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ate1904="1" codeName="ThisWorkbook" hidePivotFieldList="1"/>
  <mc:AlternateContent xmlns:mc="http://schemas.openxmlformats.org/markup-compatibility/2006">
    <mc:Choice Requires="x15">
      <x15ac:absPath xmlns:x15ac="http://schemas.microsoft.com/office/spreadsheetml/2010/11/ac" url="U:\Administration\Secrétariat\20 - Typo3 PDF+CAPTURE\14.04.2021\"/>
    </mc:Choice>
  </mc:AlternateContent>
  <xr:revisionPtr revIDLastSave="0" documentId="8_{481A91FF-6980-4EC3-8B86-1601C4355BAB}" xr6:coauthVersionLast="45" xr6:coauthVersionMax="45" xr10:uidLastSave="{00000000-0000-0000-0000-000000000000}"/>
  <workbookProtection workbookAlgorithmName="SHA-512" workbookHashValue="ZlVbxkmqmQTzQQhef3dkmRzkgilrxNMvuIGeTmOTXaWAnuU8ZWigwnsH1Q8wlq6E3Gof7nnYWGrLggsjf9hOEg==" workbookSaltValue="S7IRL9iuj6fR1DqIM+HISA==" workbookSpinCount="100000" lockStructure="1"/>
  <bookViews>
    <workbookView xWindow="-120" yWindow="-120" windowWidth="29040" windowHeight="15840" tabRatio="923" firstSheet="1" activeTab="1" xr2:uid="{00000000-000D-0000-FFFF-FFFF00000000}"/>
  </bookViews>
  <sheets>
    <sheet name="Paramètres" sheetId="40" state="hidden" r:id="rId1"/>
    <sheet name="Recherche" sheetId="48" r:id="rId2"/>
    <sheet name="A) Base RI" sheetId="42" state="hidden" r:id="rId3"/>
    <sheet name="Détail" sheetId="50" state="hidden" r:id="rId4"/>
    <sheet name="2020" sheetId="51" state="hidden" r:id="rId5"/>
    <sheet name="B) D RI" sheetId="19" state="hidden" r:id="rId6"/>
    <sheet name="C) Prél. conj." sheetId="32" state="hidden" r:id="rId7"/>
    <sheet name="D) Ecrêtage" sheetId="33" state="hidden" r:id="rId8"/>
    <sheet name="E) Fact soc" sheetId="9" state="hidden" r:id="rId9"/>
    <sheet name="F) Population" sheetId="36" state="hidden" r:id="rId10"/>
    <sheet name="G) Solidarité" sheetId="37" state="hidden" r:id="rId11"/>
    <sheet name="H) Péréquation directe" sheetId="34" state="hidden" r:id="rId12"/>
    <sheet name="I) Dépenses thématiques" sheetId="11" state="hidden" r:id="rId13"/>
    <sheet name="J) Plafonnement effort" sheetId="12" state="hidden" r:id="rId14"/>
    <sheet name="K) Plafonnement aide" sheetId="39" state="hidden" r:id="rId15"/>
    <sheet name="L) Plafonnement taux" sheetId="13" state="hidden" r:id="rId16"/>
    <sheet name="Synthèse (2)" sheetId="52" state="hidden" r:id="rId17"/>
    <sheet name="M) Police" sheetId="49" state="hidden" r:id="rId18"/>
    <sheet name="Synthèse" sheetId="25" state="hidden" r:id="rId19"/>
  </sheets>
  <externalReferences>
    <externalReference r:id="rId20"/>
  </externalReferences>
  <definedNames>
    <definedName name="_xlnm._FilterDatabase" localSheetId="6" hidden="1">'C) Prél. conj.'!$A$3:$H$314</definedName>
    <definedName name="_xlnm._FilterDatabase" localSheetId="8" hidden="1">'E) Fact soc'!$A$9:$G$320</definedName>
    <definedName name="_xlnm._FilterDatabase" localSheetId="11" hidden="1">'H) Péréquation directe'!$A$14:$I$325</definedName>
    <definedName name="_xlnm._FilterDatabase" localSheetId="18" hidden="1">Synthèse!$A$4:$L$317</definedName>
    <definedName name="_xlnm._FilterDatabase" localSheetId="16" hidden="1">'Synthèse (2)'!$A$4:$L$317</definedName>
    <definedName name="_xlnm.Database">#REF!</definedName>
    <definedName name="_xlnm.Print_Titles" localSheetId="6">'C) Prél. conj.'!$3:$4</definedName>
    <definedName name="_xlnm.Print_Titles" localSheetId="3">Détail!$2:$5</definedName>
    <definedName name="_xlnm.Print_Titles" localSheetId="8">'E) Fact soc'!$9:$10</definedName>
    <definedName name="_xlnm.Print_Titles" localSheetId="12">'I) Dépenses thématiques'!$3:$4</definedName>
    <definedName name="_xlnm.Print_Titles" localSheetId="13">'J) Plafonnement effort'!$3:$4</definedName>
    <definedName name="_xlnm.Print_Titles" localSheetId="15">'L) Plafonnement taux'!$4:$5</definedName>
    <definedName name="_xlnm.Print_Titles" localSheetId="17">'M) Police'!$4:$4</definedName>
    <definedName name="_xlnm.Print_Titles" localSheetId="18">Synthèse!$4:$5</definedName>
    <definedName name="_xlnm.Print_Titles" localSheetId="16">'Synthèse (2)'!$4:$5</definedName>
    <definedName name="ind">2</definedName>
    <definedName name="_xlnm.Print_Area" localSheetId="2">'A) Base RI'!#REF!</definedName>
    <definedName name="_xlnm.Print_Area" localSheetId="11">'H) Péréquation directe'!$316:$347</definedName>
    <definedName name="_xlnm.Print_Area" localSheetId="15">'L) Plafonnement taux'!$A$1:$R$316</definedName>
    <definedName name="_xlnm.Print_Area" localSheetId="17">'M) Police'!$A$1:$O$315</definedName>
    <definedName name="_xlnm.Print_Area" localSheetId="1">Recherche!$B$6:$F$56</definedName>
    <definedName name="_xlnm.Print_Area" localSheetId="18">Synthèse!$A$1:$N$315</definedName>
    <definedName name="_xlnm.Print_Area" localSheetId="16">'Synthèse (2)'!$A$1:$N$315</definedName>
  </definedNames>
  <calcPr calcId="191029"/>
  <pivotCaches>
    <pivotCache cacheId="0" r:id="rId21"/>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79" i="49" l="1"/>
  <c r="M290" i="13" l="1"/>
  <c r="K290" i="13"/>
  <c r="H245" i="13"/>
  <c r="BC316" i="42" l="1"/>
  <c r="BD316" i="42"/>
  <c r="BE316" i="42"/>
  <c r="BF316" i="42"/>
  <c r="BG316" i="42"/>
  <c r="BH316" i="42"/>
  <c r="BB5" i="42" l="1"/>
  <c r="AU315" i="42"/>
  <c r="AU310" i="42"/>
  <c r="AU309" i="42"/>
  <c r="AU308" i="42"/>
  <c r="AU306" i="42"/>
  <c r="AU303" i="42"/>
  <c r="AU302" i="42"/>
  <c r="AU300" i="42"/>
  <c r="AU299" i="42"/>
  <c r="AU298" i="42"/>
  <c r="AU297" i="42"/>
  <c r="AU296" i="42"/>
  <c r="AU293" i="42"/>
  <c r="AU292" i="42"/>
  <c r="AT292" i="42"/>
  <c r="AU290" i="42"/>
  <c r="AU288" i="42"/>
  <c r="AU286" i="42"/>
  <c r="AU285" i="42"/>
  <c r="BA283" i="42"/>
  <c r="AU283" i="42"/>
  <c r="AT278" i="42"/>
  <c r="AU275" i="42"/>
  <c r="BH275" i="42" s="1"/>
  <c r="AU274" i="42"/>
  <c r="AU273" i="42"/>
  <c r="AU272" i="42"/>
  <c r="AU269" i="42"/>
  <c r="BH269" i="42" s="1"/>
  <c r="AU267" i="42"/>
  <c r="AU266" i="42"/>
  <c r="AU261" i="42"/>
  <c r="AU259" i="42"/>
  <c r="BH259" i="42" s="1"/>
  <c r="AU257" i="42"/>
  <c r="AU256" i="42"/>
  <c r="AY254" i="42"/>
  <c r="AU253" i="42"/>
  <c r="BH253" i="42" s="1"/>
  <c r="AU252" i="42"/>
  <c r="AU248" i="42"/>
  <c r="AT248" i="42"/>
  <c r="AU247" i="42"/>
  <c r="BH247" i="42" s="1"/>
  <c r="AU244" i="42"/>
  <c r="AT244" i="42"/>
  <c r="AU243" i="42"/>
  <c r="BA242" i="42"/>
  <c r="BF242" i="42" s="1"/>
  <c r="AU242" i="42"/>
  <c r="AU241" i="42"/>
  <c r="AU240" i="42"/>
  <c r="AU237" i="42"/>
  <c r="BH237" i="42" s="1"/>
  <c r="AU236" i="42"/>
  <c r="AU234" i="42"/>
  <c r="AU233" i="42"/>
  <c r="AW232" i="42"/>
  <c r="BC232" i="42" s="1"/>
  <c r="AU230" i="42"/>
  <c r="AU226" i="42"/>
  <c r="AU225" i="42"/>
  <c r="AU220" i="42"/>
  <c r="BH220" i="42" s="1"/>
  <c r="AU217" i="42"/>
  <c r="AU215" i="42"/>
  <c r="AU214" i="42"/>
  <c r="AT212" i="42"/>
  <c r="AU210" i="42"/>
  <c r="AW209" i="42"/>
  <c r="AU207" i="42"/>
  <c r="AU203" i="42"/>
  <c r="BH203" i="42" s="1"/>
  <c r="AU199" i="42"/>
  <c r="AU197" i="42"/>
  <c r="AU195" i="42"/>
  <c r="AU193" i="42"/>
  <c r="BH193" i="42" s="1"/>
  <c r="AU192" i="42"/>
  <c r="AU188" i="42"/>
  <c r="AU186" i="42"/>
  <c r="AU185" i="42"/>
  <c r="BH185" i="42" s="1"/>
  <c r="AT183" i="42"/>
  <c r="AU179" i="42"/>
  <c r="AU178" i="42"/>
  <c r="AU174" i="42"/>
  <c r="AU172" i="42"/>
  <c r="AU171" i="42"/>
  <c r="AU162" i="42"/>
  <c r="AU160" i="42"/>
  <c r="BH160" i="42" s="1"/>
  <c r="AU157" i="42"/>
  <c r="AU156" i="42"/>
  <c r="AU155" i="42"/>
  <c r="AU154" i="42"/>
  <c r="AU153" i="42"/>
  <c r="AU152" i="42"/>
  <c r="AU151" i="42"/>
  <c r="AT151" i="42"/>
  <c r="BB151" i="42" s="1"/>
  <c r="AU149" i="42"/>
  <c r="AU148" i="42"/>
  <c r="AU147" i="42"/>
  <c r="AU146" i="42"/>
  <c r="AU145" i="42"/>
  <c r="AU144" i="42"/>
  <c r="AU143" i="42"/>
  <c r="AU142" i="42"/>
  <c r="AU138" i="42"/>
  <c r="AU136" i="42"/>
  <c r="AU135" i="42"/>
  <c r="AU133" i="42"/>
  <c r="AU131" i="42"/>
  <c r="AU128" i="42"/>
  <c r="AU126" i="42"/>
  <c r="AU124" i="42"/>
  <c r="AU123" i="42"/>
  <c r="AU122" i="42"/>
  <c r="AU119" i="42"/>
  <c r="BH119" i="42" s="1"/>
  <c r="AU118" i="42"/>
  <c r="AU116" i="42"/>
  <c r="AU115" i="42"/>
  <c r="AU112" i="42"/>
  <c r="BH112" i="42" s="1"/>
  <c r="AT112" i="42"/>
  <c r="AU110" i="42"/>
  <c r="AU109" i="42"/>
  <c r="AU108" i="42"/>
  <c r="BH108" i="42" s="1"/>
  <c r="AU106" i="42"/>
  <c r="AU105" i="42"/>
  <c r="AU103" i="42"/>
  <c r="AU99" i="42"/>
  <c r="BH99" i="42" s="1"/>
  <c r="AT99" i="42"/>
  <c r="AU94" i="42"/>
  <c r="AU92" i="42"/>
  <c r="AU91" i="42"/>
  <c r="BH91" i="42" s="1"/>
  <c r="AU90" i="42"/>
  <c r="AU89" i="42"/>
  <c r="AU87" i="42"/>
  <c r="AU85" i="42"/>
  <c r="BH85" i="42" s="1"/>
  <c r="AU84" i="42"/>
  <c r="AU83" i="42"/>
  <c r="AU82" i="42"/>
  <c r="AU81" i="42"/>
  <c r="BH81" i="42" s="1"/>
  <c r="AT81" i="42"/>
  <c r="AU80" i="42"/>
  <c r="AU79" i="42"/>
  <c r="AU78" i="42"/>
  <c r="AU75" i="42"/>
  <c r="AU74" i="42"/>
  <c r="AU69" i="42"/>
  <c r="AU67" i="42"/>
  <c r="BH67" i="42" s="1"/>
  <c r="AU66" i="42"/>
  <c r="AU58" i="42"/>
  <c r="AU50" i="42"/>
  <c r="AU43" i="42"/>
  <c r="BH43" i="42" s="1"/>
  <c r="AU41" i="42"/>
  <c r="AU38" i="42"/>
  <c r="AU35" i="42"/>
  <c r="AU34" i="42"/>
  <c r="AU32" i="42"/>
  <c r="AU29" i="42"/>
  <c r="AU28" i="42"/>
  <c r="AU26" i="42"/>
  <c r="AU25" i="42"/>
  <c r="AU24" i="42"/>
  <c r="AU23" i="42"/>
  <c r="AU17" i="42"/>
  <c r="BH17" i="42" s="1"/>
  <c r="AU16" i="42"/>
  <c r="AU14" i="42"/>
  <c r="AU12" i="42"/>
  <c r="AU11" i="42"/>
  <c r="BH11" i="42" s="1"/>
  <c r="AU8" i="42"/>
  <c r="AU7" i="42"/>
  <c r="BI8" i="42"/>
  <c r="BI9" i="42"/>
  <c r="BI10" i="42"/>
  <c r="BI11" i="42"/>
  <c r="BI12" i="42"/>
  <c r="BI13" i="42"/>
  <c r="BI14" i="42"/>
  <c r="BI15" i="42"/>
  <c r="BI16" i="42"/>
  <c r="BI17" i="42"/>
  <c r="BI18" i="42"/>
  <c r="BI19" i="42"/>
  <c r="BI20" i="42"/>
  <c r="BI21" i="42"/>
  <c r="BI22" i="42"/>
  <c r="BI23" i="42"/>
  <c r="BI24" i="42"/>
  <c r="BI25" i="42"/>
  <c r="BI26" i="42"/>
  <c r="BI27" i="42"/>
  <c r="BI28" i="42"/>
  <c r="BI29" i="42"/>
  <c r="BI30" i="42"/>
  <c r="BI31" i="42"/>
  <c r="BI32" i="42"/>
  <c r="BI33" i="42"/>
  <c r="BI34" i="42"/>
  <c r="BI35" i="42"/>
  <c r="BI36" i="42"/>
  <c r="BI37" i="42"/>
  <c r="BI38" i="42"/>
  <c r="BI39" i="42"/>
  <c r="BI40" i="42"/>
  <c r="BI41" i="42"/>
  <c r="BI42" i="42"/>
  <c r="BI43" i="42"/>
  <c r="BI44" i="42"/>
  <c r="BI45" i="42"/>
  <c r="BI46" i="42"/>
  <c r="BI47" i="42"/>
  <c r="BI48" i="42"/>
  <c r="BI49" i="42"/>
  <c r="BI50" i="42"/>
  <c r="BI51" i="42"/>
  <c r="BI52" i="42"/>
  <c r="BI53" i="42"/>
  <c r="BI54" i="42"/>
  <c r="BI55" i="42"/>
  <c r="BI56" i="42"/>
  <c r="BI57" i="42"/>
  <c r="BI58" i="42"/>
  <c r="BI59" i="42"/>
  <c r="BI60" i="42"/>
  <c r="BI61" i="42"/>
  <c r="BI62" i="42"/>
  <c r="BI63" i="42"/>
  <c r="BI64" i="42"/>
  <c r="BI65" i="42"/>
  <c r="BI66" i="42"/>
  <c r="BI67" i="42"/>
  <c r="BI68" i="42"/>
  <c r="BI69" i="42"/>
  <c r="BI70" i="42"/>
  <c r="BI71" i="42"/>
  <c r="BI72" i="42"/>
  <c r="BI73" i="42"/>
  <c r="BI74" i="42"/>
  <c r="BI75" i="42"/>
  <c r="BI76" i="42"/>
  <c r="BI77" i="42"/>
  <c r="BI78" i="42"/>
  <c r="BI79" i="42"/>
  <c r="BI80" i="42"/>
  <c r="BI81" i="42"/>
  <c r="BI82" i="42"/>
  <c r="BI83" i="42"/>
  <c r="BI84" i="42"/>
  <c r="BI85" i="42"/>
  <c r="BI86" i="42"/>
  <c r="BI87" i="42"/>
  <c r="BI88" i="42"/>
  <c r="BI89" i="42"/>
  <c r="BI90" i="42"/>
  <c r="BI91" i="42"/>
  <c r="BI92" i="42"/>
  <c r="BI93" i="42"/>
  <c r="BI94" i="42"/>
  <c r="BI95" i="42"/>
  <c r="BI96" i="42"/>
  <c r="BI97" i="42"/>
  <c r="BI98" i="42"/>
  <c r="BI99" i="42"/>
  <c r="BI100" i="42"/>
  <c r="BI101" i="42"/>
  <c r="BI102" i="42"/>
  <c r="BI103" i="42"/>
  <c r="BI104" i="42"/>
  <c r="BI105" i="42"/>
  <c r="BI106" i="42"/>
  <c r="BI107" i="42"/>
  <c r="BI108" i="42"/>
  <c r="BI109" i="42"/>
  <c r="BI110" i="42"/>
  <c r="BI111" i="42"/>
  <c r="BI112" i="42"/>
  <c r="BI113" i="42"/>
  <c r="BI114" i="42"/>
  <c r="BI115" i="42"/>
  <c r="BI116" i="42"/>
  <c r="BI117" i="42"/>
  <c r="BI118" i="42"/>
  <c r="BI119" i="42"/>
  <c r="BI120" i="42"/>
  <c r="BI121" i="42"/>
  <c r="BI122" i="42"/>
  <c r="BI123" i="42"/>
  <c r="BI124" i="42"/>
  <c r="BI125" i="42"/>
  <c r="BI126" i="42"/>
  <c r="BI127" i="42"/>
  <c r="BI128" i="42"/>
  <c r="BI129" i="42"/>
  <c r="BI130" i="42"/>
  <c r="BI131" i="42"/>
  <c r="BI132" i="42"/>
  <c r="BI133" i="42"/>
  <c r="BI134" i="42"/>
  <c r="BI135" i="42"/>
  <c r="BI136" i="42"/>
  <c r="BI137" i="42"/>
  <c r="BI138" i="42"/>
  <c r="BI139" i="42"/>
  <c r="BI140" i="42"/>
  <c r="BI141" i="42"/>
  <c r="BI142" i="42"/>
  <c r="BI143" i="42"/>
  <c r="BI144" i="42"/>
  <c r="BI145" i="42"/>
  <c r="BI146" i="42"/>
  <c r="BI147" i="42"/>
  <c r="BI148" i="42"/>
  <c r="BI149" i="42"/>
  <c r="BI150" i="42"/>
  <c r="BI151" i="42"/>
  <c r="BI152" i="42"/>
  <c r="BI153" i="42"/>
  <c r="BI154" i="42"/>
  <c r="BI155" i="42"/>
  <c r="BI156" i="42"/>
  <c r="BI157" i="42"/>
  <c r="BI158" i="42"/>
  <c r="BI159" i="42"/>
  <c r="BI160" i="42"/>
  <c r="BI161" i="42"/>
  <c r="BI162" i="42"/>
  <c r="BI163" i="42"/>
  <c r="BI164" i="42"/>
  <c r="BI165" i="42"/>
  <c r="BI166" i="42"/>
  <c r="BI167" i="42"/>
  <c r="BI168" i="42"/>
  <c r="BI169" i="42"/>
  <c r="BI170" i="42"/>
  <c r="BI171" i="42"/>
  <c r="BI172" i="42"/>
  <c r="BI173" i="42"/>
  <c r="BI174" i="42"/>
  <c r="BI175" i="42"/>
  <c r="BI176" i="42"/>
  <c r="BI177" i="42"/>
  <c r="BI178" i="42"/>
  <c r="BI179" i="42"/>
  <c r="BI180" i="42"/>
  <c r="BI181" i="42"/>
  <c r="BI182" i="42"/>
  <c r="BI183" i="42"/>
  <c r="BI184" i="42"/>
  <c r="BI185" i="42"/>
  <c r="BI186" i="42"/>
  <c r="BI187" i="42"/>
  <c r="BI188" i="42"/>
  <c r="BI189" i="42"/>
  <c r="BI190" i="42"/>
  <c r="BI191" i="42"/>
  <c r="BI192" i="42"/>
  <c r="BI193" i="42"/>
  <c r="BI194" i="42"/>
  <c r="BI195" i="42"/>
  <c r="BI196" i="42"/>
  <c r="BI197" i="42"/>
  <c r="BI198" i="42"/>
  <c r="BI199" i="42"/>
  <c r="BI200" i="42"/>
  <c r="BI201" i="42"/>
  <c r="BI202" i="42"/>
  <c r="BI203" i="42"/>
  <c r="BI204" i="42"/>
  <c r="BI205" i="42"/>
  <c r="BI206" i="42"/>
  <c r="BI207" i="42"/>
  <c r="BI208" i="42"/>
  <c r="BI209" i="42"/>
  <c r="BI210" i="42"/>
  <c r="BI211" i="42"/>
  <c r="BI212" i="42"/>
  <c r="BI213" i="42"/>
  <c r="BI214" i="42"/>
  <c r="BI215" i="42"/>
  <c r="BI216" i="42"/>
  <c r="BI217" i="42"/>
  <c r="BI218" i="42"/>
  <c r="BI219" i="42"/>
  <c r="BI220" i="42"/>
  <c r="BI221" i="42"/>
  <c r="BI222" i="42"/>
  <c r="BI223" i="42"/>
  <c r="BI224" i="42"/>
  <c r="BI225" i="42"/>
  <c r="BI226" i="42"/>
  <c r="BI227" i="42"/>
  <c r="BI228" i="42"/>
  <c r="BI229" i="42"/>
  <c r="BI230" i="42"/>
  <c r="BI231" i="42"/>
  <c r="BI232" i="42"/>
  <c r="BI233" i="42"/>
  <c r="BI234" i="42"/>
  <c r="BI235" i="42"/>
  <c r="BI236" i="42"/>
  <c r="BI237" i="42"/>
  <c r="BI238" i="42"/>
  <c r="BI239" i="42"/>
  <c r="BI240" i="42"/>
  <c r="BI241" i="42"/>
  <c r="BI242" i="42"/>
  <c r="BI243" i="42"/>
  <c r="BI244" i="42"/>
  <c r="BI245" i="42"/>
  <c r="BI246" i="42"/>
  <c r="BI247" i="42"/>
  <c r="BI248" i="42"/>
  <c r="BI249" i="42"/>
  <c r="BI250" i="42"/>
  <c r="BI251" i="42"/>
  <c r="BI252" i="42"/>
  <c r="BI253" i="42"/>
  <c r="BI254" i="42"/>
  <c r="BI255" i="42"/>
  <c r="BI256" i="42"/>
  <c r="BI257" i="42"/>
  <c r="BI258" i="42"/>
  <c r="BI259" i="42"/>
  <c r="BI260" i="42"/>
  <c r="BI261" i="42"/>
  <c r="BI262" i="42"/>
  <c r="BI263" i="42"/>
  <c r="BI264" i="42"/>
  <c r="BI265" i="42"/>
  <c r="BI266" i="42"/>
  <c r="BI267" i="42"/>
  <c r="BI268" i="42"/>
  <c r="BI269" i="42"/>
  <c r="BI270" i="42"/>
  <c r="BI271" i="42"/>
  <c r="BI272" i="42"/>
  <c r="BI273" i="42"/>
  <c r="BI274" i="42"/>
  <c r="BI275" i="42"/>
  <c r="BI276" i="42"/>
  <c r="BI277" i="42"/>
  <c r="BI278" i="42"/>
  <c r="BI279" i="42"/>
  <c r="BI280" i="42"/>
  <c r="BI281" i="42"/>
  <c r="BI282" i="42"/>
  <c r="BI283" i="42"/>
  <c r="BI284" i="42"/>
  <c r="BI285" i="42"/>
  <c r="BI286" i="42"/>
  <c r="BI287" i="42"/>
  <c r="BI288" i="42"/>
  <c r="BI289" i="42"/>
  <c r="BI290" i="42"/>
  <c r="BI291" i="42"/>
  <c r="BI292" i="42"/>
  <c r="BI293" i="42"/>
  <c r="BI294" i="42"/>
  <c r="BI295" i="42"/>
  <c r="BI296" i="42"/>
  <c r="BI297" i="42"/>
  <c r="BI298" i="42"/>
  <c r="BI299" i="42"/>
  <c r="BI300" i="42"/>
  <c r="BI301" i="42"/>
  <c r="BI302" i="42"/>
  <c r="BI303" i="42"/>
  <c r="BI304" i="42"/>
  <c r="BI305" i="42"/>
  <c r="BI306" i="42"/>
  <c r="BI307" i="42"/>
  <c r="BI308" i="42"/>
  <c r="BI309" i="42"/>
  <c r="BI310" i="42"/>
  <c r="BI311" i="42"/>
  <c r="BI312" i="42"/>
  <c r="BI313" i="42"/>
  <c r="BI314" i="42"/>
  <c r="BI315" i="42"/>
  <c r="BI7" i="42"/>
  <c r="BJ8" i="42"/>
  <c r="BJ9" i="42"/>
  <c r="BJ10" i="42"/>
  <c r="BJ11" i="42"/>
  <c r="BJ12" i="42"/>
  <c r="BJ13" i="42"/>
  <c r="BJ14" i="42"/>
  <c r="BJ15" i="42"/>
  <c r="BJ16" i="42"/>
  <c r="BJ17" i="42"/>
  <c r="BJ18" i="42"/>
  <c r="BJ19" i="42"/>
  <c r="BJ20" i="42"/>
  <c r="BJ21" i="42"/>
  <c r="BJ22" i="42"/>
  <c r="BJ23" i="42"/>
  <c r="BJ24" i="42"/>
  <c r="BJ25" i="42"/>
  <c r="BJ26" i="42"/>
  <c r="BJ27" i="42"/>
  <c r="BJ28" i="42"/>
  <c r="BJ29" i="42"/>
  <c r="BJ30" i="42"/>
  <c r="BJ31" i="42"/>
  <c r="BJ32" i="42"/>
  <c r="BJ33" i="42"/>
  <c r="BJ34" i="42"/>
  <c r="BJ35" i="42"/>
  <c r="BJ36" i="42"/>
  <c r="BJ37" i="42"/>
  <c r="BJ38" i="42"/>
  <c r="BJ39" i="42"/>
  <c r="BJ40" i="42"/>
  <c r="BJ41" i="42"/>
  <c r="BJ42" i="42"/>
  <c r="BJ43" i="42"/>
  <c r="BJ44" i="42"/>
  <c r="BJ45" i="42"/>
  <c r="BJ46" i="42"/>
  <c r="BJ47" i="42"/>
  <c r="BJ48" i="42"/>
  <c r="BJ49" i="42"/>
  <c r="BJ50" i="42"/>
  <c r="BJ51" i="42"/>
  <c r="BJ52" i="42"/>
  <c r="BJ53" i="42"/>
  <c r="BJ54" i="42"/>
  <c r="BJ55" i="42"/>
  <c r="BJ56" i="42"/>
  <c r="BJ57" i="42"/>
  <c r="BJ58" i="42"/>
  <c r="BJ59" i="42"/>
  <c r="BJ60" i="42"/>
  <c r="BJ61" i="42"/>
  <c r="BJ62" i="42"/>
  <c r="BJ63" i="42"/>
  <c r="BJ64" i="42"/>
  <c r="BJ65" i="42"/>
  <c r="BJ66" i="42"/>
  <c r="BJ67" i="42"/>
  <c r="BJ68" i="42"/>
  <c r="BJ69" i="42"/>
  <c r="BJ70" i="42"/>
  <c r="BJ71" i="42"/>
  <c r="BJ72" i="42"/>
  <c r="BJ73" i="42"/>
  <c r="BJ74" i="42"/>
  <c r="BJ75" i="42"/>
  <c r="BJ76" i="42"/>
  <c r="BJ77" i="42"/>
  <c r="BJ78" i="42"/>
  <c r="BJ79" i="42"/>
  <c r="BJ80" i="42"/>
  <c r="BJ81" i="42"/>
  <c r="BJ82" i="42"/>
  <c r="BJ83" i="42"/>
  <c r="BJ84" i="42"/>
  <c r="BJ85" i="42"/>
  <c r="BJ86" i="42"/>
  <c r="BJ87" i="42"/>
  <c r="BJ88" i="42"/>
  <c r="BJ89" i="42"/>
  <c r="BJ90" i="42"/>
  <c r="BJ91" i="42"/>
  <c r="BJ92" i="42"/>
  <c r="BJ93" i="42"/>
  <c r="BJ94" i="42"/>
  <c r="BJ95" i="42"/>
  <c r="BJ96" i="42"/>
  <c r="BJ97" i="42"/>
  <c r="BJ98" i="42"/>
  <c r="BJ99" i="42"/>
  <c r="BJ100" i="42"/>
  <c r="BJ101" i="42"/>
  <c r="BJ102" i="42"/>
  <c r="BJ103" i="42"/>
  <c r="BJ104" i="42"/>
  <c r="BJ105" i="42"/>
  <c r="BJ106" i="42"/>
  <c r="BJ107" i="42"/>
  <c r="BJ108" i="42"/>
  <c r="BJ109" i="42"/>
  <c r="BJ110" i="42"/>
  <c r="BJ111" i="42"/>
  <c r="BJ112" i="42"/>
  <c r="BJ113" i="42"/>
  <c r="BJ114" i="42"/>
  <c r="BJ115" i="42"/>
  <c r="BJ116" i="42"/>
  <c r="BJ117" i="42"/>
  <c r="BJ118" i="42"/>
  <c r="BJ119" i="42"/>
  <c r="BJ120" i="42"/>
  <c r="BJ121" i="42"/>
  <c r="BJ122" i="42"/>
  <c r="BJ123" i="42"/>
  <c r="BJ124" i="42"/>
  <c r="BJ125" i="42"/>
  <c r="BJ126" i="42"/>
  <c r="BJ127" i="42"/>
  <c r="BJ128" i="42"/>
  <c r="BJ129" i="42"/>
  <c r="BJ130" i="42"/>
  <c r="BJ131" i="42"/>
  <c r="BJ132" i="42"/>
  <c r="BJ133" i="42"/>
  <c r="BJ134" i="42"/>
  <c r="BJ135" i="42"/>
  <c r="BJ136" i="42"/>
  <c r="BJ137" i="42"/>
  <c r="BJ138" i="42"/>
  <c r="BJ139" i="42"/>
  <c r="BJ140" i="42"/>
  <c r="BJ141" i="42"/>
  <c r="BJ142" i="42"/>
  <c r="BJ143" i="42"/>
  <c r="BJ144" i="42"/>
  <c r="BJ145" i="42"/>
  <c r="BJ146" i="42"/>
  <c r="BJ147" i="42"/>
  <c r="BJ148" i="42"/>
  <c r="BJ149" i="42"/>
  <c r="BJ150" i="42"/>
  <c r="BJ151" i="42"/>
  <c r="BJ152" i="42"/>
  <c r="BJ153" i="42"/>
  <c r="BJ154" i="42"/>
  <c r="BJ155" i="42"/>
  <c r="BJ156" i="42"/>
  <c r="BJ157" i="42"/>
  <c r="BJ158" i="42"/>
  <c r="BJ159" i="42"/>
  <c r="BJ160" i="42"/>
  <c r="BJ161" i="42"/>
  <c r="BJ162" i="42"/>
  <c r="BJ163" i="42"/>
  <c r="BJ164" i="42"/>
  <c r="BJ165" i="42"/>
  <c r="BJ166" i="42"/>
  <c r="BJ167" i="42"/>
  <c r="BJ168" i="42"/>
  <c r="BJ169" i="42"/>
  <c r="BJ170" i="42"/>
  <c r="BJ171" i="42"/>
  <c r="BJ172" i="42"/>
  <c r="BJ173" i="42"/>
  <c r="BJ174" i="42"/>
  <c r="BJ175" i="42"/>
  <c r="BJ176" i="42"/>
  <c r="BJ177" i="42"/>
  <c r="BJ178" i="42"/>
  <c r="BJ179" i="42"/>
  <c r="BJ180" i="42"/>
  <c r="BJ181" i="42"/>
  <c r="BJ182" i="42"/>
  <c r="BJ183" i="42"/>
  <c r="BJ184" i="42"/>
  <c r="BJ185" i="42"/>
  <c r="BJ186" i="42"/>
  <c r="BJ187" i="42"/>
  <c r="BJ188" i="42"/>
  <c r="BJ189" i="42"/>
  <c r="BJ190" i="42"/>
  <c r="BJ191" i="42"/>
  <c r="BJ192" i="42"/>
  <c r="BJ193" i="42"/>
  <c r="BJ194" i="42"/>
  <c r="BJ195" i="42"/>
  <c r="BJ196" i="42"/>
  <c r="BJ197" i="42"/>
  <c r="BJ198" i="42"/>
  <c r="BJ199" i="42"/>
  <c r="BJ200" i="42"/>
  <c r="BJ201" i="42"/>
  <c r="BJ202" i="42"/>
  <c r="BJ203" i="42"/>
  <c r="BJ204" i="42"/>
  <c r="BJ205" i="42"/>
  <c r="BJ206" i="42"/>
  <c r="BJ207" i="42"/>
  <c r="BJ208" i="42"/>
  <c r="BJ209" i="42"/>
  <c r="BJ210" i="42"/>
  <c r="BJ211" i="42"/>
  <c r="BJ212" i="42"/>
  <c r="BJ213" i="42"/>
  <c r="BJ214" i="42"/>
  <c r="BJ215" i="42"/>
  <c r="BJ216" i="42"/>
  <c r="BJ217" i="42"/>
  <c r="BJ218" i="42"/>
  <c r="BJ219" i="42"/>
  <c r="BJ220" i="42"/>
  <c r="BJ221" i="42"/>
  <c r="BJ222" i="42"/>
  <c r="BJ223" i="42"/>
  <c r="BJ224" i="42"/>
  <c r="BJ225" i="42"/>
  <c r="BJ226" i="42"/>
  <c r="BJ227" i="42"/>
  <c r="BJ228" i="42"/>
  <c r="BJ229" i="42"/>
  <c r="BJ230" i="42"/>
  <c r="BJ231" i="42"/>
  <c r="BJ232" i="42"/>
  <c r="BJ233" i="42"/>
  <c r="BJ234" i="42"/>
  <c r="BJ235" i="42"/>
  <c r="BJ236" i="42"/>
  <c r="BJ237" i="42"/>
  <c r="BJ238" i="42"/>
  <c r="BJ239" i="42"/>
  <c r="BJ240" i="42"/>
  <c r="BJ241" i="42"/>
  <c r="BJ242" i="42"/>
  <c r="BJ243" i="42"/>
  <c r="BJ244" i="42"/>
  <c r="BJ245" i="42"/>
  <c r="BJ246" i="42"/>
  <c r="BJ247" i="42"/>
  <c r="BJ248" i="42"/>
  <c r="BJ249" i="42"/>
  <c r="BJ250" i="42"/>
  <c r="BJ251" i="42"/>
  <c r="BJ252" i="42"/>
  <c r="BJ253" i="42"/>
  <c r="BJ254" i="42"/>
  <c r="BJ255" i="42"/>
  <c r="BJ256" i="42"/>
  <c r="BJ257" i="42"/>
  <c r="BJ258" i="42"/>
  <c r="BJ259" i="42"/>
  <c r="BJ260" i="42"/>
  <c r="BJ261" i="42"/>
  <c r="BJ262" i="42"/>
  <c r="BJ263" i="42"/>
  <c r="BJ264" i="42"/>
  <c r="BJ265" i="42"/>
  <c r="BJ266" i="42"/>
  <c r="BJ267" i="42"/>
  <c r="BJ268" i="42"/>
  <c r="BJ269" i="42"/>
  <c r="BJ270" i="42"/>
  <c r="BJ271" i="42"/>
  <c r="BJ272" i="42"/>
  <c r="BJ273" i="42"/>
  <c r="BJ274" i="42"/>
  <c r="BJ275" i="42"/>
  <c r="BJ276" i="42"/>
  <c r="BJ277" i="42"/>
  <c r="BJ278" i="42"/>
  <c r="BJ279" i="42"/>
  <c r="BJ280" i="42"/>
  <c r="BJ281" i="42"/>
  <c r="BJ282" i="42"/>
  <c r="BJ283" i="42"/>
  <c r="BJ284" i="42"/>
  <c r="BJ285" i="42"/>
  <c r="BJ286" i="42"/>
  <c r="BJ287" i="42"/>
  <c r="BJ288" i="42"/>
  <c r="BJ289" i="42"/>
  <c r="BJ290" i="42"/>
  <c r="BJ291" i="42"/>
  <c r="BJ292" i="42"/>
  <c r="BJ293" i="42"/>
  <c r="BJ294" i="42"/>
  <c r="BJ295" i="42"/>
  <c r="BJ296" i="42"/>
  <c r="BJ297" i="42"/>
  <c r="BJ298" i="42"/>
  <c r="BJ299" i="42"/>
  <c r="BJ300" i="42"/>
  <c r="BJ301" i="42"/>
  <c r="BJ302" i="42"/>
  <c r="BJ303" i="42"/>
  <c r="BJ304" i="42"/>
  <c r="BJ305" i="42"/>
  <c r="BJ306" i="42"/>
  <c r="BJ307" i="42"/>
  <c r="BJ308" i="42"/>
  <c r="BJ309" i="42"/>
  <c r="BJ310" i="42"/>
  <c r="BJ311" i="42"/>
  <c r="BJ312" i="42"/>
  <c r="BJ313" i="42"/>
  <c r="BJ314" i="42"/>
  <c r="BJ315" i="42"/>
  <c r="BJ7" i="42"/>
  <c r="BB8" i="42"/>
  <c r="BC8" i="42"/>
  <c r="BD8" i="42"/>
  <c r="BE8" i="42"/>
  <c r="BF8" i="42"/>
  <c r="BG8" i="42"/>
  <c r="BH8" i="42"/>
  <c r="BB9" i="42"/>
  <c r="BC9" i="42"/>
  <c r="BD9" i="42"/>
  <c r="BE9" i="42"/>
  <c r="BF9" i="42"/>
  <c r="BG9" i="42"/>
  <c r="BH9" i="42"/>
  <c r="BB10" i="42"/>
  <c r="BC10" i="42"/>
  <c r="BD10" i="42"/>
  <c r="BE10" i="42"/>
  <c r="BF10" i="42"/>
  <c r="BG10" i="42"/>
  <c r="BH10" i="42"/>
  <c r="BB11" i="42"/>
  <c r="BC11" i="42"/>
  <c r="BD11" i="42"/>
  <c r="BE11" i="42"/>
  <c r="BF11" i="42"/>
  <c r="BG11" i="42"/>
  <c r="BB12" i="42"/>
  <c r="BC12" i="42"/>
  <c r="BD12" i="42"/>
  <c r="BE12" i="42"/>
  <c r="BF12" i="42"/>
  <c r="BG12" i="42"/>
  <c r="BH12" i="42"/>
  <c r="BB13" i="42"/>
  <c r="BC13" i="42"/>
  <c r="BD13" i="42"/>
  <c r="BE13" i="42"/>
  <c r="BF13" i="42"/>
  <c r="BG13" i="42"/>
  <c r="BH13" i="42"/>
  <c r="BB14" i="42"/>
  <c r="BC14" i="42"/>
  <c r="BD14" i="42"/>
  <c r="BE14" i="42"/>
  <c r="BF14" i="42"/>
  <c r="BG14" i="42"/>
  <c r="BH14" i="42"/>
  <c r="BB15" i="42"/>
  <c r="BC15" i="42"/>
  <c r="BD15" i="42"/>
  <c r="BE15" i="42"/>
  <c r="BF15" i="42"/>
  <c r="BG15" i="42"/>
  <c r="BH15" i="42"/>
  <c r="BB16" i="42"/>
  <c r="BC16" i="42"/>
  <c r="BD16" i="42"/>
  <c r="BE16" i="42"/>
  <c r="BF16" i="42"/>
  <c r="BG16" i="42"/>
  <c r="BH16" i="42"/>
  <c r="BB17" i="42"/>
  <c r="BC17" i="42"/>
  <c r="BD17" i="42"/>
  <c r="BE17" i="42"/>
  <c r="BF17" i="42"/>
  <c r="BG17" i="42"/>
  <c r="BB18" i="42"/>
  <c r="BC18" i="42"/>
  <c r="BD18" i="42"/>
  <c r="BE18" i="42"/>
  <c r="BF18" i="42"/>
  <c r="BG18" i="42"/>
  <c r="BH18" i="42"/>
  <c r="BB19" i="42"/>
  <c r="BC19" i="42"/>
  <c r="BD19" i="42"/>
  <c r="BE19" i="42"/>
  <c r="BF19" i="42"/>
  <c r="BG19" i="42"/>
  <c r="BH19" i="42"/>
  <c r="BB20" i="42"/>
  <c r="BC20" i="42"/>
  <c r="BD20" i="42"/>
  <c r="BE20" i="42"/>
  <c r="BF20" i="42"/>
  <c r="BG20" i="42"/>
  <c r="BH20" i="42"/>
  <c r="BB21" i="42"/>
  <c r="BC21" i="42"/>
  <c r="BD21" i="42"/>
  <c r="BE21" i="42"/>
  <c r="BF21" i="42"/>
  <c r="BG21" i="42"/>
  <c r="BH21" i="42"/>
  <c r="BB22" i="42"/>
  <c r="BC22" i="42"/>
  <c r="BD22" i="42"/>
  <c r="BE22" i="42"/>
  <c r="BF22" i="42"/>
  <c r="BG22" i="42"/>
  <c r="BH22" i="42"/>
  <c r="BB23" i="42"/>
  <c r="BC23" i="42"/>
  <c r="BD23" i="42"/>
  <c r="BE23" i="42"/>
  <c r="BF23" i="42"/>
  <c r="BG23" i="42"/>
  <c r="BH23" i="42"/>
  <c r="BB24" i="42"/>
  <c r="BC24" i="42"/>
  <c r="BD24" i="42"/>
  <c r="BE24" i="42"/>
  <c r="BF24" i="42"/>
  <c r="BG24" i="42"/>
  <c r="BH24" i="42"/>
  <c r="BB25" i="42"/>
  <c r="BC25" i="42"/>
  <c r="BD25" i="42"/>
  <c r="BE25" i="42"/>
  <c r="BF25" i="42"/>
  <c r="BG25" i="42"/>
  <c r="BH25" i="42"/>
  <c r="BB26" i="42"/>
  <c r="BC26" i="42"/>
  <c r="BD26" i="42"/>
  <c r="BE26" i="42"/>
  <c r="BF26" i="42"/>
  <c r="BG26" i="42"/>
  <c r="BH26" i="42"/>
  <c r="BB27" i="42"/>
  <c r="BC27" i="42"/>
  <c r="BD27" i="42"/>
  <c r="BE27" i="42"/>
  <c r="BF27" i="42"/>
  <c r="BG27" i="42"/>
  <c r="BH27" i="42"/>
  <c r="BB28" i="42"/>
  <c r="BC28" i="42"/>
  <c r="BD28" i="42"/>
  <c r="BE28" i="42"/>
  <c r="BF28" i="42"/>
  <c r="BG28" i="42"/>
  <c r="BH28" i="42"/>
  <c r="BB29" i="42"/>
  <c r="BC29" i="42"/>
  <c r="BD29" i="42"/>
  <c r="BE29" i="42"/>
  <c r="BF29" i="42"/>
  <c r="BG29" i="42"/>
  <c r="BH29" i="42"/>
  <c r="BB30" i="42"/>
  <c r="BC30" i="42"/>
  <c r="BD30" i="42"/>
  <c r="BE30" i="42"/>
  <c r="BF30" i="42"/>
  <c r="BG30" i="42"/>
  <c r="BH30" i="42"/>
  <c r="BB31" i="42"/>
  <c r="BC31" i="42"/>
  <c r="BD31" i="42"/>
  <c r="BE31" i="42"/>
  <c r="BF31" i="42"/>
  <c r="BG31" i="42"/>
  <c r="BH31" i="42"/>
  <c r="BB32" i="42"/>
  <c r="BC32" i="42"/>
  <c r="BD32" i="42"/>
  <c r="BE32" i="42"/>
  <c r="BF32" i="42"/>
  <c r="BG32" i="42"/>
  <c r="BH32" i="42"/>
  <c r="BB33" i="42"/>
  <c r="BC33" i="42"/>
  <c r="BD33" i="42"/>
  <c r="BE33" i="42"/>
  <c r="BF33" i="42"/>
  <c r="BG33" i="42"/>
  <c r="BH33" i="42"/>
  <c r="BB34" i="42"/>
  <c r="BC34" i="42"/>
  <c r="BD34" i="42"/>
  <c r="BE34" i="42"/>
  <c r="BF34" i="42"/>
  <c r="BG34" i="42"/>
  <c r="BH34" i="42"/>
  <c r="BB35" i="42"/>
  <c r="BC35" i="42"/>
  <c r="BD35" i="42"/>
  <c r="BE35" i="42"/>
  <c r="BF35" i="42"/>
  <c r="BG35" i="42"/>
  <c r="BH35" i="42"/>
  <c r="BB36" i="42"/>
  <c r="BC36" i="42"/>
  <c r="BD36" i="42"/>
  <c r="BE36" i="42"/>
  <c r="BF36" i="42"/>
  <c r="BG36" i="42"/>
  <c r="BH36" i="42"/>
  <c r="BB37" i="42"/>
  <c r="BC37" i="42"/>
  <c r="BD37" i="42"/>
  <c r="BE37" i="42"/>
  <c r="BF37" i="42"/>
  <c r="BG37" i="42"/>
  <c r="BH37" i="42"/>
  <c r="BB38" i="42"/>
  <c r="BC38" i="42"/>
  <c r="BD38" i="42"/>
  <c r="BE38" i="42"/>
  <c r="BF38" i="42"/>
  <c r="BG38" i="42"/>
  <c r="BH38" i="42"/>
  <c r="BB39" i="42"/>
  <c r="BC39" i="42"/>
  <c r="BD39" i="42"/>
  <c r="BE39" i="42"/>
  <c r="BF39" i="42"/>
  <c r="BG39" i="42"/>
  <c r="BH39" i="42"/>
  <c r="BB40" i="42"/>
  <c r="BC40" i="42"/>
  <c r="BD40" i="42"/>
  <c r="BE40" i="42"/>
  <c r="BF40" i="42"/>
  <c r="BG40" i="42"/>
  <c r="BH40" i="42"/>
  <c r="BB41" i="42"/>
  <c r="BC41" i="42"/>
  <c r="BD41" i="42"/>
  <c r="BE41" i="42"/>
  <c r="BF41" i="42"/>
  <c r="BG41" i="42"/>
  <c r="BH41" i="42"/>
  <c r="BB42" i="42"/>
  <c r="BC42" i="42"/>
  <c r="BD42" i="42"/>
  <c r="BE42" i="42"/>
  <c r="BF42" i="42"/>
  <c r="BG42" i="42"/>
  <c r="BH42" i="42"/>
  <c r="BB43" i="42"/>
  <c r="BC43" i="42"/>
  <c r="BD43" i="42"/>
  <c r="BE43" i="42"/>
  <c r="BF43" i="42"/>
  <c r="BG43" i="42"/>
  <c r="BB44" i="42"/>
  <c r="BC44" i="42"/>
  <c r="BD44" i="42"/>
  <c r="BE44" i="42"/>
  <c r="BF44" i="42"/>
  <c r="BG44" i="42"/>
  <c r="BH44" i="42"/>
  <c r="BB45" i="42"/>
  <c r="BC45" i="42"/>
  <c r="BD45" i="42"/>
  <c r="BE45" i="42"/>
  <c r="BF45" i="42"/>
  <c r="BG45" i="42"/>
  <c r="BH45" i="42"/>
  <c r="BB46" i="42"/>
  <c r="BC46" i="42"/>
  <c r="BD46" i="42"/>
  <c r="BE46" i="42"/>
  <c r="BF46" i="42"/>
  <c r="BG46" i="42"/>
  <c r="BH46" i="42"/>
  <c r="BB47" i="42"/>
  <c r="BC47" i="42"/>
  <c r="BD47" i="42"/>
  <c r="BE47" i="42"/>
  <c r="BF47" i="42"/>
  <c r="BG47" i="42"/>
  <c r="BH47" i="42"/>
  <c r="BB48" i="42"/>
  <c r="BC48" i="42"/>
  <c r="BD48" i="42"/>
  <c r="BE48" i="42"/>
  <c r="BF48" i="42"/>
  <c r="BG48" i="42"/>
  <c r="BH48" i="42"/>
  <c r="BB49" i="42"/>
  <c r="BC49" i="42"/>
  <c r="BD49" i="42"/>
  <c r="BE49" i="42"/>
  <c r="BF49" i="42"/>
  <c r="BG49" i="42"/>
  <c r="BH49" i="42"/>
  <c r="BB50" i="42"/>
  <c r="BC50" i="42"/>
  <c r="BD50" i="42"/>
  <c r="BE50" i="42"/>
  <c r="BF50" i="42"/>
  <c r="BG50" i="42"/>
  <c r="BH50" i="42"/>
  <c r="BB51" i="42"/>
  <c r="BC51" i="42"/>
  <c r="BD51" i="42"/>
  <c r="BE51" i="42"/>
  <c r="BF51" i="42"/>
  <c r="BG51" i="42"/>
  <c r="BH51" i="42"/>
  <c r="BB52" i="42"/>
  <c r="BC52" i="42"/>
  <c r="BD52" i="42"/>
  <c r="BE52" i="42"/>
  <c r="BF52" i="42"/>
  <c r="BG52" i="42"/>
  <c r="BH52" i="42"/>
  <c r="BB53" i="42"/>
  <c r="BC53" i="42"/>
  <c r="BD53" i="42"/>
  <c r="BE53" i="42"/>
  <c r="BF53" i="42"/>
  <c r="BG53" i="42"/>
  <c r="BH53" i="42"/>
  <c r="BB54" i="42"/>
  <c r="BC54" i="42"/>
  <c r="BD54" i="42"/>
  <c r="BE54" i="42"/>
  <c r="BF54" i="42"/>
  <c r="BG54" i="42"/>
  <c r="BH54" i="42"/>
  <c r="BB55" i="42"/>
  <c r="BC55" i="42"/>
  <c r="BD55" i="42"/>
  <c r="BE55" i="42"/>
  <c r="BF55" i="42"/>
  <c r="BG55" i="42"/>
  <c r="BH55" i="42"/>
  <c r="BB56" i="42"/>
  <c r="BC56" i="42"/>
  <c r="BD56" i="42"/>
  <c r="BE56" i="42"/>
  <c r="BF56" i="42"/>
  <c r="BG56" i="42"/>
  <c r="BH56" i="42"/>
  <c r="BB57" i="42"/>
  <c r="BC57" i="42"/>
  <c r="BD57" i="42"/>
  <c r="BE57" i="42"/>
  <c r="BF57" i="42"/>
  <c r="BG57" i="42"/>
  <c r="BH57" i="42"/>
  <c r="BB58" i="42"/>
  <c r="BC58" i="42"/>
  <c r="BD58" i="42"/>
  <c r="BE58" i="42"/>
  <c r="BF58" i="42"/>
  <c r="BG58" i="42"/>
  <c r="BH58" i="42"/>
  <c r="BB59" i="42"/>
  <c r="BC59" i="42"/>
  <c r="BD59" i="42"/>
  <c r="BE59" i="42"/>
  <c r="BF59" i="42"/>
  <c r="BG59" i="42"/>
  <c r="BH59" i="42"/>
  <c r="BB60" i="42"/>
  <c r="BC60" i="42"/>
  <c r="BD60" i="42"/>
  <c r="BE60" i="42"/>
  <c r="BF60" i="42"/>
  <c r="BG60" i="42"/>
  <c r="BH60" i="42"/>
  <c r="BB61" i="42"/>
  <c r="BC61" i="42"/>
  <c r="BD61" i="42"/>
  <c r="BE61" i="42"/>
  <c r="BF61" i="42"/>
  <c r="BG61" i="42"/>
  <c r="BH61" i="42"/>
  <c r="BB62" i="42"/>
  <c r="BC62" i="42"/>
  <c r="BD62" i="42"/>
  <c r="BE62" i="42"/>
  <c r="BF62" i="42"/>
  <c r="BG62" i="42"/>
  <c r="BH62" i="42"/>
  <c r="BB63" i="42"/>
  <c r="BC63" i="42"/>
  <c r="BD63" i="42"/>
  <c r="BE63" i="42"/>
  <c r="BF63" i="42"/>
  <c r="BG63" i="42"/>
  <c r="BH63" i="42"/>
  <c r="BB64" i="42"/>
  <c r="BC64" i="42"/>
  <c r="BD64" i="42"/>
  <c r="BE64" i="42"/>
  <c r="BF64" i="42"/>
  <c r="BG64" i="42"/>
  <c r="BH64" i="42"/>
  <c r="BB65" i="42"/>
  <c r="BC65" i="42"/>
  <c r="BD65" i="42"/>
  <c r="BE65" i="42"/>
  <c r="BF65" i="42"/>
  <c r="BG65" i="42"/>
  <c r="BH65" i="42"/>
  <c r="BB66" i="42"/>
  <c r="BC66" i="42"/>
  <c r="BD66" i="42"/>
  <c r="BE66" i="42"/>
  <c r="BF66" i="42"/>
  <c r="BG66" i="42"/>
  <c r="BH66" i="42"/>
  <c r="BB67" i="42"/>
  <c r="BC67" i="42"/>
  <c r="BD67" i="42"/>
  <c r="BE67" i="42"/>
  <c r="BF67" i="42"/>
  <c r="BG67" i="42"/>
  <c r="BB68" i="42"/>
  <c r="BC68" i="42"/>
  <c r="BD68" i="42"/>
  <c r="BE68" i="42"/>
  <c r="BF68" i="42"/>
  <c r="BG68" i="42"/>
  <c r="BH68" i="42"/>
  <c r="BB69" i="42"/>
  <c r="BC69" i="42"/>
  <c r="BD69" i="42"/>
  <c r="BE69" i="42"/>
  <c r="BF69" i="42"/>
  <c r="BG69" i="42"/>
  <c r="BH69" i="42"/>
  <c r="BB70" i="42"/>
  <c r="BC70" i="42"/>
  <c r="BD70" i="42"/>
  <c r="BE70" i="42"/>
  <c r="BF70" i="42"/>
  <c r="BG70" i="42"/>
  <c r="BH70" i="42"/>
  <c r="BB71" i="42"/>
  <c r="BC71" i="42"/>
  <c r="BD71" i="42"/>
  <c r="BE71" i="42"/>
  <c r="BF71" i="42"/>
  <c r="BG71" i="42"/>
  <c r="BH71" i="42"/>
  <c r="BB72" i="42"/>
  <c r="BC72" i="42"/>
  <c r="BD72" i="42"/>
  <c r="BE72" i="42"/>
  <c r="BF72" i="42"/>
  <c r="BG72" i="42"/>
  <c r="BH72" i="42"/>
  <c r="BB73" i="42"/>
  <c r="BC73" i="42"/>
  <c r="BD73" i="42"/>
  <c r="BE73" i="42"/>
  <c r="BF73" i="42"/>
  <c r="BG73" i="42"/>
  <c r="BH73" i="42"/>
  <c r="BB74" i="42"/>
  <c r="BC74" i="42"/>
  <c r="BD74" i="42"/>
  <c r="BE74" i="42"/>
  <c r="BF74" i="42"/>
  <c r="BG74" i="42"/>
  <c r="BH74" i="42"/>
  <c r="BB75" i="42"/>
  <c r="BC75" i="42"/>
  <c r="BD75" i="42"/>
  <c r="BE75" i="42"/>
  <c r="BF75" i="42"/>
  <c r="BG75" i="42"/>
  <c r="BH75" i="42"/>
  <c r="BB76" i="42"/>
  <c r="BC76" i="42"/>
  <c r="BD76" i="42"/>
  <c r="BE76" i="42"/>
  <c r="BF76" i="42"/>
  <c r="BG76" i="42"/>
  <c r="BH76" i="42"/>
  <c r="BB77" i="42"/>
  <c r="BC77" i="42"/>
  <c r="BD77" i="42"/>
  <c r="BE77" i="42"/>
  <c r="BF77" i="42"/>
  <c r="BG77" i="42"/>
  <c r="BH77" i="42"/>
  <c r="BB78" i="42"/>
  <c r="BC78" i="42"/>
  <c r="BD78" i="42"/>
  <c r="BE78" i="42"/>
  <c r="BF78" i="42"/>
  <c r="BG78" i="42"/>
  <c r="BH78" i="42"/>
  <c r="BB79" i="42"/>
  <c r="BC79" i="42"/>
  <c r="BD79" i="42"/>
  <c r="BE79" i="42"/>
  <c r="BF79" i="42"/>
  <c r="BG79" i="42"/>
  <c r="BH79" i="42"/>
  <c r="BB80" i="42"/>
  <c r="BC80" i="42"/>
  <c r="BD80" i="42"/>
  <c r="BE80" i="42"/>
  <c r="BF80" i="42"/>
  <c r="BG80" i="42"/>
  <c r="BH80" i="42"/>
  <c r="BB81" i="42"/>
  <c r="BC81" i="42"/>
  <c r="BD81" i="42"/>
  <c r="BE81" i="42"/>
  <c r="BF81" i="42"/>
  <c r="BG81" i="42"/>
  <c r="BB82" i="42"/>
  <c r="BC82" i="42"/>
  <c r="BD82" i="42"/>
  <c r="BE82" i="42"/>
  <c r="BF82" i="42"/>
  <c r="BG82" i="42"/>
  <c r="BH82" i="42"/>
  <c r="BB83" i="42"/>
  <c r="BC83" i="42"/>
  <c r="BD83" i="42"/>
  <c r="BE83" i="42"/>
  <c r="BF83" i="42"/>
  <c r="BG83" i="42"/>
  <c r="BH83" i="42"/>
  <c r="BB84" i="42"/>
  <c r="BC84" i="42"/>
  <c r="BD84" i="42"/>
  <c r="BE84" i="42"/>
  <c r="BF84" i="42"/>
  <c r="BG84" i="42"/>
  <c r="BH84" i="42"/>
  <c r="BB85" i="42"/>
  <c r="BC85" i="42"/>
  <c r="BD85" i="42"/>
  <c r="BE85" i="42"/>
  <c r="BF85" i="42"/>
  <c r="BG85" i="42"/>
  <c r="BB86" i="42"/>
  <c r="BC86" i="42"/>
  <c r="BD86" i="42"/>
  <c r="BE86" i="42"/>
  <c r="BF86" i="42"/>
  <c r="BG86" i="42"/>
  <c r="BH86" i="42"/>
  <c r="BB87" i="42"/>
  <c r="BC87" i="42"/>
  <c r="BD87" i="42"/>
  <c r="BE87" i="42"/>
  <c r="BF87" i="42"/>
  <c r="BG87" i="42"/>
  <c r="BH87" i="42"/>
  <c r="BB88" i="42"/>
  <c r="BC88" i="42"/>
  <c r="BD88" i="42"/>
  <c r="BE88" i="42"/>
  <c r="BF88" i="42"/>
  <c r="BG88" i="42"/>
  <c r="BH88" i="42"/>
  <c r="BB89" i="42"/>
  <c r="BC89" i="42"/>
  <c r="BD89" i="42"/>
  <c r="BE89" i="42"/>
  <c r="BF89" i="42"/>
  <c r="BG89" i="42"/>
  <c r="BH89" i="42"/>
  <c r="BB90" i="42"/>
  <c r="BC90" i="42"/>
  <c r="BD90" i="42"/>
  <c r="BE90" i="42"/>
  <c r="BF90" i="42"/>
  <c r="BG90" i="42"/>
  <c r="BH90" i="42"/>
  <c r="BB91" i="42"/>
  <c r="BC91" i="42"/>
  <c r="BD91" i="42"/>
  <c r="BE91" i="42"/>
  <c r="BF91" i="42"/>
  <c r="BG91" i="42"/>
  <c r="BB92" i="42"/>
  <c r="BC92" i="42"/>
  <c r="BD92" i="42"/>
  <c r="BE92" i="42"/>
  <c r="BF92" i="42"/>
  <c r="BG92" i="42"/>
  <c r="BH92" i="42"/>
  <c r="BB93" i="42"/>
  <c r="BC93" i="42"/>
  <c r="BD93" i="42"/>
  <c r="BE93" i="42"/>
  <c r="BF93" i="42"/>
  <c r="BG93" i="42"/>
  <c r="BH93" i="42"/>
  <c r="BB94" i="42"/>
  <c r="BC94" i="42"/>
  <c r="BD94" i="42"/>
  <c r="BE94" i="42"/>
  <c r="BF94" i="42"/>
  <c r="BG94" i="42"/>
  <c r="BH94" i="42"/>
  <c r="BB95" i="42"/>
  <c r="BC95" i="42"/>
  <c r="BD95" i="42"/>
  <c r="BE95" i="42"/>
  <c r="BF95" i="42"/>
  <c r="BG95" i="42"/>
  <c r="BH95" i="42"/>
  <c r="BB96" i="42"/>
  <c r="BC96" i="42"/>
  <c r="BD96" i="42"/>
  <c r="BE96" i="42"/>
  <c r="BF96" i="42"/>
  <c r="BG96" i="42"/>
  <c r="BH96" i="42"/>
  <c r="BB97" i="42"/>
  <c r="BC97" i="42"/>
  <c r="BD97" i="42"/>
  <c r="BE97" i="42"/>
  <c r="BF97" i="42"/>
  <c r="BG97" i="42"/>
  <c r="BH97" i="42"/>
  <c r="BB98" i="42"/>
  <c r="BC98" i="42"/>
  <c r="BD98" i="42"/>
  <c r="BE98" i="42"/>
  <c r="BF98" i="42"/>
  <c r="BG98" i="42"/>
  <c r="BH98" i="42"/>
  <c r="BB99" i="42"/>
  <c r="BC99" i="42"/>
  <c r="BD99" i="42"/>
  <c r="BE99" i="42"/>
  <c r="BF99" i="42"/>
  <c r="BG99" i="42"/>
  <c r="BB100" i="42"/>
  <c r="BC100" i="42"/>
  <c r="BD100" i="42"/>
  <c r="BE100" i="42"/>
  <c r="BF100" i="42"/>
  <c r="BG100" i="42"/>
  <c r="BH100" i="42"/>
  <c r="BB101" i="42"/>
  <c r="BC101" i="42"/>
  <c r="BD101" i="42"/>
  <c r="BE101" i="42"/>
  <c r="BF101" i="42"/>
  <c r="BG101" i="42"/>
  <c r="BH101" i="42"/>
  <c r="BB102" i="42"/>
  <c r="BC102" i="42"/>
  <c r="BD102" i="42"/>
  <c r="BE102" i="42"/>
  <c r="BF102" i="42"/>
  <c r="BG102" i="42"/>
  <c r="BH102" i="42"/>
  <c r="BB103" i="42"/>
  <c r="BC103" i="42"/>
  <c r="BD103" i="42"/>
  <c r="BE103" i="42"/>
  <c r="BF103" i="42"/>
  <c r="BG103" i="42"/>
  <c r="BH103" i="42"/>
  <c r="BB104" i="42"/>
  <c r="BC104" i="42"/>
  <c r="BD104" i="42"/>
  <c r="BE104" i="42"/>
  <c r="BF104" i="42"/>
  <c r="BG104" i="42"/>
  <c r="BH104" i="42"/>
  <c r="BB105" i="42"/>
  <c r="BC105" i="42"/>
  <c r="BD105" i="42"/>
  <c r="BE105" i="42"/>
  <c r="BF105" i="42"/>
  <c r="BG105" i="42"/>
  <c r="BH105" i="42"/>
  <c r="BB106" i="42"/>
  <c r="BC106" i="42"/>
  <c r="BD106" i="42"/>
  <c r="BE106" i="42"/>
  <c r="BF106" i="42"/>
  <c r="BG106" i="42"/>
  <c r="BH106" i="42"/>
  <c r="BB107" i="42"/>
  <c r="BC107" i="42"/>
  <c r="BD107" i="42"/>
  <c r="BE107" i="42"/>
  <c r="BF107" i="42"/>
  <c r="BG107" i="42"/>
  <c r="BH107" i="42"/>
  <c r="BB108" i="42"/>
  <c r="BC108" i="42"/>
  <c r="BD108" i="42"/>
  <c r="BE108" i="42"/>
  <c r="BF108" i="42"/>
  <c r="BG108" i="42"/>
  <c r="BB109" i="42"/>
  <c r="BC109" i="42"/>
  <c r="BD109" i="42"/>
  <c r="BE109" i="42"/>
  <c r="BF109" i="42"/>
  <c r="BG109" i="42"/>
  <c r="BH109" i="42"/>
  <c r="BB110" i="42"/>
  <c r="BC110" i="42"/>
  <c r="BD110" i="42"/>
  <c r="BE110" i="42"/>
  <c r="BF110" i="42"/>
  <c r="BG110" i="42"/>
  <c r="BH110" i="42"/>
  <c r="BB111" i="42"/>
  <c r="BC111" i="42"/>
  <c r="BD111" i="42"/>
  <c r="BE111" i="42"/>
  <c r="BF111" i="42"/>
  <c r="BG111" i="42"/>
  <c r="BH111" i="42"/>
  <c r="BB112" i="42"/>
  <c r="BC112" i="42"/>
  <c r="BD112" i="42"/>
  <c r="BE112" i="42"/>
  <c r="BF112" i="42"/>
  <c r="BG112" i="42"/>
  <c r="BB113" i="42"/>
  <c r="BC113" i="42"/>
  <c r="BD113" i="42"/>
  <c r="BE113" i="42"/>
  <c r="BF113" i="42"/>
  <c r="BG113" i="42"/>
  <c r="BH113" i="42"/>
  <c r="BB114" i="42"/>
  <c r="BC114" i="42"/>
  <c r="BD114" i="42"/>
  <c r="BE114" i="42"/>
  <c r="BF114" i="42"/>
  <c r="BG114" i="42"/>
  <c r="BH114" i="42"/>
  <c r="BB115" i="42"/>
  <c r="BC115" i="42"/>
  <c r="BD115" i="42"/>
  <c r="BE115" i="42"/>
  <c r="BF115" i="42"/>
  <c r="BG115" i="42"/>
  <c r="BH115" i="42"/>
  <c r="BB116" i="42"/>
  <c r="BC116" i="42"/>
  <c r="BD116" i="42"/>
  <c r="BE116" i="42"/>
  <c r="BF116" i="42"/>
  <c r="BG116" i="42"/>
  <c r="BH116" i="42"/>
  <c r="BB117" i="42"/>
  <c r="BC117" i="42"/>
  <c r="BD117" i="42"/>
  <c r="BE117" i="42"/>
  <c r="BF117" i="42"/>
  <c r="BG117" i="42"/>
  <c r="BH117" i="42"/>
  <c r="BB118" i="42"/>
  <c r="BC118" i="42"/>
  <c r="BD118" i="42"/>
  <c r="BE118" i="42"/>
  <c r="BF118" i="42"/>
  <c r="BG118" i="42"/>
  <c r="BH118" i="42"/>
  <c r="BB119" i="42"/>
  <c r="BC119" i="42"/>
  <c r="BD119" i="42"/>
  <c r="BE119" i="42"/>
  <c r="BF119" i="42"/>
  <c r="BG119" i="42"/>
  <c r="BB120" i="42"/>
  <c r="BC120" i="42"/>
  <c r="BD120" i="42"/>
  <c r="BE120" i="42"/>
  <c r="BF120" i="42"/>
  <c r="BG120" i="42"/>
  <c r="BH120" i="42"/>
  <c r="BB121" i="42"/>
  <c r="BC121" i="42"/>
  <c r="BD121" i="42"/>
  <c r="BE121" i="42"/>
  <c r="BF121" i="42"/>
  <c r="BG121" i="42"/>
  <c r="BH121" i="42"/>
  <c r="BB122" i="42"/>
  <c r="BC122" i="42"/>
  <c r="BD122" i="42"/>
  <c r="BE122" i="42"/>
  <c r="BF122" i="42"/>
  <c r="BG122" i="42"/>
  <c r="BH122" i="42"/>
  <c r="BB123" i="42"/>
  <c r="BC123" i="42"/>
  <c r="BD123" i="42"/>
  <c r="BE123" i="42"/>
  <c r="BF123" i="42"/>
  <c r="BG123" i="42"/>
  <c r="BH123" i="42"/>
  <c r="BB124" i="42"/>
  <c r="BC124" i="42"/>
  <c r="BD124" i="42"/>
  <c r="BE124" i="42"/>
  <c r="BF124" i="42"/>
  <c r="BG124" i="42"/>
  <c r="BH124" i="42"/>
  <c r="BB125" i="42"/>
  <c r="BC125" i="42"/>
  <c r="BD125" i="42"/>
  <c r="BE125" i="42"/>
  <c r="BF125" i="42"/>
  <c r="BG125" i="42"/>
  <c r="BH125" i="42"/>
  <c r="BB126" i="42"/>
  <c r="BC126" i="42"/>
  <c r="BD126" i="42"/>
  <c r="BE126" i="42"/>
  <c r="BF126" i="42"/>
  <c r="BG126" i="42"/>
  <c r="BH126" i="42"/>
  <c r="BB127" i="42"/>
  <c r="BC127" i="42"/>
  <c r="BD127" i="42"/>
  <c r="BE127" i="42"/>
  <c r="BF127" i="42"/>
  <c r="BG127" i="42"/>
  <c r="BH127" i="42"/>
  <c r="BB128" i="42"/>
  <c r="BC128" i="42"/>
  <c r="BD128" i="42"/>
  <c r="BE128" i="42"/>
  <c r="BF128" i="42"/>
  <c r="BG128" i="42"/>
  <c r="BH128" i="42"/>
  <c r="BB129" i="42"/>
  <c r="BC129" i="42"/>
  <c r="BD129" i="42"/>
  <c r="BE129" i="42"/>
  <c r="BF129" i="42"/>
  <c r="BG129" i="42"/>
  <c r="BH129" i="42"/>
  <c r="BB130" i="42"/>
  <c r="BC130" i="42"/>
  <c r="BD130" i="42"/>
  <c r="BE130" i="42"/>
  <c r="BF130" i="42"/>
  <c r="BG130" i="42"/>
  <c r="BH130" i="42"/>
  <c r="BB131" i="42"/>
  <c r="BC131" i="42"/>
  <c r="BD131" i="42"/>
  <c r="BE131" i="42"/>
  <c r="BF131" i="42"/>
  <c r="BG131" i="42"/>
  <c r="BH131" i="42"/>
  <c r="BB132" i="42"/>
  <c r="BC132" i="42"/>
  <c r="BD132" i="42"/>
  <c r="BE132" i="42"/>
  <c r="BF132" i="42"/>
  <c r="BG132" i="42"/>
  <c r="BH132" i="42"/>
  <c r="BB133" i="42"/>
  <c r="BD133" i="42"/>
  <c r="BE133" i="42"/>
  <c r="BF133" i="42"/>
  <c r="BG133" i="42"/>
  <c r="BH133" i="42"/>
  <c r="BB134" i="42"/>
  <c r="BC134" i="42"/>
  <c r="BD134" i="42"/>
  <c r="BE134" i="42"/>
  <c r="BF134" i="42"/>
  <c r="BG134" i="42"/>
  <c r="BH134" i="42"/>
  <c r="BB135" i="42"/>
  <c r="BC135" i="42"/>
  <c r="BD135" i="42"/>
  <c r="BE135" i="42"/>
  <c r="BF135" i="42"/>
  <c r="BG135" i="42"/>
  <c r="BH135" i="42"/>
  <c r="BB136" i="42"/>
  <c r="BC136" i="42"/>
  <c r="BD136" i="42"/>
  <c r="BE136" i="42"/>
  <c r="BF136" i="42"/>
  <c r="BG136" i="42"/>
  <c r="BH136" i="42"/>
  <c r="BB137" i="42"/>
  <c r="BC137" i="42"/>
  <c r="BD137" i="42"/>
  <c r="BE137" i="42"/>
  <c r="BF137" i="42"/>
  <c r="BG137" i="42"/>
  <c r="BH137" i="42"/>
  <c r="BB138" i="42"/>
  <c r="BC138" i="42"/>
  <c r="BD138" i="42"/>
  <c r="BE138" i="42"/>
  <c r="BF138" i="42"/>
  <c r="BG138" i="42"/>
  <c r="BH138" i="42"/>
  <c r="BB139" i="42"/>
  <c r="BC139" i="42"/>
  <c r="BD139" i="42"/>
  <c r="BE139" i="42"/>
  <c r="BF139" i="42"/>
  <c r="BG139" i="42"/>
  <c r="BH139" i="42"/>
  <c r="BB140" i="42"/>
  <c r="BC140" i="42"/>
  <c r="BD140" i="42"/>
  <c r="BE140" i="42"/>
  <c r="BF140" i="42"/>
  <c r="BG140" i="42"/>
  <c r="BH140" i="42"/>
  <c r="BB141" i="42"/>
  <c r="BC141" i="42"/>
  <c r="BD141" i="42"/>
  <c r="BE141" i="42"/>
  <c r="BF141" i="42"/>
  <c r="BG141" i="42"/>
  <c r="BH141" i="42"/>
  <c r="BB142" i="42"/>
  <c r="BC142" i="42"/>
  <c r="BD142" i="42"/>
  <c r="BE142" i="42"/>
  <c r="BF142" i="42"/>
  <c r="BG142" i="42"/>
  <c r="BH142" i="42"/>
  <c r="BB143" i="42"/>
  <c r="BC143" i="42"/>
  <c r="BD143" i="42"/>
  <c r="BE143" i="42"/>
  <c r="BF143" i="42"/>
  <c r="BG143" i="42"/>
  <c r="BH143" i="42"/>
  <c r="BB144" i="42"/>
  <c r="BC144" i="42"/>
  <c r="BD144" i="42"/>
  <c r="BE144" i="42"/>
  <c r="BF144" i="42"/>
  <c r="BG144" i="42"/>
  <c r="BH144" i="42"/>
  <c r="BB145" i="42"/>
  <c r="BC145" i="42"/>
  <c r="BD145" i="42"/>
  <c r="BE145" i="42"/>
  <c r="BF145" i="42"/>
  <c r="BG145" i="42"/>
  <c r="BH145" i="42"/>
  <c r="BB146" i="42"/>
  <c r="BC146" i="42"/>
  <c r="BD146" i="42"/>
  <c r="BE146" i="42"/>
  <c r="BF146" i="42"/>
  <c r="BG146" i="42"/>
  <c r="BH146" i="42"/>
  <c r="BB147" i="42"/>
  <c r="BC147" i="42"/>
  <c r="BD147" i="42"/>
  <c r="BE147" i="42"/>
  <c r="BF147" i="42"/>
  <c r="BG147" i="42"/>
  <c r="BH147" i="42"/>
  <c r="BB148" i="42"/>
  <c r="BC148" i="42"/>
  <c r="BD148" i="42"/>
  <c r="BE148" i="42"/>
  <c r="BF148" i="42"/>
  <c r="BG148" i="42"/>
  <c r="BH148" i="42"/>
  <c r="BB149" i="42"/>
  <c r="BC149" i="42"/>
  <c r="BD149" i="42"/>
  <c r="BE149" i="42"/>
  <c r="BF149" i="42"/>
  <c r="BG149" i="42"/>
  <c r="BH149" i="42"/>
  <c r="BB150" i="42"/>
  <c r="BC150" i="42"/>
  <c r="BD150" i="42"/>
  <c r="BE150" i="42"/>
  <c r="BF150" i="42"/>
  <c r="BG150" i="42"/>
  <c r="BH150" i="42"/>
  <c r="BC151" i="42"/>
  <c r="BD151" i="42"/>
  <c r="BE151" i="42"/>
  <c r="BF151" i="42"/>
  <c r="BG151" i="42"/>
  <c r="BH151" i="42"/>
  <c r="BB152" i="42"/>
  <c r="BC152" i="42"/>
  <c r="BD152" i="42"/>
  <c r="BE152" i="42"/>
  <c r="BF152" i="42"/>
  <c r="BG152" i="42"/>
  <c r="BH152" i="42"/>
  <c r="BB153" i="42"/>
  <c r="BC153" i="42"/>
  <c r="BD153" i="42"/>
  <c r="BE153" i="42"/>
  <c r="BF153" i="42"/>
  <c r="BG153" i="42"/>
  <c r="BH153" i="42"/>
  <c r="BB154" i="42"/>
  <c r="BC154" i="42"/>
  <c r="BD154" i="42"/>
  <c r="BE154" i="42"/>
  <c r="BF154" i="42"/>
  <c r="BG154" i="42"/>
  <c r="BH154" i="42"/>
  <c r="BB155" i="42"/>
  <c r="BC155" i="42"/>
  <c r="BD155" i="42"/>
  <c r="BE155" i="42"/>
  <c r="BF155" i="42"/>
  <c r="BG155" i="42"/>
  <c r="BH155" i="42"/>
  <c r="BB156" i="42"/>
  <c r="BC156" i="42"/>
  <c r="BD156" i="42"/>
  <c r="BE156" i="42"/>
  <c r="BF156" i="42"/>
  <c r="BG156" i="42"/>
  <c r="BH156" i="42"/>
  <c r="BB157" i="42"/>
  <c r="BC157" i="42"/>
  <c r="BD157" i="42"/>
  <c r="BE157" i="42"/>
  <c r="BF157" i="42"/>
  <c r="BG157" i="42"/>
  <c r="BH157" i="42"/>
  <c r="BB158" i="42"/>
  <c r="BC158" i="42"/>
  <c r="BD158" i="42"/>
  <c r="BE158" i="42"/>
  <c r="BF158" i="42"/>
  <c r="BG158" i="42"/>
  <c r="BH158" i="42"/>
  <c r="BB159" i="42"/>
  <c r="BC159" i="42"/>
  <c r="BD159" i="42"/>
  <c r="BE159" i="42"/>
  <c r="BF159" i="42"/>
  <c r="BG159" i="42"/>
  <c r="BH159" i="42"/>
  <c r="BB160" i="42"/>
  <c r="BC160" i="42"/>
  <c r="BD160" i="42"/>
  <c r="BE160" i="42"/>
  <c r="BF160" i="42"/>
  <c r="BG160" i="42"/>
  <c r="BB161" i="42"/>
  <c r="BC161" i="42"/>
  <c r="BD161" i="42"/>
  <c r="BE161" i="42"/>
  <c r="BF161" i="42"/>
  <c r="BG161" i="42"/>
  <c r="BH161" i="42"/>
  <c r="BB162" i="42"/>
  <c r="BC162" i="42"/>
  <c r="BD162" i="42"/>
  <c r="BE162" i="42"/>
  <c r="BF162" i="42"/>
  <c r="BG162" i="42"/>
  <c r="BH162" i="42"/>
  <c r="BB163" i="42"/>
  <c r="BC163" i="42"/>
  <c r="BD163" i="42"/>
  <c r="BE163" i="42"/>
  <c r="BF163" i="42"/>
  <c r="BG163" i="42"/>
  <c r="BH163" i="42"/>
  <c r="BB164" i="42"/>
  <c r="BC164" i="42"/>
  <c r="BD164" i="42"/>
  <c r="BE164" i="42"/>
  <c r="BF164" i="42"/>
  <c r="BG164" i="42"/>
  <c r="BH164" i="42"/>
  <c r="BB165" i="42"/>
  <c r="BC165" i="42"/>
  <c r="BD165" i="42"/>
  <c r="BE165" i="42"/>
  <c r="BF165" i="42"/>
  <c r="BG165" i="42"/>
  <c r="BH165" i="42"/>
  <c r="BB166" i="42"/>
  <c r="BC166" i="42"/>
  <c r="BD166" i="42"/>
  <c r="BE166" i="42"/>
  <c r="BF166" i="42"/>
  <c r="BG166" i="42"/>
  <c r="BH166" i="42"/>
  <c r="BB167" i="42"/>
  <c r="BC167" i="42"/>
  <c r="BD167" i="42"/>
  <c r="BE167" i="42"/>
  <c r="BF167" i="42"/>
  <c r="BG167" i="42"/>
  <c r="BH167" i="42"/>
  <c r="BB168" i="42"/>
  <c r="BC168" i="42"/>
  <c r="BD168" i="42"/>
  <c r="BE168" i="42"/>
  <c r="BF168" i="42"/>
  <c r="BG168" i="42"/>
  <c r="BH168" i="42"/>
  <c r="BB169" i="42"/>
  <c r="BC169" i="42"/>
  <c r="BD169" i="42"/>
  <c r="BE169" i="42"/>
  <c r="BF169" i="42"/>
  <c r="BG169" i="42"/>
  <c r="BH169" i="42"/>
  <c r="BB170" i="42"/>
  <c r="BC170" i="42"/>
  <c r="BD170" i="42"/>
  <c r="BE170" i="42"/>
  <c r="BF170" i="42"/>
  <c r="BG170" i="42"/>
  <c r="BH170" i="42"/>
  <c r="BB171" i="42"/>
  <c r="BC171" i="42"/>
  <c r="BD171" i="42"/>
  <c r="BE171" i="42"/>
  <c r="BF171" i="42"/>
  <c r="BG171" i="42"/>
  <c r="BH171" i="42"/>
  <c r="BB172" i="42"/>
  <c r="BC172" i="42"/>
  <c r="BD172" i="42"/>
  <c r="BE172" i="42"/>
  <c r="BF172" i="42"/>
  <c r="BG172" i="42"/>
  <c r="BH172" i="42"/>
  <c r="BB173" i="42"/>
  <c r="BC173" i="42"/>
  <c r="BD173" i="42"/>
  <c r="BE173" i="42"/>
  <c r="BF173" i="42"/>
  <c r="BG173" i="42"/>
  <c r="BH173" i="42"/>
  <c r="BB174" i="42"/>
  <c r="BC174" i="42"/>
  <c r="BD174" i="42"/>
  <c r="BE174" i="42"/>
  <c r="BF174" i="42"/>
  <c r="BG174" i="42"/>
  <c r="BH174" i="42"/>
  <c r="BB175" i="42"/>
  <c r="BC175" i="42"/>
  <c r="BD175" i="42"/>
  <c r="BE175" i="42"/>
  <c r="BF175" i="42"/>
  <c r="BG175" i="42"/>
  <c r="BH175" i="42"/>
  <c r="BC176" i="42"/>
  <c r="BD176" i="42"/>
  <c r="BE176" i="42"/>
  <c r="BF176" i="42"/>
  <c r="BG176" i="42"/>
  <c r="BH176" i="42"/>
  <c r="BB177" i="42"/>
  <c r="BC177" i="42"/>
  <c r="BD177" i="42"/>
  <c r="BE177" i="42"/>
  <c r="BF177" i="42"/>
  <c r="BG177" i="42"/>
  <c r="BH177" i="42"/>
  <c r="BB178" i="42"/>
  <c r="BC178" i="42"/>
  <c r="BD178" i="42"/>
  <c r="BE178" i="42"/>
  <c r="BF178" i="42"/>
  <c r="BG178" i="42"/>
  <c r="BH178" i="42"/>
  <c r="BB179" i="42"/>
  <c r="BC179" i="42"/>
  <c r="BD179" i="42"/>
  <c r="BE179" i="42"/>
  <c r="BF179" i="42"/>
  <c r="BG179" i="42"/>
  <c r="BH179" i="42"/>
  <c r="BB180" i="42"/>
  <c r="BC180" i="42"/>
  <c r="BD180" i="42"/>
  <c r="BE180" i="42"/>
  <c r="BF180" i="42"/>
  <c r="BG180" i="42"/>
  <c r="BH180" i="42"/>
  <c r="BB181" i="42"/>
  <c r="BC181" i="42"/>
  <c r="BD181" i="42"/>
  <c r="BE181" i="42"/>
  <c r="BF181" i="42"/>
  <c r="BG181" i="42"/>
  <c r="BH181" i="42"/>
  <c r="BB182" i="42"/>
  <c r="BC182" i="42"/>
  <c r="BD182" i="42"/>
  <c r="BE182" i="42"/>
  <c r="BF182" i="42"/>
  <c r="BG182" i="42"/>
  <c r="BH182" i="42"/>
  <c r="BB183" i="42"/>
  <c r="BC183" i="42"/>
  <c r="BD183" i="42"/>
  <c r="BE183" i="42"/>
  <c r="BF183" i="42"/>
  <c r="BG183" i="42"/>
  <c r="BH183" i="42"/>
  <c r="BB184" i="42"/>
  <c r="BC184" i="42"/>
  <c r="BD184" i="42"/>
  <c r="BE184" i="42"/>
  <c r="BF184" i="42"/>
  <c r="BG184" i="42"/>
  <c r="BH184" i="42"/>
  <c r="BB185" i="42"/>
  <c r="BC185" i="42"/>
  <c r="BD185" i="42"/>
  <c r="BE185" i="42"/>
  <c r="BF185" i="42"/>
  <c r="BG185" i="42"/>
  <c r="BB186" i="42"/>
  <c r="BC186" i="42"/>
  <c r="BD186" i="42"/>
  <c r="BE186" i="42"/>
  <c r="BF186" i="42"/>
  <c r="BG186" i="42"/>
  <c r="BH186" i="42"/>
  <c r="BB187" i="42"/>
  <c r="BC187" i="42"/>
  <c r="BD187" i="42"/>
  <c r="BE187" i="42"/>
  <c r="BF187" i="42"/>
  <c r="BG187" i="42"/>
  <c r="BH187" i="42"/>
  <c r="BB188" i="42"/>
  <c r="BC188" i="42"/>
  <c r="BD188" i="42"/>
  <c r="BE188" i="42"/>
  <c r="BF188" i="42"/>
  <c r="BG188" i="42"/>
  <c r="BH188" i="42"/>
  <c r="BB189" i="42"/>
  <c r="BC189" i="42"/>
  <c r="BD189" i="42"/>
  <c r="BE189" i="42"/>
  <c r="BF189" i="42"/>
  <c r="BG189" i="42"/>
  <c r="BH189" i="42"/>
  <c r="BB190" i="42"/>
  <c r="BC190" i="42"/>
  <c r="BD190" i="42"/>
  <c r="BE190" i="42"/>
  <c r="BF190" i="42"/>
  <c r="BG190" i="42"/>
  <c r="BH190" i="42"/>
  <c r="BB191" i="42"/>
  <c r="BC191" i="42"/>
  <c r="BD191" i="42"/>
  <c r="BE191" i="42"/>
  <c r="BF191" i="42"/>
  <c r="BG191" i="42"/>
  <c r="BH191" i="42"/>
  <c r="BB192" i="42"/>
  <c r="BC192" i="42"/>
  <c r="BD192" i="42"/>
  <c r="BE192" i="42"/>
  <c r="BF192" i="42"/>
  <c r="BG192" i="42"/>
  <c r="BH192" i="42"/>
  <c r="BB193" i="42"/>
  <c r="BC193" i="42"/>
  <c r="BD193" i="42"/>
  <c r="BE193" i="42"/>
  <c r="BF193" i="42"/>
  <c r="BG193" i="42"/>
  <c r="BB194" i="42"/>
  <c r="BC194" i="42"/>
  <c r="BD194" i="42"/>
  <c r="BE194" i="42"/>
  <c r="BF194" i="42"/>
  <c r="BG194" i="42"/>
  <c r="BH194" i="42"/>
  <c r="BB195" i="42"/>
  <c r="BC195" i="42"/>
  <c r="BD195" i="42"/>
  <c r="BE195" i="42"/>
  <c r="BF195" i="42"/>
  <c r="BG195" i="42"/>
  <c r="BH195" i="42"/>
  <c r="BB196" i="42"/>
  <c r="BC196" i="42"/>
  <c r="BD196" i="42"/>
  <c r="BE196" i="42"/>
  <c r="BF196" i="42"/>
  <c r="BG196" i="42"/>
  <c r="BH196" i="42"/>
  <c r="BB197" i="42"/>
  <c r="BC197" i="42"/>
  <c r="BD197" i="42"/>
  <c r="BE197" i="42"/>
  <c r="BF197" i="42"/>
  <c r="BG197" i="42"/>
  <c r="BH197" i="42"/>
  <c r="BB198" i="42"/>
  <c r="BC198" i="42"/>
  <c r="BD198" i="42"/>
  <c r="BE198" i="42"/>
  <c r="BF198" i="42"/>
  <c r="BG198" i="42"/>
  <c r="BH198" i="42"/>
  <c r="BB199" i="42"/>
  <c r="BC199" i="42"/>
  <c r="BD199" i="42"/>
  <c r="BE199" i="42"/>
  <c r="BF199" i="42"/>
  <c r="BG199" i="42"/>
  <c r="BH199" i="42"/>
  <c r="BB200" i="42"/>
  <c r="BC200" i="42"/>
  <c r="BD200" i="42"/>
  <c r="BE200" i="42"/>
  <c r="BF200" i="42"/>
  <c r="BG200" i="42"/>
  <c r="BH200" i="42"/>
  <c r="BB201" i="42"/>
  <c r="BC201" i="42"/>
  <c r="BD201" i="42"/>
  <c r="BE201" i="42"/>
  <c r="BF201" i="42"/>
  <c r="BG201" i="42"/>
  <c r="BH201" i="42"/>
  <c r="BB202" i="42"/>
  <c r="BC202" i="42"/>
  <c r="BD202" i="42"/>
  <c r="BE202" i="42"/>
  <c r="BF202" i="42"/>
  <c r="BG202" i="42"/>
  <c r="BH202" i="42"/>
  <c r="BB203" i="42"/>
  <c r="BC203" i="42"/>
  <c r="BD203" i="42"/>
  <c r="BE203" i="42"/>
  <c r="BF203" i="42"/>
  <c r="BG203" i="42"/>
  <c r="BB204" i="42"/>
  <c r="BC204" i="42"/>
  <c r="BD204" i="42"/>
  <c r="BE204" i="42"/>
  <c r="BF204" i="42"/>
  <c r="BG204" i="42"/>
  <c r="BH204" i="42"/>
  <c r="BB205" i="42"/>
  <c r="BC205" i="42"/>
  <c r="BD205" i="42"/>
  <c r="BE205" i="42"/>
  <c r="BF205" i="42"/>
  <c r="BG205" i="42"/>
  <c r="BH205" i="42"/>
  <c r="BB206" i="42"/>
  <c r="BC206" i="42"/>
  <c r="BD206" i="42"/>
  <c r="BE206" i="42"/>
  <c r="BF206" i="42"/>
  <c r="BG206" i="42"/>
  <c r="BH206" i="42"/>
  <c r="BB207" i="42"/>
  <c r="BC207" i="42"/>
  <c r="BD207" i="42"/>
  <c r="BE207" i="42"/>
  <c r="BF207" i="42"/>
  <c r="BG207" i="42"/>
  <c r="BH207" i="42"/>
  <c r="BB208" i="42"/>
  <c r="BC208" i="42"/>
  <c r="BD208" i="42"/>
  <c r="BE208" i="42"/>
  <c r="BF208" i="42"/>
  <c r="BG208" i="42"/>
  <c r="BH208" i="42"/>
  <c r="BB209" i="42"/>
  <c r="BC209" i="42"/>
  <c r="BD209" i="42"/>
  <c r="BE209" i="42"/>
  <c r="BF209" i="42"/>
  <c r="BG209" i="42"/>
  <c r="BH209" i="42"/>
  <c r="BB210" i="42"/>
  <c r="BC210" i="42"/>
  <c r="BD210" i="42"/>
  <c r="BE210" i="42"/>
  <c r="BF210" i="42"/>
  <c r="BG210" i="42"/>
  <c r="BH210" i="42"/>
  <c r="BB211" i="42"/>
  <c r="BC211" i="42"/>
  <c r="BD211" i="42"/>
  <c r="BE211" i="42"/>
  <c r="BF211" i="42"/>
  <c r="BG211" i="42"/>
  <c r="BH211" i="42"/>
  <c r="BB212" i="42"/>
  <c r="BC212" i="42"/>
  <c r="BD212" i="42"/>
  <c r="BE212" i="42"/>
  <c r="BF212" i="42"/>
  <c r="BG212" i="42"/>
  <c r="BH212" i="42"/>
  <c r="BB213" i="42"/>
  <c r="BC213" i="42"/>
  <c r="BD213" i="42"/>
  <c r="BE213" i="42"/>
  <c r="BF213" i="42"/>
  <c r="BG213" i="42"/>
  <c r="BH213" i="42"/>
  <c r="BB214" i="42"/>
  <c r="BC214" i="42"/>
  <c r="BD214" i="42"/>
  <c r="BE214" i="42"/>
  <c r="BF214" i="42"/>
  <c r="BG214" i="42"/>
  <c r="BH214" i="42"/>
  <c r="BB215" i="42"/>
  <c r="BC215" i="42"/>
  <c r="BD215" i="42"/>
  <c r="BE215" i="42"/>
  <c r="BF215" i="42"/>
  <c r="BG215" i="42"/>
  <c r="BH215" i="42"/>
  <c r="BB216" i="42"/>
  <c r="BC216" i="42"/>
  <c r="BD216" i="42"/>
  <c r="BE216" i="42"/>
  <c r="BF216" i="42"/>
  <c r="BG216" i="42"/>
  <c r="BH216" i="42"/>
  <c r="BB217" i="42"/>
  <c r="BC217" i="42"/>
  <c r="BD217" i="42"/>
  <c r="BE217" i="42"/>
  <c r="BF217" i="42"/>
  <c r="BG217" i="42"/>
  <c r="BH217" i="42"/>
  <c r="BB218" i="42"/>
  <c r="BC218" i="42"/>
  <c r="BD218" i="42"/>
  <c r="BE218" i="42"/>
  <c r="BF218" i="42"/>
  <c r="BG218" i="42"/>
  <c r="BH218" i="42"/>
  <c r="BB219" i="42"/>
  <c r="BC219" i="42"/>
  <c r="BD219" i="42"/>
  <c r="BE219" i="42"/>
  <c r="BF219" i="42"/>
  <c r="BG219" i="42"/>
  <c r="BH219" i="42"/>
  <c r="BB220" i="42"/>
  <c r="BC220" i="42"/>
  <c r="BD220" i="42"/>
  <c r="BE220" i="42"/>
  <c r="BF220" i="42"/>
  <c r="BG220" i="42"/>
  <c r="BB221" i="42"/>
  <c r="BC221" i="42"/>
  <c r="BD221" i="42"/>
  <c r="BE221" i="42"/>
  <c r="BF221" i="42"/>
  <c r="BG221" i="42"/>
  <c r="BH221" i="42"/>
  <c r="BB222" i="42"/>
  <c r="BC222" i="42"/>
  <c r="BD222" i="42"/>
  <c r="BE222" i="42"/>
  <c r="BF222" i="42"/>
  <c r="BG222" i="42"/>
  <c r="BH222" i="42"/>
  <c r="BB223" i="42"/>
  <c r="BC223" i="42"/>
  <c r="BD223" i="42"/>
  <c r="BE223" i="42"/>
  <c r="BF223" i="42"/>
  <c r="BG223" i="42"/>
  <c r="BH223" i="42"/>
  <c r="BB224" i="42"/>
  <c r="BC224" i="42"/>
  <c r="BD224" i="42"/>
  <c r="BE224" i="42"/>
  <c r="BF224" i="42"/>
  <c r="BG224" i="42"/>
  <c r="BH224" i="42"/>
  <c r="BB225" i="42"/>
  <c r="BC225" i="42"/>
  <c r="BD225" i="42"/>
  <c r="BE225" i="42"/>
  <c r="BF225" i="42"/>
  <c r="BG225" i="42"/>
  <c r="BH225" i="42"/>
  <c r="BB226" i="42"/>
  <c r="BC226" i="42"/>
  <c r="BD226" i="42"/>
  <c r="BE226" i="42"/>
  <c r="BF226" i="42"/>
  <c r="BG226" i="42"/>
  <c r="BH226" i="42"/>
  <c r="BB227" i="42"/>
  <c r="BC227" i="42"/>
  <c r="BD227" i="42"/>
  <c r="BE227" i="42"/>
  <c r="BF227" i="42"/>
  <c r="BG227" i="42"/>
  <c r="BH227" i="42"/>
  <c r="BB228" i="42"/>
  <c r="BC228" i="42"/>
  <c r="BD228" i="42"/>
  <c r="BE228" i="42"/>
  <c r="BF228" i="42"/>
  <c r="BG228" i="42"/>
  <c r="BH228" i="42"/>
  <c r="BB229" i="42"/>
  <c r="BC229" i="42"/>
  <c r="BD229" i="42"/>
  <c r="BE229" i="42"/>
  <c r="BF229" i="42"/>
  <c r="BG229" i="42"/>
  <c r="BH229" i="42"/>
  <c r="BB230" i="42"/>
  <c r="BC230" i="42"/>
  <c r="BD230" i="42"/>
  <c r="BE230" i="42"/>
  <c r="BF230" i="42"/>
  <c r="BG230" i="42"/>
  <c r="BH230" i="42"/>
  <c r="BB231" i="42"/>
  <c r="BC231" i="42"/>
  <c r="BD231" i="42"/>
  <c r="BE231" i="42"/>
  <c r="BF231" i="42"/>
  <c r="BG231" i="42"/>
  <c r="BH231" i="42"/>
  <c r="BB232" i="42"/>
  <c r="BD232" i="42"/>
  <c r="BE232" i="42"/>
  <c r="BF232" i="42"/>
  <c r="BG232" i="42"/>
  <c r="BH232" i="42"/>
  <c r="BB233" i="42"/>
  <c r="BC233" i="42"/>
  <c r="BD233" i="42"/>
  <c r="BE233" i="42"/>
  <c r="BF233" i="42"/>
  <c r="BG233" i="42"/>
  <c r="BH233" i="42"/>
  <c r="BB234" i="42"/>
  <c r="BC234" i="42"/>
  <c r="BD234" i="42"/>
  <c r="BE234" i="42"/>
  <c r="BF234" i="42"/>
  <c r="BG234" i="42"/>
  <c r="BH234" i="42"/>
  <c r="BB235" i="42"/>
  <c r="BC235" i="42"/>
  <c r="BD235" i="42"/>
  <c r="BE235" i="42"/>
  <c r="BF235" i="42"/>
  <c r="BG235" i="42"/>
  <c r="BH235" i="42"/>
  <c r="BB236" i="42"/>
  <c r="BC236" i="42"/>
  <c r="BD236" i="42"/>
  <c r="BE236" i="42"/>
  <c r="BF236" i="42"/>
  <c r="BG236" i="42"/>
  <c r="BH236" i="42"/>
  <c r="BB237" i="42"/>
  <c r="BC237" i="42"/>
  <c r="BD237" i="42"/>
  <c r="BE237" i="42"/>
  <c r="BF237" i="42"/>
  <c r="BG237" i="42"/>
  <c r="BB238" i="42"/>
  <c r="BC238" i="42"/>
  <c r="BD238" i="42"/>
  <c r="BE238" i="42"/>
  <c r="BF238" i="42"/>
  <c r="BG238" i="42"/>
  <c r="BH238" i="42"/>
  <c r="BB239" i="42"/>
  <c r="BC239" i="42"/>
  <c r="BD239" i="42"/>
  <c r="BE239" i="42"/>
  <c r="BF239" i="42"/>
  <c r="BG239" i="42"/>
  <c r="BH239" i="42"/>
  <c r="BB240" i="42"/>
  <c r="BC240" i="42"/>
  <c r="BD240" i="42"/>
  <c r="BE240" i="42"/>
  <c r="BF240" i="42"/>
  <c r="BG240" i="42"/>
  <c r="BH240" i="42"/>
  <c r="BB241" i="42"/>
  <c r="BC241" i="42"/>
  <c r="BD241" i="42"/>
  <c r="BE241" i="42"/>
  <c r="BF241" i="42"/>
  <c r="BG241" i="42"/>
  <c r="BH241" i="42"/>
  <c r="BB242" i="42"/>
  <c r="BC242" i="42"/>
  <c r="BD242" i="42"/>
  <c r="BE242" i="42"/>
  <c r="BG242" i="42"/>
  <c r="BH242" i="42"/>
  <c r="BB243" i="42"/>
  <c r="BC243" i="42"/>
  <c r="BD243" i="42"/>
  <c r="BE243" i="42"/>
  <c r="BF243" i="42"/>
  <c r="BG243" i="42"/>
  <c r="BH243" i="42"/>
  <c r="BB244" i="42"/>
  <c r="BC244" i="42"/>
  <c r="BD244" i="42"/>
  <c r="BE244" i="42"/>
  <c r="BF244" i="42"/>
  <c r="BG244" i="42"/>
  <c r="BH244" i="42"/>
  <c r="BB245" i="42"/>
  <c r="BC245" i="42"/>
  <c r="BD245" i="42"/>
  <c r="BE245" i="42"/>
  <c r="BF245" i="42"/>
  <c r="BG245" i="42"/>
  <c r="BH245" i="42"/>
  <c r="BB246" i="42"/>
  <c r="BC246" i="42"/>
  <c r="BD246" i="42"/>
  <c r="BE246" i="42"/>
  <c r="BF246" i="42"/>
  <c r="BG246" i="42"/>
  <c r="BH246" i="42"/>
  <c r="BB247" i="42"/>
  <c r="BC247" i="42"/>
  <c r="BD247" i="42"/>
  <c r="BE247" i="42"/>
  <c r="BF247" i="42"/>
  <c r="BG247" i="42"/>
  <c r="BB248" i="42"/>
  <c r="BC248" i="42"/>
  <c r="BD248" i="42"/>
  <c r="BE248" i="42"/>
  <c r="BF248" i="42"/>
  <c r="BG248" i="42"/>
  <c r="BH248" i="42"/>
  <c r="BB249" i="42"/>
  <c r="BC249" i="42"/>
  <c r="BD249" i="42"/>
  <c r="BE249" i="42"/>
  <c r="BF249" i="42"/>
  <c r="BG249" i="42"/>
  <c r="BH249" i="42"/>
  <c r="BB250" i="42"/>
  <c r="BC250" i="42"/>
  <c r="BD250" i="42"/>
  <c r="BE250" i="42"/>
  <c r="BF250" i="42"/>
  <c r="BG250" i="42"/>
  <c r="BH250" i="42"/>
  <c r="BB251" i="42"/>
  <c r="BC251" i="42"/>
  <c r="BD251" i="42"/>
  <c r="BE251" i="42"/>
  <c r="BF251" i="42"/>
  <c r="BG251" i="42"/>
  <c r="BH251" i="42"/>
  <c r="BB252" i="42"/>
  <c r="BC252" i="42"/>
  <c r="BD252" i="42"/>
  <c r="BE252" i="42"/>
  <c r="BF252" i="42"/>
  <c r="BG252" i="42"/>
  <c r="BH252" i="42"/>
  <c r="BB253" i="42"/>
  <c r="BC253" i="42"/>
  <c r="BD253" i="42"/>
  <c r="BE253" i="42"/>
  <c r="BF253" i="42"/>
  <c r="BG253" i="42"/>
  <c r="BB254" i="42"/>
  <c r="BC254" i="42"/>
  <c r="BD254" i="42"/>
  <c r="BE254" i="42"/>
  <c r="BF254" i="42"/>
  <c r="BG254" i="42"/>
  <c r="BH254" i="42"/>
  <c r="BB255" i="42"/>
  <c r="BC255" i="42"/>
  <c r="BD255" i="42"/>
  <c r="BE255" i="42"/>
  <c r="BF255" i="42"/>
  <c r="BG255" i="42"/>
  <c r="BH255" i="42"/>
  <c r="BB256" i="42"/>
  <c r="BC256" i="42"/>
  <c r="BD256" i="42"/>
  <c r="BE256" i="42"/>
  <c r="BF256" i="42"/>
  <c r="BG256" i="42"/>
  <c r="BH256" i="42"/>
  <c r="BB257" i="42"/>
  <c r="BC257" i="42"/>
  <c r="BD257" i="42"/>
  <c r="BE257" i="42"/>
  <c r="BF257" i="42"/>
  <c r="BG257" i="42"/>
  <c r="BH257" i="42"/>
  <c r="BB258" i="42"/>
  <c r="BC258" i="42"/>
  <c r="BD258" i="42"/>
  <c r="BE258" i="42"/>
  <c r="BF258" i="42"/>
  <c r="BG258" i="42"/>
  <c r="BH258" i="42"/>
  <c r="BB259" i="42"/>
  <c r="BC259" i="42"/>
  <c r="BD259" i="42"/>
  <c r="BE259" i="42"/>
  <c r="BF259" i="42"/>
  <c r="BG259" i="42"/>
  <c r="BB260" i="42"/>
  <c r="BC260" i="42"/>
  <c r="BD260" i="42"/>
  <c r="BE260" i="42"/>
  <c r="BF260" i="42"/>
  <c r="BG260" i="42"/>
  <c r="BH260" i="42"/>
  <c r="BB261" i="42"/>
  <c r="BC261" i="42"/>
  <c r="BD261" i="42"/>
  <c r="BE261" i="42"/>
  <c r="BF261" i="42"/>
  <c r="BG261" i="42"/>
  <c r="BH261" i="42"/>
  <c r="BB262" i="42"/>
  <c r="BC262" i="42"/>
  <c r="BD262" i="42"/>
  <c r="BE262" i="42"/>
  <c r="BF262" i="42"/>
  <c r="BG262" i="42"/>
  <c r="BH262" i="42"/>
  <c r="BB263" i="42"/>
  <c r="BC263" i="42"/>
  <c r="BD263" i="42"/>
  <c r="BE263" i="42"/>
  <c r="BF263" i="42"/>
  <c r="BG263" i="42"/>
  <c r="BH263" i="42"/>
  <c r="BB264" i="42"/>
  <c r="BC264" i="42"/>
  <c r="BD264" i="42"/>
  <c r="BE264" i="42"/>
  <c r="BF264" i="42"/>
  <c r="BG264" i="42"/>
  <c r="BH264" i="42"/>
  <c r="BB265" i="42"/>
  <c r="BC265" i="42"/>
  <c r="BD265" i="42"/>
  <c r="BE265" i="42"/>
  <c r="BF265" i="42"/>
  <c r="BG265" i="42"/>
  <c r="BH265" i="42"/>
  <c r="BB266" i="42"/>
  <c r="BC266" i="42"/>
  <c r="BD266" i="42"/>
  <c r="BE266" i="42"/>
  <c r="BF266" i="42"/>
  <c r="BG266" i="42"/>
  <c r="BH266" i="42"/>
  <c r="BB267" i="42"/>
  <c r="BC267" i="42"/>
  <c r="BD267" i="42"/>
  <c r="BE267" i="42"/>
  <c r="BF267" i="42"/>
  <c r="BG267" i="42"/>
  <c r="BH267" i="42"/>
  <c r="BB268" i="42"/>
  <c r="BC268" i="42"/>
  <c r="BD268" i="42"/>
  <c r="BE268" i="42"/>
  <c r="BF268" i="42"/>
  <c r="BG268" i="42"/>
  <c r="BH268" i="42"/>
  <c r="BB269" i="42"/>
  <c r="BC269" i="42"/>
  <c r="BD269" i="42"/>
  <c r="BE269" i="42"/>
  <c r="BF269" i="42"/>
  <c r="BG269" i="42"/>
  <c r="BB270" i="42"/>
  <c r="BC270" i="42"/>
  <c r="BD270" i="42"/>
  <c r="BE270" i="42"/>
  <c r="BF270" i="42"/>
  <c r="BG270" i="42"/>
  <c r="BH270" i="42"/>
  <c r="BB271" i="42"/>
  <c r="BC271" i="42"/>
  <c r="BD271" i="42"/>
  <c r="BE271" i="42"/>
  <c r="BF271" i="42"/>
  <c r="BG271" i="42"/>
  <c r="BH271" i="42"/>
  <c r="BB272" i="42"/>
  <c r="BC272" i="42"/>
  <c r="BD272" i="42"/>
  <c r="BE272" i="42"/>
  <c r="BF272" i="42"/>
  <c r="BG272" i="42"/>
  <c r="BH272" i="42"/>
  <c r="BB273" i="42"/>
  <c r="BC273" i="42"/>
  <c r="BD273" i="42"/>
  <c r="BE273" i="42"/>
  <c r="BF273" i="42"/>
  <c r="BG273" i="42"/>
  <c r="BH273" i="42"/>
  <c r="BB274" i="42"/>
  <c r="BC274" i="42"/>
  <c r="BD274" i="42"/>
  <c r="BE274" i="42"/>
  <c r="BF274" i="42"/>
  <c r="BG274" i="42"/>
  <c r="BH274" i="42"/>
  <c r="BB275" i="42"/>
  <c r="BC275" i="42"/>
  <c r="BD275" i="42"/>
  <c r="BE275" i="42"/>
  <c r="BF275" i="42"/>
  <c r="BG275" i="42"/>
  <c r="BB276" i="42"/>
  <c r="BC276" i="42"/>
  <c r="BD276" i="42"/>
  <c r="BE276" i="42"/>
  <c r="BF276" i="42"/>
  <c r="BG276" i="42"/>
  <c r="BH276" i="42"/>
  <c r="BB277" i="42"/>
  <c r="BC277" i="42"/>
  <c r="BD277" i="42"/>
  <c r="BE277" i="42"/>
  <c r="BF277" i="42"/>
  <c r="BG277" i="42"/>
  <c r="BH277" i="42"/>
  <c r="BB278" i="42"/>
  <c r="BC278" i="42"/>
  <c r="BD278" i="42"/>
  <c r="BE278" i="42"/>
  <c r="BF278" i="42"/>
  <c r="BG278" i="42"/>
  <c r="BH278" i="42"/>
  <c r="BB279" i="42"/>
  <c r="BC279" i="42"/>
  <c r="BD279" i="42"/>
  <c r="BE279" i="42"/>
  <c r="BF279" i="42"/>
  <c r="BG279" i="42"/>
  <c r="BH279" i="42"/>
  <c r="BB280" i="42"/>
  <c r="BC280" i="42"/>
  <c r="BD280" i="42"/>
  <c r="BE280" i="42"/>
  <c r="BF280" i="42"/>
  <c r="BG280" i="42"/>
  <c r="BH280" i="42"/>
  <c r="BB281" i="42"/>
  <c r="BC281" i="42"/>
  <c r="BD281" i="42"/>
  <c r="BE281" i="42"/>
  <c r="BF281" i="42"/>
  <c r="BG281" i="42"/>
  <c r="BH281" i="42"/>
  <c r="BB282" i="42"/>
  <c r="BC282" i="42"/>
  <c r="BD282" i="42"/>
  <c r="BE282" i="42"/>
  <c r="BF282" i="42"/>
  <c r="BG282" i="42"/>
  <c r="BH282" i="42"/>
  <c r="BB283" i="42"/>
  <c r="BC283" i="42"/>
  <c r="BD283" i="42"/>
  <c r="BE283" i="42"/>
  <c r="BF283" i="42"/>
  <c r="BG283" i="42"/>
  <c r="BH283" i="42"/>
  <c r="BB284" i="42"/>
  <c r="BC284" i="42"/>
  <c r="BD284" i="42"/>
  <c r="BE284" i="42"/>
  <c r="BF284" i="42"/>
  <c r="BG284" i="42"/>
  <c r="BH284" i="42"/>
  <c r="BB285" i="42"/>
  <c r="BC285" i="42"/>
  <c r="BD285" i="42"/>
  <c r="BE285" i="42"/>
  <c r="BF285" i="42"/>
  <c r="BG285" i="42"/>
  <c r="BH285" i="42"/>
  <c r="BB286" i="42"/>
  <c r="BC286" i="42"/>
  <c r="BD286" i="42"/>
  <c r="BE286" i="42"/>
  <c r="BF286" i="42"/>
  <c r="BG286" i="42"/>
  <c r="BH286" i="42"/>
  <c r="BB287" i="42"/>
  <c r="BC287" i="42"/>
  <c r="BD287" i="42"/>
  <c r="BE287" i="42"/>
  <c r="BF287" i="42"/>
  <c r="BG287" i="42"/>
  <c r="BH287" i="42"/>
  <c r="BB288" i="42"/>
  <c r="BC288" i="42"/>
  <c r="BD288" i="42"/>
  <c r="BE288" i="42"/>
  <c r="BF288" i="42"/>
  <c r="BG288" i="42"/>
  <c r="BH288" i="42"/>
  <c r="BC289" i="42"/>
  <c r="BD289" i="42"/>
  <c r="BE289" i="42"/>
  <c r="BF289" i="42"/>
  <c r="BG289" i="42"/>
  <c r="BH289" i="42"/>
  <c r="BB290" i="42"/>
  <c r="BC290" i="42"/>
  <c r="BD290" i="42"/>
  <c r="BE290" i="42"/>
  <c r="BF290" i="42"/>
  <c r="BG290" i="42"/>
  <c r="BH290" i="42"/>
  <c r="BB291" i="42"/>
  <c r="BC291" i="42"/>
  <c r="BD291" i="42"/>
  <c r="BE291" i="42"/>
  <c r="BF291" i="42"/>
  <c r="BG291" i="42"/>
  <c r="BH291" i="42"/>
  <c r="BB292" i="42"/>
  <c r="BC292" i="42"/>
  <c r="BD292" i="42"/>
  <c r="BE292" i="42"/>
  <c r="BF292" i="42"/>
  <c r="BG292" i="42"/>
  <c r="BH292" i="42"/>
  <c r="BB293" i="42"/>
  <c r="BC293" i="42"/>
  <c r="BD293" i="42"/>
  <c r="BE293" i="42"/>
  <c r="BF293" i="42"/>
  <c r="BG293" i="42"/>
  <c r="BH293" i="42"/>
  <c r="BB294" i="42"/>
  <c r="BC294" i="42"/>
  <c r="BD294" i="42"/>
  <c r="BE294" i="42"/>
  <c r="BF294" i="42"/>
  <c r="BG294" i="42"/>
  <c r="BH294" i="42"/>
  <c r="BB295" i="42"/>
  <c r="BC295" i="42"/>
  <c r="BD295" i="42"/>
  <c r="BE295" i="42"/>
  <c r="BF295" i="42"/>
  <c r="BG295" i="42"/>
  <c r="BH295" i="42"/>
  <c r="BB296" i="42"/>
  <c r="BC296" i="42"/>
  <c r="BD296" i="42"/>
  <c r="BE296" i="42"/>
  <c r="BF296" i="42"/>
  <c r="BG296" i="42"/>
  <c r="BH296" i="42"/>
  <c r="BB297" i="42"/>
  <c r="BC297" i="42"/>
  <c r="BD297" i="42"/>
  <c r="BE297" i="42"/>
  <c r="BF297" i="42"/>
  <c r="BG297" i="42"/>
  <c r="BH297" i="42"/>
  <c r="BB298" i="42"/>
  <c r="BC298" i="42"/>
  <c r="BD298" i="42"/>
  <c r="BE298" i="42"/>
  <c r="BF298" i="42"/>
  <c r="BG298" i="42"/>
  <c r="BH298" i="42"/>
  <c r="BB299" i="42"/>
  <c r="BC299" i="42"/>
  <c r="BD299" i="42"/>
  <c r="BE299" i="42"/>
  <c r="BF299" i="42"/>
  <c r="BG299" i="42"/>
  <c r="BH299" i="42"/>
  <c r="BB300" i="42"/>
  <c r="BC300" i="42"/>
  <c r="BD300" i="42"/>
  <c r="BE300" i="42"/>
  <c r="BF300" i="42"/>
  <c r="BG300" i="42"/>
  <c r="BH300" i="42"/>
  <c r="BB301" i="42"/>
  <c r="BC301" i="42"/>
  <c r="BD301" i="42"/>
  <c r="BE301" i="42"/>
  <c r="BF301" i="42"/>
  <c r="BG301" i="42"/>
  <c r="BH301" i="42"/>
  <c r="BB302" i="42"/>
  <c r="BC302" i="42"/>
  <c r="BD302" i="42"/>
  <c r="BE302" i="42"/>
  <c r="BF302" i="42"/>
  <c r="BG302" i="42"/>
  <c r="BH302" i="42"/>
  <c r="BB303" i="42"/>
  <c r="BC303" i="42"/>
  <c r="BD303" i="42"/>
  <c r="BE303" i="42"/>
  <c r="BF303" i="42"/>
  <c r="BG303" i="42"/>
  <c r="BH303" i="42"/>
  <c r="BC304" i="42"/>
  <c r="BD304" i="42"/>
  <c r="BE304" i="42"/>
  <c r="BF304" i="42"/>
  <c r="BG304" i="42"/>
  <c r="BH304" i="42"/>
  <c r="BB305" i="42"/>
  <c r="BC305" i="42"/>
  <c r="BD305" i="42"/>
  <c r="BE305" i="42"/>
  <c r="BF305" i="42"/>
  <c r="BG305" i="42"/>
  <c r="BH305" i="42"/>
  <c r="BB306" i="42"/>
  <c r="BC306" i="42"/>
  <c r="BD306" i="42"/>
  <c r="BE306" i="42"/>
  <c r="BF306" i="42"/>
  <c r="BG306" i="42"/>
  <c r="BH306" i="42"/>
  <c r="BB307" i="42"/>
  <c r="BC307" i="42"/>
  <c r="BD307" i="42"/>
  <c r="BE307" i="42"/>
  <c r="BF307" i="42"/>
  <c r="BG307" i="42"/>
  <c r="BH307" i="42"/>
  <c r="BB308" i="42"/>
  <c r="BC308" i="42"/>
  <c r="BD308" i="42"/>
  <c r="BE308" i="42"/>
  <c r="BF308" i="42"/>
  <c r="BG308" i="42"/>
  <c r="BH308" i="42"/>
  <c r="BB309" i="42"/>
  <c r="BC309" i="42"/>
  <c r="BD309" i="42"/>
  <c r="BE309" i="42"/>
  <c r="BF309" i="42"/>
  <c r="BG309" i="42"/>
  <c r="BH309" i="42"/>
  <c r="BB310" i="42"/>
  <c r="BC310" i="42"/>
  <c r="BD310" i="42"/>
  <c r="BE310" i="42"/>
  <c r="BF310" i="42"/>
  <c r="BG310" i="42"/>
  <c r="BH310" i="42"/>
  <c r="BB311" i="42"/>
  <c r="BC311" i="42"/>
  <c r="BD311" i="42"/>
  <c r="BE311" i="42"/>
  <c r="BF311" i="42"/>
  <c r="BG311" i="42"/>
  <c r="BH311" i="42"/>
  <c r="BB312" i="42"/>
  <c r="BC312" i="42"/>
  <c r="BD312" i="42"/>
  <c r="BE312" i="42"/>
  <c r="BF312" i="42"/>
  <c r="BG312" i="42"/>
  <c r="BH312" i="42"/>
  <c r="BB313" i="42"/>
  <c r="BC313" i="42"/>
  <c r="BD313" i="42"/>
  <c r="BE313" i="42"/>
  <c r="BF313" i="42"/>
  <c r="BG313" i="42"/>
  <c r="BH313" i="42"/>
  <c r="BB314" i="42"/>
  <c r="BC314" i="42"/>
  <c r="BD314" i="42"/>
  <c r="BE314" i="42"/>
  <c r="BF314" i="42"/>
  <c r="BG314" i="42"/>
  <c r="BH314" i="42"/>
  <c r="BB315" i="42"/>
  <c r="BC315" i="42"/>
  <c r="BD315" i="42"/>
  <c r="BE315" i="42"/>
  <c r="BF315" i="42"/>
  <c r="BG315" i="42"/>
  <c r="BH315" i="42"/>
  <c r="BH7" i="42"/>
  <c r="BG7" i="42"/>
  <c r="BF7" i="42"/>
  <c r="BE7" i="42"/>
  <c r="BD7" i="42"/>
  <c r="BC7" i="42"/>
  <c r="BB7" i="42"/>
  <c r="H6" i="13" l="1"/>
  <c r="H7" i="13"/>
  <c r="H8" i="13"/>
  <c r="H9" i="13"/>
  <c r="H10" i="13"/>
  <c r="H11" i="13"/>
  <c r="H12" i="13"/>
  <c r="H13" i="13"/>
  <c r="H14" i="13"/>
  <c r="H15" i="13"/>
  <c r="H16" i="13"/>
  <c r="H17" i="13"/>
  <c r="H18" i="13"/>
  <c r="H19" i="13"/>
  <c r="H20" i="13"/>
  <c r="H21" i="13"/>
  <c r="H22" i="13"/>
  <c r="H23" i="13"/>
  <c r="H24" i="13"/>
  <c r="H25" i="13"/>
  <c r="H26" i="13"/>
  <c r="H27" i="13"/>
  <c r="H28" i="13"/>
  <c r="H29" i="13"/>
  <c r="H30" i="13"/>
  <c r="H31" i="13"/>
  <c r="H32" i="13"/>
  <c r="H33" i="13"/>
  <c r="H34" i="13"/>
  <c r="H35" i="13"/>
  <c r="H36" i="13"/>
  <c r="H37" i="13"/>
  <c r="H38" i="13"/>
  <c r="H39" i="13"/>
  <c r="H40" i="13"/>
  <c r="H41" i="13"/>
  <c r="H42" i="13"/>
  <c r="H43" i="13"/>
  <c r="H44" i="13"/>
  <c r="H45" i="13"/>
  <c r="H46" i="13"/>
  <c r="H47" i="13"/>
  <c r="H48" i="13"/>
  <c r="H49" i="13"/>
  <c r="H50" i="13"/>
  <c r="H51" i="13"/>
  <c r="H52" i="13"/>
  <c r="H53" i="13"/>
  <c r="H54" i="13"/>
  <c r="H55" i="13"/>
  <c r="H56" i="13"/>
  <c r="H57" i="13"/>
  <c r="H58" i="13"/>
  <c r="H59" i="13"/>
  <c r="H60" i="13"/>
  <c r="H61" i="13"/>
  <c r="H62" i="13"/>
  <c r="H63" i="13"/>
  <c r="H64" i="13"/>
  <c r="H65" i="13"/>
  <c r="H66" i="13"/>
  <c r="H67" i="13"/>
  <c r="H68" i="13"/>
  <c r="H69" i="13"/>
  <c r="H70" i="13"/>
  <c r="H71" i="13"/>
  <c r="H72" i="13"/>
  <c r="H73" i="13"/>
  <c r="H74" i="13"/>
  <c r="H75" i="13"/>
  <c r="H76" i="13"/>
  <c r="H77" i="13"/>
  <c r="H78" i="13"/>
  <c r="H79" i="13"/>
  <c r="H80" i="13"/>
  <c r="H81" i="13"/>
  <c r="H82" i="13"/>
  <c r="H83" i="13"/>
  <c r="H84" i="13"/>
  <c r="H85" i="13"/>
  <c r="H86" i="13"/>
  <c r="H87" i="13"/>
  <c r="H88" i="13"/>
  <c r="H89" i="13"/>
  <c r="H90" i="13"/>
  <c r="H91" i="13"/>
  <c r="H92" i="13"/>
  <c r="H93" i="13"/>
  <c r="H94" i="13"/>
  <c r="H95" i="13"/>
  <c r="H96" i="13"/>
  <c r="H97" i="13"/>
  <c r="H98" i="13"/>
  <c r="H99" i="13"/>
  <c r="H100" i="13"/>
  <c r="H101" i="13"/>
  <c r="H102" i="13"/>
  <c r="H103" i="13"/>
  <c r="H104" i="13"/>
  <c r="H105" i="13"/>
  <c r="H106" i="13"/>
  <c r="H107" i="13"/>
  <c r="H108" i="13"/>
  <c r="H109" i="13"/>
  <c r="H110" i="13"/>
  <c r="H111" i="13"/>
  <c r="H112" i="13"/>
  <c r="H113" i="13"/>
  <c r="H114" i="13"/>
  <c r="H115" i="13"/>
  <c r="H116" i="13"/>
  <c r="H117" i="13"/>
  <c r="H118" i="13"/>
  <c r="H119" i="13"/>
  <c r="H120" i="13"/>
  <c r="H121" i="13"/>
  <c r="H122" i="13"/>
  <c r="H123" i="13"/>
  <c r="H124" i="13"/>
  <c r="H125" i="13"/>
  <c r="H126" i="13"/>
  <c r="H127" i="13"/>
  <c r="H128" i="13"/>
  <c r="H129" i="13"/>
  <c r="H130" i="13"/>
  <c r="H131" i="13"/>
  <c r="H132" i="13"/>
  <c r="H133" i="13"/>
  <c r="H134" i="13"/>
  <c r="H135" i="13"/>
  <c r="H136" i="13"/>
  <c r="H137" i="13"/>
  <c r="H138" i="13"/>
  <c r="H139" i="13"/>
  <c r="H140" i="13"/>
  <c r="H141" i="13"/>
  <c r="H142" i="13"/>
  <c r="H143" i="13"/>
  <c r="H144" i="13"/>
  <c r="H145" i="13"/>
  <c r="H146" i="13"/>
  <c r="H147" i="13"/>
  <c r="H148" i="13"/>
  <c r="H149" i="13"/>
  <c r="H150" i="13"/>
  <c r="H151" i="13"/>
  <c r="H152" i="13"/>
  <c r="H153" i="13"/>
  <c r="H154" i="13"/>
  <c r="H155" i="13"/>
  <c r="H156" i="13"/>
  <c r="H157" i="13"/>
  <c r="H158" i="13"/>
  <c r="H159" i="13"/>
  <c r="H160" i="13"/>
  <c r="H161" i="13"/>
  <c r="H162" i="13"/>
  <c r="H163" i="13"/>
  <c r="H164" i="13"/>
  <c r="H165" i="13"/>
  <c r="H166" i="13"/>
  <c r="H167" i="13"/>
  <c r="H168" i="13"/>
  <c r="H169" i="13"/>
  <c r="H170" i="13"/>
  <c r="H171" i="13"/>
  <c r="H172" i="13"/>
  <c r="H173" i="13"/>
  <c r="H174" i="13"/>
  <c r="H175" i="13"/>
  <c r="H176" i="13"/>
  <c r="H177" i="13"/>
  <c r="H178" i="13"/>
  <c r="H179" i="13"/>
  <c r="H180" i="13"/>
  <c r="H181" i="13"/>
  <c r="H182" i="13"/>
  <c r="H183" i="13"/>
  <c r="H184" i="13"/>
  <c r="H185" i="13"/>
  <c r="H186" i="13"/>
  <c r="H187" i="13"/>
  <c r="H188" i="13"/>
  <c r="H189" i="13"/>
  <c r="H190" i="13"/>
  <c r="H191" i="13"/>
  <c r="H192" i="13"/>
  <c r="H193" i="13"/>
  <c r="H194" i="13"/>
  <c r="H195" i="13"/>
  <c r="H196" i="13"/>
  <c r="H197" i="13"/>
  <c r="H198" i="13"/>
  <c r="H199" i="13"/>
  <c r="H200" i="13"/>
  <c r="H201" i="13"/>
  <c r="H202" i="13"/>
  <c r="H203" i="13"/>
  <c r="H204" i="13"/>
  <c r="H205" i="13"/>
  <c r="H206" i="13"/>
  <c r="H207" i="13"/>
  <c r="H208" i="13"/>
  <c r="H209" i="13"/>
  <c r="H210" i="13"/>
  <c r="H211" i="13"/>
  <c r="H212" i="13"/>
  <c r="H213" i="13"/>
  <c r="H214" i="13"/>
  <c r="H215" i="13"/>
  <c r="H216" i="13"/>
  <c r="H217" i="13"/>
  <c r="H218" i="13"/>
  <c r="H219" i="13"/>
  <c r="H220" i="13"/>
  <c r="H221" i="13"/>
  <c r="H222" i="13"/>
  <c r="H223" i="13"/>
  <c r="H224" i="13"/>
  <c r="H225" i="13"/>
  <c r="H226" i="13"/>
  <c r="H227" i="13"/>
  <c r="H228" i="13"/>
  <c r="H229" i="13"/>
  <c r="H230" i="13"/>
  <c r="H231" i="13"/>
  <c r="H232" i="13"/>
  <c r="H233" i="13"/>
  <c r="H234" i="13"/>
  <c r="H235" i="13"/>
  <c r="H236" i="13"/>
  <c r="H237" i="13"/>
  <c r="H238" i="13"/>
  <c r="H239" i="13"/>
  <c r="H240" i="13"/>
  <c r="H241" i="13"/>
  <c r="H242" i="13"/>
  <c r="H243" i="13"/>
  <c r="H244" i="13"/>
  <c r="H246" i="13"/>
  <c r="H247" i="13"/>
  <c r="H248" i="13"/>
  <c r="H249" i="13"/>
  <c r="H250" i="13"/>
  <c r="H251" i="13"/>
  <c r="H252" i="13"/>
  <c r="H253" i="13"/>
  <c r="H254" i="13"/>
  <c r="H255" i="13"/>
  <c r="H256" i="13"/>
  <c r="H257" i="13"/>
  <c r="H258" i="13"/>
  <c r="H259" i="13"/>
  <c r="H260" i="13"/>
  <c r="H261" i="13"/>
  <c r="H262" i="13"/>
  <c r="H263" i="13"/>
  <c r="H264" i="13"/>
  <c r="H265" i="13"/>
  <c r="H266" i="13"/>
  <c r="H267" i="13"/>
  <c r="H268" i="13"/>
  <c r="H269" i="13"/>
  <c r="H270" i="13"/>
  <c r="H271" i="13"/>
  <c r="H272" i="13"/>
  <c r="H273" i="13"/>
  <c r="H274" i="13"/>
  <c r="H275" i="13"/>
  <c r="H276" i="13"/>
  <c r="H277" i="13"/>
  <c r="H278" i="13"/>
  <c r="H279" i="13"/>
  <c r="H280" i="13"/>
  <c r="H281" i="13"/>
  <c r="H282" i="13"/>
  <c r="H283" i="13"/>
  <c r="H284" i="13"/>
  <c r="H285" i="13"/>
  <c r="H286" i="13"/>
  <c r="H287" i="13"/>
  <c r="H288" i="13"/>
  <c r="H289" i="13"/>
  <c r="H290" i="13"/>
  <c r="H291" i="13"/>
  <c r="H292" i="13"/>
  <c r="H293" i="13"/>
  <c r="H294" i="13"/>
  <c r="H295" i="13"/>
  <c r="H296" i="13"/>
  <c r="H297" i="13"/>
  <c r="H298" i="13"/>
  <c r="H299" i="13"/>
  <c r="H300" i="13"/>
  <c r="H301" i="13"/>
  <c r="H302" i="13"/>
  <c r="H303" i="13"/>
  <c r="H304" i="13"/>
  <c r="H305" i="13"/>
  <c r="H306" i="13"/>
  <c r="H307" i="13"/>
  <c r="H308" i="13"/>
  <c r="H309" i="13"/>
  <c r="H310" i="13"/>
  <c r="H311" i="13"/>
  <c r="H312" i="13"/>
  <c r="H313" i="13"/>
  <c r="H314" i="13"/>
  <c r="K315" i="52"/>
  <c r="J315" i="52"/>
  <c r="I315" i="52"/>
  <c r="H315" i="52"/>
  <c r="G315" i="52"/>
  <c r="F315" i="52"/>
  <c r="M314" i="52"/>
  <c r="K314" i="52"/>
  <c r="J314" i="52"/>
  <c r="I314" i="52"/>
  <c r="H314" i="52"/>
  <c r="G314" i="52"/>
  <c r="F314" i="52"/>
  <c r="E314" i="52"/>
  <c r="D314" i="52"/>
  <c r="C314" i="52"/>
  <c r="B314" i="52"/>
  <c r="A314" i="52"/>
  <c r="M313" i="52"/>
  <c r="K313" i="52"/>
  <c r="J313" i="52"/>
  <c r="I313" i="52"/>
  <c r="H313" i="52"/>
  <c r="G313" i="52"/>
  <c r="F313" i="52"/>
  <c r="E313" i="52"/>
  <c r="D313" i="52"/>
  <c r="C313" i="52"/>
  <c r="B313" i="52"/>
  <c r="A313" i="52"/>
  <c r="M312" i="52"/>
  <c r="K312" i="52"/>
  <c r="J312" i="52"/>
  <c r="I312" i="52"/>
  <c r="H312" i="52"/>
  <c r="G312" i="52"/>
  <c r="F312" i="52"/>
  <c r="E312" i="52"/>
  <c r="D312" i="52"/>
  <c r="C312" i="52"/>
  <c r="B312" i="52"/>
  <c r="A312" i="52"/>
  <c r="M311" i="52"/>
  <c r="K311" i="52"/>
  <c r="J311" i="52"/>
  <c r="I311" i="52"/>
  <c r="H311" i="52"/>
  <c r="G311" i="52"/>
  <c r="F311" i="52"/>
  <c r="E311" i="52"/>
  <c r="D311" i="52"/>
  <c r="C311" i="52"/>
  <c r="B311" i="52"/>
  <c r="A311" i="52"/>
  <c r="M310" i="52"/>
  <c r="K310" i="52"/>
  <c r="J310" i="52"/>
  <c r="I310" i="52"/>
  <c r="H310" i="52"/>
  <c r="G310" i="52"/>
  <c r="F310" i="52"/>
  <c r="E310" i="52"/>
  <c r="D310" i="52"/>
  <c r="C310" i="52"/>
  <c r="B310" i="52"/>
  <c r="A310" i="52"/>
  <c r="M309" i="52"/>
  <c r="K309" i="52"/>
  <c r="J309" i="52"/>
  <c r="I309" i="52"/>
  <c r="H309" i="52"/>
  <c r="G309" i="52"/>
  <c r="F309" i="52"/>
  <c r="E309" i="52"/>
  <c r="D309" i="52"/>
  <c r="C309" i="52"/>
  <c r="B309" i="52"/>
  <c r="A309" i="52"/>
  <c r="M308" i="52"/>
  <c r="K308" i="52"/>
  <c r="J308" i="52"/>
  <c r="I308" i="52"/>
  <c r="H308" i="52"/>
  <c r="G308" i="52"/>
  <c r="F308" i="52"/>
  <c r="E308" i="52"/>
  <c r="D308" i="52"/>
  <c r="C308" i="52"/>
  <c r="B308" i="52"/>
  <c r="A308" i="52"/>
  <c r="M307" i="52"/>
  <c r="K307" i="52"/>
  <c r="J307" i="52"/>
  <c r="I307" i="52"/>
  <c r="H307" i="52"/>
  <c r="G307" i="52"/>
  <c r="F307" i="52"/>
  <c r="E307" i="52"/>
  <c r="D307" i="52"/>
  <c r="C307" i="52"/>
  <c r="B307" i="52"/>
  <c r="A307" i="52"/>
  <c r="M306" i="52"/>
  <c r="K306" i="52"/>
  <c r="J306" i="52"/>
  <c r="I306" i="52"/>
  <c r="H306" i="52"/>
  <c r="G306" i="52"/>
  <c r="F306" i="52"/>
  <c r="E306" i="52"/>
  <c r="D306" i="52"/>
  <c r="C306" i="52"/>
  <c r="B306" i="52"/>
  <c r="A306" i="52"/>
  <c r="M305" i="52"/>
  <c r="K305" i="52"/>
  <c r="J305" i="52"/>
  <c r="I305" i="52"/>
  <c r="H305" i="52"/>
  <c r="G305" i="52"/>
  <c r="F305" i="52"/>
  <c r="E305" i="52"/>
  <c r="D305" i="52"/>
  <c r="C305" i="52"/>
  <c r="B305" i="52"/>
  <c r="A305" i="52"/>
  <c r="M304" i="52"/>
  <c r="K304" i="52"/>
  <c r="J304" i="52"/>
  <c r="I304" i="52"/>
  <c r="H304" i="52"/>
  <c r="G304" i="52"/>
  <c r="F304" i="52"/>
  <c r="E304" i="52"/>
  <c r="D304" i="52"/>
  <c r="C304" i="52"/>
  <c r="B304" i="52"/>
  <c r="A304" i="52"/>
  <c r="M303" i="52"/>
  <c r="K303" i="52"/>
  <c r="J303" i="52"/>
  <c r="I303" i="52"/>
  <c r="H303" i="52"/>
  <c r="G303" i="52"/>
  <c r="F303" i="52"/>
  <c r="E303" i="52"/>
  <c r="D303" i="52"/>
  <c r="C303" i="52"/>
  <c r="B303" i="52"/>
  <c r="A303" i="52"/>
  <c r="M302" i="52"/>
  <c r="K302" i="52"/>
  <c r="J302" i="52"/>
  <c r="I302" i="52"/>
  <c r="H302" i="52"/>
  <c r="G302" i="52"/>
  <c r="F302" i="52"/>
  <c r="E302" i="52"/>
  <c r="D302" i="52"/>
  <c r="C302" i="52"/>
  <c r="B302" i="52"/>
  <c r="A302" i="52"/>
  <c r="M301" i="52"/>
  <c r="K301" i="52"/>
  <c r="J301" i="52"/>
  <c r="I301" i="52"/>
  <c r="H301" i="52"/>
  <c r="G301" i="52"/>
  <c r="F301" i="52"/>
  <c r="E301" i="52"/>
  <c r="D301" i="52"/>
  <c r="C301" i="52"/>
  <c r="B301" i="52"/>
  <c r="A301" i="52"/>
  <c r="M300" i="52"/>
  <c r="K300" i="52"/>
  <c r="J300" i="52"/>
  <c r="I300" i="52"/>
  <c r="H300" i="52"/>
  <c r="G300" i="52"/>
  <c r="F300" i="52"/>
  <c r="E300" i="52"/>
  <c r="D300" i="52"/>
  <c r="C300" i="52"/>
  <c r="B300" i="52"/>
  <c r="A300" i="52"/>
  <c r="M299" i="52"/>
  <c r="K299" i="52"/>
  <c r="J299" i="52"/>
  <c r="I299" i="52"/>
  <c r="H299" i="52"/>
  <c r="G299" i="52"/>
  <c r="F299" i="52"/>
  <c r="E299" i="52"/>
  <c r="D299" i="52"/>
  <c r="C299" i="52"/>
  <c r="B299" i="52"/>
  <c r="A299" i="52"/>
  <c r="M298" i="52"/>
  <c r="K298" i="52"/>
  <c r="J298" i="52"/>
  <c r="I298" i="52"/>
  <c r="H298" i="52"/>
  <c r="G298" i="52"/>
  <c r="F298" i="52"/>
  <c r="E298" i="52"/>
  <c r="D298" i="52"/>
  <c r="C298" i="52"/>
  <c r="B298" i="52"/>
  <c r="A298" i="52"/>
  <c r="M297" i="52"/>
  <c r="K297" i="52"/>
  <c r="J297" i="52"/>
  <c r="I297" i="52"/>
  <c r="H297" i="52"/>
  <c r="G297" i="52"/>
  <c r="F297" i="52"/>
  <c r="E297" i="52"/>
  <c r="D297" i="52"/>
  <c r="C297" i="52"/>
  <c r="B297" i="52"/>
  <c r="A297" i="52"/>
  <c r="M296" i="52"/>
  <c r="K296" i="52"/>
  <c r="J296" i="52"/>
  <c r="I296" i="52"/>
  <c r="H296" i="52"/>
  <c r="G296" i="52"/>
  <c r="F296" i="52"/>
  <c r="E296" i="52"/>
  <c r="D296" i="52"/>
  <c r="C296" i="52"/>
  <c r="B296" i="52"/>
  <c r="A296" i="52"/>
  <c r="M295" i="52"/>
  <c r="K295" i="52"/>
  <c r="J295" i="52"/>
  <c r="I295" i="52"/>
  <c r="H295" i="52"/>
  <c r="G295" i="52"/>
  <c r="F295" i="52"/>
  <c r="E295" i="52"/>
  <c r="D295" i="52"/>
  <c r="C295" i="52"/>
  <c r="B295" i="52"/>
  <c r="A295" i="52"/>
  <c r="M294" i="52"/>
  <c r="K294" i="52"/>
  <c r="J294" i="52"/>
  <c r="I294" i="52"/>
  <c r="H294" i="52"/>
  <c r="G294" i="52"/>
  <c r="F294" i="52"/>
  <c r="E294" i="52"/>
  <c r="D294" i="52"/>
  <c r="C294" i="52"/>
  <c r="B294" i="52"/>
  <c r="A294" i="52"/>
  <c r="M293" i="52"/>
  <c r="K293" i="52"/>
  <c r="J293" i="52"/>
  <c r="I293" i="52"/>
  <c r="H293" i="52"/>
  <c r="G293" i="52"/>
  <c r="F293" i="52"/>
  <c r="E293" i="52"/>
  <c r="D293" i="52"/>
  <c r="C293" i="52"/>
  <c r="B293" i="52"/>
  <c r="A293" i="52"/>
  <c r="M292" i="52"/>
  <c r="K292" i="52"/>
  <c r="J292" i="52"/>
  <c r="I292" i="52"/>
  <c r="H292" i="52"/>
  <c r="G292" i="52"/>
  <c r="F292" i="52"/>
  <c r="E292" i="52"/>
  <c r="D292" i="52"/>
  <c r="C292" i="52"/>
  <c r="B292" i="52"/>
  <c r="A292" i="52"/>
  <c r="M291" i="52"/>
  <c r="K291" i="52"/>
  <c r="J291" i="52"/>
  <c r="I291" i="52"/>
  <c r="H291" i="52"/>
  <c r="G291" i="52"/>
  <c r="F291" i="52"/>
  <c r="E291" i="52"/>
  <c r="D291" i="52"/>
  <c r="C291" i="52"/>
  <c r="B291" i="52"/>
  <c r="A291" i="52"/>
  <c r="M290" i="52"/>
  <c r="K290" i="52"/>
  <c r="J290" i="52"/>
  <c r="I290" i="52"/>
  <c r="H290" i="52"/>
  <c r="G290" i="52"/>
  <c r="F290" i="52"/>
  <c r="E290" i="52"/>
  <c r="D290" i="52"/>
  <c r="C290" i="52"/>
  <c r="B290" i="52"/>
  <c r="A290" i="52"/>
  <c r="M289" i="52"/>
  <c r="K289" i="52"/>
  <c r="J289" i="52"/>
  <c r="I289" i="52"/>
  <c r="H289" i="52"/>
  <c r="G289" i="52"/>
  <c r="F289" i="52"/>
  <c r="E289" i="52"/>
  <c r="D289" i="52"/>
  <c r="C289" i="52"/>
  <c r="B289" i="52"/>
  <c r="A289" i="52"/>
  <c r="M288" i="52"/>
  <c r="K288" i="52"/>
  <c r="J288" i="52"/>
  <c r="I288" i="52"/>
  <c r="H288" i="52"/>
  <c r="G288" i="52"/>
  <c r="F288" i="52"/>
  <c r="E288" i="52"/>
  <c r="D288" i="52"/>
  <c r="C288" i="52"/>
  <c r="B288" i="52"/>
  <c r="A288" i="52"/>
  <c r="M287" i="52"/>
  <c r="K287" i="52"/>
  <c r="J287" i="52"/>
  <c r="I287" i="52"/>
  <c r="H287" i="52"/>
  <c r="G287" i="52"/>
  <c r="F287" i="52"/>
  <c r="E287" i="52"/>
  <c r="D287" i="52"/>
  <c r="C287" i="52"/>
  <c r="B287" i="52"/>
  <c r="A287" i="52"/>
  <c r="M286" i="52"/>
  <c r="K286" i="52"/>
  <c r="J286" i="52"/>
  <c r="I286" i="52"/>
  <c r="H286" i="52"/>
  <c r="G286" i="52"/>
  <c r="F286" i="52"/>
  <c r="E286" i="52"/>
  <c r="D286" i="52"/>
  <c r="C286" i="52"/>
  <c r="B286" i="52"/>
  <c r="A286" i="52"/>
  <c r="M285" i="52"/>
  <c r="K285" i="52"/>
  <c r="J285" i="52"/>
  <c r="I285" i="52"/>
  <c r="H285" i="52"/>
  <c r="G285" i="52"/>
  <c r="F285" i="52"/>
  <c r="E285" i="52"/>
  <c r="D285" i="52"/>
  <c r="C285" i="52"/>
  <c r="B285" i="52"/>
  <c r="A285" i="52"/>
  <c r="M284" i="52"/>
  <c r="K284" i="52"/>
  <c r="J284" i="52"/>
  <c r="I284" i="52"/>
  <c r="H284" i="52"/>
  <c r="G284" i="52"/>
  <c r="F284" i="52"/>
  <c r="E284" i="52"/>
  <c r="D284" i="52"/>
  <c r="C284" i="52"/>
  <c r="B284" i="52"/>
  <c r="A284" i="52"/>
  <c r="M283" i="52"/>
  <c r="K283" i="52"/>
  <c r="J283" i="52"/>
  <c r="I283" i="52"/>
  <c r="H283" i="52"/>
  <c r="G283" i="52"/>
  <c r="F283" i="52"/>
  <c r="E283" i="52"/>
  <c r="D283" i="52"/>
  <c r="C283" i="52"/>
  <c r="B283" i="52"/>
  <c r="A283" i="52"/>
  <c r="M282" i="52"/>
  <c r="K282" i="52"/>
  <c r="J282" i="52"/>
  <c r="I282" i="52"/>
  <c r="H282" i="52"/>
  <c r="G282" i="52"/>
  <c r="F282" i="52"/>
  <c r="E282" i="52"/>
  <c r="D282" i="52"/>
  <c r="C282" i="52"/>
  <c r="B282" i="52"/>
  <c r="A282" i="52"/>
  <c r="M281" i="52"/>
  <c r="K281" i="52"/>
  <c r="J281" i="52"/>
  <c r="I281" i="52"/>
  <c r="H281" i="52"/>
  <c r="G281" i="52"/>
  <c r="F281" i="52"/>
  <c r="E281" i="52"/>
  <c r="D281" i="52"/>
  <c r="C281" i="52"/>
  <c r="B281" i="52"/>
  <c r="A281" i="52"/>
  <c r="M280" i="52"/>
  <c r="K280" i="52"/>
  <c r="J280" i="52"/>
  <c r="I280" i="52"/>
  <c r="H280" i="52"/>
  <c r="G280" i="52"/>
  <c r="F280" i="52"/>
  <c r="E280" i="52"/>
  <c r="D280" i="52"/>
  <c r="C280" i="52"/>
  <c r="B280" i="52"/>
  <c r="A280" i="52"/>
  <c r="M279" i="52"/>
  <c r="K279" i="52"/>
  <c r="J279" i="52"/>
  <c r="I279" i="52"/>
  <c r="H279" i="52"/>
  <c r="G279" i="52"/>
  <c r="F279" i="52"/>
  <c r="E279" i="52"/>
  <c r="D279" i="52"/>
  <c r="C279" i="52"/>
  <c r="B279" i="52"/>
  <c r="A279" i="52"/>
  <c r="M278" i="52"/>
  <c r="K278" i="52"/>
  <c r="J278" i="52"/>
  <c r="I278" i="52"/>
  <c r="H278" i="52"/>
  <c r="G278" i="52"/>
  <c r="F278" i="52"/>
  <c r="E278" i="52"/>
  <c r="D278" i="52"/>
  <c r="C278" i="52"/>
  <c r="B278" i="52"/>
  <c r="A278" i="52"/>
  <c r="M277" i="52"/>
  <c r="K277" i="52"/>
  <c r="J277" i="52"/>
  <c r="I277" i="52"/>
  <c r="H277" i="52"/>
  <c r="G277" i="52"/>
  <c r="F277" i="52"/>
  <c r="E277" i="52"/>
  <c r="D277" i="52"/>
  <c r="C277" i="52"/>
  <c r="B277" i="52"/>
  <c r="A277" i="52"/>
  <c r="M276" i="52"/>
  <c r="K276" i="52"/>
  <c r="J276" i="52"/>
  <c r="I276" i="52"/>
  <c r="H276" i="52"/>
  <c r="G276" i="52"/>
  <c r="F276" i="52"/>
  <c r="E276" i="52"/>
  <c r="D276" i="52"/>
  <c r="C276" i="52"/>
  <c r="B276" i="52"/>
  <c r="A276" i="52"/>
  <c r="M275" i="52"/>
  <c r="K275" i="52"/>
  <c r="J275" i="52"/>
  <c r="I275" i="52"/>
  <c r="H275" i="52"/>
  <c r="G275" i="52"/>
  <c r="F275" i="52"/>
  <c r="E275" i="52"/>
  <c r="D275" i="52"/>
  <c r="C275" i="52"/>
  <c r="B275" i="52"/>
  <c r="A275" i="52"/>
  <c r="M274" i="52"/>
  <c r="K274" i="52"/>
  <c r="J274" i="52"/>
  <c r="I274" i="52"/>
  <c r="H274" i="52"/>
  <c r="G274" i="52"/>
  <c r="F274" i="52"/>
  <c r="E274" i="52"/>
  <c r="D274" i="52"/>
  <c r="C274" i="52"/>
  <c r="B274" i="52"/>
  <c r="A274" i="52"/>
  <c r="M273" i="52"/>
  <c r="K273" i="52"/>
  <c r="J273" i="52"/>
  <c r="I273" i="52"/>
  <c r="H273" i="52"/>
  <c r="G273" i="52"/>
  <c r="F273" i="52"/>
  <c r="E273" i="52"/>
  <c r="D273" i="52"/>
  <c r="C273" i="52"/>
  <c r="B273" i="52"/>
  <c r="A273" i="52"/>
  <c r="M272" i="52"/>
  <c r="K272" i="52"/>
  <c r="J272" i="52"/>
  <c r="I272" i="52"/>
  <c r="H272" i="52"/>
  <c r="G272" i="52"/>
  <c r="F272" i="52"/>
  <c r="E272" i="52"/>
  <c r="D272" i="52"/>
  <c r="C272" i="52"/>
  <c r="B272" i="52"/>
  <c r="A272" i="52"/>
  <c r="M271" i="52"/>
  <c r="K271" i="52"/>
  <c r="J271" i="52"/>
  <c r="I271" i="52"/>
  <c r="H271" i="52"/>
  <c r="G271" i="52"/>
  <c r="F271" i="52"/>
  <c r="E271" i="52"/>
  <c r="D271" i="52"/>
  <c r="C271" i="52"/>
  <c r="B271" i="52"/>
  <c r="A271" i="52"/>
  <c r="M270" i="52"/>
  <c r="K270" i="52"/>
  <c r="J270" i="52"/>
  <c r="I270" i="52"/>
  <c r="H270" i="52"/>
  <c r="G270" i="52"/>
  <c r="F270" i="52"/>
  <c r="E270" i="52"/>
  <c r="D270" i="52"/>
  <c r="C270" i="52"/>
  <c r="B270" i="52"/>
  <c r="A270" i="52"/>
  <c r="M269" i="52"/>
  <c r="K269" i="52"/>
  <c r="J269" i="52"/>
  <c r="I269" i="52"/>
  <c r="H269" i="52"/>
  <c r="G269" i="52"/>
  <c r="F269" i="52"/>
  <c r="E269" i="52"/>
  <c r="D269" i="52"/>
  <c r="C269" i="52"/>
  <c r="B269" i="52"/>
  <c r="A269" i="52"/>
  <c r="M268" i="52"/>
  <c r="K268" i="52"/>
  <c r="J268" i="52"/>
  <c r="I268" i="52"/>
  <c r="H268" i="52"/>
  <c r="G268" i="52"/>
  <c r="F268" i="52"/>
  <c r="E268" i="52"/>
  <c r="D268" i="52"/>
  <c r="C268" i="52"/>
  <c r="B268" i="52"/>
  <c r="A268" i="52"/>
  <c r="M267" i="52"/>
  <c r="K267" i="52"/>
  <c r="J267" i="52"/>
  <c r="I267" i="52"/>
  <c r="H267" i="52"/>
  <c r="G267" i="52"/>
  <c r="F267" i="52"/>
  <c r="E267" i="52"/>
  <c r="D267" i="52"/>
  <c r="C267" i="52"/>
  <c r="B267" i="52"/>
  <c r="A267" i="52"/>
  <c r="M266" i="52"/>
  <c r="K266" i="52"/>
  <c r="J266" i="52"/>
  <c r="I266" i="52"/>
  <c r="H266" i="52"/>
  <c r="G266" i="52"/>
  <c r="F266" i="52"/>
  <c r="E266" i="52"/>
  <c r="D266" i="52"/>
  <c r="C266" i="52"/>
  <c r="B266" i="52"/>
  <c r="A266" i="52"/>
  <c r="M265" i="52"/>
  <c r="K265" i="52"/>
  <c r="J265" i="52"/>
  <c r="I265" i="52"/>
  <c r="H265" i="52"/>
  <c r="G265" i="52"/>
  <c r="F265" i="52"/>
  <c r="E265" i="52"/>
  <c r="D265" i="52"/>
  <c r="C265" i="52"/>
  <c r="B265" i="52"/>
  <c r="A265" i="52"/>
  <c r="M264" i="52"/>
  <c r="K264" i="52"/>
  <c r="J264" i="52"/>
  <c r="I264" i="52"/>
  <c r="H264" i="52"/>
  <c r="G264" i="52"/>
  <c r="F264" i="52"/>
  <c r="E264" i="52"/>
  <c r="D264" i="52"/>
  <c r="C264" i="52"/>
  <c r="B264" i="52"/>
  <c r="A264" i="52"/>
  <c r="M263" i="52"/>
  <c r="K263" i="52"/>
  <c r="J263" i="52"/>
  <c r="I263" i="52"/>
  <c r="H263" i="52"/>
  <c r="G263" i="52"/>
  <c r="F263" i="52"/>
  <c r="E263" i="52"/>
  <c r="D263" i="52"/>
  <c r="C263" i="52"/>
  <c r="B263" i="52"/>
  <c r="A263" i="52"/>
  <c r="M262" i="52"/>
  <c r="K262" i="52"/>
  <c r="J262" i="52"/>
  <c r="I262" i="52"/>
  <c r="H262" i="52"/>
  <c r="G262" i="52"/>
  <c r="F262" i="52"/>
  <c r="E262" i="52"/>
  <c r="D262" i="52"/>
  <c r="C262" i="52"/>
  <c r="B262" i="52"/>
  <c r="A262" i="52"/>
  <c r="M261" i="52"/>
  <c r="K261" i="52"/>
  <c r="J261" i="52"/>
  <c r="I261" i="52"/>
  <c r="H261" i="52"/>
  <c r="G261" i="52"/>
  <c r="F261" i="52"/>
  <c r="E261" i="52"/>
  <c r="D261" i="52"/>
  <c r="C261" i="52"/>
  <c r="B261" i="52"/>
  <c r="A261" i="52"/>
  <c r="M260" i="52"/>
  <c r="K260" i="52"/>
  <c r="J260" i="52"/>
  <c r="I260" i="52"/>
  <c r="H260" i="52"/>
  <c r="G260" i="52"/>
  <c r="F260" i="52"/>
  <c r="E260" i="52"/>
  <c r="D260" i="52"/>
  <c r="C260" i="52"/>
  <c r="B260" i="52"/>
  <c r="A260" i="52"/>
  <c r="M259" i="52"/>
  <c r="K259" i="52"/>
  <c r="J259" i="52"/>
  <c r="I259" i="52"/>
  <c r="H259" i="52"/>
  <c r="G259" i="52"/>
  <c r="F259" i="52"/>
  <c r="E259" i="52"/>
  <c r="D259" i="52"/>
  <c r="C259" i="52"/>
  <c r="B259" i="52"/>
  <c r="A259" i="52"/>
  <c r="M258" i="52"/>
  <c r="K258" i="52"/>
  <c r="J258" i="52"/>
  <c r="I258" i="52"/>
  <c r="H258" i="52"/>
  <c r="G258" i="52"/>
  <c r="F258" i="52"/>
  <c r="E258" i="52"/>
  <c r="D258" i="52"/>
  <c r="C258" i="52"/>
  <c r="B258" i="52"/>
  <c r="A258" i="52"/>
  <c r="M257" i="52"/>
  <c r="K257" i="52"/>
  <c r="J257" i="52"/>
  <c r="I257" i="52"/>
  <c r="H257" i="52"/>
  <c r="G257" i="52"/>
  <c r="F257" i="52"/>
  <c r="E257" i="52"/>
  <c r="D257" i="52"/>
  <c r="C257" i="52"/>
  <c r="B257" i="52"/>
  <c r="A257" i="52"/>
  <c r="M256" i="52"/>
  <c r="K256" i="52"/>
  <c r="J256" i="52"/>
  <c r="I256" i="52"/>
  <c r="H256" i="52"/>
  <c r="G256" i="52"/>
  <c r="F256" i="52"/>
  <c r="E256" i="52"/>
  <c r="D256" i="52"/>
  <c r="C256" i="52"/>
  <c r="B256" i="52"/>
  <c r="A256" i="52"/>
  <c r="M255" i="52"/>
  <c r="K255" i="52"/>
  <c r="J255" i="52"/>
  <c r="I255" i="52"/>
  <c r="H255" i="52"/>
  <c r="G255" i="52"/>
  <c r="F255" i="52"/>
  <c r="E255" i="52"/>
  <c r="D255" i="52"/>
  <c r="C255" i="52"/>
  <c r="B255" i="52"/>
  <c r="A255" i="52"/>
  <c r="M254" i="52"/>
  <c r="K254" i="52"/>
  <c r="J254" i="52"/>
  <c r="I254" i="52"/>
  <c r="H254" i="52"/>
  <c r="G254" i="52"/>
  <c r="F254" i="52"/>
  <c r="E254" i="52"/>
  <c r="D254" i="52"/>
  <c r="C254" i="52"/>
  <c r="B254" i="52"/>
  <c r="A254" i="52"/>
  <c r="M253" i="52"/>
  <c r="K253" i="52"/>
  <c r="J253" i="52"/>
  <c r="I253" i="52"/>
  <c r="H253" i="52"/>
  <c r="G253" i="52"/>
  <c r="F253" i="52"/>
  <c r="E253" i="52"/>
  <c r="D253" i="52"/>
  <c r="C253" i="52"/>
  <c r="B253" i="52"/>
  <c r="A253" i="52"/>
  <c r="M252" i="52"/>
  <c r="K252" i="52"/>
  <c r="J252" i="52"/>
  <c r="I252" i="52"/>
  <c r="H252" i="52"/>
  <c r="G252" i="52"/>
  <c r="F252" i="52"/>
  <c r="E252" i="52"/>
  <c r="D252" i="52"/>
  <c r="C252" i="52"/>
  <c r="B252" i="52"/>
  <c r="A252" i="52"/>
  <c r="M251" i="52"/>
  <c r="K251" i="52"/>
  <c r="J251" i="52"/>
  <c r="I251" i="52"/>
  <c r="H251" i="52"/>
  <c r="G251" i="52"/>
  <c r="F251" i="52"/>
  <c r="E251" i="52"/>
  <c r="D251" i="52"/>
  <c r="C251" i="52"/>
  <c r="B251" i="52"/>
  <c r="A251" i="52"/>
  <c r="M250" i="52"/>
  <c r="K250" i="52"/>
  <c r="J250" i="52"/>
  <c r="I250" i="52"/>
  <c r="H250" i="52"/>
  <c r="G250" i="52"/>
  <c r="F250" i="52"/>
  <c r="E250" i="52"/>
  <c r="D250" i="52"/>
  <c r="C250" i="52"/>
  <c r="B250" i="52"/>
  <c r="A250" i="52"/>
  <c r="M249" i="52"/>
  <c r="K249" i="52"/>
  <c r="J249" i="52"/>
  <c r="I249" i="52"/>
  <c r="H249" i="52"/>
  <c r="G249" i="52"/>
  <c r="F249" i="52"/>
  <c r="E249" i="52"/>
  <c r="D249" i="52"/>
  <c r="C249" i="52"/>
  <c r="B249" i="52"/>
  <c r="A249" i="52"/>
  <c r="M248" i="52"/>
  <c r="K248" i="52"/>
  <c r="J248" i="52"/>
  <c r="I248" i="52"/>
  <c r="H248" i="52"/>
  <c r="G248" i="52"/>
  <c r="F248" i="52"/>
  <c r="E248" i="52"/>
  <c r="D248" i="52"/>
  <c r="C248" i="52"/>
  <c r="B248" i="52"/>
  <c r="A248" i="52"/>
  <c r="M247" i="52"/>
  <c r="K247" i="52"/>
  <c r="J247" i="52"/>
  <c r="I247" i="52"/>
  <c r="H247" i="52"/>
  <c r="G247" i="52"/>
  <c r="F247" i="52"/>
  <c r="E247" i="52"/>
  <c r="D247" i="52"/>
  <c r="C247" i="52"/>
  <c r="B247" i="52"/>
  <c r="A247" i="52"/>
  <c r="M246" i="52"/>
  <c r="K246" i="52"/>
  <c r="J246" i="52"/>
  <c r="I246" i="52"/>
  <c r="H246" i="52"/>
  <c r="G246" i="52"/>
  <c r="F246" i="52"/>
  <c r="E246" i="52"/>
  <c r="D246" i="52"/>
  <c r="C246" i="52"/>
  <c r="B246" i="52"/>
  <c r="A246" i="52"/>
  <c r="M245" i="52"/>
  <c r="K245" i="52"/>
  <c r="J245" i="52"/>
  <c r="I245" i="52"/>
  <c r="H245" i="52"/>
  <c r="G245" i="52"/>
  <c r="F245" i="52"/>
  <c r="E245" i="52"/>
  <c r="D245" i="52"/>
  <c r="C245" i="52"/>
  <c r="B245" i="52"/>
  <c r="A245" i="52"/>
  <c r="M244" i="52"/>
  <c r="K244" i="52"/>
  <c r="J244" i="52"/>
  <c r="I244" i="52"/>
  <c r="H244" i="52"/>
  <c r="G244" i="52"/>
  <c r="F244" i="52"/>
  <c r="E244" i="52"/>
  <c r="D244" i="52"/>
  <c r="C244" i="52"/>
  <c r="B244" i="52"/>
  <c r="A244" i="52"/>
  <c r="M243" i="52"/>
  <c r="K243" i="52"/>
  <c r="J243" i="52"/>
  <c r="I243" i="52"/>
  <c r="H243" i="52"/>
  <c r="G243" i="52"/>
  <c r="F243" i="52"/>
  <c r="E243" i="52"/>
  <c r="D243" i="52"/>
  <c r="C243" i="52"/>
  <c r="B243" i="52"/>
  <c r="A243" i="52"/>
  <c r="M242" i="52"/>
  <c r="K242" i="52"/>
  <c r="J242" i="52"/>
  <c r="I242" i="52"/>
  <c r="H242" i="52"/>
  <c r="G242" i="52"/>
  <c r="F242" i="52"/>
  <c r="E242" i="52"/>
  <c r="D242" i="52"/>
  <c r="C242" i="52"/>
  <c r="B242" i="52"/>
  <c r="A242" i="52"/>
  <c r="M241" i="52"/>
  <c r="K241" i="52"/>
  <c r="J241" i="52"/>
  <c r="I241" i="52"/>
  <c r="H241" i="52"/>
  <c r="G241" i="52"/>
  <c r="F241" i="52"/>
  <c r="E241" i="52"/>
  <c r="D241" i="52"/>
  <c r="C241" i="52"/>
  <c r="B241" i="52"/>
  <c r="A241" i="52"/>
  <c r="M240" i="52"/>
  <c r="K240" i="52"/>
  <c r="J240" i="52"/>
  <c r="I240" i="52"/>
  <c r="H240" i="52"/>
  <c r="G240" i="52"/>
  <c r="F240" i="52"/>
  <c r="E240" i="52"/>
  <c r="D240" i="52"/>
  <c r="C240" i="52"/>
  <c r="B240" i="52"/>
  <c r="A240" i="52"/>
  <c r="M239" i="52"/>
  <c r="K239" i="52"/>
  <c r="J239" i="52"/>
  <c r="I239" i="52"/>
  <c r="H239" i="52"/>
  <c r="G239" i="52"/>
  <c r="F239" i="52"/>
  <c r="E239" i="52"/>
  <c r="D239" i="52"/>
  <c r="C239" i="52"/>
  <c r="B239" i="52"/>
  <c r="A239" i="52"/>
  <c r="M238" i="52"/>
  <c r="K238" i="52"/>
  <c r="J238" i="52"/>
  <c r="I238" i="52"/>
  <c r="H238" i="52"/>
  <c r="G238" i="52"/>
  <c r="F238" i="52"/>
  <c r="E238" i="52"/>
  <c r="D238" i="52"/>
  <c r="C238" i="52"/>
  <c r="B238" i="52"/>
  <c r="A238" i="52"/>
  <c r="M237" i="52"/>
  <c r="K237" i="52"/>
  <c r="J237" i="52"/>
  <c r="I237" i="52"/>
  <c r="H237" i="52"/>
  <c r="G237" i="52"/>
  <c r="F237" i="52"/>
  <c r="E237" i="52"/>
  <c r="D237" i="52"/>
  <c r="C237" i="52"/>
  <c r="B237" i="52"/>
  <c r="A237" i="52"/>
  <c r="M236" i="52"/>
  <c r="K236" i="52"/>
  <c r="J236" i="52"/>
  <c r="I236" i="52"/>
  <c r="H236" i="52"/>
  <c r="G236" i="52"/>
  <c r="F236" i="52"/>
  <c r="E236" i="52"/>
  <c r="D236" i="52"/>
  <c r="C236" i="52"/>
  <c r="B236" i="52"/>
  <c r="A236" i="52"/>
  <c r="M235" i="52"/>
  <c r="K235" i="52"/>
  <c r="J235" i="52"/>
  <c r="I235" i="52"/>
  <c r="H235" i="52"/>
  <c r="G235" i="52"/>
  <c r="F235" i="52"/>
  <c r="E235" i="52"/>
  <c r="D235" i="52"/>
  <c r="C235" i="52"/>
  <c r="B235" i="52"/>
  <c r="A235" i="52"/>
  <c r="M234" i="52"/>
  <c r="K234" i="52"/>
  <c r="J234" i="52"/>
  <c r="I234" i="52"/>
  <c r="H234" i="52"/>
  <c r="G234" i="52"/>
  <c r="F234" i="52"/>
  <c r="E234" i="52"/>
  <c r="D234" i="52"/>
  <c r="C234" i="52"/>
  <c r="B234" i="52"/>
  <c r="A234" i="52"/>
  <c r="M233" i="52"/>
  <c r="K233" i="52"/>
  <c r="J233" i="52"/>
  <c r="I233" i="52"/>
  <c r="H233" i="52"/>
  <c r="G233" i="52"/>
  <c r="F233" i="52"/>
  <c r="E233" i="52"/>
  <c r="D233" i="52"/>
  <c r="C233" i="52"/>
  <c r="B233" i="52"/>
  <c r="A233" i="52"/>
  <c r="M232" i="52"/>
  <c r="K232" i="52"/>
  <c r="J232" i="52"/>
  <c r="I232" i="52"/>
  <c r="H232" i="52"/>
  <c r="G232" i="52"/>
  <c r="F232" i="52"/>
  <c r="E232" i="52"/>
  <c r="D232" i="52"/>
  <c r="C232" i="52"/>
  <c r="B232" i="52"/>
  <c r="A232" i="52"/>
  <c r="M231" i="52"/>
  <c r="K231" i="52"/>
  <c r="J231" i="52"/>
  <c r="I231" i="52"/>
  <c r="H231" i="52"/>
  <c r="G231" i="52"/>
  <c r="F231" i="52"/>
  <c r="E231" i="52"/>
  <c r="D231" i="52"/>
  <c r="C231" i="52"/>
  <c r="B231" i="52"/>
  <c r="A231" i="52"/>
  <c r="M230" i="52"/>
  <c r="K230" i="52"/>
  <c r="J230" i="52"/>
  <c r="I230" i="52"/>
  <c r="H230" i="52"/>
  <c r="G230" i="52"/>
  <c r="F230" i="52"/>
  <c r="E230" i="52"/>
  <c r="D230" i="52"/>
  <c r="C230" i="52"/>
  <c r="B230" i="52"/>
  <c r="A230" i="52"/>
  <c r="M229" i="52"/>
  <c r="K229" i="52"/>
  <c r="J229" i="52"/>
  <c r="I229" i="52"/>
  <c r="H229" i="52"/>
  <c r="G229" i="52"/>
  <c r="F229" i="52"/>
  <c r="E229" i="52"/>
  <c r="D229" i="52"/>
  <c r="C229" i="52"/>
  <c r="B229" i="52"/>
  <c r="A229" i="52"/>
  <c r="M228" i="52"/>
  <c r="K228" i="52"/>
  <c r="J228" i="52"/>
  <c r="I228" i="52"/>
  <c r="H228" i="52"/>
  <c r="G228" i="52"/>
  <c r="F228" i="52"/>
  <c r="E228" i="52"/>
  <c r="D228" i="52"/>
  <c r="C228" i="52"/>
  <c r="B228" i="52"/>
  <c r="A228" i="52"/>
  <c r="M227" i="52"/>
  <c r="K227" i="52"/>
  <c r="J227" i="52"/>
  <c r="I227" i="52"/>
  <c r="H227" i="52"/>
  <c r="G227" i="52"/>
  <c r="F227" i="52"/>
  <c r="E227" i="52"/>
  <c r="D227" i="52"/>
  <c r="C227" i="52"/>
  <c r="B227" i="52"/>
  <c r="A227" i="52"/>
  <c r="M226" i="52"/>
  <c r="K226" i="52"/>
  <c r="J226" i="52"/>
  <c r="I226" i="52"/>
  <c r="H226" i="52"/>
  <c r="G226" i="52"/>
  <c r="F226" i="52"/>
  <c r="E226" i="52"/>
  <c r="D226" i="52"/>
  <c r="C226" i="52"/>
  <c r="B226" i="52"/>
  <c r="A226" i="52"/>
  <c r="M225" i="52"/>
  <c r="K225" i="52"/>
  <c r="J225" i="52"/>
  <c r="I225" i="52"/>
  <c r="H225" i="52"/>
  <c r="G225" i="52"/>
  <c r="F225" i="52"/>
  <c r="E225" i="52"/>
  <c r="D225" i="52"/>
  <c r="C225" i="52"/>
  <c r="B225" i="52"/>
  <c r="A225" i="52"/>
  <c r="M224" i="52"/>
  <c r="K224" i="52"/>
  <c r="J224" i="52"/>
  <c r="I224" i="52"/>
  <c r="H224" i="52"/>
  <c r="G224" i="52"/>
  <c r="F224" i="52"/>
  <c r="E224" i="52"/>
  <c r="D224" i="52"/>
  <c r="C224" i="52"/>
  <c r="B224" i="52"/>
  <c r="A224" i="52"/>
  <c r="M223" i="52"/>
  <c r="K223" i="52"/>
  <c r="J223" i="52"/>
  <c r="I223" i="52"/>
  <c r="H223" i="52"/>
  <c r="G223" i="52"/>
  <c r="F223" i="52"/>
  <c r="E223" i="52"/>
  <c r="D223" i="52"/>
  <c r="C223" i="52"/>
  <c r="B223" i="52"/>
  <c r="A223" i="52"/>
  <c r="M222" i="52"/>
  <c r="K222" i="52"/>
  <c r="J222" i="52"/>
  <c r="I222" i="52"/>
  <c r="H222" i="52"/>
  <c r="G222" i="52"/>
  <c r="F222" i="52"/>
  <c r="E222" i="52"/>
  <c r="D222" i="52"/>
  <c r="C222" i="52"/>
  <c r="B222" i="52"/>
  <c r="A222" i="52"/>
  <c r="M221" i="52"/>
  <c r="K221" i="52"/>
  <c r="J221" i="52"/>
  <c r="I221" i="52"/>
  <c r="H221" i="52"/>
  <c r="G221" i="52"/>
  <c r="F221" i="52"/>
  <c r="E221" i="52"/>
  <c r="D221" i="52"/>
  <c r="C221" i="52"/>
  <c r="B221" i="52"/>
  <c r="A221" i="52"/>
  <c r="M220" i="52"/>
  <c r="K220" i="52"/>
  <c r="J220" i="52"/>
  <c r="I220" i="52"/>
  <c r="H220" i="52"/>
  <c r="G220" i="52"/>
  <c r="F220" i="52"/>
  <c r="E220" i="52"/>
  <c r="D220" i="52"/>
  <c r="C220" i="52"/>
  <c r="B220" i="52"/>
  <c r="A220" i="52"/>
  <c r="M219" i="52"/>
  <c r="K219" i="52"/>
  <c r="J219" i="52"/>
  <c r="I219" i="52"/>
  <c r="H219" i="52"/>
  <c r="G219" i="52"/>
  <c r="F219" i="52"/>
  <c r="E219" i="52"/>
  <c r="D219" i="52"/>
  <c r="C219" i="52"/>
  <c r="B219" i="52"/>
  <c r="A219" i="52"/>
  <c r="M218" i="52"/>
  <c r="K218" i="52"/>
  <c r="J218" i="52"/>
  <c r="I218" i="52"/>
  <c r="H218" i="52"/>
  <c r="G218" i="52"/>
  <c r="F218" i="52"/>
  <c r="E218" i="52"/>
  <c r="D218" i="52"/>
  <c r="C218" i="52"/>
  <c r="B218" i="52"/>
  <c r="A218" i="52"/>
  <c r="M217" i="52"/>
  <c r="K217" i="52"/>
  <c r="J217" i="52"/>
  <c r="I217" i="52"/>
  <c r="H217" i="52"/>
  <c r="G217" i="52"/>
  <c r="F217" i="52"/>
  <c r="E217" i="52"/>
  <c r="D217" i="52"/>
  <c r="C217" i="52"/>
  <c r="B217" i="52"/>
  <c r="A217" i="52"/>
  <c r="M216" i="52"/>
  <c r="K216" i="52"/>
  <c r="J216" i="52"/>
  <c r="I216" i="52"/>
  <c r="H216" i="52"/>
  <c r="G216" i="52"/>
  <c r="F216" i="52"/>
  <c r="E216" i="52"/>
  <c r="D216" i="52"/>
  <c r="C216" i="52"/>
  <c r="B216" i="52"/>
  <c r="A216" i="52"/>
  <c r="M215" i="52"/>
  <c r="K215" i="52"/>
  <c r="J215" i="52"/>
  <c r="I215" i="52"/>
  <c r="H215" i="52"/>
  <c r="G215" i="52"/>
  <c r="F215" i="52"/>
  <c r="E215" i="52"/>
  <c r="D215" i="52"/>
  <c r="C215" i="52"/>
  <c r="B215" i="52"/>
  <c r="A215" i="52"/>
  <c r="M214" i="52"/>
  <c r="K214" i="52"/>
  <c r="J214" i="52"/>
  <c r="I214" i="52"/>
  <c r="H214" i="52"/>
  <c r="G214" i="52"/>
  <c r="F214" i="52"/>
  <c r="E214" i="52"/>
  <c r="D214" i="52"/>
  <c r="C214" i="52"/>
  <c r="B214" i="52"/>
  <c r="A214" i="52"/>
  <c r="M213" i="52"/>
  <c r="K213" i="52"/>
  <c r="J213" i="52"/>
  <c r="I213" i="52"/>
  <c r="H213" i="52"/>
  <c r="G213" i="52"/>
  <c r="F213" i="52"/>
  <c r="E213" i="52"/>
  <c r="D213" i="52"/>
  <c r="C213" i="52"/>
  <c r="B213" i="52"/>
  <c r="A213" i="52"/>
  <c r="M212" i="52"/>
  <c r="K212" i="52"/>
  <c r="J212" i="52"/>
  <c r="I212" i="52"/>
  <c r="H212" i="52"/>
  <c r="G212" i="52"/>
  <c r="F212" i="52"/>
  <c r="E212" i="52"/>
  <c r="D212" i="52"/>
  <c r="C212" i="52"/>
  <c r="B212" i="52"/>
  <c r="A212" i="52"/>
  <c r="M211" i="52"/>
  <c r="K211" i="52"/>
  <c r="J211" i="52"/>
  <c r="I211" i="52"/>
  <c r="H211" i="52"/>
  <c r="G211" i="52"/>
  <c r="F211" i="52"/>
  <c r="E211" i="52"/>
  <c r="D211" i="52"/>
  <c r="C211" i="52"/>
  <c r="B211" i="52"/>
  <c r="A211" i="52"/>
  <c r="M210" i="52"/>
  <c r="K210" i="52"/>
  <c r="J210" i="52"/>
  <c r="I210" i="52"/>
  <c r="H210" i="52"/>
  <c r="G210" i="52"/>
  <c r="F210" i="52"/>
  <c r="E210" i="52"/>
  <c r="D210" i="52"/>
  <c r="C210" i="52"/>
  <c r="B210" i="52"/>
  <c r="A210" i="52"/>
  <c r="M209" i="52"/>
  <c r="K209" i="52"/>
  <c r="J209" i="52"/>
  <c r="I209" i="52"/>
  <c r="H209" i="52"/>
  <c r="G209" i="52"/>
  <c r="F209" i="52"/>
  <c r="E209" i="52"/>
  <c r="D209" i="52"/>
  <c r="C209" i="52"/>
  <c r="B209" i="52"/>
  <c r="A209" i="52"/>
  <c r="M208" i="52"/>
  <c r="K208" i="52"/>
  <c r="J208" i="52"/>
  <c r="I208" i="52"/>
  <c r="H208" i="52"/>
  <c r="G208" i="52"/>
  <c r="F208" i="52"/>
  <c r="E208" i="52"/>
  <c r="D208" i="52"/>
  <c r="C208" i="52"/>
  <c r="B208" i="52"/>
  <c r="A208" i="52"/>
  <c r="M207" i="52"/>
  <c r="K207" i="52"/>
  <c r="J207" i="52"/>
  <c r="I207" i="52"/>
  <c r="H207" i="52"/>
  <c r="G207" i="52"/>
  <c r="F207" i="52"/>
  <c r="E207" i="52"/>
  <c r="D207" i="52"/>
  <c r="C207" i="52"/>
  <c r="B207" i="52"/>
  <c r="A207" i="52"/>
  <c r="M206" i="52"/>
  <c r="K206" i="52"/>
  <c r="J206" i="52"/>
  <c r="I206" i="52"/>
  <c r="H206" i="52"/>
  <c r="G206" i="52"/>
  <c r="F206" i="52"/>
  <c r="E206" i="52"/>
  <c r="D206" i="52"/>
  <c r="C206" i="52"/>
  <c r="B206" i="52"/>
  <c r="A206" i="52"/>
  <c r="M205" i="52"/>
  <c r="K205" i="52"/>
  <c r="J205" i="52"/>
  <c r="I205" i="52"/>
  <c r="H205" i="52"/>
  <c r="G205" i="52"/>
  <c r="F205" i="52"/>
  <c r="E205" i="52"/>
  <c r="D205" i="52"/>
  <c r="C205" i="52"/>
  <c r="B205" i="52"/>
  <c r="A205" i="52"/>
  <c r="M204" i="52"/>
  <c r="K204" i="52"/>
  <c r="J204" i="52"/>
  <c r="I204" i="52"/>
  <c r="H204" i="52"/>
  <c r="G204" i="52"/>
  <c r="F204" i="52"/>
  <c r="E204" i="52"/>
  <c r="D204" i="52"/>
  <c r="C204" i="52"/>
  <c r="B204" i="52"/>
  <c r="A204" i="52"/>
  <c r="M203" i="52"/>
  <c r="K203" i="52"/>
  <c r="J203" i="52"/>
  <c r="I203" i="52"/>
  <c r="H203" i="52"/>
  <c r="G203" i="52"/>
  <c r="F203" i="52"/>
  <c r="E203" i="52"/>
  <c r="D203" i="52"/>
  <c r="C203" i="52"/>
  <c r="B203" i="52"/>
  <c r="A203" i="52"/>
  <c r="M202" i="52"/>
  <c r="K202" i="52"/>
  <c r="J202" i="52"/>
  <c r="I202" i="52"/>
  <c r="H202" i="52"/>
  <c r="G202" i="52"/>
  <c r="F202" i="52"/>
  <c r="E202" i="52"/>
  <c r="D202" i="52"/>
  <c r="C202" i="52"/>
  <c r="B202" i="52"/>
  <c r="A202" i="52"/>
  <c r="M201" i="52"/>
  <c r="K201" i="52"/>
  <c r="J201" i="52"/>
  <c r="I201" i="52"/>
  <c r="H201" i="52"/>
  <c r="G201" i="52"/>
  <c r="F201" i="52"/>
  <c r="E201" i="52"/>
  <c r="D201" i="52"/>
  <c r="C201" i="52"/>
  <c r="B201" i="52"/>
  <c r="A201" i="52"/>
  <c r="M200" i="52"/>
  <c r="K200" i="52"/>
  <c r="J200" i="52"/>
  <c r="I200" i="52"/>
  <c r="H200" i="52"/>
  <c r="G200" i="52"/>
  <c r="F200" i="52"/>
  <c r="E200" i="52"/>
  <c r="D200" i="52"/>
  <c r="C200" i="52"/>
  <c r="B200" i="52"/>
  <c r="A200" i="52"/>
  <c r="M199" i="52"/>
  <c r="K199" i="52"/>
  <c r="J199" i="52"/>
  <c r="I199" i="52"/>
  <c r="H199" i="52"/>
  <c r="G199" i="52"/>
  <c r="F199" i="52"/>
  <c r="E199" i="52"/>
  <c r="D199" i="52"/>
  <c r="C199" i="52"/>
  <c r="B199" i="52"/>
  <c r="A199" i="52"/>
  <c r="M198" i="52"/>
  <c r="K198" i="52"/>
  <c r="J198" i="52"/>
  <c r="I198" i="52"/>
  <c r="H198" i="52"/>
  <c r="G198" i="52"/>
  <c r="F198" i="52"/>
  <c r="E198" i="52"/>
  <c r="D198" i="52"/>
  <c r="C198" i="52"/>
  <c r="B198" i="52"/>
  <c r="A198" i="52"/>
  <c r="M197" i="52"/>
  <c r="K197" i="52"/>
  <c r="J197" i="52"/>
  <c r="I197" i="52"/>
  <c r="H197" i="52"/>
  <c r="G197" i="52"/>
  <c r="F197" i="52"/>
  <c r="E197" i="52"/>
  <c r="D197" i="52"/>
  <c r="C197" i="52"/>
  <c r="B197" i="52"/>
  <c r="A197" i="52"/>
  <c r="M196" i="52"/>
  <c r="K196" i="52"/>
  <c r="J196" i="52"/>
  <c r="I196" i="52"/>
  <c r="H196" i="52"/>
  <c r="G196" i="52"/>
  <c r="F196" i="52"/>
  <c r="E196" i="52"/>
  <c r="D196" i="52"/>
  <c r="C196" i="52"/>
  <c r="B196" i="52"/>
  <c r="A196" i="52"/>
  <c r="M195" i="52"/>
  <c r="K195" i="52"/>
  <c r="J195" i="52"/>
  <c r="I195" i="52"/>
  <c r="H195" i="52"/>
  <c r="G195" i="52"/>
  <c r="F195" i="52"/>
  <c r="E195" i="52"/>
  <c r="D195" i="52"/>
  <c r="C195" i="52"/>
  <c r="B195" i="52"/>
  <c r="A195" i="52"/>
  <c r="M194" i="52"/>
  <c r="K194" i="52"/>
  <c r="J194" i="52"/>
  <c r="I194" i="52"/>
  <c r="H194" i="52"/>
  <c r="G194" i="52"/>
  <c r="F194" i="52"/>
  <c r="E194" i="52"/>
  <c r="D194" i="52"/>
  <c r="C194" i="52"/>
  <c r="B194" i="52"/>
  <c r="A194" i="52"/>
  <c r="M193" i="52"/>
  <c r="K193" i="52"/>
  <c r="J193" i="52"/>
  <c r="I193" i="52"/>
  <c r="H193" i="52"/>
  <c r="G193" i="52"/>
  <c r="F193" i="52"/>
  <c r="E193" i="52"/>
  <c r="D193" i="52"/>
  <c r="C193" i="52"/>
  <c r="B193" i="52"/>
  <c r="A193" i="52"/>
  <c r="M192" i="52"/>
  <c r="K192" i="52"/>
  <c r="J192" i="52"/>
  <c r="I192" i="52"/>
  <c r="H192" i="52"/>
  <c r="G192" i="52"/>
  <c r="F192" i="52"/>
  <c r="E192" i="52"/>
  <c r="D192" i="52"/>
  <c r="C192" i="52"/>
  <c r="B192" i="52"/>
  <c r="A192" i="52"/>
  <c r="M191" i="52"/>
  <c r="K191" i="52"/>
  <c r="J191" i="52"/>
  <c r="I191" i="52"/>
  <c r="H191" i="52"/>
  <c r="G191" i="52"/>
  <c r="F191" i="52"/>
  <c r="E191" i="52"/>
  <c r="D191" i="52"/>
  <c r="C191" i="52"/>
  <c r="B191" i="52"/>
  <c r="A191" i="52"/>
  <c r="M190" i="52"/>
  <c r="K190" i="52"/>
  <c r="J190" i="52"/>
  <c r="I190" i="52"/>
  <c r="H190" i="52"/>
  <c r="G190" i="52"/>
  <c r="F190" i="52"/>
  <c r="E190" i="52"/>
  <c r="D190" i="52"/>
  <c r="C190" i="52"/>
  <c r="B190" i="52"/>
  <c r="A190" i="52"/>
  <c r="M189" i="52"/>
  <c r="K189" i="52"/>
  <c r="J189" i="52"/>
  <c r="I189" i="52"/>
  <c r="H189" i="52"/>
  <c r="G189" i="52"/>
  <c r="F189" i="52"/>
  <c r="E189" i="52"/>
  <c r="D189" i="52"/>
  <c r="C189" i="52"/>
  <c r="B189" i="52"/>
  <c r="A189" i="52"/>
  <c r="M188" i="52"/>
  <c r="K188" i="52"/>
  <c r="J188" i="52"/>
  <c r="I188" i="52"/>
  <c r="H188" i="52"/>
  <c r="G188" i="52"/>
  <c r="F188" i="52"/>
  <c r="E188" i="52"/>
  <c r="D188" i="52"/>
  <c r="C188" i="52"/>
  <c r="B188" i="52"/>
  <c r="A188" i="52"/>
  <c r="M187" i="52"/>
  <c r="K187" i="52"/>
  <c r="J187" i="52"/>
  <c r="I187" i="52"/>
  <c r="H187" i="52"/>
  <c r="G187" i="52"/>
  <c r="F187" i="52"/>
  <c r="E187" i="52"/>
  <c r="D187" i="52"/>
  <c r="C187" i="52"/>
  <c r="B187" i="52"/>
  <c r="A187" i="52"/>
  <c r="M186" i="52"/>
  <c r="K186" i="52"/>
  <c r="J186" i="52"/>
  <c r="I186" i="52"/>
  <c r="H186" i="52"/>
  <c r="G186" i="52"/>
  <c r="F186" i="52"/>
  <c r="E186" i="52"/>
  <c r="D186" i="52"/>
  <c r="C186" i="52"/>
  <c r="B186" i="52"/>
  <c r="A186" i="52"/>
  <c r="M185" i="52"/>
  <c r="K185" i="52"/>
  <c r="J185" i="52"/>
  <c r="I185" i="52"/>
  <c r="H185" i="52"/>
  <c r="G185" i="52"/>
  <c r="F185" i="52"/>
  <c r="E185" i="52"/>
  <c r="D185" i="52"/>
  <c r="C185" i="52"/>
  <c r="B185" i="52"/>
  <c r="A185" i="52"/>
  <c r="M184" i="52"/>
  <c r="K184" i="52"/>
  <c r="J184" i="52"/>
  <c r="I184" i="52"/>
  <c r="H184" i="52"/>
  <c r="G184" i="52"/>
  <c r="F184" i="52"/>
  <c r="E184" i="52"/>
  <c r="D184" i="52"/>
  <c r="C184" i="52"/>
  <c r="B184" i="52"/>
  <c r="A184" i="52"/>
  <c r="M183" i="52"/>
  <c r="K183" i="52"/>
  <c r="J183" i="52"/>
  <c r="I183" i="52"/>
  <c r="H183" i="52"/>
  <c r="G183" i="52"/>
  <c r="F183" i="52"/>
  <c r="E183" i="52"/>
  <c r="D183" i="52"/>
  <c r="C183" i="52"/>
  <c r="B183" i="52"/>
  <c r="A183" i="52"/>
  <c r="M182" i="52"/>
  <c r="K182" i="52"/>
  <c r="J182" i="52"/>
  <c r="I182" i="52"/>
  <c r="H182" i="52"/>
  <c r="G182" i="52"/>
  <c r="F182" i="52"/>
  <c r="E182" i="52"/>
  <c r="D182" i="52"/>
  <c r="C182" i="52"/>
  <c r="B182" i="52"/>
  <c r="A182" i="52"/>
  <c r="M181" i="52"/>
  <c r="K181" i="52"/>
  <c r="J181" i="52"/>
  <c r="I181" i="52"/>
  <c r="H181" i="52"/>
  <c r="G181" i="52"/>
  <c r="F181" i="52"/>
  <c r="E181" i="52"/>
  <c r="D181" i="52"/>
  <c r="C181" i="52"/>
  <c r="B181" i="52"/>
  <c r="A181" i="52"/>
  <c r="M180" i="52"/>
  <c r="K180" i="52"/>
  <c r="J180" i="52"/>
  <c r="I180" i="52"/>
  <c r="H180" i="52"/>
  <c r="G180" i="52"/>
  <c r="F180" i="52"/>
  <c r="E180" i="52"/>
  <c r="D180" i="52"/>
  <c r="C180" i="52"/>
  <c r="B180" i="52"/>
  <c r="A180" i="52"/>
  <c r="M179" i="52"/>
  <c r="K179" i="52"/>
  <c r="J179" i="52"/>
  <c r="I179" i="52"/>
  <c r="H179" i="52"/>
  <c r="G179" i="52"/>
  <c r="F179" i="52"/>
  <c r="E179" i="52"/>
  <c r="D179" i="52"/>
  <c r="C179" i="52"/>
  <c r="B179" i="52"/>
  <c r="A179" i="52"/>
  <c r="M178" i="52"/>
  <c r="K178" i="52"/>
  <c r="J178" i="52"/>
  <c r="I178" i="52"/>
  <c r="H178" i="52"/>
  <c r="G178" i="52"/>
  <c r="F178" i="52"/>
  <c r="E178" i="52"/>
  <c r="D178" i="52"/>
  <c r="C178" i="52"/>
  <c r="B178" i="52"/>
  <c r="A178" i="52"/>
  <c r="M177" i="52"/>
  <c r="K177" i="52"/>
  <c r="J177" i="52"/>
  <c r="I177" i="52"/>
  <c r="H177" i="52"/>
  <c r="G177" i="52"/>
  <c r="F177" i="52"/>
  <c r="E177" i="52"/>
  <c r="D177" i="52"/>
  <c r="C177" i="52"/>
  <c r="B177" i="52"/>
  <c r="A177" i="52"/>
  <c r="M176" i="52"/>
  <c r="K176" i="52"/>
  <c r="J176" i="52"/>
  <c r="I176" i="52"/>
  <c r="H176" i="52"/>
  <c r="G176" i="52"/>
  <c r="F176" i="52"/>
  <c r="E176" i="52"/>
  <c r="D176" i="52"/>
  <c r="C176" i="52"/>
  <c r="B176" i="52"/>
  <c r="A176" i="52"/>
  <c r="M175" i="52"/>
  <c r="K175" i="52"/>
  <c r="J175" i="52"/>
  <c r="I175" i="52"/>
  <c r="H175" i="52"/>
  <c r="G175" i="52"/>
  <c r="F175" i="52"/>
  <c r="E175" i="52"/>
  <c r="D175" i="52"/>
  <c r="C175" i="52"/>
  <c r="B175" i="52"/>
  <c r="A175" i="52"/>
  <c r="M174" i="52"/>
  <c r="K174" i="52"/>
  <c r="J174" i="52"/>
  <c r="I174" i="52"/>
  <c r="H174" i="52"/>
  <c r="G174" i="52"/>
  <c r="F174" i="52"/>
  <c r="E174" i="52"/>
  <c r="D174" i="52"/>
  <c r="C174" i="52"/>
  <c r="B174" i="52"/>
  <c r="A174" i="52"/>
  <c r="M173" i="52"/>
  <c r="K173" i="52"/>
  <c r="J173" i="52"/>
  <c r="I173" i="52"/>
  <c r="H173" i="52"/>
  <c r="G173" i="52"/>
  <c r="F173" i="52"/>
  <c r="E173" i="52"/>
  <c r="D173" i="52"/>
  <c r="C173" i="52"/>
  <c r="B173" i="52"/>
  <c r="A173" i="52"/>
  <c r="M172" i="52"/>
  <c r="K172" i="52"/>
  <c r="J172" i="52"/>
  <c r="I172" i="52"/>
  <c r="H172" i="52"/>
  <c r="G172" i="52"/>
  <c r="F172" i="52"/>
  <c r="E172" i="52"/>
  <c r="D172" i="52"/>
  <c r="C172" i="52"/>
  <c r="B172" i="52"/>
  <c r="A172" i="52"/>
  <c r="M171" i="52"/>
  <c r="K171" i="52"/>
  <c r="J171" i="52"/>
  <c r="I171" i="52"/>
  <c r="H171" i="52"/>
  <c r="G171" i="52"/>
  <c r="F171" i="52"/>
  <c r="E171" i="52"/>
  <c r="D171" i="52"/>
  <c r="C171" i="52"/>
  <c r="B171" i="52"/>
  <c r="A171" i="52"/>
  <c r="M170" i="52"/>
  <c r="K170" i="52"/>
  <c r="J170" i="52"/>
  <c r="I170" i="52"/>
  <c r="H170" i="52"/>
  <c r="G170" i="52"/>
  <c r="F170" i="52"/>
  <c r="E170" i="52"/>
  <c r="D170" i="52"/>
  <c r="C170" i="52"/>
  <c r="B170" i="52"/>
  <c r="A170" i="52"/>
  <c r="M169" i="52"/>
  <c r="K169" i="52"/>
  <c r="J169" i="52"/>
  <c r="I169" i="52"/>
  <c r="H169" i="52"/>
  <c r="G169" i="52"/>
  <c r="F169" i="52"/>
  <c r="E169" i="52"/>
  <c r="D169" i="52"/>
  <c r="C169" i="52"/>
  <c r="B169" i="52"/>
  <c r="A169" i="52"/>
  <c r="M168" i="52"/>
  <c r="K168" i="52"/>
  <c r="J168" i="52"/>
  <c r="I168" i="52"/>
  <c r="H168" i="52"/>
  <c r="G168" i="52"/>
  <c r="F168" i="52"/>
  <c r="E168" i="52"/>
  <c r="D168" i="52"/>
  <c r="C168" i="52"/>
  <c r="B168" i="52"/>
  <c r="A168" i="52"/>
  <c r="M167" i="52"/>
  <c r="K167" i="52"/>
  <c r="J167" i="52"/>
  <c r="I167" i="52"/>
  <c r="H167" i="52"/>
  <c r="G167" i="52"/>
  <c r="F167" i="52"/>
  <c r="E167" i="52"/>
  <c r="D167" i="52"/>
  <c r="C167" i="52"/>
  <c r="B167" i="52"/>
  <c r="A167" i="52"/>
  <c r="M166" i="52"/>
  <c r="K166" i="52"/>
  <c r="J166" i="52"/>
  <c r="I166" i="52"/>
  <c r="H166" i="52"/>
  <c r="G166" i="52"/>
  <c r="F166" i="52"/>
  <c r="E166" i="52"/>
  <c r="D166" i="52"/>
  <c r="C166" i="52"/>
  <c r="B166" i="52"/>
  <c r="A166" i="52"/>
  <c r="M165" i="52"/>
  <c r="K165" i="52"/>
  <c r="J165" i="52"/>
  <c r="I165" i="52"/>
  <c r="H165" i="52"/>
  <c r="G165" i="52"/>
  <c r="F165" i="52"/>
  <c r="E165" i="52"/>
  <c r="D165" i="52"/>
  <c r="C165" i="52"/>
  <c r="B165" i="52"/>
  <c r="A165" i="52"/>
  <c r="M164" i="52"/>
  <c r="K164" i="52"/>
  <c r="J164" i="52"/>
  <c r="I164" i="52"/>
  <c r="H164" i="52"/>
  <c r="G164" i="52"/>
  <c r="F164" i="52"/>
  <c r="E164" i="52"/>
  <c r="D164" i="52"/>
  <c r="C164" i="52"/>
  <c r="B164" i="52"/>
  <c r="A164" i="52"/>
  <c r="M163" i="52"/>
  <c r="K163" i="52"/>
  <c r="J163" i="52"/>
  <c r="I163" i="52"/>
  <c r="H163" i="52"/>
  <c r="G163" i="52"/>
  <c r="F163" i="52"/>
  <c r="E163" i="52"/>
  <c r="D163" i="52"/>
  <c r="C163" i="52"/>
  <c r="B163" i="52"/>
  <c r="A163" i="52"/>
  <c r="M162" i="52"/>
  <c r="K162" i="52"/>
  <c r="J162" i="52"/>
  <c r="I162" i="52"/>
  <c r="H162" i="52"/>
  <c r="G162" i="52"/>
  <c r="F162" i="52"/>
  <c r="E162" i="52"/>
  <c r="D162" i="52"/>
  <c r="C162" i="52"/>
  <c r="B162" i="52"/>
  <c r="A162" i="52"/>
  <c r="M161" i="52"/>
  <c r="K161" i="52"/>
  <c r="J161" i="52"/>
  <c r="I161" i="52"/>
  <c r="H161" i="52"/>
  <c r="G161" i="52"/>
  <c r="F161" i="52"/>
  <c r="E161" i="52"/>
  <c r="D161" i="52"/>
  <c r="C161" i="52"/>
  <c r="B161" i="52"/>
  <c r="A161" i="52"/>
  <c r="M160" i="52"/>
  <c r="K160" i="52"/>
  <c r="J160" i="52"/>
  <c r="I160" i="52"/>
  <c r="H160" i="52"/>
  <c r="G160" i="52"/>
  <c r="F160" i="52"/>
  <c r="E160" i="52"/>
  <c r="D160" i="52"/>
  <c r="C160" i="52"/>
  <c r="B160" i="52"/>
  <c r="A160" i="52"/>
  <c r="M159" i="52"/>
  <c r="K159" i="52"/>
  <c r="J159" i="52"/>
  <c r="I159" i="52"/>
  <c r="H159" i="52"/>
  <c r="G159" i="52"/>
  <c r="F159" i="52"/>
  <c r="E159" i="52"/>
  <c r="D159" i="52"/>
  <c r="C159" i="52"/>
  <c r="B159" i="52"/>
  <c r="A159" i="52"/>
  <c r="M158" i="52"/>
  <c r="K158" i="52"/>
  <c r="J158" i="52"/>
  <c r="I158" i="52"/>
  <c r="H158" i="52"/>
  <c r="G158" i="52"/>
  <c r="F158" i="52"/>
  <c r="E158" i="52"/>
  <c r="D158" i="52"/>
  <c r="C158" i="52"/>
  <c r="B158" i="52"/>
  <c r="A158" i="52"/>
  <c r="M157" i="52"/>
  <c r="K157" i="52"/>
  <c r="J157" i="52"/>
  <c r="I157" i="52"/>
  <c r="H157" i="52"/>
  <c r="G157" i="52"/>
  <c r="F157" i="52"/>
  <c r="E157" i="52"/>
  <c r="D157" i="52"/>
  <c r="C157" i="52"/>
  <c r="B157" i="52"/>
  <c r="A157" i="52"/>
  <c r="M156" i="52"/>
  <c r="K156" i="52"/>
  <c r="J156" i="52"/>
  <c r="I156" i="52"/>
  <c r="H156" i="52"/>
  <c r="G156" i="52"/>
  <c r="F156" i="52"/>
  <c r="E156" i="52"/>
  <c r="D156" i="52"/>
  <c r="C156" i="52"/>
  <c r="B156" i="52"/>
  <c r="A156" i="52"/>
  <c r="M155" i="52"/>
  <c r="K155" i="52"/>
  <c r="J155" i="52"/>
  <c r="I155" i="52"/>
  <c r="H155" i="52"/>
  <c r="G155" i="52"/>
  <c r="F155" i="52"/>
  <c r="E155" i="52"/>
  <c r="D155" i="52"/>
  <c r="C155" i="52"/>
  <c r="B155" i="52"/>
  <c r="A155" i="52"/>
  <c r="M154" i="52"/>
  <c r="K154" i="52"/>
  <c r="J154" i="52"/>
  <c r="I154" i="52"/>
  <c r="H154" i="52"/>
  <c r="G154" i="52"/>
  <c r="F154" i="52"/>
  <c r="E154" i="52"/>
  <c r="D154" i="52"/>
  <c r="C154" i="52"/>
  <c r="B154" i="52"/>
  <c r="A154" i="52"/>
  <c r="M153" i="52"/>
  <c r="K153" i="52"/>
  <c r="J153" i="52"/>
  <c r="I153" i="52"/>
  <c r="H153" i="52"/>
  <c r="G153" i="52"/>
  <c r="F153" i="52"/>
  <c r="E153" i="52"/>
  <c r="D153" i="52"/>
  <c r="C153" i="52"/>
  <c r="B153" i="52"/>
  <c r="A153" i="52"/>
  <c r="M152" i="52"/>
  <c r="K152" i="52"/>
  <c r="J152" i="52"/>
  <c r="I152" i="52"/>
  <c r="H152" i="52"/>
  <c r="G152" i="52"/>
  <c r="F152" i="52"/>
  <c r="E152" i="52"/>
  <c r="D152" i="52"/>
  <c r="C152" i="52"/>
  <c r="B152" i="52"/>
  <c r="A152" i="52"/>
  <c r="M151" i="52"/>
  <c r="K151" i="52"/>
  <c r="J151" i="52"/>
  <c r="I151" i="52"/>
  <c r="H151" i="52"/>
  <c r="G151" i="52"/>
  <c r="F151" i="52"/>
  <c r="E151" i="52"/>
  <c r="D151" i="52"/>
  <c r="C151" i="52"/>
  <c r="B151" i="52"/>
  <c r="A151" i="52"/>
  <c r="M150" i="52"/>
  <c r="K150" i="52"/>
  <c r="J150" i="52"/>
  <c r="I150" i="52"/>
  <c r="H150" i="52"/>
  <c r="G150" i="52"/>
  <c r="F150" i="52"/>
  <c r="E150" i="52"/>
  <c r="D150" i="52"/>
  <c r="C150" i="52"/>
  <c r="B150" i="52"/>
  <c r="A150" i="52"/>
  <c r="M149" i="52"/>
  <c r="K149" i="52"/>
  <c r="J149" i="52"/>
  <c r="I149" i="52"/>
  <c r="H149" i="52"/>
  <c r="G149" i="52"/>
  <c r="F149" i="52"/>
  <c r="E149" i="52"/>
  <c r="D149" i="52"/>
  <c r="C149" i="52"/>
  <c r="B149" i="52"/>
  <c r="A149" i="52"/>
  <c r="M148" i="52"/>
  <c r="K148" i="52"/>
  <c r="J148" i="52"/>
  <c r="I148" i="52"/>
  <c r="H148" i="52"/>
  <c r="G148" i="52"/>
  <c r="F148" i="52"/>
  <c r="E148" i="52"/>
  <c r="D148" i="52"/>
  <c r="C148" i="52"/>
  <c r="B148" i="52"/>
  <c r="A148" i="52"/>
  <c r="M147" i="52"/>
  <c r="K147" i="52"/>
  <c r="J147" i="52"/>
  <c r="I147" i="52"/>
  <c r="H147" i="52"/>
  <c r="G147" i="52"/>
  <c r="F147" i="52"/>
  <c r="E147" i="52"/>
  <c r="D147" i="52"/>
  <c r="C147" i="52"/>
  <c r="B147" i="52"/>
  <c r="A147" i="52"/>
  <c r="M146" i="52"/>
  <c r="K146" i="52"/>
  <c r="J146" i="52"/>
  <c r="I146" i="52"/>
  <c r="H146" i="52"/>
  <c r="G146" i="52"/>
  <c r="F146" i="52"/>
  <c r="E146" i="52"/>
  <c r="D146" i="52"/>
  <c r="C146" i="52"/>
  <c r="B146" i="52"/>
  <c r="A146" i="52"/>
  <c r="M145" i="52"/>
  <c r="K145" i="52"/>
  <c r="J145" i="52"/>
  <c r="I145" i="52"/>
  <c r="H145" i="52"/>
  <c r="G145" i="52"/>
  <c r="F145" i="52"/>
  <c r="E145" i="52"/>
  <c r="D145" i="52"/>
  <c r="C145" i="52"/>
  <c r="B145" i="52"/>
  <c r="A145" i="52"/>
  <c r="M144" i="52"/>
  <c r="K144" i="52"/>
  <c r="J144" i="52"/>
  <c r="I144" i="52"/>
  <c r="H144" i="52"/>
  <c r="G144" i="52"/>
  <c r="F144" i="52"/>
  <c r="E144" i="52"/>
  <c r="D144" i="52"/>
  <c r="C144" i="52"/>
  <c r="B144" i="52"/>
  <c r="A144" i="52"/>
  <c r="M143" i="52"/>
  <c r="K143" i="52"/>
  <c r="J143" i="52"/>
  <c r="I143" i="52"/>
  <c r="H143" i="52"/>
  <c r="G143" i="52"/>
  <c r="F143" i="52"/>
  <c r="E143" i="52"/>
  <c r="D143" i="52"/>
  <c r="C143" i="52"/>
  <c r="B143" i="52"/>
  <c r="A143" i="52"/>
  <c r="M142" i="52"/>
  <c r="K142" i="52"/>
  <c r="J142" i="52"/>
  <c r="I142" i="52"/>
  <c r="H142" i="52"/>
  <c r="G142" i="52"/>
  <c r="F142" i="52"/>
  <c r="E142" i="52"/>
  <c r="D142" i="52"/>
  <c r="C142" i="52"/>
  <c r="B142" i="52"/>
  <c r="A142" i="52"/>
  <c r="M141" i="52"/>
  <c r="K141" i="52"/>
  <c r="J141" i="52"/>
  <c r="I141" i="52"/>
  <c r="H141" i="52"/>
  <c r="G141" i="52"/>
  <c r="F141" i="52"/>
  <c r="E141" i="52"/>
  <c r="D141" i="52"/>
  <c r="C141" i="52"/>
  <c r="B141" i="52"/>
  <c r="A141" i="52"/>
  <c r="M140" i="52"/>
  <c r="K140" i="52"/>
  <c r="J140" i="52"/>
  <c r="I140" i="52"/>
  <c r="H140" i="52"/>
  <c r="G140" i="52"/>
  <c r="F140" i="52"/>
  <c r="E140" i="52"/>
  <c r="D140" i="52"/>
  <c r="C140" i="52"/>
  <c r="B140" i="52"/>
  <c r="A140" i="52"/>
  <c r="M139" i="52"/>
  <c r="K139" i="52"/>
  <c r="J139" i="52"/>
  <c r="I139" i="52"/>
  <c r="H139" i="52"/>
  <c r="G139" i="52"/>
  <c r="F139" i="52"/>
  <c r="E139" i="52"/>
  <c r="D139" i="52"/>
  <c r="C139" i="52"/>
  <c r="B139" i="52"/>
  <c r="A139" i="52"/>
  <c r="M138" i="52"/>
  <c r="K138" i="52"/>
  <c r="J138" i="52"/>
  <c r="I138" i="52"/>
  <c r="H138" i="52"/>
  <c r="G138" i="52"/>
  <c r="F138" i="52"/>
  <c r="E138" i="52"/>
  <c r="D138" i="52"/>
  <c r="C138" i="52"/>
  <c r="B138" i="52"/>
  <c r="A138" i="52"/>
  <c r="M137" i="52"/>
  <c r="K137" i="52"/>
  <c r="J137" i="52"/>
  <c r="I137" i="52"/>
  <c r="H137" i="52"/>
  <c r="G137" i="52"/>
  <c r="F137" i="52"/>
  <c r="E137" i="52"/>
  <c r="D137" i="52"/>
  <c r="C137" i="52"/>
  <c r="B137" i="52"/>
  <c r="A137" i="52"/>
  <c r="M136" i="52"/>
  <c r="K136" i="52"/>
  <c r="J136" i="52"/>
  <c r="I136" i="52"/>
  <c r="H136" i="52"/>
  <c r="G136" i="52"/>
  <c r="F136" i="52"/>
  <c r="E136" i="52"/>
  <c r="D136" i="52"/>
  <c r="C136" i="52"/>
  <c r="B136" i="52"/>
  <c r="A136" i="52"/>
  <c r="M135" i="52"/>
  <c r="K135" i="52"/>
  <c r="J135" i="52"/>
  <c r="I135" i="52"/>
  <c r="H135" i="52"/>
  <c r="G135" i="52"/>
  <c r="F135" i="52"/>
  <c r="E135" i="52"/>
  <c r="D135" i="52"/>
  <c r="C135" i="52"/>
  <c r="B135" i="52"/>
  <c r="A135" i="52"/>
  <c r="M134" i="52"/>
  <c r="K134" i="52"/>
  <c r="J134" i="52"/>
  <c r="I134" i="52"/>
  <c r="H134" i="52"/>
  <c r="G134" i="52"/>
  <c r="F134" i="52"/>
  <c r="E134" i="52"/>
  <c r="D134" i="52"/>
  <c r="C134" i="52"/>
  <c r="B134" i="52"/>
  <c r="A134" i="52"/>
  <c r="M133" i="52"/>
  <c r="K133" i="52"/>
  <c r="J133" i="52"/>
  <c r="I133" i="52"/>
  <c r="H133" i="52"/>
  <c r="G133" i="52"/>
  <c r="F133" i="52"/>
  <c r="E133" i="52"/>
  <c r="D133" i="52"/>
  <c r="C133" i="52"/>
  <c r="B133" i="52"/>
  <c r="A133" i="52"/>
  <c r="M132" i="52"/>
  <c r="K132" i="52"/>
  <c r="J132" i="52"/>
  <c r="I132" i="52"/>
  <c r="H132" i="52"/>
  <c r="G132" i="52"/>
  <c r="F132" i="52"/>
  <c r="E132" i="52"/>
  <c r="D132" i="52"/>
  <c r="C132" i="52"/>
  <c r="B132" i="52"/>
  <c r="A132" i="52"/>
  <c r="M131" i="52"/>
  <c r="K131" i="52"/>
  <c r="J131" i="52"/>
  <c r="I131" i="52"/>
  <c r="H131" i="52"/>
  <c r="G131" i="52"/>
  <c r="F131" i="52"/>
  <c r="E131" i="52"/>
  <c r="D131" i="52"/>
  <c r="C131" i="52"/>
  <c r="B131" i="52"/>
  <c r="A131" i="52"/>
  <c r="M130" i="52"/>
  <c r="K130" i="52"/>
  <c r="J130" i="52"/>
  <c r="I130" i="52"/>
  <c r="H130" i="52"/>
  <c r="G130" i="52"/>
  <c r="F130" i="52"/>
  <c r="E130" i="52"/>
  <c r="D130" i="52"/>
  <c r="C130" i="52"/>
  <c r="B130" i="52"/>
  <c r="A130" i="52"/>
  <c r="M129" i="52"/>
  <c r="K129" i="52"/>
  <c r="J129" i="52"/>
  <c r="I129" i="52"/>
  <c r="H129" i="52"/>
  <c r="G129" i="52"/>
  <c r="F129" i="52"/>
  <c r="E129" i="52"/>
  <c r="D129" i="52"/>
  <c r="C129" i="52"/>
  <c r="B129" i="52"/>
  <c r="A129" i="52"/>
  <c r="M128" i="52"/>
  <c r="K128" i="52"/>
  <c r="J128" i="52"/>
  <c r="I128" i="52"/>
  <c r="H128" i="52"/>
  <c r="G128" i="52"/>
  <c r="F128" i="52"/>
  <c r="E128" i="52"/>
  <c r="D128" i="52"/>
  <c r="C128" i="52"/>
  <c r="B128" i="52"/>
  <c r="A128" i="52"/>
  <c r="M127" i="52"/>
  <c r="K127" i="52"/>
  <c r="J127" i="52"/>
  <c r="I127" i="52"/>
  <c r="H127" i="52"/>
  <c r="G127" i="52"/>
  <c r="F127" i="52"/>
  <c r="E127" i="52"/>
  <c r="D127" i="52"/>
  <c r="C127" i="52"/>
  <c r="B127" i="52"/>
  <c r="A127" i="52"/>
  <c r="M126" i="52"/>
  <c r="K126" i="52"/>
  <c r="J126" i="52"/>
  <c r="I126" i="52"/>
  <c r="H126" i="52"/>
  <c r="G126" i="52"/>
  <c r="F126" i="52"/>
  <c r="E126" i="52"/>
  <c r="D126" i="52"/>
  <c r="C126" i="52"/>
  <c r="B126" i="52"/>
  <c r="A126" i="52"/>
  <c r="M125" i="52"/>
  <c r="K125" i="52"/>
  <c r="J125" i="52"/>
  <c r="I125" i="52"/>
  <c r="H125" i="52"/>
  <c r="G125" i="52"/>
  <c r="F125" i="52"/>
  <c r="E125" i="52"/>
  <c r="D125" i="52"/>
  <c r="C125" i="52"/>
  <c r="B125" i="52"/>
  <c r="A125" i="52"/>
  <c r="M124" i="52"/>
  <c r="K124" i="52"/>
  <c r="J124" i="52"/>
  <c r="I124" i="52"/>
  <c r="H124" i="52"/>
  <c r="G124" i="52"/>
  <c r="F124" i="52"/>
  <c r="E124" i="52"/>
  <c r="D124" i="52"/>
  <c r="C124" i="52"/>
  <c r="B124" i="52"/>
  <c r="A124" i="52"/>
  <c r="M123" i="52"/>
  <c r="K123" i="52"/>
  <c r="J123" i="52"/>
  <c r="I123" i="52"/>
  <c r="H123" i="52"/>
  <c r="G123" i="52"/>
  <c r="F123" i="52"/>
  <c r="E123" i="52"/>
  <c r="D123" i="52"/>
  <c r="C123" i="52"/>
  <c r="B123" i="52"/>
  <c r="A123" i="52"/>
  <c r="M122" i="52"/>
  <c r="K122" i="52"/>
  <c r="J122" i="52"/>
  <c r="I122" i="52"/>
  <c r="H122" i="52"/>
  <c r="G122" i="52"/>
  <c r="F122" i="52"/>
  <c r="E122" i="52"/>
  <c r="D122" i="52"/>
  <c r="C122" i="52"/>
  <c r="B122" i="52"/>
  <c r="A122" i="52"/>
  <c r="M121" i="52"/>
  <c r="K121" i="52"/>
  <c r="J121" i="52"/>
  <c r="I121" i="52"/>
  <c r="H121" i="52"/>
  <c r="G121" i="52"/>
  <c r="F121" i="52"/>
  <c r="E121" i="52"/>
  <c r="D121" i="52"/>
  <c r="C121" i="52"/>
  <c r="B121" i="52"/>
  <c r="A121" i="52"/>
  <c r="M120" i="52"/>
  <c r="K120" i="52"/>
  <c r="J120" i="52"/>
  <c r="I120" i="52"/>
  <c r="H120" i="52"/>
  <c r="G120" i="52"/>
  <c r="F120" i="52"/>
  <c r="E120" i="52"/>
  <c r="D120" i="52"/>
  <c r="C120" i="52"/>
  <c r="B120" i="52"/>
  <c r="A120" i="52"/>
  <c r="M119" i="52"/>
  <c r="K119" i="52"/>
  <c r="J119" i="52"/>
  <c r="I119" i="52"/>
  <c r="H119" i="52"/>
  <c r="G119" i="52"/>
  <c r="F119" i="52"/>
  <c r="E119" i="52"/>
  <c r="D119" i="52"/>
  <c r="C119" i="52"/>
  <c r="B119" i="52"/>
  <c r="A119" i="52"/>
  <c r="M118" i="52"/>
  <c r="K118" i="52"/>
  <c r="J118" i="52"/>
  <c r="I118" i="52"/>
  <c r="H118" i="52"/>
  <c r="G118" i="52"/>
  <c r="F118" i="52"/>
  <c r="E118" i="52"/>
  <c r="D118" i="52"/>
  <c r="C118" i="52"/>
  <c r="B118" i="52"/>
  <c r="A118" i="52"/>
  <c r="M117" i="52"/>
  <c r="K117" i="52"/>
  <c r="J117" i="52"/>
  <c r="I117" i="52"/>
  <c r="H117" i="52"/>
  <c r="G117" i="52"/>
  <c r="F117" i="52"/>
  <c r="E117" i="52"/>
  <c r="D117" i="52"/>
  <c r="C117" i="52"/>
  <c r="B117" i="52"/>
  <c r="A117" i="52"/>
  <c r="M116" i="52"/>
  <c r="K116" i="52"/>
  <c r="J116" i="52"/>
  <c r="I116" i="52"/>
  <c r="H116" i="52"/>
  <c r="G116" i="52"/>
  <c r="F116" i="52"/>
  <c r="E116" i="52"/>
  <c r="D116" i="52"/>
  <c r="C116" i="52"/>
  <c r="B116" i="52"/>
  <c r="A116" i="52"/>
  <c r="M115" i="52"/>
  <c r="K115" i="52"/>
  <c r="J115" i="52"/>
  <c r="I115" i="52"/>
  <c r="H115" i="52"/>
  <c r="G115" i="52"/>
  <c r="F115" i="52"/>
  <c r="E115" i="52"/>
  <c r="D115" i="52"/>
  <c r="C115" i="52"/>
  <c r="B115" i="52"/>
  <c r="A115" i="52"/>
  <c r="M114" i="52"/>
  <c r="K114" i="52"/>
  <c r="J114" i="52"/>
  <c r="I114" i="52"/>
  <c r="H114" i="52"/>
  <c r="G114" i="52"/>
  <c r="F114" i="52"/>
  <c r="E114" i="52"/>
  <c r="D114" i="52"/>
  <c r="C114" i="52"/>
  <c r="B114" i="52"/>
  <c r="A114" i="52"/>
  <c r="M113" i="52"/>
  <c r="K113" i="52"/>
  <c r="J113" i="52"/>
  <c r="I113" i="52"/>
  <c r="H113" i="52"/>
  <c r="G113" i="52"/>
  <c r="F113" i="52"/>
  <c r="E113" i="52"/>
  <c r="D113" i="52"/>
  <c r="C113" i="52"/>
  <c r="B113" i="52"/>
  <c r="A113" i="52"/>
  <c r="M112" i="52"/>
  <c r="K112" i="52"/>
  <c r="J112" i="52"/>
  <c r="I112" i="52"/>
  <c r="H112" i="52"/>
  <c r="G112" i="52"/>
  <c r="F112" i="52"/>
  <c r="E112" i="52"/>
  <c r="D112" i="52"/>
  <c r="C112" i="52"/>
  <c r="B112" i="52"/>
  <c r="A112" i="52"/>
  <c r="M111" i="52"/>
  <c r="K111" i="52"/>
  <c r="J111" i="52"/>
  <c r="I111" i="52"/>
  <c r="H111" i="52"/>
  <c r="G111" i="52"/>
  <c r="F111" i="52"/>
  <c r="E111" i="52"/>
  <c r="D111" i="52"/>
  <c r="C111" i="52"/>
  <c r="B111" i="52"/>
  <c r="A111" i="52"/>
  <c r="M110" i="52"/>
  <c r="K110" i="52"/>
  <c r="J110" i="52"/>
  <c r="I110" i="52"/>
  <c r="H110" i="52"/>
  <c r="G110" i="52"/>
  <c r="F110" i="52"/>
  <c r="E110" i="52"/>
  <c r="D110" i="52"/>
  <c r="C110" i="52"/>
  <c r="B110" i="52"/>
  <c r="A110" i="52"/>
  <c r="M109" i="52"/>
  <c r="K109" i="52"/>
  <c r="J109" i="52"/>
  <c r="I109" i="52"/>
  <c r="H109" i="52"/>
  <c r="G109" i="52"/>
  <c r="F109" i="52"/>
  <c r="E109" i="52"/>
  <c r="D109" i="52"/>
  <c r="C109" i="52"/>
  <c r="B109" i="52"/>
  <c r="A109" i="52"/>
  <c r="M108" i="52"/>
  <c r="K108" i="52"/>
  <c r="J108" i="52"/>
  <c r="I108" i="52"/>
  <c r="H108" i="52"/>
  <c r="G108" i="52"/>
  <c r="F108" i="52"/>
  <c r="E108" i="52"/>
  <c r="D108" i="52"/>
  <c r="C108" i="52"/>
  <c r="B108" i="52"/>
  <c r="A108" i="52"/>
  <c r="M107" i="52"/>
  <c r="K107" i="52"/>
  <c r="J107" i="52"/>
  <c r="I107" i="52"/>
  <c r="H107" i="52"/>
  <c r="G107" i="52"/>
  <c r="F107" i="52"/>
  <c r="E107" i="52"/>
  <c r="D107" i="52"/>
  <c r="C107" i="52"/>
  <c r="B107" i="52"/>
  <c r="A107" i="52"/>
  <c r="M106" i="52"/>
  <c r="K106" i="52"/>
  <c r="J106" i="52"/>
  <c r="I106" i="52"/>
  <c r="H106" i="52"/>
  <c r="G106" i="52"/>
  <c r="F106" i="52"/>
  <c r="E106" i="52"/>
  <c r="D106" i="52"/>
  <c r="C106" i="52"/>
  <c r="B106" i="52"/>
  <c r="A106" i="52"/>
  <c r="M105" i="52"/>
  <c r="K105" i="52"/>
  <c r="J105" i="52"/>
  <c r="I105" i="52"/>
  <c r="H105" i="52"/>
  <c r="G105" i="52"/>
  <c r="F105" i="52"/>
  <c r="E105" i="52"/>
  <c r="D105" i="52"/>
  <c r="C105" i="52"/>
  <c r="B105" i="52"/>
  <c r="A105" i="52"/>
  <c r="M104" i="52"/>
  <c r="K104" i="52"/>
  <c r="J104" i="52"/>
  <c r="I104" i="52"/>
  <c r="H104" i="52"/>
  <c r="G104" i="52"/>
  <c r="F104" i="52"/>
  <c r="E104" i="52"/>
  <c r="D104" i="52"/>
  <c r="C104" i="52"/>
  <c r="B104" i="52"/>
  <c r="A104" i="52"/>
  <c r="M103" i="52"/>
  <c r="K103" i="52"/>
  <c r="J103" i="52"/>
  <c r="I103" i="52"/>
  <c r="H103" i="52"/>
  <c r="G103" i="52"/>
  <c r="F103" i="52"/>
  <c r="E103" i="52"/>
  <c r="D103" i="52"/>
  <c r="C103" i="52"/>
  <c r="B103" i="52"/>
  <c r="A103" i="52"/>
  <c r="M102" i="52"/>
  <c r="K102" i="52"/>
  <c r="J102" i="52"/>
  <c r="I102" i="52"/>
  <c r="H102" i="52"/>
  <c r="G102" i="52"/>
  <c r="F102" i="52"/>
  <c r="E102" i="52"/>
  <c r="D102" i="52"/>
  <c r="C102" i="52"/>
  <c r="B102" i="52"/>
  <c r="A102" i="52"/>
  <c r="M101" i="52"/>
  <c r="K101" i="52"/>
  <c r="J101" i="52"/>
  <c r="I101" i="52"/>
  <c r="H101" i="52"/>
  <c r="G101" i="52"/>
  <c r="F101" i="52"/>
  <c r="E101" i="52"/>
  <c r="D101" i="52"/>
  <c r="C101" i="52"/>
  <c r="B101" i="52"/>
  <c r="A101" i="52"/>
  <c r="M100" i="52"/>
  <c r="K100" i="52"/>
  <c r="J100" i="52"/>
  <c r="I100" i="52"/>
  <c r="H100" i="52"/>
  <c r="G100" i="52"/>
  <c r="F100" i="52"/>
  <c r="E100" i="52"/>
  <c r="D100" i="52"/>
  <c r="C100" i="52"/>
  <c r="B100" i="52"/>
  <c r="A100" i="52"/>
  <c r="M99" i="52"/>
  <c r="K99" i="52"/>
  <c r="J99" i="52"/>
  <c r="I99" i="52"/>
  <c r="H99" i="52"/>
  <c r="G99" i="52"/>
  <c r="F99" i="52"/>
  <c r="E99" i="52"/>
  <c r="D99" i="52"/>
  <c r="C99" i="52"/>
  <c r="B99" i="52"/>
  <c r="A99" i="52"/>
  <c r="M98" i="52"/>
  <c r="K98" i="52"/>
  <c r="J98" i="52"/>
  <c r="I98" i="52"/>
  <c r="H98" i="52"/>
  <c r="G98" i="52"/>
  <c r="F98" i="52"/>
  <c r="E98" i="52"/>
  <c r="D98" i="52"/>
  <c r="C98" i="52"/>
  <c r="B98" i="52"/>
  <c r="A98" i="52"/>
  <c r="M97" i="52"/>
  <c r="K97" i="52"/>
  <c r="J97" i="52"/>
  <c r="I97" i="52"/>
  <c r="H97" i="52"/>
  <c r="G97" i="52"/>
  <c r="F97" i="52"/>
  <c r="E97" i="52"/>
  <c r="D97" i="52"/>
  <c r="C97" i="52"/>
  <c r="B97" i="52"/>
  <c r="A97" i="52"/>
  <c r="M96" i="52"/>
  <c r="K96" i="52"/>
  <c r="J96" i="52"/>
  <c r="I96" i="52"/>
  <c r="H96" i="52"/>
  <c r="G96" i="52"/>
  <c r="F96" i="52"/>
  <c r="E96" i="52"/>
  <c r="D96" i="52"/>
  <c r="C96" i="52"/>
  <c r="B96" i="52"/>
  <c r="A96" i="52"/>
  <c r="M95" i="52"/>
  <c r="K95" i="52"/>
  <c r="J95" i="52"/>
  <c r="I95" i="52"/>
  <c r="H95" i="52"/>
  <c r="G95" i="52"/>
  <c r="F95" i="52"/>
  <c r="E95" i="52"/>
  <c r="D95" i="52"/>
  <c r="C95" i="52"/>
  <c r="B95" i="52"/>
  <c r="A95" i="52"/>
  <c r="M94" i="52"/>
  <c r="K94" i="52"/>
  <c r="J94" i="52"/>
  <c r="I94" i="52"/>
  <c r="H94" i="52"/>
  <c r="G94" i="52"/>
  <c r="F94" i="52"/>
  <c r="E94" i="52"/>
  <c r="D94" i="52"/>
  <c r="C94" i="52"/>
  <c r="B94" i="52"/>
  <c r="A94" i="52"/>
  <c r="M93" i="52"/>
  <c r="K93" i="52"/>
  <c r="J93" i="52"/>
  <c r="I93" i="52"/>
  <c r="H93" i="52"/>
  <c r="G93" i="52"/>
  <c r="F93" i="52"/>
  <c r="E93" i="52"/>
  <c r="D93" i="52"/>
  <c r="C93" i="52"/>
  <c r="B93" i="52"/>
  <c r="A93" i="52"/>
  <c r="M92" i="52"/>
  <c r="K92" i="52"/>
  <c r="J92" i="52"/>
  <c r="I92" i="52"/>
  <c r="H92" i="52"/>
  <c r="G92" i="52"/>
  <c r="F92" i="52"/>
  <c r="E92" i="52"/>
  <c r="D92" i="52"/>
  <c r="C92" i="52"/>
  <c r="B92" i="52"/>
  <c r="A92" i="52"/>
  <c r="M91" i="52"/>
  <c r="K91" i="52"/>
  <c r="J91" i="52"/>
  <c r="I91" i="52"/>
  <c r="H91" i="52"/>
  <c r="G91" i="52"/>
  <c r="F91" i="52"/>
  <c r="E91" i="52"/>
  <c r="D91" i="52"/>
  <c r="C91" i="52"/>
  <c r="B91" i="52"/>
  <c r="A91" i="52"/>
  <c r="M90" i="52"/>
  <c r="K90" i="52"/>
  <c r="J90" i="52"/>
  <c r="I90" i="52"/>
  <c r="H90" i="52"/>
  <c r="G90" i="52"/>
  <c r="F90" i="52"/>
  <c r="E90" i="52"/>
  <c r="D90" i="52"/>
  <c r="C90" i="52"/>
  <c r="B90" i="52"/>
  <c r="A90" i="52"/>
  <c r="M89" i="52"/>
  <c r="K89" i="52"/>
  <c r="J89" i="52"/>
  <c r="I89" i="52"/>
  <c r="H89" i="52"/>
  <c r="G89" i="52"/>
  <c r="F89" i="52"/>
  <c r="E89" i="52"/>
  <c r="D89" i="52"/>
  <c r="C89" i="52"/>
  <c r="B89" i="52"/>
  <c r="A89" i="52"/>
  <c r="M88" i="52"/>
  <c r="K88" i="52"/>
  <c r="J88" i="52"/>
  <c r="I88" i="52"/>
  <c r="H88" i="52"/>
  <c r="G88" i="52"/>
  <c r="F88" i="52"/>
  <c r="E88" i="52"/>
  <c r="D88" i="52"/>
  <c r="C88" i="52"/>
  <c r="B88" i="52"/>
  <c r="A88" i="52"/>
  <c r="M87" i="52"/>
  <c r="K87" i="52"/>
  <c r="J87" i="52"/>
  <c r="I87" i="52"/>
  <c r="H87" i="52"/>
  <c r="G87" i="52"/>
  <c r="F87" i="52"/>
  <c r="E87" i="52"/>
  <c r="D87" i="52"/>
  <c r="C87" i="52"/>
  <c r="B87" i="52"/>
  <c r="A87" i="52"/>
  <c r="M86" i="52"/>
  <c r="K86" i="52"/>
  <c r="J86" i="52"/>
  <c r="I86" i="52"/>
  <c r="H86" i="52"/>
  <c r="G86" i="52"/>
  <c r="F86" i="52"/>
  <c r="E86" i="52"/>
  <c r="D86" i="52"/>
  <c r="C86" i="52"/>
  <c r="B86" i="52"/>
  <c r="A86" i="52"/>
  <c r="M85" i="52"/>
  <c r="K85" i="52"/>
  <c r="J85" i="52"/>
  <c r="I85" i="52"/>
  <c r="H85" i="52"/>
  <c r="G85" i="52"/>
  <c r="F85" i="52"/>
  <c r="E85" i="52"/>
  <c r="D85" i="52"/>
  <c r="C85" i="52"/>
  <c r="B85" i="52"/>
  <c r="A85" i="52"/>
  <c r="M84" i="52"/>
  <c r="K84" i="52"/>
  <c r="J84" i="52"/>
  <c r="I84" i="52"/>
  <c r="H84" i="52"/>
  <c r="G84" i="52"/>
  <c r="F84" i="52"/>
  <c r="E84" i="52"/>
  <c r="D84" i="52"/>
  <c r="C84" i="52"/>
  <c r="B84" i="52"/>
  <c r="A84" i="52"/>
  <c r="M83" i="52"/>
  <c r="K83" i="52"/>
  <c r="J83" i="52"/>
  <c r="I83" i="52"/>
  <c r="H83" i="52"/>
  <c r="G83" i="52"/>
  <c r="F83" i="52"/>
  <c r="E83" i="52"/>
  <c r="D83" i="52"/>
  <c r="C83" i="52"/>
  <c r="B83" i="52"/>
  <c r="A83" i="52"/>
  <c r="M82" i="52"/>
  <c r="K82" i="52"/>
  <c r="J82" i="52"/>
  <c r="I82" i="52"/>
  <c r="H82" i="52"/>
  <c r="G82" i="52"/>
  <c r="F82" i="52"/>
  <c r="E82" i="52"/>
  <c r="D82" i="52"/>
  <c r="C82" i="52"/>
  <c r="B82" i="52"/>
  <c r="A82" i="52"/>
  <c r="M81" i="52"/>
  <c r="K81" i="52"/>
  <c r="J81" i="52"/>
  <c r="I81" i="52"/>
  <c r="H81" i="52"/>
  <c r="G81" i="52"/>
  <c r="F81" i="52"/>
  <c r="E81" i="52"/>
  <c r="D81" i="52"/>
  <c r="C81" i="52"/>
  <c r="B81" i="52"/>
  <c r="A81" i="52"/>
  <c r="M80" i="52"/>
  <c r="K80" i="52"/>
  <c r="J80" i="52"/>
  <c r="I80" i="52"/>
  <c r="H80" i="52"/>
  <c r="G80" i="52"/>
  <c r="F80" i="52"/>
  <c r="E80" i="52"/>
  <c r="D80" i="52"/>
  <c r="C80" i="52"/>
  <c r="B80" i="52"/>
  <c r="A80" i="52"/>
  <c r="M79" i="52"/>
  <c r="K79" i="52"/>
  <c r="J79" i="52"/>
  <c r="I79" i="52"/>
  <c r="H79" i="52"/>
  <c r="G79" i="52"/>
  <c r="F79" i="52"/>
  <c r="E79" i="52"/>
  <c r="D79" i="52"/>
  <c r="C79" i="52"/>
  <c r="B79" i="52"/>
  <c r="A79" i="52"/>
  <c r="M78" i="52"/>
  <c r="K78" i="52"/>
  <c r="J78" i="52"/>
  <c r="I78" i="52"/>
  <c r="H78" i="52"/>
  <c r="G78" i="52"/>
  <c r="F78" i="52"/>
  <c r="E78" i="52"/>
  <c r="D78" i="52"/>
  <c r="C78" i="52"/>
  <c r="B78" i="52"/>
  <c r="A78" i="52"/>
  <c r="M77" i="52"/>
  <c r="K77" i="52"/>
  <c r="J77" i="52"/>
  <c r="I77" i="52"/>
  <c r="H77" i="52"/>
  <c r="G77" i="52"/>
  <c r="F77" i="52"/>
  <c r="E77" i="52"/>
  <c r="D77" i="52"/>
  <c r="C77" i="52"/>
  <c r="B77" i="52"/>
  <c r="A77" i="52"/>
  <c r="M76" i="52"/>
  <c r="K76" i="52"/>
  <c r="J76" i="52"/>
  <c r="I76" i="52"/>
  <c r="H76" i="52"/>
  <c r="G76" i="52"/>
  <c r="F76" i="52"/>
  <c r="E76" i="52"/>
  <c r="D76" i="52"/>
  <c r="C76" i="52"/>
  <c r="B76" i="52"/>
  <c r="A76" i="52"/>
  <c r="M75" i="52"/>
  <c r="K75" i="52"/>
  <c r="J75" i="52"/>
  <c r="I75" i="52"/>
  <c r="H75" i="52"/>
  <c r="G75" i="52"/>
  <c r="F75" i="52"/>
  <c r="E75" i="52"/>
  <c r="D75" i="52"/>
  <c r="C75" i="52"/>
  <c r="B75" i="52"/>
  <c r="A75" i="52"/>
  <c r="M74" i="52"/>
  <c r="K74" i="52"/>
  <c r="J74" i="52"/>
  <c r="I74" i="52"/>
  <c r="H74" i="52"/>
  <c r="G74" i="52"/>
  <c r="F74" i="52"/>
  <c r="E74" i="52"/>
  <c r="D74" i="52"/>
  <c r="C74" i="52"/>
  <c r="B74" i="52"/>
  <c r="A74" i="52"/>
  <c r="M73" i="52"/>
  <c r="K73" i="52"/>
  <c r="J73" i="52"/>
  <c r="I73" i="52"/>
  <c r="H73" i="52"/>
  <c r="G73" i="52"/>
  <c r="F73" i="52"/>
  <c r="E73" i="52"/>
  <c r="D73" i="52"/>
  <c r="C73" i="52"/>
  <c r="B73" i="52"/>
  <c r="A73" i="52"/>
  <c r="M72" i="52"/>
  <c r="K72" i="52"/>
  <c r="J72" i="52"/>
  <c r="I72" i="52"/>
  <c r="H72" i="52"/>
  <c r="G72" i="52"/>
  <c r="F72" i="52"/>
  <c r="E72" i="52"/>
  <c r="D72" i="52"/>
  <c r="C72" i="52"/>
  <c r="B72" i="52"/>
  <c r="A72" i="52"/>
  <c r="M71" i="52"/>
  <c r="K71" i="52"/>
  <c r="J71" i="52"/>
  <c r="I71" i="52"/>
  <c r="H71" i="52"/>
  <c r="G71" i="52"/>
  <c r="F71" i="52"/>
  <c r="E71" i="52"/>
  <c r="D71" i="52"/>
  <c r="C71" i="52"/>
  <c r="B71" i="52"/>
  <c r="A71" i="52"/>
  <c r="M70" i="52"/>
  <c r="K70" i="52"/>
  <c r="J70" i="52"/>
  <c r="I70" i="52"/>
  <c r="H70" i="52"/>
  <c r="G70" i="52"/>
  <c r="F70" i="52"/>
  <c r="E70" i="52"/>
  <c r="D70" i="52"/>
  <c r="C70" i="52"/>
  <c r="B70" i="52"/>
  <c r="A70" i="52"/>
  <c r="M69" i="52"/>
  <c r="K69" i="52"/>
  <c r="J69" i="52"/>
  <c r="I69" i="52"/>
  <c r="H69" i="52"/>
  <c r="G69" i="52"/>
  <c r="F69" i="52"/>
  <c r="E69" i="52"/>
  <c r="D69" i="52"/>
  <c r="C69" i="52"/>
  <c r="B69" i="52"/>
  <c r="A69" i="52"/>
  <c r="M68" i="52"/>
  <c r="K68" i="52"/>
  <c r="J68" i="52"/>
  <c r="I68" i="52"/>
  <c r="H68" i="52"/>
  <c r="G68" i="52"/>
  <c r="F68" i="52"/>
  <c r="E68" i="52"/>
  <c r="D68" i="52"/>
  <c r="C68" i="52"/>
  <c r="B68" i="52"/>
  <c r="A68" i="52"/>
  <c r="M67" i="52"/>
  <c r="K67" i="52"/>
  <c r="J67" i="52"/>
  <c r="I67" i="52"/>
  <c r="H67" i="52"/>
  <c r="G67" i="52"/>
  <c r="F67" i="52"/>
  <c r="E67" i="52"/>
  <c r="D67" i="52"/>
  <c r="C67" i="52"/>
  <c r="B67" i="52"/>
  <c r="A67" i="52"/>
  <c r="M66" i="52"/>
  <c r="K66" i="52"/>
  <c r="J66" i="52"/>
  <c r="I66" i="52"/>
  <c r="H66" i="52"/>
  <c r="G66" i="52"/>
  <c r="F66" i="52"/>
  <c r="E66" i="52"/>
  <c r="D66" i="52"/>
  <c r="C66" i="52"/>
  <c r="B66" i="52"/>
  <c r="A66" i="52"/>
  <c r="M65" i="52"/>
  <c r="K65" i="52"/>
  <c r="J65" i="52"/>
  <c r="I65" i="52"/>
  <c r="H65" i="52"/>
  <c r="G65" i="52"/>
  <c r="F65" i="52"/>
  <c r="E65" i="52"/>
  <c r="D65" i="52"/>
  <c r="C65" i="52"/>
  <c r="B65" i="52"/>
  <c r="A65" i="52"/>
  <c r="M64" i="52"/>
  <c r="K64" i="52"/>
  <c r="J64" i="52"/>
  <c r="I64" i="52"/>
  <c r="H64" i="52"/>
  <c r="G64" i="52"/>
  <c r="F64" i="52"/>
  <c r="E64" i="52"/>
  <c r="D64" i="52"/>
  <c r="C64" i="52"/>
  <c r="B64" i="52"/>
  <c r="A64" i="52"/>
  <c r="M63" i="52"/>
  <c r="K63" i="52"/>
  <c r="J63" i="52"/>
  <c r="I63" i="52"/>
  <c r="H63" i="52"/>
  <c r="G63" i="52"/>
  <c r="F63" i="52"/>
  <c r="E63" i="52"/>
  <c r="D63" i="52"/>
  <c r="C63" i="52"/>
  <c r="B63" i="52"/>
  <c r="A63" i="52"/>
  <c r="M62" i="52"/>
  <c r="K62" i="52"/>
  <c r="J62" i="52"/>
  <c r="I62" i="52"/>
  <c r="H62" i="52"/>
  <c r="G62" i="52"/>
  <c r="F62" i="52"/>
  <c r="E62" i="52"/>
  <c r="D62" i="52"/>
  <c r="C62" i="52"/>
  <c r="B62" i="52"/>
  <c r="A62" i="52"/>
  <c r="M61" i="52"/>
  <c r="K61" i="52"/>
  <c r="J61" i="52"/>
  <c r="I61" i="52"/>
  <c r="H61" i="52"/>
  <c r="G61" i="52"/>
  <c r="F61" i="52"/>
  <c r="E61" i="52"/>
  <c r="D61" i="52"/>
  <c r="C61" i="52"/>
  <c r="B61" i="52"/>
  <c r="A61" i="52"/>
  <c r="M60" i="52"/>
  <c r="K60" i="52"/>
  <c r="J60" i="52"/>
  <c r="I60" i="52"/>
  <c r="H60" i="52"/>
  <c r="G60" i="52"/>
  <c r="F60" i="52"/>
  <c r="E60" i="52"/>
  <c r="D60" i="52"/>
  <c r="C60" i="52"/>
  <c r="B60" i="52"/>
  <c r="A60" i="52"/>
  <c r="M59" i="52"/>
  <c r="K59" i="52"/>
  <c r="J59" i="52"/>
  <c r="I59" i="52"/>
  <c r="H59" i="52"/>
  <c r="G59" i="52"/>
  <c r="F59" i="52"/>
  <c r="E59" i="52"/>
  <c r="D59" i="52"/>
  <c r="C59" i="52"/>
  <c r="B59" i="52"/>
  <c r="A59" i="52"/>
  <c r="M58" i="52"/>
  <c r="K58" i="52"/>
  <c r="J58" i="52"/>
  <c r="I58" i="52"/>
  <c r="H58" i="52"/>
  <c r="G58" i="52"/>
  <c r="F58" i="52"/>
  <c r="E58" i="52"/>
  <c r="D58" i="52"/>
  <c r="C58" i="52"/>
  <c r="B58" i="52"/>
  <c r="A58" i="52"/>
  <c r="M57" i="52"/>
  <c r="K57" i="52"/>
  <c r="J57" i="52"/>
  <c r="I57" i="52"/>
  <c r="H57" i="52"/>
  <c r="G57" i="52"/>
  <c r="F57" i="52"/>
  <c r="E57" i="52"/>
  <c r="D57" i="52"/>
  <c r="C57" i="52"/>
  <c r="B57" i="52"/>
  <c r="A57" i="52"/>
  <c r="M56" i="52"/>
  <c r="K56" i="52"/>
  <c r="J56" i="52"/>
  <c r="I56" i="52"/>
  <c r="H56" i="52"/>
  <c r="G56" i="52"/>
  <c r="F56" i="52"/>
  <c r="E56" i="52"/>
  <c r="D56" i="52"/>
  <c r="C56" i="52"/>
  <c r="B56" i="52"/>
  <c r="A56" i="52"/>
  <c r="M55" i="52"/>
  <c r="K55" i="52"/>
  <c r="J55" i="52"/>
  <c r="I55" i="52"/>
  <c r="H55" i="52"/>
  <c r="G55" i="52"/>
  <c r="F55" i="52"/>
  <c r="E55" i="52"/>
  <c r="D55" i="52"/>
  <c r="C55" i="52"/>
  <c r="B55" i="52"/>
  <c r="A55" i="52"/>
  <c r="M54" i="52"/>
  <c r="K54" i="52"/>
  <c r="J54" i="52"/>
  <c r="I54" i="52"/>
  <c r="H54" i="52"/>
  <c r="G54" i="52"/>
  <c r="F54" i="52"/>
  <c r="E54" i="52"/>
  <c r="D54" i="52"/>
  <c r="C54" i="52"/>
  <c r="B54" i="52"/>
  <c r="A54" i="52"/>
  <c r="M53" i="52"/>
  <c r="K53" i="52"/>
  <c r="J53" i="52"/>
  <c r="I53" i="52"/>
  <c r="H53" i="52"/>
  <c r="G53" i="52"/>
  <c r="F53" i="52"/>
  <c r="E53" i="52"/>
  <c r="D53" i="52"/>
  <c r="C53" i="52"/>
  <c r="B53" i="52"/>
  <c r="A53" i="52"/>
  <c r="M52" i="52"/>
  <c r="K52" i="52"/>
  <c r="J52" i="52"/>
  <c r="I52" i="52"/>
  <c r="H52" i="52"/>
  <c r="G52" i="52"/>
  <c r="F52" i="52"/>
  <c r="E52" i="52"/>
  <c r="D52" i="52"/>
  <c r="C52" i="52"/>
  <c r="B52" i="52"/>
  <c r="A52" i="52"/>
  <c r="M51" i="52"/>
  <c r="K51" i="52"/>
  <c r="J51" i="52"/>
  <c r="I51" i="52"/>
  <c r="H51" i="52"/>
  <c r="G51" i="52"/>
  <c r="F51" i="52"/>
  <c r="E51" i="52"/>
  <c r="D51" i="52"/>
  <c r="C51" i="52"/>
  <c r="B51" i="52"/>
  <c r="A51" i="52"/>
  <c r="M50" i="52"/>
  <c r="K50" i="52"/>
  <c r="J50" i="52"/>
  <c r="I50" i="52"/>
  <c r="H50" i="52"/>
  <c r="G50" i="52"/>
  <c r="F50" i="52"/>
  <c r="E50" i="52"/>
  <c r="D50" i="52"/>
  <c r="C50" i="52"/>
  <c r="B50" i="52"/>
  <c r="A50" i="52"/>
  <c r="M49" i="52"/>
  <c r="K49" i="52"/>
  <c r="J49" i="52"/>
  <c r="I49" i="52"/>
  <c r="H49" i="52"/>
  <c r="G49" i="52"/>
  <c r="F49" i="52"/>
  <c r="E49" i="52"/>
  <c r="D49" i="52"/>
  <c r="C49" i="52"/>
  <c r="B49" i="52"/>
  <c r="A49" i="52"/>
  <c r="M48" i="52"/>
  <c r="K48" i="52"/>
  <c r="J48" i="52"/>
  <c r="I48" i="52"/>
  <c r="H48" i="52"/>
  <c r="G48" i="52"/>
  <c r="F48" i="52"/>
  <c r="E48" i="52"/>
  <c r="D48" i="52"/>
  <c r="C48" i="52"/>
  <c r="B48" i="52"/>
  <c r="A48" i="52"/>
  <c r="M47" i="52"/>
  <c r="K47" i="52"/>
  <c r="J47" i="52"/>
  <c r="I47" i="52"/>
  <c r="H47" i="52"/>
  <c r="G47" i="52"/>
  <c r="F47" i="52"/>
  <c r="E47" i="52"/>
  <c r="D47" i="52"/>
  <c r="C47" i="52"/>
  <c r="B47" i="52"/>
  <c r="A47" i="52"/>
  <c r="M46" i="52"/>
  <c r="K46" i="52"/>
  <c r="J46" i="52"/>
  <c r="I46" i="52"/>
  <c r="H46" i="52"/>
  <c r="G46" i="52"/>
  <c r="F46" i="52"/>
  <c r="E46" i="52"/>
  <c r="D46" i="52"/>
  <c r="C46" i="52"/>
  <c r="B46" i="52"/>
  <c r="A46" i="52"/>
  <c r="M45" i="52"/>
  <c r="K45" i="52"/>
  <c r="J45" i="52"/>
  <c r="I45" i="52"/>
  <c r="H45" i="52"/>
  <c r="G45" i="52"/>
  <c r="F45" i="52"/>
  <c r="E45" i="52"/>
  <c r="D45" i="52"/>
  <c r="C45" i="52"/>
  <c r="B45" i="52"/>
  <c r="A45" i="52"/>
  <c r="M44" i="52"/>
  <c r="K44" i="52"/>
  <c r="J44" i="52"/>
  <c r="I44" i="52"/>
  <c r="H44" i="52"/>
  <c r="G44" i="52"/>
  <c r="F44" i="52"/>
  <c r="E44" i="52"/>
  <c r="D44" i="52"/>
  <c r="C44" i="52"/>
  <c r="B44" i="52"/>
  <c r="A44" i="52"/>
  <c r="M43" i="52"/>
  <c r="K43" i="52"/>
  <c r="J43" i="52"/>
  <c r="I43" i="52"/>
  <c r="H43" i="52"/>
  <c r="G43" i="52"/>
  <c r="F43" i="52"/>
  <c r="E43" i="52"/>
  <c r="D43" i="52"/>
  <c r="C43" i="52"/>
  <c r="B43" i="52"/>
  <c r="A43" i="52"/>
  <c r="M42" i="52"/>
  <c r="K42" i="52"/>
  <c r="J42" i="52"/>
  <c r="I42" i="52"/>
  <c r="H42" i="52"/>
  <c r="G42" i="52"/>
  <c r="F42" i="52"/>
  <c r="E42" i="52"/>
  <c r="D42" i="52"/>
  <c r="C42" i="52"/>
  <c r="B42" i="52"/>
  <c r="A42" i="52"/>
  <c r="M41" i="52"/>
  <c r="K41" i="52"/>
  <c r="J41" i="52"/>
  <c r="I41" i="52"/>
  <c r="H41" i="52"/>
  <c r="G41" i="52"/>
  <c r="F41" i="52"/>
  <c r="E41" i="52"/>
  <c r="D41" i="52"/>
  <c r="C41" i="52"/>
  <c r="B41" i="52"/>
  <c r="A41" i="52"/>
  <c r="M40" i="52"/>
  <c r="K40" i="52"/>
  <c r="J40" i="52"/>
  <c r="I40" i="52"/>
  <c r="H40" i="52"/>
  <c r="G40" i="52"/>
  <c r="F40" i="52"/>
  <c r="E40" i="52"/>
  <c r="D40" i="52"/>
  <c r="C40" i="52"/>
  <c r="B40" i="52"/>
  <c r="A40" i="52"/>
  <c r="M39" i="52"/>
  <c r="K39" i="52"/>
  <c r="J39" i="52"/>
  <c r="I39" i="52"/>
  <c r="H39" i="52"/>
  <c r="G39" i="52"/>
  <c r="F39" i="52"/>
  <c r="E39" i="52"/>
  <c r="D39" i="52"/>
  <c r="C39" i="52"/>
  <c r="B39" i="52"/>
  <c r="A39" i="52"/>
  <c r="M38" i="52"/>
  <c r="K38" i="52"/>
  <c r="J38" i="52"/>
  <c r="I38" i="52"/>
  <c r="H38" i="52"/>
  <c r="G38" i="52"/>
  <c r="F38" i="52"/>
  <c r="E38" i="52"/>
  <c r="D38" i="52"/>
  <c r="C38" i="52"/>
  <c r="B38" i="52"/>
  <c r="A38" i="52"/>
  <c r="M37" i="52"/>
  <c r="K37" i="52"/>
  <c r="J37" i="52"/>
  <c r="I37" i="52"/>
  <c r="H37" i="52"/>
  <c r="G37" i="52"/>
  <c r="F37" i="52"/>
  <c r="E37" i="52"/>
  <c r="D37" i="52"/>
  <c r="C37" i="52"/>
  <c r="B37" i="52"/>
  <c r="A37" i="52"/>
  <c r="M36" i="52"/>
  <c r="K36" i="52"/>
  <c r="J36" i="52"/>
  <c r="I36" i="52"/>
  <c r="H36" i="52"/>
  <c r="G36" i="52"/>
  <c r="F36" i="52"/>
  <c r="E36" i="52"/>
  <c r="D36" i="52"/>
  <c r="C36" i="52"/>
  <c r="B36" i="52"/>
  <c r="A36" i="52"/>
  <c r="M35" i="52"/>
  <c r="K35" i="52"/>
  <c r="J35" i="52"/>
  <c r="I35" i="52"/>
  <c r="H35" i="52"/>
  <c r="G35" i="52"/>
  <c r="F35" i="52"/>
  <c r="E35" i="52"/>
  <c r="D35" i="52"/>
  <c r="C35" i="52"/>
  <c r="B35" i="52"/>
  <c r="A35" i="52"/>
  <c r="M34" i="52"/>
  <c r="K34" i="52"/>
  <c r="J34" i="52"/>
  <c r="I34" i="52"/>
  <c r="H34" i="52"/>
  <c r="G34" i="52"/>
  <c r="F34" i="52"/>
  <c r="E34" i="52"/>
  <c r="D34" i="52"/>
  <c r="C34" i="52"/>
  <c r="B34" i="52"/>
  <c r="A34" i="52"/>
  <c r="M33" i="52"/>
  <c r="K33" i="52"/>
  <c r="J33" i="52"/>
  <c r="I33" i="52"/>
  <c r="H33" i="52"/>
  <c r="G33" i="52"/>
  <c r="F33" i="52"/>
  <c r="E33" i="52"/>
  <c r="D33" i="52"/>
  <c r="C33" i="52"/>
  <c r="B33" i="52"/>
  <c r="A33" i="52"/>
  <c r="M32" i="52"/>
  <c r="K32" i="52"/>
  <c r="J32" i="52"/>
  <c r="I32" i="52"/>
  <c r="H32" i="52"/>
  <c r="G32" i="52"/>
  <c r="F32" i="52"/>
  <c r="E32" i="52"/>
  <c r="D32" i="52"/>
  <c r="C32" i="52"/>
  <c r="B32" i="52"/>
  <c r="A32" i="52"/>
  <c r="M31" i="52"/>
  <c r="K31" i="52"/>
  <c r="J31" i="52"/>
  <c r="I31" i="52"/>
  <c r="H31" i="52"/>
  <c r="G31" i="52"/>
  <c r="F31" i="52"/>
  <c r="E31" i="52"/>
  <c r="D31" i="52"/>
  <c r="C31" i="52"/>
  <c r="B31" i="52"/>
  <c r="A31" i="52"/>
  <c r="M30" i="52"/>
  <c r="K30" i="52"/>
  <c r="J30" i="52"/>
  <c r="I30" i="52"/>
  <c r="H30" i="52"/>
  <c r="G30" i="52"/>
  <c r="F30" i="52"/>
  <c r="E30" i="52"/>
  <c r="D30" i="52"/>
  <c r="C30" i="52"/>
  <c r="B30" i="52"/>
  <c r="A30" i="52"/>
  <c r="M29" i="52"/>
  <c r="K29" i="52"/>
  <c r="J29" i="52"/>
  <c r="I29" i="52"/>
  <c r="H29" i="52"/>
  <c r="G29" i="52"/>
  <c r="F29" i="52"/>
  <c r="E29" i="52"/>
  <c r="D29" i="52"/>
  <c r="C29" i="52"/>
  <c r="B29" i="52"/>
  <c r="A29" i="52"/>
  <c r="M28" i="52"/>
  <c r="K28" i="52"/>
  <c r="J28" i="52"/>
  <c r="I28" i="52"/>
  <c r="H28" i="52"/>
  <c r="G28" i="52"/>
  <c r="F28" i="52"/>
  <c r="E28" i="52"/>
  <c r="D28" i="52"/>
  <c r="C28" i="52"/>
  <c r="B28" i="52"/>
  <c r="A28" i="52"/>
  <c r="M27" i="52"/>
  <c r="K27" i="52"/>
  <c r="J27" i="52"/>
  <c r="I27" i="52"/>
  <c r="H27" i="52"/>
  <c r="G27" i="52"/>
  <c r="F27" i="52"/>
  <c r="E27" i="52"/>
  <c r="D27" i="52"/>
  <c r="C27" i="52"/>
  <c r="B27" i="52"/>
  <c r="A27" i="52"/>
  <c r="M26" i="52"/>
  <c r="K26" i="52"/>
  <c r="J26" i="52"/>
  <c r="I26" i="52"/>
  <c r="H26" i="52"/>
  <c r="G26" i="52"/>
  <c r="F26" i="52"/>
  <c r="E26" i="52"/>
  <c r="D26" i="52"/>
  <c r="C26" i="52"/>
  <c r="B26" i="52"/>
  <c r="A26" i="52"/>
  <c r="M25" i="52"/>
  <c r="K25" i="52"/>
  <c r="J25" i="52"/>
  <c r="I25" i="52"/>
  <c r="H25" i="52"/>
  <c r="G25" i="52"/>
  <c r="F25" i="52"/>
  <c r="E25" i="52"/>
  <c r="D25" i="52"/>
  <c r="C25" i="52"/>
  <c r="B25" i="52"/>
  <c r="A25" i="52"/>
  <c r="M24" i="52"/>
  <c r="K24" i="52"/>
  <c r="J24" i="52"/>
  <c r="I24" i="52"/>
  <c r="H24" i="52"/>
  <c r="G24" i="52"/>
  <c r="F24" i="52"/>
  <c r="E24" i="52"/>
  <c r="D24" i="52"/>
  <c r="C24" i="52"/>
  <c r="B24" i="52"/>
  <c r="A24" i="52"/>
  <c r="M23" i="52"/>
  <c r="K23" i="52"/>
  <c r="J23" i="52"/>
  <c r="I23" i="52"/>
  <c r="H23" i="52"/>
  <c r="G23" i="52"/>
  <c r="F23" i="52"/>
  <c r="E23" i="52"/>
  <c r="D23" i="52"/>
  <c r="C23" i="52"/>
  <c r="B23" i="52"/>
  <c r="A23" i="52"/>
  <c r="M22" i="52"/>
  <c r="K22" i="52"/>
  <c r="J22" i="52"/>
  <c r="I22" i="52"/>
  <c r="H22" i="52"/>
  <c r="G22" i="52"/>
  <c r="F22" i="52"/>
  <c r="E22" i="52"/>
  <c r="D22" i="52"/>
  <c r="C22" i="52"/>
  <c r="B22" i="52"/>
  <c r="A22" i="52"/>
  <c r="M21" i="52"/>
  <c r="K21" i="52"/>
  <c r="J21" i="52"/>
  <c r="I21" i="52"/>
  <c r="H21" i="52"/>
  <c r="G21" i="52"/>
  <c r="F21" i="52"/>
  <c r="E21" i="52"/>
  <c r="D21" i="52"/>
  <c r="C21" i="52"/>
  <c r="B21" i="52"/>
  <c r="A21" i="52"/>
  <c r="M20" i="52"/>
  <c r="K20" i="52"/>
  <c r="J20" i="52"/>
  <c r="I20" i="52"/>
  <c r="H20" i="52"/>
  <c r="G20" i="52"/>
  <c r="F20" i="52"/>
  <c r="E20" i="52"/>
  <c r="D20" i="52"/>
  <c r="C20" i="52"/>
  <c r="B20" i="52"/>
  <c r="A20" i="52"/>
  <c r="M19" i="52"/>
  <c r="K19" i="52"/>
  <c r="J19" i="52"/>
  <c r="I19" i="52"/>
  <c r="H19" i="52"/>
  <c r="G19" i="52"/>
  <c r="F19" i="52"/>
  <c r="E19" i="52"/>
  <c r="D19" i="52"/>
  <c r="C19" i="52"/>
  <c r="B19" i="52"/>
  <c r="A19" i="52"/>
  <c r="M18" i="52"/>
  <c r="K18" i="52"/>
  <c r="J18" i="52"/>
  <c r="I18" i="52"/>
  <c r="H18" i="52"/>
  <c r="G18" i="52"/>
  <c r="F18" i="52"/>
  <c r="E18" i="52"/>
  <c r="D18" i="52"/>
  <c r="C18" i="52"/>
  <c r="B18" i="52"/>
  <c r="A18" i="52"/>
  <c r="M17" i="52"/>
  <c r="K17" i="52"/>
  <c r="J17" i="52"/>
  <c r="I17" i="52"/>
  <c r="H17" i="52"/>
  <c r="G17" i="52"/>
  <c r="F17" i="52"/>
  <c r="E17" i="52"/>
  <c r="D17" i="52"/>
  <c r="C17" i="52"/>
  <c r="B17" i="52"/>
  <c r="A17" i="52"/>
  <c r="M16" i="52"/>
  <c r="K16" i="52"/>
  <c r="J16" i="52"/>
  <c r="I16" i="52"/>
  <c r="H16" i="52"/>
  <c r="G16" i="52"/>
  <c r="F16" i="52"/>
  <c r="E16" i="52"/>
  <c r="D16" i="52"/>
  <c r="C16" i="52"/>
  <c r="B16" i="52"/>
  <c r="A16" i="52"/>
  <c r="M15" i="52"/>
  <c r="K15" i="52"/>
  <c r="J15" i="52"/>
  <c r="I15" i="52"/>
  <c r="H15" i="52"/>
  <c r="G15" i="52"/>
  <c r="F15" i="52"/>
  <c r="E15" i="52"/>
  <c r="D15" i="52"/>
  <c r="C15" i="52"/>
  <c r="B15" i="52"/>
  <c r="A15" i="52"/>
  <c r="M14" i="52"/>
  <c r="K14" i="52"/>
  <c r="J14" i="52"/>
  <c r="I14" i="52"/>
  <c r="H14" i="52"/>
  <c r="G14" i="52"/>
  <c r="F14" i="52"/>
  <c r="E14" i="52"/>
  <c r="D14" i="52"/>
  <c r="C14" i="52"/>
  <c r="B14" i="52"/>
  <c r="A14" i="52"/>
  <c r="M13" i="52"/>
  <c r="K13" i="52"/>
  <c r="J13" i="52"/>
  <c r="I13" i="52"/>
  <c r="H13" i="52"/>
  <c r="G13" i="52"/>
  <c r="F13" i="52"/>
  <c r="E13" i="52"/>
  <c r="D13" i="52"/>
  <c r="C13" i="52"/>
  <c r="B13" i="52"/>
  <c r="A13" i="52"/>
  <c r="M12" i="52"/>
  <c r="K12" i="52"/>
  <c r="J12" i="52"/>
  <c r="I12" i="52"/>
  <c r="H12" i="52"/>
  <c r="G12" i="52"/>
  <c r="F12" i="52"/>
  <c r="E12" i="52"/>
  <c r="D12" i="52"/>
  <c r="C12" i="52"/>
  <c r="B12" i="52"/>
  <c r="A12" i="52"/>
  <c r="M11" i="52"/>
  <c r="K11" i="52"/>
  <c r="J11" i="52"/>
  <c r="I11" i="52"/>
  <c r="H11" i="52"/>
  <c r="G11" i="52"/>
  <c r="F11" i="52"/>
  <c r="E11" i="52"/>
  <c r="D11" i="52"/>
  <c r="C11" i="52"/>
  <c r="B11" i="52"/>
  <c r="A11" i="52"/>
  <c r="M10" i="52"/>
  <c r="K10" i="52"/>
  <c r="J10" i="52"/>
  <c r="I10" i="52"/>
  <c r="H10" i="52"/>
  <c r="G10" i="52"/>
  <c r="F10" i="52"/>
  <c r="E10" i="52"/>
  <c r="D10" i="52"/>
  <c r="C10" i="52"/>
  <c r="B10" i="52"/>
  <c r="A10" i="52"/>
  <c r="M9" i="52"/>
  <c r="K9" i="52"/>
  <c r="J9" i="52"/>
  <c r="I9" i="52"/>
  <c r="H9" i="52"/>
  <c r="G9" i="52"/>
  <c r="F9" i="52"/>
  <c r="E9" i="52"/>
  <c r="D9" i="52"/>
  <c r="C9" i="52"/>
  <c r="B9" i="52"/>
  <c r="A9" i="52"/>
  <c r="M8" i="52"/>
  <c r="K8" i="52"/>
  <c r="J8" i="52"/>
  <c r="I8" i="52"/>
  <c r="H8" i="52"/>
  <c r="G8" i="52"/>
  <c r="F8" i="52"/>
  <c r="E8" i="52"/>
  <c r="D8" i="52"/>
  <c r="C8" i="52"/>
  <c r="B8" i="52"/>
  <c r="A8" i="52"/>
  <c r="M7" i="52"/>
  <c r="K7" i="52"/>
  <c r="J7" i="52"/>
  <c r="I7" i="52"/>
  <c r="H7" i="52"/>
  <c r="G7" i="52"/>
  <c r="F7" i="52"/>
  <c r="E7" i="52"/>
  <c r="D7" i="52"/>
  <c r="C7" i="52"/>
  <c r="B7" i="52"/>
  <c r="A7" i="52"/>
  <c r="M6" i="52"/>
  <c r="K6" i="52"/>
  <c r="J6" i="52"/>
  <c r="I6" i="52"/>
  <c r="H6" i="52"/>
  <c r="G6" i="52"/>
  <c r="F6" i="52"/>
  <c r="E6" i="52"/>
  <c r="D6" i="52"/>
  <c r="C6" i="52"/>
  <c r="B6" i="52"/>
  <c r="A6" i="52"/>
  <c r="A2" i="52"/>
  <c r="E315" i="52" l="1"/>
  <c r="L314" i="52"/>
  <c r="N314" i="52" s="1"/>
  <c r="L292" i="52"/>
  <c r="N292" i="52" s="1"/>
  <c r="L296" i="52"/>
  <c r="N296" i="52" s="1"/>
  <c r="L300" i="52"/>
  <c r="N300" i="52" s="1"/>
  <c r="L304" i="52"/>
  <c r="N304" i="52" s="1"/>
  <c r="L308" i="52"/>
  <c r="N308" i="52" s="1"/>
  <c r="L95" i="52"/>
  <c r="N95" i="52" s="1"/>
  <c r="L99" i="52"/>
  <c r="N99" i="52" s="1"/>
  <c r="L103" i="52"/>
  <c r="N103" i="52" s="1"/>
  <c r="L107" i="52"/>
  <c r="N107" i="52" s="1"/>
  <c r="L111" i="52"/>
  <c r="N111" i="52" s="1"/>
  <c r="L115" i="52"/>
  <c r="N115" i="52" s="1"/>
  <c r="L119" i="52"/>
  <c r="N119" i="52" s="1"/>
  <c r="L123" i="52"/>
  <c r="N123" i="52" s="1"/>
  <c r="L127" i="52"/>
  <c r="N127" i="52" s="1"/>
  <c r="L131" i="52"/>
  <c r="N131" i="52" s="1"/>
  <c r="L135" i="52"/>
  <c r="N135" i="52" s="1"/>
  <c r="L139" i="52"/>
  <c r="N139" i="52" s="1"/>
  <c r="L143" i="52"/>
  <c r="N143" i="52" s="1"/>
  <c r="L147" i="52"/>
  <c r="N147" i="52" s="1"/>
  <c r="L151" i="52"/>
  <c r="N151" i="52" s="1"/>
  <c r="L155" i="52"/>
  <c r="N155" i="52" s="1"/>
  <c r="L159" i="52"/>
  <c r="N159" i="52" s="1"/>
  <c r="L163" i="52"/>
  <c r="N163" i="52" s="1"/>
  <c r="L167" i="52"/>
  <c r="N167" i="52" s="1"/>
  <c r="L171" i="52"/>
  <c r="N171" i="52" s="1"/>
  <c r="L175" i="52"/>
  <c r="N175" i="52" s="1"/>
  <c r="L179" i="52"/>
  <c r="N179" i="52" s="1"/>
  <c r="L183" i="52"/>
  <c r="N183" i="52" s="1"/>
  <c r="L187" i="52"/>
  <c r="N187" i="52" s="1"/>
  <c r="L191" i="52"/>
  <c r="N191" i="52" s="1"/>
  <c r="L195" i="52"/>
  <c r="N195" i="52" s="1"/>
  <c r="L199" i="52"/>
  <c r="N199" i="52" s="1"/>
  <c r="L203" i="52"/>
  <c r="N203" i="52" s="1"/>
  <c r="L206" i="52"/>
  <c r="N206" i="52" s="1"/>
  <c r="L210" i="52"/>
  <c r="N210" i="52" s="1"/>
  <c r="L214" i="52"/>
  <c r="N214" i="52" s="1"/>
  <c r="L220" i="52"/>
  <c r="N220" i="52" s="1"/>
  <c r="L229" i="52"/>
  <c r="N229" i="52" s="1"/>
  <c r="L233" i="52"/>
  <c r="N233" i="52" s="1"/>
  <c r="L242" i="52"/>
  <c r="N242" i="52" s="1"/>
  <c r="L246" i="52"/>
  <c r="N246" i="52" s="1"/>
  <c r="L250" i="52"/>
  <c r="N250" i="52" s="1"/>
  <c r="L256" i="52"/>
  <c r="N256" i="52" s="1"/>
  <c r="L260" i="52"/>
  <c r="N260" i="52" s="1"/>
  <c r="L264" i="52"/>
  <c r="N264" i="52" s="1"/>
  <c r="L268" i="52"/>
  <c r="N268" i="52" s="1"/>
  <c r="L272" i="52"/>
  <c r="N272" i="52" s="1"/>
  <c r="L276" i="52"/>
  <c r="N276" i="52" s="1"/>
  <c r="L280" i="52"/>
  <c r="N280" i="52" s="1"/>
  <c r="L284" i="52"/>
  <c r="N284" i="52" s="1"/>
  <c r="L288" i="52"/>
  <c r="N288" i="52" s="1"/>
  <c r="L312" i="52"/>
  <c r="N312" i="52" s="1"/>
  <c r="O94" i="52"/>
  <c r="L14" i="52"/>
  <c r="N14" i="52" s="1"/>
  <c r="L15" i="52"/>
  <c r="N15" i="52" s="1"/>
  <c r="L18" i="52"/>
  <c r="N18" i="52" s="1"/>
  <c r="L19" i="52"/>
  <c r="N19" i="52" s="1"/>
  <c r="L23" i="52"/>
  <c r="N23" i="52" s="1"/>
  <c r="L26" i="52"/>
  <c r="N26" i="52" s="1"/>
  <c r="L27" i="52"/>
  <c r="N27" i="52" s="1"/>
  <c r="L46" i="52"/>
  <c r="N46" i="52" s="1"/>
  <c r="L51" i="52"/>
  <c r="N51" i="52" s="1"/>
  <c r="L54" i="52"/>
  <c r="N54" i="52" s="1"/>
  <c r="L55" i="52"/>
  <c r="N55" i="52" s="1"/>
  <c r="L58" i="52"/>
  <c r="N58" i="52" s="1"/>
  <c r="L66" i="52"/>
  <c r="N66" i="52" s="1"/>
  <c r="L67" i="52"/>
  <c r="N67" i="52" s="1"/>
  <c r="L78" i="52"/>
  <c r="N78" i="52" s="1"/>
  <c r="L79" i="52"/>
  <c r="N79" i="52" s="1"/>
  <c r="L83" i="52"/>
  <c r="N83" i="52" s="1"/>
  <c r="O11" i="52"/>
  <c r="O12" i="52"/>
  <c r="O13" i="52"/>
  <c r="O14" i="52"/>
  <c r="O15" i="52"/>
  <c r="O16" i="52"/>
  <c r="O17" i="52"/>
  <c r="O18" i="52"/>
  <c r="O19" i="52"/>
  <c r="O20" i="52"/>
  <c r="O21" i="52"/>
  <c r="O22" i="52"/>
  <c r="O23" i="52"/>
  <c r="O24" i="52"/>
  <c r="O25" i="52"/>
  <c r="O26" i="52"/>
  <c r="O27" i="52"/>
  <c r="O28" i="52"/>
  <c r="O29" i="52"/>
  <c r="O30" i="52"/>
  <c r="O31" i="52"/>
  <c r="O32" i="52"/>
  <c r="O33" i="52"/>
  <c r="O34" i="52"/>
  <c r="O35" i="52"/>
  <c r="O36" i="52"/>
  <c r="O37" i="52"/>
  <c r="O38" i="52"/>
  <c r="O39" i="52"/>
  <c r="O40" i="52"/>
  <c r="O41" i="52"/>
  <c r="O42" i="52"/>
  <c r="O43" i="52"/>
  <c r="O44" i="52"/>
  <c r="O45" i="52"/>
  <c r="O46" i="52"/>
  <c r="O47" i="52"/>
  <c r="O48" i="52"/>
  <c r="O49" i="52"/>
  <c r="O50" i="52"/>
  <c r="O51" i="52"/>
  <c r="O52" i="52"/>
  <c r="O53" i="52"/>
  <c r="O54" i="52"/>
  <c r="O55" i="52"/>
  <c r="O56" i="52"/>
  <c r="O57" i="52"/>
  <c r="O58" i="52"/>
  <c r="O59" i="52"/>
  <c r="O60" i="52"/>
  <c r="O61" i="52"/>
  <c r="O62" i="52"/>
  <c r="O63" i="52"/>
  <c r="O64" i="52"/>
  <c r="O65" i="52"/>
  <c r="O66" i="52"/>
  <c r="O67" i="52"/>
  <c r="O68" i="52"/>
  <c r="O69" i="52"/>
  <c r="O70" i="52"/>
  <c r="O71" i="52"/>
  <c r="O72" i="52"/>
  <c r="O73" i="52"/>
  <c r="O74" i="52"/>
  <c r="O75" i="52"/>
  <c r="O76" i="52"/>
  <c r="O77" i="52"/>
  <c r="O78" i="52"/>
  <c r="O79" i="52"/>
  <c r="O80" i="52"/>
  <c r="O81" i="52"/>
  <c r="O82" i="52"/>
  <c r="L6" i="52"/>
  <c r="N6" i="52" s="1"/>
  <c r="L7" i="52"/>
  <c r="N7" i="52" s="1"/>
  <c r="L10" i="52"/>
  <c r="N10" i="52" s="1"/>
  <c r="L11" i="52"/>
  <c r="N11" i="52" s="1"/>
  <c r="L22" i="52"/>
  <c r="N22" i="52" s="1"/>
  <c r="L30" i="52"/>
  <c r="N30" i="52" s="1"/>
  <c r="L31" i="52"/>
  <c r="N31" i="52" s="1"/>
  <c r="L34" i="52"/>
  <c r="N34" i="52" s="1"/>
  <c r="L35" i="52"/>
  <c r="N35" i="52" s="1"/>
  <c r="L38" i="52"/>
  <c r="N38" i="52" s="1"/>
  <c r="L39" i="52"/>
  <c r="N39" i="52" s="1"/>
  <c r="L42" i="52"/>
  <c r="N42" i="52" s="1"/>
  <c r="L43" i="52"/>
  <c r="N43" i="52" s="1"/>
  <c r="L47" i="52"/>
  <c r="N47" i="52" s="1"/>
  <c r="L50" i="52"/>
  <c r="N50" i="52" s="1"/>
  <c r="L59" i="52"/>
  <c r="N59" i="52" s="1"/>
  <c r="L62" i="52"/>
  <c r="N62" i="52" s="1"/>
  <c r="L63" i="52"/>
  <c r="N63" i="52" s="1"/>
  <c r="L70" i="52"/>
  <c r="N70" i="52" s="1"/>
  <c r="L71" i="52"/>
  <c r="N71" i="52" s="1"/>
  <c r="L74" i="52"/>
  <c r="N74" i="52" s="1"/>
  <c r="L75" i="52"/>
  <c r="N75" i="52" s="1"/>
  <c r="L82" i="52"/>
  <c r="N82" i="52" s="1"/>
  <c r="L86" i="52"/>
  <c r="N86" i="52" s="1"/>
  <c r="L87" i="52"/>
  <c r="N87" i="52" s="1"/>
  <c r="L90" i="52"/>
  <c r="N90" i="52" s="1"/>
  <c r="L91" i="52"/>
  <c r="N91" i="52" s="1"/>
  <c r="L93" i="52"/>
  <c r="N93" i="52" s="1"/>
  <c r="O6" i="52"/>
  <c r="O7" i="52"/>
  <c r="L8" i="52"/>
  <c r="N8" i="52" s="1"/>
  <c r="O9" i="52"/>
  <c r="O10" i="52"/>
  <c r="M315" i="52"/>
  <c r="L9" i="52"/>
  <c r="N9" i="52" s="1"/>
  <c r="L13" i="52"/>
  <c r="N13" i="52" s="1"/>
  <c r="L17" i="52"/>
  <c r="N17" i="52" s="1"/>
  <c r="L21" i="52"/>
  <c r="N21" i="52" s="1"/>
  <c r="L25" i="52"/>
  <c r="N25" i="52" s="1"/>
  <c r="L29" i="52"/>
  <c r="N29" i="52" s="1"/>
  <c r="L33" i="52"/>
  <c r="N33" i="52" s="1"/>
  <c r="L37" i="52"/>
  <c r="N37" i="52" s="1"/>
  <c r="L41" i="52"/>
  <c r="N41" i="52" s="1"/>
  <c r="L45" i="52"/>
  <c r="N45" i="52" s="1"/>
  <c r="L49" i="52"/>
  <c r="N49" i="52" s="1"/>
  <c r="L53" i="52"/>
  <c r="N53" i="52" s="1"/>
  <c r="L57" i="52"/>
  <c r="N57" i="52" s="1"/>
  <c r="O83" i="52"/>
  <c r="O84" i="52"/>
  <c r="O85" i="52"/>
  <c r="O86" i="52"/>
  <c r="O87" i="52"/>
  <c r="O88" i="52"/>
  <c r="O89" i="52"/>
  <c r="O90" i="52"/>
  <c r="O91" i="52"/>
  <c r="O92" i="52"/>
  <c r="O93" i="52"/>
  <c r="L96" i="52"/>
  <c r="N96" i="52" s="1"/>
  <c r="L100" i="52"/>
  <c r="N100" i="52" s="1"/>
  <c r="L104" i="52"/>
  <c r="N104" i="52" s="1"/>
  <c r="L105" i="52"/>
  <c r="N105" i="52" s="1"/>
  <c r="L108" i="52"/>
  <c r="N108" i="52" s="1"/>
  <c r="L109" i="52"/>
  <c r="N109" i="52" s="1"/>
  <c r="L112" i="52"/>
  <c r="N112" i="52" s="1"/>
  <c r="L113" i="52"/>
  <c r="N113" i="52" s="1"/>
  <c r="L116" i="52"/>
  <c r="N116" i="52" s="1"/>
  <c r="L117" i="52"/>
  <c r="N117" i="52" s="1"/>
  <c r="L120" i="52"/>
  <c r="N120" i="52" s="1"/>
  <c r="L121" i="52"/>
  <c r="N121" i="52" s="1"/>
  <c r="L124" i="52"/>
  <c r="N124" i="52" s="1"/>
  <c r="L125" i="52"/>
  <c r="N125" i="52" s="1"/>
  <c r="L128" i="52"/>
  <c r="N128" i="52" s="1"/>
  <c r="L129" i="52"/>
  <c r="N129" i="52" s="1"/>
  <c r="L132" i="52"/>
  <c r="N132" i="52" s="1"/>
  <c r="L133" i="52"/>
  <c r="N133" i="52" s="1"/>
  <c r="L136" i="52"/>
  <c r="N136" i="52" s="1"/>
  <c r="L137" i="52"/>
  <c r="N137" i="52" s="1"/>
  <c r="L140" i="52"/>
  <c r="N140" i="52" s="1"/>
  <c r="L141" i="52"/>
  <c r="N141" i="52" s="1"/>
  <c r="L144" i="52"/>
  <c r="N144" i="52" s="1"/>
  <c r="L145" i="52"/>
  <c r="N145" i="52" s="1"/>
  <c r="L148" i="52"/>
  <c r="N148" i="52" s="1"/>
  <c r="L149" i="52"/>
  <c r="N149" i="52" s="1"/>
  <c r="L152" i="52"/>
  <c r="N152" i="52" s="1"/>
  <c r="L153" i="52"/>
  <c r="N153" i="52" s="1"/>
  <c r="L156" i="52"/>
  <c r="N156" i="52" s="1"/>
  <c r="L157" i="52"/>
  <c r="N157" i="52" s="1"/>
  <c r="L160" i="52"/>
  <c r="N160" i="52" s="1"/>
  <c r="L161" i="52"/>
  <c r="N161" i="52" s="1"/>
  <c r="L164" i="52"/>
  <c r="N164" i="52" s="1"/>
  <c r="L165" i="52"/>
  <c r="N165" i="52" s="1"/>
  <c r="L168" i="52"/>
  <c r="N168" i="52" s="1"/>
  <c r="L169" i="52"/>
  <c r="N169" i="52" s="1"/>
  <c r="L172" i="52"/>
  <c r="N172" i="52" s="1"/>
  <c r="L173" i="52"/>
  <c r="N173" i="52" s="1"/>
  <c r="L176" i="52"/>
  <c r="N176" i="52" s="1"/>
  <c r="L177" i="52"/>
  <c r="N177" i="52" s="1"/>
  <c r="L180" i="52"/>
  <c r="N180" i="52" s="1"/>
  <c r="L181" i="52"/>
  <c r="N181" i="52" s="1"/>
  <c r="L184" i="52"/>
  <c r="N184" i="52" s="1"/>
  <c r="L185" i="52"/>
  <c r="N185" i="52" s="1"/>
  <c r="L188" i="52"/>
  <c r="N188" i="52" s="1"/>
  <c r="L189" i="52"/>
  <c r="N189" i="52" s="1"/>
  <c r="L192" i="52"/>
  <c r="N192" i="52" s="1"/>
  <c r="L193" i="52"/>
  <c r="N193" i="52" s="1"/>
  <c r="L196" i="52"/>
  <c r="N196" i="52" s="1"/>
  <c r="L197" i="52"/>
  <c r="N197" i="52" s="1"/>
  <c r="L200" i="52"/>
  <c r="N200" i="52" s="1"/>
  <c r="L201" i="52"/>
  <c r="N201" i="52" s="1"/>
  <c r="L204" i="52"/>
  <c r="N204" i="52" s="1"/>
  <c r="L207" i="52"/>
  <c r="N207" i="52" s="1"/>
  <c r="L208" i="52"/>
  <c r="N208" i="52" s="1"/>
  <c r="L211" i="52"/>
  <c r="N211" i="52" s="1"/>
  <c r="L212" i="52"/>
  <c r="N212" i="52" s="1"/>
  <c r="L215" i="52"/>
  <c r="N215" i="52" s="1"/>
  <c r="L216" i="52"/>
  <c r="N216" i="52" s="1"/>
  <c r="L218" i="52"/>
  <c r="N218" i="52" s="1"/>
  <c r="L219" i="52"/>
  <c r="N219" i="52" s="1"/>
  <c r="L222" i="52"/>
  <c r="N222" i="52" s="1"/>
  <c r="L223" i="52"/>
  <c r="N223" i="52" s="1"/>
  <c r="L226" i="52"/>
  <c r="N226" i="52" s="1"/>
  <c r="L227" i="52"/>
  <c r="N227" i="52" s="1"/>
  <c r="L230" i="52"/>
  <c r="N230" i="52" s="1"/>
  <c r="L231" i="52"/>
  <c r="N231" i="52" s="1"/>
  <c r="L232" i="52"/>
  <c r="N232" i="52" s="1"/>
  <c r="L234" i="52"/>
  <c r="N234" i="52" s="1"/>
  <c r="L235" i="52"/>
  <c r="N235" i="52" s="1"/>
  <c r="L236" i="52"/>
  <c r="N236" i="52" s="1"/>
  <c r="L237" i="52"/>
  <c r="N237" i="52" s="1"/>
  <c r="L238" i="52"/>
  <c r="N238" i="52" s="1"/>
  <c r="L239" i="52"/>
  <c r="N239" i="52" s="1"/>
  <c r="L61" i="52"/>
  <c r="N61" i="52" s="1"/>
  <c r="L65" i="52"/>
  <c r="N65" i="52" s="1"/>
  <c r="L69" i="52"/>
  <c r="N69" i="52" s="1"/>
  <c r="L73" i="52"/>
  <c r="N73" i="52" s="1"/>
  <c r="L77" i="52"/>
  <c r="N77" i="52" s="1"/>
  <c r="L81" i="52"/>
  <c r="N81" i="52" s="1"/>
  <c r="L85" i="52"/>
  <c r="N85" i="52" s="1"/>
  <c r="L89" i="52"/>
  <c r="N89" i="52" s="1"/>
  <c r="L94" i="52"/>
  <c r="N94" i="52" s="1"/>
  <c r="O97" i="52"/>
  <c r="O98" i="52"/>
  <c r="O101" i="52"/>
  <c r="L102" i="52"/>
  <c r="N102" i="52" s="1"/>
  <c r="O103" i="52"/>
  <c r="O104" i="52"/>
  <c r="O105" i="52"/>
  <c r="O106" i="52"/>
  <c r="O107" i="52"/>
  <c r="O108" i="52"/>
  <c r="O109" i="52"/>
  <c r="O110" i="52"/>
  <c r="O111" i="52"/>
  <c r="O112" i="52"/>
  <c r="O113" i="52"/>
  <c r="O114" i="52"/>
  <c r="O115" i="52"/>
  <c r="O116" i="52"/>
  <c r="O117" i="52"/>
  <c r="O118" i="52"/>
  <c r="O119" i="52"/>
  <c r="O120" i="52"/>
  <c r="O121" i="52"/>
  <c r="O122" i="52"/>
  <c r="O123" i="52"/>
  <c r="O124" i="52"/>
  <c r="O125" i="52"/>
  <c r="O126" i="52"/>
  <c r="O127" i="52"/>
  <c r="O128" i="52"/>
  <c r="O129" i="52"/>
  <c r="O130" i="52"/>
  <c r="O131" i="52"/>
  <c r="O132" i="52"/>
  <c r="O133" i="52"/>
  <c r="O134" i="52"/>
  <c r="O135" i="52"/>
  <c r="O136" i="52"/>
  <c r="O137" i="52"/>
  <c r="O138" i="52"/>
  <c r="O139" i="52"/>
  <c r="O140" i="52"/>
  <c r="O141" i="52"/>
  <c r="O142" i="52"/>
  <c r="O143" i="52"/>
  <c r="O144" i="52"/>
  <c r="O145" i="52"/>
  <c r="O146" i="52"/>
  <c r="O147" i="52"/>
  <c r="O148" i="52"/>
  <c r="O149" i="52"/>
  <c r="O150" i="52"/>
  <c r="O151" i="52"/>
  <c r="O152" i="52"/>
  <c r="O153" i="52"/>
  <c r="O154" i="52"/>
  <c r="O155" i="52"/>
  <c r="O156" i="52"/>
  <c r="O157" i="52"/>
  <c r="O158" i="52"/>
  <c r="O159" i="52"/>
  <c r="O160" i="52"/>
  <c r="O161" i="52"/>
  <c r="O162" i="52"/>
  <c r="O163" i="52"/>
  <c r="O164" i="52"/>
  <c r="O165" i="52"/>
  <c r="O166" i="52"/>
  <c r="O167" i="52"/>
  <c r="O168" i="52"/>
  <c r="O169" i="52"/>
  <c r="O170" i="52"/>
  <c r="O171" i="52"/>
  <c r="O172" i="52"/>
  <c r="O173" i="52"/>
  <c r="O174" i="52"/>
  <c r="O175" i="52"/>
  <c r="O176" i="52"/>
  <c r="O177" i="52"/>
  <c r="O178" i="52"/>
  <c r="O179" i="52"/>
  <c r="O180" i="52"/>
  <c r="O181" i="52"/>
  <c r="O182" i="52"/>
  <c r="O183" i="52"/>
  <c r="O184" i="52"/>
  <c r="O185" i="52"/>
  <c r="O186" i="52"/>
  <c r="O187" i="52"/>
  <c r="O188" i="52"/>
  <c r="O189" i="52"/>
  <c r="O190" i="52"/>
  <c r="O191" i="52"/>
  <c r="O192" i="52"/>
  <c r="O193" i="52"/>
  <c r="O194" i="52"/>
  <c r="O195" i="52"/>
  <c r="O196" i="52"/>
  <c r="O197" i="52"/>
  <c r="O198" i="52"/>
  <c r="O199" i="52"/>
  <c r="O200" i="52"/>
  <c r="O201" i="52"/>
  <c r="O202" i="52"/>
  <c r="O203" i="52"/>
  <c r="O204" i="52"/>
  <c r="O206" i="52"/>
  <c r="O207" i="52"/>
  <c r="O208" i="52"/>
  <c r="O209" i="52"/>
  <c r="O210" i="52"/>
  <c r="O211" i="52"/>
  <c r="O212" i="52"/>
  <c r="O213" i="52"/>
  <c r="O214" i="52"/>
  <c r="O215" i="52"/>
  <c r="O216" i="52"/>
  <c r="O217" i="52"/>
  <c r="O218" i="52"/>
  <c r="O219" i="52"/>
  <c r="O220" i="52"/>
  <c r="O221" i="52"/>
  <c r="O222" i="52"/>
  <c r="O223" i="52"/>
  <c r="L224" i="52"/>
  <c r="N224" i="52" s="1"/>
  <c r="O225" i="52"/>
  <c r="O226" i="52"/>
  <c r="O227" i="52"/>
  <c r="L228" i="52"/>
  <c r="N228" i="52" s="1"/>
  <c r="O229" i="52"/>
  <c r="L315" i="52"/>
  <c r="L240" i="52"/>
  <c r="N240" i="52" s="1"/>
  <c r="L241" i="52"/>
  <c r="N241" i="52" s="1"/>
  <c r="L243" i="52"/>
  <c r="N243" i="52" s="1"/>
  <c r="L244" i="52"/>
  <c r="N244" i="52" s="1"/>
  <c r="L247" i="52"/>
  <c r="N247" i="52" s="1"/>
  <c r="L248" i="52"/>
  <c r="N248" i="52" s="1"/>
  <c r="L251" i="52"/>
  <c r="N251" i="52" s="1"/>
  <c r="L252" i="52"/>
  <c r="N252" i="52" s="1"/>
  <c r="L253" i="52"/>
  <c r="N253" i="52" s="1"/>
  <c r="L254" i="52"/>
  <c r="N254" i="52" s="1"/>
  <c r="L257" i="52"/>
  <c r="N257" i="52" s="1"/>
  <c r="L258" i="52"/>
  <c r="N258" i="52" s="1"/>
  <c r="L261" i="52"/>
  <c r="N261" i="52" s="1"/>
  <c r="L262" i="52"/>
  <c r="N262" i="52" s="1"/>
  <c r="L265" i="52"/>
  <c r="N265" i="52" s="1"/>
  <c r="L266" i="52"/>
  <c r="N266" i="52" s="1"/>
  <c r="L269" i="52"/>
  <c r="N269" i="52" s="1"/>
  <c r="L270" i="52"/>
  <c r="N270" i="52" s="1"/>
  <c r="L273" i="52"/>
  <c r="N273" i="52" s="1"/>
  <c r="L274" i="52"/>
  <c r="N274" i="52" s="1"/>
  <c r="L277" i="52"/>
  <c r="N277" i="52" s="1"/>
  <c r="L278" i="52"/>
  <c r="N278" i="52" s="1"/>
  <c r="L281" i="52"/>
  <c r="N281" i="52" s="1"/>
  <c r="L282" i="52"/>
  <c r="N282" i="52" s="1"/>
  <c r="L285" i="52"/>
  <c r="N285" i="52" s="1"/>
  <c r="L286" i="52"/>
  <c r="N286" i="52" s="1"/>
  <c r="L289" i="52"/>
  <c r="N289" i="52" s="1"/>
  <c r="L290" i="52"/>
  <c r="N290" i="52" s="1"/>
  <c r="L293" i="52"/>
  <c r="N293" i="52" s="1"/>
  <c r="L294" i="52"/>
  <c r="N294" i="52" s="1"/>
  <c r="L297" i="52"/>
  <c r="N297" i="52" s="1"/>
  <c r="L298" i="52"/>
  <c r="N298" i="52" s="1"/>
  <c r="L301" i="52"/>
  <c r="N301" i="52" s="1"/>
  <c r="L302" i="52"/>
  <c r="N302" i="52" s="1"/>
  <c r="L305" i="52"/>
  <c r="N305" i="52" s="1"/>
  <c r="L306" i="52"/>
  <c r="N306" i="52" s="1"/>
  <c r="L309" i="52"/>
  <c r="N309" i="52" s="1"/>
  <c r="L310" i="52"/>
  <c r="N310" i="52" s="1"/>
  <c r="L313" i="52"/>
  <c r="N313" i="52" s="1"/>
  <c r="O230" i="52"/>
  <c r="O231" i="52"/>
  <c r="O232" i="52"/>
  <c r="O233" i="52"/>
  <c r="O234" i="52"/>
  <c r="O235" i="52"/>
  <c r="O236" i="52"/>
  <c r="O237" i="52"/>
  <c r="O238" i="52"/>
  <c r="O239" i="52"/>
  <c r="O240" i="52"/>
  <c r="O241" i="52"/>
  <c r="O242" i="52"/>
  <c r="O243" i="52"/>
  <c r="O244" i="52"/>
  <c r="O245" i="52"/>
  <c r="O246" i="52"/>
  <c r="O247" i="52"/>
  <c r="O248" i="52"/>
  <c r="O249" i="52"/>
  <c r="O250" i="52"/>
  <c r="O251" i="52"/>
  <c r="O252" i="52"/>
  <c r="O253" i="52"/>
  <c r="O254" i="52"/>
  <c r="L255" i="52"/>
  <c r="N255" i="52" s="1"/>
  <c r="O256" i="52"/>
  <c r="O257" i="52"/>
  <c r="O258" i="52"/>
  <c r="L259" i="52"/>
  <c r="N259" i="52" s="1"/>
  <c r="O260" i="52"/>
  <c r="O261" i="52"/>
  <c r="O262" i="52"/>
  <c r="L263" i="52"/>
  <c r="N263" i="52" s="1"/>
  <c r="O264" i="52"/>
  <c r="O265" i="52"/>
  <c r="O266" i="52"/>
  <c r="L267" i="52"/>
  <c r="N267" i="52" s="1"/>
  <c r="O268" i="52"/>
  <c r="O269" i="52"/>
  <c r="O270" i="52"/>
  <c r="L271" i="52"/>
  <c r="N271" i="52" s="1"/>
  <c r="O272" i="52"/>
  <c r="O273" i="52"/>
  <c r="O274" i="52"/>
  <c r="L275" i="52"/>
  <c r="N275" i="52" s="1"/>
  <c r="O276" i="52"/>
  <c r="O277" i="52"/>
  <c r="O278" i="52"/>
  <c r="L279" i="52"/>
  <c r="N279" i="52" s="1"/>
  <c r="O280" i="52"/>
  <c r="O281" i="52"/>
  <c r="O282" i="52"/>
  <c r="L283" i="52"/>
  <c r="N283" i="52" s="1"/>
  <c r="O284" i="52"/>
  <c r="O285" i="52"/>
  <c r="O286" i="52"/>
  <c r="L287" i="52"/>
  <c r="N287" i="52" s="1"/>
  <c r="O288" i="52"/>
  <c r="O289" i="52"/>
  <c r="O290" i="52"/>
  <c r="L291" i="52"/>
  <c r="N291" i="52" s="1"/>
  <c r="O292" i="52"/>
  <c r="O293" i="52"/>
  <c r="O294" i="52"/>
  <c r="L295" i="52"/>
  <c r="N295" i="52" s="1"/>
  <c r="O296" i="52"/>
  <c r="O297" i="52"/>
  <c r="O298" i="52"/>
  <c r="L299" i="52"/>
  <c r="N299" i="52" s="1"/>
  <c r="O300" i="52"/>
  <c r="O301" i="52"/>
  <c r="O302" i="52"/>
  <c r="L303" i="52"/>
  <c r="N303" i="52" s="1"/>
  <c r="O304" i="52"/>
  <c r="O305" i="52"/>
  <c r="O306" i="52"/>
  <c r="L307" i="52"/>
  <c r="N307" i="52" s="1"/>
  <c r="O308" i="52"/>
  <c r="O309" i="52"/>
  <c r="O310" i="52"/>
  <c r="L311" i="52"/>
  <c r="N311" i="52" s="1"/>
  <c r="O312" i="52"/>
  <c r="O313" i="52"/>
  <c r="O314" i="52"/>
  <c r="O8" i="52"/>
  <c r="B315" i="52"/>
  <c r="L12" i="52"/>
  <c r="N12" i="52" s="1"/>
  <c r="L16" i="52"/>
  <c r="N16" i="52" s="1"/>
  <c r="L20" i="52"/>
  <c r="N20" i="52" s="1"/>
  <c r="L24" i="52"/>
  <c r="N24" i="52" s="1"/>
  <c r="L28" i="52"/>
  <c r="N28" i="52" s="1"/>
  <c r="L32" i="52"/>
  <c r="N32" i="52" s="1"/>
  <c r="L36" i="52"/>
  <c r="N36" i="52" s="1"/>
  <c r="L40" i="52"/>
  <c r="N40" i="52" s="1"/>
  <c r="L44" i="52"/>
  <c r="N44" i="52" s="1"/>
  <c r="L48" i="52"/>
  <c r="N48" i="52" s="1"/>
  <c r="L52" i="52"/>
  <c r="N52" i="52" s="1"/>
  <c r="L56" i="52"/>
  <c r="N56" i="52" s="1"/>
  <c r="L60" i="52"/>
  <c r="N60" i="52" s="1"/>
  <c r="L64" i="52"/>
  <c r="N64" i="52" s="1"/>
  <c r="L68" i="52"/>
  <c r="N68" i="52" s="1"/>
  <c r="L72" i="52"/>
  <c r="N72" i="52" s="1"/>
  <c r="L76" i="52"/>
  <c r="N76" i="52" s="1"/>
  <c r="L80" i="52"/>
  <c r="N80" i="52" s="1"/>
  <c r="L84" i="52"/>
  <c r="N84" i="52" s="1"/>
  <c r="L88" i="52"/>
  <c r="N88" i="52" s="1"/>
  <c r="O96" i="52"/>
  <c r="L97" i="52"/>
  <c r="N97" i="52" s="1"/>
  <c r="L98" i="52"/>
  <c r="N98" i="52" s="1"/>
  <c r="O102" i="52"/>
  <c r="O99" i="52"/>
  <c r="D315" i="52"/>
  <c r="L92" i="52"/>
  <c r="N92" i="52" s="1"/>
  <c r="O95" i="52"/>
  <c r="O100" i="52"/>
  <c r="L101" i="52"/>
  <c r="N101" i="52" s="1"/>
  <c r="L106" i="52"/>
  <c r="N106" i="52" s="1"/>
  <c r="L110" i="52"/>
  <c r="N110" i="52" s="1"/>
  <c r="L114" i="52"/>
  <c r="N114" i="52" s="1"/>
  <c r="L118" i="52"/>
  <c r="N118" i="52" s="1"/>
  <c r="L122" i="52"/>
  <c r="N122" i="52" s="1"/>
  <c r="L126" i="52"/>
  <c r="N126" i="52" s="1"/>
  <c r="L130" i="52"/>
  <c r="N130" i="52" s="1"/>
  <c r="L134" i="52"/>
  <c r="N134" i="52" s="1"/>
  <c r="L138" i="52"/>
  <c r="N138" i="52" s="1"/>
  <c r="L142" i="52"/>
  <c r="N142" i="52" s="1"/>
  <c r="L146" i="52"/>
  <c r="N146" i="52" s="1"/>
  <c r="L150" i="52"/>
  <c r="N150" i="52" s="1"/>
  <c r="L154" i="52"/>
  <c r="N154" i="52" s="1"/>
  <c r="L158" i="52"/>
  <c r="N158" i="52" s="1"/>
  <c r="L162" i="52"/>
  <c r="N162" i="52" s="1"/>
  <c r="L166" i="52"/>
  <c r="N166" i="52" s="1"/>
  <c r="L170" i="52"/>
  <c r="N170" i="52" s="1"/>
  <c r="L174" i="52"/>
  <c r="N174" i="52" s="1"/>
  <c r="L178" i="52"/>
  <c r="N178" i="52" s="1"/>
  <c r="L182" i="52"/>
  <c r="N182" i="52" s="1"/>
  <c r="L186" i="52"/>
  <c r="N186" i="52" s="1"/>
  <c r="L190" i="52"/>
  <c r="N190" i="52" s="1"/>
  <c r="L194" i="52"/>
  <c r="N194" i="52" s="1"/>
  <c r="L198" i="52"/>
  <c r="N198" i="52" s="1"/>
  <c r="L202" i="52"/>
  <c r="N202" i="52" s="1"/>
  <c r="O205" i="52"/>
  <c r="L205" i="52"/>
  <c r="N205" i="52" s="1"/>
  <c r="L209" i="52"/>
  <c r="N209" i="52" s="1"/>
  <c r="L213" i="52"/>
  <c r="N213" i="52" s="1"/>
  <c r="L217" i="52"/>
  <c r="N217" i="52" s="1"/>
  <c r="L221" i="52"/>
  <c r="N221" i="52" s="1"/>
  <c r="O224" i="52"/>
  <c r="L225" i="52"/>
  <c r="N225" i="52" s="1"/>
  <c r="O228" i="52"/>
  <c r="L245" i="52"/>
  <c r="N245" i="52" s="1"/>
  <c r="L249" i="52"/>
  <c r="N249" i="52" s="1"/>
  <c r="O255" i="52"/>
  <c r="O259" i="52"/>
  <c r="O263" i="52"/>
  <c r="O267" i="52"/>
  <c r="O271" i="52"/>
  <c r="O275" i="52"/>
  <c r="O279" i="52"/>
  <c r="O283" i="52"/>
  <c r="O287" i="52"/>
  <c r="O291" i="52"/>
  <c r="O295" i="52"/>
  <c r="O299" i="52"/>
  <c r="O303" i="52"/>
  <c r="O307" i="52"/>
  <c r="O311" i="52"/>
  <c r="AM30" i="42"/>
  <c r="N315" i="52" l="1"/>
  <c r="O315" i="52"/>
  <c r="C8" i="19"/>
  <c r="D8" i="19"/>
  <c r="E8" i="19"/>
  <c r="F8" i="19"/>
  <c r="H8" i="19"/>
  <c r="I8" i="19"/>
  <c r="J8" i="19"/>
  <c r="K8" i="19"/>
  <c r="L8" i="19"/>
  <c r="M8" i="19"/>
  <c r="N8" i="19"/>
  <c r="P8" i="19"/>
  <c r="O8" i="19" s="1"/>
  <c r="Q8" i="19"/>
  <c r="S8" i="19"/>
  <c r="V8" i="19"/>
  <c r="W8" i="19"/>
  <c r="X8" i="19"/>
  <c r="Z8" i="19"/>
  <c r="AA8" i="19"/>
  <c r="C9" i="19"/>
  <c r="D9" i="19"/>
  <c r="E9" i="19"/>
  <c r="F9" i="19"/>
  <c r="H9" i="19"/>
  <c r="I9" i="19"/>
  <c r="J9" i="19"/>
  <c r="K9" i="19"/>
  <c r="L9" i="19"/>
  <c r="M9" i="19"/>
  <c r="N9" i="19"/>
  <c r="P9" i="19"/>
  <c r="Q9" i="19"/>
  <c r="S9" i="19"/>
  <c r="V9" i="19"/>
  <c r="W9" i="19"/>
  <c r="X9" i="19"/>
  <c r="Z9" i="19"/>
  <c r="AA9" i="19"/>
  <c r="C10" i="19"/>
  <c r="D10" i="19"/>
  <c r="E10" i="19"/>
  <c r="F10" i="19"/>
  <c r="H10" i="19"/>
  <c r="I10" i="19"/>
  <c r="J10" i="19"/>
  <c r="K10" i="19"/>
  <c r="L10" i="19"/>
  <c r="M10" i="19"/>
  <c r="N10" i="19"/>
  <c r="P10" i="19"/>
  <c r="Q10" i="19"/>
  <c r="S10" i="19"/>
  <c r="V10" i="19"/>
  <c r="W10" i="19"/>
  <c r="X10" i="19"/>
  <c r="Z10" i="19"/>
  <c r="AA10" i="19"/>
  <c r="C11" i="19"/>
  <c r="D11" i="19"/>
  <c r="E11" i="19"/>
  <c r="F11" i="19"/>
  <c r="H11" i="19"/>
  <c r="I11" i="19"/>
  <c r="J11" i="19"/>
  <c r="K11" i="19"/>
  <c r="L11" i="19"/>
  <c r="M11" i="19"/>
  <c r="N11" i="19"/>
  <c r="P11" i="19"/>
  <c r="Q11" i="19"/>
  <c r="S11" i="19"/>
  <c r="V11" i="19"/>
  <c r="W11" i="19"/>
  <c r="X11" i="19"/>
  <c r="Z11" i="19"/>
  <c r="AA11" i="19"/>
  <c r="C12" i="19"/>
  <c r="D12" i="19"/>
  <c r="E12" i="19"/>
  <c r="F12" i="19"/>
  <c r="H12" i="19"/>
  <c r="I12" i="19"/>
  <c r="J12" i="19"/>
  <c r="K12" i="19"/>
  <c r="L12" i="19"/>
  <c r="M12" i="19"/>
  <c r="N12" i="19"/>
  <c r="P12" i="19"/>
  <c r="O12" i="19" s="1"/>
  <c r="Q12" i="19"/>
  <c r="S12" i="19"/>
  <c r="V12" i="19"/>
  <c r="W12" i="19"/>
  <c r="Y12" i="19" s="1"/>
  <c r="X12" i="19"/>
  <c r="Z12" i="19"/>
  <c r="AA12" i="19"/>
  <c r="C13" i="19"/>
  <c r="D13" i="19"/>
  <c r="E13" i="19"/>
  <c r="F13" i="19"/>
  <c r="H13" i="19"/>
  <c r="I13" i="19"/>
  <c r="J13" i="19"/>
  <c r="K13" i="19"/>
  <c r="L13" i="19"/>
  <c r="M13" i="19"/>
  <c r="N13" i="19"/>
  <c r="P13" i="19"/>
  <c r="Q13" i="19"/>
  <c r="S13" i="19"/>
  <c r="V13" i="19"/>
  <c r="W13" i="19"/>
  <c r="X13" i="19"/>
  <c r="Z13" i="19"/>
  <c r="AA13" i="19"/>
  <c r="C14" i="19"/>
  <c r="D14" i="19"/>
  <c r="E14" i="19"/>
  <c r="F14" i="19"/>
  <c r="H14" i="19"/>
  <c r="I14" i="19"/>
  <c r="J14" i="19"/>
  <c r="K14" i="19"/>
  <c r="L14" i="19"/>
  <c r="M14" i="19"/>
  <c r="N14" i="19"/>
  <c r="P14" i="19"/>
  <c r="Q14" i="19"/>
  <c r="S14" i="19"/>
  <c r="V14" i="19"/>
  <c r="W14" i="19"/>
  <c r="X14" i="19"/>
  <c r="Y14" i="19"/>
  <c r="Z14" i="19"/>
  <c r="AA14" i="19"/>
  <c r="C15" i="19"/>
  <c r="D15" i="19"/>
  <c r="G15" i="19" s="1"/>
  <c r="E15" i="19"/>
  <c r="F15" i="19"/>
  <c r="H15" i="19"/>
  <c r="I15" i="19"/>
  <c r="J15" i="19"/>
  <c r="K15" i="19"/>
  <c r="L15" i="19"/>
  <c r="M15" i="19"/>
  <c r="N15" i="19"/>
  <c r="P15" i="19"/>
  <c r="Q15" i="19"/>
  <c r="S15" i="19"/>
  <c r="V15" i="19"/>
  <c r="W15" i="19"/>
  <c r="X15" i="19"/>
  <c r="Z15" i="19"/>
  <c r="AA15" i="19"/>
  <c r="C16" i="19"/>
  <c r="D16" i="19"/>
  <c r="E16" i="19"/>
  <c r="G16" i="19" s="1"/>
  <c r="F16" i="19"/>
  <c r="H16" i="19"/>
  <c r="I16" i="19"/>
  <c r="J16" i="19"/>
  <c r="K16" i="19"/>
  <c r="L16" i="19"/>
  <c r="M16" i="19"/>
  <c r="N16" i="19"/>
  <c r="P16" i="19"/>
  <c r="Q16" i="19"/>
  <c r="S16" i="19"/>
  <c r="V16" i="19"/>
  <c r="W16" i="19"/>
  <c r="X16" i="19"/>
  <c r="Z16" i="19"/>
  <c r="AA16" i="19"/>
  <c r="C17" i="19"/>
  <c r="D17" i="19"/>
  <c r="E17" i="19"/>
  <c r="F17" i="19"/>
  <c r="H17" i="19"/>
  <c r="I17" i="19"/>
  <c r="J17" i="19"/>
  <c r="K17" i="19"/>
  <c r="L17" i="19"/>
  <c r="M17" i="19"/>
  <c r="N17" i="19"/>
  <c r="P17" i="19"/>
  <c r="Q17" i="19"/>
  <c r="S17" i="19"/>
  <c r="V17" i="19"/>
  <c r="W17" i="19"/>
  <c r="X17" i="19"/>
  <c r="Z17" i="19"/>
  <c r="AA17" i="19"/>
  <c r="C18" i="19"/>
  <c r="D18" i="19"/>
  <c r="E18" i="19"/>
  <c r="F18" i="19"/>
  <c r="H18" i="19"/>
  <c r="I18" i="19"/>
  <c r="J18" i="19"/>
  <c r="K18" i="19"/>
  <c r="L18" i="19"/>
  <c r="M18" i="19"/>
  <c r="N18" i="19"/>
  <c r="P18" i="19"/>
  <c r="Q18" i="19"/>
  <c r="S18" i="19"/>
  <c r="V18" i="19"/>
  <c r="W18" i="19"/>
  <c r="X18" i="19"/>
  <c r="Z18" i="19"/>
  <c r="AA18" i="19"/>
  <c r="C19" i="19"/>
  <c r="D19" i="19"/>
  <c r="E19" i="19"/>
  <c r="F19" i="19"/>
  <c r="H19" i="19"/>
  <c r="I19" i="19"/>
  <c r="J19" i="19"/>
  <c r="K19" i="19"/>
  <c r="L19" i="19"/>
  <c r="M19" i="19"/>
  <c r="N19" i="19"/>
  <c r="P19" i="19"/>
  <c r="Q19" i="19"/>
  <c r="S19" i="19"/>
  <c r="V19" i="19"/>
  <c r="W19" i="19"/>
  <c r="X19" i="19"/>
  <c r="Z19" i="19"/>
  <c r="AA19" i="19"/>
  <c r="C20" i="19"/>
  <c r="D20" i="19"/>
  <c r="E20" i="19"/>
  <c r="F20" i="19"/>
  <c r="H20" i="19"/>
  <c r="I20" i="19"/>
  <c r="J20" i="19"/>
  <c r="K20" i="19"/>
  <c r="L20" i="19"/>
  <c r="M20" i="19"/>
  <c r="N20" i="19"/>
  <c r="P20" i="19"/>
  <c r="O20" i="19" s="1"/>
  <c r="Q20" i="19"/>
  <c r="S20" i="19"/>
  <c r="V20" i="19"/>
  <c r="W20" i="19"/>
  <c r="X20" i="19"/>
  <c r="Z20" i="19"/>
  <c r="AA20" i="19"/>
  <c r="C21" i="19"/>
  <c r="D21" i="19"/>
  <c r="E21" i="19"/>
  <c r="F21" i="19"/>
  <c r="H21" i="19"/>
  <c r="I21" i="19"/>
  <c r="J21" i="19"/>
  <c r="K21" i="19"/>
  <c r="L21" i="19"/>
  <c r="M21" i="19"/>
  <c r="N21" i="19"/>
  <c r="P21" i="19"/>
  <c r="Q21" i="19"/>
  <c r="S21" i="19"/>
  <c r="V21" i="19"/>
  <c r="W21" i="19"/>
  <c r="X21" i="19"/>
  <c r="Z21" i="19"/>
  <c r="AA21" i="19"/>
  <c r="C22" i="19"/>
  <c r="D22" i="19"/>
  <c r="E22" i="19"/>
  <c r="F22" i="19"/>
  <c r="H22" i="19"/>
  <c r="I22" i="19"/>
  <c r="J22" i="19"/>
  <c r="K22" i="19"/>
  <c r="L22" i="19"/>
  <c r="M22" i="19"/>
  <c r="N22" i="19"/>
  <c r="P22" i="19"/>
  <c r="Q22" i="19"/>
  <c r="S22" i="19"/>
  <c r="V22" i="19"/>
  <c r="W22" i="19"/>
  <c r="X22" i="19"/>
  <c r="Z22" i="19"/>
  <c r="AA22" i="19"/>
  <c r="C23" i="19"/>
  <c r="D23" i="19"/>
  <c r="E23" i="19"/>
  <c r="F23" i="19"/>
  <c r="H23" i="19"/>
  <c r="I23" i="19"/>
  <c r="J23" i="19"/>
  <c r="K23" i="19"/>
  <c r="L23" i="19"/>
  <c r="M23" i="19"/>
  <c r="N23" i="19"/>
  <c r="P23" i="19"/>
  <c r="Q23" i="19"/>
  <c r="S23" i="19"/>
  <c r="V23" i="19"/>
  <c r="W23" i="19"/>
  <c r="X23" i="19"/>
  <c r="Z23" i="19"/>
  <c r="AA23" i="19"/>
  <c r="C24" i="19"/>
  <c r="D24" i="19"/>
  <c r="E24" i="19"/>
  <c r="F24" i="19"/>
  <c r="H24" i="19"/>
  <c r="I24" i="19"/>
  <c r="J24" i="19"/>
  <c r="K24" i="19"/>
  <c r="L24" i="19"/>
  <c r="M24" i="19"/>
  <c r="N24" i="19"/>
  <c r="P24" i="19"/>
  <c r="O24" i="19" s="1"/>
  <c r="Q24" i="19"/>
  <c r="S24" i="19"/>
  <c r="V24" i="19"/>
  <c r="W24" i="19"/>
  <c r="X24" i="19"/>
  <c r="Z24" i="19"/>
  <c r="AA24" i="19"/>
  <c r="C25" i="19"/>
  <c r="D25" i="19"/>
  <c r="E25" i="19"/>
  <c r="F25" i="19"/>
  <c r="H25" i="19"/>
  <c r="I25" i="19"/>
  <c r="J25" i="19"/>
  <c r="K25" i="19"/>
  <c r="L25" i="19"/>
  <c r="M25" i="19"/>
  <c r="N25" i="19"/>
  <c r="P25" i="19"/>
  <c r="Q25" i="19"/>
  <c r="S25" i="19"/>
  <c r="V25" i="19"/>
  <c r="W25" i="19"/>
  <c r="X25" i="19"/>
  <c r="Z25" i="19"/>
  <c r="AA25" i="19"/>
  <c r="C26" i="19"/>
  <c r="D26" i="19"/>
  <c r="E26" i="19"/>
  <c r="F26" i="19"/>
  <c r="H26" i="19"/>
  <c r="I26" i="19"/>
  <c r="J26" i="19"/>
  <c r="K26" i="19"/>
  <c r="L26" i="19"/>
  <c r="M26" i="19"/>
  <c r="N26" i="19"/>
  <c r="P26" i="19"/>
  <c r="Q26" i="19"/>
  <c r="S26" i="19"/>
  <c r="V26" i="19"/>
  <c r="W26" i="19"/>
  <c r="X26" i="19"/>
  <c r="Z26" i="19"/>
  <c r="AA26" i="19"/>
  <c r="C27" i="19"/>
  <c r="D27" i="19"/>
  <c r="E27" i="19"/>
  <c r="F27" i="19"/>
  <c r="H27" i="19"/>
  <c r="I27" i="19"/>
  <c r="J27" i="19"/>
  <c r="K27" i="19"/>
  <c r="L27" i="19"/>
  <c r="M27" i="19"/>
  <c r="N27" i="19"/>
  <c r="P27" i="19"/>
  <c r="Q27" i="19"/>
  <c r="S27" i="19"/>
  <c r="V27" i="19"/>
  <c r="W27" i="19"/>
  <c r="X27" i="19"/>
  <c r="Z27" i="19"/>
  <c r="AA27" i="19"/>
  <c r="C28" i="19"/>
  <c r="D28" i="19"/>
  <c r="E28" i="19"/>
  <c r="F28" i="19"/>
  <c r="H28" i="19"/>
  <c r="I28" i="19"/>
  <c r="J28" i="19"/>
  <c r="K28" i="19"/>
  <c r="L28" i="19"/>
  <c r="M28" i="19"/>
  <c r="N28" i="19"/>
  <c r="P28" i="19"/>
  <c r="O28" i="19" s="1"/>
  <c r="Q28" i="19"/>
  <c r="S28" i="19"/>
  <c r="V28" i="19"/>
  <c r="W28" i="19"/>
  <c r="X28" i="19"/>
  <c r="Z28" i="19"/>
  <c r="AA28" i="19"/>
  <c r="C29" i="19"/>
  <c r="D29" i="19"/>
  <c r="E29" i="19"/>
  <c r="F29" i="19"/>
  <c r="H29" i="19"/>
  <c r="I29" i="19"/>
  <c r="J29" i="19"/>
  <c r="K29" i="19"/>
  <c r="L29" i="19"/>
  <c r="M29" i="19"/>
  <c r="N29" i="19"/>
  <c r="P29" i="19"/>
  <c r="Q29" i="19"/>
  <c r="S29" i="19"/>
  <c r="V29" i="19"/>
  <c r="W29" i="19"/>
  <c r="X29" i="19"/>
  <c r="Z29" i="19"/>
  <c r="AA29" i="19"/>
  <c r="C30" i="19"/>
  <c r="D30" i="19"/>
  <c r="E30" i="19"/>
  <c r="F30" i="19"/>
  <c r="H30" i="19"/>
  <c r="I30" i="19"/>
  <c r="J30" i="19"/>
  <c r="K30" i="19"/>
  <c r="L30" i="19"/>
  <c r="M30" i="19"/>
  <c r="N30" i="19"/>
  <c r="P30" i="19"/>
  <c r="Q30" i="19"/>
  <c r="S30" i="19"/>
  <c r="V30" i="19"/>
  <c r="W30" i="19"/>
  <c r="Y30" i="19" s="1"/>
  <c r="X30" i="19"/>
  <c r="Z30" i="19"/>
  <c r="AA30" i="19"/>
  <c r="C31" i="19"/>
  <c r="D31" i="19"/>
  <c r="E31" i="19"/>
  <c r="F31" i="19"/>
  <c r="H31" i="19"/>
  <c r="I31" i="19"/>
  <c r="J31" i="19"/>
  <c r="K31" i="19"/>
  <c r="L31" i="19"/>
  <c r="M31" i="19"/>
  <c r="N31" i="19"/>
  <c r="P31" i="19"/>
  <c r="Q31" i="19"/>
  <c r="S31" i="19"/>
  <c r="V31" i="19"/>
  <c r="W31" i="19"/>
  <c r="X31" i="19"/>
  <c r="Z31" i="19"/>
  <c r="AA31" i="19"/>
  <c r="C32" i="19"/>
  <c r="D32" i="19"/>
  <c r="E32" i="19"/>
  <c r="F32" i="19"/>
  <c r="H32" i="19"/>
  <c r="I32" i="19"/>
  <c r="J32" i="19"/>
  <c r="K32" i="19"/>
  <c r="L32" i="19"/>
  <c r="M32" i="19"/>
  <c r="N32" i="19"/>
  <c r="P32" i="19"/>
  <c r="O32" i="19" s="1"/>
  <c r="Q32" i="19"/>
  <c r="S32" i="19"/>
  <c r="V32" i="19"/>
  <c r="W32" i="19"/>
  <c r="X32" i="19"/>
  <c r="Z32" i="19"/>
  <c r="AA32" i="19"/>
  <c r="C33" i="19"/>
  <c r="D33" i="19"/>
  <c r="E33" i="19"/>
  <c r="F33" i="19"/>
  <c r="H33" i="19"/>
  <c r="I33" i="19"/>
  <c r="J33" i="19"/>
  <c r="K33" i="19"/>
  <c r="L33" i="19"/>
  <c r="M33" i="19"/>
  <c r="N33" i="19"/>
  <c r="P33" i="19"/>
  <c r="Q33" i="19"/>
  <c r="S33" i="19"/>
  <c r="V33" i="19"/>
  <c r="W33" i="19"/>
  <c r="X33" i="19"/>
  <c r="Z33" i="19"/>
  <c r="AA33" i="19"/>
  <c r="C34" i="19"/>
  <c r="D34" i="19"/>
  <c r="E34" i="19"/>
  <c r="F34" i="19"/>
  <c r="H34" i="19"/>
  <c r="I34" i="19"/>
  <c r="J34" i="19"/>
  <c r="K34" i="19"/>
  <c r="L34" i="19"/>
  <c r="M34" i="19"/>
  <c r="N34" i="19"/>
  <c r="P34" i="19"/>
  <c r="Q34" i="19"/>
  <c r="S34" i="19"/>
  <c r="V34" i="19"/>
  <c r="W34" i="19"/>
  <c r="Y34" i="19" s="1"/>
  <c r="X34" i="19"/>
  <c r="Z34" i="19"/>
  <c r="AA34" i="19"/>
  <c r="C35" i="19"/>
  <c r="D35" i="19"/>
  <c r="E35" i="19"/>
  <c r="F35" i="19"/>
  <c r="H35" i="19"/>
  <c r="I35" i="19"/>
  <c r="J35" i="19"/>
  <c r="K35" i="19"/>
  <c r="L35" i="19"/>
  <c r="M35" i="19"/>
  <c r="N35" i="19"/>
  <c r="P35" i="19"/>
  <c r="Q35" i="19"/>
  <c r="S35" i="19"/>
  <c r="V35" i="19"/>
  <c r="W35" i="19"/>
  <c r="X35" i="19"/>
  <c r="Z35" i="19"/>
  <c r="AA35" i="19"/>
  <c r="C36" i="19"/>
  <c r="D36" i="19"/>
  <c r="E36" i="19"/>
  <c r="F36" i="19"/>
  <c r="H36" i="19"/>
  <c r="I36" i="19"/>
  <c r="J36" i="19"/>
  <c r="K36" i="19"/>
  <c r="L36" i="19"/>
  <c r="M36" i="19"/>
  <c r="N36" i="19"/>
  <c r="P36" i="19"/>
  <c r="O36" i="19" s="1"/>
  <c r="Q36" i="19"/>
  <c r="S36" i="19"/>
  <c r="V36" i="19"/>
  <c r="W36" i="19"/>
  <c r="X36" i="19"/>
  <c r="Z36" i="19"/>
  <c r="AA36" i="19"/>
  <c r="C37" i="19"/>
  <c r="D37" i="19"/>
  <c r="E37" i="19"/>
  <c r="F37" i="19"/>
  <c r="H37" i="19"/>
  <c r="I37" i="19"/>
  <c r="J37" i="19"/>
  <c r="K37" i="19"/>
  <c r="L37" i="19"/>
  <c r="M37" i="19"/>
  <c r="N37" i="19"/>
  <c r="P37" i="19"/>
  <c r="Q37" i="19"/>
  <c r="S37" i="19"/>
  <c r="V37" i="19"/>
  <c r="W37" i="19"/>
  <c r="X37" i="19"/>
  <c r="Z37" i="19"/>
  <c r="AA37" i="19"/>
  <c r="C38" i="19"/>
  <c r="D38" i="19"/>
  <c r="E38" i="19"/>
  <c r="F38" i="19"/>
  <c r="H38" i="19"/>
  <c r="I38" i="19"/>
  <c r="J38" i="19"/>
  <c r="K38" i="19"/>
  <c r="L38" i="19"/>
  <c r="M38" i="19"/>
  <c r="N38" i="19"/>
  <c r="P38" i="19"/>
  <c r="Q38" i="19"/>
  <c r="S38" i="19"/>
  <c r="V38" i="19"/>
  <c r="W38" i="19"/>
  <c r="X38" i="19"/>
  <c r="Z38" i="19"/>
  <c r="AA38" i="19"/>
  <c r="C39" i="19"/>
  <c r="D39" i="19"/>
  <c r="E39" i="19"/>
  <c r="F39" i="19"/>
  <c r="H39" i="19"/>
  <c r="I39" i="19"/>
  <c r="J39" i="19"/>
  <c r="K39" i="19"/>
  <c r="L39" i="19"/>
  <c r="M39" i="19"/>
  <c r="N39" i="19"/>
  <c r="P39" i="19"/>
  <c r="Q39" i="19"/>
  <c r="S39" i="19"/>
  <c r="V39" i="19"/>
  <c r="W39" i="19"/>
  <c r="X39" i="19"/>
  <c r="Z39" i="19"/>
  <c r="AA39" i="19"/>
  <c r="C40" i="19"/>
  <c r="D40" i="19"/>
  <c r="G40" i="19" s="1"/>
  <c r="T40" i="19" s="1"/>
  <c r="E40" i="19"/>
  <c r="F40" i="19"/>
  <c r="H40" i="19"/>
  <c r="I40" i="19"/>
  <c r="J40" i="19"/>
  <c r="K40" i="19"/>
  <c r="L40" i="19"/>
  <c r="M40" i="19"/>
  <c r="N40" i="19"/>
  <c r="P40" i="19"/>
  <c r="O40" i="19" s="1"/>
  <c r="Q40" i="19"/>
  <c r="S40" i="19"/>
  <c r="V40" i="19"/>
  <c r="W40" i="19"/>
  <c r="X40" i="19"/>
  <c r="Z40" i="19"/>
  <c r="AA40" i="19"/>
  <c r="C41" i="19"/>
  <c r="D41" i="19"/>
  <c r="E41" i="19"/>
  <c r="F41" i="19"/>
  <c r="H41" i="19"/>
  <c r="I41" i="19"/>
  <c r="J41" i="19"/>
  <c r="K41" i="19"/>
  <c r="L41" i="19"/>
  <c r="M41" i="19"/>
  <c r="N41" i="19"/>
  <c r="P41" i="19"/>
  <c r="Q41" i="19"/>
  <c r="S41" i="19"/>
  <c r="V41" i="19"/>
  <c r="W41" i="19"/>
  <c r="X41" i="19"/>
  <c r="Z41" i="19"/>
  <c r="AA41" i="19"/>
  <c r="C42" i="19"/>
  <c r="D42" i="19"/>
  <c r="E42" i="19"/>
  <c r="F42" i="19"/>
  <c r="H42" i="19"/>
  <c r="I42" i="19"/>
  <c r="J42" i="19"/>
  <c r="K42" i="19"/>
  <c r="L42" i="19"/>
  <c r="M42" i="19"/>
  <c r="N42" i="19"/>
  <c r="P42" i="19"/>
  <c r="Q42" i="19"/>
  <c r="S42" i="19"/>
  <c r="V42" i="19"/>
  <c r="W42" i="19"/>
  <c r="Y42" i="19" s="1"/>
  <c r="X42" i="19"/>
  <c r="Z42" i="19"/>
  <c r="AA42" i="19"/>
  <c r="C43" i="19"/>
  <c r="D43" i="19"/>
  <c r="E43" i="19"/>
  <c r="F43" i="19"/>
  <c r="H43" i="19"/>
  <c r="I43" i="19"/>
  <c r="J43" i="19"/>
  <c r="K43" i="19"/>
  <c r="L43" i="19"/>
  <c r="M43" i="19"/>
  <c r="N43" i="19"/>
  <c r="P43" i="19"/>
  <c r="Q43" i="19"/>
  <c r="S43" i="19"/>
  <c r="V43" i="19"/>
  <c r="W43" i="19"/>
  <c r="X43" i="19"/>
  <c r="Z43" i="19"/>
  <c r="AA43" i="19"/>
  <c r="C44" i="19"/>
  <c r="D44" i="19"/>
  <c r="E44" i="19"/>
  <c r="F44" i="19"/>
  <c r="H44" i="19"/>
  <c r="I44" i="19"/>
  <c r="J44" i="19"/>
  <c r="K44" i="19"/>
  <c r="L44" i="19"/>
  <c r="M44" i="19"/>
  <c r="N44" i="19"/>
  <c r="P44" i="19"/>
  <c r="Q44" i="19"/>
  <c r="S44" i="19"/>
  <c r="V44" i="19"/>
  <c r="W44" i="19"/>
  <c r="X44" i="19"/>
  <c r="Z44" i="19"/>
  <c r="AA44" i="19"/>
  <c r="C45" i="19"/>
  <c r="D45" i="19"/>
  <c r="E45" i="19"/>
  <c r="F45" i="19"/>
  <c r="H45" i="19"/>
  <c r="I45" i="19"/>
  <c r="J45" i="19"/>
  <c r="K45" i="19"/>
  <c r="L45" i="19"/>
  <c r="M45" i="19"/>
  <c r="N45" i="19"/>
  <c r="P45" i="19"/>
  <c r="O45" i="19" s="1"/>
  <c r="Q45" i="19"/>
  <c r="S45" i="19"/>
  <c r="V45" i="19"/>
  <c r="W45" i="19"/>
  <c r="X45" i="19"/>
  <c r="Z45" i="19"/>
  <c r="AA45" i="19"/>
  <c r="C46" i="19"/>
  <c r="D46" i="19"/>
  <c r="E46" i="19"/>
  <c r="F46" i="19"/>
  <c r="H46" i="19"/>
  <c r="I46" i="19"/>
  <c r="J46" i="19"/>
  <c r="K46" i="19"/>
  <c r="L46" i="19"/>
  <c r="M46" i="19"/>
  <c r="N46" i="19"/>
  <c r="P46" i="19"/>
  <c r="Q46" i="19"/>
  <c r="S46" i="19"/>
  <c r="V46" i="19"/>
  <c r="W46" i="19"/>
  <c r="X46" i="19"/>
  <c r="Z46" i="19"/>
  <c r="AA46" i="19"/>
  <c r="C47" i="19"/>
  <c r="D47" i="19"/>
  <c r="E47" i="19"/>
  <c r="F47" i="19"/>
  <c r="H47" i="19"/>
  <c r="I47" i="19"/>
  <c r="J47" i="19"/>
  <c r="K47" i="19"/>
  <c r="L47" i="19"/>
  <c r="M47" i="19"/>
  <c r="N47" i="19"/>
  <c r="P47" i="19"/>
  <c r="Q47" i="19"/>
  <c r="S47" i="19"/>
  <c r="V47" i="19"/>
  <c r="W47" i="19"/>
  <c r="X47" i="19"/>
  <c r="Z47" i="19"/>
  <c r="AA47" i="19"/>
  <c r="C48" i="19"/>
  <c r="D48" i="19"/>
  <c r="E48" i="19"/>
  <c r="F48" i="19"/>
  <c r="H48" i="19"/>
  <c r="I48" i="19"/>
  <c r="J48" i="19"/>
  <c r="K48" i="19"/>
  <c r="L48" i="19"/>
  <c r="M48" i="19"/>
  <c r="N48" i="19"/>
  <c r="P48" i="19"/>
  <c r="Q48" i="19"/>
  <c r="S48" i="19"/>
  <c r="V48" i="19"/>
  <c r="W48" i="19"/>
  <c r="X48" i="19"/>
  <c r="Z48" i="19"/>
  <c r="AA48" i="19"/>
  <c r="C49" i="19"/>
  <c r="D49" i="19"/>
  <c r="E49" i="19"/>
  <c r="F49" i="19"/>
  <c r="H49" i="19"/>
  <c r="I49" i="19"/>
  <c r="J49" i="19"/>
  <c r="K49" i="19"/>
  <c r="L49" i="19"/>
  <c r="M49" i="19"/>
  <c r="N49" i="19"/>
  <c r="P49" i="19"/>
  <c r="Q49" i="19"/>
  <c r="S49" i="19"/>
  <c r="V49" i="19"/>
  <c r="W49" i="19"/>
  <c r="X49" i="19"/>
  <c r="Z49" i="19"/>
  <c r="AA49" i="19"/>
  <c r="C50" i="19"/>
  <c r="D50" i="19"/>
  <c r="E50" i="19"/>
  <c r="F50" i="19"/>
  <c r="H50" i="19"/>
  <c r="I50" i="19"/>
  <c r="J50" i="19"/>
  <c r="K50" i="19"/>
  <c r="L50" i="19"/>
  <c r="M50" i="19"/>
  <c r="N50" i="19"/>
  <c r="P50" i="19"/>
  <c r="Q50" i="19"/>
  <c r="S50" i="19"/>
  <c r="V50" i="19"/>
  <c r="W50" i="19"/>
  <c r="X50" i="19"/>
  <c r="Z50" i="19"/>
  <c r="AA50" i="19"/>
  <c r="C51" i="19"/>
  <c r="D51" i="19"/>
  <c r="E51" i="19"/>
  <c r="F51" i="19"/>
  <c r="H51" i="19"/>
  <c r="I51" i="19"/>
  <c r="J51" i="19"/>
  <c r="K51" i="19"/>
  <c r="L51" i="19"/>
  <c r="M51" i="19"/>
  <c r="N51" i="19"/>
  <c r="P51" i="19"/>
  <c r="Q51" i="19"/>
  <c r="S51" i="19"/>
  <c r="V51" i="19"/>
  <c r="W51" i="19"/>
  <c r="X51" i="19"/>
  <c r="Z51" i="19"/>
  <c r="AA51" i="19"/>
  <c r="C52" i="19"/>
  <c r="D52" i="19"/>
  <c r="G52" i="19" s="1"/>
  <c r="E52" i="19"/>
  <c r="F52" i="19"/>
  <c r="H52" i="19"/>
  <c r="I52" i="19"/>
  <c r="J52" i="19"/>
  <c r="K52" i="19"/>
  <c r="L52" i="19"/>
  <c r="M52" i="19"/>
  <c r="N52" i="19"/>
  <c r="P52" i="19"/>
  <c r="O52" i="19" s="1"/>
  <c r="Q52" i="19"/>
  <c r="S52" i="19"/>
  <c r="V52" i="19"/>
  <c r="W52" i="19"/>
  <c r="X52" i="19"/>
  <c r="Z52" i="19"/>
  <c r="AA52" i="19"/>
  <c r="C53" i="19"/>
  <c r="D53" i="19"/>
  <c r="E53" i="19"/>
  <c r="F53" i="19"/>
  <c r="H53" i="19"/>
  <c r="I53" i="19"/>
  <c r="J53" i="19"/>
  <c r="K53" i="19"/>
  <c r="L53" i="19"/>
  <c r="M53" i="19"/>
  <c r="N53" i="19"/>
  <c r="P53" i="19"/>
  <c r="Q53" i="19"/>
  <c r="S53" i="19"/>
  <c r="V53" i="19"/>
  <c r="W53" i="19"/>
  <c r="X53" i="19"/>
  <c r="Z53" i="19"/>
  <c r="AA53" i="19"/>
  <c r="C54" i="19"/>
  <c r="D54" i="19"/>
  <c r="E54" i="19"/>
  <c r="F54" i="19"/>
  <c r="H54" i="19"/>
  <c r="I54" i="19"/>
  <c r="J54" i="19"/>
  <c r="K54" i="19"/>
  <c r="L54" i="19"/>
  <c r="M54" i="19"/>
  <c r="N54" i="19"/>
  <c r="P54" i="19"/>
  <c r="Q54" i="19"/>
  <c r="O54" i="19" s="1"/>
  <c r="S54" i="19"/>
  <c r="V54" i="19"/>
  <c r="W54" i="19"/>
  <c r="X54" i="19"/>
  <c r="Z54" i="19"/>
  <c r="AA54" i="19"/>
  <c r="C55" i="19"/>
  <c r="D55" i="19"/>
  <c r="E55" i="19"/>
  <c r="F55" i="19"/>
  <c r="H55" i="19"/>
  <c r="I55" i="19"/>
  <c r="J55" i="19"/>
  <c r="K55" i="19"/>
  <c r="L55" i="19"/>
  <c r="M55" i="19"/>
  <c r="N55" i="19"/>
  <c r="P55" i="19"/>
  <c r="Q55" i="19"/>
  <c r="S55" i="19"/>
  <c r="V55" i="19"/>
  <c r="W55" i="19"/>
  <c r="X55" i="19"/>
  <c r="Z55" i="19"/>
  <c r="AA55" i="19"/>
  <c r="C56" i="19"/>
  <c r="D56" i="19"/>
  <c r="E56" i="19"/>
  <c r="F56" i="19"/>
  <c r="H56" i="19"/>
  <c r="I56" i="19"/>
  <c r="J56" i="19"/>
  <c r="K56" i="19"/>
  <c r="L56" i="19"/>
  <c r="M56" i="19"/>
  <c r="N56" i="19"/>
  <c r="P56" i="19"/>
  <c r="Q56" i="19"/>
  <c r="S56" i="19"/>
  <c r="V56" i="19"/>
  <c r="W56" i="19"/>
  <c r="X56" i="19"/>
  <c r="Z56" i="19"/>
  <c r="AA56" i="19"/>
  <c r="C57" i="19"/>
  <c r="D57" i="19"/>
  <c r="E57" i="19"/>
  <c r="F57" i="19"/>
  <c r="H57" i="19"/>
  <c r="I57" i="19"/>
  <c r="J57" i="19"/>
  <c r="K57" i="19"/>
  <c r="L57" i="19"/>
  <c r="M57" i="19"/>
  <c r="N57" i="19"/>
  <c r="P57" i="19"/>
  <c r="Q57" i="19"/>
  <c r="S57" i="19"/>
  <c r="V57" i="19"/>
  <c r="W57" i="19"/>
  <c r="X57" i="19"/>
  <c r="Z57" i="19"/>
  <c r="AA57" i="19"/>
  <c r="C58" i="19"/>
  <c r="D58" i="19"/>
  <c r="E58" i="19"/>
  <c r="F58" i="19"/>
  <c r="H58" i="19"/>
  <c r="I58" i="19"/>
  <c r="J58" i="19"/>
  <c r="K58" i="19"/>
  <c r="L58" i="19"/>
  <c r="M58" i="19"/>
  <c r="N58" i="19"/>
  <c r="P58" i="19"/>
  <c r="Q58" i="19"/>
  <c r="S58" i="19"/>
  <c r="V58" i="19"/>
  <c r="W58" i="19"/>
  <c r="X58" i="19"/>
  <c r="Z58" i="19"/>
  <c r="AA58" i="19"/>
  <c r="C59" i="19"/>
  <c r="D59" i="19"/>
  <c r="E59" i="19"/>
  <c r="F59" i="19"/>
  <c r="H59" i="19"/>
  <c r="I59" i="19"/>
  <c r="J59" i="19"/>
  <c r="K59" i="19"/>
  <c r="L59" i="19"/>
  <c r="M59" i="19"/>
  <c r="N59" i="19"/>
  <c r="P59" i="19"/>
  <c r="Q59" i="19"/>
  <c r="S59" i="19"/>
  <c r="V59" i="19"/>
  <c r="W59" i="19"/>
  <c r="X59" i="19"/>
  <c r="Z59" i="19"/>
  <c r="AA59" i="19"/>
  <c r="C60" i="19"/>
  <c r="D60" i="19"/>
  <c r="E60" i="19"/>
  <c r="F60" i="19"/>
  <c r="H60" i="19"/>
  <c r="I60" i="19"/>
  <c r="J60" i="19"/>
  <c r="K60" i="19"/>
  <c r="L60" i="19"/>
  <c r="M60" i="19"/>
  <c r="N60" i="19"/>
  <c r="P60" i="19"/>
  <c r="Q60" i="19"/>
  <c r="O60" i="19" s="1"/>
  <c r="S60" i="19"/>
  <c r="V60" i="19"/>
  <c r="W60" i="19"/>
  <c r="X60" i="19"/>
  <c r="Z60" i="19"/>
  <c r="AA60" i="19"/>
  <c r="C61" i="19"/>
  <c r="D61" i="19"/>
  <c r="E61" i="19"/>
  <c r="F61" i="19"/>
  <c r="H61" i="19"/>
  <c r="I61" i="19"/>
  <c r="J61" i="19"/>
  <c r="K61" i="19"/>
  <c r="L61" i="19"/>
  <c r="M61" i="19"/>
  <c r="N61" i="19"/>
  <c r="P61" i="19"/>
  <c r="Q61" i="19"/>
  <c r="S61" i="19"/>
  <c r="V61" i="19"/>
  <c r="W61" i="19"/>
  <c r="X61" i="19"/>
  <c r="Z61" i="19"/>
  <c r="AA61" i="19"/>
  <c r="C62" i="19"/>
  <c r="D62" i="19"/>
  <c r="E62" i="19"/>
  <c r="F62" i="19"/>
  <c r="H62" i="19"/>
  <c r="I62" i="19"/>
  <c r="J62" i="19"/>
  <c r="K62" i="19"/>
  <c r="L62" i="19"/>
  <c r="M62" i="19"/>
  <c r="N62" i="19"/>
  <c r="P62" i="19"/>
  <c r="O62" i="19" s="1"/>
  <c r="Q62" i="19"/>
  <c r="S62" i="19"/>
  <c r="V62" i="19"/>
  <c r="W62" i="19"/>
  <c r="X62" i="19"/>
  <c r="Z62" i="19"/>
  <c r="AA62" i="19"/>
  <c r="C63" i="19"/>
  <c r="D63" i="19"/>
  <c r="E63" i="19"/>
  <c r="F63" i="19"/>
  <c r="H63" i="19"/>
  <c r="I63" i="19"/>
  <c r="J63" i="19"/>
  <c r="K63" i="19"/>
  <c r="L63" i="19"/>
  <c r="M63" i="19"/>
  <c r="N63" i="19"/>
  <c r="P63" i="19"/>
  <c r="Q63" i="19"/>
  <c r="S63" i="19"/>
  <c r="V63" i="19"/>
  <c r="W63" i="19"/>
  <c r="X63" i="19"/>
  <c r="Z63" i="19"/>
  <c r="AA63" i="19"/>
  <c r="C64" i="19"/>
  <c r="D64" i="19"/>
  <c r="E64" i="19"/>
  <c r="F64" i="19"/>
  <c r="H64" i="19"/>
  <c r="I64" i="19"/>
  <c r="J64" i="19"/>
  <c r="K64" i="19"/>
  <c r="L64" i="19"/>
  <c r="M64" i="19"/>
  <c r="N64" i="19"/>
  <c r="P64" i="19"/>
  <c r="Q64" i="19"/>
  <c r="O64" i="19" s="1"/>
  <c r="S64" i="19"/>
  <c r="V64" i="19"/>
  <c r="W64" i="19"/>
  <c r="X64" i="19"/>
  <c r="Y64" i="19" s="1"/>
  <c r="Z64" i="19"/>
  <c r="AA64" i="19"/>
  <c r="C65" i="19"/>
  <c r="D65" i="19"/>
  <c r="E65" i="19"/>
  <c r="F65" i="19"/>
  <c r="H65" i="19"/>
  <c r="I65" i="19"/>
  <c r="J65" i="19"/>
  <c r="K65" i="19"/>
  <c r="L65" i="19"/>
  <c r="M65" i="19"/>
  <c r="N65" i="19"/>
  <c r="P65" i="19"/>
  <c r="Q65" i="19"/>
  <c r="S65" i="19"/>
  <c r="V65" i="19"/>
  <c r="W65" i="19"/>
  <c r="X65" i="19"/>
  <c r="Z65" i="19"/>
  <c r="AA65" i="19"/>
  <c r="C66" i="19"/>
  <c r="D66" i="19"/>
  <c r="E66" i="19"/>
  <c r="F66" i="19"/>
  <c r="H66" i="19"/>
  <c r="I66" i="19"/>
  <c r="J66" i="19"/>
  <c r="K66" i="19"/>
  <c r="L66" i="19"/>
  <c r="M66" i="19"/>
  <c r="N66" i="19"/>
  <c r="P66" i="19"/>
  <c r="O66" i="19" s="1"/>
  <c r="Q66" i="19"/>
  <c r="S66" i="19"/>
  <c r="V66" i="19"/>
  <c r="W66" i="19"/>
  <c r="X66" i="19"/>
  <c r="Z66" i="19"/>
  <c r="AA66" i="19"/>
  <c r="C67" i="19"/>
  <c r="D67" i="19"/>
  <c r="E67" i="19"/>
  <c r="F67" i="19"/>
  <c r="H67" i="19"/>
  <c r="I67" i="19"/>
  <c r="J67" i="19"/>
  <c r="K67" i="19"/>
  <c r="L67" i="19"/>
  <c r="M67" i="19"/>
  <c r="N67" i="19"/>
  <c r="P67" i="19"/>
  <c r="Q67" i="19"/>
  <c r="S67" i="19"/>
  <c r="V67" i="19"/>
  <c r="W67" i="19"/>
  <c r="X67" i="19"/>
  <c r="Z67" i="19"/>
  <c r="AA67" i="19"/>
  <c r="C68" i="19"/>
  <c r="D68" i="19"/>
  <c r="E68" i="19"/>
  <c r="F68" i="19"/>
  <c r="H68" i="19"/>
  <c r="I68" i="19"/>
  <c r="J68" i="19"/>
  <c r="K68" i="19"/>
  <c r="L68" i="19"/>
  <c r="M68" i="19"/>
  <c r="N68" i="19"/>
  <c r="P68" i="19"/>
  <c r="Q68" i="19"/>
  <c r="S68" i="19"/>
  <c r="V68" i="19"/>
  <c r="W68" i="19"/>
  <c r="X68" i="19"/>
  <c r="Z68" i="19"/>
  <c r="AA68" i="19"/>
  <c r="C69" i="19"/>
  <c r="D69" i="19"/>
  <c r="E69" i="19"/>
  <c r="F69" i="19"/>
  <c r="H69" i="19"/>
  <c r="I69" i="19"/>
  <c r="J69" i="19"/>
  <c r="K69" i="19"/>
  <c r="L69" i="19"/>
  <c r="M69" i="19"/>
  <c r="N69" i="19"/>
  <c r="P69" i="19"/>
  <c r="Q69" i="19"/>
  <c r="S69" i="19"/>
  <c r="V69" i="19"/>
  <c r="W69" i="19"/>
  <c r="X69" i="19"/>
  <c r="Z69" i="19"/>
  <c r="AA69" i="19"/>
  <c r="C70" i="19"/>
  <c r="D70" i="19"/>
  <c r="E70" i="19"/>
  <c r="F70" i="19"/>
  <c r="H70" i="19"/>
  <c r="I70" i="19"/>
  <c r="J70" i="19"/>
  <c r="K70" i="19"/>
  <c r="L70" i="19"/>
  <c r="M70" i="19"/>
  <c r="N70" i="19"/>
  <c r="P70" i="19"/>
  <c r="O70" i="19" s="1"/>
  <c r="Q70" i="19"/>
  <c r="S70" i="19"/>
  <c r="V70" i="19"/>
  <c r="W70" i="19"/>
  <c r="X70" i="19"/>
  <c r="Z70" i="19"/>
  <c r="AA70" i="19"/>
  <c r="C71" i="19"/>
  <c r="D71" i="19"/>
  <c r="E71" i="19"/>
  <c r="F71" i="19"/>
  <c r="H71" i="19"/>
  <c r="I71" i="19"/>
  <c r="J71" i="19"/>
  <c r="K71" i="19"/>
  <c r="L71" i="19"/>
  <c r="M71" i="19"/>
  <c r="N71" i="19"/>
  <c r="P71" i="19"/>
  <c r="Q71" i="19"/>
  <c r="S71" i="19"/>
  <c r="V71" i="19"/>
  <c r="W71" i="19"/>
  <c r="X71" i="19"/>
  <c r="Z71" i="19"/>
  <c r="AA71" i="19"/>
  <c r="C72" i="19"/>
  <c r="D72" i="19"/>
  <c r="E72" i="19"/>
  <c r="F72" i="19"/>
  <c r="H72" i="19"/>
  <c r="I72" i="19"/>
  <c r="J72" i="19"/>
  <c r="K72" i="19"/>
  <c r="L72" i="19"/>
  <c r="M72" i="19"/>
  <c r="N72" i="19"/>
  <c r="P72" i="19"/>
  <c r="Q72" i="19"/>
  <c r="S72" i="19"/>
  <c r="V72" i="19"/>
  <c r="W72" i="19"/>
  <c r="X72" i="19"/>
  <c r="Z72" i="19"/>
  <c r="AA72" i="19"/>
  <c r="C73" i="19"/>
  <c r="D73" i="19"/>
  <c r="E73" i="19"/>
  <c r="F73" i="19"/>
  <c r="H73" i="19"/>
  <c r="I73" i="19"/>
  <c r="J73" i="19"/>
  <c r="K73" i="19"/>
  <c r="L73" i="19"/>
  <c r="M73" i="19"/>
  <c r="N73" i="19"/>
  <c r="P73" i="19"/>
  <c r="Q73" i="19"/>
  <c r="S73" i="19"/>
  <c r="V73" i="19"/>
  <c r="W73" i="19"/>
  <c r="X73" i="19"/>
  <c r="Z73" i="19"/>
  <c r="AA73" i="19"/>
  <c r="C74" i="19"/>
  <c r="D74" i="19"/>
  <c r="E74" i="19"/>
  <c r="F74" i="19"/>
  <c r="H74" i="19"/>
  <c r="I74" i="19"/>
  <c r="J74" i="19"/>
  <c r="K74" i="19"/>
  <c r="L74" i="19"/>
  <c r="M74" i="19"/>
  <c r="N74" i="19"/>
  <c r="P74" i="19"/>
  <c r="Q74" i="19"/>
  <c r="S74" i="19"/>
  <c r="V74" i="19"/>
  <c r="W74" i="19"/>
  <c r="X74" i="19"/>
  <c r="Z74" i="19"/>
  <c r="AA74" i="19"/>
  <c r="C75" i="19"/>
  <c r="D75" i="19"/>
  <c r="E75" i="19"/>
  <c r="F75" i="19"/>
  <c r="H75" i="19"/>
  <c r="I75" i="19"/>
  <c r="J75" i="19"/>
  <c r="K75" i="19"/>
  <c r="L75" i="19"/>
  <c r="M75" i="19"/>
  <c r="N75" i="19"/>
  <c r="P75" i="19"/>
  <c r="Q75" i="19"/>
  <c r="S75" i="19"/>
  <c r="V75" i="19"/>
  <c r="W75" i="19"/>
  <c r="X75" i="19"/>
  <c r="Z75" i="19"/>
  <c r="AA75" i="19"/>
  <c r="C76" i="19"/>
  <c r="D76" i="19"/>
  <c r="E76" i="19"/>
  <c r="F76" i="19"/>
  <c r="H76" i="19"/>
  <c r="I76" i="19"/>
  <c r="J76" i="19"/>
  <c r="K76" i="19"/>
  <c r="L76" i="19"/>
  <c r="M76" i="19"/>
  <c r="N76" i="19"/>
  <c r="P76" i="19"/>
  <c r="Q76" i="19"/>
  <c r="S76" i="19"/>
  <c r="V76" i="19"/>
  <c r="W76" i="19"/>
  <c r="X76" i="19"/>
  <c r="Z76" i="19"/>
  <c r="AA76" i="19"/>
  <c r="C77" i="19"/>
  <c r="D77" i="19"/>
  <c r="E77" i="19"/>
  <c r="F77" i="19"/>
  <c r="H77" i="19"/>
  <c r="I77" i="19"/>
  <c r="J77" i="19"/>
  <c r="K77" i="19"/>
  <c r="L77" i="19"/>
  <c r="M77" i="19"/>
  <c r="N77" i="19"/>
  <c r="P77" i="19"/>
  <c r="Q77" i="19"/>
  <c r="S77" i="19"/>
  <c r="V77" i="19"/>
  <c r="W77" i="19"/>
  <c r="X77" i="19"/>
  <c r="Z77" i="19"/>
  <c r="AA77" i="19"/>
  <c r="C78" i="19"/>
  <c r="D78" i="19"/>
  <c r="E78" i="19"/>
  <c r="F78" i="19"/>
  <c r="H78" i="19"/>
  <c r="I78" i="19"/>
  <c r="J78" i="19"/>
  <c r="K78" i="19"/>
  <c r="L78" i="19"/>
  <c r="M78" i="19"/>
  <c r="N78" i="19"/>
  <c r="P78" i="19"/>
  <c r="Q78" i="19"/>
  <c r="S78" i="19"/>
  <c r="V78" i="19"/>
  <c r="W78" i="19"/>
  <c r="X78" i="19"/>
  <c r="Z78" i="19"/>
  <c r="AA78" i="19"/>
  <c r="C79" i="19"/>
  <c r="D79" i="19"/>
  <c r="E79" i="19"/>
  <c r="F79" i="19"/>
  <c r="H79" i="19"/>
  <c r="I79" i="19"/>
  <c r="J79" i="19"/>
  <c r="K79" i="19"/>
  <c r="L79" i="19"/>
  <c r="M79" i="19"/>
  <c r="N79" i="19"/>
  <c r="P79" i="19"/>
  <c r="Q79" i="19"/>
  <c r="S79" i="19"/>
  <c r="V79" i="19"/>
  <c r="Y79" i="19" s="1"/>
  <c r="W79" i="19"/>
  <c r="X79" i="19"/>
  <c r="Z79" i="19"/>
  <c r="AA79" i="19"/>
  <c r="C80" i="19"/>
  <c r="D80" i="19"/>
  <c r="E80" i="19"/>
  <c r="F80" i="19"/>
  <c r="H80" i="19"/>
  <c r="I80" i="19"/>
  <c r="J80" i="19"/>
  <c r="K80" i="19"/>
  <c r="L80" i="19"/>
  <c r="M80" i="19"/>
  <c r="N80" i="19"/>
  <c r="P80" i="19"/>
  <c r="Q80" i="19"/>
  <c r="S80" i="19"/>
  <c r="V80" i="19"/>
  <c r="W80" i="19"/>
  <c r="X80" i="19"/>
  <c r="Y80" i="19" s="1"/>
  <c r="Z80" i="19"/>
  <c r="AA80" i="19"/>
  <c r="C81" i="19"/>
  <c r="D81" i="19"/>
  <c r="E81" i="19"/>
  <c r="F81" i="19"/>
  <c r="H81" i="19"/>
  <c r="I81" i="19"/>
  <c r="J81" i="19"/>
  <c r="K81" i="19"/>
  <c r="L81" i="19"/>
  <c r="M81" i="19"/>
  <c r="N81" i="19"/>
  <c r="P81" i="19"/>
  <c r="Q81" i="19"/>
  <c r="S81" i="19"/>
  <c r="V81" i="19"/>
  <c r="W81" i="19"/>
  <c r="X81" i="19"/>
  <c r="Z81" i="19"/>
  <c r="AA81" i="19"/>
  <c r="C82" i="19"/>
  <c r="D82" i="19"/>
  <c r="E82" i="19"/>
  <c r="F82" i="19"/>
  <c r="H82" i="19"/>
  <c r="I82" i="19"/>
  <c r="J82" i="19"/>
  <c r="K82" i="19"/>
  <c r="L82" i="19"/>
  <c r="M82" i="19"/>
  <c r="N82" i="19"/>
  <c r="P82" i="19"/>
  <c r="Q82" i="19"/>
  <c r="S82" i="19"/>
  <c r="V82" i="19"/>
  <c r="W82" i="19"/>
  <c r="X82" i="19"/>
  <c r="Z82" i="19"/>
  <c r="AA82" i="19"/>
  <c r="C83" i="19"/>
  <c r="D83" i="19"/>
  <c r="E83" i="19"/>
  <c r="F83" i="19"/>
  <c r="H83" i="19"/>
  <c r="I83" i="19"/>
  <c r="J83" i="19"/>
  <c r="K83" i="19"/>
  <c r="L83" i="19"/>
  <c r="M83" i="19"/>
  <c r="N83" i="19"/>
  <c r="P83" i="19"/>
  <c r="Q83" i="19"/>
  <c r="S83" i="19"/>
  <c r="V83" i="19"/>
  <c r="W83" i="19"/>
  <c r="X83" i="19"/>
  <c r="Z83" i="19"/>
  <c r="AA83" i="19"/>
  <c r="C84" i="19"/>
  <c r="D84" i="19"/>
  <c r="E84" i="19"/>
  <c r="F84" i="19"/>
  <c r="H84" i="19"/>
  <c r="I84" i="19"/>
  <c r="J84" i="19"/>
  <c r="K84" i="19"/>
  <c r="L84" i="19"/>
  <c r="M84" i="19"/>
  <c r="N84" i="19"/>
  <c r="P84" i="19"/>
  <c r="Q84" i="19"/>
  <c r="S84" i="19"/>
  <c r="V84" i="19"/>
  <c r="W84" i="19"/>
  <c r="X84" i="19"/>
  <c r="Z84" i="19"/>
  <c r="AA84" i="19"/>
  <c r="C85" i="19"/>
  <c r="D85" i="19"/>
  <c r="E85" i="19"/>
  <c r="F85" i="19"/>
  <c r="H85" i="19"/>
  <c r="I85" i="19"/>
  <c r="J85" i="19"/>
  <c r="K85" i="19"/>
  <c r="L85" i="19"/>
  <c r="M85" i="19"/>
  <c r="N85" i="19"/>
  <c r="P85" i="19"/>
  <c r="Q85" i="19"/>
  <c r="O85" i="19" s="1"/>
  <c r="S85" i="19"/>
  <c r="V85" i="19"/>
  <c r="W85" i="19"/>
  <c r="X85" i="19"/>
  <c r="Z85" i="19"/>
  <c r="AA85" i="19"/>
  <c r="C86" i="19"/>
  <c r="D86" i="19"/>
  <c r="E86" i="19"/>
  <c r="F86" i="19"/>
  <c r="H86" i="19"/>
  <c r="I86" i="19"/>
  <c r="J86" i="19"/>
  <c r="K86" i="19"/>
  <c r="L86" i="19"/>
  <c r="M86" i="19"/>
  <c r="N86" i="19"/>
  <c r="P86" i="19"/>
  <c r="Q86" i="19"/>
  <c r="S86" i="19"/>
  <c r="V86" i="19"/>
  <c r="W86" i="19"/>
  <c r="X86" i="19"/>
  <c r="Z86" i="19"/>
  <c r="AA86" i="19"/>
  <c r="C87" i="19"/>
  <c r="D87" i="19"/>
  <c r="E87" i="19"/>
  <c r="F87" i="19"/>
  <c r="H87" i="19"/>
  <c r="I87" i="19"/>
  <c r="J87" i="19"/>
  <c r="K87" i="19"/>
  <c r="L87" i="19"/>
  <c r="M87" i="19"/>
  <c r="N87" i="19"/>
  <c r="P87" i="19"/>
  <c r="Q87" i="19"/>
  <c r="S87" i="19"/>
  <c r="V87" i="19"/>
  <c r="W87" i="19"/>
  <c r="X87" i="19"/>
  <c r="Z87" i="19"/>
  <c r="AA87" i="19"/>
  <c r="C88" i="19"/>
  <c r="D88" i="19"/>
  <c r="E88" i="19"/>
  <c r="F88" i="19"/>
  <c r="H88" i="19"/>
  <c r="I88" i="19"/>
  <c r="J88" i="19"/>
  <c r="K88" i="19"/>
  <c r="L88" i="19"/>
  <c r="M88" i="19"/>
  <c r="N88" i="19"/>
  <c r="P88" i="19"/>
  <c r="Q88" i="19"/>
  <c r="S88" i="19"/>
  <c r="V88" i="19"/>
  <c r="W88" i="19"/>
  <c r="X88" i="19"/>
  <c r="Z88" i="19"/>
  <c r="AA88" i="19"/>
  <c r="C89" i="19"/>
  <c r="D89" i="19"/>
  <c r="E89" i="19"/>
  <c r="F89" i="19"/>
  <c r="H89" i="19"/>
  <c r="I89" i="19"/>
  <c r="J89" i="19"/>
  <c r="K89" i="19"/>
  <c r="L89" i="19"/>
  <c r="M89" i="19"/>
  <c r="N89" i="19"/>
  <c r="P89" i="19"/>
  <c r="Q89" i="19"/>
  <c r="S89" i="19"/>
  <c r="V89" i="19"/>
  <c r="W89" i="19"/>
  <c r="X89" i="19"/>
  <c r="Z89" i="19"/>
  <c r="AA89" i="19"/>
  <c r="C90" i="19"/>
  <c r="D90" i="19"/>
  <c r="E90" i="19"/>
  <c r="F90" i="19"/>
  <c r="H90" i="19"/>
  <c r="I90" i="19"/>
  <c r="J90" i="19"/>
  <c r="K90" i="19"/>
  <c r="L90" i="19"/>
  <c r="M90" i="19"/>
  <c r="N90" i="19"/>
  <c r="P90" i="19"/>
  <c r="Q90" i="19"/>
  <c r="S90" i="19"/>
  <c r="V90" i="19"/>
  <c r="W90" i="19"/>
  <c r="X90" i="19"/>
  <c r="Z90" i="19"/>
  <c r="AA90" i="19"/>
  <c r="C91" i="19"/>
  <c r="D91" i="19"/>
  <c r="E91" i="19"/>
  <c r="F91" i="19"/>
  <c r="H91" i="19"/>
  <c r="I91" i="19"/>
  <c r="J91" i="19"/>
  <c r="K91" i="19"/>
  <c r="L91" i="19"/>
  <c r="M91" i="19"/>
  <c r="N91" i="19"/>
  <c r="P91" i="19"/>
  <c r="Q91" i="19"/>
  <c r="S91" i="19"/>
  <c r="V91" i="19"/>
  <c r="W91" i="19"/>
  <c r="X91" i="19"/>
  <c r="Z91" i="19"/>
  <c r="AA91" i="19"/>
  <c r="C92" i="19"/>
  <c r="D92" i="19"/>
  <c r="E92" i="19"/>
  <c r="F92" i="19"/>
  <c r="H92" i="19"/>
  <c r="I92" i="19"/>
  <c r="J92" i="19"/>
  <c r="K92" i="19"/>
  <c r="L92" i="19"/>
  <c r="M92" i="19"/>
  <c r="N92" i="19"/>
  <c r="P92" i="19"/>
  <c r="Q92" i="19"/>
  <c r="S92" i="19"/>
  <c r="V92" i="19"/>
  <c r="W92" i="19"/>
  <c r="X92" i="19"/>
  <c r="Z92" i="19"/>
  <c r="AA92" i="19"/>
  <c r="C93" i="19"/>
  <c r="D93" i="19"/>
  <c r="E93" i="19"/>
  <c r="F93" i="19"/>
  <c r="H93" i="19"/>
  <c r="I93" i="19"/>
  <c r="J93" i="19"/>
  <c r="K93" i="19"/>
  <c r="L93" i="19"/>
  <c r="M93" i="19"/>
  <c r="N93" i="19"/>
  <c r="P93" i="19"/>
  <c r="Q93" i="19"/>
  <c r="S93" i="19"/>
  <c r="V93" i="19"/>
  <c r="W93" i="19"/>
  <c r="X93" i="19"/>
  <c r="Z93" i="19"/>
  <c r="AA93" i="19"/>
  <c r="C94" i="19"/>
  <c r="D94" i="19"/>
  <c r="E94" i="19"/>
  <c r="F94" i="19"/>
  <c r="H94" i="19"/>
  <c r="I94" i="19"/>
  <c r="J94" i="19"/>
  <c r="K94" i="19"/>
  <c r="L94" i="19"/>
  <c r="M94" i="19"/>
  <c r="N94" i="19"/>
  <c r="P94" i="19"/>
  <c r="Q94" i="19"/>
  <c r="S94" i="19"/>
  <c r="V94" i="19"/>
  <c r="W94" i="19"/>
  <c r="X94" i="19"/>
  <c r="Z94" i="19"/>
  <c r="AA94" i="19"/>
  <c r="C95" i="19"/>
  <c r="D95" i="19"/>
  <c r="E95" i="19"/>
  <c r="F95" i="19"/>
  <c r="H95" i="19"/>
  <c r="I95" i="19"/>
  <c r="J95" i="19"/>
  <c r="K95" i="19"/>
  <c r="L95" i="19"/>
  <c r="M95" i="19"/>
  <c r="N95" i="19"/>
  <c r="P95" i="19"/>
  <c r="Q95" i="19"/>
  <c r="S95" i="19"/>
  <c r="V95" i="19"/>
  <c r="W95" i="19"/>
  <c r="X95" i="19"/>
  <c r="Z95" i="19"/>
  <c r="AA95" i="19"/>
  <c r="C96" i="19"/>
  <c r="D96" i="19"/>
  <c r="E96" i="19"/>
  <c r="F96" i="19"/>
  <c r="H96" i="19"/>
  <c r="I96" i="19"/>
  <c r="J96" i="19"/>
  <c r="K96" i="19"/>
  <c r="L96" i="19"/>
  <c r="M96" i="19"/>
  <c r="N96" i="19"/>
  <c r="P96" i="19"/>
  <c r="Q96" i="19"/>
  <c r="S96" i="19"/>
  <c r="V96" i="19"/>
  <c r="W96" i="19"/>
  <c r="X96" i="19"/>
  <c r="Z96" i="19"/>
  <c r="AA96" i="19"/>
  <c r="C97" i="19"/>
  <c r="D97" i="19"/>
  <c r="E97" i="19"/>
  <c r="F97" i="19"/>
  <c r="H97" i="19"/>
  <c r="I97" i="19"/>
  <c r="J97" i="19"/>
  <c r="K97" i="19"/>
  <c r="L97" i="19"/>
  <c r="M97" i="19"/>
  <c r="N97" i="19"/>
  <c r="P97" i="19"/>
  <c r="Q97" i="19"/>
  <c r="O97" i="19" s="1"/>
  <c r="S97" i="19"/>
  <c r="V97" i="19"/>
  <c r="W97" i="19"/>
  <c r="X97" i="19"/>
  <c r="Z97" i="19"/>
  <c r="AA97" i="19"/>
  <c r="C98" i="19"/>
  <c r="D98" i="19"/>
  <c r="E98" i="19"/>
  <c r="F98" i="19"/>
  <c r="H98" i="19"/>
  <c r="I98" i="19"/>
  <c r="J98" i="19"/>
  <c r="K98" i="19"/>
  <c r="L98" i="19"/>
  <c r="M98" i="19"/>
  <c r="N98" i="19"/>
  <c r="P98" i="19"/>
  <c r="Q98" i="19"/>
  <c r="S98" i="19"/>
  <c r="V98" i="19"/>
  <c r="W98" i="19"/>
  <c r="X98" i="19"/>
  <c r="Z98" i="19"/>
  <c r="AA98" i="19"/>
  <c r="C99" i="19"/>
  <c r="D99" i="19"/>
  <c r="E99" i="19"/>
  <c r="F99" i="19"/>
  <c r="H99" i="19"/>
  <c r="I99" i="19"/>
  <c r="J99" i="19"/>
  <c r="K99" i="19"/>
  <c r="L99" i="19"/>
  <c r="M99" i="19"/>
  <c r="N99" i="19"/>
  <c r="P99" i="19"/>
  <c r="Q99" i="19"/>
  <c r="S99" i="19"/>
  <c r="V99" i="19"/>
  <c r="W99" i="19"/>
  <c r="X99" i="19"/>
  <c r="Z99" i="19"/>
  <c r="AA99" i="19"/>
  <c r="C100" i="19"/>
  <c r="D100" i="19"/>
  <c r="E100" i="19"/>
  <c r="F100" i="19"/>
  <c r="H100" i="19"/>
  <c r="I100" i="19"/>
  <c r="J100" i="19"/>
  <c r="K100" i="19"/>
  <c r="L100" i="19"/>
  <c r="M100" i="19"/>
  <c r="N100" i="19"/>
  <c r="P100" i="19"/>
  <c r="Q100" i="19"/>
  <c r="S100" i="19"/>
  <c r="V100" i="19"/>
  <c r="W100" i="19"/>
  <c r="X100" i="19"/>
  <c r="Z100" i="19"/>
  <c r="AA100" i="19"/>
  <c r="C101" i="19"/>
  <c r="D101" i="19"/>
  <c r="E101" i="19"/>
  <c r="F101" i="19"/>
  <c r="H101" i="19"/>
  <c r="I101" i="19"/>
  <c r="J101" i="19"/>
  <c r="K101" i="19"/>
  <c r="L101" i="19"/>
  <c r="M101" i="19"/>
  <c r="N101" i="19"/>
  <c r="P101" i="19"/>
  <c r="Q101" i="19"/>
  <c r="O101" i="19" s="1"/>
  <c r="S101" i="19"/>
  <c r="V101" i="19"/>
  <c r="W101" i="19"/>
  <c r="X101" i="19"/>
  <c r="Z101" i="19"/>
  <c r="AA101" i="19"/>
  <c r="C102" i="19"/>
  <c r="D102" i="19"/>
  <c r="E102" i="19"/>
  <c r="F102" i="19"/>
  <c r="H102" i="19"/>
  <c r="I102" i="19"/>
  <c r="J102" i="19"/>
  <c r="K102" i="19"/>
  <c r="L102" i="19"/>
  <c r="M102" i="19"/>
  <c r="N102" i="19"/>
  <c r="P102" i="19"/>
  <c r="Q102" i="19"/>
  <c r="S102" i="19"/>
  <c r="V102" i="19"/>
  <c r="W102" i="19"/>
  <c r="X102" i="19"/>
  <c r="Z102" i="19"/>
  <c r="AA102" i="19"/>
  <c r="C103" i="19"/>
  <c r="D103" i="19"/>
  <c r="E103" i="19"/>
  <c r="F103" i="19"/>
  <c r="H103" i="19"/>
  <c r="I103" i="19"/>
  <c r="J103" i="19"/>
  <c r="K103" i="19"/>
  <c r="L103" i="19"/>
  <c r="M103" i="19"/>
  <c r="N103" i="19"/>
  <c r="P103" i="19"/>
  <c r="Q103" i="19"/>
  <c r="S103" i="19"/>
  <c r="V103" i="19"/>
  <c r="W103" i="19"/>
  <c r="Y103" i="19" s="1"/>
  <c r="X103" i="19"/>
  <c r="Z103" i="19"/>
  <c r="AA103" i="19"/>
  <c r="C104" i="19"/>
  <c r="D104" i="19"/>
  <c r="E104" i="19"/>
  <c r="F104" i="19"/>
  <c r="H104" i="19"/>
  <c r="I104" i="19"/>
  <c r="J104" i="19"/>
  <c r="K104" i="19"/>
  <c r="L104" i="19"/>
  <c r="M104" i="19"/>
  <c r="N104" i="19"/>
  <c r="P104" i="19"/>
  <c r="O104" i="19" s="1"/>
  <c r="Q104" i="19"/>
  <c r="S104" i="19"/>
  <c r="V104" i="19"/>
  <c r="W104" i="19"/>
  <c r="X104" i="19"/>
  <c r="Z104" i="19"/>
  <c r="AA104" i="19"/>
  <c r="C105" i="19"/>
  <c r="D105" i="19"/>
  <c r="E105" i="19"/>
  <c r="F105" i="19"/>
  <c r="H105" i="19"/>
  <c r="I105" i="19"/>
  <c r="J105" i="19"/>
  <c r="K105" i="19"/>
  <c r="L105" i="19"/>
  <c r="M105" i="19"/>
  <c r="N105" i="19"/>
  <c r="P105" i="19"/>
  <c r="Q105" i="19"/>
  <c r="S105" i="19"/>
  <c r="V105" i="19"/>
  <c r="W105" i="19"/>
  <c r="X105" i="19"/>
  <c r="Z105" i="19"/>
  <c r="AA105" i="19"/>
  <c r="C106" i="19"/>
  <c r="D106" i="19"/>
  <c r="E106" i="19"/>
  <c r="F106" i="19"/>
  <c r="H106" i="19"/>
  <c r="I106" i="19"/>
  <c r="J106" i="19"/>
  <c r="K106" i="19"/>
  <c r="L106" i="19"/>
  <c r="M106" i="19"/>
  <c r="N106" i="19"/>
  <c r="P106" i="19"/>
  <c r="O106" i="19" s="1"/>
  <c r="Q106" i="19"/>
  <c r="S106" i="19"/>
  <c r="V106" i="19"/>
  <c r="W106" i="19"/>
  <c r="X106" i="19"/>
  <c r="Z106" i="19"/>
  <c r="AA106" i="19"/>
  <c r="C107" i="19"/>
  <c r="D107" i="19"/>
  <c r="E107" i="19"/>
  <c r="F107" i="19"/>
  <c r="H107" i="19"/>
  <c r="I107" i="19"/>
  <c r="J107" i="19"/>
  <c r="K107" i="19"/>
  <c r="L107" i="19"/>
  <c r="M107" i="19"/>
  <c r="N107" i="19"/>
  <c r="P107" i="19"/>
  <c r="Q107" i="19"/>
  <c r="O107" i="19" s="1"/>
  <c r="S107" i="19"/>
  <c r="V107" i="19"/>
  <c r="W107" i="19"/>
  <c r="X107" i="19"/>
  <c r="Z107" i="19"/>
  <c r="AA107" i="19"/>
  <c r="C108" i="19"/>
  <c r="D108" i="19"/>
  <c r="E108" i="19"/>
  <c r="F108" i="19"/>
  <c r="H108" i="19"/>
  <c r="I108" i="19"/>
  <c r="J108" i="19"/>
  <c r="K108" i="19"/>
  <c r="L108" i="19"/>
  <c r="M108" i="19"/>
  <c r="N108" i="19"/>
  <c r="P108" i="19"/>
  <c r="Q108" i="19"/>
  <c r="S108" i="19"/>
  <c r="V108" i="19"/>
  <c r="W108" i="19"/>
  <c r="X108" i="19"/>
  <c r="Z108" i="19"/>
  <c r="AA108" i="19"/>
  <c r="C109" i="19"/>
  <c r="D109" i="19"/>
  <c r="E109" i="19"/>
  <c r="F109" i="19"/>
  <c r="H109" i="19"/>
  <c r="I109" i="19"/>
  <c r="J109" i="19"/>
  <c r="K109" i="19"/>
  <c r="L109" i="19"/>
  <c r="M109" i="19"/>
  <c r="N109" i="19"/>
  <c r="P109" i="19"/>
  <c r="Q109" i="19"/>
  <c r="S109" i="19"/>
  <c r="V109" i="19"/>
  <c r="W109" i="19"/>
  <c r="X109" i="19"/>
  <c r="Z109" i="19"/>
  <c r="AA109" i="19"/>
  <c r="C110" i="19"/>
  <c r="D110" i="19"/>
  <c r="E110" i="19"/>
  <c r="F110" i="19"/>
  <c r="H110" i="19"/>
  <c r="I110" i="19"/>
  <c r="J110" i="19"/>
  <c r="K110" i="19"/>
  <c r="L110" i="19"/>
  <c r="M110" i="19"/>
  <c r="N110" i="19"/>
  <c r="P110" i="19"/>
  <c r="O110" i="19" s="1"/>
  <c r="Q110" i="19"/>
  <c r="S110" i="19"/>
  <c r="V110" i="19"/>
  <c r="W110" i="19"/>
  <c r="X110" i="19"/>
  <c r="Z110" i="19"/>
  <c r="AA110" i="19"/>
  <c r="C111" i="19"/>
  <c r="D111" i="19"/>
  <c r="E111" i="19"/>
  <c r="F111" i="19"/>
  <c r="H111" i="19"/>
  <c r="I111" i="19"/>
  <c r="J111" i="19"/>
  <c r="K111" i="19"/>
  <c r="L111" i="19"/>
  <c r="M111" i="19"/>
  <c r="N111" i="19"/>
  <c r="P111" i="19"/>
  <c r="Q111" i="19"/>
  <c r="S111" i="19"/>
  <c r="V111" i="19"/>
  <c r="W111" i="19"/>
  <c r="X111" i="19"/>
  <c r="Z111" i="19"/>
  <c r="AA111" i="19"/>
  <c r="C112" i="19"/>
  <c r="D112" i="19"/>
  <c r="E112" i="19"/>
  <c r="F112" i="19"/>
  <c r="H112" i="19"/>
  <c r="I112" i="19"/>
  <c r="J112" i="19"/>
  <c r="K112" i="19"/>
  <c r="L112" i="19"/>
  <c r="M112" i="19"/>
  <c r="N112" i="19"/>
  <c r="P112" i="19"/>
  <c r="Q112" i="19"/>
  <c r="S112" i="19"/>
  <c r="V112" i="19"/>
  <c r="W112" i="19"/>
  <c r="X112" i="19"/>
  <c r="Z112" i="19"/>
  <c r="AA112" i="19"/>
  <c r="C113" i="19"/>
  <c r="D113" i="19"/>
  <c r="E113" i="19"/>
  <c r="F113" i="19"/>
  <c r="H113" i="19"/>
  <c r="I113" i="19"/>
  <c r="J113" i="19"/>
  <c r="K113" i="19"/>
  <c r="L113" i="19"/>
  <c r="M113" i="19"/>
  <c r="N113" i="19"/>
  <c r="P113" i="19"/>
  <c r="Q113" i="19"/>
  <c r="O113" i="19" s="1"/>
  <c r="S113" i="19"/>
  <c r="V113" i="19"/>
  <c r="W113" i="19"/>
  <c r="X113" i="19"/>
  <c r="Z113" i="19"/>
  <c r="AA113" i="19"/>
  <c r="C114" i="19"/>
  <c r="D114" i="19"/>
  <c r="E114" i="19"/>
  <c r="F114" i="19"/>
  <c r="H114" i="19"/>
  <c r="I114" i="19"/>
  <c r="J114" i="19"/>
  <c r="K114" i="19"/>
  <c r="L114" i="19"/>
  <c r="M114" i="19"/>
  <c r="N114" i="19"/>
  <c r="P114" i="19"/>
  <c r="O114" i="19" s="1"/>
  <c r="Q114" i="19"/>
  <c r="S114" i="19"/>
  <c r="V114" i="19"/>
  <c r="W114" i="19"/>
  <c r="X114" i="19"/>
  <c r="Z114" i="19"/>
  <c r="AA114" i="19"/>
  <c r="C115" i="19"/>
  <c r="D115" i="19"/>
  <c r="E115" i="19"/>
  <c r="F115" i="19"/>
  <c r="H115" i="19"/>
  <c r="I115" i="19"/>
  <c r="J115" i="19"/>
  <c r="K115" i="19"/>
  <c r="L115" i="19"/>
  <c r="M115" i="19"/>
  <c r="N115" i="19"/>
  <c r="P115" i="19"/>
  <c r="Q115" i="19"/>
  <c r="S115" i="19"/>
  <c r="V115" i="19"/>
  <c r="W115" i="19"/>
  <c r="X115" i="19"/>
  <c r="Z115" i="19"/>
  <c r="AA115" i="19"/>
  <c r="C116" i="19"/>
  <c r="D116" i="19"/>
  <c r="E116" i="19"/>
  <c r="F116" i="19"/>
  <c r="H116" i="19"/>
  <c r="I116" i="19"/>
  <c r="J116" i="19"/>
  <c r="K116" i="19"/>
  <c r="L116" i="19"/>
  <c r="M116" i="19"/>
  <c r="N116" i="19"/>
  <c r="P116" i="19"/>
  <c r="O116" i="19" s="1"/>
  <c r="Q116" i="19"/>
  <c r="S116" i="19"/>
  <c r="V116" i="19"/>
  <c r="W116" i="19"/>
  <c r="X116" i="19"/>
  <c r="Z116" i="19"/>
  <c r="AA116" i="19"/>
  <c r="C117" i="19"/>
  <c r="D117" i="19"/>
  <c r="E117" i="19"/>
  <c r="F117" i="19"/>
  <c r="H117" i="19"/>
  <c r="I117" i="19"/>
  <c r="J117" i="19"/>
  <c r="K117" i="19"/>
  <c r="L117" i="19"/>
  <c r="M117" i="19"/>
  <c r="N117" i="19"/>
  <c r="P117" i="19"/>
  <c r="Q117" i="19"/>
  <c r="S117" i="19"/>
  <c r="V117" i="19"/>
  <c r="W117" i="19"/>
  <c r="X117" i="19"/>
  <c r="Z117" i="19"/>
  <c r="AA117" i="19"/>
  <c r="C118" i="19"/>
  <c r="D118" i="19"/>
  <c r="E118" i="19"/>
  <c r="F118" i="19"/>
  <c r="H118" i="19"/>
  <c r="I118" i="19"/>
  <c r="J118" i="19"/>
  <c r="K118" i="19"/>
  <c r="L118" i="19"/>
  <c r="M118" i="19"/>
  <c r="N118" i="19"/>
  <c r="P118" i="19"/>
  <c r="Q118" i="19"/>
  <c r="S118" i="19"/>
  <c r="V118" i="19"/>
  <c r="W118" i="19"/>
  <c r="X118" i="19"/>
  <c r="Z118" i="19"/>
  <c r="AA118" i="19"/>
  <c r="C119" i="19"/>
  <c r="D119" i="19"/>
  <c r="E119" i="19"/>
  <c r="F119" i="19"/>
  <c r="H119" i="19"/>
  <c r="I119" i="19"/>
  <c r="J119" i="19"/>
  <c r="K119" i="19"/>
  <c r="L119" i="19"/>
  <c r="M119" i="19"/>
  <c r="N119" i="19"/>
  <c r="P119" i="19"/>
  <c r="Q119" i="19"/>
  <c r="S119" i="19"/>
  <c r="V119" i="19"/>
  <c r="Y119" i="19" s="1"/>
  <c r="W119" i="19"/>
  <c r="X119" i="19"/>
  <c r="Z119" i="19"/>
  <c r="AA119" i="19"/>
  <c r="C120" i="19"/>
  <c r="D120" i="19"/>
  <c r="E120" i="19"/>
  <c r="F120" i="19"/>
  <c r="H120" i="19"/>
  <c r="I120" i="19"/>
  <c r="J120" i="19"/>
  <c r="K120" i="19"/>
  <c r="L120" i="19"/>
  <c r="M120" i="19"/>
  <c r="N120" i="19"/>
  <c r="P120" i="19"/>
  <c r="O120" i="19" s="1"/>
  <c r="Q120" i="19"/>
  <c r="S120" i="19"/>
  <c r="V120" i="19"/>
  <c r="W120" i="19"/>
  <c r="Y120" i="19" s="1"/>
  <c r="X120" i="19"/>
  <c r="Z120" i="19"/>
  <c r="AA120" i="19"/>
  <c r="C121" i="19"/>
  <c r="D121" i="19"/>
  <c r="E121" i="19"/>
  <c r="F121" i="19"/>
  <c r="H121" i="19"/>
  <c r="I121" i="19"/>
  <c r="J121" i="19"/>
  <c r="K121" i="19"/>
  <c r="L121" i="19"/>
  <c r="M121" i="19"/>
  <c r="N121" i="19"/>
  <c r="P121" i="19"/>
  <c r="Q121" i="19"/>
  <c r="S121" i="19"/>
  <c r="V121" i="19"/>
  <c r="W121" i="19"/>
  <c r="X121" i="19"/>
  <c r="Z121" i="19"/>
  <c r="AA121" i="19"/>
  <c r="C122" i="19"/>
  <c r="D122" i="19"/>
  <c r="E122" i="19"/>
  <c r="F122" i="19"/>
  <c r="H122" i="19"/>
  <c r="I122" i="19"/>
  <c r="J122" i="19"/>
  <c r="K122" i="19"/>
  <c r="L122" i="19"/>
  <c r="M122" i="19"/>
  <c r="N122" i="19"/>
  <c r="P122" i="19"/>
  <c r="Q122" i="19"/>
  <c r="S122" i="19"/>
  <c r="V122" i="19"/>
  <c r="W122" i="19"/>
  <c r="X122" i="19"/>
  <c r="Y122" i="19"/>
  <c r="Z122" i="19"/>
  <c r="AA122" i="19"/>
  <c r="C123" i="19"/>
  <c r="D123" i="19"/>
  <c r="E123" i="19"/>
  <c r="F123" i="19"/>
  <c r="H123" i="19"/>
  <c r="I123" i="19"/>
  <c r="J123" i="19"/>
  <c r="K123" i="19"/>
  <c r="L123" i="19"/>
  <c r="M123" i="19"/>
  <c r="N123" i="19"/>
  <c r="P123" i="19"/>
  <c r="Q123" i="19"/>
  <c r="S123" i="19"/>
  <c r="V123" i="19"/>
  <c r="W123" i="19"/>
  <c r="X123" i="19"/>
  <c r="Z123" i="19"/>
  <c r="AA123" i="19"/>
  <c r="C124" i="19"/>
  <c r="D124" i="19"/>
  <c r="E124" i="19"/>
  <c r="G124" i="19" s="1"/>
  <c r="F124" i="19"/>
  <c r="H124" i="19"/>
  <c r="I124" i="19"/>
  <c r="J124" i="19"/>
  <c r="K124" i="19"/>
  <c r="L124" i="19"/>
  <c r="M124" i="19"/>
  <c r="N124" i="19"/>
  <c r="P124" i="19"/>
  <c r="Q124" i="19"/>
  <c r="S124" i="19"/>
  <c r="V124" i="19"/>
  <c r="W124" i="19"/>
  <c r="X124" i="19"/>
  <c r="Z124" i="19"/>
  <c r="AA124" i="19"/>
  <c r="C125" i="19"/>
  <c r="D125" i="19"/>
  <c r="E125" i="19"/>
  <c r="F125" i="19"/>
  <c r="H125" i="19"/>
  <c r="I125" i="19"/>
  <c r="J125" i="19"/>
  <c r="K125" i="19"/>
  <c r="L125" i="19"/>
  <c r="M125" i="19"/>
  <c r="N125" i="19"/>
  <c r="P125" i="19"/>
  <c r="O125" i="19" s="1"/>
  <c r="Q125" i="19"/>
  <c r="S125" i="19"/>
  <c r="V125" i="19"/>
  <c r="W125" i="19"/>
  <c r="X125" i="19"/>
  <c r="Z125" i="19"/>
  <c r="AA125" i="19"/>
  <c r="C126" i="19"/>
  <c r="D126" i="19"/>
  <c r="E126" i="19"/>
  <c r="F126" i="19"/>
  <c r="H126" i="19"/>
  <c r="I126" i="19"/>
  <c r="J126" i="19"/>
  <c r="K126" i="19"/>
  <c r="L126" i="19"/>
  <c r="M126" i="19"/>
  <c r="N126" i="19"/>
  <c r="P126" i="19"/>
  <c r="Q126" i="19"/>
  <c r="O126" i="19" s="1"/>
  <c r="S126" i="19"/>
  <c r="V126" i="19"/>
  <c r="W126" i="19"/>
  <c r="X126" i="19"/>
  <c r="Z126" i="19"/>
  <c r="AA126" i="19"/>
  <c r="C127" i="19"/>
  <c r="D127" i="19"/>
  <c r="E127" i="19"/>
  <c r="F127" i="19"/>
  <c r="H127" i="19"/>
  <c r="I127" i="19"/>
  <c r="J127" i="19"/>
  <c r="K127" i="19"/>
  <c r="L127" i="19"/>
  <c r="M127" i="19"/>
  <c r="N127" i="19"/>
  <c r="P127" i="19"/>
  <c r="Q127" i="19"/>
  <c r="S127" i="19"/>
  <c r="V127" i="19"/>
  <c r="W127" i="19"/>
  <c r="X127" i="19"/>
  <c r="Z127" i="19"/>
  <c r="AA127" i="19"/>
  <c r="C128" i="19"/>
  <c r="D128" i="19"/>
  <c r="E128" i="19"/>
  <c r="F128" i="19"/>
  <c r="H128" i="19"/>
  <c r="I128" i="19"/>
  <c r="J128" i="19"/>
  <c r="K128" i="19"/>
  <c r="L128" i="19"/>
  <c r="M128" i="19"/>
  <c r="N128" i="19"/>
  <c r="P128" i="19"/>
  <c r="O128" i="19" s="1"/>
  <c r="Q128" i="19"/>
  <c r="S128" i="19"/>
  <c r="V128" i="19"/>
  <c r="W128" i="19"/>
  <c r="X128" i="19"/>
  <c r="Z128" i="19"/>
  <c r="AA128" i="19"/>
  <c r="C129" i="19"/>
  <c r="D129" i="19"/>
  <c r="E129" i="19"/>
  <c r="F129" i="19"/>
  <c r="H129" i="19"/>
  <c r="I129" i="19"/>
  <c r="J129" i="19"/>
  <c r="K129" i="19"/>
  <c r="L129" i="19"/>
  <c r="M129" i="19"/>
  <c r="N129" i="19"/>
  <c r="P129" i="19"/>
  <c r="Q129" i="19"/>
  <c r="S129" i="19"/>
  <c r="V129" i="19"/>
  <c r="W129" i="19"/>
  <c r="X129" i="19"/>
  <c r="Z129" i="19"/>
  <c r="AA129" i="19"/>
  <c r="C130" i="19"/>
  <c r="D130" i="19"/>
  <c r="E130" i="19"/>
  <c r="F130" i="19"/>
  <c r="H130" i="19"/>
  <c r="I130" i="19"/>
  <c r="J130" i="19"/>
  <c r="K130" i="19"/>
  <c r="L130" i="19"/>
  <c r="M130" i="19"/>
  <c r="N130" i="19"/>
  <c r="P130" i="19"/>
  <c r="Q130" i="19"/>
  <c r="S130" i="19"/>
  <c r="V130" i="19"/>
  <c r="W130" i="19"/>
  <c r="X130" i="19"/>
  <c r="Z130" i="19"/>
  <c r="AA130" i="19"/>
  <c r="C131" i="19"/>
  <c r="D131" i="19"/>
  <c r="E131" i="19"/>
  <c r="F131" i="19"/>
  <c r="H131" i="19"/>
  <c r="I131" i="19"/>
  <c r="J131" i="19"/>
  <c r="K131" i="19"/>
  <c r="L131" i="19"/>
  <c r="M131" i="19"/>
  <c r="N131" i="19"/>
  <c r="P131" i="19"/>
  <c r="Q131" i="19"/>
  <c r="S131" i="19"/>
  <c r="V131" i="19"/>
  <c r="W131" i="19"/>
  <c r="X131" i="19"/>
  <c r="Z131" i="19"/>
  <c r="AA131" i="19"/>
  <c r="C132" i="19"/>
  <c r="D132" i="19"/>
  <c r="E132" i="19"/>
  <c r="F132" i="19"/>
  <c r="H132" i="19"/>
  <c r="I132" i="19"/>
  <c r="J132" i="19"/>
  <c r="K132" i="19"/>
  <c r="L132" i="19"/>
  <c r="M132" i="19"/>
  <c r="N132" i="19"/>
  <c r="P132" i="19"/>
  <c r="O132" i="19" s="1"/>
  <c r="Q132" i="19"/>
  <c r="S132" i="19"/>
  <c r="V132" i="19"/>
  <c r="W132" i="19"/>
  <c r="X132" i="19"/>
  <c r="Z132" i="19"/>
  <c r="AA132" i="19"/>
  <c r="C133" i="19"/>
  <c r="D133" i="19"/>
  <c r="E133" i="19"/>
  <c r="F133" i="19"/>
  <c r="H133" i="19"/>
  <c r="I133" i="19"/>
  <c r="J133" i="19"/>
  <c r="K133" i="19"/>
  <c r="L133" i="19"/>
  <c r="M133" i="19"/>
  <c r="N133" i="19"/>
  <c r="P133" i="19"/>
  <c r="Q133" i="19"/>
  <c r="S133" i="19"/>
  <c r="V133" i="19"/>
  <c r="W133" i="19"/>
  <c r="X133" i="19"/>
  <c r="Z133" i="19"/>
  <c r="AA133" i="19"/>
  <c r="C134" i="19"/>
  <c r="D134" i="19"/>
  <c r="E134" i="19"/>
  <c r="F134" i="19"/>
  <c r="H134" i="19"/>
  <c r="I134" i="19"/>
  <c r="J134" i="19"/>
  <c r="K134" i="19"/>
  <c r="L134" i="19"/>
  <c r="M134" i="19"/>
  <c r="N134" i="19"/>
  <c r="P134" i="19"/>
  <c r="Q134" i="19"/>
  <c r="S134" i="19"/>
  <c r="V134" i="19"/>
  <c r="W134" i="19"/>
  <c r="X134" i="19"/>
  <c r="Y134" i="19" s="1"/>
  <c r="Z134" i="19"/>
  <c r="AA134" i="19"/>
  <c r="C135" i="19"/>
  <c r="D135" i="19"/>
  <c r="E135" i="19"/>
  <c r="F135" i="19"/>
  <c r="H135" i="19"/>
  <c r="I135" i="19"/>
  <c r="J135" i="19"/>
  <c r="K135" i="19"/>
  <c r="L135" i="19"/>
  <c r="M135" i="19"/>
  <c r="N135" i="19"/>
  <c r="P135" i="19"/>
  <c r="Q135" i="19"/>
  <c r="S135" i="19"/>
  <c r="V135" i="19"/>
  <c r="W135" i="19"/>
  <c r="X135" i="19"/>
  <c r="Z135" i="19"/>
  <c r="AA135" i="19"/>
  <c r="C136" i="19"/>
  <c r="D136" i="19"/>
  <c r="E136" i="19"/>
  <c r="F136" i="19"/>
  <c r="H136" i="19"/>
  <c r="I136" i="19"/>
  <c r="J136" i="19"/>
  <c r="K136" i="19"/>
  <c r="L136" i="19"/>
  <c r="M136" i="19"/>
  <c r="N136" i="19"/>
  <c r="P136" i="19"/>
  <c r="O136" i="19" s="1"/>
  <c r="Q136" i="19"/>
  <c r="S136" i="19"/>
  <c r="V136" i="19"/>
  <c r="W136" i="19"/>
  <c r="X136" i="19"/>
  <c r="Z136" i="19"/>
  <c r="AA136" i="19"/>
  <c r="C137" i="19"/>
  <c r="D137" i="19"/>
  <c r="E137" i="19"/>
  <c r="F137" i="19"/>
  <c r="H137" i="19"/>
  <c r="I137" i="19"/>
  <c r="J137" i="19"/>
  <c r="K137" i="19"/>
  <c r="L137" i="19"/>
  <c r="M137" i="19"/>
  <c r="N137" i="19"/>
  <c r="P137" i="19"/>
  <c r="Q137" i="19"/>
  <c r="S137" i="19"/>
  <c r="V137" i="19"/>
  <c r="W137" i="19"/>
  <c r="X137" i="19"/>
  <c r="Z137" i="19"/>
  <c r="AA137" i="19"/>
  <c r="C138" i="19"/>
  <c r="D138" i="19"/>
  <c r="E138" i="19"/>
  <c r="F138" i="19"/>
  <c r="H138" i="19"/>
  <c r="I138" i="19"/>
  <c r="J138" i="19"/>
  <c r="K138" i="19"/>
  <c r="L138" i="19"/>
  <c r="M138" i="19"/>
  <c r="N138" i="19"/>
  <c r="P138" i="19"/>
  <c r="Q138" i="19"/>
  <c r="S138" i="19"/>
  <c r="V138" i="19"/>
  <c r="W138" i="19"/>
  <c r="X138" i="19"/>
  <c r="Z138" i="19"/>
  <c r="AA138" i="19"/>
  <c r="C139" i="19"/>
  <c r="D139" i="19"/>
  <c r="E139" i="19"/>
  <c r="F139" i="19"/>
  <c r="H139" i="19"/>
  <c r="I139" i="19"/>
  <c r="J139" i="19"/>
  <c r="K139" i="19"/>
  <c r="L139" i="19"/>
  <c r="M139" i="19"/>
  <c r="N139" i="19"/>
  <c r="P139" i="19"/>
  <c r="Q139" i="19"/>
  <c r="S139" i="19"/>
  <c r="V139" i="19"/>
  <c r="W139" i="19"/>
  <c r="X139" i="19"/>
  <c r="Z139" i="19"/>
  <c r="AA139" i="19"/>
  <c r="C140" i="19"/>
  <c r="D140" i="19"/>
  <c r="E140" i="19"/>
  <c r="F140" i="19"/>
  <c r="H140" i="19"/>
  <c r="I140" i="19"/>
  <c r="J140" i="19"/>
  <c r="K140" i="19"/>
  <c r="L140" i="19"/>
  <c r="M140" i="19"/>
  <c r="N140" i="19"/>
  <c r="P140" i="19"/>
  <c r="O140" i="19" s="1"/>
  <c r="Q140" i="19"/>
  <c r="S140" i="19"/>
  <c r="V140" i="19"/>
  <c r="W140" i="19"/>
  <c r="X140" i="19"/>
  <c r="Z140" i="19"/>
  <c r="AA140" i="19"/>
  <c r="C141" i="19"/>
  <c r="D141" i="19"/>
  <c r="E141" i="19"/>
  <c r="F141" i="19"/>
  <c r="H141" i="19"/>
  <c r="I141" i="19"/>
  <c r="J141" i="19"/>
  <c r="K141" i="19"/>
  <c r="L141" i="19"/>
  <c r="M141" i="19"/>
  <c r="N141" i="19"/>
  <c r="P141" i="19"/>
  <c r="Q141" i="19"/>
  <c r="S141" i="19"/>
  <c r="V141" i="19"/>
  <c r="W141" i="19"/>
  <c r="X141" i="19"/>
  <c r="Z141" i="19"/>
  <c r="AA141" i="19"/>
  <c r="C142" i="19"/>
  <c r="D142" i="19"/>
  <c r="E142" i="19"/>
  <c r="F142" i="19"/>
  <c r="H142" i="19"/>
  <c r="I142" i="19"/>
  <c r="J142" i="19"/>
  <c r="K142" i="19"/>
  <c r="L142" i="19"/>
  <c r="M142" i="19"/>
  <c r="N142" i="19"/>
  <c r="P142" i="19"/>
  <c r="Q142" i="19"/>
  <c r="S142" i="19"/>
  <c r="V142" i="19"/>
  <c r="W142" i="19"/>
  <c r="X142" i="19"/>
  <c r="Z142" i="19"/>
  <c r="AA142" i="19"/>
  <c r="C143" i="19"/>
  <c r="D143" i="19"/>
  <c r="E143" i="19"/>
  <c r="F143" i="19"/>
  <c r="H143" i="19"/>
  <c r="I143" i="19"/>
  <c r="J143" i="19"/>
  <c r="K143" i="19"/>
  <c r="L143" i="19"/>
  <c r="M143" i="19"/>
  <c r="N143" i="19"/>
  <c r="P143" i="19"/>
  <c r="Q143" i="19"/>
  <c r="S143" i="19"/>
  <c r="V143" i="19"/>
  <c r="W143" i="19"/>
  <c r="X143" i="19"/>
  <c r="Z143" i="19"/>
  <c r="AA143" i="19"/>
  <c r="C144" i="19"/>
  <c r="D144" i="19"/>
  <c r="E144" i="19"/>
  <c r="F144" i="19"/>
  <c r="H144" i="19"/>
  <c r="I144" i="19"/>
  <c r="J144" i="19"/>
  <c r="K144" i="19"/>
  <c r="L144" i="19"/>
  <c r="M144" i="19"/>
  <c r="N144" i="19"/>
  <c r="P144" i="19"/>
  <c r="Q144" i="19"/>
  <c r="S144" i="19"/>
  <c r="V144" i="19"/>
  <c r="W144" i="19"/>
  <c r="X144" i="19"/>
  <c r="Z144" i="19"/>
  <c r="AA144" i="19"/>
  <c r="C145" i="19"/>
  <c r="D145" i="19"/>
  <c r="E145" i="19"/>
  <c r="F145" i="19"/>
  <c r="H145" i="19"/>
  <c r="I145" i="19"/>
  <c r="J145" i="19"/>
  <c r="K145" i="19"/>
  <c r="L145" i="19"/>
  <c r="M145" i="19"/>
  <c r="N145" i="19"/>
  <c r="P145" i="19"/>
  <c r="O145" i="19" s="1"/>
  <c r="Q145" i="19"/>
  <c r="S145" i="19"/>
  <c r="V145" i="19"/>
  <c r="W145" i="19"/>
  <c r="X145" i="19"/>
  <c r="Z145" i="19"/>
  <c r="AA145" i="19"/>
  <c r="C146" i="19"/>
  <c r="D146" i="19"/>
  <c r="E146" i="19"/>
  <c r="F146" i="19"/>
  <c r="H146" i="19"/>
  <c r="I146" i="19"/>
  <c r="J146" i="19"/>
  <c r="K146" i="19"/>
  <c r="L146" i="19"/>
  <c r="M146" i="19"/>
  <c r="N146" i="19"/>
  <c r="P146" i="19"/>
  <c r="Q146" i="19"/>
  <c r="S146" i="19"/>
  <c r="V146" i="19"/>
  <c r="W146" i="19"/>
  <c r="X146" i="19"/>
  <c r="Z146" i="19"/>
  <c r="AA146" i="19"/>
  <c r="C147" i="19"/>
  <c r="D147" i="19"/>
  <c r="E147" i="19"/>
  <c r="F147" i="19"/>
  <c r="H147" i="19"/>
  <c r="I147" i="19"/>
  <c r="J147" i="19"/>
  <c r="K147" i="19"/>
  <c r="L147" i="19"/>
  <c r="M147" i="19"/>
  <c r="N147" i="19"/>
  <c r="P147" i="19"/>
  <c r="Q147" i="19"/>
  <c r="S147" i="19"/>
  <c r="V147" i="19"/>
  <c r="W147" i="19"/>
  <c r="X147" i="19"/>
  <c r="Z147" i="19"/>
  <c r="AA147" i="19"/>
  <c r="C148" i="19"/>
  <c r="D148" i="19"/>
  <c r="G148" i="19" s="1"/>
  <c r="E148" i="19"/>
  <c r="F148" i="19"/>
  <c r="H148" i="19"/>
  <c r="I148" i="19"/>
  <c r="J148" i="19"/>
  <c r="K148" i="19"/>
  <c r="L148" i="19"/>
  <c r="M148" i="19"/>
  <c r="N148" i="19"/>
  <c r="P148" i="19"/>
  <c r="Q148" i="19"/>
  <c r="S148" i="19"/>
  <c r="V148" i="19"/>
  <c r="W148" i="19"/>
  <c r="X148" i="19"/>
  <c r="Z148" i="19"/>
  <c r="AA148" i="19"/>
  <c r="C149" i="19"/>
  <c r="D149" i="19"/>
  <c r="E149" i="19"/>
  <c r="F149" i="19"/>
  <c r="H149" i="19"/>
  <c r="I149" i="19"/>
  <c r="J149" i="19"/>
  <c r="K149" i="19"/>
  <c r="L149" i="19"/>
  <c r="M149" i="19"/>
  <c r="N149" i="19"/>
  <c r="P149" i="19"/>
  <c r="O149" i="19" s="1"/>
  <c r="Q149" i="19"/>
  <c r="S149" i="19"/>
  <c r="V149" i="19"/>
  <c r="W149" i="19"/>
  <c r="X149" i="19"/>
  <c r="Z149" i="19"/>
  <c r="AA149" i="19"/>
  <c r="C150" i="19"/>
  <c r="D150" i="19"/>
  <c r="E150" i="19"/>
  <c r="F150" i="19"/>
  <c r="H150" i="19"/>
  <c r="I150" i="19"/>
  <c r="J150" i="19"/>
  <c r="K150" i="19"/>
  <c r="L150" i="19"/>
  <c r="M150" i="19"/>
  <c r="N150" i="19"/>
  <c r="P150" i="19"/>
  <c r="Q150" i="19"/>
  <c r="S150" i="19"/>
  <c r="V150" i="19"/>
  <c r="W150" i="19"/>
  <c r="X150" i="19"/>
  <c r="Z150" i="19"/>
  <c r="AA150" i="19"/>
  <c r="C151" i="19"/>
  <c r="D151" i="19"/>
  <c r="E151" i="19"/>
  <c r="F151" i="19"/>
  <c r="H151" i="19"/>
  <c r="I151" i="19"/>
  <c r="J151" i="19"/>
  <c r="K151" i="19"/>
  <c r="L151" i="19"/>
  <c r="M151" i="19"/>
  <c r="N151" i="19"/>
  <c r="P151" i="19"/>
  <c r="Q151" i="19"/>
  <c r="S151" i="19"/>
  <c r="V151" i="19"/>
  <c r="W151" i="19"/>
  <c r="X151" i="19"/>
  <c r="Z151" i="19"/>
  <c r="AA151" i="19"/>
  <c r="C152" i="19"/>
  <c r="D152" i="19"/>
  <c r="E152" i="19"/>
  <c r="F152" i="19"/>
  <c r="H152" i="19"/>
  <c r="I152" i="19"/>
  <c r="J152" i="19"/>
  <c r="K152" i="19"/>
  <c r="L152" i="19"/>
  <c r="M152" i="19"/>
  <c r="N152" i="19"/>
  <c r="P152" i="19"/>
  <c r="O152" i="19" s="1"/>
  <c r="Q152" i="19"/>
  <c r="S152" i="19"/>
  <c r="V152" i="19"/>
  <c r="Y152" i="19" s="1"/>
  <c r="W152" i="19"/>
  <c r="X152" i="19"/>
  <c r="Z152" i="19"/>
  <c r="AA152" i="19"/>
  <c r="C153" i="19"/>
  <c r="D153" i="19"/>
  <c r="E153" i="19"/>
  <c r="F153" i="19"/>
  <c r="H153" i="19"/>
  <c r="I153" i="19"/>
  <c r="J153" i="19"/>
  <c r="K153" i="19"/>
  <c r="L153" i="19"/>
  <c r="M153" i="19"/>
  <c r="N153" i="19"/>
  <c r="P153" i="19"/>
  <c r="Q153" i="19"/>
  <c r="S153" i="19"/>
  <c r="V153" i="19"/>
  <c r="Y153" i="19" s="1"/>
  <c r="W153" i="19"/>
  <c r="X153" i="19"/>
  <c r="Z153" i="19"/>
  <c r="AA153" i="19"/>
  <c r="C154" i="19"/>
  <c r="D154" i="19"/>
  <c r="E154" i="19"/>
  <c r="F154" i="19"/>
  <c r="H154" i="19"/>
  <c r="I154" i="19"/>
  <c r="J154" i="19"/>
  <c r="K154" i="19"/>
  <c r="L154" i="19"/>
  <c r="M154" i="19"/>
  <c r="N154" i="19"/>
  <c r="P154" i="19"/>
  <c r="Q154" i="19"/>
  <c r="S154" i="19"/>
  <c r="V154" i="19"/>
  <c r="W154" i="19"/>
  <c r="X154" i="19"/>
  <c r="Z154" i="19"/>
  <c r="AA154" i="19"/>
  <c r="C155" i="19"/>
  <c r="D155" i="19"/>
  <c r="E155" i="19"/>
  <c r="F155" i="19"/>
  <c r="H155" i="19"/>
  <c r="I155" i="19"/>
  <c r="J155" i="19"/>
  <c r="K155" i="19"/>
  <c r="L155" i="19"/>
  <c r="M155" i="19"/>
  <c r="N155" i="19"/>
  <c r="P155" i="19"/>
  <c r="Q155" i="19"/>
  <c r="S155" i="19"/>
  <c r="V155" i="19"/>
  <c r="W155" i="19"/>
  <c r="X155" i="19"/>
  <c r="Z155" i="19"/>
  <c r="AA155" i="19"/>
  <c r="C156" i="19"/>
  <c r="D156" i="19"/>
  <c r="E156" i="19"/>
  <c r="F156" i="19"/>
  <c r="H156" i="19"/>
  <c r="I156" i="19"/>
  <c r="J156" i="19"/>
  <c r="K156" i="19"/>
  <c r="L156" i="19"/>
  <c r="M156" i="19"/>
  <c r="N156" i="19"/>
  <c r="P156" i="19"/>
  <c r="Q156" i="19"/>
  <c r="S156" i="19"/>
  <c r="V156" i="19"/>
  <c r="W156" i="19"/>
  <c r="X156" i="19"/>
  <c r="Z156" i="19"/>
  <c r="AA156" i="19"/>
  <c r="C157" i="19"/>
  <c r="D157" i="19"/>
  <c r="E157" i="19"/>
  <c r="F157" i="19"/>
  <c r="H157" i="19"/>
  <c r="I157" i="19"/>
  <c r="J157" i="19"/>
  <c r="K157" i="19"/>
  <c r="L157" i="19"/>
  <c r="M157" i="19"/>
  <c r="N157" i="19"/>
  <c r="P157" i="19"/>
  <c r="Q157" i="19"/>
  <c r="S157" i="19"/>
  <c r="V157" i="19"/>
  <c r="W157" i="19"/>
  <c r="X157" i="19"/>
  <c r="Z157" i="19"/>
  <c r="AA157" i="19"/>
  <c r="C158" i="19"/>
  <c r="D158" i="19"/>
  <c r="E158" i="19"/>
  <c r="F158" i="19"/>
  <c r="H158" i="19"/>
  <c r="I158" i="19"/>
  <c r="J158" i="19"/>
  <c r="K158" i="19"/>
  <c r="L158" i="19"/>
  <c r="M158" i="19"/>
  <c r="N158" i="19"/>
  <c r="P158" i="19"/>
  <c r="Q158" i="19"/>
  <c r="S158" i="19"/>
  <c r="V158" i="19"/>
  <c r="W158" i="19"/>
  <c r="X158" i="19"/>
  <c r="Z158" i="19"/>
  <c r="AA158" i="19"/>
  <c r="C159" i="19"/>
  <c r="D159" i="19"/>
  <c r="E159" i="19"/>
  <c r="F159" i="19"/>
  <c r="H159" i="19"/>
  <c r="I159" i="19"/>
  <c r="J159" i="19"/>
  <c r="K159" i="19"/>
  <c r="L159" i="19"/>
  <c r="M159" i="19"/>
  <c r="N159" i="19"/>
  <c r="P159" i="19"/>
  <c r="Q159" i="19"/>
  <c r="S159" i="19"/>
  <c r="V159" i="19"/>
  <c r="W159" i="19"/>
  <c r="X159" i="19"/>
  <c r="Z159" i="19"/>
  <c r="AA159" i="19"/>
  <c r="C160" i="19"/>
  <c r="D160" i="19"/>
  <c r="E160" i="19"/>
  <c r="F160" i="19"/>
  <c r="H160" i="19"/>
  <c r="I160" i="19"/>
  <c r="J160" i="19"/>
  <c r="K160" i="19"/>
  <c r="L160" i="19"/>
  <c r="M160" i="19"/>
  <c r="N160" i="19"/>
  <c r="P160" i="19"/>
  <c r="Q160" i="19"/>
  <c r="S160" i="19"/>
  <c r="V160" i="19"/>
  <c r="W160" i="19"/>
  <c r="X160" i="19"/>
  <c r="Z160" i="19"/>
  <c r="AA160" i="19"/>
  <c r="C161" i="19"/>
  <c r="D161" i="19"/>
  <c r="E161" i="19"/>
  <c r="F161" i="19"/>
  <c r="H161" i="19"/>
  <c r="I161" i="19"/>
  <c r="J161" i="19"/>
  <c r="K161" i="19"/>
  <c r="L161" i="19"/>
  <c r="M161" i="19"/>
  <c r="N161" i="19"/>
  <c r="P161" i="19"/>
  <c r="O161" i="19" s="1"/>
  <c r="Q161" i="19"/>
  <c r="S161" i="19"/>
  <c r="V161" i="19"/>
  <c r="W161" i="19"/>
  <c r="X161" i="19"/>
  <c r="Z161" i="19"/>
  <c r="AA161" i="19"/>
  <c r="C162" i="19"/>
  <c r="D162" i="19"/>
  <c r="E162" i="19"/>
  <c r="F162" i="19"/>
  <c r="H162" i="19"/>
  <c r="I162" i="19"/>
  <c r="J162" i="19"/>
  <c r="K162" i="19"/>
  <c r="L162" i="19"/>
  <c r="M162" i="19"/>
  <c r="N162" i="19"/>
  <c r="P162" i="19"/>
  <c r="Q162" i="19"/>
  <c r="S162" i="19"/>
  <c r="V162" i="19"/>
  <c r="W162" i="19"/>
  <c r="X162" i="19"/>
  <c r="Z162" i="19"/>
  <c r="AA162" i="19"/>
  <c r="C163" i="19"/>
  <c r="D163" i="19"/>
  <c r="E163" i="19"/>
  <c r="F163" i="19"/>
  <c r="H163" i="19"/>
  <c r="I163" i="19"/>
  <c r="J163" i="19"/>
  <c r="K163" i="19"/>
  <c r="L163" i="19"/>
  <c r="M163" i="19"/>
  <c r="N163" i="19"/>
  <c r="P163" i="19"/>
  <c r="Q163" i="19"/>
  <c r="O163" i="19" s="1"/>
  <c r="S163" i="19"/>
  <c r="V163" i="19"/>
  <c r="W163" i="19"/>
  <c r="X163" i="19"/>
  <c r="Z163" i="19"/>
  <c r="AA163" i="19"/>
  <c r="C164" i="19"/>
  <c r="D164" i="19"/>
  <c r="E164" i="19"/>
  <c r="F164" i="19"/>
  <c r="H164" i="19"/>
  <c r="I164" i="19"/>
  <c r="J164" i="19"/>
  <c r="K164" i="19"/>
  <c r="L164" i="19"/>
  <c r="M164" i="19"/>
  <c r="N164" i="19"/>
  <c r="P164" i="19"/>
  <c r="Q164" i="19"/>
  <c r="S164" i="19"/>
  <c r="V164" i="19"/>
  <c r="Y164" i="19" s="1"/>
  <c r="W164" i="19"/>
  <c r="X164" i="19"/>
  <c r="Z164" i="19"/>
  <c r="AA164" i="19"/>
  <c r="C165" i="19"/>
  <c r="D165" i="19"/>
  <c r="E165" i="19"/>
  <c r="F165" i="19"/>
  <c r="H165" i="19"/>
  <c r="I165" i="19"/>
  <c r="J165" i="19"/>
  <c r="K165" i="19"/>
  <c r="L165" i="19"/>
  <c r="M165" i="19"/>
  <c r="N165" i="19"/>
  <c r="P165" i="19"/>
  <c r="Q165" i="19"/>
  <c r="S165" i="19"/>
  <c r="V165" i="19"/>
  <c r="W165" i="19"/>
  <c r="X165" i="19"/>
  <c r="Z165" i="19"/>
  <c r="AA165" i="19"/>
  <c r="C166" i="19"/>
  <c r="D166" i="19"/>
  <c r="E166" i="19"/>
  <c r="F166" i="19"/>
  <c r="H166" i="19"/>
  <c r="I166" i="19"/>
  <c r="J166" i="19"/>
  <c r="K166" i="19"/>
  <c r="L166" i="19"/>
  <c r="M166" i="19"/>
  <c r="N166" i="19"/>
  <c r="P166" i="19"/>
  <c r="Q166" i="19"/>
  <c r="S166" i="19"/>
  <c r="V166" i="19"/>
  <c r="W166" i="19"/>
  <c r="X166" i="19"/>
  <c r="Z166" i="19"/>
  <c r="AA166" i="19"/>
  <c r="C167" i="19"/>
  <c r="D167" i="19"/>
  <c r="E167" i="19"/>
  <c r="F167" i="19"/>
  <c r="H167" i="19"/>
  <c r="I167" i="19"/>
  <c r="J167" i="19"/>
  <c r="K167" i="19"/>
  <c r="L167" i="19"/>
  <c r="M167" i="19"/>
  <c r="N167" i="19"/>
  <c r="P167" i="19"/>
  <c r="Q167" i="19"/>
  <c r="O167" i="19" s="1"/>
  <c r="S167" i="19"/>
  <c r="V167" i="19"/>
  <c r="W167" i="19"/>
  <c r="X167" i="19"/>
  <c r="Z167" i="19"/>
  <c r="AA167" i="19"/>
  <c r="C168" i="19"/>
  <c r="D168" i="19"/>
  <c r="E168" i="19"/>
  <c r="F168" i="19"/>
  <c r="H168" i="19"/>
  <c r="I168" i="19"/>
  <c r="J168" i="19"/>
  <c r="K168" i="19"/>
  <c r="L168" i="19"/>
  <c r="M168" i="19"/>
  <c r="N168" i="19"/>
  <c r="P168" i="19"/>
  <c r="Q168" i="19"/>
  <c r="S168" i="19"/>
  <c r="V168" i="19"/>
  <c r="W168" i="19"/>
  <c r="X168" i="19"/>
  <c r="Z168" i="19"/>
  <c r="AA168" i="19"/>
  <c r="C169" i="19"/>
  <c r="D169" i="19"/>
  <c r="E169" i="19"/>
  <c r="F169" i="19"/>
  <c r="H169" i="19"/>
  <c r="I169" i="19"/>
  <c r="J169" i="19"/>
  <c r="K169" i="19"/>
  <c r="L169" i="19"/>
  <c r="M169" i="19"/>
  <c r="N169" i="19"/>
  <c r="P169" i="19"/>
  <c r="O169" i="19" s="1"/>
  <c r="Q169" i="19"/>
  <c r="S169" i="19"/>
  <c r="V169" i="19"/>
  <c r="W169" i="19"/>
  <c r="X169" i="19"/>
  <c r="Z169" i="19"/>
  <c r="AA169" i="19"/>
  <c r="C170" i="19"/>
  <c r="D170" i="19"/>
  <c r="E170" i="19"/>
  <c r="F170" i="19"/>
  <c r="H170" i="19"/>
  <c r="I170" i="19"/>
  <c r="J170" i="19"/>
  <c r="K170" i="19"/>
  <c r="L170" i="19"/>
  <c r="M170" i="19"/>
  <c r="N170" i="19"/>
  <c r="P170" i="19"/>
  <c r="Q170" i="19"/>
  <c r="S170" i="19"/>
  <c r="V170" i="19"/>
  <c r="W170" i="19"/>
  <c r="X170" i="19"/>
  <c r="Z170" i="19"/>
  <c r="AA170" i="19"/>
  <c r="C171" i="19"/>
  <c r="D171" i="19"/>
  <c r="E171" i="19"/>
  <c r="F171" i="19"/>
  <c r="H171" i="19"/>
  <c r="I171" i="19"/>
  <c r="J171" i="19"/>
  <c r="K171" i="19"/>
  <c r="L171" i="19"/>
  <c r="M171" i="19"/>
  <c r="N171" i="19"/>
  <c r="P171" i="19"/>
  <c r="Q171" i="19"/>
  <c r="S171" i="19"/>
  <c r="V171" i="19"/>
  <c r="W171" i="19"/>
  <c r="X171" i="19"/>
  <c r="Y171" i="19" s="1"/>
  <c r="Z171" i="19"/>
  <c r="AA171" i="19"/>
  <c r="C172" i="19"/>
  <c r="D172" i="19"/>
  <c r="E172" i="19"/>
  <c r="F172" i="19"/>
  <c r="H172" i="19"/>
  <c r="I172" i="19"/>
  <c r="J172" i="19"/>
  <c r="K172" i="19"/>
  <c r="L172" i="19"/>
  <c r="M172" i="19"/>
  <c r="N172" i="19"/>
  <c r="P172" i="19"/>
  <c r="Q172" i="19"/>
  <c r="S172" i="19"/>
  <c r="V172" i="19"/>
  <c r="W172" i="19"/>
  <c r="X172" i="19"/>
  <c r="Z172" i="19"/>
  <c r="AA172" i="19"/>
  <c r="C173" i="19"/>
  <c r="D173" i="19"/>
  <c r="E173" i="19"/>
  <c r="F173" i="19"/>
  <c r="H173" i="19"/>
  <c r="I173" i="19"/>
  <c r="J173" i="19"/>
  <c r="K173" i="19"/>
  <c r="L173" i="19"/>
  <c r="M173" i="19"/>
  <c r="N173" i="19"/>
  <c r="P173" i="19"/>
  <c r="Q173" i="19"/>
  <c r="S173" i="19"/>
  <c r="V173" i="19"/>
  <c r="W173" i="19"/>
  <c r="X173" i="19"/>
  <c r="Z173" i="19"/>
  <c r="AA173" i="19"/>
  <c r="C174" i="19"/>
  <c r="D174" i="19"/>
  <c r="E174" i="19"/>
  <c r="F174" i="19"/>
  <c r="H174" i="19"/>
  <c r="I174" i="19"/>
  <c r="J174" i="19"/>
  <c r="K174" i="19"/>
  <c r="L174" i="19"/>
  <c r="M174" i="19"/>
  <c r="N174" i="19"/>
  <c r="P174" i="19"/>
  <c r="O174" i="19" s="1"/>
  <c r="Q174" i="19"/>
  <c r="S174" i="19"/>
  <c r="V174" i="19"/>
  <c r="W174" i="19"/>
  <c r="X174" i="19"/>
  <c r="Z174" i="19"/>
  <c r="AA174" i="19"/>
  <c r="C175" i="19"/>
  <c r="D175" i="19"/>
  <c r="E175" i="19"/>
  <c r="F175" i="19"/>
  <c r="H175" i="19"/>
  <c r="I175" i="19"/>
  <c r="J175" i="19"/>
  <c r="K175" i="19"/>
  <c r="L175" i="19"/>
  <c r="M175" i="19"/>
  <c r="N175" i="19"/>
  <c r="P175" i="19"/>
  <c r="Q175" i="19"/>
  <c r="S175" i="19"/>
  <c r="V175" i="19"/>
  <c r="W175" i="19"/>
  <c r="X175" i="19"/>
  <c r="Z175" i="19"/>
  <c r="AA175" i="19"/>
  <c r="C176" i="19"/>
  <c r="D176" i="19"/>
  <c r="E176" i="19"/>
  <c r="F176" i="19"/>
  <c r="H176" i="19"/>
  <c r="I176" i="19"/>
  <c r="J176" i="19"/>
  <c r="K176" i="19"/>
  <c r="L176" i="19"/>
  <c r="M176" i="19"/>
  <c r="N176" i="19"/>
  <c r="P176" i="19"/>
  <c r="Q176" i="19"/>
  <c r="S176" i="19"/>
  <c r="V176" i="19"/>
  <c r="W176" i="19"/>
  <c r="X176" i="19"/>
  <c r="Z176" i="19"/>
  <c r="AA176" i="19"/>
  <c r="C177" i="19"/>
  <c r="D177" i="19"/>
  <c r="E177" i="19"/>
  <c r="F177" i="19"/>
  <c r="H177" i="19"/>
  <c r="I177" i="19"/>
  <c r="J177" i="19"/>
  <c r="K177" i="19"/>
  <c r="L177" i="19"/>
  <c r="M177" i="19"/>
  <c r="N177" i="19"/>
  <c r="P177" i="19"/>
  <c r="O177" i="19" s="1"/>
  <c r="Q177" i="19"/>
  <c r="S177" i="19"/>
  <c r="V177" i="19"/>
  <c r="W177" i="19"/>
  <c r="X177" i="19"/>
  <c r="Z177" i="19"/>
  <c r="AA177" i="19"/>
  <c r="C178" i="19"/>
  <c r="D178" i="19"/>
  <c r="E178" i="19"/>
  <c r="F178" i="19"/>
  <c r="H178" i="19"/>
  <c r="I178" i="19"/>
  <c r="J178" i="19"/>
  <c r="K178" i="19"/>
  <c r="L178" i="19"/>
  <c r="M178" i="19"/>
  <c r="N178" i="19"/>
  <c r="P178" i="19"/>
  <c r="Q178" i="19"/>
  <c r="S178" i="19"/>
  <c r="V178" i="19"/>
  <c r="W178" i="19"/>
  <c r="X178" i="19"/>
  <c r="Z178" i="19"/>
  <c r="AA178" i="19"/>
  <c r="C179" i="19"/>
  <c r="D179" i="19"/>
  <c r="E179" i="19"/>
  <c r="F179" i="19"/>
  <c r="H179" i="19"/>
  <c r="I179" i="19"/>
  <c r="J179" i="19"/>
  <c r="K179" i="19"/>
  <c r="L179" i="19"/>
  <c r="M179" i="19"/>
  <c r="N179" i="19"/>
  <c r="P179" i="19"/>
  <c r="Q179" i="19"/>
  <c r="S179" i="19"/>
  <c r="V179" i="19"/>
  <c r="W179" i="19"/>
  <c r="X179" i="19"/>
  <c r="Z179" i="19"/>
  <c r="AA179" i="19"/>
  <c r="C180" i="19"/>
  <c r="D180" i="19"/>
  <c r="E180" i="19"/>
  <c r="F180" i="19"/>
  <c r="H180" i="19"/>
  <c r="I180" i="19"/>
  <c r="J180" i="19"/>
  <c r="K180" i="19"/>
  <c r="L180" i="19"/>
  <c r="M180" i="19"/>
  <c r="N180" i="19"/>
  <c r="P180" i="19"/>
  <c r="Q180" i="19"/>
  <c r="S180" i="19"/>
  <c r="V180" i="19"/>
  <c r="W180" i="19"/>
  <c r="X180" i="19"/>
  <c r="Z180" i="19"/>
  <c r="AA180" i="19"/>
  <c r="C181" i="19"/>
  <c r="D181" i="19"/>
  <c r="E181" i="19"/>
  <c r="F181" i="19"/>
  <c r="H181" i="19"/>
  <c r="I181" i="19"/>
  <c r="J181" i="19"/>
  <c r="K181" i="19"/>
  <c r="L181" i="19"/>
  <c r="M181" i="19"/>
  <c r="N181" i="19"/>
  <c r="P181" i="19"/>
  <c r="O181" i="19" s="1"/>
  <c r="Q181" i="19"/>
  <c r="S181" i="19"/>
  <c r="V181" i="19"/>
  <c r="W181" i="19"/>
  <c r="X181" i="19"/>
  <c r="Z181" i="19"/>
  <c r="AA181" i="19"/>
  <c r="C182" i="19"/>
  <c r="D182" i="19"/>
  <c r="E182" i="19"/>
  <c r="F182" i="19"/>
  <c r="H182" i="19"/>
  <c r="I182" i="19"/>
  <c r="J182" i="19"/>
  <c r="K182" i="19"/>
  <c r="L182" i="19"/>
  <c r="M182" i="19"/>
  <c r="N182" i="19"/>
  <c r="P182" i="19"/>
  <c r="Q182" i="19"/>
  <c r="S182" i="19"/>
  <c r="V182" i="19"/>
  <c r="W182" i="19"/>
  <c r="X182" i="19"/>
  <c r="Z182" i="19"/>
  <c r="AA182" i="19"/>
  <c r="C183" i="19"/>
  <c r="D183" i="19"/>
  <c r="E183" i="19"/>
  <c r="F183" i="19"/>
  <c r="H183" i="19"/>
  <c r="I183" i="19"/>
  <c r="J183" i="19"/>
  <c r="K183" i="19"/>
  <c r="L183" i="19"/>
  <c r="M183" i="19"/>
  <c r="N183" i="19"/>
  <c r="P183" i="19"/>
  <c r="Q183" i="19"/>
  <c r="S183" i="19"/>
  <c r="V183" i="19"/>
  <c r="W183" i="19"/>
  <c r="X183" i="19"/>
  <c r="Z183" i="19"/>
  <c r="AA183" i="19"/>
  <c r="C184" i="19"/>
  <c r="D184" i="19"/>
  <c r="E184" i="19"/>
  <c r="F184" i="19"/>
  <c r="H184" i="19"/>
  <c r="I184" i="19"/>
  <c r="J184" i="19"/>
  <c r="K184" i="19"/>
  <c r="L184" i="19"/>
  <c r="M184" i="19"/>
  <c r="N184" i="19"/>
  <c r="P184" i="19"/>
  <c r="Q184" i="19"/>
  <c r="S184" i="19"/>
  <c r="V184" i="19"/>
  <c r="W184" i="19"/>
  <c r="X184" i="19"/>
  <c r="Z184" i="19"/>
  <c r="AA184" i="19"/>
  <c r="C185" i="19"/>
  <c r="D185" i="19"/>
  <c r="E185" i="19"/>
  <c r="F185" i="19"/>
  <c r="H185" i="19"/>
  <c r="I185" i="19"/>
  <c r="J185" i="19"/>
  <c r="K185" i="19"/>
  <c r="L185" i="19"/>
  <c r="M185" i="19"/>
  <c r="N185" i="19"/>
  <c r="P185" i="19"/>
  <c r="Q185" i="19"/>
  <c r="S185" i="19"/>
  <c r="V185" i="19"/>
  <c r="W185" i="19"/>
  <c r="X185" i="19"/>
  <c r="Z185" i="19"/>
  <c r="AA185" i="19"/>
  <c r="C186" i="19"/>
  <c r="D186" i="19"/>
  <c r="E186" i="19"/>
  <c r="F186" i="19"/>
  <c r="H186" i="19"/>
  <c r="I186" i="19"/>
  <c r="J186" i="19"/>
  <c r="K186" i="19"/>
  <c r="L186" i="19"/>
  <c r="M186" i="19"/>
  <c r="N186" i="19"/>
  <c r="P186" i="19"/>
  <c r="Q186" i="19"/>
  <c r="S186" i="19"/>
  <c r="V186" i="19"/>
  <c r="W186" i="19"/>
  <c r="X186" i="19"/>
  <c r="Z186" i="19"/>
  <c r="AA186" i="19"/>
  <c r="C187" i="19"/>
  <c r="D187" i="19"/>
  <c r="E187" i="19"/>
  <c r="F187" i="19"/>
  <c r="H187" i="19"/>
  <c r="I187" i="19"/>
  <c r="J187" i="19"/>
  <c r="K187" i="19"/>
  <c r="L187" i="19"/>
  <c r="M187" i="19"/>
  <c r="N187" i="19"/>
  <c r="P187" i="19"/>
  <c r="Q187" i="19"/>
  <c r="S187" i="19"/>
  <c r="V187" i="19"/>
  <c r="W187" i="19"/>
  <c r="Y187" i="19" s="1"/>
  <c r="X187" i="19"/>
  <c r="Z187" i="19"/>
  <c r="AA187" i="19"/>
  <c r="C188" i="19"/>
  <c r="D188" i="19"/>
  <c r="E188" i="19"/>
  <c r="F188" i="19"/>
  <c r="H188" i="19"/>
  <c r="I188" i="19"/>
  <c r="J188" i="19"/>
  <c r="K188" i="19"/>
  <c r="L188" i="19"/>
  <c r="M188" i="19"/>
  <c r="N188" i="19"/>
  <c r="P188" i="19"/>
  <c r="Q188" i="19"/>
  <c r="S188" i="19"/>
  <c r="V188" i="19"/>
  <c r="W188" i="19"/>
  <c r="X188" i="19"/>
  <c r="Z188" i="19"/>
  <c r="AA188" i="19"/>
  <c r="C189" i="19"/>
  <c r="D189" i="19"/>
  <c r="E189" i="19"/>
  <c r="F189" i="19"/>
  <c r="H189" i="19"/>
  <c r="I189" i="19"/>
  <c r="J189" i="19"/>
  <c r="K189" i="19"/>
  <c r="L189" i="19"/>
  <c r="M189" i="19"/>
  <c r="N189" i="19"/>
  <c r="P189" i="19"/>
  <c r="Q189" i="19"/>
  <c r="S189" i="19"/>
  <c r="V189" i="19"/>
  <c r="W189" i="19"/>
  <c r="X189" i="19"/>
  <c r="Z189" i="19"/>
  <c r="AA189" i="19"/>
  <c r="C190" i="19"/>
  <c r="D190" i="19"/>
  <c r="E190" i="19"/>
  <c r="F190" i="19"/>
  <c r="H190" i="19"/>
  <c r="I190" i="19"/>
  <c r="J190" i="19"/>
  <c r="K190" i="19"/>
  <c r="L190" i="19"/>
  <c r="M190" i="19"/>
  <c r="N190" i="19"/>
  <c r="P190" i="19"/>
  <c r="Q190" i="19"/>
  <c r="S190" i="19"/>
  <c r="V190" i="19"/>
  <c r="W190" i="19"/>
  <c r="X190" i="19"/>
  <c r="Z190" i="19"/>
  <c r="AA190" i="19"/>
  <c r="C191" i="19"/>
  <c r="D191" i="19"/>
  <c r="E191" i="19"/>
  <c r="F191" i="19"/>
  <c r="H191" i="19"/>
  <c r="I191" i="19"/>
  <c r="J191" i="19"/>
  <c r="K191" i="19"/>
  <c r="L191" i="19"/>
  <c r="M191" i="19"/>
  <c r="N191" i="19"/>
  <c r="P191" i="19"/>
  <c r="Q191" i="19"/>
  <c r="S191" i="19"/>
  <c r="V191" i="19"/>
  <c r="W191" i="19"/>
  <c r="X191" i="19"/>
  <c r="Z191" i="19"/>
  <c r="AA191" i="19"/>
  <c r="C192" i="19"/>
  <c r="D192" i="19"/>
  <c r="E192" i="19"/>
  <c r="F192" i="19"/>
  <c r="H192" i="19"/>
  <c r="I192" i="19"/>
  <c r="J192" i="19"/>
  <c r="K192" i="19"/>
  <c r="L192" i="19"/>
  <c r="M192" i="19"/>
  <c r="N192" i="19"/>
  <c r="P192" i="19"/>
  <c r="Q192" i="19"/>
  <c r="S192" i="19"/>
  <c r="V192" i="19"/>
  <c r="W192" i="19"/>
  <c r="X192" i="19"/>
  <c r="Z192" i="19"/>
  <c r="AA192" i="19"/>
  <c r="C193" i="19"/>
  <c r="D193" i="19"/>
  <c r="E193" i="19"/>
  <c r="F193" i="19"/>
  <c r="H193" i="19"/>
  <c r="I193" i="19"/>
  <c r="J193" i="19"/>
  <c r="K193" i="19"/>
  <c r="L193" i="19"/>
  <c r="M193" i="19"/>
  <c r="N193" i="19"/>
  <c r="P193" i="19"/>
  <c r="Q193" i="19"/>
  <c r="S193" i="19"/>
  <c r="V193" i="19"/>
  <c r="W193" i="19"/>
  <c r="X193" i="19"/>
  <c r="Z193" i="19"/>
  <c r="AA193" i="19"/>
  <c r="C194" i="19"/>
  <c r="D194" i="19"/>
  <c r="E194" i="19"/>
  <c r="F194" i="19"/>
  <c r="H194" i="19"/>
  <c r="I194" i="19"/>
  <c r="J194" i="19"/>
  <c r="K194" i="19"/>
  <c r="L194" i="19"/>
  <c r="M194" i="19"/>
  <c r="N194" i="19"/>
  <c r="P194" i="19"/>
  <c r="Q194" i="19"/>
  <c r="S194" i="19"/>
  <c r="V194" i="19"/>
  <c r="W194" i="19"/>
  <c r="X194" i="19"/>
  <c r="Z194" i="19"/>
  <c r="AA194" i="19"/>
  <c r="C195" i="19"/>
  <c r="D195" i="19"/>
  <c r="E195" i="19"/>
  <c r="F195" i="19"/>
  <c r="H195" i="19"/>
  <c r="I195" i="19"/>
  <c r="J195" i="19"/>
  <c r="K195" i="19"/>
  <c r="L195" i="19"/>
  <c r="M195" i="19"/>
  <c r="N195" i="19"/>
  <c r="P195" i="19"/>
  <c r="Q195" i="19"/>
  <c r="S195" i="19"/>
  <c r="V195" i="19"/>
  <c r="W195" i="19"/>
  <c r="X195" i="19"/>
  <c r="Z195" i="19"/>
  <c r="AA195" i="19"/>
  <c r="C196" i="19"/>
  <c r="D196" i="19"/>
  <c r="E196" i="19"/>
  <c r="F196" i="19"/>
  <c r="H196" i="19"/>
  <c r="I196" i="19"/>
  <c r="J196" i="19"/>
  <c r="K196" i="19"/>
  <c r="L196" i="19"/>
  <c r="M196" i="19"/>
  <c r="N196" i="19"/>
  <c r="P196" i="19"/>
  <c r="O196" i="19" s="1"/>
  <c r="Q196" i="19"/>
  <c r="S196" i="19"/>
  <c r="V196" i="19"/>
  <c r="W196" i="19"/>
  <c r="X196" i="19"/>
  <c r="Z196" i="19"/>
  <c r="AA196" i="19"/>
  <c r="C197" i="19"/>
  <c r="D197" i="19"/>
  <c r="E197" i="19"/>
  <c r="F197" i="19"/>
  <c r="H197" i="19"/>
  <c r="I197" i="19"/>
  <c r="J197" i="19"/>
  <c r="K197" i="19"/>
  <c r="L197" i="19"/>
  <c r="M197" i="19"/>
  <c r="N197" i="19"/>
  <c r="P197" i="19"/>
  <c r="Q197" i="19"/>
  <c r="O197" i="19" s="1"/>
  <c r="S197" i="19"/>
  <c r="V197" i="19"/>
  <c r="W197" i="19"/>
  <c r="X197" i="19"/>
  <c r="Z197" i="19"/>
  <c r="AA197" i="19"/>
  <c r="C198" i="19"/>
  <c r="D198" i="19"/>
  <c r="E198" i="19"/>
  <c r="F198" i="19"/>
  <c r="H198" i="19"/>
  <c r="I198" i="19"/>
  <c r="J198" i="19"/>
  <c r="K198" i="19"/>
  <c r="L198" i="19"/>
  <c r="M198" i="19"/>
  <c r="N198" i="19"/>
  <c r="P198" i="19"/>
  <c r="O198" i="19" s="1"/>
  <c r="Q198" i="19"/>
  <c r="S198" i="19"/>
  <c r="V198" i="19"/>
  <c r="W198" i="19"/>
  <c r="X198" i="19"/>
  <c r="Z198" i="19"/>
  <c r="AA198" i="19"/>
  <c r="C199" i="19"/>
  <c r="D199" i="19"/>
  <c r="E199" i="19"/>
  <c r="F199" i="19"/>
  <c r="H199" i="19"/>
  <c r="I199" i="19"/>
  <c r="J199" i="19"/>
  <c r="K199" i="19"/>
  <c r="L199" i="19"/>
  <c r="M199" i="19"/>
  <c r="N199" i="19"/>
  <c r="P199" i="19"/>
  <c r="Q199" i="19"/>
  <c r="S199" i="19"/>
  <c r="V199" i="19"/>
  <c r="W199" i="19"/>
  <c r="X199" i="19"/>
  <c r="Z199" i="19"/>
  <c r="AA199" i="19"/>
  <c r="C200" i="19"/>
  <c r="D200" i="19"/>
  <c r="E200" i="19"/>
  <c r="F200" i="19"/>
  <c r="H200" i="19"/>
  <c r="I200" i="19"/>
  <c r="J200" i="19"/>
  <c r="K200" i="19"/>
  <c r="L200" i="19"/>
  <c r="M200" i="19"/>
  <c r="N200" i="19"/>
  <c r="P200" i="19"/>
  <c r="Q200" i="19"/>
  <c r="S200" i="19"/>
  <c r="V200" i="19"/>
  <c r="W200" i="19"/>
  <c r="X200" i="19"/>
  <c r="Z200" i="19"/>
  <c r="AA200" i="19"/>
  <c r="C201" i="19"/>
  <c r="D201" i="19"/>
  <c r="E201" i="19"/>
  <c r="F201" i="19"/>
  <c r="H201" i="19"/>
  <c r="I201" i="19"/>
  <c r="J201" i="19"/>
  <c r="K201" i="19"/>
  <c r="L201" i="19"/>
  <c r="M201" i="19"/>
  <c r="N201" i="19"/>
  <c r="P201" i="19"/>
  <c r="Q201" i="19"/>
  <c r="S201" i="19"/>
  <c r="V201" i="19"/>
  <c r="W201" i="19"/>
  <c r="X201" i="19"/>
  <c r="Z201" i="19"/>
  <c r="AA201" i="19"/>
  <c r="C202" i="19"/>
  <c r="D202" i="19"/>
  <c r="E202" i="19"/>
  <c r="F202" i="19"/>
  <c r="H202" i="19"/>
  <c r="I202" i="19"/>
  <c r="J202" i="19"/>
  <c r="K202" i="19"/>
  <c r="L202" i="19"/>
  <c r="M202" i="19"/>
  <c r="N202" i="19"/>
  <c r="P202" i="19"/>
  <c r="Q202" i="19"/>
  <c r="S202" i="19"/>
  <c r="V202" i="19"/>
  <c r="W202" i="19"/>
  <c r="X202" i="19"/>
  <c r="Z202" i="19"/>
  <c r="AA202" i="19"/>
  <c r="C203" i="19"/>
  <c r="D203" i="19"/>
  <c r="E203" i="19"/>
  <c r="F203" i="19"/>
  <c r="H203" i="19"/>
  <c r="I203" i="19"/>
  <c r="J203" i="19"/>
  <c r="K203" i="19"/>
  <c r="L203" i="19"/>
  <c r="M203" i="19"/>
  <c r="N203" i="19"/>
  <c r="P203" i="19"/>
  <c r="Q203" i="19"/>
  <c r="S203" i="19"/>
  <c r="V203" i="19"/>
  <c r="W203" i="19"/>
  <c r="X203" i="19"/>
  <c r="Z203" i="19"/>
  <c r="AA203" i="19"/>
  <c r="C204" i="19"/>
  <c r="D204" i="19"/>
  <c r="E204" i="19"/>
  <c r="F204" i="19"/>
  <c r="H204" i="19"/>
  <c r="I204" i="19"/>
  <c r="J204" i="19"/>
  <c r="K204" i="19"/>
  <c r="L204" i="19"/>
  <c r="M204" i="19"/>
  <c r="N204" i="19"/>
  <c r="P204" i="19"/>
  <c r="Q204" i="19"/>
  <c r="S204" i="19"/>
  <c r="V204" i="19"/>
  <c r="W204" i="19"/>
  <c r="X204" i="19"/>
  <c r="Z204" i="19"/>
  <c r="AA204" i="19"/>
  <c r="C205" i="19"/>
  <c r="D205" i="19"/>
  <c r="E205" i="19"/>
  <c r="F205" i="19"/>
  <c r="H205" i="19"/>
  <c r="I205" i="19"/>
  <c r="J205" i="19"/>
  <c r="K205" i="19"/>
  <c r="L205" i="19"/>
  <c r="M205" i="19"/>
  <c r="N205" i="19"/>
  <c r="P205" i="19"/>
  <c r="Q205" i="19"/>
  <c r="S205" i="19"/>
  <c r="V205" i="19"/>
  <c r="W205" i="19"/>
  <c r="X205" i="19"/>
  <c r="Z205" i="19"/>
  <c r="AA205" i="19"/>
  <c r="C206" i="19"/>
  <c r="D206" i="19"/>
  <c r="E206" i="19"/>
  <c r="F206" i="19"/>
  <c r="H206" i="19"/>
  <c r="I206" i="19"/>
  <c r="J206" i="19"/>
  <c r="K206" i="19"/>
  <c r="L206" i="19"/>
  <c r="M206" i="19"/>
  <c r="N206" i="19"/>
  <c r="P206" i="19"/>
  <c r="Q206" i="19"/>
  <c r="S206" i="19"/>
  <c r="V206" i="19"/>
  <c r="W206" i="19"/>
  <c r="X206" i="19"/>
  <c r="Z206" i="19"/>
  <c r="AA206" i="19"/>
  <c r="C207" i="19"/>
  <c r="D207" i="19"/>
  <c r="E207" i="19"/>
  <c r="F207" i="19"/>
  <c r="H207" i="19"/>
  <c r="I207" i="19"/>
  <c r="J207" i="19"/>
  <c r="K207" i="19"/>
  <c r="L207" i="19"/>
  <c r="M207" i="19"/>
  <c r="N207" i="19"/>
  <c r="P207" i="19"/>
  <c r="Q207" i="19"/>
  <c r="S207" i="19"/>
  <c r="V207" i="19"/>
  <c r="W207" i="19"/>
  <c r="X207" i="19"/>
  <c r="Z207" i="19"/>
  <c r="AA207" i="19"/>
  <c r="C208" i="19"/>
  <c r="D208" i="19"/>
  <c r="E208" i="19"/>
  <c r="F208" i="19"/>
  <c r="H208" i="19"/>
  <c r="I208" i="19"/>
  <c r="J208" i="19"/>
  <c r="K208" i="19"/>
  <c r="L208" i="19"/>
  <c r="M208" i="19"/>
  <c r="N208" i="19"/>
  <c r="P208" i="19"/>
  <c r="Q208" i="19"/>
  <c r="S208" i="19"/>
  <c r="V208" i="19"/>
  <c r="W208" i="19"/>
  <c r="X208" i="19"/>
  <c r="Z208" i="19"/>
  <c r="AA208" i="19"/>
  <c r="C209" i="19"/>
  <c r="D209" i="19"/>
  <c r="E209" i="19"/>
  <c r="F209" i="19"/>
  <c r="H209" i="19"/>
  <c r="I209" i="19"/>
  <c r="J209" i="19"/>
  <c r="K209" i="19"/>
  <c r="L209" i="19"/>
  <c r="M209" i="19"/>
  <c r="N209" i="19"/>
  <c r="P209" i="19"/>
  <c r="Q209" i="19"/>
  <c r="S209" i="19"/>
  <c r="V209" i="19"/>
  <c r="W209" i="19"/>
  <c r="X209" i="19"/>
  <c r="Z209" i="19"/>
  <c r="AA209" i="19"/>
  <c r="C210" i="19"/>
  <c r="D210" i="19"/>
  <c r="E210" i="19"/>
  <c r="F210" i="19"/>
  <c r="H210" i="19"/>
  <c r="I210" i="19"/>
  <c r="J210" i="19"/>
  <c r="K210" i="19"/>
  <c r="L210" i="19"/>
  <c r="M210" i="19"/>
  <c r="N210" i="19"/>
  <c r="P210" i="19"/>
  <c r="Q210" i="19"/>
  <c r="S210" i="19"/>
  <c r="V210" i="19"/>
  <c r="Y210" i="19" s="1"/>
  <c r="W210" i="19"/>
  <c r="X210" i="19"/>
  <c r="Z210" i="19"/>
  <c r="AA210" i="19"/>
  <c r="C211" i="19"/>
  <c r="D211" i="19"/>
  <c r="E211" i="19"/>
  <c r="F211" i="19"/>
  <c r="H211" i="19"/>
  <c r="I211" i="19"/>
  <c r="J211" i="19"/>
  <c r="K211" i="19"/>
  <c r="L211" i="19"/>
  <c r="M211" i="19"/>
  <c r="N211" i="19"/>
  <c r="P211" i="19"/>
  <c r="Q211" i="19"/>
  <c r="S211" i="19"/>
  <c r="V211" i="19"/>
  <c r="W211" i="19"/>
  <c r="X211" i="19"/>
  <c r="Z211" i="19"/>
  <c r="AA211" i="19"/>
  <c r="C212" i="19"/>
  <c r="D212" i="19"/>
  <c r="E212" i="19"/>
  <c r="F212" i="19"/>
  <c r="H212" i="19"/>
  <c r="I212" i="19"/>
  <c r="J212" i="19"/>
  <c r="K212" i="19"/>
  <c r="L212" i="19"/>
  <c r="M212" i="19"/>
  <c r="N212" i="19"/>
  <c r="P212" i="19"/>
  <c r="Q212" i="19"/>
  <c r="S212" i="19"/>
  <c r="V212" i="19"/>
  <c r="W212" i="19"/>
  <c r="X212" i="19"/>
  <c r="Z212" i="19"/>
  <c r="AA212" i="19"/>
  <c r="C213" i="19"/>
  <c r="D213" i="19"/>
  <c r="E213" i="19"/>
  <c r="F213" i="19"/>
  <c r="H213" i="19"/>
  <c r="I213" i="19"/>
  <c r="J213" i="19"/>
  <c r="K213" i="19"/>
  <c r="L213" i="19"/>
  <c r="M213" i="19"/>
  <c r="N213" i="19"/>
  <c r="P213" i="19"/>
  <c r="Q213" i="19"/>
  <c r="S213" i="19"/>
  <c r="V213" i="19"/>
  <c r="W213" i="19"/>
  <c r="X213" i="19"/>
  <c r="Z213" i="19"/>
  <c r="AA213" i="19"/>
  <c r="C214" i="19"/>
  <c r="D214" i="19"/>
  <c r="E214" i="19"/>
  <c r="F214" i="19"/>
  <c r="H214" i="19"/>
  <c r="I214" i="19"/>
  <c r="J214" i="19"/>
  <c r="K214" i="19"/>
  <c r="L214" i="19"/>
  <c r="M214" i="19"/>
  <c r="N214" i="19"/>
  <c r="P214" i="19"/>
  <c r="Q214" i="19"/>
  <c r="S214" i="19"/>
  <c r="V214" i="19"/>
  <c r="W214" i="19"/>
  <c r="X214" i="19"/>
  <c r="Z214" i="19"/>
  <c r="AA214" i="19"/>
  <c r="C215" i="19"/>
  <c r="D215" i="19"/>
  <c r="E215" i="19"/>
  <c r="F215" i="19"/>
  <c r="H215" i="19"/>
  <c r="I215" i="19"/>
  <c r="J215" i="19"/>
  <c r="K215" i="19"/>
  <c r="L215" i="19"/>
  <c r="M215" i="19"/>
  <c r="N215" i="19"/>
  <c r="P215" i="19"/>
  <c r="Q215" i="19"/>
  <c r="S215" i="19"/>
  <c r="V215" i="19"/>
  <c r="W215" i="19"/>
  <c r="X215" i="19"/>
  <c r="Z215" i="19"/>
  <c r="AA215" i="19"/>
  <c r="C216" i="19"/>
  <c r="D216" i="19"/>
  <c r="E216" i="19"/>
  <c r="F216" i="19"/>
  <c r="H216" i="19"/>
  <c r="I216" i="19"/>
  <c r="J216" i="19"/>
  <c r="K216" i="19"/>
  <c r="L216" i="19"/>
  <c r="M216" i="19"/>
  <c r="N216" i="19"/>
  <c r="P216" i="19"/>
  <c r="Q216" i="19"/>
  <c r="S216" i="19"/>
  <c r="V216" i="19"/>
  <c r="W216" i="19"/>
  <c r="X216" i="19"/>
  <c r="Z216" i="19"/>
  <c r="AA216" i="19"/>
  <c r="C217" i="19"/>
  <c r="D217" i="19"/>
  <c r="E217" i="19"/>
  <c r="F217" i="19"/>
  <c r="H217" i="19"/>
  <c r="I217" i="19"/>
  <c r="J217" i="19"/>
  <c r="K217" i="19"/>
  <c r="L217" i="19"/>
  <c r="M217" i="19"/>
  <c r="N217" i="19"/>
  <c r="P217" i="19"/>
  <c r="Q217" i="19"/>
  <c r="S217" i="19"/>
  <c r="V217" i="19"/>
  <c r="W217" i="19"/>
  <c r="X217" i="19"/>
  <c r="Z217" i="19"/>
  <c r="AA217" i="19"/>
  <c r="C218" i="19"/>
  <c r="D218" i="19"/>
  <c r="E218" i="19"/>
  <c r="F218" i="19"/>
  <c r="H218" i="19"/>
  <c r="I218" i="19"/>
  <c r="J218" i="19"/>
  <c r="K218" i="19"/>
  <c r="L218" i="19"/>
  <c r="M218" i="19"/>
  <c r="N218" i="19"/>
  <c r="P218" i="19"/>
  <c r="Q218" i="19"/>
  <c r="S218" i="19"/>
  <c r="V218" i="19"/>
  <c r="W218" i="19"/>
  <c r="X218" i="19"/>
  <c r="Z218" i="19"/>
  <c r="AA218" i="19"/>
  <c r="C219" i="19"/>
  <c r="D219" i="19"/>
  <c r="E219" i="19"/>
  <c r="F219" i="19"/>
  <c r="H219" i="19"/>
  <c r="I219" i="19"/>
  <c r="J219" i="19"/>
  <c r="K219" i="19"/>
  <c r="L219" i="19"/>
  <c r="M219" i="19"/>
  <c r="N219" i="19"/>
  <c r="P219" i="19"/>
  <c r="Q219" i="19"/>
  <c r="S219" i="19"/>
  <c r="V219" i="19"/>
  <c r="Y219" i="19" s="1"/>
  <c r="W219" i="19"/>
  <c r="X219" i="19"/>
  <c r="Z219" i="19"/>
  <c r="AA219" i="19"/>
  <c r="C220" i="19"/>
  <c r="D220" i="19"/>
  <c r="E220" i="19"/>
  <c r="F220" i="19"/>
  <c r="H220" i="19"/>
  <c r="I220" i="19"/>
  <c r="J220" i="19"/>
  <c r="K220" i="19"/>
  <c r="L220" i="19"/>
  <c r="M220" i="19"/>
  <c r="N220" i="19"/>
  <c r="P220" i="19"/>
  <c r="Q220" i="19"/>
  <c r="S220" i="19"/>
  <c r="V220" i="19"/>
  <c r="W220" i="19"/>
  <c r="X220" i="19"/>
  <c r="Z220" i="19"/>
  <c r="AA220" i="19"/>
  <c r="C221" i="19"/>
  <c r="D221" i="19"/>
  <c r="E221" i="19"/>
  <c r="F221" i="19"/>
  <c r="H221" i="19"/>
  <c r="I221" i="19"/>
  <c r="J221" i="19"/>
  <c r="K221" i="19"/>
  <c r="L221" i="19"/>
  <c r="M221" i="19"/>
  <c r="N221" i="19"/>
  <c r="P221" i="19"/>
  <c r="Q221" i="19"/>
  <c r="S221" i="19"/>
  <c r="V221" i="19"/>
  <c r="W221" i="19"/>
  <c r="X221" i="19"/>
  <c r="Z221" i="19"/>
  <c r="AA221" i="19"/>
  <c r="C222" i="19"/>
  <c r="D222" i="19"/>
  <c r="E222" i="19"/>
  <c r="F222" i="19"/>
  <c r="H222" i="19"/>
  <c r="I222" i="19"/>
  <c r="J222" i="19"/>
  <c r="K222" i="19"/>
  <c r="L222" i="19"/>
  <c r="M222" i="19"/>
  <c r="N222" i="19"/>
  <c r="P222" i="19"/>
  <c r="Q222" i="19"/>
  <c r="S222" i="19"/>
  <c r="V222" i="19"/>
  <c r="W222" i="19"/>
  <c r="X222" i="19"/>
  <c r="Z222" i="19"/>
  <c r="AA222" i="19"/>
  <c r="C223" i="19"/>
  <c r="D223" i="19"/>
  <c r="E223" i="19"/>
  <c r="F223" i="19"/>
  <c r="H223" i="19"/>
  <c r="I223" i="19"/>
  <c r="J223" i="19"/>
  <c r="K223" i="19"/>
  <c r="L223" i="19"/>
  <c r="M223" i="19"/>
  <c r="N223" i="19"/>
  <c r="P223" i="19"/>
  <c r="Q223" i="19"/>
  <c r="O223" i="19" s="1"/>
  <c r="S223" i="19"/>
  <c r="V223" i="19"/>
  <c r="W223" i="19"/>
  <c r="X223" i="19"/>
  <c r="Z223" i="19"/>
  <c r="AA223" i="19"/>
  <c r="C224" i="19"/>
  <c r="D224" i="19"/>
  <c r="E224" i="19"/>
  <c r="F224" i="19"/>
  <c r="H224" i="19"/>
  <c r="I224" i="19"/>
  <c r="J224" i="19"/>
  <c r="K224" i="19"/>
  <c r="L224" i="19"/>
  <c r="M224" i="19"/>
  <c r="N224" i="19"/>
  <c r="P224" i="19"/>
  <c r="Q224" i="19"/>
  <c r="S224" i="19"/>
  <c r="V224" i="19"/>
  <c r="W224" i="19"/>
  <c r="X224" i="19"/>
  <c r="Z224" i="19"/>
  <c r="AA224" i="19"/>
  <c r="C225" i="19"/>
  <c r="D225" i="19"/>
  <c r="E225" i="19"/>
  <c r="F225" i="19"/>
  <c r="H225" i="19"/>
  <c r="I225" i="19"/>
  <c r="J225" i="19"/>
  <c r="K225" i="19"/>
  <c r="L225" i="19"/>
  <c r="M225" i="19"/>
  <c r="N225" i="19"/>
  <c r="P225" i="19"/>
  <c r="Q225" i="19"/>
  <c r="S225" i="19"/>
  <c r="V225" i="19"/>
  <c r="W225" i="19"/>
  <c r="X225" i="19"/>
  <c r="Z225" i="19"/>
  <c r="AA225" i="19"/>
  <c r="C226" i="19"/>
  <c r="D226" i="19"/>
  <c r="E226" i="19"/>
  <c r="F226" i="19"/>
  <c r="H226" i="19"/>
  <c r="I226" i="19"/>
  <c r="J226" i="19"/>
  <c r="K226" i="19"/>
  <c r="L226" i="19"/>
  <c r="M226" i="19"/>
  <c r="N226" i="19"/>
  <c r="P226" i="19"/>
  <c r="Q226" i="19"/>
  <c r="S226" i="19"/>
  <c r="V226" i="19"/>
  <c r="W226" i="19"/>
  <c r="X226" i="19"/>
  <c r="Z226" i="19"/>
  <c r="AA226" i="19"/>
  <c r="C227" i="19"/>
  <c r="D227" i="19"/>
  <c r="E227" i="19"/>
  <c r="F227" i="19"/>
  <c r="H227" i="19"/>
  <c r="I227" i="19"/>
  <c r="J227" i="19"/>
  <c r="K227" i="19"/>
  <c r="L227" i="19"/>
  <c r="M227" i="19"/>
  <c r="N227" i="19"/>
  <c r="P227" i="19"/>
  <c r="Q227" i="19"/>
  <c r="S227" i="19"/>
  <c r="V227" i="19"/>
  <c r="W227" i="19"/>
  <c r="X227" i="19"/>
  <c r="Z227" i="19"/>
  <c r="AA227" i="19"/>
  <c r="C228" i="19"/>
  <c r="D228" i="19"/>
  <c r="E228" i="19"/>
  <c r="F228" i="19"/>
  <c r="H228" i="19"/>
  <c r="I228" i="19"/>
  <c r="J228" i="19"/>
  <c r="K228" i="19"/>
  <c r="L228" i="19"/>
  <c r="M228" i="19"/>
  <c r="N228" i="19"/>
  <c r="P228" i="19"/>
  <c r="Q228" i="19"/>
  <c r="S228" i="19"/>
  <c r="V228" i="19"/>
  <c r="W228" i="19"/>
  <c r="X228" i="19"/>
  <c r="Z228" i="19"/>
  <c r="AA228" i="19"/>
  <c r="C229" i="19"/>
  <c r="D229" i="19"/>
  <c r="E229" i="19"/>
  <c r="F229" i="19"/>
  <c r="H229" i="19"/>
  <c r="I229" i="19"/>
  <c r="J229" i="19"/>
  <c r="K229" i="19"/>
  <c r="L229" i="19"/>
  <c r="M229" i="19"/>
  <c r="N229" i="19"/>
  <c r="P229" i="19"/>
  <c r="Q229" i="19"/>
  <c r="S229" i="19"/>
  <c r="V229" i="19"/>
  <c r="W229" i="19"/>
  <c r="X229" i="19"/>
  <c r="Z229" i="19"/>
  <c r="AA229" i="19"/>
  <c r="C230" i="19"/>
  <c r="D230" i="19"/>
  <c r="E230" i="19"/>
  <c r="F230" i="19"/>
  <c r="H230" i="19"/>
  <c r="I230" i="19"/>
  <c r="J230" i="19"/>
  <c r="K230" i="19"/>
  <c r="L230" i="19"/>
  <c r="M230" i="19"/>
  <c r="N230" i="19"/>
  <c r="P230" i="19"/>
  <c r="Q230" i="19"/>
  <c r="S230" i="19"/>
  <c r="V230" i="19"/>
  <c r="W230" i="19"/>
  <c r="X230" i="19"/>
  <c r="Z230" i="19"/>
  <c r="AA230" i="19"/>
  <c r="C231" i="19"/>
  <c r="D231" i="19"/>
  <c r="E231" i="19"/>
  <c r="F231" i="19"/>
  <c r="H231" i="19"/>
  <c r="I231" i="19"/>
  <c r="J231" i="19"/>
  <c r="K231" i="19"/>
  <c r="L231" i="19"/>
  <c r="M231" i="19"/>
  <c r="N231" i="19"/>
  <c r="P231" i="19"/>
  <c r="Q231" i="19"/>
  <c r="O231" i="19" s="1"/>
  <c r="S231" i="19"/>
  <c r="V231" i="19"/>
  <c r="W231" i="19"/>
  <c r="X231" i="19"/>
  <c r="Z231" i="19"/>
  <c r="AA231" i="19"/>
  <c r="C232" i="19"/>
  <c r="D232" i="19"/>
  <c r="E232" i="19"/>
  <c r="F232" i="19"/>
  <c r="H232" i="19"/>
  <c r="I232" i="19"/>
  <c r="J232" i="19"/>
  <c r="K232" i="19"/>
  <c r="L232" i="19"/>
  <c r="M232" i="19"/>
  <c r="N232" i="19"/>
  <c r="P232" i="19"/>
  <c r="Q232" i="19"/>
  <c r="S232" i="19"/>
  <c r="V232" i="19"/>
  <c r="W232" i="19"/>
  <c r="X232" i="19"/>
  <c r="Z232" i="19"/>
  <c r="AA232" i="19"/>
  <c r="C233" i="19"/>
  <c r="D233" i="19"/>
  <c r="E233" i="19"/>
  <c r="F233" i="19"/>
  <c r="H233" i="19"/>
  <c r="I233" i="19"/>
  <c r="J233" i="19"/>
  <c r="K233" i="19"/>
  <c r="L233" i="19"/>
  <c r="M233" i="19"/>
  <c r="N233" i="19"/>
  <c r="P233" i="19"/>
  <c r="Q233" i="19"/>
  <c r="S233" i="19"/>
  <c r="V233" i="19"/>
  <c r="W233" i="19"/>
  <c r="X233" i="19"/>
  <c r="Z233" i="19"/>
  <c r="AA233" i="19"/>
  <c r="C234" i="19"/>
  <c r="D234" i="19"/>
  <c r="E234" i="19"/>
  <c r="F234" i="19"/>
  <c r="H234" i="19"/>
  <c r="I234" i="19"/>
  <c r="J234" i="19"/>
  <c r="K234" i="19"/>
  <c r="L234" i="19"/>
  <c r="M234" i="19"/>
  <c r="N234" i="19"/>
  <c r="P234" i="19"/>
  <c r="Q234" i="19"/>
  <c r="S234" i="19"/>
  <c r="V234" i="19"/>
  <c r="W234" i="19"/>
  <c r="X234" i="19"/>
  <c r="Z234" i="19"/>
  <c r="AA234" i="19"/>
  <c r="C235" i="19"/>
  <c r="D235" i="19"/>
  <c r="E235" i="19"/>
  <c r="F235" i="19"/>
  <c r="H235" i="19"/>
  <c r="I235" i="19"/>
  <c r="J235" i="19"/>
  <c r="K235" i="19"/>
  <c r="L235" i="19"/>
  <c r="M235" i="19"/>
  <c r="N235" i="19"/>
  <c r="P235" i="19"/>
  <c r="Q235" i="19"/>
  <c r="O235" i="19" s="1"/>
  <c r="S235" i="19"/>
  <c r="V235" i="19"/>
  <c r="W235" i="19"/>
  <c r="X235" i="19"/>
  <c r="Z235" i="19"/>
  <c r="AA235" i="19"/>
  <c r="C236" i="19"/>
  <c r="D236" i="19"/>
  <c r="E236" i="19"/>
  <c r="F236" i="19"/>
  <c r="H236" i="19"/>
  <c r="I236" i="19"/>
  <c r="J236" i="19"/>
  <c r="K236" i="19"/>
  <c r="L236" i="19"/>
  <c r="M236" i="19"/>
  <c r="N236" i="19"/>
  <c r="P236" i="19"/>
  <c r="Q236" i="19"/>
  <c r="S236" i="19"/>
  <c r="V236" i="19"/>
  <c r="W236" i="19"/>
  <c r="X236" i="19"/>
  <c r="Z236" i="19"/>
  <c r="AA236" i="19"/>
  <c r="C237" i="19"/>
  <c r="D237" i="19"/>
  <c r="E237" i="19"/>
  <c r="F237" i="19"/>
  <c r="H237" i="19"/>
  <c r="I237" i="19"/>
  <c r="J237" i="19"/>
  <c r="K237" i="19"/>
  <c r="L237" i="19"/>
  <c r="M237" i="19"/>
  <c r="N237" i="19"/>
  <c r="P237" i="19"/>
  <c r="Q237" i="19"/>
  <c r="S237" i="19"/>
  <c r="V237" i="19"/>
  <c r="W237" i="19"/>
  <c r="X237" i="19"/>
  <c r="Z237" i="19"/>
  <c r="AA237" i="19"/>
  <c r="C238" i="19"/>
  <c r="D238" i="19"/>
  <c r="E238" i="19"/>
  <c r="F238" i="19"/>
  <c r="H238" i="19"/>
  <c r="I238" i="19"/>
  <c r="J238" i="19"/>
  <c r="K238" i="19"/>
  <c r="L238" i="19"/>
  <c r="M238" i="19"/>
  <c r="N238" i="19"/>
  <c r="P238" i="19"/>
  <c r="Q238" i="19"/>
  <c r="S238" i="19"/>
  <c r="V238" i="19"/>
  <c r="W238" i="19"/>
  <c r="X238" i="19"/>
  <c r="Z238" i="19"/>
  <c r="AA238" i="19"/>
  <c r="C239" i="19"/>
  <c r="D239" i="19"/>
  <c r="E239" i="19"/>
  <c r="F239" i="19"/>
  <c r="H239" i="19"/>
  <c r="I239" i="19"/>
  <c r="J239" i="19"/>
  <c r="K239" i="19"/>
  <c r="L239" i="19"/>
  <c r="M239" i="19"/>
  <c r="N239" i="19"/>
  <c r="P239" i="19"/>
  <c r="Q239" i="19"/>
  <c r="S239" i="19"/>
  <c r="V239" i="19"/>
  <c r="Y239" i="19" s="1"/>
  <c r="W239" i="19"/>
  <c r="X239" i="19"/>
  <c r="Z239" i="19"/>
  <c r="AA239" i="19"/>
  <c r="C240" i="19"/>
  <c r="D240" i="19"/>
  <c r="E240" i="19"/>
  <c r="F240" i="19"/>
  <c r="H240" i="19"/>
  <c r="I240" i="19"/>
  <c r="J240" i="19"/>
  <c r="K240" i="19"/>
  <c r="L240" i="19"/>
  <c r="M240" i="19"/>
  <c r="N240" i="19"/>
  <c r="P240" i="19"/>
  <c r="Q240" i="19"/>
  <c r="S240" i="19"/>
  <c r="V240" i="19"/>
  <c r="Y240" i="19" s="1"/>
  <c r="W240" i="19"/>
  <c r="X240" i="19"/>
  <c r="Z240" i="19"/>
  <c r="AA240" i="19"/>
  <c r="C241" i="19"/>
  <c r="D241" i="19"/>
  <c r="E241" i="19"/>
  <c r="F241" i="19"/>
  <c r="H241" i="19"/>
  <c r="I241" i="19"/>
  <c r="J241" i="19"/>
  <c r="K241" i="19"/>
  <c r="L241" i="19"/>
  <c r="M241" i="19"/>
  <c r="N241" i="19"/>
  <c r="P241" i="19"/>
  <c r="Q241" i="19"/>
  <c r="S241" i="19"/>
  <c r="V241" i="19"/>
  <c r="W241" i="19"/>
  <c r="X241" i="19"/>
  <c r="Z241" i="19"/>
  <c r="AA241" i="19"/>
  <c r="C242" i="19"/>
  <c r="D242" i="19"/>
  <c r="E242" i="19"/>
  <c r="F242" i="19"/>
  <c r="H242" i="19"/>
  <c r="I242" i="19"/>
  <c r="J242" i="19"/>
  <c r="K242" i="19"/>
  <c r="L242" i="19"/>
  <c r="M242" i="19"/>
  <c r="N242" i="19"/>
  <c r="P242" i="19"/>
  <c r="Q242" i="19"/>
  <c r="S242" i="19"/>
  <c r="V242" i="19"/>
  <c r="W242" i="19"/>
  <c r="X242" i="19"/>
  <c r="Z242" i="19"/>
  <c r="AA242" i="19"/>
  <c r="C243" i="19"/>
  <c r="D243" i="19"/>
  <c r="E243" i="19"/>
  <c r="F243" i="19"/>
  <c r="H243" i="19"/>
  <c r="I243" i="19"/>
  <c r="J243" i="19"/>
  <c r="K243" i="19"/>
  <c r="L243" i="19"/>
  <c r="M243" i="19"/>
  <c r="N243" i="19"/>
  <c r="P243" i="19"/>
  <c r="Q243" i="19"/>
  <c r="S243" i="19"/>
  <c r="V243" i="19"/>
  <c r="W243" i="19"/>
  <c r="X243" i="19"/>
  <c r="Z243" i="19"/>
  <c r="AA243" i="19"/>
  <c r="C244" i="19"/>
  <c r="D244" i="19"/>
  <c r="E244" i="19"/>
  <c r="F244" i="19"/>
  <c r="H244" i="19"/>
  <c r="I244" i="19"/>
  <c r="J244" i="19"/>
  <c r="K244" i="19"/>
  <c r="L244" i="19"/>
  <c r="M244" i="19"/>
  <c r="N244" i="19"/>
  <c r="P244" i="19"/>
  <c r="Q244" i="19"/>
  <c r="S244" i="19"/>
  <c r="V244" i="19"/>
  <c r="W244" i="19"/>
  <c r="X244" i="19"/>
  <c r="Z244" i="19"/>
  <c r="AA244" i="19"/>
  <c r="C245" i="19"/>
  <c r="D245" i="19"/>
  <c r="E245" i="19"/>
  <c r="F245" i="19"/>
  <c r="H245" i="19"/>
  <c r="I245" i="19"/>
  <c r="J245" i="19"/>
  <c r="K245" i="19"/>
  <c r="L245" i="19"/>
  <c r="M245" i="19"/>
  <c r="N245" i="19"/>
  <c r="P245" i="19"/>
  <c r="Q245" i="19"/>
  <c r="S245" i="19"/>
  <c r="V245" i="19"/>
  <c r="W245" i="19"/>
  <c r="X245" i="19"/>
  <c r="Z245" i="19"/>
  <c r="AA245" i="19"/>
  <c r="C246" i="19"/>
  <c r="D246" i="19"/>
  <c r="E246" i="19"/>
  <c r="F246" i="19"/>
  <c r="H246" i="19"/>
  <c r="I246" i="19"/>
  <c r="J246" i="19"/>
  <c r="K246" i="19"/>
  <c r="L246" i="19"/>
  <c r="M246" i="19"/>
  <c r="N246" i="19"/>
  <c r="P246" i="19"/>
  <c r="Q246" i="19"/>
  <c r="S246" i="19"/>
  <c r="V246" i="19"/>
  <c r="W246" i="19"/>
  <c r="X246" i="19"/>
  <c r="Z246" i="19"/>
  <c r="AA246" i="19"/>
  <c r="C247" i="19"/>
  <c r="D247" i="19"/>
  <c r="E247" i="19"/>
  <c r="F247" i="19"/>
  <c r="H247" i="19"/>
  <c r="I247" i="19"/>
  <c r="J247" i="19"/>
  <c r="K247" i="19"/>
  <c r="L247" i="19"/>
  <c r="M247" i="19"/>
  <c r="N247" i="19"/>
  <c r="P247" i="19"/>
  <c r="O247" i="19" s="1"/>
  <c r="Q247" i="19"/>
  <c r="S247" i="19"/>
  <c r="V247" i="19"/>
  <c r="W247" i="19"/>
  <c r="X247" i="19"/>
  <c r="Z247" i="19"/>
  <c r="AA247" i="19"/>
  <c r="C248" i="19"/>
  <c r="D248" i="19"/>
  <c r="E248" i="19"/>
  <c r="F248" i="19"/>
  <c r="H248" i="19"/>
  <c r="I248" i="19"/>
  <c r="J248" i="19"/>
  <c r="K248" i="19"/>
  <c r="L248" i="19"/>
  <c r="M248" i="19"/>
  <c r="N248" i="19"/>
  <c r="P248" i="19"/>
  <c r="Q248" i="19"/>
  <c r="S248" i="19"/>
  <c r="V248" i="19"/>
  <c r="W248" i="19"/>
  <c r="X248" i="19"/>
  <c r="Z248" i="19"/>
  <c r="AA248" i="19"/>
  <c r="C249" i="19"/>
  <c r="D249" i="19"/>
  <c r="E249" i="19"/>
  <c r="F249" i="19"/>
  <c r="H249" i="19"/>
  <c r="I249" i="19"/>
  <c r="J249" i="19"/>
  <c r="K249" i="19"/>
  <c r="L249" i="19"/>
  <c r="M249" i="19"/>
  <c r="N249" i="19"/>
  <c r="P249" i="19"/>
  <c r="Q249" i="19"/>
  <c r="S249" i="19"/>
  <c r="V249" i="19"/>
  <c r="W249" i="19"/>
  <c r="X249" i="19"/>
  <c r="Z249" i="19"/>
  <c r="AA249" i="19"/>
  <c r="C250" i="19"/>
  <c r="D250" i="19"/>
  <c r="E250" i="19"/>
  <c r="F250" i="19"/>
  <c r="H250" i="19"/>
  <c r="I250" i="19"/>
  <c r="J250" i="19"/>
  <c r="K250" i="19"/>
  <c r="L250" i="19"/>
  <c r="M250" i="19"/>
  <c r="N250" i="19"/>
  <c r="P250" i="19"/>
  <c r="Q250" i="19"/>
  <c r="S250" i="19"/>
  <c r="V250" i="19"/>
  <c r="W250" i="19"/>
  <c r="X250" i="19"/>
  <c r="Z250" i="19"/>
  <c r="AA250" i="19"/>
  <c r="C251" i="19"/>
  <c r="D251" i="19"/>
  <c r="G251" i="19" s="1"/>
  <c r="E251" i="19"/>
  <c r="F251" i="19"/>
  <c r="H251" i="19"/>
  <c r="I251" i="19"/>
  <c r="J251" i="19"/>
  <c r="K251" i="19"/>
  <c r="L251" i="19"/>
  <c r="M251" i="19"/>
  <c r="N251" i="19"/>
  <c r="P251" i="19"/>
  <c r="O251" i="19" s="1"/>
  <c r="Q251" i="19"/>
  <c r="S251" i="19"/>
  <c r="V251" i="19"/>
  <c r="W251" i="19"/>
  <c r="X251" i="19"/>
  <c r="Z251" i="19"/>
  <c r="AA251" i="19"/>
  <c r="C252" i="19"/>
  <c r="D252" i="19"/>
  <c r="E252" i="19"/>
  <c r="F252" i="19"/>
  <c r="H252" i="19"/>
  <c r="I252" i="19"/>
  <c r="J252" i="19"/>
  <c r="K252" i="19"/>
  <c r="L252" i="19"/>
  <c r="M252" i="19"/>
  <c r="N252" i="19"/>
  <c r="P252" i="19"/>
  <c r="Q252" i="19"/>
  <c r="S252" i="19"/>
  <c r="V252" i="19"/>
  <c r="W252" i="19"/>
  <c r="X252" i="19"/>
  <c r="Z252" i="19"/>
  <c r="AA252" i="19"/>
  <c r="C253" i="19"/>
  <c r="D253" i="19"/>
  <c r="E253" i="19"/>
  <c r="F253" i="19"/>
  <c r="H253" i="19"/>
  <c r="I253" i="19"/>
  <c r="J253" i="19"/>
  <c r="K253" i="19"/>
  <c r="L253" i="19"/>
  <c r="M253" i="19"/>
  <c r="N253" i="19"/>
  <c r="P253" i="19"/>
  <c r="Q253" i="19"/>
  <c r="S253" i="19"/>
  <c r="V253" i="19"/>
  <c r="W253" i="19"/>
  <c r="X253" i="19"/>
  <c r="Z253" i="19"/>
  <c r="AA253" i="19"/>
  <c r="C254" i="19"/>
  <c r="D254" i="19"/>
  <c r="E254" i="19"/>
  <c r="F254" i="19"/>
  <c r="H254" i="19"/>
  <c r="I254" i="19"/>
  <c r="J254" i="19"/>
  <c r="K254" i="19"/>
  <c r="L254" i="19"/>
  <c r="M254" i="19"/>
  <c r="N254" i="19"/>
  <c r="P254" i="19"/>
  <c r="Q254" i="19"/>
  <c r="S254" i="19"/>
  <c r="V254" i="19"/>
  <c r="W254" i="19"/>
  <c r="X254" i="19"/>
  <c r="Z254" i="19"/>
  <c r="AA254" i="19"/>
  <c r="C255" i="19"/>
  <c r="D255" i="19"/>
  <c r="G255" i="19" s="1"/>
  <c r="E255" i="19"/>
  <c r="F255" i="19"/>
  <c r="H255" i="19"/>
  <c r="I255" i="19"/>
  <c r="J255" i="19"/>
  <c r="K255" i="19"/>
  <c r="L255" i="19"/>
  <c r="M255" i="19"/>
  <c r="N255" i="19"/>
  <c r="P255" i="19"/>
  <c r="O255" i="19" s="1"/>
  <c r="Q255" i="19"/>
  <c r="S255" i="19"/>
  <c r="V255" i="19"/>
  <c r="W255" i="19"/>
  <c r="X255" i="19"/>
  <c r="Z255" i="19"/>
  <c r="AA255" i="19"/>
  <c r="C256" i="19"/>
  <c r="D256" i="19"/>
  <c r="E256" i="19"/>
  <c r="F256" i="19"/>
  <c r="H256" i="19"/>
  <c r="I256" i="19"/>
  <c r="J256" i="19"/>
  <c r="K256" i="19"/>
  <c r="L256" i="19"/>
  <c r="M256" i="19"/>
  <c r="N256" i="19"/>
  <c r="P256" i="19"/>
  <c r="Q256" i="19"/>
  <c r="S256" i="19"/>
  <c r="V256" i="19"/>
  <c r="W256" i="19"/>
  <c r="X256" i="19"/>
  <c r="Z256" i="19"/>
  <c r="AA256" i="19"/>
  <c r="C257" i="19"/>
  <c r="D257" i="19"/>
  <c r="E257" i="19"/>
  <c r="F257" i="19"/>
  <c r="H257" i="19"/>
  <c r="I257" i="19"/>
  <c r="J257" i="19"/>
  <c r="K257" i="19"/>
  <c r="L257" i="19"/>
  <c r="M257" i="19"/>
  <c r="N257" i="19"/>
  <c r="P257" i="19"/>
  <c r="Q257" i="19"/>
  <c r="O257" i="19" s="1"/>
  <c r="S257" i="19"/>
  <c r="V257" i="19"/>
  <c r="W257" i="19"/>
  <c r="X257" i="19"/>
  <c r="Z257" i="19"/>
  <c r="AA257" i="19"/>
  <c r="C258" i="19"/>
  <c r="D258" i="19"/>
  <c r="E258" i="19"/>
  <c r="F258" i="19"/>
  <c r="H258" i="19"/>
  <c r="I258" i="19"/>
  <c r="J258" i="19"/>
  <c r="K258" i="19"/>
  <c r="L258" i="19"/>
  <c r="M258" i="19"/>
  <c r="N258" i="19"/>
  <c r="P258" i="19"/>
  <c r="Q258" i="19"/>
  <c r="S258" i="19"/>
  <c r="V258" i="19"/>
  <c r="W258" i="19"/>
  <c r="X258" i="19"/>
  <c r="Z258" i="19"/>
  <c r="AA258" i="19"/>
  <c r="C259" i="19"/>
  <c r="D259" i="19"/>
  <c r="E259" i="19"/>
  <c r="F259" i="19"/>
  <c r="H259" i="19"/>
  <c r="I259" i="19"/>
  <c r="J259" i="19"/>
  <c r="K259" i="19"/>
  <c r="L259" i="19"/>
  <c r="M259" i="19"/>
  <c r="N259" i="19"/>
  <c r="P259" i="19"/>
  <c r="O259" i="19" s="1"/>
  <c r="Q259" i="19"/>
  <c r="S259" i="19"/>
  <c r="V259" i="19"/>
  <c r="W259" i="19"/>
  <c r="X259" i="19"/>
  <c r="Z259" i="19"/>
  <c r="AA259" i="19"/>
  <c r="C260" i="19"/>
  <c r="D260" i="19"/>
  <c r="E260" i="19"/>
  <c r="F260" i="19"/>
  <c r="H260" i="19"/>
  <c r="I260" i="19"/>
  <c r="J260" i="19"/>
  <c r="K260" i="19"/>
  <c r="L260" i="19"/>
  <c r="M260" i="19"/>
  <c r="N260" i="19"/>
  <c r="P260" i="19"/>
  <c r="Q260" i="19"/>
  <c r="S260" i="19"/>
  <c r="V260" i="19"/>
  <c r="W260" i="19"/>
  <c r="X260" i="19"/>
  <c r="Z260" i="19"/>
  <c r="AA260" i="19"/>
  <c r="C261" i="19"/>
  <c r="D261" i="19"/>
  <c r="E261" i="19"/>
  <c r="F261" i="19"/>
  <c r="H261" i="19"/>
  <c r="I261" i="19"/>
  <c r="J261" i="19"/>
  <c r="K261" i="19"/>
  <c r="L261" i="19"/>
  <c r="M261" i="19"/>
  <c r="N261" i="19"/>
  <c r="P261" i="19"/>
  <c r="Q261" i="19"/>
  <c r="S261" i="19"/>
  <c r="V261" i="19"/>
  <c r="Y261" i="19" s="1"/>
  <c r="W261" i="19"/>
  <c r="X261" i="19"/>
  <c r="Z261" i="19"/>
  <c r="AA261" i="19"/>
  <c r="C262" i="19"/>
  <c r="D262" i="19"/>
  <c r="E262" i="19"/>
  <c r="F262" i="19"/>
  <c r="H262" i="19"/>
  <c r="I262" i="19"/>
  <c r="J262" i="19"/>
  <c r="K262" i="19"/>
  <c r="L262" i="19"/>
  <c r="M262" i="19"/>
  <c r="N262" i="19"/>
  <c r="P262" i="19"/>
  <c r="Q262" i="19"/>
  <c r="S262" i="19"/>
  <c r="V262" i="19"/>
  <c r="W262" i="19"/>
  <c r="X262" i="19"/>
  <c r="Z262" i="19"/>
  <c r="AA262" i="19"/>
  <c r="C263" i="19"/>
  <c r="D263" i="19"/>
  <c r="E263" i="19"/>
  <c r="F263" i="19"/>
  <c r="H263" i="19"/>
  <c r="I263" i="19"/>
  <c r="J263" i="19"/>
  <c r="K263" i="19"/>
  <c r="L263" i="19"/>
  <c r="M263" i="19"/>
  <c r="N263" i="19"/>
  <c r="P263" i="19"/>
  <c r="Q263" i="19"/>
  <c r="S263" i="19"/>
  <c r="V263" i="19"/>
  <c r="W263" i="19"/>
  <c r="X263" i="19"/>
  <c r="Z263" i="19"/>
  <c r="AA263" i="19"/>
  <c r="C264" i="19"/>
  <c r="D264" i="19"/>
  <c r="E264" i="19"/>
  <c r="F264" i="19"/>
  <c r="H264" i="19"/>
  <c r="I264" i="19"/>
  <c r="J264" i="19"/>
  <c r="K264" i="19"/>
  <c r="L264" i="19"/>
  <c r="M264" i="19"/>
  <c r="N264" i="19"/>
  <c r="P264" i="19"/>
  <c r="Q264" i="19"/>
  <c r="S264" i="19"/>
  <c r="V264" i="19"/>
  <c r="W264" i="19"/>
  <c r="X264" i="19"/>
  <c r="Z264" i="19"/>
  <c r="AA264" i="19"/>
  <c r="C265" i="19"/>
  <c r="D265" i="19"/>
  <c r="E265" i="19"/>
  <c r="F265" i="19"/>
  <c r="H265" i="19"/>
  <c r="I265" i="19"/>
  <c r="J265" i="19"/>
  <c r="K265" i="19"/>
  <c r="L265" i="19"/>
  <c r="M265" i="19"/>
  <c r="N265" i="19"/>
  <c r="P265" i="19"/>
  <c r="Q265" i="19"/>
  <c r="S265" i="19"/>
  <c r="V265" i="19"/>
  <c r="W265" i="19"/>
  <c r="X265" i="19"/>
  <c r="Z265" i="19"/>
  <c r="AA265" i="19"/>
  <c r="C266" i="19"/>
  <c r="D266" i="19"/>
  <c r="E266" i="19"/>
  <c r="F266" i="19"/>
  <c r="H266" i="19"/>
  <c r="I266" i="19"/>
  <c r="J266" i="19"/>
  <c r="K266" i="19"/>
  <c r="L266" i="19"/>
  <c r="M266" i="19"/>
  <c r="N266" i="19"/>
  <c r="P266" i="19"/>
  <c r="Q266" i="19"/>
  <c r="S266" i="19"/>
  <c r="V266" i="19"/>
  <c r="W266" i="19"/>
  <c r="X266" i="19"/>
  <c r="Z266" i="19"/>
  <c r="AA266" i="19"/>
  <c r="C267" i="19"/>
  <c r="D267" i="19"/>
  <c r="E267" i="19"/>
  <c r="F267" i="19"/>
  <c r="H267" i="19"/>
  <c r="I267" i="19"/>
  <c r="J267" i="19"/>
  <c r="K267" i="19"/>
  <c r="L267" i="19"/>
  <c r="M267" i="19"/>
  <c r="N267" i="19"/>
  <c r="P267" i="19"/>
  <c r="Q267" i="19"/>
  <c r="S267" i="19"/>
  <c r="V267" i="19"/>
  <c r="W267" i="19"/>
  <c r="X267" i="19"/>
  <c r="Z267" i="19"/>
  <c r="AA267" i="19"/>
  <c r="C268" i="19"/>
  <c r="D268" i="19"/>
  <c r="E268" i="19"/>
  <c r="F268" i="19"/>
  <c r="H268" i="19"/>
  <c r="I268" i="19"/>
  <c r="J268" i="19"/>
  <c r="K268" i="19"/>
  <c r="L268" i="19"/>
  <c r="M268" i="19"/>
  <c r="N268" i="19"/>
  <c r="P268" i="19"/>
  <c r="Q268" i="19"/>
  <c r="S268" i="19"/>
  <c r="V268" i="19"/>
  <c r="W268" i="19"/>
  <c r="X268" i="19"/>
  <c r="Z268" i="19"/>
  <c r="AA268" i="19"/>
  <c r="C269" i="19"/>
  <c r="D269" i="19"/>
  <c r="E269" i="19"/>
  <c r="F269" i="19"/>
  <c r="H269" i="19"/>
  <c r="I269" i="19"/>
  <c r="J269" i="19"/>
  <c r="K269" i="19"/>
  <c r="L269" i="19"/>
  <c r="M269" i="19"/>
  <c r="N269" i="19"/>
  <c r="P269" i="19"/>
  <c r="Q269" i="19"/>
  <c r="S269" i="19"/>
  <c r="V269" i="19"/>
  <c r="W269" i="19"/>
  <c r="X269" i="19"/>
  <c r="Z269" i="19"/>
  <c r="AA269" i="19"/>
  <c r="C270" i="19"/>
  <c r="D270" i="19"/>
  <c r="E270" i="19"/>
  <c r="F270" i="19"/>
  <c r="H270" i="19"/>
  <c r="I270" i="19"/>
  <c r="J270" i="19"/>
  <c r="K270" i="19"/>
  <c r="L270" i="19"/>
  <c r="M270" i="19"/>
  <c r="N270" i="19"/>
  <c r="P270" i="19"/>
  <c r="Q270" i="19"/>
  <c r="S270" i="19"/>
  <c r="V270" i="19"/>
  <c r="Y270" i="19" s="1"/>
  <c r="W270" i="19"/>
  <c r="X270" i="19"/>
  <c r="Z270" i="19"/>
  <c r="AA270" i="19"/>
  <c r="C271" i="19"/>
  <c r="D271" i="19"/>
  <c r="E271" i="19"/>
  <c r="F271" i="19"/>
  <c r="H271" i="19"/>
  <c r="I271" i="19"/>
  <c r="J271" i="19"/>
  <c r="K271" i="19"/>
  <c r="L271" i="19"/>
  <c r="M271" i="19"/>
  <c r="N271" i="19"/>
  <c r="P271" i="19"/>
  <c r="Q271" i="19"/>
  <c r="S271" i="19"/>
  <c r="V271" i="19"/>
  <c r="W271" i="19"/>
  <c r="X271" i="19"/>
  <c r="Z271" i="19"/>
  <c r="AA271" i="19"/>
  <c r="C272" i="19"/>
  <c r="D272" i="19"/>
  <c r="E272" i="19"/>
  <c r="F272" i="19"/>
  <c r="H272" i="19"/>
  <c r="I272" i="19"/>
  <c r="J272" i="19"/>
  <c r="K272" i="19"/>
  <c r="L272" i="19"/>
  <c r="M272" i="19"/>
  <c r="N272" i="19"/>
  <c r="P272" i="19"/>
  <c r="Q272" i="19"/>
  <c r="S272" i="19"/>
  <c r="V272" i="19"/>
  <c r="W272" i="19"/>
  <c r="X272" i="19"/>
  <c r="Z272" i="19"/>
  <c r="AA272" i="19"/>
  <c r="C273" i="19"/>
  <c r="D273" i="19"/>
  <c r="E273" i="19"/>
  <c r="F273" i="19"/>
  <c r="H273" i="19"/>
  <c r="I273" i="19"/>
  <c r="J273" i="19"/>
  <c r="K273" i="19"/>
  <c r="L273" i="19"/>
  <c r="M273" i="19"/>
  <c r="N273" i="19"/>
  <c r="P273" i="19"/>
  <c r="Q273" i="19"/>
  <c r="S273" i="19"/>
  <c r="V273" i="19"/>
  <c r="W273" i="19"/>
  <c r="X273" i="19"/>
  <c r="Z273" i="19"/>
  <c r="AA273" i="19"/>
  <c r="C274" i="19"/>
  <c r="D274" i="19"/>
  <c r="E274" i="19"/>
  <c r="F274" i="19"/>
  <c r="H274" i="19"/>
  <c r="I274" i="19"/>
  <c r="J274" i="19"/>
  <c r="K274" i="19"/>
  <c r="L274" i="19"/>
  <c r="M274" i="19"/>
  <c r="N274" i="19"/>
  <c r="P274" i="19"/>
  <c r="Q274" i="19"/>
  <c r="O274" i="19" s="1"/>
  <c r="S274" i="19"/>
  <c r="V274" i="19"/>
  <c r="W274" i="19"/>
  <c r="X274" i="19"/>
  <c r="Z274" i="19"/>
  <c r="AA274" i="19"/>
  <c r="C275" i="19"/>
  <c r="D275" i="19"/>
  <c r="E275" i="19"/>
  <c r="F275" i="19"/>
  <c r="H275" i="19"/>
  <c r="I275" i="19"/>
  <c r="J275" i="19"/>
  <c r="K275" i="19"/>
  <c r="L275" i="19"/>
  <c r="M275" i="19"/>
  <c r="N275" i="19"/>
  <c r="P275" i="19"/>
  <c r="Q275" i="19"/>
  <c r="S275" i="19"/>
  <c r="V275" i="19"/>
  <c r="W275" i="19"/>
  <c r="X275" i="19"/>
  <c r="Z275" i="19"/>
  <c r="AA275" i="19"/>
  <c r="C276" i="19"/>
  <c r="D276" i="19"/>
  <c r="E276" i="19"/>
  <c r="F276" i="19"/>
  <c r="H276" i="19"/>
  <c r="I276" i="19"/>
  <c r="J276" i="19"/>
  <c r="K276" i="19"/>
  <c r="L276" i="19"/>
  <c r="M276" i="19"/>
  <c r="N276" i="19"/>
  <c r="P276" i="19"/>
  <c r="O276" i="19" s="1"/>
  <c r="Q276" i="19"/>
  <c r="S276" i="19"/>
  <c r="V276" i="19"/>
  <c r="W276" i="19"/>
  <c r="X276" i="19"/>
  <c r="Z276" i="19"/>
  <c r="AA276" i="19"/>
  <c r="C277" i="19"/>
  <c r="D277" i="19"/>
  <c r="E277" i="19"/>
  <c r="F277" i="19"/>
  <c r="H277" i="19"/>
  <c r="I277" i="19"/>
  <c r="J277" i="19"/>
  <c r="K277" i="19"/>
  <c r="L277" i="19"/>
  <c r="M277" i="19"/>
  <c r="N277" i="19"/>
  <c r="P277" i="19"/>
  <c r="Q277" i="19"/>
  <c r="S277" i="19"/>
  <c r="V277" i="19"/>
  <c r="W277" i="19"/>
  <c r="X277" i="19"/>
  <c r="Z277" i="19"/>
  <c r="AA277" i="19"/>
  <c r="C278" i="19"/>
  <c r="D278" i="19"/>
  <c r="E278" i="19"/>
  <c r="F278" i="19"/>
  <c r="H278" i="19"/>
  <c r="I278" i="19"/>
  <c r="J278" i="19"/>
  <c r="K278" i="19"/>
  <c r="L278" i="19"/>
  <c r="M278" i="19"/>
  <c r="N278" i="19"/>
  <c r="P278" i="19"/>
  <c r="Q278" i="19"/>
  <c r="S278" i="19"/>
  <c r="V278" i="19"/>
  <c r="W278" i="19"/>
  <c r="X278" i="19"/>
  <c r="Z278" i="19"/>
  <c r="AA278" i="19"/>
  <c r="C279" i="19"/>
  <c r="D279" i="19"/>
  <c r="E279" i="19"/>
  <c r="F279" i="19"/>
  <c r="H279" i="19"/>
  <c r="I279" i="19"/>
  <c r="J279" i="19"/>
  <c r="K279" i="19"/>
  <c r="L279" i="19"/>
  <c r="M279" i="19"/>
  <c r="N279" i="19"/>
  <c r="P279" i="19"/>
  <c r="Q279" i="19"/>
  <c r="S279" i="19"/>
  <c r="V279" i="19"/>
  <c r="W279" i="19"/>
  <c r="X279" i="19"/>
  <c r="Z279" i="19"/>
  <c r="AA279" i="19"/>
  <c r="C280" i="19"/>
  <c r="D280" i="19"/>
  <c r="E280" i="19"/>
  <c r="F280" i="19"/>
  <c r="H280" i="19"/>
  <c r="I280" i="19"/>
  <c r="J280" i="19"/>
  <c r="K280" i="19"/>
  <c r="L280" i="19"/>
  <c r="M280" i="19"/>
  <c r="N280" i="19"/>
  <c r="P280" i="19"/>
  <c r="O280" i="19" s="1"/>
  <c r="Q280" i="19"/>
  <c r="S280" i="19"/>
  <c r="V280" i="19"/>
  <c r="W280" i="19"/>
  <c r="X280" i="19"/>
  <c r="Z280" i="19"/>
  <c r="AA280" i="19"/>
  <c r="C281" i="19"/>
  <c r="D281" i="19"/>
  <c r="E281" i="19"/>
  <c r="F281" i="19"/>
  <c r="H281" i="19"/>
  <c r="I281" i="19"/>
  <c r="J281" i="19"/>
  <c r="K281" i="19"/>
  <c r="L281" i="19"/>
  <c r="M281" i="19"/>
  <c r="N281" i="19"/>
  <c r="P281" i="19"/>
  <c r="Q281" i="19"/>
  <c r="S281" i="19"/>
  <c r="V281" i="19"/>
  <c r="W281" i="19"/>
  <c r="X281" i="19"/>
  <c r="Z281" i="19"/>
  <c r="AA281" i="19"/>
  <c r="C282" i="19"/>
  <c r="D282" i="19"/>
  <c r="E282" i="19"/>
  <c r="F282" i="19"/>
  <c r="H282" i="19"/>
  <c r="I282" i="19"/>
  <c r="J282" i="19"/>
  <c r="K282" i="19"/>
  <c r="L282" i="19"/>
  <c r="M282" i="19"/>
  <c r="N282" i="19"/>
  <c r="P282" i="19"/>
  <c r="Q282" i="19"/>
  <c r="S282" i="19"/>
  <c r="V282" i="19"/>
  <c r="Y282" i="19" s="1"/>
  <c r="W282" i="19"/>
  <c r="X282" i="19"/>
  <c r="Z282" i="19"/>
  <c r="AA282" i="19"/>
  <c r="C283" i="19"/>
  <c r="D283" i="19"/>
  <c r="E283" i="19"/>
  <c r="F283" i="19"/>
  <c r="H283" i="19"/>
  <c r="I283" i="19"/>
  <c r="J283" i="19"/>
  <c r="K283" i="19"/>
  <c r="L283" i="19"/>
  <c r="M283" i="19"/>
  <c r="N283" i="19"/>
  <c r="P283" i="19"/>
  <c r="Q283" i="19"/>
  <c r="S283" i="19"/>
  <c r="V283" i="19"/>
  <c r="W283" i="19"/>
  <c r="X283" i="19"/>
  <c r="Z283" i="19"/>
  <c r="AA283" i="19"/>
  <c r="C284" i="19"/>
  <c r="D284" i="19"/>
  <c r="E284" i="19"/>
  <c r="F284" i="19"/>
  <c r="H284" i="19"/>
  <c r="I284" i="19"/>
  <c r="J284" i="19"/>
  <c r="K284" i="19"/>
  <c r="L284" i="19"/>
  <c r="M284" i="19"/>
  <c r="N284" i="19"/>
  <c r="P284" i="19"/>
  <c r="Q284" i="19"/>
  <c r="S284" i="19"/>
  <c r="V284" i="19"/>
  <c r="W284" i="19"/>
  <c r="X284" i="19"/>
  <c r="Z284" i="19"/>
  <c r="AA284" i="19"/>
  <c r="C285" i="19"/>
  <c r="D285" i="19"/>
  <c r="E285" i="19"/>
  <c r="F285" i="19"/>
  <c r="H285" i="19"/>
  <c r="I285" i="19"/>
  <c r="J285" i="19"/>
  <c r="K285" i="19"/>
  <c r="L285" i="19"/>
  <c r="M285" i="19"/>
  <c r="N285" i="19"/>
  <c r="P285" i="19"/>
  <c r="Q285" i="19"/>
  <c r="S285" i="19"/>
  <c r="V285" i="19"/>
  <c r="W285" i="19"/>
  <c r="X285" i="19"/>
  <c r="Z285" i="19"/>
  <c r="AA285" i="19"/>
  <c r="C286" i="19"/>
  <c r="D286" i="19"/>
  <c r="E286" i="19"/>
  <c r="F286" i="19"/>
  <c r="H286" i="19"/>
  <c r="I286" i="19"/>
  <c r="J286" i="19"/>
  <c r="K286" i="19"/>
  <c r="L286" i="19"/>
  <c r="M286" i="19"/>
  <c r="N286" i="19"/>
  <c r="P286" i="19"/>
  <c r="Q286" i="19"/>
  <c r="S286" i="19"/>
  <c r="V286" i="19"/>
  <c r="Y286" i="19" s="1"/>
  <c r="W286" i="19"/>
  <c r="X286" i="19"/>
  <c r="Z286" i="19"/>
  <c r="AA286" i="19"/>
  <c r="C287" i="19"/>
  <c r="D287" i="19"/>
  <c r="E287" i="19"/>
  <c r="F287" i="19"/>
  <c r="H287" i="19"/>
  <c r="I287" i="19"/>
  <c r="J287" i="19"/>
  <c r="K287" i="19"/>
  <c r="L287" i="19"/>
  <c r="M287" i="19"/>
  <c r="N287" i="19"/>
  <c r="P287" i="19"/>
  <c r="O287" i="19" s="1"/>
  <c r="Q287" i="19"/>
  <c r="S287" i="19"/>
  <c r="V287" i="19"/>
  <c r="W287" i="19"/>
  <c r="X287" i="19"/>
  <c r="Z287" i="19"/>
  <c r="AA287" i="19"/>
  <c r="C288" i="19"/>
  <c r="D288" i="19"/>
  <c r="E288" i="19"/>
  <c r="F288" i="19"/>
  <c r="H288" i="19"/>
  <c r="I288" i="19"/>
  <c r="J288" i="19"/>
  <c r="K288" i="19"/>
  <c r="L288" i="19"/>
  <c r="M288" i="19"/>
  <c r="N288" i="19"/>
  <c r="P288" i="19"/>
  <c r="Q288" i="19"/>
  <c r="S288" i="19"/>
  <c r="V288" i="19"/>
  <c r="W288" i="19"/>
  <c r="X288" i="19"/>
  <c r="Z288" i="19"/>
  <c r="AA288" i="19"/>
  <c r="C289" i="19"/>
  <c r="D289" i="19"/>
  <c r="E289" i="19"/>
  <c r="F289" i="19"/>
  <c r="H289" i="19"/>
  <c r="I289" i="19"/>
  <c r="J289" i="19"/>
  <c r="K289" i="19"/>
  <c r="L289" i="19"/>
  <c r="M289" i="19"/>
  <c r="N289" i="19"/>
  <c r="P289" i="19"/>
  <c r="Q289" i="19"/>
  <c r="S289" i="19"/>
  <c r="V289" i="19"/>
  <c r="W289" i="19"/>
  <c r="X289" i="19"/>
  <c r="Z289" i="19"/>
  <c r="AA289" i="19"/>
  <c r="C290" i="19"/>
  <c r="D290" i="19"/>
  <c r="E290" i="19"/>
  <c r="F290" i="19"/>
  <c r="H290" i="19"/>
  <c r="I290" i="19"/>
  <c r="J290" i="19"/>
  <c r="K290" i="19"/>
  <c r="L290" i="19"/>
  <c r="M290" i="19"/>
  <c r="N290" i="19"/>
  <c r="P290" i="19"/>
  <c r="Q290" i="19"/>
  <c r="O290" i="19" s="1"/>
  <c r="S290" i="19"/>
  <c r="V290" i="19"/>
  <c r="W290" i="19"/>
  <c r="X290" i="19"/>
  <c r="Z290" i="19"/>
  <c r="AA290" i="19"/>
  <c r="C291" i="19"/>
  <c r="D291" i="19"/>
  <c r="E291" i="19"/>
  <c r="F291" i="19"/>
  <c r="H291" i="19"/>
  <c r="I291" i="19"/>
  <c r="J291" i="19"/>
  <c r="K291" i="19"/>
  <c r="L291" i="19"/>
  <c r="M291" i="19"/>
  <c r="N291" i="19"/>
  <c r="P291" i="19"/>
  <c r="Q291" i="19"/>
  <c r="S291" i="19"/>
  <c r="V291" i="19"/>
  <c r="Y291" i="19" s="1"/>
  <c r="W291" i="19"/>
  <c r="X291" i="19"/>
  <c r="Z291" i="19"/>
  <c r="AA291" i="19"/>
  <c r="C292" i="19"/>
  <c r="D292" i="19"/>
  <c r="E292" i="19"/>
  <c r="F292" i="19"/>
  <c r="H292" i="19"/>
  <c r="I292" i="19"/>
  <c r="J292" i="19"/>
  <c r="K292" i="19"/>
  <c r="L292" i="19"/>
  <c r="M292" i="19"/>
  <c r="N292" i="19"/>
  <c r="P292" i="19"/>
  <c r="O292" i="19" s="1"/>
  <c r="Q292" i="19"/>
  <c r="S292" i="19"/>
  <c r="V292" i="19"/>
  <c r="W292" i="19"/>
  <c r="Y292" i="19" s="1"/>
  <c r="X292" i="19"/>
  <c r="Z292" i="19"/>
  <c r="AA292" i="19"/>
  <c r="C293" i="19"/>
  <c r="D293" i="19"/>
  <c r="E293" i="19"/>
  <c r="F293" i="19"/>
  <c r="H293" i="19"/>
  <c r="I293" i="19"/>
  <c r="J293" i="19"/>
  <c r="K293" i="19"/>
  <c r="L293" i="19"/>
  <c r="M293" i="19"/>
  <c r="N293" i="19"/>
  <c r="P293" i="19"/>
  <c r="Q293" i="19"/>
  <c r="S293" i="19"/>
  <c r="V293" i="19"/>
  <c r="W293" i="19"/>
  <c r="X293" i="19"/>
  <c r="Z293" i="19"/>
  <c r="AA293" i="19"/>
  <c r="C294" i="19"/>
  <c r="D294" i="19"/>
  <c r="E294" i="19"/>
  <c r="F294" i="19"/>
  <c r="H294" i="19"/>
  <c r="I294" i="19"/>
  <c r="J294" i="19"/>
  <c r="K294" i="19"/>
  <c r="L294" i="19"/>
  <c r="M294" i="19"/>
  <c r="N294" i="19"/>
  <c r="P294" i="19"/>
  <c r="Q294" i="19"/>
  <c r="S294" i="19"/>
  <c r="V294" i="19"/>
  <c r="W294" i="19"/>
  <c r="X294" i="19"/>
  <c r="Z294" i="19"/>
  <c r="AA294" i="19"/>
  <c r="C295" i="19"/>
  <c r="D295" i="19"/>
  <c r="E295" i="19"/>
  <c r="F295" i="19"/>
  <c r="H295" i="19"/>
  <c r="I295" i="19"/>
  <c r="J295" i="19"/>
  <c r="K295" i="19"/>
  <c r="L295" i="19"/>
  <c r="M295" i="19"/>
  <c r="N295" i="19"/>
  <c r="P295" i="19"/>
  <c r="O295" i="19" s="1"/>
  <c r="Q295" i="19"/>
  <c r="S295" i="19"/>
  <c r="V295" i="19"/>
  <c r="W295" i="19"/>
  <c r="X295" i="19"/>
  <c r="Z295" i="19"/>
  <c r="AA295" i="19"/>
  <c r="C296" i="19"/>
  <c r="D296" i="19"/>
  <c r="E296" i="19"/>
  <c r="F296" i="19"/>
  <c r="H296" i="19"/>
  <c r="I296" i="19"/>
  <c r="J296" i="19"/>
  <c r="K296" i="19"/>
  <c r="L296" i="19"/>
  <c r="M296" i="19"/>
  <c r="N296" i="19"/>
  <c r="P296" i="19"/>
  <c r="Q296" i="19"/>
  <c r="S296" i="19"/>
  <c r="V296" i="19"/>
  <c r="W296" i="19"/>
  <c r="X296" i="19"/>
  <c r="Z296" i="19"/>
  <c r="AA296" i="19"/>
  <c r="C297" i="19"/>
  <c r="D297" i="19"/>
  <c r="E297" i="19"/>
  <c r="F297" i="19"/>
  <c r="H297" i="19"/>
  <c r="I297" i="19"/>
  <c r="J297" i="19"/>
  <c r="K297" i="19"/>
  <c r="L297" i="19"/>
  <c r="M297" i="19"/>
  <c r="N297" i="19"/>
  <c r="P297" i="19"/>
  <c r="Q297" i="19"/>
  <c r="S297" i="19"/>
  <c r="V297" i="19"/>
  <c r="W297" i="19"/>
  <c r="X297" i="19"/>
  <c r="Z297" i="19"/>
  <c r="AA297" i="19"/>
  <c r="C298" i="19"/>
  <c r="D298" i="19"/>
  <c r="E298" i="19"/>
  <c r="F298" i="19"/>
  <c r="H298" i="19"/>
  <c r="I298" i="19"/>
  <c r="J298" i="19"/>
  <c r="K298" i="19"/>
  <c r="L298" i="19"/>
  <c r="M298" i="19"/>
  <c r="N298" i="19"/>
  <c r="P298" i="19"/>
  <c r="Q298" i="19"/>
  <c r="S298" i="19"/>
  <c r="V298" i="19"/>
  <c r="W298" i="19"/>
  <c r="X298" i="19"/>
  <c r="Z298" i="19"/>
  <c r="AA298" i="19"/>
  <c r="C299" i="19"/>
  <c r="D299" i="19"/>
  <c r="E299" i="19"/>
  <c r="F299" i="19"/>
  <c r="H299" i="19"/>
  <c r="I299" i="19"/>
  <c r="J299" i="19"/>
  <c r="K299" i="19"/>
  <c r="L299" i="19"/>
  <c r="M299" i="19"/>
  <c r="N299" i="19"/>
  <c r="P299" i="19"/>
  <c r="Q299" i="19"/>
  <c r="S299" i="19"/>
  <c r="V299" i="19"/>
  <c r="W299" i="19"/>
  <c r="X299" i="19"/>
  <c r="Z299" i="19"/>
  <c r="AA299" i="19"/>
  <c r="C300" i="19"/>
  <c r="D300" i="19"/>
  <c r="E300" i="19"/>
  <c r="F300" i="19"/>
  <c r="H300" i="19"/>
  <c r="I300" i="19"/>
  <c r="J300" i="19"/>
  <c r="K300" i="19"/>
  <c r="L300" i="19"/>
  <c r="M300" i="19"/>
  <c r="N300" i="19"/>
  <c r="P300" i="19"/>
  <c r="Q300" i="19"/>
  <c r="S300" i="19"/>
  <c r="V300" i="19"/>
  <c r="W300" i="19"/>
  <c r="X300" i="19"/>
  <c r="Z300" i="19"/>
  <c r="AA300" i="19"/>
  <c r="C301" i="19"/>
  <c r="D301" i="19"/>
  <c r="E301" i="19"/>
  <c r="F301" i="19"/>
  <c r="H301" i="19"/>
  <c r="I301" i="19"/>
  <c r="J301" i="19"/>
  <c r="K301" i="19"/>
  <c r="L301" i="19"/>
  <c r="M301" i="19"/>
  <c r="N301" i="19"/>
  <c r="P301" i="19"/>
  <c r="Q301" i="19"/>
  <c r="S301" i="19"/>
  <c r="V301" i="19"/>
  <c r="W301" i="19"/>
  <c r="X301" i="19"/>
  <c r="Z301" i="19"/>
  <c r="AA301" i="19"/>
  <c r="C302" i="19"/>
  <c r="D302" i="19"/>
  <c r="E302" i="19"/>
  <c r="F302" i="19"/>
  <c r="H302" i="19"/>
  <c r="I302" i="19"/>
  <c r="J302" i="19"/>
  <c r="K302" i="19"/>
  <c r="L302" i="19"/>
  <c r="M302" i="19"/>
  <c r="N302" i="19"/>
  <c r="P302" i="19"/>
  <c r="Q302" i="19"/>
  <c r="S302" i="19"/>
  <c r="V302" i="19"/>
  <c r="Y302" i="19" s="1"/>
  <c r="W302" i="19"/>
  <c r="X302" i="19"/>
  <c r="Z302" i="19"/>
  <c r="AA302" i="19"/>
  <c r="C303" i="19"/>
  <c r="D303" i="19"/>
  <c r="E303" i="19"/>
  <c r="F303" i="19"/>
  <c r="H303" i="19"/>
  <c r="I303" i="19"/>
  <c r="J303" i="19"/>
  <c r="K303" i="19"/>
  <c r="L303" i="19"/>
  <c r="M303" i="19"/>
  <c r="N303" i="19"/>
  <c r="P303" i="19"/>
  <c r="O303" i="19" s="1"/>
  <c r="Q303" i="19"/>
  <c r="S303" i="19"/>
  <c r="V303" i="19"/>
  <c r="W303" i="19"/>
  <c r="X303" i="19"/>
  <c r="Z303" i="19"/>
  <c r="AA303" i="19"/>
  <c r="C304" i="19"/>
  <c r="D304" i="19"/>
  <c r="E304" i="19"/>
  <c r="F304" i="19"/>
  <c r="H304" i="19"/>
  <c r="I304" i="19"/>
  <c r="J304" i="19"/>
  <c r="K304" i="19"/>
  <c r="L304" i="19"/>
  <c r="M304" i="19"/>
  <c r="N304" i="19"/>
  <c r="P304" i="19"/>
  <c r="Q304" i="19"/>
  <c r="S304" i="19"/>
  <c r="V304" i="19"/>
  <c r="W304" i="19"/>
  <c r="X304" i="19"/>
  <c r="Z304" i="19"/>
  <c r="AA304" i="19"/>
  <c r="C305" i="19"/>
  <c r="D305" i="19"/>
  <c r="E305" i="19"/>
  <c r="F305" i="19"/>
  <c r="H305" i="19"/>
  <c r="I305" i="19"/>
  <c r="J305" i="19"/>
  <c r="K305" i="19"/>
  <c r="L305" i="19"/>
  <c r="M305" i="19"/>
  <c r="N305" i="19"/>
  <c r="P305" i="19"/>
  <c r="Q305" i="19"/>
  <c r="S305" i="19"/>
  <c r="V305" i="19"/>
  <c r="W305" i="19"/>
  <c r="X305" i="19"/>
  <c r="Z305" i="19"/>
  <c r="AA305" i="19"/>
  <c r="C306" i="19"/>
  <c r="D306" i="19"/>
  <c r="E306" i="19"/>
  <c r="F306" i="19"/>
  <c r="H306" i="19"/>
  <c r="I306" i="19"/>
  <c r="J306" i="19"/>
  <c r="K306" i="19"/>
  <c r="L306" i="19"/>
  <c r="M306" i="19"/>
  <c r="N306" i="19"/>
  <c r="P306" i="19"/>
  <c r="Q306" i="19"/>
  <c r="S306" i="19"/>
  <c r="V306" i="19"/>
  <c r="W306" i="19"/>
  <c r="X306" i="19"/>
  <c r="Z306" i="19"/>
  <c r="AA306" i="19"/>
  <c r="C307" i="19"/>
  <c r="D307" i="19"/>
  <c r="E307" i="19"/>
  <c r="F307" i="19"/>
  <c r="H307" i="19"/>
  <c r="I307" i="19"/>
  <c r="J307" i="19"/>
  <c r="K307" i="19"/>
  <c r="L307" i="19"/>
  <c r="M307" i="19"/>
  <c r="N307" i="19"/>
  <c r="P307" i="19"/>
  <c r="O307" i="19" s="1"/>
  <c r="Q307" i="19"/>
  <c r="S307" i="19"/>
  <c r="V307" i="19"/>
  <c r="W307" i="19"/>
  <c r="X307" i="19"/>
  <c r="Z307" i="19"/>
  <c r="AA307" i="19"/>
  <c r="C308" i="19"/>
  <c r="D308" i="19"/>
  <c r="E308" i="19"/>
  <c r="F308" i="19"/>
  <c r="G308" i="19" s="1"/>
  <c r="T308" i="19" s="1"/>
  <c r="H308" i="19"/>
  <c r="I308" i="19"/>
  <c r="J308" i="19"/>
  <c r="K308" i="19"/>
  <c r="L308" i="19"/>
  <c r="M308" i="19"/>
  <c r="N308" i="19"/>
  <c r="O308" i="19"/>
  <c r="P308" i="19"/>
  <c r="Q308" i="19"/>
  <c r="S308" i="19"/>
  <c r="V308" i="19"/>
  <c r="W308" i="19"/>
  <c r="X308" i="19"/>
  <c r="Z308" i="19"/>
  <c r="AA308" i="19"/>
  <c r="C309" i="19"/>
  <c r="D309" i="19"/>
  <c r="E309" i="19"/>
  <c r="F309" i="19"/>
  <c r="H309" i="19"/>
  <c r="I309" i="19"/>
  <c r="J309" i="19"/>
  <c r="K309" i="19"/>
  <c r="L309" i="19"/>
  <c r="M309" i="19"/>
  <c r="N309" i="19"/>
  <c r="P309" i="19"/>
  <c r="O309" i="19" s="1"/>
  <c r="Q309" i="19"/>
  <c r="S309" i="19"/>
  <c r="V309" i="19"/>
  <c r="W309" i="19"/>
  <c r="X309" i="19"/>
  <c r="Z309" i="19"/>
  <c r="AA309" i="19"/>
  <c r="C310" i="19"/>
  <c r="D310" i="19"/>
  <c r="E310" i="19"/>
  <c r="F310" i="19"/>
  <c r="H310" i="19"/>
  <c r="I310" i="19"/>
  <c r="J310" i="19"/>
  <c r="K310" i="19"/>
  <c r="L310" i="19"/>
  <c r="M310" i="19"/>
  <c r="N310" i="19"/>
  <c r="P310" i="19"/>
  <c r="Q310" i="19"/>
  <c r="S310" i="19"/>
  <c r="V310" i="19"/>
  <c r="W310" i="19"/>
  <c r="X310" i="19"/>
  <c r="Z310" i="19"/>
  <c r="AA310" i="19"/>
  <c r="C311" i="19"/>
  <c r="D311" i="19"/>
  <c r="E311" i="19"/>
  <c r="F311" i="19"/>
  <c r="H311" i="19"/>
  <c r="I311" i="19"/>
  <c r="J311" i="19"/>
  <c r="K311" i="19"/>
  <c r="L311" i="19"/>
  <c r="M311" i="19"/>
  <c r="N311" i="19"/>
  <c r="P311" i="19"/>
  <c r="Q311" i="19"/>
  <c r="S311" i="19"/>
  <c r="V311" i="19"/>
  <c r="W311" i="19"/>
  <c r="X311" i="19"/>
  <c r="Z311" i="19"/>
  <c r="AA311" i="19"/>
  <c r="C312" i="19"/>
  <c r="D312" i="19"/>
  <c r="E312" i="19"/>
  <c r="F312" i="19"/>
  <c r="H312" i="19"/>
  <c r="I312" i="19"/>
  <c r="J312" i="19"/>
  <c r="K312" i="19"/>
  <c r="L312" i="19"/>
  <c r="M312" i="19"/>
  <c r="N312" i="19"/>
  <c r="P312" i="19"/>
  <c r="O312" i="19" s="1"/>
  <c r="Q312" i="19"/>
  <c r="S312" i="19"/>
  <c r="V312" i="19"/>
  <c r="W312" i="19"/>
  <c r="X312" i="19"/>
  <c r="Z312" i="19"/>
  <c r="AA312" i="19"/>
  <c r="C313" i="19"/>
  <c r="D313" i="19"/>
  <c r="E313" i="19"/>
  <c r="F313" i="19"/>
  <c r="H313" i="19"/>
  <c r="I313" i="19"/>
  <c r="J313" i="19"/>
  <c r="K313" i="19"/>
  <c r="L313" i="19"/>
  <c r="M313" i="19"/>
  <c r="N313" i="19"/>
  <c r="P313" i="19"/>
  <c r="Q313" i="19"/>
  <c r="S313" i="19"/>
  <c r="V313" i="19"/>
  <c r="W313" i="19"/>
  <c r="X313" i="19"/>
  <c r="Z313" i="19"/>
  <c r="AA313" i="19"/>
  <c r="C314" i="19"/>
  <c r="D314" i="19"/>
  <c r="E314" i="19"/>
  <c r="F314" i="19"/>
  <c r="H314" i="19"/>
  <c r="I314" i="19"/>
  <c r="J314" i="19"/>
  <c r="K314" i="19"/>
  <c r="L314" i="19"/>
  <c r="M314" i="19"/>
  <c r="N314" i="19"/>
  <c r="P314" i="19"/>
  <c r="Q314" i="19"/>
  <c r="S314" i="19"/>
  <c r="V314" i="19"/>
  <c r="W314" i="19"/>
  <c r="X314" i="19"/>
  <c r="Z314" i="19"/>
  <c r="AA314" i="19"/>
  <c r="C315" i="19"/>
  <c r="D315" i="19"/>
  <c r="E315" i="19"/>
  <c r="F315" i="19"/>
  <c r="H315" i="19"/>
  <c r="I315" i="19"/>
  <c r="J315" i="19"/>
  <c r="K315" i="19"/>
  <c r="L315" i="19"/>
  <c r="M315" i="19"/>
  <c r="N315" i="19"/>
  <c r="P315" i="19"/>
  <c r="Q315" i="19"/>
  <c r="S315" i="19"/>
  <c r="V315" i="19"/>
  <c r="W315" i="19"/>
  <c r="X315" i="19"/>
  <c r="Z315" i="19"/>
  <c r="AA315" i="19"/>
  <c r="O310" i="19" l="1"/>
  <c r="G310" i="19"/>
  <c r="O296" i="19"/>
  <c r="G264" i="19"/>
  <c r="Y262" i="19"/>
  <c r="G260" i="19"/>
  <c r="T260" i="19" s="1"/>
  <c r="O249" i="19"/>
  <c r="O229" i="19"/>
  <c r="G213" i="19"/>
  <c r="G205" i="19"/>
  <c r="T205" i="19" s="1"/>
  <c r="Y199" i="19"/>
  <c r="G173" i="19"/>
  <c r="T173" i="19" s="1"/>
  <c r="G172" i="19"/>
  <c r="Y169" i="19"/>
  <c r="O150" i="19"/>
  <c r="G144" i="19"/>
  <c r="O138" i="19"/>
  <c r="G135" i="19"/>
  <c r="Y132" i="19"/>
  <c r="Y111" i="19"/>
  <c r="O102" i="19"/>
  <c r="O98" i="19"/>
  <c r="O91" i="19"/>
  <c r="O86" i="19"/>
  <c r="G80" i="19"/>
  <c r="T80" i="19" s="1"/>
  <c r="Y77" i="19"/>
  <c r="O77" i="19"/>
  <c r="O73" i="19"/>
  <c r="O69" i="19"/>
  <c r="O61" i="19"/>
  <c r="O53" i="19"/>
  <c r="O51" i="19"/>
  <c r="Y46" i="19"/>
  <c r="G46" i="19"/>
  <c r="G45" i="19"/>
  <c r="O44" i="19"/>
  <c r="O43" i="19"/>
  <c r="O15" i="19"/>
  <c r="G8" i="19"/>
  <c r="T124" i="19"/>
  <c r="Y40" i="19"/>
  <c r="Y32" i="19"/>
  <c r="Y31" i="19"/>
  <c r="Y28" i="19"/>
  <c r="Y20" i="19"/>
  <c r="O297" i="19"/>
  <c r="G296" i="19"/>
  <c r="O273" i="19"/>
  <c r="G272" i="19"/>
  <c r="G271" i="19"/>
  <c r="Y268" i="19"/>
  <c r="O268" i="19"/>
  <c r="O264" i="19"/>
  <c r="Y255" i="19"/>
  <c r="Y253" i="19"/>
  <c r="G253" i="19"/>
  <c r="O234" i="19"/>
  <c r="O230" i="19"/>
  <c r="G225" i="19"/>
  <c r="T225" i="19" s="1"/>
  <c r="G220" i="19"/>
  <c r="Y217" i="19"/>
  <c r="O217" i="19"/>
  <c r="O213" i="19"/>
  <c r="Y192" i="19"/>
  <c r="O189" i="19"/>
  <c r="Y183" i="19"/>
  <c r="G161" i="19"/>
  <c r="Y159" i="19"/>
  <c r="Y158" i="19"/>
  <c r="O144" i="19"/>
  <c r="O143" i="19"/>
  <c r="O118" i="19"/>
  <c r="O88" i="19"/>
  <c r="Y87" i="19"/>
  <c r="G69" i="19"/>
  <c r="Y67" i="19"/>
  <c r="Y66" i="19"/>
  <c r="G65" i="19"/>
  <c r="O63" i="19"/>
  <c r="O46" i="19"/>
  <c r="G300" i="19"/>
  <c r="T300" i="19" s="1"/>
  <c r="G280" i="19"/>
  <c r="O266" i="19"/>
  <c r="G259" i="19"/>
  <c r="G229" i="19"/>
  <c r="O219" i="19"/>
  <c r="O215" i="19"/>
  <c r="O203" i="19"/>
  <c r="G197" i="19"/>
  <c r="G193" i="19"/>
  <c r="O191" i="19"/>
  <c r="G188" i="19"/>
  <c r="Y185" i="19"/>
  <c r="O185" i="19"/>
  <c r="Y139" i="19"/>
  <c r="Y130" i="19"/>
  <c r="G109" i="19"/>
  <c r="G105" i="19"/>
  <c r="G104" i="19"/>
  <c r="O81" i="19"/>
  <c r="O76" i="19"/>
  <c r="G24" i="19"/>
  <c r="Y22" i="19"/>
  <c r="Y21" i="19"/>
  <c r="G20" i="19"/>
  <c r="T20" i="19" s="1"/>
  <c r="G123" i="19"/>
  <c r="O117" i="19"/>
  <c r="G115" i="19"/>
  <c r="O112" i="19"/>
  <c r="Y95" i="19"/>
  <c r="Y83" i="19"/>
  <c r="O74" i="19"/>
  <c r="O304" i="19"/>
  <c r="Y298" i="19"/>
  <c r="O289" i="19"/>
  <c r="G288" i="19"/>
  <c r="T288" i="19" s="1"/>
  <c r="G287" i="19"/>
  <c r="Y284" i="19"/>
  <c r="O284" i="19"/>
  <c r="Y278" i="19"/>
  <c r="Y277" i="19"/>
  <c r="G276" i="19"/>
  <c r="T276" i="19" s="1"/>
  <c r="O265" i="19"/>
  <c r="O263" i="19"/>
  <c r="G247" i="19"/>
  <c r="Y154" i="19"/>
  <c r="G150" i="19"/>
  <c r="Y146" i="19"/>
  <c r="G128" i="19"/>
  <c r="O315" i="19"/>
  <c r="Y310" i="19"/>
  <c r="G303" i="19"/>
  <c r="Y300" i="19"/>
  <c r="O300" i="19"/>
  <c r="Y294" i="19"/>
  <c r="Y293" i="19"/>
  <c r="G292" i="19"/>
  <c r="T292" i="19" s="1"/>
  <c r="O282" i="19"/>
  <c r="O281" i="19"/>
  <c r="O279" i="19"/>
  <c r="Y274" i="19"/>
  <c r="G274" i="19"/>
  <c r="G273" i="19"/>
  <c r="O272" i="19"/>
  <c r="O271" i="19"/>
  <c r="R271" i="19" s="1"/>
  <c r="U271" i="19" s="1"/>
  <c r="G268" i="19"/>
  <c r="T268" i="19" s="1"/>
  <c r="Y260" i="19"/>
  <c r="O260" i="19"/>
  <c r="Y259" i="19"/>
  <c r="Y257" i="19"/>
  <c r="G257" i="19"/>
  <c r="O253" i="19"/>
  <c r="Y251" i="19"/>
  <c r="Y249" i="19"/>
  <c r="G249" i="19"/>
  <c r="O242" i="19"/>
  <c r="G241" i="19"/>
  <c r="G240" i="19"/>
  <c r="Y237" i="19"/>
  <c r="O237" i="19"/>
  <c r="Y233" i="19"/>
  <c r="O233" i="19"/>
  <c r="Y226" i="19"/>
  <c r="G221" i="19"/>
  <c r="T221" i="19" s="1"/>
  <c r="O214" i="19"/>
  <c r="O212" i="19"/>
  <c r="Y211" i="19"/>
  <c r="Y207" i="19"/>
  <c r="G207" i="19"/>
  <c r="G206" i="19"/>
  <c r="Y203" i="19"/>
  <c r="G181" i="19"/>
  <c r="Y179" i="19"/>
  <c r="Y178" i="19"/>
  <c r="G177" i="19"/>
  <c r="T177" i="19" s="1"/>
  <c r="O166" i="19"/>
  <c r="O162" i="19"/>
  <c r="O160" i="19"/>
  <c r="O156" i="19"/>
  <c r="G73" i="19"/>
  <c r="Y62" i="19"/>
  <c r="Y58" i="19"/>
  <c r="T272" i="19"/>
  <c r="T193" i="19"/>
  <c r="Y314" i="19"/>
  <c r="Y313" i="19"/>
  <c r="Y304" i="19"/>
  <c r="O245" i="19"/>
  <c r="G201" i="19"/>
  <c r="T201" i="19" s="1"/>
  <c r="Y312" i="19"/>
  <c r="Y306" i="19"/>
  <c r="Y305" i="19"/>
  <c r="O298" i="19"/>
  <c r="Y290" i="19"/>
  <c r="G290" i="19"/>
  <c r="G289" i="19"/>
  <c r="O288" i="19"/>
  <c r="G284" i="19"/>
  <c r="T284" i="19" s="1"/>
  <c r="Y276" i="19"/>
  <c r="Y275" i="19"/>
  <c r="Y266" i="19"/>
  <c r="G245" i="19"/>
  <c r="Y242" i="19"/>
  <c r="Y235" i="19"/>
  <c r="O228" i="19"/>
  <c r="Y227" i="19"/>
  <c r="Y223" i="19"/>
  <c r="G223" i="19"/>
  <c r="T223" i="19" s="1"/>
  <c r="G222" i="19"/>
  <c r="G217" i="19"/>
  <c r="T217" i="19" s="1"/>
  <c r="O209" i="19"/>
  <c r="Y208" i="19"/>
  <c r="O205" i="19"/>
  <c r="G36" i="19"/>
  <c r="G102" i="19"/>
  <c r="Y99" i="19"/>
  <c r="G99" i="19"/>
  <c r="O96" i="19"/>
  <c r="O94" i="19"/>
  <c r="G93" i="19"/>
  <c r="O90" i="19"/>
  <c r="G89" i="19"/>
  <c r="G88" i="19"/>
  <c r="G86" i="19"/>
  <c r="O84" i="19"/>
  <c r="G81" i="19"/>
  <c r="O78" i="19"/>
  <c r="Y71" i="19"/>
  <c r="O71" i="19"/>
  <c r="Y70" i="19"/>
  <c r="G70" i="19"/>
  <c r="O68" i="19"/>
  <c r="G62" i="19"/>
  <c r="O59" i="19"/>
  <c r="G56" i="19"/>
  <c r="T56" i="19" s="1"/>
  <c r="Y48" i="19"/>
  <c r="O48" i="19"/>
  <c r="Y47" i="19"/>
  <c r="Y38" i="19"/>
  <c r="O26" i="19"/>
  <c r="O25" i="19"/>
  <c r="O23" i="19"/>
  <c r="Y18" i="19"/>
  <c r="G18" i="19"/>
  <c r="O16" i="19"/>
  <c r="O10" i="19"/>
  <c r="O9" i="19"/>
  <c r="Y247" i="19"/>
  <c r="O246" i="19"/>
  <c r="O244" i="19"/>
  <c r="Y243" i="19"/>
  <c r="G243" i="19"/>
  <c r="G242" i="19"/>
  <c r="O241" i="19"/>
  <c r="O240" i="19"/>
  <c r="G237" i="19"/>
  <c r="T237" i="19" s="1"/>
  <c r="G233" i="19"/>
  <c r="O225" i="19"/>
  <c r="Y224" i="19"/>
  <c r="O221" i="19"/>
  <c r="R221" i="19" s="1"/>
  <c r="U221" i="19" s="1"/>
  <c r="Y215" i="19"/>
  <c r="G209" i="19"/>
  <c r="T209" i="19" s="1"/>
  <c r="O207" i="19"/>
  <c r="G204" i="19"/>
  <c r="T204" i="19" s="1"/>
  <c r="Y201" i="19"/>
  <c r="O201" i="19"/>
  <c r="Y194" i="19"/>
  <c r="G189" i="19"/>
  <c r="T189" i="19" s="1"/>
  <c r="O187" i="19"/>
  <c r="O183" i="19"/>
  <c r="O182" i="19"/>
  <c r="O180" i="19"/>
  <c r="Y175" i="19"/>
  <c r="G175" i="19"/>
  <c r="G174" i="19"/>
  <c r="O173" i="19"/>
  <c r="O172" i="19"/>
  <c r="G169" i="19"/>
  <c r="T169" i="19" s="1"/>
  <c r="G165" i="19"/>
  <c r="T165" i="19" s="1"/>
  <c r="Y157" i="19"/>
  <c r="G155" i="19"/>
  <c r="G154" i="19"/>
  <c r="G153" i="19"/>
  <c r="T153" i="19" s="1"/>
  <c r="G152" i="19"/>
  <c r="T152" i="19" s="1"/>
  <c r="O148" i="19"/>
  <c r="Y141" i="19"/>
  <c r="G140" i="19"/>
  <c r="T140" i="19" s="1"/>
  <c r="G136" i="19"/>
  <c r="T136" i="19" s="1"/>
  <c r="O134" i="19"/>
  <c r="O130" i="19"/>
  <c r="O129" i="19"/>
  <c r="O127" i="19"/>
  <c r="Y126" i="19"/>
  <c r="G126" i="19"/>
  <c r="G125" i="19"/>
  <c r="O124" i="19"/>
  <c r="R124" i="19" s="1"/>
  <c r="U124" i="19" s="1"/>
  <c r="O123" i="19"/>
  <c r="O80" i="19"/>
  <c r="G77" i="19"/>
  <c r="Y75" i="19"/>
  <c r="Y74" i="19"/>
  <c r="G74" i="19"/>
  <c r="O72" i="19"/>
  <c r="O65" i="19"/>
  <c r="G64" i="19"/>
  <c r="G63" i="19"/>
  <c r="Y54" i="19"/>
  <c r="G44" i="19"/>
  <c r="T44" i="19" s="1"/>
  <c r="G43" i="19"/>
  <c r="Y33" i="19"/>
  <c r="G32" i="19"/>
  <c r="T32" i="19" s="1"/>
  <c r="G28" i="19"/>
  <c r="T28" i="19" s="1"/>
  <c r="Y19" i="19"/>
  <c r="G12" i="19"/>
  <c r="T12" i="19" s="1"/>
  <c r="O199" i="19"/>
  <c r="Y195" i="19"/>
  <c r="O193" i="19"/>
  <c r="Y191" i="19"/>
  <c r="G191" i="19"/>
  <c r="G190" i="19"/>
  <c r="G185" i="19"/>
  <c r="T185" i="19" s="1"/>
  <c r="Y177" i="19"/>
  <c r="Y176" i="19"/>
  <c r="Y167" i="19"/>
  <c r="Y163" i="19"/>
  <c r="G163" i="19"/>
  <c r="G156" i="19"/>
  <c r="Y150" i="19"/>
  <c r="Y148" i="19"/>
  <c r="O146" i="19"/>
  <c r="Y142" i="19"/>
  <c r="Y138" i="19"/>
  <c r="G138" i="19"/>
  <c r="G137" i="19"/>
  <c r="G132" i="19"/>
  <c r="T132" i="19" s="1"/>
  <c r="O115" i="19"/>
  <c r="G113" i="19"/>
  <c r="G112" i="19"/>
  <c r="G110" i="19"/>
  <c r="O109" i="19"/>
  <c r="R109" i="19" s="1"/>
  <c r="U109" i="19" s="1"/>
  <c r="Y107" i="19"/>
  <c r="G107" i="19"/>
  <c r="O105" i="19"/>
  <c r="G101" i="19"/>
  <c r="R101" i="19" s="1"/>
  <c r="U101" i="19" s="1"/>
  <c r="O99" i="19"/>
  <c r="G97" i="19"/>
  <c r="G96" i="19"/>
  <c r="T96" i="19" s="1"/>
  <c r="G94" i="19"/>
  <c r="O93" i="19"/>
  <c r="Y91" i="19"/>
  <c r="G91" i="19"/>
  <c r="O89" i="19"/>
  <c r="G85" i="19"/>
  <c r="Y81" i="19"/>
  <c r="G60" i="19"/>
  <c r="G59" i="19"/>
  <c r="T59" i="19" s="1"/>
  <c r="Y56" i="19"/>
  <c r="O56" i="19"/>
  <c r="Y50" i="19"/>
  <c r="Y49" i="19"/>
  <c r="G48" i="19"/>
  <c r="T48" i="19" s="1"/>
  <c r="O38" i="19"/>
  <c r="O37" i="19"/>
  <c r="O35" i="19"/>
  <c r="Y26" i="19"/>
  <c r="O18" i="19"/>
  <c r="O17" i="19"/>
  <c r="Y10" i="19"/>
  <c r="Y315" i="19"/>
  <c r="G314" i="19"/>
  <c r="G313" i="19"/>
  <c r="G312" i="19"/>
  <c r="T312" i="19" s="1"/>
  <c r="O311" i="19"/>
  <c r="Y309" i="19"/>
  <c r="Y307" i="19"/>
  <c r="G306" i="19"/>
  <c r="G305" i="19"/>
  <c r="O302" i="19"/>
  <c r="O301" i="19"/>
  <c r="O299" i="19"/>
  <c r="Y297" i="19"/>
  <c r="Y295" i="19"/>
  <c r="G294" i="19"/>
  <c r="G293" i="19"/>
  <c r="G291" i="19"/>
  <c r="Y288" i="19"/>
  <c r="O286" i="19"/>
  <c r="O285" i="19"/>
  <c r="O283" i="19"/>
  <c r="Y281" i="19"/>
  <c r="Y279" i="19"/>
  <c r="G278" i="19"/>
  <c r="G277" i="19"/>
  <c r="G275" i="19"/>
  <c r="Y272" i="19"/>
  <c r="O270" i="19"/>
  <c r="O269" i="19"/>
  <c r="O267" i="19"/>
  <c r="Y265" i="19"/>
  <c r="Y263" i="19"/>
  <c r="G261" i="19"/>
  <c r="Y258" i="19"/>
  <c r="O258" i="19"/>
  <c r="G256" i="19"/>
  <c r="Y254" i="19"/>
  <c r="O254" i="19"/>
  <c r="G252" i="19"/>
  <c r="Y250" i="19"/>
  <c r="O250" i="19"/>
  <c r="G248" i="19"/>
  <c r="Y246" i="19"/>
  <c r="G239" i="19"/>
  <c r="G238" i="19"/>
  <c r="T233" i="19"/>
  <c r="G309" i="19"/>
  <c r="G304" i="19"/>
  <c r="T304" i="19" s="1"/>
  <c r="Y301" i="19"/>
  <c r="Y299" i="19"/>
  <c r="G298" i="19"/>
  <c r="G297" i="19"/>
  <c r="R297" i="19" s="1"/>
  <c r="U297" i="19" s="1"/>
  <c r="G295" i="19"/>
  <c r="Y285" i="19"/>
  <c r="Y283" i="19"/>
  <c r="G282" i="19"/>
  <c r="R282" i="19" s="1"/>
  <c r="U282" i="19" s="1"/>
  <c r="G281" i="19"/>
  <c r="G279" i="19"/>
  <c r="Y269" i="19"/>
  <c r="Y267" i="19"/>
  <c r="G266" i="19"/>
  <c r="G265" i="19"/>
  <c r="G263" i="19"/>
  <c r="T241" i="19"/>
  <c r="Y231" i="19"/>
  <c r="G315" i="19"/>
  <c r="Y311" i="19"/>
  <c r="G307" i="19"/>
  <c r="R307" i="19" s="1"/>
  <c r="U307" i="19" s="1"/>
  <c r="O314" i="19"/>
  <c r="O313" i="19"/>
  <c r="G311" i="19"/>
  <c r="Y308" i="19"/>
  <c r="O306" i="19"/>
  <c r="O305" i="19"/>
  <c r="Y303" i="19"/>
  <c r="G302" i="19"/>
  <c r="G301" i="19"/>
  <c r="G299" i="19"/>
  <c r="Y296" i="19"/>
  <c r="O294" i="19"/>
  <c r="R294" i="19" s="1"/>
  <c r="U294" i="19" s="1"/>
  <c r="O293" i="19"/>
  <c r="O291" i="19"/>
  <c r="Y289" i="19"/>
  <c r="Y287" i="19"/>
  <c r="G286" i="19"/>
  <c r="G285" i="19"/>
  <c r="G283" i="19"/>
  <c r="Y280" i="19"/>
  <c r="O278" i="19"/>
  <c r="O277" i="19"/>
  <c r="O275" i="19"/>
  <c r="Y273" i="19"/>
  <c r="Y271" i="19"/>
  <c r="G270" i="19"/>
  <c r="G269" i="19"/>
  <c r="G267" i="19"/>
  <c r="T267" i="19" s="1"/>
  <c r="Y264" i="19"/>
  <c r="O261" i="19"/>
  <c r="G258" i="19"/>
  <c r="Y256" i="19"/>
  <c r="O256" i="19"/>
  <c r="G254" i="19"/>
  <c r="Y252" i="19"/>
  <c r="O252" i="19"/>
  <c r="G250" i="19"/>
  <c r="Y248" i="19"/>
  <c r="O248" i="19"/>
  <c r="G236" i="19"/>
  <c r="T236" i="19" s="1"/>
  <c r="T296" i="19"/>
  <c r="T280" i="19"/>
  <c r="T264" i="19"/>
  <c r="R259" i="19"/>
  <c r="U259" i="19" s="1"/>
  <c r="T229" i="19"/>
  <c r="T213" i="19"/>
  <c r="T197" i="19"/>
  <c r="T181" i="19"/>
  <c r="G162" i="19"/>
  <c r="G160" i="19"/>
  <c r="Y156" i="19"/>
  <c r="O155" i="19"/>
  <c r="R155" i="19" s="1"/>
  <c r="U155" i="19" s="1"/>
  <c r="O154" i="19"/>
  <c r="O153" i="19"/>
  <c r="R153" i="19" s="1"/>
  <c r="U153" i="19" s="1"/>
  <c r="G149" i="19"/>
  <c r="T149" i="19" s="1"/>
  <c r="G146" i="19"/>
  <c r="G143" i="19"/>
  <c r="Y140" i="19"/>
  <c r="O137" i="19"/>
  <c r="O135" i="19"/>
  <c r="R135" i="19" s="1"/>
  <c r="U135" i="19" s="1"/>
  <c r="Y133" i="19"/>
  <c r="Y131" i="19"/>
  <c r="G130" i="19"/>
  <c r="G129" i="19"/>
  <c r="Y121" i="19"/>
  <c r="G120" i="19"/>
  <c r="T120" i="19" s="1"/>
  <c r="O232" i="19"/>
  <c r="Y230" i="19"/>
  <c r="Y228" i="19"/>
  <c r="G227" i="19"/>
  <c r="G226" i="19"/>
  <c r="G224" i="19"/>
  <c r="T224" i="19" s="1"/>
  <c r="Y221" i="19"/>
  <c r="O218" i="19"/>
  <c r="O216" i="19"/>
  <c r="Y214" i="19"/>
  <c r="Y212" i="19"/>
  <c r="G211" i="19"/>
  <c r="G210" i="19"/>
  <c r="G208" i="19"/>
  <c r="T208" i="19" s="1"/>
  <c r="Y205" i="19"/>
  <c r="O202" i="19"/>
  <c r="O200" i="19"/>
  <c r="Y198" i="19"/>
  <c r="Y196" i="19"/>
  <c r="G195" i="19"/>
  <c r="G194" i="19"/>
  <c r="G192" i="19"/>
  <c r="T192" i="19" s="1"/>
  <c r="Y189" i="19"/>
  <c r="O186" i="19"/>
  <c r="O184" i="19"/>
  <c r="Y182" i="19"/>
  <c r="Y180" i="19"/>
  <c r="G179" i="19"/>
  <c r="G178" i="19"/>
  <c r="G176" i="19"/>
  <c r="T176" i="19" s="1"/>
  <c r="Y173" i="19"/>
  <c r="O171" i="19"/>
  <c r="O170" i="19"/>
  <c r="O168" i="19"/>
  <c r="Y166" i="19"/>
  <c r="G164" i="19"/>
  <c r="Y161" i="19"/>
  <c r="O159" i="19"/>
  <c r="O158" i="19"/>
  <c r="O151" i="19"/>
  <c r="R149" i="19"/>
  <c r="U149" i="19" s="1"/>
  <c r="G147" i="19"/>
  <c r="T147" i="19" s="1"/>
  <c r="Y144" i="19"/>
  <c r="T143" i="19"/>
  <c r="O142" i="19"/>
  <c r="O141" i="19"/>
  <c r="O139" i="19"/>
  <c r="Y137" i="19"/>
  <c r="Y135" i="19"/>
  <c r="G134" i="19"/>
  <c r="G133" i="19"/>
  <c r="G131" i="19"/>
  <c r="Y128" i="19"/>
  <c r="Y118" i="19"/>
  <c r="G244" i="19"/>
  <c r="Y241" i="19"/>
  <c r="O239" i="19"/>
  <c r="O238" i="19"/>
  <c r="O236" i="19"/>
  <c r="Y234" i="19"/>
  <c r="Y232" i="19"/>
  <c r="G231" i="19"/>
  <c r="R231" i="19" s="1"/>
  <c r="U231" i="19" s="1"/>
  <c r="G230" i="19"/>
  <c r="G228" i="19"/>
  <c r="Y225" i="19"/>
  <c r="O222" i="19"/>
  <c r="R222" i="19" s="1"/>
  <c r="U222" i="19" s="1"/>
  <c r="O220" i="19"/>
  <c r="Y218" i="19"/>
  <c r="Y216" i="19"/>
  <c r="G215" i="19"/>
  <c r="T215" i="19" s="1"/>
  <c r="G214" i="19"/>
  <c r="G212" i="19"/>
  <c r="Y209" i="19"/>
  <c r="O206" i="19"/>
  <c r="O204" i="19"/>
  <c r="Y202" i="19"/>
  <c r="Y200" i="19"/>
  <c r="G199" i="19"/>
  <c r="R199" i="19" s="1"/>
  <c r="U199" i="19" s="1"/>
  <c r="G198" i="19"/>
  <c r="G196" i="19"/>
  <c r="Y193" i="19"/>
  <c r="O190" i="19"/>
  <c r="O188" i="19"/>
  <c r="Y186" i="19"/>
  <c r="Y184" i="19"/>
  <c r="G183" i="19"/>
  <c r="T183" i="19" s="1"/>
  <c r="G182" i="19"/>
  <c r="G180" i="19"/>
  <c r="Y170" i="19"/>
  <c r="Y168" i="19"/>
  <c r="G167" i="19"/>
  <c r="G166" i="19"/>
  <c r="T161" i="19"/>
  <c r="T128" i="19"/>
  <c r="Y245" i="19"/>
  <c r="O243" i="19"/>
  <c r="Y238" i="19"/>
  <c r="Y236" i="19"/>
  <c r="G235" i="19"/>
  <c r="G234" i="19"/>
  <c r="G232" i="19"/>
  <c r="T232" i="19" s="1"/>
  <c r="Y229" i="19"/>
  <c r="O227" i="19"/>
  <c r="O226" i="19"/>
  <c r="O224" i="19"/>
  <c r="Y222" i="19"/>
  <c r="Y220" i="19"/>
  <c r="G219" i="19"/>
  <c r="G218" i="19"/>
  <c r="G216" i="19"/>
  <c r="T216" i="19" s="1"/>
  <c r="Y213" i="19"/>
  <c r="O211" i="19"/>
  <c r="O210" i="19"/>
  <c r="O208" i="19"/>
  <c r="Y206" i="19"/>
  <c r="Y204" i="19"/>
  <c r="G203" i="19"/>
  <c r="R203" i="19" s="1"/>
  <c r="U203" i="19" s="1"/>
  <c r="G202" i="19"/>
  <c r="R202" i="19" s="1"/>
  <c r="U202" i="19" s="1"/>
  <c r="G200" i="19"/>
  <c r="Y197" i="19"/>
  <c r="O195" i="19"/>
  <c r="O194" i="19"/>
  <c r="R194" i="19" s="1"/>
  <c r="U194" i="19" s="1"/>
  <c r="O192" i="19"/>
  <c r="Y190" i="19"/>
  <c r="Y188" i="19"/>
  <c r="G187" i="19"/>
  <c r="R187" i="19" s="1"/>
  <c r="U187" i="19" s="1"/>
  <c r="G186" i="19"/>
  <c r="G184" i="19"/>
  <c r="Y181" i="19"/>
  <c r="O179" i="19"/>
  <c r="R179" i="19" s="1"/>
  <c r="U179" i="19" s="1"/>
  <c r="O178" i="19"/>
  <c r="O176" i="19"/>
  <c r="Y174" i="19"/>
  <c r="Y172" i="19"/>
  <c r="G171" i="19"/>
  <c r="G170" i="19"/>
  <c r="R170" i="19" s="1"/>
  <c r="U170" i="19" s="1"/>
  <c r="G168" i="19"/>
  <c r="Y165" i="19"/>
  <c r="O165" i="19"/>
  <c r="O164" i="19"/>
  <c r="Y162" i="19"/>
  <c r="Y160" i="19"/>
  <c r="G159" i="19"/>
  <c r="G158" i="19"/>
  <c r="G151" i="19"/>
  <c r="T151" i="19" s="1"/>
  <c r="O147" i="19"/>
  <c r="Y145" i="19"/>
  <c r="Y143" i="19"/>
  <c r="G142" i="19"/>
  <c r="R142" i="19" s="1"/>
  <c r="U142" i="19" s="1"/>
  <c r="G141" i="19"/>
  <c r="T141" i="19" s="1"/>
  <c r="G139" i="19"/>
  <c r="Y136" i="19"/>
  <c r="O133" i="19"/>
  <c r="R133" i="19" s="1"/>
  <c r="U133" i="19" s="1"/>
  <c r="O131" i="19"/>
  <c r="Y129" i="19"/>
  <c r="Y127" i="19"/>
  <c r="G127" i="19"/>
  <c r="T127" i="19" s="1"/>
  <c r="Y124" i="19"/>
  <c r="O122" i="19"/>
  <c r="O121" i="19"/>
  <c r="O119" i="19"/>
  <c r="Y117" i="19"/>
  <c r="Y113" i="19"/>
  <c r="T112" i="19"/>
  <c r="O111" i="19"/>
  <c r="Y109" i="19"/>
  <c r="G108" i="19"/>
  <c r="Y105" i="19"/>
  <c r="T104" i="19"/>
  <c r="O103" i="19"/>
  <c r="Y101" i="19"/>
  <c r="G100" i="19"/>
  <c r="Y97" i="19"/>
  <c r="O95" i="19"/>
  <c r="Y93" i="19"/>
  <c r="G92" i="19"/>
  <c r="Y89" i="19"/>
  <c r="T88" i="19"/>
  <c r="O87" i="19"/>
  <c r="Y85" i="19"/>
  <c r="O83" i="19"/>
  <c r="O82" i="19"/>
  <c r="G82" i="19"/>
  <c r="T82" i="19" s="1"/>
  <c r="O79" i="19"/>
  <c r="G75" i="19"/>
  <c r="G71" i="19"/>
  <c r="R71" i="19" s="1"/>
  <c r="U71" i="19" s="1"/>
  <c r="G66" i="19"/>
  <c r="Y65" i="19"/>
  <c r="Y60" i="19"/>
  <c r="O58" i="19"/>
  <c r="O57" i="19"/>
  <c r="O55" i="19"/>
  <c r="Y53" i="19"/>
  <c r="Y51" i="19"/>
  <c r="G50" i="19"/>
  <c r="G49" i="19"/>
  <c r="G47" i="19"/>
  <c r="Y44" i="19"/>
  <c r="O42" i="19"/>
  <c r="O41" i="19"/>
  <c r="O39" i="19"/>
  <c r="Y37" i="19"/>
  <c r="Y35" i="19"/>
  <c r="G34" i="19"/>
  <c r="G33" i="19"/>
  <c r="G31" i="19"/>
  <c r="T31" i="19" s="1"/>
  <c r="O30" i="19"/>
  <c r="O29" i="19"/>
  <c r="O27" i="19"/>
  <c r="Y25" i="19"/>
  <c r="Y23" i="19"/>
  <c r="G21" i="19"/>
  <c r="G19" i="19"/>
  <c r="Y16" i="19"/>
  <c r="O14" i="19"/>
  <c r="O13" i="19"/>
  <c r="O11" i="19"/>
  <c r="Y9" i="19"/>
  <c r="G118" i="19"/>
  <c r="G117" i="19"/>
  <c r="R117" i="19" s="1"/>
  <c r="U117" i="19" s="1"/>
  <c r="Y110" i="19"/>
  <c r="Y102" i="19"/>
  <c r="Y94" i="19"/>
  <c r="Y86" i="19"/>
  <c r="Y82" i="19"/>
  <c r="Y78" i="19"/>
  <c r="Y76" i="19"/>
  <c r="G76" i="19"/>
  <c r="G72" i="19"/>
  <c r="R72" i="19" s="1"/>
  <c r="U72" i="19" s="1"/>
  <c r="G68" i="19"/>
  <c r="Y57" i="19"/>
  <c r="Y55" i="19"/>
  <c r="G54" i="19"/>
  <c r="G53" i="19"/>
  <c r="G51" i="19"/>
  <c r="Y41" i="19"/>
  <c r="Y39" i="19"/>
  <c r="G38" i="19"/>
  <c r="G37" i="19"/>
  <c r="G35" i="19"/>
  <c r="T35" i="19" s="1"/>
  <c r="Y29" i="19"/>
  <c r="Y27" i="19"/>
  <c r="G26" i="19"/>
  <c r="G25" i="19"/>
  <c r="T25" i="19" s="1"/>
  <c r="G23" i="19"/>
  <c r="T16" i="19"/>
  <c r="Y13" i="19"/>
  <c r="Y11" i="19"/>
  <c r="G10" i="19"/>
  <c r="G9" i="19"/>
  <c r="Y125" i="19"/>
  <c r="Y123" i="19"/>
  <c r="G122" i="19"/>
  <c r="G121" i="19"/>
  <c r="R121" i="19" s="1"/>
  <c r="U121" i="19" s="1"/>
  <c r="G119" i="19"/>
  <c r="Y116" i="19"/>
  <c r="Y115" i="19"/>
  <c r="Y112" i="19"/>
  <c r="G111" i="19"/>
  <c r="O108" i="19"/>
  <c r="Y106" i="19"/>
  <c r="Y104" i="19"/>
  <c r="G103" i="19"/>
  <c r="O100" i="19"/>
  <c r="Y98" i="19"/>
  <c r="Y96" i="19"/>
  <c r="G95" i="19"/>
  <c r="O92" i="19"/>
  <c r="Y90" i="19"/>
  <c r="Y88" i="19"/>
  <c r="G87" i="19"/>
  <c r="G83" i="19"/>
  <c r="G79" i="19"/>
  <c r="G78" i="19"/>
  <c r="R78" i="19" s="1"/>
  <c r="U78" i="19" s="1"/>
  <c r="O75" i="19"/>
  <c r="Y73" i="19"/>
  <c r="Y72" i="19"/>
  <c r="Y68" i="19"/>
  <c r="Y63" i="19"/>
  <c r="Y61" i="19"/>
  <c r="Y59" i="19"/>
  <c r="G58" i="19"/>
  <c r="G57" i="19"/>
  <c r="G55" i="19"/>
  <c r="T55" i="19" s="1"/>
  <c r="Y52" i="19"/>
  <c r="O50" i="19"/>
  <c r="O49" i="19"/>
  <c r="O47" i="19"/>
  <c r="Y45" i="19"/>
  <c r="Y43" i="19"/>
  <c r="G42" i="19"/>
  <c r="G41" i="19"/>
  <c r="R41" i="19" s="1"/>
  <c r="U41" i="19" s="1"/>
  <c r="G39" i="19"/>
  <c r="Y36" i="19"/>
  <c r="O34" i="19"/>
  <c r="O33" i="19"/>
  <c r="O31" i="19"/>
  <c r="G30" i="19"/>
  <c r="G29" i="19"/>
  <c r="G27" i="19"/>
  <c r="Y24" i="19"/>
  <c r="O21" i="19"/>
  <c r="O19" i="19"/>
  <c r="Y17" i="19"/>
  <c r="Y15" i="19"/>
  <c r="G14" i="19"/>
  <c r="R14" i="19" s="1"/>
  <c r="U14" i="19" s="1"/>
  <c r="G13" i="19"/>
  <c r="G11" i="19"/>
  <c r="T11" i="19" s="1"/>
  <c r="Y8" i="19"/>
  <c r="T74" i="19"/>
  <c r="T70" i="19"/>
  <c r="T52" i="19"/>
  <c r="T36" i="19"/>
  <c r="T24" i="19"/>
  <c r="G17" i="19"/>
  <c r="T8" i="19"/>
  <c r="O175" i="19"/>
  <c r="O22" i="19"/>
  <c r="G22" i="19"/>
  <c r="G84" i="19"/>
  <c r="O262" i="19"/>
  <c r="G262" i="19"/>
  <c r="R262" i="19" s="1"/>
  <c r="U262" i="19" s="1"/>
  <c r="T307" i="19"/>
  <c r="T295" i="19"/>
  <c r="R295" i="19"/>
  <c r="U295" i="19" s="1"/>
  <c r="T279" i="19"/>
  <c r="R279" i="19"/>
  <c r="U279" i="19" s="1"/>
  <c r="T311" i="19"/>
  <c r="R311" i="19"/>
  <c r="U311" i="19" s="1"/>
  <c r="T302" i="19"/>
  <c r="T301" i="19"/>
  <c r="R301" i="19"/>
  <c r="U301" i="19" s="1"/>
  <c r="T299" i="19"/>
  <c r="R286" i="19"/>
  <c r="U286" i="19" s="1"/>
  <c r="T286" i="19"/>
  <c r="T285" i="19"/>
  <c r="T283" i="19"/>
  <c r="R283" i="19"/>
  <c r="U283" i="19" s="1"/>
  <c r="T270" i="19"/>
  <c r="R269" i="19"/>
  <c r="U269" i="19" s="1"/>
  <c r="T269" i="19"/>
  <c r="R267" i="19"/>
  <c r="U267" i="19" s="1"/>
  <c r="R313" i="19"/>
  <c r="U313" i="19" s="1"/>
  <c r="T313" i="19"/>
  <c r="R310" i="19"/>
  <c r="U310" i="19" s="1"/>
  <c r="T310" i="19"/>
  <c r="R303" i="19"/>
  <c r="U303" i="19" s="1"/>
  <c r="T303" i="19"/>
  <c r="T287" i="19"/>
  <c r="R287" i="19"/>
  <c r="U287" i="19" s="1"/>
  <c r="R274" i="19"/>
  <c r="U274" i="19" s="1"/>
  <c r="T274" i="19"/>
  <c r="R273" i="19"/>
  <c r="U273" i="19" s="1"/>
  <c r="T273" i="19"/>
  <c r="T271" i="19"/>
  <c r="R314" i="19"/>
  <c r="U314" i="19" s="1"/>
  <c r="T314" i="19"/>
  <c r="R290" i="19"/>
  <c r="U290" i="19" s="1"/>
  <c r="T290" i="19"/>
  <c r="T289" i="19"/>
  <c r="R315" i="19"/>
  <c r="U315" i="19" s="1"/>
  <c r="T315" i="19"/>
  <c r="R312" i="19"/>
  <c r="U312" i="19" s="1"/>
  <c r="T305" i="19"/>
  <c r="R305" i="19"/>
  <c r="U305" i="19" s="1"/>
  <c r="T294" i="19"/>
  <c r="T293" i="19"/>
  <c r="T291" i="19"/>
  <c r="R291" i="19"/>
  <c r="U291" i="19" s="1"/>
  <c r="T278" i="19"/>
  <c r="R277" i="19"/>
  <c r="U277" i="19" s="1"/>
  <c r="T277" i="19"/>
  <c r="T275" i="19"/>
  <c r="R275" i="19"/>
  <c r="U275" i="19" s="1"/>
  <c r="T262" i="19"/>
  <c r="R261" i="19"/>
  <c r="U261" i="19" s="1"/>
  <c r="T261" i="19"/>
  <c r="T309" i="19"/>
  <c r="R309" i="19"/>
  <c r="U309" i="19" s="1"/>
  <c r="R304" i="19"/>
  <c r="U304" i="19" s="1"/>
  <c r="R298" i="19"/>
  <c r="U298" i="19" s="1"/>
  <c r="T298" i="19"/>
  <c r="R281" i="19"/>
  <c r="U281" i="19" s="1"/>
  <c r="T281" i="19"/>
  <c r="R266" i="19"/>
  <c r="U266" i="19" s="1"/>
  <c r="T266" i="19"/>
  <c r="R265" i="19"/>
  <c r="U265" i="19" s="1"/>
  <c r="T265" i="19"/>
  <c r="T263" i="19"/>
  <c r="R263" i="19"/>
  <c r="U263" i="19" s="1"/>
  <c r="R308" i="19"/>
  <c r="U308" i="19" s="1"/>
  <c r="R300" i="19"/>
  <c r="U300" i="19" s="1"/>
  <c r="R296" i="19"/>
  <c r="U296" i="19" s="1"/>
  <c r="R288" i="19"/>
  <c r="U288" i="19" s="1"/>
  <c r="R284" i="19"/>
  <c r="U284" i="19" s="1"/>
  <c r="R280" i="19"/>
  <c r="U280" i="19" s="1"/>
  <c r="R272" i="19"/>
  <c r="U272" i="19" s="1"/>
  <c r="R268" i="19"/>
  <c r="U268" i="19" s="1"/>
  <c r="R264" i="19"/>
  <c r="U264" i="19" s="1"/>
  <c r="R260" i="19"/>
  <c r="U260" i="19" s="1"/>
  <c r="T245" i="19"/>
  <c r="R245" i="19"/>
  <c r="U245" i="19" s="1"/>
  <c r="R235" i="19"/>
  <c r="U235" i="19" s="1"/>
  <c r="T235" i="19"/>
  <c r="R234" i="19"/>
  <c r="U234" i="19" s="1"/>
  <c r="T234" i="19"/>
  <c r="R232" i="19"/>
  <c r="U232" i="19" s="1"/>
  <c r="R219" i="19"/>
  <c r="U219" i="19" s="1"/>
  <c r="T219" i="19"/>
  <c r="T218" i="19"/>
  <c r="R216" i="19"/>
  <c r="U216" i="19" s="1"/>
  <c r="T203" i="19"/>
  <c r="T202" i="19"/>
  <c r="T200" i="19"/>
  <c r="R200" i="19"/>
  <c r="U200" i="19" s="1"/>
  <c r="T187" i="19"/>
  <c r="R186" i="19"/>
  <c r="U186" i="19" s="1"/>
  <c r="T186" i="19"/>
  <c r="T184" i="19"/>
  <c r="R184" i="19"/>
  <c r="U184" i="19" s="1"/>
  <c r="R171" i="19"/>
  <c r="U171" i="19" s="1"/>
  <c r="T171" i="19"/>
  <c r="T168" i="19"/>
  <c r="R168" i="19"/>
  <c r="U168" i="19" s="1"/>
  <c r="T155" i="19"/>
  <c r="R154" i="19"/>
  <c r="U154" i="19" s="1"/>
  <c r="T154" i="19"/>
  <c r="Y244" i="19"/>
  <c r="R238" i="19"/>
  <c r="U238" i="19" s="1"/>
  <c r="T238" i="19"/>
  <c r="R223" i="19"/>
  <c r="U223" i="19" s="1"/>
  <c r="T222" i="19"/>
  <c r="T220" i="19"/>
  <c r="R220" i="19"/>
  <c r="U220" i="19" s="1"/>
  <c r="R206" i="19"/>
  <c r="U206" i="19" s="1"/>
  <c r="T206" i="19"/>
  <c r="R191" i="19"/>
  <c r="U191" i="19" s="1"/>
  <c r="T191" i="19"/>
  <c r="T188" i="19"/>
  <c r="R188" i="19"/>
  <c r="U188" i="19" s="1"/>
  <c r="R175" i="19"/>
  <c r="U175" i="19" s="1"/>
  <c r="T175" i="19"/>
  <c r="R174" i="19"/>
  <c r="U174" i="19" s="1"/>
  <c r="T174" i="19"/>
  <c r="T172" i="19"/>
  <c r="R172" i="19"/>
  <c r="U172" i="19" s="1"/>
  <c r="T159" i="19"/>
  <c r="R158" i="19"/>
  <c r="U158" i="19" s="1"/>
  <c r="T158" i="19"/>
  <c r="G246" i="19"/>
  <c r="T244" i="19"/>
  <c r="R242" i="19"/>
  <c r="U242" i="19" s="1"/>
  <c r="T242" i="19"/>
  <c r="T240" i="19"/>
  <c r="R240" i="19"/>
  <c r="U240" i="19" s="1"/>
  <c r="R227" i="19"/>
  <c r="U227" i="19" s="1"/>
  <c r="T227" i="19"/>
  <c r="R226" i="19"/>
  <c r="U226" i="19" s="1"/>
  <c r="T226" i="19"/>
  <c r="R224" i="19"/>
  <c r="U224" i="19" s="1"/>
  <c r="R211" i="19"/>
  <c r="U211" i="19" s="1"/>
  <c r="T211" i="19"/>
  <c r="R210" i="19"/>
  <c r="U210" i="19" s="1"/>
  <c r="T210" i="19"/>
  <c r="R195" i="19"/>
  <c r="U195" i="19" s="1"/>
  <c r="T195" i="19"/>
  <c r="T194" i="19"/>
  <c r="R192" i="19"/>
  <c r="U192" i="19" s="1"/>
  <c r="T179" i="19"/>
  <c r="R178" i="19"/>
  <c r="U178" i="19" s="1"/>
  <c r="T178" i="19"/>
  <c r="R163" i="19"/>
  <c r="U163" i="19" s="1"/>
  <c r="T163" i="19"/>
  <c r="T162" i="19"/>
  <c r="T160" i="19"/>
  <c r="R160" i="19"/>
  <c r="U160" i="19" s="1"/>
  <c r="T259" i="19"/>
  <c r="T257" i="19"/>
  <c r="R257" i="19"/>
  <c r="U257" i="19" s="1"/>
  <c r="R255" i="19"/>
  <c r="U255" i="19" s="1"/>
  <c r="T255" i="19"/>
  <c r="T253" i="19"/>
  <c r="R253" i="19"/>
  <c r="U253" i="19" s="1"/>
  <c r="R251" i="19"/>
  <c r="U251" i="19" s="1"/>
  <c r="T251" i="19"/>
  <c r="T249" i="19"/>
  <c r="R249" i="19"/>
  <c r="U249" i="19" s="1"/>
  <c r="R247" i="19"/>
  <c r="U247" i="19" s="1"/>
  <c r="T247" i="19"/>
  <c r="R230" i="19"/>
  <c r="U230" i="19" s="1"/>
  <c r="T230" i="19"/>
  <c r="T228" i="19"/>
  <c r="R228" i="19"/>
  <c r="U228" i="19" s="1"/>
  <c r="R215" i="19"/>
  <c r="U215" i="19" s="1"/>
  <c r="T214" i="19"/>
  <c r="T212" i="19"/>
  <c r="R212" i="19"/>
  <c r="U212" i="19" s="1"/>
  <c r="R198" i="19"/>
  <c r="U198" i="19" s="1"/>
  <c r="T198" i="19"/>
  <c r="T196" i="19"/>
  <c r="R196" i="19"/>
  <c r="U196" i="19" s="1"/>
  <c r="R183" i="19"/>
  <c r="U183" i="19" s="1"/>
  <c r="R182" i="19"/>
  <c r="U182" i="19" s="1"/>
  <c r="T182" i="19"/>
  <c r="T180" i="19"/>
  <c r="R167" i="19"/>
  <c r="U167" i="19" s="1"/>
  <c r="T167" i="19"/>
  <c r="R166" i="19"/>
  <c r="U166" i="19" s="1"/>
  <c r="T166" i="19"/>
  <c r="T164" i="19"/>
  <c r="R164" i="19"/>
  <c r="U164" i="19" s="1"/>
  <c r="R241" i="19"/>
  <c r="U241" i="19" s="1"/>
  <c r="R233" i="19"/>
  <c r="U233" i="19" s="1"/>
  <c r="R229" i="19"/>
  <c r="U229" i="19" s="1"/>
  <c r="R225" i="19"/>
  <c r="U225" i="19" s="1"/>
  <c r="R217" i="19"/>
  <c r="U217" i="19" s="1"/>
  <c r="R213" i="19"/>
  <c r="U213" i="19" s="1"/>
  <c r="R209" i="19"/>
  <c r="U209" i="19" s="1"/>
  <c r="R205" i="19"/>
  <c r="U205" i="19" s="1"/>
  <c r="R201" i="19"/>
  <c r="U201" i="19" s="1"/>
  <c r="R197" i="19"/>
  <c r="U197" i="19" s="1"/>
  <c r="R193" i="19"/>
  <c r="U193" i="19" s="1"/>
  <c r="R185" i="19"/>
  <c r="U185" i="19" s="1"/>
  <c r="R181" i="19"/>
  <c r="U181" i="19" s="1"/>
  <c r="R177" i="19"/>
  <c r="U177" i="19" s="1"/>
  <c r="R169" i="19"/>
  <c r="U169" i="19" s="1"/>
  <c r="R165" i="19"/>
  <c r="U165" i="19" s="1"/>
  <c r="R161" i="19"/>
  <c r="U161" i="19" s="1"/>
  <c r="G157" i="19"/>
  <c r="R143" i="19"/>
  <c r="U143" i="19" s="1"/>
  <c r="T142" i="19"/>
  <c r="R138" i="19"/>
  <c r="U138" i="19" s="1"/>
  <c r="T138" i="19"/>
  <c r="R137" i="19"/>
  <c r="U137" i="19" s="1"/>
  <c r="T137" i="19"/>
  <c r="T135" i="19"/>
  <c r="R122" i="19"/>
  <c r="U122" i="19" s="1"/>
  <c r="T122" i="19"/>
  <c r="T121" i="19"/>
  <c r="T119" i="19"/>
  <c r="R119" i="19"/>
  <c r="U119" i="19" s="1"/>
  <c r="T156" i="19"/>
  <c r="T144" i="19"/>
  <c r="R144" i="19"/>
  <c r="U144" i="19" s="1"/>
  <c r="T139" i="19"/>
  <c r="R139" i="19"/>
  <c r="U139" i="19" s="1"/>
  <c r="R126" i="19"/>
  <c r="U126" i="19" s="1"/>
  <c r="T126" i="19"/>
  <c r="R125" i="19"/>
  <c r="U125" i="19" s="1"/>
  <c r="T125" i="19"/>
  <c r="T123" i="19"/>
  <c r="R123" i="19"/>
  <c r="U123" i="19" s="1"/>
  <c r="R115" i="19"/>
  <c r="U115" i="19" s="1"/>
  <c r="T115" i="19"/>
  <c r="O157" i="19"/>
  <c r="R156" i="19"/>
  <c r="U156" i="19" s="1"/>
  <c r="Y155" i="19"/>
  <c r="R150" i="19"/>
  <c r="U150" i="19" s="1"/>
  <c r="T150" i="19"/>
  <c r="T148" i="19"/>
  <c r="R148" i="19"/>
  <c r="U148" i="19" s="1"/>
  <c r="R146" i="19"/>
  <c r="U146" i="19" s="1"/>
  <c r="T146" i="19"/>
  <c r="R130" i="19"/>
  <c r="U130" i="19" s="1"/>
  <c r="T130" i="19"/>
  <c r="R129" i="19"/>
  <c r="U129" i="19" s="1"/>
  <c r="T129" i="19"/>
  <c r="Y151" i="19"/>
  <c r="Y149" i="19"/>
  <c r="Y147" i="19"/>
  <c r="G145" i="19"/>
  <c r="R134" i="19"/>
  <c r="U134" i="19" s="1"/>
  <c r="T134" i="19"/>
  <c r="T133" i="19"/>
  <c r="T131" i="19"/>
  <c r="R131" i="19"/>
  <c r="U131" i="19" s="1"/>
  <c r="R118" i="19"/>
  <c r="U118" i="19" s="1"/>
  <c r="T118" i="19"/>
  <c r="T117" i="19"/>
  <c r="R140" i="19"/>
  <c r="U140" i="19" s="1"/>
  <c r="R132" i="19"/>
  <c r="U132" i="19" s="1"/>
  <c r="R128" i="19"/>
  <c r="U128" i="19" s="1"/>
  <c r="R120" i="19"/>
  <c r="U120" i="19" s="1"/>
  <c r="R107" i="19"/>
  <c r="U107" i="19" s="1"/>
  <c r="T107" i="19"/>
  <c r="R99" i="19"/>
  <c r="U99" i="19" s="1"/>
  <c r="T99" i="19"/>
  <c r="R91" i="19"/>
  <c r="U91" i="19" s="1"/>
  <c r="T91" i="19"/>
  <c r="Y69" i="19"/>
  <c r="T69" i="19"/>
  <c r="R69" i="19"/>
  <c r="U69" i="19" s="1"/>
  <c r="G67" i="19"/>
  <c r="R54" i="19"/>
  <c r="U54" i="19" s="1"/>
  <c r="T54" i="19"/>
  <c r="R53" i="19"/>
  <c r="U53" i="19" s="1"/>
  <c r="T53" i="19"/>
  <c r="T51" i="19"/>
  <c r="R51" i="19"/>
  <c r="U51" i="19" s="1"/>
  <c r="R38" i="19"/>
  <c r="U38" i="19" s="1"/>
  <c r="T38" i="19"/>
  <c r="R37" i="19"/>
  <c r="U37" i="19" s="1"/>
  <c r="T37" i="19"/>
  <c r="R35" i="19"/>
  <c r="U35" i="19" s="1"/>
  <c r="T22" i="19"/>
  <c r="T21" i="19"/>
  <c r="T19" i="19"/>
  <c r="R19" i="19"/>
  <c r="U19" i="19" s="1"/>
  <c r="G116" i="19"/>
  <c r="G114" i="19"/>
  <c r="T109" i="19"/>
  <c r="G106" i="19"/>
  <c r="T101" i="19"/>
  <c r="G98" i="19"/>
  <c r="T93" i="19"/>
  <c r="R93" i="19"/>
  <c r="U93" i="19" s="1"/>
  <c r="G90" i="19"/>
  <c r="T85" i="19"/>
  <c r="R85" i="19"/>
  <c r="U85" i="19" s="1"/>
  <c r="R82" i="19"/>
  <c r="U82" i="19" s="1"/>
  <c r="R75" i="19"/>
  <c r="U75" i="19" s="1"/>
  <c r="T75" i="19"/>
  <c r="T73" i="19"/>
  <c r="R73" i="19"/>
  <c r="U73" i="19" s="1"/>
  <c r="R70" i="19"/>
  <c r="U70" i="19" s="1"/>
  <c r="Y114" i="19"/>
  <c r="R112" i="19"/>
  <c r="U112" i="19" s="1"/>
  <c r="R111" i="19"/>
  <c r="U111" i="19" s="1"/>
  <c r="T111" i="19"/>
  <c r="Y108" i="19"/>
  <c r="R104" i="19"/>
  <c r="U104" i="19" s="1"/>
  <c r="R103" i="19"/>
  <c r="U103" i="19" s="1"/>
  <c r="T103" i="19"/>
  <c r="Y100" i="19"/>
  <c r="R96" i="19"/>
  <c r="U96" i="19" s="1"/>
  <c r="R95" i="19"/>
  <c r="U95" i="19" s="1"/>
  <c r="T95" i="19"/>
  <c r="Y92" i="19"/>
  <c r="R88" i="19"/>
  <c r="U88" i="19" s="1"/>
  <c r="R87" i="19"/>
  <c r="U87" i="19" s="1"/>
  <c r="T87" i="19"/>
  <c r="Y84" i="19"/>
  <c r="R80" i="19"/>
  <c r="U80" i="19" s="1"/>
  <c r="R79" i="19"/>
  <c r="U79" i="19" s="1"/>
  <c r="T79" i="19"/>
  <c r="T78" i="19"/>
  <c r="T77" i="19"/>
  <c r="R77" i="19"/>
  <c r="U77" i="19" s="1"/>
  <c r="R74" i="19"/>
  <c r="U74" i="19" s="1"/>
  <c r="T68" i="19"/>
  <c r="O67" i="19"/>
  <c r="T63" i="19"/>
  <c r="R62" i="19"/>
  <c r="U62" i="19" s="1"/>
  <c r="T62" i="19"/>
  <c r="T113" i="19"/>
  <c r="R113" i="19"/>
  <c r="U113" i="19" s="1"/>
  <c r="T105" i="19"/>
  <c r="R105" i="19"/>
  <c r="U105" i="19" s="1"/>
  <c r="T97" i="19"/>
  <c r="R97" i="19"/>
  <c r="U97" i="19" s="1"/>
  <c r="T89" i="19"/>
  <c r="T81" i="19"/>
  <c r="R81" i="19"/>
  <c r="U81" i="19" s="1"/>
  <c r="T72" i="19"/>
  <c r="T65" i="19"/>
  <c r="R65" i="19"/>
  <c r="U65" i="19" s="1"/>
  <c r="R63" i="19"/>
  <c r="U63" i="19" s="1"/>
  <c r="G61" i="19"/>
  <c r="R58" i="19"/>
  <c r="U58" i="19" s="1"/>
  <c r="T58" i="19"/>
  <c r="R57" i="19"/>
  <c r="U57" i="19" s="1"/>
  <c r="T57" i="19"/>
  <c r="R55" i="19"/>
  <c r="U55" i="19" s="1"/>
  <c r="R42" i="19"/>
  <c r="U42" i="19" s="1"/>
  <c r="T42" i="19"/>
  <c r="T41" i="19"/>
  <c r="T39" i="19"/>
  <c r="R39" i="19"/>
  <c r="U39" i="19" s="1"/>
  <c r="R26" i="19"/>
  <c r="U26" i="19" s="1"/>
  <c r="T26" i="19"/>
  <c r="R25" i="19"/>
  <c r="U25" i="19" s="1"/>
  <c r="T23" i="19"/>
  <c r="R23" i="19"/>
  <c r="U23" i="19" s="1"/>
  <c r="R10" i="19"/>
  <c r="U10" i="19" s="1"/>
  <c r="T10" i="19"/>
  <c r="R9" i="19"/>
  <c r="U9" i="19" s="1"/>
  <c r="T9" i="19"/>
  <c r="R59" i="19"/>
  <c r="U59" i="19" s="1"/>
  <c r="R46" i="19"/>
  <c r="U46" i="19" s="1"/>
  <c r="T46" i="19"/>
  <c r="R45" i="19"/>
  <c r="U45" i="19" s="1"/>
  <c r="T45" i="19"/>
  <c r="T43" i="19"/>
  <c r="R43" i="19"/>
  <c r="U43" i="19" s="1"/>
  <c r="R30" i="19"/>
  <c r="U30" i="19" s="1"/>
  <c r="T30" i="19"/>
  <c r="T29" i="19"/>
  <c r="T27" i="19"/>
  <c r="R27" i="19"/>
  <c r="U27" i="19" s="1"/>
  <c r="T14" i="19"/>
  <c r="R13" i="19"/>
  <c r="U13" i="19" s="1"/>
  <c r="T13" i="19"/>
  <c r="T64" i="19"/>
  <c r="R64" i="19"/>
  <c r="U64" i="19" s="1"/>
  <c r="T60" i="19"/>
  <c r="R60" i="19"/>
  <c r="U60" i="19" s="1"/>
  <c r="R50" i="19"/>
  <c r="U50" i="19" s="1"/>
  <c r="T50" i="19"/>
  <c r="T47" i="19"/>
  <c r="R47" i="19"/>
  <c r="U47" i="19" s="1"/>
  <c r="R33" i="19"/>
  <c r="U33" i="19" s="1"/>
  <c r="T33" i="19"/>
  <c r="R31" i="19"/>
  <c r="U31" i="19" s="1"/>
  <c r="R18" i="19"/>
  <c r="U18" i="19" s="1"/>
  <c r="T18" i="19"/>
  <c r="R17" i="19"/>
  <c r="U17" i="19" s="1"/>
  <c r="T17" i="19"/>
  <c r="T15" i="19"/>
  <c r="R15" i="19"/>
  <c r="U15" i="19" s="1"/>
  <c r="R56" i="19"/>
  <c r="U56" i="19" s="1"/>
  <c r="R52" i="19"/>
  <c r="U52" i="19" s="1"/>
  <c r="R48" i="19"/>
  <c r="U48" i="19" s="1"/>
  <c r="R44" i="19"/>
  <c r="U44" i="19" s="1"/>
  <c r="R40" i="19"/>
  <c r="U40" i="19" s="1"/>
  <c r="R36" i="19"/>
  <c r="U36" i="19" s="1"/>
  <c r="R32" i="19"/>
  <c r="U32" i="19" s="1"/>
  <c r="R28" i="19"/>
  <c r="U28" i="19" s="1"/>
  <c r="R24" i="19"/>
  <c r="U24" i="19" s="1"/>
  <c r="R20" i="19"/>
  <c r="U20" i="19" s="1"/>
  <c r="R16" i="19"/>
  <c r="U16" i="19" s="1"/>
  <c r="R12" i="19"/>
  <c r="U12" i="19" s="1"/>
  <c r="R8" i="19"/>
  <c r="U8" i="19" s="1"/>
  <c r="R22" i="19" l="1"/>
  <c r="U22" i="19" s="1"/>
  <c r="R159" i="19"/>
  <c r="U159" i="19" s="1"/>
  <c r="R302" i="19"/>
  <c r="U302" i="19" s="1"/>
  <c r="R239" i="19"/>
  <c r="U239" i="19" s="1"/>
  <c r="R270" i="19"/>
  <c r="U270" i="19" s="1"/>
  <c r="R278" i="19"/>
  <c r="U278" i="19" s="1"/>
  <c r="R285" i="19"/>
  <c r="U285" i="19" s="1"/>
  <c r="R293" i="19"/>
  <c r="U293" i="19" s="1"/>
  <c r="R299" i="19"/>
  <c r="U299" i="19" s="1"/>
  <c r="R306" i="19"/>
  <c r="U306" i="19" s="1"/>
  <c r="R89" i="19"/>
  <c r="U89" i="19" s="1"/>
  <c r="R190" i="19"/>
  <c r="U190" i="19" s="1"/>
  <c r="R173" i="19"/>
  <c r="U173" i="19" s="1"/>
  <c r="R180" i="19"/>
  <c r="U180" i="19" s="1"/>
  <c r="R243" i="19"/>
  <c r="U243" i="19" s="1"/>
  <c r="R289" i="19"/>
  <c r="U289" i="19" s="1"/>
  <c r="R162" i="19"/>
  <c r="U162" i="19" s="1"/>
  <c r="R207" i="19"/>
  <c r="U207" i="19" s="1"/>
  <c r="R214" i="19"/>
  <c r="U214" i="19" s="1"/>
  <c r="R83" i="19"/>
  <c r="U83" i="19" s="1"/>
  <c r="R21" i="19"/>
  <c r="U21" i="19" s="1"/>
  <c r="R29" i="19"/>
  <c r="U29" i="19" s="1"/>
  <c r="R34" i="19"/>
  <c r="U34" i="19" s="1"/>
  <c r="R49" i="19"/>
  <c r="U49" i="19" s="1"/>
  <c r="R218" i="19"/>
  <c r="U218" i="19" s="1"/>
  <c r="T71" i="19"/>
  <c r="T94" i="19"/>
  <c r="R94" i="19"/>
  <c r="U94" i="19" s="1"/>
  <c r="T86" i="19"/>
  <c r="R86" i="19"/>
  <c r="U86" i="19" s="1"/>
  <c r="T190" i="19"/>
  <c r="R204" i="19"/>
  <c r="U204" i="19" s="1"/>
  <c r="T207" i="19"/>
  <c r="R236" i="19"/>
  <c r="U236" i="19" s="1"/>
  <c r="T239" i="19"/>
  <c r="T110" i="19"/>
  <c r="R110" i="19"/>
  <c r="U110" i="19" s="1"/>
  <c r="T102" i="19"/>
  <c r="R102" i="19"/>
  <c r="U102" i="19" s="1"/>
  <c r="T199" i="19"/>
  <c r="T231" i="19"/>
  <c r="T34" i="19"/>
  <c r="T49" i="19"/>
  <c r="R11" i="19"/>
  <c r="U11" i="19" s="1"/>
  <c r="T83" i="19"/>
  <c r="R136" i="19"/>
  <c r="U136" i="19" s="1"/>
  <c r="R127" i="19"/>
  <c r="U127" i="19" s="1"/>
  <c r="R152" i="19"/>
  <c r="U152" i="19" s="1"/>
  <c r="R176" i="19"/>
  <c r="U176" i="19" s="1"/>
  <c r="R208" i="19"/>
  <c r="U208" i="19" s="1"/>
  <c r="T243" i="19"/>
  <c r="R276" i="19"/>
  <c r="U276" i="19" s="1"/>
  <c r="R292" i="19"/>
  <c r="U292" i="19" s="1"/>
  <c r="T306" i="19"/>
  <c r="T282" i="19"/>
  <c r="T297" i="19"/>
  <c r="R68" i="19"/>
  <c r="U68" i="19" s="1"/>
  <c r="R189" i="19"/>
  <c r="U189" i="19" s="1"/>
  <c r="R237" i="19"/>
  <c r="U237" i="19" s="1"/>
  <c r="R147" i="19"/>
  <c r="U147" i="19" s="1"/>
  <c r="R244" i="19"/>
  <c r="U244" i="19" s="1"/>
  <c r="T170" i="19"/>
  <c r="R108" i="19"/>
  <c r="U108" i="19" s="1"/>
  <c r="T108" i="19"/>
  <c r="T256" i="19"/>
  <c r="R256" i="19"/>
  <c r="U256" i="19" s="1"/>
  <c r="R151" i="19"/>
  <c r="U151" i="19" s="1"/>
  <c r="T258" i="19"/>
  <c r="R258" i="19"/>
  <c r="U258" i="19" s="1"/>
  <c r="T252" i="19"/>
  <c r="R252" i="19"/>
  <c r="U252" i="19" s="1"/>
  <c r="R76" i="19"/>
  <c r="U76" i="19" s="1"/>
  <c r="T76" i="19"/>
  <c r="R92" i="19"/>
  <c r="U92" i="19" s="1"/>
  <c r="T92" i="19"/>
  <c r="T254" i="19"/>
  <c r="R254" i="19"/>
  <c r="U254" i="19" s="1"/>
  <c r="T248" i="19"/>
  <c r="R248" i="19"/>
  <c r="U248" i="19" s="1"/>
  <c r="T66" i="19"/>
  <c r="R66" i="19"/>
  <c r="U66" i="19" s="1"/>
  <c r="R100" i="19"/>
  <c r="U100" i="19" s="1"/>
  <c r="T100" i="19"/>
  <c r="R141" i="19"/>
  <c r="U141" i="19" s="1"/>
  <c r="T250" i="19"/>
  <c r="R250" i="19"/>
  <c r="U250" i="19" s="1"/>
  <c r="R84" i="19"/>
  <c r="U84" i="19" s="1"/>
  <c r="T84" i="19"/>
  <c r="T106" i="19"/>
  <c r="R106" i="19"/>
  <c r="U106" i="19" s="1"/>
  <c r="T116" i="19"/>
  <c r="R116" i="19"/>
  <c r="U116" i="19" s="1"/>
  <c r="T246" i="19"/>
  <c r="R246" i="19"/>
  <c r="U246" i="19" s="1"/>
  <c r="T145" i="19"/>
  <c r="R145" i="19"/>
  <c r="U145" i="19" s="1"/>
  <c r="T98" i="19"/>
  <c r="R98" i="19"/>
  <c r="U98" i="19" s="1"/>
  <c r="T61" i="19"/>
  <c r="R61" i="19"/>
  <c r="U61" i="19" s="1"/>
  <c r="T90" i="19"/>
  <c r="R90" i="19"/>
  <c r="U90" i="19" s="1"/>
  <c r="T157" i="19"/>
  <c r="R157" i="19"/>
  <c r="U157" i="19" s="1"/>
  <c r="T114" i="19"/>
  <c r="R114" i="19"/>
  <c r="U114" i="19" s="1"/>
  <c r="R67" i="19"/>
  <c r="U67" i="19" s="1"/>
  <c r="T67" i="19"/>
  <c r="X316" i="42" l="1"/>
  <c r="S316" i="42"/>
  <c r="T316" i="42"/>
  <c r="U316" i="42"/>
  <c r="V316" i="42"/>
  <c r="W316" i="42"/>
  <c r="AM8" i="42"/>
  <c r="AM9" i="42"/>
  <c r="AM10" i="42"/>
  <c r="AM11" i="42"/>
  <c r="AM12" i="42"/>
  <c r="AM13" i="42"/>
  <c r="AM14" i="42"/>
  <c r="AM15" i="42"/>
  <c r="AM16" i="42"/>
  <c r="AM17" i="42"/>
  <c r="AM18" i="42"/>
  <c r="AM19" i="42"/>
  <c r="AM20" i="42"/>
  <c r="AM21" i="42"/>
  <c r="AM22" i="42"/>
  <c r="AM23" i="42"/>
  <c r="AM24" i="42"/>
  <c r="AM25" i="42"/>
  <c r="AM26" i="42"/>
  <c r="AM27" i="42"/>
  <c r="AM28" i="42"/>
  <c r="AM29" i="42"/>
  <c r="AM31" i="42"/>
  <c r="AM32" i="42"/>
  <c r="AM33" i="42"/>
  <c r="AM34" i="42"/>
  <c r="AM35" i="42"/>
  <c r="AM36" i="42"/>
  <c r="AM37" i="42"/>
  <c r="AM38" i="42"/>
  <c r="AM39" i="42"/>
  <c r="AM40" i="42"/>
  <c r="AM41" i="42"/>
  <c r="AM42" i="42"/>
  <c r="AM43" i="42"/>
  <c r="AM44" i="42"/>
  <c r="AM45" i="42"/>
  <c r="AM46" i="42"/>
  <c r="AM47" i="42"/>
  <c r="AM48" i="42"/>
  <c r="AM49" i="42"/>
  <c r="AM50" i="42"/>
  <c r="AM51" i="42"/>
  <c r="AM52" i="42"/>
  <c r="AM53" i="42"/>
  <c r="AM54" i="42"/>
  <c r="AM55" i="42"/>
  <c r="AM56" i="42"/>
  <c r="AM57" i="42"/>
  <c r="AM58" i="42"/>
  <c r="AM59" i="42"/>
  <c r="AM60" i="42"/>
  <c r="AM61" i="42"/>
  <c r="AM62" i="42"/>
  <c r="AM63" i="42"/>
  <c r="AM64" i="42"/>
  <c r="AM65" i="42"/>
  <c r="AM66" i="42"/>
  <c r="AM67" i="42"/>
  <c r="AM68" i="42"/>
  <c r="AM69" i="42"/>
  <c r="AM70" i="42"/>
  <c r="AM71" i="42"/>
  <c r="AM72" i="42"/>
  <c r="AM73" i="42"/>
  <c r="AM74" i="42"/>
  <c r="AM75" i="42"/>
  <c r="AM76" i="42"/>
  <c r="AM77" i="42"/>
  <c r="AM78" i="42"/>
  <c r="AM79" i="42"/>
  <c r="AM80" i="42"/>
  <c r="AM81" i="42"/>
  <c r="AM82" i="42"/>
  <c r="AM83" i="42"/>
  <c r="AM84" i="42"/>
  <c r="AM85" i="42"/>
  <c r="AM86" i="42"/>
  <c r="AM87" i="42"/>
  <c r="AM88" i="42"/>
  <c r="AM89" i="42"/>
  <c r="AM90" i="42"/>
  <c r="AM91" i="42"/>
  <c r="AM92" i="42"/>
  <c r="AM93" i="42"/>
  <c r="AM94" i="42"/>
  <c r="AM95" i="42"/>
  <c r="AM96" i="42"/>
  <c r="AM97" i="42"/>
  <c r="AM98" i="42"/>
  <c r="AM99" i="42"/>
  <c r="AM100" i="42"/>
  <c r="AM101" i="42"/>
  <c r="AM102" i="42"/>
  <c r="AM103" i="42"/>
  <c r="AM104" i="42"/>
  <c r="AM105" i="42"/>
  <c r="AM106" i="42"/>
  <c r="AM107" i="42"/>
  <c r="AM108" i="42"/>
  <c r="AM109" i="42"/>
  <c r="AM110" i="42"/>
  <c r="AM111" i="42"/>
  <c r="AM112" i="42"/>
  <c r="AM113" i="42"/>
  <c r="AM114" i="42"/>
  <c r="AM115" i="42"/>
  <c r="AM116" i="42"/>
  <c r="AM117" i="42"/>
  <c r="AM118" i="42"/>
  <c r="AM119" i="42"/>
  <c r="AM120" i="42"/>
  <c r="AM121" i="42"/>
  <c r="AM122" i="42"/>
  <c r="AM123" i="42"/>
  <c r="AM124" i="42"/>
  <c r="AM125" i="42"/>
  <c r="AM126" i="42"/>
  <c r="AM127" i="42"/>
  <c r="AM128" i="42"/>
  <c r="AM129" i="42"/>
  <c r="AM130" i="42"/>
  <c r="AM131" i="42"/>
  <c r="AM132" i="42"/>
  <c r="AM133" i="42"/>
  <c r="BC133" i="42" s="1"/>
  <c r="AM134" i="42"/>
  <c r="AM135" i="42"/>
  <c r="AM136" i="42"/>
  <c r="AM137" i="42"/>
  <c r="AM138" i="42"/>
  <c r="AM139" i="42"/>
  <c r="AM140" i="42"/>
  <c r="AM141" i="42"/>
  <c r="AM142" i="42"/>
  <c r="AM143" i="42"/>
  <c r="AM144" i="42"/>
  <c r="AM145" i="42"/>
  <c r="AM146" i="42"/>
  <c r="AM147" i="42"/>
  <c r="AM148" i="42"/>
  <c r="AM149" i="42"/>
  <c r="AM150" i="42"/>
  <c r="AM151" i="42"/>
  <c r="AM152" i="42"/>
  <c r="AM153" i="42"/>
  <c r="AM154" i="42"/>
  <c r="AM155" i="42"/>
  <c r="AM156" i="42"/>
  <c r="AM157" i="42"/>
  <c r="AM158" i="42"/>
  <c r="AM159" i="42"/>
  <c r="AM160" i="42"/>
  <c r="AM161" i="42"/>
  <c r="AM162" i="42"/>
  <c r="AM163" i="42"/>
  <c r="AM164" i="42"/>
  <c r="AM165" i="42"/>
  <c r="AM166" i="42"/>
  <c r="AM167" i="42"/>
  <c r="AM168" i="42"/>
  <c r="AM169" i="42"/>
  <c r="AM170" i="42"/>
  <c r="AM171" i="42"/>
  <c r="AM172" i="42"/>
  <c r="AM173" i="42"/>
  <c r="AM174" i="42"/>
  <c r="AM175" i="42"/>
  <c r="AM176" i="42"/>
  <c r="AM177" i="42"/>
  <c r="AM178" i="42"/>
  <c r="AM179" i="42"/>
  <c r="AM180" i="42"/>
  <c r="AM181" i="42"/>
  <c r="AM182" i="42"/>
  <c r="AM183" i="42"/>
  <c r="AM184" i="42"/>
  <c r="AM185" i="42"/>
  <c r="AM186" i="42"/>
  <c r="AM187" i="42"/>
  <c r="AM188" i="42"/>
  <c r="AM189" i="42"/>
  <c r="AM190" i="42"/>
  <c r="AM191" i="42"/>
  <c r="AM192" i="42"/>
  <c r="AM193" i="42"/>
  <c r="AM194" i="42"/>
  <c r="AM195" i="42"/>
  <c r="AM196" i="42"/>
  <c r="AM197" i="42"/>
  <c r="AM198" i="42"/>
  <c r="AM199" i="42"/>
  <c r="AM200" i="42"/>
  <c r="AM201" i="42"/>
  <c r="AM202" i="42"/>
  <c r="AM203" i="42"/>
  <c r="AM204" i="42"/>
  <c r="AM205" i="42"/>
  <c r="AM206" i="42"/>
  <c r="AM207" i="42"/>
  <c r="AM208" i="42"/>
  <c r="AM209" i="42"/>
  <c r="AM210" i="42"/>
  <c r="AM211" i="42"/>
  <c r="AM212" i="42"/>
  <c r="AM213" i="42"/>
  <c r="AM214" i="42"/>
  <c r="AM215" i="42"/>
  <c r="AM216" i="42"/>
  <c r="AM217" i="42"/>
  <c r="AM218" i="42"/>
  <c r="AM219" i="42"/>
  <c r="AM220" i="42"/>
  <c r="AM221" i="42"/>
  <c r="AM222" i="42"/>
  <c r="AM223" i="42"/>
  <c r="AM224" i="42"/>
  <c r="AM225" i="42"/>
  <c r="AM226" i="42"/>
  <c r="AM227" i="42"/>
  <c r="AM228" i="42"/>
  <c r="AM229" i="42"/>
  <c r="AM230" i="42"/>
  <c r="AM231" i="42"/>
  <c r="AM232" i="42"/>
  <c r="AM233" i="42"/>
  <c r="AM234" i="42"/>
  <c r="AM235" i="42"/>
  <c r="AM236" i="42"/>
  <c r="AM237" i="42"/>
  <c r="AM238" i="42"/>
  <c r="AM239" i="42"/>
  <c r="AM240" i="42"/>
  <c r="AM241" i="42"/>
  <c r="AM242" i="42"/>
  <c r="AM243" i="42"/>
  <c r="AM244" i="42"/>
  <c r="AM245" i="42"/>
  <c r="AM246" i="42"/>
  <c r="AM247" i="42"/>
  <c r="AM248" i="42"/>
  <c r="AM249" i="42"/>
  <c r="AM250" i="42"/>
  <c r="AM251" i="42"/>
  <c r="AM252" i="42"/>
  <c r="AM253" i="42"/>
  <c r="AM254" i="42"/>
  <c r="AM255" i="42"/>
  <c r="AM256" i="42"/>
  <c r="AM257" i="42"/>
  <c r="AM258" i="42"/>
  <c r="AM259" i="42"/>
  <c r="AM260" i="42"/>
  <c r="AM261" i="42"/>
  <c r="AM262" i="42"/>
  <c r="AM263" i="42"/>
  <c r="AM264" i="42"/>
  <c r="AM265" i="42"/>
  <c r="AM266" i="42"/>
  <c r="AM267" i="42"/>
  <c r="AM268" i="42"/>
  <c r="AM269" i="42"/>
  <c r="AM270" i="42"/>
  <c r="AM271" i="42"/>
  <c r="AM272" i="42"/>
  <c r="AM273" i="42"/>
  <c r="AM274" i="42"/>
  <c r="AM275" i="42"/>
  <c r="AM276" i="42"/>
  <c r="AM277" i="42"/>
  <c r="AM278" i="42"/>
  <c r="AM279" i="42"/>
  <c r="AM280" i="42"/>
  <c r="AM281" i="42"/>
  <c r="AM282" i="42"/>
  <c r="AM283" i="42"/>
  <c r="AM284" i="42"/>
  <c r="AM285" i="42"/>
  <c r="AM286" i="42"/>
  <c r="AM287" i="42"/>
  <c r="AM288" i="42"/>
  <c r="AM289" i="42"/>
  <c r="AM290" i="42"/>
  <c r="AM291" i="42"/>
  <c r="AM292" i="42"/>
  <c r="AM293" i="42"/>
  <c r="AM294" i="42"/>
  <c r="AM295" i="42"/>
  <c r="AM296" i="42"/>
  <c r="AM297" i="42"/>
  <c r="AM298" i="42"/>
  <c r="AM299" i="42"/>
  <c r="AM300" i="42"/>
  <c r="AM301" i="42"/>
  <c r="AM302" i="42"/>
  <c r="AM303" i="42"/>
  <c r="AM304" i="42"/>
  <c r="AM305" i="42"/>
  <c r="AM306" i="42"/>
  <c r="AM307" i="42"/>
  <c r="AM308" i="42"/>
  <c r="AM309" i="42"/>
  <c r="AM310" i="42"/>
  <c r="AM311" i="42"/>
  <c r="AM312" i="42"/>
  <c r="AM313" i="42"/>
  <c r="AM314" i="42"/>
  <c r="AM315" i="42"/>
  <c r="AM316" i="42"/>
  <c r="AM7" i="42"/>
  <c r="H316" i="42"/>
  <c r="I316" i="42"/>
  <c r="J316" i="42"/>
  <c r="N316" i="42" l="1"/>
  <c r="A6" i="39"/>
  <c r="B6" i="39"/>
  <c r="A7" i="39"/>
  <c r="B7" i="39"/>
  <c r="A8" i="39"/>
  <c r="B8" i="39"/>
  <c r="A9" i="39"/>
  <c r="B9" i="39"/>
  <c r="A10" i="39"/>
  <c r="B10" i="39"/>
  <c r="A11" i="39"/>
  <c r="B11" i="39"/>
  <c r="A12" i="39"/>
  <c r="B12" i="39"/>
  <c r="A13" i="39"/>
  <c r="B13" i="39"/>
  <c r="A14" i="39"/>
  <c r="B14" i="39"/>
  <c r="A15" i="39"/>
  <c r="B15" i="39"/>
  <c r="A16" i="39"/>
  <c r="B16" i="39"/>
  <c r="A17" i="39"/>
  <c r="B17" i="39"/>
  <c r="A18" i="39"/>
  <c r="B18" i="39"/>
  <c r="A19" i="39"/>
  <c r="B19" i="39"/>
  <c r="A20" i="39"/>
  <c r="B20" i="39"/>
  <c r="A21" i="39"/>
  <c r="B21" i="39"/>
  <c r="A22" i="39"/>
  <c r="B22" i="39"/>
  <c r="A23" i="39"/>
  <c r="B23" i="39"/>
  <c r="A24" i="39"/>
  <c r="B24" i="39"/>
  <c r="A25" i="39"/>
  <c r="B25" i="39"/>
  <c r="A26" i="39"/>
  <c r="B26" i="39"/>
  <c r="A27" i="39"/>
  <c r="B27" i="39"/>
  <c r="A28" i="39"/>
  <c r="B28" i="39"/>
  <c r="A29" i="39"/>
  <c r="B29" i="39"/>
  <c r="A30" i="39"/>
  <c r="B30" i="39"/>
  <c r="A31" i="39"/>
  <c r="B31" i="39"/>
  <c r="A32" i="39"/>
  <c r="B32" i="39"/>
  <c r="A33" i="39"/>
  <c r="B33" i="39"/>
  <c r="A34" i="39"/>
  <c r="B34" i="39"/>
  <c r="A35" i="39"/>
  <c r="B35" i="39"/>
  <c r="A36" i="39"/>
  <c r="B36" i="39"/>
  <c r="A37" i="39"/>
  <c r="B37" i="39"/>
  <c r="A38" i="39"/>
  <c r="B38" i="39"/>
  <c r="A39" i="39"/>
  <c r="B39" i="39"/>
  <c r="A40" i="39"/>
  <c r="B40" i="39"/>
  <c r="A41" i="39"/>
  <c r="B41" i="39"/>
  <c r="A42" i="39"/>
  <c r="B42" i="39"/>
  <c r="A43" i="39"/>
  <c r="B43" i="39"/>
  <c r="A44" i="39"/>
  <c r="B44" i="39"/>
  <c r="A45" i="39"/>
  <c r="B45" i="39"/>
  <c r="A46" i="39"/>
  <c r="B46" i="39"/>
  <c r="A47" i="39"/>
  <c r="B47" i="39"/>
  <c r="A48" i="39"/>
  <c r="B48" i="39"/>
  <c r="A49" i="39"/>
  <c r="B49" i="39"/>
  <c r="A50" i="39"/>
  <c r="B50" i="39"/>
  <c r="A51" i="39"/>
  <c r="B51" i="39"/>
  <c r="A52" i="39"/>
  <c r="B52" i="39"/>
  <c r="A53" i="39"/>
  <c r="B53" i="39"/>
  <c r="A54" i="39"/>
  <c r="B54" i="39"/>
  <c r="A55" i="39"/>
  <c r="B55" i="39"/>
  <c r="A56" i="39"/>
  <c r="B56" i="39"/>
  <c r="A57" i="39"/>
  <c r="B57" i="39"/>
  <c r="A58" i="39"/>
  <c r="B58" i="39"/>
  <c r="A59" i="39"/>
  <c r="B59" i="39"/>
  <c r="A60" i="39"/>
  <c r="B60" i="39"/>
  <c r="A61" i="39"/>
  <c r="B61" i="39"/>
  <c r="A62" i="39"/>
  <c r="B62" i="39"/>
  <c r="A63" i="39"/>
  <c r="B63" i="39"/>
  <c r="A64" i="39"/>
  <c r="B64" i="39"/>
  <c r="A65" i="39"/>
  <c r="B65" i="39"/>
  <c r="A66" i="39"/>
  <c r="B66" i="39"/>
  <c r="A67" i="39"/>
  <c r="B67" i="39"/>
  <c r="A68" i="39"/>
  <c r="B68" i="39"/>
  <c r="A69" i="39"/>
  <c r="B69" i="39"/>
  <c r="A70" i="39"/>
  <c r="B70" i="39"/>
  <c r="A71" i="39"/>
  <c r="B71" i="39"/>
  <c r="A72" i="39"/>
  <c r="B72" i="39"/>
  <c r="A73" i="39"/>
  <c r="B73" i="39"/>
  <c r="A74" i="39"/>
  <c r="B74" i="39"/>
  <c r="A75" i="39"/>
  <c r="B75" i="39"/>
  <c r="A76" i="39"/>
  <c r="B76" i="39"/>
  <c r="A77" i="39"/>
  <c r="B77" i="39"/>
  <c r="A78" i="39"/>
  <c r="B78" i="39"/>
  <c r="A79" i="39"/>
  <c r="B79" i="39"/>
  <c r="A80" i="39"/>
  <c r="B80" i="39"/>
  <c r="A81" i="39"/>
  <c r="B81" i="39"/>
  <c r="A82" i="39"/>
  <c r="B82" i="39"/>
  <c r="A83" i="39"/>
  <c r="B83" i="39"/>
  <c r="A84" i="39"/>
  <c r="B84" i="39"/>
  <c r="A85" i="39"/>
  <c r="B85" i="39"/>
  <c r="A86" i="39"/>
  <c r="B86" i="39"/>
  <c r="A87" i="39"/>
  <c r="B87" i="39"/>
  <c r="A88" i="39"/>
  <c r="B88" i="39"/>
  <c r="A89" i="39"/>
  <c r="B89" i="39"/>
  <c r="A90" i="39"/>
  <c r="B90" i="39"/>
  <c r="A91" i="39"/>
  <c r="B91" i="39"/>
  <c r="A92" i="39"/>
  <c r="B92" i="39"/>
  <c r="A93" i="39"/>
  <c r="B93" i="39"/>
  <c r="A94" i="39"/>
  <c r="B94" i="39"/>
  <c r="A95" i="39"/>
  <c r="B95" i="39"/>
  <c r="A96" i="39"/>
  <c r="B96" i="39"/>
  <c r="A97" i="39"/>
  <c r="B97" i="39"/>
  <c r="A98" i="39"/>
  <c r="B98" i="39"/>
  <c r="A99" i="39"/>
  <c r="B99" i="39"/>
  <c r="A100" i="39"/>
  <c r="B100" i="39"/>
  <c r="A101" i="39"/>
  <c r="B101" i="39"/>
  <c r="A102" i="39"/>
  <c r="B102" i="39"/>
  <c r="A103" i="39"/>
  <c r="B103" i="39"/>
  <c r="A104" i="39"/>
  <c r="B104" i="39"/>
  <c r="A105" i="39"/>
  <c r="B105" i="39"/>
  <c r="A106" i="39"/>
  <c r="B106" i="39"/>
  <c r="A107" i="39"/>
  <c r="B107" i="39"/>
  <c r="A108" i="39"/>
  <c r="B108" i="39"/>
  <c r="A109" i="39"/>
  <c r="B109" i="39"/>
  <c r="A110" i="39"/>
  <c r="B110" i="39"/>
  <c r="A111" i="39"/>
  <c r="B111" i="39"/>
  <c r="A112" i="39"/>
  <c r="B112" i="39"/>
  <c r="A113" i="39"/>
  <c r="B113" i="39"/>
  <c r="A114" i="39"/>
  <c r="B114" i="39"/>
  <c r="A115" i="39"/>
  <c r="B115" i="39"/>
  <c r="A116" i="39"/>
  <c r="B116" i="39"/>
  <c r="A117" i="39"/>
  <c r="B117" i="39"/>
  <c r="A118" i="39"/>
  <c r="B118" i="39"/>
  <c r="A119" i="39"/>
  <c r="B119" i="39"/>
  <c r="A120" i="39"/>
  <c r="B120" i="39"/>
  <c r="A121" i="39"/>
  <c r="B121" i="39"/>
  <c r="A122" i="39"/>
  <c r="B122" i="39"/>
  <c r="A123" i="39"/>
  <c r="B123" i="39"/>
  <c r="A124" i="39"/>
  <c r="B124" i="39"/>
  <c r="A125" i="39"/>
  <c r="B125" i="39"/>
  <c r="A126" i="39"/>
  <c r="B126" i="39"/>
  <c r="A127" i="39"/>
  <c r="B127" i="39"/>
  <c r="A128" i="39"/>
  <c r="B128" i="39"/>
  <c r="A129" i="39"/>
  <c r="B129" i="39"/>
  <c r="A130" i="39"/>
  <c r="B130" i="39"/>
  <c r="A131" i="39"/>
  <c r="B131" i="39"/>
  <c r="A132" i="39"/>
  <c r="B132" i="39"/>
  <c r="A133" i="39"/>
  <c r="B133" i="39"/>
  <c r="A134" i="39"/>
  <c r="B134" i="39"/>
  <c r="A135" i="39"/>
  <c r="B135" i="39"/>
  <c r="A136" i="39"/>
  <c r="B136" i="39"/>
  <c r="A137" i="39"/>
  <c r="B137" i="39"/>
  <c r="A138" i="39"/>
  <c r="B138" i="39"/>
  <c r="A139" i="39"/>
  <c r="B139" i="39"/>
  <c r="A140" i="39"/>
  <c r="B140" i="39"/>
  <c r="A141" i="39"/>
  <c r="B141" i="39"/>
  <c r="A142" i="39"/>
  <c r="B142" i="39"/>
  <c r="A143" i="39"/>
  <c r="B143" i="39"/>
  <c r="A144" i="39"/>
  <c r="B144" i="39"/>
  <c r="A145" i="39"/>
  <c r="B145" i="39"/>
  <c r="A146" i="39"/>
  <c r="B146" i="39"/>
  <c r="A147" i="39"/>
  <c r="B147" i="39"/>
  <c r="A148" i="39"/>
  <c r="B148" i="39"/>
  <c r="A149" i="39"/>
  <c r="B149" i="39"/>
  <c r="A150" i="39"/>
  <c r="B150" i="39"/>
  <c r="A151" i="39"/>
  <c r="B151" i="39"/>
  <c r="A152" i="39"/>
  <c r="B152" i="39"/>
  <c r="A153" i="39"/>
  <c r="B153" i="39"/>
  <c r="A154" i="39"/>
  <c r="B154" i="39"/>
  <c r="A155" i="39"/>
  <c r="B155" i="39"/>
  <c r="A156" i="39"/>
  <c r="B156" i="39"/>
  <c r="A157" i="39"/>
  <c r="B157" i="39"/>
  <c r="A158" i="39"/>
  <c r="B158" i="39"/>
  <c r="A159" i="39"/>
  <c r="B159" i="39"/>
  <c r="A160" i="39"/>
  <c r="B160" i="39"/>
  <c r="A161" i="39"/>
  <c r="B161" i="39"/>
  <c r="A162" i="39"/>
  <c r="B162" i="39"/>
  <c r="A163" i="39"/>
  <c r="B163" i="39"/>
  <c r="A164" i="39"/>
  <c r="B164" i="39"/>
  <c r="A165" i="39"/>
  <c r="B165" i="39"/>
  <c r="A166" i="39"/>
  <c r="B166" i="39"/>
  <c r="A167" i="39"/>
  <c r="B167" i="39"/>
  <c r="A168" i="39"/>
  <c r="B168" i="39"/>
  <c r="A169" i="39"/>
  <c r="B169" i="39"/>
  <c r="A170" i="39"/>
  <c r="B170" i="39"/>
  <c r="A171" i="39"/>
  <c r="B171" i="39"/>
  <c r="A172" i="39"/>
  <c r="B172" i="39"/>
  <c r="A173" i="39"/>
  <c r="B173" i="39"/>
  <c r="A174" i="39"/>
  <c r="B174" i="39"/>
  <c r="A175" i="39"/>
  <c r="B175" i="39"/>
  <c r="A176" i="39"/>
  <c r="B176" i="39"/>
  <c r="A177" i="39"/>
  <c r="B177" i="39"/>
  <c r="A178" i="39"/>
  <c r="B178" i="39"/>
  <c r="A179" i="39"/>
  <c r="B179" i="39"/>
  <c r="A180" i="39"/>
  <c r="B180" i="39"/>
  <c r="A181" i="39"/>
  <c r="B181" i="39"/>
  <c r="A182" i="39"/>
  <c r="B182" i="39"/>
  <c r="A183" i="39"/>
  <c r="B183" i="39"/>
  <c r="A184" i="39"/>
  <c r="B184" i="39"/>
  <c r="A185" i="39"/>
  <c r="B185" i="39"/>
  <c r="A186" i="39"/>
  <c r="B186" i="39"/>
  <c r="A187" i="39"/>
  <c r="B187" i="39"/>
  <c r="A188" i="39"/>
  <c r="B188" i="39"/>
  <c r="A189" i="39"/>
  <c r="B189" i="39"/>
  <c r="A190" i="39"/>
  <c r="B190" i="39"/>
  <c r="A191" i="39"/>
  <c r="B191" i="39"/>
  <c r="A192" i="39"/>
  <c r="B192" i="39"/>
  <c r="A193" i="39"/>
  <c r="B193" i="39"/>
  <c r="A194" i="39"/>
  <c r="B194" i="39"/>
  <c r="A195" i="39"/>
  <c r="B195" i="39"/>
  <c r="A196" i="39"/>
  <c r="B196" i="39"/>
  <c r="A197" i="39"/>
  <c r="B197" i="39"/>
  <c r="A198" i="39"/>
  <c r="B198" i="39"/>
  <c r="A199" i="39"/>
  <c r="B199" i="39"/>
  <c r="A200" i="39"/>
  <c r="B200" i="39"/>
  <c r="A201" i="39"/>
  <c r="B201" i="39"/>
  <c r="A202" i="39"/>
  <c r="B202" i="39"/>
  <c r="A203" i="39"/>
  <c r="B203" i="39"/>
  <c r="A204" i="39"/>
  <c r="B204" i="39"/>
  <c r="A205" i="39"/>
  <c r="B205" i="39"/>
  <c r="A206" i="39"/>
  <c r="B206" i="39"/>
  <c r="A207" i="39"/>
  <c r="B207" i="39"/>
  <c r="A208" i="39"/>
  <c r="B208" i="39"/>
  <c r="A209" i="39"/>
  <c r="B209" i="39"/>
  <c r="A210" i="39"/>
  <c r="B210" i="39"/>
  <c r="A211" i="39"/>
  <c r="B211" i="39"/>
  <c r="A212" i="39"/>
  <c r="B212" i="39"/>
  <c r="A213" i="39"/>
  <c r="B213" i="39"/>
  <c r="A214" i="39"/>
  <c r="B214" i="39"/>
  <c r="A215" i="39"/>
  <c r="B215" i="39"/>
  <c r="A216" i="39"/>
  <c r="B216" i="39"/>
  <c r="A217" i="39"/>
  <c r="B217" i="39"/>
  <c r="A218" i="39"/>
  <c r="B218" i="39"/>
  <c r="A219" i="39"/>
  <c r="B219" i="39"/>
  <c r="A220" i="39"/>
  <c r="B220" i="39"/>
  <c r="A221" i="39"/>
  <c r="B221" i="39"/>
  <c r="A222" i="39"/>
  <c r="B222" i="39"/>
  <c r="A223" i="39"/>
  <c r="B223" i="39"/>
  <c r="A224" i="39"/>
  <c r="B224" i="39"/>
  <c r="A225" i="39"/>
  <c r="B225" i="39"/>
  <c r="A226" i="39"/>
  <c r="B226" i="39"/>
  <c r="A227" i="39"/>
  <c r="B227" i="39"/>
  <c r="A228" i="39"/>
  <c r="B228" i="39"/>
  <c r="A229" i="39"/>
  <c r="B229" i="39"/>
  <c r="A230" i="39"/>
  <c r="B230" i="39"/>
  <c r="A231" i="39"/>
  <c r="B231" i="39"/>
  <c r="A232" i="39"/>
  <c r="B232" i="39"/>
  <c r="A233" i="39"/>
  <c r="B233" i="39"/>
  <c r="A234" i="39"/>
  <c r="B234" i="39"/>
  <c r="A235" i="39"/>
  <c r="B235" i="39"/>
  <c r="A236" i="39"/>
  <c r="B236" i="39"/>
  <c r="A237" i="39"/>
  <c r="B237" i="39"/>
  <c r="A238" i="39"/>
  <c r="B238" i="39"/>
  <c r="A239" i="39"/>
  <c r="B239" i="39"/>
  <c r="A240" i="39"/>
  <c r="B240" i="39"/>
  <c r="A241" i="39"/>
  <c r="B241" i="39"/>
  <c r="A242" i="39"/>
  <c r="B242" i="39"/>
  <c r="A243" i="39"/>
  <c r="B243" i="39"/>
  <c r="A244" i="39"/>
  <c r="B244" i="39"/>
  <c r="A245" i="39"/>
  <c r="B245" i="39"/>
  <c r="A246" i="39"/>
  <c r="B246" i="39"/>
  <c r="A247" i="39"/>
  <c r="B247" i="39"/>
  <c r="A248" i="39"/>
  <c r="B248" i="39"/>
  <c r="A249" i="39"/>
  <c r="B249" i="39"/>
  <c r="A250" i="39"/>
  <c r="B250" i="39"/>
  <c r="A251" i="39"/>
  <c r="B251" i="39"/>
  <c r="A252" i="39"/>
  <c r="B252" i="39"/>
  <c r="A253" i="39"/>
  <c r="B253" i="39"/>
  <c r="A254" i="39"/>
  <c r="B254" i="39"/>
  <c r="A255" i="39"/>
  <c r="B255" i="39"/>
  <c r="A256" i="39"/>
  <c r="B256" i="39"/>
  <c r="A257" i="39"/>
  <c r="B257" i="39"/>
  <c r="A258" i="39"/>
  <c r="B258" i="39"/>
  <c r="A259" i="39"/>
  <c r="B259" i="39"/>
  <c r="A260" i="39"/>
  <c r="B260" i="39"/>
  <c r="A261" i="39"/>
  <c r="B261" i="39"/>
  <c r="A262" i="39"/>
  <c r="B262" i="39"/>
  <c r="A263" i="39"/>
  <c r="B263" i="39"/>
  <c r="A264" i="39"/>
  <c r="B264" i="39"/>
  <c r="A265" i="39"/>
  <c r="B265" i="39"/>
  <c r="A266" i="39"/>
  <c r="B266" i="39"/>
  <c r="A267" i="39"/>
  <c r="B267" i="39"/>
  <c r="A268" i="39"/>
  <c r="B268" i="39"/>
  <c r="A269" i="39"/>
  <c r="B269" i="39"/>
  <c r="A270" i="39"/>
  <c r="B270" i="39"/>
  <c r="A271" i="39"/>
  <c r="B271" i="39"/>
  <c r="A272" i="39"/>
  <c r="B272" i="39"/>
  <c r="A273" i="39"/>
  <c r="B273" i="39"/>
  <c r="A274" i="39"/>
  <c r="B274" i="39"/>
  <c r="A275" i="39"/>
  <c r="B275" i="39"/>
  <c r="A276" i="39"/>
  <c r="B276" i="39"/>
  <c r="A277" i="39"/>
  <c r="B277" i="39"/>
  <c r="A278" i="39"/>
  <c r="B278" i="39"/>
  <c r="A279" i="39"/>
  <c r="B279" i="39"/>
  <c r="A280" i="39"/>
  <c r="B280" i="39"/>
  <c r="A281" i="39"/>
  <c r="B281" i="39"/>
  <c r="A282" i="39"/>
  <c r="B282" i="39"/>
  <c r="A283" i="39"/>
  <c r="B283" i="39"/>
  <c r="A284" i="39"/>
  <c r="B284" i="39"/>
  <c r="A285" i="39"/>
  <c r="B285" i="39"/>
  <c r="A286" i="39"/>
  <c r="B286" i="39"/>
  <c r="A287" i="39"/>
  <c r="B287" i="39"/>
  <c r="A288" i="39"/>
  <c r="B288" i="39"/>
  <c r="A289" i="39"/>
  <c r="B289" i="39"/>
  <c r="A290" i="39"/>
  <c r="B290" i="39"/>
  <c r="A291" i="39"/>
  <c r="B291" i="39"/>
  <c r="A292" i="39"/>
  <c r="B292" i="39"/>
  <c r="A293" i="39"/>
  <c r="B293" i="39"/>
  <c r="A294" i="39"/>
  <c r="B294" i="39"/>
  <c r="A295" i="39"/>
  <c r="B295" i="39"/>
  <c r="A296" i="39"/>
  <c r="B296" i="39"/>
  <c r="A297" i="39"/>
  <c r="B297" i="39"/>
  <c r="A298" i="39"/>
  <c r="B298" i="39"/>
  <c r="A299" i="39"/>
  <c r="B299" i="39"/>
  <c r="A300" i="39"/>
  <c r="B300" i="39"/>
  <c r="A301" i="39"/>
  <c r="B301" i="39"/>
  <c r="A302" i="39"/>
  <c r="B302" i="39"/>
  <c r="A303" i="39"/>
  <c r="B303" i="39"/>
  <c r="A304" i="39"/>
  <c r="B304" i="39"/>
  <c r="A305" i="39"/>
  <c r="B305" i="39"/>
  <c r="A306" i="39"/>
  <c r="B306" i="39"/>
  <c r="A307" i="39"/>
  <c r="B307" i="39"/>
  <c r="A308" i="39"/>
  <c r="B308" i="39"/>
  <c r="A309" i="39"/>
  <c r="B309" i="39"/>
  <c r="A310" i="39"/>
  <c r="B310" i="39"/>
  <c r="A311" i="39"/>
  <c r="B311" i="39"/>
  <c r="A312" i="39"/>
  <c r="B312" i="39"/>
  <c r="A313" i="39"/>
  <c r="B313" i="39"/>
  <c r="A6" i="12"/>
  <c r="B6" i="12"/>
  <c r="A7" i="12"/>
  <c r="B7" i="12"/>
  <c r="A8" i="12"/>
  <c r="B8" i="12"/>
  <c r="A9" i="12"/>
  <c r="B9" i="12"/>
  <c r="A10" i="12"/>
  <c r="B10" i="12"/>
  <c r="A11" i="12"/>
  <c r="B11" i="12"/>
  <c r="A12" i="12"/>
  <c r="B12" i="12"/>
  <c r="A13" i="12"/>
  <c r="B13" i="12"/>
  <c r="A14" i="12"/>
  <c r="B14" i="12"/>
  <c r="A15" i="12"/>
  <c r="B15" i="12"/>
  <c r="A16" i="12"/>
  <c r="B16" i="12"/>
  <c r="A17" i="12"/>
  <c r="B17" i="12"/>
  <c r="A18" i="12"/>
  <c r="B18" i="12"/>
  <c r="A19" i="12"/>
  <c r="B19" i="12"/>
  <c r="A20" i="12"/>
  <c r="B20" i="12"/>
  <c r="A21" i="12"/>
  <c r="B21" i="12"/>
  <c r="A22" i="12"/>
  <c r="B22" i="12"/>
  <c r="A23" i="12"/>
  <c r="B23" i="12"/>
  <c r="A24" i="12"/>
  <c r="B24" i="12"/>
  <c r="A25" i="12"/>
  <c r="B25" i="12"/>
  <c r="A26" i="12"/>
  <c r="B26" i="12"/>
  <c r="A27" i="12"/>
  <c r="B27" i="12"/>
  <c r="A28" i="12"/>
  <c r="B28" i="12"/>
  <c r="A29" i="12"/>
  <c r="B29" i="12"/>
  <c r="A30" i="12"/>
  <c r="B30" i="12"/>
  <c r="A31" i="12"/>
  <c r="B31" i="12"/>
  <c r="A32" i="12"/>
  <c r="B32" i="12"/>
  <c r="A33" i="12"/>
  <c r="B33" i="12"/>
  <c r="A34" i="12"/>
  <c r="B34" i="12"/>
  <c r="A35" i="12"/>
  <c r="B35" i="12"/>
  <c r="A36" i="12"/>
  <c r="B36" i="12"/>
  <c r="A37" i="12"/>
  <c r="B37" i="12"/>
  <c r="A38" i="12"/>
  <c r="B38" i="12"/>
  <c r="A39" i="12"/>
  <c r="B39" i="12"/>
  <c r="A40" i="12"/>
  <c r="B40" i="12"/>
  <c r="A41" i="12"/>
  <c r="B41" i="12"/>
  <c r="A42" i="12"/>
  <c r="B42" i="12"/>
  <c r="A43" i="12"/>
  <c r="B43" i="12"/>
  <c r="A44" i="12"/>
  <c r="B44" i="12"/>
  <c r="A45" i="12"/>
  <c r="B45" i="12"/>
  <c r="A46" i="12"/>
  <c r="B46" i="12"/>
  <c r="A47" i="12"/>
  <c r="B47" i="12"/>
  <c r="A48" i="12"/>
  <c r="B48" i="12"/>
  <c r="A49" i="12"/>
  <c r="B49" i="12"/>
  <c r="A50" i="12"/>
  <c r="B50" i="12"/>
  <c r="A51" i="12"/>
  <c r="B51" i="12"/>
  <c r="A52" i="12"/>
  <c r="B52" i="12"/>
  <c r="A53" i="12"/>
  <c r="B53" i="12"/>
  <c r="A54" i="12"/>
  <c r="B54" i="12"/>
  <c r="A55" i="12"/>
  <c r="B55" i="12"/>
  <c r="A56" i="12"/>
  <c r="B56" i="12"/>
  <c r="A57" i="12"/>
  <c r="B57" i="12"/>
  <c r="A58" i="12"/>
  <c r="B58" i="12"/>
  <c r="A59" i="12"/>
  <c r="B59" i="12"/>
  <c r="A60" i="12"/>
  <c r="B60" i="12"/>
  <c r="A61" i="12"/>
  <c r="B61" i="12"/>
  <c r="A62" i="12"/>
  <c r="B62" i="12"/>
  <c r="A63" i="12"/>
  <c r="B63" i="12"/>
  <c r="A64" i="12"/>
  <c r="B64" i="12"/>
  <c r="A65" i="12"/>
  <c r="B65" i="12"/>
  <c r="A66" i="12"/>
  <c r="B66" i="12"/>
  <c r="A67" i="12"/>
  <c r="B67" i="12"/>
  <c r="A68" i="12"/>
  <c r="B68" i="12"/>
  <c r="A69" i="12"/>
  <c r="B69" i="12"/>
  <c r="A70" i="12"/>
  <c r="B70" i="12"/>
  <c r="A71" i="12"/>
  <c r="B71" i="12"/>
  <c r="A72" i="12"/>
  <c r="B72" i="12"/>
  <c r="A73" i="12"/>
  <c r="B73" i="12"/>
  <c r="A74" i="12"/>
  <c r="B74" i="12"/>
  <c r="A75" i="12"/>
  <c r="B75" i="12"/>
  <c r="A76" i="12"/>
  <c r="B76" i="12"/>
  <c r="A77" i="12"/>
  <c r="B77" i="12"/>
  <c r="A78" i="12"/>
  <c r="B78" i="12"/>
  <c r="A79" i="12"/>
  <c r="B79" i="12"/>
  <c r="A80" i="12"/>
  <c r="B80" i="12"/>
  <c r="A81" i="12"/>
  <c r="B81" i="12"/>
  <c r="A82" i="12"/>
  <c r="B82" i="12"/>
  <c r="A83" i="12"/>
  <c r="B83" i="12"/>
  <c r="A84" i="12"/>
  <c r="B84" i="12"/>
  <c r="A85" i="12"/>
  <c r="B85" i="12"/>
  <c r="A86" i="12"/>
  <c r="B86" i="12"/>
  <c r="A87" i="12"/>
  <c r="B87" i="12"/>
  <c r="A88" i="12"/>
  <c r="B88" i="12"/>
  <c r="A89" i="12"/>
  <c r="B89" i="12"/>
  <c r="A90" i="12"/>
  <c r="B90" i="12"/>
  <c r="A91" i="12"/>
  <c r="B91" i="12"/>
  <c r="A92" i="12"/>
  <c r="B92" i="12"/>
  <c r="A93" i="12"/>
  <c r="B93" i="12"/>
  <c r="A94" i="12"/>
  <c r="B94" i="12"/>
  <c r="A95" i="12"/>
  <c r="B95" i="12"/>
  <c r="A96" i="12"/>
  <c r="B96" i="12"/>
  <c r="A97" i="12"/>
  <c r="B97" i="12"/>
  <c r="A98" i="12"/>
  <c r="B98" i="12"/>
  <c r="A99" i="12"/>
  <c r="B99" i="12"/>
  <c r="A100" i="12"/>
  <c r="B100" i="12"/>
  <c r="A101" i="12"/>
  <c r="B101" i="12"/>
  <c r="A102" i="12"/>
  <c r="B102" i="12"/>
  <c r="A103" i="12"/>
  <c r="B103" i="12"/>
  <c r="A104" i="12"/>
  <c r="B104" i="12"/>
  <c r="A105" i="12"/>
  <c r="B105" i="12"/>
  <c r="A106" i="12"/>
  <c r="B106" i="12"/>
  <c r="A107" i="12"/>
  <c r="B107" i="12"/>
  <c r="A108" i="12"/>
  <c r="B108" i="12"/>
  <c r="A109" i="12"/>
  <c r="B109" i="12"/>
  <c r="A110" i="12"/>
  <c r="B110" i="12"/>
  <c r="A111" i="12"/>
  <c r="B111" i="12"/>
  <c r="A112" i="12"/>
  <c r="B112" i="12"/>
  <c r="A113" i="12"/>
  <c r="B113" i="12"/>
  <c r="A114" i="12"/>
  <c r="B114" i="12"/>
  <c r="A115" i="12"/>
  <c r="B115" i="12"/>
  <c r="A116" i="12"/>
  <c r="B116" i="12"/>
  <c r="A117" i="12"/>
  <c r="B117" i="12"/>
  <c r="A118" i="12"/>
  <c r="B118" i="12"/>
  <c r="A119" i="12"/>
  <c r="B119" i="12"/>
  <c r="A120" i="12"/>
  <c r="B120" i="12"/>
  <c r="A121" i="12"/>
  <c r="B121" i="12"/>
  <c r="A122" i="12"/>
  <c r="B122" i="12"/>
  <c r="A123" i="12"/>
  <c r="B123" i="12"/>
  <c r="A124" i="12"/>
  <c r="B124" i="12"/>
  <c r="A125" i="12"/>
  <c r="B125" i="12"/>
  <c r="A126" i="12"/>
  <c r="B126" i="12"/>
  <c r="A127" i="12"/>
  <c r="B127" i="12"/>
  <c r="A128" i="12"/>
  <c r="B128" i="12"/>
  <c r="A129" i="12"/>
  <c r="B129" i="12"/>
  <c r="A130" i="12"/>
  <c r="B130" i="12"/>
  <c r="A131" i="12"/>
  <c r="B131" i="12"/>
  <c r="A132" i="12"/>
  <c r="B132" i="12"/>
  <c r="A133" i="12"/>
  <c r="B133" i="12"/>
  <c r="A134" i="12"/>
  <c r="B134" i="12"/>
  <c r="A135" i="12"/>
  <c r="B135" i="12"/>
  <c r="A136" i="12"/>
  <c r="B136" i="12"/>
  <c r="A137" i="12"/>
  <c r="B137" i="12"/>
  <c r="A138" i="12"/>
  <c r="B138" i="12"/>
  <c r="A139" i="12"/>
  <c r="B139" i="12"/>
  <c r="A140" i="12"/>
  <c r="B140" i="12"/>
  <c r="A141" i="12"/>
  <c r="B141" i="12"/>
  <c r="A142" i="12"/>
  <c r="B142" i="12"/>
  <c r="A143" i="12"/>
  <c r="B143" i="12"/>
  <c r="A144" i="12"/>
  <c r="B144" i="12"/>
  <c r="A145" i="12"/>
  <c r="B145" i="12"/>
  <c r="A146" i="12"/>
  <c r="B146" i="12"/>
  <c r="A147" i="12"/>
  <c r="B147" i="12"/>
  <c r="A148" i="12"/>
  <c r="B148" i="12"/>
  <c r="A149" i="12"/>
  <c r="B149" i="12"/>
  <c r="A150" i="12"/>
  <c r="B150" i="12"/>
  <c r="A151" i="12"/>
  <c r="B151" i="12"/>
  <c r="A152" i="12"/>
  <c r="B152" i="12"/>
  <c r="A153" i="12"/>
  <c r="B153" i="12"/>
  <c r="A154" i="12"/>
  <c r="B154" i="12"/>
  <c r="A155" i="12"/>
  <c r="B155" i="12"/>
  <c r="A156" i="12"/>
  <c r="B156" i="12"/>
  <c r="A157" i="12"/>
  <c r="B157" i="12"/>
  <c r="A158" i="12"/>
  <c r="B158" i="12"/>
  <c r="A159" i="12"/>
  <c r="B159" i="12"/>
  <c r="A160" i="12"/>
  <c r="B160" i="12"/>
  <c r="A161" i="12"/>
  <c r="B161" i="12"/>
  <c r="A162" i="12"/>
  <c r="B162" i="12"/>
  <c r="A163" i="12"/>
  <c r="B163" i="12"/>
  <c r="A164" i="12"/>
  <c r="B164" i="12"/>
  <c r="A165" i="12"/>
  <c r="B165" i="12"/>
  <c r="A166" i="12"/>
  <c r="B166" i="12"/>
  <c r="A167" i="12"/>
  <c r="B167" i="12"/>
  <c r="A168" i="12"/>
  <c r="B168" i="12"/>
  <c r="A169" i="12"/>
  <c r="B169" i="12"/>
  <c r="A170" i="12"/>
  <c r="B170" i="12"/>
  <c r="A171" i="12"/>
  <c r="B171" i="12"/>
  <c r="A172" i="12"/>
  <c r="B172" i="12"/>
  <c r="A173" i="12"/>
  <c r="B173" i="12"/>
  <c r="A174" i="12"/>
  <c r="B174" i="12"/>
  <c r="A175" i="12"/>
  <c r="B175" i="12"/>
  <c r="A176" i="12"/>
  <c r="B176" i="12"/>
  <c r="A177" i="12"/>
  <c r="B177" i="12"/>
  <c r="A178" i="12"/>
  <c r="B178" i="12"/>
  <c r="A179" i="12"/>
  <c r="B179" i="12"/>
  <c r="A180" i="12"/>
  <c r="B180" i="12"/>
  <c r="A181" i="12"/>
  <c r="B181" i="12"/>
  <c r="A182" i="12"/>
  <c r="B182" i="12"/>
  <c r="A183" i="12"/>
  <c r="B183" i="12"/>
  <c r="A184" i="12"/>
  <c r="B184" i="12"/>
  <c r="A185" i="12"/>
  <c r="B185" i="12"/>
  <c r="A186" i="12"/>
  <c r="B186" i="12"/>
  <c r="A187" i="12"/>
  <c r="B187" i="12"/>
  <c r="A188" i="12"/>
  <c r="B188" i="12"/>
  <c r="A189" i="12"/>
  <c r="B189" i="12"/>
  <c r="A190" i="12"/>
  <c r="B190" i="12"/>
  <c r="A191" i="12"/>
  <c r="B191" i="12"/>
  <c r="A192" i="12"/>
  <c r="B192" i="12"/>
  <c r="A193" i="12"/>
  <c r="B193" i="12"/>
  <c r="A194" i="12"/>
  <c r="B194" i="12"/>
  <c r="A195" i="12"/>
  <c r="B195" i="12"/>
  <c r="A196" i="12"/>
  <c r="B196" i="12"/>
  <c r="A197" i="12"/>
  <c r="B197" i="12"/>
  <c r="A198" i="12"/>
  <c r="B198" i="12"/>
  <c r="A199" i="12"/>
  <c r="B199" i="12"/>
  <c r="A200" i="12"/>
  <c r="B200" i="12"/>
  <c r="A201" i="12"/>
  <c r="B201" i="12"/>
  <c r="A202" i="12"/>
  <c r="B202" i="12"/>
  <c r="A203" i="12"/>
  <c r="B203" i="12"/>
  <c r="A204" i="12"/>
  <c r="B204" i="12"/>
  <c r="A205" i="12"/>
  <c r="B205" i="12"/>
  <c r="A206" i="12"/>
  <c r="B206" i="12"/>
  <c r="A207" i="12"/>
  <c r="B207" i="12"/>
  <c r="A208" i="12"/>
  <c r="B208" i="12"/>
  <c r="A209" i="12"/>
  <c r="B209" i="12"/>
  <c r="A210" i="12"/>
  <c r="B210" i="12"/>
  <c r="A211" i="12"/>
  <c r="B211" i="12"/>
  <c r="A212" i="12"/>
  <c r="B212" i="12"/>
  <c r="A213" i="12"/>
  <c r="B213" i="12"/>
  <c r="A214" i="12"/>
  <c r="B214" i="12"/>
  <c r="A215" i="12"/>
  <c r="B215" i="12"/>
  <c r="A216" i="12"/>
  <c r="B216" i="12"/>
  <c r="A217" i="12"/>
  <c r="B217" i="12"/>
  <c r="A218" i="12"/>
  <c r="B218" i="12"/>
  <c r="A219" i="12"/>
  <c r="B219" i="12"/>
  <c r="A220" i="12"/>
  <c r="B220" i="12"/>
  <c r="A221" i="12"/>
  <c r="B221" i="12"/>
  <c r="A222" i="12"/>
  <c r="B222" i="12"/>
  <c r="A223" i="12"/>
  <c r="B223" i="12"/>
  <c r="A224" i="12"/>
  <c r="B224" i="12"/>
  <c r="A225" i="12"/>
  <c r="B225" i="12"/>
  <c r="A226" i="12"/>
  <c r="B226" i="12"/>
  <c r="A227" i="12"/>
  <c r="B227" i="12"/>
  <c r="A228" i="12"/>
  <c r="B228" i="12"/>
  <c r="A229" i="12"/>
  <c r="B229" i="12"/>
  <c r="A230" i="12"/>
  <c r="B230" i="12"/>
  <c r="A231" i="12"/>
  <c r="B231" i="12"/>
  <c r="A232" i="12"/>
  <c r="B232" i="12"/>
  <c r="A233" i="12"/>
  <c r="B233" i="12"/>
  <c r="A234" i="12"/>
  <c r="B234" i="12"/>
  <c r="A235" i="12"/>
  <c r="B235" i="12"/>
  <c r="A236" i="12"/>
  <c r="B236" i="12"/>
  <c r="A237" i="12"/>
  <c r="B237" i="12"/>
  <c r="A238" i="12"/>
  <c r="B238" i="12"/>
  <c r="A239" i="12"/>
  <c r="B239" i="12"/>
  <c r="A240" i="12"/>
  <c r="B240" i="12"/>
  <c r="A241" i="12"/>
  <c r="B241" i="12"/>
  <c r="A242" i="12"/>
  <c r="B242" i="12"/>
  <c r="A243" i="12"/>
  <c r="B243" i="12"/>
  <c r="A244" i="12"/>
  <c r="B244" i="12"/>
  <c r="A245" i="12"/>
  <c r="B245" i="12"/>
  <c r="A246" i="12"/>
  <c r="B246" i="12"/>
  <c r="A247" i="12"/>
  <c r="B247" i="12"/>
  <c r="A248" i="12"/>
  <c r="B248" i="12"/>
  <c r="A249" i="12"/>
  <c r="B249" i="12"/>
  <c r="A250" i="12"/>
  <c r="B250" i="12"/>
  <c r="A251" i="12"/>
  <c r="B251" i="12"/>
  <c r="A252" i="12"/>
  <c r="B252" i="12"/>
  <c r="A253" i="12"/>
  <c r="B253" i="12"/>
  <c r="A254" i="12"/>
  <c r="B254" i="12"/>
  <c r="A255" i="12"/>
  <c r="B255" i="12"/>
  <c r="A256" i="12"/>
  <c r="B256" i="12"/>
  <c r="A257" i="12"/>
  <c r="B257" i="12"/>
  <c r="A258" i="12"/>
  <c r="B258" i="12"/>
  <c r="A259" i="12"/>
  <c r="B259" i="12"/>
  <c r="A260" i="12"/>
  <c r="B260" i="12"/>
  <c r="A261" i="12"/>
  <c r="B261" i="12"/>
  <c r="A262" i="12"/>
  <c r="B262" i="12"/>
  <c r="A263" i="12"/>
  <c r="B263" i="12"/>
  <c r="A264" i="12"/>
  <c r="B264" i="12"/>
  <c r="A265" i="12"/>
  <c r="B265" i="12"/>
  <c r="A266" i="12"/>
  <c r="B266" i="12"/>
  <c r="A267" i="12"/>
  <c r="B267" i="12"/>
  <c r="A268" i="12"/>
  <c r="B268" i="12"/>
  <c r="A269" i="12"/>
  <c r="B269" i="12"/>
  <c r="A270" i="12"/>
  <c r="B270" i="12"/>
  <c r="A271" i="12"/>
  <c r="B271" i="12"/>
  <c r="A272" i="12"/>
  <c r="B272" i="12"/>
  <c r="A273" i="12"/>
  <c r="B273" i="12"/>
  <c r="A274" i="12"/>
  <c r="B274" i="12"/>
  <c r="A275" i="12"/>
  <c r="B275" i="12"/>
  <c r="A276" i="12"/>
  <c r="B276" i="12"/>
  <c r="A277" i="12"/>
  <c r="B277" i="12"/>
  <c r="A278" i="12"/>
  <c r="B278" i="12"/>
  <c r="A279" i="12"/>
  <c r="B279" i="12"/>
  <c r="A280" i="12"/>
  <c r="B280" i="12"/>
  <c r="A281" i="12"/>
  <c r="B281" i="12"/>
  <c r="A282" i="12"/>
  <c r="B282" i="12"/>
  <c r="A283" i="12"/>
  <c r="B283" i="12"/>
  <c r="A284" i="12"/>
  <c r="B284" i="12"/>
  <c r="A285" i="12"/>
  <c r="B285" i="12"/>
  <c r="A286" i="12"/>
  <c r="B286" i="12"/>
  <c r="A287" i="12"/>
  <c r="B287" i="12"/>
  <c r="A288" i="12"/>
  <c r="B288" i="12"/>
  <c r="A289" i="12"/>
  <c r="B289" i="12"/>
  <c r="A290" i="12"/>
  <c r="B290" i="12"/>
  <c r="A291" i="12"/>
  <c r="B291" i="12"/>
  <c r="A292" i="12"/>
  <c r="B292" i="12"/>
  <c r="A293" i="12"/>
  <c r="B293" i="12"/>
  <c r="A294" i="12"/>
  <c r="B294" i="12"/>
  <c r="A295" i="12"/>
  <c r="B295" i="12"/>
  <c r="A296" i="12"/>
  <c r="B296" i="12"/>
  <c r="A297" i="12"/>
  <c r="B297" i="12"/>
  <c r="A298" i="12"/>
  <c r="B298" i="12"/>
  <c r="A299" i="12"/>
  <c r="B299" i="12"/>
  <c r="A300" i="12"/>
  <c r="B300" i="12"/>
  <c r="A301" i="12"/>
  <c r="B301" i="12"/>
  <c r="A302" i="12"/>
  <c r="B302" i="12"/>
  <c r="A303" i="12"/>
  <c r="B303" i="12"/>
  <c r="A304" i="12"/>
  <c r="B304" i="12"/>
  <c r="A305" i="12"/>
  <c r="B305" i="12"/>
  <c r="A306" i="12"/>
  <c r="B306" i="12"/>
  <c r="A307" i="12"/>
  <c r="B307" i="12"/>
  <c r="A308" i="12"/>
  <c r="B308" i="12"/>
  <c r="A309" i="12"/>
  <c r="B309" i="12"/>
  <c r="A310" i="12"/>
  <c r="B310" i="12"/>
  <c r="A311" i="12"/>
  <c r="B311" i="12"/>
  <c r="A312" i="12"/>
  <c r="B312" i="12"/>
  <c r="A313" i="12"/>
  <c r="B313" i="12"/>
  <c r="A17" i="34"/>
  <c r="B17" i="34"/>
  <c r="D17" i="34"/>
  <c r="A18" i="34"/>
  <c r="B18" i="34"/>
  <c r="D18" i="34"/>
  <c r="A19" i="34"/>
  <c r="B19" i="34"/>
  <c r="D19" i="34"/>
  <c r="A20" i="34"/>
  <c r="B20" i="34"/>
  <c r="D20" i="34"/>
  <c r="A21" i="34"/>
  <c r="B21" i="34"/>
  <c r="D21" i="34"/>
  <c r="A22" i="34"/>
  <c r="B22" i="34"/>
  <c r="D22" i="34"/>
  <c r="A23" i="34"/>
  <c r="B23" i="34"/>
  <c r="D23" i="34"/>
  <c r="A24" i="34"/>
  <c r="B24" i="34"/>
  <c r="D24" i="34"/>
  <c r="A25" i="34"/>
  <c r="B25" i="34"/>
  <c r="D25" i="34"/>
  <c r="A26" i="34"/>
  <c r="B26" i="34"/>
  <c r="D26" i="34"/>
  <c r="A27" i="34"/>
  <c r="B27" i="34"/>
  <c r="D27" i="34"/>
  <c r="A28" i="34"/>
  <c r="B28" i="34"/>
  <c r="D28" i="34"/>
  <c r="A29" i="34"/>
  <c r="B29" i="34"/>
  <c r="D29" i="34"/>
  <c r="A30" i="34"/>
  <c r="B30" i="34"/>
  <c r="D30" i="34"/>
  <c r="A31" i="34"/>
  <c r="B31" i="34"/>
  <c r="D31" i="34"/>
  <c r="A32" i="34"/>
  <c r="B32" i="34"/>
  <c r="D32" i="34"/>
  <c r="A33" i="34"/>
  <c r="B33" i="34"/>
  <c r="D33" i="34"/>
  <c r="A34" i="34"/>
  <c r="B34" i="34"/>
  <c r="D34" i="34"/>
  <c r="A35" i="34"/>
  <c r="B35" i="34"/>
  <c r="D35" i="34"/>
  <c r="A36" i="34"/>
  <c r="B36" i="34"/>
  <c r="D36" i="34"/>
  <c r="A37" i="34"/>
  <c r="B37" i="34"/>
  <c r="D37" i="34"/>
  <c r="A38" i="34"/>
  <c r="B38" i="34"/>
  <c r="D38" i="34"/>
  <c r="A39" i="34"/>
  <c r="B39" i="34"/>
  <c r="D39" i="34"/>
  <c r="A40" i="34"/>
  <c r="B40" i="34"/>
  <c r="D40" i="34"/>
  <c r="A41" i="34"/>
  <c r="B41" i="34"/>
  <c r="D41" i="34"/>
  <c r="A42" i="34"/>
  <c r="B42" i="34"/>
  <c r="D42" i="34"/>
  <c r="A43" i="34"/>
  <c r="B43" i="34"/>
  <c r="D43" i="34"/>
  <c r="A44" i="34"/>
  <c r="B44" i="34"/>
  <c r="D44" i="34"/>
  <c r="A45" i="34"/>
  <c r="B45" i="34"/>
  <c r="D45" i="34"/>
  <c r="A46" i="34"/>
  <c r="B46" i="34"/>
  <c r="D46" i="34"/>
  <c r="A47" i="34"/>
  <c r="B47" i="34"/>
  <c r="D47" i="34"/>
  <c r="A48" i="34"/>
  <c r="B48" i="34"/>
  <c r="D48" i="34"/>
  <c r="A49" i="34"/>
  <c r="B49" i="34"/>
  <c r="D49" i="34"/>
  <c r="A50" i="34"/>
  <c r="B50" i="34"/>
  <c r="D50" i="34"/>
  <c r="A51" i="34"/>
  <c r="B51" i="34"/>
  <c r="D51" i="34"/>
  <c r="A52" i="34"/>
  <c r="B52" i="34"/>
  <c r="D52" i="34"/>
  <c r="A53" i="34"/>
  <c r="B53" i="34"/>
  <c r="D53" i="34"/>
  <c r="A54" i="34"/>
  <c r="B54" i="34"/>
  <c r="D54" i="34"/>
  <c r="A55" i="34"/>
  <c r="B55" i="34"/>
  <c r="D55" i="34"/>
  <c r="A56" i="34"/>
  <c r="B56" i="34"/>
  <c r="D56" i="34"/>
  <c r="A57" i="34"/>
  <c r="B57" i="34"/>
  <c r="D57" i="34"/>
  <c r="A58" i="34"/>
  <c r="B58" i="34"/>
  <c r="D58" i="34"/>
  <c r="A59" i="34"/>
  <c r="B59" i="34"/>
  <c r="D59" i="34"/>
  <c r="A60" i="34"/>
  <c r="B60" i="34"/>
  <c r="D60" i="34"/>
  <c r="A61" i="34"/>
  <c r="B61" i="34"/>
  <c r="D61" i="34"/>
  <c r="A62" i="34"/>
  <c r="B62" i="34"/>
  <c r="D62" i="34"/>
  <c r="A63" i="34"/>
  <c r="B63" i="34"/>
  <c r="D63" i="34"/>
  <c r="A64" i="34"/>
  <c r="B64" i="34"/>
  <c r="D64" i="34"/>
  <c r="A65" i="34"/>
  <c r="B65" i="34"/>
  <c r="D65" i="34"/>
  <c r="A66" i="34"/>
  <c r="B66" i="34"/>
  <c r="D66" i="34"/>
  <c r="A67" i="34"/>
  <c r="B67" i="34"/>
  <c r="D67" i="34"/>
  <c r="A68" i="34"/>
  <c r="B68" i="34"/>
  <c r="D68" i="34"/>
  <c r="A69" i="34"/>
  <c r="B69" i="34"/>
  <c r="D69" i="34"/>
  <c r="A70" i="34"/>
  <c r="B70" i="34"/>
  <c r="D70" i="34"/>
  <c r="A71" i="34"/>
  <c r="B71" i="34"/>
  <c r="D71" i="34"/>
  <c r="A72" i="34"/>
  <c r="B72" i="34"/>
  <c r="D72" i="34"/>
  <c r="A73" i="34"/>
  <c r="B73" i="34"/>
  <c r="D73" i="34"/>
  <c r="A74" i="34"/>
  <c r="B74" i="34"/>
  <c r="D74" i="34"/>
  <c r="A75" i="34"/>
  <c r="B75" i="34"/>
  <c r="D75" i="34"/>
  <c r="A76" i="34"/>
  <c r="B76" i="34"/>
  <c r="D76" i="34"/>
  <c r="A77" i="34"/>
  <c r="B77" i="34"/>
  <c r="D77" i="34"/>
  <c r="A78" i="34"/>
  <c r="B78" i="34"/>
  <c r="D78" i="34"/>
  <c r="A79" i="34"/>
  <c r="B79" i="34"/>
  <c r="D79" i="34"/>
  <c r="A80" i="34"/>
  <c r="B80" i="34"/>
  <c r="D80" i="34"/>
  <c r="A81" i="34"/>
  <c r="B81" i="34"/>
  <c r="D81" i="34"/>
  <c r="A82" i="34"/>
  <c r="B82" i="34"/>
  <c r="D82" i="34"/>
  <c r="A83" i="34"/>
  <c r="B83" i="34"/>
  <c r="D83" i="34"/>
  <c r="A84" i="34"/>
  <c r="B84" i="34"/>
  <c r="D84" i="34"/>
  <c r="A85" i="34"/>
  <c r="B85" i="34"/>
  <c r="D85" i="34"/>
  <c r="A86" i="34"/>
  <c r="B86" i="34"/>
  <c r="D86" i="34"/>
  <c r="A87" i="34"/>
  <c r="B87" i="34"/>
  <c r="D87" i="34"/>
  <c r="A88" i="34"/>
  <c r="B88" i="34"/>
  <c r="D88" i="34"/>
  <c r="A89" i="34"/>
  <c r="B89" i="34"/>
  <c r="D89" i="34"/>
  <c r="A90" i="34"/>
  <c r="B90" i="34"/>
  <c r="D90" i="34"/>
  <c r="A91" i="34"/>
  <c r="B91" i="34"/>
  <c r="D91" i="34"/>
  <c r="A92" i="34"/>
  <c r="B92" i="34"/>
  <c r="D92" i="34"/>
  <c r="A93" i="34"/>
  <c r="B93" i="34"/>
  <c r="D93" i="34"/>
  <c r="A94" i="34"/>
  <c r="B94" i="34"/>
  <c r="D94" i="34"/>
  <c r="A95" i="34"/>
  <c r="B95" i="34"/>
  <c r="D95" i="34"/>
  <c r="A96" i="34"/>
  <c r="B96" i="34"/>
  <c r="D96" i="34"/>
  <c r="A97" i="34"/>
  <c r="B97" i="34"/>
  <c r="D97" i="34"/>
  <c r="A98" i="34"/>
  <c r="B98" i="34"/>
  <c r="D98" i="34"/>
  <c r="A99" i="34"/>
  <c r="B99" i="34"/>
  <c r="D99" i="34"/>
  <c r="A100" i="34"/>
  <c r="B100" i="34"/>
  <c r="D100" i="34"/>
  <c r="A101" i="34"/>
  <c r="B101" i="34"/>
  <c r="D101" i="34"/>
  <c r="A102" i="34"/>
  <c r="B102" i="34"/>
  <c r="D102" i="34"/>
  <c r="A103" i="34"/>
  <c r="B103" i="34"/>
  <c r="D103" i="34"/>
  <c r="A104" i="34"/>
  <c r="B104" i="34"/>
  <c r="D104" i="34"/>
  <c r="A105" i="34"/>
  <c r="B105" i="34"/>
  <c r="D105" i="34"/>
  <c r="A106" i="34"/>
  <c r="B106" i="34"/>
  <c r="D106" i="34"/>
  <c r="A107" i="34"/>
  <c r="B107" i="34"/>
  <c r="D107" i="34"/>
  <c r="A108" i="34"/>
  <c r="B108" i="34"/>
  <c r="D108" i="34"/>
  <c r="A109" i="34"/>
  <c r="B109" i="34"/>
  <c r="D109" i="34"/>
  <c r="A110" i="34"/>
  <c r="B110" i="34"/>
  <c r="D110" i="34"/>
  <c r="A111" i="34"/>
  <c r="B111" i="34"/>
  <c r="D111" i="34"/>
  <c r="A112" i="34"/>
  <c r="B112" i="34"/>
  <c r="D112" i="34"/>
  <c r="A113" i="34"/>
  <c r="B113" i="34"/>
  <c r="D113" i="34"/>
  <c r="A114" i="34"/>
  <c r="B114" i="34"/>
  <c r="D114" i="34"/>
  <c r="A115" i="34"/>
  <c r="B115" i="34"/>
  <c r="D115" i="34"/>
  <c r="A116" i="34"/>
  <c r="B116" i="34"/>
  <c r="D116" i="34"/>
  <c r="A117" i="34"/>
  <c r="B117" i="34"/>
  <c r="D117" i="34"/>
  <c r="A118" i="34"/>
  <c r="B118" i="34"/>
  <c r="D118" i="34"/>
  <c r="A119" i="34"/>
  <c r="B119" i="34"/>
  <c r="D119" i="34"/>
  <c r="A120" i="34"/>
  <c r="B120" i="34"/>
  <c r="D120" i="34"/>
  <c r="A121" i="34"/>
  <c r="B121" i="34"/>
  <c r="D121" i="34"/>
  <c r="A122" i="34"/>
  <c r="B122" i="34"/>
  <c r="D122" i="34"/>
  <c r="A123" i="34"/>
  <c r="B123" i="34"/>
  <c r="D123" i="34"/>
  <c r="A124" i="34"/>
  <c r="B124" i="34"/>
  <c r="D124" i="34"/>
  <c r="A125" i="34"/>
  <c r="B125" i="34"/>
  <c r="D125" i="34"/>
  <c r="A126" i="34"/>
  <c r="B126" i="34"/>
  <c r="D126" i="34"/>
  <c r="A127" i="34"/>
  <c r="B127" i="34"/>
  <c r="D127" i="34"/>
  <c r="A128" i="34"/>
  <c r="B128" i="34"/>
  <c r="D128" i="34"/>
  <c r="A129" i="34"/>
  <c r="B129" i="34"/>
  <c r="D129" i="34"/>
  <c r="A130" i="34"/>
  <c r="B130" i="34"/>
  <c r="D130" i="34"/>
  <c r="A131" i="34"/>
  <c r="B131" i="34"/>
  <c r="D131" i="34"/>
  <c r="A132" i="34"/>
  <c r="B132" i="34"/>
  <c r="D132" i="34"/>
  <c r="A133" i="34"/>
  <c r="B133" i="34"/>
  <c r="D133" i="34"/>
  <c r="A134" i="34"/>
  <c r="B134" i="34"/>
  <c r="D134" i="34"/>
  <c r="A135" i="34"/>
  <c r="B135" i="34"/>
  <c r="D135" i="34"/>
  <c r="A136" i="34"/>
  <c r="B136" i="34"/>
  <c r="D136" i="34"/>
  <c r="A137" i="34"/>
  <c r="B137" i="34"/>
  <c r="D137" i="34"/>
  <c r="A138" i="34"/>
  <c r="B138" i="34"/>
  <c r="D138" i="34"/>
  <c r="A139" i="34"/>
  <c r="B139" i="34"/>
  <c r="D139" i="34"/>
  <c r="A140" i="34"/>
  <c r="B140" i="34"/>
  <c r="D140" i="34"/>
  <c r="A141" i="34"/>
  <c r="B141" i="34"/>
  <c r="D141" i="34"/>
  <c r="A142" i="34"/>
  <c r="B142" i="34"/>
  <c r="D142" i="34"/>
  <c r="A143" i="34"/>
  <c r="B143" i="34"/>
  <c r="D143" i="34"/>
  <c r="A144" i="34"/>
  <c r="B144" i="34"/>
  <c r="D144" i="34"/>
  <c r="A145" i="34"/>
  <c r="B145" i="34"/>
  <c r="D145" i="34"/>
  <c r="A146" i="34"/>
  <c r="B146" i="34"/>
  <c r="D146" i="34"/>
  <c r="A147" i="34"/>
  <c r="B147" i="34"/>
  <c r="D147" i="34"/>
  <c r="A148" i="34"/>
  <c r="B148" i="34"/>
  <c r="D148" i="34"/>
  <c r="A149" i="34"/>
  <c r="B149" i="34"/>
  <c r="D149" i="34"/>
  <c r="A150" i="34"/>
  <c r="B150" i="34"/>
  <c r="D150" i="34"/>
  <c r="A151" i="34"/>
  <c r="B151" i="34"/>
  <c r="D151" i="34"/>
  <c r="A152" i="34"/>
  <c r="B152" i="34"/>
  <c r="D152" i="34"/>
  <c r="A153" i="34"/>
  <c r="B153" i="34"/>
  <c r="D153" i="34"/>
  <c r="A154" i="34"/>
  <c r="B154" i="34"/>
  <c r="D154" i="34"/>
  <c r="A155" i="34"/>
  <c r="B155" i="34"/>
  <c r="D155" i="34"/>
  <c r="A156" i="34"/>
  <c r="B156" i="34"/>
  <c r="D156" i="34"/>
  <c r="A157" i="34"/>
  <c r="B157" i="34"/>
  <c r="D157" i="34"/>
  <c r="A158" i="34"/>
  <c r="B158" i="34"/>
  <c r="D158" i="34"/>
  <c r="A159" i="34"/>
  <c r="B159" i="34"/>
  <c r="D159" i="34"/>
  <c r="A160" i="34"/>
  <c r="B160" i="34"/>
  <c r="D160" i="34"/>
  <c r="A161" i="34"/>
  <c r="B161" i="34"/>
  <c r="D161" i="34"/>
  <c r="A162" i="34"/>
  <c r="B162" i="34"/>
  <c r="D162" i="34"/>
  <c r="A163" i="34"/>
  <c r="B163" i="34"/>
  <c r="D163" i="34"/>
  <c r="A164" i="34"/>
  <c r="B164" i="34"/>
  <c r="D164" i="34"/>
  <c r="A165" i="34"/>
  <c r="B165" i="34"/>
  <c r="D165" i="34"/>
  <c r="A166" i="34"/>
  <c r="B166" i="34"/>
  <c r="D166" i="34"/>
  <c r="A167" i="34"/>
  <c r="B167" i="34"/>
  <c r="D167" i="34"/>
  <c r="A168" i="34"/>
  <c r="B168" i="34"/>
  <c r="D168" i="34"/>
  <c r="A169" i="34"/>
  <c r="B169" i="34"/>
  <c r="D169" i="34"/>
  <c r="A170" i="34"/>
  <c r="B170" i="34"/>
  <c r="D170" i="34"/>
  <c r="A171" i="34"/>
  <c r="B171" i="34"/>
  <c r="D171" i="34"/>
  <c r="A172" i="34"/>
  <c r="B172" i="34"/>
  <c r="D172" i="34"/>
  <c r="A173" i="34"/>
  <c r="B173" i="34"/>
  <c r="D173" i="34"/>
  <c r="A174" i="34"/>
  <c r="B174" i="34"/>
  <c r="D174" i="34"/>
  <c r="A175" i="34"/>
  <c r="B175" i="34"/>
  <c r="D175" i="34"/>
  <c r="A176" i="34"/>
  <c r="B176" i="34"/>
  <c r="D176" i="34"/>
  <c r="A177" i="34"/>
  <c r="B177" i="34"/>
  <c r="D177" i="34"/>
  <c r="A178" i="34"/>
  <c r="B178" i="34"/>
  <c r="D178" i="34"/>
  <c r="A179" i="34"/>
  <c r="B179" i="34"/>
  <c r="D179" i="34"/>
  <c r="A180" i="34"/>
  <c r="B180" i="34"/>
  <c r="D180" i="34"/>
  <c r="A181" i="34"/>
  <c r="B181" i="34"/>
  <c r="D181" i="34"/>
  <c r="A182" i="34"/>
  <c r="B182" i="34"/>
  <c r="D182" i="34"/>
  <c r="A183" i="34"/>
  <c r="B183" i="34"/>
  <c r="D183" i="34"/>
  <c r="A184" i="34"/>
  <c r="B184" i="34"/>
  <c r="D184" i="34"/>
  <c r="A185" i="34"/>
  <c r="B185" i="34"/>
  <c r="D185" i="34"/>
  <c r="A186" i="34"/>
  <c r="B186" i="34"/>
  <c r="D186" i="34"/>
  <c r="A187" i="34"/>
  <c r="B187" i="34"/>
  <c r="D187" i="34"/>
  <c r="A188" i="34"/>
  <c r="B188" i="34"/>
  <c r="D188" i="34"/>
  <c r="A189" i="34"/>
  <c r="B189" i="34"/>
  <c r="D189" i="34"/>
  <c r="A190" i="34"/>
  <c r="B190" i="34"/>
  <c r="D190" i="34"/>
  <c r="A191" i="34"/>
  <c r="B191" i="34"/>
  <c r="D191" i="34"/>
  <c r="A192" i="34"/>
  <c r="B192" i="34"/>
  <c r="D192" i="34"/>
  <c r="A193" i="34"/>
  <c r="B193" i="34"/>
  <c r="D193" i="34"/>
  <c r="A194" i="34"/>
  <c r="B194" i="34"/>
  <c r="D194" i="34"/>
  <c r="A195" i="34"/>
  <c r="B195" i="34"/>
  <c r="D195" i="34"/>
  <c r="A196" i="34"/>
  <c r="B196" i="34"/>
  <c r="D196" i="34"/>
  <c r="A197" i="34"/>
  <c r="B197" i="34"/>
  <c r="D197" i="34"/>
  <c r="A198" i="34"/>
  <c r="B198" i="34"/>
  <c r="D198" i="34"/>
  <c r="A199" i="34"/>
  <c r="B199" i="34"/>
  <c r="D199" i="34"/>
  <c r="A200" i="34"/>
  <c r="B200" i="34"/>
  <c r="D200" i="34"/>
  <c r="A201" i="34"/>
  <c r="B201" i="34"/>
  <c r="D201" i="34"/>
  <c r="A202" i="34"/>
  <c r="B202" i="34"/>
  <c r="D202" i="34"/>
  <c r="A203" i="34"/>
  <c r="B203" i="34"/>
  <c r="D203" i="34"/>
  <c r="A204" i="34"/>
  <c r="B204" i="34"/>
  <c r="D204" i="34"/>
  <c r="A205" i="34"/>
  <c r="B205" i="34"/>
  <c r="D205" i="34"/>
  <c r="A206" i="34"/>
  <c r="B206" i="34"/>
  <c r="D206" i="34"/>
  <c r="A207" i="34"/>
  <c r="B207" i="34"/>
  <c r="D207" i="34"/>
  <c r="A208" i="34"/>
  <c r="B208" i="34"/>
  <c r="D208" i="34"/>
  <c r="A209" i="34"/>
  <c r="B209" i="34"/>
  <c r="D209" i="34"/>
  <c r="A210" i="34"/>
  <c r="B210" i="34"/>
  <c r="D210" i="34"/>
  <c r="A211" i="34"/>
  <c r="B211" i="34"/>
  <c r="D211" i="34"/>
  <c r="A212" i="34"/>
  <c r="B212" i="34"/>
  <c r="D212" i="34"/>
  <c r="A213" i="34"/>
  <c r="B213" i="34"/>
  <c r="D213" i="34"/>
  <c r="A214" i="34"/>
  <c r="B214" i="34"/>
  <c r="D214" i="34"/>
  <c r="A215" i="34"/>
  <c r="B215" i="34"/>
  <c r="D215" i="34"/>
  <c r="A216" i="34"/>
  <c r="B216" i="34"/>
  <c r="D216" i="34"/>
  <c r="A217" i="34"/>
  <c r="B217" i="34"/>
  <c r="D217" i="34"/>
  <c r="A218" i="34"/>
  <c r="B218" i="34"/>
  <c r="D218" i="34"/>
  <c r="A219" i="34"/>
  <c r="B219" i="34"/>
  <c r="D219" i="34"/>
  <c r="A220" i="34"/>
  <c r="B220" i="34"/>
  <c r="D220" i="34"/>
  <c r="A221" i="34"/>
  <c r="B221" i="34"/>
  <c r="D221" i="34"/>
  <c r="A222" i="34"/>
  <c r="B222" i="34"/>
  <c r="D222" i="34"/>
  <c r="A223" i="34"/>
  <c r="B223" i="34"/>
  <c r="D223" i="34"/>
  <c r="A224" i="34"/>
  <c r="B224" i="34"/>
  <c r="D224" i="34"/>
  <c r="A225" i="34"/>
  <c r="B225" i="34"/>
  <c r="D225" i="34"/>
  <c r="A226" i="34"/>
  <c r="B226" i="34"/>
  <c r="D226" i="34"/>
  <c r="A227" i="34"/>
  <c r="B227" i="34"/>
  <c r="D227" i="34"/>
  <c r="A228" i="34"/>
  <c r="B228" i="34"/>
  <c r="D228" i="34"/>
  <c r="A229" i="34"/>
  <c r="B229" i="34"/>
  <c r="D229" i="34"/>
  <c r="A230" i="34"/>
  <c r="B230" i="34"/>
  <c r="D230" i="34"/>
  <c r="A231" i="34"/>
  <c r="B231" i="34"/>
  <c r="D231" i="34"/>
  <c r="A232" i="34"/>
  <c r="B232" i="34"/>
  <c r="D232" i="34"/>
  <c r="A233" i="34"/>
  <c r="B233" i="34"/>
  <c r="D233" i="34"/>
  <c r="A234" i="34"/>
  <c r="B234" i="34"/>
  <c r="D234" i="34"/>
  <c r="A235" i="34"/>
  <c r="B235" i="34"/>
  <c r="D235" i="34"/>
  <c r="A236" i="34"/>
  <c r="B236" i="34"/>
  <c r="D236" i="34"/>
  <c r="A237" i="34"/>
  <c r="B237" i="34"/>
  <c r="D237" i="34"/>
  <c r="A238" i="34"/>
  <c r="B238" i="34"/>
  <c r="D238" i="34"/>
  <c r="A239" i="34"/>
  <c r="B239" i="34"/>
  <c r="D239" i="34"/>
  <c r="A240" i="34"/>
  <c r="B240" i="34"/>
  <c r="D240" i="34"/>
  <c r="A241" i="34"/>
  <c r="B241" i="34"/>
  <c r="D241" i="34"/>
  <c r="A242" i="34"/>
  <c r="B242" i="34"/>
  <c r="D242" i="34"/>
  <c r="A243" i="34"/>
  <c r="B243" i="34"/>
  <c r="D243" i="34"/>
  <c r="A244" i="34"/>
  <c r="B244" i="34"/>
  <c r="D244" i="34"/>
  <c r="A245" i="34"/>
  <c r="B245" i="34"/>
  <c r="D245" i="34"/>
  <c r="A246" i="34"/>
  <c r="B246" i="34"/>
  <c r="D246" i="34"/>
  <c r="A247" i="34"/>
  <c r="B247" i="34"/>
  <c r="D247" i="34"/>
  <c r="A248" i="34"/>
  <c r="B248" i="34"/>
  <c r="D248" i="34"/>
  <c r="A249" i="34"/>
  <c r="B249" i="34"/>
  <c r="D249" i="34"/>
  <c r="A250" i="34"/>
  <c r="B250" i="34"/>
  <c r="D250" i="34"/>
  <c r="A251" i="34"/>
  <c r="B251" i="34"/>
  <c r="D251" i="34"/>
  <c r="A252" i="34"/>
  <c r="B252" i="34"/>
  <c r="D252" i="34"/>
  <c r="A253" i="34"/>
  <c r="B253" i="34"/>
  <c r="D253" i="34"/>
  <c r="A254" i="34"/>
  <c r="B254" i="34"/>
  <c r="D254" i="34"/>
  <c r="A255" i="34"/>
  <c r="B255" i="34"/>
  <c r="D255" i="34"/>
  <c r="A256" i="34"/>
  <c r="B256" i="34"/>
  <c r="D256" i="34"/>
  <c r="A257" i="34"/>
  <c r="B257" i="34"/>
  <c r="D257" i="34"/>
  <c r="A258" i="34"/>
  <c r="B258" i="34"/>
  <c r="D258" i="34"/>
  <c r="A259" i="34"/>
  <c r="B259" i="34"/>
  <c r="D259" i="34"/>
  <c r="A260" i="34"/>
  <c r="B260" i="34"/>
  <c r="D260" i="34"/>
  <c r="A261" i="34"/>
  <c r="B261" i="34"/>
  <c r="D261" i="34"/>
  <c r="A262" i="34"/>
  <c r="B262" i="34"/>
  <c r="D262" i="34"/>
  <c r="A263" i="34"/>
  <c r="B263" i="34"/>
  <c r="D263" i="34"/>
  <c r="A264" i="34"/>
  <c r="B264" i="34"/>
  <c r="D264" i="34"/>
  <c r="A265" i="34"/>
  <c r="B265" i="34"/>
  <c r="D265" i="34"/>
  <c r="A266" i="34"/>
  <c r="B266" i="34"/>
  <c r="D266" i="34"/>
  <c r="A267" i="34"/>
  <c r="B267" i="34"/>
  <c r="D267" i="34"/>
  <c r="A268" i="34"/>
  <c r="B268" i="34"/>
  <c r="D268" i="34"/>
  <c r="A269" i="34"/>
  <c r="B269" i="34"/>
  <c r="D269" i="34"/>
  <c r="A270" i="34"/>
  <c r="B270" i="34"/>
  <c r="D270" i="34"/>
  <c r="A271" i="34"/>
  <c r="B271" i="34"/>
  <c r="D271" i="34"/>
  <c r="A272" i="34"/>
  <c r="B272" i="34"/>
  <c r="D272" i="34"/>
  <c r="A273" i="34"/>
  <c r="B273" i="34"/>
  <c r="D273" i="34"/>
  <c r="A274" i="34"/>
  <c r="B274" i="34"/>
  <c r="D274" i="34"/>
  <c r="A275" i="34"/>
  <c r="B275" i="34"/>
  <c r="D275" i="34"/>
  <c r="A276" i="34"/>
  <c r="B276" i="34"/>
  <c r="D276" i="34"/>
  <c r="A277" i="34"/>
  <c r="B277" i="34"/>
  <c r="D277" i="34"/>
  <c r="A278" i="34"/>
  <c r="B278" i="34"/>
  <c r="D278" i="34"/>
  <c r="A279" i="34"/>
  <c r="B279" i="34"/>
  <c r="D279" i="34"/>
  <c r="A280" i="34"/>
  <c r="B280" i="34"/>
  <c r="D280" i="34"/>
  <c r="A281" i="34"/>
  <c r="B281" i="34"/>
  <c r="D281" i="34"/>
  <c r="A282" i="34"/>
  <c r="B282" i="34"/>
  <c r="D282" i="34"/>
  <c r="A283" i="34"/>
  <c r="B283" i="34"/>
  <c r="D283" i="34"/>
  <c r="A284" i="34"/>
  <c r="B284" i="34"/>
  <c r="D284" i="34"/>
  <c r="A285" i="34"/>
  <c r="B285" i="34"/>
  <c r="D285" i="34"/>
  <c r="A286" i="34"/>
  <c r="B286" i="34"/>
  <c r="D286" i="34"/>
  <c r="A287" i="34"/>
  <c r="B287" i="34"/>
  <c r="D287" i="34"/>
  <c r="A288" i="34"/>
  <c r="B288" i="34"/>
  <c r="D288" i="34"/>
  <c r="A289" i="34"/>
  <c r="B289" i="34"/>
  <c r="D289" i="34"/>
  <c r="A290" i="34"/>
  <c r="B290" i="34"/>
  <c r="D290" i="34"/>
  <c r="A291" i="34"/>
  <c r="B291" i="34"/>
  <c r="D291" i="34"/>
  <c r="A292" i="34"/>
  <c r="B292" i="34"/>
  <c r="D292" i="34"/>
  <c r="A293" i="34"/>
  <c r="B293" i="34"/>
  <c r="D293" i="34"/>
  <c r="A294" i="34"/>
  <c r="B294" i="34"/>
  <c r="D294" i="34"/>
  <c r="A295" i="34"/>
  <c r="B295" i="34"/>
  <c r="D295" i="34"/>
  <c r="A296" i="34"/>
  <c r="B296" i="34"/>
  <c r="D296" i="34"/>
  <c r="A297" i="34"/>
  <c r="B297" i="34"/>
  <c r="D297" i="34"/>
  <c r="A298" i="34"/>
  <c r="B298" i="34"/>
  <c r="D298" i="34"/>
  <c r="A299" i="34"/>
  <c r="B299" i="34"/>
  <c r="D299" i="34"/>
  <c r="A300" i="34"/>
  <c r="B300" i="34"/>
  <c r="D300" i="34"/>
  <c r="A301" i="34"/>
  <c r="B301" i="34"/>
  <c r="D301" i="34"/>
  <c r="A302" i="34"/>
  <c r="B302" i="34"/>
  <c r="D302" i="34"/>
  <c r="A303" i="34"/>
  <c r="B303" i="34"/>
  <c r="D303" i="34"/>
  <c r="A304" i="34"/>
  <c r="B304" i="34"/>
  <c r="D304" i="34"/>
  <c r="A305" i="34"/>
  <c r="B305" i="34"/>
  <c r="D305" i="34"/>
  <c r="A306" i="34"/>
  <c r="B306" i="34"/>
  <c r="D306" i="34"/>
  <c r="A307" i="34"/>
  <c r="B307" i="34"/>
  <c r="D307" i="34"/>
  <c r="A308" i="34"/>
  <c r="B308" i="34"/>
  <c r="D308" i="34"/>
  <c r="A309" i="34"/>
  <c r="B309" i="34"/>
  <c r="D309" i="34"/>
  <c r="A310" i="34"/>
  <c r="B310" i="34"/>
  <c r="D310" i="34"/>
  <c r="A311" i="34"/>
  <c r="B311" i="34"/>
  <c r="D311" i="34"/>
  <c r="A312" i="34"/>
  <c r="B312" i="34"/>
  <c r="D312" i="34"/>
  <c r="A313" i="34"/>
  <c r="B313" i="34"/>
  <c r="D313" i="34"/>
  <c r="A314" i="34"/>
  <c r="B314" i="34"/>
  <c r="D314" i="34"/>
  <c r="A315" i="34"/>
  <c r="B315" i="34"/>
  <c r="D315" i="34"/>
  <c r="A316" i="34"/>
  <c r="B316" i="34"/>
  <c r="D316" i="34"/>
  <c r="A317" i="34"/>
  <c r="B317" i="34"/>
  <c r="D317" i="34"/>
  <c r="A318" i="34"/>
  <c r="B318" i="34"/>
  <c r="D318" i="34"/>
  <c r="A319" i="34"/>
  <c r="B319" i="34"/>
  <c r="D319" i="34"/>
  <c r="A320" i="34"/>
  <c r="B320" i="34"/>
  <c r="D320" i="34"/>
  <c r="A321" i="34"/>
  <c r="B321" i="34"/>
  <c r="D321" i="34"/>
  <c r="A322" i="34"/>
  <c r="B322" i="34"/>
  <c r="D322" i="34"/>
  <c r="A323" i="34"/>
  <c r="B323" i="34"/>
  <c r="D323" i="34"/>
  <c r="A324" i="34"/>
  <c r="B324" i="34"/>
  <c r="D324" i="34"/>
  <c r="A6" i="37"/>
  <c r="B6" i="37"/>
  <c r="C6" i="37"/>
  <c r="G6" i="37"/>
  <c r="A7" i="37"/>
  <c r="B7" i="37"/>
  <c r="C7" i="37"/>
  <c r="G7" i="37"/>
  <c r="A8" i="37"/>
  <c r="B8" i="37"/>
  <c r="C8" i="37"/>
  <c r="G8" i="37"/>
  <c r="A9" i="37"/>
  <c r="B9" i="37"/>
  <c r="C9" i="37"/>
  <c r="G9" i="37"/>
  <c r="A10" i="37"/>
  <c r="B10" i="37"/>
  <c r="C10" i="37"/>
  <c r="G10" i="37"/>
  <c r="A11" i="37"/>
  <c r="B11" i="37"/>
  <c r="C11" i="37"/>
  <c r="G11" i="37"/>
  <c r="A12" i="37"/>
  <c r="B12" i="37"/>
  <c r="C12" i="37"/>
  <c r="G12" i="37"/>
  <c r="A13" i="37"/>
  <c r="B13" i="37"/>
  <c r="C13" i="37"/>
  <c r="G13" i="37"/>
  <c r="A14" i="37"/>
  <c r="B14" i="37"/>
  <c r="C14" i="37"/>
  <c r="G14" i="37"/>
  <c r="A15" i="37"/>
  <c r="B15" i="37"/>
  <c r="C15" i="37"/>
  <c r="G15" i="37"/>
  <c r="A16" i="37"/>
  <c r="B16" i="37"/>
  <c r="C16" i="37"/>
  <c r="G16" i="37"/>
  <c r="A17" i="37"/>
  <c r="B17" i="37"/>
  <c r="C17" i="37"/>
  <c r="G17" i="37"/>
  <c r="A18" i="37"/>
  <c r="B18" i="37"/>
  <c r="C18" i="37"/>
  <c r="G18" i="37"/>
  <c r="A19" i="37"/>
  <c r="B19" i="37"/>
  <c r="C19" i="37"/>
  <c r="G19" i="37"/>
  <c r="A20" i="37"/>
  <c r="B20" i="37"/>
  <c r="C20" i="37"/>
  <c r="G20" i="37"/>
  <c r="A21" i="37"/>
  <c r="B21" i="37"/>
  <c r="C21" i="37"/>
  <c r="G21" i="37"/>
  <c r="A22" i="37"/>
  <c r="B22" i="37"/>
  <c r="C22" i="37"/>
  <c r="G22" i="37"/>
  <c r="A23" i="37"/>
  <c r="B23" i="37"/>
  <c r="C23" i="37"/>
  <c r="G23" i="37"/>
  <c r="A24" i="37"/>
  <c r="B24" i="37"/>
  <c r="C24" i="37"/>
  <c r="G24" i="37"/>
  <c r="A25" i="37"/>
  <c r="B25" i="37"/>
  <c r="C25" i="37"/>
  <c r="G25" i="37"/>
  <c r="A26" i="37"/>
  <c r="B26" i="37"/>
  <c r="C26" i="37"/>
  <c r="G26" i="37"/>
  <c r="A27" i="37"/>
  <c r="B27" i="37"/>
  <c r="C27" i="37"/>
  <c r="G27" i="37"/>
  <c r="A28" i="37"/>
  <c r="B28" i="37"/>
  <c r="C28" i="37"/>
  <c r="G28" i="37"/>
  <c r="A29" i="37"/>
  <c r="B29" i="37"/>
  <c r="C29" i="37"/>
  <c r="G29" i="37"/>
  <c r="A30" i="37"/>
  <c r="B30" i="37"/>
  <c r="C30" i="37"/>
  <c r="G30" i="37"/>
  <c r="A31" i="37"/>
  <c r="B31" i="37"/>
  <c r="C31" i="37"/>
  <c r="G31" i="37"/>
  <c r="A32" i="37"/>
  <c r="B32" i="37"/>
  <c r="C32" i="37"/>
  <c r="G32" i="37"/>
  <c r="A33" i="37"/>
  <c r="B33" i="37"/>
  <c r="C33" i="37"/>
  <c r="G33" i="37"/>
  <c r="A34" i="37"/>
  <c r="B34" i="37"/>
  <c r="C34" i="37"/>
  <c r="G34" i="37"/>
  <c r="A35" i="37"/>
  <c r="B35" i="37"/>
  <c r="C35" i="37"/>
  <c r="G35" i="37"/>
  <c r="A36" i="37"/>
  <c r="B36" i="37"/>
  <c r="C36" i="37"/>
  <c r="G36" i="37"/>
  <c r="A37" i="37"/>
  <c r="B37" i="37"/>
  <c r="C37" i="37"/>
  <c r="G37" i="37"/>
  <c r="A38" i="37"/>
  <c r="B38" i="37"/>
  <c r="C38" i="37"/>
  <c r="G38" i="37"/>
  <c r="A39" i="37"/>
  <c r="B39" i="37"/>
  <c r="C39" i="37"/>
  <c r="G39" i="37"/>
  <c r="A40" i="37"/>
  <c r="B40" i="37"/>
  <c r="C40" i="37"/>
  <c r="G40" i="37"/>
  <c r="A41" i="37"/>
  <c r="B41" i="37"/>
  <c r="C41" i="37"/>
  <c r="G41" i="37"/>
  <c r="A42" i="37"/>
  <c r="B42" i="37"/>
  <c r="C42" i="37"/>
  <c r="G42" i="37"/>
  <c r="A43" i="37"/>
  <c r="B43" i="37"/>
  <c r="C43" i="37"/>
  <c r="G43" i="37"/>
  <c r="A44" i="37"/>
  <c r="B44" i="37"/>
  <c r="C44" i="37"/>
  <c r="G44" i="37"/>
  <c r="A45" i="37"/>
  <c r="B45" i="37"/>
  <c r="C45" i="37"/>
  <c r="G45" i="37"/>
  <c r="A46" i="37"/>
  <c r="B46" i="37"/>
  <c r="C46" i="37"/>
  <c r="G46" i="37"/>
  <c r="A47" i="37"/>
  <c r="B47" i="37"/>
  <c r="C47" i="37"/>
  <c r="G47" i="37"/>
  <c r="A48" i="37"/>
  <c r="B48" i="37"/>
  <c r="C48" i="37"/>
  <c r="G48" i="37"/>
  <c r="A49" i="37"/>
  <c r="B49" i="37"/>
  <c r="C49" i="37"/>
  <c r="G49" i="37"/>
  <c r="A50" i="37"/>
  <c r="B50" i="37"/>
  <c r="C50" i="37"/>
  <c r="G50" i="37"/>
  <c r="A51" i="37"/>
  <c r="B51" i="37"/>
  <c r="C51" i="37"/>
  <c r="G51" i="37"/>
  <c r="A52" i="37"/>
  <c r="B52" i="37"/>
  <c r="C52" i="37"/>
  <c r="G52" i="37"/>
  <c r="A53" i="37"/>
  <c r="B53" i="37"/>
  <c r="C53" i="37"/>
  <c r="G53" i="37"/>
  <c r="A54" i="37"/>
  <c r="B54" i="37"/>
  <c r="C54" i="37"/>
  <c r="G54" i="37"/>
  <c r="A55" i="37"/>
  <c r="B55" i="37"/>
  <c r="C55" i="37"/>
  <c r="G55" i="37"/>
  <c r="A56" i="37"/>
  <c r="B56" i="37"/>
  <c r="C56" i="37"/>
  <c r="G56" i="37"/>
  <c r="A57" i="37"/>
  <c r="B57" i="37"/>
  <c r="C57" i="37"/>
  <c r="G57" i="37"/>
  <c r="A58" i="37"/>
  <c r="B58" i="37"/>
  <c r="C58" i="37"/>
  <c r="G58" i="37"/>
  <c r="A59" i="37"/>
  <c r="B59" i="37"/>
  <c r="C59" i="37"/>
  <c r="G59" i="37"/>
  <c r="A60" i="37"/>
  <c r="B60" i="37"/>
  <c r="C60" i="37"/>
  <c r="G60" i="37"/>
  <c r="A61" i="37"/>
  <c r="B61" i="37"/>
  <c r="C61" i="37"/>
  <c r="G61" i="37"/>
  <c r="A62" i="37"/>
  <c r="B62" i="37"/>
  <c r="C62" i="37"/>
  <c r="G62" i="37"/>
  <c r="A63" i="37"/>
  <c r="B63" i="37"/>
  <c r="C63" i="37"/>
  <c r="G63" i="37"/>
  <c r="A64" i="37"/>
  <c r="B64" i="37"/>
  <c r="C64" i="37"/>
  <c r="G64" i="37"/>
  <c r="A65" i="37"/>
  <c r="B65" i="37"/>
  <c r="C65" i="37"/>
  <c r="G65" i="37"/>
  <c r="A66" i="37"/>
  <c r="B66" i="37"/>
  <c r="C66" i="37"/>
  <c r="G66" i="37"/>
  <c r="A67" i="37"/>
  <c r="B67" i="37"/>
  <c r="C67" i="37"/>
  <c r="G67" i="37"/>
  <c r="A68" i="37"/>
  <c r="B68" i="37"/>
  <c r="C68" i="37"/>
  <c r="G68" i="37"/>
  <c r="A69" i="37"/>
  <c r="B69" i="37"/>
  <c r="C69" i="37"/>
  <c r="G69" i="37"/>
  <c r="A70" i="37"/>
  <c r="B70" i="37"/>
  <c r="C70" i="37"/>
  <c r="G70" i="37"/>
  <c r="A71" i="37"/>
  <c r="B71" i="37"/>
  <c r="C71" i="37"/>
  <c r="G71" i="37"/>
  <c r="A72" i="37"/>
  <c r="B72" i="37"/>
  <c r="C72" i="37"/>
  <c r="G72" i="37"/>
  <c r="A73" i="37"/>
  <c r="B73" i="37"/>
  <c r="C73" i="37"/>
  <c r="G73" i="37"/>
  <c r="A74" i="37"/>
  <c r="B74" i="37"/>
  <c r="C74" i="37"/>
  <c r="G74" i="37"/>
  <c r="A75" i="37"/>
  <c r="B75" i="37"/>
  <c r="C75" i="37"/>
  <c r="G75" i="37"/>
  <c r="A76" i="37"/>
  <c r="B76" i="37"/>
  <c r="C76" i="37"/>
  <c r="G76" i="37"/>
  <c r="A77" i="37"/>
  <c r="B77" i="37"/>
  <c r="C77" i="37"/>
  <c r="G77" i="37"/>
  <c r="A78" i="37"/>
  <c r="B78" i="37"/>
  <c r="C78" i="37"/>
  <c r="G78" i="37"/>
  <c r="A79" i="37"/>
  <c r="B79" i="37"/>
  <c r="C79" i="37"/>
  <c r="G79" i="37"/>
  <c r="A80" i="37"/>
  <c r="B80" i="37"/>
  <c r="C80" i="37"/>
  <c r="G80" i="37"/>
  <c r="A81" i="37"/>
  <c r="B81" i="37"/>
  <c r="C81" i="37"/>
  <c r="G81" i="37"/>
  <c r="A82" i="37"/>
  <c r="B82" i="37"/>
  <c r="C82" i="37"/>
  <c r="G82" i="37"/>
  <c r="A83" i="37"/>
  <c r="B83" i="37"/>
  <c r="C83" i="37"/>
  <c r="G83" i="37"/>
  <c r="A84" i="37"/>
  <c r="B84" i="37"/>
  <c r="C84" i="37"/>
  <c r="G84" i="37"/>
  <c r="A85" i="37"/>
  <c r="B85" i="37"/>
  <c r="C85" i="37"/>
  <c r="G85" i="37"/>
  <c r="A86" i="37"/>
  <c r="B86" i="37"/>
  <c r="C86" i="37"/>
  <c r="G86" i="37"/>
  <c r="A87" i="37"/>
  <c r="B87" i="37"/>
  <c r="C87" i="37"/>
  <c r="G87" i="37"/>
  <c r="A88" i="37"/>
  <c r="B88" i="37"/>
  <c r="C88" i="37"/>
  <c r="G88" i="37"/>
  <c r="A89" i="37"/>
  <c r="B89" i="37"/>
  <c r="C89" i="37"/>
  <c r="G89" i="37"/>
  <c r="A90" i="37"/>
  <c r="B90" i="37"/>
  <c r="C90" i="37"/>
  <c r="G90" i="37"/>
  <c r="A91" i="37"/>
  <c r="B91" i="37"/>
  <c r="C91" i="37"/>
  <c r="G91" i="37"/>
  <c r="A92" i="37"/>
  <c r="B92" i="37"/>
  <c r="C92" i="37"/>
  <c r="G92" i="37"/>
  <c r="A93" i="37"/>
  <c r="B93" i="37"/>
  <c r="C93" i="37"/>
  <c r="G93" i="37"/>
  <c r="A94" i="37"/>
  <c r="B94" i="37"/>
  <c r="C94" i="37"/>
  <c r="G94" i="37"/>
  <c r="A95" i="37"/>
  <c r="B95" i="37"/>
  <c r="C95" i="37"/>
  <c r="G95" i="37"/>
  <c r="A96" i="37"/>
  <c r="B96" i="37"/>
  <c r="C96" i="37"/>
  <c r="G96" i="37"/>
  <c r="A97" i="37"/>
  <c r="B97" i="37"/>
  <c r="C97" i="37"/>
  <c r="G97" i="37"/>
  <c r="A98" i="37"/>
  <c r="B98" i="37"/>
  <c r="C98" i="37"/>
  <c r="G98" i="37"/>
  <c r="A99" i="37"/>
  <c r="B99" i="37"/>
  <c r="C99" i="37"/>
  <c r="G99" i="37"/>
  <c r="A100" i="37"/>
  <c r="B100" i="37"/>
  <c r="C100" i="37"/>
  <c r="G100" i="37"/>
  <c r="A101" i="37"/>
  <c r="B101" i="37"/>
  <c r="C101" i="37"/>
  <c r="G101" i="37"/>
  <c r="A102" i="37"/>
  <c r="B102" i="37"/>
  <c r="C102" i="37"/>
  <c r="G102" i="37"/>
  <c r="A103" i="37"/>
  <c r="B103" i="37"/>
  <c r="C103" i="37"/>
  <c r="G103" i="37"/>
  <c r="A104" i="37"/>
  <c r="B104" i="37"/>
  <c r="C104" i="37"/>
  <c r="G104" i="37"/>
  <c r="A105" i="37"/>
  <c r="B105" i="37"/>
  <c r="C105" i="37"/>
  <c r="G105" i="37"/>
  <c r="A106" i="37"/>
  <c r="B106" i="37"/>
  <c r="C106" i="37"/>
  <c r="G106" i="37"/>
  <c r="A107" i="37"/>
  <c r="B107" i="37"/>
  <c r="C107" i="37"/>
  <c r="G107" i="37"/>
  <c r="A108" i="37"/>
  <c r="B108" i="37"/>
  <c r="C108" i="37"/>
  <c r="G108" i="37"/>
  <c r="A109" i="37"/>
  <c r="B109" i="37"/>
  <c r="C109" i="37"/>
  <c r="G109" i="37"/>
  <c r="A110" i="37"/>
  <c r="B110" i="37"/>
  <c r="C110" i="37"/>
  <c r="G110" i="37"/>
  <c r="A111" i="37"/>
  <c r="B111" i="37"/>
  <c r="C111" i="37"/>
  <c r="G111" i="37"/>
  <c r="A112" i="37"/>
  <c r="B112" i="37"/>
  <c r="C112" i="37"/>
  <c r="G112" i="37"/>
  <c r="A113" i="37"/>
  <c r="B113" i="37"/>
  <c r="C113" i="37"/>
  <c r="G113" i="37"/>
  <c r="A114" i="37"/>
  <c r="B114" i="37"/>
  <c r="C114" i="37"/>
  <c r="G114" i="37"/>
  <c r="A115" i="37"/>
  <c r="B115" i="37"/>
  <c r="C115" i="37"/>
  <c r="G115" i="37"/>
  <c r="A116" i="37"/>
  <c r="B116" i="37"/>
  <c r="C116" i="37"/>
  <c r="G116" i="37"/>
  <c r="A117" i="37"/>
  <c r="B117" i="37"/>
  <c r="C117" i="37"/>
  <c r="G117" i="37"/>
  <c r="A118" i="37"/>
  <c r="B118" i="37"/>
  <c r="C118" i="37"/>
  <c r="G118" i="37"/>
  <c r="A119" i="37"/>
  <c r="B119" i="37"/>
  <c r="C119" i="37"/>
  <c r="G119" i="37"/>
  <c r="A120" i="37"/>
  <c r="B120" i="37"/>
  <c r="C120" i="37"/>
  <c r="G120" i="37"/>
  <c r="A121" i="37"/>
  <c r="B121" i="37"/>
  <c r="C121" i="37"/>
  <c r="G121" i="37"/>
  <c r="A122" i="37"/>
  <c r="B122" i="37"/>
  <c r="C122" i="37"/>
  <c r="G122" i="37"/>
  <c r="A123" i="37"/>
  <c r="B123" i="37"/>
  <c r="C123" i="37"/>
  <c r="G123" i="37"/>
  <c r="A124" i="37"/>
  <c r="B124" i="37"/>
  <c r="C124" i="37"/>
  <c r="G124" i="37"/>
  <c r="A125" i="37"/>
  <c r="B125" i="37"/>
  <c r="C125" i="37"/>
  <c r="G125" i="37"/>
  <c r="A126" i="37"/>
  <c r="B126" i="37"/>
  <c r="C126" i="37"/>
  <c r="G126" i="37"/>
  <c r="A127" i="37"/>
  <c r="B127" i="37"/>
  <c r="C127" i="37"/>
  <c r="G127" i="37"/>
  <c r="A128" i="37"/>
  <c r="B128" i="37"/>
  <c r="C128" i="37"/>
  <c r="G128" i="37"/>
  <c r="A129" i="37"/>
  <c r="B129" i="37"/>
  <c r="C129" i="37"/>
  <c r="G129" i="37"/>
  <c r="A130" i="37"/>
  <c r="B130" i="37"/>
  <c r="C130" i="37"/>
  <c r="G130" i="37"/>
  <c r="A131" i="37"/>
  <c r="B131" i="37"/>
  <c r="C131" i="37"/>
  <c r="G131" i="37"/>
  <c r="A132" i="37"/>
  <c r="B132" i="37"/>
  <c r="C132" i="37"/>
  <c r="G132" i="37"/>
  <c r="A133" i="37"/>
  <c r="B133" i="37"/>
  <c r="C133" i="37"/>
  <c r="G133" i="37"/>
  <c r="A134" i="37"/>
  <c r="B134" i="37"/>
  <c r="C134" i="37"/>
  <c r="G134" i="37"/>
  <c r="A135" i="37"/>
  <c r="B135" i="37"/>
  <c r="C135" i="37"/>
  <c r="G135" i="37"/>
  <c r="A136" i="37"/>
  <c r="B136" i="37"/>
  <c r="C136" i="37"/>
  <c r="G136" i="37"/>
  <c r="A137" i="37"/>
  <c r="B137" i="37"/>
  <c r="C137" i="37"/>
  <c r="G137" i="37"/>
  <c r="A138" i="37"/>
  <c r="B138" i="37"/>
  <c r="C138" i="37"/>
  <c r="G138" i="37"/>
  <c r="A139" i="37"/>
  <c r="B139" i="37"/>
  <c r="C139" i="37"/>
  <c r="G139" i="37"/>
  <c r="A140" i="37"/>
  <c r="B140" i="37"/>
  <c r="C140" i="37"/>
  <c r="G140" i="37"/>
  <c r="A141" i="37"/>
  <c r="B141" i="37"/>
  <c r="C141" i="37"/>
  <c r="G141" i="37"/>
  <c r="A142" i="37"/>
  <c r="B142" i="37"/>
  <c r="C142" i="37"/>
  <c r="G142" i="37"/>
  <c r="A143" i="37"/>
  <c r="B143" i="37"/>
  <c r="C143" i="37"/>
  <c r="G143" i="37"/>
  <c r="A144" i="37"/>
  <c r="B144" i="37"/>
  <c r="C144" i="37"/>
  <c r="G144" i="37"/>
  <c r="A145" i="37"/>
  <c r="B145" i="37"/>
  <c r="C145" i="37"/>
  <c r="G145" i="37"/>
  <c r="A146" i="37"/>
  <c r="B146" i="37"/>
  <c r="C146" i="37"/>
  <c r="G146" i="37"/>
  <c r="A147" i="37"/>
  <c r="B147" i="37"/>
  <c r="C147" i="37"/>
  <c r="G147" i="37"/>
  <c r="A148" i="37"/>
  <c r="B148" i="37"/>
  <c r="C148" i="37"/>
  <c r="G148" i="37"/>
  <c r="A149" i="37"/>
  <c r="B149" i="37"/>
  <c r="C149" i="37"/>
  <c r="G149" i="37"/>
  <c r="A150" i="37"/>
  <c r="B150" i="37"/>
  <c r="C150" i="37"/>
  <c r="G150" i="37"/>
  <c r="A151" i="37"/>
  <c r="B151" i="37"/>
  <c r="C151" i="37"/>
  <c r="G151" i="37"/>
  <c r="A152" i="37"/>
  <c r="B152" i="37"/>
  <c r="C152" i="37"/>
  <c r="G152" i="37"/>
  <c r="A153" i="37"/>
  <c r="B153" i="37"/>
  <c r="C153" i="37"/>
  <c r="G153" i="37"/>
  <c r="A154" i="37"/>
  <c r="B154" i="37"/>
  <c r="C154" i="37"/>
  <c r="G154" i="37"/>
  <c r="A155" i="37"/>
  <c r="B155" i="37"/>
  <c r="C155" i="37"/>
  <c r="G155" i="37"/>
  <c r="A156" i="37"/>
  <c r="B156" i="37"/>
  <c r="C156" i="37"/>
  <c r="G156" i="37"/>
  <c r="A157" i="37"/>
  <c r="B157" i="37"/>
  <c r="C157" i="37"/>
  <c r="G157" i="37"/>
  <c r="A158" i="37"/>
  <c r="B158" i="37"/>
  <c r="C158" i="37"/>
  <c r="G158" i="37"/>
  <c r="A159" i="37"/>
  <c r="B159" i="37"/>
  <c r="C159" i="37"/>
  <c r="G159" i="37"/>
  <c r="A160" i="37"/>
  <c r="B160" i="37"/>
  <c r="C160" i="37"/>
  <c r="G160" i="37"/>
  <c r="A161" i="37"/>
  <c r="B161" i="37"/>
  <c r="C161" i="37"/>
  <c r="G161" i="37"/>
  <c r="A162" i="37"/>
  <c r="B162" i="37"/>
  <c r="C162" i="37"/>
  <c r="G162" i="37"/>
  <c r="A163" i="37"/>
  <c r="B163" i="37"/>
  <c r="C163" i="37"/>
  <c r="G163" i="37"/>
  <c r="A164" i="37"/>
  <c r="B164" i="37"/>
  <c r="C164" i="37"/>
  <c r="G164" i="37"/>
  <c r="A165" i="37"/>
  <c r="B165" i="37"/>
  <c r="C165" i="37"/>
  <c r="G165" i="37"/>
  <c r="A166" i="37"/>
  <c r="B166" i="37"/>
  <c r="C166" i="37"/>
  <c r="G166" i="37"/>
  <c r="A167" i="37"/>
  <c r="B167" i="37"/>
  <c r="C167" i="37"/>
  <c r="G167" i="37"/>
  <c r="A168" i="37"/>
  <c r="B168" i="37"/>
  <c r="C168" i="37"/>
  <c r="G168" i="37"/>
  <c r="A169" i="37"/>
  <c r="B169" i="37"/>
  <c r="C169" i="37"/>
  <c r="G169" i="37"/>
  <c r="A170" i="37"/>
  <c r="B170" i="37"/>
  <c r="C170" i="37"/>
  <c r="G170" i="37"/>
  <c r="A171" i="37"/>
  <c r="B171" i="37"/>
  <c r="C171" i="37"/>
  <c r="G171" i="37"/>
  <c r="A172" i="37"/>
  <c r="B172" i="37"/>
  <c r="C172" i="37"/>
  <c r="G172" i="37"/>
  <c r="A173" i="37"/>
  <c r="B173" i="37"/>
  <c r="C173" i="37"/>
  <c r="G173" i="37"/>
  <c r="A174" i="37"/>
  <c r="B174" i="37"/>
  <c r="C174" i="37"/>
  <c r="G174" i="37"/>
  <c r="A175" i="37"/>
  <c r="B175" i="37"/>
  <c r="C175" i="37"/>
  <c r="G175" i="37"/>
  <c r="A176" i="37"/>
  <c r="B176" i="37"/>
  <c r="C176" i="37"/>
  <c r="G176" i="37"/>
  <c r="A177" i="37"/>
  <c r="B177" i="37"/>
  <c r="C177" i="37"/>
  <c r="G177" i="37"/>
  <c r="A178" i="37"/>
  <c r="B178" i="37"/>
  <c r="C178" i="37"/>
  <c r="G178" i="37"/>
  <c r="A179" i="37"/>
  <c r="B179" i="37"/>
  <c r="C179" i="37"/>
  <c r="G179" i="37"/>
  <c r="A180" i="37"/>
  <c r="B180" i="37"/>
  <c r="C180" i="37"/>
  <c r="G180" i="37"/>
  <c r="A181" i="37"/>
  <c r="B181" i="37"/>
  <c r="C181" i="37"/>
  <c r="G181" i="37"/>
  <c r="A182" i="37"/>
  <c r="B182" i="37"/>
  <c r="C182" i="37"/>
  <c r="G182" i="37"/>
  <c r="A183" i="37"/>
  <c r="B183" i="37"/>
  <c r="C183" i="37"/>
  <c r="G183" i="37"/>
  <c r="A184" i="37"/>
  <c r="B184" i="37"/>
  <c r="C184" i="37"/>
  <c r="G184" i="37"/>
  <c r="A185" i="37"/>
  <c r="B185" i="37"/>
  <c r="C185" i="37"/>
  <c r="G185" i="37"/>
  <c r="A186" i="37"/>
  <c r="B186" i="37"/>
  <c r="C186" i="37"/>
  <c r="G186" i="37"/>
  <c r="A187" i="37"/>
  <c r="B187" i="37"/>
  <c r="C187" i="37"/>
  <c r="G187" i="37"/>
  <c r="A188" i="37"/>
  <c r="B188" i="37"/>
  <c r="C188" i="37"/>
  <c r="G188" i="37"/>
  <c r="A189" i="37"/>
  <c r="B189" i="37"/>
  <c r="C189" i="37"/>
  <c r="G189" i="37"/>
  <c r="A190" i="37"/>
  <c r="B190" i="37"/>
  <c r="C190" i="37"/>
  <c r="G190" i="37"/>
  <c r="A191" i="37"/>
  <c r="B191" i="37"/>
  <c r="C191" i="37"/>
  <c r="G191" i="37"/>
  <c r="A192" i="37"/>
  <c r="B192" i="37"/>
  <c r="C192" i="37"/>
  <c r="G192" i="37"/>
  <c r="A193" i="37"/>
  <c r="B193" i="37"/>
  <c r="C193" i="37"/>
  <c r="G193" i="37"/>
  <c r="A194" i="37"/>
  <c r="B194" i="37"/>
  <c r="C194" i="37"/>
  <c r="G194" i="37"/>
  <c r="A195" i="37"/>
  <c r="B195" i="37"/>
  <c r="C195" i="37"/>
  <c r="G195" i="37"/>
  <c r="A196" i="37"/>
  <c r="B196" i="37"/>
  <c r="C196" i="37"/>
  <c r="G196" i="37"/>
  <c r="A197" i="37"/>
  <c r="B197" i="37"/>
  <c r="C197" i="37"/>
  <c r="G197" i="37"/>
  <c r="A198" i="37"/>
  <c r="B198" i="37"/>
  <c r="C198" i="37"/>
  <c r="G198" i="37"/>
  <c r="A199" i="37"/>
  <c r="B199" i="37"/>
  <c r="C199" i="37"/>
  <c r="G199" i="37"/>
  <c r="A200" i="37"/>
  <c r="B200" i="37"/>
  <c r="C200" i="37"/>
  <c r="G200" i="37"/>
  <c r="A201" i="37"/>
  <c r="B201" i="37"/>
  <c r="C201" i="37"/>
  <c r="G201" i="37"/>
  <c r="A202" i="37"/>
  <c r="B202" i="37"/>
  <c r="C202" i="37"/>
  <c r="G202" i="37"/>
  <c r="A203" i="37"/>
  <c r="B203" i="37"/>
  <c r="C203" i="37"/>
  <c r="G203" i="37"/>
  <c r="A204" i="37"/>
  <c r="B204" i="37"/>
  <c r="C204" i="37"/>
  <c r="G204" i="37"/>
  <c r="A205" i="37"/>
  <c r="B205" i="37"/>
  <c r="C205" i="37"/>
  <c r="G205" i="37"/>
  <c r="A206" i="37"/>
  <c r="B206" i="37"/>
  <c r="C206" i="37"/>
  <c r="G206" i="37"/>
  <c r="A207" i="37"/>
  <c r="B207" i="37"/>
  <c r="C207" i="37"/>
  <c r="G207" i="37"/>
  <c r="A208" i="37"/>
  <c r="B208" i="37"/>
  <c r="C208" i="37"/>
  <c r="G208" i="37"/>
  <c r="A209" i="37"/>
  <c r="B209" i="37"/>
  <c r="C209" i="37"/>
  <c r="G209" i="37"/>
  <c r="A210" i="37"/>
  <c r="B210" i="37"/>
  <c r="C210" i="37"/>
  <c r="G210" i="37"/>
  <c r="A211" i="37"/>
  <c r="B211" i="37"/>
  <c r="C211" i="37"/>
  <c r="G211" i="37"/>
  <c r="A212" i="37"/>
  <c r="B212" i="37"/>
  <c r="C212" i="37"/>
  <c r="G212" i="37"/>
  <c r="A213" i="37"/>
  <c r="B213" i="37"/>
  <c r="C213" i="37"/>
  <c r="G213" i="37"/>
  <c r="A214" i="37"/>
  <c r="B214" i="37"/>
  <c r="C214" i="37"/>
  <c r="G214" i="37"/>
  <c r="A215" i="37"/>
  <c r="B215" i="37"/>
  <c r="C215" i="37"/>
  <c r="G215" i="37"/>
  <c r="A216" i="37"/>
  <c r="B216" i="37"/>
  <c r="C216" i="37"/>
  <c r="G216" i="37"/>
  <c r="A217" i="37"/>
  <c r="B217" i="37"/>
  <c r="C217" i="37"/>
  <c r="G217" i="37"/>
  <c r="A218" i="37"/>
  <c r="B218" i="37"/>
  <c r="C218" i="37"/>
  <c r="G218" i="37"/>
  <c r="A219" i="37"/>
  <c r="B219" i="37"/>
  <c r="C219" i="37"/>
  <c r="G219" i="37"/>
  <c r="A220" i="37"/>
  <c r="B220" i="37"/>
  <c r="C220" i="37"/>
  <c r="G220" i="37"/>
  <c r="A221" i="37"/>
  <c r="B221" i="37"/>
  <c r="C221" i="37"/>
  <c r="G221" i="37"/>
  <c r="A222" i="37"/>
  <c r="B222" i="37"/>
  <c r="C222" i="37"/>
  <c r="G222" i="37"/>
  <c r="A223" i="37"/>
  <c r="B223" i="37"/>
  <c r="C223" i="37"/>
  <c r="G223" i="37"/>
  <c r="A224" i="37"/>
  <c r="B224" i="37"/>
  <c r="C224" i="37"/>
  <c r="G224" i="37"/>
  <c r="A225" i="37"/>
  <c r="B225" i="37"/>
  <c r="C225" i="37"/>
  <c r="G225" i="37"/>
  <c r="A226" i="37"/>
  <c r="B226" i="37"/>
  <c r="C226" i="37"/>
  <c r="G226" i="37"/>
  <c r="A227" i="37"/>
  <c r="B227" i="37"/>
  <c r="C227" i="37"/>
  <c r="G227" i="37"/>
  <c r="A228" i="37"/>
  <c r="B228" i="37"/>
  <c r="C228" i="37"/>
  <c r="G228" i="37"/>
  <c r="A229" i="37"/>
  <c r="B229" i="37"/>
  <c r="C229" i="37"/>
  <c r="G229" i="37"/>
  <c r="A230" i="37"/>
  <c r="B230" i="37"/>
  <c r="C230" i="37"/>
  <c r="G230" i="37"/>
  <c r="A231" i="37"/>
  <c r="B231" i="37"/>
  <c r="C231" i="37"/>
  <c r="G231" i="37"/>
  <c r="A232" i="37"/>
  <c r="B232" i="37"/>
  <c r="C232" i="37"/>
  <c r="G232" i="37"/>
  <c r="A233" i="37"/>
  <c r="B233" i="37"/>
  <c r="C233" i="37"/>
  <c r="G233" i="37"/>
  <c r="A234" i="37"/>
  <c r="B234" i="37"/>
  <c r="C234" i="37"/>
  <c r="G234" i="37"/>
  <c r="A235" i="37"/>
  <c r="B235" i="37"/>
  <c r="C235" i="37"/>
  <c r="G235" i="37"/>
  <c r="A236" i="37"/>
  <c r="B236" i="37"/>
  <c r="C236" i="37"/>
  <c r="G236" i="37"/>
  <c r="A237" i="37"/>
  <c r="B237" i="37"/>
  <c r="C237" i="37"/>
  <c r="G237" i="37"/>
  <c r="A238" i="37"/>
  <c r="B238" i="37"/>
  <c r="C238" i="37"/>
  <c r="G238" i="37"/>
  <c r="A239" i="37"/>
  <c r="B239" i="37"/>
  <c r="C239" i="37"/>
  <c r="G239" i="37"/>
  <c r="A240" i="37"/>
  <c r="B240" i="37"/>
  <c r="C240" i="37"/>
  <c r="G240" i="37"/>
  <c r="A241" i="37"/>
  <c r="B241" i="37"/>
  <c r="C241" i="37"/>
  <c r="G241" i="37"/>
  <c r="A242" i="37"/>
  <c r="B242" i="37"/>
  <c r="C242" i="37"/>
  <c r="G242" i="37"/>
  <c r="A243" i="37"/>
  <c r="B243" i="37"/>
  <c r="C243" i="37"/>
  <c r="G243" i="37"/>
  <c r="A244" i="37"/>
  <c r="B244" i="37"/>
  <c r="C244" i="37"/>
  <c r="G244" i="37"/>
  <c r="A245" i="37"/>
  <c r="B245" i="37"/>
  <c r="C245" i="37"/>
  <c r="G245" i="37"/>
  <c r="A246" i="37"/>
  <c r="B246" i="37"/>
  <c r="C246" i="37"/>
  <c r="G246" i="37"/>
  <c r="A247" i="37"/>
  <c r="B247" i="37"/>
  <c r="C247" i="37"/>
  <c r="G247" i="37"/>
  <c r="A248" i="37"/>
  <c r="B248" i="37"/>
  <c r="C248" i="37"/>
  <c r="G248" i="37"/>
  <c r="A249" i="37"/>
  <c r="B249" i="37"/>
  <c r="C249" i="37"/>
  <c r="G249" i="37"/>
  <c r="A250" i="37"/>
  <c r="B250" i="37"/>
  <c r="C250" i="37"/>
  <c r="G250" i="37"/>
  <c r="A251" i="37"/>
  <c r="B251" i="37"/>
  <c r="C251" i="37"/>
  <c r="G251" i="37"/>
  <c r="A252" i="37"/>
  <c r="B252" i="37"/>
  <c r="C252" i="37"/>
  <c r="G252" i="37"/>
  <c r="A253" i="37"/>
  <c r="B253" i="37"/>
  <c r="C253" i="37"/>
  <c r="G253" i="37"/>
  <c r="A254" i="37"/>
  <c r="B254" i="37"/>
  <c r="C254" i="37"/>
  <c r="G254" i="37"/>
  <c r="A255" i="37"/>
  <c r="B255" i="37"/>
  <c r="C255" i="37"/>
  <c r="G255" i="37"/>
  <c r="A256" i="37"/>
  <c r="B256" i="37"/>
  <c r="C256" i="37"/>
  <c r="G256" i="37"/>
  <c r="A257" i="37"/>
  <c r="B257" i="37"/>
  <c r="C257" i="37"/>
  <c r="G257" i="37"/>
  <c r="A258" i="37"/>
  <c r="B258" i="37"/>
  <c r="C258" i="37"/>
  <c r="G258" i="37"/>
  <c r="A259" i="37"/>
  <c r="B259" i="37"/>
  <c r="C259" i="37"/>
  <c r="G259" i="37"/>
  <c r="A260" i="37"/>
  <c r="B260" i="37"/>
  <c r="C260" i="37"/>
  <c r="G260" i="37"/>
  <c r="A261" i="37"/>
  <c r="B261" i="37"/>
  <c r="C261" i="37"/>
  <c r="G261" i="37"/>
  <c r="A262" i="37"/>
  <c r="B262" i="37"/>
  <c r="C262" i="37"/>
  <c r="G262" i="37"/>
  <c r="A263" i="37"/>
  <c r="B263" i="37"/>
  <c r="C263" i="37"/>
  <c r="G263" i="37"/>
  <c r="A264" i="37"/>
  <c r="B264" i="37"/>
  <c r="C264" i="37"/>
  <c r="G264" i="37"/>
  <c r="A265" i="37"/>
  <c r="B265" i="37"/>
  <c r="C265" i="37"/>
  <c r="G265" i="37"/>
  <c r="A266" i="37"/>
  <c r="B266" i="37"/>
  <c r="C266" i="37"/>
  <c r="G266" i="37"/>
  <c r="A267" i="37"/>
  <c r="B267" i="37"/>
  <c r="C267" i="37"/>
  <c r="G267" i="37"/>
  <c r="A268" i="37"/>
  <c r="B268" i="37"/>
  <c r="C268" i="37"/>
  <c r="G268" i="37"/>
  <c r="A269" i="37"/>
  <c r="B269" i="37"/>
  <c r="C269" i="37"/>
  <c r="G269" i="37"/>
  <c r="A270" i="37"/>
  <c r="B270" i="37"/>
  <c r="C270" i="37"/>
  <c r="G270" i="37"/>
  <c r="A271" i="37"/>
  <c r="B271" i="37"/>
  <c r="C271" i="37"/>
  <c r="G271" i="37"/>
  <c r="A272" i="37"/>
  <c r="B272" i="37"/>
  <c r="C272" i="37"/>
  <c r="G272" i="37"/>
  <c r="A273" i="37"/>
  <c r="B273" i="37"/>
  <c r="C273" i="37"/>
  <c r="G273" i="37"/>
  <c r="A274" i="37"/>
  <c r="B274" i="37"/>
  <c r="C274" i="37"/>
  <c r="G274" i="37"/>
  <c r="A275" i="37"/>
  <c r="B275" i="37"/>
  <c r="C275" i="37"/>
  <c r="G275" i="37"/>
  <c r="A276" i="37"/>
  <c r="B276" i="37"/>
  <c r="C276" i="37"/>
  <c r="G276" i="37"/>
  <c r="A277" i="37"/>
  <c r="B277" i="37"/>
  <c r="C277" i="37"/>
  <c r="G277" i="37"/>
  <c r="A278" i="37"/>
  <c r="B278" i="37"/>
  <c r="C278" i="37"/>
  <c r="G278" i="37"/>
  <c r="A279" i="37"/>
  <c r="B279" i="37"/>
  <c r="C279" i="37"/>
  <c r="G279" i="37"/>
  <c r="A280" i="37"/>
  <c r="B280" i="37"/>
  <c r="C280" i="37"/>
  <c r="G280" i="37"/>
  <c r="A281" i="37"/>
  <c r="B281" i="37"/>
  <c r="C281" i="37"/>
  <c r="G281" i="37"/>
  <c r="A282" i="37"/>
  <c r="B282" i="37"/>
  <c r="C282" i="37"/>
  <c r="G282" i="37"/>
  <c r="A283" i="37"/>
  <c r="B283" i="37"/>
  <c r="C283" i="37"/>
  <c r="G283" i="37"/>
  <c r="A284" i="37"/>
  <c r="B284" i="37"/>
  <c r="C284" i="37"/>
  <c r="G284" i="37"/>
  <c r="A285" i="37"/>
  <c r="B285" i="37"/>
  <c r="C285" i="37"/>
  <c r="G285" i="37"/>
  <c r="A286" i="37"/>
  <c r="B286" i="37"/>
  <c r="C286" i="37"/>
  <c r="G286" i="37"/>
  <c r="A287" i="37"/>
  <c r="B287" i="37"/>
  <c r="C287" i="37"/>
  <c r="G287" i="37"/>
  <c r="A288" i="37"/>
  <c r="B288" i="37"/>
  <c r="C288" i="37"/>
  <c r="G288" i="37"/>
  <c r="A289" i="37"/>
  <c r="B289" i="37"/>
  <c r="C289" i="37"/>
  <c r="G289" i="37"/>
  <c r="A290" i="37"/>
  <c r="B290" i="37"/>
  <c r="C290" i="37"/>
  <c r="G290" i="37"/>
  <c r="A291" i="37"/>
  <c r="B291" i="37"/>
  <c r="C291" i="37"/>
  <c r="G291" i="37"/>
  <c r="A292" i="37"/>
  <c r="B292" i="37"/>
  <c r="C292" i="37"/>
  <c r="G292" i="37"/>
  <c r="A293" i="37"/>
  <c r="B293" i="37"/>
  <c r="C293" i="37"/>
  <c r="G293" i="37"/>
  <c r="A294" i="37"/>
  <c r="B294" i="37"/>
  <c r="C294" i="37"/>
  <c r="G294" i="37"/>
  <c r="A295" i="37"/>
  <c r="B295" i="37"/>
  <c r="C295" i="37"/>
  <c r="G295" i="37"/>
  <c r="A296" i="37"/>
  <c r="B296" i="37"/>
  <c r="C296" i="37"/>
  <c r="G296" i="37"/>
  <c r="A297" i="37"/>
  <c r="B297" i="37"/>
  <c r="C297" i="37"/>
  <c r="G297" i="37"/>
  <c r="A298" i="37"/>
  <c r="B298" i="37"/>
  <c r="C298" i="37"/>
  <c r="G298" i="37"/>
  <c r="A299" i="37"/>
  <c r="B299" i="37"/>
  <c r="C299" i="37"/>
  <c r="G299" i="37"/>
  <c r="A300" i="37"/>
  <c r="B300" i="37"/>
  <c r="C300" i="37"/>
  <c r="G300" i="37"/>
  <c r="A301" i="37"/>
  <c r="B301" i="37"/>
  <c r="C301" i="37"/>
  <c r="G301" i="37"/>
  <c r="A302" i="37"/>
  <c r="B302" i="37"/>
  <c r="C302" i="37"/>
  <c r="G302" i="37"/>
  <c r="A303" i="37"/>
  <c r="B303" i="37"/>
  <c r="C303" i="37"/>
  <c r="G303" i="37"/>
  <c r="A304" i="37"/>
  <c r="B304" i="37"/>
  <c r="C304" i="37"/>
  <c r="G304" i="37"/>
  <c r="A305" i="37"/>
  <c r="B305" i="37"/>
  <c r="C305" i="37"/>
  <c r="G305" i="37"/>
  <c r="A306" i="37"/>
  <c r="B306" i="37"/>
  <c r="C306" i="37"/>
  <c r="G306" i="37"/>
  <c r="A307" i="37"/>
  <c r="B307" i="37"/>
  <c r="C307" i="37"/>
  <c r="G307" i="37"/>
  <c r="A308" i="37"/>
  <c r="B308" i="37"/>
  <c r="C308" i="37"/>
  <c r="G308" i="37"/>
  <c r="A309" i="37"/>
  <c r="B309" i="37"/>
  <c r="C309" i="37"/>
  <c r="G309" i="37"/>
  <c r="A310" i="37"/>
  <c r="B310" i="37"/>
  <c r="C310" i="37"/>
  <c r="G310" i="37"/>
  <c r="A311" i="37"/>
  <c r="B311" i="37"/>
  <c r="C311" i="37"/>
  <c r="G311" i="37"/>
  <c r="A312" i="37"/>
  <c r="B312" i="37"/>
  <c r="C312" i="37"/>
  <c r="G312" i="37"/>
  <c r="A313" i="37"/>
  <c r="B313" i="37"/>
  <c r="C313" i="37"/>
  <c r="G313" i="37"/>
  <c r="A9" i="36"/>
  <c r="B9" i="36"/>
  <c r="C9" i="36"/>
  <c r="A10" i="36"/>
  <c r="B10" i="36"/>
  <c r="C10" i="36"/>
  <c r="A11" i="36"/>
  <c r="B11" i="36"/>
  <c r="C11" i="36"/>
  <c r="A12" i="36"/>
  <c r="B12" i="36"/>
  <c r="C12" i="36"/>
  <c r="A13" i="36"/>
  <c r="B13" i="36"/>
  <c r="C13" i="36"/>
  <c r="A14" i="36"/>
  <c r="B14" i="36"/>
  <c r="C14" i="36"/>
  <c r="A15" i="36"/>
  <c r="B15" i="36"/>
  <c r="C15" i="36"/>
  <c r="A16" i="36"/>
  <c r="B16" i="36"/>
  <c r="C16" i="36"/>
  <c r="A17" i="36"/>
  <c r="B17" i="36"/>
  <c r="C17" i="36"/>
  <c r="A18" i="36"/>
  <c r="B18" i="36"/>
  <c r="C18" i="36"/>
  <c r="A19" i="36"/>
  <c r="B19" i="36"/>
  <c r="C19" i="36"/>
  <c r="A20" i="36"/>
  <c r="B20" i="36"/>
  <c r="C20" i="36"/>
  <c r="A21" i="36"/>
  <c r="B21" i="36"/>
  <c r="C21" i="36"/>
  <c r="A22" i="36"/>
  <c r="B22" i="36"/>
  <c r="C22" i="36"/>
  <c r="A23" i="36"/>
  <c r="B23" i="36"/>
  <c r="C23" i="36"/>
  <c r="A24" i="36"/>
  <c r="B24" i="36"/>
  <c r="C24" i="36"/>
  <c r="A25" i="36"/>
  <c r="B25" i="36"/>
  <c r="C25" i="36"/>
  <c r="A26" i="36"/>
  <c r="B26" i="36"/>
  <c r="C26" i="36"/>
  <c r="A27" i="36"/>
  <c r="B27" i="36"/>
  <c r="C27" i="36"/>
  <c r="A28" i="36"/>
  <c r="B28" i="36"/>
  <c r="C28" i="36"/>
  <c r="A29" i="36"/>
  <c r="B29" i="36"/>
  <c r="C29" i="36"/>
  <c r="A30" i="36"/>
  <c r="B30" i="36"/>
  <c r="C30" i="36"/>
  <c r="A31" i="36"/>
  <c r="B31" i="36"/>
  <c r="C31" i="36"/>
  <c r="A32" i="36"/>
  <c r="B32" i="36"/>
  <c r="C32" i="36"/>
  <c r="A33" i="36"/>
  <c r="B33" i="36"/>
  <c r="C33" i="36"/>
  <c r="A34" i="36"/>
  <c r="B34" i="36"/>
  <c r="C34" i="36"/>
  <c r="A35" i="36"/>
  <c r="B35" i="36"/>
  <c r="C35" i="36"/>
  <c r="A36" i="36"/>
  <c r="B36" i="36"/>
  <c r="C36" i="36"/>
  <c r="A37" i="36"/>
  <c r="B37" i="36"/>
  <c r="C37" i="36"/>
  <c r="A38" i="36"/>
  <c r="B38" i="36"/>
  <c r="C38" i="36"/>
  <c r="A39" i="36"/>
  <c r="B39" i="36"/>
  <c r="C39" i="36"/>
  <c r="A40" i="36"/>
  <c r="B40" i="36"/>
  <c r="C40" i="36"/>
  <c r="A41" i="36"/>
  <c r="B41" i="36"/>
  <c r="C41" i="36"/>
  <c r="A42" i="36"/>
  <c r="B42" i="36"/>
  <c r="C42" i="36"/>
  <c r="A43" i="36"/>
  <c r="B43" i="36"/>
  <c r="C43" i="36"/>
  <c r="A44" i="36"/>
  <c r="B44" i="36"/>
  <c r="C44" i="36"/>
  <c r="A45" i="36"/>
  <c r="B45" i="36"/>
  <c r="C45" i="36"/>
  <c r="A46" i="36"/>
  <c r="B46" i="36"/>
  <c r="C46" i="36"/>
  <c r="A47" i="36"/>
  <c r="B47" i="36"/>
  <c r="C47" i="36"/>
  <c r="A48" i="36"/>
  <c r="B48" i="36"/>
  <c r="C48" i="36"/>
  <c r="A49" i="36"/>
  <c r="B49" i="36"/>
  <c r="C49" i="36"/>
  <c r="A50" i="36"/>
  <c r="B50" i="36"/>
  <c r="C50" i="36"/>
  <c r="A51" i="36"/>
  <c r="B51" i="36"/>
  <c r="C51" i="36"/>
  <c r="A52" i="36"/>
  <c r="B52" i="36"/>
  <c r="C52" i="36"/>
  <c r="A53" i="36"/>
  <c r="B53" i="36"/>
  <c r="C53" i="36"/>
  <c r="A54" i="36"/>
  <c r="B54" i="36"/>
  <c r="C54" i="36"/>
  <c r="A55" i="36"/>
  <c r="B55" i="36"/>
  <c r="C55" i="36"/>
  <c r="A56" i="36"/>
  <c r="B56" i="36"/>
  <c r="C56" i="36"/>
  <c r="A57" i="36"/>
  <c r="B57" i="36"/>
  <c r="C57" i="36"/>
  <c r="A58" i="36"/>
  <c r="B58" i="36"/>
  <c r="C58" i="36"/>
  <c r="A59" i="36"/>
  <c r="B59" i="36"/>
  <c r="C59" i="36"/>
  <c r="A60" i="36"/>
  <c r="B60" i="36"/>
  <c r="C60" i="36"/>
  <c r="A61" i="36"/>
  <c r="B61" i="36"/>
  <c r="C61" i="36"/>
  <c r="A62" i="36"/>
  <c r="B62" i="36"/>
  <c r="C62" i="36"/>
  <c r="A63" i="36"/>
  <c r="B63" i="36"/>
  <c r="C63" i="36"/>
  <c r="A64" i="36"/>
  <c r="B64" i="36"/>
  <c r="C64" i="36"/>
  <c r="A65" i="36"/>
  <c r="B65" i="36"/>
  <c r="C65" i="36"/>
  <c r="A66" i="36"/>
  <c r="B66" i="36"/>
  <c r="C66" i="36"/>
  <c r="A67" i="36"/>
  <c r="B67" i="36"/>
  <c r="C67" i="36"/>
  <c r="A68" i="36"/>
  <c r="B68" i="36"/>
  <c r="C68" i="36"/>
  <c r="A69" i="36"/>
  <c r="B69" i="36"/>
  <c r="C69" i="36"/>
  <c r="A70" i="36"/>
  <c r="B70" i="36"/>
  <c r="C70" i="36"/>
  <c r="A71" i="36"/>
  <c r="B71" i="36"/>
  <c r="C71" i="36"/>
  <c r="A72" i="36"/>
  <c r="B72" i="36"/>
  <c r="C72" i="36"/>
  <c r="A73" i="36"/>
  <c r="B73" i="36"/>
  <c r="C73" i="36"/>
  <c r="A74" i="36"/>
  <c r="B74" i="36"/>
  <c r="C74" i="36"/>
  <c r="A75" i="36"/>
  <c r="B75" i="36"/>
  <c r="C75" i="36"/>
  <c r="A76" i="36"/>
  <c r="B76" i="36"/>
  <c r="C76" i="36"/>
  <c r="A77" i="36"/>
  <c r="B77" i="36"/>
  <c r="C77" i="36"/>
  <c r="A78" i="36"/>
  <c r="B78" i="36"/>
  <c r="C78" i="36"/>
  <c r="A79" i="36"/>
  <c r="B79" i="36"/>
  <c r="C79" i="36"/>
  <c r="A80" i="36"/>
  <c r="B80" i="36"/>
  <c r="C80" i="36"/>
  <c r="A81" i="36"/>
  <c r="B81" i="36"/>
  <c r="C81" i="36"/>
  <c r="A82" i="36"/>
  <c r="B82" i="36"/>
  <c r="C82" i="36"/>
  <c r="A83" i="36"/>
  <c r="B83" i="36"/>
  <c r="C83" i="36"/>
  <c r="A84" i="36"/>
  <c r="B84" i="36"/>
  <c r="C84" i="36"/>
  <c r="A85" i="36"/>
  <c r="B85" i="36"/>
  <c r="C85" i="36"/>
  <c r="A86" i="36"/>
  <c r="B86" i="36"/>
  <c r="C86" i="36"/>
  <c r="A87" i="36"/>
  <c r="B87" i="36"/>
  <c r="C87" i="36"/>
  <c r="A88" i="36"/>
  <c r="B88" i="36"/>
  <c r="C88" i="36"/>
  <c r="A89" i="36"/>
  <c r="B89" i="36"/>
  <c r="C89" i="36"/>
  <c r="A90" i="36"/>
  <c r="B90" i="36"/>
  <c r="C90" i="36"/>
  <c r="A91" i="36"/>
  <c r="B91" i="36"/>
  <c r="C91" i="36"/>
  <c r="A92" i="36"/>
  <c r="B92" i="36"/>
  <c r="C92" i="36"/>
  <c r="A93" i="36"/>
  <c r="B93" i="36"/>
  <c r="C93" i="36"/>
  <c r="A94" i="36"/>
  <c r="B94" i="36"/>
  <c r="C94" i="36"/>
  <c r="A95" i="36"/>
  <c r="B95" i="36"/>
  <c r="C95" i="36"/>
  <c r="A96" i="36"/>
  <c r="B96" i="36"/>
  <c r="C96" i="36"/>
  <c r="A97" i="36"/>
  <c r="B97" i="36"/>
  <c r="C97" i="36"/>
  <c r="A98" i="36"/>
  <c r="B98" i="36"/>
  <c r="C98" i="36"/>
  <c r="A99" i="36"/>
  <c r="B99" i="36"/>
  <c r="C99" i="36"/>
  <c r="A100" i="36"/>
  <c r="B100" i="36"/>
  <c r="C100" i="36"/>
  <c r="A101" i="36"/>
  <c r="B101" i="36"/>
  <c r="C101" i="36"/>
  <c r="A102" i="36"/>
  <c r="B102" i="36"/>
  <c r="C102" i="36"/>
  <c r="A103" i="36"/>
  <c r="B103" i="36"/>
  <c r="C103" i="36"/>
  <c r="A104" i="36"/>
  <c r="B104" i="36"/>
  <c r="C104" i="36"/>
  <c r="A105" i="36"/>
  <c r="B105" i="36"/>
  <c r="C105" i="36"/>
  <c r="A106" i="36"/>
  <c r="B106" i="36"/>
  <c r="C106" i="36"/>
  <c r="A107" i="36"/>
  <c r="B107" i="36"/>
  <c r="C107" i="36"/>
  <c r="A108" i="36"/>
  <c r="B108" i="36"/>
  <c r="C108" i="36"/>
  <c r="A109" i="36"/>
  <c r="B109" i="36"/>
  <c r="C109" i="36"/>
  <c r="A110" i="36"/>
  <c r="B110" i="36"/>
  <c r="C110" i="36"/>
  <c r="A111" i="36"/>
  <c r="B111" i="36"/>
  <c r="C111" i="36"/>
  <c r="A112" i="36"/>
  <c r="B112" i="36"/>
  <c r="C112" i="36"/>
  <c r="A113" i="36"/>
  <c r="B113" i="36"/>
  <c r="C113" i="36"/>
  <c r="A114" i="36"/>
  <c r="B114" i="36"/>
  <c r="C114" i="36"/>
  <c r="A115" i="36"/>
  <c r="B115" i="36"/>
  <c r="C115" i="36"/>
  <c r="A116" i="36"/>
  <c r="B116" i="36"/>
  <c r="C116" i="36"/>
  <c r="A117" i="36"/>
  <c r="B117" i="36"/>
  <c r="C117" i="36"/>
  <c r="A118" i="36"/>
  <c r="B118" i="36"/>
  <c r="C118" i="36"/>
  <c r="A119" i="36"/>
  <c r="B119" i="36"/>
  <c r="C119" i="36"/>
  <c r="A120" i="36"/>
  <c r="B120" i="36"/>
  <c r="C120" i="36"/>
  <c r="A121" i="36"/>
  <c r="B121" i="36"/>
  <c r="C121" i="36"/>
  <c r="A122" i="36"/>
  <c r="B122" i="36"/>
  <c r="C122" i="36"/>
  <c r="A123" i="36"/>
  <c r="B123" i="36"/>
  <c r="C123" i="36"/>
  <c r="A124" i="36"/>
  <c r="B124" i="36"/>
  <c r="C124" i="36"/>
  <c r="A125" i="36"/>
  <c r="B125" i="36"/>
  <c r="C125" i="36"/>
  <c r="A126" i="36"/>
  <c r="B126" i="36"/>
  <c r="C126" i="36"/>
  <c r="A127" i="36"/>
  <c r="B127" i="36"/>
  <c r="C127" i="36"/>
  <c r="A128" i="36"/>
  <c r="B128" i="36"/>
  <c r="C128" i="36"/>
  <c r="A129" i="36"/>
  <c r="B129" i="36"/>
  <c r="C129" i="36"/>
  <c r="A130" i="36"/>
  <c r="B130" i="36"/>
  <c r="C130" i="36"/>
  <c r="A131" i="36"/>
  <c r="B131" i="36"/>
  <c r="C131" i="36"/>
  <c r="A132" i="36"/>
  <c r="B132" i="36"/>
  <c r="C132" i="36"/>
  <c r="A133" i="36"/>
  <c r="B133" i="36"/>
  <c r="C133" i="36"/>
  <c r="A134" i="36"/>
  <c r="B134" i="36"/>
  <c r="C134" i="36"/>
  <c r="A135" i="36"/>
  <c r="B135" i="36"/>
  <c r="C135" i="36"/>
  <c r="A136" i="36"/>
  <c r="B136" i="36"/>
  <c r="C136" i="36"/>
  <c r="A137" i="36"/>
  <c r="B137" i="36"/>
  <c r="C137" i="36"/>
  <c r="A138" i="36"/>
  <c r="B138" i="36"/>
  <c r="C138" i="36"/>
  <c r="A139" i="36"/>
  <c r="B139" i="36"/>
  <c r="C139" i="36"/>
  <c r="A140" i="36"/>
  <c r="B140" i="36"/>
  <c r="C140" i="36"/>
  <c r="A141" i="36"/>
  <c r="B141" i="36"/>
  <c r="C141" i="36"/>
  <c r="A142" i="36"/>
  <c r="B142" i="36"/>
  <c r="C142" i="36"/>
  <c r="A143" i="36"/>
  <c r="B143" i="36"/>
  <c r="C143" i="36"/>
  <c r="A144" i="36"/>
  <c r="B144" i="36"/>
  <c r="C144" i="36"/>
  <c r="A145" i="36"/>
  <c r="B145" i="36"/>
  <c r="C145" i="36"/>
  <c r="A146" i="36"/>
  <c r="B146" i="36"/>
  <c r="C146" i="36"/>
  <c r="A147" i="36"/>
  <c r="B147" i="36"/>
  <c r="C147" i="36"/>
  <c r="A148" i="36"/>
  <c r="B148" i="36"/>
  <c r="C148" i="36"/>
  <c r="A149" i="36"/>
  <c r="B149" i="36"/>
  <c r="C149" i="36"/>
  <c r="A150" i="36"/>
  <c r="B150" i="36"/>
  <c r="C150" i="36"/>
  <c r="A151" i="36"/>
  <c r="B151" i="36"/>
  <c r="C151" i="36"/>
  <c r="A152" i="36"/>
  <c r="B152" i="36"/>
  <c r="C152" i="36"/>
  <c r="A153" i="36"/>
  <c r="B153" i="36"/>
  <c r="C153" i="36"/>
  <c r="A154" i="36"/>
  <c r="B154" i="36"/>
  <c r="C154" i="36"/>
  <c r="A155" i="36"/>
  <c r="B155" i="36"/>
  <c r="C155" i="36"/>
  <c r="A156" i="36"/>
  <c r="B156" i="36"/>
  <c r="C156" i="36"/>
  <c r="A157" i="36"/>
  <c r="B157" i="36"/>
  <c r="C157" i="36"/>
  <c r="A158" i="36"/>
  <c r="B158" i="36"/>
  <c r="C158" i="36"/>
  <c r="A159" i="36"/>
  <c r="B159" i="36"/>
  <c r="C159" i="36"/>
  <c r="A160" i="36"/>
  <c r="B160" i="36"/>
  <c r="C160" i="36"/>
  <c r="A161" i="36"/>
  <c r="B161" i="36"/>
  <c r="C161" i="36"/>
  <c r="A162" i="36"/>
  <c r="B162" i="36"/>
  <c r="C162" i="36"/>
  <c r="A163" i="36"/>
  <c r="B163" i="36"/>
  <c r="C163" i="36"/>
  <c r="A164" i="36"/>
  <c r="B164" i="36"/>
  <c r="C164" i="36"/>
  <c r="A165" i="36"/>
  <c r="B165" i="36"/>
  <c r="C165" i="36"/>
  <c r="A166" i="36"/>
  <c r="B166" i="36"/>
  <c r="C166" i="36"/>
  <c r="A167" i="36"/>
  <c r="B167" i="36"/>
  <c r="C167" i="36"/>
  <c r="A168" i="36"/>
  <c r="B168" i="36"/>
  <c r="C168" i="36"/>
  <c r="A169" i="36"/>
  <c r="B169" i="36"/>
  <c r="C169" i="36"/>
  <c r="A170" i="36"/>
  <c r="B170" i="36"/>
  <c r="C170" i="36"/>
  <c r="A171" i="36"/>
  <c r="B171" i="36"/>
  <c r="C171" i="36"/>
  <c r="A172" i="36"/>
  <c r="B172" i="36"/>
  <c r="C172" i="36"/>
  <c r="A173" i="36"/>
  <c r="B173" i="36"/>
  <c r="C173" i="36"/>
  <c r="A174" i="36"/>
  <c r="B174" i="36"/>
  <c r="C174" i="36"/>
  <c r="A175" i="36"/>
  <c r="B175" i="36"/>
  <c r="C175" i="36"/>
  <c r="A176" i="36"/>
  <c r="B176" i="36"/>
  <c r="C176" i="36"/>
  <c r="A177" i="36"/>
  <c r="B177" i="36"/>
  <c r="C177" i="36"/>
  <c r="A178" i="36"/>
  <c r="B178" i="36"/>
  <c r="C178" i="36"/>
  <c r="A179" i="36"/>
  <c r="B179" i="36"/>
  <c r="C179" i="36"/>
  <c r="A180" i="36"/>
  <c r="B180" i="36"/>
  <c r="C180" i="36"/>
  <c r="A181" i="36"/>
  <c r="B181" i="36"/>
  <c r="C181" i="36"/>
  <c r="A182" i="36"/>
  <c r="B182" i="36"/>
  <c r="C182" i="36"/>
  <c r="A183" i="36"/>
  <c r="B183" i="36"/>
  <c r="C183" i="36"/>
  <c r="A184" i="36"/>
  <c r="B184" i="36"/>
  <c r="C184" i="36"/>
  <c r="A185" i="36"/>
  <c r="B185" i="36"/>
  <c r="C185" i="36"/>
  <c r="A186" i="36"/>
  <c r="B186" i="36"/>
  <c r="C186" i="36"/>
  <c r="A187" i="36"/>
  <c r="B187" i="36"/>
  <c r="C187" i="36"/>
  <c r="A188" i="36"/>
  <c r="B188" i="36"/>
  <c r="C188" i="36"/>
  <c r="A189" i="36"/>
  <c r="B189" i="36"/>
  <c r="C189" i="36"/>
  <c r="A190" i="36"/>
  <c r="B190" i="36"/>
  <c r="C190" i="36"/>
  <c r="A191" i="36"/>
  <c r="B191" i="36"/>
  <c r="C191" i="36"/>
  <c r="A192" i="36"/>
  <c r="B192" i="36"/>
  <c r="C192" i="36"/>
  <c r="A193" i="36"/>
  <c r="B193" i="36"/>
  <c r="C193" i="36"/>
  <c r="A194" i="36"/>
  <c r="B194" i="36"/>
  <c r="C194" i="36"/>
  <c r="A195" i="36"/>
  <c r="B195" i="36"/>
  <c r="C195" i="36"/>
  <c r="A196" i="36"/>
  <c r="B196" i="36"/>
  <c r="C196" i="36"/>
  <c r="A197" i="36"/>
  <c r="B197" i="36"/>
  <c r="C197" i="36"/>
  <c r="A198" i="36"/>
  <c r="B198" i="36"/>
  <c r="C198" i="36"/>
  <c r="A199" i="36"/>
  <c r="B199" i="36"/>
  <c r="C199" i="36"/>
  <c r="A200" i="36"/>
  <c r="B200" i="36"/>
  <c r="C200" i="36"/>
  <c r="A201" i="36"/>
  <c r="B201" i="36"/>
  <c r="C201" i="36"/>
  <c r="A202" i="36"/>
  <c r="B202" i="36"/>
  <c r="C202" i="36"/>
  <c r="A203" i="36"/>
  <c r="B203" i="36"/>
  <c r="C203" i="36"/>
  <c r="A204" i="36"/>
  <c r="B204" i="36"/>
  <c r="C204" i="36"/>
  <c r="A205" i="36"/>
  <c r="B205" i="36"/>
  <c r="C205" i="36"/>
  <c r="A206" i="36"/>
  <c r="B206" i="36"/>
  <c r="C206" i="36"/>
  <c r="A207" i="36"/>
  <c r="B207" i="36"/>
  <c r="C207" i="36"/>
  <c r="A208" i="36"/>
  <c r="B208" i="36"/>
  <c r="C208" i="36"/>
  <c r="A209" i="36"/>
  <c r="B209" i="36"/>
  <c r="C209" i="36"/>
  <c r="A210" i="36"/>
  <c r="B210" i="36"/>
  <c r="C210" i="36"/>
  <c r="A211" i="36"/>
  <c r="B211" i="36"/>
  <c r="C211" i="36"/>
  <c r="A212" i="36"/>
  <c r="B212" i="36"/>
  <c r="C212" i="36"/>
  <c r="A213" i="36"/>
  <c r="B213" i="36"/>
  <c r="C213" i="36"/>
  <c r="A214" i="36"/>
  <c r="B214" i="36"/>
  <c r="C214" i="36"/>
  <c r="A215" i="36"/>
  <c r="B215" i="36"/>
  <c r="C215" i="36"/>
  <c r="A216" i="36"/>
  <c r="B216" i="36"/>
  <c r="C216" i="36"/>
  <c r="A217" i="36"/>
  <c r="B217" i="36"/>
  <c r="C217" i="36"/>
  <c r="A218" i="36"/>
  <c r="B218" i="36"/>
  <c r="C218" i="36"/>
  <c r="A219" i="36"/>
  <c r="B219" i="36"/>
  <c r="C219" i="36"/>
  <c r="A220" i="36"/>
  <c r="B220" i="36"/>
  <c r="C220" i="36"/>
  <c r="A221" i="36"/>
  <c r="B221" i="36"/>
  <c r="C221" i="36"/>
  <c r="A222" i="36"/>
  <c r="B222" i="36"/>
  <c r="C222" i="36"/>
  <c r="A223" i="36"/>
  <c r="B223" i="36"/>
  <c r="C223" i="36"/>
  <c r="A224" i="36"/>
  <c r="B224" i="36"/>
  <c r="C224" i="36"/>
  <c r="A225" i="36"/>
  <c r="B225" i="36"/>
  <c r="C225" i="36"/>
  <c r="A226" i="36"/>
  <c r="B226" i="36"/>
  <c r="C226" i="36"/>
  <c r="A227" i="36"/>
  <c r="B227" i="36"/>
  <c r="C227" i="36"/>
  <c r="A228" i="36"/>
  <c r="B228" i="36"/>
  <c r="C228" i="36"/>
  <c r="A229" i="36"/>
  <c r="B229" i="36"/>
  <c r="C229" i="36"/>
  <c r="A230" i="36"/>
  <c r="B230" i="36"/>
  <c r="C230" i="36"/>
  <c r="A231" i="36"/>
  <c r="B231" i="36"/>
  <c r="C231" i="36"/>
  <c r="A232" i="36"/>
  <c r="B232" i="36"/>
  <c r="C232" i="36"/>
  <c r="A233" i="36"/>
  <c r="B233" i="36"/>
  <c r="C233" i="36"/>
  <c r="A234" i="36"/>
  <c r="B234" i="36"/>
  <c r="C234" i="36"/>
  <c r="A235" i="36"/>
  <c r="B235" i="36"/>
  <c r="C235" i="36"/>
  <c r="A236" i="36"/>
  <c r="B236" i="36"/>
  <c r="C236" i="36"/>
  <c r="A237" i="36"/>
  <c r="B237" i="36"/>
  <c r="C237" i="36"/>
  <c r="A238" i="36"/>
  <c r="B238" i="36"/>
  <c r="C238" i="36"/>
  <c r="A239" i="36"/>
  <c r="B239" i="36"/>
  <c r="C239" i="36"/>
  <c r="A240" i="36"/>
  <c r="B240" i="36"/>
  <c r="C240" i="36"/>
  <c r="A241" i="36"/>
  <c r="B241" i="36"/>
  <c r="C241" i="36"/>
  <c r="A242" i="36"/>
  <c r="B242" i="36"/>
  <c r="C242" i="36"/>
  <c r="A243" i="36"/>
  <c r="B243" i="36"/>
  <c r="C243" i="36"/>
  <c r="A244" i="36"/>
  <c r="B244" i="36"/>
  <c r="C244" i="36"/>
  <c r="A245" i="36"/>
  <c r="B245" i="36"/>
  <c r="C245" i="36"/>
  <c r="A246" i="36"/>
  <c r="B246" i="36"/>
  <c r="C246" i="36"/>
  <c r="A247" i="36"/>
  <c r="B247" i="36"/>
  <c r="C247" i="36"/>
  <c r="A248" i="36"/>
  <c r="B248" i="36"/>
  <c r="C248" i="36"/>
  <c r="A249" i="36"/>
  <c r="B249" i="36"/>
  <c r="C249" i="36"/>
  <c r="A250" i="36"/>
  <c r="B250" i="36"/>
  <c r="C250" i="36"/>
  <c r="A251" i="36"/>
  <c r="B251" i="36"/>
  <c r="C251" i="36"/>
  <c r="A252" i="36"/>
  <c r="B252" i="36"/>
  <c r="C252" i="36"/>
  <c r="A253" i="36"/>
  <c r="B253" i="36"/>
  <c r="C253" i="36"/>
  <c r="A254" i="36"/>
  <c r="B254" i="36"/>
  <c r="C254" i="36"/>
  <c r="A255" i="36"/>
  <c r="B255" i="36"/>
  <c r="C255" i="36"/>
  <c r="A256" i="36"/>
  <c r="B256" i="36"/>
  <c r="C256" i="36"/>
  <c r="A257" i="36"/>
  <c r="B257" i="36"/>
  <c r="C257" i="36"/>
  <c r="A258" i="36"/>
  <c r="B258" i="36"/>
  <c r="C258" i="36"/>
  <c r="A259" i="36"/>
  <c r="B259" i="36"/>
  <c r="C259" i="36"/>
  <c r="A260" i="36"/>
  <c r="B260" i="36"/>
  <c r="C260" i="36"/>
  <c r="A261" i="36"/>
  <c r="B261" i="36"/>
  <c r="C261" i="36"/>
  <c r="A262" i="36"/>
  <c r="B262" i="36"/>
  <c r="C262" i="36"/>
  <c r="A263" i="36"/>
  <c r="B263" i="36"/>
  <c r="C263" i="36"/>
  <c r="A264" i="36"/>
  <c r="B264" i="36"/>
  <c r="C264" i="36"/>
  <c r="A265" i="36"/>
  <c r="B265" i="36"/>
  <c r="C265" i="36"/>
  <c r="A266" i="36"/>
  <c r="B266" i="36"/>
  <c r="C266" i="36"/>
  <c r="A267" i="36"/>
  <c r="B267" i="36"/>
  <c r="C267" i="36"/>
  <c r="A268" i="36"/>
  <c r="B268" i="36"/>
  <c r="C268" i="36"/>
  <c r="A269" i="36"/>
  <c r="B269" i="36"/>
  <c r="C269" i="36"/>
  <c r="A270" i="36"/>
  <c r="B270" i="36"/>
  <c r="C270" i="36"/>
  <c r="A271" i="36"/>
  <c r="B271" i="36"/>
  <c r="C271" i="36"/>
  <c r="A272" i="36"/>
  <c r="B272" i="36"/>
  <c r="C272" i="36"/>
  <c r="A273" i="36"/>
  <c r="B273" i="36"/>
  <c r="C273" i="36"/>
  <c r="A274" i="36"/>
  <c r="B274" i="36"/>
  <c r="C274" i="36"/>
  <c r="A275" i="36"/>
  <c r="B275" i="36"/>
  <c r="C275" i="36"/>
  <c r="A276" i="36"/>
  <c r="B276" i="36"/>
  <c r="C276" i="36"/>
  <c r="A277" i="36"/>
  <c r="B277" i="36"/>
  <c r="C277" i="36"/>
  <c r="A278" i="36"/>
  <c r="B278" i="36"/>
  <c r="C278" i="36"/>
  <c r="A279" i="36"/>
  <c r="B279" i="36"/>
  <c r="C279" i="36"/>
  <c r="A280" i="36"/>
  <c r="B280" i="36"/>
  <c r="C280" i="36"/>
  <c r="A281" i="36"/>
  <c r="B281" i="36"/>
  <c r="C281" i="36"/>
  <c r="A282" i="36"/>
  <c r="B282" i="36"/>
  <c r="C282" i="36"/>
  <c r="A283" i="36"/>
  <c r="B283" i="36"/>
  <c r="C283" i="36"/>
  <c r="A284" i="36"/>
  <c r="B284" i="36"/>
  <c r="C284" i="36"/>
  <c r="A285" i="36"/>
  <c r="B285" i="36"/>
  <c r="C285" i="36"/>
  <c r="A286" i="36"/>
  <c r="B286" i="36"/>
  <c r="C286" i="36"/>
  <c r="A287" i="36"/>
  <c r="B287" i="36"/>
  <c r="C287" i="36"/>
  <c r="A288" i="36"/>
  <c r="B288" i="36"/>
  <c r="C288" i="36"/>
  <c r="A289" i="36"/>
  <c r="B289" i="36"/>
  <c r="C289" i="36"/>
  <c r="A290" i="36"/>
  <c r="B290" i="36"/>
  <c r="C290" i="36"/>
  <c r="A291" i="36"/>
  <c r="B291" i="36"/>
  <c r="C291" i="36"/>
  <c r="A292" i="36"/>
  <c r="B292" i="36"/>
  <c r="C292" i="36"/>
  <c r="A293" i="36"/>
  <c r="B293" i="36"/>
  <c r="C293" i="36"/>
  <c r="A294" i="36"/>
  <c r="B294" i="36"/>
  <c r="C294" i="36"/>
  <c r="A295" i="36"/>
  <c r="B295" i="36"/>
  <c r="C295" i="36"/>
  <c r="A296" i="36"/>
  <c r="B296" i="36"/>
  <c r="C296" i="36"/>
  <c r="A297" i="36"/>
  <c r="B297" i="36"/>
  <c r="C297" i="36"/>
  <c r="A298" i="36"/>
  <c r="B298" i="36"/>
  <c r="C298" i="36"/>
  <c r="A299" i="36"/>
  <c r="B299" i="36"/>
  <c r="C299" i="36"/>
  <c r="A300" i="36"/>
  <c r="B300" i="36"/>
  <c r="C300" i="36"/>
  <c r="A301" i="36"/>
  <c r="B301" i="36"/>
  <c r="C301" i="36"/>
  <c r="A302" i="36"/>
  <c r="B302" i="36"/>
  <c r="C302" i="36"/>
  <c r="A303" i="36"/>
  <c r="B303" i="36"/>
  <c r="C303" i="36"/>
  <c r="A304" i="36"/>
  <c r="B304" i="36"/>
  <c r="C304" i="36"/>
  <c r="A305" i="36"/>
  <c r="B305" i="36"/>
  <c r="C305" i="36"/>
  <c r="A306" i="36"/>
  <c r="B306" i="36"/>
  <c r="C306" i="36"/>
  <c r="A307" i="36"/>
  <c r="B307" i="36"/>
  <c r="C307" i="36"/>
  <c r="A308" i="36"/>
  <c r="B308" i="36"/>
  <c r="C308" i="36"/>
  <c r="A309" i="36"/>
  <c r="B309" i="36"/>
  <c r="C309" i="36"/>
  <c r="A310" i="36"/>
  <c r="B310" i="36"/>
  <c r="C310" i="36"/>
  <c r="A311" i="36"/>
  <c r="B311" i="36"/>
  <c r="C311" i="36"/>
  <c r="A312" i="36"/>
  <c r="B312" i="36"/>
  <c r="C312" i="36"/>
  <c r="A313" i="36"/>
  <c r="B313" i="36"/>
  <c r="C313" i="36"/>
  <c r="A314" i="36"/>
  <c r="B314" i="36"/>
  <c r="C314" i="36"/>
  <c r="A315" i="36"/>
  <c r="B315" i="36"/>
  <c r="C315" i="36"/>
  <c r="A316" i="36"/>
  <c r="B316" i="36"/>
  <c r="C316" i="36"/>
  <c r="A12" i="9"/>
  <c r="B12" i="9"/>
  <c r="C12" i="9"/>
  <c r="A13" i="9"/>
  <c r="B13" i="9"/>
  <c r="C13" i="9"/>
  <c r="A14" i="9"/>
  <c r="B14" i="9"/>
  <c r="C14" i="9"/>
  <c r="A15" i="9"/>
  <c r="B15" i="9"/>
  <c r="C15" i="9"/>
  <c r="A16" i="9"/>
  <c r="B16" i="9"/>
  <c r="C16" i="9"/>
  <c r="A17" i="9"/>
  <c r="B17" i="9"/>
  <c r="C17" i="9"/>
  <c r="A18" i="9"/>
  <c r="B18" i="9"/>
  <c r="C18" i="9"/>
  <c r="A19" i="9"/>
  <c r="B19" i="9"/>
  <c r="C19" i="9"/>
  <c r="A20" i="9"/>
  <c r="B20" i="9"/>
  <c r="C20" i="9"/>
  <c r="A21" i="9"/>
  <c r="B21" i="9"/>
  <c r="C21" i="9"/>
  <c r="A22" i="9"/>
  <c r="B22" i="9"/>
  <c r="C22" i="9"/>
  <c r="A23" i="9"/>
  <c r="B23" i="9"/>
  <c r="C23" i="9"/>
  <c r="A24" i="9"/>
  <c r="B24" i="9"/>
  <c r="C24" i="9"/>
  <c r="A25" i="9"/>
  <c r="B25" i="9"/>
  <c r="C25" i="9"/>
  <c r="A26" i="9"/>
  <c r="B26" i="9"/>
  <c r="C26" i="9"/>
  <c r="A27" i="9"/>
  <c r="B27" i="9"/>
  <c r="C27" i="9"/>
  <c r="A28" i="9"/>
  <c r="B28" i="9"/>
  <c r="C28" i="9"/>
  <c r="A29" i="9"/>
  <c r="B29" i="9"/>
  <c r="C29" i="9"/>
  <c r="A30" i="9"/>
  <c r="B30" i="9"/>
  <c r="C30" i="9"/>
  <c r="A31" i="9"/>
  <c r="B31" i="9"/>
  <c r="C31" i="9"/>
  <c r="A32" i="9"/>
  <c r="B32" i="9"/>
  <c r="C32" i="9"/>
  <c r="A33" i="9"/>
  <c r="B33" i="9"/>
  <c r="C33" i="9"/>
  <c r="A34" i="9"/>
  <c r="B34" i="9"/>
  <c r="C34" i="9"/>
  <c r="A35" i="9"/>
  <c r="B35" i="9"/>
  <c r="C35" i="9"/>
  <c r="A36" i="9"/>
  <c r="B36" i="9"/>
  <c r="C36" i="9"/>
  <c r="A37" i="9"/>
  <c r="B37" i="9"/>
  <c r="C37" i="9"/>
  <c r="A38" i="9"/>
  <c r="B38" i="9"/>
  <c r="C38" i="9"/>
  <c r="A39" i="9"/>
  <c r="B39" i="9"/>
  <c r="C39" i="9"/>
  <c r="A40" i="9"/>
  <c r="B40" i="9"/>
  <c r="C40" i="9"/>
  <c r="A41" i="9"/>
  <c r="B41" i="9"/>
  <c r="C41" i="9"/>
  <c r="A42" i="9"/>
  <c r="B42" i="9"/>
  <c r="C42" i="9"/>
  <c r="A43" i="9"/>
  <c r="B43" i="9"/>
  <c r="C43" i="9"/>
  <c r="A44" i="9"/>
  <c r="B44" i="9"/>
  <c r="C44" i="9"/>
  <c r="A45" i="9"/>
  <c r="B45" i="9"/>
  <c r="C45" i="9"/>
  <c r="A46" i="9"/>
  <c r="B46" i="9"/>
  <c r="C46" i="9"/>
  <c r="A47" i="9"/>
  <c r="B47" i="9"/>
  <c r="C47" i="9"/>
  <c r="A48" i="9"/>
  <c r="B48" i="9"/>
  <c r="C48" i="9"/>
  <c r="A49" i="9"/>
  <c r="B49" i="9"/>
  <c r="C49" i="9"/>
  <c r="A50" i="9"/>
  <c r="B50" i="9"/>
  <c r="C50" i="9"/>
  <c r="A51" i="9"/>
  <c r="B51" i="9"/>
  <c r="C51" i="9"/>
  <c r="A52" i="9"/>
  <c r="B52" i="9"/>
  <c r="C52" i="9"/>
  <c r="A53" i="9"/>
  <c r="B53" i="9"/>
  <c r="C53" i="9"/>
  <c r="A54" i="9"/>
  <c r="B54" i="9"/>
  <c r="C54" i="9"/>
  <c r="A55" i="9"/>
  <c r="B55" i="9"/>
  <c r="C55" i="9"/>
  <c r="A56" i="9"/>
  <c r="B56" i="9"/>
  <c r="C56" i="9"/>
  <c r="A57" i="9"/>
  <c r="B57" i="9"/>
  <c r="C57" i="9"/>
  <c r="A58" i="9"/>
  <c r="B58" i="9"/>
  <c r="C58" i="9"/>
  <c r="A59" i="9"/>
  <c r="B59" i="9"/>
  <c r="C59" i="9"/>
  <c r="A60" i="9"/>
  <c r="B60" i="9"/>
  <c r="C60" i="9"/>
  <c r="A61" i="9"/>
  <c r="B61" i="9"/>
  <c r="C61" i="9"/>
  <c r="A62" i="9"/>
  <c r="B62" i="9"/>
  <c r="C62" i="9"/>
  <c r="A63" i="9"/>
  <c r="B63" i="9"/>
  <c r="C63" i="9"/>
  <c r="A64" i="9"/>
  <c r="B64" i="9"/>
  <c r="C64" i="9"/>
  <c r="A65" i="9"/>
  <c r="B65" i="9"/>
  <c r="C65" i="9"/>
  <c r="A66" i="9"/>
  <c r="B66" i="9"/>
  <c r="C66" i="9"/>
  <c r="A67" i="9"/>
  <c r="B67" i="9"/>
  <c r="C67" i="9"/>
  <c r="A68" i="9"/>
  <c r="B68" i="9"/>
  <c r="C68" i="9"/>
  <c r="A69" i="9"/>
  <c r="B69" i="9"/>
  <c r="C69" i="9"/>
  <c r="A70" i="9"/>
  <c r="B70" i="9"/>
  <c r="C70" i="9"/>
  <c r="A71" i="9"/>
  <c r="B71" i="9"/>
  <c r="C71" i="9"/>
  <c r="A72" i="9"/>
  <c r="B72" i="9"/>
  <c r="C72" i="9"/>
  <c r="A73" i="9"/>
  <c r="B73" i="9"/>
  <c r="C73" i="9"/>
  <c r="A74" i="9"/>
  <c r="B74" i="9"/>
  <c r="C74" i="9"/>
  <c r="A75" i="9"/>
  <c r="B75" i="9"/>
  <c r="C75" i="9"/>
  <c r="A76" i="9"/>
  <c r="B76" i="9"/>
  <c r="C76" i="9"/>
  <c r="A77" i="9"/>
  <c r="B77" i="9"/>
  <c r="C77" i="9"/>
  <c r="A78" i="9"/>
  <c r="B78" i="9"/>
  <c r="C78" i="9"/>
  <c r="A79" i="9"/>
  <c r="B79" i="9"/>
  <c r="C79" i="9"/>
  <c r="A80" i="9"/>
  <c r="B80" i="9"/>
  <c r="C80" i="9"/>
  <c r="A81" i="9"/>
  <c r="B81" i="9"/>
  <c r="C81" i="9"/>
  <c r="A82" i="9"/>
  <c r="B82" i="9"/>
  <c r="C82" i="9"/>
  <c r="A83" i="9"/>
  <c r="B83" i="9"/>
  <c r="C83" i="9"/>
  <c r="A84" i="9"/>
  <c r="B84" i="9"/>
  <c r="C84" i="9"/>
  <c r="A85" i="9"/>
  <c r="B85" i="9"/>
  <c r="C85" i="9"/>
  <c r="A86" i="9"/>
  <c r="B86" i="9"/>
  <c r="C86" i="9"/>
  <c r="A87" i="9"/>
  <c r="B87" i="9"/>
  <c r="C87" i="9"/>
  <c r="A88" i="9"/>
  <c r="B88" i="9"/>
  <c r="C88" i="9"/>
  <c r="A89" i="9"/>
  <c r="B89" i="9"/>
  <c r="C89" i="9"/>
  <c r="A90" i="9"/>
  <c r="B90" i="9"/>
  <c r="C90" i="9"/>
  <c r="A91" i="9"/>
  <c r="B91" i="9"/>
  <c r="C91" i="9"/>
  <c r="A92" i="9"/>
  <c r="B92" i="9"/>
  <c r="C92" i="9"/>
  <c r="A93" i="9"/>
  <c r="B93" i="9"/>
  <c r="C93" i="9"/>
  <c r="A94" i="9"/>
  <c r="B94" i="9"/>
  <c r="C94" i="9"/>
  <c r="A95" i="9"/>
  <c r="B95" i="9"/>
  <c r="C95" i="9"/>
  <c r="A96" i="9"/>
  <c r="B96" i="9"/>
  <c r="C96" i="9"/>
  <c r="A97" i="9"/>
  <c r="B97" i="9"/>
  <c r="C97" i="9"/>
  <c r="A98" i="9"/>
  <c r="B98" i="9"/>
  <c r="C98" i="9"/>
  <c r="A99" i="9"/>
  <c r="B99" i="9"/>
  <c r="C99" i="9"/>
  <c r="A100" i="9"/>
  <c r="B100" i="9"/>
  <c r="C100" i="9"/>
  <c r="A101" i="9"/>
  <c r="B101" i="9"/>
  <c r="C101" i="9"/>
  <c r="A102" i="9"/>
  <c r="B102" i="9"/>
  <c r="C102" i="9"/>
  <c r="A103" i="9"/>
  <c r="B103" i="9"/>
  <c r="C103" i="9"/>
  <c r="A104" i="9"/>
  <c r="B104" i="9"/>
  <c r="C104" i="9"/>
  <c r="A105" i="9"/>
  <c r="B105" i="9"/>
  <c r="C105" i="9"/>
  <c r="A106" i="9"/>
  <c r="B106" i="9"/>
  <c r="C106" i="9"/>
  <c r="A107" i="9"/>
  <c r="B107" i="9"/>
  <c r="C107" i="9"/>
  <c r="A108" i="9"/>
  <c r="B108" i="9"/>
  <c r="C108" i="9"/>
  <c r="A109" i="9"/>
  <c r="B109" i="9"/>
  <c r="C109" i="9"/>
  <c r="A110" i="9"/>
  <c r="B110" i="9"/>
  <c r="C110" i="9"/>
  <c r="A111" i="9"/>
  <c r="B111" i="9"/>
  <c r="C111" i="9"/>
  <c r="A112" i="9"/>
  <c r="B112" i="9"/>
  <c r="C112" i="9"/>
  <c r="A113" i="9"/>
  <c r="B113" i="9"/>
  <c r="C113" i="9"/>
  <c r="A114" i="9"/>
  <c r="B114" i="9"/>
  <c r="C114" i="9"/>
  <c r="A115" i="9"/>
  <c r="B115" i="9"/>
  <c r="C115" i="9"/>
  <c r="A116" i="9"/>
  <c r="B116" i="9"/>
  <c r="C116" i="9"/>
  <c r="A117" i="9"/>
  <c r="B117" i="9"/>
  <c r="C117" i="9"/>
  <c r="A118" i="9"/>
  <c r="B118" i="9"/>
  <c r="C118" i="9"/>
  <c r="A119" i="9"/>
  <c r="B119" i="9"/>
  <c r="C119" i="9"/>
  <c r="A120" i="9"/>
  <c r="B120" i="9"/>
  <c r="C120" i="9"/>
  <c r="A121" i="9"/>
  <c r="B121" i="9"/>
  <c r="C121" i="9"/>
  <c r="A122" i="9"/>
  <c r="B122" i="9"/>
  <c r="C122" i="9"/>
  <c r="A123" i="9"/>
  <c r="B123" i="9"/>
  <c r="C123" i="9"/>
  <c r="A124" i="9"/>
  <c r="B124" i="9"/>
  <c r="C124" i="9"/>
  <c r="A125" i="9"/>
  <c r="B125" i="9"/>
  <c r="C125" i="9"/>
  <c r="A126" i="9"/>
  <c r="B126" i="9"/>
  <c r="C126" i="9"/>
  <c r="A127" i="9"/>
  <c r="B127" i="9"/>
  <c r="C127" i="9"/>
  <c r="A128" i="9"/>
  <c r="B128" i="9"/>
  <c r="C128" i="9"/>
  <c r="A129" i="9"/>
  <c r="B129" i="9"/>
  <c r="C129" i="9"/>
  <c r="A130" i="9"/>
  <c r="B130" i="9"/>
  <c r="C130" i="9"/>
  <c r="A131" i="9"/>
  <c r="B131" i="9"/>
  <c r="C131" i="9"/>
  <c r="A132" i="9"/>
  <c r="B132" i="9"/>
  <c r="C132" i="9"/>
  <c r="A133" i="9"/>
  <c r="B133" i="9"/>
  <c r="C133" i="9"/>
  <c r="A134" i="9"/>
  <c r="B134" i="9"/>
  <c r="C134" i="9"/>
  <c r="A135" i="9"/>
  <c r="B135" i="9"/>
  <c r="C135" i="9"/>
  <c r="A136" i="9"/>
  <c r="B136" i="9"/>
  <c r="C136" i="9"/>
  <c r="A137" i="9"/>
  <c r="B137" i="9"/>
  <c r="C137" i="9"/>
  <c r="A138" i="9"/>
  <c r="B138" i="9"/>
  <c r="C138" i="9"/>
  <c r="A139" i="9"/>
  <c r="B139" i="9"/>
  <c r="C139" i="9"/>
  <c r="A140" i="9"/>
  <c r="B140" i="9"/>
  <c r="C140" i="9"/>
  <c r="A141" i="9"/>
  <c r="B141" i="9"/>
  <c r="C141" i="9"/>
  <c r="A142" i="9"/>
  <c r="B142" i="9"/>
  <c r="C142" i="9"/>
  <c r="A143" i="9"/>
  <c r="B143" i="9"/>
  <c r="C143" i="9"/>
  <c r="A144" i="9"/>
  <c r="B144" i="9"/>
  <c r="C144" i="9"/>
  <c r="A145" i="9"/>
  <c r="B145" i="9"/>
  <c r="C145" i="9"/>
  <c r="A146" i="9"/>
  <c r="B146" i="9"/>
  <c r="C146" i="9"/>
  <c r="A147" i="9"/>
  <c r="B147" i="9"/>
  <c r="C147" i="9"/>
  <c r="A148" i="9"/>
  <c r="B148" i="9"/>
  <c r="C148" i="9"/>
  <c r="A149" i="9"/>
  <c r="B149" i="9"/>
  <c r="C149" i="9"/>
  <c r="A150" i="9"/>
  <c r="B150" i="9"/>
  <c r="C150" i="9"/>
  <c r="A151" i="9"/>
  <c r="B151" i="9"/>
  <c r="C151" i="9"/>
  <c r="A152" i="9"/>
  <c r="B152" i="9"/>
  <c r="C152" i="9"/>
  <c r="A153" i="9"/>
  <c r="B153" i="9"/>
  <c r="C153" i="9"/>
  <c r="A154" i="9"/>
  <c r="B154" i="9"/>
  <c r="C154" i="9"/>
  <c r="A155" i="9"/>
  <c r="B155" i="9"/>
  <c r="C155" i="9"/>
  <c r="A156" i="9"/>
  <c r="B156" i="9"/>
  <c r="C156" i="9"/>
  <c r="A157" i="9"/>
  <c r="B157" i="9"/>
  <c r="C157" i="9"/>
  <c r="A158" i="9"/>
  <c r="B158" i="9"/>
  <c r="C158" i="9"/>
  <c r="A159" i="9"/>
  <c r="B159" i="9"/>
  <c r="C159" i="9"/>
  <c r="A160" i="9"/>
  <c r="B160" i="9"/>
  <c r="C160" i="9"/>
  <c r="A161" i="9"/>
  <c r="B161" i="9"/>
  <c r="C161" i="9"/>
  <c r="A162" i="9"/>
  <c r="B162" i="9"/>
  <c r="C162" i="9"/>
  <c r="A163" i="9"/>
  <c r="B163" i="9"/>
  <c r="C163" i="9"/>
  <c r="A164" i="9"/>
  <c r="B164" i="9"/>
  <c r="C164" i="9"/>
  <c r="A165" i="9"/>
  <c r="B165" i="9"/>
  <c r="C165" i="9"/>
  <c r="A166" i="9"/>
  <c r="B166" i="9"/>
  <c r="C166" i="9"/>
  <c r="A167" i="9"/>
  <c r="B167" i="9"/>
  <c r="C167" i="9"/>
  <c r="A168" i="9"/>
  <c r="B168" i="9"/>
  <c r="C168" i="9"/>
  <c r="A169" i="9"/>
  <c r="B169" i="9"/>
  <c r="C169" i="9"/>
  <c r="A170" i="9"/>
  <c r="B170" i="9"/>
  <c r="C170" i="9"/>
  <c r="A171" i="9"/>
  <c r="B171" i="9"/>
  <c r="C171" i="9"/>
  <c r="A172" i="9"/>
  <c r="B172" i="9"/>
  <c r="C172" i="9"/>
  <c r="A173" i="9"/>
  <c r="B173" i="9"/>
  <c r="C173" i="9"/>
  <c r="A174" i="9"/>
  <c r="B174" i="9"/>
  <c r="C174" i="9"/>
  <c r="A175" i="9"/>
  <c r="B175" i="9"/>
  <c r="C175" i="9"/>
  <c r="A176" i="9"/>
  <c r="B176" i="9"/>
  <c r="C176" i="9"/>
  <c r="A177" i="9"/>
  <c r="B177" i="9"/>
  <c r="C177" i="9"/>
  <c r="A178" i="9"/>
  <c r="B178" i="9"/>
  <c r="C178" i="9"/>
  <c r="A179" i="9"/>
  <c r="B179" i="9"/>
  <c r="C179" i="9"/>
  <c r="A180" i="9"/>
  <c r="B180" i="9"/>
  <c r="C180" i="9"/>
  <c r="A181" i="9"/>
  <c r="B181" i="9"/>
  <c r="C181" i="9"/>
  <c r="A182" i="9"/>
  <c r="B182" i="9"/>
  <c r="C182" i="9"/>
  <c r="A183" i="9"/>
  <c r="B183" i="9"/>
  <c r="C183" i="9"/>
  <c r="A184" i="9"/>
  <c r="B184" i="9"/>
  <c r="C184" i="9"/>
  <c r="A185" i="9"/>
  <c r="B185" i="9"/>
  <c r="C185" i="9"/>
  <c r="A186" i="9"/>
  <c r="B186" i="9"/>
  <c r="C186" i="9"/>
  <c r="A187" i="9"/>
  <c r="B187" i="9"/>
  <c r="C187" i="9"/>
  <c r="A188" i="9"/>
  <c r="B188" i="9"/>
  <c r="C188" i="9"/>
  <c r="A189" i="9"/>
  <c r="B189" i="9"/>
  <c r="C189" i="9"/>
  <c r="A190" i="9"/>
  <c r="B190" i="9"/>
  <c r="C190" i="9"/>
  <c r="A191" i="9"/>
  <c r="B191" i="9"/>
  <c r="C191" i="9"/>
  <c r="A192" i="9"/>
  <c r="B192" i="9"/>
  <c r="C192" i="9"/>
  <c r="A193" i="9"/>
  <c r="B193" i="9"/>
  <c r="C193" i="9"/>
  <c r="A194" i="9"/>
  <c r="B194" i="9"/>
  <c r="C194" i="9"/>
  <c r="A195" i="9"/>
  <c r="B195" i="9"/>
  <c r="C195" i="9"/>
  <c r="A196" i="9"/>
  <c r="B196" i="9"/>
  <c r="C196" i="9"/>
  <c r="A197" i="9"/>
  <c r="B197" i="9"/>
  <c r="C197" i="9"/>
  <c r="A198" i="9"/>
  <c r="B198" i="9"/>
  <c r="C198" i="9"/>
  <c r="A199" i="9"/>
  <c r="B199" i="9"/>
  <c r="C199" i="9"/>
  <c r="A200" i="9"/>
  <c r="B200" i="9"/>
  <c r="C200" i="9"/>
  <c r="A201" i="9"/>
  <c r="B201" i="9"/>
  <c r="C201" i="9"/>
  <c r="A202" i="9"/>
  <c r="B202" i="9"/>
  <c r="C202" i="9"/>
  <c r="A203" i="9"/>
  <c r="B203" i="9"/>
  <c r="C203" i="9"/>
  <c r="A204" i="9"/>
  <c r="B204" i="9"/>
  <c r="C204" i="9"/>
  <c r="A205" i="9"/>
  <c r="B205" i="9"/>
  <c r="C205" i="9"/>
  <c r="A206" i="9"/>
  <c r="B206" i="9"/>
  <c r="C206" i="9"/>
  <c r="A207" i="9"/>
  <c r="B207" i="9"/>
  <c r="C207" i="9"/>
  <c r="A208" i="9"/>
  <c r="B208" i="9"/>
  <c r="C208" i="9"/>
  <c r="A209" i="9"/>
  <c r="B209" i="9"/>
  <c r="C209" i="9"/>
  <c r="A210" i="9"/>
  <c r="B210" i="9"/>
  <c r="C210" i="9"/>
  <c r="A211" i="9"/>
  <c r="B211" i="9"/>
  <c r="C211" i="9"/>
  <c r="A212" i="9"/>
  <c r="B212" i="9"/>
  <c r="C212" i="9"/>
  <c r="A213" i="9"/>
  <c r="B213" i="9"/>
  <c r="C213" i="9"/>
  <c r="A214" i="9"/>
  <c r="B214" i="9"/>
  <c r="C214" i="9"/>
  <c r="A215" i="9"/>
  <c r="B215" i="9"/>
  <c r="C215" i="9"/>
  <c r="A216" i="9"/>
  <c r="B216" i="9"/>
  <c r="C216" i="9"/>
  <c r="A217" i="9"/>
  <c r="B217" i="9"/>
  <c r="C217" i="9"/>
  <c r="A218" i="9"/>
  <c r="B218" i="9"/>
  <c r="C218" i="9"/>
  <c r="A219" i="9"/>
  <c r="B219" i="9"/>
  <c r="C219" i="9"/>
  <c r="A220" i="9"/>
  <c r="B220" i="9"/>
  <c r="C220" i="9"/>
  <c r="A221" i="9"/>
  <c r="B221" i="9"/>
  <c r="C221" i="9"/>
  <c r="A222" i="9"/>
  <c r="B222" i="9"/>
  <c r="C222" i="9"/>
  <c r="A223" i="9"/>
  <c r="B223" i="9"/>
  <c r="C223" i="9"/>
  <c r="A224" i="9"/>
  <c r="B224" i="9"/>
  <c r="C224" i="9"/>
  <c r="A225" i="9"/>
  <c r="B225" i="9"/>
  <c r="C225" i="9"/>
  <c r="A226" i="9"/>
  <c r="B226" i="9"/>
  <c r="C226" i="9"/>
  <c r="A227" i="9"/>
  <c r="B227" i="9"/>
  <c r="C227" i="9"/>
  <c r="A228" i="9"/>
  <c r="B228" i="9"/>
  <c r="C228" i="9"/>
  <c r="A229" i="9"/>
  <c r="B229" i="9"/>
  <c r="C229" i="9"/>
  <c r="A230" i="9"/>
  <c r="B230" i="9"/>
  <c r="C230" i="9"/>
  <c r="A231" i="9"/>
  <c r="B231" i="9"/>
  <c r="C231" i="9"/>
  <c r="A232" i="9"/>
  <c r="B232" i="9"/>
  <c r="C232" i="9"/>
  <c r="A233" i="9"/>
  <c r="B233" i="9"/>
  <c r="C233" i="9"/>
  <c r="A234" i="9"/>
  <c r="B234" i="9"/>
  <c r="C234" i="9"/>
  <c r="A235" i="9"/>
  <c r="B235" i="9"/>
  <c r="C235" i="9"/>
  <c r="A236" i="9"/>
  <c r="B236" i="9"/>
  <c r="C236" i="9"/>
  <c r="A237" i="9"/>
  <c r="B237" i="9"/>
  <c r="C237" i="9"/>
  <c r="A238" i="9"/>
  <c r="B238" i="9"/>
  <c r="C238" i="9"/>
  <c r="A239" i="9"/>
  <c r="B239" i="9"/>
  <c r="C239" i="9"/>
  <c r="A240" i="9"/>
  <c r="B240" i="9"/>
  <c r="C240" i="9"/>
  <c r="A241" i="9"/>
  <c r="B241" i="9"/>
  <c r="C241" i="9"/>
  <c r="A242" i="9"/>
  <c r="B242" i="9"/>
  <c r="C242" i="9"/>
  <c r="A243" i="9"/>
  <c r="B243" i="9"/>
  <c r="C243" i="9"/>
  <c r="A244" i="9"/>
  <c r="B244" i="9"/>
  <c r="C244" i="9"/>
  <c r="A245" i="9"/>
  <c r="B245" i="9"/>
  <c r="C245" i="9"/>
  <c r="A246" i="9"/>
  <c r="B246" i="9"/>
  <c r="C246" i="9"/>
  <c r="A247" i="9"/>
  <c r="B247" i="9"/>
  <c r="C247" i="9"/>
  <c r="A248" i="9"/>
  <c r="B248" i="9"/>
  <c r="C248" i="9"/>
  <c r="A249" i="9"/>
  <c r="B249" i="9"/>
  <c r="C249" i="9"/>
  <c r="A250" i="9"/>
  <c r="B250" i="9"/>
  <c r="C250" i="9"/>
  <c r="A251" i="9"/>
  <c r="B251" i="9"/>
  <c r="C251" i="9"/>
  <c r="A252" i="9"/>
  <c r="B252" i="9"/>
  <c r="C252" i="9"/>
  <c r="A253" i="9"/>
  <c r="B253" i="9"/>
  <c r="C253" i="9"/>
  <c r="A254" i="9"/>
  <c r="B254" i="9"/>
  <c r="C254" i="9"/>
  <c r="A255" i="9"/>
  <c r="B255" i="9"/>
  <c r="C255" i="9"/>
  <c r="A256" i="9"/>
  <c r="B256" i="9"/>
  <c r="C256" i="9"/>
  <c r="A257" i="9"/>
  <c r="B257" i="9"/>
  <c r="C257" i="9"/>
  <c r="A258" i="9"/>
  <c r="B258" i="9"/>
  <c r="C258" i="9"/>
  <c r="A259" i="9"/>
  <c r="B259" i="9"/>
  <c r="C259" i="9"/>
  <c r="A260" i="9"/>
  <c r="B260" i="9"/>
  <c r="C260" i="9"/>
  <c r="A261" i="9"/>
  <c r="B261" i="9"/>
  <c r="C261" i="9"/>
  <c r="A262" i="9"/>
  <c r="B262" i="9"/>
  <c r="C262" i="9"/>
  <c r="A263" i="9"/>
  <c r="B263" i="9"/>
  <c r="C263" i="9"/>
  <c r="A264" i="9"/>
  <c r="B264" i="9"/>
  <c r="C264" i="9"/>
  <c r="A265" i="9"/>
  <c r="B265" i="9"/>
  <c r="C265" i="9"/>
  <c r="A266" i="9"/>
  <c r="B266" i="9"/>
  <c r="C266" i="9"/>
  <c r="A267" i="9"/>
  <c r="B267" i="9"/>
  <c r="C267" i="9"/>
  <c r="A268" i="9"/>
  <c r="B268" i="9"/>
  <c r="C268" i="9"/>
  <c r="A269" i="9"/>
  <c r="B269" i="9"/>
  <c r="C269" i="9"/>
  <c r="A270" i="9"/>
  <c r="B270" i="9"/>
  <c r="C270" i="9"/>
  <c r="A271" i="9"/>
  <c r="B271" i="9"/>
  <c r="C271" i="9"/>
  <c r="A272" i="9"/>
  <c r="B272" i="9"/>
  <c r="C272" i="9"/>
  <c r="A273" i="9"/>
  <c r="B273" i="9"/>
  <c r="C273" i="9"/>
  <c r="A274" i="9"/>
  <c r="B274" i="9"/>
  <c r="C274" i="9"/>
  <c r="A275" i="9"/>
  <c r="B275" i="9"/>
  <c r="C275" i="9"/>
  <c r="A276" i="9"/>
  <c r="B276" i="9"/>
  <c r="C276" i="9"/>
  <c r="A277" i="9"/>
  <c r="B277" i="9"/>
  <c r="C277" i="9"/>
  <c r="A278" i="9"/>
  <c r="B278" i="9"/>
  <c r="C278" i="9"/>
  <c r="A279" i="9"/>
  <c r="B279" i="9"/>
  <c r="C279" i="9"/>
  <c r="A280" i="9"/>
  <c r="B280" i="9"/>
  <c r="C280" i="9"/>
  <c r="A281" i="9"/>
  <c r="B281" i="9"/>
  <c r="C281" i="9"/>
  <c r="A282" i="9"/>
  <c r="B282" i="9"/>
  <c r="C282" i="9"/>
  <c r="A283" i="9"/>
  <c r="B283" i="9"/>
  <c r="C283" i="9"/>
  <c r="A284" i="9"/>
  <c r="B284" i="9"/>
  <c r="C284" i="9"/>
  <c r="A285" i="9"/>
  <c r="B285" i="9"/>
  <c r="C285" i="9"/>
  <c r="A286" i="9"/>
  <c r="B286" i="9"/>
  <c r="C286" i="9"/>
  <c r="A287" i="9"/>
  <c r="B287" i="9"/>
  <c r="C287" i="9"/>
  <c r="A288" i="9"/>
  <c r="B288" i="9"/>
  <c r="C288" i="9"/>
  <c r="A289" i="9"/>
  <c r="B289" i="9"/>
  <c r="C289" i="9"/>
  <c r="A290" i="9"/>
  <c r="B290" i="9"/>
  <c r="C290" i="9"/>
  <c r="A291" i="9"/>
  <c r="B291" i="9"/>
  <c r="C291" i="9"/>
  <c r="A292" i="9"/>
  <c r="B292" i="9"/>
  <c r="C292" i="9"/>
  <c r="A293" i="9"/>
  <c r="B293" i="9"/>
  <c r="C293" i="9"/>
  <c r="A294" i="9"/>
  <c r="B294" i="9"/>
  <c r="C294" i="9"/>
  <c r="A295" i="9"/>
  <c r="B295" i="9"/>
  <c r="C295" i="9"/>
  <c r="A296" i="9"/>
  <c r="B296" i="9"/>
  <c r="C296" i="9"/>
  <c r="A297" i="9"/>
  <c r="B297" i="9"/>
  <c r="C297" i="9"/>
  <c r="A298" i="9"/>
  <c r="B298" i="9"/>
  <c r="C298" i="9"/>
  <c r="A299" i="9"/>
  <c r="B299" i="9"/>
  <c r="C299" i="9"/>
  <c r="A300" i="9"/>
  <c r="B300" i="9"/>
  <c r="C300" i="9"/>
  <c r="A301" i="9"/>
  <c r="B301" i="9"/>
  <c r="C301" i="9"/>
  <c r="A302" i="9"/>
  <c r="B302" i="9"/>
  <c r="C302" i="9"/>
  <c r="A303" i="9"/>
  <c r="B303" i="9"/>
  <c r="C303" i="9"/>
  <c r="A304" i="9"/>
  <c r="B304" i="9"/>
  <c r="C304" i="9"/>
  <c r="A305" i="9"/>
  <c r="B305" i="9"/>
  <c r="C305" i="9"/>
  <c r="A306" i="9"/>
  <c r="B306" i="9"/>
  <c r="C306" i="9"/>
  <c r="A307" i="9"/>
  <c r="B307" i="9"/>
  <c r="C307" i="9"/>
  <c r="A308" i="9"/>
  <c r="B308" i="9"/>
  <c r="C308" i="9"/>
  <c r="A309" i="9"/>
  <c r="B309" i="9"/>
  <c r="C309" i="9"/>
  <c r="A310" i="9"/>
  <c r="B310" i="9"/>
  <c r="C310" i="9"/>
  <c r="A311" i="9"/>
  <c r="B311" i="9"/>
  <c r="C311" i="9"/>
  <c r="A312" i="9"/>
  <c r="B312" i="9"/>
  <c r="C312" i="9"/>
  <c r="A313" i="9"/>
  <c r="B313" i="9"/>
  <c r="C313" i="9"/>
  <c r="A314" i="9"/>
  <c r="B314" i="9"/>
  <c r="C314" i="9"/>
  <c r="A315" i="9"/>
  <c r="B315" i="9"/>
  <c r="C315" i="9"/>
  <c r="A316" i="9"/>
  <c r="B316" i="9"/>
  <c r="C316" i="9"/>
  <c r="A317" i="9"/>
  <c r="B317" i="9"/>
  <c r="C317" i="9"/>
  <c r="A318" i="9"/>
  <c r="B318" i="9"/>
  <c r="C318" i="9"/>
  <c r="A319" i="9"/>
  <c r="B319" i="9"/>
  <c r="C319" i="9"/>
  <c r="A6" i="33"/>
  <c r="B6" i="33"/>
  <c r="A7" i="33"/>
  <c r="B7" i="33"/>
  <c r="A8" i="33"/>
  <c r="B8" i="33"/>
  <c r="A9" i="33"/>
  <c r="B9" i="33"/>
  <c r="A10" i="33"/>
  <c r="B10" i="33"/>
  <c r="A11" i="33"/>
  <c r="B11" i="33"/>
  <c r="A12" i="33"/>
  <c r="B12" i="33"/>
  <c r="A13" i="33"/>
  <c r="B13" i="33"/>
  <c r="A14" i="33"/>
  <c r="B14" i="33"/>
  <c r="A15" i="33"/>
  <c r="B15" i="33"/>
  <c r="A16" i="33"/>
  <c r="B16" i="33"/>
  <c r="A17" i="33"/>
  <c r="B17" i="33"/>
  <c r="A18" i="33"/>
  <c r="B18" i="33"/>
  <c r="A19" i="33"/>
  <c r="B19" i="33"/>
  <c r="A20" i="33"/>
  <c r="B20" i="33"/>
  <c r="A21" i="33"/>
  <c r="B21" i="33"/>
  <c r="A22" i="33"/>
  <c r="B22" i="33"/>
  <c r="A23" i="33"/>
  <c r="B23" i="33"/>
  <c r="A24" i="33"/>
  <c r="B24" i="33"/>
  <c r="A25" i="33"/>
  <c r="B25" i="33"/>
  <c r="A26" i="33"/>
  <c r="B26" i="33"/>
  <c r="A27" i="33"/>
  <c r="B27" i="33"/>
  <c r="A28" i="33"/>
  <c r="B28" i="33"/>
  <c r="A29" i="33"/>
  <c r="B29" i="33"/>
  <c r="A30" i="33"/>
  <c r="B30" i="33"/>
  <c r="A31" i="33"/>
  <c r="B31" i="33"/>
  <c r="A32" i="33"/>
  <c r="B32" i="33"/>
  <c r="A33" i="33"/>
  <c r="B33" i="33"/>
  <c r="A34" i="33"/>
  <c r="B34" i="33"/>
  <c r="A35" i="33"/>
  <c r="B35" i="33"/>
  <c r="A36" i="33"/>
  <c r="B36" i="33"/>
  <c r="A37" i="33"/>
  <c r="B37" i="33"/>
  <c r="A38" i="33"/>
  <c r="B38" i="33"/>
  <c r="A39" i="33"/>
  <c r="B39" i="33"/>
  <c r="A40" i="33"/>
  <c r="B40" i="33"/>
  <c r="A41" i="33"/>
  <c r="B41" i="33"/>
  <c r="A42" i="33"/>
  <c r="B42" i="33"/>
  <c r="A43" i="33"/>
  <c r="B43" i="33"/>
  <c r="A44" i="33"/>
  <c r="B44" i="33"/>
  <c r="A45" i="33"/>
  <c r="B45" i="33"/>
  <c r="A46" i="33"/>
  <c r="B46" i="33"/>
  <c r="A47" i="33"/>
  <c r="B47" i="33"/>
  <c r="A48" i="33"/>
  <c r="B48" i="33"/>
  <c r="A49" i="33"/>
  <c r="B49" i="33"/>
  <c r="A50" i="33"/>
  <c r="B50" i="33"/>
  <c r="A51" i="33"/>
  <c r="B51" i="33"/>
  <c r="A52" i="33"/>
  <c r="B52" i="33"/>
  <c r="A53" i="33"/>
  <c r="B53" i="33"/>
  <c r="A54" i="33"/>
  <c r="B54" i="33"/>
  <c r="A55" i="33"/>
  <c r="B55" i="33"/>
  <c r="A56" i="33"/>
  <c r="B56" i="33"/>
  <c r="A57" i="33"/>
  <c r="B57" i="33"/>
  <c r="A58" i="33"/>
  <c r="B58" i="33"/>
  <c r="A59" i="33"/>
  <c r="B59" i="33"/>
  <c r="A60" i="33"/>
  <c r="B60" i="33"/>
  <c r="A61" i="33"/>
  <c r="B61" i="33"/>
  <c r="A62" i="33"/>
  <c r="B62" i="33"/>
  <c r="A63" i="33"/>
  <c r="B63" i="33"/>
  <c r="A64" i="33"/>
  <c r="B64" i="33"/>
  <c r="A65" i="33"/>
  <c r="B65" i="33"/>
  <c r="A66" i="33"/>
  <c r="B66" i="33"/>
  <c r="A67" i="33"/>
  <c r="B67" i="33"/>
  <c r="A68" i="33"/>
  <c r="B68" i="33"/>
  <c r="A69" i="33"/>
  <c r="B69" i="33"/>
  <c r="A70" i="33"/>
  <c r="B70" i="33"/>
  <c r="A71" i="33"/>
  <c r="B71" i="33"/>
  <c r="A72" i="33"/>
  <c r="B72" i="33"/>
  <c r="A73" i="33"/>
  <c r="B73" i="33"/>
  <c r="A74" i="33"/>
  <c r="B74" i="33"/>
  <c r="A75" i="33"/>
  <c r="B75" i="33"/>
  <c r="A76" i="33"/>
  <c r="B76" i="33"/>
  <c r="A77" i="33"/>
  <c r="B77" i="33"/>
  <c r="A78" i="33"/>
  <c r="B78" i="33"/>
  <c r="A79" i="33"/>
  <c r="B79" i="33"/>
  <c r="A80" i="33"/>
  <c r="B80" i="33"/>
  <c r="A81" i="33"/>
  <c r="B81" i="33"/>
  <c r="A82" i="33"/>
  <c r="B82" i="33"/>
  <c r="A83" i="33"/>
  <c r="B83" i="33"/>
  <c r="A84" i="33"/>
  <c r="B84" i="33"/>
  <c r="A85" i="33"/>
  <c r="B85" i="33"/>
  <c r="A86" i="33"/>
  <c r="B86" i="33"/>
  <c r="A87" i="33"/>
  <c r="B87" i="33"/>
  <c r="A88" i="33"/>
  <c r="B88" i="33"/>
  <c r="A89" i="33"/>
  <c r="B89" i="33"/>
  <c r="A90" i="33"/>
  <c r="B90" i="33"/>
  <c r="A91" i="33"/>
  <c r="B91" i="33"/>
  <c r="A92" i="33"/>
  <c r="B92" i="33"/>
  <c r="A93" i="33"/>
  <c r="B93" i="33"/>
  <c r="A94" i="33"/>
  <c r="B94" i="33"/>
  <c r="A95" i="33"/>
  <c r="B95" i="33"/>
  <c r="A96" i="33"/>
  <c r="B96" i="33"/>
  <c r="A97" i="33"/>
  <c r="B97" i="33"/>
  <c r="A98" i="33"/>
  <c r="B98" i="33"/>
  <c r="A99" i="33"/>
  <c r="B99" i="33"/>
  <c r="A100" i="33"/>
  <c r="B100" i="33"/>
  <c r="A101" i="33"/>
  <c r="B101" i="33"/>
  <c r="A102" i="33"/>
  <c r="B102" i="33"/>
  <c r="A103" i="33"/>
  <c r="B103" i="33"/>
  <c r="A104" i="33"/>
  <c r="B104" i="33"/>
  <c r="A105" i="33"/>
  <c r="B105" i="33"/>
  <c r="A106" i="33"/>
  <c r="B106" i="33"/>
  <c r="A107" i="33"/>
  <c r="B107" i="33"/>
  <c r="A108" i="33"/>
  <c r="B108" i="33"/>
  <c r="A109" i="33"/>
  <c r="B109" i="33"/>
  <c r="A110" i="33"/>
  <c r="B110" i="33"/>
  <c r="A111" i="33"/>
  <c r="B111" i="33"/>
  <c r="A112" i="33"/>
  <c r="B112" i="33"/>
  <c r="A113" i="33"/>
  <c r="B113" i="33"/>
  <c r="A114" i="33"/>
  <c r="B114" i="33"/>
  <c r="A115" i="33"/>
  <c r="B115" i="33"/>
  <c r="A116" i="33"/>
  <c r="B116" i="33"/>
  <c r="A117" i="33"/>
  <c r="B117" i="33"/>
  <c r="A118" i="33"/>
  <c r="B118" i="33"/>
  <c r="A119" i="33"/>
  <c r="B119" i="33"/>
  <c r="A120" i="33"/>
  <c r="B120" i="33"/>
  <c r="A121" i="33"/>
  <c r="B121" i="33"/>
  <c r="A122" i="33"/>
  <c r="B122" i="33"/>
  <c r="A123" i="33"/>
  <c r="B123" i="33"/>
  <c r="A124" i="33"/>
  <c r="B124" i="33"/>
  <c r="A125" i="33"/>
  <c r="B125" i="33"/>
  <c r="A126" i="33"/>
  <c r="B126" i="33"/>
  <c r="A127" i="33"/>
  <c r="B127" i="33"/>
  <c r="A128" i="33"/>
  <c r="B128" i="33"/>
  <c r="A129" i="33"/>
  <c r="B129" i="33"/>
  <c r="A130" i="33"/>
  <c r="B130" i="33"/>
  <c r="A131" i="33"/>
  <c r="B131" i="33"/>
  <c r="A132" i="33"/>
  <c r="B132" i="33"/>
  <c r="A133" i="33"/>
  <c r="B133" i="33"/>
  <c r="A134" i="33"/>
  <c r="B134" i="33"/>
  <c r="A135" i="33"/>
  <c r="B135" i="33"/>
  <c r="A136" i="33"/>
  <c r="B136" i="33"/>
  <c r="A137" i="33"/>
  <c r="B137" i="33"/>
  <c r="A138" i="33"/>
  <c r="B138" i="33"/>
  <c r="A139" i="33"/>
  <c r="B139" i="33"/>
  <c r="A140" i="33"/>
  <c r="B140" i="33"/>
  <c r="A141" i="33"/>
  <c r="B141" i="33"/>
  <c r="A142" i="33"/>
  <c r="B142" i="33"/>
  <c r="A143" i="33"/>
  <c r="B143" i="33"/>
  <c r="A144" i="33"/>
  <c r="B144" i="33"/>
  <c r="A145" i="33"/>
  <c r="B145" i="33"/>
  <c r="A146" i="33"/>
  <c r="B146" i="33"/>
  <c r="A147" i="33"/>
  <c r="B147" i="33"/>
  <c r="A148" i="33"/>
  <c r="B148" i="33"/>
  <c r="A149" i="33"/>
  <c r="B149" i="33"/>
  <c r="A150" i="33"/>
  <c r="B150" i="33"/>
  <c r="A151" i="33"/>
  <c r="B151" i="33"/>
  <c r="A152" i="33"/>
  <c r="B152" i="33"/>
  <c r="A153" i="33"/>
  <c r="B153" i="33"/>
  <c r="A154" i="33"/>
  <c r="B154" i="33"/>
  <c r="A155" i="33"/>
  <c r="B155" i="33"/>
  <c r="A156" i="33"/>
  <c r="B156" i="33"/>
  <c r="A157" i="33"/>
  <c r="B157" i="33"/>
  <c r="A158" i="33"/>
  <c r="B158" i="33"/>
  <c r="A159" i="33"/>
  <c r="B159" i="33"/>
  <c r="A160" i="33"/>
  <c r="B160" i="33"/>
  <c r="A161" i="33"/>
  <c r="B161" i="33"/>
  <c r="A162" i="33"/>
  <c r="B162" i="33"/>
  <c r="A163" i="33"/>
  <c r="B163" i="33"/>
  <c r="A164" i="33"/>
  <c r="B164" i="33"/>
  <c r="A165" i="33"/>
  <c r="B165" i="33"/>
  <c r="A166" i="33"/>
  <c r="B166" i="33"/>
  <c r="A167" i="33"/>
  <c r="B167" i="33"/>
  <c r="A168" i="33"/>
  <c r="B168" i="33"/>
  <c r="A169" i="33"/>
  <c r="B169" i="33"/>
  <c r="A170" i="33"/>
  <c r="B170" i="33"/>
  <c r="A171" i="33"/>
  <c r="B171" i="33"/>
  <c r="A172" i="33"/>
  <c r="B172" i="33"/>
  <c r="A173" i="33"/>
  <c r="B173" i="33"/>
  <c r="A174" i="33"/>
  <c r="B174" i="33"/>
  <c r="A175" i="33"/>
  <c r="B175" i="33"/>
  <c r="A176" i="33"/>
  <c r="B176" i="33"/>
  <c r="A177" i="33"/>
  <c r="B177" i="33"/>
  <c r="A178" i="33"/>
  <c r="B178" i="33"/>
  <c r="A179" i="33"/>
  <c r="B179" i="33"/>
  <c r="A180" i="33"/>
  <c r="B180" i="33"/>
  <c r="A181" i="33"/>
  <c r="B181" i="33"/>
  <c r="A182" i="33"/>
  <c r="B182" i="33"/>
  <c r="A183" i="33"/>
  <c r="B183" i="33"/>
  <c r="A184" i="33"/>
  <c r="B184" i="33"/>
  <c r="A185" i="33"/>
  <c r="B185" i="33"/>
  <c r="A186" i="33"/>
  <c r="B186" i="33"/>
  <c r="A187" i="33"/>
  <c r="B187" i="33"/>
  <c r="A188" i="33"/>
  <c r="B188" i="33"/>
  <c r="A189" i="33"/>
  <c r="B189" i="33"/>
  <c r="A190" i="33"/>
  <c r="B190" i="33"/>
  <c r="A191" i="33"/>
  <c r="B191" i="33"/>
  <c r="A192" i="33"/>
  <c r="B192" i="33"/>
  <c r="A193" i="33"/>
  <c r="B193" i="33"/>
  <c r="A194" i="33"/>
  <c r="B194" i="33"/>
  <c r="A195" i="33"/>
  <c r="B195" i="33"/>
  <c r="A196" i="33"/>
  <c r="B196" i="33"/>
  <c r="A197" i="33"/>
  <c r="B197" i="33"/>
  <c r="A198" i="33"/>
  <c r="B198" i="33"/>
  <c r="A199" i="33"/>
  <c r="B199" i="33"/>
  <c r="A200" i="33"/>
  <c r="B200" i="33"/>
  <c r="A201" i="33"/>
  <c r="B201" i="33"/>
  <c r="A202" i="33"/>
  <c r="B202" i="33"/>
  <c r="A203" i="33"/>
  <c r="B203" i="33"/>
  <c r="A204" i="33"/>
  <c r="B204" i="33"/>
  <c r="A205" i="33"/>
  <c r="B205" i="33"/>
  <c r="A206" i="33"/>
  <c r="B206" i="33"/>
  <c r="A207" i="33"/>
  <c r="B207" i="33"/>
  <c r="A208" i="33"/>
  <c r="B208" i="33"/>
  <c r="A209" i="33"/>
  <c r="B209" i="33"/>
  <c r="A210" i="33"/>
  <c r="B210" i="33"/>
  <c r="A211" i="33"/>
  <c r="B211" i="33"/>
  <c r="A212" i="33"/>
  <c r="B212" i="33"/>
  <c r="A213" i="33"/>
  <c r="B213" i="33"/>
  <c r="A214" i="33"/>
  <c r="B214" i="33"/>
  <c r="A215" i="33"/>
  <c r="B215" i="33"/>
  <c r="A216" i="33"/>
  <c r="B216" i="33"/>
  <c r="A217" i="33"/>
  <c r="B217" i="33"/>
  <c r="A218" i="33"/>
  <c r="B218" i="33"/>
  <c r="A219" i="33"/>
  <c r="B219" i="33"/>
  <c r="A220" i="33"/>
  <c r="B220" i="33"/>
  <c r="A221" i="33"/>
  <c r="B221" i="33"/>
  <c r="A222" i="33"/>
  <c r="B222" i="33"/>
  <c r="A223" i="33"/>
  <c r="B223" i="33"/>
  <c r="A224" i="33"/>
  <c r="B224" i="33"/>
  <c r="A225" i="33"/>
  <c r="B225" i="33"/>
  <c r="A226" i="33"/>
  <c r="B226" i="33"/>
  <c r="A227" i="33"/>
  <c r="B227" i="33"/>
  <c r="A228" i="33"/>
  <c r="B228" i="33"/>
  <c r="A229" i="33"/>
  <c r="B229" i="33"/>
  <c r="A230" i="33"/>
  <c r="B230" i="33"/>
  <c r="A231" i="33"/>
  <c r="B231" i="33"/>
  <c r="A232" i="33"/>
  <c r="B232" i="33"/>
  <c r="A233" i="33"/>
  <c r="B233" i="33"/>
  <c r="A234" i="33"/>
  <c r="B234" i="33"/>
  <c r="A235" i="33"/>
  <c r="B235" i="33"/>
  <c r="A236" i="33"/>
  <c r="B236" i="33"/>
  <c r="A237" i="33"/>
  <c r="B237" i="33"/>
  <c r="A238" i="33"/>
  <c r="B238" i="33"/>
  <c r="A239" i="33"/>
  <c r="B239" i="33"/>
  <c r="A240" i="33"/>
  <c r="B240" i="33"/>
  <c r="A241" i="33"/>
  <c r="B241" i="33"/>
  <c r="A242" i="33"/>
  <c r="B242" i="33"/>
  <c r="A243" i="33"/>
  <c r="B243" i="33"/>
  <c r="A244" i="33"/>
  <c r="B244" i="33"/>
  <c r="A245" i="33"/>
  <c r="B245" i="33"/>
  <c r="A246" i="33"/>
  <c r="B246" i="33"/>
  <c r="A247" i="33"/>
  <c r="B247" i="33"/>
  <c r="A248" i="33"/>
  <c r="B248" i="33"/>
  <c r="A249" i="33"/>
  <c r="B249" i="33"/>
  <c r="A250" i="33"/>
  <c r="B250" i="33"/>
  <c r="A251" i="33"/>
  <c r="B251" i="33"/>
  <c r="A252" i="33"/>
  <c r="B252" i="33"/>
  <c r="A253" i="33"/>
  <c r="B253" i="33"/>
  <c r="A254" i="33"/>
  <c r="B254" i="33"/>
  <c r="A255" i="33"/>
  <c r="B255" i="33"/>
  <c r="A256" i="33"/>
  <c r="B256" i="33"/>
  <c r="A257" i="33"/>
  <c r="B257" i="33"/>
  <c r="A258" i="33"/>
  <c r="B258" i="33"/>
  <c r="A259" i="33"/>
  <c r="B259" i="33"/>
  <c r="A260" i="33"/>
  <c r="B260" i="33"/>
  <c r="A261" i="33"/>
  <c r="B261" i="33"/>
  <c r="A262" i="33"/>
  <c r="B262" i="33"/>
  <c r="A263" i="33"/>
  <c r="B263" i="33"/>
  <c r="A264" i="33"/>
  <c r="B264" i="33"/>
  <c r="A265" i="33"/>
  <c r="B265" i="33"/>
  <c r="A266" i="33"/>
  <c r="B266" i="33"/>
  <c r="A267" i="33"/>
  <c r="B267" i="33"/>
  <c r="A268" i="33"/>
  <c r="B268" i="33"/>
  <c r="A269" i="33"/>
  <c r="B269" i="33"/>
  <c r="A270" i="33"/>
  <c r="B270" i="33"/>
  <c r="A271" i="33"/>
  <c r="B271" i="33"/>
  <c r="A272" i="33"/>
  <c r="B272" i="33"/>
  <c r="A273" i="33"/>
  <c r="B273" i="33"/>
  <c r="A274" i="33"/>
  <c r="B274" i="33"/>
  <c r="A275" i="33"/>
  <c r="B275" i="33"/>
  <c r="A276" i="33"/>
  <c r="B276" i="33"/>
  <c r="A277" i="33"/>
  <c r="B277" i="33"/>
  <c r="A278" i="33"/>
  <c r="B278" i="33"/>
  <c r="A279" i="33"/>
  <c r="B279" i="33"/>
  <c r="A280" i="33"/>
  <c r="B280" i="33"/>
  <c r="A281" i="33"/>
  <c r="B281" i="33"/>
  <c r="A282" i="33"/>
  <c r="B282" i="33"/>
  <c r="A283" i="33"/>
  <c r="B283" i="33"/>
  <c r="A284" i="33"/>
  <c r="B284" i="33"/>
  <c r="A285" i="33"/>
  <c r="B285" i="33"/>
  <c r="A286" i="33"/>
  <c r="B286" i="33"/>
  <c r="A287" i="33"/>
  <c r="B287" i="33"/>
  <c r="A288" i="33"/>
  <c r="B288" i="33"/>
  <c r="A289" i="33"/>
  <c r="B289" i="33"/>
  <c r="A290" i="33"/>
  <c r="B290" i="33"/>
  <c r="A291" i="33"/>
  <c r="B291" i="33"/>
  <c r="A292" i="33"/>
  <c r="B292" i="33"/>
  <c r="A293" i="33"/>
  <c r="B293" i="33"/>
  <c r="A294" i="33"/>
  <c r="B294" i="33"/>
  <c r="A295" i="33"/>
  <c r="B295" i="33"/>
  <c r="A296" i="33"/>
  <c r="B296" i="33"/>
  <c r="A297" i="33"/>
  <c r="B297" i="33"/>
  <c r="A298" i="33"/>
  <c r="B298" i="33"/>
  <c r="A299" i="33"/>
  <c r="B299" i="33"/>
  <c r="A300" i="33"/>
  <c r="B300" i="33"/>
  <c r="A301" i="33"/>
  <c r="B301" i="33"/>
  <c r="A302" i="33"/>
  <c r="B302" i="33"/>
  <c r="A303" i="33"/>
  <c r="B303" i="33"/>
  <c r="A304" i="33"/>
  <c r="B304" i="33"/>
  <c r="A305" i="33"/>
  <c r="B305" i="33"/>
  <c r="A306" i="33"/>
  <c r="B306" i="33"/>
  <c r="A307" i="33"/>
  <c r="B307" i="33"/>
  <c r="A308" i="33"/>
  <c r="B308" i="33"/>
  <c r="A309" i="33"/>
  <c r="B309" i="33"/>
  <c r="A310" i="33"/>
  <c r="B310" i="33"/>
  <c r="A311" i="33"/>
  <c r="B311" i="33"/>
  <c r="A312" i="33"/>
  <c r="B312" i="33"/>
  <c r="A313" i="33"/>
  <c r="B313" i="33"/>
  <c r="A6" i="32"/>
  <c r="B6" i="32"/>
  <c r="A7" i="32"/>
  <c r="B7" i="32"/>
  <c r="A8" i="32"/>
  <c r="B8" i="32"/>
  <c r="A9" i="32"/>
  <c r="B9" i="32"/>
  <c r="A10" i="32"/>
  <c r="B10" i="32"/>
  <c r="A11" i="32"/>
  <c r="B11" i="32"/>
  <c r="A12" i="32"/>
  <c r="B12" i="32"/>
  <c r="A13" i="32"/>
  <c r="B13" i="32"/>
  <c r="A14" i="32"/>
  <c r="B14" i="32"/>
  <c r="A15" i="32"/>
  <c r="B15" i="32"/>
  <c r="A16" i="32"/>
  <c r="B16" i="32"/>
  <c r="A17" i="32"/>
  <c r="B17" i="32"/>
  <c r="A18" i="32"/>
  <c r="B18" i="32"/>
  <c r="A19" i="32"/>
  <c r="B19" i="32"/>
  <c r="A20" i="32"/>
  <c r="B20" i="32"/>
  <c r="A21" i="32"/>
  <c r="B21" i="32"/>
  <c r="A22" i="32"/>
  <c r="B22" i="32"/>
  <c r="A23" i="32"/>
  <c r="B23" i="32"/>
  <c r="A24" i="32"/>
  <c r="B24" i="32"/>
  <c r="A25" i="32"/>
  <c r="B25" i="32"/>
  <c r="A26" i="32"/>
  <c r="B26" i="32"/>
  <c r="A27" i="32"/>
  <c r="B27" i="32"/>
  <c r="A28" i="32"/>
  <c r="B28" i="32"/>
  <c r="A29" i="32"/>
  <c r="B29" i="32"/>
  <c r="A30" i="32"/>
  <c r="B30" i="32"/>
  <c r="A31" i="32"/>
  <c r="B31" i="32"/>
  <c r="A32" i="32"/>
  <c r="B32" i="32"/>
  <c r="A33" i="32"/>
  <c r="B33" i="32"/>
  <c r="A34" i="32"/>
  <c r="B34" i="32"/>
  <c r="A35" i="32"/>
  <c r="B35" i="32"/>
  <c r="A36" i="32"/>
  <c r="B36" i="32"/>
  <c r="A37" i="32"/>
  <c r="B37" i="32"/>
  <c r="A38" i="32"/>
  <c r="B38" i="32"/>
  <c r="A39" i="32"/>
  <c r="B39" i="32"/>
  <c r="A40" i="32"/>
  <c r="B40" i="32"/>
  <c r="A41" i="32"/>
  <c r="B41" i="32"/>
  <c r="A42" i="32"/>
  <c r="B42" i="32"/>
  <c r="A43" i="32"/>
  <c r="B43" i="32"/>
  <c r="A44" i="32"/>
  <c r="B44" i="32"/>
  <c r="A45" i="32"/>
  <c r="B45" i="32"/>
  <c r="A46" i="32"/>
  <c r="B46" i="32"/>
  <c r="A47" i="32"/>
  <c r="B47" i="32"/>
  <c r="A48" i="32"/>
  <c r="B48" i="32"/>
  <c r="A49" i="32"/>
  <c r="B49" i="32"/>
  <c r="A50" i="32"/>
  <c r="B50" i="32"/>
  <c r="A51" i="32"/>
  <c r="B51" i="32"/>
  <c r="A52" i="32"/>
  <c r="B52" i="32"/>
  <c r="A53" i="32"/>
  <c r="B53" i="32"/>
  <c r="A54" i="32"/>
  <c r="B54" i="32"/>
  <c r="A55" i="32"/>
  <c r="B55" i="32"/>
  <c r="A56" i="32"/>
  <c r="B56" i="32"/>
  <c r="A57" i="32"/>
  <c r="B57" i="32"/>
  <c r="A58" i="32"/>
  <c r="B58" i="32"/>
  <c r="A59" i="32"/>
  <c r="B59" i="32"/>
  <c r="A60" i="32"/>
  <c r="B60" i="32"/>
  <c r="A61" i="32"/>
  <c r="B61" i="32"/>
  <c r="A62" i="32"/>
  <c r="B62" i="32"/>
  <c r="A63" i="32"/>
  <c r="B63" i="32"/>
  <c r="A64" i="32"/>
  <c r="B64" i="32"/>
  <c r="A65" i="32"/>
  <c r="B65" i="32"/>
  <c r="A66" i="32"/>
  <c r="B66" i="32"/>
  <c r="A67" i="32"/>
  <c r="B67" i="32"/>
  <c r="A68" i="32"/>
  <c r="B68" i="32"/>
  <c r="A69" i="32"/>
  <c r="B69" i="32"/>
  <c r="A70" i="32"/>
  <c r="B70" i="32"/>
  <c r="A71" i="32"/>
  <c r="B71" i="32"/>
  <c r="A72" i="32"/>
  <c r="B72" i="32"/>
  <c r="A73" i="32"/>
  <c r="B73" i="32"/>
  <c r="A74" i="32"/>
  <c r="B74" i="32"/>
  <c r="A75" i="32"/>
  <c r="B75" i="32"/>
  <c r="A76" i="32"/>
  <c r="B76" i="32"/>
  <c r="A77" i="32"/>
  <c r="B77" i="32"/>
  <c r="A78" i="32"/>
  <c r="B78" i="32"/>
  <c r="A79" i="32"/>
  <c r="B79" i="32"/>
  <c r="A80" i="32"/>
  <c r="B80" i="32"/>
  <c r="A81" i="32"/>
  <c r="B81" i="32"/>
  <c r="A82" i="32"/>
  <c r="B82" i="32"/>
  <c r="A83" i="32"/>
  <c r="B83" i="32"/>
  <c r="A84" i="32"/>
  <c r="B84" i="32"/>
  <c r="A85" i="32"/>
  <c r="B85" i="32"/>
  <c r="A86" i="32"/>
  <c r="B86" i="32"/>
  <c r="A87" i="32"/>
  <c r="B87" i="32"/>
  <c r="A88" i="32"/>
  <c r="B88" i="32"/>
  <c r="A89" i="32"/>
  <c r="B89" i="32"/>
  <c r="A90" i="32"/>
  <c r="B90" i="32"/>
  <c r="A91" i="32"/>
  <c r="B91" i="32"/>
  <c r="A92" i="32"/>
  <c r="B92" i="32"/>
  <c r="A93" i="32"/>
  <c r="B93" i="32"/>
  <c r="A94" i="32"/>
  <c r="B94" i="32"/>
  <c r="A95" i="32"/>
  <c r="B95" i="32"/>
  <c r="A96" i="32"/>
  <c r="B96" i="32"/>
  <c r="A97" i="32"/>
  <c r="B97" i="32"/>
  <c r="A98" i="32"/>
  <c r="B98" i="32"/>
  <c r="A99" i="32"/>
  <c r="B99" i="32"/>
  <c r="A100" i="32"/>
  <c r="B100" i="32"/>
  <c r="A101" i="32"/>
  <c r="B101" i="32"/>
  <c r="A102" i="32"/>
  <c r="B102" i="32"/>
  <c r="A103" i="32"/>
  <c r="B103" i="32"/>
  <c r="A104" i="32"/>
  <c r="B104" i="32"/>
  <c r="A105" i="32"/>
  <c r="B105" i="32"/>
  <c r="A106" i="32"/>
  <c r="B106" i="32"/>
  <c r="A107" i="32"/>
  <c r="B107" i="32"/>
  <c r="A108" i="32"/>
  <c r="B108" i="32"/>
  <c r="A109" i="32"/>
  <c r="B109" i="32"/>
  <c r="A110" i="32"/>
  <c r="B110" i="32"/>
  <c r="A111" i="32"/>
  <c r="B111" i="32"/>
  <c r="A112" i="32"/>
  <c r="B112" i="32"/>
  <c r="A113" i="32"/>
  <c r="B113" i="32"/>
  <c r="A114" i="32"/>
  <c r="B114" i="32"/>
  <c r="A115" i="32"/>
  <c r="B115" i="32"/>
  <c r="A116" i="32"/>
  <c r="B116" i="32"/>
  <c r="A117" i="32"/>
  <c r="B117" i="32"/>
  <c r="A118" i="32"/>
  <c r="B118" i="32"/>
  <c r="A119" i="32"/>
  <c r="B119" i="32"/>
  <c r="A120" i="32"/>
  <c r="B120" i="32"/>
  <c r="A121" i="32"/>
  <c r="B121" i="32"/>
  <c r="A122" i="32"/>
  <c r="B122" i="32"/>
  <c r="A123" i="32"/>
  <c r="B123" i="32"/>
  <c r="A124" i="32"/>
  <c r="B124" i="32"/>
  <c r="A125" i="32"/>
  <c r="B125" i="32"/>
  <c r="A126" i="32"/>
  <c r="B126" i="32"/>
  <c r="A127" i="32"/>
  <c r="B127" i="32"/>
  <c r="A128" i="32"/>
  <c r="B128" i="32"/>
  <c r="A129" i="32"/>
  <c r="B129" i="32"/>
  <c r="A130" i="32"/>
  <c r="B130" i="32"/>
  <c r="A131" i="32"/>
  <c r="B131" i="32"/>
  <c r="A132" i="32"/>
  <c r="B132" i="32"/>
  <c r="A133" i="32"/>
  <c r="B133" i="32"/>
  <c r="A134" i="32"/>
  <c r="B134" i="32"/>
  <c r="A135" i="32"/>
  <c r="B135" i="32"/>
  <c r="A136" i="32"/>
  <c r="B136" i="32"/>
  <c r="A137" i="32"/>
  <c r="B137" i="32"/>
  <c r="A138" i="32"/>
  <c r="B138" i="32"/>
  <c r="A139" i="32"/>
  <c r="B139" i="32"/>
  <c r="A140" i="32"/>
  <c r="B140" i="32"/>
  <c r="A141" i="32"/>
  <c r="B141" i="32"/>
  <c r="A142" i="32"/>
  <c r="B142" i="32"/>
  <c r="A143" i="32"/>
  <c r="B143" i="32"/>
  <c r="A144" i="32"/>
  <c r="B144" i="32"/>
  <c r="A145" i="32"/>
  <c r="B145" i="32"/>
  <c r="A146" i="32"/>
  <c r="B146" i="32"/>
  <c r="A147" i="32"/>
  <c r="B147" i="32"/>
  <c r="A148" i="32"/>
  <c r="B148" i="32"/>
  <c r="A149" i="32"/>
  <c r="B149" i="32"/>
  <c r="A150" i="32"/>
  <c r="B150" i="32"/>
  <c r="A151" i="32"/>
  <c r="B151" i="32"/>
  <c r="A152" i="32"/>
  <c r="B152" i="32"/>
  <c r="A153" i="32"/>
  <c r="B153" i="32"/>
  <c r="A154" i="32"/>
  <c r="B154" i="32"/>
  <c r="A155" i="32"/>
  <c r="B155" i="32"/>
  <c r="A156" i="32"/>
  <c r="B156" i="32"/>
  <c r="A157" i="32"/>
  <c r="B157" i="32"/>
  <c r="A158" i="32"/>
  <c r="B158" i="32"/>
  <c r="A159" i="32"/>
  <c r="B159" i="32"/>
  <c r="A160" i="32"/>
  <c r="B160" i="32"/>
  <c r="A161" i="32"/>
  <c r="B161" i="32"/>
  <c r="A162" i="32"/>
  <c r="B162" i="32"/>
  <c r="A163" i="32"/>
  <c r="B163" i="32"/>
  <c r="A164" i="32"/>
  <c r="B164" i="32"/>
  <c r="A165" i="32"/>
  <c r="B165" i="32"/>
  <c r="A166" i="32"/>
  <c r="B166" i="32"/>
  <c r="A167" i="32"/>
  <c r="B167" i="32"/>
  <c r="A168" i="32"/>
  <c r="B168" i="32"/>
  <c r="A169" i="32"/>
  <c r="B169" i="32"/>
  <c r="A170" i="32"/>
  <c r="B170" i="32"/>
  <c r="A171" i="32"/>
  <c r="B171" i="32"/>
  <c r="A172" i="32"/>
  <c r="B172" i="32"/>
  <c r="A173" i="32"/>
  <c r="B173" i="32"/>
  <c r="A174" i="32"/>
  <c r="B174" i="32"/>
  <c r="A175" i="32"/>
  <c r="B175" i="32"/>
  <c r="A176" i="32"/>
  <c r="B176" i="32"/>
  <c r="A177" i="32"/>
  <c r="B177" i="32"/>
  <c r="A178" i="32"/>
  <c r="B178" i="32"/>
  <c r="A179" i="32"/>
  <c r="B179" i="32"/>
  <c r="A180" i="32"/>
  <c r="B180" i="32"/>
  <c r="A181" i="32"/>
  <c r="B181" i="32"/>
  <c r="A182" i="32"/>
  <c r="B182" i="32"/>
  <c r="A183" i="32"/>
  <c r="B183" i="32"/>
  <c r="A184" i="32"/>
  <c r="B184" i="32"/>
  <c r="A185" i="32"/>
  <c r="B185" i="32"/>
  <c r="A186" i="32"/>
  <c r="B186" i="32"/>
  <c r="A187" i="32"/>
  <c r="B187" i="32"/>
  <c r="A188" i="32"/>
  <c r="B188" i="32"/>
  <c r="A189" i="32"/>
  <c r="B189" i="32"/>
  <c r="A190" i="32"/>
  <c r="B190" i="32"/>
  <c r="A191" i="32"/>
  <c r="B191" i="32"/>
  <c r="A192" i="32"/>
  <c r="B192" i="32"/>
  <c r="A193" i="32"/>
  <c r="B193" i="32"/>
  <c r="A194" i="32"/>
  <c r="B194" i="32"/>
  <c r="A195" i="32"/>
  <c r="B195" i="32"/>
  <c r="A196" i="32"/>
  <c r="B196" i="32"/>
  <c r="A197" i="32"/>
  <c r="B197" i="32"/>
  <c r="A198" i="32"/>
  <c r="B198" i="32"/>
  <c r="A199" i="32"/>
  <c r="B199" i="32"/>
  <c r="A200" i="32"/>
  <c r="B200" i="32"/>
  <c r="A201" i="32"/>
  <c r="B201" i="32"/>
  <c r="A202" i="32"/>
  <c r="B202" i="32"/>
  <c r="A203" i="32"/>
  <c r="B203" i="32"/>
  <c r="A204" i="32"/>
  <c r="B204" i="32"/>
  <c r="A205" i="32"/>
  <c r="B205" i="32"/>
  <c r="A206" i="32"/>
  <c r="B206" i="32"/>
  <c r="A207" i="32"/>
  <c r="B207" i="32"/>
  <c r="A208" i="32"/>
  <c r="B208" i="32"/>
  <c r="A209" i="32"/>
  <c r="B209" i="32"/>
  <c r="A210" i="32"/>
  <c r="B210" i="32"/>
  <c r="A211" i="32"/>
  <c r="B211" i="32"/>
  <c r="A212" i="32"/>
  <c r="B212" i="32"/>
  <c r="A213" i="32"/>
  <c r="B213" i="32"/>
  <c r="A214" i="32"/>
  <c r="B214" i="32"/>
  <c r="A215" i="32"/>
  <c r="B215" i="32"/>
  <c r="A216" i="32"/>
  <c r="B216" i="32"/>
  <c r="A217" i="32"/>
  <c r="B217" i="32"/>
  <c r="A218" i="32"/>
  <c r="B218" i="32"/>
  <c r="A219" i="32"/>
  <c r="B219" i="32"/>
  <c r="A220" i="32"/>
  <c r="B220" i="32"/>
  <c r="A221" i="32"/>
  <c r="B221" i="32"/>
  <c r="A222" i="32"/>
  <c r="B222" i="32"/>
  <c r="A223" i="32"/>
  <c r="B223" i="32"/>
  <c r="A224" i="32"/>
  <c r="B224" i="32"/>
  <c r="A225" i="32"/>
  <c r="B225" i="32"/>
  <c r="A226" i="32"/>
  <c r="B226" i="32"/>
  <c r="A227" i="32"/>
  <c r="B227" i="32"/>
  <c r="A228" i="32"/>
  <c r="B228" i="32"/>
  <c r="A229" i="32"/>
  <c r="B229" i="32"/>
  <c r="A230" i="32"/>
  <c r="B230" i="32"/>
  <c r="A231" i="32"/>
  <c r="B231" i="32"/>
  <c r="A232" i="32"/>
  <c r="B232" i="32"/>
  <c r="A233" i="32"/>
  <c r="B233" i="32"/>
  <c r="A234" i="32"/>
  <c r="B234" i="32"/>
  <c r="A235" i="32"/>
  <c r="B235" i="32"/>
  <c r="A236" i="32"/>
  <c r="B236" i="32"/>
  <c r="A237" i="32"/>
  <c r="B237" i="32"/>
  <c r="A238" i="32"/>
  <c r="B238" i="32"/>
  <c r="A239" i="32"/>
  <c r="B239" i="32"/>
  <c r="A240" i="32"/>
  <c r="B240" i="32"/>
  <c r="A241" i="32"/>
  <c r="B241" i="32"/>
  <c r="A242" i="32"/>
  <c r="B242" i="32"/>
  <c r="A243" i="32"/>
  <c r="B243" i="32"/>
  <c r="A244" i="32"/>
  <c r="B244" i="32"/>
  <c r="A245" i="32"/>
  <c r="B245" i="32"/>
  <c r="A246" i="32"/>
  <c r="B246" i="32"/>
  <c r="A247" i="32"/>
  <c r="B247" i="32"/>
  <c r="A248" i="32"/>
  <c r="B248" i="32"/>
  <c r="A249" i="32"/>
  <c r="B249" i="32"/>
  <c r="A250" i="32"/>
  <c r="B250" i="32"/>
  <c r="A251" i="32"/>
  <c r="B251" i="32"/>
  <c r="A252" i="32"/>
  <c r="B252" i="32"/>
  <c r="A253" i="32"/>
  <c r="B253" i="32"/>
  <c r="A254" i="32"/>
  <c r="B254" i="32"/>
  <c r="A255" i="32"/>
  <c r="B255" i="32"/>
  <c r="A256" i="32"/>
  <c r="B256" i="32"/>
  <c r="A257" i="32"/>
  <c r="B257" i="32"/>
  <c r="A258" i="32"/>
  <c r="B258" i="32"/>
  <c r="A259" i="32"/>
  <c r="B259" i="32"/>
  <c r="A260" i="32"/>
  <c r="B260" i="32"/>
  <c r="A261" i="32"/>
  <c r="B261" i="32"/>
  <c r="A262" i="32"/>
  <c r="B262" i="32"/>
  <c r="A263" i="32"/>
  <c r="B263" i="32"/>
  <c r="A264" i="32"/>
  <c r="B264" i="32"/>
  <c r="A265" i="32"/>
  <c r="B265" i="32"/>
  <c r="A266" i="32"/>
  <c r="B266" i="32"/>
  <c r="A267" i="32"/>
  <c r="B267" i="32"/>
  <c r="A268" i="32"/>
  <c r="B268" i="32"/>
  <c r="A269" i="32"/>
  <c r="B269" i="32"/>
  <c r="A270" i="32"/>
  <c r="B270" i="32"/>
  <c r="A271" i="32"/>
  <c r="B271" i="32"/>
  <c r="A272" i="32"/>
  <c r="B272" i="32"/>
  <c r="A273" i="32"/>
  <c r="B273" i="32"/>
  <c r="A274" i="32"/>
  <c r="B274" i="32"/>
  <c r="A275" i="32"/>
  <c r="B275" i="32"/>
  <c r="A276" i="32"/>
  <c r="B276" i="32"/>
  <c r="A277" i="32"/>
  <c r="B277" i="32"/>
  <c r="A278" i="32"/>
  <c r="B278" i="32"/>
  <c r="A279" i="32"/>
  <c r="B279" i="32"/>
  <c r="A280" i="32"/>
  <c r="B280" i="32"/>
  <c r="A281" i="32"/>
  <c r="B281" i="32"/>
  <c r="A282" i="32"/>
  <c r="B282" i="32"/>
  <c r="A283" i="32"/>
  <c r="B283" i="32"/>
  <c r="A284" i="32"/>
  <c r="B284" i="32"/>
  <c r="A285" i="32"/>
  <c r="B285" i="32"/>
  <c r="A286" i="32"/>
  <c r="B286" i="32"/>
  <c r="A287" i="32"/>
  <c r="B287" i="32"/>
  <c r="A288" i="32"/>
  <c r="B288" i="32"/>
  <c r="A289" i="32"/>
  <c r="B289" i="32"/>
  <c r="A290" i="32"/>
  <c r="B290" i="32"/>
  <c r="A291" i="32"/>
  <c r="B291" i="32"/>
  <c r="A292" i="32"/>
  <c r="B292" i="32"/>
  <c r="A293" i="32"/>
  <c r="B293" i="32"/>
  <c r="A294" i="32"/>
  <c r="B294" i="32"/>
  <c r="A295" i="32"/>
  <c r="B295" i="32"/>
  <c r="A296" i="32"/>
  <c r="B296" i="32"/>
  <c r="A297" i="32"/>
  <c r="B297" i="32"/>
  <c r="A298" i="32"/>
  <c r="B298" i="32"/>
  <c r="A299" i="32"/>
  <c r="B299" i="32"/>
  <c r="A300" i="32"/>
  <c r="B300" i="32"/>
  <c r="A301" i="32"/>
  <c r="B301" i="32"/>
  <c r="A302" i="32"/>
  <c r="B302" i="32"/>
  <c r="A303" i="32"/>
  <c r="B303" i="32"/>
  <c r="A304" i="32"/>
  <c r="B304" i="32"/>
  <c r="A305" i="32"/>
  <c r="B305" i="32"/>
  <c r="A306" i="32"/>
  <c r="B306" i="32"/>
  <c r="A307" i="32"/>
  <c r="B307" i="32"/>
  <c r="A308" i="32"/>
  <c r="B308" i="32"/>
  <c r="A309" i="32"/>
  <c r="B309" i="32"/>
  <c r="A310" i="32"/>
  <c r="B310" i="32"/>
  <c r="A311" i="32"/>
  <c r="B311" i="32"/>
  <c r="A312" i="32"/>
  <c r="B312" i="32"/>
  <c r="A313" i="32"/>
  <c r="B313" i="32"/>
  <c r="A8" i="19"/>
  <c r="B8" i="19"/>
  <c r="D6" i="32"/>
  <c r="D6" i="33"/>
  <c r="A9" i="19"/>
  <c r="B9" i="19"/>
  <c r="D7" i="32"/>
  <c r="D7" i="33"/>
  <c r="A10" i="19"/>
  <c r="B10" i="19"/>
  <c r="D8" i="32"/>
  <c r="D8" i="33"/>
  <c r="A11" i="19"/>
  <c r="B11" i="19"/>
  <c r="D9" i="32"/>
  <c r="D9" i="33"/>
  <c r="A12" i="19"/>
  <c r="B12" i="19"/>
  <c r="D10" i="32"/>
  <c r="D10" i="33"/>
  <c r="A13" i="19"/>
  <c r="B13" i="19"/>
  <c r="D11" i="32"/>
  <c r="D11" i="33"/>
  <c r="A14" i="19"/>
  <c r="B14" i="19"/>
  <c r="D12" i="32"/>
  <c r="D12" i="33"/>
  <c r="A15" i="19"/>
  <c r="B15" i="19"/>
  <c r="D13" i="32"/>
  <c r="D13" i="33"/>
  <c r="A16" i="19"/>
  <c r="B16" i="19"/>
  <c r="D14" i="32"/>
  <c r="D14" i="33"/>
  <c r="A17" i="19"/>
  <c r="B17" i="19"/>
  <c r="D15" i="32"/>
  <c r="D15" i="33"/>
  <c r="A18" i="19"/>
  <c r="B18" i="19"/>
  <c r="D16" i="32"/>
  <c r="D16" i="33"/>
  <c r="A19" i="19"/>
  <c r="B19" i="19"/>
  <c r="D17" i="32"/>
  <c r="D17" i="33"/>
  <c r="A20" i="19"/>
  <c r="B20" i="19"/>
  <c r="D18" i="32"/>
  <c r="D18" i="33"/>
  <c r="A21" i="19"/>
  <c r="B21" i="19"/>
  <c r="D19" i="32"/>
  <c r="D19" i="33"/>
  <c r="A22" i="19"/>
  <c r="B22" i="19"/>
  <c r="D20" i="32"/>
  <c r="D20" i="33"/>
  <c r="A23" i="19"/>
  <c r="B23" i="19"/>
  <c r="D21" i="32"/>
  <c r="D21" i="33"/>
  <c r="A24" i="19"/>
  <c r="B24" i="19"/>
  <c r="D22" i="32"/>
  <c r="D22" i="33"/>
  <c r="A25" i="19"/>
  <c r="B25" i="19"/>
  <c r="D23" i="32"/>
  <c r="D23" i="33"/>
  <c r="A26" i="19"/>
  <c r="B26" i="19"/>
  <c r="D24" i="32"/>
  <c r="D24" i="33"/>
  <c r="A27" i="19"/>
  <c r="B27" i="19"/>
  <c r="D25" i="32"/>
  <c r="D25" i="33"/>
  <c r="A28" i="19"/>
  <c r="B28" i="19"/>
  <c r="D26" i="32"/>
  <c r="D26" i="33"/>
  <c r="A29" i="19"/>
  <c r="B29" i="19"/>
  <c r="D27" i="32"/>
  <c r="D27" i="33"/>
  <c r="A30" i="19"/>
  <c r="B30" i="19"/>
  <c r="D28" i="32"/>
  <c r="D28" i="33"/>
  <c r="A31" i="19"/>
  <c r="B31" i="19"/>
  <c r="D29" i="32"/>
  <c r="D29" i="33"/>
  <c r="A32" i="19"/>
  <c r="B32" i="19"/>
  <c r="D30" i="32"/>
  <c r="D30" i="33"/>
  <c r="A33" i="19"/>
  <c r="B33" i="19"/>
  <c r="D31" i="32"/>
  <c r="D31" i="33"/>
  <c r="A34" i="19"/>
  <c r="B34" i="19"/>
  <c r="D32" i="32"/>
  <c r="D32" i="33"/>
  <c r="A35" i="19"/>
  <c r="B35" i="19"/>
  <c r="D33" i="32"/>
  <c r="D33" i="33"/>
  <c r="A36" i="19"/>
  <c r="B36" i="19"/>
  <c r="D34" i="32"/>
  <c r="D34" i="33"/>
  <c r="A37" i="19"/>
  <c r="B37" i="19"/>
  <c r="D35" i="32"/>
  <c r="D35" i="33"/>
  <c r="A38" i="19"/>
  <c r="B38" i="19"/>
  <c r="D36" i="32"/>
  <c r="D36" i="33"/>
  <c r="A39" i="19"/>
  <c r="B39" i="19"/>
  <c r="D37" i="32"/>
  <c r="D37" i="33"/>
  <c r="A40" i="19"/>
  <c r="B40" i="19"/>
  <c r="D38" i="32"/>
  <c r="D38" i="33"/>
  <c r="A41" i="19"/>
  <c r="B41" i="19"/>
  <c r="D39" i="32"/>
  <c r="D39" i="33"/>
  <c r="A42" i="19"/>
  <c r="B42" i="19"/>
  <c r="D40" i="32"/>
  <c r="D40" i="33"/>
  <c r="A43" i="19"/>
  <c r="B43" i="19"/>
  <c r="D41" i="32"/>
  <c r="D41" i="33"/>
  <c r="A44" i="19"/>
  <c r="B44" i="19"/>
  <c r="D42" i="32"/>
  <c r="D42" i="33"/>
  <c r="A45" i="19"/>
  <c r="B45" i="19"/>
  <c r="D43" i="32"/>
  <c r="D43" i="33"/>
  <c r="A46" i="19"/>
  <c r="B46" i="19"/>
  <c r="D44" i="32"/>
  <c r="D44" i="33"/>
  <c r="A47" i="19"/>
  <c r="B47" i="19"/>
  <c r="D45" i="32"/>
  <c r="D45" i="33"/>
  <c r="A48" i="19"/>
  <c r="B48" i="19"/>
  <c r="D46" i="32"/>
  <c r="D46" i="33"/>
  <c r="A49" i="19"/>
  <c r="B49" i="19"/>
  <c r="D47" i="32"/>
  <c r="D47" i="33"/>
  <c r="A50" i="19"/>
  <c r="B50" i="19"/>
  <c r="D48" i="32"/>
  <c r="D48" i="33"/>
  <c r="A51" i="19"/>
  <c r="B51" i="19"/>
  <c r="D49" i="32"/>
  <c r="D49" i="33"/>
  <c r="A52" i="19"/>
  <c r="B52" i="19"/>
  <c r="D50" i="32"/>
  <c r="D50" i="33"/>
  <c r="A53" i="19"/>
  <c r="B53" i="19"/>
  <c r="D51" i="32"/>
  <c r="D51" i="33"/>
  <c r="A54" i="19"/>
  <c r="B54" i="19"/>
  <c r="D52" i="32"/>
  <c r="D52" i="33"/>
  <c r="A55" i="19"/>
  <c r="B55" i="19"/>
  <c r="D53" i="32"/>
  <c r="D53" i="33"/>
  <c r="A56" i="19"/>
  <c r="B56" i="19"/>
  <c r="D54" i="32"/>
  <c r="D54" i="33"/>
  <c r="A57" i="19"/>
  <c r="B57" i="19"/>
  <c r="D55" i="32"/>
  <c r="D55" i="33"/>
  <c r="A58" i="19"/>
  <c r="B58" i="19"/>
  <c r="D56" i="32"/>
  <c r="D56" i="33"/>
  <c r="A59" i="19"/>
  <c r="B59" i="19"/>
  <c r="D57" i="32"/>
  <c r="D57" i="33"/>
  <c r="A60" i="19"/>
  <c r="B60" i="19"/>
  <c r="D58" i="32"/>
  <c r="D58" i="33"/>
  <c r="A61" i="19"/>
  <c r="B61" i="19"/>
  <c r="D59" i="32"/>
  <c r="D59" i="33"/>
  <c r="A62" i="19"/>
  <c r="B62" i="19"/>
  <c r="D60" i="32"/>
  <c r="D60" i="33"/>
  <c r="A63" i="19"/>
  <c r="B63" i="19"/>
  <c r="D61" i="32"/>
  <c r="D61" i="33"/>
  <c r="A64" i="19"/>
  <c r="B64" i="19"/>
  <c r="D62" i="32"/>
  <c r="D62" i="33"/>
  <c r="A65" i="19"/>
  <c r="B65" i="19"/>
  <c r="D63" i="32"/>
  <c r="D63" i="33"/>
  <c r="A66" i="19"/>
  <c r="B66" i="19"/>
  <c r="D64" i="32"/>
  <c r="D64" i="33"/>
  <c r="A67" i="19"/>
  <c r="B67" i="19"/>
  <c r="D65" i="32"/>
  <c r="D65" i="33"/>
  <c r="A68" i="19"/>
  <c r="B68" i="19"/>
  <c r="D66" i="32"/>
  <c r="D66" i="33"/>
  <c r="A69" i="19"/>
  <c r="B69" i="19"/>
  <c r="D67" i="32"/>
  <c r="D67" i="33"/>
  <c r="A70" i="19"/>
  <c r="B70" i="19"/>
  <c r="D68" i="32"/>
  <c r="D68" i="33"/>
  <c r="A71" i="19"/>
  <c r="B71" i="19"/>
  <c r="D69" i="32"/>
  <c r="D69" i="33"/>
  <c r="A72" i="19"/>
  <c r="B72" i="19"/>
  <c r="D70" i="32"/>
  <c r="D70" i="33"/>
  <c r="A73" i="19"/>
  <c r="B73" i="19"/>
  <c r="D71" i="32"/>
  <c r="D71" i="33"/>
  <c r="A74" i="19"/>
  <c r="B74" i="19"/>
  <c r="D72" i="32"/>
  <c r="D72" i="33"/>
  <c r="A75" i="19"/>
  <c r="B75" i="19"/>
  <c r="D73" i="32"/>
  <c r="D73" i="33"/>
  <c r="A76" i="19"/>
  <c r="B76" i="19"/>
  <c r="D74" i="32"/>
  <c r="D74" i="33"/>
  <c r="A77" i="19"/>
  <c r="B77" i="19"/>
  <c r="D75" i="32"/>
  <c r="D75" i="33"/>
  <c r="A78" i="19"/>
  <c r="B78" i="19"/>
  <c r="D76" i="32"/>
  <c r="D76" i="33"/>
  <c r="A79" i="19"/>
  <c r="B79" i="19"/>
  <c r="D77" i="32"/>
  <c r="D77" i="33"/>
  <c r="A80" i="19"/>
  <c r="B80" i="19"/>
  <c r="D78" i="32"/>
  <c r="D78" i="33"/>
  <c r="A81" i="19"/>
  <c r="B81" i="19"/>
  <c r="D79" i="32"/>
  <c r="D79" i="33"/>
  <c r="A82" i="19"/>
  <c r="B82" i="19"/>
  <c r="D80" i="32"/>
  <c r="D80" i="33"/>
  <c r="A83" i="19"/>
  <c r="B83" i="19"/>
  <c r="D81" i="32"/>
  <c r="D81" i="33"/>
  <c r="A84" i="19"/>
  <c r="B84" i="19"/>
  <c r="D82" i="32"/>
  <c r="D82" i="33"/>
  <c r="A85" i="19"/>
  <c r="B85" i="19"/>
  <c r="D83" i="32"/>
  <c r="D83" i="33"/>
  <c r="A86" i="19"/>
  <c r="B86" i="19"/>
  <c r="D84" i="32"/>
  <c r="D84" i="33"/>
  <c r="A87" i="19"/>
  <c r="B87" i="19"/>
  <c r="D85" i="32"/>
  <c r="D85" i="33"/>
  <c r="A88" i="19"/>
  <c r="B88" i="19"/>
  <c r="D86" i="32"/>
  <c r="D86" i="33"/>
  <c r="A89" i="19"/>
  <c r="B89" i="19"/>
  <c r="D87" i="32"/>
  <c r="D87" i="33"/>
  <c r="A90" i="19"/>
  <c r="B90" i="19"/>
  <c r="D88" i="32"/>
  <c r="D88" i="33"/>
  <c r="A91" i="19"/>
  <c r="B91" i="19"/>
  <c r="D89" i="32"/>
  <c r="D89" i="33"/>
  <c r="A92" i="19"/>
  <c r="B92" i="19"/>
  <c r="D90" i="32"/>
  <c r="D90" i="33"/>
  <c r="A93" i="19"/>
  <c r="B93" i="19"/>
  <c r="D91" i="32"/>
  <c r="D91" i="33"/>
  <c r="A94" i="19"/>
  <c r="B94" i="19"/>
  <c r="D92" i="32"/>
  <c r="D92" i="33"/>
  <c r="A95" i="19"/>
  <c r="B95" i="19"/>
  <c r="D93" i="32"/>
  <c r="D93" i="33"/>
  <c r="A96" i="19"/>
  <c r="B96" i="19"/>
  <c r="D94" i="32"/>
  <c r="D94" i="33"/>
  <c r="A97" i="19"/>
  <c r="B97" i="19"/>
  <c r="D95" i="32"/>
  <c r="D95" i="33"/>
  <c r="A98" i="19"/>
  <c r="B98" i="19"/>
  <c r="D96" i="32"/>
  <c r="D96" i="33"/>
  <c r="A99" i="19"/>
  <c r="B99" i="19"/>
  <c r="D97" i="32"/>
  <c r="D97" i="33"/>
  <c r="A100" i="19"/>
  <c r="B100" i="19"/>
  <c r="D98" i="32"/>
  <c r="D98" i="33"/>
  <c r="A101" i="19"/>
  <c r="B101" i="19"/>
  <c r="D99" i="32"/>
  <c r="D99" i="33"/>
  <c r="A102" i="19"/>
  <c r="B102" i="19"/>
  <c r="D100" i="32"/>
  <c r="D100" i="33"/>
  <c r="A103" i="19"/>
  <c r="B103" i="19"/>
  <c r="D101" i="32"/>
  <c r="D101" i="33"/>
  <c r="A104" i="19"/>
  <c r="B104" i="19"/>
  <c r="D102" i="32"/>
  <c r="D102" i="33"/>
  <c r="A105" i="19"/>
  <c r="B105" i="19"/>
  <c r="D103" i="32"/>
  <c r="D103" i="33"/>
  <c r="A106" i="19"/>
  <c r="B106" i="19"/>
  <c r="D104" i="32"/>
  <c r="D104" i="33"/>
  <c r="A107" i="19"/>
  <c r="B107" i="19"/>
  <c r="D105" i="32"/>
  <c r="D105" i="33"/>
  <c r="A108" i="19"/>
  <c r="B108" i="19"/>
  <c r="D106" i="32"/>
  <c r="D106" i="33"/>
  <c r="A109" i="19"/>
  <c r="B109" i="19"/>
  <c r="D107" i="32"/>
  <c r="D107" i="33"/>
  <c r="A110" i="19"/>
  <c r="B110" i="19"/>
  <c r="D108" i="32"/>
  <c r="D108" i="33"/>
  <c r="A111" i="19"/>
  <c r="B111" i="19"/>
  <c r="D109" i="32"/>
  <c r="D109" i="33"/>
  <c r="A112" i="19"/>
  <c r="B112" i="19"/>
  <c r="D110" i="32"/>
  <c r="D110" i="33"/>
  <c r="A113" i="19"/>
  <c r="B113" i="19"/>
  <c r="D111" i="32"/>
  <c r="D111" i="33"/>
  <c r="A114" i="19"/>
  <c r="B114" i="19"/>
  <c r="D112" i="32"/>
  <c r="D112" i="33"/>
  <c r="A115" i="19"/>
  <c r="B115" i="19"/>
  <c r="D113" i="32"/>
  <c r="D113" i="33"/>
  <c r="A116" i="19"/>
  <c r="B116" i="19"/>
  <c r="D114" i="32"/>
  <c r="D114" i="33"/>
  <c r="A117" i="19"/>
  <c r="B117" i="19"/>
  <c r="D115" i="32"/>
  <c r="D115" i="33"/>
  <c r="A118" i="19"/>
  <c r="B118" i="19"/>
  <c r="D116" i="32"/>
  <c r="D116" i="33"/>
  <c r="A119" i="19"/>
  <c r="B119" i="19"/>
  <c r="D117" i="32"/>
  <c r="D117" i="33"/>
  <c r="A120" i="19"/>
  <c r="B120" i="19"/>
  <c r="D118" i="32"/>
  <c r="D118" i="33"/>
  <c r="A121" i="19"/>
  <c r="B121" i="19"/>
  <c r="D119" i="32"/>
  <c r="D119" i="33"/>
  <c r="A122" i="19"/>
  <c r="B122" i="19"/>
  <c r="D120" i="32"/>
  <c r="D120" i="33"/>
  <c r="A123" i="19"/>
  <c r="B123" i="19"/>
  <c r="D121" i="32"/>
  <c r="D121" i="33"/>
  <c r="A124" i="19"/>
  <c r="B124" i="19"/>
  <c r="D122" i="32"/>
  <c r="D122" i="33"/>
  <c r="A125" i="19"/>
  <c r="B125" i="19"/>
  <c r="D123" i="32"/>
  <c r="D123" i="33"/>
  <c r="A126" i="19"/>
  <c r="B126" i="19"/>
  <c r="D124" i="32"/>
  <c r="D124" i="33"/>
  <c r="A127" i="19"/>
  <c r="B127" i="19"/>
  <c r="D125" i="32"/>
  <c r="D125" i="33"/>
  <c r="A128" i="19"/>
  <c r="B128" i="19"/>
  <c r="D126" i="32"/>
  <c r="D126" i="33"/>
  <c r="A129" i="19"/>
  <c r="B129" i="19"/>
  <c r="D127" i="32"/>
  <c r="D127" i="33"/>
  <c r="A130" i="19"/>
  <c r="B130" i="19"/>
  <c r="D128" i="32"/>
  <c r="D128" i="33"/>
  <c r="A131" i="19"/>
  <c r="B131" i="19"/>
  <c r="D129" i="32"/>
  <c r="D129" i="33"/>
  <c r="A132" i="19"/>
  <c r="B132" i="19"/>
  <c r="D130" i="32"/>
  <c r="D130" i="33"/>
  <c r="A133" i="19"/>
  <c r="B133" i="19"/>
  <c r="D131" i="32"/>
  <c r="D131" i="33"/>
  <c r="A134" i="19"/>
  <c r="B134" i="19"/>
  <c r="D132" i="32"/>
  <c r="D132" i="33"/>
  <c r="A135" i="19"/>
  <c r="B135" i="19"/>
  <c r="D133" i="32"/>
  <c r="D133" i="33"/>
  <c r="A136" i="19"/>
  <c r="B136" i="19"/>
  <c r="D134" i="32"/>
  <c r="D134" i="33"/>
  <c r="A137" i="19"/>
  <c r="B137" i="19"/>
  <c r="D135" i="32"/>
  <c r="D135" i="33"/>
  <c r="A138" i="19"/>
  <c r="B138" i="19"/>
  <c r="D136" i="32"/>
  <c r="D136" i="33"/>
  <c r="A139" i="19"/>
  <c r="B139" i="19"/>
  <c r="D137" i="32"/>
  <c r="D137" i="33"/>
  <c r="A140" i="19"/>
  <c r="B140" i="19"/>
  <c r="D138" i="32"/>
  <c r="D138" i="33"/>
  <c r="A141" i="19"/>
  <c r="B141" i="19"/>
  <c r="D139" i="32"/>
  <c r="D139" i="33"/>
  <c r="A142" i="19"/>
  <c r="B142" i="19"/>
  <c r="D140" i="32"/>
  <c r="D140" i="33"/>
  <c r="A143" i="19"/>
  <c r="B143" i="19"/>
  <c r="D141" i="32"/>
  <c r="D141" i="33"/>
  <c r="A144" i="19"/>
  <c r="B144" i="19"/>
  <c r="D142" i="32"/>
  <c r="D142" i="33"/>
  <c r="A145" i="19"/>
  <c r="B145" i="19"/>
  <c r="D143" i="32"/>
  <c r="D143" i="33"/>
  <c r="A146" i="19"/>
  <c r="B146" i="19"/>
  <c r="D144" i="32"/>
  <c r="D144" i="33"/>
  <c r="A147" i="19"/>
  <c r="B147" i="19"/>
  <c r="D145" i="32"/>
  <c r="D145" i="33"/>
  <c r="A148" i="19"/>
  <c r="B148" i="19"/>
  <c r="D146" i="32"/>
  <c r="D146" i="33"/>
  <c r="A149" i="19"/>
  <c r="B149" i="19"/>
  <c r="D147" i="32"/>
  <c r="D147" i="33"/>
  <c r="A150" i="19"/>
  <c r="B150" i="19"/>
  <c r="D148" i="32"/>
  <c r="D148" i="33"/>
  <c r="A151" i="19"/>
  <c r="B151" i="19"/>
  <c r="D149" i="32"/>
  <c r="D149" i="33"/>
  <c r="A152" i="19"/>
  <c r="B152" i="19"/>
  <c r="D150" i="32"/>
  <c r="D150" i="33"/>
  <c r="A153" i="19"/>
  <c r="B153" i="19"/>
  <c r="D151" i="32"/>
  <c r="D151" i="33"/>
  <c r="A154" i="19"/>
  <c r="B154" i="19"/>
  <c r="D152" i="32"/>
  <c r="D152" i="33"/>
  <c r="A155" i="19"/>
  <c r="B155" i="19"/>
  <c r="D153" i="32"/>
  <c r="D153" i="33"/>
  <c r="A156" i="19"/>
  <c r="B156" i="19"/>
  <c r="D154" i="32"/>
  <c r="D154" i="33"/>
  <c r="A157" i="19"/>
  <c r="B157" i="19"/>
  <c r="D155" i="32"/>
  <c r="D155" i="33"/>
  <c r="A158" i="19"/>
  <c r="B158" i="19"/>
  <c r="D156" i="32"/>
  <c r="D156" i="33"/>
  <c r="A159" i="19"/>
  <c r="B159" i="19"/>
  <c r="D157" i="32"/>
  <c r="D157" i="33"/>
  <c r="A160" i="19"/>
  <c r="B160" i="19"/>
  <c r="D158" i="32"/>
  <c r="D158" i="33"/>
  <c r="A161" i="19"/>
  <c r="B161" i="19"/>
  <c r="D159" i="32"/>
  <c r="D159" i="33"/>
  <c r="A162" i="19"/>
  <c r="B162" i="19"/>
  <c r="D160" i="32"/>
  <c r="D160" i="33"/>
  <c r="A163" i="19"/>
  <c r="B163" i="19"/>
  <c r="D161" i="32"/>
  <c r="D161" i="33"/>
  <c r="A164" i="19"/>
  <c r="B164" i="19"/>
  <c r="D162" i="32"/>
  <c r="D162" i="33"/>
  <c r="A165" i="19"/>
  <c r="B165" i="19"/>
  <c r="D163" i="32"/>
  <c r="D163" i="33"/>
  <c r="A166" i="19"/>
  <c r="B166" i="19"/>
  <c r="D164" i="32"/>
  <c r="D164" i="33"/>
  <c r="A167" i="19"/>
  <c r="B167" i="19"/>
  <c r="D165" i="32"/>
  <c r="D165" i="33"/>
  <c r="A168" i="19"/>
  <c r="B168" i="19"/>
  <c r="D166" i="32"/>
  <c r="D166" i="33"/>
  <c r="A169" i="19"/>
  <c r="B169" i="19"/>
  <c r="D167" i="32"/>
  <c r="D167" i="33"/>
  <c r="A170" i="19"/>
  <c r="B170" i="19"/>
  <c r="D168" i="32"/>
  <c r="D168" i="33"/>
  <c r="A171" i="19"/>
  <c r="B171" i="19"/>
  <c r="D169" i="32"/>
  <c r="D169" i="33"/>
  <c r="A172" i="19"/>
  <c r="B172" i="19"/>
  <c r="D170" i="32"/>
  <c r="D170" i="33"/>
  <c r="A173" i="19"/>
  <c r="B173" i="19"/>
  <c r="D171" i="32"/>
  <c r="D171" i="33"/>
  <c r="A174" i="19"/>
  <c r="B174" i="19"/>
  <c r="D172" i="32"/>
  <c r="D172" i="33"/>
  <c r="A175" i="19"/>
  <c r="B175" i="19"/>
  <c r="D173" i="32"/>
  <c r="D173" i="33"/>
  <c r="A176" i="19"/>
  <c r="B176" i="19"/>
  <c r="D174" i="32"/>
  <c r="D174" i="33"/>
  <c r="A177" i="19"/>
  <c r="B177" i="19"/>
  <c r="D175" i="32"/>
  <c r="D175" i="33"/>
  <c r="A178" i="19"/>
  <c r="B178" i="19"/>
  <c r="D176" i="32"/>
  <c r="D176" i="33"/>
  <c r="A179" i="19"/>
  <c r="B179" i="19"/>
  <c r="D177" i="32"/>
  <c r="D177" i="33"/>
  <c r="A180" i="19"/>
  <c r="B180" i="19"/>
  <c r="D178" i="32"/>
  <c r="D178" i="33"/>
  <c r="A181" i="19"/>
  <c r="B181" i="19"/>
  <c r="D179" i="32"/>
  <c r="D179" i="33"/>
  <c r="A182" i="19"/>
  <c r="B182" i="19"/>
  <c r="D180" i="32"/>
  <c r="D180" i="33"/>
  <c r="A183" i="19"/>
  <c r="B183" i="19"/>
  <c r="D181" i="32"/>
  <c r="D181" i="33"/>
  <c r="A184" i="19"/>
  <c r="B184" i="19"/>
  <c r="D182" i="32"/>
  <c r="D182" i="33"/>
  <c r="A185" i="19"/>
  <c r="B185" i="19"/>
  <c r="D183" i="32"/>
  <c r="D183" i="33"/>
  <c r="A186" i="19"/>
  <c r="B186" i="19"/>
  <c r="D184" i="32"/>
  <c r="D184" i="33"/>
  <c r="A187" i="19"/>
  <c r="B187" i="19"/>
  <c r="D185" i="32"/>
  <c r="D185" i="33"/>
  <c r="A188" i="19"/>
  <c r="B188" i="19"/>
  <c r="D186" i="32"/>
  <c r="D186" i="33"/>
  <c r="A189" i="19"/>
  <c r="B189" i="19"/>
  <c r="D187" i="32"/>
  <c r="D187" i="33"/>
  <c r="A190" i="19"/>
  <c r="B190" i="19"/>
  <c r="D188" i="32"/>
  <c r="D188" i="33"/>
  <c r="A191" i="19"/>
  <c r="B191" i="19"/>
  <c r="D189" i="32"/>
  <c r="D189" i="33"/>
  <c r="A192" i="19"/>
  <c r="B192" i="19"/>
  <c r="D190" i="32"/>
  <c r="D190" i="33"/>
  <c r="A193" i="19"/>
  <c r="B193" i="19"/>
  <c r="D191" i="32"/>
  <c r="D191" i="33"/>
  <c r="A194" i="19"/>
  <c r="B194" i="19"/>
  <c r="D192" i="32"/>
  <c r="D192" i="33"/>
  <c r="A195" i="19"/>
  <c r="B195" i="19"/>
  <c r="D193" i="32"/>
  <c r="D193" i="33"/>
  <c r="A196" i="19"/>
  <c r="B196" i="19"/>
  <c r="D194" i="32"/>
  <c r="D194" i="33"/>
  <c r="A197" i="19"/>
  <c r="B197" i="19"/>
  <c r="D195" i="32"/>
  <c r="D195" i="33"/>
  <c r="A198" i="19"/>
  <c r="B198" i="19"/>
  <c r="D196" i="32"/>
  <c r="D196" i="33"/>
  <c r="A199" i="19"/>
  <c r="B199" i="19"/>
  <c r="D197" i="32"/>
  <c r="D197" i="33"/>
  <c r="A200" i="19"/>
  <c r="B200" i="19"/>
  <c r="D198" i="32"/>
  <c r="D198" i="33"/>
  <c r="A201" i="19"/>
  <c r="B201" i="19"/>
  <c r="D199" i="32"/>
  <c r="D199" i="33"/>
  <c r="A202" i="19"/>
  <c r="B202" i="19"/>
  <c r="D200" i="32"/>
  <c r="D200" i="33"/>
  <c r="A203" i="19"/>
  <c r="B203" i="19"/>
  <c r="D201" i="32"/>
  <c r="D201" i="33"/>
  <c r="A204" i="19"/>
  <c r="B204" i="19"/>
  <c r="D202" i="32"/>
  <c r="D202" i="33"/>
  <c r="A205" i="19"/>
  <c r="B205" i="19"/>
  <c r="D203" i="32"/>
  <c r="D203" i="33"/>
  <c r="A206" i="19"/>
  <c r="B206" i="19"/>
  <c r="D204" i="32"/>
  <c r="D204" i="33"/>
  <c r="A207" i="19"/>
  <c r="B207" i="19"/>
  <c r="D205" i="32"/>
  <c r="D205" i="33"/>
  <c r="A208" i="19"/>
  <c r="B208" i="19"/>
  <c r="D206" i="32"/>
  <c r="D206" i="33"/>
  <c r="A209" i="19"/>
  <c r="B209" i="19"/>
  <c r="D207" i="32"/>
  <c r="D207" i="33"/>
  <c r="A210" i="19"/>
  <c r="B210" i="19"/>
  <c r="D208" i="32"/>
  <c r="D208" i="33"/>
  <c r="A211" i="19"/>
  <c r="B211" i="19"/>
  <c r="D209" i="32"/>
  <c r="D209" i="33"/>
  <c r="A212" i="19"/>
  <c r="B212" i="19"/>
  <c r="D210" i="32"/>
  <c r="D210" i="33"/>
  <c r="A213" i="19"/>
  <c r="B213" i="19"/>
  <c r="D211" i="32"/>
  <c r="D211" i="33"/>
  <c r="A214" i="19"/>
  <c r="B214" i="19"/>
  <c r="D212" i="32"/>
  <c r="D212" i="33"/>
  <c r="A215" i="19"/>
  <c r="B215" i="19"/>
  <c r="D213" i="32"/>
  <c r="D213" i="33"/>
  <c r="A216" i="19"/>
  <c r="B216" i="19"/>
  <c r="D214" i="32"/>
  <c r="D214" i="33"/>
  <c r="A217" i="19"/>
  <c r="B217" i="19"/>
  <c r="D215" i="32"/>
  <c r="D215" i="33"/>
  <c r="A218" i="19"/>
  <c r="B218" i="19"/>
  <c r="D216" i="32"/>
  <c r="D216" i="33"/>
  <c r="A219" i="19"/>
  <c r="B219" i="19"/>
  <c r="D217" i="32"/>
  <c r="D217" i="33"/>
  <c r="A220" i="19"/>
  <c r="B220" i="19"/>
  <c r="D218" i="32"/>
  <c r="D218" i="33"/>
  <c r="A221" i="19"/>
  <c r="B221" i="19"/>
  <c r="D219" i="32"/>
  <c r="D219" i="33"/>
  <c r="A222" i="19"/>
  <c r="B222" i="19"/>
  <c r="D220" i="32"/>
  <c r="D220" i="33"/>
  <c r="A223" i="19"/>
  <c r="B223" i="19"/>
  <c r="D221" i="32"/>
  <c r="D221" i="33"/>
  <c r="A224" i="19"/>
  <c r="B224" i="19"/>
  <c r="D222" i="32"/>
  <c r="D222" i="33"/>
  <c r="A225" i="19"/>
  <c r="B225" i="19"/>
  <c r="D223" i="32"/>
  <c r="D223" i="33"/>
  <c r="A226" i="19"/>
  <c r="B226" i="19"/>
  <c r="D224" i="32"/>
  <c r="D224" i="33"/>
  <c r="A227" i="19"/>
  <c r="B227" i="19"/>
  <c r="D225" i="32"/>
  <c r="D225" i="33"/>
  <c r="A228" i="19"/>
  <c r="B228" i="19"/>
  <c r="D226" i="32"/>
  <c r="D226" i="33"/>
  <c r="A229" i="19"/>
  <c r="B229" i="19"/>
  <c r="D227" i="32"/>
  <c r="D227" i="33"/>
  <c r="A230" i="19"/>
  <c r="B230" i="19"/>
  <c r="D228" i="32"/>
  <c r="D228" i="33"/>
  <c r="A231" i="19"/>
  <c r="B231" i="19"/>
  <c r="D229" i="32"/>
  <c r="D229" i="33"/>
  <c r="A232" i="19"/>
  <c r="B232" i="19"/>
  <c r="D230" i="32"/>
  <c r="D230" i="33"/>
  <c r="A233" i="19"/>
  <c r="B233" i="19"/>
  <c r="D231" i="32"/>
  <c r="D231" i="33"/>
  <c r="A234" i="19"/>
  <c r="B234" i="19"/>
  <c r="D232" i="32"/>
  <c r="D232" i="33"/>
  <c r="A235" i="19"/>
  <c r="B235" i="19"/>
  <c r="D233" i="32"/>
  <c r="D233" i="33"/>
  <c r="A236" i="19"/>
  <c r="B236" i="19"/>
  <c r="D234" i="32"/>
  <c r="D234" i="33"/>
  <c r="A237" i="19"/>
  <c r="B237" i="19"/>
  <c r="D235" i="32"/>
  <c r="D235" i="33"/>
  <c r="A238" i="19"/>
  <c r="B238" i="19"/>
  <c r="D236" i="32"/>
  <c r="D236" i="33"/>
  <c r="A239" i="19"/>
  <c r="B239" i="19"/>
  <c r="D237" i="32"/>
  <c r="D237" i="33"/>
  <c r="A240" i="19"/>
  <c r="B240" i="19"/>
  <c r="D238" i="32"/>
  <c r="D238" i="33"/>
  <c r="A241" i="19"/>
  <c r="B241" i="19"/>
  <c r="D239" i="32"/>
  <c r="D239" i="33"/>
  <c r="A242" i="19"/>
  <c r="B242" i="19"/>
  <c r="D240" i="32"/>
  <c r="D240" i="33"/>
  <c r="A243" i="19"/>
  <c r="B243" i="19"/>
  <c r="D241" i="32"/>
  <c r="D241" i="33"/>
  <c r="A244" i="19"/>
  <c r="B244" i="19"/>
  <c r="D242" i="32"/>
  <c r="D242" i="33"/>
  <c r="A245" i="19"/>
  <c r="B245" i="19"/>
  <c r="D243" i="32"/>
  <c r="D243" i="33"/>
  <c r="A246" i="19"/>
  <c r="B246" i="19"/>
  <c r="D244" i="32"/>
  <c r="D244" i="33"/>
  <c r="A247" i="19"/>
  <c r="B247" i="19"/>
  <c r="D245" i="32"/>
  <c r="D245" i="33"/>
  <c r="A248" i="19"/>
  <c r="B248" i="19"/>
  <c r="D246" i="32"/>
  <c r="D246" i="33"/>
  <c r="A249" i="19"/>
  <c r="B249" i="19"/>
  <c r="D247" i="32"/>
  <c r="D247" i="33"/>
  <c r="A250" i="19"/>
  <c r="B250" i="19"/>
  <c r="D248" i="32"/>
  <c r="D248" i="33"/>
  <c r="A251" i="19"/>
  <c r="B251" i="19"/>
  <c r="D249" i="32"/>
  <c r="D249" i="33"/>
  <c r="A252" i="19"/>
  <c r="B252" i="19"/>
  <c r="D250" i="32"/>
  <c r="D250" i="33"/>
  <c r="A253" i="19"/>
  <c r="B253" i="19"/>
  <c r="D251" i="32"/>
  <c r="D251" i="33"/>
  <c r="A254" i="19"/>
  <c r="B254" i="19"/>
  <c r="D252" i="32"/>
  <c r="D252" i="33"/>
  <c r="A255" i="19"/>
  <c r="B255" i="19"/>
  <c r="D253" i="32"/>
  <c r="D253" i="33"/>
  <c r="A256" i="19"/>
  <c r="B256" i="19"/>
  <c r="D254" i="32"/>
  <c r="D254" i="33"/>
  <c r="A257" i="19"/>
  <c r="B257" i="19"/>
  <c r="D255" i="32"/>
  <c r="D255" i="33"/>
  <c r="A258" i="19"/>
  <c r="B258" i="19"/>
  <c r="D256" i="32"/>
  <c r="D256" i="33"/>
  <c r="A259" i="19"/>
  <c r="B259" i="19"/>
  <c r="D257" i="32"/>
  <c r="D257" i="33"/>
  <c r="A260" i="19"/>
  <c r="B260" i="19"/>
  <c r="D258" i="32"/>
  <c r="D258" i="33"/>
  <c r="A261" i="19"/>
  <c r="B261" i="19"/>
  <c r="D259" i="32"/>
  <c r="D259" i="33"/>
  <c r="A262" i="19"/>
  <c r="B262" i="19"/>
  <c r="D260" i="32"/>
  <c r="D260" i="33"/>
  <c r="A263" i="19"/>
  <c r="B263" i="19"/>
  <c r="D261" i="32"/>
  <c r="D261" i="33"/>
  <c r="A264" i="19"/>
  <c r="B264" i="19"/>
  <c r="D262" i="32"/>
  <c r="D262" i="33"/>
  <c r="A265" i="19"/>
  <c r="B265" i="19"/>
  <c r="D263" i="32"/>
  <c r="D263" i="33"/>
  <c r="A266" i="19"/>
  <c r="B266" i="19"/>
  <c r="D264" i="32"/>
  <c r="D264" i="33"/>
  <c r="A267" i="19"/>
  <c r="B267" i="19"/>
  <c r="D265" i="32"/>
  <c r="D265" i="33"/>
  <c r="A268" i="19"/>
  <c r="B268" i="19"/>
  <c r="D266" i="32"/>
  <c r="D266" i="33"/>
  <c r="A269" i="19"/>
  <c r="B269" i="19"/>
  <c r="D267" i="32"/>
  <c r="D267" i="33"/>
  <c r="A270" i="19"/>
  <c r="B270" i="19"/>
  <c r="D268" i="32"/>
  <c r="D268" i="33"/>
  <c r="A271" i="19"/>
  <c r="B271" i="19"/>
  <c r="D269" i="32"/>
  <c r="D269" i="33"/>
  <c r="A272" i="19"/>
  <c r="B272" i="19"/>
  <c r="D270" i="32"/>
  <c r="D270" i="33"/>
  <c r="A273" i="19"/>
  <c r="B273" i="19"/>
  <c r="D271" i="32"/>
  <c r="D271" i="33"/>
  <c r="A274" i="19"/>
  <c r="B274" i="19"/>
  <c r="D272" i="32"/>
  <c r="D272" i="33"/>
  <c r="A275" i="19"/>
  <c r="B275" i="19"/>
  <c r="D273" i="32"/>
  <c r="D273" i="33"/>
  <c r="A276" i="19"/>
  <c r="B276" i="19"/>
  <c r="D274" i="32"/>
  <c r="D274" i="33"/>
  <c r="A277" i="19"/>
  <c r="B277" i="19"/>
  <c r="D275" i="32"/>
  <c r="D275" i="33"/>
  <c r="A278" i="19"/>
  <c r="B278" i="19"/>
  <c r="D276" i="32"/>
  <c r="D276" i="33"/>
  <c r="A279" i="19"/>
  <c r="B279" i="19"/>
  <c r="D277" i="32"/>
  <c r="D277" i="33"/>
  <c r="A280" i="19"/>
  <c r="B280" i="19"/>
  <c r="D278" i="32"/>
  <c r="D278" i="33"/>
  <c r="A281" i="19"/>
  <c r="B281" i="19"/>
  <c r="D279" i="32"/>
  <c r="D279" i="33"/>
  <c r="A282" i="19"/>
  <c r="B282" i="19"/>
  <c r="D280" i="32"/>
  <c r="D280" i="33"/>
  <c r="A283" i="19"/>
  <c r="B283" i="19"/>
  <c r="D281" i="32"/>
  <c r="D281" i="33"/>
  <c r="A284" i="19"/>
  <c r="B284" i="19"/>
  <c r="D282" i="32"/>
  <c r="D282" i="33"/>
  <c r="A285" i="19"/>
  <c r="B285" i="19"/>
  <c r="D283" i="32"/>
  <c r="D283" i="33"/>
  <c r="A286" i="19"/>
  <c r="B286" i="19"/>
  <c r="D284" i="32"/>
  <c r="D284" i="33"/>
  <c r="A287" i="19"/>
  <c r="B287" i="19"/>
  <c r="D285" i="32"/>
  <c r="D285" i="33"/>
  <c r="A288" i="19"/>
  <c r="B288" i="19"/>
  <c r="D286" i="32"/>
  <c r="D286" i="33"/>
  <c r="A289" i="19"/>
  <c r="B289" i="19"/>
  <c r="D287" i="32"/>
  <c r="D287" i="33"/>
  <c r="A290" i="19"/>
  <c r="B290" i="19"/>
  <c r="D288" i="32"/>
  <c r="D288" i="33"/>
  <c r="A291" i="19"/>
  <c r="B291" i="19"/>
  <c r="D289" i="32"/>
  <c r="D289" i="33"/>
  <c r="A292" i="19"/>
  <c r="B292" i="19"/>
  <c r="D290" i="32"/>
  <c r="D290" i="33"/>
  <c r="A293" i="19"/>
  <c r="B293" i="19"/>
  <c r="D291" i="32"/>
  <c r="D291" i="33"/>
  <c r="A294" i="19"/>
  <c r="B294" i="19"/>
  <c r="D292" i="32"/>
  <c r="D292" i="33"/>
  <c r="A295" i="19"/>
  <c r="B295" i="19"/>
  <c r="D293" i="32"/>
  <c r="D293" i="33"/>
  <c r="A296" i="19"/>
  <c r="B296" i="19"/>
  <c r="D294" i="32"/>
  <c r="D294" i="33"/>
  <c r="A297" i="19"/>
  <c r="B297" i="19"/>
  <c r="D295" i="32"/>
  <c r="D295" i="33"/>
  <c r="A298" i="19"/>
  <c r="B298" i="19"/>
  <c r="D296" i="32"/>
  <c r="D296" i="33"/>
  <c r="A299" i="19"/>
  <c r="B299" i="19"/>
  <c r="D297" i="32"/>
  <c r="D297" i="33"/>
  <c r="A300" i="19"/>
  <c r="B300" i="19"/>
  <c r="D298" i="32"/>
  <c r="D298" i="33"/>
  <c r="A301" i="19"/>
  <c r="B301" i="19"/>
  <c r="D299" i="32"/>
  <c r="D299" i="33"/>
  <c r="A302" i="19"/>
  <c r="B302" i="19"/>
  <c r="D300" i="32"/>
  <c r="D300" i="33"/>
  <c r="A303" i="19"/>
  <c r="B303" i="19"/>
  <c r="D301" i="32"/>
  <c r="D301" i="33"/>
  <c r="A304" i="19"/>
  <c r="B304" i="19"/>
  <c r="D302" i="32"/>
  <c r="D302" i="33"/>
  <c r="A305" i="19"/>
  <c r="B305" i="19"/>
  <c r="D303" i="32"/>
  <c r="D303" i="33"/>
  <c r="A306" i="19"/>
  <c r="B306" i="19"/>
  <c r="D304" i="32"/>
  <c r="D304" i="33"/>
  <c r="A307" i="19"/>
  <c r="B307" i="19"/>
  <c r="D305" i="32"/>
  <c r="D305" i="33"/>
  <c r="A308" i="19"/>
  <c r="B308" i="19"/>
  <c r="D306" i="32"/>
  <c r="D306" i="33"/>
  <c r="A309" i="19"/>
  <c r="B309" i="19"/>
  <c r="D307" i="32"/>
  <c r="D307" i="33"/>
  <c r="A310" i="19"/>
  <c r="B310" i="19"/>
  <c r="D308" i="32"/>
  <c r="D308" i="33"/>
  <c r="A311" i="19"/>
  <c r="B311" i="19"/>
  <c r="D309" i="32"/>
  <c r="D309" i="33"/>
  <c r="A312" i="19"/>
  <c r="B312" i="19"/>
  <c r="D310" i="32"/>
  <c r="D310" i="33"/>
  <c r="A313" i="19"/>
  <c r="B313" i="19"/>
  <c r="D311" i="32"/>
  <c r="D311" i="33"/>
  <c r="A314" i="19"/>
  <c r="B314" i="19"/>
  <c r="D312" i="32"/>
  <c r="D312" i="33"/>
  <c r="A315" i="19"/>
  <c r="B315" i="19"/>
  <c r="D313" i="32"/>
  <c r="D313" i="33"/>
  <c r="C88" i="32" l="1"/>
  <c r="E88" i="32" s="1"/>
  <c r="C299" i="32"/>
  <c r="C203" i="32"/>
  <c r="C195" i="32"/>
  <c r="C161" i="32"/>
  <c r="E161" i="32" s="1"/>
  <c r="C138" i="32"/>
  <c r="C86" i="32"/>
  <c r="E86" i="32" s="1"/>
  <c r="C14" i="32"/>
  <c r="E14" i="32" s="1"/>
  <c r="C11" i="32"/>
  <c r="C168" i="32"/>
  <c r="C45" i="32"/>
  <c r="C143" i="32"/>
  <c r="C160" i="32"/>
  <c r="C29" i="32"/>
  <c r="C85" i="32"/>
  <c r="E85" i="32" s="1"/>
  <c r="C147" i="32"/>
  <c r="E147" i="32" s="1"/>
  <c r="C230" i="32"/>
  <c r="C204" i="32"/>
  <c r="E204" i="32" s="1"/>
  <c r="C279" i="32"/>
  <c r="E279" i="32" s="1"/>
  <c r="C33" i="32"/>
  <c r="E33" i="32" s="1"/>
  <c r="C25" i="32"/>
  <c r="E25" i="32" s="1"/>
  <c r="C17" i="32"/>
  <c r="E17" i="32" s="1"/>
  <c r="C250" i="32"/>
  <c r="E250" i="32" s="1"/>
  <c r="C175" i="32"/>
  <c r="C68" i="32"/>
  <c r="C60" i="32"/>
  <c r="E60" i="32" s="1"/>
  <c r="C52" i="32"/>
  <c r="E52" i="32" s="1"/>
  <c r="C311" i="32"/>
  <c r="E311" i="32" s="1"/>
  <c r="C192" i="32"/>
  <c r="C171" i="32"/>
  <c r="C127" i="32"/>
  <c r="C116" i="32"/>
  <c r="E116" i="32" s="1"/>
  <c r="C111" i="32"/>
  <c r="C163" i="32"/>
  <c r="E163" i="32" s="1"/>
  <c r="C79" i="32"/>
  <c r="C236" i="32"/>
  <c r="E236" i="32" s="1"/>
  <c r="C183" i="32"/>
  <c r="C152" i="32"/>
  <c r="E152" i="32" s="1"/>
  <c r="C77" i="32"/>
  <c r="E77" i="32" s="1"/>
  <c r="C36" i="32"/>
  <c r="E36" i="32" s="1"/>
  <c r="C28" i="32"/>
  <c r="C296" i="32"/>
  <c r="C288" i="32"/>
  <c r="C277" i="32"/>
  <c r="E277" i="32" s="1"/>
  <c r="C255" i="32"/>
  <c r="E255" i="32" s="1"/>
  <c r="C239" i="32"/>
  <c r="C231" i="32"/>
  <c r="C128" i="32"/>
  <c r="C253" i="32"/>
  <c r="C205" i="32"/>
  <c r="C251" i="32"/>
  <c r="E251" i="32" s="1"/>
  <c r="C121" i="32"/>
  <c r="C312" i="32"/>
  <c r="C304" i="32"/>
  <c r="C291" i="32"/>
  <c r="C283" i="32"/>
  <c r="E283" i="32" s="1"/>
  <c r="C280" i="32"/>
  <c r="C271" i="32"/>
  <c r="E271" i="32" s="1"/>
  <c r="C263" i="32"/>
  <c r="E263" i="32" s="1"/>
  <c r="C252" i="32"/>
  <c r="E252" i="32" s="1"/>
  <c r="C247" i="32"/>
  <c r="E247" i="32" s="1"/>
  <c r="C245" i="33"/>
  <c r="C224" i="32"/>
  <c r="C216" i="32"/>
  <c r="C211" i="32"/>
  <c r="C189" i="32"/>
  <c r="C169" i="32"/>
  <c r="E169" i="32" s="1"/>
  <c r="C155" i="32"/>
  <c r="C151" i="32"/>
  <c r="E151" i="32" s="1"/>
  <c r="C135" i="32"/>
  <c r="E135" i="32" s="1"/>
  <c r="C112" i="32"/>
  <c r="C101" i="32"/>
  <c r="C80" i="32"/>
  <c r="C65" i="32"/>
  <c r="C56" i="32"/>
  <c r="C96" i="32"/>
  <c r="C71" i="32"/>
  <c r="C9" i="32"/>
  <c r="E9" i="32" s="1"/>
  <c r="C286" i="32"/>
  <c r="E286" i="32" s="1"/>
  <c r="C264" i="32"/>
  <c r="E264" i="32" s="1"/>
  <c r="C228" i="32"/>
  <c r="E228" i="32" s="1"/>
  <c r="C220" i="32"/>
  <c r="E220" i="32" s="1"/>
  <c r="C131" i="32"/>
  <c r="E131" i="32" s="1"/>
  <c r="C66" i="32"/>
  <c r="E66" i="32" s="1"/>
  <c r="C46" i="32"/>
  <c r="E46" i="32" s="1"/>
  <c r="C31" i="32"/>
  <c r="E31" i="32" s="1"/>
  <c r="C256" i="32"/>
  <c r="C212" i="32"/>
  <c r="E212" i="32" s="1"/>
  <c r="C167" i="32"/>
  <c r="E167" i="32" s="1"/>
  <c r="C153" i="32"/>
  <c r="E153" i="32" s="1"/>
  <c r="E111" i="32"/>
  <c r="C92" i="32"/>
  <c r="E92" i="32" s="1"/>
  <c r="C78" i="32"/>
  <c r="E78" i="32" s="1"/>
  <c r="C58" i="32"/>
  <c r="E58" i="32" s="1"/>
  <c r="C49" i="32"/>
  <c r="E49" i="32" s="1"/>
  <c r="C276" i="32"/>
  <c r="E276" i="32" s="1"/>
  <c r="C273" i="32"/>
  <c r="E273" i="32" s="1"/>
  <c r="C223" i="32"/>
  <c r="C215" i="32"/>
  <c r="C207" i="32"/>
  <c r="C196" i="32"/>
  <c r="E196" i="32" s="1"/>
  <c r="C176" i="32"/>
  <c r="E176" i="32" s="1"/>
  <c r="C123" i="32"/>
  <c r="C84" i="32"/>
  <c r="C40" i="32"/>
  <c r="E40" i="32" s="1"/>
  <c r="C21" i="32"/>
  <c r="E21" i="32" s="1"/>
  <c r="C210" i="32"/>
  <c r="E210" i="32" s="1"/>
  <c r="C199" i="32"/>
  <c r="C191" i="32"/>
  <c r="C179" i="32"/>
  <c r="C159" i="32"/>
  <c r="E159" i="32" s="1"/>
  <c r="C145" i="32"/>
  <c r="E145" i="32" s="1"/>
  <c r="C126" i="33"/>
  <c r="C106" i="32"/>
  <c r="E106" i="32" s="1"/>
  <c r="C67" i="32"/>
  <c r="C16" i="32"/>
  <c r="C309" i="32"/>
  <c r="E309" i="32" s="1"/>
  <c r="C293" i="32"/>
  <c r="E293" i="32" s="1"/>
  <c r="C238" i="32"/>
  <c r="C221" i="32"/>
  <c r="C213" i="32"/>
  <c r="E213" i="32" s="1"/>
  <c r="C158" i="33"/>
  <c r="C169" i="34" s="1"/>
  <c r="C129" i="32"/>
  <c r="C109" i="32"/>
  <c r="C76" i="32"/>
  <c r="E76" i="32" s="1"/>
  <c r="C59" i="32"/>
  <c r="C48" i="32"/>
  <c r="C35" i="32"/>
  <c r="E35" i="32" s="1"/>
  <c r="C10" i="32"/>
  <c r="C37" i="32"/>
  <c r="E37" i="32" s="1"/>
  <c r="C34" i="32"/>
  <c r="E34" i="32" s="1"/>
  <c r="C32" i="32"/>
  <c r="E32" i="32" s="1"/>
  <c r="C26" i="32"/>
  <c r="E26" i="32" s="1"/>
  <c r="C15" i="32"/>
  <c r="E15" i="32" s="1"/>
  <c r="C12" i="32"/>
  <c r="E12" i="32" s="1"/>
  <c r="C8" i="32"/>
  <c r="E8" i="32" s="1"/>
  <c r="C24" i="32"/>
  <c r="E296" i="32"/>
  <c r="E288" i="32"/>
  <c r="C290" i="32"/>
  <c r="E290" i="32" s="1"/>
  <c r="C308" i="32"/>
  <c r="E308" i="32" s="1"/>
  <c r="C305" i="32"/>
  <c r="E305" i="32" s="1"/>
  <c r="C244" i="32"/>
  <c r="E244" i="32" s="1"/>
  <c r="C248" i="32"/>
  <c r="C245" i="32"/>
  <c r="C241" i="32"/>
  <c r="E241" i="32" s="1"/>
  <c r="C233" i="32"/>
  <c r="E233" i="32" s="1"/>
  <c r="C222" i="32"/>
  <c r="C214" i="32"/>
  <c r="E214" i="32" s="1"/>
  <c r="C170" i="32"/>
  <c r="C162" i="32"/>
  <c r="C154" i="32"/>
  <c r="C146" i="32"/>
  <c r="E146" i="32" s="1"/>
  <c r="C136" i="32"/>
  <c r="E136" i="32" s="1"/>
  <c r="C103" i="32"/>
  <c r="E103" i="32" s="1"/>
  <c r="C100" i="32"/>
  <c r="E45" i="32"/>
  <c r="E239" i="32"/>
  <c r="E189" i="32"/>
  <c r="E155" i="32"/>
  <c r="E59" i="32"/>
  <c r="C285" i="32"/>
  <c r="C282" i="32"/>
  <c r="E282" i="32" s="1"/>
  <c r="C275" i="32"/>
  <c r="E275" i="32" s="1"/>
  <c r="C268" i="32"/>
  <c r="E268" i="32" s="1"/>
  <c r="C261" i="32"/>
  <c r="C260" i="32"/>
  <c r="E260" i="32" s="1"/>
  <c r="C249" i="32"/>
  <c r="E249" i="32" s="1"/>
  <c r="C227" i="32"/>
  <c r="C226" i="32"/>
  <c r="C219" i="32"/>
  <c r="C218" i="32"/>
  <c r="E218" i="32" s="1"/>
  <c r="C187" i="32"/>
  <c r="C137" i="32"/>
  <c r="E137" i="32" s="1"/>
  <c r="C132" i="32"/>
  <c r="E132" i="32" s="1"/>
  <c r="C125" i="32"/>
  <c r="E125" i="32" s="1"/>
  <c r="C124" i="32"/>
  <c r="E67" i="32"/>
  <c r="C43" i="39"/>
  <c r="C43" i="12"/>
  <c r="C43" i="33"/>
  <c r="F43" i="32"/>
  <c r="C306" i="32"/>
  <c r="E306" i="32" s="1"/>
  <c r="C313" i="32"/>
  <c r="E313" i="32" s="1"/>
  <c r="C292" i="32"/>
  <c r="E292" i="32" s="1"/>
  <c r="C289" i="32"/>
  <c r="E289" i="32" s="1"/>
  <c r="C269" i="32"/>
  <c r="C265" i="32"/>
  <c r="E265" i="32" s="1"/>
  <c r="C257" i="32"/>
  <c r="E257" i="32" s="1"/>
  <c r="C246" i="32"/>
  <c r="C243" i="32"/>
  <c r="E243" i="32" s="1"/>
  <c r="C242" i="32"/>
  <c r="C235" i="32"/>
  <c r="C234" i="32"/>
  <c r="C200" i="32"/>
  <c r="C197" i="32"/>
  <c r="C144" i="32"/>
  <c r="C140" i="32"/>
  <c r="C134" i="32"/>
  <c r="C133" i="32"/>
  <c r="E133" i="32" s="1"/>
  <c r="C126" i="32"/>
  <c r="C113" i="32"/>
  <c r="C83" i="32"/>
  <c r="C75" i="32"/>
  <c r="C74" i="32"/>
  <c r="E74" i="32" s="1"/>
  <c r="C73" i="32"/>
  <c r="C303" i="32"/>
  <c r="E303" i="32" s="1"/>
  <c r="C272" i="32"/>
  <c r="C310" i="32"/>
  <c r="C307" i="32"/>
  <c r="E307" i="32" s="1"/>
  <c r="C300" i="32"/>
  <c r="E300" i="32" s="1"/>
  <c r="C297" i="32"/>
  <c r="E297" i="32" s="1"/>
  <c r="C262" i="32"/>
  <c r="C254" i="32"/>
  <c r="C208" i="32"/>
  <c r="C201" i="32"/>
  <c r="C190" i="32"/>
  <c r="C141" i="32"/>
  <c r="E141" i="32" s="1"/>
  <c r="C130" i="32"/>
  <c r="E130" i="32" s="1"/>
  <c r="C122" i="32"/>
  <c r="E122" i="32" s="1"/>
  <c r="C119" i="32"/>
  <c r="E119" i="32" s="1"/>
  <c r="C63" i="32"/>
  <c r="E63" i="32" s="1"/>
  <c r="C53" i="32"/>
  <c r="E53" i="32" s="1"/>
  <c r="C50" i="32"/>
  <c r="E50" i="32" s="1"/>
  <c r="C47" i="32"/>
  <c r="E47" i="32" s="1"/>
  <c r="E24" i="32"/>
  <c r="E11" i="32"/>
  <c r="E112" i="32"/>
  <c r="C44" i="32"/>
  <c r="C270" i="32"/>
  <c r="C267" i="32"/>
  <c r="E267" i="32" s="1"/>
  <c r="C266" i="32"/>
  <c r="E266" i="32" s="1"/>
  <c r="C259" i="32"/>
  <c r="E259" i="32" s="1"/>
  <c r="C258" i="32"/>
  <c r="E258" i="32" s="1"/>
  <c r="C240" i="32"/>
  <c r="E238" i="32"/>
  <c r="C237" i="32"/>
  <c r="C232" i="32"/>
  <c r="E232" i="32" s="1"/>
  <c r="C229" i="32"/>
  <c r="C209" i="32"/>
  <c r="C202" i="32"/>
  <c r="C198" i="32"/>
  <c r="C188" i="32"/>
  <c r="C172" i="32"/>
  <c r="C165" i="32"/>
  <c r="E165" i="32" s="1"/>
  <c r="C164" i="32"/>
  <c r="C157" i="32"/>
  <c r="E157" i="32" s="1"/>
  <c r="C156" i="32"/>
  <c r="C149" i="32"/>
  <c r="E149" i="32" s="1"/>
  <c r="C148" i="32"/>
  <c r="C142" i="32"/>
  <c r="C139" i="32"/>
  <c r="C117" i="32"/>
  <c r="C114" i="32"/>
  <c r="C108" i="32"/>
  <c r="E108" i="32" s="1"/>
  <c r="C61" i="32"/>
  <c r="E61" i="32" s="1"/>
  <c r="C301" i="32"/>
  <c r="C298" i="32"/>
  <c r="E298" i="32" s="1"/>
  <c r="C295" i="32"/>
  <c r="E295" i="32" s="1"/>
  <c r="C287" i="32"/>
  <c r="E287" i="32" s="1"/>
  <c r="C284" i="32"/>
  <c r="E284" i="32" s="1"/>
  <c r="C225" i="32"/>
  <c r="C217" i="32"/>
  <c r="C206" i="32"/>
  <c r="C184" i="32"/>
  <c r="C180" i="32"/>
  <c r="C177" i="32"/>
  <c r="C166" i="32"/>
  <c r="E166" i="32" s="1"/>
  <c r="C158" i="32"/>
  <c r="C150" i="32"/>
  <c r="E150" i="32" s="1"/>
  <c r="C120" i="32"/>
  <c r="C69" i="32"/>
  <c r="E69" i="32" s="1"/>
  <c r="C51" i="32"/>
  <c r="C118" i="32"/>
  <c r="C105" i="32"/>
  <c r="E105" i="32" s="1"/>
  <c r="C72" i="32"/>
  <c r="C64" i="32"/>
  <c r="C18" i="32"/>
  <c r="E18" i="32" s="1"/>
  <c r="C7" i="32"/>
  <c r="C30" i="32"/>
  <c r="E30" i="32" s="1"/>
  <c r="C22" i="32"/>
  <c r="E22" i="32" s="1"/>
  <c r="C19" i="32"/>
  <c r="E19" i="32" s="1"/>
  <c r="C104" i="32"/>
  <c r="C97" i="32"/>
  <c r="E97" i="32" s="1"/>
  <c r="C89" i="32"/>
  <c r="C82" i="32"/>
  <c r="E82" i="32" s="1"/>
  <c r="C81" i="32"/>
  <c r="C70" i="32"/>
  <c r="E70" i="32" s="1"/>
  <c r="C62" i="32"/>
  <c r="E62" i="32" s="1"/>
  <c r="C57" i="32"/>
  <c r="C54" i="32"/>
  <c r="E54" i="32" s="1"/>
  <c r="C43" i="32"/>
  <c r="C42" i="32"/>
  <c r="E42" i="32" s="1"/>
  <c r="C41" i="32"/>
  <c r="C38" i="32"/>
  <c r="E38" i="32" s="1"/>
  <c r="C27" i="32"/>
  <c r="E27" i="32" s="1"/>
  <c r="C23" i="32"/>
  <c r="C20" i="32"/>
  <c r="E20" i="32" s="1"/>
  <c r="E10" i="32"/>
  <c r="C55" i="32"/>
  <c r="E55" i="32" s="1"/>
  <c r="C39" i="32"/>
  <c r="E39" i="32" s="1"/>
  <c r="C13" i="32"/>
  <c r="E13" i="32" s="1"/>
  <c r="C6" i="32"/>
  <c r="E6" i="32" s="1"/>
  <c r="E156" i="32"/>
  <c r="E142" i="32"/>
  <c r="E148" i="32"/>
  <c r="E195" i="32"/>
  <c r="E179" i="32"/>
  <c r="E230" i="32"/>
  <c r="E164" i="32"/>
  <c r="E215" i="32"/>
  <c r="E160" i="32"/>
  <c r="E118" i="32"/>
  <c r="E114" i="32"/>
  <c r="E72" i="32"/>
  <c r="E56" i="32"/>
  <c r="C302" i="32"/>
  <c r="C281" i="32"/>
  <c r="C294" i="32"/>
  <c r="C278" i="32"/>
  <c r="C274" i="32"/>
  <c r="E274" i="32" s="1"/>
  <c r="C193" i="32"/>
  <c r="C174" i="32"/>
  <c r="C173" i="32"/>
  <c r="C178" i="32"/>
  <c r="C186" i="32"/>
  <c r="C185" i="32"/>
  <c r="C182" i="32"/>
  <c r="C181" i="32"/>
  <c r="C194" i="32"/>
  <c r="C115" i="32"/>
  <c r="C91" i="32"/>
  <c r="C90" i="32"/>
  <c r="E90" i="32" s="1"/>
  <c r="C94" i="32"/>
  <c r="E94" i="32" s="1"/>
  <c r="C107" i="32"/>
  <c r="C95" i="32"/>
  <c r="C87" i="32"/>
  <c r="C102" i="32"/>
  <c r="C99" i="32"/>
  <c r="C98" i="32"/>
  <c r="E98" i="32" s="1"/>
  <c r="C110" i="32"/>
  <c r="E110" i="32" s="1"/>
  <c r="E101" i="32" l="1"/>
  <c r="C204" i="33"/>
  <c r="E65" i="32"/>
  <c r="C45" i="39"/>
  <c r="E216" i="32"/>
  <c r="E221" i="32"/>
  <c r="C215" i="33"/>
  <c r="E256" i="32"/>
  <c r="C156" i="33"/>
  <c r="C26" i="33"/>
  <c r="E26" i="33" s="1"/>
  <c r="D26" i="37" s="1"/>
  <c r="C291" i="33"/>
  <c r="C245" i="12"/>
  <c r="E140" i="32"/>
  <c r="E126" i="32"/>
  <c r="E231" i="32"/>
  <c r="E190" i="32"/>
  <c r="E219" i="32"/>
  <c r="C245" i="39"/>
  <c r="C75" i="33"/>
  <c r="F245" i="32"/>
  <c r="C267" i="39"/>
  <c r="C198" i="12"/>
  <c r="C232" i="33"/>
  <c r="C137" i="12"/>
  <c r="C311" i="12"/>
  <c r="F114" i="32"/>
  <c r="G114" i="32" s="1"/>
  <c r="C121" i="39"/>
  <c r="C58" i="12"/>
  <c r="C216" i="39"/>
  <c r="C65" i="39"/>
  <c r="F238" i="32"/>
  <c r="C192" i="39"/>
  <c r="C298" i="39"/>
  <c r="C126" i="12"/>
  <c r="F32" i="32"/>
  <c r="G32" i="32" s="1"/>
  <c r="F17" i="32"/>
  <c r="C209" i="39"/>
  <c r="C202" i="12"/>
  <c r="E79" i="32"/>
  <c r="E171" i="32"/>
  <c r="C73" i="12"/>
  <c r="E226" i="32"/>
  <c r="C217" i="39"/>
  <c r="E134" i="32"/>
  <c r="E113" i="32"/>
  <c r="C8" i="12"/>
  <c r="F181" i="32"/>
  <c r="E203" i="32"/>
  <c r="F177" i="32"/>
  <c r="E253" i="32"/>
  <c r="C226" i="39"/>
  <c r="F59" i="32"/>
  <c r="C57" i="33"/>
  <c r="C46" i="12"/>
  <c r="C187" i="33"/>
  <c r="C64" i="12"/>
  <c r="C302" i="33"/>
  <c r="C306" i="39"/>
  <c r="C277" i="12"/>
  <c r="C60" i="33"/>
  <c r="C144" i="33"/>
  <c r="C21" i="39"/>
  <c r="C240" i="39"/>
  <c r="F31" i="32"/>
  <c r="C117" i="12"/>
  <c r="C72" i="12"/>
  <c r="C163" i="33"/>
  <c r="F276" i="32"/>
  <c r="G276" i="32" s="1"/>
  <c r="E154" i="32"/>
  <c r="E138" i="32"/>
  <c r="C62" i="12"/>
  <c r="C118" i="33"/>
  <c r="F154" i="32"/>
  <c r="C142" i="33"/>
  <c r="C106" i="39"/>
  <c r="E304" i="32"/>
  <c r="E121" i="32"/>
  <c r="C241" i="33"/>
  <c r="C222" i="39"/>
  <c r="C258" i="33"/>
  <c r="F158" i="32"/>
  <c r="E143" i="32"/>
  <c r="C201" i="39"/>
  <c r="C38" i="12"/>
  <c r="C127" i="33"/>
  <c r="F164" i="32"/>
  <c r="C242" i="33"/>
  <c r="E96" i="32"/>
  <c r="E206" i="32"/>
  <c r="F211" i="32"/>
  <c r="C296" i="12"/>
  <c r="C12" i="12"/>
  <c r="E123" i="32"/>
  <c r="C161" i="33"/>
  <c r="F273" i="32"/>
  <c r="G273" i="32" s="1"/>
  <c r="C285" i="12"/>
  <c r="E205" i="32"/>
  <c r="C52" i="33"/>
  <c r="C35" i="12"/>
  <c r="C11" i="39"/>
  <c r="C256" i="12"/>
  <c r="C278" i="33"/>
  <c r="C99" i="39"/>
  <c r="C195" i="12"/>
  <c r="F250" i="32"/>
  <c r="G250" i="32" s="1"/>
  <c r="F224" i="32"/>
  <c r="C131" i="39"/>
  <c r="C13" i="33"/>
  <c r="C39" i="12"/>
  <c r="F51" i="32"/>
  <c r="C130" i="12"/>
  <c r="F70" i="32"/>
  <c r="C84" i="33"/>
  <c r="C309" i="33"/>
  <c r="F270" i="32"/>
  <c r="C243" i="33"/>
  <c r="C186" i="33"/>
  <c r="C71" i="33"/>
  <c r="C138" i="39"/>
  <c r="F303" i="32"/>
  <c r="C203" i="39"/>
  <c r="F312" i="32"/>
  <c r="C310" i="33"/>
  <c r="F170" i="32"/>
  <c r="C48" i="33"/>
  <c r="F171" i="32"/>
  <c r="C185" i="33"/>
  <c r="C259" i="12"/>
  <c r="E64" i="32"/>
  <c r="E144" i="32"/>
  <c r="E202" i="32"/>
  <c r="C153" i="33"/>
  <c r="E68" i="32"/>
  <c r="C126" i="39"/>
  <c r="E177" i="32"/>
  <c r="E168" i="32"/>
  <c r="E162" i="32"/>
  <c r="E235" i="32"/>
  <c r="C109" i="39"/>
  <c r="C49" i="12"/>
  <c r="E291" i="32"/>
  <c r="C132" i="33"/>
  <c r="C299" i="33"/>
  <c r="F126" i="32"/>
  <c r="G126" i="32" s="1"/>
  <c r="C149" i="33"/>
  <c r="C174" i="33"/>
  <c r="C162" i="39"/>
  <c r="C263" i="12"/>
  <c r="C287" i="12"/>
  <c r="E183" i="32"/>
  <c r="C41" i="12"/>
  <c r="C214" i="39"/>
  <c r="C223" i="33"/>
  <c r="C123" i="39"/>
  <c r="C166" i="33"/>
  <c r="F246" i="32"/>
  <c r="F193" i="32"/>
  <c r="C255" i="39"/>
  <c r="C56" i="12"/>
  <c r="C76" i="33"/>
  <c r="F295" i="32"/>
  <c r="C98" i="39"/>
  <c r="F112" i="32"/>
  <c r="F25" i="32"/>
  <c r="G25" i="32" s="1"/>
  <c r="F9" i="32"/>
  <c r="C111" i="12"/>
  <c r="F230" i="32"/>
  <c r="G230" i="32" s="1"/>
  <c r="C78" i="12"/>
  <c r="F91" i="32"/>
  <c r="C55" i="12"/>
  <c r="C10" i="12"/>
  <c r="F129" i="32"/>
  <c r="C44" i="12"/>
  <c r="C282" i="39"/>
  <c r="C115" i="12"/>
  <c r="C68" i="33"/>
  <c r="C248" i="12"/>
  <c r="C63" i="12"/>
  <c r="C116" i="39"/>
  <c r="C88" i="12"/>
  <c r="C227" i="39"/>
  <c r="C205" i="39"/>
  <c r="C301" i="12"/>
  <c r="E48" i="32"/>
  <c r="E80" i="32"/>
  <c r="E223" i="32"/>
  <c r="E175" i="32"/>
  <c r="E234" i="32"/>
  <c r="C50" i="12"/>
  <c r="E28" i="32"/>
  <c r="E299" i="32"/>
  <c r="C139" i="12"/>
  <c r="C213" i="12"/>
  <c r="E89" i="32"/>
  <c r="E199" i="32"/>
  <c r="E187" i="32"/>
  <c r="E227" i="32"/>
  <c r="C189" i="12"/>
  <c r="E192" i="32"/>
  <c r="E29" i="32"/>
  <c r="E129" i="32"/>
  <c r="E280" i="32"/>
  <c r="C67" i="33"/>
  <c r="C15" i="39"/>
  <c r="F69" i="32"/>
  <c r="G69" i="32" s="1"/>
  <c r="C146" i="12"/>
  <c r="C27" i="33"/>
  <c r="C168" i="33"/>
  <c r="C207" i="39"/>
  <c r="E73" i="32"/>
  <c r="E211" i="32"/>
  <c r="C36" i="39"/>
  <c r="F80" i="32"/>
  <c r="G80" i="32" s="1"/>
  <c r="C289" i="39"/>
  <c r="C210" i="39"/>
  <c r="C252" i="33"/>
  <c r="F229" i="32"/>
  <c r="C313" i="12"/>
  <c r="F87" i="32"/>
  <c r="C34" i="33"/>
  <c r="C235" i="33"/>
  <c r="C110" i="39"/>
  <c r="C237" i="33"/>
  <c r="C169" i="33"/>
  <c r="C47" i="33"/>
  <c r="C239" i="39"/>
  <c r="C94" i="33"/>
  <c r="C124" i="39"/>
  <c r="C199" i="39"/>
  <c r="C228" i="33"/>
  <c r="E128" i="32"/>
  <c r="E222" i="32"/>
  <c r="E84" i="32"/>
  <c r="E191" i="32"/>
  <c r="E81" i="32"/>
  <c r="E109" i="32"/>
  <c r="E198" i="32"/>
  <c r="E127" i="32"/>
  <c r="E158" i="32"/>
  <c r="E312" i="32"/>
  <c r="E207" i="32"/>
  <c r="E71" i="32"/>
  <c r="E224" i="32"/>
  <c r="C37" i="12"/>
  <c r="C61" i="33"/>
  <c r="C85" i="39"/>
  <c r="C24" i="33"/>
  <c r="C152" i="12"/>
  <c r="C155" i="39"/>
  <c r="F128" i="32"/>
  <c r="G128" i="32" s="1"/>
  <c r="C208" i="12"/>
  <c r="C297" i="39"/>
  <c r="F82" i="32"/>
  <c r="C125" i="33"/>
  <c r="C102" i="33"/>
  <c r="C175" i="39"/>
  <c r="C219" i="39"/>
  <c r="C251" i="33"/>
  <c r="C304" i="39"/>
  <c r="C286" i="39"/>
  <c r="F150" i="32"/>
  <c r="G150" i="32" s="1"/>
  <c r="C158" i="12"/>
  <c r="C158" i="39"/>
  <c r="C23" i="12"/>
  <c r="E16" i="32"/>
  <c r="E246" i="32"/>
  <c r="E102" i="32"/>
  <c r="E194" i="32"/>
  <c r="C204" i="12"/>
  <c r="C287" i="39"/>
  <c r="C52" i="12"/>
  <c r="C53" i="39"/>
  <c r="C53" i="12"/>
  <c r="C53" i="33"/>
  <c r="F53" i="32"/>
  <c r="G53" i="32" s="1"/>
  <c r="C116" i="12"/>
  <c r="C20" i="39"/>
  <c r="C20" i="12"/>
  <c r="C20" i="33"/>
  <c r="F20" i="32"/>
  <c r="C118" i="12"/>
  <c r="E185" i="32"/>
  <c r="C151" i="39"/>
  <c r="C151" i="12"/>
  <c r="C151" i="33"/>
  <c r="F151" i="32"/>
  <c r="G151" i="32" s="1"/>
  <c r="C119" i="39"/>
  <c r="C119" i="12"/>
  <c r="C119" i="33"/>
  <c r="F119" i="32"/>
  <c r="G119" i="32" s="1"/>
  <c r="C257" i="39"/>
  <c r="C257" i="12"/>
  <c r="C257" i="33"/>
  <c r="F257" i="32"/>
  <c r="G257" i="32" s="1"/>
  <c r="C305" i="39"/>
  <c r="C305" i="12"/>
  <c r="F305" i="32"/>
  <c r="C305" i="33"/>
  <c r="C249" i="39"/>
  <c r="C249" i="12"/>
  <c r="C249" i="33"/>
  <c r="F249" i="32"/>
  <c r="G249" i="32" s="1"/>
  <c r="C283" i="39"/>
  <c r="C283" i="12"/>
  <c r="F283" i="32"/>
  <c r="C283" i="33"/>
  <c r="C92" i="39"/>
  <c r="C92" i="12"/>
  <c r="C92" i="33"/>
  <c r="F92" i="32"/>
  <c r="E95" i="32"/>
  <c r="C70" i="33"/>
  <c r="C9" i="12"/>
  <c r="C22" i="39"/>
  <c r="C22" i="12"/>
  <c r="C22" i="33"/>
  <c r="F22" i="32"/>
  <c r="G22" i="32" s="1"/>
  <c r="C19" i="39"/>
  <c r="C19" i="12"/>
  <c r="C19" i="33"/>
  <c r="F19" i="32"/>
  <c r="G19" i="32" s="1"/>
  <c r="C171" i="33"/>
  <c r="C170" i="33"/>
  <c r="C135" i="39"/>
  <c r="C135" i="12"/>
  <c r="C135" i="33"/>
  <c r="F135" i="32"/>
  <c r="G135" i="32" s="1"/>
  <c r="C153" i="12"/>
  <c r="C259" i="39"/>
  <c r="F267" i="32"/>
  <c r="G267" i="32" s="1"/>
  <c r="C218" i="39"/>
  <c r="C218" i="12"/>
  <c r="C218" i="33"/>
  <c r="F218" i="32"/>
  <c r="G218" i="32" s="1"/>
  <c r="C233" i="39"/>
  <c r="C233" i="12"/>
  <c r="C233" i="33"/>
  <c r="F233" i="32"/>
  <c r="G233" i="32" s="1"/>
  <c r="C236" i="39"/>
  <c r="C236" i="12"/>
  <c r="C236" i="33"/>
  <c r="F236" i="32"/>
  <c r="G236" i="32" s="1"/>
  <c r="C282" i="33"/>
  <c r="C307" i="39"/>
  <c r="C307" i="12"/>
  <c r="F307" i="32"/>
  <c r="C307" i="33"/>
  <c r="E182" i="32"/>
  <c r="C6" i="39"/>
  <c r="C6" i="12"/>
  <c r="C6" i="33"/>
  <c r="F6" i="32"/>
  <c r="C122" i="39"/>
  <c r="C122" i="12"/>
  <c r="C122" i="33"/>
  <c r="F122" i="32"/>
  <c r="C231" i="39"/>
  <c r="C231" i="12"/>
  <c r="C231" i="33"/>
  <c r="F231" i="32"/>
  <c r="G231" i="32" s="1"/>
  <c r="C234" i="39"/>
  <c r="C234" i="12"/>
  <c r="C234" i="33"/>
  <c r="F234" i="32"/>
  <c r="E281" i="32"/>
  <c r="C220" i="39"/>
  <c r="C220" i="12"/>
  <c r="C220" i="33"/>
  <c r="F220" i="32"/>
  <c r="C212" i="39"/>
  <c r="C212" i="12"/>
  <c r="F212" i="32"/>
  <c r="G212" i="32" s="1"/>
  <c r="C212" i="33"/>
  <c r="C312" i="33"/>
  <c r="E178" i="32"/>
  <c r="F123" i="32"/>
  <c r="E193" i="32"/>
  <c r="C213" i="39"/>
  <c r="C40" i="39"/>
  <c r="C40" i="12"/>
  <c r="C40" i="33"/>
  <c r="F40" i="32"/>
  <c r="G40" i="32" s="1"/>
  <c r="C64" i="39"/>
  <c r="F45" i="32"/>
  <c r="C77" i="39"/>
  <c r="C77" i="12"/>
  <c r="F77" i="32"/>
  <c r="G77" i="32" s="1"/>
  <c r="C77" i="33"/>
  <c r="E107" i="32"/>
  <c r="C51" i="33"/>
  <c r="C73" i="39"/>
  <c r="C27" i="12"/>
  <c r="C136" i="39"/>
  <c r="C136" i="12"/>
  <c r="C136" i="33"/>
  <c r="F136" i="32"/>
  <c r="C156" i="12"/>
  <c r="C235" i="12"/>
  <c r="F216" i="32"/>
  <c r="C225" i="39"/>
  <c r="C225" i="12"/>
  <c r="C225" i="33"/>
  <c r="F225" i="32"/>
  <c r="C244" i="39"/>
  <c r="C244" i="12"/>
  <c r="C244" i="33"/>
  <c r="F244" i="32"/>
  <c r="C232" i="12"/>
  <c r="C311" i="39"/>
  <c r="F311" i="32"/>
  <c r="G311" i="32" s="1"/>
  <c r="C311" i="33"/>
  <c r="C290" i="39"/>
  <c r="C290" i="12"/>
  <c r="F290" i="32"/>
  <c r="G290" i="32" s="1"/>
  <c r="C290" i="33"/>
  <c r="C76" i="12"/>
  <c r="C137" i="39"/>
  <c r="C14" i="39"/>
  <c r="C14" i="12"/>
  <c r="C14" i="33"/>
  <c r="F14" i="32"/>
  <c r="G14" i="32" s="1"/>
  <c r="E99" i="32"/>
  <c r="C44" i="39"/>
  <c r="C79" i="39"/>
  <c r="C79" i="12"/>
  <c r="C79" i="33"/>
  <c r="F79" i="32"/>
  <c r="C140" i="39"/>
  <c r="C140" i="12"/>
  <c r="C140" i="33"/>
  <c r="F140" i="32"/>
  <c r="G140" i="32" s="1"/>
  <c r="C182" i="39"/>
  <c r="C182" i="12"/>
  <c r="C182" i="33"/>
  <c r="F182" i="32"/>
  <c r="E173" i="32"/>
  <c r="C269" i="39"/>
  <c r="C269" i="12"/>
  <c r="C269" i="33"/>
  <c r="F269" i="32"/>
  <c r="C195" i="39"/>
  <c r="C298" i="33"/>
  <c r="C71" i="12"/>
  <c r="C90" i="39"/>
  <c r="C90" i="12"/>
  <c r="F90" i="32"/>
  <c r="G90" i="32" s="1"/>
  <c r="C90" i="33"/>
  <c r="E91" i="32"/>
  <c r="C103" i="39"/>
  <c r="C103" i="12"/>
  <c r="C103" i="33"/>
  <c r="F103" i="32"/>
  <c r="G103" i="32" s="1"/>
  <c r="C159" i="39"/>
  <c r="C159" i="12"/>
  <c r="C159" i="33"/>
  <c r="F159" i="32"/>
  <c r="G159" i="32" s="1"/>
  <c r="C143" i="39"/>
  <c r="C143" i="12"/>
  <c r="C143" i="33"/>
  <c r="F143" i="32"/>
  <c r="F201" i="32"/>
  <c r="C190" i="39"/>
  <c r="C190" i="12"/>
  <c r="C190" i="33"/>
  <c r="F190" i="32"/>
  <c r="G190" i="32" s="1"/>
  <c r="E278" i="32"/>
  <c r="C299" i="12"/>
  <c r="C48" i="12"/>
  <c r="E87" i="32"/>
  <c r="C62" i="39"/>
  <c r="C30" i="39"/>
  <c r="C30" i="12"/>
  <c r="C30" i="33"/>
  <c r="F30" i="32"/>
  <c r="C81" i="39"/>
  <c r="C81" i="12"/>
  <c r="C81" i="33"/>
  <c r="F81" i="32"/>
  <c r="F98" i="32"/>
  <c r="G98" i="32" s="1"/>
  <c r="E181" i="32"/>
  <c r="C147" i="39"/>
  <c r="C147" i="12"/>
  <c r="C147" i="33"/>
  <c r="F147" i="32"/>
  <c r="C94" i="12"/>
  <c r="C154" i="33"/>
  <c r="C145" i="39"/>
  <c r="C145" i="12"/>
  <c r="C145" i="33"/>
  <c r="F145" i="32"/>
  <c r="C161" i="12"/>
  <c r="E174" i="32"/>
  <c r="C193" i="33"/>
  <c r="C221" i="39"/>
  <c r="C221" i="12"/>
  <c r="C221" i="33"/>
  <c r="F221" i="32"/>
  <c r="G221" i="32" s="1"/>
  <c r="C260" i="39"/>
  <c r="C260" i="12"/>
  <c r="C260" i="33"/>
  <c r="F260" i="32"/>
  <c r="C206" i="39"/>
  <c r="C206" i="12"/>
  <c r="F206" i="32"/>
  <c r="C206" i="33"/>
  <c r="E302" i="32"/>
  <c r="F306" i="32"/>
  <c r="G306" i="32" s="1"/>
  <c r="C28" i="39"/>
  <c r="C28" i="12"/>
  <c r="C28" i="33"/>
  <c r="F28" i="32"/>
  <c r="C87" i="33"/>
  <c r="C254" i="39"/>
  <c r="C254" i="12"/>
  <c r="C254" i="33"/>
  <c r="F254" i="32"/>
  <c r="C215" i="12"/>
  <c r="C246" i="12"/>
  <c r="C198" i="39"/>
  <c r="C198" i="33"/>
  <c r="C247" i="39"/>
  <c r="C247" i="12"/>
  <c r="C247" i="33"/>
  <c r="F247" i="32"/>
  <c r="G247" i="32" s="1"/>
  <c r="C275" i="39"/>
  <c r="C275" i="12"/>
  <c r="C275" i="33"/>
  <c r="F275" i="32"/>
  <c r="C281" i="39"/>
  <c r="C281" i="12"/>
  <c r="C281" i="33"/>
  <c r="F281" i="32"/>
  <c r="E186" i="32"/>
  <c r="C25" i="33"/>
  <c r="C121" i="12"/>
  <c r="F121" i="32"/>
  <c r="G121" i="32" s="1"/>
  <c r="C111" i="39"/>
  <c r="C107" i="39"/>
  <c r="C107" i="12"/>
  <c r="C107" i="33"/>
  <c r="F107" i="32"/>
  <c r="C224" i="33"/>
  <c r="C29" i="39"/>
  <c r="C29" i="12"/>
  <c r="F29" i="32"/>
  <c r="C29" i="33"/>
  <c r="F38" i="32"/>
  <c r="F65" i="32"/>
  <c r="C41" i="39"/>
  <c r="C86" i="39"/>
  <c r="C86" i="12"/>
  <c r="C86" i="33"/>
  <c r="F86" i="32"/>
  <c r="G86" i="32" s="1"/>
  <c r="E115" i="32"/>
  <c r="C191" i="39"/>
  <c r="C191" i="12"/>
  <c r="F191" i="32"/>
  <c r="C191" i="33"/>
  <c r="C160" i="39"/>
  <c r="C160" i="12"/>
  <c r="C160" i="33"/>
  <c r="F160" i="32"/>
  <c r="F162" i="32"/>
  <c r="C120" i="39"/>
  <c r="C120" i="12"/>
  <c r="F120" i="32"/>
  <c r="C120" i="33"/>
  <c r="C173" i="39"/>
  <c r="C173" i="12"/>
  <c r="C173" i="33"/>
  <c r="F173" i="32"/>
  <c r="C148" i="39"/>
  <c r="C148" i="12"/>
  <c r="C148" i="33"/>
  <c r="F148" i="32"/>
  <c r="C181" i="39"/>
  <c r="C181" i="33"/>
  <c r="C197" i="39"/>
  <c r="C197" i="12"/>
  <c r="C197" i="33"/>
  <c r="F197" i="32"/>
  <c r="F207" i="32"/>
  <c r="C217" i="12"/>
  <c r="F217" i="32"/>
  <c r="C288" i="39"/>
  <c r="C288" i="12"/>
  <c r="C288" i="33"/>
  <c r="F288" i="32"/>
  <c r="C209" i="33"/>
  <c r="C255" i="33"/>
  <c r="C309" i="12"/>
  <c r="F309" i="32"/>
  <c r="C278" i="12"/>
  <c r="C18" i="39"/>
  <c r="C18" i="12"/>
  <c r="C18" i="33"/>
  <c r="F18" i="32"/>
  <c r="C16" i="39"/>
  <c r="C16" i="12"/>
  <c r="C16" i="33"/>
  <c r="F16" i="32"/>
  <c r="C33" i="39"/>
  <c r="C33" i="12"/>
  <c r="C33" i="33"/>
  <c r="F33" i="32"/>
  <c r="C101" i="39"/>
  <c r="C101" i="12"/>
  <c r="C101" i="33"/>
  <c r="F101" i="32"/>
  <c r="F192" i="32"/>
  <c r="C129" i="33"/>
  <c r="C167" i="39"/>
  <c r="C167" i="12"/>
  <c r="C167" i="33"/>
  <c r="F167" i="32"/>
  <c r="C229" i="33"/>
  <c r="E294" i="32"/>
  <c r="C258" i="12"/>
  <c r="F258" i="32"/>
  <c r="G258" i="32" s="1"/>
  <c r="C293" i="39"/>
  <c r="C293" i="12"/>
  <c r="C293" i="33"/>
  <c r="F293" i="32"/>
  <c r="G293" i="32" s="1"/>
  <c r="G234" i="32"/>
  <c r="E23" i="32"/>
  <c r="E41" i="32"/>
  <c r="E117" i="32"/>
  <c r="E188" i="32"/>
  <c r="E262" i="32"/>
  <c r="E100" i="32"/>
  <c r="E248" i="32"/>
  <c r="E285" i="32"/>
  <c r="C137" i="34"/>
  <c r="E126" i="33"/>
  <c r="D126" i="37" s="1"/>
  <c r="C59" i="39"/>
  <c r="C59" i="33"/>
  <c r="C194" i="39"/>
  <c r="C194" i="12"/>
  <c r="C194" i="33"/>
  <c r="F194" i="32"/>
  <c r="E229" i="32"/>
  <c r="E197" i="32"/>
  <c r="E200" i="32"/>
  <c r="C294" i="39"/>
  <c r="C294" i="12"/>
  <c r="C294" i="33"/>
  <c r="F294" i="32"/>
  <c r="E43" i="32"/>
  <c r="G43" i="32" s="1"/>
  <c r="E217" i="32"/>
  <c r="E139" i="32"/>
  <c r="E270" i="32"/>
  <c r="C54" i="34"/>
  <c r="E43" i="33"/>
  <c r="D43" i="37" s="1"/>
  <c r="E124" i="32"/>
  <c r="C66" i="39"/>
  <c r="C66" i="12"/>
  <c r="C66" i="33"/>
  <c r="F66" i="32"/>
  <c r="G66" i="32" s="1"/>
  <c r="C165" i="39"/>
  <c r="C165" i="12"/>
  <c r="C165" i="33"/>
  <c r="F165" i="32"/>
  <c r="F237" i="32"/>
  <c r="E104" i="32"/>
  <c r="E44" i="32"/>
  <c r="E201" i="32"/>
  <c r="E245" i="33"/>
  <c r="D245" i="37" s="1"/>
  <c r="C256" i="34"/>
  <c r="C149" i="12"/>
  <c r="C134" i="39"/>
  <c r="C134" i="12"/>
  <c r="C134" i="33"/>
  <c r="F134" i="32"/>
  <c r="G134" i="32" s="1"/>
  <c r="C75" i="12"/>
  <c r="F75" i="32"/>
  <c r="C253" i="39"/>
  <c r="C253" i="12"/>
  <c r="C253" i="33"/>
  <c r="F253" i="32"/>
  <c r="C15" i="12"/>
  <c r="F15" i="32"/>
  <c r="G15" i="32" s="1"/>
  <c r="E7" i="32"/>
  <c r="E120" i="32"/>
  <c r="E172" i="32"/>
  <c r="E184" i="32"/>
  <c r="E310" i="32"/>
  <c r="E75" i="32"/>
  <c r="E158" i="33"/>
  <c r="D158" i="37" s="1"/>
  <c r="E261" i="32"/>
  <c r="C74" i="39"/>
  <c r="C74" i="12"/>
  <c r="C74" i="33"/>
  <c r="F74" i="32"/>
  <c r="G74" i="32" s="1"/>
  <c r="C157" i="39"/>
  <c r="C157" i="12"/>
  <c r="C157" i="33"/>
  <c r="F157" i="32"/>
  <c r="G157" i="32" s="1"/>
  <c r="E225" i="32"/>
  <c r="E237" i="32"/>
  <c r="E254" i="32"/>
  <c r="E240" i="32"/>
  <c r="E208" i="32"/>
  <c r="E242" i="32"/>
  <c r="C261" i="39"/>
  <c r="C261" i="12"/>
  <c r="C261" i="33"/>
  <c r="F261" i="32"/>
  <c r="G20" i="32"/>
  <c r="E57" i="32"/>
  <c r="C266" i="39"/>
  <c r="C266" i="12"/>
  <c r="C266" i="33"/>
  <c r="F266" i="32"/>
  <c r="C46" i="39"/>
  <c r="C46" i="33"/>
  <c r="E83" i="32"/>
  <c r="E269" i="32"/>
  <c r="E170" i="32"/>
  <c r="E245" i="32"/>
  <c r="G245" i="32" s="1"/>
  <c r="C141" i="39"/>
  <c r="C141" i="12"/>
  <c r="C141" i="33"/>
  <c r="F141" i="32"/>
  <c r="G141" i="32" s="1"/>
  <c r="E51" i="32"/>
  <c r="E180" i="32"/>
  <c r="E301" i="32"/>
  <c r="E209" i="32"/>
  <c r="C54" i="39"/>
  <c r="C54" i="12"/>
  <c r="C54" i="33"/>
  <c r="F54" i="32"/>
  <c r="G54" i="32" s="1"/>
  <c r="E272" i="32"/>
  <c r="I4" i="12"/>
  <c r="G162" i="32" l="1"/>
  <c r="F278" i="32"/>
  <c r="C276" i="33"/>
  <c r="C251" i="12"/>
  <c r="F301" i="32"/>
  <c r="C210" i="33"/>
  <c r="C204" i="39"/>
  <c r="F204" i="32"/>
  <c r="G204" i="32" s="1"/>
  <c r="C189" i="39"/>
  <c r="C177" i="33"/>
  <c r="C139" i="39"/>
  <c r="C131" i="33"/>
  <c r="F125" i="32"/>
  <c r="C91" i="33"/>
  <c r="C78" i="39"/>
  <c r="C63" i="39"/>
  <c r="C60" i="12"/>
  <c r="C58" i="39"/>
  <c r="C32" i="33"/>
  <c r="C32" i="12"/>
  <c r="C31" i="33"/>
  <c r="C26" i="12"/>
  <c r="F26" i="32"/>
  <c r="G26" i="32" s="1"/>
  <c r="C37" i="34"/>
  <c r="C26" i="39"/>
  <c r="C215" i="39"/>
  <c r="C156" i="39"/>
  <c r="C45" i="33"/>
  <c r="F215" i="32"/>
  <c r="F156" i="32"/>
  <c r="C45" i="12"/>
  <c r="F291" i="32"/>
  <c r="C50" i="39"/>
  <c r="C185" i="12"/>
  <c r="C166" i="12"/>
  <c r="C82" i="33"/>
  <c r="E82" i="33" s="1"/>
  <c r="D82" i="37" s="1"/>
  <c r="C34" i="12"/>
  <c r="C164" i="33"/>
  <c r="C238" i="33"/>
  <c r="C146" i="39"/>
  <c r="C291" i="12"/>
  <c r="C263" i="39"/>
  <c r="C150" i="33"/>
  <c r="F219" i="32"/>
  <c r="G219" i="32" s="1"/>
  <c r="C49" i="39"/>
  <c r="C202" i="39"/>
  <c r="F226" i="32"/>
  <c r="C291" i="39"/>
  <c r="C114" i="33"/>
  <c r="E114" i="33" s="1"/>
  <c r="D114" i="37" s="1"/>
  <c r="C68" i="12"/>
  <c r="C115" i="39"/>
  <c r="C132" i="12"/>
  <c r="C169" i="12"/>
  <c r="C15" i="33"/>
  <c r="C59" i="12"/>
  <c r="C258" i="39"/>
  <c r="C229" i="12"/>
  <c r="C129" i="12"/>
  <c r="C278" i="39"/>
  <c r="C309" i="39"/>
  <c r="C217" i="33"/>
  <c r="C228" i="34" s="1"/>
  <c r="C207" i="33"/>
  <c r="C251" i="39"/>
  <c r="C181" i="12"/>
  <c r="C32" i="39"/>
  <c r="C224" i="12"/>
  <c r="C25" i="12"/>
  <c r="F198" i="32"/>
  <c r="G198" i="32" s="1"/>
  <c r="C246" i="39"/>
  <c r="C161" i="39"/>
  <c r="C154" i="12"/>
  <c r="C48" i="39"/>
  <c r="C31" i="12"/>
  <c r="F297" i="32"/>
  <c r="G297" i="32" s="1"/>
  <c r="C299" i="39"/>
  <c r="C201" i="33"/>
  <c r="E201" i="33" s="1"/>
  <c r="D201" i="37" s="1"/>
  <c r="C71" i="39"/>
  <c r="F137" i="32"/>
  <c r="G137" i="32" s="1"/>
  <c r="C76" i="39"/>
  <c r="C216" i="33"/>
  <c r="E216" i="33" s="1"/>
  <c r="D216" i="37" s="1"/>
  <c r="F146" i="32"/>
  <c r="F78" i="32"/>
  <c r="G78" i="32" s="1"/>
  <c r="C51" i="12"/>
  <c r="F64" i="32"/>
  <c r="G64" i="32" s="1"/>
  <c r="C123" i="33"/>
  <c r="C312" i="39"/>
  <c r="C259" i="33"/>
  <c r="C270" i="34" s="1"/>
  <c r="F227" i="32"/>
  <c r="G227" i="32" s="1"/>
  <c r="C68" i="39"/>
  <c r="C60" i="39"/>
  <c r="C52" i="39"/>
  <c r="C246" i="33"/>
  <c r="E246" i="33" s="1"/>
  <c r="D246" i="37" s="1"/>
  <c r="F161" i="32"/>
  <c r="G161" i="32" s="1"/>
  <c r="C201" i="12"/>
  <c r="C137" i="33"/>
  <c r="C148" i="34" s="1"/>
  <c r="F76" i="32"/>
  <c r="C216" i="12"/>
  <c r="C146" i="33"/>
  <c r="C78" i="33"/>
  <c r="E78" i="33" s="1"/>
  <c r="D78" i="37" s="1"/>
  <c r="C51" i="39"/>
  <c r="C64" i="33"/>
  <c r="C123" i="12"/>
  <c r="C312" i="12"/>
  <c r="F199" i="32"/>
  <c r="F259" i="32"/>
  <c r="F68" i="32"/>
  <c r="C116" i="33"/>
  <c r="C127" i="34" s="1"/>
  <c r="F60" i="32"/>
  <c r="F52" i="32"/>
  <c r="C287" i="33"/>
  <c r="C129" i="39"/>
  <c r="C207" i="12"/>
  <c r="C224" i="39"/>
  <c r="C25" i="39"/>
  <c r="C154" i="39"/>
  <c r="F48" i="32"/>
  <c r="G48" i="32" s="1"/>
  <c r="C31" i="39"/>
  <c r="F299" i="32"/>
  <c r="F71" i="32"/>
  <c r="G51" i="32"/>
  <c r="C208" i="39"/>
  <c r="C61" i="12"/>
  <c r="F116" i="32"/>
  <c r="F287" i="32"/>
  <c r="C75" i="39"/>
  <c r="C121" i="33"/>
  <c r="E121" i="33" s="1"/>
  <c r="D121" i="37" s="1"/>
  <c r="G136" i="32"/>
  <c r="C301" i="39"/>
  <c r="C252" i="12"/>
  <c r="C211" i="33"/>
  <c r="E211" i="33" s="1"/>
  <c r="D211" i="37" s="1"/>
  <c r="C117" i="39"/>
  <c r="C152" i="39"/>
  <c r="C35" i="39"/>
  <c r="C80" i="33"/>
  <c r="C91" i="34" s="1"/>
  <c r="C17" i="33"/>
  <c r="C28" i="34" s="1"/>
  <c r="C310" i="12"/>
  <c r="F302" i="32"/>
  <c r="C295" i="33"/>
  <c r="E295" i="33" s="1"/>
  <c r="D295" i="37" s="1"/>
  <c r="C232" i="39"/>
  <c r="C142" i="12"/>
  <c r="C10" i="39"/>
  <c r="C88" i="39"/>
  <c r="C124" i="33"/>
  <c r="C135" i="34" s="1"/>
  <c r="G269" i="32"/>
  <c r="F99" i="32"/>
  <c r="C270" i="33"/>
  <c r="C241" i="12"/>
  <c r="C228" i="12"/>
  <c r="C239" i="33"/>
  <c r="F36" i="32"/>
  <c r="G36" i="32" s="1"/>
  <c r="F232" i="32"/>
  <c r="G232" i="32" s="1"/>
  <c r="C174" i="12"/>
  <c r="C192" i="33"/>
  <c r="E192" i="33" s="1"/>
  <c r="D192" i="37" s="1"/>
  <c r="F41" i="32"/>
  <c r="C38" i="39"/>
  <c r="C99" i="33"/>
  <c r="E99" i="33" s="1"/>
  <c r="D99" i="37" s="1"/>
  <c r="F131" i="32"/>
  <c r="G131" i="32" s="1"/>
  <c r="C12" i="39"/>
  <c r="C248" i="39"/>
  <c r="G146" i="32"/>
  <c r="C242" i="12"/>
  <c r="C130" i="39"/>
  <c r="C144" i="12"/>
  <c r="F138" i="32"/>
  <c r="C57" i="12"/>
  <c r="G171" i="32"/>
  <c r="C150" i="12"/>
  <c r="C34" i="39"/>
  <c r="C223" i="12"/>
  <c r="C230" i="33"/>
  <c r="C241" i="34" s="1"/>
  <c r="C240" i="33"/>
  <c r="C251" i="34" s="1"/>
  <c r="C252" i="39"/>
  <c r="C152" i="33"/>
  <c r="C163" i="34" s="1"/>
  <c r="C238" i="12"/>
  <c r="F124" i="32"/>
  <c r="G124" i="32" s="1"/>
  <c r="C114" i="12"/>
  <c r="C82" i="12"/>
  <c r="G123" i="32"/>
  <c r="C219" i="33"/>
  <c r="E219" i="33" s="1"/>
  <c r="D219" i="37" s="1"/>
  <c r="F202" i="32"/>
  <c r="C267" i="33"/>
  <c r="E267" i="33" s="1"/>
  <c r="D267" i="37" s="1"/>
  <c r="C82" i="39"/>
  <c r="C150" i="39"/>
  <c r="F34" i="32"/>
  <c r="G34" i="32" s="1"/>
  <c r="C219" i="12"/>
  <c r="C109" i="33"/>
  <c r="C120" i="34" s="1"/>
  <c r="C72" i="39"/>
  <c r="C277" i="39"/>
  <c r="C285" i="39"/>
  <c r="F252" i="32"/>
  <c r="G252" i="32" s="1"/>
  <c r="F214" i="32"/>
  <c r="G214" i="32" s="1"/>
  <c r="F243" i="32"/>
  <c r="C127" i="12"/>
  <c r="C163" i="12"/>
  <c r="F152" i="32"/>
  <c r="G152" i="32" s="1"/>
  <c r="C112" i="33"/>
  <c r="E112" i="33" s="1"/>
  <c r="D112" i="37" s="1"/>
  <c r="C39" i="39"/>
  <c r="C202" i="33"/>
  <c r="E202" i="33" s="1"/>
  <c r="D202" i="37" s="1"/>
  <c r="C238" i="39"/>
  <c r="C124" i="12"/>
  <c r="C187" i="12"/>
  <c r="C222" i="33"/>
  <c r="C233" i="34" s="1"/>
  <c r="C267" i="12"/>
  <c r="C186" i="12"/>
  <c r="C128" i="33"/>
  <c r="E128" i="33" s="1"/>
  <c r="D128" i="37" s="1"/>
  <c r="C47" i="12"/>
  <c r="C37" i="39"/>
  <c r="C250" i="33"/>
  <c r="C261" i="34" s="1"/>
  <c r="C114" i="39"/>
  <c r="C55" i="39"/>
  <c r="C67" i="12"/>
  <c r="G226" i="32"/>
  <c r="C84" i="12"/>
  <c r="C56" i="39"/>
  <c r="C256" i="39"/>
  <c r="F203" i="32"/>
  <c r="F106" i="32"/>
  <c r="G106" i="32" s="1"/>
  <c r="C303" i="33"/>
  <c r="E303" i="33" s="1"/>
  <c r="D303" i="37" s="1"/>
  <c r="F169" i="32"/>
  <c r="C128" i="39"/>
  <c r="C8" i="39"/>
  <c r="C296" i="39"/>
  <c r="F11" i="32"/>
  <c r="F13" i="32"/>
  <c r="C21" i="33"/>
  <c r="C32" i="34" s="1"/>
  <c r="G303" i="32"/>
  <c r="G70" i="32"/>
  <c r="F46" i="32"/>
  <c r="G46" i="32" s="1"/>
  <c r="G238" i="32"/>
  <c r="C149" i="39"/>
  <c r="G6" i="32"/>
  <c r="G154" i="32"/>
  <c r="F255" i="32"/>
  <c r="G255" i="32" s="1"/>
  <c r="F209" i="32"/>
  <c r="G209" i="32" s="1"/>
  <c r="C162" i="33"/>
  <c r="C173" i="34" s="1"/>
  <c r="F109" i="32"/>
  <c r="G109" i="32" s="1"/>
  <c r="C65" i="33"/>
  <c r="C76" i="34" s="1"/>
  <c r="F111" i="32"/>
  <c r="G122" i="32"/>
  <c r="C11" i="33"/>
  <c r="C22" i="34" s="1"/>
  <c r="C306" i="33"/>
  <c r="E306" i="33" s="1"/>
  <c r="D306" i="37" s="1"/>
  <c r="F285" i="32"/>
  <c r="C214" i="33"/>
  <c r="C225" i="34" s="1"/>
  <c r="C243" i="12"/>
  <c r="C127" i="39"/>
  <c r="F168" i="32"/>
  <c r="C163" i="39"/>
  <c r="C98" i="33"/>
  <c r="C109" i="34" s="1"/>
  <c r="F298" i="32"/>
  <c r="G298" i="32" s="1"/>
  <c r="C195" i="33"/>
  <c r="C206" i="34" s="1"/>
  <c r="F63" i="32"/>
  <c r="G169" i="32"/>
  <c r="C276" i="12"/>
  <c r="C106" i="33"/>
  <c r="E106" i="33" s="1"/>
  <c r="D106" i="37" s="1"/>
  <c r="F73" i="32"/>
  <c r="C13" i="12"/>
  <c r="F21" i="32"/>
  <c r="G21" i="32" s="1"/>
  <c r="C303" i="12"/>
  <c r="F282" i="32"/>
  <c r="F304" i="32"/>
  <c r="C169" i="39"/>
  <c r="C153" i="39"/>
  <c r="C128" i="12"/>
  <c r="C170" i="12"/>
  <c r="C171" i="12"/>
  <c r="C70" i="12"/>
  <c r="C118" i="39"/>
  <c r="F296" i="32"/>
  <c r="F58" i="32"/>
  <c r="G58" i="32" s="1"/>
  <c r="G45" i="32"/>
  <c r="G38" i="32"/>
  <c r="C109" i="12"/>
  <c r="C65" i="12"/>
  <c r="C306" i="12"/>
  <c r="F127" i="32"/>
  <c r="G127" i="32" s="1"/>
  <c r="F163" i="32"/>
  <c r="G163" i="32" s="1"/>
  <c r="C98" i="12"/>
  <c r="C298" i="12"/>
  <c r="F195" i="32"/>
  <c r="C63" i="33"/>
  <c r="C74" i="34" s="1"/>
  <c r="C276" i="39"/>
  <c r="C106" i="12"/>
  <c r="C73" i="33"/>
  <c r="E73" i="33" s="1"/>
  <c r="D73" i="37" s="1"/>
  <c r="C13" i="39"/>
  <c r="C21" i="12"/>
  <c r="C313" i="39"/>
  <c r="C303" i="39"/>
  <c r="C282" i="12"/>
  <c r="F153" i="32"/>
  <c r="G153" i="32" s="1"/>
  <c r="F110" i="32"/>
  <c r="G110" i="32" s="1"/>
  <c r="C170" i="39"/>
  <c r="C171" i="39"/>
  <c r="C70" i="39"/>
  <c r="F118" i="32"/>
  <c r="F55" i="32"/>
  <c r="G55" i="32" s="1"/>
  <c r="C296" i="33"/>
  <c r="E296" i="33" s="1"/>
  <c r="D296" i="37" s="1"/>
  <c r="G158" i="32"/>
  <c r="C58" i="33"/>
  <c r="F149" i="32"/>
  <c r="G156" i="32"/>
  <c r="C255" i="12"/>
  <c r="C209" i="12"/>
  <c r="C162" i="12"/>
  <c r="C111" i="33"/>
  <c r="C122" i="34" s="1"/>
  <c r="C102" i="12"/>
  <c r="C11" i="12"/>
  <c r="C285" i="33"/>
  <c r="C296" i="34" s="1"/>
  <c r="C214" i="12"/>
  <c r="C243" i="39"/>
  <c r="G301" i="32"/>
  <c r="F205" i="32"/>
  <c r="G205" i="32" s="1"/>
  <c r="C69" i="33"/>
  <c r="E69" i="33" s="1"/>
  <c r="D69" i="37" s="1"/>
  <c r="F155" i="32"/>
  <c r="C55" i="33"/>
  <c r="C273" i="33"/>
  <c r="C284" i="34" s="1"/>
  <c r="G9" i="32"/>
  <c r="G177" i="32"/>
  <c r="G41" i="32"/>
  <c r="C229" i="39"/>
  <c r="C192" i="12"/>
  <c r="F251" i="32"/>
  <c r="G251" i="32" s="1"/>
  <c r="C41" i="33"/>
  <c r="C52" i="34" s="1"/>
  <c r="C38" i="33"/>
  <c r="E38" i="33" s="1"/>
  <c r="D38" i="37" s="1"/>
  <c r="C99" i="12"/>
  <c r="C301" i="33"/>
  <c r="C312" i="34" s="1"/>
  <c r="C131" i="12"/>
  <c r="C270" i="12"/>
  <c r="C241" i="39"/>
  <c r="C193" i="12"/>
  <c r="C211" i="12"/>
  <c r="C139" i="33"/>
  <c r="C150" i="34" s="1"/>
  <c r="F117" i="32"/>
  <c r="F12" i="32"/>
  <c r="G12" i="32" s="1"/>
  <c r="F62" i="32"/>
  <c r="F35" i="32"/>
  <c r="G35" i="32" s="1"/>
  <c r="C91" i="12"/>
  <c r="C297" i="33"/>
  <c r="E297" i="33" s="1"/>
  <c r="D297" i="37" s="1"/>
  <c r="F248" i="32"/>
  <c r="G248" i="32" s="1"/>
  <c r="C273" i="12"/>
  <c r="C17" i="12"/>
  <c r="C36" i="33"/>
  <c r="E36" i="33" s="1"/>
  <c r="D36" i="37" s="1"/>
  <c r="C310" i="39"/>
  <c r="C242" i="39"/>
  <c r="F130" i="32"/>
  <c r="F44" i="32"/>
  <c r="G44" i="32" s="1"/>
  <c r="C302" i="12"/>
  <c r="C295" i="12"/>
  <c r="C177" i="12"/>
  <c r="C235" i="39"/>
  <c r="C142" i="39"/>
  <c r="C174" i="39"/>
  <c r="C144" i="39"/>
  <c r="C27" i="39"/>
  <c r="F88" i="32"/>
  <c r="C138" i="33"/>
  <c r="C286" i="33"/>
  <c r="C297" i="34" s="1"/>
  <c r="C199" i="33"/>
  <c r="E199" i="33" s="1"/>
  <c r="D199" i="37" s="1"/>
  <c r="C57" i="39"/>
  <c r="C9" i="39"/>
  <c r="C47" i="39"/>
  <c r="F37" i="32"/>
  <c r="G37" i="32" s="1"/>
  <c r="G143" i="32"/>
  <c r="G312" i="32"/>
  <c r="C270" i="39"/>
  <c r="F241" i="32"/>
  <c r="C193" i="39"/>
  <c r="C211" i="39"/>
  <c r="F139" i="32"/>
  <c r="C117" i="33"/>
  <c r="C128" i="34" s="1"/>
  <c r="C12" i="33"/>
  <c r="C23" i="34" s="1"/>
  <c r="C62" i="33"/>
  <c r="E62" i="33" s="1"/>
  <c r="D62" i="37" s="1"/>
  <c r="C35" i="33"/>
  <c r="E35" i="33" s="1"/>
  <c r="D35" i="37" s="1"/>
  <c r="C91" i="39"/>
  <c r="C297" i="12"/>
  <c r="C248" i="33"/>
  <c r="E248" i="33" s="1"/>
  <c r="D248" i="37" s="1"/>
  <c r="C273" i="39"/>
  <c r="C17" i="39"/>
  <c r="C36" i="12"/>
  <c r="F310" i="32"/>
  <c r="G310" i="32" s="1"/>
  <c r="F242" i="32"/>
  <c r="C130" i="33"/>
  <c r="E130" i="33" s="1"/>
  <c r="D130" i="37" s="1"/>
  <c r="C44" i="33"/>
  <c r="C55" i="34" s="1"/>
  <c r="C302" i="39"/>
  <c r="C295" i="39"/>
  <c r="C177" i="39"/>
  <c r="F235" i="32"/>
  <c r="F142" i="32"/>
  <c r="F174" i="32"/>
  <c r="G174" i="32" s="1"/>
  <c r="F144" i="32"/>
  <c r="G144" i="32" s="1"/>
  <c r="F27" i="32"/>
  <c r="G27" i="32" s="1"/>
  <c r="C88" i="33"/>
  <c r="E88" i="33" s="1"/>
  <c r="D88" i="37" s="1"/>
  <c r="C138" i="12"/>
  <c r="C199" i="12"/>
  <c r="F57" i="32"/>
  <c r="C9" i="33"/>
  <c r="E9" i="33" s="1"/>
  <c r="D9" i="37" s="1"/>
  <c r="F47" i="32"/>
  <c r="G47" i="32" s="1"/>
  <c r="C37" i="33"/>
  <c r="E37" i="33" s="1"/>
  <c r="D37" i="37" s="1"/>
  <c r="G57" i="32"/>
  <c r="G206" i="32"/>
  <c r="G79" i="32"/>
  <c r="F50" i="32"/>
  <c r="G295" i="32"/>
  <c r="C237" i="12"/>
  <c r="C67" i="39"/>
  <c r="C223" i="39"/>
  <c r="C185" i="39"/>
  <c r="C84" i="39"/>
  <c r="C230" i="12"/>
  <c r="C164" i="12"/>
  <c r="F72" i="32"/>
  <c r="F56" i="32"/>
  <c r="F49" i="32"/>
  <c r="F115" i="32"/>
  <c r="C277" i="33"/>
  <c r="C288" i="34" s="1"/>
  <c r="C256" i="33"/>
  <c r="F189" i="32"/>
  <c r="C87" i="12"/>
  <c r="F240" i="32"/>
  <c r="F210" i="32"/>
  <c r="G210" i="32" s="1"/>
  <c r="C94" i="39"/>
  <c r="C80" i="12"/>
  <c r="C112" i="12"/>
  <c r="F39" i="32"/>
  <c r="G39" i="32" s="1"/>
  <c r="C203" i="33"/>
  <c r="C214" i="34" s="1"/>
  <c r="C226" i="33"/>
  <c r="C237" i="34" s="1"/>
  <c r="F10" i="32"/>
  <c r="C187" i="39"/>
  <c r="C132" i="39"/>
  <c r="F222" i="32"/>
  <c r="G222" i="32" s="1"/>
  <c r="F263" i="32"/>
  <c r="C186" i="39"/>
  <c r="F8" i="32"/>
  <c r="C250" i="12"/>
  <c r="G220" i="32"/>
  <c r="F166" i="32"/>
  <c r="C50" i="33"/>
  <c r="C61" i="34" s="1"/>
  <c r="G225" i="32"/>
  <c r="C237" i="39"/>
  <c r="F67" i="32"/>
  <c r="F223" i="32"/>
  <c r="F185" i="32"/>
  <c r="F84" i="32"/>
  <c r="C230" i="39"/>
  <c r="C164" i="39"/>
  <c r="C72" i="33"/>
  <c r="C83" i="34" s="1"/>
  <c r="C56" i="33"/>
  <c r="E56" i="33" s="1"/>
  <c r="D56" i="37" s="1"/>
  <c r="C49" i="33"/>
  <c r="E49" i="33" s="1"/>
  <c r="D49" i="37" s="1"/>
  <c r="C115" i="33"/>
  <c r="E115" i="33" s="1"/>
  <c r="D115" i="37" s="1"/>
  <c r="F277" i="32"/>
  <c r="F256" i="32"/>
  <c r="C189" i="33"/>
  <c r="C200" i="34" s="1"/>
  <c r="C87" i="39"/>
  <c r="C240" i="12"/>
  <c r="C210" i="12"/>
  <c r="F94" i="32"/>
  <c r="C80" i="39"/>
  <c r="C112" i="39"/>
  <c r="C39" i="33"/>
  <c r="C203" i="12"/>
  <c r="C226" i="12"/>
  <c r="C10" i="33"/>
  <c r="E10" i="33" s="1"/>
  <c r="D10" i="37" s="1"/>
  <c r="F187" i="32"/>
  <c r="F132" i="32"/>
  <c r="G132" i="32" s="1"/>
  <c r="C222" i="12"/>
  <c r="C263" i="33"/>
  <c r="C274" i="34" s="1"/>
  <c r="F186" i="32"/>
  <c r="C8" i="33"/>
  <c r="E8" i="33" s="1"/>
  <c r="D8" i="37" s="1"/>
  <c r="C250" i="39"/>
  <c r="C166" i="39"/>
  <c r="C24" i="12"/>
  <c r="F85" i="32"/>
  <c r="G85" i="32" s="1"/>
  <c r="G167" i="32"/>
  <c r="G33" i="32"/>
  <c r="G246" i="32"/>
  <c r="C102" i="39"/>
  <c r="C168" i="12"/>
  <c r="C69" i="12"/>
  <c r="C228" i="39"/>
  <c r="F239" i="32"/>
  <c r="C213" i="33"/>
  <c r="C224" i="34" s="1"/>
  <c r="F313" i="32"/>
  <c r="G313" i="32" s="1"/>
  <c r="F286" i="32"/>
  <c r="C304" i="33"/>
  <c r="C227" i="33"/>
  <c r="C238" i="34" s="1"/>
  <c r="C110" i="33"/>
  <c r="E110" i="33" s="1"/>
  <c r="D110" i="37" s="1"/>
  <c r="C155" i="33"/>
  <c r="E155" i="33" s="1"/>
  <c r="D155" i="37" s="1"/>
  <c r="C85" i="33"/>
  <c r="C96" i="34" s="1"/>
  <c r="G283" i="32"/>
  <c r="G201" i="32"/>
  <c r="G305" i="32"/>
  <c r="C205" i="12"/>
  <c r="F102" i="32"/>
  <c r="C168" i="39"/>
  <c r="C69" i="39"/>
  <c r="G299" i="32"/>
  <c r="F228" i="32"/>
  <c r="C239" i="12"/>
  <c r="F213" i="32"/>
  <c r="G213" i="32" s="1"/>
  <c r="C313" i="33"/>
  <c r="C324" i="34" s="1"/>
  <c r="C286" i="12"/>
  <c r="C304" i="12"/>
  <c r="C227" i="12"/>
  <c r="C110" i="12"/>
  <c r="C155" i="12"/>
  <c r="C85" i="12"/>
  <c r="F289" i="32"/>
  <c r="G289" i="32" s="1"/>
  <c r="C289" i="33"/>
  <c r="C205" i="33"/>
  <c r="C216" i="34" s="1"/>
  <c r="G170" i="32"/>
  <c r="G254" i="32"/>
  <c r="G92" i="32"/>
  <c r="G129" i="32"/>
  <c r="C289" i="12"/>
  <c r="F175" i="32"/>
  <c r="G81" i="32"/>
  <c r="F208" i="32"/>
  <c r="C24" i="39"/>
  <c r="C61" i="39"/>
  <c r="C175" i="33"/>
  <c r="C186" i="34" s="1"/>
  <c r="G241" i="32"/>
  <c r="C125" i="39"/>
  <c r="G260" i="32"/>
  <c r="G282" i="32"/>
  <c r="G52" i="32"/>
  <c r="C208" i="33"/>
  <c r="E208" i="33" s="1"/>
  <c r="D208" i="37" s="1"/>
  <c r="F24" i="32"/>
  <c r="F61" i="32"/>
  <c r="G61" i="32" s="1"/>
  <c r="C175" i="12"/>
  <c r="C133" i="12"/>
  <c r="C133" i="39"/>
  <c r="C125" i="12"/>
  <c r="G259" i="32"/>
  <c r="G120" i="32"/>
  <c r="G112" i="32"/>
  <c r="G30" i="32"/>
  <c r="G307" i="32"/>
  <c r="C133" i="33"/>
  <c r="F133" i="32"/>
  <c r="C23" i="39"/>
  <c r="C23" i="33"/>
  <c r="F23" i="32"/>
  <c r="G23" i="32" s="1"/>
  <c r="G101" i="32"/>
  <c r="C7" i="12"/>
  <c r="C7" i="33"/>
  <c r="F7" i="32"/>
  <c r="G7" i="32" s="1"/>
  <c r="C7" i="39"/>
  <c r="G31" i="32"/>
  <c r="G17" i="32"/>
  <c r="G270" i="32"/>
  <c r="G147" i="32"/>
  <c r="G309" i="32"/>
  <c r="G288" i="32"/>
  <c r="G197" i="32"/>
  <c r="G29" i="32"/>
  <c r="G275" i="32"/>
  <c r="G211" i="32"/>
  <c r="G160" i="32"/>
  <c r="G244" i="32"/>
  <c r="G266" i="32"/>
  <c r="G59" i="32"/>
  <c r="G18" i="32"/>
  <c r="G145" i="32"/>
  <c r="G229" i="32"/>
  <c r="C83" i="39"/>
  <c r="C83" i="12"/>
  <c r="F83" i="32"/>
  <c r="G83" i="32" s="1"/>
  <c r="C83" i="33"/>
  <c r="G82" i="32"/>
  <c r="G28" i="32"/>
  <c r="G148" i="32"/>
  <c r="G194" i="32"/>
  <c r="G294" i="32"/>
  <c r="G87" i="32"/>
  <c r="G203" i="32"/>
  <c r="C184" i="39"/>
  <c r="C184" i="12"/>
  <c r="C184" i="33"/>
  <c r="F184" i="32"/>
  <c r="C284" i="39"/>
  <c r="C284" i="12"/>
  <c r="C284" i="33"/>
  <c r="F284" i="32"/>
  <c r="G284" i="32" s="1"/>
  <c r="C178" i="39"/>
  <c r="C178" i="12"/>
  <c r="F178" i="32"/>
  <c r="C178" i="33"/>
  <c r="C280" i="39"/>
  <c r="C280" i="12"/>
  <c r="C280" i="33"/>
  <c r="F280" i="32"/>
  <c r="C172" i="39"/>
  <c r="C172" i="12"/>
  <c r="C172" i="33"/>
  <c r="F172" i="32"/>
  <c r="C300" i="39"/>
  <c r="C300" i="12"/>
  <c r="C300" i="33"/>
  <c r="F300" i="32"/>
  <c r="G300" i="32" s="1"/>
  <c r="C196" i="39"/>
  <c r="C196" i="12"/>
  <c r="C196" i="33"/>
  <c r="F196" i="32"/>
  <c r="C42" i="39"/>
  <c r="C42" i="12"/>
  <c r="C42" i="33"/>
  <c r="F42" i="32"/>
  <c r="E165" i="33"/>
  <c r="D165" i="37" s="1"/>
  <c r="C176" i="34"/>
  <c r="G253" i="32"/>
  <c r="G207" i="32"/>
  <c r="E223" i="33"/>
  <c r="D223" i="37" s="1"/>
  <c r="C234" i="34"/>
  <c r="C196" i="34"/>
  <c r="E185" i="33"/>
  <c r="D185" i="37" s="1"/>
  <c r="C140" i="34"/>
  <c r="E129" i="33"/>
  <c r="D129" i="37" s="1"/>
  <c r="C112" i="34"/>
  <c r="E101" i="33"/>
  <c r="D101" i="37" s="1"/>
  <c r="E33" i="33"/>
  <c r="D33" i="37" s="1"/>
  <c r="C44" i="34"/>
  <c r="E18" i="33"/>
  <c r="D18" i="37" s="1"/>
  <c r="C29" i="34"/>
  <c r="E41" i="33"/>
  <c r="D41" i="37" s="1"/>
  <c r="C67" i="34"/>
  <c r="C235" i="34"/>
  <c r="E224" i="33"/>
  <c r="D224" i="37" s="1"/>
  <c r="E111" i="33"/>
  <c r="D111" i="37" s="1"/>
  <c r="E25" i="33"/>
  <c r="D25" i="37" s="1"/>
  <c r="C36" i="34"/>
  <c r="C265" i="34"/>
  <c r="E254" i="33"/>
  <c r="D254" i="37" s="1"/>
  <c r="C281" i="34"/>
  <c r="E270" i="33"/>
  <c r="D270" i="37" s="1"/>
  <c r="G302" i="32"/>
  <c r="C172" i="34"/>
  <c r="E161" i="33"/>
  <c r="D161" i="37" s="1"/>
  <c r="E127" i="33"/>
  <c r="D127" i="37" s="1"/>
  <c r="C138" i="34"/>
  <c r="E94" i="33"/>
  <c r="D94" i="37" s="1"/>
  <c r="C105" i="34"/>
  <c r="C174" i="34"/>
  <c r="E163" i="33"/>
  <c r="D163" i="37" s="1"/>
  <c r="C59" i="34"/>
  <c r="E48" i="33"/>
  <c r="D48" i="37" s="1"/>
  <c r="C42" i="34"/>
  <c r="E31" i="33"/>
  <c r="D31" i="37" s="1"/>
  <c r="C250" i="34"/>
  <c r="E239" i="33"/>
  <c r="D239" i="37" s="1"/>
  <c r="E298" i="33"/>
  <c r="D298" i="37" s="1"/>
  <c r="C309" i="34"/>
  <c r="E13" i="33"/>
  <c r="D13" i="37" s="1"/>
  <c r="C24" i="34"/>
  <c r="C88" i="34"/>
  <c r="E77" i="33"/>
  <c r="D77" i="37" s="1"/>
  <c r="E212" i="33"/>
  <c r="D212" i="37" s="1"/>
  <c r="C223" i="34"/>
  <c r="E282" i="33"/>
  <c r="D282" i="37" s="1"/>
  <c r="C293" i="34"/>
  <c r="E250" i="33"/>
  <c r="D250" i="37" s="1"/>
  <c r="C130" i="34"/>
  <c r="E119" i="33"/>
  <c r="D119" i="37" s="1"/>
  <c r="E151" i="33"/>
  <c r="D151" i="37" s="1"/>
  <c r="C162" i="34"/>
  <c r="C71" i="34"/>
  <c r="E60" i="33"/>
  <c r="D60" i="37" s="1"/>
  <c r="C183" i="39"/>
  <c r="C183" i="12"/>
  <c r="C183" i="33"/>
  <c r="F183" i="32"/>
  <c r="C104" i="39"/>
  <c r="C104" i="12"/>
  <c r="C104" i="33"/>
  <c r="F104" i="32"/>
  <c r="G104" i="32" s="1"/>
  <c r="C95" i="39"/>
  <c r="C95" i="12"/>
  <c r="C95" i="33"/>
  <c r="F95" i="32"/>
  <c r="C113" i="39"/>
  <c r="C113" i="12"/>
  <c r="C113" i="33"/>
  <c r="F113" i="32"/>
  <c r="E266" i="33"/>
  <c r="D266" i="37" s="1"/>
  <c r="C277" i="34"/>
  <c r="C93" i="34"/>
  <c r="G261" i="32"/>
  <c r="C262" i="39"/>
  <c r="C262" i="12"/>
  <c r="F262" i="32"/>
  <c r="G262" i="32" s="1"/>
  <c r="C262" i="33"/>
  <c r="E237" i="33"/>
  <c r="D237" i="37" s="1"/>
  <c r="C248" i="34"/>
  <c r="E34" i="33"/>
  <c r="D34" i="37" s="1"/>
  <c r="C45" i="34"/>
  <c r="C70" i="34"/>
  <c r="E59" i="33"/>
  <c r="D59" i="37" s="1"/>
  <c r="C266" i="34"/>
  <c r="E255" i="33"/>
  <c r="D255" i="37" s="1"/>
  <c r="E152" i="33"/>
  <c r="D152" i="37" s="1"/>
  <c r="E159" i="33"/>
  <c r="D159" i="37" s="1"/>
  <c r="C170" i="34"/>
  <c r="C114" i="34"/>
  <c r="E103" i="33"/>
  <c r="D103" i="37" s="1"/>
  <c r="E269" i="33"/>
  <c r="D269" i="37" s="1"/>
  <c r="C280" i="34"/>
  <c r="C141" i="34"/>
  <c r="E290" i="33"/>
  <c r="D290" i="37" s="1"/>
  <c r="C301" i="34"/>
  <c r="G193" i="32"/>
  <c r="G281" i="32"/>
  <c r="E233" i="33"/>
  <c r="D233" i="37" s="1"/>
  <c r="C244" i="34"/>
  <c r="C229" i="34"/>
  <c r="E218" i="33"/>
  <c r="D218" i="37" s="1"/>
  <c r="E263" i="33"/>
  <c r="D263" i="37" s="1"/>
  <c r="C180" i="34"/>
  <c r="E169" i="33"/>
  <c r="D169" i="37" s="1"/>
  <c r="C146" i="34"/>
  <c r="E135" i="33"/>
  <c r="D135" i="37" s="1"/>
  <c r="E171" i="33"/>
  <c r="D171" i="37" s="1"/>
  <c r="C182" i="34"/>
  <c r="C72" i="34"/>
  <c r="E61" i="33"/>
  <c r="D61" i="37" s="1"/>
  <c r="C19" i="34"/>
  <c r="C177" i="34"/>
  <c r="E166" i="33"/>
  <c r="D166" i="37" s="1"/>
  <c r="E141" i="33"/>
  <c r="D141" i="37" s="1"/>
  <c r="C152" i="34"/>
  <c r="C168" i="34"/>
  <c r="E157" i="33"/>
  <c r="D157" i="37" s="1"/>
  <c r="C78" i="34"/>
  <c r="E67" i="33"/>
  <c r="D67" i="37" s="1"/>
  <c r="C305" i="34"/>
  <c r="E294" i="33"/>
  <c r="D294" i="37" s="1"/>
  <c r="E258" i="33"/>
  <c r="D258" i="37" s="1"/>
  <c r="C269" i="34"/>
  <c r="G125" i="32"/>
  <c r="C320" i="34"/>
  <c r="E309" i="33"/>
  <c r="D309" i="37" s="1"/>
  <c r="C299" i="34"/>
  <c r="E288" i="33"/>
  <c r="D288" i="37" s="1"/>
  <c r="C208" i="34"/>
  <c r="E197" i="33"/>
  <c r="D197" i="37" s="1"/>
  <c r="C230" i="34"/>
  <c r="E164" i="33"/>
  <c r="D164" i="37" s="1"/>
  <c r="C175" i="34"/>
  <c r="C184" i="34"/>
  <c r="E173" i="33"/>
  <c r="D173" i="37" s="1"/>
  <c r="E162" i="33"/>
  <c r="D162" i="37" s="1"/>
  <c r="E160" i="33"/>
  <c r="D160" i="37" s="1"/>
  <c r="C171" i="34"/>
  <c r="E102" i="33"/>
  <c r="D102" i="37" s="1"/>
  <c r="C113" i="34"/>
  <c r="C39" i="34"/>
  <c r="E28" i="33"/>
  <c r="D28" i="37" s="1"/>
  <c r="E252" i="33"/>
  <c r="D252" i="37" s="1"/>
  <c r="C263" i="34"/>
  <c r="C252" i="34"/>
  <c r="E241" i="33"/>
  <c r="D241" i="37" s="1"/>
  <c r="E260" i="33"/>
  <c r="D260" i="37" s="1"/>
  <c r="C271" i="34"/>
  <c r="C204" i="34"/>
  <c r="E193" i="33"/>
  <c r="D193" i="37" s="1"/>
  <c r="E81" i="33"/>
  <c r="D81" i="37" s="1"/>
  <c r="C92" i="34"/>
  <c r="E12" i="33"/>
  <c r="D12" i="37" s="1"/>
  <c r="G191" i="32"/>
  <c r="E244" i="33"/>
  <c r="D244" i="37" s="1"/>
  <c r="C255" i="34"/>
  <c r="E276" i="33"/>
  <c r="D276" i="37" s="1"/>
  <c r="C287" i="34"/>
  <c r="C188" i="34"/>
  <c r="E177" i="33"/>
  <c r="D177" i="37" s="1"/>
  <c r="C246" i="34"/>
  <c r="E235" i="33"/>
  <c r="D235" i="37" s="1"/>
  <c r="E156" i="33"/>
  <c r="D156" i="37" s="1"/>
  <c r="C167" i="34"/>
  <c r="C147" i="34"/>
  <c r="E136" i="33"/>
  <c r="D136" i="37" s="1"/>
  <c r="C185" i="34"/>
  <c r="E174" i="33"/>
  <c r="D174" i="37" s="1"/>
  <c r="C51" i="34"/>
  <c r="E40" i="33"/>
  <c r="D40" i="37" s="1"/>
  <c r="C31" i="34"/>
  <c r="E20" i="33"/>
  <c r="D20" i="37" s="1"/>
  <c r="C79" i="34"/>
  <c r="E68" i="33"/>
  <c r="D68" i="37" s="1"/>
  <c r="C64" i="34"/>
  <c r="E53" i="33"/>
  <c r="D53" i="37" s="1"/>
  <c r="C298" i="34"/>
  <c r="E287" i="33"/>
  <c r="D287" i="37" s="1"/>
  <c r="C271" i="39"/>
  <c r="C271" i="12"/>
  <c r="C271" i="33"/>
  <c r="F271" i="32"/>
  <c r="C292" i="39"/>
  <c r="C292" i="12"/>
  <c r="C292" i="33"/>
  <c r="F292" i="32"/>
  <c r="G292" i="32" s="1"/>
  <c r="C108" i="39"/>
  <c r="C108" i="12"/>
  <c r="C108" i="33"/>
  <c r="F108" i="32"/>
  <c r="C86" i="34"/>
  <c r="E75" i="33"/>
  <c r="D75" i="37" s="1"/>
  <c r="G192" i="32"/>
  <c r="G16" i="32"/>
  <c r="C43" i="34"/>
  <c r="E32" i="33"/>
  <c r="D32" i="37" s="1"/>
  <c r="E275" i="33"/>
  <c r="D275" i="37" s="1"/>
  <c r="C286" i="34"/>
  <c r="C209" i="34"/>
  <c r="E198" i="33"/>
  <c r="D198" i="37" s="1"/>
  <c r="E215" i="33"/>
  <c r="D215" i="37" s="1"/>
  <c r="C226" i="34"/>
  <c r="E168" i="33"/>
  <c r="D168" i="37" s="1"/>
  <c r="C179" i="34"/>
  <c r="E228" i="33"/>
  <c r="D228" i="37" s="1"/>
  <c r="C239" i="34"/>
  <c r="G278" i="32"/>
  <c r="E17" i="33"/>
  <c r="D17" i="37" s="1"/>
  <c r="C50" i="34"/>
  <c r="E39" i="33"/>
  <c r="D39" i="37" s="1"/>
  <c r="C87" i="34"/>
  <c r="E76" i="33"/>
  <c r="D76" i="37" s="1"/>
  <c r="C89" i="34"/>
  <c r="C62" i="34"/>
  <c r="E51" i="33"/>
  <c r="D51" i="37" s="1"/>
  <c r="G202" i="32"/>
  <c r="C245" i="34"/>
  <c r="E234" i="33"/>
  <c r="D234" i="37" s="1"/>
  <c r="C242" i="34"/>
  <c r="E231" i="33"/>
  <c r="D231" i="37" s="1"/>
  <c r="C143" i="34"/>
  <c r="E132" i="33"/>
  <c r="D132" i="37" s="1"/>
  <c r="E6" i="33"/>
  <c r="D6" i="37" s="1"/>
  <c r="C17" i="34"/>
  <c r="G182" i="32"/>
  <c r="C30" i="34"/>
  <c r="E19" i="33"/>
  <c r="D19" i="37" s="1"/>
  <c r="E22" i="33"/>
  <c r="D22" i="37" s="1"/>
  <c r="C33" i="34"/>
  <c r="E70" i="33"/>
  <c r="D70" i="37" s="1"/>
  <c r="C81" i="34"/>
  <c r="E283" i="33"/>
  <c r="D283" i="37" s="1"/>
  <c r="C294" i="34"/>
  <c r="G185" i="32"/>
  <c r="E175" i="33"/>
  <c r="D175" i="37" s="1"/>
  <c r="C274" i="39"/>
  <c r="C274" i="12"/>
  <c r="F274" i="32"/>
  <c r="G274" i="32" s="1"/>
  <c r="C274" i="33"/>
  <c r="C268" i="39"/>
  <c r="C268" i="12"/>
  <c r="C268" i="33"/>
  <c r="F268" i="32"/>
  <c r="G268" i="32" s="1"/>
  <c r="C308" i="39"/>
  <c r="C308" i="12"/>
  <c r="C308" i="33"/>
  <c r="F308" i="32"/>
  <c r="C188" i="39"/>
  <c r="C188" i="12"/>
  <c r="C188" i="33"/>
  <c r="F188" i="32"/>
  <c r="C200" i="39"/>
  <c r="C200" i="12"/>
  <c r="C200" i="33"/>
  <c r="F200" i="32"/>
  <c r="C93" i="39"/>
  <c r="C93" i="12"/>
  <c r="C93" i="33"/>
  <c r="F93" i="32"/>
  <c r="C180" i="39"/>
  <c r="C180" i="12"/>
  <c r="C180" i="33"/>
  <c r="F180" i="32"/>
  <c r="G180" i="32" s="1"/>
  <c r="C264" i="39"/>
  <c r="C264" i="12"/>
  <c r="C264" i="33"/>
  <c r="F264" i="32"/>
  <c r="C179" i="39"/>
  <c r="C179" i="12"/>
  <c r="C179" i="33"/>
  <c r="F179" i="32"/>
  <c r="C89" i="39"/>
  <c r="C89" i="12"/>
  <c r="C89" i="33"/>
  <c r="F89" i="32"/>
  <c r="G237" i="32"/>
  <c r="G75" i="32"/>
  <c r="C160" i="34"/>
  <c r="E149" i="33"/>
  <c r="D149" i="37" s="1"/>
  <c r="G217" i="32"/>
  <c r="C240" i="34"/>
  <c r="E229" i="33"/>
  <c r="D229" i="37" s="1"/>
  <c r="E167" i="33"/>
  <c r="D167" i="37" s="1"/>
  <c r="C178" i="34"/>
  <c r="C95" i="34"/>
  <c r="E84" i="33"/>
  <c r="D84" i="37" s="1"/>
  <c r="C27" i="34"/>
  <c r="E16" i="33"/>
  <c r="D16" i="37" s="1"/>
  <c r="G164" i="32"/>
  <c r="E86" i="33"/>
  <c r="D86" i="37" s="1"/>
  <c r="C97" i="34"/>
  <c r="E107" i="33"/>
  <c r="D107" i="37" s="1"/>
  <c r="C118" i="34"/>
  <c r="C110" i="34"/>
  <c r="C142" i="34"/>
  <c r="E131" i="33"/>
  <c r="D131" i="37" s="1"/>
  <c r="C156" i="34"/>
  <c r="E145" i="33"/>
  <c r="D145" i="37" s="1"/>
  <c r="E154" i="33"/>
  <c r="D154" i="37" s="1"/>
  <c r="C165" i="34"/>
  <c r="C158" i="34"/>
  <c r="E147" i="33"/>
  <c r="D147" i="37" s="1"/>
  <c r="E91" i="33"/>
  <c r="D91" i="37" s="1"/>
  <c r="C102" i="34"/>
  <c r="G91" i="32"/>
  <c r="G173" i="32"/>
  <c r="E123" i="33"/>
  <c r="D123" i="37" s="1"/>
  <c r="C134" i="34"/>
  <c r="C318" i="34"/>
  <c r="E307" i="33"/>
  <c r="D307" i="37" s="1"/>
  <c r="C302" i="34"/>
  <c r="E291" i="33"/>
  <c r="D291" i="37" s="1"/>
  <c r="C260" i="34"/>
  <c r="E249" i="33"/>
  <c r="D249" i="37" s="1"/>
  <c r="C268" i="34"/>
  <c r="E257" i="33"/>
  <c r="D257" i="37" s="1"/>
  <c r="C125" i="34"/>
  <c r="C63" i="34"/>
  <c r="E52" i="33"/>
  <c r="D52" i="37" s="1"/>
  <c r="C279" i="39"/>
  <c r="C279" i="12"/>
  <c r="F279" i="32"/>
  <c r="C279" i="33"/>
  <c r="E46" i="33"/>
  <c r="D46" i="37" s="1"/>
  <c r="C57" i="34"/>
  <c r="E125" i="33"/>
  <c r="D125" i="37" s="1"/>
  <c r="C136" i="34"/>
  <c r="C26" i="34"/>
  <c r="E15" i="33"/>
  <c r="D15" i="37" s="1"/>
  <c r="C161" i="34"/>
  <c r="E150" i="33"/>
  <c r="D150" i="37" s="1"/>
  <c r="E194" i="33"/>
  <c r="D194" i="37" s="1"/>
  <c r="C205" i="34"/>
  <c r="E209" i="33"/>
  <c r="D209" i="37" s="1"/>
  <c r="C220" i="34"/>
  <c r="E120" i="33"/>
  <c r="D120" i="37" s="1"/>
  <c r="C131" i="34"/>
  <c r="E109" i="33"/>
  <c r="D109" i="37" s="1"/>
  <c r="E191" i="33"/>
  <c r="D191" i="37" s="1"/>
  <c r="C202" i="34"/>
  <c r="C217" i="34"/>
  <c r="E206" i="33"/>
  <c r="D206" i="37" s="1"/>
  <c r="E210" i="33"/>
  <c r="D210" i="37" s="1"/>
  <c r="C221" i="34"/>
  <c r="E243" i="33"/>
  <c r="D243" i="37" s="1"/>
  <c r="C254" i="34"/>
  <c r="C201" i="34"/>
  <c r="E190" i="33"/>
  <c r="D190" i="37" s="1"/>
  <c r="E143" i="33"/>
  <c r="D143" i="37" s="1"/>
  <c r="C154" i="34"/>
  <c r="C321" i="34"/>
  <c r="E310" i="33"/>
  <c r="D310" i="37" s="1"/>
  <c r="E242" i="33"/>
  <c r="D242" i="37" s="1"/>
  <c r="C253" i="34"/>
  <c r="E140" i="33"/>
  <c r="D140" i="37" s="1"/>
  <c r="C151" i="34"/>
  <c r="C90" i="34"/>
  <c r="E79" i="33"/>
  <c r="D79" i="37" s="1"/>
  <c r="G99" i="32"/>
  <c r="C313" i="34"/>
  <c r="E302" i="33"/>
  <c r="D302" i="37" s="1"/>
  <c r="E311" i="33"/>
  <c r="D311" i="37" s="1"/>
  <c r="C322" i="34"/>
  <c r="G216" i="32"/>
  <c r="C99" i="34"/>
  <c r="E45" i="33"/>
  <c r="D45" i="37" s="1"/>
  <c r="C56" i="34"/>
  <c r="E213" i="33"/>
  <c r="D213" i="37" s="1"/>
  <c r="G165" i="32"/>
  <c r="G65" i="32"/>
  <c r="E312" i="33"/>
  <c r="D312" i="37" s="1"/>
  <c r="C323" i="34"/>
  <c r="E220" i="33"/>
  <c r="D220" i="37" s="1"/>
  <c r="C231" i="34"/>
  <c r="E236" i="33"/>
  <c r="D236" i="37" s="1"/>
  <c r="C247" i="34"/>
  <c r="E304" i="33"/>
  <c r="D304" i="37" s="1"/>
  <c r="C315" i="34"/>
  <c r="C210" i="34"/>
  <c r="E186" i="33"/>
  <c r="D186" i="37" s="1"/>
  <c r="C197" i="34"/>
  <c r="C164" i="34"/>
  <c r="E153" i="33"/>
  <c r="D153" i="37" s="1"/>
  <c r="C181" i="34"/>
  <c r="E170" i="33"/>
  <c r="D170" i="37" s="1"/>
  <c r="C35" i="34"/>
  <c r="E24" i="33"/>
  <c r="D24" i="37" s="1"/>
  <c r="C103" i="34"/>
  <c r="E92" i="33"/>
  <c r="D92" i="37" s="1"/>
  <c r="C48" i="34"/>
  <c r="E116" i="33"/>
  <c r="D116" i="37" s="1"/>
  <c r="C96" i="39"/>
  <c r="C96" i="12"/>
  <c r="C96" i="33"/>
  <c r="F96" i="32"/>
  <c r="E54" i="33"/>
  <c r="D54" i="37" s="1"/>
  <c r="C65" i="34"/>
  <c r="E74" i="33"/>
  <c r="D74" i="37" s="1"/>
  <c r="C85" i="34"/>
  <c r="C97" i="39"/>
  <c r="C97" i="12"/>
  <c r="C97" i="33"/>
  <c r="F97" i="32"/>
  <c r="C304" i="34"/>
  <c r="E293" i="33"/>
  <c r="D293" i="37" s="1"/>
  <c r="C289" i="34"/>
  <c r="E278" i="33"/>
  <c r="D278" i="37" s="1"/>
  <c r="E207" i="33"/>
  <c r="D207" i="37" s="1"/>
  <c r="C218" i="34"/>
  <c r="E251" i="33"/>
  <c r="D251" i="37" s="1"/>
  <c r="C262" i="34"/>
  <c r="C192" i="34"/>
  <c r="E181" i="33"/>
  <c r="D181" i="37" s="1"/>
  <c r="E148" i="33"/>
  <c r="D148" i="37" s="1"/>
  <c r="C159" i="34"/>
  <c r="E256" i="33"/>
  <c r="D256" i="37" s="1"/>
  <c r="C267" i="34"/>
  <c r="C257" i="34"/>
  <c r="C98" i="34"/>
  <c r="E87" i="33"/>
  <c r="D87" i="37" s="1"/>
  <c r="C232" i="34"/>
  <c r="E221" i="33"/>
  <c r="D221" i="37" s="1"/>
  <c r="E98" i="33"/>
  <c r="D98" i="37" s="1"/>
  <c r="E30" i="33"/>
  <c r="D30" i="37" s="1"/>
  <c r="C41" i="34"/>
  <c r="E90" i="33"/>
  <c r="D90" i="37" s="1"/>
  <c r="C101" i="34"/>
  <c r="E232" i="33"/>
  <c r="D232" i="37" s="1"/>
  <c r="C243" i="34"/>
  <c r="E225" i="33"/>
  <c r="D225" i="37" s="1"/>
  <c r="C236" i="34"/>
  <c r="C249" i="34"/>
  <c r="E238" i="33"/>
  <c r="D238" i="37" s="1"/>
  <c r="C227" i="34"/>
  <c r="C153" i="34"/>
  <c r="E142" i="33"/>
  <c r="D142" i="37" s="1"/>
  <c r="E146" i="33"/>
  <c r="D146" i="37" s="1"/>
  <c r="C157" i="34"/>
  <c r="E144" i="33"/>
  <c r="D144" i="37" s="1"/>
  <c r="C155" i="34"/>
  <c r="C75" i="34"/>
  <c r="E64" i="33"/>
  <c r="D64" i="37" s="1"/>
  <c r="C129" i="34"/>
  <c r="E118" i="33"/>
  <c r="D118" i="37" s="1"/>
  <c r="C66" i="34"/>
  <c r="E55" i="33"/>
  <c r="D55" i="37" s="1"/>
  <c r="C105" i="39"/>
  <c r="C105" i="12"/>
  <c r="C105" i="33"/>
  <c r="F105" i="32"/>
  <c r="C176" i="39"/>
  <c r="C176" i="12"/>
  <c r="C176" i="33"/>
  <c r="F176" i="32"/>
  <c r="C265" i="39"/>
  <c r="C265" i="12"/>
  <c r="C265" i="33"/>
  <c r="F265" i="32"/>
  <c r="G265" i="32" s="1"/>
  <c r="C100" i="39"/>
  <c r="C100" i="12"/>
  <c r="C100" i="33"/>
  <c r="F100" i="32"/>
  <c r="E261" i="33"/>
  <c r="D261" i="37" s="1"/>
  <c r="C272" i="34"/>
  <c r="E253" i="33"/>
  <c r="D253" i="37" s="1"/>
  <c r="C264" i="34"/>
  <c r="C145" i="34"/>
  <c r="E134" i="33"/>
  <c r="D134" i="37" s="1"/>
  <c r="E66" i="33"/>
  <c r="D66" i="37" s="1"/>
  <c r="C77" i="34"/>
  <c r="E29" i="33"/>
  <c r="D29" i="37" s="1"/>
  <c r="C40" i="34"/>
  <c r="G224" i="32"/>
  <c r="C292" i="34"/>
  <c r="E281" i="33"/>
  <c r="D281" i="37" s="1"/>
  <c r="C258" i="34"/>
  <c r="E247" i="33"/>
  <c r="D247" i="37" s="1"/>
  <c r="G181" i="32"/>
  <c r="C310" i="34"/>
  <c r="E299" i="33"/>
  <c r="D299" i="37" s="1"/>
  <c r="C82" i="34"/>
  <c r="E71" i="33"/>
  <c r="D71" i="37" s="1"/>
  <c r="C193" i="34"/>
  <c r="E182" i="33"/>
  <c r="D182" i="37" s="1"/>
  <c r="E14" i="33"/>
  <c r="D14" i="37" s="1"/>
  <c r="C25" i="34"/>
  <c r="E63" i="33"/>
  <c r="D63" i="37" s="1"/>
  <c r="C38" i="34"/>
  <c r="E27" i="33"/>
  <c r="D27" i="37" s="1"/>
  <c r="G107" i="32"/>
  <c r="C198" i="34"/>
  <c r="E187" i="33"/>
  <c r="D187" i="37" s="1"/>
  <c r="E138" i="33"/>
  <c r="D138" i="37" s="1"/>
  <c r="C149" i="34"/>
  <c r="C133" i="34"/>
  <c r="E122" i="33"/>
  <c r="D122" i="37" s="1"/>
  <c r="E57" i="33"/>
  <c r="D57" i="37" s="1"/>
  <c r="C68" i="34"/>
  <c r="C58" i="34"/>
  <c r="E47" i="33"/>
  <c r="D47" i="37" s="1"/>
  <c r="C316" i="34"/>
  <c r="E305" i="33"/>
  <c r="D305" i="37" s="1"/>
  <c r="E204" i="33"/>
  <c r="D204" i="37" s="1"/>
  <c r="C215" i="34"/>
  <c r="C219" i="34" l="1"/>
  <c r="G291" i="32"/>
  <c r="E301" i="33"/>
  <c r="D301" i="37" s="1"/>
  <c r="E259" i="33"/>
  <c r="D259" i="37" s="1"/>
  <c r="E240" i="33"/>
  <c r="D240" i="37" s="1"/>
  <c r="G215" i="32"/>
  <c r="E139" i="33"/>
  <c r="D139" i="37" s="1"/>
  <c r="E85" i="33"/>
  <c r="D85" i="37" s="1"/>
  <c r="E72" i="33"/>
  <c r="D72" i="37" s="1"/>
  <c r="E11" i="33"/>
  <c r="D11" i="37" s="1"/>
  <c r="G67" i="32"/>
  <c r="E313" i="33"/>
  <c r="D313" i="37" s="1"/>
  <c r="E50" i="33"/>
  <c r="D50" i="37" s="1"/>
  <c r="G296" i="32"/>
  <c r="C307" i="34"/>
  <c r="G11" i="32"/>
  <c r="G71" i="32"/>
  <c r="E285" i="33"/>
  <c r="D285" i="37" s="1"/>
  <c r="E137" i="33"/>
  <c r="D137" i="37" s="1"/>
  <c r="G149" i="32"/>
  <c r="G116" i="32"/>
  <c r="G304" i="32"/>
  <c r="G199" i="32"/>
  <c r="G139" i="32"/>
  <c r="G138" i="32"/>
  <c r="E124" i="33"/>
  <c r="D124" i="37" s="1"/>
  <c r="C123" i="34"/>
  <c r="E65" i="33"/>
  <c r="D65" i="37" s="1"/>
  <c r="C317" i="34"/>
  <c r="E277" i="33"/>
  <c r="D277" i="37" s="1"/>
  <c r="G243" i="32"/>
  <c r="E217" i="33"/>
  <c r="D217" i="37" s="1"/>
  <c r="C126" i="34"/>
  <c r="G13" i="32"/>
  <c r="G223" i="32"/>
  <c r="C46" i="34"/>
  <c r="C222" i="34"/>
  <c r="C212" i="34"/>
  <c r="G50" i="32"/>
  <c r="G240" i="32"/>
  <c r="G76" i="32"/>
  <c r="E226" i="33"/>
  <c r="D226" i="37" s="1"/>
  <c r="E21" i="33"/>
  <c r="D21" i="37" s="1"/>
  <c r="G60" i="32"/>
  <c r="G287" i="32"/>
  <c r="G68" i="32"/>
  <c r="C203" i="34"/>
  <c r="E227" i="33"/>
  <c r="D227" i="37" s="1"/>
  <c r="C132" i="34"/>
  <c r="G72" i="32"/>
  <c r="G200" i="32"/>
  <c r="C308" i="34"/>
  <c r="E189" i="33"/>
  <c r="D189" i="37" s="1"/>
  <c r="E80" i="33"/>
  <c r="D80" i="37" s="1"/>
  <c r="C259" i="34"/>
  <c r="C20" i="34"/>
  <c r="C121" i="34"/>
  <c r="C47" i="34"/>
  <c r="C73" i="34"/>
  <c r="C278" i="34"/>
  <c r="C60" i="34"/>
  <c r="C306" i="34"/>
  <c r="C139" i="34"/>
  <c r="E195" i="33"/>
  <c r="D195" i="37" s="1"/>
  <c r="C117" i="34"/>
  <c r="E230" i="33"/>
  <c r="D230" i="37" s="1"/>
  <c r="G195" i="32"/>
  <c r="C49" i="34"/>
  <c r="G73" i="32"/>
  <c r="C314" i="34"/>
  <c r="C84" i="34"/>
  <c r="C213" i="34"/>
  <c r="E214" i="33"/>
  <c r="D214" i="37" s="1"/>
  <c r="C166" i="34"/>
  <c r="C80" i="34"/>
  <c r="C21" i="34"/>
  <c r="E222" i="33"/>
  <c r="D222" i="37" s="1"/>
  <c r="E58" i="33"/>
  <c r="D58" i="37" s="1"/>
  <c r="C69" i="34"/>
  <c r="G118" i="32"/>
  <c r="G111" i="32"/>
  <c r="E273" i="33"/>
  <c r="D273" i="37" s="1"/>
  <c r="E203" i="33"/>
  <c r="D203" i="37" s="1"/>
  <c r="G84" i="32"/>
  <c r="G155" i="32"/>
  <c r="G168" i="32"/>
  <c r="E44" i="33"/>
  <c r="D44" i="37" s="1"/>
  <c r="G115" i="32"/>
  <c r="E205" i="33"/>
  <c r="D205" i="37" s="1"/>
  <c r="G166" i="32"/>
  <c r="E286" i="33"/>
  <c r="D286" i="37" s="1"/>
  <c r="G285" i="32"/>
  <c r="G242" i="32"/>
  <c r="G63" i="32"/>
  <c r="G94" i="32"/>
  <c r="E117" i="33"/>
  <c r="D117" i="37" s="1"/>
  <c r="G117" i="32"/>
  <c r="G130" i="32"/>
  <c r="G186" i="32"/>
  <c r="G142" i="32"/>
  <c r="G88" i="32"/>
  <c r="G62" i="32"/>
  <c r="G235" i="32"/>
  <c r="G256" i="32"/>
  <c r="G277" i="32"/>
  <c r="G102" i="32"/>
  <c r="G263" i="32"/>
  <c r="G189" i="32"/>
  <c r="G49" i="32"/>
  <c r="G187" i="32"/>
  <c r="G10" i="32"/>
  <c r="G56" i="32"/>
  <c r="G8" i="32"/>
  <c r="G208" i="32"/>
  <c r="G286" i="32"/>
  <c r="G228" i="32"/>
  <c r="G175" i="32"/>
  <c r="E289" i="33"/>
  <c r="D289" i="37" s="1"/>
  <c r="C300" i="34"/>
  <c r="G239" i="32"/>
  <c r="G133" i="32"/>
  <c r="G24" i="32"/>
  <c r="E133" i="33"/>
  <c r="D133" i="37" s="1"/>
  <c r="C144" i="34"/>
  <c r="C34" i="34"/>
  <c r="E23" i="33"/>
  <c r="D23" i="37" s="1"/>
  <c r="G95" i="32"/>
  <c r="C18" i="34"/>
  <c r="E7" i="33"/>
  <c r="D7" i="37" s="1"/>
  <c r="G100" i="32"/>
  <c r="G172" i="32"/>
  <c r="E83" i="33"/>
  <c r="D83" i="37" s="1"/>
  <c r="C94" i="34"/>
  <c r="G184" i="32"/>
  <c r="E179" i="33"/>
  <c r="D179" i="37" s="1"/>
  <c r="C190" i="34"/>
  <c r="E180" i="33"/>
  <c r="D180" i="37" s="1"/>
  <c r="C191" i="34"/>
  <c r="C104" i="34"/>
  <c r="E93" i="33"/>
  <c r="D93" i="37" s="1"/>
  <c r="G308" i="32"/>
  <c r="E274" i="33"/>
  <c r="D274" i="37" s="1"/>
  <c r="C285" i="34"/>
  <c r="G108" i="32"/>
  <c r="G271" i="32"/>
  <c r="G188" i="32"/>
  <c r="C106" i="34"/>
  <c r="E95" i="33"/>
  <c r="D95" i="37" s="1"/>
  <c r="E183" i="33"/>
  <c r="D183" i="37" s="1"/>
  <c r="C194" i="34"/>
  <c r="G42" i="32"/>
  <c r="C311" i="34"/>
  <c r="E300" i="33"/>
  <c r="D300" i="37" s="1"/>
  <c r="E280" i="33"/>
  <c r="D280" i="37" s="1"/>
  <c r="C291" i="34"/>
  <c r="C189" i="34"/>
  <c r="E178" i="33"/>
  <c r="D178" i="37" s="1"/>
  <c r="E200" i="33"/>
  <c r="D200" i="37" s="1"/>
  <c r="C211" i="34"/>
  <c r="C319" i="34"/>
  <c r="E308" i="33"/>
  <c r="D308" i="37" s="1"/>
  <c r="C119" i="34"/>
  <c r="E108" i="33"/>
  <c r="D108" i="37" s="1"/>
  <c r="C282" i="34"/>
  <c r="E271" i="33"/>
  <c r="D271" i="37" s="1"/>
  <c r="E42" i="33"/>
  <c r="D42" i="37" s="1"/>
  <c r="C53" i="34"/>
  <c r="E176" i="33"/>
  <c r="D176" i="37" s="1"/>
  <c r="C187" i="34"/>
  <c r="G176" i="32"/>
  <c r="C276" i="34"/>
  <c r="E265" i="33"/>
  <c r="D265" i="37" s="1"/>
  <c r="G97" i="32"/>
  <c r="G96" i="32"/>
  <c r="G89" i="32"/>
  <c r="G264" i="32"/>
  <c r="G113" i="32"/>
  <c r="G178" i="32"/>
  <c r="G196" i="32"/>
  <c r="E97" i="33"/>
  <c r="D97" i="37" s="1"/>
  <c r="C108" i="34"/>
  <c r="E96" i="33"/>
  <c r="D96" i="37" s="1"/>
  <c r="C107" i="34"/>
  <c r="C290" i="34"/>
  <c r="E279" i="33"/>
  <c r="D279" i="37" s="1"/>
  <c r="E89" i="33"/>
  <c r="D89" i="37" s="1"/>
  <c r="C100" i="34"/>
  <c r="E264" i="33"/>
  <c r="D264" i="37" s="1"/>
  <c r="C275" i="34"/>
  <c r="C124" i="34"/>
  <c r="E113" i="33"/>
  <c r="D113" i="37" s="1"/>
  <c r="E104" i="33"/>
  <c r="D104" i="37" s="1"/>
  <c r="C115" i="34"/>
  <c r="E196" i="33"/>
  <c r="D196" i="37" s="1"/>
  <c r="C207" i="34"/>
  <c r="E172" i="33"/>
  <c r="D172" i="37" s="1"/>
  <c r="C183" i="34"/>
  <c r="G279" i="32"/>
  <c r="E188" i="33"/>
  <c r="D188" i="37" s="1"/>
  <c r="C199" i="34"/>
  <c r="C279" i="34"/>
  <c r="E268" i="33"/>
  <c r="D268" i="37" s="1"/>
  <c r="C303" i="34"/>
  <c r="E292" i="33"/>
  <c r="D292" i="37" s="1"/>
  <c r="E284" i="33"/>
  <c r="D284" i="37" s="1"/>
  <c r="C295" i="34"/>
  <c r="E184" i="33"/>
  <c r="D184" i="37" s="1"/>
  <c r="C195" i="34"/>
  <c r="G105" i="32"/>
  <c r="C116" i="34"/>
  <c r="E105" i="33"/>
  <c r="D105" i="37" s="1"/>
  <c r="C111" i="34"/>
  <c r="E100" i="33"/>
  <c r="D100" i="37" s="1"/>
  <c r="G179" i="32"/>
  <c r="C273" i="34"/>
  <c r="E262" i="33"/>
  <c r="D262" i="37" s="1"/>
  <c r="G183" i="32"/>
  <c r="G280" i="32"/>
  <c r="C93" i="32"/>
  <c r="E93" i="32" l="1"/>
  <c r="G93" i="32" s="1"/>
  <c r="C3" i="13"/>
  <c r="G316" i="42" l="1"/>
  <c r="K316" i="42"/>
  <c r="L316" i="42"/>
  <c r="D316" i="42"/>
  <c r="E316" i="42"/>
  <c r="C316" i="42"/>
  <c r="G6" i="11" l="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53" i="11"/>
  <c r="G54" i="11"/>
  <c r="G55" i="11"/>
  <c r="G56" i="11"/>
  <c r="G57" i="11"/>
  <c r="G58" i="11"/>
  <c r="G59" i="11"/>
  <c r="G60" i="11"/>
  <c r="G61" i="11"/>
  <c r="G62" i="11"/>
  <c r="G63" i="11"/>
  <c r="G64" i="11"/>
  <c r="G65" i="11"/>
  <c r="G66" i="11"/>
  <c r="G67" i="11"/>
  <c r="G68" i="11"/>
  <c r="G69" i="11"/>
  <c r="G70" i="11"/>
  <c r="G71" i="11"/>
  <c r="G72" i="11"/>
  <c r="G73" i="11"/>
  <c r="G74" i="11"/>
  <c r="G75" i="11"/>
  <c r="G76" i="11"/>
  <c r="G77" i="11"/>
  <c r="G78" i="11"/>
  <c r="G79" i="11"/>
  <c r="G80" i="11"/>
  <c r="G81" i="11"/>
  <c r="G82" i="11"/>
  <c r="G83" i="11"/>
  <c r="G84" i="11"/>
  <c r="G85" i="11"/>
  <c r="G86" i="11"/>
  <c r="G87" i="11"/>
  <c r="G88" i="11"/>
  <c r="G89" i="11"/>
  <c r="G90" i="11"/>
  <c r="G91" i="11"/>
  <c r="G92" i="11"/>
  <c r="G93" i="11"/>
  <c r="G94" i="11"/>
  <c r="G95" i="11"/>
  <c r="G96" i="11"/>
  <c r="G97" i="11"/>
  <c r="G98" i="11"/>
  <c r="G99" i="11"/>
  <c r="G100" i="11"/>
  <c r="G101" i="11"/>
  <c r="G102" i="11"/>
  <c r="G103" i="11"/>
  <c r="G104" i="11"/>
  <c r="G105" i="11"/>
  <c r="G106" i="11"/>
  <c r="G107" i="11"/>
  <c r="G108" i="11"/>
  <c r="G109" i="11"/>
  <c r="G110" i="11"/>
  <c r="G111" i="11"/>
  <c r="G112" i="11"/>
  <c r="G113" i="11"/>
  <c r="G114" i="11"/>
  <c r="G115" i="11"/>
  <c r="G116" i="11"/>
  <c r="G117" i="11"/>
  <c r="G118" i="11"/>
  <c r="G119" i="11"/>
  <c r="G120" i="11"/>
  <c r="G121" i="11"/>
  <c r="G122" i="11"/>
  <c r="G123" i="11"/>
  <c r="G124" i="11"/>
  <c r="G125" i="11"/>
  <c r="G126" i="11"/>
  <c r="G127" i="11"/>
  <c r="G128" i="11"/>
  <c r="G129" i="11"/>
  <c r="G130" i="11"/>
  <c r="G131" i="11"/>
  <c r="G132" i="11"/>
  <c r="G133" i="11"/>
  <c r="G134" i="11"/>
  <c r="G135" i="11"/>
  <c r="G136" i="11"/>
  <c r="G137" i="11"/>
  <c r="G138" i="11"/>
  <c r="G139" i="11"/>
  <c r="G140" i="11"/>
  <c r="G141" i="11"/>
  <c r="G142" i="11"/>
  <c r="G143" i="11"/>
  <c r="G144" i="11"/>
  <c r="G145" i="11"/>
  <c r="G146" i="11"/>
  <c r="G147" i="11"/>
  <c r="G148" i="11"/>
  <c r="G149" i="11"/>
  <c r="G150" i="11"/>
  <c r="G151" i="11"/>
  <c r="G152" i="11"/>
  <c r="G153" i="11"/>
  <c r="G154" i="11"/>
  <c r="G155" i="11"/>
  <c r="G156" i="11"/>
  <c r="G157" i="11"/>
  <c r="G158" i="11"/>
  <c r="G159" i="11"/>
  <c r="G160" i="11"/>
  <c r="G161" i="11"/>
  <c r="G162" i="11"/>
  <c r="G163" i="11"/>
  <c r="G164" i="11"/>
  <c r="G165" i="11"/>
  <c r="G166" i="11"/>
  <c r="G167" i="11"/>
  <c r="G168" i="11"/>
  <c r="G169" i="11"/>
  <c r="G170" i="11"/>
  <c r="G171" i="11"/>
  <c r="G172" i="11"/>
  <c r="G173" i="11"/>
  <c r="G174" i="11"/>
  <c r="G175" i="11"/>
  <c r="G176" i="11"/>
  <c r="G177" i="11"/>
  <c r="G178" i="11"/>
  <c r="G179" i="11"/>
  <c r="G180" i="11"/>
  <c r="G181" i="11"/>
  <c r="G182" i="11"/>
  <c r="G183" i="11"/>
  <c r="G184" i="11"/>
  <c r="G185" i="11"/>
  <c r="G186" i="11"/>
  <c r="G187" i="11"/>
  <c r="G188" i="11"/>
  <c r="G189" i="11"/>
  <c r="G190" i="11"/>
  <c r="G191" i="11"/>
  <c r="G192" i="11"/>
  <c r="G193" i="11"/>
  <c r="G194" i="11"/>
  <c r="G195" i="11"/>
  <c r="G196" i="11"/>
  <c r="G197" i="11"/>
  <c r="G198" i="11"/>
  <c r="G199" i="11"/>
  <c r="G200" i="11"/>
  <c r="G201" i="11"/>
  <c r="G202" i="11"/>
  <c r="G203" i="11"/>
  <c r="G204" i="11"/>
  <c r="G205" i="11"/>
  <c r="G206" i="11"/>
  <c r="G207" i="11"/>
  <c r="G208" i="11"/>
  <c r="G209" i="11"/>
  <c r="G210" i="11"/>
  <c r="G211" i="11"/>
  <c r="G212" i="11"/>
  <c r="G213" i="11"/>
  <c r="G214" i="11"/>
  <c r="G215" i="11"/>
  <c r="G216" i="11"/>
  <c r="G217" i="11"/>
  <c r="G218" i="11"/>
  <c r="G219" i="11"/>
  <c r="G220" i="11"/>
  <c r="G221" i="11"/>
  <c r="G222" i="11"/>
  <c r="G223" i="11"/>
  <c r="G224" i="11"/>
  <c r="G225" i="11"/>
  <c r="G226" i="11"/>
  <c r="G227" i="11"/>
  <c r="G228" i="11"/>
  <c r="G229" i="11"/>
  <c r="G230" i="11"/>
  <c r="G231" i="11"/>
  <c r="G232" i="11"/>
  <c r="G233" i="11"/>
  <c r="G234" i="11"/>
  <c r="G235" i="11"/>
  <c r="G236" i="11"/>
  <c r="G237" i="11"/>
  <c r="G238" i="11"/>
  <c r="G239" i="11"/>
  <c r="G240" i="11"/>
  <c r="G241" i="11"/>
  <c r="G242" i="11"/>
  <c r="G243" i="11"/>
  <c r="G244" i="11"/>
  <c r="G245" i="11"/>
  <c r="G246" i="11"/>
  <c r="G247" i="11"/>
  <c r="G248" i="11"/>
  <c r="G249" i="11"/>
  <c r="G250" i="11"/>
  <c r="G251" i="11"/>
  <c r="G252" i="11"/>
  <c r="G253" i="11"/>
  <c r="G254" i="11"/>
  <c r="G255" i="11"/>
  <c r="G256" i="11"/>
  <c r="G257" i="11"/>
  <c r="G258" i="11"/>
  <c r="G259" i="11"/>
  <c r="G260" i="11"/>
  <c r="G261" i="11"/>
  <c r="G262" i="11"/>
  <c r="G263" i="11"/>
  <c r="G264" i="11"/>
  <c r="G265" i="11"/>
  <c r="G266" i="11"/>
  <c r="G267" i="11"/>
  <c r="G268" i="11"/>
  <c r="G269" i="11"/>
  <c r="G270" i="11"/>
  <c r="G271" i="11"/>
  <c r="G272" i="11"/>
  <c r="G273" i="11"/>
  <c r="G274" i="11"/>
  <c r="G275" i="11"/>
  <c r="G276" i="11"/>
  <c r="G277" i="11"/>
  <c r="G278" i="11"/>
  <c r="G279" i="11"/>
  <c r="G280" i="11"/>
  <c r="G281" i="11"/>
  <c r="G282" i="11"/>
  <c r="G283" i="11"/>
  <c r="G284" i="11"/>
  <c r="G285" i="11"/>
  <c r="G286" i="11"/>
  <c r="G287" i="11"/>
  <c r="G288" i="11"/>
  <c r="G289" i="11"/>
  <c r="G290" i="11"/>
  <c r="G291" i="11"/>
  <c r="G292" i="11"/>
  <c r="G293" i="11"/>
  <c r="G294" i="11"/>
  <c r="G295" i="11"/>
  <c r="G296" i="11"/>
  <c r="G297" i="11"/>
  <c r="G298" i="11"/>
  <c r="G299" i="11"/>
  <c r="G300" i="11"/>
  <c r="G301" i="11"/>
  <c r="G302" i="11"/>
  <c r="G303" i="11"/>
  <c r="G304" i="11"/>
  <c r="G305" i="11"/>
  <c r="G306" i="11"/>
  <c r="G307" i="11"/>
  <c r="G308" i="11"/>
  <c r="G309" i="11"/>
  <c r="G310" i="11"/>
  <c r="G311" i="11"/>
  <c r="G312" i="11"/>
  <c r="G313" i="11"/>
  <c r="J7" i="19" l="1"/>
  <c r="H4" i="33"/>
  <c r="I4" i="33"/>
  <c r="J4" i="33"/>
  <c r="K4" i="33"/>
  <c r="H3" i="33"/>
  <c r="I3" i="33"/>
  <c r="J3" i="33"/>
  <c r="K3" i="33"/>
  <c r="C315" i="13" l="1"/>
  <c r="T170" i="13" l="1"/>
  <c r="T219" i="13"/>
  <c r="T244" i="13"/>
  <c r="M170" i="42" l="1"/>
  <c r="Y170" i="42" s="1"/>
  <c r="G5" i="37" l="1"/>
  <c r="S7" i="19"/>
  <c r="AN6" i="42" l="1"/>
  <c r="AO6" i="42"/>
  <c r="AP316" i="42" l="1"/>
  <c r="AQ316" i="42"/>
  <c r="AR316" i="42"/>
  <c r="A243" i="49" l="1"/>
  <c r="A244" i="49"/>
  <c r="A245" i="49"/>
  <c r="A246" i="49"/>
  <c r="A247" i="49"/>
  <c r="A244" i="13" l="1"/>
  <c r="B244" i="13"/>
  <c r="B244" i="49"/>
  <c r="G5" i="11" l="1"/>
  <c r="A6" i="11"/>
  <c r="B6" i="11"/>
  <c r="A7" i="11"/>
  <c r="B7" i="11"/>
  <c r="A8" i="11"/>
  <c r="B8" i="11"/>
  <c r="A9" i="11"/>
  <c r="B9" i="11"/>
  <c r="A10" i="11"/>
  <c r="B10" i="11"/>
  <c r="A11" i="11"/>
  <c r="B11" i="11"/>
  <c r="A12" i="11"/>
  <c r="B12" i="11"/>
  <c r="A13" i="11"/>
  <c r="B13" i="11"/>
  <c r="A14" i="11"/>
  <c r="B14" i="11"/>
  <c r="A15" i="11"/>
  <c r="B15" i="11"/>
  <c r="A16" i="11"/>
  <c r="B16" i="11"/>
  <c r="A17" i="11"/>
  <c r="B17" i="11"/>
  <c r="A18" i="11"/>
  <c r="B18" i="11"/>
  <c r="A19" i="11"/>
  <c r="B19" i="11"/>
  <c r="A20" i="11"/>
  <c r="B20" i="11"/>
  <c r="A21" i="11"/>
  <c r="B21" i="11"/>
  <c r="A22" i="11"/>
  <c r="B22" i="11"/>
  <c r="A23" i="11"/>
  <c r="B23" i="11"/>
  <c r="A24" i="11"/>
  <c r="B24" i="11"/>
  <c r="A25" i="11"/>
  <c r="B25" i="11"/>
  <c r="A26" i="11"/>
  <c r="B26" i="11"/>
  <c r="A27" i="11"/>
  <c r="B27" i="11"/>
  <c r="A28" i="11"/>
  <c r="B28" i="11"/>
  <c r="A29" i="11"/>
  <c r="B29" i="11"/>
  <c r="A30" i="11"/>
  <c r="B30" i="11"/>
  <c r="A31" i="11"/>
  <c r="B31" i="11"/>
  <c r="A32" i="11"/>
  <c r="B32" i="11"/>
  <c r="A33" i="11"/>
  <c r="B33" i="11"/>
  <c r="A34" i="11"/>
  <c r="B34" i="11"/>
  <c r="A35" i="11"/>
  <c r="B35" i="11"/>
  <c r="A36" i="11"/>
  <c r="B36" i="11"/>
  <c r="A37" i="11"/>
  <c r="B37" i="11"/>
  <c r="A38" i="11"/>
  <c r="B38" i="11"/>
  <c r="A39" i="11"/>
  <c r="B39" i="11"/>
  <c r="A40" i="11"/>
  <c r="B40" i="11"/>
  <c r="A41" i="11"/>
  <c r="B41" i="11"/>
  <c r="A42" i="11"/>
  <c r="B42" i="11"/>
  <c r="A43" i="11"/>
  <c r="B43" i="11"/>
  <c r="A44" i="11"/>
  <c r="B44" i="11"/>
  <c r="A45" i="11"/>
  <c r="B45" i="11"/>
  <c r="A46" i="11"/>
  <c r="B46" i="11"/>
  <c r="A47" i="11"/>
  <c r="B47" i="11"/>
  <c r="A48" i="11"/>
  <c r="B48" i="11"/>
  <c r="A49" i="11"/>
  <c r="B49" i="11"/>
  <c r="A50" i="11"/>
  <c r="B50" i="11"/>
  <c r="A51" i="11"/>
  <c r="B51" i="11"/>
  <c r="A52" i="11"/>
  <c r="B52" i="11"/>
  <c r="A53" i="11"/>
  <c r="B53" i="11"/>
  <c r="A54" i="11"/>
  <c r="B54" i="11"/>
  <c r="A55" i="11"/>
  <c r="B55" i="11"/>
  <c r="A56" i="11"/>
  <c r="B56" i="11"/>
  <c r="A57" i="11"/>
  <c r="B57" i="11"/>
  <c r="A58" i="11"/>
  <c r="B58" i="11"/>
  <c r="A59" i="11"/>
  <c r="B59" i="11"/>
  <c r="A60" i="11"/>
  <c r="B60" i="11"/>
  <c r="A61" i="11"/>
  <c r="B61" i="11"/>
  <c r="A62" i="11"/>
  <c r="B62" i="11"/>
  <c r="A63" i="11"/>
  <c r="B63" i="11"/>
  <c r="A64" i="11"/>
  <c r="B64" i="11"/>
  <c r="A65" i="11"/>
  <c r="B65" i="11"/>
  <c r="A66" i="11"/>
  <c r="B66" i="11"/>
  <c r="A67" i="11"/>
  <c r="B67" i="11"/>
  <c r="A68" i="11"/>
  <c r="B68" i="11"/>
  <c r="A69" i="11"/>
  <c r="B69" i="11"/>
  <c r="A70" i="11"/>
  <c r="B70" i="11"/>
  <c r="A71" i="11"/>
  <c r="B71" i="11"/>
  <c r="A72" i="11"/>
  <c r="B72" i="11"/>
  <c r="A73" i="11"/>
  <c r="B73" i="11"/>
  <c r="A74" i="11"/>
  <c r="B74" i="11"/>
  <c r="A75" i="11"/>
  <c r="B75" i="11"/>
  <c r="A76" i="11"/>
  <c r="B76" i="11"/>
  <c r="A77" i="11"/>
  <c r="B77" i="11"/>
  <c r="A78" i="11"/>
  <c r="B78" i="11"/>
  <c r="A79" i="11"/>
  <c r="B79" i="11"/>
  <c r="A80" i="11"/>
  <c r="B80" i="11"/>
  <c r="A81" i="11"/>
  <c r="B81" i="11"/>
  <c r="A82" i="11"/>
  <c r="B82" i="11"/>
  <c r="A83" i="11"/>
  <c r="B83" i="11"/>
  <c r="A84" i="11"/>
  <c r="B84" i="11"/>
  <c r="A85" i="11"/>
  <c r="B85" i="11"/>
  <c r="A86" i="11"/>
  <c r="B86" i="11"/>
  <c r="A87" i="11"/>
  <c r="B87" i="11"/>
  <c r="A88" i="11"/>
  <c r="B88" i="11"/>
  <c r="A89" i="11"/>
  <c r="B89" i="11"/>
  <c r="A90" i="11"/>
  <c r="B90" i="11"/>
  <c r="A91" i="11"/>
  <c r="B91" i="11"/>
  <c r="A92" i="11"/>
  <c r="B92" i="11"/>
  <c r="A93" i="11"/>
  <c r="B93" i="11"/>
  <c r="A94" i="11"/>
  <c r="B94" i="11"/>
  <c r="A95" i="11"/>
  <c r="B95" i="11"/>
  <c r="A96" i="11"/>
  <c r="B96" i="11"/>
  <c r="A97" i="11"/>
  <c r="B97" i="11"/>
  <c r="A98" i="11"/>
  <c r="B98" i="11"/>
  <c r="A99" i="11"/>
  <c r="B99" i="11"/>
  <c r="A100" i="11"/>
  <c r="B100" i="11"/>
  <c r="A101" i="11"/>
  <c r="B101" i="11"/>
  <c r="A102" i="11"/>
  <c r="B102" i="11"/>
  <c r="A103" i="11"/>
  <c r="B103" i="11"/>
  <c r="A104" i="11"/>
  <c r="B104" i="11"/>
  <c r="A105" i="11"/>
  <c r="B105" i="11"/>
  <c r="A106" i="11"/>
  <c r="B106" i="11"/>
  <c r="A107" i="11"/>
  <c r="B107" i="11"/>
  <c r="A108" i="11"/>
  <c r="B108" i="11"/>
  <c r="A109" i="11"/>
  <c r="B109" i="11"/>
  <c r="A110" i="11"/>
  <c r="B110" i="11"/>
  <c r="A111" i="11"/>
  <c r="B111" i="11"/>
  <c r="A112" i="11"/>
  <c r="B112" i="11"/>
  <c r="A113" i="11"/>
  <c r="B113" i="11"/>
  <c r="A114" i="11"/>
  <c r="B114" i="11"/>
  <c r="A115" i="11"/>
  <c r="B115" i="11"/>
  <c r="A116" i="11"/>
  <c r="B116" i="11"/>
  <c r="A117" i="11"/>
  <c r="B117" i="11"/>
  <c r="A118" i="11"/>
  <c r="B118" i="11"/>
  <c r="A119" i="11"/>
  <c r="B119" i="11"/>
  <c r="A120" i="11"/>
  <c r="B120" i="11"/>
  <c r="A121" i="11"/>
  <c r="B121" i="11"/>
  <c r="A122" i="11"/>
  <c r="B122" i="11"/>
  <c r="A123" i="11"/>
  <c r="B123" i="11"/>
  <c r="A124" i="11"/>
  <c r="B124" i="11"/>
  <c r="A125" i="11"/>
  <c r="B125" i="11"/>
  <c r="A126" i="11"/>
  <c r="B126" i="11"/>
  <c r="A127" i="11"/>
  <c r="B127" i="11"/>
  <c r="A128" i="11"/>
  <c r="B128" i="11"/>
  <c r="A129" i="11"/>
  <c r="B129" i="11"/>
  <c r="A130" i="11"/>
  <c r="B130" i="11"/>
  <c r="A131" i="11"/>
  <c r="B131" i="11"/>
  <c r="A132" i="11"/>
  <c r="B132" i="11"/>
  <c r="A133" i="11"/>
  <c r="B133" i="11"/>
  <c r="A134" i="11"/>
  <c r="B134" i="11"/>
  <c r="A135" i="11"/>
  <c r="B135" i="11"/>
  <c r="A136" i="11"/>
  <c r="B136" i="11"/>
  <c r="A137" i="11"/>
  <c r="B137" i="11"/>
  <c r="A138" i="11"/>
  <c r="B138" i="11"/>
  <c r="A139" i="11"/>
  <c r="B139" i="11"/>
  <c r="A140" i="11"/>
  <c r="B140" i="11"/>
  <c r="A141" i="11"/>
  <c r="B141" i="11"/>
  <c r="A142" i="11"/>
  <c r="B142" i="11"/>
  <c r="A143" i="11"/>
  <c r="B143" i="11"/>
  <c r="A144" i="11"/>
  <c r="B144" i="11"/>
  <c r="A145" i="11"/>
  <c r="B145" i="11"/>
  <c r="A146" i="11"/>
  <c r="B146" i="11"/>
  <c r="A147" i="11"/>
  <c r="B147" i="11"/>
  <c r="A148" i="11"/>
  <c r="B148" i="11"/>
  <c r="A149" i="11"/>
  <c r="B149" i="11"/>
  <c r="A150" i="11"/>
  <c r="B150" i="11"/>
  <c r="A151" i="11"/>
  <c r="B151" i="11"/>
  <c r="A152" i="11"/>
  <c r="B152" i="11"/>
  <c r="A153" i="11"/>
  <c r="B153" i="11"/>
  <c r="A154" i="11"/>
  <c r="B154" i="11"/>
  <c r="A155" i="11"/>
  <c r="B155" i="11"/>
  <c r="A156" i="11"/>
  <c r="B156" i="11"/>
  <c r="A157" i="11"/>
  <c r="B157" i="11"/>
  <c r="A158" i="11"/>
  <c r="B158" i="11"/>
  <c r="A159" i="11"/>
  <c r="B159" i="11"/>
  <c r="A160" i="11"/>
  <c r="B160" i="11"/>
  <c r="A161" i="11"/>
  <c r="B161" i="11"/>
  <c r="A162" i="11"/>
  <c r="B162" i="11"/>
  <c r="A163" i="11"/>
  <c r="B163" i="11"/>
  <c r="A164" i="11"/>
  <c r="B164" i="11"/>
  <c r="A165" i="11"/>
  <c r="B165" i="11"/>
  <c r="A166" i="11"/>
  <c r="B166" i="11"/>
  <c r="A167" i="11"/>
  <c r="B167" i="11"/>
  <c r="A168" i="11"/>
  <c r="B168" i="11"/>
  <c r="A169" i="11"/>
  <c r="B169" i="11"/>
  <c r="A170" i="11"/>
  <c r="B170" i="11"/>
  <c r="A171" i="11"/>
  <c r="B171" i="11"/>
  <c r="A172" i="11"/>
  <c r="B172" i="11"/>
  <c r="A173" i="11"/>
  <c r="B173" i="11"/>
  <c r="A174" i="11"/>
  <c r="B174" i="11"/>
  <c r="A175" i="11"/>
  <c r="B175" i="11"/>
  <c r="A176" i="11"/>
  <c r="B176" i="11"/>
  <c r="A177" i="11"/>
  <c r="B177" i="11"/>
  <c r="A178" i="11"/>
  <c r="B178" i="11"/>
  <c r="A179" i="11"/>
  <c r="B179" i="11"/>
  <c r="A180" i="11"/>
  <c r="B180" i="11"/>
  <c r="A181" i="11"/>
  <c r="B181" i="11"/>
  <c r="A182" i="11"/>
  <c r="B182" i="11"/>
  <c r="A183" i="11"/>
  <c r="B183" i="11"/>
  <c r="A184" i="11"/>
  <c r="B184" i="11"/>
  <c r="A185" i="11"/>
  <c r="B185" i="11"/>
  <c r="A186" i="11"/>
  <c r="B186" i="11"/>
  <c r="A187" i="11"/>
  <c r="B187" i="11"/>
  <c r="A188" i="11"/>
  <c r="B188" i="11"/>
  <c r="A189" i="11"/>
  <c r="B189" i="11"/>
  <c r="A190" i="11"/>
  <c r="B190" i="11"/>
  <c r="A191" i="11"/>
  <c r="B191" i="11"/>
  <c r="A192" i="11"/>
  <c r="B192" i="11"/>
  <c r="A193" i="11"/>
  <c r="B193" i="11"/>
  <c r="A194" i="11"/>
  <c r="B194" i="11"/>
  <c r="A195" i="11"/>
  <c r="B195" i="11"/>
  <c r="A196" i="11"/>
  <c r="B196" i="11"/>
  <c r="A197" i="11"/>
  <c r="B197" i="11"/>
  <c r="A198" i="11"/>
  <c r="B198" i="11"/>
  <c r="A199" i="11"/>
  <c r="B199" i="11"/>
  <c r="A200" i="11"/>
  <c r="B200" i="11"/>
  <c r="A201" i="11"/>
  <c r="B201" i="11"/>
  <c r="A202" i="11"/>
  <c r="B202" i="11"/>
  <c r="A203" i="11"/>
  <c r="B203" i="11"/>
  <c r="A204" i="11"/>
  <c r="B204" i="11"/>
  <c r="A205" i="11"/>
  <c r="B205" i="11"/>
  <c r="A206" i="11"/>
  <c r="B206" i="11"/>
  <c r="A207" i="11"/>
  <c r="B207" i="11"/>
  <c r="A208" i="11"/>
  <c r="B208" i="11"/>
  <c r="A209" i="11"/>
  <c r="B209" i="11"/>
  <c r="A210" i="11"/>
  <c r="B210" i="11"/>
  <c r="A211" i="11"/>
  <c r="B211" i="11"/>
  <c r="A212" i="11"/>
  <c r="B212" i="11"/>
  <c r="A213" i="11"/>
  <c r="B213" i="11"/>
  <c r="A214" i="11"/>
  <c r="B214" i="11"/>
  <c r="A215" i="11"/>
  <c r="B215" i="11"/>
  <c r="A216" i="11"/>
  <c r="B216" i="11"/>
  <c r="A217" i="11"/>
  <c r="B217" i="11"/>
  <c r="A218" i="11"/>
  <c r="B218" i="11"/>
  <c r="A219" i="11"/>
  <c r="B219" i="11"/>
  <c r="A220" i="11"/>
  <c r="B220" i="11"/>
  <c r="A221" i="11"/>
  <c r="B221" i="11"/>
  <c r="A222" i="11"/>
  <c r="B222" i="11"/>
  <c r="A223" i="11"/>
  <c r="B223" i="11"/>
  <c r="A224" i="11"/>
  <c r="B224" i="11"/>
  <c r="A225" i="11"/>
  <c r="B225" i="11"/>
  <c r="A226" i="11"/>
  <c r="B226" i="11"/>
  <c r="A227" i="11"/>
  <c r="B227" i="11"/>
  <c r="A228" i="11"/>
  <c r="B228" i="11"/>
  <c r="A229" i="11"/>
  <c r="B229" i="11"/>
  <c r="A230" i="11"/>
  <c r="B230" i="11"/>
  <c r="A231" i="11"/>
  <c r="B231" i="11"/>
  <c r="A232" i="11"/>
  <c r="B232" i="11"/>
  <c r="A233" i="11"/>
  <c r="B233" i="11"/>
  <c r="A234" i="11"/>
  <c r="B234" i="11"/>
  <c r="A235" i="11"/>
  <c r="B235" i="11"/>
  <c r="A236" i="11"/>
  <c r="B236" i="11"/>
  <c r="A237" i="11"/>
  <c r="B237" i="11"/>
  <c r="A238" i="11"/>
  <c r="B238" i="11"/>
  <c r="A239" i="11"/>
  <c r="B239" i="11"/>
  <c r="A240" i="11"/>
  <c r="B240" i="11"/>
  <c r="A241" i="11"/>
  <c r="B241" i="11"/>
  <c r="A242" i="11"/>
  <c r="B242" i="11"/>
  <c r="A243" i="11"/>
  <c r="B243" i="11"/>
  <c r="A244" i="11"/>
  <c r="B244" i="11"/>
  <c r="A245" i="11"/>
  <c r="B245" i="11"/>
  <c r="A246" i="11"/>
  <c r="B246" i="11"/>
  <c r="A247" i="11"/>
  <c r="B247" i="11"/>
  <c r="A248" i="11"/>
  <c r="B248" i="11"/>
  <c r="A249" i="11"/>
  <c r="B249" i="11"/>
  <c r="A250" i="11"/>
  <c r="B250" i="11"/>
  <c r="A251" i="11"/>
  <c r="B251" i="11"/>
  <c r="A252" i="11"/>
  <c r="B252" i="11"/>
  <c r="A253" i="11"/>
  <c r="B253" i="11"/>
  <c r="A254" i="11"/>
  <c r="B254" i="11"/>
  <c r="A255" i="11"/>
  <c r="B255" i="11"/>
  <c r="A256" i="11"/>
  <c r="B256" i="11"/>
  <c r="A257" i="11"/>
  <c r="B257" i="11"/>
  <c r="A258" i="11"/>
  <c r="B258" i="11"/>
  <c r="A259" i="11"/>
  <c r="B259" i="11"/>
  <c r="A260" i="11"/>
  <c r="B260" i="11"/>
  <c r="A261" i="11"/>
  <c r="B261" i="11"/>
  <c r="A262" i="11"/>
  <c r="B262" i="11"/>
  <c r="A263" i="11"/>
  <c r="B263" i="11"/>
  <c r="A264" i="11"/>
  <c r="B264" i="11"/>
  <c r="A265" i="11"/>
  <c r="B265" i="11"/>
  <c r="A266" i="11"/>
  <c r="B266" i="11"/>
  <c r="A267" i="11"/>
  <c r="B267" i="11"/>
  <c r="A268" i="11"/>
  <c r="B268" i="11"/>
  <c r="A269" i="11"/>
  <c r="B269" i="11"/>
  <c r="A270" i="11"/>
  <c r="B270" i="11"/>
  <c r="A271" i="11"/>
  <c r="B271" i="11"/>
  <c r="A272" i="11"/>
  <c r="B272" i="11"/>
  <c r="A273" i="11"/>
  <c r="B273" i="11"/>
  <c r="A274" i="11"/>
  <c r="B274" i="11"/>
  <c r="A275" i="11"/>
  <c r="B275" i="11"/>
  <c r="A276" i="11"/>
  <c r="B276" i="11"/>
  <c r="A277" i="11"/>
  <c r="B277" i="11"/>
  <c r="A278" i="11"/>
  <c r="B278" i="11"/>
  <c r="A279" i="11"/>
  <c r="B279" i="11"/>
  <c r="A280" i="11"/>
  <c r="B280" i="11"/>
  <c r="A281" i="11"/>
  <c r="B281" i="11"/>
  <c r="A282" i="11"/>
  <c r="B282" i="11"/>
  <c r="A283" i="11"/>
  <c r="B283" i="11"/>
  <c r="A284" i="11"/>
  <c r="B284" i="11"/>
  <c r="A285" i="11"/>
  <c r="B285" i="11"/>
  <c r="A286" i="11"/>
  <c r="B286" i="11"/>
  <c r="A287" i="11"/>
  <c r="B287" i="11"/>
  <c r="A288" i="11"/>
  <c r="B288" i="11"/>
  <c r="A289" i="11"/>
  <c r="B289" i="11"/>
  <c r="A290" i="11"/>
  <c r="B290" i="11"/>
  <c r="A291" i="11"/>
  <c r="B291" i="11"/>
  <c r="A292" i="11"/>
  <c r="B292" i="11"/>
  <c r="A293" i="11"/>
  <c r="B293" i="11"/>
  <c r="A294" i="11"/>
  <c r="B294" i="11"/>
  <c r="A295" i="11"/>
  <c r="B295" i="11"/>
  <c r="A296" i="11"/>
  <c r="B296" i="11"/>
  <c r="A297" i="11"/>
  <c r="B297" i="11"/>
  <c r="A298" i="11"/>
  <c r="B298" i="11"/>
  <c r="A299" i="11"/>
  <c r="B299" i="11"/>
  <c r="A300" i="11"/>
  <c r="B300" i="11"/>
  <c r="A301" i="11"/>
  <c r="B301" i="11"/>
  <c r="A302" i="11"/>
  <c r="B302" i="11"/>
  <c r="A303" i="11"/>
  <c r="B303" i="11"/>
  <c r="A304" i="11"/>
  <c r="B304" i="11"/>
  <c r="A305" i="11"/>
  <c r="B305" i="11"/>
  <c r="A306" i="11"/>
  <c r="B306" i="11"/>
  <c r="A307" i="11"/>
  <c r="B307" i="11"/>
  <c r="A308" i="11"/>
  <c r="B308" i="11"/>
  <c r="A309" i="11"/>
  <c r="B309" i="11"/>
  <c r="A310" i="11"/>
  <c r="B310" i="11"/>
  <c r="A311" i="11"/>
  <c r="B311" i="11"/>
  <c r="A312" i="11"/>
  <c r="B312" i="11"/>
  <c r="A313" i="11"/>
  <c r="B313" i="11"/>
  <c r="B5" i="11"/>
  <c r="A5" i="11"/>
  <c r="C7" i="25"/>
  <c r="C8" i="25"/>
  <c r="C9" i="25"/>
  <c r="C10" i="25"/>
  <c r="C11" i="25"/>
  <c r="C12" i="25"/>
  <c r="C13" i="25"/>
  <c r="C14" i="25"/>
  <c r="C15" i="25"/>
  <c r="C16" i="25"/>
  <c r="C17" i="25"/>
  <c r="C18" i="25"/>
  <c r="C19" i="25"/>
  <c r="C20" i="25"/>
  <c r="C21" i="25"/>
  <c r="C22" i="25"/>
  <c r="C23" i="25"/>
  <c r="C24" i="25"/>
  <c r="C25" i="25"/>
  <c r="C26" i="25"/>
  <c r="C27" i="25"/>
  <c r="C28" i="25"/>
  <c r="C29" i="25"/>
  <c r="C30" i="25"/>
  <c r="C31" i="25"/>
  <c r="C32" i="25"/>
  <c r="C33" i="25"/>
  <c r="C34" i="25"/>
  <c r="C35" i="25"/>
  <c r="C36" i="25"/>
  <c r="C37" i="25"/>
  <c r="C38" i="25"/>
  <c r="C39" i="25"/>
  <c r="C40" i="25"/>
  <c r="C41" i="25"/>
  <c r="C42" i="25"/>
  <c r="C43" i="25"/>
  <c r="C44" i="25"/>
  <c r="C45" i="25"/>
  <c r="C46" i="25"/>
  <c r="C47" i="25"/>
  <c r="C48" i="25"/>
  <c r="C49" i="25"/>
  <c r="C50" i="25"/>
  <c r="C51" i="25"/>
  <c r="C52" i="25"/>
  <c r="C53" i="25"/>
  <c r="C54" i="25"/>
  <c r="C55" i="25"/>
  <c r="C56" i="25"/>
  <c r="C57" i="25"/>
  <c r="C58" i="25"/>
  <c r="C59" i="25"/>
  <c r="C60" i="25"/>
  <c r="C61" i="25"/>
  <c r="C62" i="25"/>
  <c r="C63" i="25"/>
  <c r="C64" i="25"/>
  <c r="C65" i="25"/>
  <c r="C66" i="25"/>
  <c r="C67" i="25"/>
  <c r="C68" i="25"/>
  <c r="C69" i="25"/>
  <c r="C70" i="25"/>
  <c r="C71" i="25"/>
  <c r="C72" i="25"/>
  <c r="C73" i="25"/>
  <c r="C74" i="25"/>
  <c r="C75" i="25"/>
  <c r="C76" i="25"/>
  <c r="C77" i="25"/>
  <c r="C78" i="25"/>
  <c r="C79" i="25"/>
  <c r="C80" i="25"/>
  <c r="C81" i="25"/>
  <c r="C82" i="25"/>
  <c r="C83" i="25"/>
  <c r="C84" i="25"/>
  <c r="C85" i="25"/>
  <c r="C86" i="25"/>
  <c r="C87" i="25"/>
  <c r="C88" i="25"/>
  <c r="C89" i="25"/>
  <c r="C90" i="25"/>
  <c r="C91" i="25"/>
  <c r="C92" i="25"/>
  <c r="C93" i="25"/>
  <c r="C94" i="25"/>
  <c r="C95" i="25"/>
  <c r="C96" i="25"/>
  <c r="C97" i="25"/>
  <c r="C98" i="25"/>
  <c r="C99" i="25"/>
  <c r="C100" i="25"/>
  <c r="C101" i="25"/>
  <c r="C102" i="25"/>
  <c r="C103" i="25"/>
  <c r="C104" i="25"/>
  <c r="C105" i="25"/>
  <c r="C106" i="25"/>
  <c r="C107" i="25"/>
  <c r="C108" i="25"/>
  <c r="C109" i="25"/>
  <c r="C110" i="25"/>
  <c r="C111" i="25"/>
  <c r="C112" i="25"/>
  <c r="C113" i="25"/>
  <c r="C114" i="25"/>
  <c r="C115" i="25"/>
  <c r="C116" i="25"/>
  <c r="C117" i="25"/>
  <c r="C118" i="25"/>
  <c r="C119" i="25"/>
  <c r="C120" i="25"/>
  <c r="C121" i="25"/>
  <c r="C122" i="25"/>
  <c r="C123" i="25"/>
  <c r="C124" i="25"/>
  <c r="C125" i="25"/>
  <c r="C126" i="25"/>
  <c r="C127" i="25"/>
  <c r="C128" i="25"/>
  <c r="C129" i="25"/>
  <c r="C130" i="25"/>
  <c r="C131" i="25"/>
  <c r="C132" i="25"/>
  <c r="C133" i="25"/>
  <c r="C134" i="25"/>
  <c r="C135" i="25"/>
  <c r="C136" i="25"/>
  <c r="C137" i="25"/>
  <c r="C138" i="25"/>
  <c r="C139" i="25"/>
  <c r="C140" i="25"/>
  <c r="C141" i="25"/>
  <c r="C142" i="25"/>
  <c r="C143" i="25"/>
  <c r="C144" i="25"/>
  <c r="C145" i="25"/>
  <c r="C146" i="25"/>
  <c r="C147" i="25"/>
  <c r="C148" i="25"/>
  <c r="C149" i="25"/>
  <c r="C150" i="25"/>
  <c r="C151" i="25"/>
  <c r="C152" i="25"/>
  <c r="C153" i="25"/>
  <c r="C154" i="25"/>
  <c r="C155" i="25"/>
  <c r="C156" i="25"/>
  <c r="C157" i="25"/>
  <c r="C158" i="25"/>
  <c r="C159" i="25"/>
  <c r="C160" i="25"/>
  <c r="C161" i="25"/>
  <c r="C162" i="25"/>
  <c r="C163" i="25"/>
  <c r="C164" i="25"/>
  <c r="C165" i="25"/>
  <c r="C166" i="25"/>
  <c r="C167" i="25"/>
  <c r="C168" i="25"/>
  <c r="C169" i="25"/>
  <c r="C170" i="25"/>
  <c r="C171" i="25"/>
  <c r="C172" i="25"/>
  <c r="C173" i="25"/>
  <c r="C174" i="25"/>
  <c r="C175" i="25"/>
  <c r="C176" i="25"/>
  <c r="C177" i="25"/>
  <c r="C178" i="25"/>
  <c r="C179" i="25"/>
  <c r="C180" i="25"/>
  <c r="C181" i="25"/>
  <c r="C182" i="25"/>
  <c r="C183" i="25"/>
  <c r="C184" i="25"/>
  <c r="C185" i="25"/>
  <c r="C186" i="25"/>
  <c r="C187" i="25"/>
  <c r="C188" i="25"/>
  <c r="C189" i="25"/>
  <c r="C190" i="25"/>
  <c r="C191" i="25"/>
  <c r="C192" i="25"/>
  <c r="C193" i="25"/>
  <c r="C194" i="25"/>
  <c r="C195" i="25"/>
  <c r="C196" i="25"/>
  <c r="C197" i="25"/>
  <c r="C198" i="25"/>
  <c r="C199" i="25"/>
  <c r="C200" i="25"/>
  <c r="C201" i="25"/>
  <c r="C202" i="25"/>
  <c r="C203" i="25"/>
  <c r="C204" i="25"/>
  <c r="C205" i="25"/>
  <c r="C206" i="25"/>
  <c r="C207" i="25"/>
  <c r="C208" i="25"/>
  <c r="C209" i="25"/>
  <c r="C210" i="25"/>
  <c r="C211" i="25"/>
  <c r="C212" i="25"/>
  <c r="C213" i="25"/>
  <c r="C214" i="25"/>
  <c r="C215" i="25"/>
  <c r="C216" i="25"/>
  <c r="C217" i="25"/>
  <c r="C218" i="25"/>
  <c r="C219" i="25"/>
  <c r="C220" i="25"/>
  <c r="C221" i="25"/>
  <c r="C222" i="25"/>
  <c r="C223" i="25"/>
  <c r="C224" i="25"/>
  <c r="C225" i="25"/>
  <c r="C226" i="25"/>
  <c r="C227" i="25"/>
  <c r="C228" i="25"/>
  <c r="C229" i="25"/>
  <c r="C230" i="25"/>
  <c r="C231" i="25"/>
  <c r="C232" i="25"/>
  <c r="C233" i="25"/>
  <c r="C234" i="25"/>
  <c r="C235" i="25"/>
  <c r="C236" i="25"/>
  <c r="C237" i="25"/>
  <c r="C238" i="25"/>
  <c r="C239" i="25"/>
  <c r="C240" i="25"/>
  <c r="C241" i="25"/>
  <c r="C242" i="25"/>
  <c r="C243" i="25"/>
  <c r="C244" i="25"/>
  <c r="C245" i="25"/>
  <c r="C246" i="25"/>
  <c r="C247" i="25"/>
  <c r="C248" i="25"/>
  <c r="C249" i="25"/>
  <c r="C250" i="25"/>
  <c r="C251" i="25"/>
  <c r="C252" i="25"/>
  <c r="C253" i="25"/>
  <c r="C254" i="25"/>
  <c r="C255" i="25"/>
  <c r="C256" i="25"/>
  <c r="C257" i="25"/>
  <c r="C258" i="25"/>
  <c r="C259" i="25"/>
  <c r="C260" i="25"/>
  <c r="C261" i="25"/>
  <c r="C262" i="25"/>
  <c r="C263" i="25"/>
  <c r="C264" i="25"/>
  <c r="C265" i="25"/>
  <c r="C266" i="25"/>
  <c r="C267" i="25"/>
  <c r="C268" i="25"/>
  <c r="C269" i="25"/>
  <c r="C270" i="25"/>
  <c r="C271" i="25"/>
  <c r="C272" i="25"/>
  <c r="C273" i="25"/>
  <c r="C274" i="25"/>
  <c r="C275" i="25"/>
  <c r="C276" i="25"/>
  <c r="C277" i="25"/>
  <c r="C278" i="25"/>
  <c r="C279" i="25"/>
  <c r="C280" i="25"/>
  <c r="C281" i="25"/>
  <c r="C282" i="25"/>
  <c r="C283" i="25"/>
  <c r="C284" i="25"/>
  <c r="C285" i="25"/>
  <c r="C286" i="25"/>
  <c r="C287" i="25"/>
  <c r="C288" i="25"/>
  <c r="C289" i="25"/>
  <c r="C290" i="25"/>
  <c r="C291" i="25"/>
  <c r="C292" i="25"/>
  <c r="C293" i="25"/>
  <c r="C294" i="25"/>
  <c r="C295" i="25"/>
  <c r="C296" i="25"/>
  <c r="C297" i="25"/>
  <c r="C298" i="25"/>
  <c r="C299" i="25"/>
  <c r="C300" i="25"/>
  <c r="C301" i="25"/>
  <c r="C302" i="25"/>
  <c r="C303" i="25"/>
  <c r="C304" i="25"/>
  <c r="C305" i="25"/>
  <c r="C306" i="25"/>
  <c r="C307" i="25"/>
  <c r="C308" i="25"/>
  <c r="C309" i="25"/>
  <c r="C310" i="25"/>
  <c r="C311" i="25"/>
  <c r="C312" i="25"/>
  <c r="C313" i="25"/>
  <c r="C314" i="25"/>
  <c r="D314" i="25" l="1"/>
  <c r="D308" i="25"/>
  <c r="D306" i="25"/>
  <c r="D302" i="25"/>
  <c r="D300" i="25"/>
  <c r="D298" i="25"/>
  <c r="D294" i="25"/>
  <c r="D292" i="25"/>
  <c r="D290" i="25"/>
  <c r="D286" i="25"/>
  <c r="D284" i="25"/>
  <c r="D282" i="25"/>
  <c r="D278" i="25"/>
  <c r="D276" i="25"/>
  <c r="D274" i="25"/>
  <c r="D270" i="25"/>
  <c r="D268" i="25"/>
  <c r="D266" i="25"/>
  <c r="D262" i="25"/>
  <c r="D260" i="25"/>
  <c r="D258" i="25"/>
  <c r="D254" i="25"/>
  <c r="D252" i="25"/>
  <c r="D250" i="25"/>
  <c r="D246" i="25"/>
  <c r="D244" i="25"/>
  <c r="D242" i="25"/>
  <c r="D238" i="25"/>
  <c r="D236" i="25"/>
  <c r="D234" i="25"/>
  <c r="D230" i="25"/>
  <c r="D228" i="25"/>
  <c r="D226" i="25"/>
  <c r="D222" i="25"/>
  <c r="D220" i="25"/>
  <c r="D218" i="25"/>
  <c r="D214" i="25"/>
  <c r="D212" i="25"/>
  <c r="D210" i="25"/>
  <c r="D206" i="25"/>
  <c r="D204" i="25"/>
  <c r="D202" i="25"/>
  <c r="D198" i="25"/>
  <c r="D196" i="25"/>
  <c r="D194" i="25"/>
  <c r="D190" i="25"/>
  <c r="D188" i="25"/>
  <c r="D186" i="25"/>
  <c r="D182" i="25"/>
  <c r="D180" i="25"/>
  <c r="D178" i="25"/>
  <c r="D174" i="25"/>
  <c r="D172" i="25"/>
  <c r="D170" i="25"/>
  <c r="D166" i="25"/>
  <c r="D164" i="25"/>
  <c r="D162" i="25"/>
  <c r="D158" i="25"/>
  <c r="D156" i="25"/>
  <c r="D154" i="25"/>
  <c r="D150" i="25"/>
  <c r="D142" i="25"/>
  <c r="D140" i="25"/>
  <c r="D138" i="25"/>
  <c r="D132" i="25"/>
  <c r="D130" i="25"/>
  <c r="D126" i="25"/>
  <c r="D124" i="25"/>
  <c r="D116" i="25"/>
  <c r="D112" i="25"/>
  <c r="D106" i="25"/>
  <c r="D104" i="25"/>
  <c r="D100" i="25"/>
  <c r="D98" i="25"/>
  <c r="D96" i="25"/>
  <c r="D90" i="25"/>
  <c r="D84" i="25"/>
  <c r="D80" i="25"/>
  <c r="D74" i="25"/>
  <c r="D72" i="25"/>
  <c r="D68" i="25"/>
  <c r="D66" i="25"/>
  <c r="D64" i="25"/>
  <c r="D60" i="25"/>
  <c r="D52" i="25"/>
  <c r="D48" i="25"/>
  <c r="D42" i="25"/>
  <c r="D36" i="25"/>
  <c r="D34" i="25"/>
  <c r="D32" i="25"/>
  <c r="D28" i="25"/>
  <c r="D26" i="25"/>
  <c r="D20" i="25"/>
  <c r="D16" i="25"/>
  <c r="D10" i="25"/>
  <c r="D8" i="25"/>
  <c r="D299" i="25"/>
  <c r="D283" i="25"/>
  <c r="D267" i="25"/>
  <c r="D251" i="25"/>
  <c r="D243" i="25"/>
  <c r="D235" i="25"/>
  <c r="D219" i="25"/>
  <c r="D203" i="25"/>
  <c r="D195" i="25"/>
  <c r="D187" i="25"/>
  <c r="D171" i="25"/>
  <c r="D155" i="25"/>
  <c r="D139" i="25"/>
  <c r="D123" i="25"/>
  <c r="D103" i="25"/>
  <c r="D97" i="25"/>
  <c r="D71" i="25"/>
  <c r="D63" i="25"/>
  <c r="D59" i="25"/>
  <c r="D55" i="25"/>
  <c r="D51" i="25"/>
  <c r="D47" i="25"/>
  <c r="D43" i="25"/>
  <c r="D35" i="25"/>
  <c r="D31" i="25"/>
  <c r="D23" i="25"/>
  <c r="D19" i="25"/>
  <c r="D15" i="25"/>
  <c r="D11" i="25"/>
  <c r="A313" i="25"/>
  <c r="A307" i="25"/>
  <c r="A301" i="25"/>
  <c r="A297" i="25"/>
  <c r="A293" i="25"/>
  <c r="A289" i="25"/>
  <c r="A287" i="25"/>
  <c r="A283" i="25"/>
  <c r="A277" i="25"/>
  <c r="A273" i="25"/>
  <c r="A265" i="25"/>
  <c r="A261" i="25"/>
  <c r="A257" i="25"/>
  <c r="A253" i="25"/>
  <c r="A251" i="25"/>
  <c r="A245" i="25"/>
  <c r="A241" i="25"/>
  <c r="A237" i="25"/>
  <c r="A233" i="25"/>
  <c r="A229" i="25"/>
  <c r="A225" i="25"/>
  <c r="A221" i="25"/>
  <c r="A215" i="25"/>
  <c r="A211" i="25"/>
  <c r="A207" i="25"/>
  <c r="A203" i="25"/>
  <c r="A201" i="25"/>
  <c r="A197" i="25"/>
  <c r="A193" i="25"/>
  <c r="A191" i="25"/>
  <c r="A187" i="25"/>
  <c r="A183" i="25"/>
  <c r="A179" i="25"/>
  <c r="A175" i="25"/>
  <c r="A171" i="25"/>
  <c r="A167" i="25"/>
  <c r="A163" i="25"/>
  <c r="A157" i="25"/>
  <c r="A153" i="25"/>
  <c r="A149" i="25"/>
  <c r="A145" i="25"/>
  <c r="A141" i="25"/>
  <c r="A137" i="25"/>
  <c r="A133" i="25"/>
  <c r="A129" i="25"/>
  <c r="A125" i="25"/>
  <c r="A123" i="25"/>
  <c r="A119" i="25"/>
  <c r="A115" i="25"/>
  <c r="A111" i="25"/>
  <c r="A105" i="25"/>
  <c r="A101" i="25"/>
  <c r="A97" i="25"/>
  <c r="A93" i="25"/>
  <c r="A87" i="25"/>
  <c r="A83" i="25"/>
  <c r="A79" i="25"/>
  <c r="A75" i="25"/>
  <c r="A71" i="25"/>
  <c r="A69" i="25"/>
  <c r="A65" i="25"/>
  <c r="A61" i="25"/>
  <c r="A57" i="25"/>
  <c r="A53" i="25"/>
  <c r="A49" i="25"/>
  <c r="A43" i="25"/>
  <c r="A39" i="25"/>
  <c r="A35" i="25"/>
  <c r="A31" i="25"/>
  <c r="A27" i="25"/>
  <c r="A23" i="25"/>
  <c r="A19" i="25"/>
  <c r="A15" i="25"/>
  <c r="A11" i="25"/>
  <c r="B312" i="25"/>
  <c r="B308" i="25"/>
  <c r="B302" i="25"/>
  <c r="B298" i="25"/>
  <c r="B294" i="25"/>
  <c r="B292" i="25"/>
  <c r="B288" i="25"/>
  <c r="B282" i="25"/>
  <c r="B280" i="25"/>
  <c r="B276" i="25"/>
  <c r="B272" i="25"/>
  <c r="B268" i="25"/>
  <c r="B264" i="25"/>
  <c r="B260" i="25"/>
  <c r="B256" i="25"/>
  <c r="B252" i="25"/>
  <c r="B246" i="25"/>
  <c r="B242" i="25"/>
  <c r="B238" i="25"/>
  <c r="B234" i="25"/>
  <c r="B230" i="25"/>
  <c r="B226" i="25"/>
  <c r="B222" i="25"/>
  <c r="B218" i="25"/>
  <c r="B214" i="25"/>
  <c r="B212" i="25"/>
  <c r="B208" i="25"/>
  <c r="A312" i="25"/>
  <c r="A310" i="25"/>
  <c r="A306" i="25"/>
  <c r="A302" i="25"/>
  <c r="A300" i="25"/>
  <c r="A296" i="25"/>
  <c r="A294" i="25"/>
  <c r="A290" i="25"/>
  <c r="A288" i="25"/>
  <c r="A284" i="25"/>
  <c r="A282" i="25"/>
  <c r="A278" i="25"/>
  <c r="A276" i="25"/>
  <c r="A274" i="25"/>
  <c r="A270" i="25"/>
  <c r="A268" i="25"/>
  <c r="A264" i="25"/>
  <c r="A262" i="25"/>
  <c r="A258" i="25"/>
  <c r="A252" i="25"/>
  <c r="A248" i="25"/>
  <c r="A244" i="25"/>
  <c r="A242" i="25"/>
  <c r="A238" i="25"/>
  <c r="A232" i="25"/>
  <c r="A226" i="25"/>
  <c r="A222" i="25"/>
  <c r="A218" i="25"/>
  <c r="A214" i="25"/>
  <c r="A210" i="25"/>
  <c r="A206" i="25"/>
  <c r="A202" i="25"/>
  <c r="A200" i="25"/>
  <c r="A196" i="25"/>
  <c r="A190" i="25"/>
  <c r="A186" i="25"/>
  <c r="A182" i="25"/>
  <c r="A178" i="25"/>
  <c r="A174" i="25"/>
  <c r="A170" i="25"/>
  <c r="A166" i="25"/>
  <c r="A162" i="25"/>
  <c r="A158" i="25"/>
  <c r="A154" i="25"/>
  <c r="A150" i="25"/>
  <c r="A146" i="25"/>
  <c r="A144" i="25"/>
  <c r="A140" i="25"/>
  <c r="A136" i="25"/>
  <c r="A132" i="25"/>
  <c r="A128" i="25"/>
  <c r="A124" i="25"/>
  <c r="A120" i="25"/>
  <c r="A116" i="25"/>
  <c r="A112" i="25"/>
  <c r="A108" i="25"/>
  <c r="A104" i="25"/>
  <c r="A100" i="25"/>
  <c r="A96" i="25"/>
  <c r="A92" i="25"/>
  <c r="A88" i="25"/>
  <c r="A84" i="25"/>
  <c r="A80" i="25"/>
  <c r="A76" i="25"/>
  <c r="A72" i="25"/>
  <c r="A68" i="25"/>
  <c r="A64" i="25"/>
  <c r="A60" i="25"/>
  <c r="A56" i="25"/>
  <c r="A52" i="25"/>
  <c r="A50" i="25"/>
  <c r="A46" i="25"/>
  <c r="A44" i="25"/>
  <c r="A40" i="25"/>
  <c r="A36" i="25"/>
  <c r="A32" i="25"/>
  <c r="A30" i="25"/>
  <c r="A26" i="25"/>
  <c r="A24" i="25"/>
  <c r="A20" i="25"/>
  <c r="A18" i="25"/>
  <c r="A14" i="25"/>
  <c r="A12" i="25"/>
  <c r="A8" i="25"/>
  <c r="B313" i="25"/>
  <c r="B311" i="25"/>
  <c r="B309" i="25"/>
  <c r="B307" i="25"/>
  <c r="B305" i="25"/>
  <c r="B303" i="25"/>
  <c r="B301" i="25"/>
  <c r="B299" i="25"/>
  <c r="B297" i="25"/>
  <c r="B295" i="25"/>
  <c r="B293" i="25"/>
  <c r="B291" i="25"/>
  <c r="B289" i="25"/>
  <c r="B287" i="25"/>
  <c r="B285" i="25"/>
  <c r="B283" i="25"/>
  <c r="B281" i="25"/>
  <c r="B279" i="25"/>
  <c r="B277" i="25"/>
  <c r="B275" i="25"/>
  <c r="B273" i="25"/>
  <c r="B271" i="25"/>
  <c r="B269" i="25"/>
  <c r="B267" i="25"/>
  <c r="B265" i="25"/>
  <c r="B263" i="25"/>
  <c r="B261" i="25"/>
  <c r="B259" i="25"/>
  <c r="B257" i="25"/>
  <c r="B255" i="25"/>
  <c r="B253" i="25"/>
  <c r="B251" i="25"/>
  <c r="B249" i="25"/>
  <c r="B247" i="25"/>
  <c r="B245" i="25"/>
  <c r="B243" i="25"/>
  <c r="B241" i="25"/>
  <c r="B239" i="25"/>
  <c r="B237" i="25"/>
  <c r="B235" i="25"/>
  <c r="B233" i="25"/>
  <c r="B231" i="25"/>
  <c r="B229" i="25"/>
  <c r="B227" i="25"/>
  <c r="B225" i="25"/>
  <c r="B223" i="25"/>
  <c r="B221" i="25"/>
  <c r="B219" i="25"/>
  <c r="B217" i="25"/>
  <c r="B215" i="25"/>
  <c r="B213" i="25"/>
  <c r="B211" i="25"/>
  <c r="B209" i="25"/>
  <c r="B207" i="25"/>
  <c r="B205" i="25"/>
  <c r="B203" i="25"/>
  <c r="B201" i="25"/>
  <c r="B199" i="25"/>
  <c r="B197" i="25"/>
  <c r="B195" i="25"/>
  <c r="B193" i="25"/>
  <c r="B191" i="25"/>
  <c r="B189" i="25"/>
  <c r="B187" i="25"/>
  <c r="B185" i="25"/>
  <c r="B183" i="25"/>
  <c r="B181" i="25"/>
  <c r="B179" i="25"/>
  <c r="B177" i="25"/>
  <c r="B175" i="25"/>
  <c r="B173" i="25"/>
  <c r="B171" i="25"/>
  <c r="B169" i="25"/>
  <c r="B167" i="25"/>
  <c r="B165" i="25"/>
  <c r="B163" i="25"/>
  <c r="B161" i="25"/>
  <c r="B159" i="25"/>
  <c r="B157" i="25"/>
  <c r="B155" i="25"/>
  <c r="B153" i="25"/>
  <c r="B151" i="25"/>
  <c r="B149" i="25"/>
  <c r="B147" i="25"/>
  <c r="B145" i="25"/>
  <c r="B143" i="25"/>
  <c r="B141" i="25"/>
  <c r="B139" i="25"/>
  <c r="B137" i="25"/>
  <c r="B135" i="25"/>
  <c r="B133" i="25"/>
  <c r="B131" i="25"/>
  <c r="B129" i="25"/>
  <c r="B127" i="25"/>
  <c r="B125" i="25"/>
  <c r="B123" i="25"/>
  <c r="B121" i="25"/>
  <c r="B119" i="25"/>
  <c r="B117" i="25"/>
  <c r="B115" i="25"/>
  <c r="B113" i="25"/>
  <c r="B111" i="25"/>
  <c r="B109" i="25"/>
  <c r="B107" i="25"/>
  <c r="B105" i="25"/>
  <c r="B103" i="25"/>
  <c r="B101" i="25"/>
  <c r="B99" i="25"/>
  <c r="B97" i="25"/>
  <c r="B95" i="25"/>
  <c r="B93" i="25"/>
  <c r="B91" i="25"/>
  <c r="B89" i="25"/>
  <c r="B87" i="25"/>
  <c r="B85" i="25"/>
  <c r="B83" i="25"/>
  <c r="B81" i="25"/>
  <c r="B79" i="25"/>
  <c r="B77" i="25"/>
  <c r="B75" i="25"/>
  <c r="B73" i="25"/>
  <c r="B71" i="25"/>
  <c r="B69" i="25"/>
  <c r="B67" i="25"/>
  <c r="B65" i="25"/>
  <c r="B63" i="25"/>
  <c r="B61" i="25"/>
  <c r="B59" i="25"/>
  <c r="B57" i="25"/>
  <c r="B55" i="25"/>
  <c r="B53" i="25"/>
  <c r="B51" i="25"/>
  <c r="B49" i="25"/>
  <c r="B47" i="25"/>
  <c r="B45" i="25"/>
  <c r="B43" i="25"/>
  <c r="B41" i="25"/>
  <c r="B39" i="25"/>
  <c r="B37" i="25"/>
  <c r="B35" i="25"/>
  <c r="B33" i="25"/>
  <c r="B31" i="25"/>
  <c r="B29" i="25"/>
  <c r="B27" i="25"/>
  <c r="B25" i="25"/>
  <c r="B23" i="25"/>
  <c r="B21" i="25"/>
  <c r="B19" i="25"/>
  <c r="B17" i="25"/>
  <c r="B15" i="25"/>
  <c r="B13" i="25"/>
  <c r="B11" i="25"/>
  <c r="B9" i="25"/>
  <c r="B7" i="25"/>
  <c r="A269" i="25"/>
  <c r="A89" i="25"/>
  <c r="B206" i="25"/>
  <c r="B204" i="25"/>
  <c r="B202" i="25"/>
  <c r="B200" i="25"/>
  <c r="B198" i="25"/>
  <c r="B196" i="25"/>
  <c r="B194" i="25"/>
  <c r="B192" i="25"/>
  <c r="B190" i="25"/>
  <c r="B188" i="25"/>
  <c r="B186" i="25"/>
  <c r="B184" i="25"/>
  <c r="B182" i="25"/>
  <c r="B180" i="25"/>
  <c r="B178" i="25"/>
  <c r="B176" i="25"/>
  <c r="B174" i="25"/>
  <c r="B172" i="25"/>
  <c r="B170" i="25"/>
  <c r="B168" i="25"/>
  <c r="B166" i="25"/>
  <c r="B164" i="25"/>
  <c r="B162" i="25"/>
  <c r="B160" i="25"/>
  <c r="B158" i="25"/>
  <c r="B156" i="25"/>
  <c r="B154" i="25"/>
  <c r="B152" i="25"/>
  <c r="B150" i="25"/>
  <c r="B148" i="25"/>
  <c r="B146" i="25"/>
  <c r="B144" i="25"/>
  <c r="B142" i="25"/>
  <c r="B140" i="25"/>
  <c r="B138" i="25"/>
  <c r="B136" i="25"/>
  <c r="B134" i="25"/>
  <c r="B132" i="25"/>
  <c r="B130" i="25"/>
  <c r="B128" i="25"/>
  <c r="B126" i="25"/>
  <c r="B124" i="25"/>
  <c r="B122" i="25"/>
  <c r="B120" i="25"/>
  <c r="B118" i="25"/>
  <c r="B116" i="25"/>
  <c r="B114" i="25"/>
  <c r="B112" i="25"/>
  <c r="B110" i="25"/>
  <c r="B108" i="25"/>
  <c r="B106" i="25"/>
  <c r="B104" i="25"/>
  <c r="B102" i="25"/>
  <c r="B100" i="25"/>
  <c r="B98" i="25"/>
  <c r="B96" i="25"/>
  <c r="B94" i="25"/>
  <c r="B92" i="25"/>
  <c r="B90" i="25"/>
  <c r="B88" i="25"/>
  <c r="B86" i="25"/>
  <c r="B84" i="25"/>
  <c r="B82" i="25"/>
  <c r="B80" i="25"/>
  <c r="B78" i="25"/>
  <c r="B76" i="25"/>
  <c r="B74" i="25"/>
  <c r="B72" i="25"/>
  <c r="B70" i="25"/>
  <c r="B68" i="25"/>
  <c r="B66" i="25"/>
  <c r="B64" i="25"/>
  <c r="B62" i="25"/>
  <c r="B60" i="25"/>
  <c r="B58" i="25"/>
  <c r="B56" i="25"/>
  <c r="B54" i="25"/>
  <c r="B52" i="25"/>
  <c r="B50" i="25"/>
  <c r="B48" i="25"/>
  <c r="B46" i="25"/>
  <c r="B44" i="25"/>
  <c r="B42" i="25"/>
  <c r="B40" i="25"/>
  <c r="B38" i="25"/>
  <c r="B36" i="25"/>
  <c r="B34" i="25"/>
  <c r="B32" i="25"/>
  <c r="B30" i="25"/>
  <c r="B28" i="25"/>
  <c r="B26" i="25"/>
  <c r="B24" i="25"/>
  <c r="B22" i="25"/>
  <c r="B20" i="25"/>
  <c r="B18" i="25"/>
  <c r="B16" i="25"/>
  <c r="B14" i="25"/>
  <c r="B12" i="25"/>
  <c r="B10" i="25"/>
  <c r="B8" i="25"/>
  <c r="A311" i="25"/>
  <c r="A309" i="25"/>
  <c r="A305" i="25"/>
  <c r="A303" i="25"/>
  <c r="A299" i="25"/>
  <c r="A295" i="25"/>
  <c r="A291" i="25"/>
  <c r="A285" i="25"/>
  <c r="A281" i="25"/>
  <c r="A279" i="25"/>
  <c r="A275" i="25"/>
  <c r="A271" i="25"/>
  <c r="A267" i="25"/>
  <c r="A263" i="25"/>
  <c r="A259" i="25"/>
  <c r="A255" i="25"/>
  <c r="A249" i="25"/>
  <c r="A247" i="25"/>
  <c r="A243" i="25"/>
  <c r="A239" i="25"/>
  <c r="A235" i="25"/>
  <c r="A231" i="25"/>
  <c r="A227" i="25"/>
  <c r="A223" i="25"/>
  <c r="A219" i="25"/>
  <c r="A217" i="25"/>
  <c r="A213" i="25"/>
  <c r="A209" i="25"/>
  <c r="A205" i="25"/>
  <c r="A199" i="25"/>
  <c r="A195" i="25"/>
  <c r="A189" i="25"/>
  <c r="A185" i="25"/>
  <c r="A181" i="25"/>
  <c r="A177" i="25"/>
  <c r="A173" i="25"/>
  <c r="A169" i="25"/>
  <c r="A165" i="25"/>
  <c r="A161" i="25"/>
  <c r="A159" i="25"/>
  <c r="A155" i="25"/>
  <c r="A151" i="25"/>
  <c r="A147" i="25"/>
  <c r="A143" i="25"/>
  <c r="A139" i="25"/>
  <c r="A135" i="25"/>
  <c r="A131" i="25"/>
  <c r="A127" i="25"/>
  <c r="A121" i="25"/>
  <c r="A117" i="25"/>
  <c r="A113" i="25"/>
  <c r="A109" i="25"/>
  <c r="A107" i="25"/>
  <c r="A103" i="25"/>
  <c r="A99" i="25"/>
  <c r="A95" i="25"/>
  <c r="A91" i="25"/>
  <c r="A85" i="25"/>
  <c r="A81" i="25"/>
  <c r="A77" i="25"/>
  <c r="A73" i="25"/>
  <c r="A67" i="25"/>
  <c r="A63" i="25"/>
  <c r="A59" i="25"/>
  <c r="A55" i="25"/>
  <c r="A51" i="25"/>
  <c r="A47" i="25"/>
  <c r="A45" i="25"/>
  <c r="A41" i="25"/>
  <c r="A37" i="25"/>
  <c r="A33" i="25"/>
  <c r="A29" i="25"/>
  <c r="A25" i="25"/>
  <c r="A21" i="25"/>
  <c r="A17" i="25"/>
  <c r="A13" i="25"/>
  <c r="A9" i="25"/>
  <c r="A7" i="25"/>
  <c r="B314" i="25"/>
  <c r="B310" i="25"/>
  <c r="B306" i="25"/>
  <c r="B304" i="25"/>
  <c r="B300" i="25"/>
  <c r="B296" i="25"/>
  <c r="B290" i="25"/>
  <c r="B286" i="25"/>
  <c r="B284" i="25"/>
  <c r="B278" i="25"/>
  <c r="B274" i="25"/>
  <c r="B270" i="25"/>
  <c r="B266" i="25"/>
  <c r="B262" i="25"/>
  <c r="B258" i="25"/>
  <c r="B254" i="25"/>
  <c r="B250" i="25"/>
  <c r="B248" i="25"/>
  <c r="B244" i="25"/>
  <c r="B240" i="25"/>
  <c r="B236" i="25"/>
  <c r="B232" i="25"/>
  <c r="B228" i="25"/>
  <c r="B224" i="25"/>
  <c r="B220" i="25"/>
  <c r="B216" i="25"/>
  <c r="B210" i="25"/>
  <c r="A314" i="25"/>
  <c r="A308" i="25"/>
  <c r="A304" i="25"/>
  <c r="A298" i="25"/>
  <c r="A292" i="25"/>
  <c r="A286" i="25"/>
  <c r="A280" i="25"/>
  <c r="A272" i="25"/>
  <c r="A266" i="25"/>
  <c r="A260" i="25"/>
  <c r="A256" i="25"/>
  <c r="A254" i="25"/>
  <c r="A250" i="25"/>
  <c r="A246" i="25"/>
  <c r="A240" i="25"/>
  <c r="A236" i="25"/>
  <c r="A234" i="25"/>
  <c r="A230" i="25"/>
  <c r="A228" i="25"/>
  <c r="A224" i="25"/>
  <c r="A220" i="25"/>
  <c r="A216" i="25"/>
  <c r="A212" i="25"/>
  <c r="A208" i="25"/>
  <c r="A204" i="25"/>
  <c r="A198" i="25"/>
  <c r="A194" i="25"/>
  <c r="A192" i="25"/>
  <c r="A188" i="25"/>
  <c r="A184" i="25"/>
  <c r="A180" i="25"/>
  <c r="A176" i="25"/>
  <c r="A172" i="25"/>
  <c r="A168" i="25"/>
  <c r="A164" i="25"/>
  <c r="A160" i="25"/>
  <c r="A156" i="25"/>
  <c r="A152" i="25"/>
  <c r="A148" i="25"/>
  <c r="A142" i="25"/>
  <c r="A138" i="25"/>
  <c r="A134" i="25"/>
  <c r="A130" i="25"/>
  <c r="A126" i="25"/>
  <c r="A122" i="25"/>
  <c r="A118" i="25"/>
  <c r="A114" i="25"/>
  <c r="A110" i="25"/>
  <c r="A106" i="25"/>
  <c r="A102" i="25"/>
  <c r="A98" i="25"/>
  <c r="A94" i="25"/>
  <c r="A90" i="25"/>
  <c r="A86" i="25"/>
  <c r="A82" i="25"/>
  <c r="A78" i="25"/>
  <c r="A74" i="25"/>
  <c r="A70" i="25"/>
  <c r="A66" i="25"/>
  <c r="A62" i="25"/>
  <c r="A58" i="25"/>
  <c r="A54" i="25"/>
  <c r="A48" i="25"/>
  <c r="A42" i="25"/>
  <c r="A38" i="25"/>
  <c r="A34" i="25"/>
  <c r="A28" i="25"/>
  <c r="A22" i="25"/>
  <c r="A16" i="25"/>
  <c r="A10" i="25"/>
  <c r="D39" i="25"/>
  <c r="D27" i="25"/>
  <c r="D7" i="25"/>
  <c r="D307" i="25"/>
  <c r="D291" i="25"/>
  <c r="D275" i="25"/>
  <c r="D259" i="25"/>
  <c r="D227" i="25"/>
  <c r="D211" i="25"/>
  <c r="D179" i="25"/>
  <c r="D163" i="25"/>
  <c r="D147" i="25"/>
  <c r="D131" i="25"/>
  <c r="D91" i="25"/>
  <c r="D65" i="25"/>
  <c r="D33" i="25"/>
  <c r="D310" i="25"/>
  <c r="D148" i="25"/>
  <c r="D40" i="25"/>
  <c r="D92" i="25"/>
  <c r="D146" i="25"/>
  <c r="D134" i="25"/>
  <c r="D122" i="25"/>
  <c r="D58" i="25"/>
  <c r="D118" i="25"/>
  <c r="D114" i="25"/>
  <c r="D110" i="25"/>
  <c r="D102" i="25"/>
  <c r="D94" i="25"/>
  <c r="D86" i="25"/>
  <c r="D82" i="25"/>
  <c r="D78" i="25"/>
  <c r="D70" i="25"/>
  <c r="D62" i="25"/>
  <c r="D54" i="25"/>
  <c r="D50" i="25"/>
  <c r="D46" i="25"/>
  <c r="D38" i="25"/>
  <c r="D30" i="25"/>
  <c r="D22" i="25"/>
  <c r="D18" i="25"/>
  <c r="D14" i="25"/>
  <c r="D313" i="25"/>
  <c r="D309" i="25"/>
  <c r="D305" i="25"/>
  <c r="D301" i="25"/>
  <c r="D297" i="25"/>
  <c r="D293" i="25"/>
  <c r="D289" i="25"/>
  <c r="D285" i="25"/>
  <c r="D281" i="25"/>
  <c r="D277" i="25"/>
  <c r="D273" i="25"/>
  <c r="D269" i="25"/>
  <c r="D265" i="25"/>
  <c r="D261" i="25"/>
  <c r="D257" i="25"/>
  <c r="D253" i="25"/>
  <c r="D249" i="25"/>
  <c r="D245" i="25"/>
  <c r="D241" i="25"/>
  <c r="D237" i="25"/>
  <c r="D233" i="25"/>
  <c r="D229" i="25"/>
  <c r="D225" i="25"/>
  <c r="D221" i="25"/>
  <c r="D217" i="25"/>
  <c r="D213" i="25"/>
  <c r="D209" i="25"/>
  <c r="D205" i="25"/>
  <c r="D201" i="25"/>
  <c r="D197" i="25"/>
  <c r="D193" i="25"/>
  <c r="D189" i="25"/>
  <c r="D185" i="25"/>
  <c r="D181" i="25"/>
  <c r="D173" i="25"/>
  <c r="D169" i="25"/>
  <c r="D165" i="25"/>
  <c r="D161" i="25"/>
  <c r="D157" i="25"/>
  <c r="D153" i="25"/>
  <c r="D149" i="25"/>
  <c r="D145" i="25"/>
  <c r="D141" i="25"/>
  <c r="D137" i="25"/>
  <c r="D133" i="25"/>
  <c r="D129" i="25"/>
  <c r="D125" i="25"/>
  <c r="D121" i="25"/>
  <c r="D117" i="25"/>
  <c r="D113" i="25"/>
  <c r="D109" i="25"/>
  <c r="D105" i="25"/>
  <c r="D101" i="25"/>
  <c r="D93" i="25"/>
  <c r="D89" i="25"/>
  <c r="D85" i="25"/>
  <c r="D81" i="25"/>
  <c r="D77" i="25"/>
  <c r="D73" i="25"/>
  <c r="D69" i="25"/>
  <c r="D61" i="25"/>
  <c r="D57" i="25"/>
  <c r="D53" i="25"/>
  <c r="D49" i="25"/>
  <c r="D45" i="25"/>
  <c r="D41" i="25"/>
  <c r="D37" i="25"/>
  <c r="D29" i="25"/>
  <c r="D25" i="25"/>
  <c r="D21" i="25"/>
  <c r="D17" i="25"/>
  <c r="D13" i="25"/>
  <c r="D9" i="25"/>
  <c r="D312" i="25"/>
  <c r="D304" i="25"/>
  <c r="D296" i="25"/>
  <c r="D288" i="25"/>
  <c r="D280" i="25"/>
  <c r="D272" i="25"/>
  <c r="D264" i="25"/>
  <c r="D256" i="25"/>
  <c r="D248" i="25"/>
  <c r="D240" i="25"/>
  <c r="D232" i="25"/>
  <c r="D224" i="25"/>
  <c r="D216" i="25"/>
  <c r="D208" i="25"/>
  <c r="D200" i="25"/>
  <c r="D192" i="25"/>
  <c r="D184" i="25"/>
  <c r="D176" i="25"/>
  <c r="D168" i="25"/>
  <c r="D160" i="25"/>
  <c r="D152" i="25"/>
  <c r="D144" i="25"/>
  <c r="D136" i="25"/>
  <c r="D128" i="25"/>
  <c r="D120" i="25"/>
  <c r="D108" i="25"/>
  <c r="D88" i="25"/>
  <c r="D76" i="25"/>
  <c r="D56" i="25"/>
  <c r="D44" i="25"/>
  <c r="D24" i="25"/>
  <c r="D12" i="25"/>
  <c r="D311" i="25"/>
  <c r="D303" i="25"/>
  <c r="D295" i="25"/>
  <c r="D287" i="25"/>
  <c r="D279" i="25"/>
  <c r="D271" i="25"/>
  <c r="D263" i="25"/>
  <c r="D255" i="25"/>
  <c r="D247" i="25"/>
  <c r="D239" i="25"/>
  <c r="D231" i="25"/>
  <c r="D223" i="25"/>
  <c r="D215" i="25"/>
  <c r="D207" i="25"/>
  <c r="D199" i="25"/>
  <c r="D191" i="25"/>
  <c r="D183" i="25"/>
  <c r="D175" i="25"/>
  <c r="D167" i="25"/>
  <c r="D159" i="25"/>
  <c r="D151" i="25"/>
  <c r="D143" i="25"/>
  <c r="D135" i="25"/>
  <c r="D127" i="25"/>
  <c r="D119" i="25"/>
  <c r="D115" i="25"/>
  <c r="D111" i="25"/>
  <c r="D107" i="25"/>
  <c r="D99" i="25"/>
  <c r="D95" i="25"/>
  <c r="D87" i="25"/>
  <c r="D83" i="25"/>
  <c r="D79" i="25"/>
  <c r="D75" i="25"/>
  <c r="D67" i="25"/>
  <c r="D177" i="25"/>
  <c r="M245" i="42"/>
  <c r="Y245" i="42" s="1"/>
  <c r="Z7" i="19" l="1"/>
  <c r="X7" i="19"/>
  <c r="W7" i="19"/>
  <c r="V7" i="19"/>
  <c r="P7" i="19"/>
  <c r="N7" i="19"/>
  <c r="M7" i="19"/>
  <c r="L7" i="19"/>
  <c r="K7" i="19"/>
  <c r="I7" i="19"/>
  <c r="H7" i="19"/>
  <c r="M239" i="42"/>
  <c r="Y239" i="42" s="1"/>
  <c r="K303" i="49" l="1"/>
  <c r="K244" i="13" l="1"/>
  <c r="K170" i="13"/>
  <c r="K219" i="13"/>
  <c r="M246" i="42" l="1"/>
  <c r="Y246" i="42" s="1"/>
  <c r="M220" i="42"/>
  <c r="Y220" i="42" s="1"/>
  <c r="M171" i="42"/>
  <c r="Y171" i="42" s="1"/>
  <c r="L170" i="13" l="1"/>
  <c r="M170" i="13" s="1"/>
  <c r="E170" i="49"/>
  <c r="L219" i="13"/>
  <c r="M219" i="13" s="1"/>
  <c r="E219" i="49"/>
  <c r="E244" i="49"/>
  <c r="L244" i="13"/>
  <c r="M244" i="13" s="1"/>
  <c r="H170" i="49"/>
  <c r="D170" i="49"/>
  <c r="H219" i="49"/>
  <c r="D219" i="49"/>
  <c r="H244" i="49"/>
  <c r="D244" i="49"/>
  <c r="F170" i="49" l="1"/>
  <c r="F244" i="49"/>
  <c r="G219" i="49" l="1"/>
  <c r="F219" i="49"/>
  <c r="J219" i="13"/>
  <c r="A219" i="49"/>
  <c r="B219" i="49"/>
  <c r="A170" i="49"/>
  <c r="B170" i="49"/>
  <c r="A219" i="13"/>
  <c r="B219" i="13"/>
  <c r="A170" i="13"/>
  <c r="B170" i="13"/>
  <c r="E126" i="25" l="1"/>
  <c r="M126" i="49"/>
  <c r="C125" i="11"/>
  <c r="E113" i="25"/>
  <c r="M113" i="49"/>
  <c r="C112" i="11"/>
  <c r="E172" i="25"/>
  <c r="C171" i="11"/>
  <c r="M172" i="49"/>
  <c r="E211" i="25"/>
  <c r="M211" i="49"/>
  <c r="C210" i="11"/>
  <c r="E181" i="25"/>
  <c r="C180" i="11"/>
  <c r="M181" i="49"/>
  <c r="E196" i="25"/>
  <c r="M196" i="49"/>
  <c r="C195" i="11"/>
  <c r="E33" i="25"/>
  <c r="M33" i="49"/>
  <c r="C32" i="11"/>
  <c r="E64" i="25"/>
  <c r="C63" i="11"/>
  <c r="M64" i="49"/>
  <c r="E242" i="25"/>
  <c r="M242" i="49"/>
  <c r="C241" i="11"/>
  <c r="E301" i="25"/>
  <c r="M301" i="49"/>
  <c r="C300" i="11"/>
  <c r="E271" i="25"/>
  <c r="M271" i="49"/>
  <c r="C270" i="11"/>
  <c r="E311" i="25"/>
  <c r="M311" i="49"/>
  <c r="C310" i="11"/>
  <c r="E41" i="25"/>
  <c r="M41" i="49"/>
  <c r="C40" i="11"/>
  <c r="E130" i="25"/>
  <c r="M130" i="49"/>
  <c r="C129" i="11"/>
  <c r="E91" i="25"/>
  <c r="C90" i="11"/>
  <c r="M91" i="49"/>
  <c r="E218" i="25"/>
  <c r="M218" i="49"/>
  <c r="C217" i="11"/>
  <c r="E57" i="25"/>
  <c r="M57" i="49"/>
  <c r="C56" i="11"/>
  <c r="M60" i="49"/>
  <c r="E60" i="25"/>
  <c r="C59" i="11"/>
  <c r="M216" i="49"/>
  <c r="E216" i="25"/>
  <c r="C215" i="11"/>
  <c r="M169" i="49"/>
  <c r="E169" i="25"/>
  <c r="C168" i="11"/>
  <c r="C68" i="11"/>
  <c r="M69" i="49"/>
  <c r="E69" i="25"/>
  <c r="E240" i="25"/>
  <c r="M240" i="49"/>
  <c r="C239" i="11"/>
  <c r="M141" i="49"/>
  <c r="E141" i="25"/>
  <c r="C140" i="11"/>
  <c r="E285" i="25"/>
  <c r="C284" i="11"/>
  <c r="M285" i="49"/>
  <c r="M116" i="49"/>
  <c r="E116" i="25"/>
  <c r="C115" i="11"/>
  <c r="M254" i="49"/>
  <c r="E254" i="25"/>
  <c r="C253" i="11"/>
  <c r="C27" i="11"/>
  <c r="M28" i="49"/>
  <c r="E28" i="25"/>
  <c r="E154" i="25"/>
  <c r="M154" i="49"/>
  <c r="C153" i="11"/>
  <c r="C26" i="11"/>
  <c r="M27" i="49"/>
  <c r="E27" i="25"/>
  <c r="E234" i="25"/>
  <c r="M234" i="49"/>
  <c r="C233" i="11"/>
  <c r="M159" i="49"/>
  <c r="C158" i="11"/>
  <c r="E159" i="25"/>
  <c r="C186" i="11"/>
  <c r="M187" i="49"/>
  <c r="E187" i="25"/>
  <c r="C257" i="11"/>
  <c r="E258" i="25"/>
  <c r="M258" i="49"/>
  <c r="E131" i="25"/>
  <c r="M131" i="49"/>
  <c r="C130" i="11"/>
  <c r="M24" i="49"/>
  <c r="E24" i="25"/>
  <c r="C23" i="11"/>
  <c r="E85" i="25"/>
  <c r="C84" i="11"/>
  <c r="M85" i="49"/>
  <c r="E239" i="25"/>
  <c r="M239" i="49"/>
  <c r="C238" i="11"/>
  <c r="E29" i="25"/>
  <c r="M29" i="49"/>
  <c r="C28" i="11"/>
  <c r="E142" i="25"/>
  <c r="M142" i="49"/>
  <c r="C141" i="11"/>
  <c r="C36" i="11"/>
  <c r="E37" i="25"/>
  <c r="M37" i="49"/>
  <c r="M108" i="49"/>
  <c r="E108" i="25"/>
  <c r="C107" i="11"/>
  <c r="M100" i="49"/>
  <c r="E100" i="25"/>
  <c r="C99" i="11"/>
  <c r="E88" i="25"/>
  <c r="C87" i="11"/>
  <c r="M88" i="49"/>
  <c r="M303" i="49"/>
  <c r="E303" i="25"/>
  <c r="C302" i="11"/>
  <c r="M223" i="49"/>
  <c r="C222" i="11"/>
  <c r="E223" i="25"/>
  <c r="C135" i="11"/>
  <c r="E136" i="25"/>
  <c r="M136" i="49"/>
  <c r="M36" i="49"/>
  <c r="E36" i="25"/>
  <c r="C35" i="11"/>
  <c r="E250" i="25"/>
  <c r="M250" i="49"/>
  <c r="C249" i="11"/>
  <c r="E77" i="25"/>
  <c r="C76" i="11"/>
  <c r="M77" i="49"/>
  <c r="C101" i="11"/>
  <c r="E102" i="25"/>
  <c r="M102" i="49"/>
  <c r="M276" i="49"/>
  <c r="E276" i="25"/>
  <c r="C275" i="11"/>
  <c r="C147" i="11"/>
  <c r="M148" i="49"/>
  <c r="E148" i="25"/>
  <c r="E111" i="25"/>
  <c r="M111" i="49"/>
  <c r="C110" i="11"/>
  <c r="C126" i="11"/>
  <c r="E127" i="25"/>
  <c r="M127" i="49"/>
  <c r="E81" i="25"/>
  <c r="M81" i="49"/>
  <c r="C80" i="11"/>
  <c r="M164" i="49"/>
  <c r="E164" i="25"/>
  <c r="C163" i="11"/>
  <c r="M205" i="49"/>
  <c r="E205" i="25"/>
  <c r="C204" i="11"/>
  <c r="E34" i="25"/>
  <c r="M34" i="49"/>
  <c r="C33" i="11"/>
  <c r="E298" i="25"/>
  <c r="M298" i="49"/>
  <c r="C297" i="11"/>
  <c r="M32" i="49"/>
  <c r="C31" i="11"/>
  <c r="E32" i="25"/>
  <c r="E210" i="25"/>
  <c r="M210" i="49"/>
  <c r="C209" i="11"/>
  <c r="E179" i="25"/>
  <c r="M179" i="49"/>
  <c r="C178" i="11"/>
  <c r="M290" i="49"/>
  <c r="E290" i="25"/>
  <c r="C289" i="11"/>
  <c r="C97" i="11"/>
  <c r="E98" i="25"/>
  <c r="M98" i="49"/>
  <c r="C34" i="11"/>
  <c r="E35" i="25"/>
  <c r="M35" i="49"/>
  <c r="M277" i="49"/>
  <c r="E277" i="25"/>
  <c r="C276" i="11"/>
  <c r="E265" i="25"/>
  <c r="M265" i="49"/>
  <c r="C264" i="11"/>
  <c r="E122" i="25"/>
  <c r="M122" i="49"/>
  <c r="C121" i="11"/>
  <c r="C14" i="11"/>
  <c r="E15" i="25"/>
  <c r="M15" i="49"/>
  <c r="E129" i="25"/>
  <c r="M129" i="49"/>
  <c r="C128" i="11"/>
  <c r="M123" i="49"/>
  <c r="E123" i="25"/>
  <c r="C122" i="11"/>
  <c r="C55" i="11"/>
  <c r="M56" i="49"/>
  <c r="E56" i="25"/>
  <c r="C191" i="11"/>
  <c r="E192" i="25"/>
  <c r="M192" i="49"/>
  <c r="M184" i="49"/>
  <c r="E184" i="25"/>
  <c r="C183" i="11"/>
  <c r="E233" i="25"/>
  <c r="M233" i="49"/>
  <c r="C232" i="11"/>
  <c r="E275" i="25"/>
  <c r="C274" i="11"/>
  <c r="M275" i="49"/>
  <c r="M294" i="49"/>
  <c r="E294" i="25"/>
  <c r="C293" i="11"/>
  <c r="C176" i="11"/>
  <c r="M177" i="49"/>
  <c r="E177" i="25"/>
  <c r="E115" i="25"/>
  <c r="M115" i="49"/>
  <c r="C114" i="11"/>
  <c r="E106" i="25"/>
  <c r="M106" i="49"/>
  <c r="C105" i="11"/>
  <c r="M44" i="49"/>
  <c r="E44" i="25"/>
  <c r="C43" i="11"/>
  <c r="M225" i="49"/>
  <c r="E225" i="25"/>
  <c r="C224" i="11"/>
  <c r="M281" i="49"/>
  <c r="E281" i="25"/>
  <c r="C280" i="11"/>
  <c r="C259" i="11"/>
  <c r="E260" i="25"/>
  <c r="M260" i="49"/>
  <c r="M92" i="49"/>
  <c r="E92" i="25"/>
  <c r="C91" i="11"/>
  <c r="E21" i="25"/>
  <c r="M21" i="49"/>
  <c r="C20" i="11"/>
  <c r="C58" i="11"/>
  <c r="M59" i="49"/>
  <c r="E59" i="25"/>
  <c r="C62" i="11"/>
  <c r="E63" i="25"/>
  <c r="M63" i="49"/>
  <c r="C235" i="11"/>
  <c r="M236" i="49"/>
  <c r="E236" i="25"/>
  <c r="M287" i="49"/>
  <c r="C286" i="11"/>
  <c r="E287" i="25"/>
  <c r="E135" i="25"/>
  <c r="M135" i="49"/>
  <c r="C134" i="11"/>
  <c r="M310" i="49"/>
  <c r="C309" i="11"/>
  <c r="E310" i="25"/>
  <c r="M209" i="49"/>
  <c r="C208" i="11"/>
  <c r="E209" i="25"/>
  <c r="M203" i="49"/>
  <c r="E203" i="25"/>
  <c r="C202" i="11"/>
  <c r="C18" i="11"/>
  <c r="E19" i="25"/>
  <c r="M19" i="49"/>
  <c r="M292" i="49"/>
  <c r="E292" i="25"/>
  <c r="C291" i="11"/>
  <c r="E259" i="25"/>
  <c r="M259" i="49"/>
  <c r="C258" i="11"/>
  <c r="E11" i="25"/>
  <c r="C10" i="11"/>
  <c r="M11" i="49"/>
  <c r="M20" i="49"/>
  <c r="E20" i="25"/>
  <c r="C19" i="11"/>
  <c r="E47" i="25"/>
  <c r="M47" i="49"/>
  <c r="C46" i="11"/>
  <c r="E73" i="25"/>
  <c r="M73" i="49"/>
  <c r="C72" i="11"/>
  <c r="E31" i="25"/>
  <c r="M31" i="49"/>
  <c r="C30" i="11"/>
  <c r="E22" i="25"/>
  <c r="M22" i="49"/>
  <c r="C21" i="11"/>
  <c r="E246" i="25"/>
  <c r="M246" i="49"/>
  <c r="C245" i="11"/>
  <c r="M308" i="49"/>
  <c r="E308" i="25"/>
  <c r="C307" i="11"/>
  <c r="M13" i="49"/>
  <c r="C12" i="11"/>
  <c r="E13" i="25"/>
  <c r="M297" i="49"/>
  <c r="E297" i="25"/>
  <c r="C296" i="11"/>
  <c r="E305" i="25"/>
  <c r="M305" i="49"/>
  <c r="C304" i="11"/>
  <c r="C103" i="11"/>
  <c r="E104" i="25"/>
  <c r="M104" i="49"/>
  <c r="E157" i="25"/>
  <c r="C156" i="11"/>
  <c r="M157" i="49"/>
  <c r="M208" i="49"/>
  <c r="E208" i="25"/>
  <c r="C207" i="11"/>
  <c r="M16" i="49"/>
  <c r="E16" i="25"/>
  <c r="C15" i="11"/>
  <c r="E151" i="25"/>
  <c r="M151" i="49"/>
  <c r="C150" i="11"/>
  <c r="E279" i="25"/>
  <c r="M279" i="49"/>
  <c r="C278" i="11"/>
  <c r="E61" i="25"/>
  <c r="M61" i="49"/>
  <c r="C60" i="11"/>
  <c r="M152" i="49"/>
  <c r="E152" i="25"/>
  <c r="C151" i="11"/>
  <c r="C182" i="11"/>
  <c r="E183" i="25"/>
  <c r="M183" i="49"/>
  <c r="E261" i="25"/>
  <c r="C260" i="11"/>
  <c r="M261" i="49"/>
  <c r="M257" i="49"/>
  <c r="C256" i="11"/>
  <c r="E257" i="25"/>
  <c r="C187" i="11"/>
  <c r="M188" i="49"/>
  <c r="E188" i="25"/>
  <c r="E243" i="25"/>
  <c r="M243" i="49"/>
  <c r="C242" i="11"/>
  <c r="E314" i="25"/>
  <c r="M314" i="49"/>
  <c r="C313" i="11"/>
  <c r="E162" i="25"/>
  <c r="M162" i="49"/>
  <c r="C161" i="11"/>
  <c r="E166" i="25"/>
  <c r="M166" i="49"/>
  <c r="C165" i="11"/>
  <c r="C149" i="11"/>
  <c r="E150" i="25"/>
  <c r="M150" i="49"/>
  <c r="M222" i="49"/>
  <c r="C221" i="11"/>
  <c r="E222" i="25"/>
  <c r="E302" i="25"/>
  <c r="C301" i="11"/>
  <c r="M302" i="49"/>
  <c r="E178" i="25"/>
  <c r="M178" i="49"/>
  <c r="C177" i="11"/>
  <c r="C173" i="11"/>
  <c r="E174" i="25"/>
  <c r="M174" i="49"/>
  <c r="E238" i="25"/>
  <c r="M238" i="49"/>
  <c r="C237" i="11"/>
  <c r="C213" i="11"/>
  <c r="E214" i="25"/>
  <c r="M214" i="49"/>
  <c r="E198" i="25"/>
  <c r="M198" i="49"/>
  <c r="C197" i="11"/>
  <c r="E62" i="25"/>
  <c r="M62" i="49"/>
  <c r="C61" i="11"/>
  <c r="E262" i="25"/>
  <c r="M262" i="49"/>
  <c r="C261" i="11"/>
  <c r="E134" i="25"/>
  <c r="M134" i="49"/>
  <c r="C133" i="11"/>
  <c r="E87" i="25"/>
  <c r="M87" i="49"/>
  <c r="C86" i="11"/>
  <c r="C244" i="11"/>
  <c r="M245" i="49"/>
  <c r="E245" i="25"/>
  <c r="M121" i="49"/>
  <c r="C120" i="11"/>
  <c r="E121" i="25"/>
  <c r="C240" i="11"/>
  <c r="E241" i="25"/>
  <c r="M241" i="49"/>
  <c r="E295" i="25"/>
  <c r="M295" i="49"/>
  <c r="C294" i="11"/>
  <c r="E110" i="25"/>
  <c r="M110" i="49"/>
  <c r="C109" i="11"/>
  <c r="E251" i="25"/>
  <c r="M251" i="49"/>
  <c r="C250" i="11"/>
  <c r="E71" i="25"/>
  <c r="M71" i="49"/>
  <c r="C70" i="11"/>
  <c r="E253" i="25"/>
  <c r="C252" i="11"/>
  <c r="M253" i="49"/>
  <c r="E14" i="25"/>
  <c r="C13" i="11"/>
  <c r="M14" i="49"/>
  <c r="C292" i="11"/>
  <c r="M293" i="49"/>
  <c r="E293" i="25"/>
  <c r="E118" i="25"/>
  <c r="M118" i="49"/>
  <c r="C117" i="11"/>
  <c r="E284" i="25"/>
  <c r="C283" i="11"/>
  <c r="M284" i="49"/>
  <c r="M76" i="49"/>
  <c r="E76" i="25"/>
  <c r="C75" i="11"/>
  <c r="E30" i="25"/>
  <c r="M30" i="49"/>
  <c r="C29" i="11"/>
  <c r="E161" i="25"/>
  <c r="M161" i="49"/>
  <c r="C160" i="11"/>
  <c r="M180" i="49"/>
  <c r="E180" i="25"/>
  <c r="C179" i="11"/>
  <c r="M307" i="49"/>
  <c r="E307" i="25"/>
  <c r="C306" i="11"/>
  <c r="C166" i="11"/>
  <c r="E167" i="25"/>
  <c r="M167" i="49"/>
  <c r="C198" i="11"/>
  <c r="E199" i="25"/>
  <c r="M199" i="49"/>
  <c r="C71" i="11"/>
  <c r="M72" i="49"/>
  <c r="E72" i="25"/>
  <c r="E272" i="25"/>
  <c r="C271" i="11"/>
  <c r="M272" i="49"/>
  <c r="M84" i="49"/>
  <c r="E84" i="25"/>
  <c r="C83" i="11"/>
  <c r="E46" i="25"/>
  <c r="M46" i="49"/>
  <c r="C45" i="11"/>
  <c r="C155" i="11"/>
  <c r="M156" i="49"/>
  <c r="E156" i="25"/>
  <c r="E95" i="25"/>
  <c r="M95" i="49"/>
  <c r="C94" i="11"/>
  <c r="E291" i="25"/>
  <c r="M291" i="49"/>
  <c r="C290" i="11"/>
  <c r="C64" i="11"/>
  <c r="E65" i="25"/>
  <c r="M65" i="49"/>
  <c r="E42" i="25"/>
  <c r="M42" i="49"/>
  <c r="C41" i="11"/>
  <c r="M255" i="49"/>
  <c r="C254" i="11"/>
  <c r="E255" i="25"/>
  <c r="M10" i="49"/>
  <c r="E10" i="25"/>
  <c r="C9" i="11"/>
  <c r="C174" i="11"/>
  <c r="E175" i="25"/>
  <c r="M175" i="49"/>
  <c r="M168" i="49"/>
  <c r="C167" i="11"/>
  <c r="E168" i="25"/>
  <c r="E282" i="25"/>
  <c r="M282" i="49"/>
  <c r="C281" i="11"/>
  <c r="E68" i="25"/>
  <c r="C67" i="11"/>
  <c r="M68" i="49"/>
  <c r="M171" i="49"/>
  <c r="E171" i="25"/>
  <c r="C170" i="11"/>
  <c r="M280" i="49"/>
  <c r="C279" i="11"/>
  <c r="E280" i="25"/>
  <c r="M120" i="49"/>
  <c r="E120" i="25"/>
  <c r="C119" i="11"/>
  <c r="E149" i="25"/>
  <c r="C148" i="11"/>
  <c r="M149" i="49"/>
  <c r="E300" i="25"/>
  <c r="M300" i="49"/>
  <c r="C299" i="11"/>
  <c r="M124" i="49"/>
  <c r="E124" i="25"/>
  <c r="C123" i="11"/>
  <c r="E249" i="25"/>
  <c r="M249" i="49"/>
  <c r="C248" i="11"/>
  <c r="E52" i="25"/>
  <c r="C51" i="11"/>
  <c r="M52" i="49"/>
  <c r="E89" i="25"/>
  <c r="M89" i="49"/>
  <c r="C88" i="11"/>
  <c r="E191" i="25"/>
  <c r="M191" i="49"/>
  <c r="C190" i="11"/>
  <c r="E38" i="25"/>
  <c r="M38" i="49"/>
  <c r="C37" i="11"/>
  <c r="M228" i="49"/>
  <c r="E228" i="25"/>
  <c r="C227" i="11"/>
  <c r="C95" i="11"/>
  <c r="E96" i="25"/>
  <c r="M96" i="49"/>
  <c r="M219" i="49"/>
  <c r="E219" i="25"/>
  <c r="C218" i="11"/>
  <c r="E99" i="25"/>
  <c r="M99" i="49"/>
  <c r="C98" i="11"/>
  <c r="E197" i="25"/>
  <c r="C196" i="11"/>
  <c r="M197" i="49"/>
  <c r="M201" i="49"/>
  <c r="C200" i="11"/>
  <c r="E201" i="25"/>
  <c r="M212" i="49"/>
  <c r="E212" i="25"/>
  <c r="C211" i="11"/>
  <c r="C145" i="11"/>
  <c r="E146" i="25"/>
  <c r="M146" i="49"/>
  <c r="E119" i="25"/>
  <c r="M119" i="49"/>
  <c r="C118" i="11"/>
  <c r="C298" i="11"/>
  <c r="E299" i="25"/>
  <c r="M299" i="49"/>
  <c r="M112" i="49"/>
  <c r="E112" i="25"/>
  <c r="C111" i="11"/>
  <c r="C199" i="11"/>
  <c r="E200" i="25"/>
  <c r="M200" i="49"/>
  <c r="E213" i="25"/>
  <c r="C212" i="11"/>
  <c r="M213" i="49"/>
  <c r="M227" i="49"/>
  <c r="C226" i="11"/>
  <c r="E227" i="25"/>
  <c r="C116" i="11"/>
  <c r="M117" i="49"/>
  <c r="E117" i="25"/>
  <c r="M313" i="49"/>
  <c r="C312" i="11"/>
  <c r="E313" i="25"/>
  <c r="E97" i="25"/>
  <c r="M97" i="49"/>
  <c r="C96" i="11"/>
  <c r="M204" i="49"/>
  <c r="E204" i="25"/>
  <c r="C203" i="11"/>
  <c r="E235" i="25"/>
  <c r="M235" i="49"/>
  <c r="C234" i="11"/>
  <c r="E268" i="25"/>
  <c r="M268" i="49"/>
  <c r="C267" i="11"/>
  <c r="C311" i="11"/>
  <c r="M312" i="49"/>
  <c r="E312" i="25"/>
  <c r="E143" i="25"/>
  <c r="M143" i="49"/>
  <c r="C142" i="11"/>
  <c r="M278" i="49"/>
  <c r="E278" i="25"/>
  <c r="C277" i="11"/>
  <c r="E9" i="25"/>
  <c r="M9" i="49"/>
  <c r="C8" i="11"/>
  <c r="M132" i="49"/>
  <c r="E132" i="25"/>
  <c r="C131" i="11"/>
  <c r="M252" i="49"/>
  <c r="E252" i="25"/>
  <c r="C251" i="11"/>
  <c r="M55" i="49"/>
  <c r="C54" i="11"/>
  <c r="E55" i="25"/>
  <c r="E194" i="25"/>
  <c r="M194" i="49"/>
  <c r="C193" i="11"/>
  <c r="C127" i="11"/>
  <c r="E128" i="25"/>
  <c r="M128" i="49"/>
  <c r="E17" i="25"/>
  <c r="M17" i="49"/>
  <c r="C16" i="11"/>
  <c r="M25" i="49"/>
  <c r="C24" i="11"/>
  <c r="E25" i="25"/>
  <c r="C50" i="11"/>
  <c r="E51" i="25"/>
  <c r="M51" i="49"/>
  <c r="C11" i="11"/>
  <c r="M12" i="49"/>
  <c r="E12" i="25"/>
  <c r="E296" i="25"/>
  <c r="C295" i="11"/>
  <c r="M296" i="49"/>
  <c r="E229" i="25"/>
  <c r="C228" i="11"/>
  <c r="M229" i="49"/>
  <c r="E189" i="25"/>
  <c r="C188" i="11"/>
  <c r="M189" i="49"/>
  <c r="E8" i="25"/>
  <c r="M8" i="49"/>
  <c r="C7" i="11"/>
  <c r="E206" i="25"/>
  <c r="M206" i="49"/>
  <c r="C205" i="11"/>
  <c r="M86" i="49"/>
  <c r="C85" i="11"/>
  <c r="E86" i="25"/>
  <c r="C44" i="11"/>
  <c r="E45" i="25"/>
  <c r="M45" i="49"/>
  <c r="M40" i="49"/>
  <c r="C39" i="11"/>
  <c r="E40" i="25"/>
  <c r="E114" i="25"/>
  <c r="M114" i="49"/>
  <c r="C113" i="11"/>
  <c r="C236" i="11"/>
  <c r="M237" i="49"/>
  <c r="E237" i="25"/>
  <c r="C269" i="11"/>
  <c r="E270" i="25"/>
  <c r="M270" i="49"/>
  <c r="M220" i="49"/>
  <c r="E220" i="25"/>
  <c r="C219" i="11"/>
  <c r="C82" i="11"/>
  <c r="E83" i="25"/>
  <c r="M83" i="49"/>
  <c r="C225" i="11"/>
  <c r="E226" i="25"/>
  <c r="M226" i="49"/>
  <c r="E26" i="25"/>
  <c r="M26" i="49"/>
  <c r="C25" i="11"/>
  <c r="E137" i="25"/>
  <c r="M137" i="49"/>
  <c r="C136" i="11"/>
  <c r="E283" i="25"/>
  <c r="M283" i="49"/>
  <c r="C282" i="11"/>
  <c r="C146" i="11"/>
  <c r="E147" i="25"/>
  <c r="M147" i="49"/>
  <c r="E193" i="25"/>
  <c r="C192" i="11"/>
  <c r="M193" i="49"/>
  <c r="C216" i="11"/>
  <c r="E217" i="25"/>
  <c r="M217" i="49"/>
  <c r="M269" i="49"/>
  <c r="E269" i="25"/>
  <c r="C268" i="11"/>
  <c r="M75" i="49"/>
  <c r="E75" i="25"/>
  <c r="C74" i="11"/>
  <c r="E50" i="25"/>
  <c r="C49" i="11"/>
  <c r="M50" i="49"/>
  <c r="M224" i="49"/>
  <c r="C223" i="11"/>
  <c r="E224" i="25"/>
  <c r="M231" i="49"/>
  <c r="E231" i="25"/>
  <c r="C230" i="11"/>
  <c r="M94" i="49"/>
  <c r="E94" i="25"/>
  <c r="C93" i="11"/>
  <c r="E49" i="25"/>
  <c r="M49" i="49"/>
  <c r="C48" i="11"/>
  <c r="M140" i="49"/>
  <c r="E140" i="25"/>
  <c r="C139" i="11"/>
  <c r="C305" i="11"/>
  <c r="M306" i="49"/>
  <c r="E306" i="25"/>
  <c r="C124" i="11"/>
  <c r="M125" i="49"/>
  <c r="E125" i="25"/>
  <c r="M160" i="49"/>
  <c r="C159" i="11"/>
  <c r="E160" i="25"/>
  <c r="E93" i="25"/>
  <c r="C92" i="11"/>
  <c r="M93" i="49"/>
  <c r="C255" i="11"/>
  <c r="E256" i="25"/>
  <c r="M256" i="49"/>
  <c r="E232" i="25"/>
  <c r="M232" i="49"/>
  <c r="C231" i="11"/>
  <c r="E163" i="25"/>
  <c r="M163" i="49"/>
  <c r="C162" i="11"/>
  <c r="M247" i="49"/>
  <c r="C246" i="11"/>
  <c r="E247" i="25"/>
  <c r="E266" i="25"/>
  <c r="M266" i="49"/>
  <c r="C265" i="11"/>
  <c r="C42" i="11"/>
  <c r="M43" i="49"/>
  <c r="E43" i="25"/>
  <c r="E53" i="25"/>
  <c r="M53" i="49"/>
  <c r="C52" i="11"/>
  <c r="M107" i="49"/>
  <c r="E107" i="25"/>
  <c r="C106" i="11"/>
  <c r="E109" i="25"/>
  <c r="C108" i="11"/>
  <c r="M109" i="49"/>
  <c r="M274" i="49"/>
  <c r="E274" i="25"/>
  <c r="C273" i="11"/>
  <c r="M264" i="49"/>
  <c r="C263" i="11"/>
  <c r="E264" i="25"/>
  <c r="E79" i="25"/>
  <c r="M79" i="49"/>
  <c r="C78" i="11"/>
  <c r="C172" i="11"/>
  <c r="M173" i="49"/>
  <c r="E173" i="25"/>
  <c r="E144" i="25"/>
  <c r="C143" i="11"/>
  <c r="M144" i="49"/>
  <c r="E145" i="25"/>
  <c r="M145" i="49"/>
  <c r="C144" i="11"/>
  <c r="C303" i="11"/>
  <c r="E304" i="25"/>
  <c r="M304" i="49"/>
  <c r="E101" i="25"/>
  <c r="C100" i="11"/>
  <c r="M101" i="49"/>
  <c r="E39" i="25"/>
  <c r="M39" i="49"/>
  <c r="C38" i="11"/>
  <c r="C66" i="11"/>
  <c r="E67" i="25"/>
  <c r="M67" i="49"/>
  <c r="E165" i="25"/>
  <c r="C164" i="11"/>
  <c r="M165" i="49"/>
  <c r="E215" i="25"/>
  <c r="M215" i="49"/>
  <c r="C214" i="11"/>
  <c r="E185" i="25"/>
  <c r="M185" i="49"/>
  <c r="C184" i="11"/>
  <c r="E207" i="25"/>
  <c r="M207" i="49"/>
  <c r="C206" i="11"/>
  <c r="C266" i="11"/>
  <c r="M267" i="49"/>
  <c r="E267" i="25"/>
  <c r="E248" i="25"/>
  <c r="C247" i="11"/>
  <c r="M248" i="49"/>
  <c r="M176" i="49"/>
  <c r="E176" i="25"/>
  <c r="C175" i="11"/>
  <c r="C285" i="11"/>
  <c r="M286" i="49"/>
  <c r="E286" i="25"/>
  <c r="M195" i="49"/>
  <c r="C194" i="11"/>
  <c r="E195" i="25"/>
  <c r="E263" i="25"/>
  <c r="M263" i="49"/>
  <c r="C262" i="11"/>
  <c r="E23" i="25"/>
  <c r="M23" i="49"/>
  <c r="C22" i="11"/>
  <c r="M80" i="49"/>
  <c r="E80" i="25"/>
  <c r="C79" i="11"/>
  <c r="E153" i="25"/>
  <c r="M153" i="49"/>
  <c r="C152" i="11"/>
  <c r="M48" i="49"/>
  <c r="E48" i="25"/>
  <c r="C47" i="11"/>
  <c r="M78" i="49"/>
  <c r="C77" i="11"/>
  <c r="E78" i="25"/>
  <c r="E309" i="25"/>
  <c r="C308" i="11"/>
  <c r="M309" i="49"/>
  <c r="C132" i="11"/>
  <c r="M133" i="49"/>
  <c r="E133" i="25"/>
  <c r="E54" i="25"/>
  <c r="C53" i="11"/>
  <c r="M54" i="49"/>
  <c r="E103" i="25"/>
  <c r="M103" i="49"/>
  <c r="C102" i="11"/>
  <c r="E105" i="25"/>
  <c r="M105" i="49"/>
  <c r="C104" i="11"/>
  <c r="E155" i="25"/>
  <c r="C154" i="11"/>
  <c r="M155" i="49"/>
  <c r="E139" i="25"/>
  <c r="C138" i="11"/>
  <c r="M139" i="49"/>
  <c r="C6" i="11"/>
  <c r="E7" i="25"/>
  <c r="M7" i="49"/>
  <c r="M288" i="49"/>
  <c r="C287" i="11"/>
  <c r="E288" i="25"/>
  <c r="C220" i="11"/>
  <c r="M221" i="49"/>
  <c r="E221" i="25"/>
  <c r="M90" i="49"/>
  <c r="C89" i="11"/>
  <c r="E90" i="25"/>
  <c r="C189" i="11"/>
  <c r="E190" i="25"/>
  <c r="M190" i="49"/>
  <c r="C69" i="11"/>
  <c r="E70" i="25"/>
  <c r="M70" i="49"/>
  <c r="M82" i="49"/>
  <c r="C81" i="11"/>
  <c r="E82" i="25"/>
  <c r="C185" i="11"/>
  <c r="E186" i="25"/>
  <c r="M186" i="49"/>
  <c r="C201" i="11"/>
  <c r="E202" i="25"/>
  <c r="M202" i="49"/>
  <c r="E66" i="25"/>
  <c r="M66" i="49"/>
  <c r="C65" i="11"/>
  <c r="E74" i="25"/>
  <c r="M74" i="49"/>
  <c r="C73" i="11"/>
  <c r="C229" i="11"/>
  <c r="E230" i="25"/>
  <c r="M230" i="49"/>
  <c r="E58" i="25"/>
  <c r="M58" i="49"/>
  <c r="C57" i="11"/>
  <c r="E158" i="25"/>
  <c r="M158" i="49"/>
  <c r="C157" i="11"/>
  <c r="M18" i="49"/>
  <c r="E18" i="25"/>
  <c r="C17" i="11"/>
  <c r="M138" i="49"/>
  <c r="C137" i="11"/>
  <c r="E138" i="25"/>
  <c r="E182" i="25"/>
  <c r="M182" i="49"/>
  <c r="C181" i="11"/>
  <c r="E289" i="25"/>
  <c r="M289" i="49"/>
  <c r="C288" i="11"/>
  <c r="J244" i="13"/>
  <c r="G244" i="49"/>
  <c r="J170" i="13"/>
  <c r="G170" i="49"/>
  <c r="M4" i="11"/>
  <c r="I4" i="11"/>
  <c r="H268" i="11" l="1"/>
  <c r="I268" i="11" s="1"/>
  <c r="L268" i="11"/>
  <c r="M268" i="11" s="1"/>
  <c r="H311" i="11"/>
  <c r="I311" i="11" s="1"/>
  <c r="L311" i="11"/>
  <c r="M311" i="11" s="1"/>
  <c r="L111" i="11"/>
  <c r="M111" i="11" s="1"/>
  <c r="H111" i="11"/>
  <c r="I111" i="11" s="1"/>
  <c r="M244" i="49"/>
  <c r="E244" i="25"/>
  <c r="C243" i="11"/>
  <c r="L240" i="11"/>
  <c r="M240" i="11" s="1"/>
  <c r="H240" i="11"/>
  <c r="I240" i="11" s="1"/>
  <c r="L221" i="11"/>
  <c r="M221" i="11" s="1"/>
  <c r="H221" i="11"/>
  <c r="I221" i="11" s="1"/>
  <c r="L220" i="11"/>
  <c r="M220" i="11" s="1"/>
  <c r="H220" i="11"/>
  <c r="I220" i="11" s="1"/>
  <c r="L132" i="11"/>
  <c r="M132" i="11" s="1"/>
  <c r="H132" i="11"/>
  <c r="I132" i="11" s="1"/>
  <c r="L262" i="11"/>
  <c r="M262" i="11" s="1"/>
  <c r="H262" i="11"/>
  <c r="I262" i="11" s="1"/>
  <c r="H214" i="11"/>
  <c r="I214" i="11" s="1"/>
  <c r="L214" i="11"/>
  <c r="M214" i="11" s="1"/>
  <c r="L231" i="11"/>
  <c r="M231" i="11" s="1"/>
  <c r="H231" i="11"/>
  <c r="I231" i="11" s="1"/>
  <c r="H159" i="11"/>
  <c r="I159" i="11" s="1"/>
  <c r="L159" i="11"/>
  <c r="M159" i="11" s="1"/>
  <c r="L205" i="11"/>
  <c r="M205" i="11" s="1"/>
  <c r="H205" i="11"/>
  <c r="I205" i="11" s="1"/>
  <c r="H228" i="11"/>
  <c r="I228" i="11" s="1"/>
  <c r="L228" i="11"/>
  <c r="M228" i="11" s="1"/>
  <c r="L131" i="11"/>
  <c r="M131" i="11" s="1"/>
  <c r="H131" i="11"/>
  <c r="I131" i="11" s="1"/>
  <c r="L312" i="11"/>
  <c r="M312" i="11" s="1"/>
  <c r="H312" i="11"/>
  <c r="I312" i="11" s="1"/>
  <c r="H123" i="11"/>
  <c r="I123" i="11" s="1"/>
  <c r="L123" i="11"/>
  <c r="M123" i="11" s="1"/>
  <c r="L294" i="11"/>
  <c r="M294" i="11" s="1"/>
  <c r="H294" i="11"/>
  <c r="I294" i="11" s="1"/>
  <c r="H133" i="11"/>
  <c r="I133" i="11" s="1"/>
  <c r="L133" i="11"/>
  <c r="M133" i="11" s="1"/>
  <c r="L197" i="11"/>
  <c r="M197" i="11" s="1"/>
  <c r="H197" i="11"/>
  <c r="I197" i="11" s="1"/>
  <c r="L301" i="11"/>
  <c r="M301" i="11" s="1"/>
  <c r="H301" i="11"/>
  <c r="I301" i="11" s="1"/>
  <c r="H278" i="11"/>
  <c r="I278" i="11" s="1"/>
  <c r="L278" i="11"/>
  <c r="M278" i="11" s="1"/>
  <c r="L304" i="11"/>
  <c r="M304" i="11" s="1"/>
  <c r="H304" i="11"/>
  <c r="I304" i="11" s="1"/>
  <c r="L114" i="11"/>
  <c r="M114" i="11" s="1"/>
  <c r="H114" i="11"/>
  <c r="I114" i="11" s="1"/>
  <c r="L274" i="11"/>
  <c r="M274" i="11" s="1"/>
  <c r="H274" i="11"/>
  <c r="I274" i="11" s="1"/>
  <c r="L191" i="11"/>
  <c r="M191" i="11" s="1"/>
  <c r="H191" i="11"/>
  <c r="I191" i="11" s="1"/>
  <c r="L122" i="11"/>
  <c r="M122" i="11" s="1"/>
  <c r="H122" i="11"/>
  <c r="I122" i="11" s="1"/>
  <c r="L217" i="11"/>
  <c r="M217" i="11" s="1"/>
  <c r="H217" i="11"/>
  <c r="I217" i="11" s="1"/>
  <c r="L270" i="11"/>
  <c r="M270" i="11" s="1"/>
  <c r="H270" i="11"/>
  <c r="I270" i="11" s="1"/>
  <c r="L180" i="11"/>
  <c r="M180" i="11" s="1"/>
  <c r="H180" i="11"/>
  <c r="I180" i="11" s="1"/>
  <c r="L164" i="11"/>
  <c r="M164" i="11" s="1"/>
  <c r="H164" i="11"/>
  <c r="I164" i="11" s="1"/>
  <c r="L265" i="11"/>
  <c r="M265" i="11" s="1"/>
  <c r="H265" i="11"/>
  <c r="I265" i="11" s="1"/>
  <c r="L298" i="11"/>
  <c r="M298" i="11" s="1"/>
  <c r="H298" i="11"/>
  <c r="I298" i="11" s="1"/>
  <c r="L151" i="11"/>
  <c r="M151" i="11" s="1"/>
  <c r="H151" i="11"/>
  <c r="I151" i="11" s="1"/>
  <c r="L309" i="11"/>
  <c r="M309" i="11" s="1"/>
  <c r="H309" i="11"/>
  <c r="I309" i="11" s="1"/>
  <c r="L176" i="11"/>
  <c r="M176" i="11" s="1"/>
  <c r="H176" i="11"/>
  <c r="I176" i="11" s="1"/>
  <c r="L135" i="11"/>
  <c r="M135" i="11" s="1"/>
  <c r="H135" i="11"/>
  <c r="I135" i="11" s="1"/>
  <c r="L130" i="11"/>
  <c r="M130" i="11" s="1"/>
  <c r="H130" i="11"/>
  <c r="I130" i="11" s="1"/>
  <c r="H229" i="11"/>
  <c r="I229" i="11" s="1"/>
  <c r="L229" i="11"/>
  <c r="M229" i="11" s="1"/>
  <c r="H77" i="11"/>
  <c r="I77" i="11" s="1"/>
  <c r="L77" i="11"/>
  <c r="M77" i="11" s="1"/>
  <c r="H152" i="11"/>
  <c r="I152" i="11" s="1"/>
  <c r="L152" i="11"/>
  <c r="M152" i="11" s="1"/>
  <c r="L106" i="11"/>
  <c r="M106" i="11" s="1"/>
  <c r="H106" i="11"/>
  <c r="I106" i="11" s="1"/>
  <c r="L162" i="11"/>
  <c r="M162" i="11" s="1"/>
  <c r="H162" i="11"/>
  <c r="I162" i="11" s="1"/>
  <c r="L136" i="11"/>
  <c r="M136" i="11" s="1"/>
  <c r="H136" i="11"/>
  <c r="I136" i="11" s="1"/>
  <c r="L96" i="11"/>
  <c r="M96" i="11" s="1"/>
  <c r="H96" i="11"/>
  <c r="I96" i="11" s="1"/>
  <c r="H118" i="11"/>
  <c r="I118" i="11" s="1"/>
  <c r="L118" i="11"/>
  <c r="M118" i="11" s="1"/>
  <c r="H145" i="11"/>
  <c r="I145" i="11" s="1"/>
  <c r="L145" i="11"/>
  <c r="M145" i="11" s="1"/>
  <c r="L200" i="11"/>
  <c r="M200" i="11" s="1"/>
  <c r="H200" i="11"/>
  <c r="I200" i="11" s="1"/>
  <c r="L98" i="11"/>
  <c r="M98" i="11" s="1"/>
  <c r="H98" i="11"/>
  <c r="I98" i="11" s="1"/>
  <c r="L88" i="11"/>
  <c r="M88" i="11" s="1"/>
  <c r="H88" i="11"/>
  <c r="I88" i="11" s="1"/>
  <c r="L170" i="11"/>
  <c r="M170" i="11" s="1"/>
  <c r="H170" i="11"/>
  <c r="I170" i="11" s="1"/>
  <c r="L160" i="11"/>
  <c r="M160" i="11" s="1"/>
  <c r="H160" i="11"/>
  <c r="I160" i="11" s="1"/>
  <c r="H283" i="11"/>
  <c r="I283" i="11" s="1"/>
  <c r="L283" i="11"/>
  <c r="M283" i="11" s="1"/>
  <c r="L109" i="11"/>
  <c r="M109" i="11" s="1"/>
  <c r="H109" i="11"/>
  <c r="I109" i="11" s="1"/>
  <c r="L244" i="11"/>
  <c r="M244" i="11" s="1"/>
  <c r="H244" i="11"/>
  <c r="I244" i="11" s="1"/>
  <c r="H237" i="11"/>
  <c r="I237" i="11" s="1"/>
  <c r="L237" i="11"/>
  <c r="M237" i="11" s="1"/>
  <c r="H173" i="11"/>
  <c r="I173" i="11" s="1"/>
  <c r="L173" i="11"/>
  <c r="M173" i="11" s="1"/>
  <c r="H235" i="11"/>
  <c r="I235" i="11" s="1"/>
  <c r="L235" i="11"/>
  <c r="M235" i="11" s="1"/>
  <c r="H183" i="11"/>
  <c r="I183" i="11" s="1"/>
  <c r="L183" i="11"/>
  <c r="M183" i="11" s="1"/>
  <c r="L276" i="11"/>
  <c r="M276" i="11" s="1"/>
  <c r="H276" i="11"/>
  <c r="I276" i="11" s="1"/>
  <c r="L80" i="11"/>
  <c r="M80" i="11" s="1"/>
  <c r="H80" i="11"/>
  <c r="I80" i="11" s="1"/>
  <c r="H147" i="11"/>
  <c r="I147" i="11" s="1"/>
  <c r="L147" i="11"/>
  <c r="M147" i="11" s="1"/>
  <c r="L284" i="11"/>
  <c r="M284" i="11" s="1"/>
  <c r="H284" i="11"/>
  <c r="I284" i="11" s="1"/>
  <c r="H215" i="11"/>
  <c r="I215" i="11" s="1"/>
  <c r="L215" i="11"/>
  <c r="M215" i="11" s="1"/>
  <c r="L142" i="11"/>
  <c r="M142" i="11" s="1"/>
  <c r="H142" i="11"/>
  <c r="I142" i="11" s="1"/>
  <c r="L289" i="11"/>
  <c r="M289" i="11" s="1"/>
  <c r="H289" i="11"/>
  <c r="I289" i="11" s="1"/>
  <c r="L300" i="11"/>
  <c r="M300" i="11" s="1"/>
  <c r="H300" i="11"/>
  <c r="I300" i="11" s="1"/>
  <c r="L201" i="11"/>
  <c r="M201" i="11" s="1"/>
  <c r="H201" i="11"/>
  <c r="I201" i="11" s="1"/>
  <c r="H89" i="11"/>
  <c r="I89" i="11" s="1"/>
  <c r="L89" i="11"/>
  <c r="M89" i="11" s="1"/>
  <c r="L154" i="11"/>
  <c r="M154" i="11" s="1"/>
  <c r="H154" i="11"/>
  <c r="I154" i="11" s="1"/>
  <c r="L102" i="11"/>
  <c r="M102" i="11" s="1"/>
  <c r="H102" i="11"/>
  <c r="I102" i="11" s="1"/>
  <c r="L92" i="11"/>
  <c r="M92" i="11" s="1"/>
  <c r="H92" i="11"/>
  <c r="I92" i="11" s="1"/>
  <c r="L223" i="11"/>
  <c r="M223" i="11" s="1"/>
  <c r="H223" i="11"/>
  <c r="I223" i="11" s="1"/>
  <c r="L146" i="11"/>
  <c r="M146" i="11" s="1"/>
  <c r="H146" i="11"/>
  <c r="I146" i="11" s="1"/>
  <c r="L82" i="11"/>
  <c r="M82" i="11" s="1"/>
  <c r="H82" i="11"/>
  <c r="I82" i="11" s="1"/>
  <c r="L236" i="11"/>
  <c r="M236" i="11" s="1"/>
  <c r="H236" i="11"/>
  <c r="I236" i="11" s="1"/>
  <c r="L193" i="11"/>
  <c r="M193" i="11" s="1"/>
  <c r="H193" i="11"/>
  <c r="I193" i="11" s="1"/>
  <c r="L277" i="11"/>
  <c r="M277" i="11" s="1"/>
  <c r="H277" i="11"/>
  <c r="I277" i="11" s="1"/>
  <c r="L226" i="11"/>
  <c r="M226" i="11" s="1"/>
  <c r="H226" i="11"/>
  <c r="I226" i="11" s="1"/>
  <c r="L227" i="11"/>
  <c r="M227" i="11" s="1"/>
  <c r="H227" i="11"/>
  <c r="I227" i="11" s="1"/>
  <c r="L190" i="11"/>
  <c r="M190" i="11" s="1"/>
  <c r="H190" i="11"/>
  <c r="I190" i="11" s="1"/>
  <c r="L148" i="11"/>
  <c r="M148" i="11" s="1"/>
  <c r="H148" i="11"/>
  <c r="I148" i="11" s="1"/>
  <c r="L281" i="11"/>
  <c r="M281" i="11" s="1"/>
  <c r="H281" i="11"/>
  <c r="I281" i="11" s="1"/>
  <c r="H174" i="11"/>
  <c r="I174" i="11" s="1"/>
  <c r="L174" i="11"/>
  <c r="M174" i="11" s="1"/>
  <c r="H290" i="11"/>
  <c r="I290" i="11" s="1"/>
  <c r="L290" i="11"/>
  <c r="M290" i="11" s="1"/>
  <c r="L179" i="11"/>
  <c r="M179" i="11" s="1"/>
  <c r="H179" i="11"/>
  <c r="I179" i="11" s="1"/>
  <c r="L86" i="11"/>
  <c r="M86" i="11" s="1"/>
  <c r="H86" i="11"/>
  <c r="I86" i="11" s="1"/>
  <c r="L313" i="11"/>
  <c r="M313" i="11" s="1"/>
  <c r="H313" i="11"/>
  <c r="I313" i="11" s="1"/>
  <c r="L256" i="11"/>
  <c r="M256" i="11" s="1"/>
  <c r="H256" i="11"/>
  <c r="I256" i="11" s="1"/>
  <c r="L245" i="11"/>
  <c r="M245" i="11" s="1"/>
  <c r="H245" i="11"/>
  <c r="I245" i="11" s="1"/>
  <c r="L208" i="11"/>
  <c r="M208" i="11" s="1"/>
  <c r="H208" i="11"/>
  <c r="I208" i="11" s="1"/>
  <c r="L91" i="11"/>
  <c r="M91" i="11" s="1"/>
  <c r="H91" i="11"/>
  <c r="I91" i="11" s="1"/>
  <c r="L259" i="11"/>
  <c r="M259" i="11" s="1"/>
  <c r="H259" i="11"/>
  <c r="I259" i="11" s="1"/>
  <c r="L224" i="11"/>
  <c r="M224" i="11" s="1"/>
  <c r="H224" i="11"/>
  <c r="I224" i="11" s="1"/>
  <c r="H105" i="11"/>
  <c r="I105" i="11" s="1"/>
  <c r="L105" i="11"/>
  <c r="M105" i="11" s="1"/>
  <c r="L293" i="11"/>
  <c r="M293" i="11" s="1"/>
  <c r="H293" i="11"/>
  <c r="I293" i="11" s="1"/>
  <c r="H110" i="11"/>
  <c r="I110" i="11" s="1"/>
  <c r="L110" i="11"/>
  <c r="M110" i="11" s="1"/>
  <c r="L249" i="11"/>
  <c r="M249" i="11" s="1"/>
  <c r="H249" i="11"/>
  <c r="I249" i="11" s="1"/>
  <c r="L222" i="11"/>
  <c r="M222" i="11" s="1"/>
  <c r="H222" i="11"/>
  <c r="I222" i="11" s="1"/>
  <c r="L186" i="11"/>
  <c r="M186" i="11" s="1"/>
  <c r="H186" i="11"/>
  <c r="I186" i="11" s="1"/>
  <c r="L233" i="11"/>
  <c r="M233" i="11" s="1"/>
  <c r="H233" i="11"/>
  <c r="I233" i="11" s="1"/>
  <c r="L115" i="11"/>
  <c r="M115" i="11" s="1"/>
  <c r="H115" i="11"/>
  <c r="I115" i="11" s="1"/>
  <c r="H129" i="11"/>
  <c r="I129" i="11" s="1"/>
  <c r="L129" i="11"/>
  <c r="M129" i="11" s="1"/>
  <c r="L241" i="11"/>
  <c r="M241" i="11" s="1"/>
  <c r="H241" i="11"/>
  <c r="I241" i="11" s="1"/>
  <c r="L171" i="11"/>
  <c r="M171" i="11" s="1"/>
  <c r="H171" i="11"/>
  <c r="I171" i="11" s="1"/>
  <c r="L255" i="11"/>
  <c r="M255" i="11" s="1"/>
  <c r="H255" i="11"/>
  <c r="I255" i="11" s="1"/>
  <c r="H213" i="11"/>
  <c r="I213" i="11" s="1"/>
  <c r="L213" i="11"/>
  <c r="M213" i="11" s="1"/>
  <c r="L207" i="11"/>
  <c r="M207" i="11" s="1"/>
  <c r="H207" i="11"/>
  <c r="I207" i="11" s="1"/>
  <c r="L126" i="11"/>
  <c r="M126" i="11" s="1"/>
  <c r="H126" i="11"/>
  <c r="I126" i="11" s="1"/>
  <c r="L288" i="11"/>
  <c r="M288" i="11" s="1"/>
  <c r="H288" i="11"/>
  <c r="I288" i="11" s="1"/>
  <c r="L81" i="11"/>
  <c r="M81" i="11" s="1"/>
  <c r="H81" i="11"/>
  <c r="I81" i="11" s="1"/>
  <c r="L287" i="11"/>
  <c r="M287" i="11" s="1"/>
  <c r="H287" i="11"/>
  <c r="I287" i="11" s="1"/>
  <c r="L172" i="11"/>
  <c r="M172" i="11" s="1"/>
  <c r="H172" i="11"/>
  <c r="I172" i="11" s="1"/>
  <c r="L305" i="11"/>
  <c r="M305" i="11" s="1"/>
  <c r="H305" i="11"/>
  <c r="I305" i="11" s="1"/>
  <c r="H230" i="11"/>
  <c r="I230" i="11" s="1"/>
  <c r="L230" i="11"/>
  <c r="M230" i="11" s="1"/>
  <c r="L192" i="11"/>
  <c r="M192" i="11" s="1"/>
  <c r="H192" i="11"/>
  <c r="I192" i="11" s="1"/>
  <c r="H188" i="11"/>
  <c r="I188" i="11" s="1"/>
  <c r="L188" i="11"/>
  <c r="M188" i="11" s="1"/>
  <c r="L267" i="11"/>
  <c r="M267" i="11" s="1"/>
  <c r="H267" i="11"/>
  <c r="I267" i="11" s="1"/>
  <c r="L211" i="11"/>
  <c r="M211" i="11" s="1"/>
  <c r="H211" i="11"/>
  <c r="I211" i="11" s="1"/>
  <c r="H248" i="11"/>
  <c r="I248" i="11" s="1"/>
  <c r="L248" i="11"/>
  <c r="M248" i="11" s="1"/>
  <c r="L279" i="11"/>
  <c r="M279" i="11" s="1"/>
  <c r="H279" i="11"/>
  <c r="I279" i="11" s="1"/>
  <c r="L117" i="11"/>
  <c r="M117" i="11" s="1"/>
  <c r="H117" i="11"/>
  <c r="I117" i="11" s="1"/>
  <c r="H252" i="11"/>
  <c r="I252" i="11" s="1"/>
  <c r="L252" i="11"/>
  <c r="M252" i="11" s="1"/>
  <c r="L120" i="11"/>
  <c r="M120" i="11" s="1"/>
  <c r="H120" i="11"/>
  <c r="I120" i="11" s="1"/>
  <c r="H177" i="11"/>
  <c r="I177" i="11" s="1"/>
  <c r="L177" i="11"/>
  <c r="M177" i="11" s="1"/>
  <c r="H161" i="11"/>
  <c r="I161" i="11" s="1"/>
  <c r="L161" i="11"/>
  <c r="M161" i="11" s="1"/>
  <c r="L291" i="11"/>
  <c r="M291" i="11" s="1"/>
  <c r="H291" i="11"/>
  <c r="I291" i="11" s="1"/>
  <c r="H134" i="11"/>
  <c r="I134" i="11" s="1"/>
  <c r="L134" i="11"/>
  <c r="M134" i="11" s="1"/>
  <c r="H286" i="11"/>
  <c r="I286" i="11" s="1"/>
  <c r="L286" i="11"/>
  <c r="M286" i="11" s="1"/>
  <c r="L232" i="11"/>
  <c r="M232" i="11" s="1"/>
  <c r="H232" i="11"/>
  <c r="I232" i="11" s="1"/>
  <c r="H209" i="11"/>
  <c r="I209" i="11" s="1"/>
  <c r="L209" i="11"/>
  <c r="M209" i="11" s="1"/>
  <c r="L163" i="11"/>
  <c r="M163" i="11" s="1"/>
  <c r="H163" i="11"/>
  <c r="I163" i="11" s="1"/>
  <c r="H87" i="11"/>
  <c r="I87" i="11" s="1"/>
  <c r="L87" i="11"/>
  <c r="M87" i="11" s="1"/>
  <c r="L239" i="11"/>
  <c r="M239" i="11" s="1"/>
  <c r="H239" i="11"/>
  <c r="I239" i="11" s="1"/>
  <c r="H195" i="11"/>
  <c r="I195" i="11" s="1"/>
  <c r="L195" i="11"/>
  <c r="M195" i="11" s="1"/>
  <c r="L210" i="11"/>
  <c r="M210" i="11" s="1"/>
  <c r="H210" i="11"/>
  <c r="I210" i="11" s="1"/>
  <c r="L125" i="11"/>
  <c r="M125" i="11" s="1"/>
  <c r="H125" i="11"/>
  <c r="I125" i="11" s="1"/>
  <c r="L185" i="11"/>
  <c r="M185" i="11" s="1"/>
  <c r="H185" i="11"/>
  <c r="I185" i="11" s="1"/>
  <c r="L175" i="11"/>
  <c r="M175" i="11" s="1"/>
  <c r="H175" i="11"/>
  <c r="I175" i="11" s="1"/>
  <c r="H99" i="11"/>
  <c r="I99" i="11" s="1"/>
  <c r="L99" i="11"/>
  <c r="M99" i="11" s="1"/>
  <c r="L308" i="11"/>
  <c r="M308" i="11" s="1"/>
  <c r="H308" i="11"/>
  <c r="I308" i="11" s="1"/>
  <c r="H285" i="11"/>
  <c r="I285" i="11" s="1"/>
  <c r="L285" i="11"/>
  <c r="M285" i="11" s="1"/>
  <c r="L266" i="11"/>
  <c r="M266" i="11" s="1"/>
  <c r="H266" i="11"/>
  <c r="I266" i="11" s="1"/>
  <c r="L184" i="11"/>
  <c r="M184" i="11" s="1"/>
  <c r="H184" i="11"/>
  <c r="I184" i="11" s="1"/>
  <c r="L303" i="11"/>
  <c r="M303" i="11" s="1"/>
  <c r="H303" i="11"/>
  <c r="I303" i="11" s="1"/>
  <c r="L143" i="11"/>
  <c r="M143" i="11" s="1"/>
  <c r="H143" i="11"/>
  <c r="I143" i="11" s="1"/>
  <c r="L78" i="11"/>
  <c r="M78" i="11" s="1"/>
  <c r="H78" i="11"/>
  <c r="I78" i="11" s="1"/>
  <c r="L263" i="11"/>
  <c r="M263" i="11" s="1"/>
  <c r="H263" i="11"/>
  <c r="I263" i="11" s="1"/>
  <c r="L282" i="11"/>
  <c r="M282" i="11" s="1"/>
  <c r="H282" i="11"/>
  <c r="I282" i="11" s="1"/>
  <c r="L269" i="11"/>
  <c r="M269" i="11" s="1"/>
  <c r="H269" i="11"/>
  <c r="I269" i="11" s="1"/>
  <c r="L113" i="11"/>
  <c r="M113" i="11" s="1"/>
  <c r="H113" i="11"/>
  <c r="I113" i="11" s="1"/>
  <c r="L85" i="11"/>
  <c r="M85" i="11" s="1"/>
  <c r="H85" i="11"/>
  <c r="I85" i="11" s="1"/>
  <c r="L295" i="11"/>
  <c r="M295" i="11" s="1"/>
  <c r="H295" i="11"/>
  <c r="I295" i="11" s="1"/>
  <c r="L251" i="11"/>
  <c r="M251" i="11" s="1"/>
  <c r="H251" i="11"/>
  <c r="I251" i="11" s="1"/>
  <c r="H203" i="11"/>
  <c r="I203" i="11" s="1"/>
  <c r="L203" i="11"/>
  <c r="M203" i="11" s="1"/>
  <c r="L199" i="11"/>
  <c r="M199" i="11" s="1"/>
  <c r="H199" i="11"/>
  <c r="I199" i="11" s="1"/>
  <c r="L299" i="11"/>
  <c r="M299" i="11" s="1"/>
  <c r="H299" i="11"/>
  <c r="I299" i="11" s="1"/>
  <c r="L167" i="11"/>
  <c r="M167" i="11" s="1"/>
  <c r="H167" i="11"/>
  <c r="I167" i="11" s="1"/>
  <c r="H254" i="11"/>
  <c r="I254" i="11" s="1"/>
  <c r="L254" i="11"/>
  <c r="M254" i="11" s="1"/>
  <c r="H271" i="11"/>
  <c r="I271" i="11" s="1"/>
  <c r="L271" i="11"/>
  <c r="M271" i="11" s="1"/>
  <c r="L166" i="11"/>
  <c r="M166" i="11" s="1"/>
  <c r="H166" i="11"/>
  <c r="I166" i="11" s="1"/>
  <c r="H292" i="11"/>
  <c r="I292" i="11" s="1"/>
  <c r="L292" i="11"/>
  <c r="M292" i="11" s="1"/>
  <c r="L250" i="11"/>
  <c r="M250" i="11" s="1"/>
  <c r="H250" i="11"/>
  <c r="I250" i="11" s="1"/>
  <c r="L261" i="11"/>
  <c r="M261" i="11" s="1"/>
  <c r="H261" i="11"/>
  <c r="I261" i="11" s="1"/>
  <c r="L182" i="11"/>
  <c r="M182" i="11" s="1"/>
  <c r="H182" i="11"/>
  <c r="I182" i="11" s="1"/>
  <c r="L296" i="11"/>
  <c r="M296" i="11" s="1"/>
  <c r="H296" i="11"/>
  <c r="I296" i="11" s="1"/>
  <c r="L202" i="11"/>
  <c r="M202" i="11" s="1"/>
  <c r="H202" i="11"/>
  <c r="I202" i="11" s="1"/>
  <c r="L264" i="11"/>
  <c r="M264" i="11" s="1"/>
  <c r="H264" i="11"/>
  <c r="I264" i="11" s="1"/>
  <c r="L297" i="11"/>
  <c r="M297" i="11" s="1"/>
  <c r="H297" i="11"/>
  <c r="I297" i="11" s="1"/>
  <c r="L101" i="11"/>
  <c r="M101" i="11" s="1"/>
  <c r="H101" i="11"/>
  <c r="I101" i="11" s="1"/>
  <c r="L107" i="11"/>
  <c r="M107" i="11" s="1"/>
  <c r="H107" i="11"/>
  <c r="I107" i="11" s="1"/>
  <c r="H153" i="11"/>
  <c r="I153" i="11" s="1"/>
  <c r="L153" i="11"/>
  <c r="M153" i="11" s="1"/>
  <c r="H140" i="11"/>
  <c r="I140" i="11" s="1"/>
  <c r="L140" i="11"/>
  <c r="M140" i="11" s="1"/>
  <c r="L181" i="11"/>
  <c r="M181" i="11" s="1"/>
  <c r="H181" i="11"/>
  <c r="I181" i="11" s="1"/>
  <c r="L196" i="11"/>
  <c r="M196" i="11" s="1"/>
  <c r="H196" i="11"/>
  <c r="I196" i="11" s="1"/>
  <c r="H137" i="11"/>
  <c r="I137" i="11" s="1"/>
  <c r="L137" i="11"/>
  <c r="M137" i="11" s="1"/>
  <c r="L138" i="11"/>
  <c r="M138" i="11" s="1"/>
  <c r="H138" i="11"/>
  <c r="I138" i="11" s="1"/>
  <c r="L104" i="11"/>
  <c r="M104" i="11" s="1"/>
  <c r="H104" i="11"/>
  <c r="I104" i="11" s="1"/>
  <c r="H79" i="11"/>
  <c r="I79" i="11" s="1"/>
  <c r="L79" i="11"/>
  <c r="M79" i="11" s="1"/>
  <c r="L206" i="11"/>
  <c r="M206" i="11" s="1"/>
  <c r="H206" i="11"/>
  <c r="I206" i="11" s="1"/>
  <c r="H108" i="11"/>
  <c r="I108" i="11" s="1"/>
  <c r="L108" i="11"/>
  <c r="M108" i="11" s="1"/>
  <c r="L124" i="11"/>
  <c r="M124" i="11" s="1"/>
  <c r="H124" i="11"/>
  <c r="I124" i="11" s="1"/>
  <c r="H139" i="11"/>
  <c r="I139" i="11" s="1"/>
  <c r="L139" i="11"/>
  <c r="M139" i="11" s="1"/>
  <c r="H225" i="11"/>
  <c r="I225" i="11" s="1"/>
  <c r="L225" i="11"/>
  <c r="M225" i="11" s="1"/>
  <c r="L219" i="11"/>
  <c r="M219" i="11" s="1"/>
  <c r="H219" i="11"/>
  <c r="I219" i="11" s="1"/>
  <c r="L116" i="11"/>
  <c r="M116" i="11" s="1"/>
  <c r="H116" i="11"/>
  <c r="I116" i="11" s="1"/>
  <c r="L83" i="11"/>
  <c r="M83" i="11" s="1"/>
  <c r="H83" i="11"/>
  <c r="I83" i="11" s="1"/>
  <c r="L149" i="11"/>
  <c r="M149" i="11" s="1"/>
  <c r="H149" i="11"/>
  <c r="I149" i="11" s="1"/>
  <c r="L187" i="11"/>
  <c r="M187" i="11" s="1"/>
  <c r="H187" i="11"/>
  <c r="I187" i="11" s="1"/>
  <c r="L260" i="11"/>
  <c r="M260" i="11" s="1"/>
  <c r="H260" i="11"/>
  <c r="I260" i="11" s="1"/>
  <c r="L103" i="11"/>
  <c r="M103" i="11" s="1"/>
  <c r="H103" i="11"/>
  <c r="I103" i="11" s="1"/>
  <c r="H280" i="11"/>
  <c r="I280" i="11" s="1"/>
  <c r="L280" i="11"/>
  <c r="M280" i="11" s="1"/>
  <c r="L128" i="11"/>
  <c r="M128" i="11" s="1"/>
  <c r="H128" i="11"/>
  <c r="I128" i="11" s="1"/>
  <c r="L204" i="11"/>
  <c r="M204" i="11" s="1"/>
  <c r="H204" i="11"/>
  <c r="I204" i="11" s="1"/>
  <c r="H275" i="11"/>
  <c r="I275" i="11" s="1"/>
  <c r="L275" i="11"/>
  <c r="M275" i="11" s="1"/>
  <c r="L141" i="11"/>
  <c r="M141" i="11" s="1"/>
  <c r="H141" i="11"/>
  <c r="I141" i="11" s="1"/>
  <c r="L84" i="11"/>
  <c r="M84" i="11" s="1"/>
  <c r="H84" i="11"/>
  <c r="I84" i="11" s="1"/>
  <c r="L158" i="11"/>
  <c r="M158" i="11" s="1"/>
  <c r="H158" i="11"/>
  <c r="I158" i="11" s="1"/>
  <c r="L253" i="11"/>
  <c r="M253" i="11" s="1"/>
  <c r="H253" i="11"/>
  <c r="I253" i="11" s="1"/>
  <c r="L168" i="11"/>
  <c r="M168" i="11" s="1"/>
  <c r="H168" i="11"/>
  <c r="I168" i="11" s="1"/>
  <c r="L310" i="11"/>
  <c r="M310" i="11" s="1"/>
  <c r="H310" i="11"/>
  <c r="I310" i="11" s="1"/>
  <c r="L121" i="11"/>
  <c r="M121" i="11" s="1"/>
  <c r="H121" i="11"/>
  <c r="I121" i="11" s="1"/>
  <c r="L302" i="11"/>
  <c r="M302" i="11" s="1"/>
  <c r="H302" i="11"/>
  <c r="I302" i="11" s="1"/>
  <c r="E170" i="25"/>
  <c r="M170" i="49"/>
  <c r="C169" i="11"/>
  <c r="L157" i="11"/>
  <c r="M157" i="11" s="1"/>
  <c r="H157" i="11"/>
  <c r="I157" i="11" s="1"/>
  <c r="L189" i="11"/>
  <c r="M189" i="11" s="1"/>
  <c r="H189" i="11"/>
  <c r="I189" i="11" s="1"/>
  <c r="L194" i="11"/>
  <c r="M194" i="11" s="1"/>
  <c r="H194" i="11"/>
  <c r="I194" i="11" s="1"/>
  <c r="L247" i="11"/>
  <c r="M247" i="11" s="1"/>
  <c r="H247" i="11"/>
  <c r="I247" i="11" s="1"/>
  <c r="L100" i="11"/>
  <c r="M100" i="11" s="1"/>
  <c r="H100" i="11"/>
  <c r="I100" i="11" s="1"/>
  <c r="L144" i="11"/>
  <c r="M144" i="11" s="1"/>
  <c r="H144" i="11"/>
  <c r="I144" i="11" s="1"/>
  <c r="L273" i="11"/>
  <c r="M273" i="11" s="1"/>
  <c r="H273" i="11"/>
  <c r="I273" i="11" s="1"/>
  <c r="H246" i="11"/>
  <c r="I246" i="11" s="1"/>
  <c r="L246" i="11"/>
  <c r="M246" i="11" s="1"/>
  <c r="H93" i="11"/>
  <c r="I93" i="11" s="1"/>
  <c r="L93" i="11"/>
  <c r="M93" i="11" s="1"/>
  <c r="H216" i="11"/>
  <c r="I216" i="11" s="1"/>
  <c r="L216" i="11"/>
  <c r="M216" i="11" s="1"/>
  <c r="L127" i="11"/>
  <c r="M127" i="11" s="1"/>
  <c r="H127" i="11"/>
  <c r="I127" i="11" s="1"/>
  <c r="L234" i="11"/>
  <c r="M234" i="11" s="1"/>
  <c r="H234" i="11"/>
  <c r="I234" i="11" s="1"/>
  <c r="L212" i="11"/>
  <c r="M212" i="11" s="1"/>
  <c r="H212" i="11"/>
  <c r="I212" i="11" s="1"/>
  <c r="L218" i="11"/>
  <c r="M218" i="11" s="1"/>
  <c r="H218" i="11"/>
  <c r="I218" i="11" s="1"/>
  <c r="H95" i="11"/>
  <c r="I95" i="11" s="1"/>
  <c r="L95" i="11"/>
  <c r="M95" i="11" s="1"/>
  <c r="H119" i="11"/>
  <c r="I119" i="11" s="1"/>
  <c r="L119" i="11"/>
  <c r="M119" i="11" s="1"/>
  <c r="L94" i="11"/>
  <c r="M94" i="11" s="1"/>
  <c r="H94" i="11"/>
  <c r="I94" i="11" s="1"/>
  <c r="H155" i="11"/>
  <c r="I155" i="11" s="1"/>
  <c r="L155" i="11"/>
  <c r="M155" i="11" s="1"/>
  <c r="H198" i="11"/>
  <c r="I198" i="11" s="1"/>
  <c r="L198" i="11"/>
  <c r="M198" i="11" s="1"/>
  <c r="L306" i="11"/>
  <c r="M306" i="11" s="1"/>
  <c r="H306" i="11"/>
  <c r="I306" i="11" s="1"/>
  <c r="L165" i="11"/>
  <c r="M165" i="11" s="1"/>
  <c r="H165" i="11"/>
  <c r="I165" i="11" s="1"/>
  <c r="L242" i="11"/>
  <c r="M242" i="11" s="1"/>
  <c r="H242" i="11"/>
  <c r="I242" i="11" s="1"/>
  <c r="H150" i="11"/>
  <c r="I150" i="11" s="1"/>
  <c r="L150" i="11"/>
  <c r="M150" i="11" s="1"/>
  <c r="L156" i="11"/>
  <c r="M156" i="11" s="1"/>
  <c r="H156" i="11"/>
  <c r="I156" i="11" s="1"/>
  <c r="L307" i="11"/>
  <c r="M307" i="11" s="1"/>
  <c r="H307" i="11"/>
  <c r="I307" i="11" s="1"/>
  <c r="L258" i="11"/>
  <c r="M258" i="11" s="1"/>
  <c r="H258" i="11"/>
  <c r="I258" i="11" s="1"/>
  <c r="L97" i="11"/>
  <c r="M97" i="11" s="1"/>
  <c r="H97" i="11"/>
  <c r="I97" i="11" s="1"/>
  <c r="L178" i="11"/>
  <c r="M178" i="11" s="1"/>
  <c r="H178" i="11"/>
  <c r="I178" i="11" s="1"/>
  <c r="L238" i="11"/>
  <c r="M238" i="11" s="1"/>
  <c r="H238" i="11"/>
  <c r="I238" i="11" s="1"/>
  <c r="L257" i="11"/>
  <c r="M257" i="11" s="1"/>
  <c r="H257" i="11"/>
  <c r="I257" i="11" s="1"/>
  <c r="L90" i="11"/>
  <c r="M90" i="11" s="1"/>
  <c r="H90" i="11"/>
  <c r="I90" i="11" s="1"/>
  <c r="L112" i="11"/>
  <c r="M112" i="11" s="1"/>
  <c r="H112" i="11"/>
  <c r="I112" i="11" s="1"/>
  <c r="M8" i="42"/>
  <c r="Y8" i="42" s="1"/>
  <c r="M9" i="42"/>
  <c r="Y9" i="42" s="1"/>
  <c r="M10" i="42"/>
  <c r="Y10" i="42" s="1"/>
  <c r="M11" i="42"/>
  <c r="Y11" i="42" s="1"/>
  <c r="M12" i="42"/>
  <c r="Y12" i="42" s="1"/>
  <c r="M13" i="42"/>
  <c r="Y13" i="42" s="1"/>
  <c r="M14" i="42"/>
  <c r="Y14" i="42" s="1"/>
  <c r="M15" i="42"/>
  <c r="Y15" i="42" s="1"/>
  <c r="M16" i="42"/>
  <c r="Y16" i="42" s="1"/>
  <c r="M17" i="42"/>
  <c r="Y17" i="42" s="1"/>
  <c r="M18" i="42"/>
  <c r="Y18" i="42" s="1"/>
  <c r="M19" i="42"/>
  <c r="Y19" i="42" s="1"/>
  <c r="M20" i="42"/>
  <c r="Y20" i="42" s="1"/>
  <c r="M21" i="42"/>
  <c r="Y21" i="42" s="1"/>
  <c r="M22" i="42"/>
  <c r="Y22" i="42" s="1"/>
  <c r="M23" i="42"/>
  <c r="Y23" i="42" s="1"/>
  <c r="M24" i="42"/>
  <c r="Y24" i="42" s="1"/>
  <c r="M25" i="42"/>
  <c r="Y25" i="42" s="1"/>
  <c r="M26" i="42"/>
  <c r="Y26" i="42" s="1"/>
  <c r="M27" i="42"/>
  <c r="Y27" i="42" s="1"/>
  <c r="M28" i="42"/>
  <c r="Y28" i="42" s="1"/>
  <c r="M29" i="42"/>
  <c r="Y29" i="42" s="1"/>
  <c r="M30" i="42"/>
  <c r="Y30" i="42" s="1"/>
  <c r="M31" i="42"/>
  <c r="Y31" i="42" s="1"/>
  <c r="M32" i="42"/>
  <c r="Y32" i="42" s="1"/>
  <c r="M33" i="42"/>
  <c r="Y33" i="42" s="1"/>
  <c r="M34" i="42"/>
  <c r="Y34" i="42" s="1"/>
  <c r="M35" i="42"/>
  <c r="Y35" i="42" s="1"/>
  <c r="M36" i="42"/>
  <c r="Y36" i="42" s="1"/>
  <c r="M37" i="42"/>
  <c r="Y37" i="42" s="1"/>
  <c r="M38" i="42"/>
  <c r="Y38" i="42" s="1"/>
  <c r="M39" i="42"/>
  <c r="Y39" i="42" s="1"/>
  <c r="M40" i="42"/>
  <c r="Y40" i="42" s="1"/>
  <c r="M41" i="42"/>
  <c r="Y41" i="42" s="1"/>
  <c r="M42" i="42"/>
  <c r="Y42" i="42" s="1"/>
  <c r="M43" i="42"/>
  <c r="Y43" i="42" s="1"/>
  <c r="M44" i="42"/>
  <c r="Y44" i="42" s="1"/>
  <c r="M45" i="42"/>
  <c r="Y45" i="42" s="1"/>
  <c r="M46" i="42"/>
  <c r="Y46" i="42" s="1"/>
  <c r="M47" i="42"/>
  <c r="Y47" i="42" s="1"/>
  <c r="M48" i="42"/>
  <c r="Y48" i="42" s="1"/>
  <c r="M49" i="42"/>
  <c r="Y49" i="42" s="1"/>
  <c r="M50" i="42"/>
  <c r="Y50" i="42" s="1"/>
  <c r="M51" i="42"/>
  <c r="Y51" i="42" s="1"/>
  <c r="M52" i="42"/>
  <c r="Y52" i="42" s="1"/>
  <c r="M53" i="42"/>
  <c r="Y53" i="42" s="1"/>
  <c r="M54" i="42"/>
  <c r="Y54" i="42" s="1"/>
  <c r="M55" i="42"/>
  <c r="Y55" i="42" s="1"/>
  <c r="M56" i="42"/>
  <c r="Y56" i="42" s="1"/>
  <c r="M57" i="42"/>
  <c r="Y57" i="42" s="1"/>
  <c r="M58" i="42"/>
  <c r="Y58" i="42" s="1"/>
  <c r="M59" i="42"/>
  <c r="Y59" i="42" s="1"/>
  <c r="M60" i="42"/>
  <c r="Y60" i="42" s="1"/>
  <c r="M61" i="42"/>
  <c r="Y61" i="42" s="1"/>
  <c r="M62" i="42"/>
  <c r="Y62" i="42" s="1"/>
  <c r="M63" i="42"/>
  <c r="Y63" i="42" s="1"/>
  <c r="M64" i="42"/>
  <c r="Y64" i="42" s="1"/>
  <c r="M65" i="42"/>
  <c r="Y65" i="42" s="1"/>
  <c r="M66" i="42"/>
  <c r="Y66" i="42" s="1"/>
  <c r="M67" i="42"/>
  <c r="Y67" i="42" s="1"/>
  <c r="M69" i="42"/>
  <c r="Y69" i="42" s="1"/>
  <c r="M70" i="42"/>
  <c r="Y70" i="42" s="1"/>
  <c r="M71" i="42"/>
  <c r="Y71" i="42" s="1"/>
  <c r="M72" i="42"/>
  <c r="Y72" i="42" s="1"/>
  <c r="M73" i="42"/>
  <c r="Y73" i="42" s="1"/>
  <c r="M74" i="42"/>
  <c r="Y74" i="42" s="1"/>
  <c r="M75" i="42"/>
  <c r="Y75" i="42" s="1"/>
  <c r="M76" i="42"/>
  <c r="Y76" i="42" s="1"/>
  <c r="M77" i="42"/>
  <c r="Y77" i="42" s="1"/>
  <c r="M78" i="42"/>
  <c r="Y78" i="42" s="1"/>
  <c r="M79" i="42"/>
  <c r="Y79" i="42" s="1"/>
  <c r="M80" i="42"/>
  <c r="Y80" i="42" s="1"/>
  <c r="M81" i="42"/>
  <c r="Y81" i="42" s="1"/>
  <c r="M82" i="42"/>
  <c r="Y82" i="42" s="1"/>
  <c r="M83" i="42"/>
  <c r="Y83" i="42" s="1"/>
  <c r="M84" i="42"/>
  <c r="Y84" i="42" s="1"/>
  <c r="M85" i="42"/>
  <c r="Y85" i="42" s="1"/>
  <c r="M86" i="42"/>
  <c r="Y86" i="42" s="1"/>
  <c r="M87" i="42"/>
  <c r="Y87" i="42" s="1"/>
  <c r="M88" i="42"/>
  <c r="Y88" i="42" s="1"/>
  <c r="M89" i="42"/>
  <c r="Y89" i="42" s="1"/>
  <c r="M90" i="42"/>
  <c r="Y90" i="42" s="1"/>
  <c r="M91" i="42"/>
  <c r="Y91" i="42" s="1"/>
  <c r="M92" i="42"/>
  <c r="Y92" i="42" s="1"/>
  <c r="M93" i="42"/>
  <c r="Y93" i="42" s="1"/>
  <c r="M94" i="42"/>
  <c r="Y94" i="42" s="1"/>
  <c r="M95" i="42"/>
  <c r="Y95" i="42" s="1"/>
  <c r="M96" i="42"/>
  <c r="Y96" i="42" s="1"/>
  <c r="M97" i="42"/>
  <c r="Y97" i="42" s="1"/>
  <c r="M98" i="42"/>
  <c r="Y98" i="42" s="1"/>
  <c r="M99" i="42"/>
  <c r="Y99" i="42" s="1"/>
  <c r="M100" i="42"/>
  <c r="Y100" i="42" s="1"/>
  <c r="M101" i="42"/>
  <c r="Y101" i="42" s="1"/>
  <c r="M102" i="42"/>
  <c r="Y102" i="42" s="1"/>
  <c r="M103" i="42"/>
  <c r="Y103" i="42" s="1"/>
  <c r="M104" i="42"/>
  <c r="Y104" i="42" s="1"/>
  <c r="M105" i="42"/>
  <c r="Y105" i="42" s="1"/>
  <c r="M106" i="42"/>
  <c r="Y106" i="42" s="1"/>
  <c r="M107" i="42"/>
  <c r="Y107" i="42" s="1"/>
  <c r="M108" i="42"/>
  <c r="Y108" i="42" s="1"/>
  <c r="M109" i="42"/>
  <c r="Y109" i="42" s="1"/>
  <c r="M110" i="42"/>
  <c r="Y110" i="42" s="1"/>
  <c r="M111" i="42"/>
  <c r="Y111" i="42" s="1"/>
  <c r="M112" i="42"/>
  <c r="Y112" i="42" s="1"/>
  <c r="M113" i="42"/>
  <c r="Y113" i="42" s="1"/>
  <c r="M114" i="42"/>
  <c r="Y114" i="42" s="1"/>
  <c r="M115" i="42"/>
  <c r="Y115" i="42" s="1"/>
  <c r="M116" i="42"/>
  <c r="Y116" i="42" s="1"/>
  <c r="M117" i="42"/>
  <c r="Y117" i="42" s="1"/>
  <c r="M118" i="42"/>
  <c r="Y118" i="42" s="1"/>
  <c r="M119" i="42"/>
  <c r="Y119" i="42" s="1"/>
  <c r="M120" i="42"/>
  <c r="Y120" i="42" s="1"/>
  <c r="M121" i="42"/>
  <c r="Y121" i="42" s="1"/>
  <c r="M122" i="42"/>
  <c r="Y122" i="42" s="1"/>
  <c r="M123" i="42"/>
  <c r="Y123" i="42" s="1"/>
  <c r="M124" i="42"/>
  <c r="Y124" i="42" s="1"/>
  <c r="M125" i="42"/>
  <c r="Y125" i="42" s="1"/>
  <c r="M126" i="42"/>
  <c r="Y126" i="42" s="1"/>
  <c r="M127" i="42"/>
  <c r="Y127" i="42" s="1"/>
  <c r="M128" i="42"/>
  <c r="Y128" i="42" s="1"/>
  <c r="M129" i="42"/>
  <c r="Y129" i="42" s="1"/>
  <c r="M130" i="42"/>
  <c r="Y130" i="42" s="1"/>
  <c r="M131" i="42"/>
  <c r="Y131" i="42" s="1"/>
  <c r="M132" i="42"/>
  <c r="Y132" i="42" s="1"/>
  <c r="M133" i="42"/>
  <c r="Y133" i="42" s="1"/>
  <c r="M134" i="42"/>
  <c r="Y134" i="42" s="1"/>
  <c r="M135" i="42"/>
  <c r="Y135" i="42" s="1"/>
  <c r="M137" i="42"/>
  <c r="Y137" i="42" s="1"/>
  <c r="M138" i="42"/>
  <c r="Y138" i="42" s="1"/>
  <c r="M139" i="42"/>
  <c r="Y139" i="42" s="1"/>
  <c r="M140" i="42"/>
  <c r="Y140" i="42" s="1"/>
  <c r="M141" i="42"/>
  <c r="Y141" i="42" s="1"/>
  <c r="M142" i="42"/>
  <c r="Y142" i="42" s="1"/>
  <c r="M143" i="42"/>
  <c r="Y143" i="42" s="1"/>
  <c r="M144" i="42"/>
  <c r="Y144" i="42" s="1"/>
  <c r="M145" i="42"/>
  <c r="Y145" i="42" s="1"/>
  <c r="M146" i="42"/>
  <c r="Y146" i="42" s="1"/>
  <c r="M147" i="42"/>
  <c r="Y147" i="42" s="1"/>
  <c r="M148" i="42"/>
  <c r="Y148" i="42" s="1"/>
  <c r="M149" i="42"/>
  <c r="Y149" i="42" s="1"/>
  <c r="M150" i="42"/>
  <c r="Y150" i="42" s="1"/>
  <c r="M151" i="42"/>
  <c r="Y151" i="42" s="1"/>
  <c r="M152" i="42"/>
  <c r="Y152" i="42" s="1"/>
  <c r="M153" i="42"/>
  <c r="Y153" i="42" s="1"/>
  <c r="M154" i="42"/>
  <c r="Y154" i="42" s="1"/>
  <c r="M155" i="42"/>
  <c r="Y155" i="42" s="1"/>
  <c r="M156" i="42"/>
  <c r="Y156" i="42" s="1"/>
  <c r="M157" i="42"/>
  <c r="Y157" i="42" s="1"/>
  <c r="M158" i="42"/>
  <c r="Y158" i="42" s="1"/>
  <c r="M159" i="42"/>
  <c r="Y159" i="42" s="1"/>
  <c r="M160" i="42"/>
  <c r="Y160" i="42" s="1"/>
  <c r="M161" i="42"/>
  <c r="Y161" i="42" s="1"/>
  <c r="M162" i="42"/>
  <c r="Y162" i="42" s="1"/>
  <c r="M163" i="42"/>
  <c r="Y163" i="42" s="1"/>
  <c r="M164" i="42"/>
  <c r="Y164" i="42" s="1"/>
  <c r="M165" i="42"/>
  <c r="Y165" i="42" s="1"/>
  <c r="M166" i="42"/>
  <c r="Y166" i="42" s="1"/>
  <c r="M167" i="42"/>
  <c r="Y167" i="42" s="1"/>
  <c r="M168" i="42"/>
  <c r="Y168" i="42" s="1"/>
  <c r="M169" i="42"/>
  <c r="Y169" i="42" s="1"/>
  <c r="M172" i="42"/>
  <c r="Y172" i="42" s="1"/>
  <c r="M173" i="42"/>
  <c r="Y173" i="42" s="1"/>
  <c r="M174" i="42"/>
  <c r="Y174" i="42" s="1"/>
  <c r="M175" i="42"/>
  <c r="Y175" i="42" s="1"/>
  <c r="M176" i="42"/>
  <c r="Y176" i="42" s="1"/>
  <c r="BB176" i="42" s="1"/>
  <c r="M177" i="42"/>
  <c r="Y177" i="42" s="1"/>
  <c r="M178" i="42"/>
  <c r="Y178" i="42" s="1"/>
  <c r="M179" i="42"/>
  <c r="Y179" i="42" s="1"/>
  <c r="M180" i="42"/>
  <c r="Y180" i="42" s="1"/>
  <c r="M181" i="42"/>
  <c r="Y181" i="42" s="1"/>
  <c r="M182" i="42"/>
  <c r="Y182" i="42" s="1"/>
  <c r="M183" i="42"/>
  <c r="Y183" i="42" s="1"/>
  <c r="M184" i="42"/>
  <c r="Y184" i="42" s="1"/>
  <c r="M185" i="42"/>
  <c r="Y185" i="42" s="1"/>
  <c r="M186" i="42"/>
  <c r="Y186" i="42" s="1"/>
  <c r="M187" i="42"/>
  <c r="Y187" i="42" s="1"/>
  <c r="M188" i="42"/>
  <c r="Y188" i="42" s="1"/>
  <c r="M189" i="42"/>
  <c r="Y189" i="42" s="1"/>
  <c r="M190" i="42"/>
  <c r="Y190" i="42" s="1"/>
  <c r="M191" i="42"/>
  <c r="Y191" i="42" s="1"/>
  <c r="M192" i="42"/>
  <c r="Y192" i="42" s="1"/>
  <c r="M193" i="42"/>
  <c r="Y193" i="42" s="1"/>
  <c r="M194" i="42"/>
  <c r="Y194" i="42" s="1"/>
  <c r="M195" i="42"/>
  <c r="Y195" i="42" s="1"/>
  <c r="M196" i="42"/>
  <c r="Y196" i="42" s="1"/>
  <c r="M197" i="42"/>
  <c r="Y197" i="42" s="1"/>
  <c r="M198" i="42"/>
  <c r="Y198" i="42" s="1"/>
  <c r="M199" i="42"/>
  <c r="Y199" i="42" s="1"/>
  <c r="M200" i="42"/>
  <c r="Y200" i="42" s="1"/>
  <c r="M201" i="42"/>
  <c r="Y201" i="42" s="1"/>
  <c r="M202" i="42"/>
  <c r="Y202" i="42" s="1"/>
  <c r="M203" i="42"/>
  <c r="Y203" i="42" s="1"/>
  <c r="M204" i="42"/>
  <c r="Y204" i="42" s="1"/>
  <c r="M205" i="42"/>
  <c r="Y205" i="42" s="1"/>
  <c r="M206" i="42"/>
  <c r="Y206" i="42" s="1"/>
  <c r="M207" i="42"/>
  <c r="Y207" i="42" s="1"/>
  <c r="M208" i="42"/>
  <c r="Y208" i="42" s="1"/>
  <c r="M209" i="42"/>
  <c r="Y209" i="42" s="1"/>
  <c r="M210" i="42"/>
  <c r="Y210" i="42" s="1"/>
  <c r="M211" i="42"/>
  <c r="Y211" i="42" s="1"/>
  <c r="M212" i="42"/>
  <c r="Y212" i="42" s="1"/>
  <c r="M213" i="42"/>
  <c r="Y213" i="42" s="1"/>
  <c r="M214" i="42"/>
  <c r="Y214" i="42" s="1"/>
  <c r="M215" i="42"/>
  <c r="Y215" i="42" s="1"/>
  <c r="M216" i="42"/>
  <c r="Y216" i="42" s="1"/>
  <c r="M217" i="42"/>
  <c r="Y217" i="42" s="1"/>
  <c r="M218" i="42"/>
  <c r="Y218" i="42" s="1"/>
  <c r="M219" i="42"/>
  <c r="Y219" i="42" s="1"/>
  <c r="M221" i="42"/>
  <c r="Y221" i="42" s="1"/>
  <c r="M222" i="42"/>
  <c r="Y222" i="42" s="1"/>
  <c r="M223" i="42"/>
  <c r="Y223" i="42" s="1"/>
  <c r="M224" i="42"/>
  <c r="Y224" i="42" s="1"/>
  <c r="M225" i="42"/>
  <c r="Y225" i="42" s="1"/>
  <c r="M226" i="42"/>
  <c r="Y226" i="42" s="1"/>
  <c r="M227" i="42"/>
  <c r="Y227" i="42" s="1"/>
  <c r="M228" i="42"/>
  <c r="Y228" i="42" s="1"/>
  <c r="M229" i="42"/>
  <c r="Y229" i="42" s="1"/>
  <c r="M230" i="42"/>
  <c r="Y230" i="42" s="1"/>
  <c r="M231" i="42"/>
  <c r="Y231" i="42" s="1"/>
  <c r="M232" i="42"/>
  <c r="Y232" i="42" s="1"/>
  <c r="M233" i="42"/>
  <c r="Y233" i="42" s="1"/>
  <c r="M234" i="42"/>
  <c r="Y234" i="42" s="1"/>
  <c r="M235" i="42"/>
  <c r="Y235" i="42" s="1"/>
  <c r="M236" i="42"/>
  <c r="Y236" i="42" s="1"/>
  <c r="M237" i="42"/>
  <c r="Y237" i="42" s="1"/>
  <c r="M238" i="42"/>
  <c r="Y238" i="42" s="1"/>
  <c r="M240" i="42"/>
  <c r="Y240" i="42" s="1"/>
  <c r="M241" i="42"/>
  <c r="Y241" i="42" s="1"/>
  <c r="M242" i="42"/>
  <c r="Y242" i="42" s="1"/>
  <c r="M243" i="42"/>
  <c r="Y243" i="42" s="1"/>
  <c r="M244" i="42"/>
  <c r="Y244" i="42" s="1"/>
  <c r="M247" i="42"/>
  <c r="Y247" i="42" s="1"/>
  <c r="M248" i="42"/>
  <c r="Y248" i="42" s="1"/>
  <c r="M249" i="42"/>
  <c r="Y249" i="42" s="1"/>
  <c r="M250" i="42"/>
  <c r="Y250" i="42" s="1"/>
  <c r="M251" i="42"/>
  <c r="Y251" i="42" s="1"/>
  <c r="M252" i="42"/>
  <c r="Y252" i="42" s="1"/>
  <c r="M253" i="42"/>
  <c r="Y253" i="42" s="1"/>
  <c r="M254" i="42"/>
  <c r="Y254" i="42" s="1"/>
  <c r="M255" i="42"/>
  <c r="Y255" i="42" s="1"/>
  <c r="M256" i="42"/>
  <c r="Y256" i="42" s="1"/>
  <c r="M257" i="42"/>
  <c r="Y257" i="42" s="1"/>
  <c r="M258" i="42"/>
  <c r="Y258" i="42" s="1"/>
  <c r="M259" i="42"/>
  <c r="Y259" i="42" s="1"/>
  <c r="M260" i="42"/>
  <c r="Y260" i="42" s="1"/>
  <c r="M261" i="42"/>
  <c r="Y261" i="42" s="1"/>
  <c r="M263" i="42"/>
  <c r="Y263" i="42" s="1"/>
  <c r="M264" i="42"/>
  <c r="Y264" i="42" s="1"/>
  <c r="M265" i="42"/>
  <c r="Y265" i="42" s="1"/>
  <c r="M266" i="42"/>
  <c r="Y266" i="42" s="1"/>
  <c r="M267" i="42"/>
  <c r="Y267" i="42" s="1"/>
  <c r="M268" i="42"/>
  <c r="Y268" i="42" s="1"/>
  <c r="M269" i="42"/>
  <c r="Y269" i="42" s="1"/>
  <c r="M270" i="42"/>
  <c r="Y270" i="42" s="1"/>
  <c r="M271" i="42"/>
  <c r="Y271" i="42" s="1"/>
  <c r="M272" i="42"/>
  <c r="Y272" i="42" s="1"/>
  <c r="M273" i="42"/>
  <c r="Y273" i="42" s="1"/>
  <c r="M275" i="42"/>
  <c r="Y275" i="42" s="1"/>
  <c r="M276" i="42"/>
  <c r="Y276" i="42" s="1"/>
  <c r="M277" i="42"/>
  <c r="Y277" i="42" s="1"/>
  <c r="M278" i="42"/>
  <c r="Y278" i="42" s="1"/>
  <c r="M279" i="42"/>
  <c r="Y279" i="42" s="1"/>
  <c r="M280" i="42"/>
  <c r="Y280" i="42" s="1"/>
  <c r="M281" i="42"/>
  <c r="Y281" i="42" s="1"/>
  <c r="M282" i="42"/>
  <c r="Y282" i="42" s="1"/>
  <c r="M283" i="42"/>
  <c r="Y283" i="42" s="1"/>
  <c r="M284" i="42"/>
  <c r="Y284" i="42" s="1"/>
  <c r="M285" i="42"/>
  <c r="Y285" i="42" s="1"/>
  <c r="M286" i="42"/>
  <c r="Y286" i="42" s="1"/>
  <c r="M287" i="42"/>
  <c r="Y287" i="42" s="1"/>
  <c r="M288" i="42"/>
  <c r="Y288" i="42" s="1"/>
  <c r="M289" i="42"/>
  <c r="Y289" i="42" s="1"/>
  <c r="BB289" i="42" s="1"/>
  <c r="BB316" i="42" s="1"/>
  <c r="M290" i="42"/>
  <c r="Y290" i="42" s="1"/>
  <c r="M291" i="42"/>
  <c r="Y291" i="42" s="1"/>
  <c r="M292" i="42"/>
  <c r="Y292" i="42" s="1"/>
  <c r="M293" i="42"/>
  <c r="Y293" i="42" s="1"/>
  <c r="M294" i="42"/>
  <c r="Y294" i="42" s="1"/>
  <c r="M295" i="42"/>
  <c r="Y295" i="42" s="1"/>
  <c r="M296" i="42"/>
  <c r="Y296" i="42" s="1"/>
  <c r="M297" i="42"/>
  <c r="Y297" i="42" s="1"/>
  <c r="M298" i="42"/>
  <c r="Y298" i="42" s="1"/>
  <c r="M299" i="42"/>
  <c r="Y299" i="42" s="1"/>
  <c r="M300" i="42"/>
  <c r="Y300" i="42" s="1"/>
  <c r="M301" i="42"/>
  <c r="Y301" i="42" s="1"/>
  <c r="M302" i="42"/>
  <c r="Y302" i="42" s="1"/>
  <c r="M303" i="42"/>
  <c r="Y303" i="42" s="1"/>
  <c r="M304" i="42"/>
  <c r="Y304" i="42" s="1"/>
  <c r="BB304" i="42" s="1"/>
  <c r="M305" i="42"/>
  <c r="Y305" i="42" s="1"/>
  <c r="M306" i="42"/>
  <c r="Y306" i="42" s="1"/>
  <c r="M307" i="42"/>
  <c r="Y307" i="42" s="1"/>
  <c r="M308" i="42"/>
  <c r="Y308" i="42" s="1"/>
  <c r="M309" i="42"/>
  <c r="Y309" i="42" s="1"/>
  <c r="M310" i="42"/>
  <c r="Y310" i="42" s="1"/>
  <c r="M311" i="42"/>
  <c r="Y311" i="42" s="1"/>
  <c r="M312" i="42"/>
  <c r="Y312" i="42" s="1"/>
  <c r="M313" i="42"/>
  <c r="Y313" i="42" s="1"/>
  <c r="M314" i="42"/>
  <c r="Y314" i="42" s="1"/>
  <c r="M315" i="42"/>
  <c r="Y315" i="42" s="1"/>
  <c r="L169" i="11" l="1"/>
  <c r="M169" i="11" s="1"/>
  <c r="H169" i="11"/>
  <c r="I169" i="11" s="1"/>
  <c r="L243" i="11"/>
  <c r="M243" i="11" s="1"/>
  <c r="H243" i="11"/>
  <c r="I243" i="11" s="1"/>
  <c r="M136" i="42"/>
  <c r="Y136" i="42" s="1"/>
  <c r="B6" i="48" l="1"/>
  <c r="D67" i="40" l="1"/>
  <c r="D68" i="40" s="1"/>
  <c r="F66" i="40" s="1"/>
  <c r="F67" i="40" s="1"/>
  <c r="F68" i="40" s="1"/>
  <c r="H66" i="40" s="1"/>
  <c r="H67" i="40" s="1"/>
  <c r="B67" i="40" s="1"/>
  <c r="B29" i="40" l="1"/>
  <c r="M7" i="42" l="1"/>
  <c r="Y7" i="42" s="1"/>
  <c r="M262" i="42" l="1"/>
  <c r="Y262" i="42" s="1"/>
  <c r="M68" i="42" l="1"/>
  <c r="Y68" i="42" s="1"/>
  <c r="I5" i="13" l="1"/>
  <c r="Q7" i="19" l="1"/>
  <c r="AA6" i="19"/>
  <c r="S6" i="19"/>
  <c r="B61" i="40" l="1"/>
  <c r="K14" i="49" l="1"/>
  <c r="K112" i="49"/>
  <c r="K114" i="49"/>
  <c r="K117" i="49"/>
  <c r="K119" i="49"/>
  <c r="K120" i="49"/>
  <c r="K121" i="49"/>
  <c r="K122" i="49"/>
  <c r="K124" i="49"/>
  <c r="K126" i="49"/>
  <c r="K127" i="49"/>
  <c r="K128" i="49"/>
  <c r="K129" i="49"/>
  <c r="K130" i="49"/>
  <c r="K131" i="49"/>
  <c r="K134" i="49"/>
  <c r="K135" i="49"/>
  <c r="K137" i="49"/>
  <c r="K144" i="49"/>
  <c r="K149" i="49"/>
  <c r="K150" i="49"/>
  <c r="K151" i="49"/>
  <c r="K154" i="49"/>
  <c r="K155" i="49"/>
  <c r="K156" i="49"/>
  <c r="K158" i="49"/>
  <c r="K191" i="49"/>
  <c r="K202" i="49"/>
  <c r="K203" i="49"/>
  <c r="K224" i="49"/>
  <c r="K225" i="49"/>
  <c r="K275" i="49"/>
  <c r="K276" i="49"/>
  <c r="K277" i="49"/>
  <c r="K278" i="49"/>
  <c r="K279" i="49"/>
  <c r="K280" i="49"/>
  <c r="K281" i="49"/>
  <c r="K282" i="49"/>
  <c r="K283" i="49"/>
  <c r="K284" i="49"/>
  <c r="K296" i="49"/>
  <c r="K305" i="49"/>
  <c r="K313" i="49"/>
  <c r="K7" i="49"/>
  <c r="K6" i="49"/>
  <c r="I5" i="49"/>
  <c r="A2" i="49"/>
  <c r="C315" i="49"/>
  <c r="A7" i="49"/>
  <c r="B7" i="49"/>
  <c r="A8" i="49"/>
  <c r="B8" i="49"/>
  <c r="A9" i="49"/>
  <c r="B9" i="49"/>
  <c r="A10" i="49"/>
  <c r="B10" i="49"/>
  <c r="A11" i="49"/>
  <c r="B11" i="49"/>
  <c r="A12" i="49"/>
  <c r="B12" i="49"/>
  <c r="A13" i="49"/>
  <c r="B13" i="49"/>
  <c r="A14" i="49"/>
  <c r="B14" i="49"/>
  <c r="A15" i="49"/>
  <c r="B15" i="49"/>
  <c r="A16" i="49"/>
  <c r="B16" i="49"/>
  <c r="A17" i="49"/>
  <c r="B17" i="49"/>
  <c r="A18" i="49"/>
  <c r="B18" i="49"/>
  <c r="A19" i="49"/>
  <c r="B19" i="49"/>
  <c r="A20" i="49"/>
  <c r="B20" i="49"/>
  <c r="A21" i="49"/>
  <c r="B21" i="49"/>
  <c r="A22" i="49"/>
  <c r="B22" i="49"/>
  <c r="A23" i="49"/>
  <c r="B23" i="49"/>
  <c r="A24" i="49"/>
  <c r="B24" i="49"/>
  <c r="A25" i="49"/>
  <c r="B25" i="49"/>
  <c r="A26" i="49"/>
  <c r="B26" i="49"/>
  <c r="A27" i="49"/>
  <c r="B27" i="49"/>
  <c r="A28" i="49"/>
  <c r="B28" i="49"/>
  <c r="A29" i="49"/>
  <c r="B29" i="49"/>
  <c r="A30" i="49"/>
  <c r="B30" i="49"/>
  <c r="A31" i="49"/>
  <c r="B31" i="49"/>
  <c r="A32" i="49"/>
  <c r="B32" i="49"/>
  <c r="A33" i="49"/>
  <c r="B33" i="49"/>
  <c r="A34" i="49"/>
  <c r="B34" i="49"/>
  <c r="A35" i="49"/>
  <c r="B35" i="49"/>
  <c r="A36" i="49"/>
  <c r="B36" i="49"/>
  <c r="A37" i="49"/>
  <c r="B37" i="49"/>
  <c r="A38" i="49"/>
  <c r="B38" i="49"/>
  <c r="A39" i="49"/>
  <c r="B39" i="49"/>
  <c r="A40" i="49"/>
  <c r="B40" i="49"/>
  <c r="A41" i="49"/>
  <c r="B41" i="49"/>
  <c r="A42" i="49"/>
  <c r="B42" i="49"/>
  <c r="A43" i="49"/>
  <c r="B43" i="49"/>
  <c r="A44" i="49"/>
  <c r="B44" i="49"/>
  <c r="A45" i="49"/>
  <c r="B45" i="49"/>
  <c r="A46" i="49"/>
  <c r="B46" i="49"/>
  <c r="A47" i="49"/>
  <c r="B47" i="49"/>
  <c r="A48" i="49"/>
  <c r="B48" i="49"/>
  <c r="A49" i="49"/>
  <c r="B49" i="49"/>
  <c r="A50" i="49"/>
  <c r="B50" i="49"/>
  <c r="A51" i="49"/>
  <c r="B51" i="49"/>
  <c r="A52" i="49"/>
  <c r="B52" i="49"/>
  <c r="A53" i="49"/>
  <c r="B53" i="49"/>
  <c r="A54" i="49"/>
  <c r="B54" i="49"/>
  <c r="A55" i="49"/>
  <c r="B55" i="49"/>
  <c r="A56" i="49"/>
  <c r="B56" i="49"/>
  <c r="A57" i="49"/>
  <c r="B57" i="49"/>
  <c r="A58" i="49"/>
  <c r="B58" i="49"/>
  <c r="A59" i="49"/>
  <c r="B59" i="49"/>
  <c r="A60" i="49"/>
  <c r="B60" i="49"/>
  <c r="A61" i="49"/>
  <c r="B61" i="49"/>
  <c r="A62" i="49"/>
  <c r="B62" i="49"/>
  <c r="A63" i="49"/>
  <c r="B63" i="49"/>
  <c r="A64" i="49"/>
  <c r="B64" i="49"/>
  <c r="A65" i="49"/>
  <c r="B65" i="49"/>
  <c r="A66" i="49"/>
  <c r="B66" i="49"/>
  <c r="A67" i="49"/>
  <c r="B67" i="49"/>
  <c r="A68" i="49"/>
  <c r="B68" i="49"/>
  <c r="A69" i="49"/>
  <c r="B69" i="49"/>
  <c r="A70" i="49"/>
  <c r="B70" i="49"/>
  <c r="A71" i="49"/>
  <c r="B71" i="49"/>
  <c r="A72" i="49"/>
  <c r="B72" i="49"/>
  <c r="A73" i="49"/>
  <c r="B73" i="49"/>
  <c r="A74" i="49"/>
  <c r="B74" i="49"/>
  <c r="A75" i="49"/>
  <c r="B75" i="49"/>
  <c r="A76" i="49"/>
  <c r="B76" i="49"/>
  <c r="A77" i="49"/>
  <c r="B77" i="49"/>
  <c r="A78" i="49"/>
  <c r="B78" i="49"/>
  <c r="A79" i="49"/>
  <c r="B79" i="49"/>
  <c r="A80" i="49"/>
  <c r="B80" i="49"/>
  <c r="A81" i="49"/>
  <c r="B81" i="49"/>
  <c r="A82" i="49"/>
  <c r="B82" i="49"/>
  <c r="A83" i="49"/>
  <c r="B83" i="49"/>
  <c r="A84" i="49"/>
  <c r="B84" i="49"/>
  <c r="A85" i="49"/>
  <c r="B85" i="49"/>
  <c r="A86" i="49"/>
  <c r="B86" i="49"/>
  <c r="A87" i="49"/>
  <c r="B87" i="49"/>
  <c r="A88" i="49"/>
  <c r="B88" i="49"/>
  <c r="A89" i="49"/>
  <c r="B89" i="49"/>
  <c r="A90" i="49"/>
  <c r="B90" i="49"/>
  <c r="A91" i="49"/>
  <c r="B91" i="49"/>
  <c r="A92" i="49"/>
  <c r="B92" i="49"/>
  <c r="A93" i="49"/>
  <c r="B93" i="49"/>
  <c r="A94" i="49"/>
  <c r="B94" i="49"/>
  <c r="A95" i="49"/>
  <c r="B95" i="49"/>
  <c r="A96" i="49"/>
  <c r="B96" i="49"/>
  <c r="A97" i="49"/>
  <c r="B97" i="49"/>
  <c r="A98" i="49"/>
  <c r="B98" i="49"/>
  <c r="A99" i="49"/>
  <c r="B99" i="49"/>
  <c r="A100" i="49"/>
  <c r="B100" i="49"/>
  <c r="A101" i="49"/>
  <c r="B101" i="49"/>
  <c r="A102" i="49"/>
  <c r="B102" i="49"/>
  <c r="A103" i="49"/>
  <c r="B103" i="49"/>
  <c r="A104" i="49"/>
  <c r="B104" i="49"/>
  <c r="A105" i="49"/>
  <c r="B105" i="49"/>
  <c r="A106" i="49"/>
  <c r="B106" i="49"/>
  <c r="A107" i="49"/>
  <c r="B107" i="49"/>
  <c r="A108" i="49"/>
  <c r="B108" i="49"/>
  <c r="A109" i="49"/>
  <c r="B109" i="49"/>
  <c r="A110" i="49"/>
  <c r="B110" i="49"/>
  <c r="A111" i="49"/>
  <c r="B111" i="49"/>
  <c r="A112" i="49"/>
  <c r="B112" i="49"/>
  <c r="A113" i="49"/>
  <c r="B113" i="49"/>
  <c r="A114" i="49"/>
  <c r="B114" i="49"/>
  <c r="A115" i="49"/>
  <c r="B115" i="49"/>
  <c r="A116" i="49"/>
  <c r="B116" i="49"/>
  <c r="A117" i="49"/>
  <c r="B117" i="49"/>
  <c r="A118" i="49"/>
  <c r="B118" i="49"/>
  <c r="A119" i="49"/>
  <c r="B119" i="49"/>
  <c r="A120" i="49"/>
  <c r="B120" i="49"/>
  <c r="A121" i="49"/>
  <c r="B121" i="49"/>
  <c r="A122" i="49"/>
  <c r="B122" i="49"/>
  <c r="A123" i="49"/>
  <c r="B123" i="49"/>
  <c r="A124" i="49"/>
  <c r="B124" i="49"/>
  <c r="A125" i="49"/>
  <c r="B125" i="49"/>
  <c r="A126" i="49"/>
  <c r="B126" i="49"/>
  <c r="A127" i="49"/>
  <c r="B127" i="49"/>
  <c r="A128" i="49"/>
  <c r="B128" i="49"/>
  <c r="A129" i="49"/>
  <c r="B129" i="49"/>
  <c r="A130" i="49"/>
  <c r="B130" i="49"/>
  <c r="A131" i="49"/>
  <c r="B131" i="49"/>
  <c r="A132" i="49"/>
  <c r="B132" i="49"/>
  <c r="A133" i="49"/>
  <c r="B133" i="49"/>
  <c r="A134" i="49"/>
  <c r="B134" i="49"/>
  <c r="A135" i="49"/>
  <c r="B135" i="49"/>
  <c r="A136" i="49"/>
  <c r="B136" i="49"/>
  <c r="A137" i="49"/>
  <c r="B137" i="49"/>
  <c r="A138" i="49"/>
  <c r="B138" i="49"/>
  <c r="A139" i="49"/>
  <c r="B139" i="49"/>
  <c r="A140" i="49"/>
  <c r="B140" i="49"/>
  <c r="A141" i="49"/>
  <c r="B141" i="49"/>
  <c r="A142" i="49"/>
  <c r="B142" i="49"/>
  <c r="A143" i="49"/>
  <c r="B143" i="49"/>
  <c r="A144" i="49"/>
  <c r="B144" i="49"/>
  <c r="A145" i="49"/>
  <c r="B145" i="49"/>
  <c r="A146" i="49"/>
  <c r="B146" i="49"/>
  <c r="A147" i="49"/>
  <c r="B147" i="49"/>
  <c r="A148" i="49"/>
  <c r="B148" i="49"/>
  <c r="A149" i="49"/>
  <c r="B149" i="49"/>
  <c r="A150" i="49"/>
  <c r="B150" i="49"/>
  <c r="A151" i="49"/>
  <c r="B151" i="49"/>
  <c r="A152" i="49"/>
  <c r="B152" i="49"/>
  <c r="A153" i="49"/>
  <c r="B153" i="49"/>
  <c r="A154" i="49"/>
  <c r="B154" i="49"/>
  <c r="A155" i="49"/>
  <c r="B155" i="49"/>
  <c r="A156" i="49"/>
  <c r="B156" i="49"/>
  <c r="A157" i="49"/>
  <c r="B157" i="49"/>
  <c r="A158" i="49"/>
  <c r="B158" i="49"/>
  <c r="A159" i="49"/>
  <c r="B159" i="49"/>
  <c r="A160" i="49"/>
  <c r="B160" i="49"/>
  <c r="A161" i="49"/>
  <c r="B161" i="49"/>
  <c r="A162" i="49"/>
  <c r="B162" i="49"/>
  <c r="A163" i="49"/>
  <c r="B163" i="49"/>
  <c r="A164" i="49"/>
  <c r="B164" i="49"/>
  <c r="A165" i="49"/>
  <c r="B165" i="49"/>
  <c r="A166" i="49"/>
  <c r="B166" i="49"/>
  <c r="A167" i="49"/>
  <c r="B167" i="49"/>
  <c r="A168" i="49"/>
  <c r="B168" i="49"/>
  <c r="A169" i="49"/>
  <c r="B169" i="49"/>
  <c r="A171" i="49"/>
  <c r="B171" i="49"/>
  <c r="A172" i="49"/>
  <c r="B172" i="49"/>
  <c r="A173" i="49"/>
  <c r="B173" i="49"/>
  <c r="A174" i="49"/>
  <c r="B174" i="49"/>
  <c r="A175" i="49"/>
  <c r="B175" i="49"/>
  <c r="A176" i="49"/>
  <c r="B176" i="49"/>
  <c r="A177" i="49"/>
  <c r="B177" i="49"/>
  <c r="A178" i="49"/>
  <c r="B178" i="49"/>
  <c r="A179" i="49"/>
  <c r="B179" i="49"/>
  <c r="A180" i="49"/>
  <c r="B180" i="49"/>
  <c r="A181" i="49"/>
  <c r="B181" i="49"/>
  <c r="A182" i="49"/>
  <c r="B182" i="49"/>
  <c r="A183" i="49"/>
  <c r="B183" i="49"/>
  <c r="A184" i="49"/>
  <c r="B184" i="49"/>
  <c r="A185" i="49"/>
  <c r="B185" i="49"/>
  <c r="A186" i="49"/>
  <c r="B186" i="49"/>
  <c r="A187" i="49"/>
  <c r="B187" i="49"/>
  <c r="A188" i="49"/>
  <c r="B188" i="49"/>
  <c r="A189" i="49"/>
  <c r="B189" i="49"/>
  <c r="A190" i="49"/>
  <c r="B190" i="49"/>
  <c r="A191" i="49"/>
  <c r="B191" i="49"/>
  <c r="A192" i="49"/>
  <c r="B192" i="49"/>
  <c r="A193" i="49"/>
  <c r="B193" i="49"/>
  <c r="A194" i="49"/>
  <c r="B194" i="49"/>
  <c r="A195" i="49"/>
  <c r="B195" i="49"/>
  <c r="A196" i="49"/>
  <c r="B196" i="49"/>
  <c r="A197" i="49"/>
  <c r="B197" i="49"/>
  <c r="A198" i="49"/>
  <c r="B198" i="49"/>
  <c r="A199" i="49"/>
  <c r="B199" i="49"/>
  <c r="A200" i="49"/>
  <c r="B200" i="49"/>
  <c r="A201" i="49"/>
  <c r="B201" i="49"/>
  <c r="A202" i="49"/>
  <c r="B202" i="49"/>
  <c r="A203" i="49"/>
  <c r="B203" i="49"/>
  <c r="A204" i="49"/>
  <c r="B204" i="49"/>
  <c r="A205" i="49"/>
  <c r="B205" i="49"/>
  <c r="A206" i="49"/>
  <c r="B206" i="49"/>
  <c r="A207" i="49"/>
  <c r="B207" i="49"/>
  <c r="A208" i="49"/>
  <c r="B208" i="49"/>
  <c r="A209" i="49"/>
  <c r="B209" i="49"/>
  <c r="A210" i="49"/>
  <c r="B210" i="49"/>
  <c r="A211" i="49"/>
  <c r="B211" i="49"/>
  <c r="A212" i="49"/>
  <c r="B212" i="49"/>
  <c r="A213" i="49"/>
  <c r="B213" i="49"/>
  <c r="A214" i="49"/>
  <c r="B214" i="49"/>
  <c r="A215" i="49"/>
  <c r="B215" i="49"/>
  <c r="A216" i="49"/>
  <c r="B216" i="49"/>
  <c r="A217" i="49"/>
  <c r="B217" i="49"/>
  <c r="A218" i="49"/>
  <c r="B218" i="49"/>
  <c r="A220" i="49"/>
  <c r="B220" i="49"/>
  <c r="A221" i="49"/>
  <c r="B221" i="49"/>
  <c r="A222" i="49"/>
  <c r="B222" i="49"/>
  <c r="A223" i="49"/>
  <c r="B223" i="49"/>
  <c r="A224" i="49"/>
  <c r="B224" i="49"/>
  <c r="A225" i="49"/>
  <c r="B225" i="49"/>
  <c r="A226" i="49"/>
  <c r="B226" i="49"/>
  <c r="A227" i="49"/>
  <c r="B227" i="49"/>
  <c r="A228" i="49"/>
  <c r="B228" i="49"/>
  <c r="A229" i="49"/>
  <c r="B229" i="49"/>
  <c r="A230" i="49"/>
  <c r="B230" i="49"/>
  <c r="A231" i="49"/>
  <c r="B231" i="49"/>
  <c r="A232" i="49"/>
  <c r="B232" i="49"/>
  <c r="A233" i="49"/>
  <c r="B233" i="49"/>
  <c r="A234" i="49"/>
  <c r="B234" i="49"/>
  <c r="A235" i="49"/>
  <c r="B235" i="49"/>
  <c r="A236" i="49"/>
  <c r="B236" i="49"/>
  <c r="A237" i="49"/>
  <c r="B237" i="49"/>
  <c r="A238" i="49"/>
  <c r="B238" i="49"/>
  <c r="A239" i="49"/>
  <c r="B239" i="49"/>
  <c r="A240" i="49"/>
  <c r="B240" i="49"/>
  <c r="A241" i="49"/>
  <c r="B241" i="49"/>
  <c r="A242" i="49"/>
  <c r="B242" i="49"/>
  <c r="B243" i="49"/>
  <c r="B245" i="49"/>
  <c r="B246" i="49"/>
  <c r="B247" i="49"/>
  <c r="A248" i="49"/>
  <c r="B248" i="49"/>
  <c r="A249" i="49"/>
  <c r="B249" i="49"/>
  <c r="A250" i="49"/>
  <c r="B250" i="49"/>
  <c r="A251" i="49"/>
  <c r="B251" i="49"/>
  <c r="A252" i="49"/>
  <c r="B252" i="49"/>
  <c r="A253" i="49"/>
  <c r="B253" i="49"/>
  <c r="A254" i="49"/>
  <c r="B254" i="49"/>
  <c r="A255" i="49"/>
  <c r="B255" i="49"/>
  <c r="A256" i="49"/>
  <c r="B256" i="49"/>
  <c r="A257" i="49"/>
  <c r="B257" i="49"/>
  <c r="A258" i="49"/>
  <c r="B258" i="49"/>
  <c r="A259" i="49"/>
  <c r="B259" i="49"/>
  <c r="A260" i="49"/>
  <c r="B260" i="49"/>
  <c r="A261" i="49"/>
  <c r="B261" i="49"/>
  <c r="A262" i="49"/>
  <c r="B262" i="49"/>
  <c r="A263" i="49"/>
  <c r="B263" i="49"/>
  <c r="A264" i="49"/>
  <c r="B264" i="49"/>
  <c r="A265" i="49"/>
  <c r="B265" i="49"/>
  <c r="A266" i="49"/>
  <c r="B266" i="49"/>
  <c r="A267" i="49"/>
  <c r="B267" i="49"/>
  <c r="A268" i="49"/>
  <c r="B268" i="49"/>
  <c r="A269" i="49"/>
  <c r="B269" i="49"/>
  <c r="A270" i="49"/>
  <c r="B270" i="49"/>
  <c r="A271" i="49"/>
  <c r="B271" i="49"/>
  <c r="A272" i="49"/>
  <c r="B272" i="49"/>
  <c r="A273" i="49"/>
  <c r="B273" i="49"/>
  <c r="A274" i="49"/>
  <c r="B274" i="49"/>
  <c r="A275" i="49"/>
  <c r="B275" i="49"/>
  <c r="A276" i="49"/>
  <c r="B276" i="49"/>
  <c r="A277" i="49"/>
  <c r="B277" i="49"/>
  <c r="A278" i="49"/>
  <c r="B278" i="49"/>
  <c r="A279" i="49"/>
  <c r="B279" i="49"/>
  <c r="A280" i="49"/>
  <c r="B280" i="49"/>
  <c r="A281" i="49"/>
  <c r="B281" i="49"/>
  <c r="A282" i="49"/>
  <c r="B282" i="49"/>
  <c r="A283" i="49"/>
  <c r="B283" i="49"/>
  <c r="A284" i="49"/>
  <c r="B284" i="49"/>
  <c r="A285" i="49"/>
  <c r="B285" i="49"/>
  <c r="A286" i="49"/>
  <c r="B286" i="49"/>
  <c r="A287" i="49"/>
  <c r="B287" i="49"/>
  <c r="A288" i="49"/>
  <c r="B288" i="49"/>
  <c r="A289" i="49"/>
  <c r="B289" i="49"/>
  <c r="A290" i="49"/>
  <c r="B290" i="49"/>
  <c r="A291" i="49"/>
  <c r="B291" i="49"/>
  <c r="A292" i="49"/>
  <c r="B292" i="49"/>
  <c r="A293" i="49"/>
  <c r="B293" i="49"/>
  <c r="A294" i="49"/>
  <c r="B294" i="49"/>
  <c r="A295" i="49"/>
  <c r="B295" i="49"/>
  <c r="A296" i="49"/>
  <c r="B296" i="49"/>
  <c r="A297" i="49"/>
  <c r="B297" i="49"/>
  <c r="A298" i="49"/>
  <c r="B298" i="49"/>
  <c r="A299" i="49"/>
  <c r="B299" i="49"/>
  <c r="A300" i="49"/>
  <c r="B300" i="49"/>
  <c r="A301" i="49"/>
  <c r="B301" i="49"/>
  <c r="A302" i="49"/>
  <c r="B302" i="49"/>
  <c r="A303" i="49"/>
  <c r="B303" i="49"/>
  <c r="A304" i="49"/>
  <c r="B304" i="49"/>
  <c r="A305" i="49"/>
  <c r="B305" i="49"/>
  <c r="A306" i="49"/>
  <c r="B306" i="49"/>
  <c r="A307" i="49"/>
  <c r="B307" i="49"/>
  <c r="A308" i="49"/>
  <c r="B308" i="49"/>
  <c r="A309" i="49"/>
  <c r="B309" i="49"/>
  <c r="A310" i="49"/>
  <c r="B310" i="49"/>
  <c r="A311" i="49"/>
  <c r="B311" i="49"/>
  <c r="A312" i="49"/>
  <c r="B312" i="49"/>
  <c r="A313" i="49"/>
  <c r="B313" i="49"/>
  <c r="A314" i="49"/>
  <c r="B314" i="49"/>
  <c r="B6" i="49"/>
  <c r="A6" i="49"/>
  <c r="I170" i="49" l="1"/>
  <c r="I244" i="49"/>
  <c r="I219" i="49"/>
  <c r="B315" i="49"/>
  <c r="B7" i="48"/>
  <c r="B8" i="48" l="1"/>
  <c r="B9" i="48"/>
  <c r="F8" i="48"/>
  <c r="C8" i="34"/>
  <c r="U6" i="19" l="1"/>
  <c r="C29" i="40" l="1"/>
  <c r="A2" i="25"/>
  <c r="J5" i="13"/>
  <c r="A7" i="13"/>
  <c r="B7" i="13"/>
  <c r="A8" i="13"/>
  <c r="B8" i="13"/>
  <c r="A9" i="13"/>
  <c r="B9" i="13"/>
  <c r="A10" i="13"/>
  <c r="B10" i="13"/>
  <c r="A11" i="13"/>
  <c r="B11" i="13"/>
  <c r="A12" i="13"/>
  <c r="B12" i="13"/>
  <c r="A13" i="13"/>
  <c r="B13" i="13"/>
  <c r="A14" i="13"/>
  <c r="B14" i="13"/>
  <c r="A15" i="13"/>
  <c r="B15" i="13"/>
  <c r="A16" i="13"/>
  <c r="B16" i="13"/>
  <c r="A17" i="13"/>
  <c r="B17" i="13"/>
  <c r="A18" i="13"/>
  <c r="B18" i="13"/>
  <c r="A19" i="13"/>
  <c r="B19" i="13"/>
  <c r="A20" i="13"/>
  <c r="B20" i="13"/>
  <c r="A21" i="13"/>
  <c r="B21" i="13"/>
  <c r="A22" i="13"/>
  <c r="B22" i="13"/>
  <c r="A23" i="13"/>
  <c r="B23" i="13"/>
  <c r="A24" i="13"/>
  <c r="B24" i="13"/>
  <c r="A25" i="13"/>
  <c r="B25" i="13"/>
  <c r="A26" i="13"/>
  <c r="B26" i="13"/>
  <c r="A27" i="13"/>
  <c r="B27" i="13"/>
  <c r="A28" i="13"/>
  <c r="B28" i="13"/>
  <c r="A29" i="13"/>
  <c r="B29" i="13"/>
  <c r="A30" i="13"/>
  <c r="B30" i="13"/>
  <c r="A31" i="13"/>
  <c r="B31" i="13"/>
  <c r="A32" i="13"/>
  <c r="B32" i="13"/>
  <c r="A33" i="13"/>
  <c r="B33" i="13"/>
  <c r="A34" i="13"/>
  <c r="B34" i="13"/>
  <c r="A35" i="13"/>
  <c r="B35" i="13"/>
  <c r="A36" i="13"/>
  <c r="B36" i="13"/>
  <c r="A37" i="13"/>
  <c r="B37" i="13"/>
  <c r="A38" i="13"/>
  <c r="B38" i="13"/>
  <c r="A39" i="13"/>
  <c r="B39" i="13"/>
  <c r="A40" i="13"/>
  <c r="B40" i="13"/>
  <c r="A41" i="13"/>
  <c r="B41" i="13"/>
  <c r="A42" i="13"/>
  <c r="B42" i="13"/>
  <c r="A43" i="13"/>
  <c r="B43" i="13"/>
  <c r="A44" i="13"/>
  <c r="B44" i="13"/>
  <c r="A45" i="13"/>
  <c r="B45" i="13"/>
  <c r="A46" i="13"/>
  <c r="B46" i="13"/>
  <c r="A47" i="13"/>
  <c r="B47" i="13"/>
  <c r="A48" i="13"/>
  <c r="B48" i="13"/>
  <c r="A49" i="13"/>
  <c r="B49" i="13"/>
  <c r="A50" i="13"/>
  <c r="B50" i="13"/>
  <c r="A51" i="13"/>
  <c r="B51" i="13"/>
  <c r="A52" i="13"/>
  <c r="B52" i="13"/>
  <c r="A53" i="13"/>
  <c r="B53" i="13"/>
  <c r="A54" i="13"/>
  <c r="B54" i="13"/>
  <c r="A55" i="13"/>
  <c r="B55" i="13"/>
  <c r="A56" i="13"/>
  <c r="B56" i="13"/>
  <c r="A57" i="13"/>
  <c r="B57" i="13"/>
  <c r="A58" i="13"/>
  <c r="B58" i="13"/>
  <c r="A59" i="13"/>
  <c r="B59" i="13"/>
  <c r="A60" i="13"/>
  <c r="B60" i="13"/>
  <c r="A61" i="13"/>
  <c r="B61" i="13"/>
  <c r="A62" i="13"/>
  <c r="B62" i="13"/>
  <c r="A63" i="13"/>
  <c r="B63" i="13"/>
  <c r="A64" i="13"/>
  <c r="B64" i="13"/>
  <c r="A65" i="13"/>
  <c r="B65" i="13"/>
  <c r="A66" i="13"/>
  <c r="B66" i="13"/>
  <c r="A67" i="13"/>
  <c r="B67" i="13"/>
  <c r="A68" i="13"/>
  <c r="B68" i="13"/>
  <c r="A69" i="13"/>
  <c r="B69" i="13"/>
  <c r="A70" i="13"/>
  <c r="B70" i="13"/>
  <c r="A71" i="13"/>
  <c r="B71" i="13"/>
  <c r="A72" i="13"/>
  <c r="B72" i="13"/>
  <c r="A73" i="13"/>
  <c r="B73" i="13"/>
  <c r="A74" i="13"/>
  <c r="B74" i="13"/>
  <c r="A75" i="13"/>
  <c r="B75" i="13"/>
  <c r="A76" i="13"/>
  <c r="B76" i="13"/>
  <c r="A77" i="13"/>
  <c r="B77" i="13"/>
  <c r="A78" i="13"/>
  <c r="B78" i="13"/>
  <c r="A79" i="13"/>
  <c r="B79" i="13"/>
  <c r="A80" i="13"/>
  <c r="B80" i="13"/>
  <c r="A81" i="13"/>
  <c r="B81" i="13"/>
  <c r="A82" i="13"/>
  <c r="B82" i="13"/>
  <c r="A83" i="13"/>
  <c r="B83" i="13"/>
  <c r="A84" i="13"/>
  <c r="B84" i="13"/>
  <c r="A85" i="13"/>
  <c r="B85" i="13"/>
  <c r="A86" i="13"/>
  <c r="B86" i="13"/>
  <c r="A87" i="13"/>
  <c r="B87" i="13"/>
  <c r="A88" i="13"/>
  <c r="B88" i="13"/>
  <c r="A89" i="13"/>
  <c r="B89" i="13"/>
  <c r="A90" i="13"/>
  <c r="B90" i="13"/>
  <c r="A91" i="13"/>
  <c r="B91" i="13"/>
  <c r="A92" i="13"/>
  <c r="B92" i="13"/>
  <c r="A93" i="13"/>
  <c r="B93" i="13"/>
  <c r="A94" i="13"/>
  <c r="B94" i="13"/>
  <c r="A95" i="13"/>
  <c r="B95" i="13"/>
  <c r="A96" i="13"/>
  <c r="B96" i="13"/>
  <c r="A97" i="13"/>
  <c r="B97" i="13"/>
  <c r="A98" i="13"/>
  <c r="B98" i="13"/>
  <c r="A99" i="13"/>
  <c r="B99" i="13"/>
  <c r="A100" i="13"/>
  <c r="B100" i="13"/>
  <c r="A101" i="13"/>
  <c r="B101" i="13"/>
  <c r="A102" i="13"/>
  <c r="B102" i="13"/>
  <c r="A103" i="13"/>
  <c r="B103" i="13"/>
  <c r="A104" i="13"/>
  <c r="B104" i="13"/>
  <c r="A105" i="13"/>
  <c r="B105" i="13"/>
  <c r="A106" i="13"/>
  <c r="B106" i="13"/>
  <c r="A107" i="13"/>
  <c r="B107" i="13"/>
  <c r="A108" i="13"/>
  <c r="B108" i="13"/>
  <c r="A109" i="13"/>
  <c r="B109" i="13"/>
  <c r="A110" i="13"/>
  <c r="B110" i="13"/>
  <c r="A111" i="13"/>
  <c r="B111" i="13"/>
  <c r="A112" i="13"/>
  <c r="B112" i="13"/>
  <c r="A113" i="13"/>
  <c r="B113" i="13"/>
  <c r="A114" i="13"/>
  <c r="B114" i="13"/>
  <c r="A115" i="13"/>
  <c r="B115" i="13"/>
  <c r="A116" i="13"/>
  <c r="B116" i="13"/>
  <c r="A117" i="13"/>
  <c r="B117" i="13"/>
  <c r="A118" i="13"/>
  <c r="B118" i="13"/>
  <c r="A119" i="13"/>
  <c r="B119" i="13"/>
  <c r="A120" i="13"/>
  <c r="B120" i="13"/>
  <c r="A121" i="13"/>
  <c r="B121" i="13"/>
  <c r="A122" i="13"/>
  <c r="B122" i="13"/>
  <c r="A123" i="13"/>
  <c r="B123" i="13"/>
  <c r="A124" i="13"/>
  <c r="B124" i="13"/>
  <c r="A125" i="13"/>
  <c r="B125" i="13"/>
  <c r="A126" i="13"/>
  <c r="B126" i="13"/>
  <c r="A127" i="13"/>
  <c r="B127" i="13"/>
  <c r="A128" i="13"/>
  <c r="B128" i="13"/>
  <c r="A129" i="13"/>
  <c r="B129" i="13"/>
  <c r="A130" i="13"/>
  <c r="B130" i="13"/>
  <c r="A131" i="13"/>
  <c r="B131" i="13"/>
  <c r="A132" i="13"/>
  <c r="B132" i="13"/>
  <c r="A133" i="13"/>
  <c r="B133" i="13"/>
  <c r="A134" i="13"/>
  <c r="B134" i="13"/>
  <c r="A135" i="13"/>
  <c r="B135" i="13"/>
  <c r="A136" i="13"/>
  <c r="B136" i="13"/>
  <c r="A137" i="13"/>
  <c r="B137" i="13"/>
  <c r="A138" i="13"/>
  <c r="B138" i="13"/>
  <c r="A139" i="13"/>
  <c r="B139" i="13"/>
  <c r="A140" i="13"/>
  <c r="B140" i="13"/>
  <c r="A141" i="13"/>
  <c r="B141" i="13"/>
  <c r="A142" i="13"/>
  <c r="B142" i="13"/>
  <c r="A143" i="13"/>
  <c r="B143" i="13"/>
  <c r="A144" i="13"/>
  <c r="B144" i="13"/>
  <c r="A145" i="13"/>
  <c r="B145" i="13"/>
  <c r="A146" i="13"/>
  <c r="B146" i="13"/>
  <c r="A147" i="13"/>
  <c r="B147" i="13"/>
  <c r="A148" i="13"/>
  <c r="B148" i="13"/>
  <c r="A149" i="13"/>
  <c r="B149" i="13"/>
  <c r="A150" i="13"/>
  <c r="B150" i="13"/>
  <c r="A151" i="13"/>
  <c r="B151" i="13"/>
  <c r="A152" i="13"/>
  <c r="B152" i="13"/>
  <c r="A153" i="13"/>
  <c r="B153" i="13"/>
  <c r="A154" i="13"/>
  <c r="B154" i="13"/>
  <c r="A155" i="13"/>
  <c r="B155" i="13"/>
  <c r="A156" i="13"/>
  <c r="B156" i="13"/>
  <c r="A157" i="13"/>
  <c r="B157" i="13"/>
  <c r="A158" i="13"/>
  <c r="B158" i="13"/>
  <c r="A159" i="13"/>
  <c r="B159" i="13"/>
  <c r="A160" i="13"/>
  <c r="B160" i="13"/>
  <c r="A161" i="13"/>
  <c r="B161" i="13"/>
  <c r="A162" i="13"/>
  <c r="B162" i="13"/>
  <c r="A163" i="13"/>
  <c r="B163" i="13"/>
  <c r="A164" i="13"/>
  <c r="B164" i="13"/>
  <c r="A165" i="13"/>
  <c r="B165" i="13"/>
  <c r="A166" i="13"/>
  <c r="B166" i="13"/>
  <c r="A167" i="13"/>
  <c r="B167" i="13"/>
  <c r="A168" i="13"/>
  <c r="B168" i="13"/>
  <c r="A169" i="13"/>
  <c r="B169" i="13"/>
  <c r="A171" i="13"/>
  <c r="B171" i="13"/>
  <c r="A172" i="13"/>
  <c r="B172" i="13"/>
  <c r="A173" i="13"/>
  <c r="B173" i="13"/>
  <c r="A174" i="13"/>
  <c r="B174" i="13"/>
  <c r="A175" i="13"/>
  <c r="B175" i="13"/>
  <c r="A176" i="13"/>
  <c r="B176" i="13"/>
  <c r="A177" i="13"/>
  <c r="B177" i="13"/>
  <c r="A178" i="13"/>
  <c r="B178" i="13"/>
  <c r="A179" i="13"/>
  <c r="B179" i="13"/>
  <c r="A180" i="13"/>
  <c r="B180" i="13"/>
  <c r="A181" i="13"/>
  <c r="B181" i="13"/>
  <c r="A182" i="13"/>
  <c r="B182" i="13"/>
  <c r="A183" i="13"/>
  <c r="B183" i="13"/>
  <c r="A184" i="13"/>
  <c r="B184" i="13"/>
  <c r="A185" i="13"/>
  <c r="B185" i="13"/>
  <c r="A186" i="13"/>
  <c r="B186" i="13"/>
  <c r="A187" i="13"/>
  <c r="B187" i="13"/>
  <c r="A188" i="13"/>
  <c r="B188" i="13"/>
  <c r="A189" i="13"/>
  <c r="B189" i="13"/>
  <c r="A190" i="13"/>
  <c r="B190" i="13"/>
  <c r="A191" i="13"/>
  <c r="B191" i="13"/>
  <c r="A192" i="13"/>
  <c r="B192" i="13"/>
  <c r="A193" i="13"/>
  <c r="B193" i="13"/>
  <c r="A194" i="13"/>
  <c r="B194" i="13"/>
  <c r="A195" i="13"/>
  <c r="B195" i="13"/>
  <c r="A196" i="13"/>
  <c r="B196" i="13"/>
  <c r="A197" i="13"/>
  <c r="B197" i="13"/>
  <c r="A198" i="13"/>
  <c r="B198" i="13"/>
  <c r="A199" i="13"/>
  <c r="B199" i="13"/>
  <c r="A200" i="13"/>
  <c r="B200" i="13"/>
  <c r="A201" i="13"/>
  <c r="B201" i="13"/>
  <c r="A202" i="13"/>
  <c r="B202" i="13"/>
  <c r="A203" i="13"/>
  <c r="B203" i="13"/>
  <c r="A204" i="13"/>
  <c r="B204" i="13"/>
  <c r="A205" i="13"/>
  <c r="B205" i="13"/>
  <c r="A206" i="13"/>
  <c r="B206" i="13"/>
  <c r="A207" i="13"/>
  <c r="B207" i="13"/>
  <c r="A208" i="13"/>
  <c r="B208" i="13"/>
  <c r="A209" i="13"/>
  <c r="B209" i="13"/>
  <c r="A210" i="13"/>
  <c r="B210" i="13"/>
  <c r="A211" i="13"/>
  <c r="B211" i="13"/>
  <c r="A212" i="13"/>
  <c r="B212" i="13"/>
  <c r="A213" i="13"/>
  <c r="B213" i="13"/>
  <c r="A214" i="13"/>
  <c r="B214" i="13"/>
  <c r="A215" i="13"/>
  <c r="B215" i="13"/>
  <c r="A216" i="13"/>
  <c r="B216" i="13"/>
  <c r="A217" i="13"/>
  <c r="B217" i="13"/>
  <c r="A218" i="13"/>
  <c r="B218" i="13"/>
  <c r="A220" i="13"/>
  <c r="B220" i="13"/>
  <c r="A221" i="13"/>
  <c r="B221" i="13"/>
  <c r="A222" i="13"/>
  <c r="B222" i="13"/>
  <c r="A223" i="13"/>
  <c r="B223" i="13"/>
  <c r="A224" i="13"/>
  <c r="B224" i="13"/>
  <c r="A225" i="13"/>
  <c r="B225" i="13"/>
  <c r="A226" i="13"/>
  <c r="B226" i="13"/>
  <c r="A227" i="13"/>
  <c r="B227" i="13"/>
  <c r="A228" i="13"/>
  <c r="B228" i="13"/>
  <c r="A229" i="13"/>
  <c r="B229" i="13"/>
  <c r="A230" i="13"/>
  <c r="B230" i="13"/>
  <c r="A231" i="13"/>
  <c r="B231" i="13"/>
  <c r="A232" i="13"/>
  <c r="B232" i="13"/>
  <c r="A233" i="13"/>
  <c r="B233" i="13"/>
  <c r="A234" i="13"/>
  <c r="B234" i="13"/>
  <c r="A235" i="13"/>
  <c r="B235" i="13"/>
  <c r="A236" i="13"/>
  <c r="B236" i="13"/>
  <c r="A237" i="13"/>
  <c r="B237" i="13"/>
  <c r="A238" i="13"/>
  <c r="B238" i="13"/>
  <c r="A239" i="13"/>
  <c r="B239" i="13"/>
  <c r="A240" i="13"/>
  <c r="B240" i="13"/>
  <c r="A241" i="13"/>
  <c r="B241" i="13"/>
  <c r="A242" i="13"/>
  <c r="B242" i="13"/>
  <c r="A243" i="13"/>
  <c r="B243" i="13"/>
  <c r="A245" i="13"/>
  <c r="B245" i="13"/>
  <c r="A246" i="13"/>
  <c r="B246" i="13"/>
  <c r="A247" i="13"/>
  <c r="B247" i="13"/>
  <c r="A248" i="13"/>
  <c r="B248" i="13"/>
  <c r="A249" i="13"/>
  <c r="B249" i="13"/>
  <c r="A250" i="13"/>
  <c r="B250" i="13"/>
  <c r="A251" i="13"/>
  <c r="B251" i="13"/>
  <c r="A252" i="13"/>
  <c r="B252" i="13"/>
  <c r="A253" i="13"/>
  <c r="B253" i="13"/>
  <c r="A254" i="13"/>
  <c r="B254" i="13"/>
  <c r="A255" i="13"/>
  <c r="B255" i="13"/>
  <c r="A256" i="13"/>
  <c r="B256" i="13"/>
  <c r="A257" i="13"/>
  <c r="B257" i="13"/>
  <c r="A258" i="13"/>
  <c r="B258" i="13"/>
  <c r="A259" i="13"/>
  <c r="B259" i="13"/>
  <c r="A260" i="13"/>
  <c r="B260" i="13"/>
  <c r="A261" i="13"/>
  <c r="B261" i="13"/>
  <c r="A262" i="13"/>
  <c r="B262" i="13"/>
  <c r="A263" i="13"/>
  <c r="B263" i="13"/>
  <c r="A264" i="13"/>
  <c r="B264" i="13"/>
  <c r="A265" i="13"/>
  <c r="B265" i="13"/>
  <c r="A266" i="13"/>
  <c r="B266" i="13"/>
  <c r="A267" i="13"/>
  <c r="B267" i="13"/>
  <c r="A268" i="13"/>
  <c r="B268" i="13"/>
  <c r="A269" i="13"/>
  <c r="B269" i="13"/>
  <c r="A270" i="13"/>
  <c r="B270" i="13"/>
  <c r="A271" i="13"/>
  <c r="B271" i="13"/>
  <c r="A272" i="13"/>
  <c r="B272" i="13"/>
  <c r="A273" i="13"/>
  <c r="B273" i="13"/>
  <c r="A274" i="13"/>
  <c r="B274" i="13"/>
  <c r="A275" i="13"/>
  <c r="B275" i="13"/>
  <c r="A276" i="13"/>
  <c r="B276" i="13"/>
  <c r="A277" i="13"/>
  <c r="B277" i="13"/>
  <c r="A278" i="13"/>
  <c r="B278" i="13"/>
  <c r="A279" i="13"/>
  <c r="B279" i="13"/>
  <c r="A280" i="13"/>
  <c r="B280" i="13"/>
  <c r="A281" i="13"/>
  <c r="B281" i="13"/>
  <c r="A282" i="13"/>
  <c r="B282" i="13"/>
  <c r="A283" i="13"/>
  <c r="B283" i="13"/>
  <c r="A284" i="13"/>
  <c r="B284" i="13"/>
  <c r="A285" i="13"/>
  <c r="B285" i="13"/>
  <c r="A286" i="13"/>
  <c r="B286" i="13"/>
  <c r="A287" i="13"/>
  <c r="B287" i="13"/>
  <c r="A288" i="13"/>
  <c r="B288" i="13"/>
  <c r="A289" i="13"/>
  <c r="B289" i="13"/>
  <c r="A290" i="13"/>
  <c r="B290" i="13"/>
  <c r="A291" i="13"/>
  <c r="B291" i="13"/>
  <c r="A292" i="13"/>
  <c r="B292" i="13"/>
  <c r="A293" i="13"/>
  <c r="B293" i="13"/>
  <c r="A294" i="13"/>
  <c r="B294" i="13"/>
  <c r="A295" i="13"/>
  <c r="B295" i="13"/>
  <c r="A296" i="13"/>
  <c r="B296" i="13"/>
  <c r="A297" i="13"/>
  <c r="B297" i="13"/>
  <c r="A298" i="13"/>
  <c r="B298" i="13"/>
  <c r="A299" i="13"/>
  <c r="B299" i="13"/>
  <c r="A300" i="13"/>
  <c r="B300" i="13"/>
  <c r="A301" i="13"/>
  <c r="B301" i="13"/>
  <c r="A302" i="13"/>
  <c r="B302" i="13"/>
  <c r="A303" i="13"/>
  <c r="B303" i="13"/>
  <c r="A304" i="13"/>
  <c r="B304" i="13"/>
  <c r="A305" i="13"/>
  <c r="B305" i="13"/>
  <c r="A306" i="13"/>
  <c r="B306" i="13"/>
  <c r="A307" i="13"/>
  <c r="B307" i="13"/>
  <c r="A308" i="13"/>
  <c r="B308" i="13"/>
  <c r="A309" i="13"/>
  <c r="B309" i="13"/>
  <c r="A310" i="13"/>
  <c r="B310" i="13"/>
  <c r="A311" i="13"/>
  <c r="B311" i="13"/>
  <c r="A312" i="13"/>
  <c r="B312" i="13"/>
  <c r="A313" i="13"/>
  <c r="B313" i="13"/>
  <c r="A314" i="13"/>
  <c r="B314" i="13"/>
  <c r="B6" i="13"/>
  <c r="A6" i="13"/>
  <c r="B5" i="39"/>
  <c r="A5" i="39"/>
  <c r="B5" i="12"/>
  <c r="A5" i="12"/>
  <c r="K314" i="11"/>
  <c r="F314" i="11"/>
  <c r="E314" i="11"/>
  <c r="D314" i="11"/>
  <c r="D16" i="34"/>
  <c r="B16" i="34"/>
  <c r="A16" i="34"/>
  <c r="C5" i="37"/>
  <c r="B5" i="37"/>
  <c r="A5" i="37"/>
  <c r="C8" i="36"/>
  <c r="B8" i="36"/>
  <c r="A8" i="36"/>
  <c r="C11" i="9"/>
  <c r="C320" i="9" s="1"/>
  <c r="B11" i="9"/>
  <c r="A11" i="9"/>
  <c r="D325" i="34" l="1"/>
  <c r="B314" i="37"/>
  <c r="C314" i="37"/>
  <c r="C317" i="36"/>
  <c r="B317" i="36"/>
  <c r="B314" i="12"/>
  <c r="B314" i="39"/>
  <c r="B315" i="13"/>
  <c r="B325" i="34"/>
  <c r="B320" i="9"/>
  <c r="T183" i="13" l="1"/>
  <c r="T155" i="13"/>
  <c r="T224" i="13"/>
  <c r="T33" i="13"/>
  <c r="T97" i="13"/>
  <c r="T23" i="13"/>
  <c r="T39" i="13"/>
  <c r="T55" i="13"/>
  <c r="T63" i="13"/>
  <c r="T101" i="13"/>
  <c r="T103" i="13"/>
  <c r="T107" i="13"/>
  <c r="T109" i="13"/>
  <c r="T117" i="13"/>
  <c r="T123" i="13"/>
  <c r="T125" i="13"/>
  <c r="T135" i="13"/>
  <c r="T137" i="13"/>
  <c r="T143" i="13"/>
  <c r="T145" i="13"/>
  <c r="T147" i="13"/>
  <c r="T151" i="13"/>
  <c r="T153" i="13"/>
  <c r="T159" i="13"/>
  <c r="T161" i="13"/>
  <c r="T163" i="13"/>
  <c r="T172" i="13"/>
  <c r="T188" i="13"/>
  <c r="T192" i="13"/>
  <c r="T204" i="13"/>
  <c r="T210" i="13"/>
  <c r="T218" i="13"/>
  <c r="T221" i="13"/>
  <c r="T223" i="13"/>
  <c r="T229" i="13"/>
  <c r="T254" i="13"/>
  <c r="T256" i="13"/>
  <c r="T264" i="13"/>
  <c r="T266" i="13"/>
  <c r="T270" i="13"/>
  <c r="T272" i="13"/>
  <c r="T274" i="13"/>
  <c r="T282" i="13"/>
  <c r="T314" i="13"/>
  <c r="E315" i="13"/>
  <c r="T18" i="13"/>
  <c r="T28" i="13"/>
  <c r="T30" i="13"/>
  <c r="T32" i="13"/>
  <c r="T36" i="13"/>
  <c r="T44" i="13"/>
  <c r="T70" i="13"/>
  <c r="T78" i="13"/>
  <c r="T80" i="13"/>
  <c r="T82" i="13"/>
  <c r="T84" i="13"/>
  <c r="T88" i="13"/>
  <c r="T90" i="13"/>
  <c r="T92" i="13"/>
  <c r="T96" i="13"/>
  <c r="T98" i="13"/>
  <c r="T100" i="13"/>
  <c r="T112" i="13"/>
  <c r="T116" i="13"/>
  <c r="T118" i="13"/>
  <c r="T120" i="13"/>
  <c r="T124" i="13"/>
  <c r="T126" i="13"/>
  <c r="T128" i="13"/>
  <c r="T132" i="13"/>
  <c r="T140" i="13"/>
  <c r="T156" i="13"/>
  <c r="T160" i="13"/>
  <c r="T209" i="13"/>
  <c r="T213" i="13"/>
  <c r="T217" i="13"/>
  <c r="T226" i="13"/>
  <c r="T242" i="13"/>
  <c r="T247" i="13"/>
  <c r="T251" i="13"/>
  <c r="T255" i="13"/>
  <c r="T259" i="13"/>
  <c r="T261" i="13"/>
  <c r="T279" i="13"/>
  <c r="T283" i="13"/>
  <c r="T285" i="13"/>
  <c r="T287" i="13"/>
  <c r="T303" i="13"/>
  <c r="T307" i="13"/>
  <c r="T309" i="13"/>
  <c r="T311" i="13"/>
  <c r="T29" i="13"/>
  <c r="T41" i="13"/>
  <c r="T43" i="13"/>
  <c r="T47" i="13"/>
  <c r="T81" i="13"/>
  <c r="T91" i="13"/>
  <c r="T49" i="13"/>
  <c r="T53" i="13"/>
  <c r="T59" i="13"/>
  <c r="T61" i="13"/>
  <c r="T75" i="13"/>
  <c r="T165" i="13"/>
  <c r="T167" i="13"/>
  <c r="T169" i="13"/>
  <c r="T176" i="13"/>
  <c r="T178" i="13"/>
  <c r="T182" i="13"/>
  <c r="T184" i="13"/>
  <c r="T186" i="13"/>
  <c r="T190" i="13"/>
  <c r="T194" i="13"/>
  <c r="T198" i="13"/>
  <c r="T208" i="13"/>
  <c r="T212" i="13"/>
  <c r="T233" i="13"/>
  <c r="T237" i="13"/>
  <c r="T239" i="13"/>
  <c r="T243" i="13"/>
  <c r="T248" i="13"/>
  <c r="T252" i="13"/>
  <c r="T276" i="13"/>
  <c r="T280" i="13"/>
  <c r="T288" i="13"/>
  <c r="T304" i="13"/>
  <c r="T308" i="13"/>
  <c r="F315" i="13"/>
  <c r="T8" i="13"/>
  <c r="T12" i="13"/>
  <c r="T20" i="13"/>
  <c r="T26" i="13"/>
  <c r="T38" i="13"/>
  <c r="T42" i="13"/>
  <c r="T46" i="13"/>
  <c r="T48" i="13"/>
  <c r="T56" i="13"/>
  <c r="T64" i="13"/>
  <c r="T102" i="13"/>
  <c r="T104" i="13"/>
  <c r="T106" i="13"/>
  <c r="T108" i="13"/>
  <c r="T134" i="13"/>
  <c r="T138" i="13"/>
  <c r="T142" i="13"/>
  <c r="T146" i="13"/>
  <c r="T148" i="13"/>
  <c r="T150" i="13"/>
  <c r="T154" i="13"/>
  <c r="T158" i="13"/>
  <c r="T162" i="13"/>
  <c r="T168" i="13"/>
  <c r="T173" i="13"/>
  <c r="T175" i="13"/>
  <c r="T177" i="13"/>
  <c r="T185" i="13"/>
  <c r="T193" i="13"/>
  <c r="T201" i="13"/>
  <c r="T207" i="13"/>
  <c r="T211" i="13"/>
  <c r="T222" i="13"/>
  <c r="T228" i="13"/>
  <c r="T232" i="13"/>
  <c r="T236" i="13"/>
  <c r="T263" i="13"/>
  <c r="T265" i="13"/>
  <c r="T269" i="13"/>
  <c r="T271" i="13"/>
  <c r="T273" i="13"/>
  <c r="T291" i="13"/>
  <c r="T293" i="13"/>
  <c r="T295" i="13"/>
  <c r="T297" i="13"/>
  <c r="T299" i="13"/>
  <c r="T301" i="13"/>
  <c r="T19" i="13"/>
  <c r="T17" i="13"/>
  <c r="T25" i="13"/>
  <c r="T51" i="13"/>
  <c r="T57" i="13"/>
  <c r="T67" i="13"/>
  <c r="T71" i="13"/>
  <c r="T73" i="13"/>
  <c r="T79" i="13"/>
  <c r="T85" i="13"/>
  <c r="T89" i="13"/>
  <c r="T105" i="13"/>
  <c r="T113" i="13"/>
  <c r="T121" i="13"/>
  <c r="T129" i="13"/>
  <c r="T139" i="13"/>
  <c r="T180" i="13"/>
  <c r="T196" i="13"/>
  <c r="T200" i="13"/>
  <c r="T202" i="13"/>
  <c r="T206" i="13"/>
  <c r="T227" i="13"/>
  <c r="T231" i="13"/>
  <c r="T235" i="13"/>
  <c r="T241" i="13"/>
  <c r="T246" i="13"/>
  <c r="T250" i="13"/>
  <c r="T268" i="13"/>
  <c r="T278" i="13"/>
  <c r="T292" i="13"/>
  <c r="T294" i="13"/>
  <c r="T296" i="13"/>
  <c r="T298" i="13"/>
  <c r="T300" i="13"/>
  <c r="T302" i="13"/>
  <c r="T306" i="13"/>
  <c r="T312" i="13"/>
  <c r="T6" i="13"/>
  <c r="G315" i="13"/>
  <c r="T16" i="13"/>
  <c r="T22" i="13"/>
  <c r="T40" i="13"/>
  <c r="T50" i="13"/>
  <c r="T52" i="13"/>
  <c r="T54" i="13"/>
  <c r="T58" i="13"/>
  <c r="T60" i="13"/>
  <c r="T62" i="13"/>
  <c r="T66" i="13"/>
  <c r="T74" i="13"/>
  <c r="T110" i="13"/>
  <c r="T136" i="13"/>
  <c r="T144" i="13"/>
  <c r="T152" i="13"/>
  <c r="T164" i="13"/>
  <c r="T166" i="13"/>
  <c r="T179" i="13"/>
  <c r="T181" i="13"/>
  <c r="T187" i="13"/>
  <c r="T189" i="13"/>
  <c r="T191" i="13"/>
  <c r="T195" i="13"/>
  <c r="T197" i="13"/>
  <c r="T203" i="13"/>
  <c r="T205" i="13"/>
  <c r="T230" i="13"/>
  <c r="T234" i="13"/>
  <c r="T238" i="13"/>
  <c r="T249" i="13"/>
  <c r="T257" i="13"/>
  <c r="T267" i="13"/>
  <c r="T275" i="13"/>
  <c r="T277" i="13"/>
  <c r="T281" i="13"/>
  <c r="T289" i="13"/>
  <c r="T9" i="13"/>
  <c r="T13" i="13"/>
  <c r="T21" i="13"/>
  <c r="T65" i="13"/>
  <c r="T69" i="13"/>
  <c r="T77" i="13"/>
  <c r="T7" i="13"/>
  <c r="T11" i="13"/>
  <c r="T15" i="13"/>
  <c r="T27" i="13"/>
  <c r="T31" i="13"/>
  <c r="T35" i="13"/>
  <c r="T37" i="13"/>
  <c r="T45" i="13"/>
  <c r="T83" i="13"/>
  <c r="T87" i="13"/>
  <c r="T93" i="13"/>
  <c r="T95" i="13"/>
  <c r="T99" i="13"/>
  <c r="T111" i="13"/>
  <c r="T115" i="13"/>
  <c r="T119" i="13"/>
  <c r="T127" i="13"/>
  <c r="T131" i="13"/>
  <c r="T133" i="13"/>
  <c r="T141" i="13"/>
  <c r="T149" i="13"/>
  <c r="T157" i="13"/>
  <c r="T174" i="13"/>
  <c r="T214" i="13"/>
  <c r="T216" i="13"/>
  <c r="T225" i="13"/>
  <c r="T258" i="13"/>
  <c r="T260" i="13"/>
  <c r="T262" i="13"/>
  <c r="T284" i="13"/>
  <c r="T286" i="13"/>
  <c r="T290" i="13"/>
  <c r="T310" i="13"/>
  <c r="D315" i="13"/>
  <c r="I315" i="13"/>
  <c r="B59" i="40" s="1"/>
  <c r="T10" i="13"/>
  <c r="T14" i="13"/>
  <c r="T24" i="13"/>
  <c r="T34" i="13"/>
  <c r="T68" i="13"/>
  <c r="T72" i="13"/>
  <c r="T76" i="13"/>
  <c r="T86" i="13"/>
  <c r="T94" i="13"/>
  <c r="T114" i="13"/>
  <c r="T122" i="13"/>
  <c r="T130" i="13"/>
  <c r="T171" i="13"/>
  <c r="T199" i="13"/>
  <c r="T215" i="13"/>
  <c r="T220" i="13"/>
  <c r="T240" i="13"/>
  <c r="T245" i="13"/>
  <c r="T253" i="13"/>
  <c r="T305" i="13"/>
  <c r="T313" i="13"/>
  <c r="G3" i="33"/>
  <c r="G4" i="33"/>
  <c r="H315" i="13" l="1"/>
  <c r="K6" i="13"/>
  <c r="C4" i="32"/>
  <c r="B5" i="33"/>
  <c r="A5" i="33"/>
  <c r="B5" i="32"/>
  <c r="A5" i="32"/>
  <c r="B7" i="19"/>
  <c r="A7" i="19"/>
  <c r="A2" i="19"/>
  <c r="A2" i="42"/>
  <c r="O7" i="19"/>
  <c r="R316" i="42"/>
  <c r="Q316" i="42"/>
  <c r="P316" i="42"/>
  <c r="O316" i="42"/>
  <c r="B316" i="42"/>
  <c r="B314" i="32" l="1"/>
  <c r="B316" i="19"/>
  <c r="B314" i="33"/>
  <c r="E4" i="37" l="1"/>
  <c r="E7" i="36"/>
  <c r="D29" i="40"/>
  <c r="F7" i="36" s="1"/>
  <c r="E29" i="40"/>
  <c r="G7" i="36" s="1"/>
  <c r="F29" i="40"/>
  <c r="H7" i="36" s="1"/>
  <c r="G29" i="40"/>
  <c r="I7" i="36" s="1"/>
  <c r="H29" i="40"/>
  <c r="J7" i="36" s="1"/>
  <c r="D7" i="36"/>
  <c r="C4" i="9" l="1"/>
  <c r="N316" i="19"/>
  <c r="C7" i="19"/>
  <c r="D7" i="19"/>
  <c r="E7" i="19"/>
  <c r="F7" i="19"/>
  <c r="E11" i="49"/>
  <c r="E15" i="49"/>
  <c r="E19" i="49"/>
  <c r="E23" i="49"/>
  <c r="E24" i="49"/>
  <c r="E27" i="49"/>
  <c r="E28" i="49"/>
  <c r="E31" i="49"/>
  <c r="E35" i="49"/>
  <c r="E39" i="49"/>
  <c r="E43" i="49"/>
  <c r="E55" i="49"/>
  <c r="E63" i="49"/>
  <c r="E67" i="49"/>
  <c r="E71" i="49"/>
  <c r="E75" i="49"/>
  <c r="E79" i="49"/>
  <c r="E83" i="49"/>
  <c r="E86" i="49"/>
  <c r="E87" i="49"/>
  <c r="E91" i="49"/>
  <c r="E95" i="49"/>
  <c r="E96" i="49"/>
  <c r="E99" i="49"/>
  <c r="E103" i="49"/>
  <c r="E107" i="49"/>
  <c r="E111" i="49"/>
  <c r="E115" i="49"/>
  <c r="E118" i="49"/>
  <c r="E119" i="49"/>
  <c r="E120" i="49"/>
  <c r="E121" i="49"/>
  <c r="E123" i="49"/>
  <c r="E127" i="49"/>
  <c r="E128" i="49"/>
  <c r="E131" i="49"/>
  <c r="E132" i="49"/>
  <c r="E134" i="49"/>
  <c r="E136" i="49"/>
  <c r="E139" i="49"/>
  <c r="E142" i="49"/>
  <c r="E143" i="49"/>
  <c r="E146" i="49"/>
  <c r="E149" i="49"/>
  <c r="E152" i="49"/>
  <c r="E168" i="49"/>
  <c r="E171" i="49"/>
  <c r="E173" i="49"/>
  <c r="E180" i="49"/>
  <c r="E183" i="49"/>
  <c r="E195" i="49"/>
  <c r="E196" i="49"/>
  <c r="E197" i="49"/>
  <c r="E199" i="49"/>
  <c r="E215" i="49"/>
  <c r="E220" i="49"/>
  <c r="E221" i="49"/>
  <c r="E222" i="49"/>
  <c r="E227" i="49"/>
  <c r="E229" i="49"/>
  <c r="E234" i="49"/>
  <c r="E239" i="49"/>
  <c r="E242" i="49"/>
  <c r="E243" i="49"/>
  <c r="E245" i="49"/>
  <c r="E246" i="49"/>
  <c r="E256" i="49"/>
  <c r="E257" i="49"/>
  <c r="E261" i="49"/>
  <c r="E269" i="49"/>
  <c r="E270" i="49"/>
  <c r="E276" i="49"/>
  <c r="E288" i="49"/>
  <c r="E289" i="49"/>
  <c r="E293" i="49"/>
  <c r="E296" i="49"/>
  <c r="E297" i="49"/>
  <c r="E301" i="49"/>
  <c r="E304" i="49"/>
  <c r="E312" i="49"/>
  <c r="E313" i="49"/>
  <c r="D4" i="32"/>
  <c r="AA7" i="19"/>
  <c r="D6" i="49" s="1"/>
  <c r="D7" i="49"/>
  <c r="D8" i="49"/>
  <c r="D9" i="49"/>
  <c r="D10" i="49"/>
  <c r="D11" i="49"/>
  <c r="D12" i="49"/>
  <c r="D13" i="49"/>
  <c r="D14" i="49"/>
  <c r="D15" i="49"/>
  <c r="D16" i="49"/>
  <c r="D17" i="49"/>
  <c r="D18" i="49"/>
  <c r="D19" i="49"/>
  <c r="D20" i="49"/>
  <c r="D21" i="49"/>
  <c r="D22" i="49"/>
  <c r="D23" i="49"/>
  <c r="D24" i="49"/>
  <c r="D25" i="49"/>
  <c r="D26" i="49"/>
  <c r="D27" i="49"/>
  <c r="D28" i="49"/>
  <c r="D29" i="49"/>
  <c r="D30" i="49"/>
  <c r="D31" i="49"/>
  <c r="D32" i="49"/>
  <c r="D33" i="49"/>
  <c r="D34" i="49"/>
  <c r="D35" i="49"/>
  <c r="D36" i="49"/>
  <c r="D37" i="49"/>
  <c r="D38" i="49"/>
  <c r="D39" i="49"/>
  <c r="D40" i="49"/>
  <c r="D41" i="49"/>
  <c r="D42" i="49"/>
  <c r="D43" i="49"/>
  <c r="D44" i="49"/>
  <c r="D45" i="49"/>
  <c r="D46" i="49"/>
  <c r="D47" i="49"/>
  <c r="D48" i="49"/>
  <c r="D49" i="49"/>
  <c r="D50" i="49"/>
  <c r="D51" i="49"/>
  <c r="D52" i="49"/>
  <c r="D53" i="49"/>
  <c r="D54" i="49"/>
  <c r="D55" i="49"/>
  <c r="D56" i="49"/>
  <c r="D57" i="49"/>
  <c r="D58" i="49"/>
  <c r="D59" i="49"/>
  <c r="D60" i="49"/>
  <c r="D61" i="49"/>
  <c r="D62" i="49"/>
  <c r="D63" i="49"/>
  <c r="D64" i="49"/>
  <c r="D65" i="49"/>
  <c r="D66" i="49"/>
  <c r="D67" i="49"/>
  <c r="D68" i="49"/>
  <c r="D69" i="49"/>
  <c r="D70" i="49"/>
  <c r="D71" i="49"/>
  <c r="D72" i="49"/>
  <c r="D73" i="49"/>
  <c r="D74" i="49"/>
  <c r="D75" i="49"/>
  <c r="D76" i="49"/>
  <c r="D77" i="49"/>
  <c r="D78" i="49"/>
  <c r="D79" i="49"/>
  <c r="D80" i="49"/>
  <c r="D81" i="49"/>
  <c r="D82" i="49"/>
  <c r="D83" i="49"/>
  <c r="D84" i="49"/>
  <c r="D85" i="49"/>
  <c r="D86" i="49"/>
  <c r="D87" i="49"/>
  <c r="D88" i="49"/>
  <c r="D89" i="49"/>
  <c r="D90" i="49"/>
  <c r="D91" i="49"/>
  <c r="D92" i="49"/>
  <c r="D93" i="49"/>
  <c r="D94" i="49"/>
  <c r="D95" i="49"/>
  <c r="D96" i="49"/>
  <c r="D97" i="49"/>
  <c r="D98" i="49"/>
  <c r="D99" i="49"/>
  <c r="D100" i="49"/>
  <c r="D101" i="49"/>
  <c r="D102" i="49"/>
  <c r="D103" i="49"/>
  <c r="D104" i="49"/>
  <c r="D105" i="49"/>
  <c r="D106" i="49"/>
  <c r="D107" i="49"/>
  <c r="D108" i="49"/>
  <c r="D109" i="49"/>
  <c r="D110" i="49"/>
  <c r="D111" i="49"/>
  <c r="D112" i="49"/>
  <c r="D113" i="49"/>
  <c r="D114" i="49"/>
  <c r="D115" i="49"/>
  <c r="D116" i="49"/>
  <c r="D117" i="49"/>
  <c r="D118" i="49"/>
  <c r="D119" i="49"/>
  <c r="D120" i="49"/>
  <c r="D121" i="49"/>
  <c r="D122" i="49"/>
  <c r="D123" i="49"/>
  <c r="D124" i="49"/>
  <c r="D125" i="49"/>
  <c r="D126" i="49"/>
  <c r="D127" i="49"/>
  <c r="D128" i="49"/>
  <c r="D129" i="49"/>
  <c r="D130" i="49"/>
  <c r="D131" i="49"/>
  <c r="D132" i="49"/>
  <c r="D133" i="49"/>
  <c r="D134" i="49"/>
  <c r="D135" i="49"/>
  <c r="D136" i="49"/>
  <c r="D137" i="49"/>
  <c r="D138" i="49"/>
  <c r="D139" i="49"/>
  <c r="D140" i="49"/>
  <c r="D141" i="49"/>
  <c r="D142" i="49"/>
  <c r="D143" i="49"/>
  <c r="D144" i="49"/>
  <c r="D145" i="49"/>
  <c r="D146" i="49"/>
  <c r="D147" i="49"/>
  <c r="D148" i="49"/>
  <c r="D149" i="49"/>
  <c r="D150" i="49"/>
  <c r="D151" i="49"/>
  <c r="D152" i="49"/>
  <c r="D153" i="49"/>
  <c r="D154" i="49"/>
  <c r="D155" i="49"/>
  <c r="D156" i="49"/>
  <c r="D157" i="49"/>
  <c r="D158" i="49"/>
  <c r="D159" i="49"/>
  <c r="D160" i="49"/>
  <c r="D161" i="49"/>
  <c r="D162" i="49"/>
  <c r="D163" i="49"/>
  <c r="D164" i="49"/>
  <c r="D165" i="49"/>
  <c r="D166" i="49"/>
  <c r="D167" i="49"/>
  <c r="D168" i="49"/>
  <c r="D169" i="49"/>
  <c r="D171" i="49"/>
  <c r="D172" i="49"/>
  <c r="D173" i="49"/>
  <c r="D174" i="49"/>
  <c r="D175" i="49"/>
  <c r="D176" i="49"/>
  <c r="D177" i="49"/>
  <c r="D178" i="49"/>
  <c r="D179" i="49"/>
  <c r="D180" i="49"/>
  <c r="D181" i="49"/>
  <c r="D182" i="49"/>
  <c r="D183" i="49"/>
  <c r="D184" i="49"/>
  <c r="D185" i="49"/>
  <c r="D186" i="49"/>
  <c r="D187" i="49"/>
  <c r="D188" i="49"/>
  <c r="D189" i="49"/>
  <c r="D190" i="49"/>
  <c r="D191" i="49"/>
  <c r="D192" i="49"/>
  <c r="D193" i="49"/>
  <c r="D194" i="49"/>
  <c r="D195" i="49"/>
  <c r="D196" i="49"/>
  <c r="D197" i="49"/>
  <c r="D198" i="49"/>
  <c r="D199" i="49"/>
  <c r="D200" i="49"/>
  <c r="D201" i="49"/>
  <c r="D202" i="49"/>
  <c r="D203" i="49"/>
  <c r="D204" i="49"/>
  <c r="D205" i="49"/>
  <c r="D206" i="49"/>
  <c r="D207" i="49"/>
  <c r="D208" i="49"/>
  <c r="D209" i="49"/>
  <c r="D210" i="49"/>
  <c r="D211" i="49"/>
  <c r="D212" i="49"/>
  <c r="D213" i="49"/>
  <c r="D214" i="49"/>
  <c r="D215" i="49"/>
  <c r="D216" i="49"/>
  <c r="D217" i="49"/>
  <c r="D218" i="49"/>
  <c r="D220" i="49"/>
  <c r="D221" i="49"/>
  <c r="D222" i="49"/>
  <c r="D223" i="49"/>
  <c r="D224" i="49"/>
  <c r="D225" i="49"/>
  <c r="D226" i="49"/>
  <c r="D227" i="49"/>
  <c r="D228" i="49"/>
  <c r="D229" i="49"/>
  <c r="D230" i="49"/>
  <c r="D231" i="49"/>
  <c r="D232" i="49"/>
  <c r="D233" i="49"/>
  <c r="D234" i="49"/>
  <c r="D235" i="49"/>
  <c r="D236" i="49"/>
  <c r="D237" i="49"/>
  <c r="D238" i="49"/>
  <c r="D239" i="49"/>
  <c r="D240" i="49"/>
  <c r="D241" i="49"/>
  <c r="D242" i="49"/>
  <c r="D243" i="49"/>
  <c r="D245" i="49"/>
  <c r="D246" i="49"/>
  <c r="D247" i="49"/>
  <c r="D248" i="49"/>
  <c r="D249" i="49"/>
  <c r="D250" i="49"/>
  <c r="D251" i="49"/>
  <c r="D252" i="49"/>
  <c r="D253" i="49"/>
  <c r="D254" i="49"/>
  <c r="D255" i="49"/>
  <c r="D256" i="49"/>
  <c r="D257" i="49"/>
  <c r="D258" i="49"/>
  <c r="D259" i="49"/>
  <c r="D260" i="49"/>
  <c r="D261" i="49"/>
  <c r="D262" i="49"/>
  <c r="D263" i="49"/>
  <c r="D264" i="49"/>
  <c r="D265" i="49"/>
  <c r="D266" i="49"/>
  <c r="D267" i="49"/>
  <c r="D268" i="49"/>
  <c r="D269" i="49"/>
  <c r="D270" i="49"/>
  <c r="D271" i="49"/>
  <c r="D272" i="49"/>
  <c r="D273" i="49"/>
  <c r="D274" i="49"/>
  <c r="D275" i="49"/>
  <c r="D276" i="49"/>
  <c r="D277" i="49"/>
  <c r="D278" i="49"/>
  <c r="D279" i="49"/>
  <c r="D280" i="49"/>
  <c r="D281" i="49"/>
  <c r="D282" i="49"/>
  <c r="D283" i="49"/>
  <c r="D284" i="49"/>
  <c r="D285" i="49"/>
  <c r="D286" i="49"/>
  <c r="D287" i="49"/>
  <c r="D288" i="49"/>
  <c r="D289" i="49"/>
  <c r="D290" i="49"/>
  <c r="D291" i="49"/>
  <c r="D292" i="49"/>
  <c r="D293" i="49"/>
  <c r="D294" i="49"/>
  <c r="D295" i="49"/>
  <c r="D296" i="49"/>
  <c r="D297" i="49"/>
  <c r="D298" i="49"/>
  <c r="D299" i="49"/>
  <c r="D300" i="49"/>
  <c r="D301" i="49"/>
  <c r="D302" i="49"/>
  <c r="D303" i="49"/>
  <c r="D304" i="49"/>
  <c r="D305" i="49"/>
  <c r="D306" i="49"/>
  <c r="D307" i="49"/>
  <c r="D308" i="49"/>
  <c r="D309" i="49"/>
  <c r="D310" i="49"/>
  <c r="D311" i="49"/>
  <c r="D312" i="49"/>
  <c r="D313" i="49"/>
  <c r="D314" i="49"/>
  <c r="K14" i="13"/>
  <c r="K88" i="13"/>
  <c r="E4" i="36"/>
  <c r="G4" i="36"/>
  <c r="I4" i="36"/>
  <c r="H4" i="36"/>
  <c r="G5" i="36"/>
  <c r="C6" i="34"/>
  <c r="D4" i="36"/>
  <c r="D5" i="36"/>
  <c r="E5" i="36"/>
  <c r="F4" i="36"/>
  <c r="F5" i="36"/>
  <c r="H5" i="36"/>
  <c r="J4" i="36"/>
  <c r="I5" i="36"/>
  <c r="I4" i="39"/>
  <c r="K8" i="13"/>
  <c r="K9" i="13"/>
  <c r="K10" i="13"/>
  <c r="K11" i="13"/>
  <c r="K12" i="13"/>
  <c r="K13" i="13"/>
  <c r="K15" i="13"/>
  <c r="K16" i="13"/>
  <c r="K17" i="13"/>
  <c r="K18" i="13"/>
  <c r="K19" i="13"/>
  <c r="K20" i="13"/>
  <c r="K21" i="13"/>
  <c r="K22" i="13"/>
  <c r="K23" i="13"/>
  <c r="K24" i="13"/>
  <c r="K25" i="13"/>
  <c r="K26" i="13"/>
  <c r="K27" i="13"/>
  <c r="K28" i="13"/>
  <c r="K29" i="13"/>
  <c r="K30" i="13"/>
  <c r="K31" i="13"/>
  <c r="K32" i="13"/>
  <c r="K33" i="13"/>
  <c r="K34" i="13"/>
  <c r="K35" i="13"/>
  <c r="K36" i="13"/>
  <c r="K37" i="13"/>
  <c r="K38" i="13"/>
  <c r="K39" i="13"/>
  <c r="K40" i="13"/>
  <c r="K41" i="13"/>
  <c r="K42" i="13"/>
  <c r="K43" i="13"/>
  <c r="K44" i="13"/>
  <c r="K45" i="13"/>
  <c r="K46" i="13"/>
  <c r="K47" i="13"/>
  <c r="K48" i="13"/>
  <c r="K49" i="13"/>
  <c r="K50" i="13"/>
  <c r="K51" i="13"/>
  <c r="K52" i="13"/>
  <c r="K53" i="13"/>
  <c r="K54" i="13"/>
  <c r="K55" i="13"/>
  <c r="K56" i="13"/>
  <c r="K57" i="13"/>
  <c r="K58" i="13"/>
  <c r="K59" i="13"/>
  <c r="K60" i="13"/>
  <c r="K61" i="13"/>
  <c r="K62" i="13"/>
  <c r="K63" i="13"/>
  <c r="K64" i="13"/>
  <c r="K65" i="13"/>
  <c r="K66" i="13"/>
  <c r="K67" i="13"/>
  <c r="K68" i="13"/>
  <c r="K69" i="13"/>
  <c r="K70" i="13"/>
  <c r="K71" i="13"/>
  <c r="K72" i="13"/>
  <c r="K73" i="13"/>
  <c r="K74" i="13"/>
  <c r="K75" i="13"/>
  <c r="K76" i="13"/>
  <c r="K77" i="13"/>
  <c r="K78" i="13"/>
  <c r="K79" i="13"/>
  <c r="K80" i="13"/>
  <c r="K81" i="13"/>
  <c r="K82" i="13"/>
  <c r="K83" i="13"/>
  <c r="K84" i="13"/>
  <c r="K85" i="13"/>
  <c r="K86" i="13"/>
  <c r="K87" i="13"/>
  <c r="K89" i="13"/>
  <c r="K90" i="13"/>
  <c r="K91" i="13"/>
  <c r="K92" i="13"/>
  <c r="K93" i="13"/>
  <c r="K94" i="13"/>
  <c r="K95" i="13"/>
  <c r="K96" i="13"/>
  <c r="K97" i="13"/>
  <c r="K98" i="13"/>
  <c r="K99" i="13"/>
  <c r="K100" i="13"/>
  <c r="K101" i="13"/>
  <c r="K102" i="13"/>
  <c r="K103" i="13"/>
  <c r="K104" i="13"/>
  <c r="K105" i="13"/>
  <c r="K106" i="13"/>
  <c r="K107" i="13"/>
  <c r="K108" i="13"/>
  <c r="K109" i="13"/>
  <c r="K110" i="13"/>
  <c r="K111" i="13"/>
  <c r="K112" i="13"/>
  <c r="K113" i="13"/>
  <c r="K114" i="13"/>
  <c r="K115" i="13"/>
  <c r="K116" i="13"/>
  <c r="K117" i="13"/>
  <c r="K118" i="13"/>
  <c r="K119" i="13"/>
  <c r="K120" i="13"/>
  <c r="K121" i="13"/>
  <c r="K122" i="13"/>
  <c r="K123" i="13"/>
  <c r="K124" i="13"/>
  <c r="K125" i="13"/>
  <c r="K126" i="13"/>
  <c r="K127" i="13"/>
  <c r="K128" i="13"/>
  <c r="K129" i="13"/>
  <c r="K130" i="13"/>
  <c r="K131" i="13"/>
  <c r="K132" i="13"/>
  <c r="K133" i="13"/>
  <c r="K134" i="13"/>
  <c r="K135" i="13"/>
  <c r="K136" i="13"/>
  <c r="K137" i="13"/>
  <c r="K138" i="13"/>
  <c r="K139" i="13"/>
  <c r="K140" i="13"/>
  <c r="K141" i="13"/>
  <c r="K142" i="13"/>
  <c r="K143" i="13"/>
  <c r="K144" i="13"/>
  <c r="K145" i="13"/>
  <c r="K146" i="13"/>
  <c r="K147" i="13"/>
  <c r="K148" i="13"/>
  <c r="K149" i="13"/>
  <c r="K150" i="13"/>
  <c r="K151" i="13"/>
  <c r="K152" i="13"/>
  <c r="K153" i="13"/>
  <c r="K154" i="13"/>
  <c r="K155" i="13"/>
  <c r="K156" i="13"/>
  <c r="K157" i="13"/>
  <c r="K158" i="13"/>
  <c r="K159" i="13"/>
  <c r="K160" i="13"/>
  <c r="K161" i="13"/>
  <c r="K162" i="13"/>
  <c r="K163" i="13"/>
  <c r="K164" i="13"/>
  <c r="K165" i="13"/>
  <c r="K166" i="13"/>
  <c r="K167" i="13"/>
  <c r="K168" i="13"/>
  <c r="K169" i="13"/>
  <c r="K171" i="13"/>
  <c r="K172" i="13"/>
  <c r="K173" i="13"/>
  <c r="K174" i="13"/>
  <c r="K175" i="13"/>
  <c r="K176" i="13"/>
  <c r="K177" i="13"/>
  <c r="K178" i="13"/>
  <c r="K179" i="13"/>
  <c r="K180" i="13"/>
  <c r="K181" i="13"/>
  <c r="K182" i="13"/>
  <c r="K183" i="13"/>
  <c r="K184" i="13"/>
  <c r="K185" i="13"/>
  <c r="K186" i="13"/>
  <c r="K187" i="13"/>
  <c r="K188" i="13"/>
  <c r="K189" i="13"/>
  <c r="K190" i="13"/>
  <c r="K191" i="13"/>
  <c r="K192" i="13"/>
  <c r="K193" i="13"/>
  <c r="K194" i="13"/>
  <c r="K195" i="13"/>
  <c r="K196" i="13"/>
  <c r="K197" i="13"/>
  <c r="K198" i="13"/>
  <c r="K199" i="13"/>
  <c r="K200" i="13"/>
  <c r="K201" i="13"/>
  <c r="K202" i="13"/>
  <c r="K203" i="13"/>
  <c r="K204" i="13"/>
  <c r="K205" i="13"/>
  <c r="K206" i="13"/>
  <c r="K207" i="13"/>
  <c r="K208" i="13"/>
  <c r="K209" i="13"/>
  <c r="K210" i="13"/>
  <c r="K211" i="13"/>
  <c r="K212" i="13"/>
  <c r="K213" i="13"/>
  <c r="K214" i="13"/>
  <c r="K215" i="13"/>
  <c r="K216" i="13"/>
  <c r="K217" i="13"/>
  <c r="K218" i="13"/>
  <c r="K220" i="13"/>
  <c r="K221" i="13"/>
  <c r="K222" i="13"/>
  <c r="K223" i="13"/>
  <c r="K224" i="13"/>
  <c r="K225" i="13"/>
  <c r="K226" i="13"/>
  <c r="K227" i="13"/>
  <c r="K228" i="13"/>
  <c r="K229" i="13"/>
  <c r="K230" i="13"/>
  <c r="K231" i="13"/>
  <c r="K232" i="13"/>
  <c r="K233" i="13"/>
  <c r="K234" i="13"/>
  <c r="K235" i="13"/>
  <c r="K236" i="13"/>
  <c r="K237" i="13"/>
  <c r="K238" i="13"/>
  <c r="K239" i="13"/>
  <c r="K240" i="13"/>
  <c r="K241" i="13"/>
  <c r="K242" i="13"/>
  <c r="K243" i="13"/>
  <c r="K245" i="13"/>
  <c r="K246" i="13"/>
  <c r="K247" i="13"/>
  <c r="K248" i="13"/>
  <c r="K249" i="13"/>
  <c r="K250" i="13"/>
  <c r="K251" i="13"/>
  <c r="K252" i="13"/>
  <c r="K253" i="13"/>
  <c r="K254" i="13"/>
  <c r="K255" i="13"/>
  <c r="K256" i="13"/>
  <c r="K257" i="13"/>
  <c r="K258" i="13"/>
  <c r="K259" i="13"/>
  <c r="K260" i="13"/>
  <c r="K261" i="13"/>
  <c r="K262" i="13"/>
  <c r="K263" i="13"/>
  <c r="K264" i="13"/>
  <c r="K265" i="13"/>
  <c r="K266" i="13"/>
  <c r="K267" i="13"/>
  <c r="K268" i="13"/>
  <c r="K269" i="13"/>
  <c r="K270" i="13"/>
  <c r="K271" i="13"/>
  <c r="K272" i="13"/>
  <c r="K273" i="13"/>
  <c r="K274" i="13"/>
  <c r="K275" i="13"/>
  <c r="K276" i="13"/>
  <c r="K277" i="13"/>
  <c r="K278" i="13"/>
  <c r="K279" i="13"/>
  <c r="K280" i="13"/>
  <c r="K281" i="13"/>
  <c r="K282" i="13"/>
  <c r="K283" i="13"/>
  <c r="K284" i="13"/>
  <c r="K285" i="13"/>
  <c r="K286" i="13"/>
  <c r="K287" i="13"/>
  <c r="K288" i="13"/>
  <c r="K289" i="13"/>
  <c r="K291" i="13"/>
  <c r="K292" i="13"/>
  <c r="K293" i="13"/>
  <c r="K294" i="13"/>
  <c r="K295" i="13"/>
  <c r="K296" i="13"/>
  <c r="K297" i="13"/>
  <c r="K298" i="13"/>
  <c r="K299" i="13"/>
  <c r="K300" i="13"/>
  <c r="K301" i="13"/>
  <c r="K302" i="13"/>
  <c r="K303" i="13"/>
  <c r="K304" i="13"/>
  <c r="K305" i="13"/>
  <c r="K306" i="13"/>
  <c r="K307" i="13"/>
  <c r="K308" i="13"/>
  <c r="K309" i="13"/>
  <c r="K310" i="13"/>
  <c r="K311" i="13"/>
  <c r="K312" i="13"/>
  <c r="K313" i="13"/>
  <c r="K314" i="13"/>
  <c r="A6" i="25"/>
  <c r="B6" i="25"/>
  <c r="H60" i="32" l="1"/>
  <c r="H296" i="32"/>
  <c r="H264" i="32"/>
  <c r="H56" i="32"/>
  <c r="H160" i="32"/>
  <c r="H279" i="32"/>
  <c r="H142" i="32"/>
  <c r="H36" i="32"/>
  <c r="H176" i="32"/>
  <c r="H148" i="32"/>
  <c r="H182" i="32"/>
  <c r="H81" i="32"/>
  <c r="H235" i="32"/>
  <c r="H238" i="32"/>
  <c r="H291" i="32"/>
  <c r="H192" i="32"/>
  <c r="H277" i="32"/>
  <c r="H46" i="32"/>
  <c r="H308" i="32"/>
  <c r="H74" i="32"/>
  <c r="H94" i="32"/>
  <c r="H278" i="32"/>
  <c r="H188" i="32"/>
  <c r="H55" i="32"/>
  <c r="H292" i="32"/>
  <c r="H170" i="32"/>
  <c r="H268" i="32"/>
  <c r="H217" i="32"/>
  <c r="H225" i="32"/>
  <c r="H69" i="32"/>
  <c r="H194" i="32"/>
  <c r="H242" i="32"/>
  <c r="H190" i="32"/>
  <c r="H45" i="32"/>
  <c r="H191" i="32"/>
  <c r="H253" i="32"/>
  <c r="H15" i="32"/>
  <c r="H8" i="32"/>
  <c r="H14" i="32"/>
  <c r="H97" i="32"/>
  <c r="H258" i="32"/>
  <c r="H135" i="32"/>
  <c r="H241" i="32"/>
  <c r="H173" i="32"/>
  <c r="H262" i="32"/>
  <c r="H261" i="32"/>
  <c r="H209" i="32"/>
  <c r="H300" i="32"/>
  <c r="H210" i="32"/>
  <c r="H248" i="32"/>
  <c r="H272" i="32"/>
  <c r="D278" i="9" s="1"/>
  <c r="H67" i="32"/>
  <c r="H223" i="32"/>
  <c r="H89" i="32"/>
  <c r="H211" i="32"/>
  <c r="H221" i="32"/>
  <c r="H151" i="32"/>
  <c r="H287" i="32"/>
  <c r="H9" i="32"/>
  <c r="H159" i="32"/>
  <c r="H32" i="32"/>
  <c r="H185" i="32"/>
  <c r="H87" i="32"/>
  <c r="H270" i="32"/>
  <c r="H249" i="32"/>
  <c r="H140" i="32"/>
  <c r="H134" i="32"/>
  <c r="H231" i="32"/>
  <c r="H228" i="32"/>
  <c r="H29" i="32"/>
  <c r="H138" i="32"/>
  <c r="H54" i="32"/>
  <c r="H259" i="32"/>
  <c r="H286" i="32"/>
  <c r="H263" i="32"/>
  <c r="H130" i="32"/>
  <c r="H163" i="32"/>
  <c r="H230" i="32"/>
  <c r="H40" i="32"/>
  <c r="H252" i="32"/>
  <c r="H189" i="32"/>
  <c r="H10" i="32"/>
  <c r="H164" i="32"/>
  <c r="H112" i="32"/>
  <c r="H156" i="32"/>
  <c r="H86" i="32"/>
  <c r="H102" i="32"/>
  <c r="H101" i="32"/>
  <c r="H183" i="32"/>
  <c r="H198" i="32"/>
  <c r="H312" i="32"/>
  <c r="H199" i="32"/>
  <c r="H283" i="32"/>
  <c r="H106" i="32"/>
  <c r="H161" i="32"/>
  <c r="H255" i="32"/>
  <c r="H167" i="32"/>
  <c r="H41" i="32"/>
  <c r="H27" i="32"/>
  <c r="H7" i="32"/>
  <c r="H119" i="32"/>
  <c r="H51" i="32"/>
  <c r="H197" i="32"/>
  <c r="H289" i="32"/>
  <c r="H42" i="32"/>
  <c r="H269" i="32"/>
  <c r="H73" i="32"/>
  <c r="H162" i="32"/>
  <c r="H203" i="32"/>
  <c r="H80" i="32"/>
  <c r="H109" i="32"/>
  <c r="H125" i="32"/>
  <c r="H149" i="32"/>
  <c r="H49" i="32"/>
  <c r="H76" i="32"/>
  <c r="H169" i="32"/>
  <c r="H12" i="32"/>
  <c r="H257" i="32"/>
  <c r="H232" i="32"/>
  <c r="H310" i="32"/>
  <c r="H201" i="32"/>
  <c r="H187" i="32"/>
  <c r="H126" i="32"/>
  <c r="H256" i="32"/>
  <c r="H136" i="32"/>
  <c r="H116" i="32"/>
  <c r="H85" i="32"/>
  <c r="H193" i="32"/>
  <c r="H218" i="32"/>
  <c r="H216" i="32"/>
  <c r="H184" i="32"/>
  <c r="H168" i="32"/>
  <c r="H62" i="32"/>
  <c r="H133" i="32"/>
  <c r="H35" i="32"/>
  <c r="H276" i="32"/>
  <c r="H284" i="32"/>
  <c r="H290" i="32"/>
  <c r="H208" i="32"/>
  <c r="H171" i="32"/>
  <c r="H37" i="32"/>
  <c r="H105" i="32"/>
  <c r="H90" i="32"/>
  <c r="H99" i="32"/>
  <c r="H92" i="32"/>
  <c r="H227" i="32"/>
  <c r="H129" i="32"/>
  <c r="H224" i="32"/>
  <c r="H33" i="32"/>
  <c r="H311" i="32"/>
  <c r="H18" i="32"/>
  <c r="H93" i="32"/>
  <c r="H236" i="32"/>
  <c r="H239" i="32"/>
  <c r="H11" i="32"/>
  <c r="H88" i="32"/>
  <c r="H70" i="32"/>
  <c r="H179" i="32"/>
  <c r="H214" i="32"/>
  <c r="H275" i="32"/>
  <c r="H118" i="32"/>
  <c r="H78" i="32"/>
  <c r="H234" i="32"/>
  <c r="H200" i="32"/>
  <c r="H288" i="32"/>
  <c r="H71" i="32"/>
  <c r="H299" i="32"/>
  <c r="H82" i="32"/>
  <c r="H307" i="32"/>
  <c r="H152" i="32"/>
  <c r="H196" i="32"/>
  <c r="H157" i="32"/>
  <c r="H281" i="32"/>
  <c r="H98" i="32"/>
  <c r="H229" i="32"/>
  <c r="H20" i="32"/>
  <c r="H254" i="32"/>
  <c r="H39" i="32"/>
  <c r="H100" i="32"/>
  <c r="H139" i="32"/>
  <c r="H180" i="32"/>
  <c r="H57" i="32"/>
  <c r="H178" i="32"/>
  <c r="H177" i="32"/>
  <c r="H226" i="32"/>
  <c r="H123" i="32"/>
  <c r="H205" i="32"/>
  <c r="H68" i="32"/>
  <c r="H17" i="32"/>
  <c r="H26" i="32"/>
  <c r="H165" i="32"/>
  <c r="H52" i="32"/>
  <c r="H250" i="32"/>
  <c r="H77" i="32"/>
  <c r="H145" i="32"/>
  <c r="H181" i="32"/>
  <c r="H43" i="32"/>
  <c r="H313" i="32"/>
  <c r="H61" i="32"/>
  <c r="H120" i="32"/>
  <c r="H108" i="32"/>
  <c r="H104" i="32"/>
  <c r="H186" i="32"/>
  <c r="H155" i="32"/>
  <c r="H158" i="32"/>
  <c r="H219" i="32"/>
  <c r="H128" i="32"/>
  <c r="H207" i="32"/>
  <c r="H212" i="32"/>
  <c r="H103" i="32"/>
  <c r="H31" i="32"/>
  <c r="H132" i="32"/>
  <c r="H21" i="32"/>
  <c r="H274" i="32"/>
  <c r="H174" i="32"/>
  <c r="H44" i="32"/>
  <c r="H124" i="32"/>
  <c r="H96" i="32"/>
  <c r="H28" i="32"/>
  <c r="H64" i="32"/>
  <c r="H280" i="32"/>
  <c r="H16" i="32"/>
  <c r="H303" i="32"/>
  <c r="H295" i="32"/>
  <c r="H6" i="32"/>
  <c r="H137" i="32"/>
  <c r="H131" i="32"/>
  <c r="H58" i="32"/>
  <c r="H63" i="32"/>
  <c r="H107" i="32"/>
  <c r="H150" i="32"/>
  <c r="H251" i="32"/>
  <c r="H23" i="32"/>
  <c r="H237" i="32"/>
  <c r="H95" i="32"/>
  <c r="H154" i="32"/>
  <c r="H48" i="32"/>
  <c r="H79" i="32"/>
  <c r="H13" i="32"/>
  <c r="H260" i="32"/>
  <c r="H302" i="32"/>
  <c r="H72" i="32"/>
  <c r="H24" i="32"/>
  <c r="H65" i="32"/>
  <c r="H309" i="32"/>
  <c r="H25" i="32"/>
  <c r="H220" i="32"/>
  <c r="H115" i="32"/>
  <c r="H204" i="32"/>
  <c r="H59" i="32"/>
  <c r="H147" i="32"/>
  <c r="H233" i="32"/>
  <c r="H166" i="32"/>
  <c r="H114" i="32"/>
  <c r="H66" i="32"/>
  <c r="H271" i="32"/>
  <c r="H267" i="32"/>
  <c r="H206" i="32"/>
  <c r="H175" i="32"/>
  <c r="H202" i="32"/>
  <c r="H127" i="32"/>
  <c r="H213" i="32"/>
  <c r="H304" i="32"/>
  <c r="H122" i="32"/>
  <c r="H50" i="32"/>
  <c r="H22" i="32"/>
  <c r="H293" i="32"/>
  <c r="H282" i="32"/>
  <c r="H91" i="32"/>
  <c r="H306" i="32"/>
  <c r="H19" i="32"/>
  <c r="H172" i="32"/>
  <c r="H83" i="32"/>
  <c r="H301" i="32"/>
  <c r="H297" i="32"/>
  <c r="H47" i="32"/>
  <c r="H243" i="32"/>
  <c r="H265" i="32"/>
  <c r="H246" i="32"/>
  <c r="H195" i="32"/>
  <c r="H240" i="32"/>
  <c r="H121" i="32"/>
  <c r="H84" i="32"/>
  <c r="H305" i="32"/>
  <c r="H266" i="32"/>
  <c r="H146" i="32"/>
  <c r="H34" i="32"/>
  <c r="H244" i="32"/>
  <c r="H38" i="32"/>
  <c r="H110" i="32"/>
  <c r="H53" i="32"/>
  <c r="H75" i="32"/>
  <c r="H298" i="32"/>
  <c r="H245" i="32"/>
  <c r="H294" i="32"/>
  <c r="H113" i="32"/>
  <c r="H285" i="32"/>
  <c r="H215" i="32"/>
  <c r="H143" i="32"/>
  <c r="H247" i="32"/>
  <c r="H30" i="32"/>
  <c r="H117" i="32"/>
  <c r="H222" i="32"/>
  <c r="H144" i="32"/>
  <c r="H111" i="32"/>
  <c r="H273" i="32"/>
  <c r="H141" i="32"/>
  <c r="H153" i="32"/>
  <c r="H311" i="36"/>
  <c r="H251" i="36"/>
  <c r="H155" i="36"/>
  <c r="H82" i="36"/>
  <c r="H34" i="36"/>
  <c r="H18" i="36"/>
  <c r="H59" i="36"/>
  <c r="H272" i="36"/>
  <c r="H184" i="36"/>
  <c r="H10" i="36"/>
  <c r="H217" i="36"/>
  <c r="H67" i="36"/>
  <c r="H54" i="36"/>
  <c r="H225" i="36"/>
  <c r="H136" i="36"/>
  <c r="H51" i="36"/>
  <c r="H199" i="36"/>
  <c r="H68" i="36"/>
  <c r="H92" i="36"/>
  <c r="H124" i="36"/>
  <c r="H241" i="36"/>
  <c r="H303" i="36"/>
  <c r="H243" i="36"/>
  <c r="H299" i="36"/>
  <c r="H139" i="36"/>
  <c r="H142" i="36"/>
  <c r="H55" i="36"/>
  <c r="H284" i="36"/>
  <c r="H164" i="36"/>
  <c r="H36" i="36"/>
  <c r="H148" i="36"/>
  <c r="H12" i="36"/>
  <c r="H216" i="36"/>
  <c r="H271" i="36"/>
  <c r="H56" i="36"/>
  <c r="H120" i="36"/>
  <c r="H80" i="36"/>
  <c r="H310" i="36"/>
  <c r="H201" i="36"/>
  <c r="H159" i="36"/>
  <c r="H203" i="36"/>
  <c r="H107" i="36"/>
  <c r="H283" i="36"/>
  <c r="H211" i="36"/>
  <c r="H131" i="36"/>
  <c r="H169" i="36"/>
  <c r="H286" i="36"/>
  <c r="H58" i="36"/>
  <c r="H79" i="36"/>
  <c r="H175" i="36"/>
  <c r="H264" i="36"/>
  <c r="H116" i="36"/>
  <c r="H195" i="36"/>
  <c r="H35" i="36"/>
  <c r="H294" i="36"/>
  <c r="H60" i="36"/>
  <c r="H143" i="36"/>
  <c r="H134" i="36"/>
  <c r="H84" i="36"/>
  <c r="H149" i="36"/>
  <c r="H138" i="36"/>
  <c r="H236" i="36"/>
  <c r="H276" i="36"/>
  <c r="H122" i="36"/>
  <c r="H295" i="36"/>
  <c r="H263" i="36"/>
  <c r="H227" i="36"/>
  <c r="H19" i="36"/>
  <c r="H132" i="36"/>
  <c r="H290" i="36"/>
  <c r="H269" i="36"/>
  <c r="H23" i="36"/>
  <c r="H306" i="36"/>
  <c r="H185" i="36"/>
  <c r="H161" i="36"/>
  <c r="H282" i="36"/>
  <c r="H247" i="36"/>
  <c r="H168" i="36"/>
  <c r="H213" i="36"/>
  <c r="H144" i="36"/>
  <c r="H197" i="36"/>
  <c r="H265" i="36"/>
  <c r="H11" i="36"/>
  <c r="H298" i="36"/>
  <c r="H291" i="36"/>
  <c r="H207" i="36"/>
  <c r="H302" i="36"/>
  <c r="H315" i="36"/>
  <c r="H261" i="36"/>
  <c r="H268" i="36"/>
  <c r="H102" i="36"/>
  <c r="H86" i="36"/>
  <c r="H108" i="36"/>
  <c r="H83" i="36"/>
  <c r="H208" i="36"/>
  <c r="H76" i="36"/>
  <c r="H244" i="36"/>
  <c r="H240" i="36"/>
  <c r="H257" i="36"/>
  <c r="H135" i="36"/>
  <c r="H177" i="36"/>
  <c r="H314" i="36"/>
  <c r="H256" i="36"/>
  <c r="H52" i="36"/>
  <c r="H165" i="36"/>
  <c r="H223" i="36"/>
  <c r="H95" i="36"/>
  <c r="H20" i="36"/>
  <c r="H75" i="36"/>
  <c r="H237" i="36"/>
  <c r="H140" i="36"/>
  <c r="H233" i="36"/>
  <c r="H196" i="36"/>
  <c r="H239" i="36"/>
  <c r="H209" i="36"/>
  <c r="H172" i="36"/>
  <c r="H278" i="36"/>
  <c r="H187" i="36"/>
  <c r="H220" i="36"/>
  <c r="H128" i="36"/>
  <c r="H114" i="36"/>
  <c r="H90" i="36"/>
  <c r="H110" i="36"/>
  <c r="H16" i="36"/>
  <c r="H151" i="36"/>
  <c r="H72" i="36"/>
  <c r="H189" i="36"/>
  <c r="H31" i="36"/>
  <c r="H115" i="36"/>
  <c r="H15" i="36"/>
  <c r="H130" i="36"/>
  <c r="H254" i="36"/>
  <c r="H301" i="36"/>
  <c r="H285" i="36"/>
  <c r="H255" i="36"/>
  <c r="H215" i="36"/>
  <c r="H167" i="36"/>
  <c r="H194" i="36"/>
  <c r="H313" i="36"/>
  <c r="H305" i="36"/>
  <c r="H297" i="36"/>
  <c r="H289" i="36"/>
  <c r="H281" i="36"/>
  <c r="H266" i="36"/>
  <c r="H170" i="36"/>
  <c r="H156" i="36"/>
  <c r="H259" i="36"/>
  <c r="H246" i="36"/>
  <c r="H238" i="36"/>
  <c r="H158" i="36"/>
  <c r="H230" i="36"/>
  <c r="H166" i="36"/>
  <c r="H146" i="36"/>
  <c r="H69" i="36"/>
  <c r="H91" i="36"/>
  <c r="H78" i="36"/>
  <c r="H117" i="36"/>
  <c r="H89" i="36"/>
  <c r="H106" i="36"/>
  <c r="H98" i="36"/>
  <c r="H118" i="36"/>
  <c r="H111" i="36"/>
  <c r="H100" i="36"/>
  <c r="H24" i="36"/>
  <c r="H188" i="36"/>
  <c r="H179" i="36"/>
  <c r="H292" i="36"/>
  <c r="H180" i="36"/>
  <c r="H229" i="36"/>
  <c r="H193" i="36"/>
  <c r="H27" i="36"/>
  <c r="H157" i="36"/>
  <c r="H103" i="36"/>
  <c r="H88" i="36"/>
  <c r="H312" i="36"/>
  <c r="H296" i="36"/>
  <c r="H280" i="36"/>
  <c r="H273" i="36"/>
  <c r="H250" i="36"/>
  <c r="H231" i="36"/>
  <c r="H226" i="36"/>
  <c r="H200" i="36"/>
  <c r="H316" i="36"/>
  <c r="H300" i="36"/>
  <c r="H212" i="36"/>
  <c r="H232" i="36"/>
  <c r="H235" i="36"/>
  <c r="H307" i="36"/>
  <c r="H205" i="36"/>
  <c r="H260" i="36"/>
  <c r="H253" i="36"/>
  <c r="H221" i="36"/>
  <c r="H181" i="36"/>
  <c r="H40" i="36"/>
  <c r="H112" i="36"/>
  <c r="H123" i="36"/>
  <c r="H96" i="36"/>
  <c r="H64" i="36"/>
  <c r="H32" i="36"/>
  <c r="H277" i="36"/>
  <c r="H270" i="36"/>
  <c r="H190" i="36"/>
  <c r="H171" i="36"/>
  <c r="H163" i="36"/>
  <c r="H293" i="36"/>
  <c r="H204" i="36"/>
  <c r="H210" i="36"/>
  <c r="H222" i="36"/>
  <c r="H287" i="36"/>
  <c r="H74" i="36"/>
  <c r="H44" i="36"/>
  <c r="H147" i="36"/>
  <c r="H22" i="36"/>
  <c r="H304" i="36"/>
  <c r="H176" i="36"/>
  <c r="H275" i="36"/>
  <c r="H150" i="36"/>
  <c r="H234" i="36"/>
  <c r="H182" i="36"/>
  <c r="H152" i="36"/>
  <c r="H105" i="36"/>
  <c r="H94" i="36"/>
  <c r="H97" i="36"/>
  <c r="H73" i="36"/>
  <c r="H109" i="36"/>
  <c r="H99" i="36"/>
  <c r="H137" i="36"/>
  <c r="H25" i="36"/>
  <c r="H37" i="36"/>
  <c r="H71" i="36"/>
  <c r="H43" i="36"/>
  <c r="H81" i="36"/>
  <c r="H70" i="36"/>
  <c r="H53" i="36"/>
  <c r="H26" i="36"/>
  <c r="H17" i="36"/>
  <c r="H57" i="36"/>
  <c r="H14" i="36"/>
  <c r="H153" i="36"/>
  <c r="H46" i="36"/>
  <c r="H178" i="36"/>
  <c r="H192" i="36"/>
  <c r="H308" i="36"/>
  <c r="H219" i="36"/>
  <c r="H141" i="36"/>
  <c r="H267" i="36"/>
  <c r="H191" i="36"/>
  <c r="H242" i="36"/>
  <c r="H228" i="36"/>
  <c r="H258" i="36"/>
  <c r="H174" i="36"/>
  <c r="H154" i="36"/>
  <c r="H186" i="36"/>
  <c r="H202" i="36"/>
  <c r="H162" i="36"/>
  <c r="H121" i="36"/>
  <c r="H125" i="36"/>
  <c r="H85" i="36"/>
  <c r="H129" i="36"/>
  <c r="H65" i="36"/>
  <c r="H33" i="36"/>
  <c r="H50" i="36"/>
  <c r="H42" i="36"/>
  <c r="H38" i="36"/>
  <c r="H48" i="36"/>
  <c r="H279" i="36"/>
  <c r="H249" i="36"/>
  <c r="H173" i="36"/>
  <c r="H183" i="36"/>
  <c r="H214" i="36"/>
  <c r="H127" i="36"/>
  <c r="H61" i="36"/>
  <c r="H66" i="36"/>
  <c r="H63" i="36"/>
  <c r="H30" i="36"/>
  <c r="H13" i="36"/>
  <c r="H160" i="36"/>
  <c r="H104" i="36"/>
  <c r="H87" i="36"/>
  <c r="H309" i="36"/>
  <c r="H252" i="36"/>
  <c r="H274" i="36"/>
  <c r="H218" i="36"/>
  <c r="H198" i="36"/>
  <c r="H145" i="36"/>
  <c r="H206" i="36"/>
  <c r="H133" i="36"/>
  <c r="H62" i="36"/>
  <c r="H93" i="36"/>
  <c r="H119" i="36"/>
  <c r="H101" i="36"/>
  <c r="H77" i="36"/>
  <c r="H29" i="36"/>
  <c r="H41" i="36"/>
  <c r="H47" i="36"/>
  <c r="H21" i="36"/>
  <c r="H245" i="36"/>
  <c r="H28" i="36"/>
  <c r="H288" i="36"/>
  <c r="H248" i="36"/>
  <c r="H224" i="36"/>
  <c r="H262" i="36"/>
  <c r="H113" i="36"/>
  <c r="H126" i="36"/>
  <c r="H49" i="36"/>
  <c r="H45" i="36"/>
  <c r="H39" i="36"/>
  <c r="H9" i="36"/>
  <c r="I225" i="36"/>
  <c r="I162" i="36"/>
  <c r="I71" i="36"/>
  <c r="I242" i="36"/>
  <c r="I154" i="36"/>
  <c r="I310" i="36"/>
  <c r="I212" i="36"/>
  <c r="I233" i="36"/>
  <c r="I140" i="36"/>
  <c r="I56" i="36"/>
  <c r="I311" i="36"/>
  <c r="I43" i="36"/>
  <c r="I85" i="36"/>
  <c r="I53" i="36"/>
  <c r="I83" i="36"/>
  <c r="I180" i="36"/>
  <c r="I148" i="36"/>
  <c r="I241" i="36"/>
  <c r="I135" i="36"/>
  <c r="I303" i="36"/>
  <c r="I84" i="36"/>
  <c r="I15" i="36"/>
  <c r="I234" i="36"/>
  <c r="I24" i="36"/>
  <c r="I289" i="36"/>
  <c r="I88" i="36"/>
  <c r="I19" i="36"/>
  <c r="I121" i="36"/>
  <c r="I177" i="36"/>
  <c r="I266" i="36"/>
  <c r="I256" i="36"/>
  <c r="I20" i="36"/>
  <c r="I63" i="36"/>
  <c r="I174" i="36"/>
  <c r="I267" i="36"/>
  <c r="I281" i="36"/>
  <c r="I185" i="36"/>
  <c r="I9" i="36"/>
  <c r="I222" i="36"/>
  <c r="I206" i="36"/>
  <c r="I103" i="36"/>
  <c r="I100" i="36"/>
  <c r="I101" i="36"/>
  <c r="I23" i="36"/>
  <c r="I288" i="36"/>
  <c r="I67" i="36"/>
  <c r="I201" i="36"/>
  <c r="I124" i="36"/>
  <c r="I93" i="36"/>
  <c r="I153" i="36"/>
  <c r="I205" i="36"/>
  <c r="I152" i="36"/>
  <c r="I136" i="36"/>
  <c r="I61" i="36"/>
  <c r="I258" i="36"/>
  <c r="I197" i="36"/>
  <c r="I161" i="36"/>
  <c r="I193" i="36"/>
  <c r="I196" i="36"/>
  <c r="I283" i="36"/>
  <c r="I287" i="36"/>
  <c r="I166" i="36"/>
  <c r="I314" i="36"/>
  <c r="I104" i="36"/>
  <c r="I297" i="36"/>
  <c r="I291" i="36"/>
  <c r="I229" i="36"/>
  <c r="I202" i="36"/>
  <c r="I304" i="36"/>
  <c r="I172" i="36"/>
  <c r="I271" i="36"/>
  <c r="I250" i="36"/>
  <c r="I306" i="36"/>
  <c r="I72" i="36"/>
  <c r="I31" i="36"/>
  <c r="I47" i="36"/>
  <c r="I279" i="36"/>
  <c r="I249" i="36"/>
  <c r="I230" i="36"/>
  <c r="I265" i="36"/>
  <c r="I217" i="36"/>
  <c r="I221" i="36"/>
  <c r="I302" i="36"/>
  <c r="I254" i="36"/>
  <c r="I108" i="36"/>
  <c r="I189" i="36"/>
  <c r="I129" i="36"/>
  <c r="I112" i="36"/>
  <c r="I36" i="36"/>
  <c r="I286" i="36"/>
  <c r="I60" i="36"/>
  <c r="I290" i="36"/>
  <c r="I27" i="36"/>
  <c r="I299" i="36"/>
  <c r="I315" i="36"/>
  <c r="I149" i="36"/>
  <c r="I213" i="36"/>
  <c r="I120" i="36"/>
  <c r="I313" i="36"/>
  <c r="I160" i="36"/>
  <c r="I68" i="36"/>
  <c r="I132" i="36"/>
  <c r="I73" i="36"/>
  <c r="I75" i="36"/>
  <c r="I273" i="36"/>
  <c r="I173" i="36"/>
  <c r="I52" i="36"/>
  <c r="I35" i="36"/>
  <c r="I278" i="36"/>
  <c r="I96" i="36"/>
  <c r="I257" i="36"/>
  <c r="I246" i="36"/>
  <c r="I296" i="36"/>
  <c r="I186" i="36"/>
  <c r="I55" i="36"/>
  <c r="I109" i="36"/>
  <c r="I64" i="36"/>
  <c r="I301" i="36"/>
  <c r="I285" i="36"/>
  <c r="I247" i="36"/>
  <c r="I231" i="36"/>
  <c r="I300" i="36"/>
  <c r="I264" i="36"/>
  <c r="I236" i="36"/>
  <c r="I156" i="36"/>
  <c r="I277" i="36"/>
  <c r="I270" i="36"/>
  <c r="I219" i="36"/>
  <c r="I232" i="36"/>
  <c r="I176" i="36"/>
  <c r="I251" i="36"/>
  <c r="I138" i="36"/>
  <c r="I269" i="36"/>
  <c r="I216" i="36"/>
  <c r="I199" i="36"/>
  <c r="I168" i="36"/>
  <c r="I134" i="36"/>
  <c r="I145" i="36"/>
  <c r="I106" i="36"/>
  <c r="I98" i="36"/>
  <c r="I86" i="36"/>
  <c r="I110" i="36"/>
  <c r="I99" i="36"/>
  <c r="I90" i="36"/>
  <c r="I94" i="36"/>
  <c r="I133" i="36"/>
  <c r="I105" i="36"/>
  <c r="I125" i="36"/>
  <c r="I69" i="36"/>
  <c r="I220" i="36"/>
  <c r="I11" i="36"/>
  <c r="I107" i="36"/>
  <c r="I139" i="36"/>
  <c r="I237" i="36"/>
  <c r="I305" i="36"/>
  <c r="I65" i="36"/>
  <c r="I280" i="36"/>
  <c r="I261" i="36"/>
  <c r="I194" i="36"/>
  <c r="I294" i="36"/>
  <c r="I228" i="36"/>
  <c r="I144" i="36"/>
  <c r="I81" i="36"/>
  <c r="I123" i="36"/>
  <c r="I92" i="36"/>
  <c r="I32" i="36"/>
  <c r="I16" i="36"/>
  <c r="I80" i="36"/>
  <c r="I171" i="36"/>
  <c r="I214" i="36"/>
  <c r="I191" i="36"/>
  <c r="I164" i="36"/>
  <c r="I292" i="36"/>
  <c r="I260" i="36"/>
  <c r="I211" i="36"/>
  <c r="I207" i="36"/>
  <c r="I192" i="36"/>
  <c r="I183" i="36"/>
  <c r="I215" i="36"/>
  <c r="I204" i="36"/>
  <c r="I141" i="36"/>
  <c r="I210" i="36"/>
  <c r="I158" i="36"/>
  <c r="I276" i="36"/>
  <c r="I12" i="36"/>
  <c r="I272" i="36"/>
  <c r="I119" i="36"/>
  <c r="I218" i="36"/>
  <c r="I170" i="36"/>
  <c r="I253" i="36"/>
  <c r="I165" i="36"/>
  <c r="I282" i="36"/>
  <c r="I190" i="36"/>
  <c r="I312" i="36"/>
  <c r="I274" i="36"/>
  <c r="I89" i="36"/>
  <c r="I45" i="36"/>
  <c r="I146" i="36"/>
  <c r="I115" i="36"/>
  <c r="I76" i="36"/>
  <c r="I28" i="36"/>
  <c r="I309" i="36"/>
  <c r="I293" i="36"/>
  <c r="I240" i="36"/>
  <c r="I255" i="36"/>
  <c r="I316" i="36"/>
  <c r="I284" i="36"/>
  <c r="I307" i="36"/>
  <c r="I181" i="36"/>
  <c r="I137" i="36"/>
  <c r="I48" i="36"/>
  <c r="I117" i="36"/>
  <c r="I275" i="36"/>
  <c r="I198" i="36"/>
  <c r="I262" i="36"/>
  <c r="I238" i="36"/>
  <c r="I127" i="36"/>
  <c r="I159" i="36"/>
  <c r="I126" i="36"/>
  <c r="I59" i="36"/>
  <c r="I78" i="36"/>
  <c r="I62" i="36"/>
  <c r="I111" i="36"/>
  <c r="I97" i="36"/>
  <c r="I70" i="36"/>
  <c r="I42" i="36"/>
  <c r="I26" i="36"/>
  <c r="I39" i="36"/>
  <c r="I22" i="36"/>
  <c r="I13" i="36"/>
  <c r="I10" i="36"/>
  <c r="I248" i="36"/>
  <c r="I169" i="36"/>
  <c r="I295" i="36"/>
  <c r="I128" i="36"/>
  <c r="I116" i="36"/>
  <c r="I163" i="36"/>
  <c r="I308" i="36"/>
  <c r="I203" i="36"/>
  <c r="I223" i="36"/>
  <c r="I130" i="36"/>
  <c r="I25" i="36"/>
  <c r="I57" i="36"/>
  <c r="I77" i="36"/>
  <c r="I17" i="36"/>
  <c r="I50" i="36"/>
  <c r="I37" i="36"/>
  <c r="I40" i="36"/>
  <c r="I167" i="36"/>
  <c r="I187" i="36"/>
  <c r="I244" i="36"/>
  <c r="I175" i="36"/>
  <c r="I58" i="36"/>
  <c r="I118" i="36"/>
  <c r="I113" i="36"/>
  <c r="I29" i="36"/>
  <c r="I46" i="36"/>
  <c r="I41" i="36"/>
  <c r="I14" i="36"/>
  <c r="I245" i="36"/>
  <c r="I298" i="36"/>
  <c r="I182" i="36"/>
  <c r="I209" i="36"/>
  <c r="I157" i="36"/>
  <c r="I143" i="36"/>
  <c r="I44" i="36"/>
  <c r="I268" i="36"/>
  <c r="I224" i="36"/>
  <c r="I200" i="36"/>
  <c r="I226" i="36"/>
  <c r="I178" i="36"/>
  <c r="I184" i="36"/>
  <c r="I259" i="36"/>
  <c r="I239" i="36"/>
  <c r="I235" i="36"/>
  <c r="I195" i="36"/>
  <c r="I151" i="36"/>
  <c r="I227" i="36"/>
  <c r="I188" i="36"/>
  <c r="I147" i="36"/>
  <c r="I150" i="36"/>
  <c r="I142" i="36"/>
  <c r="I114" i="36"/>
  <c r="I95" i="36"/>
  <c r="I66" i="36"/>
  <c r="I82" i="36"/>
  <c r="I91" i="36"/>
  <c r="I30" i="36"/>
  <c r="I38" i="36"/>
  <c r="I33" i="36"/>
  <c r="I34" i="36"/>
  <c r="I74" i="36"/>
  <c r="I49" i="36"/>
  <c r="I18" i="36"/>
  <c r="I51" i="36"/>
  <c r="I208" i="36"/>
  <c r="I79" i="36"/>
  <c r="I252" i="36"/>
  <c r="I243" i="36"/>
  <c r="I263" i="36"/>
  <c r="I179" i="36"/>
  <c r="I155" i="36"/>
  <c r="I131" i="36"/>
  <c r="I87" i="36"/>
  <c r="I102" i="36"/>
  <c r="I122" i="36"/>
  <c r="I54" i="36"/>
  <c r="I21" i="36"/>
  <c r="F223" i="36"/>
  <c r="F307" i="36"/>
  <c r="F227" i="36"/>
  <c r="F305" i="36"/>
  <c r="F289" i="36"/>
  <c r="F177" i="36"/>
  <c r="F161" i="36"/>
  <c r="F89" i="36"/>
  <c r="F246" i="36"/>
  <c r="F198" i="36"/>
  <c r="F98" i="36"/>
  <c r="F50" i="36"/>
  <c r="F68" i="36"/>
  <c r="F24" i="36"/>
  <c r="F92" i="36"/>
  <c r="F257" i="36"/>
  <c r="F203" i="36"/>
  <c r="F287" i="36"/>
  <c r="F104" i="36"/>
  <c r="F272" i="36"/>
  <c r="F132" i="36"/>
  <c r="F74" i="36"/>
  <c r="F311" i="36"/>
  <c r="F271" i="36"/>
  <c r="F215" i="36"/>
  <c r="F151" i="36"/>
  <c r="F219" i="36"/>
  <c r="F253" i="36"/>
  <c r="F221" i="36"/>
  <c r="F137" i="36"/>
  <c r="F121" i="36"/>
  <c r="F258" i="36"/>
  <c r="F210" i="36"/>
  <c r="F126" i="36"/>
  <c r="F94" i="36"/>
  <c r="F46" i="36"/>
  <c r="F19" i="36"/>
  <c r="F52" i="36"/>
  <c r="F209" i="36"/>
  <c r="F157" i="36"/>
  <c r="F199" i="36"/>
  <c r="F54" i="36"/>
  <c r="F273" i="36"/>
  <c r="F239" i="36"/>
  <c r="F313" i="36"/>
  <c r="F133" i="36"/>
  <c r="F238" i="36"/>
  <c r="F174" i="36"/>
  <c r="F138" i="36"/>
  <c r="F42" i="36"/>
  <c r="F10" i="36"/>
  <c r="F11" i="36"/>
  <c r="F150" i="36"/>
  <c r="F153" i="36"/>
  <c r="F100" i="36"/>
  <c r="F114" i="36"/>
  <c r="F173" i="36"/>
  <c r="F189" i="36"/>
  <c r="F144" i="36"/>
  <c r="F36" i="36"/>
  <c r="F255" i="36"/>
  <c r="F165" i="36"/>
  <c r="F25" i="36"/>
  <c r="F202" i="36"/>
  <c r="F70" i="36"/>
  <c r="F97" i="36"/>
  <c r="F225" i="36"/>
  <c r="F222" i="36"/>
  <c r="F197" i="36"/>
  <c r="F145" i="36"/>
  <c r="F88" i="36"/>
  <c r="F175" i="36"/>
  <c r="F112" i="36"/>
  <c r="F56" i="36"/>
  <c r="F310" i="36"/>
  <c r="F217" i="36"/>
  <c r="F274" i="36"/>
  <c r="F259" i="36"/>
  <c r="F181" i="36"/>
  <c r="F282" i="36"/>
  <c r="F250" i="36"/>
  <c r="F159" i="36"/>
  <c r="F288" i="36"/>
  <c r="F53" i="36"/>
  <c r="F84" i="36"/>
  <c r="F76" i="36"/>
  <c r="F185" i="36"/>
  <c r="F136" i="36"/>
  <c r="F233" i="36"/>
  <c r="F77" i="36"/>
  <c r="F32" i="36"/>
  <c r="F263" i="36"/>
  <c r="F20" i="36"/>
  <c r="F300" i="36"/>
  <c r="F237" i="36"/>
  <c r="F249" i="36"/>
  <c r="F140" i="36"/>
  <c r="F195" i="36"/>
  <c r="F234" i="36"/>
  <c r="F35" i="36"/>
  <c r="F276" i="36"/>
  <c r="F116" i="36"/>
  <c r="F193" i="36"/>
  <c r="F314" i="36"/>
  <c r="F186" i="36"/>
  <c r="F12" i="36"/>
  <c r="F78" i="36"/>
  <c r="F72" i="36"/>
  <c r="F306" i="36"/>
  <c r="F279" i="36"/>
  <c r="F124" i="36"/>
  <c r="F316" i="36"/>
  <c r="F280" i="36"/>
  <c r="F166" i="36"/>
  <c r="F37" i="36"/>
  <c r="F241" i="36"/>
  <c r="F302" i="36"/>
  <c r="F179" i="36"/>
  <c r="F267" i="36"/>
  <c r="F294" i="36"/>
  <c r="F261" i="36"/>
  <c r="F268" i="36"/>
  <c r="F245" i="36"/>
  <c r="F81" i="36"/>
  <c r="F13" i="36"/>
  <c r="F45" i="36"/>
  <c r="F27" i="36"/>
  <c r="F142" i="36"/>
  <c r="F85" i="36"/>
  <c r="F146" i="36"/>
  <c r="F148" i="36"/>
  <c r="F117" i="36"/>
  <c r="F110" i="36"/>
  <c r="F80" i="36"/>
  <c r="F40" i="36"/>
  <c r="F16" i="36"/>
  <c r="F125" i="36"/>
  <c r="F240" i="36"/>
  <c r="F293" i="36"/>
  <c r="F192" i="36"/>
  <c r="F167" i="36"/>
  <c r="F308" i="36"/>
  <c r="F242" i="36"/>
  <c r="F235" i="36"/>
  <c r="F158" i="36"/>
  <c r="F188" i="36"/>
  <c r="F147" i="36"/>
  <c r="F135" i="36"/>
  <c r="F58" i="36"/>
  <c r="F66" i="36"/>
  <c r="F109" i="36"/>
  <c r="F65" i="36"/>
  <c r="F38" i="36"/>
  <c r="F312" i="36"/>
  <c r="F163" i="36"/>
  <c r="F251" i="36"/>
  <c r="F21" i="36"/>
  <c r="F265" i="36"/>
  <c r="F226" i="36"/>
  <c r="F183" i="36"/>
  <c r="F295" i="36"/>
  <c r="F229" i="36"/>
  <c r="F230" i="36"/>
  <c r="F292" i="36"/>
  <c r="F243" i="36"/>
  <c r="F205" i="36"/>
  <c r="F182" i="36"/>
  <c r="F296" i="36"/>
  <c r="F206" i="36"/>
  <c r="F82" i="36"/>
  <c r="F49" i="36"/>
  <c r="F122" i="36"/>
  <c r="F247" i="36"/>
  <c r="F171" i="36"/>
  <c r="F299" i="36"/>
  <c r="F283" i="36"/>
  <c r="F252" i="36"/>
  <c r="F248" i="36"/>
  <c r="F232" i="36"/>
  <c r="F176" i="36"/>
  <c r="F228" i="36"/>
  <c r="F164" i="36"/>
  <c r="F285" i="36"/>
  <c r="F194" i="36"/>
  <c r="F214" i="36"/>
  <c r="F141" i="36"/>
  <c r="F266" i="36"/>
  <c r="F170" i="36"/>
  <c r="F156" i="36"/>
  <c r="F264" i="36"/>
  <c r="F187" i="36"/>
  <c r="F216" i="36"/>
  <c r="F213" i="36"/>
  <c r="F60" i="36"/>
  <c r="F304" i="36"/>
  <c r="F297" i="36"/>
  <c r="F278" i="36"/>
  <c r="F262" i="36"/>
  <c r="F169" i="36"/>
  <c r="F303" i="36"/>
  <c r="F190" i="36"/>
  <c r="F286" i="36"/>
  <c r="F162" i="36"/>
  <c r="F120" i="36"/>
  <c r="F28" i="36"/>
  <c r="F105" i="36"/>
  <c r="F48" i="36"/>
  <c r="F96" i="36"/>
  <c r="F128" i="36"/>
  <c r="F129" i="36"/>
  <c r="F108" i="36"/>
  <c r="F101" i="36"/>
  <c r="F64" i="36"/>
  <c r="F33" i="36"/>
  <c r="F57" i="36"/>
  <c r="F254" i="36"/>
  <c r="F191" i="36"/>
  <c r="F277" i="36"/>
  <c r="F178" i="36"/>
  <c r="F309" i="36"/>
  <c r="F275" i="36"/>
  <c r="F298" i="36"/>
  <c r="F201" i="36"/>
  <c r="F269" i="36"/>
  <c r="F290" i="36"/>
  <c r="F44" i="36"/>
  <c r="F207" i="36"/>
  <c r="F212" i="36"/>
  <c r="F231" i="36"/>
  <c r="F152" i="36"/>
  <c r="F220" i="36"/>
  <c r="F107" i="36"/>
  <c r="F69" i="36"/>
  <c r="F86" i="36"/>
  <c r="F93" i="36"/>
  <c r="F83" i="36"/>
  <c r="F91" i="36"/>
  <c r="F123" i="36"/>
  <c r="F113" i="36"/>
  <c r="F55" i="36"/>
  <c r="F47" i="36"/>
  <c r="F51" i="36"/>
  <c r="F43" i="36"/>
  <c r="F23" i="36"/>
  <c r="F154" i="36"/>
  <c r="F281" i="36"/>
  <c r="F315" i="36"/>
  <c r="F118" i="36"/>
  <c r="F211" i="36"/>
  <c r="F270" i="36"/>
  <c r="F200" i="36"/>
  <c r="F184" i="36"/>
  <c r="F260" i="36"/>
  <c r="F236" i="36"/>
  <c r="F127" i="36"/>
  <c r="F256" i="36"/>
  <c r="F172" i="36"/>
  <c r="F134" i="36"/>
  <c r="F99" i="36"/>
  <c r="F59" i="36"/>
  <c r="F111" i="36"/>
  <c r="F61" i="36"/>
  <c r="F103" i="36"/>
  <c r="F79" i="36"/>
  <c r="F95" i="36"/>
  <c r="F62" i="36"/>
  <c r="F106" i="36"/>
  <c r="F30" i="36"/>
  <c r="F34" i="36"/>
  <c r="F67" i="36"/>
  <c r="F18" i="36"/>
  <c r="F17" i="36"/>
  <c r="F291" i="36"/>
  <c r="F218" i="36"/>
  <c r="F168" i="36"/>
  <c r="F131" i="36"/>
  <c r="F143" i="36"/>
  <c r="F14" i="36"/>
  <c r="F29" i="36"/>
  <c r="F155" i="36"/>
  <c r="F301" i="36"/>
  <c r="F208" i="36"/>
  <c r="F224" i="36"/>
  <c r="F204" i="36"/>
  <c r="F244" i="36"/>
  <c r="F180" i="36"/>
  <c r="F160" i="36"/>
  <c r="F196" i="36"/>
  <c r="F119" i="36"/>
  <c r="F102" i="36"/>
  <c r="F139" i="36"/>
  <c r="F90" i="36"/>
  <c r="F87" i="36"/>
  <c r="F73" i="36"/>
  <c r="F115" i="36"/>
  <c r="F63" i="36"/>
  <c r="F75" i="36"/>
  <c r="F71" i="36"/>
  <c r="F41" i="36"/>
  <c r="F31" i="36"/>
  <c r="F15" i="36"/>
  <c r="F9" i="36"/>
  <c r="F284" i="36"/>
  <c r="F149" i="36"/>
  <c r="F130" i="36"/>
  <c r="F26" i="36"/>
  <c r="F39" i="36"/>
  <c r="F22" i="36"/>
  <c r="G209" i="36"/>
  <c r="G193" i="36"/>
  <c r="G145" i="36"/>
  <c r="G125" i="36"/>
  <c r="G73" i="36"/>
  <c r="G57" i="36"/>
  <c r="G21" i="36"/>
  <c r="G262" i="36"/>
  <c r="G230" i="36"/>
  <c r="G182" i="36"/>
  <c r="G66" i="36"/>
  <c r="G23" i="36"/>
  <c r="G236" i="36"/>
  <c r="G136" i="36"/>
  <c r="G24" i="36"/>
  <c r="G25" i="36"/>
  <c r="G76" i="36"/>
  <c r="G60" i="36"/>
  <c r="G19" i="36"/>
  <c r="G68" i="36"/>
  <c r="G159" i="36"/>
  <c r="G249" i="36"/>
  <c r="G174" i="36"/>
  <c r="G111" i="36"/>
  <c r="G259" i="36"/>
  <c r="G179" i="36"/>
  <c r="G189" i="36"/>
  <c r="G157" i="36"/>
  <c r="G101" i="36"/>
  <c r="G69" i="36"/>
  <c r="G37" i="36"/>
  <c r="G274" i="36"/>
  <c r="G242" i="36"/>
  <c r="G226" i="36"/>
  <c r="G194" i="36"/>
  <c r="G178" i="36"/>
  <c r="G158" i="36"/>
  <c r="G62" i="36"/>
  <c r="G87" i="36"/>
  <c r="G100" i="36"/>
  <c r="G84" i="36"/>
  <c r="G217" i="36"/>
  <c r="G77" i="36"/>
  <c r="G258" i="36"/>
  <c r="G59" i="36"/>
  <c r="G222" i="36"/>
  <c r="G67" i="36"/>
  <c r="G165" i="36"/>
  <c r="G311" i="36"/>
  <c r="G20" i="36"/>
  <c r="G263" i="36"/>
  <c r="G195" i="36"/>
  <c r="G135" i="36"/>
  <c r="G198" i="36"/>
  <c r="G140" i="36"/>
  <c r="G53" i="36"/>
  <c r="G162" i="36"/>
  <c r="G36" i="36"/>
  <c r="G147" i="36"/>
  <c r="G171" i="36"/>
  <c r="G97" i="36"/>
  <c r="G81" i="36"/>
  <c r="G49" i="36"/>
  <c r="G29" i="36"/>
  <c r="G302" i="36"/>
  <c r="G254" i="36"/>
  <c r="G122" i="36"/>
  <c r="G74" i="36"/>
  <c r="G235" i="36"/>
  <c r="G218" i="36"/>
  <c r="G86" i="36"/>
  <c r="G228" i="36"/>
  <c r="G196" i="36"/>
  <c r="G227" i="36"/>
  <c r="G244" i="36"/>
  <c r="G310" i="36"/>
  <c r="G278" i="36"/>
  <c r="G14" i="36"/>
  <c r="G297" i="36"/>
  <c r="G27" i="36"/>
  <c r="G117" i="36"/>
  <c r="G225" i="36"/>
  <c r="G266" i="36"/>
  <c r="G75" i="36"/>
  <c r="G42" i="36"/>
  <c r="G289" i="36"/>
  <c r="G256" i="36"/>
  <c r="G44" i="36"/>
  <c r="G35" i="36"/>
  <c r="G313" i="36"/>
  <c r="G279" i="36"/>
  <c r="G169" i="36"/>
  <c r="G245" i="36"/>
  <c r="G298" i="36"/>
  <c r="G213" i="36"/>
  <c r="G208" i="36"/>
  <c r="G286" i="36"/>
  <c r="G118" i="36"/>
  <c r="G280" i="36"/>
  <c r="G201" i="36"/>
  <c r="G197" i="36"/>
  <c r="G303" i="36"/>
  <c r="G154" i="36"/>
  <c r="G121" i="36"/>
  <c r="G304" i="36"/>
  <c r="G265" i="36"/>
  <c r="G216" i="36"/>
  <c r="G132" i="36"/>
  <c r="G314" i="36"/>
  <c r="G281" i="36"/>
  <c r="G221" i="36"/>
  <c r="G267" i="36"/>
  <c r="G250" i="36"/>
  <c r="G243" i="36"/>
  <c r="G295" i="36"/>
  <c r="G168" i="36"/>
  <c r="G253" i="36"/>
  <c r="G220" i="36"/>
  <c r="G199" i="36"/>
  <c r="G150" i="36"/>
  <c r="G16" i="36"/>
  <c r="G107" i="36"/>
  <c r="G92" i="36"/>
  <c r="G123" i="36"/>
  <c r="G130" i="36"/>
  <c r="G138" i="36"/>
  <c r="G63" i="36"/>
  <c r="G54" i="36"/>
  <c r="G153" i="36"/>
  <c r="G273" i="36"/>
  <c r="G139" i="36"/>
  <c r="G287" i="36"/>
  <c r="G137" i="36"/>
  <c r="G172" i="36"/>
  <c r="G288" i="36"/>
  <c r="G268" i="36"/>
  <c r="G45" i="36"/>
  <c r="G306" i="36"/>
  <c r="G185" i="36"/>
  <c r="G167" i="36"/>
  <c r="G261" i="36"/>
  <c r="G188" i="36"/>
  <c r="G269" i="36"/>
  <c r="G229" i="36"/>
  <c r="G202" i="36"/>
  <c r="G312" i="36"/>
  <c r="G296" i="36"/>
  <c r="G247" i="36"/>
  <c r="G205" i="36"/>
  <c r="G238" i="36"/>
  <c r="G144" i="36"/>
  <c r="G43" i="36"/>
  <c r="G64" i="36"/>
  <c r="G40" i="36"/>
  <c r="G108" i="36"/>
  <c r="G93" i="36"/>
  <c r="G114" i="36"/>
  <c r="G70" i="36"/>
  <c r="G112" i="36"/>
  <c r="G32" i="36"/>
  <c r="G22" i="36"/>
  <c r="G88" i="36"/>
  <c r="G71" i="36"/>
  <c r="G56" i="36"/>
  <c r="G307" i="36"/>
  <c r="G291" i="36"/>
  <c r="G190" i="36"/>
  <c r="G270" i="36"/>
  <c r="G293" i="36"/>
  <c r="G212" i="36"/>
  <c r="G204" i="36"/>
  <c r="G164" i="36"/>
  <c r="G282" i="36"/>
  <c r="G200" i="36"/>
  <c r="G252" i="36"/>
  <c r="G152" i="36"/>
  <c r="G127" i="36"/>
  <c r="G180" i="36"/>
  <c r="G109" i="36"/>
  <c r="G85" i="36"/>
  <c r="G61" i="36"/>
  <c r="G133" i="36"/>
  <c r="G98" i="36"/>
  <c r="G55" i="36"/>
  <c r="G241" i="36"/>
  <c r="G11" i="36"/>
  <c r="G257" i="36"/>
  <c r="G18" i="36"/>
  <c r="G12" i="36"/>
  <c r="G237" i="36"/>
  <c r="G192" i="36"/>
  <c r="G173" i="36"/>
  <c r="G175" i="36"/>
  <c r="G120" i="36"/>
  <c r="G104" i="36"/>
  <c r="G110" i="36"/>
  <c r="G48" i="36"/>
  <c r="G146" i="36"/>
  <c r="G34" i="36"/>
  <c r="G128" i="36"/>
  <c r="G83" i="36"/>
  <c r="G28" i="36"/>
  <c r="G129" i="36"/>
  <c r="G46" i="36"/>
  <c r="G96" i="36"/>
  <c r="G50" i="36"/>
  <c r="G148" i="36"/>
  <c r="G33" i="36"/>
  <c r="G13" i="36"/>
  <c r="G163" i="36"/>
  <c r="G301" i="36"/>
  <c r="G219" i="36"/>
  <c r="G203" i="36"/>
  <c r="G184" i="36"/>
  <c r="G275" i="36"/>
  <c r="G260" i="36"/>
  <c r="G255" i="36"/>
  <c r="G155" i="36"/>
  <c r="G223" i="36"/>
  <c r="G294" i="36"/>
  <c r="G181" i="36"/>
  <c r="G177" i="36"/>
  <c r="G206" i="36"/>
  <c r="G305" i="36"/>
  <c r="G211" i="36"/>
  <c r="G149" i="36"/>
  <c r="G142" i="36"/>
  <c r="G17" i="36"/>
  <c r="G31" i="36"/>
  <c r="G143" i="36"/>
  <c r="G15" i="36"/>
  <c r="G124" i="36"/>
  <c r="G116" i="36"/>
  <c r="G10" i="36"/>
  <c r="G315" i="36"/>
  <c r="G299" i="36"/>
  <c r="G283" i="36"/>
  <c r="G277" i="36"/>
  <c r="G232" i="36"/>
  <c r="G224" i="36"/>
  <c r="G176" i="36"/>
  <c r="G309" i="36"/>
  <c r="G215" i="36"/>
  <c r="G271" i="36"/>
  <c r="G251" i="36"/>
  <c r="G187" i="36"/>
  <c r="G52" i="36"/>
  <c r="G210" i="36"/>
  <c r="G290" i="36"/>
  <c r="G316" i="36"/>
  <c r="G300" i="36"/>
  <c r="G284" i="36"/>
  <c r="G170" i="36"/>
  <c r="G231" i="36"/>
  <c r="G166" i="36"/>
  <c r="G89" i="36"/>
  <c r="G82" i="36"/>
  <c r="G99" i="36"/>
  <c r="G51" i="36"/>
  <c r="G38" i="36"/>
  <c r="G26" i="36"/>
  <c r="G240" i="36"/>
  <c r="G233" i="36"/>
  <c r="G248" i="36"/>
  <c r="G151" i="36"/>
  <c r="G58" i="36"/>
  <c r="G102" i="36"/>
  <c r="G94" i="36"/>
  <c r="G78" i="36"/>
  <c r="G106" i="36"/>
  <c r="G119" i="36"/>
  <c r="G39" i="36"/>
  <c r="G9" i="36"/>
  <c r="G207" i="36"/>
  <c r="G80" i="36"/>
  <c r="G214" i="36"/>
  <c r="G156" i="36"/>
  <c r="G239" i="36"/>
  <c r="G95" i="36"/>
  <c r="G113" i="36"/>
  <c r="G47" i="36"/>
  <c r="G30" i="36"/>
  <c r="G90" i="36"/>
  <c r="G272" i="36"/>
  <c r="G234" i="36"/>
  <c r="G161" i="36"/>
  <c r="G264" i="36"/>
  <c r="G115" i="36"/>
  <c r="G183" i="36"/>
  <c r="G141" i="36"/>
  <c r="G308" i="36"/>
  <c r="G292" i="36"/>
  <c r="G276" i="36"/>
  <c r="G246" i="36"/>
  <c r="G191" i="36"/>
  <c r="G134" i="36"/>
  <c r="G160" i="36"/>
  <c r="G131" i="36"/>
  <c r="G91" i="36"/>
  <c r="G126" i="36"/>
  <c r="G105" i="36"/>
  <c r="G65" i="36"/>
  <c r="G72" i="36"/>
  <c r="G103" i="36"/>
  <c r="G285" i="36"/>
  <c r="G186" i="36"/>
  <c r="G79" i="36"/>
  <c r="G41" i="36"/>
  <c r="D279" i="36"/>
  <c r="D191" i="36"/>
  <c r="D163" i="36"/>
  <c r="D263" i="36"/>
  <c r="D199" i="36"/>
  <c r="D273" i="36"/>
  <c r="D294" i="36"/>
  <c r="D146" i="36"/>
  <c r="D130" i="36"/>
  <c r="D114" i="36"/>
  <c r="D95" i="36"/>
  <c r="D220" i="36"/>
  <c r="D204" i="36"/>
  <c r="D168" i="36"/>
  <c r="D104" i="36"/>
  <c r="D88" i="36"/>
  <c r="D40" i="36"/>
  <c r="D136" i="36"/>
  <c r="D229" i="36"/>
  <c r="D124" i="36"/>
  <c r="D84" i="36"/>
  <c r="D280" i="36"/>
  <c r="D245" i="36"/>
  <c r="D24" i="36"/>
  <c r="D235" i="36"/>
  <c r="D149" i="36"/>
  <c r="D60" i="36"/>
  <c r="D289" i="36"/>
  <c r="D100" i="36"/>
  <c r="D256" i="36"/>
  <c r="D143" i="36"/>
  <c r="D20" i="36"/>
  <c r="D278" i="36"/>
  <c r="D197" i="36"/>
  <c r="D181" i="36"/>
  <c r="D92" i="36"/>
  <c r="D142" i="36"/>
  <c r="D23" i="36"/>
  <c r="D56" i="36"/>
  <c r="D302" i="36"/>
  <c r="D306" i="36"/>
  <c r="D110" i="36"/>
  <c r="D30" i="36"/>
  <c r="D268" i="36"/>
  <c r="D252" i="36"/>
  <c r="D232" i="36"/>
  <c r="D200" i="36"/>
  <c r="D228" i="36"/>
  <c r="D83" i="36"/>
  <c r="D42" i="36"/>
  <c r="D281" i="36"/>
  <c r="D211" i="36"/>
  <c r="D241" i="36"/>
  <c r="D116" i="36"/>
  <c r="D98" i="36"/>
  <c r="D18" i="36"/>
  <c r="D80" i="36"/>
  <c r="D271" i="36"/>
  <c r="D305" i="36"/>
  <c r="D216" i="36"/>
  <c r="D160" i="36"/>
  <c r="D298" i="36"/>
  <c r="D295" i="36"/>
  <c r="D183" i="36"/>
  <c r="D247" i="36"/>
  <c r="D297" i="36"/>
  <c r="D249" i="36"/>
  <c r="D233" i="36"/>
  <c r="D270" i="36"/>
  <c r="D106" i="36"/>
  <c r="D26" i="36"/>
  <c r="D282" i="36"/>
  <c r="D22" i="36"/>
  <c r="D296" i="36"/>
  <c r="D128" i="36"/>
  <c r="D32" i="36"/>
  <c r="D153" i="36"/>
  <c r="D225" i="36"/>
  <c r="D195" i="36"/>
  <c r="D67" i="36"/>
  <c r="D68" i="36"/>
  <c r="D135" i="36"/>
  <c r="D184" i="36"/>
  <c r="D312" i="36"/>
  <c r="D75" i="36"/>
  <c r="D207" i="36"/>
  <c r="D99" i="36"/>
  <c r="D260" i="36"/>
  <c r="D224" i="36"/>
  <c r="D188" i="36"/>
  <c r="D156" i="36"/>
  <c r="D28" i="36"/>
  <c r="D11" i="36"/>
  <c r="D205" i="36"/>
  <c r="D288" i="36"/>
  <c r="D269" i="36"/>
  <c r="D54" i="36"/>
  <c r="D12" i="36"/>
  <c r="D78" i="36"/>
  <c r="D47" i="36"/>
  <c r="D118" i="36"/>
  <c r="D169" i="36"/>
  <c r="D74" i="36"/>
  <c r="D311" i="36"/>
  <c r="D257" i="36"/>
  <c r="D139" i="36"/>
  <c r="D227" i="36"/>
  <c r="D265" i="36"/>
  <c r="D237" i="36"/>
  <c r="D314" i="36"/>
  <c r="D179" i="36"/>
  <c r="D239" i="36"/>
  <c r="D231" i="36"/>
  <c r="D63" i="36"/>
  <c r="D16" i="36"/>
  <c r="D82" i="36"/>
  <c r="D148" i="36"/>
  <c r="D132" i="36"/>
  <c r="D50" i="36"/>
  <c r="D27" i="36"/>
  <c r="D223" i="36"/>
  <c r="D122" i="36"/>
  <c r="D96" i="36"/>
  <c r="D310" i="36"/>
  <c r="D217" i="36"/>
  <c r="D185" i="36"/>
  <c r="D274" i="36"/>
  <c r="D303" i="36"/>
  <c r="D286" i="36"/>
  <c r="D177" i="36"/>
  <c r="D165" i="36"/>
  <c r="D120" i="36"/>
  <c r="D43" i="36"/>
  <c r="D64" i="36"/>
  <c r="D102" i="36"/>
  <c r="D119" i="36"/>
  <c r="D147" i="36"/>
  <c r="D176" i="36"/>
  <c r="D48" i="36"/>
  <c r="D290" i="36"/>
  <c r="D157" i="36"/>
  <c r="D115" i="36"/>
  <c r="D39" i="36"/>
  <c r="D71" i="36"/>
  <c r="D272" i="36"/>
  <c r="D193" i="36"/>
  <c r="D152" i="36"/>
  <c r="D36" i="36"/>
  <c r="D14" i="36"/>
  <c r="D251" i="36"/>
  <c r="D201" i="36"/>
  <c r="D275" i="36"/>
  <c r="D189" i="36"/>
  <c r="D144" i="36"/>
  <c r="D35" i="36"/>
  <c r="D253" i="36"/>
  <c r="D266" i="36"/>
  <c r="D264" i="36"/>
  <c r="D180" i="36"/>
  <c r="D173" i="36"/>
  <c r="D155" i="36"/>
  <c r="D126" i="36"/>
  <c r="D52" i="36"/>
  <c r="D34" i="36"/>
  <c r="D250" i="36"/>
  <c r="D171" i="36"/>
  <c r="D226" i="36"/>
  <c r="D307" i="36"/>
  <c r="D214" i="36"/>
  <c r="D212" i="36"/>
  <c r="D141" i="36"/>
  <c r="D262" i="36"/>
  <c r="D186" i="36"/>
  <c r="D150" i="36"/>
  <c r="D234" i="36"/>
  <c r="D134" i="36"/>
  <c r="D162" i="36"/>
  <c r="D87" i="36"/>
  <c r="D73" i="36"/>
  <c r="D91" i="36"/>
  <c r="D49" i="36"/>
  <c r="D261" i="36"/>
  <c r="D58" i="36"/>
  <c r="D72" i="36"/>
  <c r="K72" i="36" s="1"/>
  <c r="F80" i="34" s="1"/>
  <c r="D313" i="36"/>
  <c r="D161" i="36"/>
  <c r="D304" i="36"/>
  <c r="D209" i="36"/>
  <c r="D38" i="36"/>
  <c r="D10" i="36"/>
  <c r="D107" i="36"/>
  <c r="D55" i="36"/>
  <c r="D123" i="36"/>
  <c r="D108" i="36"/>
  <c r="D112" i="36"/>
  <c r="D316" i="36"/>
  <c r="D300" i="36"/>
  <c r="D284" i="36"/>
  <c r="D254" i="36"/>
  <c r="D210" i="36"/>
  <c r="D299" i="36"/>
  <c r="D218" i="36"/>
  <c r="D277" i="36"/>
  <c r="D167" i="36"/>
  <c r="D309" i="36"/>
  <c r="D301" i="36"/>
  <c r="D293" i="36"/>
  <c r="D285" i="36"/>
  <c r="D276" i="36"/>
  <c r="D246" i="36"/>
  <c r="K246" i="36" s="1"/>
  <c r="F254" i="34" s="1"/>
  <c r="D243" i="36"/>
  <c r="D238" i="36"/>
  <c r="D236" i="36"/>
  <c r="D158" i="36"/>
  <c r="D230" i="36"/>
  <c r="D159" i="36"/>
  <c r="D287" i="36"/>
  <c r="D203" i="36"/>
  <c r="D19" i="36"/>
  <c r="D196" i="36"/>
  <c r="D259" i="36"/>
  <c r="D221" i="36"/>
  <c r="K221" i="36" s="1"/>
  <c r="F229" i="34" s="1"/>
  <c r="D140" i="36"/>
  <c r="D175" i="36"/>
  <c r="D90" i="36"/>
  <c r="D151" i="36"/>
  <c r="D79" i="36"/>
  <c r="D44" i="36"/>
  <c r="D46" i="36"/>
  <c r="D103" i="36"/>
  <c r="D248" i="36"/>
  <c r="D178" i="36"/>
  <c r="D291" i="36"/>
  <c r="D111" i="36"/>
  <c r="D76" i="36"/>
  <c r="D315" i="36"/>
  <c r="D192" i="36"/>
  <c r="D219" i="36"/>
  <c r="D267" i="36"/>
  <c r="D242" i="36"/>
  <c r="K242" i="36" s="1"/>
  <c r="F250" i="34" s="1"/>
  <c r="D187" i="36"/>
  <c r="D258" i="36"/>
  <c r="D154" i="36"/>
  <c r="D166" i="36"/>
  <c r="D202" i="36"/>
  <c r="D121" i="36"/>
  <c r="D66" i="36"/>
  <c r="D61" i="36"/>
  <c r="D117" i="36"/>
  <c r="D129" i="36"/>
  <c r="D65" i="36"/>
  <c r="D29" i="36"/>
  <c r="D45" i="36"/>
  <c r="D21" i="36"/>
  <c r="D13" i="36"/>
  <c r="D51" i="36"/>
  <c r="D213" i="36"/>
  <c r="D31" i="36"/>
  <c r="D70" i="36"/>
  <c r="D15" i="36"/>
  <c r="D255" i="36"/>
  <c r="D283" i="36"/>
  <c r="D222" i="36"/>
  <c r="D194" i="36"/>
  <c r="D145" i="36"/>
  <c r="D127" i="36"/>
  <c r="D182" i="36"/>
  <c r="D131" i="36"/>
  <c r="D109" i="36"/>
  <c r="D41" i="36"/>
  <c r="D37" i="36"/>
  <c r="D53" i="36"/>
  <c r="K53" i="36" s="1"/>
  <c r="F61" i="34" s="1"/>
  <c r="D9" i="36"/>
  <c r="D164" i="36"/>
  <c r="D86" i="36"/>
  <c r="D308" i="36"/>
  <c r="D198" i="36"/>
  <c r="D170" i="36"/>
  <c r="D206" i="36"/>
  <c r="D69" i="36"/>
  <c r="D133" i="36"/>
  <c r="D89" i="36"/>
  <c r="D94" i="36"/>
  <c r="D137" i="36"/>
  <c r="D77" i="36"/>
  <c r="D81" i="36"/>
  <c r="K81" i="36" s="1"/>
  <c r="F89" i="34" s="1"/>
  <c r="D244" i="36"/>
  <c r="D172" i="36"/>
  <c r="D292" i="36"/>
  <c r="D215" i="36"/>
  <c r="D174" i="36"/>
  <c r="D113" i="36"/>
  <c r="D125" i="36"/>
  <c r="D85" i="36"/>
  <c r="D62" i="36"/>
  <c r="D25" i="36"/>
  <c r="D17" i="36"/>
  <c r="D240" i="36"/>
  <c r="D190" i="36"/>
  <c r="D208" i="36"/>
  <c r="D138" i="36"/>
  <c r="D105" i="36"/>
  <c r="D59" i="36"/>
  <c r="D97" i="36"/>
  <c r="D93" i="36"/>
  <c r="D101" i="36"/>
  <c r="D33" i="36"/>
  <c r="D57" i="36"/>
  <c r="K57" i="36" s="1"/>
  <c r="F65" i="34" s="1"/>
  <c r="J105" i="36"/>
  <c r="J310" i="36"/>
  <c r="J56" i="36"/>
  <c r="J286" i="36"/>
  <c r="J128" i="36"/>
  <c r="J189" i="36"/>
  <c r="J84" i="36"/>
  <c r="J265" i="36"/>
  <c r="J287" i="36"/>
  <c r="J278" i="36"/>
  <c r="J187" i="36"/>
  <c r="J301" i="36"/>
  <c r="J285" i="36"/>
  <c r="J173" i="36"/>
  <c r="J78" i="36"/>
  <c r="J14" i="36"/>
  <c r="J304" i="36"/>
  <c r="J116" i="36"/>
  <c r="J9" i="36"/>
  <c r="J257" i="36"/>
  <c r="J279" i="36"/>
  <c r="J153" i="36"/>
  <c r="J185" i="36"/>
  <c r="J100" i="36"/>
  <c r="J42" i="36"/>
  <c r="J302" i="36"/>
  <c r="J210" i="36"/>
  <c r="J120" i="36"/>
  <c r="J217" i="36"/>
  <c r="J201" i="36"/>
  <c r="J65" i="36"/>
  <c r="J90" i="36"/>
  <c r="J309" i="36"/>
  <c r="J12" i="36"/>
  <c r="J186" i="36"/>
  <c r="J29" i="36"/>
  <c r="J263" i="36"/>
  <c r="J271" i="36"/>
  <c r="J225" i="36"/>
  <c r="J64" i="36"/>
  <c r="J293" i="36"/>
  <c r="J124" i="36"/>
  <c r="J245" i="36"/>
  <c r="J149" i="36"/>
  <c r="J222" i="36"/>
  <c r="J121" i="36"/>
  <c r="J166" i="36"/>
  <c r="J157" i="36"/>
  <c r="J136" i="36"/>
  <c r="J44" i="36"/>
  <c r="J20" i="36"/>
  <c r="J36" i="36"/>
  <c r="J197" i="36"/>
  <c r="J133" i="36"/>
  <c r="J92" i="36"/>
  <c r="J234" i="36"/>
  <c r="J183" i="36"/>
  <c r="J207" i="36"/>
  <c r="J269" i="36"/>
  <c r="J264" i="36"/>
  <c r="J77" i="36"/>
  <c r="J144" i="36"/>
  <c r="J80" i="36"/>
  <c r="J130" i="36"/>
  <c r="J140" i="36"/>
  <c r="J104" i="36"/>
  <c r="J311" i="36"/>
  <c r="J272" i="36"/>
  <c r="J161" i="36"/>
  <c r="J52" i="36"/>
  <c r="J162" i="36"/>
  <c r="J60" i="36"/>
  <c r="J233" i="36"/>
  <c r="J169" i="36"/>
  <c r="J167" i="36"/>
  <c r="J202" i="36"/>
  <c r="J179" i="36"/>
  <c r="J194" i="36"/>
  <c r="J205" i="36"/>
  <c r="J182" i="36"/>
  <c r="J249" i="36"/>
  <c r="J190" i="36"/>
  <c r="J206" i="36"/>
  <c r="J163" i="36"/>
  <c r="J146" i="36"/>
  <c r="J58" i="36"/>
  <c r="J142" i="36"/>
  <c r="J46" i="36"/>
  <c r="J147" i="36"/>
  <c r="J61" i="36"/>
  <c r="J81" i="36"/>
  <c r="J280" i="36"/>
  <c r="J53" i="36"/>
  <c r="J68" i="36"/>
  <c r="J57" i="36"/>
  <c r="J303" i="36"/>
  <c r="J126" i="36"/>
  <c r="J288" i="36"/>
  <c r="J155" i="36"/>
  <c r="J227" i="36"/>
  <c r="J28" i="36"/>
  <c r="J241" i="36"/>
  <c r="J295" i="36"/>
  <c r="J199" i="36"/>
  <c r="J132" i="36"/>
  <c r="J94" i="36"/>
  <c r="J177" i="36"/>
  <c r="J209" i="36"/>
  <c r="J82" i="36"/>
  <c r="J40" i="36"/>
  <c r="J24" i="36"/>
  <c r="J215" i="36"/>
  <c r="J248" i="36"/>
  <c r="J232" i="36"/>
  <c r="J176" i="36"/>
  <c r="J316" i="36"/>
  <c r="J284" i="36"/>
  <c r="J178" i="36"/>
  <c r="J313" i="36"/>
  <c r="J289" i="36"/>
  <c r="J243" i="36"/>
  <c r="J218" i="36"/>
  <c r="J211" i="36"/>
  <c r="J198" i="36"/>
  <c r="J270" i="36"/>
  <c r="J260" i="36"/>
  <c r="J236" i="36"/>
  <c r="J226" i="36"/>
  <c r="J216" i="36"/>
  <c r="J168" i="36"/>
  <c r="J145" i="36"/>
  <c r="J256" i="36"/>
  <c r="J196" i="36"/>
  <c r="J102" i="36"/>
  <c r="J79" i="36"/>
  <c r="J73" i="36"/>
  <c r="J95" i="36"/>
  <c r="J62" i="36"/>
  <c r="J125" i="36"/>
  <c r="J118" i="36"/>
  <c r="J221" i="36"/>
  <c r="J253" i="36"/>
  <c r="J181" i="36"/>
  <c r="J267" i="36"/>
  <c r="J273" i="36"/>
  <c r="J262" i="36"/>
  <c r="J150" i="36"/>
  <c r="J89" i="36"/>
  <c r="J72" i="36"/>
  <c r="J114" i="36"/>
  <c r="J16" i="36"/>
  <c r="J13" i="36"/>
  <c r="J117" i="36"/>
  <c r="J108" i="36"/>
  <c r="J306" i="36"/>
  <c r="J290" i="36"/>
  <c r="J214" i="36"/>
  <c r="J292" i="36"/>
  <c r="J305" i="36"/>
  <c r="J281" i="36"/>
  <c r="J242" i="36"/>
  <c r="J235" i="36"/>
  <c r="J208" i="36"/>
  <c r="J224" i="36"/>
  <c r="J231" i="36"/>
  <c r="J277" i="36"/>
  <c r="J98" i="36"/>
  <c r="J122" i="36"/>
  <c r="J203" i="36"/>
  <c r="J74" i="36"/>
  <c r="J54" i="36"/>
  <c r="J250" i="36"/>
  <c r="J213" i="36"/>
  <c r="J261" i="36"/>
  <c r="J237" i="36"/>
  <c r="J296" i="36"/>
  <c r="J70" i="36"/>
  <c r="J49" i="36"/>
  <c r="J32" i="36"/>
  <c r="J50" i="36"/>
  <c r="J175" i="36"/>
  <c r="J137" i="36"/>
  <c r="J88" i="36"/>
  <c r="J76" i="36"/>
  <c r="J45" i="36"/>
  <c r="J247" i="36"/>
  <c r="J252" i="36"/>
  <c r="J300" i="36"/>
  <c r="J228" i="36"/>
  <c r="J164" i="36"/>
  <c r="J297" i="36"/>
  <c r="J259" i="36"/>
  <c r="J239" i="36"/>
  <c r="J159" i="36"/>
  <c r="J110" i="36"/>
  <c r="J165" i="36"/>
  <c r="J96" i="36"/>
  <c r="J282" i="36"/>
  <c r="J171" i="36"/>
  <c r="J238" i="36"/>
  <c r="J200" i="36"/>
  <c r="J184" i="36"/>
  <c r="J274" i="36"/>
  <c r="J188" i="36"/>
  <c r="J138" i="36"/>
  <c r="J127" i="36"/>
  <c r="J258" i="36"/>
  <c r="J174" i="36"/>
  <c r="J131" i="36"/>
  <c r="J148" i="36"/>
  <c r="J111" i="36"/>
  <c r="J103" i="36"/>
  <c r="J38" i="36"/>
  <c r="J23" i="36"/>
  <c r="J312" i="36"/>
  <c r="J193" i="36"/>
  <c r="J25" i="36"/>
  <c r="J93" i="36"/>
  <c r="J48" i="36"/>
  <c r="J298" i="36"/>
  <c r="J276" i="36"/>
  <c r="J240" i="36"/>
  <c r="J219" i="36"/>
  <c r="J308" i="36"/>
  <c r="J212" i="36"/>
  <c r="J315" i="36"/>
  <c r="J299" i="36"/>
  <c r="J283" i="36"/>
  <c r="J170" i="36"/>
  <c r="J160" i="36"/>
  <c r="J151" i="36"/>
  <c r="J230" i="36"/>
  <c r="J220" i="36"/>
  <c r="J195" i="36"/>
  <c r="J154" i="36"/>
  <c r="J107" i="36"/>
  <c r="J69" i="36"/>
  <c r="J66" i="36"/>
  <c r="J119" i="36"/>
  <c r="J113" i="36"/>
  <c r="J87" i="36"/>
  <c r="J83" i="36"/>
  <c r="J91" i="36"/>
  <c r="J123" i="36"/>
  <c r="J97" i="36"/>
  <c r="J86" i="36"/>
  <c r="J63" i="36"/>
  <c r="J26" i="36"/>
  <c r="J21" i="36"/>
  <c r="J51" i="36"/>
  <c r="J71" i="36"/>
  <c r="J43" i="36"/>
  <c r="J22" i="36"/>
  <c r="J35" i="36"/>
  <c r="J19" i="36"/>
  <c r="J11" i="36"/>
  <c r="J10" i="36"/>
  <c r="J15" i="36"/>
  <c r="J294" i="36"/>
  <c r="J129" i="36"/>
  <c r="J254" i="36"/>
  <c r="J191" i="36"/>
  <c r="J307" i="36"/>
  <c r="J268" i="36"/>
  <c r="J244" i="36"/>
  <c r="J180" i="36"/>
  <c r="J134" i="36"/>
  <c r="J135" i="36"/>
  <c r="J106" i="36"/>
  <c r="J115" i="36"/>
  <c r="J30" i="36"/>
  <c r="J47" i="36"/>
  <c r="J75" i="36"/>
  <c r="J18" i="36"/>
  <c r="J229" i="36"/>
  <c r="J112" i="36"/>
  <c r="J101" i="36"/>
  <c r="J314" i="36"/>
  <c r="J266" i="36"/>
  <c r="J275" i="36"/>
  <c r="J156" i="36"/>
  <c r="J158" i="36"/>
  <c r="J251" i="36"/>
  <c r="J172" i="36"/>
  <c r="J99" i="36"/>
  <c r="J59" i="36"/>
  <c r="J143" i="36"/>
  <c r="J85" i="36"/>
  <c r="J39" i="36"/>
  <c r="J17" i="36"/>
  <c r="J67" i="36"/>
  <c r="J41" i="36"/>
  <c r="J37" i="36"/>
  <c r="J33" i="36"/>
  <c r="J246" i="36"/>
  <c r="J192" i="36"/>
  <c r="J204" i="36"/>
  <c r="J141" i="36"/>
  <c r="J291" i="36"/>
  <c r="J255" i="36"/>
  <c r="J152" i="36"/>
  <c r="J223" i="36"/>
  <c r="J109" i="36"/>
  <c r="J139" i="36"/>
  <c r="J55" i="36"/>
  <c r="J34" i="36"/>
  <c r="J27" i="36"/>
  <c r="J31" i="36"/>
  <c r="E135" i="36"/>
  <c r="E119" i="36"/>
  <c r="E257" i="36"/>
  <c r="E241" i="36"/>
  <c r="E41" i="36"/>
  <c r="E278" i="36"/>
  <c r="E214" i="36"/>
  <c r="E91" i="36"/>
  <c r="E31" i="36"/>
  <c r="E308" i="36"/>
  <c r="E288" i="36"/>
  <c r="E256" i="36"/>
  <c r="E152" i="36"/>
  <c r="E120" i="36"/>
  <c r="E72" i="36"/>
  <c r="E258" i="36"/>
  <c r="E286" i="36"/>
  <c r="E217" i="36"/>
  <c r="E186" i="36"/>
  <c r="E101" i="36"/>
  <c r="E89" i="36"/>
  <c r="E36" i="36"/>
  <c r="E107" i="36"/>
  <c r="E24" i="36"/>
  <c r="E169" i="36"/>
  <c r="E210" i="36"/>
  <c r="E115" i="36"/>
  <c r="E269" i="36"/>
  <c r="E237" i="36"/>
  <c r="E205" i="36"/>
  <c r="E13" i="36"/>
  <c r="E290" i="36"/>
  <c r="E47" i="36"/>
  <c r="E27" i="36"/>
  <c r="E216" i="36"/>
  <c r="E132" i="36"/>
  <c r="E68" i="36"/>
  <c r="E20" i="36"/>
  <c r="E206" i="36"/>
  <c r="E133" i="36"/>
  <c r="E84" i="36"/>
  <c r="E311" i="36"/>
  <c r="E246" i="36"/>
  <c r="E121" i="36"/>
  <c r="E65" i="36"/>
  <c r="E157" i="36"/>
  <c r="E81" i="36"/>
  <c r="E85" i="36"/>
  <c r="E238" i="36"/>
  <c r="E265" i="36"/>
  <c r="E153" i="36"/>
  <c r="E117" i="36"/>
  <c r="E190" i="36"/>
  <c r="E154" i="36"/>
  <c r="E67" i="36"/>
  <c r="E51" i="36"/>
  <c r="E43" i="36"/>
  <c r="E15" i="36"/>
  <c r="E287" i="36"/>
  <c r="E245" i="36"/>
  <c r="E181" i="36"/>
  <c r="E113" i="36"/>
  <c r="E45" i="36"/>
  <c r="E160" i="36"/>
  <c r="E96" i="36"/>
  <c r="E64" i="36"/>
  <c r="E234" i="36"/>
  <c r="E77" i="36"/>
  <c r="E244" i="36"/>
  <c r="E229" i="36"/>
  <c r="E292" i="36"/>
  <c r="E92" i="36"/>
  <c r="E60" i="36"/>
  <c r="E213" i="36"/>
  <c r="E221" i="36"/>
  <c r="E100" i="36"/>
  <c r="E193" i="36"/>
  <c r="E303" i="36"/>
  <c r="E53" i="36"/>
  <c r="E75" i="36"/>
  <c r="E57" i="36"/>
  <c r="E111" i="36"/>
  <c r="E61" i="36"/>
  <c r="E233" i="36"/>
  <c r="E148" i="36"/>
  <c r="E49" i="36"/>
  <c r="E11" i="36"/>
  <c r="E271" i="36"/>
  <c r="E248" i="36"/>
  <c r="E220" i="36"/>
  <c r="E302" i="36"/>
  <c r="E170" i="36"/>
  <c r="E294" i="36"/>
  <c r="E208" i="36"/>
  <c r="E212" i="36"/>
  <c r="E76" i="36"/>
  <c r="E236" i="36"/>
  <c r="E149" i="36"/>
  <c r="E202" i="36"/>
  <c r="E174" i="36"/>
  <c r="E201" i="36"/>
  <c r="E266" i="36"/>
  <c r="E295" i="36"/>
  <c r="E172" i="36"/>
  <c r="E282" i="36"/>
  <c r="E188" i="36"/>
  <c r="E173" i="36"/>
  <c r="E272" i="36"/>
  <c r="E23" i="36"/>
  <c r="E197" i="36"/>
  <c r="E140" i="36"/>
  <c r="E12" i="36"/>
  <c r="E230" i="36"/>
  <c r="E209" i="36"/>
  <c r="E80" i="36"/>
  <c r="E298" i="36"/>
  <c r="E277" i="36"/>
  <c r="E39" i="36"/>
  <c r="E112" i="36"/>
  <c r="E128" i="36"/>
  <c r="E35" i="36"/>
  <c r="E52" i="36"/>
  <c r="E242" i="36"/>
  <c r="E279" i="36"/>
  <c r="E314" i="36"/>
  <c r="E116" i="36"/>
  <c r="E306" i="36"/>
  <c r="E144" i="36"/>
  <c r="E93" i="36"/>
  <c r="E28" i="36"/>
  <c r="E143" i="36"/>
  <c r="E280" i="36"/>
  <c r="E182" i="36"/>
  <c r="E192" i="36"/>
  <c r="E123" i="36"/>
  <c r="E97" i="36"/>
  <c r="E313" i="36"/>
  <c r="E297" i="36"/>
  <c r="E281" i="36"/>
  <c r="E273" i="36"/>
  <c r="E163" i="36"/>
  <c r="E191" i="36"/>
  <c r="E307" i="36"/>
  <c r="E270" i="36"/>
  <c r="E224" i="36"/>
  <c r="E222" i="36"/>
  <c r="E207" i="36"/>
  <c r="E203" i="36"/>
  <c r="E183" i="36"/>
  <c r="E301" i="36"/>
  <c r="E215" i="36"/>
  <c r="E204" i="36"/>
  <c r="E141" i="36"/>
  <c r="E268" i="36"/>
  <c r="E184" i="36"/>
  <c r="E243" i="36"/>
  <c r="E187" i="36"/>
  <c r="E151" i="36"/>
  <c r="E227" i="36"/>
  <c r="E179" i="36"/>
  <c r="E155" i="36"/>
  <c r="E131" i="36"/>
  <c r="E114" i="36"/>
  <c r="E69" i="36"/>
  <c r="E126" i="36"/>
  <c r="E59" i="36"/>
  <c r="E118" i="36"/>
  <c r="E95" i="36"/>
  <c r="E83" i="36"/>
  <c r="E70" i="36"/>
  <c r="E29" i="36"/>
  <c r="E108" i="36"/>
  <c r="E189" i="36"/>
  <c r="E310" i="36"/>
  <c r="E225" i="36"/>
  <c r="E88" i="36"/>
  <c r="E125" i="36"/>
  <c r="E136" i="36"/>
  <c r="E300" i="36"/>
  <c r="E196" i="36"/>
  <c r="E165" i="36"/>
  <c r="E260" i="36"/>
  <c r="E168" i="36"/>
  <c r="E253" i="36"/>
  <c r="E40" i="36"/>
  <c r="E32" i="36"/>
  <c r="E124" i="36"/>
  <c r="E71" i="36"/>
  <c r="E48" i="36"/>
  <c r="E240" i="36"/>
  <c r="E255" i="36"/>
  <c r="E315" i="36"/>
  <c r="E283" i="36"/>
  <c r="E178" i="36"/>
  <c r="E312" i="36"/>
  <c r="E198" i="36"/>
  <c r="E219" i="36"/>
  <c r="E200" i="36"/>
  <c r="E267" i="36"/>
  <c r="E262" i="36"/>
  <c r="E239" i="36"/>
  <c r="E232" i="36"/>
  <c r="E251" i="36"/>
  <c r="E129" i="36"/>
  <c r="E316" i="36"/>
  <c r="E44" i="36"/>
  <c r="E63" i="36"/>
  <c r="E162" i="36"/>
  <c r="E161" i="36"/>
  <c r="E284" i="36"/>
  <c r="E261" i="36"/>
  <c r="E104" i="36"/>
  <c r="E305" i="36"/>
  <c r="E289" i="36"/>
  <c r="E250" i="36"/>
  <c r="E171" i="36"/>
  <c r="E291" i="36"/>
  <c r="E226" i="36"/>
  <c r="E304" i="36"/>
  <c r="E185" i="36"/>
  <c r="E249" i="36"/>
  <c r="E109" i="36"/>
  <c r="E139" i="36"/>
  <c r="E247" i="36"/>
  <c r="E231" i="36"/>
  <c r="E211" i="36"/>
  <c r="E309" i="36"/>
  <c r="E275" i="36"/>
  <c r="E156" i="36"/>
  <c r="E252" i="36"/>
  <c r="E223" i="36"/>
  <c r="E199" i="36"/>
  <c r="E134" i="36"/>
  <c r="E58" i="36"/>
  <c r="E106" i="36"/>
  <c r="E122" i="36"/>
  <c r="E30" i="36"/>
  <c r="E33" i="36"/>
  <c r="E34" i="36"/>
  <c r="E18" i="36"/>
  <c r="E276" i="36"/>
  <c r="E254" i="36"/>
  <c r="E16" i="36"/>
  <c r="E56" i="36"/>
  <c r="E19" i="36"/>
  <c r="E228" i="36"/>
  <c r="E274" i="36"/>
  <c r="E176" i="36"/>
  <c r="E142" i="36"/>
  <c r="E90" i="36"/>
  <c r="E73" i="36"/>
  <c r="E55" i="36"/>
  <c r="E42" i="36"/>
  <c r="E38" i="36"/>
  <c r="E21" i="36"/>
  <c r="E137" i="36"/>
  <c r="E296" i="36"/>
  <c r="E285" i="36"/>
  <c r="E259" i="36"/>
  <c r="E150" i="36"/>
  <c r="E159" i="36"/>
  <c r="E86" i="36"/>
  <c r="E82" i="36"/>
  <c r="E37" i="36"/>
  <c r="E17" i="36"/>
  <c r="E103" i="36"/>
  <c r="E166" i="36"/>
  <c r="E87" i="36"/>
  <c r="E146" i="36"/>
  <c r="E299" i="36"/>
  <c r="E194" i="36"/>
  <c r="E293" i="36"/>
  <c r="E167" i="36"/>
  <c r="E264" i="36"/>
  <c r="E138" i="36"/>
  <c r="E127" i="36"/>
  <c r="E263" i="36"/>
  <c r="E175" i="36"/>
  <c r="E98" i="36"/>
  <c r="E110" i="36"/>
  <c r="E79" i="36"/>
  <c r="E102" i="36"/>
  <c r="E94" i="36"/>
  <c r="E130" i="36"/>
  <c r="E26" i="36"/>
  <c r="E54" i="36"/>
  <c r="E46" i="36"/>
  <c r="E50" i="36"/>
  <c r="E22" i="36"/>
  <c r="E10" i="36"/>
  <c r="E9" i="36"/>
  <c r="E14" i="36"/>
  <c r="E218" i="36"/>
  <c r="E177" i="36"/>
  <c r="E180" i="36"/>
  <c r="E105" i="36"/>
  <c r="E164" i="36"/>
  <c r="E235" i="36"/>
  <c r="E158" i="36"/>
  <c r="E195" i="36"/>
  <c r="E145" i="36"/>
  <c r="E147" i="36"/>
  <c r="E66" i="36"/>
  <c r="E78" i="36"/>
  <c r="E62" i="36"/>
  <c r="E99" i="36"/>
  <c r="E25" i="36"/>
  <c r="E74" i="36"/>
  <c r="AO316" i="42"/>
  <c r="K7" i="13"/>
  <c r="K315" i="13"/>
  <c r="G314" i="11"/>
  <c r="E314" i="49"/>
  <c r="E307" i="49"/>
  <c r="E303" i="49"/>
  <c r="E292" i="49"/>
  <c r="E284" i="49"/>
  <c r="E268" i="49"/>
  <c r="E260" i="49"/>
  <c r="E252" i="49"/>
  <c r="E230" i="49"/>
  <c r="E226" i="49"/>
  <c r="E207" i="49"/>
  <c r="E187" i="49"/>
  <c r="E179" i="49"/>
  <c r="E160" i="49"/>
  <c r="E156" i="49"/>
  <c r="E148" i="49"/>
  <c r="E140" i="49"/>
  <c r="E124" i="49"/>
  <c r="E116" i="49"/>
  <c r="E112" i="49"/>
  <c r="E104" i="49"/>
  <c r="E100" i="49"/>
  <c r="E92" i="49"/>
  <c r="E84" i="49"/>
  <c r="E76" i="49"/>
  <c r="E68" i="49"/>
  <c r="E60" i="49"/>
  <c r="E52" i="49"/>
  <c r="E44" i="49"/>
  <c r="E36" i="49"/>
  <c r="E20" i="49"/>
  <c r="E16" i="49"/>
  <c r="E8" i="49"/>
  <c r="E306" i="49"/>
  <c r="E291" i="49"/>
  <c r="E283" i="49"/>
  <c r="E279" i="49"/>
  <c r="E271" i="49"/>
  <c r="E263" i="49"/>
  <c r="E255" i="49"/>
  <c r="E251" i="49"/>
  <c r="E236" i="49"/>
  <c r="E233" i="49"/>
  <c r="E214" i="49"/>
  <c r="E206" i="49"/>
  <c r="E198" i="49"/>
  <c r="E186" i="49"/>
  <c r="E178" i="49"/>
  <c r="E159" i="49"/>
  <c r="E151" i="49"/>
  <c r="E59" i="49"/>
  <c r="E51" i="49"/>
  <c r="E7" i="49"/>
  <c r="E309" i="49"/>
  <c r="E305" i="49"/>
  <c r="E294" i="49"/>
  <c r="E290" i="49"/>
  <c r="E286" i="49"/>
  <c r="E282" i="49"/>
  <c r="E278" i="49"/>
  <c r="E274" i="49"/>
  <c r="E266" i="49"/>
  <c r="E262" i="49"/>
  <c r="E258" i="49"/>
  <c r="E254" i="49"/>
  <c r="E250" i="49"/>
  <c r="E241" i="49"/>
  <c r="E235" i="49"/>
  <c r="E232" i="49"/>
  <c r="E228" i="49"/>
  <c r="E224" i="49"/>
  <c r="E217" i="49"/>
  <c r="E213" i="49"/>
  <c r="E209" i="49"/>
  <c r="E205" i="49"/>
  <c r="E201" i="49"/>
  <c r="E193" i="49"/>
  <c r="E189" i="49"/>
  <c r="E185" i="49"/>
  <c r="E181" i="49"/>
  <c r="E177" i="49"/>
  <c r="E174" i="49"/>
  <c r="E167" i="49"/>
  <c r="E165" i="49"/>
  <c r="E162" i="49"/>
  <c r="E158" i="49"/>
  <c r="E154" i="49"/>
  <c r="E150" i="49"/>
  <c r="E138" i="49"/>
  <c r="E130" i="49"/>
  <c r="E126" i="49"/>
  <c r="E122" i="49"/>
  <c r="E114" i="49"/>
  <c r="E110" i="49"/>
  <c r="E106" i="49"/>
  <c r="E102" i="49"/>
  <c r="E98" i="49"/>
  <c r="E94" i="49"/>
  <c r="E90" i="49"/>
  <c r="E82" i="49"/>
  <c r="E78" i="49"/>
  <c r="E74" i="49"/>
  <c r="E70" i="49"/>
  <c r="E66" i="49"/>
  <c r="E62" i="49"/>
  <c r="E58" i="49"/>
  <c r="E54" i="49"/>
  <c r="E50" i="49"/>
  <c r="E46" i="49"/>
  <c r="E42" i="49"/>
  <c r="E38" i="49"/>
  <c r="E34" i="49"/>
  <c r="E30" i="49"/>
  <c r="E26" i="49"/>
  <c r="E22" i="49"/>
  <c r="E18" i="49"/>
  <c r="E14" i="49"/>
  <c r="E10" i="49"/>
  <c r="C6" i="25"/>
  <c r="E6" i="49"/>
  <c r="E311" i="49"/>
  <c r="E299" i="49"/>
  <c r="E280" i="49"/>
  <c r="E272" i="49"/>
  <c r="E264" i="49"/>
  <c r="E248" i="49"/>
  <c r="E211" i="49"/>
  <c r="E203" i="49"/>
  <c r="E191" i="49"/>
  <c r="E175" i="49"/>
  <c r="E172" i="49"/>
  <c r="E144" i="49"/>
  <c r="E108" i="49"/>
  <c r="E88" i="49"/>
  <c r="E80" i="49"/>
  <c r="E72" i="49"/>
  <c r="E64" i="49"/>
  <c r="E56" i="49"/>
  <c r="E48" i="49"/>
  <c r="E40" i="49"/>
  <c r="E32" i="49"/>
  <c r="E12" i="49"/>
  <c r="E310" i="49"/>
  <c r="E302" i="49"/>
  <c r="E298" i="49"/>
  <c r="E295" i="49"/>
  <c r="E287" i="49"/>
  <c r="E275" i="49"/>
  <c r="E267" i="49"/>
  <c r="E259" i="49"/>
  <c r="E247" i="49"/>
  <c r="E238" i="49"/>
  <c r="E225" i="49"/>
  <c r="E218" i="49"/>
  <c r="E210" i="49"/>
  <c r="E202" i="49"/>
  <c r="E194" i="49"/>
  <c r="E190" i="49"/>
  <c r="E182" i="49"/>
  <c r="E163" i="49"/>
  <c r="E155" i="49"/>
  <c r="E147" i="49"/>
  <c r="E135" i="49"/>
  <c r="E47" i="49"/>
  <c r="D315" i="49"/>
  <c r="E308" i="49"/>
  <c r="E300" i="49"/>
  <c r="E285" i="49"/>
  <c r="E281" i="49"/>
  <c r="E277" i="49"/>
  <c r="E273" i="49"/>
  <c r="E265" i="49"/>
  <c r="E253" i="49"/>
  <c r="E249" i="49"/>
  <c r="E240" i="49"/>
  <c r="E237" i="49"/>
  <c r="E231" i="49"/>
  <c r="E223" i="49"/>
  <c r="E216" i="49"/>
  <c r="E212" i="49"/>
  <c r="E208" i="49"/>
  <c r="E204" i="49"/>
  <c r="E200" i="49"/>
  <c r="E192" i="49"/>
  <c r="E188" i="49"/>
  <c r="E184" i="49"/>
  <c r="E176" i="49"/>
  <c r="E169" i="49"/>
  <c r="E166" i="49"/>
  <c r="E164" i="49"/>
  <c r="E161" i="49"/>
  <c r="E157" i="49"/>
  <c r="E153" i="49"/>
  <c r="E145" i="49"/>
  <c r="E141" i="49"/>
  <c r="E137" i="49"/>
  <c r="E133" i="49"/>
  <c r="E129" i="49"/>
  <c r="E125" i="49"/>
  <c r="E117" i="49"/>
  <c r="E113" i="49"/>
  <c r="E109" i="49"/>
  <c r="E105" i="49"/>
  <c r="E101" i="49"/>
  <c r="E97" i="49"/>
  <c r="E93" i="49"/>
  <c r="E89" i="49"/>
  <c r="E85" i="49"/>
  <c r="E81" i="49"/>
  <c r="E77" i="49"/>
  <c r="E73" i="49"/>
  <c r="E69" i="49"/>
  <c r="E65" i="49"/>
  <c r="E61" i="49"/>
  <c r="E57" i="49"/>
  <c r="E53" i="49"/>
  <c r="E49" i="49"/>
  <c r="E45" i="49"/>
  <c r="E41" i="49"/>
  <c r="E37" i="49"/>
  <c r="E33" i="49"/>
  <c r="E29" i="49"/>
  <c r="E25" i="49"/>
  <c r="E21" i="49"/>
  <c r="E17" i="49"/>
  <c r="E13" i="49"/>
  <c r="E9" i="49"/>
  <c r="D6" i="25"/>
  <c r="D5" i="33"/>
  <c r="L289" i="13"/>
  <c r="M289" i="13" s="1"/>
  <c r="L257" i="13"/>
  <c r="M257" i="13" s="1"/>
  <c r="L245" i="13"/>
  <c r="M245" i="13" s="1"/>
  <c r="L196" i="13"/>
  <c r="M196" i="13" s="1"/>
  <c r="L180" i="13"/>
  <c r="M180" i="13" s="1"/>
  <c r="L149" i="13"/>
  <c r="M149" i="13" s="1"/>
  <c r="L121" i="13"/>
  <c r="M121" i="13" s="1"/>
  <c r="L296" i="13"/>
  <c r="M296" i="13" s="1"/>
  <c r="L276" i="13"/>
  <c r="M276" i="13" s="1"/>
  <c r="L256" i="13"/>
  <c r="M256" i="13" s="1"/>
  <c r="L243" i="13"/>
  <c r="M243" i="13" s="1"/>
  <c r="L234" i="13"/>
  <c r="M234" i="13" s="1"/>
  <c r="L222" i="13"/>
  <c r="M222" i="13" s="1"/>
  <c r="L215" i="13"/>
  <c r="M215" i="13" s="1"/>
  <c r="L199" i="13"/>
  <c r="M199" i="13" s="1"/>
  <c r="L168" i="13"/>
  <c r="M168" i="13" s="1"/>
  <c r="L152" i="13"/>
  <c r="M152" i="13" s="1"/>
  <c r="L132" i="13"/>
  <c r="M132" i="13" s="1"/>
  <c r="L128" i="13"/>
  <c r="M128" i="13" s="1"/>
  <c r="L120" i="13"/>
  <c r="M120" i="13" s="1"/>
  <c r="L96" i="13"/>
  <c r="M96" i="13" s="1"/>
  <c r="L242" i="13"/>
  <c r="M242" i="13" s="1"/>
  <c r="L229" i="13"/>
  <c r="M229" i="13" s="1"/>
  <c r="L221" i="13"/>
  <c r="M221" i="13" s="1"/>
  <c r="L171" i="13"/>
  <c r="M171" i="13" s="1"/>
  <c r="L139" i="13"/>
  <c r="M139" i="13" s="1"/>
  <c r="L127" i="13"/>
  <c r="M127" i="13" s="1"/>
  <c r="L119" i="13"/>
  <c r="M119" i="13" s="1"/>
  <c r="L111" i="13"/>
  <c r="M111" i="13" s="1"/>
  <c r="L103" i="13"/>
  <c r="M103" i="13" s="1"/>
  <c r="L95" i="13"/>
  <c r="M95" i="13" s="1"/>
  <c r="L87" i="13"/>
  <c r="M87" i="13" s="1"/>
  <c r="L83" i="13"/>
  <c r="M83" i="13" s="1"/>
  <c r="L75" i="13"/>
  <c r="M75" i="13" s="1"/>
  <c r="L67" i="13"/>
  <c r="M67" i="13" s="1"/>
  <c r="L63" i="13"/>
  <c r="M63" i="13" s="1"/>
  <c r="L55" i="13"/>
  <c r="M55" i="13" s="1"/>
  <c r="L39" i="13"/>
  <c r="M39" i="13" s="1"/>
  <c r="L31" i="13"/>
  <c r="M31" i="13" s="1"/>
  <c r="L27" i="13"/>
  <c r="M27" i="13" s="1"/>
  <c r="L23" i="13"/>
  <c r="M23" i="13" s="1"/>
  <c r="L19" i="13"/>
  <c r="M19" i="13" s="1"/>
  <c r="L118" i="13"/>
  <c r="M118" i="13" s="1"/>
  <c r="L86" i="13"/>
  <c r="M86" i="13" s="1"/>
  <c r="B314" i="11"/>
  <c r="L135" i="13"/>
  <c r="M135" i="13" s="1"/>
  <c r="L59" i="13"/>
  <c r="M59" i="13" s="1"/>
  <c r="L51" i="13"/>
  <c r="M51" i="13" s="1"/>
  <c r="L8" i="13"/>
  <c r="M8" i="13" s="1"/>
  <c r="L143" i="13"/>
  <c r="M143" i="13" s="1"/>
  <c r="L131" i="13"/>
  <c r="M131" i="13" s="1"/>
  <c r="L123" i="13"/>
  <c r="M123" i="13" s="1"/>
  <c r="L115" i="13"/>
  <c r="M115" i="13" s="1"/>
  <c r="L107" i="13"/>
  <c r="M107" i="13" s="1"/>
  <c r="L99" i="13"/>
  <c r="M99" i="13" s="1"/>
  <c r="L91" i="13"/>
  <c r="M91" i="13" s="1"/>
  <c r="L79" i="13"/>
  <c r="M79" i="13" s="1"/>
  <c r="L71" i="13"/>
  <c r="M71" i="13" s="1"/>
  <c r="L47" i="13"/>
  <c r="M47" i="13" s="1"/>
  <c r="L43" i="13"/>
  <c r="M43" i="13" s="1"/>
  <c r="L35" i="13"/>
  <c r="M35" i="13" s="1"/>
  <c r="L15" i="13"/>
  <c r="M15" i="13" s="1"/>
  <c r="L11" i="13"/>
  <c r="M11" i="13" s="1"/>
  <c r="Y7" i="19"/>
  <c r="L175" i="13"/>
  <c r="M175" i="13" s="1"/>
  <c r="L272" i="13"/>
  <c r="M272" i="13" s="1"/>
  <c r="L299" i="13"/>
  <c r="M299" i="13" s="1"/>
  <c r="L191" i="13"/>
  <c r="M191" i="13" s="1"/>
  <c r="L68" i="13"/>
  <c r="M68" i="13" s="1"/>
  <c r="L36" i="13"/>
  <c r="M36" i="13" s="1"/>
  <c r="L277" i="13"/>
  <c r="M277" i="13" s="1"/>
  <c r="L249" i="13"/>
  <c r="M249" i="13" s="1"/>
  <c r="L240" i="13"/>
  <c r="M240" i="13" s="1"/>
  <c r="L314" i="13"/>
  <c r="M314" i="13" s="1"/>
  <c r="L307" i="13"/>
  <c r="M307" i="13" s="1"/>
  <c r="L303" i="13"/>
  <c r="M303" i="13" s="1"/>
  <c r="L284" i="13"/>
  <c r="M284" i="13" s="1"/>
  <c r="L260" i="13"/>
  <c r="M260" i="13" s="1"/>
  <c r="L252" i="13"/>
  <c r="M252" i="13" s="1"/>
  <c r="L239" i="13"/>
  <c r="M239" i="13" s="1"/>
  <c r="L226" i="13"/>
  <c r="M226" i="13" s="1"/>
  <c r="L207" i="13"/>
  <c r="M207" i="13" s="1"/>
  <c r="L183" i="13"/>
  <c r="M183" i="13" s="1"/>
  <c r="L172" i="13"/>
  <c r="M172" i="13" s="1"/>
  <c r="L60" i="13"/>
  <c r="M60" i="13" s="1"/>
  <c r="L56" i="13"/>
  <c r="M56" i="13" s="1"/>
  <c r="L48" i="13"/>
  <c r="M48" i="13" s="1"/>
  <c r="L28" i="13"/>
  <c r="M28" i="13" s="1"/>
  <c r="L16" i="13"/>
  <c r="M16" i="13" s="1"/>
  <c r="L248" i="13"/>
  <c r="M248" i="13" s="1"/>
  <c r="L230" i="13"/>
  <c r="M230" i="13" s="1"/>
  <c r="L264" i="13"/>
  <c r="M264" i="13" s="1"/>
  <c r="L311" i="13"/>
  <c r="M311" i="13" s="1"/>
  <c r="L292" i="13"/>
  <c r="M292" i="13" s="1"/>
  <c r="L288" i="13"/>
  <c r="M288" i="13" s="1"/>
  <c r="L280" i="13"/>
  <c r="M280" i="13" s="1"/>
  <c r="L268" i="13"/>
  <c r="M268" i="13" s="1"/>
  <c r="L211" i="13"/>
  <c r="M211" i="13" s="1"/>
  <c r="L203" i="13"/>
  <c r="M203" i="13" s="1"/>
  <c r="L195" i="13"/>
  <c r="M195" i="13" s="1"/>
  <c r="L187" i="13"/>
  <c r="M187" i="13" s="1"/>
  <c r="L44" i="13"/>
  <c r="M44" i="13" s="1"/>
  <c r="L24" i="13"/>
  <c r="M24" i="13" s="1"/>
  <c r="L179" i="13"/>
  <c r="M179" i="13" s="1"/>
  <c r="L162" i="13"/>
  <c r="M162" i="13" s="1"/>
  <c r="L154" i="13"/>
  <c r="M154" i="13" s="1"/>
  <c r="L146" i="13"/>
  <c r="M146" i="13" s="1"/>
  <c r="L138" i="13"/>
  <c r="M138" i="13" s="1"/>
  <c r="L130" i="13"/>
  <c r="M130" i="13" s="1"/>
  <c r="L114" i="13"/>
  <c r="M114" i="13" s="1"/>
  <c r="L106" i="13"/>
  <c r="M106" i="13" s="1"/>
  <c r="L98" i="13"/>
  <c r="M98" i="13" s="1"/>
  <c r="L90" i="13"/>
  <c r="M90" i="13" s="1"/>
  <c r="L82" i="13"/>
  <c r="M82" i="13" s="1"/>
  <c r="L122" i="13"/>
  <c r="M122" i="13" s="1"/>
  <c r="L304" i="13"/>
  <c r="M304" i="13" s="1"/>
  <c r="L158" i="13"/>
  <c r="M158" i="13" s="1"/>
  <c r="L150" i="13"/>
  <c r="M150" i="13" s="1"/>
  <c r="L142" i="13"/>
  <c r="M142" i="13" s="1"/>
  <c r="L134" i="13"/>
  <c r="M134" i="13" s="1"/>
  <c r="L102" i="13"/>
  <c r="M102" i="13" s="1"/>
  <c r="L94" i="13"/>
  <c r="M94" i="13" s="1"/>
  <c r="L78" i="13"/>
  <c r="M78" i="13" s="1"/>
  <c r="L110" i="13"/>
  <c r="M110" i="13" s="1"/>
  <c r="L312" i="13"/>
  <c r="M312" i="13" s="1"/>
  <c r="L308" i="13"/>
  <c r="M308" i="13" s="1"/>
  <c r="L300" i="13"/>
  <c r="M300" i="13" s="1"/>
  <c r="L126" i="13"/>
  <c r="M126" i="13" s="1"/>
  <c r="L285" i="13"/>
  <c r="M285" i="13" s="1"/>
  <c r="L269" i="13"/>
  <c r="M269" i="13" s="1"/>
  <c r="L261" i="13"/>
  <c r="M261" i="13" s="1"/>
  <c r="L253" i="13"/>
  <c r="M253" i="13" s="1"/>
  <c r="L216" i="13"/>
  <c r="M216" i="13" s="1"/>
  <c r="L208" i="13"/>
  <c r="M208" i="13" s="1"/>
  <c r="L192" i="13"/>
  <c r="M192" i="13" s="1"/>
  <c r="L173" i="13"/>
  <c r="M173" i="13" s="1"/>
  <c r="L169" i="13"/>
  <c r="M169" i="13" s="1"/>
  <c r="L164" i="13"/>
  <c r="M164" i="13" s="1"/>
  <c r="L161" i="13"/>
  <c r="M161" i="13" s="1"/>
  <c r="L176" i="13"/>
  <c r="M176" i="13" s="1"/>
  <c r="L293" i="13"/>
  <c r="M293" i="13" s="1"/>
  <c r="L281" i="13"/>
  <c r="M281" i="13" s="1"/>
  <c r="L273" i="13"/>
  <c r="M273" i="13" s="1"/>
  <c r="L265" i="13"/>
  <c r="M265" i="13" s="1"/>
  <c r="L237" i="13"/>
  <c r="M237" i="13" s="1"/>
  <c r="L227" i="13"/>
  <c r="M227" i="13" s="1"/>
  <c r="L220" i="13"/>
  <c r="M220" i="13" s="1"/>
  <c r="L212" i="13"/>
  <c r="M212" i="13" s="1"/>
  <c r="L204" i="13"/>
  <c r="M204" i="13" s="1"/>
  <c r="L188" i="13"/>
  <c r="M188" i="13" s="1"/>
  <c r="L166" i="13"/>
  <c r="M166" i="13" s="1"/>
  <c r="L157" i="13"/>
  <c r="M157" i="13" s="1"/>
  <c r="L200" i="13"/>
  <c r="M200" i="13" s="1"/>
  <c r="L231" i="13"/>
  <c r="M231" i="13" s="1"/>
  <c r="L223" i="13"/>
  <c r="M223" i="13" s="1"/>
  <c r="L184" i="13"/>
  <c r="M184" i="13" s="1"/>
  <c r="L153" i="13"/>
  <c r="M153" i="13" s="1"/>
  <c r="L13" i="13"/>
  <c r="M13" i="13" s="1"/>
  <c r="L20" i="13"/>
  <c r="M20" i="13" s="1"/>
  <c r="L72" i="13"/>
  <c r="M72" i="13" s="1"/>
  <c r="L64" i="13"/>
  <c r="M64" i="13" s="1"/>
  <c r="L52" i="13"/>
  <c r="M52" i="13" s="1"/>
  <c r="K316" i="19"/>
  <c r="E316" i="19"/>
  <c r="H195" i="49"/>
  <c r="I195" i="49" s="1"/>
  <c r="L12" i="13"/>
  <c r="M12" i="13" s="1"/>
  <c r="L40" i="13"/>
  <c r="M40" i="13" s="1"/>
  <c r="L32" i="13"/>
  <c r="M32" i="13" s="1"/>
  <c r="H165" i="49"/>
  <c r="H164" i="49"/>
  <c r="L38" i="13"/>
  <c r="M38" i="13" s="1"/>
  <c r="F316" i="19"/>
  <c r="M316" i="19"/>
  <c r="P316" i="19"/>
  <c r="V316" i="19"/>
  <c r="C316" i="19"/>
  <c r="L270" i="13"/>
  <c r="M270" i="13" s="1"/>
  <c r="J316" i="19"/>
  <c r="D5" i="32"/>
  <c r="D314" i="32" s="1"/>
  <c r="Z316" i="19"/>
  <c r="L310" i="13"/>
  <c r="M310" i="13" s="1"/>
  <c r="L302" i="13"/>
  <c r="M302" i="13" s="1"/>
  <c r="L298" i="13"/>
  <c r="M298" i="13" s="1"/>
  <c r="L291" i="13"/>
  <c r="M291" i="13" s="1"/>
  <c r="L287" i="13"/>
  <c r="M287" i="13" s="1"/>
  <c r="L283" i="13"/>
  <c r="M283" i="13" s="1"/>
  <c r="L275" i="13"/>
  <c r="M275" i="13" s="1"/>
  <c r="L271" i="13"/>
  <c r="M271" i="13" s="1"/>
  <c r="L267" i="13"/>
  <c r="M267" i="13" s="1"/>
  <c r="L263" i="13"/>
  <c r="M263" i="13" s="1"/>
  <c r="L255" i="13"/>
  <c r="M255" i="13" s="1"/>
  <c r="L247" i="13"/>
  <c r="M247" i="13" s="1"/>
  <c r="L238" i="13"/>
  <c r="M238" i="13" s="1"/>
  <c r="L233" i="13"/>
  <c r="M233" i="13" s="1"/>
  <c r="L225" i="13"/>
  <c r="M225" i="13" s="1"/>
  <c r="L218" i="13"/>
  <c r="M218" i="13" s="1"/>
  <c r="L202" i="13"/>
  <c r="M202" i="13" s="1"/>
  <c r="L198" i="13"/>
  <c r="M198" i="13" s="1"/>
  <c r="L194" i="13"/>
  <c r="M194" i="13" s="1"/>
  <c r="L186" i="13"/>
  <c r="M186" i="13" s="1"/>
  <c r="L182" i="13"/>
  <c r="M182" i="13" s="1"/>
  <c r="L178" i="13"/>
  <c r="M178" i="13" s="1"/>
  <c r="L160" i="13"/>
  <c r="M160" i="13" s="1"/>
  <c r="L156" i="13"/>
  <c r="M156" i="13" s="1"/>
  <c r="L148" i="13"/>
  <c r="M148" i="13" s="1"/>
  <c r="L145" i="13"/>
  <c r="M145" i="13" s="1"/>
  <c r="L137" i="13"/>
  <c r="M137" i="13" s="1"/>
  <c r="L133" i="13"/>
  <c r="M133" i="13" s="1"/>
  <c r="L129" i="13"/>
  <c r="M129" i="13" s="1"/>
  <c r="L125" i="13"/>
  <c r="M125" i="13" s="1"/>
  <c r="L113" i="13"/>
  <c r="M113" i="13" s="1"/>
  <c r="L109" i="13"/>
  <c r="M109" i="13" s="1"/>
  <c r="L105" i="13"/>
  <c r="M105" i="13" s="1"/>
  <c r="L101" i="13"/>
  <c r="M101" i="13" s="1"/>
  <c r="L97" i="13"/>
  <c r="M97" i="13" s="1"/>
  <c r="L89" i="13"/>
  <c r="M89" i="13" s="1"/>
  <c r="L81" i="13"/>
  <c r="M81" i="13" s="1"/>
  <c r="L70" i="13"/>
  <c r="M70" i="13" s="1"/>
  <c r="L66" i="13"/>
  <c r="M66" i="13" s="1"/>
  <c r="L62" i="13"/>
  <c r="M62" i="13" s="1"/>
  <c r="L58" i="13"/>
  <c r="M58" i="13" s="1"/>
  <c r="L54" i="13"/>
  <c r="M54" i="13" s="1"/>
  <c r="L50" i="13"/>
  <c r="M50" i="13" s="1"/>
  <c r="L46" i="13"/>
  <c r="M46" i="13" s="1"/>
  <c r="L42" i="13"/>
  <c r="M42" i="13" s="1"/>
  <c r="L34" i="13"/>
  <c r="M34" i="13" s="1"/>
  <c r="L30" i="13"/>
  <c r="M30" i="13" s="1"/>
  <c r="L26" i="13"/>
  <c r="M26" i="13" s="1"/>
  <c r="L22" i="13"/>
  <c r="M22" i="13" s="1"/>
  <c r="L18" i="13"/>
  <c r="M18" i="13" s="1"/>
  <c r="L10" i="13"/>
  <c r="M10" i="13" s="1"/>
  <c r="L7" i="13"/>
  <c r="H316" i="19"/>
  <c r="L206" i="13"/>
  <c r="M206" i="13" s="1"/>
  <c r="L85" i="13"/>
  <c r="M85" i="13" s="1"/>
  <c r="AA316" i="19"/>
  <c r="L309" i="13"/>
  <c r="M309" i="13" s="1"/>
  <c r="L301" i="13"/>
  <c r="M301" i="13" s="1"/>
  <c r="L294" i="13"/>
  <c r="M294" i="13" s="1"/>
  <c r="L286" i="13"/>
  <c r="M286" i="13" s="1"/>
  <c r="L278" i="13"/>
  <c r="M278" i="13" s="1"/>
  <c r="L274" i="13"/>
  <c r="M274" i="13" s="1"/>
  <c r="L266" i="13"/>
  <c r="M266" i="13" s="1"/>
  <c r="L258" i="13"/>
  <c r="M258" i="13" s="1"/>
  <c r="L250" i="13"/>
  <c r="M250" i="13" s="1"/>
  <c r="L241" i="13"/>
  <c r="M241" i="13" s="1"/>
  <c r="L235" i="13"/>
  <c r="M235" i="13" s="1"/>
  <c r="L228" i="13"/>
  <c r="M228" i="13" s="1"/>
  <c r="L209" i="13"/>
  <c r="M209" i="13" s="1"/>
  <c r="L197" i="13"/>
  <c r="M197" i="13" s="1"/>
  <c r="L189" i="13"/>
  <c r="M189" i="13" s="1"/>
  <c r="L181" i="13"/>
  <c r="M181" i="13" s="1"/>
  <c r="L177" i="13"/>
  <c r="M177" i="13" s="1"/>
  <c r="L165" i="13"/>
  <c r="M165" i="13" s="1"/>
  <c r="L163" i="13"/>
  <c r="M163" i="13" s="1"/>
  <c r="L155" i="13"/>
  <c r="M155" i="13" s="1"/>
  <c r="L124" i="13"/>
  <c r="M124" i="13" s="1"/>
  <c r="L116" i="13"/>
  <c r="M116" i="13" s="1"/>
  <c r="L108" i="13"/>
  <c r="M108" i="13" s="1"/>
  <c r="L100" i="13"/>
  <c r="M100" i="13" s="1"/>
  <c r="L92" i="13"/>
  <c r="M92" i="13" s="1"/>
  <c r="L76" i="13"/>
  <c r="M76" i="13" s="1"/>
  <c r="L69" i="13"/>
  <c r="M69" i="13" s="1"/>
  <c r="L65" i="13"/>
  <c r="M65" i="13" s="1"/>
  <c r="L57" i="13"/>
  <c r="M57" i="13" s="1"/>
  <c r="L49" i="13"/>
  <c r="M49" i="13" s="1"/>
  <c r="L41" i="13"/>
  <c r="M41" i="13" s="1"/>
  <c r="L37" i="13"/>
  <c r="M37" i="13" s="1"/>
  <c r="L29" i="13"/>
  <c r="M29" i="13" s="1"/>
  <c r="L21" i="13"/>
  <c r="M21" i="13" s="1"/>
  <c r="L9" i="13"/>
  <c r="M9" i="13" s="1"/>
  <c r="D316" i="19"/>
  <c r="H150" i="49"/>
  <c r="H19" i="49"/>
  <c r="I19" i="49" s="1"/>
  <c r="L316" i="19"/>
  <c r="L201" i="13"/>
  <c r="M201" i="13" s="1"/>
  <c r="L213" i="13"/>
  <c r="M213" i="13" s="1"/>
  <c r="L93" i="13"/>
  <c r="M93" i="13" s="1"/>
  <c r="L141" i="13"/>
  <c r="M141" i="13" s="1"/>
  <c r="L77" i="13"/>
  <c r="M77" i="13" s="1"/>
  <c r="L74" i="13"/>
  <c r="M74" i="13" s="1"/>
  <c r="L14" i="13"/>
  <c r="M14" i="13" s="1"/>
  <c r="L306" i="13"/>
  <c r="M306" i="13" s="1"/>
  <c r="L295" i="13"/>
  <c r="M295" i="13" s="1"/>
  <c r="L279" i="13"/>
  <c r="M279" i="13" s="1"/>
  <c r="L251" i="13"/>
  <c r="M251" i="13" s="1"/>
  <c r="L236" i="13"/>
  <c r="M236" i="13" s="1"/>
  <c r="L214" i="13"/>
  <c r="M214" i="13" s="1"/>
  <c r="L210" i="13"/>
  <c r="M210" i="13" s="1"/>
  <c r="L190" i="13"/>
  <c r="M190" i="13" s="1"/>
  <c r="L117" i="13"/>
  <c r="M117" i="13" s="1"/>
  <c r="W316" i="19"/>
  <c r="X316" i="19"/>
  <c r="L313" i="13"/>
  <c r="M313" i="13" s="1"/>
  <c r="L305" i="13"/>
  <c r="M305" i="13" s="1"/>
  <c r="L297" i="13"/>
  <c r="M297" i="13" s="1"/>
  <c r="L290" i="13"/>
  <c r="L282" i="13"/>
  <c r="M282" i="13" s="1"/>
  <c r="L262" i="13"/>
  <c r="M262" i="13" s="1"/>
  <c r="L254" i="13"/>
  <c r="M254" i="13" s="1"/>
  <c r="L246" i="13"/>
  <c r="M246" i="13" s="1"/>
  <c r="L232" i="13"/>
  <c r="M232" i="13" s="1"/>
  <c r="L224" i="13"/>
  <c r="M224" i="13" s="1"/>
  <c r="L217" i="13"/>
  <c r="M217" i="13" s="1"/>
  <c r="L205" i="13"/>
  <c r="M205" i="13" s="1"/>
  <c r="L193" i="13"/>
  <c r="M193" i="13" s="1"/>
  <c r="L185" i="13"/>
  <c r="M185" i="13" s="1"/>
  <c r="L151" i="13"/>
  <c r="M151" i="13" s="1"/>
  <c r="L144" i="13"/>
  <c r="M144" i="13" s="1"/>
  <c r="L136" i="13"/>
  <c r="M136" i="13" s="1"/>
  <c r="L112" i="13"/>
  <c r="M112" i="13" s="1"/>
  <c r="L104" i="13"/>
  <c r="M104" i="13" s="1"/>
  <c r="L88" i="13"/>
  <c r="M88" i="13" s="1"/>
  <c r="L84" i="13"/>
  <c r="M84" i="13" s="1"/>
  <c r="L73" i="13"/>
  <c r="M73" i="13" s="1"/>
  <c r="L61" i="13"/>
  <c r="M61" i="13" s="1"/>
  <c r="L53" i="13"/>
  <c r="M53" i="13" s="1"/>
  <c r="L45" i="13"/>
  <c r="M45" i="13" s="1"/>
  <c r="L33" i="13"/>
  <c r="M33" i="13" s="1"/>
  <c r="L25" i="13"/>
  <c r="M25" i="13" s="1"/>
  <c r="L259" i="13"/>
  <c r="M259" i="13" s="1"/>
  <c r="L167" i="13"/>
  <c r="M167" i="13" s="1"/>
  <c r="L80" i="13"/>
  <c r="M80" i="13" s="1"/>
  <c r="L17" i="13"/>
  <c r="M17" i="13" s="1"/>
  <c r="L140" i="13"/>
  <c r="M140" i="13" s="1"/>
  <c r="L159" i="13"/>
  <c r="M159" i="13" s="1"/>
  <c r="L174" i="13"/>
  <c r="M174" i="13" s="1"/>
  <c r="L147" i="13"/>
  <c r="M147" i="13" s="1"/>
  <c r="G7" i="19"/>
  <c r="R7" i="19" s="1"/>
  <c r="H107" i="49"/>
  <c r="I107" i="49" s="1"/>
  <c r="H55" i="49"/>
  <c r="I55" i="49" s="1"/>
  <c r="H8" i="49"/>
  <c r="H106" i="49"/>
  <c r="H130" i="49"/>
  <c r="H172" i="49"/>
  <c r="H39" i="49"/>
  <c r="I39" i="49" s="1"/>
  <c r="H288" i="49"/>
  <c r="I288" i="49" s="1"/>
  <c r="H207" i="49"/>
  <c r="H191" i="49"/>
  <c r="H143" i="49"/>
  <c r="I143" i="49" s="1"/>
  <c r="H59" i="49"/>
  <c r="H47" i="49"/>
  <c r="H296" i="49"/>
  <c r="I296" i="49" s="1"/>
  <c r="H231" i="49"/>
  <c r="H230" i="49"/>
  <c r="H226" i="49"/>
  <c r="H206" i="49"/>
  <c r="H163" i="49"/>
  <c r="H126" i="49"/>
  <c r="H114" i="49"/>
  <c r="H90" i="49"/>
  <c r="H87" i="49"/>
  <c r="I87" i="49" s="1"/>
  <c r="H80" i="49"/>
  <c r="H72" i="49"/>
  <c r="H68" i="49"/>
  <c r="H63" i="49"/>
  <c r="I63" i="49" s="1"/>
  <c r="H36" i="49"/>
  <c r="H28" i="49"/>
  <c r="I28" i="49" s="1"/>
  <c r="H13" i="49"/>
  <c r="H11" i="49"/>
  <c r="I11" i="49" s="1"/>
  <c r="H67" i="49"/>
  <c r="I67" i="49" s="1"/>
  <c r="H266" i="49"/>
  <c r="H240" i="49"/>
  <c r="H176" i="49"/>
  <c r="H175" i="49"/>
  <c r="H125" i="49"/>
  <c r="H95" i="49"/>
  <c r="I95" i="49" s="1"/>
  <c r="H85" i="49"/>
  <c r="H84" i="49"/>
  <c r="H83" i="49"/>
  <c r="I83" i="49" s="1"/>
  <c r="H79" i="49"/>
  <c r="I79" i="49" s="1"/>
  <c r="H75" i="49"/>
  <c r="I75" i="49" s="1"/>
  <c r="H71" i="49"/>
  <c r="I71" i="49" s="1"/>
  <c r="H56" i="49"/>
  <c r="H52" i="49"/>
  <c r="H51" i="49"/>
  <c r="H31" i="49"/>
  <c r="I31" i="49" s="1"/>
  <c r="H14" i="49"/>
  <c r="H303" i="49"/>
  <c r="H299" i="49"/>
  <c r="H289" i="49"/>
  <c r="I289" i="49" s="1"/>
  <c r="H273" i="49"/>
  <c r="H265" i="49"/>
  <c r="H248" i="49"/>
  <c r="H239" i="49"/>
  <c r="I239" i="49" s="1"/>
  <c r="H220" i="49"/>
  <c r="I220" i="49" s="1"/>
  <c r="H196" i="49"/>
  <c r="I196" i="49" s="1"/>
  <c r="H157" i="49"/>
  <c r="H139" i="49"/>
  <c r="I139" i="49" s="1"/>
  <c r="H135" i="49"/>
  <c r="H60" i="49"/>
  <c r="H48" i="49"/>
  <c r="H32" i="49"/>
  <c r="H15" i="49"/>
  <c r="I15" i="49" s="1"/>
  <c r="H280" i="49"/>
  <c r="H276" i="49"/>
  <c r="I276" i="49" s="1"/>
  <c r="H259" i="49"/>
  <c r="H235" i="49"/>
  <c r="H223" i="49"/>
  <c r="H183" i="49"/>
  <c r="I183" i="49" s="1"/>
  <c r="H127" i="49"/>
  <c r="I127" i="49" s="1"/>
  <c r="H123" i="49"/>
  <c r="I123" i="49" s="1"/>
  <c r="H119" i="49"/>
  <c r="I119" i="49" s="1"/>
  <c r="H115" i="49"/>
  <c r="I115" i="49" s="1"/>
  <c r="H103" i="49"/>
  <c r="I103" i="49" s="1"/>
  <c r="H91" i="49"/>
  <c r="I91" i="49" s="1"/>
  <c r="H77" i="49"/>
  <c r="H35" i="49"/>
  <c r="I35" i="49" s="1"/>
  <c r="H16" i="49"/>
  <c r="B315" i="25"/>
  <c r="L6" i="13"/>
  <c r="M6" i="13" s="1"/>
  <c r="D8" i="36"/>
  <c r="J8" i="36"/>
  <c r="I8" i="36"/>
  <c r="F8" i="36"/>
  <c r="H8" i="36"/>
  <c r="E8" i="36"/>
  <c r="G8" i="36"/>
  <c r="K25" i="36" l="1"/>
  <c r="F33" i="34" s="1"/>
  <c r="K194" i="36"/>
  <c r="F202" i="34" s="1"/>
  <c r="K167" i="36"/>
  <c r="F175" i="34" s="1"/>
  <c r="K307" i="36"/>
  <c r="F315" i="34" s="1"/>
  <c r="K183" i="36"/>
  <c r="F191" i="34" s="1"/>
  <c r="K216" i="36"/>
  <c r="F224" i="34" s="1"/>
  <c r="K215" i="36"/>
  <c r="F223" i="34" s="1"/>
  <c r="K89" i="36"/>
  <c r="F97" i="34" s="1"/>
  <c r="K283" i="36"/>
  <c r="F291" i="34" s="1"/>
  <c r="K21" i="36"/>
  <c r="F29" i="34" s="1"/>
  <c r="K219" i="36"/>
  <c r="F227" i="34" s="1"/>
  <c r="K161" i="36"/>
  <c r="F169" i="34" s="1"/>
  <c r="K212" i="36"/>
  <c r="F220" i="34" s="1"/>
  <c r="K126" i="36"/>
  <c r="F134" i="34" s="1"/>
  <c r="K251" i="36"/>
  <c r="F259" i="34" s="1"/>
  <c r="K63" i="36"/>
  <c r="F71" i="34" s="1"/>
  <c r="K225" i="36"/>
  <c r="F233" i="34" s="1"/>
  <c r="K106" i="36"/>
  <c r="F114" i="34" s="1"/>
  <c r="K42" i="36"/>
  <c r="F50" i="34" s="1"/>
  <c r="K97" i="36"/>
  <c r="F105" i="34" s="1"/>
  <c r="K208" i="36"/>
  <c r="F216" i="34" s="1"/>
  <c r="K113" i="36"/>
  <c r="F121" i="34" s="1"/>
  <c r="K172" i="36"/>
  <c r="F180" i="34" s="1"/>
  <c r="K137" i="36"/>
  <c r="F145" i="34" s="1"/>
  <c r="K69" i="36"/>
  <c r="F77" i="34" s="1"/>
  <c r="K308" i="36"/>
  <c r="F316" i="34" s="1"/>
  <c r="K131" i="36"/>
  <c r="F139" i="34" s="1"/>
  <c r="K101" i="36"/>
  <c r="F109" i="34" s="1"/>
  <c r="K240" i="36"/>
  <c r="F248" i="34" s="1"/>
  <c r="K85" i="36"/>
  <c r="F93" i="34" s="1"/>
  <c r="K170" i="36"/>
  <c r="F178" i="34" s="1"/>
  <c r="K164" i="36"/>
  <c r="F172" i="34" s="1"/>
  <c r="K127" i="36"/>
  <c r="F135" i="34" s="1"/>
  <c r="K258" i="36"/>
  <c r="F266" i="34" s="1"/>
  <c r="K108" i="36"/>
  <c r="F116" i="34" s="1"/>
  <c r="K10" i="36"/>
  <c r="F18" i="34" s="1"/>
  <c r="K261" i="36"/>
  <c r="F269" i="34" s="1"/>
  <c r="K87" i="36"/>
  <c r="F95" i="34" s="1"/>
  <c r="K150" i="36"/>
  <c r="F158" i="34" s="1"/>
  <c r="K171" i="36"/>
  <c r="F179" i="34" s="1"/>
  <c r="K264" i="36"/>
  <c r="F272" i="34" s="1"/>
  <c r="K144" i="36"/>
  <c r="F152" i="34" s="1"/>
  <c r="K193" i="36"/>
  <c r="F201" i="34" s="1"/>
  <c r="K115" i="36"/>
  <c r="F123" i="34" s="1"/>
  <c r="K176" i="36"/>
  <c r="F184" i="34" s="1"/>
  <c r="K64" i="36"/>
  <c r="F72" i="34" s="1"/>
  <c r="K177" i="36"/>
  <c r="F185" i="34" s="1"/>
  <c r="K185" i="36"/>
  <c r="F193" i="34" s="1"/>
  <c r="K122" i="36"/>
  <c r="F130" i="34" s="1"/>
  <c r="K132" i="36"/>
  <c r="F140" i="34" s="1"/>
  <c r="K314" i="36"/>
  <c r="F322" i="34" s="1"/>
  <c r="K139" i="36"/>
  <c r="F147" i="34" s="1"/>
  <c r="K169" i="36"/>
  <c r="F177" i="34" s="1"/>
  <c r="K12" i="36"/>
  <c r="F20" i="34" s="1"/>
  <c r="K205" i="36"/>
  <c r="F213" i="34" s="1"/>
  <c r="K188" i="36"/>
  <c r="F196" i="34" s="1"/>
  <c r="K207" i="36"/>
  <c r="F215" i="34" s="1"/>
  <c r="K135" i="36"/>
  <c r="F143" i="34" s="1"/>
  <c r="K296" i="36"/>
  <c r="F304" i="34" s="1"/>
  <c r="K297" i="36"/>
  <c r="F305" i="34" s="1"/>
  <c r="K298" i="36"/>
  <c r="F306" i="34" s="1"/>
  <c r="K271" i="36"/>
  <c r="F279" i="34" s="1"/>
  <c r="K116" i="36"/>
  <c r="F124" i="34" s="1"/>
  <c r="K232" i="36"/>
  <c r="F240" i="34" s="1"/>
  <c r="K110" i="36"/>
  <c r="F118" i="34" s="1"/>
  <c r="K23" i="36"/>
  <c r="F31" i="34" s="1"/>
  <c r="K197" i="36"/>
  <c r="F205" i="34" s="1"/>
  <c r="K256" i="36"/>
  <c r="F264" i="34" s="1"/>
  <c r="K149" i="36"/>
  <c r="F157" i="34" s="1"/>
  <c r="K280" i="36"/>
  <c r="F288" i="34" s="1"/>
  <c r="K136" i="36"/>
  <c r="F144" i="34" s="1"/>
  <c r="K168" i="36"/>
  <c r="F176" i="34" s="1"/>
  <c r="K114" i="36"/>
  <c r="F122" i="34" s="1"/>
  <c r="K273" i="36"/>
  <c r="F281" i="34" s="1"/>
  <c r="K191" i="36"/>
  <c r="F199" i="34" s="1"/>
  <c r="K105" i="36"/>
  <c r="F113" i="34" s="1"/>
  <c r="K41" i="36"/>
  <c r="F49" i="34" s="1"/>
  <c r="K31" i="36"/>
  <c r="F39" i="34" s="1"/>
  <c r="K129" i="36"/>
  <c r="F137" i="34" s="1"/>
  <c r="K121" i="36"/>
  <c r="F129" i="34" s="1"/>
  <c r="K111" i="36"/>
  <c r="F119" i="34" s="1"/>
  <c r="K103" i="36"/>
  <c r="F111" i="34" s="1"/>
  <c r="K151" i="36"/>
  <c r="F159" i="34" s="1"/>
  <c r="K203" i="36"/>
  <c r="F211" i="34" s="1"/>
  <c r="K158" i="36"/>
  <c r="F166" i="34" s="1"/>
  <c r="K301" i="36"/>
  <c r="F309" i="34" s="1"/>
  <c r="K218" i="36"/>
  <c r="F226" i="34" s="1"/>
  <c r="K284" i="36"/>
  <c r="F292" i="34" s="1"/>
  <c r="K15" i="36"/>
  <c r="F23" i="34" s="1"/>
  <c r="K51" i="36"/>
  <c r="F59" i="34" s="1"/>
  <c r="K29" i="36"/>
  <c r="F37" i="34" s="1"/>
  <c r="K61" i="36"/>
  <c r="F69" i="34" s="1"/>
  <c r="K166" i="36"/>
  <c r="F174" i="34" s="1"/>
  <c r="K315" i="36"/>
  <c r="F323" i="34" s="1"/>
  <c r="K178" i="36"/>
  <c r="F186" i="34" s="1"/>
  <c r="K44" i="36"/>
  <c r="F52" i="34" s="1"/>
  <c r="K175" i="36"/>
  <c r="F183" i="34" s="1"/>
  <c r="K196" i="36"/>
  <c r="F204" i="34" s="1"/>
  <c r="K159" i="36"/>
  <c r="F167" i="34" s="1"/>
  <c r="K238" i="36"/>
  <c r="F246" i="34" s="1"/>
  <c r="K285" i="36"/>
  <c r="F293" i="34" s="1"/>
  <c r="K210" i="36"/>
  <c r="F218" i="34" s="1"/>
  <c r="K316" i="36"/>
  <c r="F324" i="34" s="1"/>
  <c r="K55" i="36"/>
  <c r="F63" i="34" s="1"/>
  <c r="K209" i="36"/>
  <c r="F217" i="34" s="1"/>
  <c r="K91" i="36"/>
  <c r="F99" i="34" s="1"/>
  <c r="K134" i="36"/>
  <c r="F142" i="34" s="1"/>
  <c r="K262" i="36"/>
  <c r="F270" i="34" s="1"/>
  <c r="K34" i="36"/>
  <c r="F42" i="34" s="1"/>
  <c r="K173" i="36"/>
  <c r="F181" i="34" s="1"/>
  <c r="K253" i="36"/>
  <c r="F261" i="34" s="1"/>
  <c r="K275" i="36"/>
  <c r="F283" i="34" s="1"/>
  <c r="K36" i="36"/>
  <c r="F44" i="34" s="1"/>
  <c r="K71" i="36"/>
  <c r="F79" i="34" s="1"/>
  <c r="K290" i="36"/>
  <c r="F298" i="34" s="1"/>
  <c r="K119" i="36"/>
  <c r="F127" i="34" s="1"/>
  <c r="K120" i="36"/>
  <c r="F128" i="34" s="1"/>
  <c r="K303" i="36"/>
  <c r="F311" i="34" s="1"/>
  <c r="K310" i="36"/>
  <c r="F318" i="34" s="1"/>
  <c r="K27" i="36"/>
  <c r="F35" i="34" s="1"/>
  <c r="K82" i="36"/>
  <c r="F90" i="34" s="1"/>
  <c r="K239" i="36"/>
  <c r="F247" i="34" s="1"/>
  <c r="K265" i="36"/>
  <c r="F273" i="34" s="1"/>
  <c r="K311" i="36"/>
  <c r="F319" i="34" s="1"/>
  <c r="K47" i="36"/>
  <c r="F55" i="34" s="1"/>
  <c r="K269" i="36"/>
  <c r="F277" i="34" s="1"/>
  <c r="K28" i="36"/>
  <c r="F36" i="34" s="1"/>
  <c r="K260" i="36"/>
  <c r="F268" i="34" s="1"/>
  <c r="K312" i="36"/>
  <c r="F320" i="34" s="1"/>
  <c r="K67" i="36"/>
  <c r="F75" i="34" s="1"/>
  <c r="K32" i="36"/>
  <c r="F40" i="34" s="1"/>
  <c r="K282" i="36"/>
  <c r="F290" i="34" s="1"/>
  <c r="K233" i="36"/>
  <c r="F241" i="34" s="1"/>
  <c r="K18" i="36"/>
  <c r="F26" i="34" s="1"/>
  <c r="K211" i="36"/>
  <c r="F219" i="34" s="1"/>
  <c r="K228" i="36"/>
  <c r="F236" i="34" s="1"/>
  <c r="K268" i="36"/>
  <c r="F276" i="34" s="1"/>
  <c r="K302" i="36"/>
  <c r="F310" i="34" s="1"/>
  <c r="K92" i="36"/>
  <c r="F100" i="34" s="1"/>
  <c r="K20" i="36"/>
  <c r="F28" i="34" s="1"/>
  <c r="K289" i="36"/>
  <c r="F297" i="34" s="1"/>
  <c r="K24" i="36"/>
  <c r="F32" i="34" s="1"/>
  <c r="K124" i="36"/>
  <c r="F132" i="34" s="1"/>
  <c r="K88" i="36"/>
  <c r="F96" i="34" s="1"/>
  <c r="K220" i="36"/>
  <c r="F228" i="34" s="1"/>
  <c r="K146" i="36"/>
  <c r="F154" i="34" s="1"/>
  <c r="K263" i="36"/>
  <c r="F271" i="34" s="1"/>
  <c r="D159" i="9"/>
  <c r="I153" i="32"/>
  <c r="D150" i="9"/>
  <c r="I144" i="32"/>
  <c r="D253" i="9"/>
  <c r="I247" i="32"/>
  <c r="D119" i="9"/>
  <c r="I113" i="32"/>
  <c r="D81" i="9"/>
  <c r="I75" i="32"/>
  <c r="D250" i="9"/>
  <c r="I244" i="32"/>
  <c r="D311" i="9"/>
  <c r="I305" i="32"/>
  <c r="D201" i="9"/>
  <c r="I195" i="32"/>
  <c r="D53" i="9"/>
  <c r="I47" i="32"/>
  <c r="D178" i="9"/>
  <c r="I172" i="32"/>
  <c r="D288" i="9"/>
  <c r="I282" i="32"/>
  <c r="D128" i="9"/>
  <c r="I122" i="32"/>
  <c r="D208" i="9"/>
  <c r="I202" i="32"/>
  <c r="D277" i="9"/>
  <c r="I271" i="32"/>
  <c r="D239" i="9"/>
  <c r="I233" i="32"/>
  <c r="D121" i="9"/>
  <c r="I115" i="32"/>
  <c r="D71" i="9"/>
  <c r="I65" i="32"/>
  <c r="D266" i="9"/>
  <c r="I260" i="32"/>
  <c r="D160" i="9"/>
  <c r="I154" i="32"/>
  <c r="D257" i="9"/>
  <c r="I251" i="32"/>
  <c r="D64" i="9"/>
  <c r="I58" i="32"/>
  <c r="D301" i="9"/>
  <c r="I295" i="32"/>
  <c r="D70" i="9"/>
  <c r="I64" i="32"/>
  <c r="I44" i="32"/>
  <c r="D50" i="9"/>
  <c r="D138" i="9"/>
  <c r="I132" i="32"/>
  <c r="D213" i="9"/>
  <c r="I207" i="32"/>
  <c r="D161" i="9"/>
  <c r="I155" i="32"/>
  <c r="D126" i="9"/>
  <c r="I120" i="32"/>
  <c r="D187" i="9"/>
  <c r="I181" i="32"/>
  <c r="D58" i="9"/>
  <c r="I52" i="32"/>
  <c r="D74" i="9"/>
  <c r="I68" i="32"/>
  <c r="D183" i="9"/>
  <c r="I177" i="32"/>
  <c r="D145" i="9"/>
  <c r="I139" i="32"/>
  <c r="D26" i="9"/>
  <c r="I20" i="32"/>
  <c r="D163" i="9"/>
  <c r="I157" i="32"/>
  <c r="D88" i="9"/>
  <c r="I82" i="32"/>
  <c r="D206" i="9"/>
  <c r="I200" i="32"/>
  <c r="D281" i="9"/>
  <c r="I275" i="32"/>
  <c r="D94" i="9"/>
  <c r="I88" i="32"/>
  <c r="I93" i="32"/>
  <c r="D99" i="9"/>
  <c r="D230" i="9"/>
  <c r="I224" i="32"/>
  <c r="D105" i="9"/>
  <c r="I99" i="32"/>
  <c r="D177" i="9"/>
  <c r="I171" i="32"/>
  <c r="D282" i="9"/>
  <c r="I276" i="32"/>
  <c r="D174" i="9"/>
  <c r="I168" i="32"/>
  <c r="D199" i="9"/>
  <c r="I193" i="32"/>
  <c r="D262" i="9"/>
  <c r="I256" i="32"/>
  <c r="D316" i="9"/>
  <c r="I310" i="32"/>
  <c r="D175" i="9"/>
  <c r="I169" i="32"/>
  <c r="D131" i="9"/>
  <c r="I125" i="32"/>
  <c r="D168" i="9"/>
  <c r="I162" i="32"/>
  <c r="D295" i="9"/>
  <c r="I289" i="32"/>
  <c r="D13" i="9"/>
  <c r="I7" i="32"/>
  <c r="D261" i="9"/>
  <c r="I255" i="32"/>
  <c r="D205" i="9"/>
  <c r="I199" i="32"/>
  <c r="D107" i="9"/>
  <c r="I101" i="32"/>
  <c r="D118" i="9"/>
  <c r="I112" i="32"/>
  <c r="D258" i="9"/>
  <c r="I252" i="32"/>
  <c r="D136" i="9"/>
  <c r="I130" i="32"/>
  <c r="D60" i="9"/>
  <c r="I54" i="32"/>
  <c r="D237" i="9"/>
  <c r="I231" i="32"/>
  <c r="D276" i="9"/>
  <c r="I270" i="32"/>
  <c r="D165" i="9"/>
  <c r="I159" i="32"/>
  <c r="D227" i="9"/>
  <c r="I221" i="32"/>
  <c r="D73" i="9"/>
  <c r="I67" i="32"/>
  <c r="D306" i="9"/>
  <c r="I300" i="32"/>
  <c r="D179" i="9"/>
  <c r="I173" i="32"/>
  <c r="D103" i="9"/>
  <c r="I97" i="32"/>
  <c r="D259" i="9"/>
  <c r="I253" i="32"/>
  <c r="D248" i="9"/>
  <c r="I242" i="32"/>
  <c r="I217" i="32"/>
  <c r="D223" i="9"/>
  <c r="D61" i="9"/>
  <c r="I55" i="32"/>
  <c r="D80" i="9"/>
  <c r="I74" i="32"/>
  <c r="D198" i="9"/>
  <c r="I192" i="32"/>
  <c r="D87" i="9"/>
  <c r="I81" i="32"/>
  <c r="D42" i="9"/>
  <c r="I36" i="32"/>
  <c r="D62" i="9"/>
  <c r="I56" i="32"/>
  <c r="K33" i="36"/>
  <c r="F41" i="34" s="1"/>
  <c r="K59" i="36"/>
  <c r="F67" i="34" s="1"/>
  <c r="K190" i="36"/>
  <c r="F198" i="34" s="1"/>
  <c r="K62" i="36"/>
  <c r="F70" i="34" s="1"/>
  <c r="K174" i="36"/>
  <c r="F182" i="34" s="1"/>
  <c r="K244" i="36"/>
  <c r="F252" i="34" s="1"/>
  <c r="K94" i="36"/>
  <c r="F102" i="34" s="1"/>
  <c r="K206" i="36"/>
  <c r="F214" i="34" s="1"/>
  <c r="K86" i="36"/>
  <c r="F94" i="34" s="1"/>
  <c r="K37" i="36"/>
  <c r="F45" i="34" s="1"/>
  <c r="K182" i="36"/>
  <c r="F190" i="34" s="1"/>
  <c r="K222" i="36"/>
  <c r="F230" i="34" s="1"/>
  <c r="K70" i="36"/>
  <c r="F78" i="34" s="1"/>
  <c r="K13" i="36"/>
  <c r="F21" i="34" s="1"/>
  <c r="K65" i="36"/>
  <c r="F73" i="34" s="1"/>
  <c r="K66" i="36"/>
  <c r="F74" i="34" s="1"/>
  <c r="K154" i="36"/>
  <c r="F162" i="34" s="1"/>
  <c r="K267" i="36"/>
  <c r="F275" i="34" s="1"/>
  <c r="K76" i="36"/>
  <c r="F84" i="34" s="1"/>
  <c r="K248" i="36"/>
  <c r="F256" i="34" s="1"/>
  <c r="K79" i="36"/>
  <c r="F87" i="34" s="1"/>
  <c r="K140" i="36"/>
  <c r="F148" i="34" s="1"/>
  <c r="K19" i="36"/>
  <c r="F27" i="34" s="1"/>
  <c r="K230" i="36"/>
  <c r="F238" i="34" s="1"/>
  <c r="K243" i="36"/>
  <c r="F251" i="34" s="1"/>
  <c r="K293" i="36"/>
  <c r="F301" i="34" s="1"/>
  <c r="K277" i="36"/>
  <c r="F285" i="34" s="1"/>
  <c r="K254" i="36"/>
  <c r="F262" i="34" s="1"/>
  <c r="K112" i="36"/>
  <c r="F120" i="34" s="1"/>
  <c r="K107" i="36"/>
  <c r="F115" i="34" s="1"/>
  <c r="K304" i="36"/>
  <c r="F312" i="34" s="1"/>
  <c r="K58" i="36"/>
  <c r="F66" i="34" s="1"/>
  <c r="K73" i="36"/>
  <c r="F81" i="34" s="1"/>
  <c r="K234" i="36"/>
  <c r="F242" i="34" s="1"/>
  <c r="K141" i="36"/>
  <c r="F149" i="34" s="1"/>
  <c r="K226" i="36"/>
  <c r="F234" i="34" s="1"/>
  <c r="K52" i="36"/>
  <c r="F60" i="34" s="1"/>
  <c r="K180" i="36"/>
  <c r="F188" i="34" s="1"/>
  <c r="K35" i="36"/>
  <c r="F43" i="34" s="1"/>
  <c r="K201" i="36"/>
  <c r="F209" i="34" s="1"/>
  <c r="K152" i="36"/>
  <c r="F160" i="34" s="1"/>
  <c r="K39" i="36"/>
  <c r="F47" i="34" s="1"/>
  <c r="K48" i="36"/>
  <c r="F56" i="34" s="1"/>
  <c r="K102" i="36"/>
  <c r="F110" i="34" s="1"/>
  <c r="K165" i="36"/>
  <c r="F173" i="34" s="1"/>
  <c r="K274" i="36"/>
  <c r="F282" i="34" s="1"/>
  <c r="K96" i="36"/>
  <c r="F104" i="34" s="1"/>
  <c r="K50" i="36"/>
  <c r="F58" i="34" s="1"/>
  <c r="K16" i="36"/>
  <c r="F24" i="34" s="1"/>
  <c r="K179" i="36"/>
  <c r="F187" i="34" s="1"/>
  <c r="K227" i="36"/>
  <c r="F235" i="34" s="1"/>
  <c r="K74" i="36"/>
  <c r="F82" i="34" s="1"/>
  <c r="K78" i="36"/>
  <c r="F86" i="34" s="1"/>
  <c r="K288" i="36"/>
  <c r="F296" i="34" s="1"/>
  <c r="K156" i="36"/>
  <c r="F164" i="34" s="1"/>
  <c r="K99" i="36"/>
  <c r="F107" i="34" s="1"/>
  <c r="K184" i="36"/>
  <c r="F192" i="34" s="1"/>
  <c r="K195" i="36"/>
  <c r="F203" i="34" s="1"/>
  <c r="K128" i="36"/>
  <c r="F136" i="34" s="1"/>
  <c r="K26" i="36"/>
  <c r="F34" i="34" s="1"/>
  <c r="K249" i="36"/>
  <c r="F257" i="34" s="1"/>
  <c r="K295" i="36"/>
  <c r="F303" i="34" s="1"/>
  <c r="K305" i="36"/>
  <c r="F313" i="34" s="1"/>
  <c r="K98" i="36"/>
  <c r="F106" i="34" s="1"/>
  <c r="K281" i="36"/>
  <c r="F289" i="34" s="1"/>
  <c r="K200" i="36"/>
  <c r="F208" i="34" s="1"/>
  <c r="K30" i="36"/>
  <c r="F38" i="34" s="1"/>
  <c r="K56" i="36"/>
  <c r="F64" i="34" s="1"/>
  <c r="K181" i="36"/>
  <c r="F189" i="34" s="1"/>
  <c r="K143" i="36"/>
  <c r="F151" i="34" s="1"/>
  <c r="K60" i="36"/>
  <c r="F68" i="34" s="1"/>
  <c r="K245" i="36"/>
  <c r="F253" i="34" s="1"/>
  <c r="K229" i="36"/>
  <c r="F237" i="34" s="1"/>
  <c r="K104" i="36"/>
  <c r="F112" i="34" s="1"/>
  <c r="K95" i="36"/>
  <c r="F103" i="34" s="1"/>
  <c r="K294" i="36"/>
  <c r="F302" i="34" s="1"/>
  <c r="K163" i="36"/>
  <c r="F171" i="34" s="1"/>
  <c r="D147" i="9"/>
  <c r="I141" i="32"/>
  <c r="D228" i="9"/>
  <c r="I222" i="32"/>
  <c r="D149" i="9"/>
  <c r="I143" i="32"/>
  <c r="D300" i="9"/>
  <c r="I294" i="32"/>
  <c r="D59" i="9"/>
  <c r="I53" i="32"/>
  <c r="D40" i="9"/>
  <c r="I34" i="32"/>
  <c r="D90" i="9"/>
  <c r="I84" i="32"/>
  <c r="D252" i="9"/>
  <c r="I246" i="32"/>
  <c r="I297" i="32"/>
  <c r="D303" i="9"/>
  <c r="I19" i="32"/>
  <c r="D25" i="9"/>
  <c r="D299" i="9"/>
  <c r="I293" i="32"/>
  <c r="D310" i="9"/>
  <c r="I304" i="32"/>
  <c r="D181" i="9"/>
  <c r="I175" i="32"/>
  <c r="D72" i="9"/>
  <c r="I66" i="32"/>
  <c r="D153" i="9"/>
  <c r="I147" i="32"/>
  <c r="D226" i="9"/>
  <c r="I220" i="32"/>
  <c r="D30" i="9"/>
  <c r="I24" i="32"/>
  <c r="D19" i="9"/>
  <c r="I13" i="32"/>
  <c r="D101" i="9"/>
  <c r="I95" i="32"/>
  <c r="D156" i="9"/>
  <c r="I150" i="32"/>
  <c r="D137" i="9"/>
  <c r="I131" i="32"/>
  <c r="D309" i="9"/>
  <c r="I303" i="32"/>
  <c r="D34" i="9"/>
  <c r="I28" i="32"/>
  <c r="D180" i="9"/>
  <c r="I174" i="32"/>
  <c r="D37" i="9"/>
  <c r="I31" i="32"/>
  <c r="D134" i="9"/>
  <c r="I128" i="32"/>
  <c r="D192" i="9"/>
  <c r="I186" i="32"/>
  <c r="D67" i="9"/>
  <c r="I61" i="32"/>
  <c r="D151" i="9"/>
  <c r="I145" i="32"/>
  <c r="D171" i="9"/>
  <c r="I165" i="32"/>
  <c r="D211" i="9"/>
  <c r="I205" i="32"/>
  <c r="D184" i="9"/>
  <c r="I178" i="32"/>
  <c r="D106" i="9"/>
  <c r="I100" i="32"/>
  <c r="I229" i="32"/>
  <c r="D235" i="9"/>
  <c r="D202" i="9"/>
  <c r="I196" i="32"/>
  <c r="D305" i="9"/>
  <c r="I299" i="32"/>
  <c r="I234" i="32"/>
  <c r="D240" i="9"/>
  <c r="D220" i="9"/>
  <c r="I214" i="32"/>
  <c r="D17" i="9"/>
  <c r="I11" i="32"/>
  <c r="D24" i="9"/>
  <c r="I18" i="32"/>
  <c r="D135" i="9"/>
  <c r="I129" i="32"/>
  <c r="D96" i="9"/>
  <c r="I90" i="32"/>
  <c r="D214" i="9"/>
  <c r="I208" i="32"/>
  <c r="D41" i="9"/>
  <c r="I35" i="32"/>
  <c r="D190" i="9"/>
  <c r="I184" i="32"/>
  <c r="D91" i="9"/>
  <c r="I85" i="32"/>
  <c r="D132" i="9"/>
  <c r="I126" i="32"/>
  <c r="D238" i="9"/>
  <c r="I232" i="32"/>
  <c r="D82" i="9"/>
  <c r="I76" i="32"/>
  <c r="D115" i="9"/>
  <c r="I109" i="32"/>
  <c r="D79" i="9"/>
  <c r="I73" i="32"/>
  <c r="D203" i="9"/>
  <c r="I197" i="32"/>
  <c r="D33" i="9"/>
  <c r="I27" i="32"/>
  <c r="D167" i="9"/>
  <c r="I161" i="32"/>
  <c r="D318" i="9"/>
  <c r="I312" i="32"/>
  <c r="D108" i="9"/>
  <c r="I102" i="32"/>
  <c r="D170" i="9"/>
  <c r="I164" i="32"/>
  <c r="D46" i="9"/>
  <c r="I40" i="32"/>
  <c r="D269" i="9"/>
  <c r="I263" i="32"/>
  <c r="D144" i="9"/>
  <c r="I138" i="32"/>
  <c r="D140" i="9"/>
  <c r="I134" i="32"/>
  <c r="D93" i="9"/>
  <c r="I87" i="32"/>
  <c r="D15" i="9"/>
  <c r="I9" i="32"/>
  <c r="D217" i="9"/>
  <c r="I211" i="32"/>
  <c r="D215" i="9"/>
  <c r="I209" i="32"/>
  <c r="D247" i="9"/>
  <c r="I241" i="32"/>
  <c r="D20" i="9"/>
  <c r="I14" i="32"/>
  <c r="D197" i="9"/>
  <c r="I191" i="32"/>
  <c r="D200" i="9"/>
  <c r="I194" i="32"/>
  <c r="D274" i="9"/>
  <c r="I268" i="32"/>
  <c r="D194" i="9"/>
  <c r="I188" i="32"/>
  <c r="D314" i="9"/>
  <c r="I308" i="32"/>
  <c r="D297" i="9"/>
  <c r="I291" i="32"/>
  <c r="D188" i="9"/>
  <c r="I182" i="32"/>
  <c r="D148" i="9"/>
  <c r="I142" i="32"/>
  <c r="D270" i="9"/>
  <c r="I264" i="32"/>
  <c r="D279" i="9"/>
  <c r="I273" i="32"/>
  <c r="D123" i="9"/>
  <c r="I117" i="32"/>
  <c r="D221" i="9"/>
  <c r="I215" i="32"/>
  <c r="D251" i="9"/>
  <c r="I245" i="32"/>
  <c r="D116" i="9"/>
  <c r="I110" i="32"/>
  <c r="D152" i="9"/>
  <c r="I146" i="32"/>
  <c r="D127" i="9"/>
  <c r="I121" i="32"/>
  <c r="D271" i="9"/>
  <c r="I265" i="32"/>
  <c r="D307" i="9"/>
  <c r="I301" i="32"/>
  <c r="D312" i="9"/>
  <c r="I306" i="32"/>
  <c r="D28" i="9"/>
  <c r="I22" i="32"/>
  <c r="D219" i="9"/>
  <c r="I213" i="32"/>
  <c r="D212" i="9"/>
  <c r="I206" i="32"/>
  <c r="D120" i="9"/>
  <c r="I114" i="32"/>
  <c r="D65" i="9"/>
  <c r="I59" i="32"/>
  <c r="D31" i="9"/>
  <c r="I25" i="32"/>
  <c r="D78" i="9"/>
  <c r="I72" i="32"/>
  <c r="D85" i="9"/>
  <c r="I79" i="32"/>
  <c r="I237" i="32"/>
  <c r="D243" i="9"/>
  <c r="D113" i="9"/>
  <c r="I107" i="32"/>
  <c r="D143" i="9"/>
  <c r="I137" i="32"/>
  <c r="D22" i="9"/>
  <c r="I16" i="32"/>
  <c r="D102" i="9"/>
  <c r="I96" i="32"/>
  <c r="D280" i="9"/>
  <c r="I274" i="32"/>
  <c r="D109" i="9"/>
  <c r="I103" i="32"/>
  <c r="D225" i="9"/>
  <c r="I219" i="32"/>
  <c r="D110" i="9"/>
  <c r="I104" i="32"/>
  <c r="D319" i="9"/>
  <c r="I313" i="32"/>
  <c r="D83" i="9"/>
  <c r="I77" i="32"/>
  <c r="D32" i="9"/>
  <c r="I26" i="32"/>
  <c r="D129" i="9"/>
  <c r="I123" i="32"/>
  <c r="D63" i="9"/>
  <c r="I57" i="32"/>
  <c r="I39" i="32"/>
  <c r="D45" i="9"/>
  <c r="I98" i="32"/>
  <c r="D104" i="9"/>
  <c r="D158" i="9"/>
  <c r="I152" i="32"/>
  <c r="D77" i="9"/>
  <c r="I71" i="32"/>
  <c r="D84" i="9"/>
  <c r="I78" i="32"/>
  <c r="D185" i="9"/>
  <c r="I179" i="32"/>
  <c r="D245" i="9"/>
  <c r="I239" i="32"/>
  <c r="D317" i="9"/>
  <c r="I311" i="32"/>
  <c r="D233" i="9"/>
  <c r="I227" i="32"/>
  <c r="D111" i="9"/>
  <c r="I105" i="32"/>
  <c r="I290" i="32"/>
  <c r="D296" i="9"/>
  <c r="D139" i="9"/>
  <c r="I133" i="32"/>
  <c r="D222" i="9"/>
  <c r="I216" i="32"/>
  <c r="D122" i="9"/>
  <c r="I116" i="32"/>
  <c r="D193" i="9"/>
  <c r="I187" i="32"/>
  <c r="I257" i="32"/>
  <c r="D263" i="9"/>
  <c r="D55" i="9"/>
  <c r="I49" i="32"/>
  <c r="D86" i="9"/>
  <c r="I80" i="32"/>
  <c r="I269" i="32"/>
  <c r="D275" i="9"/>
  <c r="D57" i="9"/>
  <c r="I51" i="32"/>
  <c r="I41" i="32"/>
  <c r="D47" i="9"/>
  <c r="D112" i="9"/>
  <c r="I106" i="32"/>
  <c r="D204" i="9"/>
  <c r="I198" i="32"/>
  <c r="D92" i="9"/>
  <c r="I86" i="32"/>
  <c r="D16" i="9"/>
  <c r="I10" i="32"/>
  <c r="D236" i="9"/>
  <c r="I230" i="32"/>
  <c r="D292" i="9"/>
  <c r="I286" i="32"/>
  <c r="D35" i="9"/>
  <c r="I29" i="32"/>
  <c r="D146" i="9"/>
  <c r="I140" i="32"/>
  <c r="D191" i="9"/>
  <c r="I185" i="32"/>
  <c r="D293" i="9"/>
  <c r="I287" i="32"/>
  <c r="D95" i="9"/>
  <c r="I89" i="32"/>
  <c r="D254" i="9"/>
  <c r="I248" i="32"/>
  <c r="D267" i="9"/>
  <c r="I261" i="32"/>
  <c r="D141" i="9"/>
  <c r="I135" i="32"/>
  <c r="D14" i="9"/>
  <c r="I8" i="32"/>
  <c r="D51" i="9"/>
  <c r="I45" i="32"/>
  <c r="D75" i="9"/>
  <c r="I69" i="32"/>
  <c r="I170" i="32"/>
  <c r="D176" i="9"/>
  <c r="I278" i="32"/>
  <c r="D284" i="9"/>
  <c r="D52" i="9"/>
  <c r="I46" i="32"/>
  <c r="D244" i="9"/>
  <c r="I238" i="32"/>
  <c r="D154" i="9"/>
  <c r="I148" i="32"/>
  <c r="D285" i="9"/>
  <c r="I279" i="32"/>
  <c r="D302" i="9"/>
  <c r="I296" i="32"/>
  <c r="K93" i="36"/>
  <c r="F101" i="34" s="1"/>
  <c r="K138" i="36"/>
  <c r="F146" i="34" s="1"/>
  <c r="K17" i="36"/>
  <c r="F25" i="34" s="1"/>
  <c r="K125" i="36"/>
  <c r="F133" i="34" s="1"/>
  <c r="K292" i="36"/>
  <c r="F300" i="34" s="1"/>
  <c r="K77" i="36"/>
  <c r="F85" i="34" s="1"/>
  <c r="K133" i="36"/>
  <c r="F141" i="34" s="1"/>
  <c r="K198" i="36"/>
  <c r="F206" i="34" s="1"/>
  <c r="K9" i="36"/>
  <c r="F17" i="34" s="1"/>
  <c r="K109" i="36"/>
  <c r="F117" i="34" s="1"/>
  <c r="K145" i="36"/>
  <c r="F153" i="34" s="1"/>
  <c r="K255" i="36"/>
  <c r="F263" i="34" s="1"/>
  <c r="K213" i="36"/>
  <c r="F221" i="34" s="1"/>
  <c r="K45" i="36"/>
  <c r="F53" i="34" s="1"/>
  <c r="K117" i="36"/>
  <c r="F125" i="34" s="1"/>
  <c r="K202" i="36"/>
  <c r="F210" i="34" s="1"/>
  <c r="K187" i="36"/>
  <c r="F195" i="34" s="1"/>
  <c r="K192" i="36"/>
  <c r="F200" i="34" s="1"/>
  <c r="K291" i="36"/>
  <c r="F299" i="34" s="1"/>
  <c r="K46" i="36"/>
  <c r="F54" i="34" s="1"/>
  <c r="K90" i="36"/>
  <c r="F98" i="34" s="1"/>
  <c r="K259" i="36"/>
  <c r="F267" i="34" s="1"/>
  <c r="K287" i="36"/>
  <c r="F295" i="34" s="1"/>
  <c r="K236" i="36"/>
  <c r="F244" i="34" s="1"/>
  <c r="K276" i="36"/>
  <c r="F284" i="34" s="1"/>
  <c r="K309" i="36"/>
  <c r="F317" i="34" s="1"/>
  <c r="K299" i="36"/>
  <c r="F307" i="34" s="1"/>
  <c r="K300" i="36"/>
  <c r="F308" i="34" s="1"/>
  <c r="K123" i="36"/>
  <c r="F131" i="34" s="1"/>
  <c r="K38" i="36"/>
  <c r="F46" i="34" s="1"/>
  <c r="K313" i="36"/>
  <c r="F321" i="34" s="1"/>
  <c r="K49" i="36"/>
  <c r="F57" i="34" s="1"/>
  <c r="K162" i="36"/>
  <c r="F170" i="34" s="1"/>
  <c r="K186" i="36"/>
  <c r="F194" i="34" s="1"/>
  <c r="K214" i="36"/>
  <c r="F222" i="34" s="1"/>
  <c r="K250" i="36"/>
  <c r="F258" i="34" s="1"/>
  <c r="K155" i="36"/>
  <c r="F163" i="34" s="1"/>
  <c r="K266" i="36"/>
  <c r="F274" i="34" s="1"/>
  <c r="K189" i="36"/>
  <c r="F197" i="34" s="1"/>
  <c r="K14" i="36"/>
  <c r="F22" i="34" s="1"/>
  <c r="K272" i="36"/>
  <c r="F280" i="34" s="1"/>
  <c r="K157" i="36"/>
  <c r="F165" i="34" s="1"/>
  <c r="K147" i="36"/>
  <c r="F155" i="34" s="1"/>
  <c r="K43" i="36"/>
  <c r="F51" i="34" s="1"/>
  <c r="K286" i="36"/>
  <c r="F294" i="34" s="1"/>
  <c r="K217" i="36"/>
  <c r="F225" i="34" s="1"/>
  <c r="K223" i="36"/>
  <c r="F231" i="34" s="1"/>
  <c r="K148" i="36"/>
  <c r="F156" i="34" s="1"/>
  <c r="K231" i="36"/>
  <c r="F239" i="34" s="1"/>
  <c r="K237" i="36"/>
  <c r="F245" i="34" s="1"/>
  <c r="K257" i="36"/>
  <c r="F265" i="34" s="1"/>
  <c r="K118" i="36"/>
  <c r="F126" i="34" s="1"/>
  <c r="K54" i="36"/>
  <c r="F62" i="34" s="1"/>
  <c r="K11" i="36"/>
  <c r="F19" i="34" s="1"/>
  <c r="K224" i="36"/>
  <c r="F232" i="34" s="1"/>
  <c r="K75" i="36"/>
  <c r="F83" i="34" s="1"/>
  <c r="K68" i="36"/>
  <c r="F76" i="34" s="1"/>
  <c r="K153" i="36"/>
  <c r="F161" i="34" s="1"/>
  <c r="K22" i="36"/>
  <c r="F30" i="34" s="1"/>
  <c r="K270" i="36"/>
  <c r="F278" i="34" s="1"/>
  <c r="K247" i="36"/>
  <c r="F255" i="34" s="1"/>
  <c r="K160" i="36"/>
  <c r="F168" i="34" s="1"/>
  <c r="K80" i="36"/>
  <c r="F88" i="34" s="1"/>
  <c r="K241" i="36"/>
  <c r="F249" i="34" s="1"/>
  <c r="K83" i="36"/>
  <c r="F91" i="34" s="1"/>
  <c r="K252" i="36"/>
  <c r="F260" i="34" s="1"/>
  <c r="K306" i="36"/>
  <c r="F314" i="34" s="1"/>
  <c r="K142" i="36"/>
  <c r="F150" i="34" s="1"/>
  <c r="K278" i="36"/>
  <c r="F286" i="34" s="1"/>
  <c r="K100" i="36"/>
  <c r="F108" i="34" s="1"/>
  <c r="K235" i="36"/>
  <c r="F243" i="34" s="1"/>
  <c r="K84" i="36"/>
  <c r="F92" i="34" s="1"/>
  <c r="K40" i="36"/>
  <c r="F48" i="34" s="1"/>
  <c r="K204" i="36"/>
  <c r="F212" i="34" s="1"/>
  <c r="K130" i="36"/>
  <c r="F138" i="34" s="1"/>
  <c r="K199" i="36"/>
  <c r="F207" i="34" s="1"/>
  <c r="K279" i="36"/>
  <c r="F287" i="34" s="1"/>
  <c r="D117" i="9"/>
  <c r="I111" i="32"/>
  <c r="D36" i="9"/>
  <c r="I30" i="32"/>
  <c r="D291" i="9"/>
  <c r="I285" i="32"/>
  <c r="I298" i="32"/>
  <c r="D304" i="9"/>
  <c r="D44" i="9"/>
  <c r="I38" i="32"/>
  <c r="D272" i="9"/>
  <c r="I266" i="32"/>
  <c r="D246" i="9"/>
  <c r="I240" i="32"/>
  <c r="D249" i="9"/>
  <c r="I243" i="32"/>
  <c r="D89" i="9"/>
  <c r="I83" i="32"/>
  <c r="D97" i="9"/>
  <c r="I91" i="32"/>
  <c r="D56" i="9"/>
  <c r="I50" i="32"/>
  <c r="D133" i="9"/>
  <c r="I127" i="32"/>
  <c r="D273" i="9"/>
  <c r="I267" i="32"/>
  <c r="D172" i="9"/>
  <c r="I166" i="32"/>
  <c r="D210" i="9"/>
  <c r="I204" i="32"/>
  <c r="D315" i="9"/>
  <c r="I309" i="32"/>
  <c r="I302" i="32"/>
  <c r="D308" i="9"/>
  <c r="D54" i="9"/>
  <c r="I48" i="32"/>
  <c r="D29" i="9"/>
  <c r="I23" i="32"/>
  <c r="D69" i="9"/>
  <c r="I63" i="32"/>
  <c r="D12" i="9"/>
  <c r="I6" i="32"/>
  <c r="D286" i="9"/>
  <c r="I280" i="32"/>
  <c r="D130" i="9"/>
  <c r="I124" i="32"/>
  <c r="D27" i="9"/>
  <c r="I21" i="32"/>
  <c r="D218" i="9"/>
  <c r="I212" i="32"/>
  <c r="I158" i="32"/>
  <c r="D164" i="9"/>
  <c r="D114" i="9"/>
  <c r="I108" i="32"/>
  <c r="D49" i="9"/>
  <c r="I43" i="32"/>
  <c r="I250" i="32"/>
  <c r="D256" i="9"/>
  <c r="D23" i="9"/>
  <c r="I17" i="32"/>
  <c r="D232" i="9"/>
  <c r="I226" i="32"/>
  <c r="D186" i="9"/>
  <c r="I180" i="32"/>
  <c r="D260" i="9"/>
  <c r="I254" i="32"/>
  <c r="I281" i="32"/>
  <c r="D287" i="9"/>
  <c r="D313" i="9"/>
  <c r="I307" i="32"/>
  <c r="D294" i="9"/>
  <c r="I288" i="32"/>
  <c r="D124" i="9"/>
  <c r="I118" i="32"/>
  <c r="D76" i="9"/>
  <c r="I70" i="32"/>
  <c r="D242" i="9"/>
  <c r="I236" i="32"/>
  <c r="D39" i="9"/>
  <c r="I33" i="32"/>
  <c r="D98" i="9"/>
  <c r="I92" i="32"/>
  <c r="D43" i="9"/>
  <c r="I37" i="32"/>
  <c r="D290" i="9"/>
  <c r="I284" i="32"/>
  <c r="D68" i="9"/>
  <c r="I62" i="32"/>
  <c r="D224" i="9"/>
  <c r="I218" i="32"/>
  <c r="D142" i="9"/>
  <c r="I136" i="32"/>
  <c r="D207" i="9"/>
  <c r="I201" i="32"/>
  <c r="D18" i="9"/>
  <c r="I12" i="32"/>
  <c r="D155" i="9"/>
  <c r="I149" i="32"/>
  <c r="D209" i="9"/>
  <c r="I203" i="32"/>
  <c r="D48" i="9"/>
  <c r="I42" i="32"/>
  <c r="D125" i="9"/>
  <c r="I119" i="32"/>
  <c r="D173" i="9"/>
  <c r="I167" i="32"/>
  <c r="D289" i="9"/>
  <c r="I283" i="32"/>
  <c r="D189" i="9"/>
  <c r="I183" i="32"/>
  <c r="D162" i="9"/>
  <c r="I156" i="32"/>
  <c r="D195" i="9"/>
  <c r="I189" i="32"/>
  <c r="D169" i="9"/>
  <c r="I163" i="32"/>
  <c r="D265" i="9"/>
  <c r="I259" i="32"/>
  <c r="D234" i="9"/>
  <c r="I228" i="32"/>
  <c r="I249" i="32"/>
  <c r="D255" i="9"/>
  <c r="D38" i="9"/>
  <c r="I32" i="32"/>
  <c r="D157" i="9"/>
  <c r="I151" i="32"/>
  <c r="D229" i="9"/>
  <c r="I223" i="32"/>
  <c r="D216" i="9"/>
  <c r="I210" i="32"/>
  <c r="D268" i="9"/>
  <c r="I262" i="32"/>
  <c r="D264" i="9"/>
  <c r="I258" i="32"/>
  <c r="D21" i="9"/>
  <c r="I15" i="32"/>
  <c r="D196" i="9"/>
  <c r="I190" i="32"/>
  <c r="I225" i="32"/>
  <c r="D231" i="9"/>
  <c r="D298" i="9"/>
  <c r="I292" i="32"/>
  <c r="D100" i="9"/>
  <c r="I94" i="32"/>
  <c r="D283" i="9"/>
  <c r="I277" i="32"/>
  <c r="D241" i="9"/>
  <c r="I235" i="32"/>
  <c r="D182" i="9"/>
  <c r="I176" i="32"/>
  <c r="D166" i="9"/>
  <c r="I160" i="32"/>
  <c r="D66" i="9"/>
  <c r="I60" i="32"/>
  <c r="M7" i="13"/>
  <c r="I60" i="49"/>
  <c r="I90" i="49"/>
  <c r="I266" i="49"/>
  <c r="I226" i="49"/>
  <c r="I303" i="49"/>
  <c r="I16" i="49"/>
  <c r="I32" i="49"/>
  <c r="I84" i="49"/>
  <c r="I206" i="49"/>
  <c r="I125" i="49"/>
  <c r="I130" i="49"/>
  <c r="I85" i="49"/>
  <c r="I36" i="49"/>
  <c r="I157" i="49"/>
  <c r="I8" i="49"/>
  <c r="I47" i="49"/>
  <c r="I80" i="49"/>
  <c r="I164" i="49"/>
  <c r="I48" i="49"/>
  <c r="I51" i="49"/>
  <c r="I163" i="49"/>
  <c r="I150" i="49"/>
  <c r="I280" i="49"/>
  <c r="I265" i="49"/>
  <c r="I52" i="49"/>
  <c r="I68" i="49"/>
  <c r="I191" i="49"/>
  <c r="I172" i="49"/>
  <c r="I165" i="49"/>
  <c r="I248" i="49"/>
  <c r="I299" i="49"/>
  <c r="I176" i="49"/>
  <c r="I231" i="49"/>
  <c r="I106" i="49"/>
  <c r="I240" i="49"/>
  <c r="I235" i="49"/>
  <c r="I135" i="49"/>
  <c r="I273" i="49"/>
  <c r="I14" i="49"/>
  <c r="I56" i="49"/>
  <c r="I72" i="49"/>
  <c r="I114" i="49"/>
  <c r="I207" i="49"/>
  <c r="I77" i="49"/>
  <c r="I223" i="49"/>
  <c r="I13" i="49"/>
  <c r="I259" i="49"/>
  <c r="I175" i="49"/>
  <c r="I126" i="49"/>
  <c r="I230" i="49"/>
  <c r="I59" i="49"/>
  <c r="H21" i="49"/>
  <c r="I21" i="49" s="1"/>
  <c r="E15" i="48"/>
  <c r="H12" i="49"/>
  <c r="I12" i="49" s="1"/>
  <c r="H54" i="49"/>
  <c r="I54" i="49" s="1"/>
  <c r="H111" i="49"/>
  <c r="I111" i="49" s="1"/>
  <c r="H227" i="49"/>
  <c r="I227" i="49" s="1"/>
  <c r="H284" i="49"/>
  <c r="I284" i="49" s="1"/>
  <c r="H98" i="49"/>
  <c r="I98" i="49" s="1"/>
  <c r="H128" i="49"/>
  <c r="I128" i="49" s="1"/>
  <c r="H148" i="49"/>
  <c r="I148" i="49" s="1"/>
  <c r="H192" i="49"/>
  <c r="I192" i="49" s="1"/>
  <c r="H208" i="49"/>
  <c r="I208" i="49" s="1"/>
  <c r="H252" i="49"/>
  <c r="I252" i="49" s="1"/>
  <c r="H281" i="49"/>
  <c r="I281" i="49" s="1"/>
  <c r="H297" i="49"/>
  <c r="I297" i="49" s="1"/>
  <c r="H30" i="49"/>
  <c r="I30" i="49" s="1"/>
  <c r="H62" i="49"/>
  <c r="I62" i="49" s="1"/>
  <c r="H86" i="49"/>
  <c r="I86" i="49" s="1"/>
  <c r="H109" i="49"/>
  <c r="I109" i="49" s="1"/>
  <c r="H136" i="49"/>
  <c r="I136" i="49" s="1"/>
  <c r="H154" i="49"/>
  <c r="I154" i="49" s="1"/>
  <c r="H171" i="49"/>
  <c r="I171" i="49" s="1"/>
  <c r="H185" i="49"/>
  <c r="I185" i="49" s="1"/>
  <c r="H205" i="49"/>
  <c r="I205" i="49" s="1"/>
  <c r="H225" i="49"/>
  <c r="I225" i="49" s="1"/>
  <c r="H257" i="49"/>
  <c r="I257" i="49" s="1"/>
  <c r="H274" i="49"/>
  <c r="I274" i="49" s="1"/>
  <c r="H294" i="49"/>
  <c r="I294" i="49" s="1"/>
  <c r="H308" i="49"/>
  <c r="I308" i="49" s="1"/>
  <c r="H102" i="49"/>
  <c r="I102" i="49" s="1"/>
  <c r="H122" i="49"/>
  <c r="I122" i="49" s="1"/>
  <c r="H137" i="49"/>
  <c r="I137" i="49" s="1"/>
  <c r="H186" i="49"/>
  <c r="I186" i="49" s="1"/>
  <c r="H202" i="49"/>
  <c r="I202" i="49" s="1"/>
  <c r="H218" i="49"/>
  <c r="I218" i="49" s="1"/>
  <c r="H246" i="49"/>
  <c r="I246" i="49" s="1"/>
  <c r="H271" i="49"/>
  <c r="I271" i="49" s="1"/>
  <c r="H287" i="49"/>
  <c r="I287" i="49" s="1"/>
  <c r="H305" i="49"/>
  <c r="I305" i="49" s="1"/>
  <c r="H104" i="49"/>
  <c r="I104" i="49" s="1"/>
  <c r="H151" i="49"/>
  <c r="I151" i="49" s="1"/>
  <c r="H33" i="49"/>
  <c r="I33" i="49" s="1"/>
  <c r="H129" i="49"/>
  <c r="I129" i="49" s="1"/>
  <c r="H7" i="49"/>
  <c r="I7" i="49" s="1"/>
  <c r="H177" i="49"/>
  <c r="I177" i="49" s="1"/>
  <c r="H295" i="49"/>
  <c r="I295" i="49" s="1"/>
  <c r="H199" i="49"/>
  <c r="I199" i="49" s="1"/>
  <c r="H41" i="49"/>
  <c r="I41" i="49" s="1"/>
  <c r="H243" i="49"/>
  <c r="I243" i="49" s="1"/>
  <c r="H88" i="49"/>
  <c r="I88" i="49" s="1"/>
  <c r="H251" i="49"/>
  <c r="I251" i="49" s="1"/>
  <c r="H43" i="49"/>
  <c r="I43" i="49" s="1"/>
  <c r="H50" i="49"/>
  <c r="I50" i="49" s="1"/>
  <c r="H82" i="49"/>
  <c r="I82" i="49" s="1"/>
  <c r="H233" i="49"/>
  <c r="I233" i="49" s="1"/>
  <c r="H26" i="49"/>
  <c r="I26" i="49" s="1"/>
  <c r="H73" i="49"/>
  <c r="I73" i="49" s="1"/>
  <c r="H92" i="49"/>
  <c r="I92" i="49" s="1"/>
  <c r="H134" i="49"/>
  <c r="I134" i="49" s="1"/>
  <c r="H215" i="49"/>
  <c r="I215" i="49" s="1"/>
  <c r="H232" i="49"/>
  <c r="I232" i="49" s="1"/>
  <c r="H264" i="49"/>
  <c r="I264" i="49" s="1"/>
  <c r="H314" i="49"/>
  <c r="I314" i="49" s="1"/>
  <c r="H105" i="49"/>
  <c r="I105" i="49" s="1"/>
  <c r="H152" i="49"/>
  <c r="I152" i="49" s="1"/>
  <c r="H180" i="49"/>
  <c r="I180" i="49" s="1"/>
  <c r="H212" i="49"/>
  <c r="I212" i="49" s="1"/>
  <c r="H224" i="49"/>
  <c r="I224" i="49" s="1"/>
  <c r="H256" i="49"/>
  <c r="I256" i="49" s="1"/>
  <c r="H269" i="49"/>
  <c r="I269" i="49" s="1"/>
  <c r="H285" i="49"/>
  <c r="I285" i="49" s="1"/>
  <c r="H66" i="49"/>
  <c r="I66" i="49" s="1"/>
  <c r="H89" i="49"/>
  <c r="I89" i="49" s="1"/>
  <c r="H113" i="49"/>
  <c r="I113" i="49" s="1"/>
  <c r="H140" i="49"/>
  <c r="I140" i="49" s="1"/>
  <c r="H158" i="49"/>
  <c r="I158" i="49" s="1"/>
  <c r="H174" i="49"/>
  <c r="I174" i="49" s="1"/>
  <c r="H193" i="49"/>
  <c r="I193" i="49" s="1"/>
  <c r="H209" i="49"/>
  <c r="I209" i="49" s="1"/>
  <c r="H229" i="49"/>
  <c r="I229" i="49" s="1"/>
  <c r="H245" i="49"/>
  <c r="I245" i="49" s="1"/>
  <c r="H262" i="49"/>
  <c r="I262" i="49" s="1"/>
  <c r="H282" i="49"/>
  <c r="I282" i="49" s="1"/>
  <c r="H298" i="49"/>
  <c r="I298" i="49" s="1"/>
  <c r="H17" i="49"/>
  <c r="I17" i="49" s="1"/>
  <c r="H53" i="49"/>
  <c r="I53" i="49" s="1"/>
  <c r="H110" i="49"/>
  <c r="I110" i="49" s="1"/>
  <c r="H142" i="49"/>
  <c r="I142" i="49" s="1"/>
  <c r="H190" i="49"/>
  <c r="I190" i="49" s="1"/>
  <c r="H222" i="49"/>
  <c r="I222" i="49" s="1"/>
  <c r="H250" i="49"/>
  <c r="I250" i="49" s="1"/>
  <c r="H275" i="49"/>
  <c r="I275" i="49" s="1"/>
  <c r="H291" i="49"/>
  <c r="I291" i="49" s="1"/>
  <c r="H309" i="49"/>
  <c r="I309" i="49" s="1"/>
  <c r="H64" i="49"/>
  <c r="I64" i="49" s="1"/>
  <c r="H138" i="49"/>
  <c r="I138" i="49" s="1"/>
  <c r="H160" i="49"/>
  <c r="I160" i="49" s="1"/>
  <c r="H203" i="49"/>
  <c r="I203" i="49" s="1"/>
  <c r="H34" i="49"/>
  <c r="I34" i="49" s="1"/>
  <c r="H153" i="49"/>
  <c r="I153" i="49" s="1"/>
  <c r="H117" i="49"/>
  <c r="I117" i="49" s="1"/>
  <c r="H181" i="49"/>
  <c r="I181" i="49" s="1"/>
  <c r="H18" i="49"/>
  <c r="I18" i="49" s="1"/>
  <c r="H173" i="49"/>
  <c r="I173" i="49" s="1"/>
  <c r="H236" i="49"/>
  <c r="I236" i="49" s="1"/>
  <c r="H211" i="49"/>
  <c r="I211" i="49" s="1"/>
  <c r="H112" i="49"/>
  <c r="I112" i="49" s="1"/>
  <c r="H247" i="49"/>
  <c r="I247" i="49" s="1"/>
  <c r="H306" i="49"/>
  <c r="I306" i="49" s="1"/>
  <c r="H44" i="49"/>
  <c r="I44" i="49" s="1"/>
  <c r="H93" i="49"/>
  <c r="I93" i="49" s="1"/>
  <c r="H99" i="49"/>
  <c r="I99" i="49" s="1"/>
  <c r="H267" i="49"/>
  <c r="I267" i="49" s="1"/>
  <c r="H23" i="49"/>
  <c r="I23" i="49" s="1"/>
  <c r="H27" i="49"/>
  <c r="I27" i="49" s="1"/>
  <c r="H155" i="49"/>
  <c r="I155" i="49" s="1"/>
  <c r="H166" i="49"/>
  <c r="I166" i="49" s="1"/>
  <c r="H238" i="49"/>
  <c r="I238" i="49" s="1"/>
  <c r="H97" i="49"/>
  <c r="I97" i="49" s="1"/>
  <c r="H156" i="49"/>
  <c r="I156" i="49" s="1"/>
  <c r="H65" i="49"/>
  <c r="I65" i="49" s="1"/>
  <c r="H116" i="49"/>
  <c r="I116" i="49" s="1"/>
  <c r="H184" i="49"/>
  <c r="I184" i="49" s="1"/>
  <c r="H200" i="49"/>
  <c r="I200" i="49" s="1"/>
  <c r="H216" i="49"/>
  <c r="I216" i="49" s="1"/>
  <c r="H260" i="49"/>
  <c r="I260" i="49" s="1"/>
  <c r="H37" i="49"/>
  <c r="I37" i="49" s="1"/>
  <c r="H94" i="49"/>
  <c r="I94" i="49" s="1"/>
  <c r="H121" i="49"/>
  <c r="I121" i="49" s="1"/>
  <c r="H145" i="49"/>
  <c r="I145" i="49" s="1"/>
  <c r="H162" i="49"/>
  <c r="I162" i="49" s="1"/>
  <c r="H197" i="49"/>
  <c r="I197" i="49" s="1"/>
  <c r="H213" i="49"/>
  <c r="I213" i="49" s="1"/>
  <c r="H234" i="49"/>
  <c r="I234" i="49" s="1"/>
  <c r="H249" i="49"/>
  <c r="I249" i="49" s="1"/>
  <c r="H286" i="49"/>
  <c r="I286" i="49" s="1"/>
  <c r="H300" i="49"/>
  <c r="I300" i="49" s="1"/>
  <c r="H9" i="49"/>
  <c r="I9" i="49" s="1"/>
  <c r="H22" i="49"/>
  <c r="I22" i="49" s="1"/>
  <c r="H57" i="49"/>
  <c r="I57" i="49" s="1"/>
  <c r="H132" i="49"/>
  <c r="I132" i="49" s="1"/>
  <c r="H146" i="49"/>
  <c r="I146" i="49" s="1"/>
  <c r="H178" i="49"/>
  <c r="I178" i="49" s="1"/>
  <c r="H194" i="49"/>
  <c r="I194" i="49" s="1"/>
  <c r="H210" i="49"/>
  <c r="I210" i="49" s="1"/>
  <c r="H254" i="49"/>
  <c r="I254" i="49" s="1"/>
  <c r="H279" i="49"/>
  <c r="I279" i="49" s="1"/>
  <c r="H311" i="49"/>
  <c r="I311" i="49" s="1"/>
  <c r="H69" i="49"/>
  <c r="I69" i="49" s="1"/>
  <c r="H179" i="49"/>
  <c r="I179" i="49" s="1"/>
  <c r="H302" i="49"/>
  <c r="I302" i="49" s="1"/>
  <c r="H228" i="49"/>
  <c r="I228" i="49" s="1"/>
  <c r="H131" i="49"/>
  <c r="I131" i="49" s="1"/>
  <c r="H221" i="49"/>
  <c r="I221" i="49" s="1"/>
  <c r="H96" i="49"/>
  <c r="I96" i="49" s="1"/>
  <c r="H307" i="49"/>
  <c r="I307" i="49" s="1"/>
  <c r="H292" i="49"/>
  <c r="I292" i="49" s="1"/>
  <c r="H124" i="49"/>
  <c r="I124" i="49" s="1"/>
  <c r="H272" i="49"/>
  <c r="I272" i="49" s="1"/>
  <c r="H29" i="49"/>
  <c r="I29" i="49" s="1"/>
  <c r="H45" i="49"/>
  <c r="I45" i="49" s="1"/>
  <c r="H74" i="49"/>
  <c r="I74" i="49" s="1"/>
  <c r="H189" i="49"/>
  <c r="I189" i="49" s="1"/>
  <c r="H24" i="49"/>
  <c r="I24" i="49" s="1"/>
  <c r="H46" i="49"/>
  <c r="I46" i="49" s="1"/>
  <c r="H81" i="49"/>
  <c r="I81" i="49" s="1"/>
  <c r="H167" i="49"/>
  <c r="I167" i="49" s="1"/>
  <c r="H242" i="49"/>
  <c r="I242" i="49" s="1"/>
  <c r="H70" i="49"/>
  <c r="I70" i="49" s="1"/>
  <c r="H120" i="49"/>
  <c r="I120" i="49" s="1"/>
  <c r="H144" i="49"/>
  <c r="I144" i="49" s="1"/>
  <c r="H161" i="49"/>
  <c r="I161" i="49" s="1"/>
  <c r="H188" i="49"/>
  <c r="I188" i="49" s="1"/>
  <c r="H204" i="49"/>
  <c r="I204" i="49" s="1"/>
  <c r="H261" i="49"/>
  <c r="I261" i="49" s="1"/>
  <c r="H277" i="49"/>
  <c r="I277" i="49" s="1"/>
  <c r="H293" i="49"/>
  <c r="I293" i="49" s="1"/>
  <c r="H38" i="49"/>
  <c r="I38" i="49" s="1"/>
  <c r="H61" i="49"/>
  <c r="I61" i="49" s="1"/>
  <c r="H149" i="49"/>
  <c r="I149" i="49" s="1"/>
  <c r="H201" i="49"/>
  <c r="I201" i="49" s="1"/>
  <c r="H217" i="49"/>
  <c r="I217" i="49" s="1"/>
  <c r="H237" i="49"/>
  <c r="I237" i="49" s="1"/>
  <c r="H253" i="49"/>
  <c r="I253" i="49" s="1"/>
  <c r="H270" i="49"/>
  <c r="I270" i="49" s="1"/>
  <c r="H290" i="49"/>
  <c r="I290" i="49" s="1"/>
  <c r="H304" i="49"/>
  <c r="I304" i="49" s="1"/>
  <c r="H58" i="49"/>
  <c r="I58" i="49" s="1"/>
  <c r="H76" i="49"/>
  <c r="I76" i="49" s="1"/>
  <c r="H100" i="49"/>
  <c r="I100" i="49" s="1"/>
  <c r="H118" i="49"/>
  <c r="I118" i="49" s="1"/>
  <c r="H133" i="49"/>
  <c r="I133" i="49" s="1"/>
  <c r="H159" i="49"/>
  <c r="I159" i="49" s="1"/>
  <c r="H182" i="49"/>
  <c r="I182" i="49" s="1"/>
  <c r="H198" i="49"/>
  <c r="I198" i="49" s="1"/>
  <c r="H214" i="49"/>
  <c r="I214" i="49" s="1"/>
  <c r="H241" i="49"/>
  <c r="I241" i="49" s="1"/>
  <c r="H258" i="49"/>
  <c r="I258" i="49" s="1"/>
  <c r="H283" i="49"/>
  <c r="I283" i="49" s="1"/>
  <c r="H301" i="49"/>
  <c r="I301" i="49" s="1"/>
  <c r="H101" i="49"/>
  <c r="I101" i="49" s="1"/>
  <c r="H147" i="49"/>
  <c r="I147" i="49" s="1"/>
  <c r="H187" i="49"/>
  <c r="I187" i="49" s="1"/>
  <c r="H268" i="49"/>
  <c r="I268" i="49" s="1"/>
  <c r="H310" i="49"/>
  <c r="I310" i="49" s="1"/>
  <c r="H40" i="49"/>
  <c r="I40" i="49" s="1"/>
  <c r="H313" i="49"/>
  <c r="I313" i="49" s="1"/>
  <c r="H278" i="49"/>
  <c r="I278" i="49" s="1"/>
  <c r="H168" i="49"/>
  <c r="I168" i="49" s="1"/>
  <c r="H263" i="49"/>
  <c r="I263" i="49" s="1"/>
  <c r="H141" i="49"/>
  <c r="I141" i="49" s="1"/>
  <c r="H312" i="49"/>
  <c r="I312" i="49" s="1"/>
  <c r="H42" i="49"/>
  <c r="I42" i="49" s="1"/>
  <c r="H169" i="49"/>
  <c r="I169" i="49" s="1"/>
  <c r="H10" i="49"/>
  <c r="I10" i="49" s="1"/>
  <c r="H49" i="49"/>
  <c r="I49" i="49" s="1"/>
  <c r="H78" i="49"/>
  <c r="I78" i="49" s="1"/>
  <c r="H108" i="49"/>
  <c r="I108" i="49" s="1"/>
  <c r="T7" i="19"/>
  <c r="H6" i="49" s="1"/>
  <c r="I6" i="49" s="1"/>
  <c r="H20" i="49"/>
  <c r="I20" i="49" s="1"/>
  <c r="H25" i="49"/>
  <c r="I25" i="49" s="1"/>
  <c r="H255" i="49"/>
  <c r="I255" i="49" s="1"/>
  <c r="C5" i="32"/>
  <c r="C314" i="32" s="1"/>
  <c r="Y316" i="19"/>
  <c r="F16" i="49"/>
  <c r="F60" i="49"/>
  <c r="F11" i="49"/>
  <c r="F191" i="49"/>
  <c r="F288" i="49"/>
  <c r="F235" i="49"/>
  <c r="F15" i="49"/>
  <c r="F196" i="49"/>
  <c r="F31" i="49"/>
  <c r="F13" i="49"/>
  <c r="F130" i="49"/>
  <c r="F91" i="49"/>
  <c r="F127" i="49"/>
  <c r="F183" i="49"/>
  <c r="F259" i="49"/>
  <c r="F48" i="49"/>
  <c r="F248" i="49"/>
  <c r="F14" i="49"/>
  <c r="F75" i="49"/>
  <c r="F85" i="49"/>
  <c r="F95" i="49"/>
  <c r="F125" i="49"/>
  <c r="F176" i="49"/>
  <c r="F72" i="49"/>
  <c r="F90" i="49"/>
  <c r="F114" i="49"/>
  <c r="F226" i="49"/>
  <c r="F296" i="49"/>
  <c r="F106" i="49"/>
  <c r="F19" i="49"/>
  <c r="F195" i="49"/>
  <c r="F51" i="49"/>
  <c r="F79" i="49"/>
  <c r="F240" i="49"/>
  <c r="F28" i="49"/>
  <c r="F230" i="49"/>
  <c r="F59" i="49"/>
  <c r="F164" i="49"/>
  <c r="F35" i="49"/>
  <c r="F77" i="49"/>
  <c r="F119" i="49"/>
  <c r="F276" i="49"/>
  <c r="F299" i="49"/>
  <c r="F52" i="49"/>
  <c r="F83" i="49"/>
  <c r="F80" i="49"/>
  <c r="F163" i="49"/>
  <c r="F231" i="49"/>
  <c r="F172" i="49"/>
  <c r="F165" i="49"/>
  <c r="F123" i="49"/>
  <c r="F223" i="49"/>
  <c r="F280" i="49"/>
  <c r="F32" i="49"/>
  <c r="F139" i="49"/>
  <c r="F157" i="49"/>
  <c r="F239" i="49"/>
  <c r="F289" i="49"/>
  <c r="F56" i="49"/>
  <c r="F84" i="49"/>
  <c r="F175" i="49"/>
  <c r="F266" i="49"/>
  <c r="F67" i="49"/>
  <c r="F68" i="49"/>
  <c r="F126" i="49"/>
  <c r="F206" i="49"/>
  <c r="F47" i="49"/>
  <c r="F143" i="49"/>
  <c r="F207" i="49"/>
  <c r="F39" i="49"/>
  <c r="F107" i="49"/>
  <c r="F150" i="49"/>
  <c r="O316" i="19"/>
  <c r="K8" i="36"/>
  <c r="I317" i="36"/>
  <c r="E317" i="36"/>
  <c r="J317" i="36"/>
  <c r="H317" i="36"/>
  <c r="F317" i="36"/>
  <c r="D317" i="36"/>
  <c r="G316" i="19"/>
  <c r="G317" i="36"/>
  <c r="H314" i="32" l="1"/>
  <c r="C5" i="9" s="1"/>
  <c r="K317" i="36"/>
  <c r="E5" i="32"/>
  <c r="E314" i="32" s="1"/>
  <c r="I315" i="49"/>
  <c r="J6" i="49" s="1"/>
  <c r="L6" i="49" s="1"/>
  <c r="E14" i="48"/>
  <c r="F15" i="48" s="1"/>
  <c r="H5" i="32"/>
  <c r="D11" i="9" s="1"/>
  <c r="D320" i="9" s="1"/>
  <c r="U7" i="19"/>
  <c r="G6" i="49" s="1"/>
  <c r="F6" i="49"/>
  <c r="F16" i="34"/>
  <c r="F28" i="48"/>
  <c r="F115" i="49"/>
  <c r="J233" i="13"/>
  <c r="F233" i="49"/>
  <c r="F251" i="49"/>
  <c r="F199" i="49"/>
  <c r="F129" i="49"/>
  <c r="F305" i="49"/>
  <c r="J218" i="13"/>
  <c r="F218" i="49"/>
  <c r="F122" i="49"/>
  <c r="F274" i="49"/>
  <c r="F154" i="49"/>
  <c r="F62" i="49"/>
  <c r="F297" i="49"/>
  <c r="F208" i="49"/>
  <c r="F128" i="49"/>
  <c r="F284" i="49"/>
  <c r="F12" i="49"/>
  <c r="F135" i="49"/>
  <c r="F63" i="49"/>
  <c r="F78" i="49"/>
  <c r="F168" i="49"/>
  <c r="F268" i="49"/>
  <c r="F301" i="49"/>
  <c r="F258" i="49"/>
  <c r="F182" i="49"/>
  <c r="F100" i="49"/>
  <c r="F58" i="49"/>
  <c r="F253" i="49"/>
  <c r="F261" i="49"/>
  <c r="F144" i="49"/>
  <c r="F70" i="49"/>
  <c r="F46" i="49"/>
  <c r="F74" i="49"/>
  <c r="F124" i="49"/>
  <c r="F96" i="49"/>
  <c r="F302" i="49"/>
  <c r="F279" i="49"/>
  <c r="J194" i="13"/>
  <c r="F194" i="49"/>
  <c r="F57" i="49"/>
  <c r="F286" i="49"/>
  <c r="J197" i="13"/>
  <c r="F197" i="49"/>
  <c r="F200" i="49"/>
  <c r="F97" i="49"/>
  <c r="J27" i="13"/>
  <c r="F27" i="49"/>
  <c r="F93" i="49"/>
  <c r="F112" i="49"/>
  <c r="F18" i="49"/>
  <c r="J34" i="13"/>
  <c r="F34" i="49"/>
  <c r="F138" i="49"/>
  <c r="F275" i="49"/>
  <c r="F142" i="49"/>
  <c r="J298" i="13"/>
  <c r="F298" i="49"/>
  <c r="F229" i="49"/>
  <c r="F158" i="49"/>
  <c r="F66" i="49"/>
  <c r="F224" i="49"/>
  <c r="J215" i="13"/>
  <c r="F215" i="49"/>
  <c r="J26" i="13"/>
  <c r="F26" i="49"/>
  <c r="F265" i="49"/>
  <c r="F88" i="49"/>
  <c r="F295" i="49"/>
  <c r="J7" i="13"/>
  <c r="F7" i="49"/>
  <c r="F33" i="49"/>
  <c r="F104" i="49"/>
  <c r="F287" i="49"/>
  <c r="J246" i="13"/>
  <c r="F246" i="49"/>
  <c r="F202" i="49"/>
  <c r="F137" i="49"/>
  <c r="F294" i="49"/>
  <c r="F257" i="49"/>
  <c r="F205" i="49"/>
  <c r="F171" i="49"/>
  <c r="F136" i="49"/>
  <c r="F30" i="49"/>
  <c r="F281" i="49"/>
  <c r="F192" i="49"/>
  <c r="F148" i="49"/>
  <c r="F98" i="49"/>
  <c r="F227" i="49"/>
  <c r="J54" i="13"/>
  <c r="F54" i="49"/>
  <c r="F8" i="49"/>
  <c r="F50" i="49"/>
  <c r="F243" i="49"/>
  <c r="F177" i="49"/>
  <c r="F151" i="49"/>
  <c r="J271" i="13"/>
  <c r="F271" i="49"/>
  <c r="F186" i="49"/>
  <c r="F308" i="49"/>
  <c r="F225" i="49"/>
  <c r="F185" i="49"/>
  <c r="F109" i="49"/>
  <c r="F252" i="49"/>
  <c r="J111" i="13"/>
  <c r="F111" i="49"/>
  <c r="F87" i="49"/>
  <c r="J303" i="13"/>
  <c r="F303" i="49"/>
  <c r="F220" i="49"/>
  <c r="F25" i="49"/>
  <c r="J10" i="13"/>
  <c r="F10" i="49"/>
  <c r="J141" i="13"/>
  <c r="F141" i="49"/>
  <c r="F40" i="49"/>
  <c r="F147" i="49"/>
  <c r="F214" i="49"/>
  <c r="F133" i="49"/>
  <c r="F290" i="49"/>
  <c r="J217" i="13"/>
  <c r="F217" i="49"/>
  <c r="F61" i="49"/>
  <c r="F293" i="49"/>
  <c r="F188" i="49"/>
  <c r="J167" i="13"/>
  <c r="F167" i="49"/>
  <c r="J24" i="13"/>
  <c r="F24" i="49"/>
  <c r="F307" i="49"/>
  <c r="J131" i="13"/>
  <c r="F131" i="49"/>
  <c r="F146" i="49"/>
  <c r="F9" i="49"/>
  <c r="F234" i="49"/>
  <c r="F145" i="49"/>
  <c r="F260" i="49"/>
  <c r="J116" i="13"/>
  <c r="F116" i="49"/>
  <c r="F166" i="49"/>
  <c r="F267" i="49"/>
  <c r="F306" i="49"/>
  <c r="J236" i="13"/>
  <c r="F236" i="49"/>
  <c r="F117" i="49"/>
  <c r="F203" i="49"/>
  <c r="F309" i="49"/>
  <c r="F190" i="49"/>
  <c r="J262" i="13"/>
  <c r="F262" i="49"/>
  <c r="F193" i="49"/>
  <c r="F113" i="49"/>
  <c r="F269" i="49"/>
  <c r="F180" i="49"/>
  <c r="F264" i="49"/>
  <c r="F92" i="49"/>
  <c r="F71" i="49"/>
  <c r="F103" i="49"/>
  <c r="J255" i="13"/>
  <c r="F255" i="49"/>
  <c r="F20" i="49"/>
  <c r="F49" i="49"/>
  <c r="F169" i="49"/>
  <c r="F312" i="49"/>
  <c r="F263" i="49"/>
  <c r="F278" i="49"/>
  <c r="F313" i="49"/>
  <c r="F310" i="49"/>
  <c r="F187" i="49"/>
  <c r="F283" i="49"/>
  <c r="F241" i="49"/>
  <c r="F198" i="49"/>
  <c r="F159" i="49"/>
  <c r="F118" i="49"/>
  <c r="F304" i="49"/>
  <c r="F270" i="49"/>
  <c r="F237" i="49"/>
  <c r="F201" i="49"/>
  <c r="F149" i="49"/>
  <c r="F38" i="49"/>
  <c r="J277" i="13"/>
  <c r="F277" i="49"/>
  <c r="F204" i="49"/>
  <c r="F161" i="49"/>
  <c r="J120" i="13"/>
  <c r="F120" i="49"/>
  <c r="F242" i="49"/>
  <c r="F81" i="49"/>
  <c r="F189" i="49"/>
  <c r="J272" i="13"/>
  <c r="F272" i="49"/>
  <c r="F292" i="49"/>
  <c r="F221" i="49"/>
  <c r="F228" i="49"/>
  <c r="F179" i="49"/>
  <c r="F311" i="49"/>
  <c r="F254" i="49"/>
  <c r="J210" i="13"/>
  <c r="F210" i="49"/>
  <c r="F178" i="49"/>
  <c r="F132" i="49"/>
  <c r="F22" i="49"/>
  <c r="J300" i="13"/>
  <c r="F300" i="49"/>
  <c r="F249" i="49"/>
  <c r="F213" i="49"/>
  <c r="F162" i="49"/>
  <c r="J121" i="13"/>
  <c r="F121" i="49"/>
  <c r="F37" i="49"/>
  <c r="F216" i="49"/>
  <c r="F184" i="49"/>
  <c r="F65" i="49"/>
  <c r="F156" i="49"/>
  <c r="F238" i="49"/>
  <c r="F155" i="49"/>
  <c r="F99" i="49"/>
  <c r="F247" i="49"/>
  <c r="F211" i="49"/>
  <c r="J173" i="13"/>
  <c r="F173" i="49"/>
  <c r="F181" i="49"/>
  <c r="F153" i="49"/>
  <c r="F160" i="49"/>
  <c r="F64" i="49"/>
  <c r="F291" i="49"/>
  <c r="F250" i="49"/>
  <c r="F222" i="49"/>
  <c r="J110" i="13"/>
  <c r="F110" i="49"/>
  <c r="F17" i="49"/>
  <c r="F282" i="49"/>
  <c r="F245" i="49"/>
  <c r="F209" i="49"/>
  <c r="F174" i="49"/>
  <c r="F140" i="49"/>
  <c r="J285" i="13"/>
  <c r="F285" i="49"/>
  <c r="F256" i="49"/>
  <c r="F212" i="49"/>
  <c r="F152" i="49"/>
  <c r="F314" i="49"/>
  <c r="F232" i="49"/>
  <c r="F134" i="49"/>
  <c r="F73" i="49"/>
  <c r="F108" i="49"/>
  <c r="F105" i="49"/>
  <c r="F102" i="49"/>
  <c r="F101" i="49"/>
  <c r="F94" i="49"/>
  <c r="F89" i="49"/>
  <c r="F86" i="49"/>
  <c r="F82" i="49"/>
  <c r="F76" i="49"/>
  <c r="F69" i="49"/>
  <c r="F55" i="49"/>
  <c r="J53" i="13"/>
  <c r="F53" i="49"/>
  <c r="J45" i="13"/>
  <c r="F45" i="49"/>
  <c r="F44" i="49"/>
  <c r="F43" i="49"/>
  <c r="F42" i="49"/>
  <c r="F41" i="49"/>
  <c r="F36" i="49"/>
  <c r="F29" i="49"/>
  <c r="H315" i="49"/>
  <c r="F23" i="49"/>
  <c r="F21" i="49"/>
  <c r="T316" i="19"/>
  <c r="G206" i="49"/>
  <c r="G32" i="49"/>
  <c r="G172" i="49"/>
  <c r="G35" i="49"/>
  <c r="G59" i="49"/>
  <c r="G72" i="49"/>
  <c r="G85" i="49"/>
  <c r="G127" i="49"/>
  <c r="G207" i="49"/>
  <c r="G126" i="49"/>
  <c r="G56" i="49"/>
  <c r="G280" i="49"/>
  <c r="G231" i="49"/>
  <c r="G276" i="49"/>
  <c r="G230" i="49"/>
  <c r="G195" i="49"/>
  <c r="G176" i="49"/>
  <c r="G48" i="49"/>
  <c r="G235" i="49"/>
  <c r="G11" i="49"/>
  <c r="G143" i="49"/>
  <c r="G175" i="49"/>
  <c r="G157" i="49"/>
  <c r="G223" i="49"/>
  <c r="G165" i="49"/>
  <c r="G163" i="49"/>
  <c r="G52" i="49"/>
  <c r="G119" i="49"/>
  <c r="G164" i="49"/>
  <c r="G28" i="49"/>
  <c r="G51" i="49"/>
  <c r="G19" i="49"/>
  <c r="G114" i="49"/>
  <c r="G125" i="49"/>
  <c r="G14" i="49"/>
  <c r="G259" i="49"/>
  <c r="G31" i="49"/>
  <c r="G39" i="49"/>
  <c r="G67" i="49"/>
  <c r="G296" i="49"/>
  <c r="G15" i="49"/>
  <c r="G191" i="49"/>
  <c r="G150" i="49"/>
  <c r="G266" i="49"/>
  <c r="G239" i="49"/>
  <c r="G83" i="49"/>
  <c r="G79" i="49"/>
  <c r="G226" i="49"/>
  <c r="G75" i="49"/>
  <c r="G91" i="49"/>
  <c r="G13" i="49"/>
  <c r="G16" i="49"/>
  <c r="G107" i="49"/>
  <c r="G47" i="49"/>
  <c r="G68" i="49"/>
  <c r="G84" i="49"/>
  <c r="G289" i="49"/>
  <c r="G139" i="49"/>
  <c r="G123" i="49"/>
  <c r="G80" i="49"/>
  <c r="G299" i="49"/>
  <c r="G77" i="49"/>
  <c r="G240" i="49"/>
  <c r="G106" i="49"/>
  <c r="G90" i="49"/>
  <c r="G95" i="49"/>
  <c r="G248" i="49"/>
  <c r="G183" i="49"/>
  <c r="G130" i="49"/>
  <c r="G196" i="49"/>
  <c r="G288" i="49"/>
  <c r="G60" i="49"/>
  <c r="D315" i="25"/>
  <c r="D314" i="33"/>
  <c r="J170" i="49" l="1"/>
  <c r="K170" i="49" s="1"/>
  <c r="L170" i="49" s="1"/>
  <c r="J244" i="49"/>
  <c r="J219" i="49"/>
  <c r="F325" i="34"/>
  <c r="J128" i="13"/>
  <c r="J46" i="13"/>
  <c r="J199" i="13"/>
  <c r="J112" i="13"/>
  <c r="J124" i="13"/>
  <c r="J158" i="13"/>
  <c r="J275" i="13"/>
  <c r="J9" i="13"/>
  <c r="J65" i="13"/>
  <c r="J228" i="13"/>
  <c r="J208" i="13"/>
  <c r="J50" i="13"/>
  <c r="J145" i="13"/>
  <c r="J8" i="49"/>
  <c r="K8" i="49" s="1"/>
  <c r="J297" i="13"/>
  <c r="C5" i="39"/>
  <c r="G36" i="49"/>
  <c r="J36" i="13"/>
  <c r="G42" i="49"/>
  <c r="J42" i="13"/>
  <c r="G44" i="49"/>
  <c r="G53" i="49"/>
  <c r="G82" i="49"/>
  <c r="G89" i="49"/>
  <c r="J89" i="13"/>
  <c r="G101" i="49"/>
  <c r="G105" i="49"/>
  <c r="G73" i="49"/>
  <c r="J73" i="13"/>
  <c r="G232" i="49"/>
  <c r="G152" i="49"/>
  <c r="G256" i="49"/>
  <c r="G140" i="49"/>
  <c r="J140" i="13"/>
  <c r="G209" i="49"/>
  <c r="J209" i="13"/>
  <c r="G282" i="49"/>
  <c r="G110" i="49"/>
  <c r="G222" i="49"/>
  <c r="G291" i="49"/>
  <c r="J291" i="13"/>
  <c r="G160" i="49"/>
  <c r="J160" i="13"/>
  <c r="G153" i="49"/>
  <c r="J153" i="13"/>
  <c r="G173" i="49"/>
  <c r="G247" i="49"/>
  <c r="J247" i="13"/>
  <c r="G155" i="49"/>
  <c r="J155" i="13"/>
  <c r="G156" i="49"/>
  <c r="G184" i="49"/>
  <c r="J184" i="13"/>
  <c r="G37" i="49"/>
  <c r="G162" i="49"/>
  <c r="G249" i="49"/>
  <c r="G22" i="49"/>
  <c r="G178" i="49"/>
  <c r="G254" i="49"/>
  <c r="G179" i="49"/>
  <c r="G221" i="49"/>
  <c r="J221" i="13"/>
  <c r="G292" i="49"/>
  <c r="G189" i="49"/>
  <c r="G81" i="49"/>
  <c r="G120" i="49"/>
  <c r="G204" i="49"/>
  <c r="G38" i="49"/>
  <c r="G201" i="49"/>
  <c r="G270" i="49"/>
  <c r="G118" i="49"/>
  <c r="G198" i="49"/>
  <c r="J198" i="13"/>
  <c r="G283" i="49"/>
  <c r="G310" i="49"/>
  <c r="G278" i="49"/>
  <c r="J278" i="13"/>
  <c r="G312" i="49"/>
  <c r="J312" i="13"/>
  <c r="G49" i="49"/>
  <c r="J49" i="13"/>
  <c r="G255" i="49"/>
  <c r="G92" i="49"/>
  <c r="J92" i="13"/>
  <c r="G180" i="49"/>
  <c r="J180" i="13"/>
  <c r="G113" i="49"/>
  <c r="J113" i="13"/>
  <c r="G262" i="49"/>
  <c r="G203" i="49"/>
  <c r="J203" i="13"/>
  <c r="G236" i="49"/>
  <c r="G267" i="49"/>
  <c r="J267" i="13"/>
  <c r="G260" i="49"/>
  <c r="J260" i="13"/>
  <c r="G234" i="49"/>
  <c r="G146" i="49"/>
  <c r="J146" i="13"/>
  <c r="G131" i="49"/>
  <c r="G24" i="49"/>
  <c r="G188" i="49"/>
  <c r="J188" i="13"/>
  <c r="G61" i="49"/>
  <c r="J61" i="13"/>
  <c r="G290" i="49"/>
  <c r="J290" i="13"/>
  <c r="G214" i="49"/>
  <c r="J214" i="13"/>
  <c r="G40" i="49"/>
  <c r="G141" i="49"/>
  <c r="G25" i="49"/>
  <c r="J25" i="13"/>
  <c r="G303" i="49"/>
  <c r="G111" i="49"/>
  <c r="G252" i="49"/>
  <c r="J252" i="13"/>
  <c r="G185" i="49"/>
  <c r="J185" i="13"/>
  <c r="G308" i="49"/>
  <c r="J308" i="13"/>
  <c r="G271" i="49"/>
  <c r="G177" i="49"/>
  <c r="J177" i="13"/>
  <c r="G50" i="49"/>
  <c r="G54" i="49"/>
  <c r="G98" i="49"/>
  <c r="J98" i="13"/>
  <c r="G192" i="49"/>
  <c r="J192" i="13"/>
  <c r="G281" i="49"/>
  <c r="J281" i="13"/>
  <c r="G136" i="49"/>
  <c r="J136" i="13"/>
  <c r="G205" i="49"/>
  <c r="J205" i="13"/>
  <c r="G294" i="49"/>
  <c r="J294" i="13"/>
  <c r="G202" i="49"/>
  <c r="J202" i="13"/>
  <c r="G287" i="49"/>
  <c r="J287" i="13"/>
  <c r="G33" i="49"/>
  <c r="J33" i="13"/>
  <c r="G295" i="49"/>
  <c r="J295" i="13"/>
  <c r="G265" i="49"/>
  <c r="J265" i="13"/>
  <c r="G215" i="49"/>
  <c r="G66" i="49"/>
  <c r="J66" i="13"/>
  <c r="G229" i="49"/>
  <c r="J229" i="13"/>
  <c r="G142" i="49"/>
  <c r="J142" i="13"/>
  <c r="G138" i="49"/>
  <c r="J138" i="13"/>
  <c r="G18" i="49"/>
  <c r="J18" i="13"/>
  <c r="G93" i="49"/>
  <c r="J93" i="13"/>
  <c r="G97" i="49"/>
  <c r="J97" i="13"/>
  <c r="G197" i="49"/>
  <c r="G57" i="49"/>
  <c r="J57" i="13"/>
  <c r="G279" i="49"/>
  <c r="J279" i="13"/>
  <c r="G96" i="49"/>
  <c r="G74" i="49"/>
  <c r="J74" i="13"/>
  <c r="G70" i="49"/>
  <c r="G261" i="49"/>
  <c r="J261" i="13"/>
  <c r="G253" i="49"/>
  <c r="J253" i="13"/>
  <c r="G100" i="49"/>
  <c r="J100" i="13"/>
  <c r="G258" i="49"/>
  <c r="J258" i="13"/>
  <c r="G268" i="49"/>
  <c r="J268" i="13"/>
  <c r="G78" i="49"/>
  <c r="J78" i="13"/>
  <c r="G135" i="49"/>
  <c r="J135" i="13"/>
  <c r="G284" i="49"/>
  <c r="J284" i="13"/>
  <c r="G208" i="49"/>
  <c r="G62" i="49"/>
  <c r="G274" i="49"/>
  <c r="G218" i="49"/>
  <c r="G129" i="49"/>
  <c r="J129" i="13"/>
  <c r="G251" i="49"/>
  <c r="J251" i="13"/>
  <c r="G115" i="49"/>
  <c r="J115" i="13"/>
  <c r="J62" i="13"/>
  <c r="J274" i="13"/>
  <c r="J105" i="13"/>
  <c r="J234" i="13"/>
  <c r="J40" i="13"/>
  <c r="J152" i="13"/>
  <c r="J118" i="13"/>
  <c r="G69" i="49"/>
  <c r="J69" i="13"/>
  <c r="J96" i="13"/>
  <c r="J70" i="13"/>
  <c r="J282" i="13"/>
  <c r="J310" i="13"/>
  <c r="G21" i="49"/>
  <c r="J159" i="13"/>
  <c r="C5" i="12"/>
  <c r="F5" i="32"/>
  <c r="I5" i="32" s="1"/>
  <c r="J6" i="13"/>
  <c r="J305" i="13"/>
  <c r="J302" i="13"/>
  <c r="C5" i="33"/>
  <c r="J7" i="49"/>
  <c r="L7" i="49" s="1"/>
  <c r="J9" i="49"/>
  <c r="J13" i="49"/>
  <c r="J17" i="49"/>
  <c r="J21" i="49"/>
  <c r="J25" i="49"/>
  <c r="J29" i="49"/>
  <c r="J33" i="49"/>
  <c r="J37" i="49"/>
  <c r="J41" i="49"/>
  <c r="J45" i="49"/>
  <c r="J49" i="49"/>
  <c r="J53" i="49"/>
  <c r="J57" i="49"/>
  <c r="J61" i="49"/>
  <c r="J65" i="49"/>
  <c r="J69" i="49"/>
  <c r="J12" i="49"/>
  <c r="J18" i="49"/>
  <c r="J23" i="49"/>
  <c r="J28" i="49"/>
  <c r="J34" i="49"/>
  <c r="J39" i="49"/>
  <c r="J44" i="49"/>
  <c r="J50" i="49"/>
  <c r="J55" i="49"/>
  <c r="J60" i="49"/>
  <c r="J66" i="49"/>
  <c r="J71" i="49"/>
  <c r="J75" i="49"/>
  <c r="J79" i="49"/>
  <c r="J83" i="49"/>
  <c r="J87" i="49"/>
  <c r="J91" i="49"/>
  <c r="J95" i="49"/>
  <c r="J99" i="49"/>
  <c r="J103" i="49"/>
  <c r="J107" i="49"/>
  <c r="J111" i="49"/>
  <c r="J115" i="49"/>
  <c r="J119" i="49"/>
  <c r="L119" i="49" s="1"/>
  <c r="J123" i="49"/>
  <c r="J127" i="49"/>
  <c r="L127" i="49" s="1"/>
  <c r="J131" i="49"/>
  <c r="L131" i="49" s="1"/>
  <c r="J135" i="49"/>
  <c r="L135" i="49" s="1"/>
  <c r="J139" i="49"/>
  <c r="J143" i="49"/>
  <c r="J147" i="49"/>
  <c r="J151" i="49"/>
  <c r="L151" i="49" s="1"/>
  <c r="J155" i="49"/>
  <c r="L155" i="49" s="1"/>
  <c r="J159" i="49"/>
  <c r="J163" i="49"/>
  <c r="J171" i="49"/>
  <c r="J178" i="49"/>
  <c r="J182" i="49"/>
  <c r="J186" i="49"/>
  <c r="J190" i="49"/>
  <c r="J194" i="49"/>
  <c r="J198" i="49"/>
  <c r="J202" i="49"/>
  <c r="L202" i="49" s="1"/>
  <c r="J206" i="49"/>
  <c r="J210" i="49"/>
  <c r="J214" i="49"/>
  <c r="J218" i="49"/>
  <c r="J221" i="49"/>
  <c r="J225" i="49"/>
  <c r="L225" i="49" s="1"/>
  <c r="J229" i="49"/>
  <c r="J11" i="49"/>
  <c r="J19" i="49"/>
  <c r="J26" i="49"/>
  <c r="J32" i="49"/>
  <c r="J40" i="49"/>
  <c r="J47" i="49"/>
  <c r="J54" i="49"/>
  <c r="J62" i="49"/>
  <c r="J68" i="49"/>
  <c r="J74" i="49"/>
  <c r="J80" i="49"/>
  <c r="J85" i="49"/>
  <c r="J90" i="49"/>
  <c r="J96" i="49"/>
  <c r="J101" i="49"/>
  <c r="J106" i="49"/>
  <c r="J112" i="49"/>
  <c r="L112" i="49" s="1"/>
  <c r="J117" i="49"/>
  <c r="L117" i="49" s="1"/>
  <c r="J122" i="49"/>
  <c r="L122" i="49" s="1"/>
  <c r="J128" i="49"/>
  <c r="L128" i="49" s="1"/>
  <c r="J133" i="49"/>
  <c r="J138" i="49"/>
  <c r="J144" i="49"/>
  <c r="L144" i="49" s="1"/>
  <c r="J149" i="49"/>
  <c r="L149" i="49" s="1"/>
  <c r="J154" i="49"/>
  <c r="L154" i="49" s="1"/>
  <c r="J160" i="49"/>
  <c r="J164" i="49"/>
  <c r="J167" i="49"/>
  <c r="J172" i="49"/>
  <c r="J176" i="49"/>
  <c r="J181" i="49"/>
  <c r="J187" i="49"/>
  <c r="J192" i="49"/>
  <c r="J197" i="49"/>
  <c r="J203" i="49"/>
  <c r="L203" i="49" s="1"/>
  <c r="J208" i="49"/>
  <c r="J213" i="49"/>
  <c r="J223" i="49"/>
  <c r="J228" i="49"/>
  <c r="J233" i="49"/>
  <c r="J236" i="49"/>
  <c r="J238" i="49"/>
  <c r="J242" i="49"/>
  <c r="J247" i="49"/>
  <c r="J251" i="49"/>
  <c r="J255" i="49"/>
  <c r="J259" i="49"/>
  <c r="J263" i="49"/>
  <c r="J267" i="49"/>
  <c r="J271" i="49"/>
  <c r="J275" i="49"/>
  <c r="L275" i="49" s="1"/>
  <c r="J279" i="49"/>
  <c r="L279" i="49" s="1"/>
  <c r="J283" i="49"/>
  <c r="L283" i="49" s="1"/>
  <c r="J287" i="49"/>
  <c r="J291" i="49"/>
  <c r="J295" i="49"/>
  <c r="J298" i="49"/>
  <c r="J302" i="49"/>
  <c r="J306" i="49"/>
  <c r="J310" i="49"/>
  <c r="J314" i="49"/>
  <c r="J10" i="49"/>
  <c r="J20" i="49"/>
  <c r="J30" i="49"/>
  <c r="J38" i="49"/>
  <c r="J48" i="49"/>
  <c r="J58" i="49"/>
  <c r="J67" i="49"/>
  <c r="J76" i="49"/>
  <c r="J82" i="49"/>
  <c r="J89" i="49"/>
  <c r="J97" i="49"/>
  <c r="J104" i="49"/>
  <c r="J110" i="49"/>
  <c r="J118" i="49"/>
  <c r="J125" i="49"/>
  <c r="J132" i="49"/>
  <c r="J140" i="49"/>
  <c r="J146" i="49"/>
  <c r="J153" i="49"/>
  <c r="J161" i="49"/>
  <c r="J177" i="49"/>
  <c r="J184" i="49"/>
  <c r="J191" i="49"/>
  <c r="L191" i="49" s="1"/>
  <c r="J199" i="49"/>
  <c r="J205" i="49"/>
  <c r="J212" i="49"/>
  <c r="J220" i="49"/>
  <c r="J226" i="49"/>
  <c r="J232" i="49"/>
  <c r="J240" i="49"/>
  <c r="J246" i="49"/>
  <c r="J252" i="49"/>
  <c r="J257" i="49"/>
  <c r="J262" i="49"/>
  <c r="J268" i="49"/>
  <c r="J273" i="49"/>
  <c r="J278" i="49"/>
  <c r="L278" i="49" s="1"/>
  <c r="J284" i="49"/>
  <c r="L284" i="49" s="1"/>
  <c r="J289" i="49"/>
  <c r="J294" i="49"/>
  <c r="J299" i="49"/>
  <c r="J304" i="49"/>
  <c r="J309" i="49"/>
  <c r="J14" i="49"/>
  <c r="L14" i="49" s="1"/>
  <c r="J22" i="49"/>
  <c r="J31" i="49"/>
  <c r="J42" i="49"/>
  <c r="J51" i="49"/>
  <c r="J59" i="49"/>
  <c r="J70" i="49"/>
  <c r="J77" i="49"/>
  <c r="J84" i="49"/>
  <c r="J92" i="49"/>
  <c r="J98" i="49"/>
  <c r="J105" i="49"/>
  <c r="J113" i="49"/>
  <c r="J120" i="49"/>
  <c r="L120" i="49" s="1"/>
  <c r="J126" i="49"/>
  <c r="L126" i="49" s="1"/>
  <c r="J134" i="49"/>
  <c r="L134" i="49" s="1"/>
  <c r="J141" i="49"/>
  <c r="J148" i="49"/>
  <c r="J156" i="49"/>
  <c r="L156" i="49" s="1"/>
  <c r="J162" i="49"/>
  <c r="J166" i="49"/>
  <c r="J173" i="49"/>
  <c r="J179" i="49"/>
  <c r="J185" i="49"/>
  <c r="J193" i="49"/>
  <c r="J200" i="49"/>
  <c r="J207" i="49"/>
  <c r="J215" i="49"/>
  <c r="J227" i="49"/>
  <c r="J234" i="49"/>
  <c r="J237" i="49"/>
  <c r="J241" i="49"/>
  <c r="J248" i="49"/>
  <c r="J253" i="49"/>
  <c r="J258" i="49"/>
  <c r="J264" i="49"/>
  <c r="J269" i="49"/>
  <c r="J274" i="49"/>
  <c r="J280" i="49"/>
  <c r="L280" i="49" s="1"/>
  <c r="J285" i="49"/>
  <c r="J290" i="49"/>
  <c r="J296" i="49"/>
  <c r="L296" i="49" s="1"/>
  <c r="J300" i="49"/>
  <c r="J305" i="49"/>
  <c r="L305" i="49" s="1"/>
  <c r="J311" i="49"/>
  <c r="J15" i="49"/>
  <c r="J24" i="49"/>
  <c r="J35" i="49"/>
  <c r="J43" i="49"/>
  <c r="J52" i="49"/>
  <c r="J63" i="49"/>
  <c r="J72" i="49"/>
  <c r="J78" i="49"/>
  <c r="J86" i="49"/>
  <c r="J93" i="49"/>
  <c r="J100" i="49"/>
  <c r="J108" i="49"/>
  <c r="J114" i="49"/>
  <c r="L114" i="49" s="1"/>
  <c r="J121" i="49"/>
  <c r="L121" i="49" s="1"/>
  <c r="J129" i="49"/>
  <c r="L129" i="49" s="1"/>
  <c r="J136" i="49"/>
  <c r="J142" i="49"/>
  <c r="J150" i="49"/>
  <c r="L150" i="49" s="1"/>
  <c r="J157" i="49"/>
  <c r="J168" i="49"/>
  <c r="J174" i="49"/>
  <c r="J180" i="49"/>
  <c r="J188" i="49"/>
  <c r="J195" i="49"/>
  <c r="J201" i="49"/>
  <c r="J209" i="49"/>
  <c r="J216" i="49"/>
  <c r="J222" i="49"/>
  <c r="J230" i="49"/>
  <c r="J243" i="49"/>
  <c r="J249" i="49"/>
  <c r="J254" i="49"/>
  <c r="J260" i="49"/>
  <c r="J265" i="49"/>
  <c r="J270" i="49"/>
  <c r="J276" i="49"/>
  <c r="L276" i="49" s="1"/>
  <c r="J281" i="49"/>
  <c r="L281" i="49" s="1"/>
  <c r="J286" i="49"/>
  <c r="J292" i="49"/>
  <c r="J301" i="49"/>
  <c r="J307" i="49"/>
  <c r="J312" i="49"/>
  <c r="J46" i="49"/>
  <c r="J81" i="49"/>
  <c r="J109" i="49"/>
  <c r="J137" i="49"/>
  <c r="L137" i="49" s="1"/>
  <c r="J165" i="49"/>
  <c r="J189" i="49"/>
  <c r="J217" i="49"/>
  <c r="J239" i="49"/>
  <c r="J261" i="49"/>
  <c r="J282" i="49"/>
  <c r="L282" i="49" s="1"/>
  <c r="J303" i="49"/>
  <c r="J64" i="49"/>
  <c r="J175" i="49"/>
  <c r="J250" i="49"/>
  <c r="J293" i="49"/>
  <c r="J36" i="49"/>
  <c r="J73" i="49"/>
  <c r="J102" i="49"/>
  <c r="J130" i="49"/>
  <c r="L130" i="49" s="1"/>
  <c r="J158" i="49"/>
  <c r="L158" i="49" s="1"/>
  <c r="J183" i="49"/>
  <c r="J211" i="49"/>
  <c r="J235" i="49"/>
  <c r="J256" i="49"/>
  <c r="J277" i="49"/>
  <c r="L277" i="49" s="1"/>
  <c r="J297" i="49"/>
  <c r="J16" i="49"/>
  <c r="J56" i="49"/>
  <c r="J88" i="49"/>
  <c r="J116" i="49"/>
  <c r="J145" i="49"/>
  <c r="J169" i="49"/>
  <c r="J196" i="49"/>
  <c r="J224" i="49"/>
  <c r="L224" i="49" s="1"/>
  <c r="J245" i="49"/>
  <c r="J266" i="49"/>
  <c r="J288" i="49"/>
  <c r="J308" i="49"/>
  <c r="J27" i="49"/>
  <c r="J94" i="49"/>
  <c r="J124" i="49"/>
  <c r="L124" i="49" s="1"/>
  <c r="J152" i="49"/>
  <c r="J204" i="49"/>
  <c r="J231" i="49"/>
  <c r="J272" i="49"/>
  <c r="J313" i="49"/>
  <c r="L313" i="49" s="1"/>
  <c r="J254" i="13"/>
  <c r="J222" i="13"/>
  <c r="J94" i="13"/>
  <c r="J44" i="13"/>
  <c r="J29" i="13"/>
  <c r="G23" i="49"/>
  <c r="G29" i="49"/>
  <c r="G41" i="49"/>
  <c r="J41" i="13"/>
  <c r="G43" i="49"/>
  <c r="G45" i="49"/>
  <c r="G55" i="49"/>
  <c r="G76" i="49"/>
  <c r="J76" i="13"/>
  <c r="G86" i="49"/>
  <c r="J86" i="13"/>
  <c r="G94" i="49"/>
  <c r="G102" i="49"/>
  <c r="J102" i="13"/>
  <c r="G108" i="49"/>
  <c r="J108" i="13"/>
  <c r="G134" i="49"/>
  <c r="J134" i="13"/>
  <c r="G314" i="49"/>
  <c r="G212" i="49"/>
  <c r="J212" i="13"/>
  <c r="G285" i="49"/>
  <c r="G174" i="49"/>
  <c r="J174" i="13"/>
  <c r="G245" i="49"/>
  <c r="J245" i="13"/>
  <c r="G17" i="49"/>
  <c r="J17" i="13"/>
  <c r="G250" i="49"/>
  <c r="J250" i="13"/>
  <c r="G64" i="49"/>
  <c r="J64" i="13"/>
  <c r="G181" i="49"/>
  <c r="J181" i="13"/>
  <c r="G211" i="49"/>
  <c r="J211" i="13"/>
  <c r="G99" i="49"/>
  <c r="J99" i="13"/>
  <c r="G238" i="49"/>
  <c r="J238" i="13"/>
  <c r="G65" i="49"/>
  <c r="G216" i="49"/>
  <c r="J216" i="13"/>
  <c r="G121" i="49"/>
  <c r="G213" i="49"/>
  <c r="J213" i="13"/>
  <c r="G300" i="49"/>
  <c r="G132" i="49"/>
  <c r="J132" i="13"/>
  <c r="G210" i="49"/>
  <c r="G311" i="49"/>
  <c r="J311" i="13"/>
  <c r="G228" i="49"/>
  <c r="G272" i="49"/>
  <c r="G242" i="49"/>
  <c r="G161" i="49"/>
  <c r="J161" i="13"/>
  <c r="G277" i="49"/>
  <c r="G149" i="49"/>
  <c r="J149" i="13"/>
  <c r="G237" i="49"/>
  <c r="G304" i="49"/>
  <c r="J304" i="13"/>
  <c r="G159" i="49"/>
  <c r="G241" i="49"/>
  <c r="J241" i="13"/>
  <c r="G187" i="49"/>
  <c r="J187" i="13"/>
  <c r="G313" i="49"/>
  <c r="J313" i="13"/>
  <c r="G263" i="49"/>
  <c r="J263" i="13"/>
  <c r="G169" i="49"/>
  <c r="J169" i="13"/>
  <c r="G20" i="49"/>
  <c r="J20" i="13"/>
  <c r="G103" i="49"/>
  <c r="J103" i="13"/>
  <c r="G71" i="49"/>
  <c r="J71" i="13"/>
  <c r="G264" i="49"/>
  <c r="G269" i="49"/>
  <c r="G193" i="49"/>
  <c r="J193" i="13"/>
  <c r="G190" i="49"/>
  <c r="J190" i="13"/>
  <c r="G309" i="49"/>
  <c r="J309" i="13"/>
  <c r="G117" i="49"/>
  <c r="J117" i="13"/>
  <c r="G306" i="49"/>
  <c r="J306" i="13"/>
  <c r="G166" i="49"/>
  <c r="J166" i="13"/>
  <c r="G116" i="49"/>
  <c r="G145" i="49"/>
  <c r="G9" i="49"/>
  <c r="G307" i="49"/>
  <c r="J307" i="13"/>
  <c r="G167" i="49"/>
  <c r="G293" i="49"/>
  <c r="J293" i="13"/>
  <c r="G217" i="49"/>
  <c r="G133" i="49"/>
  <c r="J133" i="13"/>
  <c r="G147" i="49"/>
  <c r="J147" i="13"/>
  <c r="G10" i="49"/>
  <c r="G220" i="49"/>
  <c r="J220" i="13"/>
  <c r="G87" i="49"/>
  <c r="J87" i="13"/>
  <c r="G109" i="49"/>
  <c r="J109" i="13"/>
  <c r="G225" i="49"/>
  <c r="J225" i="13"/>
  <c r="G186" i="49"/>
  <c r="J186" i="13"/>
  <c r="G151" i="49"/>
  <c r="J151" i="13"/>
  <c r="G243" i="49"/>
  <c r="J243" i="13"/>
  <c r="G8" i="49"/>
  <c r="J8" i="13"/>
  <c r="G227" i="49"/>
  <c r="G148" i="49"/>
  <c r="J148" i="13"/>
  <c r="G30" i="49"/>
  <c r="J30" i="13"/>
  <c r="G171" i="49"/>
  <c r="J171" i="13"/>
  <c r="G257" i="49"/>
  <c r="J257" i="13"/>
  <c r="G137" i="49"/>
  <c r="J137" i="13"/>
  <c r="G246" i="49"/>
  <c r="G104" i="49"/>
  <c r="J104" i="13"/>
  <c r="G7" i="49"/>
  <c r="G88" i="49"/>
  <c r="J88" i="13"/>
  <c r="G26" i="49"/>
  <c r="G224" i="49"/>
  <c r="J224" i="13"/>
  <c r="G158" i="49"/>
  <c r="G298" i="49"/>
  <c r="G275" i="49"/>
  <c r="G34" i="49"/>
  <c r="G112" i="49"/>
  <c r="G27" i="49"/>
  <c r="G200" i="49"/>
  <c r="J200" i="13"/>
  <c r="G286" i="49"/>
  <c r="J286" i="13"/>
  <c r="G194" i="49"/>
  <c r="G302" i="49"/>
  <c r="G124" i="49"/>
  <c r="G46" i="49"/>
  <c r="G144" i="49"/>
  <c r="J144" i="13"/>
  <c r="G58" i="49"/>
  <c r="G182" i="49"/>
  <c r="J182" i="13"/>
  <c r="G301" i="49"/>
  <c r="G168" i="49"/>
  <c r="J168" i="13"/>
  <c r="G63" i="49"/>
  <c r="J63" i="13"/>
  <c r="G12" i="49"/>
  <c r="J12" i="13"/>
  <c r="G128" i="49"/>
  <c r="G297" i="49"/>
  <c r="G154" i="49"/>
  <c r="G122" i="49"/>
  <c r="G305" i="49"/>
  <c r="G199" i="49"/>
  <c r="G233" i="49"/>
  <c r="J154" i="13"/>
  <c r="J122" i="13"/>
  <c r="J264" i="13"/>
  <c r="J269" i="13"/>
  <c r="J58" i="13"/>
  <c r="J301" i="13"/>
  <c r="J227" i="13"/>
  <c r="J314" i="13"/>
  <c r="J242" i="13"/>
  <c r="J237" i="13"/>
  <c r="J82" i="13"/>
  <c r="J21" i="13"/>
  <c r="J232" i="13"/>
  <c r="J256" i="13"/>
  <c r="J156" i="13"/>
  <c r="J37" i="13"/>
  <c r="J162" i="13"/>
  <c r="J249" i="13"/>
  <c r="J22" i="13"/>
  <c r="J178" i="13"/>
  <c r="J179" i="13"/>
  <c r="J292" i="13"/>
  <c r="J189" i="13"/>
  <c r="J81" i="13"/>
  <c r="J204" i="13"/>
  <c r="J38" i="13"/>
  <c r="J201" i="13"/>
  <c r="J270" i="13"/>
  <c r="J283" i="13"/>
  <c r="J101" i="13"/>
  <c r="J55" i="13"/>
  <c r="J43" i="13"/>
  <c r="J23" i="13"/>
  <c r="J196" i="13"/>
  <c r="J289" i="13"/>
  <c r="J16" i="13"/>
  <c r="J239" i="13"/>
  <c r="J67" i="13"/>
  <c r="J51" i="13"/>
  <c r="J143" i="13"/>
  <c r="J230" i="13"/>
  <c r="J207" i="13"/>
  <c r="J32" i="13"/>
  <c r="J90" i="13"/>
  <c r="J13" i="13"/>
  <c r="J266" i="13"/>
  <c r="J125" i="13"/>
  <c r="J52" i="13"/>
  <c r="J11" i="13"/>
  <c r="J56" i="13"/>
  <c r="J35" i="13"/>
  <c r="J60" i="13"/>
  <c r="J183" i="13"/>
  <c r="J106" i="13"/>
  <c r="J299" i="13"/>
  <c r="J123" i="13"/>
  <c r="J84" i="13"/>
  <c r="J91" i="13"/>
  <c r="J79" i="13"/>
  <c r="J150" i="13"/>
  <c r="J15" i="13"/>
  <c r="J31" i="13"/>
  <c r="J114" i="13"/>
  <c r="J28" i="13"/>
  <c r="J163" i="13"/>
  <c r="J157" i="13"/>
  <c r="J176" i="13"/>
  <c r="J276" i="13"/>
  <c r="J126" i="13"/>
  <c r="J85" i="13"/>
  <c r="J95" i="13"/>
  <c r="J68" i="13"/>
  <c r="J75" i="13"/>
  <c r="J191" i="13"/>
  <c r="J14" i="13"/>
  <c r="J119" i="13"/>
  <c r="J223" i="13"/>
  <c r="J48" i="13"/>
  <c r="J280" i="13"/>
  <c r="J59" i="13"/>
  <c r="J130" i="13"/>
  <c r="J77" i="13"/>
  <c r="J47" i="13"/>
  <c r="J226" i="13"/>
  <c r="J39" i="13"/>
  <c r="J127" i="13"/>
  <c r="J206" i="13"/>
  <c r="J288" i="13"/>
  <c r="J248" i="13"/>
  <c r="J240" i="13"/>
  <c r="J80" i="13"/>
  <c r="J139" i="13"/>
  <c r="J107" i="13"/>
  <c r="J83" i="13"/>
  <c r="J296" i="13"/>
  <c r="J259" i="13"/>
  <c r="J19" i="13"/>
  <c r="J164" i="13"/>
  <c r="J165" i="13"/>
  <c r="J175" i="13"/>
  <c r="J235" i="13"/>
  <c r="J195" i="13"/>
  <c r="J231" i="13"/>
  <c r="J72" i="13"/>
  <c r="J172" i="13"/>
  <c r="F9" i="48" l="1"/>
  <c r="E6" i="25"/>
  <c r="M6" i="49"/>
  <c r="C5" i="11"/>
  <c r="C16" i="34"/>
  <c r="K219" i="49"/>
  <c r="L219" i="49" s="1"/>
  <c r="K244" i="49"/>
  <c r="L244" i="49" s="1"/>
  <c r="E5" i="33"/>
  <c r="D5" i="37" s="1"/>
  <c r="G5" i="32"/>
  <c r="K231" i="49"/>
  <c r="L231" i="49" s="1"/>
  <c r="K266" i="49"/>
  <c r="L266" i="49" s="1"/>
  <c r="K56" i="49"/>
  <c r="L56" i="49" s="1"/>
  <c r="K64" i="49"/>
  <c r="L64" i="49" s="1"/>
  <c r="K254" i="49"/>
  <c r="L254" i="49" s="1"/>
  <c r="K180" i="49"/>
  <c r="L180" i="49" s="1"/>
  <c r="K72" i="49"/>
  <c r="L72" i="49" s="1"/>
  <c r="K35" i="49"/>
  <c r="L35" i="49" s="1"/>
  <c r="K285" i="49"/>
  <c r="L285" i="49" s="1"/>
  <c r="K241" i="49"/>
  <c r="L241" i="49" s="1"/>
  <c r="K193" i="49"/>
  <c r="L193" i="49" s="1"/>
  <c r="K141" i="49"/>
  <c r="L141" i="49" s="1"/>
  <c r="K84" i="49"/>
  <c r="L84" i="49" s="1"/>
  <c r="K51" i="49"/>
  <c r="L51" i="49" s="1"/>
  <c r="K294" i="49"/>
  <c r="L294" i="49" s="1"/>
  <c r="K252" i="49"/>
  <c r="L252" i="49" s="1"/>
  <c r="K232" i="49"/>
  <c r="L232" i="49" s="1"/>
  <c r="K177" i="49"/>
  <c r="L177" i="49" s="1"/>
  <c r="K125" i="49"/>
  <c r="L125" i="49" s="1"/>
  <c r="K67" i="49"/>
  <c r="L67" i="49" s="1"/>
  <c r="K310" i="49"/>
  <c r="L310" i="49" s="1"/>
  <c r="K295" i="49"/>
  <c r="L295" i="49" s="1"/>
  <c r="K263" i="49"/>
  <c r="L263" i="49" s="1"/>
  <c r="K233" i="49"/>
  <c r="L233" i="49" s="1"/>
  <c r="K192" i="49"/>
  <c r="L192" i="49" s="1"/>
  <c r="K172" i="49"/>
  <c r="L172" i="49" s="1"/>
  <c r="K133" i="49"/>
  <c r="L133" i="49" s="1"/>
  <c r="K90" i="49"/>
  <c r="L90" i="49" s="1"/>
  <c r="K40" i="49"/>
  <c r="L40" i="49" s="1"/>
  <c r="K171" i="49"/>
  <c r="L171" i="49" s="1"/>
  <c r="K95" i="49"/>
  <c r="L95" i="49" s="1"/>
  <c r="K79" i="49"/>
  <c r="L79" i="49" s="1"/>
  <c r="K18" i="49"/>
  <c r="L18" i="49" s="1"/>
  <c r="K45" i="49"/>
  <c r="L45" i="49" s="1"/>
  <c r="K13" i="49"/>
  <c r="L13" i="49" s="1"/>
  <c r="K204" i="49"/>
  <c r="L204" i="49" s="1"/>
  <c r="K245" i="49"/>
  <c r="L245" i="49" s="1"/>
  <c r="K16" i="49"/>
  <c r="L16" i="49" s="1"/>
  <c r="K235" i="49"/>
  <c r="L235" i="49" s="1"/>
  <c r="K293" i="49"/>
  <c r="L293" i="49" s="1"/>
  <c r="K217" i="49"/>
  <c r="L217" i="49" s="1"/>
  <c r="K312" i="49"/>
  <c r="L312" i="49" s="1"/>
  <c r="K270" i="49"/>
  <c r="L270" i="49" s="1"/>
  <c r="K249" i="49"/>
  <c r="L249" i="49" s="1"/>
  <c r="K201" i="49"/>
  <c r="L201" i="49" s="1"/>
  <c r="K174" i="49"/>
  <c r="L174" i="49" s="1"/>
  <c r="K63" i="49"/>
  <c r="L63" i="49" s="1"/>
  <c r="K237" i="49"/>
  <c r="L237" i="49" s="1"/>
  <c r="K185" i="49"/>
  <c r="L185" i="49" s="1"/>
  <c r="K77" i="49"/>
  <c r="L77" i="49" s="1"/>
  <c r="K309" i="49"/>
  <c r="L309" i="49" s="1"/>
  <c r="K268" i="49"/>
  <c r="L268" i="49" s="1"/>
  <c r="K226" i="49"/>
  <c r="L226" i="49" s="1"/>
  <c r="K118" i="49"/>
  <c r="L118" i="49" s="1"/>
  <c r="K58" i="49"/>
  <c r="L58" i="49" s="1"/>
  <c r="K306" i="49"/>
  <c r="K242" i="49"/>
  <c r="L242" i="49" s="1"/>
  <c r="K187" i="49"/>
  <c r="L187" i="49" s="1"/>
  <c r="K106" i="49"/>
  <c r="L106" i="49" s="1"/>
  <c r="K62" i="49"/>
  <c r="L62" i="49" s="1"/>
  <c r="K229" i="49"/>
  <c r="L229" i="49" s="1"/>
  <c r="K198" i="49"/>
  <c r="L198" i="49" s="1"/>
  <c r="K182" i="49"/>
  <c r="L182" i="49" s="1"/>
  <c r="K139" i="49"/>
  <c r="L139" i="49" s="1"/>
  <c r="K123" i="49"/>
  <c r="L123" i="49" s="1"/>
  <c r="K107" i="49"/>
  <c r="L107" i="49" s="1"/>
  <c r="K91" i="49"/>
  <c r="L91" i="49" s="1"/>
  <c r="K75" i="49"/>
  <c r="L75" i="49" s="1"/>
  <c r="K55" i="49"/>
  <c r="L55" i="49" s="1"/>
  <c r="K34" i="49"/>
  <c r="L34" i="49" s="1"/>
  <c r="K12" i="49"/>
  <c r="L12" i="49" s="1"/>
  <c r="K57" i="49"/>
  <c r="L57" i="49" s="1"/>
  <c r="K41" i="49"/>
  <c r="L41" i="49" s="1"/>
  <c r="K9" i="49"/>
  <c r="L9" i="49" s="1"/>
  <c r="K272" i="49"/>
  <c r="L272" i="49" s="1"/>
  <c r="K288" i="49"/>
  <c r="L288" i="49" s="1"/>
  <c r="K196" i="49"/>
  <c r="L196" i="49" s="1"/>
  <c r="K88" i="49"/>
  <c r="L88" i="49" s="1"/>
  <c r="K183" i="49"/>
  <c r="L183" i="49" s="1"/>
  <c r="K73" i="49"/>
  <c r="L73" i="49" s="1"/>
  <c r="K175" i="49"/>
  <c r="L175" i="49" s="1"/>
  <c r="K261" i="49"/>
  <c r="L261" i="49" s="1"/>
  <c r="K165" i="49"/>
  <c r="L165" i="49" s="1"/>
  <c r="K46" i="49"/>
  <c r="L46" i="49" s="1"/>
  <c r="K301" i="49"/>
  <c r="L301" i="49" s="1"/>
  <c r="K260" i="49"/>
  <c r="L260" i="49" s="1"/>
  <c r="K216" i="49"/>
  <c r="L216" i="49" s="1"/>
  <c r="K188" i="49"/>
  <c r="L188" i="49" s="1"/>
  <c r="K136" i="49"/>
  <c r="L136" i="49" s="1"/>
  <c r="K108" i="49"/>
  <c r="L108" i="49" s="1"/>
  <c r="K78" i="49"/>
  <c r="L78" i="49" s="1"/>
  <c r="K43" i="49"/>
  <c r="L43" i="49" s="1"/>
  <c r="K311" i="49"/>
  <c r="L311" i="49" s="1"/>
  <c r="K290" i="49"/>
  <c r="L290" i="49" s="1"/>
  <c r="K269" i="49"/>
  <c r="L269" i="49" s="1"/>
  <c r="K248" i="49"/>
  <c r="L248" i="49" s="1"/>
  <c r="K227" i="49"/>
  <c r="L227" i="49" s="1"/>
  <c r="K200" i="49"/>
  <c r="L200" i="49" s="1"/>
  <c r="K173" i="49"/>
  <c r="L173" i="49" s="1"/>
  <c r="K148" i="49"/>
  <c r="L148" i="49" s="1"/>
  <c r="K92" i="49"/>
  <c r="L92" i="49" s="1"/>
  <c r="K59" i="49"/>
  <c r="L59" i="49" s="1"/>
  <c r="K22" i="49"/>
  <c r="L22" i="49" s="1"/>
  <c r="K299" i="49"/>
  <c r="L299" i="49" s="1"/>
  <c r="K257" i="49"/>
  <c r="L257" i="49" s="1"/>
  <c r="K212" i="49"/>
  <c r="L212" i="49" s="1"/>
  <c r="K184" i="49"/>
  <c r="L184" i="49" s="1"/>
  <c r="K161" i="49"/>
  <c r="L161" i="49" s="1"/>
  <c r="K132" i="49"/>
  <c r="L132" i="49" s="1"/>
  <c r="K104" i="49"/>
  <c r="L104" i="49" s="1"/>
  <c r="K76" i="49"/>
  <c r="L76" i="49" s="1"/>
  <c r="K38" i="49"/>
  <c r="L38" i="49" s="1"/>
  <c r="K314" i="49"/>
  <c r="L314" i="49" s="1"/>
  <c r="K298" i="49"/>
  <c r="L298" i="49" s="1"/>
  <c r="K267" i="49"/>
  <c r="L267" i="49" s="1"/>
  <c r="K251" i="49"/>
  <c r="L251" i="49" s="1"/>
  <c r="K236" i="49"/>
  <c r="L236" i="49" s="1"/>
  <c r="K197" i="49"/>
  <c r="L197" i="49" s="1"/>
  <c r="K176" i="49"/>
  <c r="L176" i="49" s="1"/>
  <c r="K160" i="49"/>
  <c r="L160" i="49" s="1"/>
  <c r="K138" i="49"/>
  <c r="L138" i="49" s="1"/>
  <c r="K96" i="49"/>
  <c r="L96" i="49" s="1"/>
  <c r="K74" i="49"/>
  <c r="L74" i="49" s="1"/>
  <c r="K47" i="49"/>
  <c r="L47" i="49" s="1"/>
  <c r="K19" i="49"/>
  <c r="L19" i="49" s="1"/>
  <c r="K221" i="49"/>
  <c r="L221" i="49" s="1"/>
  <c r="K206" i="49"/>
  <c r="L206" i="49" s="1"/>
  <c r="K190" i="49"/>
  <c r="L190" i="49" s="1"/>
  <c r="K163" i="49"/>
  <c r="L163" i="49" s="1"/>
  <c r="K147" i="49"/>
  <c r="L147" i="49" s="1"/>
  <c r="K115" i="49"/>
  <c r="L115" i="49" s="1"/>
  <c r="K99" i="49"/>
  <c r="L99" i="49" s="1"/>
  <c r="K83" i="49"/>
  <c r="L83" i="49" s="1"/>
  <c r="K66" i="49"/>
  <c r="L66" i="49" s="1"/>
  <c r="K44" i="49"/>
  <c r="L44" i="49" s="1"/>
  <c r="K23" i="49"/>
  <c r="L23" i="49" s="1"/>
  <c r="K65" i="49"/>
  <c r="L65" i="49" s="1"/>
  <c r="K49" i="49"/>
  <c r="L49" i="49" s="1"/>
  <c r="K33" i="49"/>
  <c r="L33" i="49" s="1"/>
  <c r="K17" i="49"/>
  <c r="L17" i="49" s="1"/>
  <c r="K94" i="49"/>
  <c r="L94" i="49" s="1"/>
  <c r="K169" i="49"/>
  <c r="L169" i="49" s="1"/>
  <c r="K256" i="49"/>
  <c r="L256" i="49" s="1"/>
  <c r="K36" i="49"/>
  <c r="L36" i="49" s="1"/>
  <c r="K239" i="49"/>
  <c r="L239" i="49" s="1"/>
  <c r="K209" i="49"/>
  <c r="L209" i="49" s="1"/>
  <c r="K157" i="49"/>
  <c r="L157" i="49" s="1"/>
  <c r="K100" i="49"/>
  <c r="L100" i="49" s="1"/>
  <c r="K264" i="49"/>
  <c r="L264" i="49" s="1"/>
  <c r="K166" i="49"/>
  <c r="L166" i="49" s="1"/>
  <c r="K113" i="49"/>
  <c r="L113" i="49" s="1"/>
  <c r="K273" i="49"/>
  <c r="L273" i="49" s="1"/>
  <c r="K205" i="49"/>
  <c r="L205" i="49" s="1"/>
  <c r="K153" i="49"/>
  <c r="L153" i="49" s="1"/>
  <c r="K97" i="49"/>
  <c r="L97" i="49" s="1"/>
  <c r="K30" i="49"/>
  <c r="L30" i="49" s="1"/>
  <c r="K247" i="49"/>
  <c r="L247" i="49" s="1"/>
  <c r="K213" i="49"/>
  <c r="L213" i="49" s="1"/>
  <c r="K68" i="49"/>
  <c r="L68" i="49" s="1"/>
  <c r="K11" i="49"/>
  <c r="L11" i="49" s="1"/>
  <c r="K218" i="49"/>
  <c r="L218" i="49" s="1"/>
  <c r="K186" i="49"/>
  <c r="L186" i="49" s="1"/>
  <c r="K159" i="49"/>
  <c r="L159" i="49" s="1"/>
  <c r="K143" i="49"/>
  <c r="L143" i="49" s="1"/>
  <c r="K111" i="49"/>
  <c r="L111" i="49" s="1"/>
  <c r="K60" i="49"/>
  <c r="L60" i="49" s="1"/>
  <c r="K39" i="49"/>
  <c r="L39" i="49" s="1"/>
  <c r="K61" i="49"/>
  <c r="L61" i="49" s="1"/>
  <c r="K29" i="49"/>
  <c r="L29" i="49" s="1"/>
  <c r="K27" i="49"/>
  <c r="L27" i="49" s="1"/>
  <c r="K145" i="49"/>
  <c r="L145" i="49" s="1"/>
  <c r="L303" i="49"/>
  <c r="K109" i="49"/>
  <c r="L109" i="49" s="1"/>
  <c r="K292" i="49"/>
  <c r="L292" i="49" s="1"/>
  <c r="K230" i="49"/>
  <c r="L230" i="49" s="1"/>
  <c r="K93" i="49"/>
  <c r="L93" i="49" s="1"/>
  <c r="K24" i="49"/>
  <c r="L24" i="49" s="1"/>
  <c r="K300" i="49"/>
  <c r="L300" i="49" s="1"/>
  <c r="K258" i="49"/>
  <c r="L258" i="49" s="1"/>
  <c r="K215" i="49"/>
  <c r="L215" i="49" s="1"/>
  <c r="K162" i="49"/>
  <c r="L162" i="49" s="1"/>
  <c r="K105" i="49"/>
  <c r="L105" i="49" s="1"/>
  <c r="K42" i="49"/>
  <c r="L42" i="49" s="1"/>
  <c r="K289" i="49"/>
  <c r="L289" i="49" s="1"/>
  <c r="K246" i="49"/>
  <c r="L246" i="49" s="1"/>
  <c r="K199" i="49"/>
  <c r="L199" i="49" s="1"/>
  <c r="K146" i="49"/>
  <c r="L146" i="49" s="1"/>
  <c r="K89" i="49"/>
  <c r="L89" i="49" s="1"/>
  <c r="K20" i="49"/>
  <c r="L20" i="49" s="1"/>
  <c r="K291" i="49"/>
  <c r="K259" i="49"/>
  <c r="L259" i="49" s="1"/>
  <c r="K228" i="49"/>
  <c r="L228" i="49" s="1"/>
  <c r="K208" i="49"/>
  <c r="L208" i="49" s="1"/>
  <c r="K167" i="49"/>
  <c r="L167" i="49" s="1"/>
  <c r="K85" i="49"/>
  <c r="L85" i="49" s="1"/>
  <c r="K32" i="49"/>
  <c r="L32" i="49" s="1"/>
  <c r="K214" i="49"/>
  <c r="L214" i="49" s="1"/>
  <c r="K25" i="49"/>
  <c r="L25" i="49" s="1"/>
  <c r="K152" i="49"/>
  <c r="L152" i="49" s="1"/>
  <c r="K308" i="49"/>
  <c r="L308" i="49" s="1"/>
  <c r="K116" i="49"/>
  <c r="L116" i="49" s="1"/>
  <c r="K297" i="49"/>
  <c r="K211" i="49"/>
  <c r="L211" i="49" s="1"/>
  <c r="K102" i="49"/>
  <c r="L102" i="49" s="1"/>
  <c r="K250" i="49"/>
  <c r="L250" i="49" s="1"/>
  <c r="K189" i="49"/>
  <c r="L189" i="49" s="1"/>
  <c r="K81" i="49"/>
  <c r="L81" i="49" s="1"/>
  <c r="K307" i="49"/>
  <c r="K286" i="49"/>
  <c r="L286" i="49" s="1"/>
  <c r="K265" i="49"/>
  <c r="L265" i="49" s="1"/>
  <c r="K243" i="49"/>
  <c r="L243" i="49" s="1"/>
  <c r="K222" i="49"/>
  <c r="L222" i="49" s="1"/>
  <c r="K195" i="49"/>
  <c r="L195" i="49" s="1"/>
  <c r="K168" i="49"/>
  <c r="L168" i="49" s="1"/>
  <c r="K142" i="49"/>
  <c r="L142" i="49" s="1"/>
  <c r="K86" i="49"/>
  <c r="L86" i="49" s="1"/>
  <c r="K52" i="49"/>
  <c r="L52" i="49" s="1"/>
  <c r="K15" i="49"/>
  <c r="L15" i="49" s="1"/>
  <c r="K274" i="49"/>
  <c r="L274" i="49" s="1"/>
  <c r="K253" i="49"/>
  <c r="L253" i="49" s="1"/>
  <c r="K234" i="49"/>
  <c r="L234" i="49" s="1"/>
  <c r="K207" i="49"/>
  <c r="L207" i="49" s="1"/>
  <c r="K179" i="49"/>
  <c r="L179" i="49" s="1"/>
  <c r="K98" i="49"/>
  <c r="L98" i="49" s="1"/>
  <c r="K70" i="49"/>
  <c r="L70" i="49" s="1"/>
  <c r="K31" i="49"/>
  <c r="L31" i="49" s="1"/>
  <c r="K304" i="49"/>
  <c r="L304" i="49" s="1"/>
  <c r="K262" i="49"/>
  <c r="L262" i="49" s="1"/>
  <c r="K240" i="49"/>
  <c r="L240" i="49" s="1"/>
  <c r="K220" i="49"/>
  <c r="L220" i="49" s="1"/>
  <c r="K140" i="49"/>
  <c r="L140" i="49" s="1"/>
  <c r="K110" i="49"/>
  <c r="L110" i="49" s="1"/>
  <c r="K82" i="49"/>
  <c r="L82" i="49" s="1"/>
  <c r="K48" i="49"/>
  <c r="L48" i="49" s="1"/>
  <c r="K10" i="49"/>
  <c r="L10" i="49" s="1"/>
  <c r="K302" i="49"/>
  <c r="L302" i="49" s="1"/>
  <c r="K287" i="49"/>
  <c r="K271" i="49"/>
  <c r="L271" i="49" s="1"/>
  <c r="K255" i="49"/>
  <c r="L255" i="49" s="1"/>
  <c r="K238" i="49"/>
  <c r="L238" i="49" s="1"/>
  <c r="K223" i="49"/>
  <c r="L223" i="49" s="1"/>
  <c r="K181" i="49"/>
  <c r="L181" i="49" s="1"/>
  <c r="K164" i="49"/>
  <c r="L164" i="49" s="1"/>
  <c r="K101" i="49"/>
  <c r="L101" i="49" s="1"/>
  <c r="K80" i="49"/>
  <c r="L80" i="49" s="1"/>
  <c r="K54" i="49"/>
  <c r="L54" i="49" s="1"/>
  <c r="K26" i="49"/>
  <c r="L26" i="49" s="1"/>
  <c r="K210" i="49"/>
  <c r="L210" i="49" s="1"/>
  <c r="K194" i="49"/>
  <c r="L194" i="49" s="1"/>
  <c r="K178" i="49"/>
  <c r="L178" i="49" s="1"/>
  <c r="K103" i="49"/>
  <c r="L103" i="49" s="1"/>
  <c r="K87" i="49"/>
  <c r="L87" i="49" s="1"/>
  <c r="K71" i="49"/>
  <c r="L71" i="49" s="1"/>
  <c r="K50" i="49"/>
  <c r="L50" i="49" s="1"/>
  <c r="K28" i="49"/>
  <c r="L28" i="49" s="1"/>
  <c r="K69" i="49"/>
  <c r="L69" i="49" s="1"/>
  <c r="K53" i="49"/>
  <c r="L53" i="49" s="1"/>
  <c r="K37" i="49"/>
  <c r="L37" i="49" s="1"/>
  <c r="K21" i="49"/>
  <c r="L21" i="49" s="1"/>
  <c r="J315" i="49"/>
  <c r="L291" i="49" l="1"/>
  <c r="L287" i="49"/>
  <c r="L297" i="49"/>
  <c r="L307" i="49"/>
  <c r="L306" i="49"/>
  <c r="E47" i="48"/>
  <c r="L8" i="49"/>
  <c r="K315" i="49"/>
  <c r="N315" i="49" s="1"/>
  <c r="L315" i="49" l="1"/>
  <c r="H5" i="11" l="1"/>
  <c r="I5" i="11" s="1"/>
  <c r="L16" i="11" l="1"/>
  <c r="M16" i="11" s="1"/>
  <c r="H16" i="11"/>
  <c r="I16" i="11" s="1"/>
  <c r="L44" i="11"/>
  <c r="M44" i="11" s="1"/>
  <c r="H44" i="11"/>
  <c r="I44" i="11" s="1"/>
  <c r="L15" i="11"/>
  <c r="M15" i="11" s="1"/>
  <c r="H15" i="11"/>
  <c r="I15" i="11" s="1"/>
  <c r="L49" i="11"/>
  <c r="M49" i="11" s="1"/>
  <c r="H49" i="11"/>
  <c r="I49" i="11" s="1"/>
  <c r="L59" i="11"/>
  <c r="M59" i="11" s="1"/>
  <c r="H59" i="11"/>
  <c r="I59" i="11" s="1"/>
  <c r="L13" i="11"/>
  <c r="M13" i="11" s="1"/>
  <c r="H13" i="11"/>
  <c r="I13" i="11" s="1"/>
  <c r="L65" i="11"/>
  <c r="M65" i="11" s="1"/>
  <c r="H65" i="11"/>
  <c r="I65" i="11" s="1"/>
  <c r="L47" i="11"/>
  <c r="M47" i="11" s="1"/>
  <c r="H47" i="11"/>
  <c r="I47" i="11" s="1"/>
  <c r="L68" i="11"/>
  <c r="M68" i="11" s="1"/>
  <c r="H68" i="11"/>
  <c r="I68" i="11" s="1"/>
  <c r="L19" i="11"/>
  <c r="M19" i="11" s="1"/>
  <c r="H19" i="11"/>
  <c r="I19" i="11" s="1"/>
  <c r="L22" i="11"/>
  <c r="M22" i="11" s="1"/>
  <c r="H22" i="11"/>
  <c r="I22" i="11" s="1"/>
  <c r="L62" i="11"/>
  <c r="M62" i="11" s="1"/>
  <c r="H62" i="11"/>
  <c r="I62" i="11" s="1"/>
  <c r="L20" i="11"/>
  <c r="M20" i="11" s="1"/>
  <c r="H20" i="11"/>
  <c r="I20" i="11" s="1"/>
  <c r="L17" i="11"/>
  <c r="M17" i="11" s="1"/>
  <c r="H17" i="11"/>
  <c r="I17" i="11" s="1"/>
  <c r="L10" i="11"/>
  <c r="M10" i="11" s="1"/>
  <c r="H10" i="11"/>
  <c r="I10" i="11" s="1"/>
  <c r="L6" i="11"/>
  <c r="M6" i="11" s="1"/>
  <c r="H6" i="11"/>
  <c r="I6" i="11" s="1"/>
  <c r="L18" i="11"/>
  <c r="M18" i="11" s="1"/>
  <c r="H18" i="11"/>
  <c r="I18" i="11" s="1"/>
  <c r="L45" i="11"/>
  <c r="M45" i="11" s="1"/>
  <c r="H45" i="11"/>
  <c r="I45" i="11" s="1"/>
  <c r="L39" i="11"/>
  <c r="M39" i="11" s="1"/>
  <c r="H39" i="11"/>
  <c r="I39" i="11" s="1"/>
  <c r="L76" i="11"/>
  <c r="M76" i="11" s="1"/>
  <c r="H76" i="11"/>
  <c r="I76" i="11" s="1"/>
  <c r="L61" i="11"/>
  <c r="M61" i="11" s="1"/>
  <c r="H61" i="11"/>
  <c r="I61" i="11" s="1"/>
  <c r="L28" i="11"/>
  <c r="M28" i="11" s="1"/>
  <c r="H28" i="11"/>
  <c r="I28" i="11" s="1"/>
  <c r="L41" i="11"/>
  <c r="M41" i="11" s="1"/>
  <c r="H41" i="11"/>
  <c r="I41" i="11" s="1"/>
  <c r="L21" i="11"/>
  <c r="M21" i="11" s="1"/>
  <c r="H21" i="11"/>
  <c r="I21" i="11" s="1"/>
  <c r="L67" i="11"/>
  <c r="M67" i="11" s="1"/>
  <c r="H67" i="11"/>
  <c r="I67" i="11" s="1"/>
  <c r="L24" i="11"/>
  <c r="M24" i="11" s="1"/>
  <c r="H24" i="11"/>
  <c r="I24" i="11" s="1"/>
  <c r="L51" i="11"/>
  <c r="M51" i="11" s="1"/>
  <c r="H51" i="11"/>
  <c r="I51" i="11" s="1"/>
  <c r="L8" i="11"/>
  <c r="M8" i="11" s="1"/>
  <c r="H8" i="11"/>
  <c r="I8" i="11" s="1"/>
  <c r="L37" i="11"/>
  <c r="M37" i="11" s="1"/>
  <c r="H37" i="11"/>
  <c r="I37" i="11" s="1"/>
  <c r="L58" i="11"/>
  <c r="M58" i="11" s="1"/>
  <c r="H58" i="11"/>
  <c r="I58" i="11" s="1"/>
  <c r="L30" i="11"/>
  <c r="M30" i="11" s="1"/>
  <c r="H30" i="11"/>
  <c r="I30" i="11" s="1"/>
  <c r="L27" i="11"/>
  <c r="M27" i="11" s="1"/>
  <c r="H27" i="11"/>
  <c r="I27" i="11" s="1"/>
  <c r="L46" i="11"/>
  <c r="M46" i="11" s="1"/>
  <c r="H46" i="11"/>
  <c r="I46" i="11" s="1"/>
  <c r="L52" i="11"/>
  <c r="M52" i="11" s="1"/>
  <c r="H52" i="11"/>
  <c r="I52" i="11" s="1"/>
  <c r="L31" i="11"/>
  <c r="M31" i="11" s="1"/>
  <c r="H31" i="11"/>
  <c r="I31" i="11" s="1"/>
  <c r="L43" i="11"/>
  <c r="M43" i="11" s="1"/>
  <c r="H43" i="11"/>
  <c r="I43" i="11" s="1"/>
  <c r="L73" i="11"/>
  <c r="M73" i="11" s="1"/>
  <c r="H73" i="11"/>
  <c r="I73" i="11" s="1"/>
  <c r="L57" i="11"/>
  <c r="M57" i="11" s="1"/>
  <c r="H57" i="11"/>
  <c r="I57" i="11" s="1"/>
  <c r="L23" i="11"/>
  <c r="M23" i="11" s="1"/>
  <c r="H23" i="11"/>
  <c r="I23" i="11" s="1"/>
  <c r="L25" i="11"/>
  <c r="M25" i="11" s="1"/>
  <c r="H25" i="11"/>
  <c r="I25" i="11" s="1"/>
  <c r="L33" i="11"/>
  <c r="M33" i="11" s="1"/>
  <c r="H33" i="11"/>
  <c r="I33" i="11" s="1"/>
  <c r="L35" i="11"/>
  <c r="M35" i="11" s="1"/>
  <c r="H35" i="11"/>
  <c r="I35" i="11" s="1"/>
  <c r="L32" i="11"/>
  <c r="M32" i="11" s="1"/>
  <c r="H32" i="11"/>
  <c r="I32" i="11" s="1"/>
  <c r="L70" i="11"/>
  <c r="M70" i="11" s="1"/>
  <c r="H70" i="11"/>
  <c r="I70" i="11" s="1"/>
  <c r="L55" i="11"/>
  <c r="M55" i="11" s="1"/>
  <c r="H55" i="11"/>
  <c r="I55" i="11" s="1"/>
  <c r="L12" i="11"/>
  <c r="M12" i="11" s="1"/>
  <c r="H12" i="11"/>
  <c r="I12" i="11" s="1"/>
  <c r="L74" i="11"/>
  <c r="M74" i="11" s="1"/>
  <c r="H74" i="11"/>
  <c r="I74" i="11" s="1"/>
  <c r="L53" i="11"/>
  <c r="M53" i="11" s="1"/>
  <c r="H53" i="11"/>
  <c r="I53" i="11" s="1"/>
  <c r="L9" i="11"/>
  <c r="M9" i="11" s="1"/>
  <c r="H9" i="11"/>
  <c r="I9" i="11" s="1"/>
  <c r="L11" i="11"/>
  <c r="M11" i="11" s="1"/>
  <c r="H11" i="11"/>
  <c r="I11" i="11" s="1"/>
  <c r="L36" i="11"/>
  <c r="M36" i="11" s="1"/>
  <c r="H36" i="11"/>
  <c r="I36" i="11" s="1"/>
  <c r="L63" i="11"/>
  <c r="M63" i="11" s="1"/>
  <c r="H63" i="11"/>
  <c r="I63" i="11" s="1"/>
  <c r="L50" i="11"/>
  <c r="M50" i="11" s="1"/>
  <c r="H50" i="11"/>
  <c r="I50" i="11" s="1"/>
  <c r="L72" i="11"/>
  <c r="M72" i="11" s="1"/>
  <c r="H72" i="11"/>
  <c r="I72" i="11" s="1"/>
  <c r="L26" i="11"/>
  <c r="M26" i="11" s="1"/>
  <c r="H26" i="11"/>
  <c r="I26" i="11" s="1"/>
  <c r="L66" i="11"/>
  <c r="M66" i="11" s="1"/>
  <c r="H66" i="11"/>
  <c r="I66" i="11" s="1"/>
  <c r="L75" i="11"/>
  <c r="M75" i="11" s="1"/>
  <c r="H75" i="11"/>
  <c r="I75" i="11" s="1"/>
  <c r="L64" i="11"/>
  <c r="M64" i="11" s="1"/>
  <c r="H64" i="11"/>
  <c r="I64" i="11" s="1"/>
  <c r="L56" i="11"/>
  <c r="M56" i="11" s="1"/>
  <c r="H56" i="11"/>
  <c r="I56" i="11" s="1"/>
  <c r="L38" i="11"/>
  <c r="M38" i="11" s="1"/>
  <c r="H38" i="11"/>
  <c r="I38" i="11" s="1"/>
  <c r="L71" i="11"/>
  <c r="M71" i="11" s="1"/>
  <c r="H71" i="11"/>
  <c r="I71" i="11" s="1"/>
  <c r="L34" i="11"/>
  <c r="M34" i="11" s="1"/>
  <c r="H34" i="11"/>
  <c r="I34" i="11" s="1"/>
  <c r="L42" i="11"/>
  <c r="M42" i="11" s="1"/>
  <c r="H42" i="11"/>
  <c r="I42" i="11" s="1"/>
  <c r="L60" i="11"/>
  <c r="M60" i="11" s="1"/>
  <c r="H60" i="11"/>
  <c r="I60" i="11" s="1"/>
  <c r="L48" i="11"/>
  <c r="M48" i="11" s="1"/>
  <c r="H48" i="11"/>
  <c r="I48" i="11" s="1"/>
  <c r="L40" i="11"/>
  <c r="M40" i="11" s="1"/>
  <c r="H40" i="11"/>
  <c r="I40" i="11" s="1"/>
  <c r="L69" i="11"/>
  <c r="M69" i="11" s="1"/>
  <c r="H69" i="11"/>
  <c r="I69" i="11" s="1"/>
  <c r="L14" i="11"/>
  <c r="M14" i="11" s="1"/>
  <c r="H14" i="11"/>
  <c r="I14" i="11" s="1"/>
  <c r="L54" i="11"/>
  <c r="M54" i="11" s="1"/>
  <c r="H54" i="11"/>
  <c r="I54" i="11" s="1"/>
  <c r="L7" i="11"/>
  <c r="M7" i="11" s="1"/>
  <c r="H7" i="11"/>
  <c r="I7" i="11" s="1"/>
  <c r="L29" i="11"/>
  <c r="M29" i="11" s="1"/>
  <c r="H29" i="11"/>
  <c r="I29" i="11" s="1"/>
  <c r="L5" i="11" l="1"/>
  <c r="M5" i="11" l="1"/>
  <c r="F316" i="42" l="1"/>
  <c r="M274" i="42"/>
  <c r="Y274" i="42" s="1"/>
  <c r="M316" i="42"/>
  <c r="Y316" i="42" s="1"/>
  <c r="I316" i="19" l="1"/>
  <c r="F273" i="49" l="1"/>
  <c r="F315" i="49" s="1"/>
  <c r="R316" i="19"/>
  <c r="U316" i="19" l="1"/>
  <c r="C314" i="39" s="1"/>
  <c r="C272" i="39"/>
  <c r="F272" i="32"/>
  <c r="G273" i="49"/>
  <c r="G315" i="49" s="1"/>
  <c r="C272" i="12"/>
  <c r="C314" i="12" s="1"/>
  <c r="C272" i="33"/>
  <c r="J273" i="13"/>
  <c r="J315" i="13" s="1"/>
  <c r="G272" i="32" l="1"/>
  <c r="I272" i="32"/>
  <c r="F314" i="32"/>
  <c r="E273" i="25"/>
  <c r="E315" i="25" s="1"/>
  <c r="C272" i="11"/>
  <c r="C314" i="33"/>
  <c r="C283" i="34"/>
  <c r="M273" i="49"/>
  <c r="M315" i="49" s="1"/>
  <c r="N5" i="49" s="1"/>
  <c r="E272" i="33"/>
  <c r="S316" i="19"/>
  <c r="C325" i="34" l="1"/>
  <c r="G40" i="40"/>
  <c r="G42" i="40" s="1"/>
  <c r="E4" i="9"/>
  <c r="E314" i="33"/>
  <c r="B60" i="40"/>
  <c r="N304" i="49"/>
  <c r="O304" i="49" s="1"/>
  <c r="M304" i="25" s="1"/>
  <c r="N110" i="49"/>
  <c r="O110" i="49" s="1"/>
  <c r="M110" i="25" s="1"/>
  <c r="N153" i="49"/>
  <c r="O153" i="49" s="1"/>
  <c r="M153" i="25" s="1"/>
  <c r="N276" i="49"/>
  <c r="O276" i="49" s="1"/>
  <c r="M276" i="25" s="1"/>
  <c r="N269" i="49"/>
  <c r="O269" i="49" s="1"/>
  <c r="M269" i="25" s="1"/>
  <c r="N20" i="49"/>
  <c r="O20" i="49" s="1"/>
  <c r="M20" i="25" s="1"/>
  <c r="N152" i="49"/>
  <c r="O152" i="49" s="1"/>
  <c r="M152" i="25" s="1"/>
  <c r="N286" i="49"/>
  <c r="O286" i="49" s="1"/>
  <c r="M286" i="25" s="1"/>
  <c r="N231" i="49"/>
  <c r="O231" i="49" s="1"/>
  <c r="M231" i="25" s="1"/>
  <c r="N93" i="49"/>
  <c r="O93" i="49" s="1"/>
  <c r="M93" i="25" s="1"/>
  <c r="N246" i="49"/>
  <c r="O246" i="49" s="1"/>
  <c r="M246" i="25" s="1"/>
  <c r="N306" i="49"/>
  <c r="O306" i="49" s="1"/>
  <c r="M306" i="25" s="1"/>
  <c r="N156" i="49"/>
  <c r="O156" i="49" s="1"/>
  <c r="M156" i="25" s="1"/>
  <c r="N119" i="49"/>
  <c r="O119" i="49" s="1"/>
  <c r="M119" i="25" s="1"/>
  <c r="N45" i="49"/>
  <c r="O45" i="49" s="1"/>
  <c r="M45" i="25" s="1"/>
  <c r="N185" i="49"/>
  <c r="O185" i="49" s="1"/>
  <c r="M185" i="25" s="1"/>
  <c r="N33" i="49"/>
  <c r="O33" i="49" s="1"/>
  <c r="M33" i="25" s="1"/>
  <c r="N187" i="49"/>
  <c r="O187" i="49" s="1"/>
  <c r="M187" i="25" s="1"/>
  <c r="N174" i="49"/>
  <c r="O174" i="49" s="1"/>
  <c r="M174" i="25" s="1"/>
  <c r="N148" i="49"/>
  <c r="O148" i="49" s="1"/>
  <c r="M148" i="25" s="1"/>
  <c r="N48" i="49"/>
  <c r="O48" i="49" s="1"/>
  <c r="M48" i="25" s="1"/>
  <c r="N289" i="49"/>
  <c r="O289" i="49" s="1"/>
  <c r="M289" i="25" s="1"/>
  <c r="N224" i="49"/>
  <c r="O224" i="49" s="1"/>
  <c r="M224" i="25" s="1"/>
  <c r="N68" i="49"/>
  <c r="O68" i="49" s="1"/>
  <c r="M68" i="25" s="1"/>
  <c r="N305" i="49"/>
  <c r="O305" i="49" s="1"/>
  <c r="M305" i="25" s="1"/>
  <c r="N75" i="49"/>
  <c r="O75" i="49" s="1"/>
  <c r="M75" i="25" s="1"/>
  <c r="N16" i="49"/>
  <c r="O16" i="49" s="1"/>
  <c r="M16" i="25" s="1"/>
  <c r="N228" i="49"/>
  <c r="O228" i="49" s="1"/>
  <c r="M228" i="25" s="1"/>
  <c r="N167" i="49"/>
  <c r="O167" i="49" s="1"/>
  <c r="M167" i="25" s="1"/>
  <c r="N126" i="49"/>
  <c r="O126" i="49" s="1"/>
  <c r="M126" i="25" s="1"/>
  <c r="N259" i="49"/>
  <c r="O259" i="49" s="1"/>
  <c r="M259" i="25" s="1"/>
  <c r="N280" i="49"/>
  <c r="O280" i="49" s="1"/>
  <c r="M280" i="25" s="1"/>
  <c r="N44" i="49"/>
  <c r="O44" i="49" s="1"/>
  <c r="M44" i="25" s="1"/>
  <c r="N125" i="49"/>
  <c r="O125" i="49" s="1"/>
  <c r="M125" i="25" s="1"/>
  <c r="N25" i="49"/>
  <c r="O25" i="49" s="1"/>
  <c r="M25" i="25" s="1"/>
  <c r="N288" i="49"/>
  <c r="O288" i="49" s="1"/>
  <c r="M288" i="25" s="1"/>
  <c r="N159" i="49"/>
  <c r="O159" i="49" s="1"/>
  <c r="M159" i="25" s="1"/>
  <c r="N181" i="49"/>
  <c r="O181" i="49" s="1"/>
  <c r="M181" i="25" s="1"/>
  <c r="N158" i="49"/>
  <c r="O158" i="49" s="1"/>
  <c r="M158" i="25" s="1"/>
  <c r="N61" i="49"/>
  <c r="O61" i="49" s="1"/>
  <c r="M61" i="25" s="1"/>
  <c r="N132" i="49"/>
  <c r="O132" i="49" s="1"/>
  <c r="M132" i="25" s="1"/>
  <c r="N22" i="49"/>
  <c r="O22" i="49" s="1"/>
  <c r="M22" i="25" s="1"/>
  <c r="N108" i="49"/>
  <c r="O108" i="49" s="1"/>
  <c r="M108" i="25" s="1"/>
  <c r="N309" i="49"/>
  <c r="O309" i="49" s="1"/>
  <c r="M309" i="25" s="1"/>
  <c r="N313" i="49"/>
  <c r="O313" i="49" s="1"/>
  <c r="M313" i="25" s="1"/>
  <c r="N270" i="49"/>
  <c r="O270" i="49" s="1"/>
  <c r="M270" i="25" s="1"/>
  <c r="N207" i="49"/>
  <c r="O207" i="49" s="1"/>
  <c r="M207" i="25" s="1"/>
  <c r="N164" i="49"/>
  <c r="O164" i="49" s="1"/>
  <c r="M164" i="25" s="1"/>
  <c r="N287" i="49"/>
  <c r="O287" i="49" s="1"/>
  <c r="M287" i="25" s="1"/>
  <c r="N182" i="49"/>
  <c r="O182" i="49" s="1"/>
  <c r="M182" i="25" s="1"/>
  <c r="N87" i="49"/>
  <c r="O87" i="49" s="1"/>
  <c r="M87" i="25" s="1"/>
  <c r="N123" i="49"/>
  <c r="O123" i="49" s="1"/>
  <c r="M123" i="25" s="1"/>
  <c r="N150" i="49"/>
  <c r="O150" i="49" s="1"/>
  <c r="M150" i="25" s="1"/>
  <c r="N247" i="49"/>
  <c r="O247" i="49" s="1"/>
  <c r="M247" i="25" s="1"/>
  <c r="N103" i="49"/>
  <c r="O103" i="49" s="1"/>
  <c r="M103" i="25" s="1"/>
  <c r="N169" i="49"/>
  <c r="O169" i="49" s="1"/>
  <c r="M169" i="25" s="1"/>
  <c r="N7" i="49"/>
  <c r="O7" i="49" s="1"/>
  <c r="M7" i="25" s="1"/>
  <c r="N96" i="49"/>
  <c r="O96" i="49" s="1"/>
  <c r="M96" i="25" s="1"/>
  <c r="N219" i="49"/>
  <c r="O219" i="49" s="1"/>
  <c r="M219" i="25" s="1"/>
  <c r="N26" i="49"/>
  <c r="O26" i="49" s="1"/>
  <c r="M26" i="25" s="1"/>
  <c r="N248" i="49"/>
  <c r="O248" i="49" s="1"/>
  <c r="M248" i="25" s="1"/>
  <c r="N210" i="49"/>
  <c r="O210" i="49" s="1"/>
  <c r="M210" i="25" s="1"/>
  <c r="N216" i="49"/>
  <c r="O216" i="49" s="1"/>
  <c r="M216" i="25" s="1"/>
  <c r="N101" i="49"/>
  <c r="O101" i="49" s="1"/>
  <c r="M101" i="25" s="1"/>
  <c r="N140" i="49"/>
  <c r="O140" i="49" s="1"/>
  <c r="M140" i="25" s="1"/>
  <c r="N94" i="49"/>
  <c r="O94" i="49" s="1"/>
  <c r="M94" i="25" s="1"/>
  <c r="N253" i="49"/>
  <c r="O253" i="49" s="1"/>
  <c r="M253" i="25" s="1"/>
  <c r="N200" i="49"/>
  <c r="O200" i="49" s="1"/>
  <c r="M200" i="25" s="1"/>
  <c r="N151" i="49"/>
  <c r="O151" i="49" s="1"/>
  <c r="M151" i="25" s="1"/>
  <c r="N95" i="49"/>
  <c r="O95" i="49" s="1"/>
  <c r="M95" i="25" s="1"/>
  <c r="N76" i="49"/>
  <c r="O76" i="49" s="1"/>
  <c r="M76" i="25" s="1"/>
  <c r="N50" i="49"/>
  <c r="O50" i="49" s="1"/>
  <c r="M50" i="25" s="1"/>
  <c r="N54" i="49"/>
  <c r="O54" i="49" s="1"/>
  <c r="M54" i="25" s="1"/>
  <c r="N266" i="49"/>
  <c r="O266" i="49" s="1"/>
  <c r="M266" i="25" s="1"/>
  <c r="N172" i="49"/>
  <c r="O172" i="49" s="1"/>
  <c r="M172" i="25" s="1"/>
  <c r="N10" i="49"/>
  <c r="O10" i="49" s="1"/>
  <c r="M10" i="25" s="1"/>
  <c r="N268" i="49"/>
  <c r="O268" i="49" s="1"/>
  <c r="M268" i="25" s="1"/>
  <c r="N149" i="49"/>
  <c r="O149" i="49" s="1"/>
  <c r="M149" i="25" s="1"/>
  <c r="N249" i="49"/>
  <c r="O249" i="49" s="1"/>
  <c r="M249" i="25" s="1"/>
  <c r="N104" i="49"/>
  <c r="O104" i="49" s="1"/>
  <c r="M104" i="25" s="1"/>
  <c r="N310" i="49"/>
  <c r="O310" i="49" s="1"/>
  <c r="M310" i="25" s="1"/>
  <c r="N162" i="49"/>
  <c r="O162" i="49" s="1"/>
  <c r="M162" i="25" s="1"/>
  <c r="N295" i="49"/>
  <c r="O295" i="49" s="1"/>
  <c r="M295" i="25" s="1"/>
  <c r="N223" i="49"/>
  <c r="O223" i="49" s="1"/>
  <c r="M223" i="25" s="1"/>
  <c r="N65" i="49"/>
  <c r="O65" i="49" s="1"/>
  <c r="M65" i="25" s="1"/>
  <c r="N196" i="49"/>
  <c r="O196" i="49" s="1"/>
  <c r="M196" i="25" s="1"/>
  <c r="N90" i="49"/>
  <c r="O90" i="49" s="1"/>
  <c r="M90" i="25" s="1"/>
  <c r="N115" i="49"/>
  <c r="O115" i="49" s="1"/>
  <c r="M115" i="25" s="1"/>
  <c r="N188" i="49"/>
  <c r="O188" i="49" s="1"/>
  <c r="M188" i="25" s="1"/>
  <c r="N232" i="49"/>
  <c r="O232" i="49" s="1"/>
  <c r="M232" i="25" s="1"/>
  <c r="N91" i="49"/>
  <c r="O91" i="49" s="1"/>
  <c r="M91" i="25" s="1"/>
  <c r="N70" i="49"/>
  <c r="O70" i="49" s="1"/>
  <c r="M70" i="25" s="1"/>
  <c r="N273" i="49"/>
  <c r="O273" i="49" s="1"/>
  <c r="M273" i="25" s="1"/>
  <c r="N194" i="49"/>
  <c r="O194" i="49" s="1"/>
  <c r="M194" i="25" s="1"/>
  <c r="N308" i="49"/>
  <c r="O308" i="49" s="1"/>
  <c r="M308" i="25" s="1"/>
  <c r="N63" i="49"/>
  <c r="O63" i="49" s="1"/>
  <c r="M63" i="25" s="1"/>
  <c r="N206" i="49"/>
  <c r="O206" i="49" s="1"/>
  <c r="M206" i="25" s="1"/>
  <c r="N112" i="49"/>
  <c r="O112" i="49" s="1"/>
  <c r="M112" i="25" s="1"/>
  <c r="N230" i="49"/>
  <c r="O230" i="49" s="1"/>
  <c r="M230" i="25" s="1"/>
  <c r="N255" i="49"/>
  <c r="O255" i="49" s="1"/>
  <c r="M255" i="25" s="1"/>
  <c r="N154" i="49"/>
  <c r="O154" i="49" s="1"/>
  <c r="M154" i="25" s="1"/>
  <c r="N179" i="49"/>
  <c r="O179" i="49" s="1"/>
  <c r="M179" i="25" s="1"/>
  <c r="N258" i="49"/>
  <c r="O258" i="49" s="1"/>
  <c r="M258" i="25" s="1"/>
  <c r="N36" i="49"/>
  <c r="O36" i="49" s="1"/>
  <c r="M36" i="25" s="1"/>
  <c r="N283" i="49"/>
  <c r="O283" i="49" s="1"/>
  <c r="M283" i="25" s="1"/>
  <c r="N290" i="49"/>
  <c r="O290" i="49" s="1"/>
  <c r="M290" i="25" s="1"/>
  <c r="N14" i="49"/>
  <c r="O14" i="49" s="1"/>
  <c r="M14" i="25" s="1"/>
  <c r="N137" i="49"/>
  <c r="O137" i="49" s="1"/>
  <c r="M137" i="25" s="1"/>
  <c r="N81" i="49"/>
  <c r="O81" i="49" s="1"/>
  <c r="M81" i="25" s="1"/>
  <c r="N241" i="49"/>
  <c r="O241" i="49" s="1"/>
  <c r="M241" i="25" s="1"/>
  <c r="N42" i="49"/>
  <c r="O42" i="49" s="1"/>
  <c r="M42" i="25" s="1"/>
  <c r="N262" i="49"/>
  <c r="O262" i="49" s="1"/>
  <c r="M262" i="25" s="1"/>
  <c r="N239" i="49"/>
  <c r="O239" i="49" s="1"/>
  <c r="M239" i="25" s="1"/>
  <c r="N197" i="49"/>
  <c r="O197" i="49" s="1"/>
  <c r="M197" i="25" s="1"/>
  <c r="N296" i="49"/>
  <c r="O296" i="49" s="1"/>
  <c r="M296" i="25" s="1"/>
  <c r="N66" i="49"/>
  <c r="O66" i="49" s="1"/>
  <c r="M66" i="25" s="1"/>
  <c r="N102" i="49"/>
  <c r="O102" i="49" s="1"/>
  <c r="M102" i="25" s="1"/>
  <c r="N85" i="49"/>
  <c r="O85" i="49" s="1"/>
  <c r="M85" i="25" s="1"/>
  <c r="N43" i="49"/>
  <c r="O43" i="49" s="1"/>
  <c r="M43" i="25" s="1"/>
  <c r="N222" i="49"/>
  <c r="O222" i="49" s="1"/>
  <c r="M222" i="25" s="1"/>
  <c r="N285" i="49"/>
  <c r="O285" i="49" s="1"/>
  <c r="M285" i="25" s="1"/>
  <c r="N252" i="49"/>
  <c r="O252" i="49" s="1"/>
  <c r="M252" i="25" s="1"/>
  <c r="N260" i="49"/>
  <c r="O260" i="49" s="1"/>
  <c r="M260" i="25" s="1"/>
  <c r="N6" i="49"/>
  <c r="O6" i="49" s="1"/>
  <c r="N234" i="49"/>
  <c r="O234" i="49" s="1"/>
  <c r="M234" i="25" s="1"/>
  <c r="N209" i="49"/>
  <c r="O209" i="49" s="1"/>
  <c r="M209" i="25" s="1"/>
  <c r="N29" i="49"/>
  <c r="O29" i="49" s="1"/>
  <c r="M29" i="25" s="1"/>
  <c r="N312" i="49"/>
  <c r="O312" i="49" s="1"/>
  <c r="M312" i="25" s="1"/>
  <c r="N264" i="49"/>
  <c r="O264" i="49" s="1"/>
  <c r="M264" i="25" s="1"/>
  <c r="N84" i="49"/>
  <c r="O84" i="49" s="1"/>
  <c r="M84" i="25" s="1"/>
  <c r="N178" i="49"/>
  <c r="O178" i="49" s="1"/>
  <c r="M178" i="25" s="1"/>
  <c r="N195" i="49"/>
  <c r="O195" i="49" s="1"/>
  <c r="M195" i="25" s="1"/>
  <c r="N293" i="49"/>
  <c r="O293" i="49" s="1"/>
  <c r="M293" i="25" s="1"/>
  <c r="N100" i="49"/>
  <c r="O100" i="49" s="1"/>
  <c r="M100" i="25" s="1"/>
  <c r="N60" i="49"/>
  <c r="O60" i="49" s="1"/>
  <c r="M60" i="25" s="1"/>
  <c r="N138" i="49"/>
  <c r="O138" i="49" s="1"/>
  <c r="M138" i="25" s="1"/>
  <c r="N291" i="49"/>
  <c r="O291" i="49" s="1"/>
  <c r="M291" i="25" s="1"/>
  <c r="N39" i="49"/>
  <c r="O39" i="49" s="1"/>
  <c r="M39" i="25" s="1"/>
  <c r="N190" i="49"/>
  <c r="O190" i="49" s="1"/>
  <c r="M190" i="25" s="1"/>
  <c r="N203" i="49"/>
  <c r="O203" i="49" s="1"/>
  <c r="M203" i="25" s="1"/>
  <c r="N146" i="49"/>
  <c r="O146" i="49" s="1"/>
  <c r="M146" i="25" s="1"/>
  <c r="N27" i="49"/>
  <c r="O27" i="49" s="1"/>
  <c r="M27" i="25" s="1"/>
  <c r="N58" i="49"/>
  <c r="O58" i="49" s="1"/>
  <c r="M58" i="25" s="1"/>
  <c r="N127" i="49"/>
  <c r="O127" i="49" s="1"/>
  <c r="M127" i="25" s="1"/>
  <c r="N168" i="49"/>
  <c r="O168" i="49" s="1"/>
  <c r="M168" i="25" s="1"/>
  <c r="N250" i="49"/>
  <c r="O250" i="49" s="1"/>
  <c r="M250" i="25" s="1"/>
  <c r="N300" i="49"/>
  <c r="O300" i="49" s="1"/>
  <c r="M300" i="25" s="1"/>
  <c r="N155" i="49"/>
  <c r="O155" i="49" s="1"/>
  <c r="M155" i="25" s="1"/>
  <c r="N271" i="49"/>
  <c r="O271" i="49" s="1"/>
  <c r="M271" i="25" s="1"/>
  <c r="N37" i="49"/>
  <c r="O37" i="49" s="1"/>
  <c r="M37" i="25" s="1"/>
  <c r="N106" i="49"/>
  <c r="O106" i="49" s="1"/>
  <c r="M106" i="25" s="1"/>
  <c r="N226" i="49"/>
  <c r="O226" i="49" s="1"/>
  <c r="M226" i="25" s="1"/>
  <c r="N32" i="49"/>
  <c r="O32" i="49" s="1"/>
  <c r="M32" i="25" s="1"/>
  <c r="N180" i="49"/>
  <c r="O180" i="49" s="1"/>
  <c r="M180" i="25" s="1"/>
  <c r="N23" i="49"/>
  <c r="O23" i="49" s="1"/>
  <c r="M23" i="25" s="1"/>
  <c r="N214" i="49"/>
  <c r="O214" i="49" s="1"/>
  <c r="M214" i="25" s="1"/>
  <c r="N139" i="49"/>
  <c r="O139" i="49" s="1"/>
  <c r="M139" i="25" s="1"/>
  <c r="N9" i="49"/>
  <c r="O9" i="49" s="1"/>
  <c r="M9" i="25" s="1"/>
  <c r="N12" i="49"/>
  <c r="O12" i="49" s="1"/>
  <c r="M12" i="25" s="1"/>
  <c r="N175" i="49"/>
  <c r="O175" i="49" s="1"/>
  <c r="M175" i="25" s="1"/>
  <c r="N74" i="49"/>
  <c r="O74" i="49" s="1"/>
  <c r="M74" i="25" s="1"/>
  <c r="N133" i="49"/>
  <c r="O133" i="49" s="1"/>
  <c r="M133" i="25" s="1"/>
  <c r="N245" i="49"/>
  <c r="O245" i="49" s="1"/>
  <c r="M245" i="25" s="1"/>
  <c r="N160" i="49"/>
  <c r="O160" i="49" s="1"/>
  <c r="M160" i="25" s="1"/>
  <c r="N114" i="49"/>
  <c r="O114" i="49" s="1"/>
  <c r="M114" i="25" s="1"/>
  <c r="N166" i="49"/>
  <c r="O166" i="49" s="1"/>
  <c r="M166" i="25" s="1"/>
  <c r="N89" i="49"/>
  <c r="O89" i="49" s="1"/>
  <c r="M89" i="25" s="1"/>
  <c r="N109" i="49"/>
  <c r="O109" i="49" s="1"/>
  <c r="M109" i="25" s="1"/>
  <c r="N80" i="49"/>
  <c r="O80" i="49" s="1"/>
  <c r="M80" i="25" s="1"/>
  <c r="N15" i="49"/>
  <c r="O15" i="49" s="1"/>
  <c r="M15" i="25" s="1"/>
  <c r="N30" i="49"/>
  <c r="O30" i="49" s="1"/>
  <c r="M30" i="25" s="1"/>
  <c r="N244" i="49"/>
  <c r="O244" i="49" s="1"/>
  <c r="M244" i="25" s="1"/>
  <c r="N184" i="49"/>
  <c r="O184" i="49" s="1"/>
  <c r="M184" i="25" s="1"/>
  <c r="N131" i="49"/>
  <c r="O131" i="49" s="1"/>
  <c r="M131" i="25" s="1"/>
  <c r="N233" i="49"/>
  <c r="O233" i="49" s="1"/>
  <c r="M233" i="25" s="1"/>
  <c r="N183" i="49"/>
  <c r="O183" i="49" s="1"/>
  <c r="M183" i="25" s="1"/>
  <c r="N98" i="49"/>
  <c r="O98" i="49" s="1"/>
  <c r="M98" i="25" s="1"/>
  <c r="N275" i="49"/>
  <c r="O275" i="49" s="1"/>
  <c r="M275" i="25" s="1"/>
  <c r="N116" i="49"/>
  <c r="O116" i="49" s="1"/>
  <c r="M116" i="25" s="1"/>
  <c r="N157" i="49"/>
  <c r="O157" i="49" s="1"/>
  <c r="M157" i="25" s="1"/>
  <c r="N135" i="49"/>
  <c r="O135" i="49" s="1"/>
  <c r="M135" i="25" s="1"/>
  <c r="N24" i="49"/>
  <c r="O24" i="49" s="1"/>
  <c r="M24" i="25" s="1"/>
  <c r="N67" i="49"/>
  <c r="O67" i="49" s="1"/>
  <c r="M67" i="25" s="1"/>
  <c r="N53" i="49"/>
  <c r="O53" i="49" s="1"/>
  <c r="M53" i="25" s="1"/>
  <c r="N124" i="49"/>
  <c r="O124" i="49" s="1"/>
  <c r="M124" i="25" s="1"/>
  <c r="N227" i="49"/>
  <c r="O227" i="49" s="1"/>
  <c r="M227" i="25" s="1"/>
  <c r="N144" i="49"/>
  <c r="O144" i="49" s="1"/>
  <c r="M144" i="25" s="1"/>
  <c r="N49" i="49"/>
  <c r="O49" i="49" s="1"/>
  <c r="M49" i="25" s="1"/>
  <c r="N257" i="49"/>
  <c r="O257" i="49" s="1"/>
  <c r="M257" i="25" s="1"/>
  <c r="N83" i="49"/>
  <c r="O83" i="49" s="1"/>
  <c r="M83" i="25" s="1"/>
  <c r="N215" i="49"/>
  <c r="O215" i="49" s="1"/>
  <c r="M215" i="25" s="1"/>
  <c r="N161" i="49"/>
  <c r="O161" i="49" s="1"/>
  <c r="M161" i="25" s="1"/>
  <c r="N278" i="49"/>
  <c r="O278" i="49" s="1"/>
  <c r="M278" i="25" s="1"/>
  <c r="N292" i="49"/>
  <c r="O292" i="49" s="1"/>
  <c r="M292" i="25" s="1"/>
  <c r="N46" i="49"/>
  <c r="O46" i="49" s="1"/>
  <c r="M46" i="25" s="1"/>
  <c r="N314" i="49"/>
  <c r="O314" i="49" s="1"/>
  <c r="M314" i="25" s="1"/>
  <c r="N38" i="49"/>
  <c r="O38" i="49" s="1"/>
  <c r="M38" i="25" s="1"/>
  <c r="N240" i="49"/>
  <c r="O240" i="49" s="1"/>
  <c r="M240" i="25" s="1"/>
  <c r="N265" i="49"/>
  <c r="O265" i="49" s="1"/>
  <c r="M265" i="25" s="1"/>
  <c r="N82" i="49"/>
  <c r="O82" i="49" s="1"/>
  <c r="M82" i="25" s="1"/>
  <c r="N118" i="49"/>
  <c r="O118" i="49" s="1"/>
  <c r="M118" i="25" s="1"/>
  <c r="N213" i="49"/>
  <c r="O213" i="49" s="1"/>
  <c r="M213" i="25" s="1"/>
  <c r="N47" i="49"/>
  <c r="O47" i="49" s="1"/>
  <c r="M47" i="25" s="1"/>
  <c r="N297" i="49"/>
  <c r="O297" i="49" s="1"/>
  <c r="M297" i="25" s="1"/>
  <c r="N311" i="49"/>
  <c r="O311" i="49" s="1"/>
  <c r="M311" i="25" s="1"/>
  <c r="N31" i="49"/>
  <c r="O31" i="49" s="1"/>
  <c r="M31" i="25" s="1"/>
  <c r="N52" i="49"/>
  <c r="O52" i="49" s="1"/>
  <c r="M52" i="25" s="1"/>
  <c r="N307" i="49"/>
  <c r="O307" i="49" s="1"/>
  <c r="M307" i="25" s="1"/>
  <c r="N35" i="49"/>
  <c r="O35" i="49" s="1"/>
  <c r="M35" i="25" s="1"/>
  <c r="N217" i="49"/>
  <c r="O217" i="49" s="1"/>
  <c r="M217" i="25" s="1"/>
  <c r="N204" i="49"/>
  <c r="O204" i="49" s="1"/>
  <c r="M204" i="25" s="1"/>
  <c r="N69" i="49"/>
  <c r="O69" i="49" s="1"/>
  <c r="M69" i="25" s="1"/>
  <c r="N99" i="49"/>
  <c r="O99" i="49" s="1"/>
  <c r="M99" i="25" s="1"/>
  <c r="N62" i="49"/>
  <c r="O62" i="49" s="1"/>
  <c r="M62" i="25" s="1"/>
  <c r="N21" i="49"/>
  <c r="O21" i="49" s="1"/>
  <c r="M21" i="25" s="1"/>
  <c r="N130" i="49"/>
  <c r="O130" i="49" s="1"/>
  <c r="M130" i="25" s="1"/>
  <c r="N267" i="49"/>
  <c r="O267" i="49" s="1"/>
  <c r="M267" i="25" s="1"/>
  <c r="N208" i="49"/>
  <c r="O208" i="49" s="1"/>
  <c r="M208" i="25" s="1"/>
  <c r="N237" i="49"/>
  <c r="O237" i="49" s="1"/>
  <c r="M237" i="25" s="1"/>
  <c r="N71" i="49"/>
  <c r="O71" i="49" s="1"/>
  <c r="M71" i="25" s="1"/>
  <c r="N105" i="49"/>
  <c r="O105" i="49" s="1"/>
  <c r="M105" i="25" s="1"/>
  <c r="N212" i="49"/>
  <c r="N189" i="49"/>
  <c r="O189" i="49" s="1"/>
  <c r="M189" i="25" s="1"/>
  <c r="N56" i="49"/>
  <c r="O56" i="49" s="1"/>
  <c r="M56" i="25" s="1"/>
  <c r="N34" i="49"/>
  <c r="O34" i="49" s="1"/>
  <c r="M34" i="25" s="1"/>
  <c r="N40" i="49"/>
  <c r="O40" i="49" s="1"/>
  <c r="M40" i="25" s="1"/>
  <c r="N277" i="49"/>
  <c r="O277" i="49" s="1"/>
  <c r="M277" i="25" s="1"/>
  <c r="N72" i="49"/>
  <c r="O72" i="49" s="1"/>
  <c r="M72" i="25" s="1"/>
  <c r="N177" i="49"/>
  <c r="O177" i="49" s="1"/>
  <c r="M177" i="25" s="1"/>
  <c r="N142" i="49"/>
  <c r="O142" i="49" s="1"/>
  <c r="M142" i="25" s="1"/>
  <c r="N129" i="49"/>
  <c r="O129" i="49" s="1"/>
  <c r="M129" i="25" s="1"/>
  <c r="N193" i="49"/>
  <c r="O193" i="49" s="1"/>
  <c r="M193" i="25" s="1"/>
  <c r="N238" i="49"/>
  <c r="O238" i="49" s="1"/>
  <c r="M238" i="25" s="1"/>
  <c r="N220" i="49"/>
  <c r="O220" i="49" s="1"/>
  <c r="M220" i="25" s="1"/>
  <c r="N41" i="49"/>
  <c r="O41" i="49" s="1"/>
  <c r="M41" i="25" s="1"/>
  <c r="N198" i="49"/>
  <c r="O198" i="49" s="1"/>
  <c r="M198" i="25" s="1"/>
  <c r="N242" i="49"/>
  <c r="O242" i="49" s="1"/>
  <c r="M242" i="25" s="1"/>
  <c r="N218" i="49"/>
  <c r="O218" i="49" s="1"/>
  <c r="M218" i="25" s="1"/>
  <c r="N55" i="49"/>
  <c r="O55" i="49" s="1"/>
  <c r="M55" i="25" s="1"/>
  <c r="N191" i="49"/>
  <c r="O191" i="49" s="1"/>
  <c r="M191" i="25" s="1"/>
  <c r="N279" i="49"/>
  <c r="O279" i="49" s="1"/>
  <c r="M279" i="25" s="1"/>
  <c r="N73" i="49"/>
  <c r="O73" i="49" s="1"/>
  <c r="M73" i="25" s="1"/>
  <c r="N251" i="49"/>
  <c r="O251" i="49" s="1"/>
  <c r="M251" i="25" s="1"/>
  <c r="N236" i="49"/>
  <c r="O236" i="49" s="1"/>
  <c r="M236" i="25" s="1"/>
  <c r="N107" i="49"/>
  <c r="O107" i="49" s="1"/>
  <c r="M107" i="25" s="1"/>
  <c r="N141" i="49"/>
  <c r="O141" i="49" s="1"/>
  <c r="M141" i="25" s="1"/>
  <c r="N64" i="49"/>
  <c r="O64" i="49" s="1"/>
  <c r="M64" i="25" s="1"/>
  <c r="N301" i="49"/>
  <c r="O301" i="49" s="1"/>
  <c r="M301" i="25" s="1"/>
  <c r="N170" i="49"/>
  <c r="O170" i="49" s="1"/>
  <c r="M170" i="25" s="1"/>
  <c r="N111" i="49"/>
  <c r="O111" i="49" s="1"/>
  <c r="M111" i="25" s="1"/>
  <c r="N225" i="49"/>
  <c r="O225" i="49" s="1"/>
  <c r="M225" i="25" s="1"/>
  <c r="N243" i="49"/>
  <c r="O243" i="49" s="1"/>
  <c r="M243" i="25" s="1"/>
  <c r="N163" i="49"/>
  <c r="O163" i="49" s="1"/>
  <c r="M163" i="25" s="1"/>
  <c r="N202" i="49"/>
  <c r="O202" i="49" s="1"/>
  <c r="M202" i="25" s="1"/>
  <c r="N192" i="49"/>
  <c r="O192" i="49" s="1"/>
  <c r="M192" i="25" s="1"/>
  <c r="N272" i="49"/>
  <c r="O272" i="49" s="1"/>
  <c r="M272" i="25" s="1"/>
  <c r="N92" i="49"/>
  <c r="O92" i="49" s="1"/>
  <c r="M92" i="25" s="1"/>
  <c r="N57" i="49"/>
  <c r="O57" i="49" s="1"/>
  <c r="M57" i="25" s="1"/>
  <c r="N134" i="49"/>
  <c r="O134" i="49" s="1"/>
  <c r="M134" i="25" s="1"/>
  <c r="N256" i="49"/>
  <c r="O256" i="49" s="1"/>
  <c r="M256" i="25" s="1"/>
  <c r="N8" i="49"/>
  <c r="O8" i="49" s="1"/>
  <c r="M8" i="25" s="1"/>
  <c r="N113" i="49"/>
  <c r="O113" i="49" s="1"/>
  <c r="M113" i="25" s="1"/>
  <c r="N120" i="49"/>
  <c r="O120" i="49" s="1"/>
  <c r="M120" i="25" s="1"/>
  <c r="N128" i="49"/>
  <c r="O128" i="49" s="1"/>
  <c r="M128" i="25" s="1"/>
  <c r="N281" i="49"/>
  <c r="O281" i="49" s="1"/>
  <c r="M281" i="25" s="1"/>
  <c r="N121" i="49"/>
  <c r="O121" i="49" s="1"/>
  <c r="M121" i="25" s="1"/>
  <c r="N147" i="49"/>
  <c r="O147" i="49" s="1"/>
  <c r="M147" i="25" s="1"/>
  <c r="N78" i="49"/>
  <c r="O78" i="49" s="1"/>
  <c r="M78" i="25" s="1"/>
  <c r="N205" i="49"/>
  <c r="O205" i="49" s="1"/>
  <c r="M205" i="25" s="1"/>
  <c r="N299" i="49"/>
  <c r="O299" i="49" s="1"/>
  <c r="M299" i="25" s="1"/>
  <c r="N235" i="49"/>
  <c r="O235" i="49" s="1"/>
  <c r="M235" i="25" s="1"/>
  <c r="N284" i="49"/>
  <c r="O284" i="49" s="1"/>
  <c r="M284" i="25" s="1"/>
  <c r="N165" i="49"/>
  <c r="O165" i="49" s="1"/>
  <c r="M165" i="25" s="1"/>
  <c r="N263" i="49"/>
  <c r="O263" i="49" s="1"/>
  <c r="M263" i="25" s="1"/>
  <c r="N211" i="49"/>
  <c r="O211" i="49" s="1"/>
  <c r="M211" i="25" s="1"/>
  <c r="N229" i="49"/>
  <c r="O229" i="49" s="1"/>
  <c r="M229" i="25" s="1"/>
  <c r="N18" i="49"/>
  <c r="O18" i="49" s="1"/>
  <c r="M18" i="25" s="1"/>
  <c r="N274" i="49"/>
  <c r="O274" i="49" s="1"/>
  <c r="M274" i="25" s="1"/>
  <c r="N122" i="49"/>
  <c r="O122" i="49" s="1"/>
  <c r="M122" i="25" s="1"/>
  <c r="N86" i="49"/>
  <c r="O86" i="49" s="1"/>
  <c r="M86" i="25" s="1"/>
  <c r="N261" i="49"/>
  <c r="O261" i="49" s="1"/>
  <c r="M261" i="25" s="1"/>
  <c r="N199" i="49"/>
  <c r="O199" i="49" s="1"/>
  <c r="M199" i="25" s="1"/>
  <c r="N171" i="49"/>
  <c r="O171" i="49" s="1"/>
  <c r="M171" i="25" s="1"/>
  <c r="N143" i="49"/>
  <c r="O143" i="49" s="1"/>
  <c r="M143" i="25" s="1"/>
  <c r="N298" i="49"/>
  <c r="O298" i="49" s="1"/>
  <c r="M298" i="25" s="1"/>
  <c r="N19" i="49"/>
  <c r="O19" i="49" s="1"/>
  <c r="M19" i="25" s="1"/>
  <c r="N79" i="49"/>
  <c r="M79" i="25" s="1"/>
  <c r="N294" i="49"/>
  <c r="O294" i="49" s="1"/>
  <c r="M294" i="25" s="1"/>
  <c r="N303" i="49"/>
  <c r="O303" i="49" s="1"/>
  <c r="M303" i="25" s="1"/>
  <c r="N59" i="49"/>
  <c r="O59" i="49" s="1"/>
  <c r="M59" i="25" s="1"/>
  <c r="N186" i="49"/>
  <c r="O186" i="49" s="1"/>
  <c r="M186" i="25" s="1"/>
  <c r="N88" i="49"/>
  <c r="O88" i="49" s="1"/>
  <c r="M88" i="25" s="1"/>
  <c r="N173" i="49"/>
  <c r="O173" i="49" s="1"/>
  <c r="M173" i="25" s="1"/>
  <c r="N221" i="49"/>
  <c r="O221" i="49" s="1"/>
  <c r="M221" i="25" s="1"/>
  <c r="N136" i="49"/>
  <c r="O136" i="49" s="1"/>
  <c r="M136" i="25" s="1"/>
  <c r="N201" i="49"/>
  <c r="O201" i="49" s="1"/>
  <c r="M201" i="25" s="1"/>
  <c r="N117" i="49"/>
  <c r="O117" i="49" s="1"/>
  <c r="M117" i="25" s="1"/>
  <c r="N254" i="49"/>
  <c r="O254" i="49" s="1"/>
  <c r="M254" i="25" s="1"/>
  <c r="N97" i="49"/>
  <c r="O97" i="49" s="1"/>
  <c r="M97" i="25" s="1"/>
  <c r="N302" i="49"/>
  <c r="O302" i="49" s="1"/>
  <c r="M302" i="25" s="1"/>
  <c r="N28" i="49"/>
  <c r="O28" i="49" s="1"/>
  <c r="M28" i="25" s="1"/>
  <c r="N282" i="49"/>
  <c r="O282" i="49" s="1"/>
  <c r="M282" i="25" s="1"/>
  <c r="N11" i="49"/>
  <c r="O11" i="49" s="1"/>
  <c r="M11" i="25" s="1"/>
  <c r="N17" i="49"/>
  <c r="O17" i="49" s="1"/>
  <c r="M17" i="25" s="1"/>
  <c r="N77" i="49"/>
  <c r="O77" i="49" s="1"/>
  <c r="M77" i="25" s="1"/>
  <c r="N176" i="49"/>
  <c r="O176" i="49" s="1"/>
  <c r="M176" i="25" s="1"/>
  <c r="N145" i="49"/>
  <c r="O145" i="49" s="1"/>
  <c r="M145" i="25" s="1"/>
  <c r="N51" i="49"/>
  <c r="O51" i="49" s="1"/>
  <c r="M51" i="25" s="1"/>
  <c r="N13" i="49"/>
  <c r="O13" i="49" s="1"/>
  <c r="M13" i="25" s="1"/>
  <c r="G314" i="32"/>
  <c r="I314" i="32"/>
  <c r="G314" i="37"/>
  <c r="L315" i="13"/>
  <c r="D272" i="37"/>
  <c r="C314" i="11"/>
  <c r="H272" i="11"/>
  <c r="L272" i="11"/>
  <c r="O212" i="49" l="1"/>
  <c r="M212" i="25" s="1"/>
  <c r="E48" i="48"/>
  <c r="F48" i="48" s="1"/>
  <c r="F50" i="48" s="1"/>
  <c r="H129" i="37"/>
  <c r="H104" i="37"/>
  <c r="H47" i="37"/>
  <c r="H293" i="37"/>
  <c r="H260" i="37"/>
  <c r="H115" i="37"/>
  <c r="H185" i="37"/>
  <c r="H133" i="37"/>
  <c r="H266" i="37"/>
  <c r="H230" i="37"/>
  <c r="H160" i="37"/>
  <c r="H139" i="37"/>
  <c r="H134" i="37"/>
  <c r="H248" i="37"/>
  <c r="H59" i="37"/>
  <c r="H243" i="37"/>
  <c r="H190" i="37"/>
  <c r="H70" i="37"/>
  <c r="H307" i="37"/>
  <c r="H68" i="37"/>
  <c r="H261" i="37"/>
  <c r="H128" i="37"/>
  <c r="H209" i="37"/>
  <c r="H241" i="37"/>
  <c r="H51" i="37"/>
  <c r="H107" i="37"/>
  <c r="H141" i="37"/>
  <c r="H303" i="37"/>
  <c r="H291" i="37"/>
  <c r="H26" i="37"/>
  <c r="H285" i="37"/>
  <c r="H114" i="37"/>
  <c r="H297" i="37"/>
  <c r="H205" i="37"/>
  <c r="H314" i="37"/>
  <c r="H284" i="37"/>
  <c r="H66" i="37"/>
  <c r="H35" i="37"/>
  <c r="H19" i="37"/>
  <c r="H24" i="37"/>
  <c r="H264" i="37"/>
  <c r="H125" i="37"/>
  <c r="H101" i="37"/>
  <c r="H249" i="37"/>
  <c r="H211" i="37"/>
  <c r="H286" i="37"/>
  <c r="H150" i="37"/>
  <c r="H277" i="37"/>
  <c r="H76" i="37"/>
  <c r="H54" i="37"/>
  <c r="H89" i="37"/>
  <c r="H171" i="37"/>
  <c r="H311" i="37"/>
  <c r="H151" i="37"/>
  <c r="H170" i="37"/>
  <c r="H262" i="37"/>
  <c r="H161" i="37"/>
  <c r="H91" i="37"/>
  <c r="H88" i="37"/>
  <c r="H63" i="37"/>
  <c r="H61" i="37"/>
  <c r="H240" i="37"/>
  <c r="H296" i="37"/>
  <c r="H96" i="37"/>
  <c r="H71" i="37"/>
  <c r="H9" i="37"/>
  <c r="H194" i="37"/>
  <c r="H92" i="37"/>
  <c r="H77" i="37"/>
  <c r="H41" i="37"/>
  <c r="H64" i="37"/>
  <c r="H15" i="37"/>
  <c r="H8" i="37"/>
  <c r="H167" i="37"/>
  <c r="H143" i="37"/>
  <c r="H251" i="37"/>
  <c r="H299" i="37"/>
  <c r="H111" i="37"/>
  <c r="H126" i="37"/>
  <c r="H172" i="37"/>
  <c r="H130" i="37"/>
  <c r="H46" i="37"/>
  <c r="H84" i="37"/>
  <c r="H162" i="37"/>
  <c r="H55" i="37"/>
  <c r="H177" i="37"/>
  <c r="H310" i="37"/>
  <c r="H48" i="37"/>
  <c r="H10" i="37"/>
  <c r="H166" i="37"/>
  <c r="H270" i="37"/>
  <c r="H220" i="37"/>
  <c r="H181" i="37"/>
  <c r="H138" i="37"/>
  <c r="H173" i="37"/>
  <c r="H313" i="37"/>
  <c r="H288" i="37"/>
  <c r="H149" i="37"/>
  <c r="H118" i="37"/>
  <c r="H304" i="37"/>
  <c r="H140" i="37"/>
  <c r="H274" i="37"/>
  <c r="H52" i="37"/>
  <c r="H81" i="37"/>
  <c r="H74" i="37"/>
  <c r="H164" i="37"/>
  <c r="H176" i="37"/>
  <c r="H198" i="37"/>
  <c r="H109" i="37"/>
  <c r="H199" i="37"/>
  <c r="H34" i="37"/>
  <c r="H103" i="37"/>
  <c r="H43" i="37"/>
  <c r="H62" i="37"/>
  <c r="H22" i="37"/>
  <c r="H214" i="37"/>
  <c r="H178" i="37"/>
  <c r="H86" i="37"/>
  <c r="H142" i="37"/>
  <c r="H116" i="37"/>
  <c r="H197" i="37"/>
  <c r="H79" i="37"/>
  <c r="H269" i="37"/>
  <c r="H56" i="37"/>
  <c r="H20" i="37"/>
  <c r="H224" i="37"/>
  <c r="H49" i="37"/>
  <c r="H273" i="37"/>
  <c r="H90" i="37"/>
  <c r="H99" i="37"/>
  <c r="H278" i="37"/>
  <c r="H117" i="37"/>
  <c r="H295" i="37"/>
  <c r="H157" i="37"/>
  <c r="H305" i="37"/>
  <c r="H131" i="37"/>
  <c r="H82" i="37"/>
  <c r="H6" i="37"/>
  <c r="H17" i="37"/>
  <c r="H85" i="37"/>
  <c r="H87" i="37"/>
  <c r="H306" i="37"/>
  <c r="H33" i="37"/>
  <c r="H16" i="37"/>
  <c r="H236" i="37"/>
  <c r="H44" i="37"/>
  <c r="H309" i="37"/>
  <c r="H120" i="37"/>
  <c r="H200" i="37"/>
  <c r="H217" i="37"/>
  <c r="H75" i="37"/>
  <c r="H204" i="37"/>
  <c r="H153" i="37"/>
  <c r="H223" i="37"/>
  <c r="H268" i="37"/>
  <c r="H105" i="37"/>
  <c r="H247" i="37"/>
  <c r="H95" i="37"/>
  <c r="H292" i="37"/>
  <c r="H147" i="37"/>
  <c r="H182" i="37"/>
  <c r="H45" i="37"/>
  <c r="H112" i="37"/>
  <c r="H216" i="37"/>
  <c r="H113" i="37"/>
  <c r="H121" i="37"/>
  <c r="H69" i="37"/>
  <c r="H30" i="37"/>
  <c r="H263" i="37"/>
  <c r="H36" i="37"/>
  <c r="H165" i="37"/>
  <c r="H159" i="37"/>
  <c r="H179" i="37"/>
  <c r="H119" i="37"/>
  <c r="H265" i="37"/>
  <c r="H207" i="37"/>
  <c r="H154" i="37"/>
  <c r="H280" i="37"/>
  <c r="H279" i="37"/>
  <c r="H180" i="37"/>
  <c r="H145" i="37"/>
  <c r="H195" i="37"/>
  <c r="H275" i="37"/>
  <c r="H40" i="37"/>
  <c r="H21" i="37"/>
  <c r="H301" i="37"/>
  <c r="H189" i="37"/>
  <c r="H250" i="37"/>
  <c r="H155" i="37"/>
  <c r="H259" i="37"/>
  <c r="H156" i="37"/>
  <c r="H136" i="37"/>
  <c r="H245" i="37"/>
  <c r="H98" i="37"/>
  <c r="H227" i="37"/>
  <c r="H226" i="37"/>
  <c r="H203" i="37"/>
  <c r="H229" i="37"/>
  <c r="H124" i="37"/>
  <c r="H127" i="37"/>
  <c r="H206" i="37"/>
  <c r="H222" i="37"/>
  <c r="H39" i="37"/>
  <c r="H110" i="37"/>
  <c r="H219" i="37"/>
  <c r="H231" i="37"/>
  <c r="H73" i="37"/>
  <c r="H163" i="37"/>
  <c r="H18" i="37"/>
  <c r="H282" i="37"/>
  <c r="H137" i="37"/>
  <c r="H276" i="37"/>
  <c r="H228" i="37"/>
  <c r="H201" i="37"/>
  <c r="H42" i="37"/>
  <c r="H58" i="37"/>
  <c r="H80" i="37"/>
  <c r="H60" i="37"/>
  <c r="H32" i="37"/>
  <c r="H212" i="37"/>
  <c r="H183" i="37"/>
  <c r="H271" i="37"/>
  <c r="H11" i="37"/>
  <c r="H53" i="37"/>
  <c r="H272" i="37"/>
  <c r="H158" i="37"/>
  <c r="H184" i="37"/>
  <c r="H72" i="37"/>
  <c r="H65" i="37"/>
  <c r="H50" i="37"/>
  <c r="H146" i="37"/>
  <c r="H100" i="37"/>
  <c r="H106" i="37"/>
  <c r="H12" i="37"/>
  <c r="H38" i="37"/>
  <c r="H235" i="37"/>
  <c r="H67" i="37"/>
  <c r="H225" i="37"/>
  <c r="H97" i="37"/>
  <c r="H168" i="37"/>
  <c r="H237" i="37"/>
  <c r="H289" i="37"/>
  <c r="H210" i="37"/>
  <c r="H283" i="37"/>
  <c r="H174" i="37"/>
  <c r="H193" i="37"/>
  <c r="H221" i="37"/>
  <c r="H213" i="37"/>
  <c r="H257" i="37"/>
  <c r="H233" i="37"/>
  <c r="H232" i="37"/>
  <c r="H152" i="37"/>
  <c r="H202" i="37"/>
  <c r="H298" i="37"/>
  <c r="H132" i="37"/>
  <c r="H302" i="37"/>
  <c r="H191" i="37"/>
  <c r="H256" i="37"/>
  <c r="H300" i="37"/>
  <c r="H287" i="37"/>
  <c r="H7" i="37"/>
  <c r="H144" i="37"/>
  <c r="H246" i="37"/>
  <c r="H94" i="37"/>
  <c r="H29" i="37"/>
  <c r="H238" i="37"/>
  <c r="H234" i="37"/>
  <c r="H267" i="37"/>
  <c r="H258" i="37"/>
  <c r="H122" i="37"/>
  <c r="H13" i="37"/>
  <c r="H290" i="37"/>
  <c r="H254" i="37"/>
  <c r="H93" i="37"/>
  <c r="H25" i="37"/>
  <c r="H208" i="37"/>
  <c r="H108" i="37"/>
  <c r="H244" i="37"/>
  <c r="H239" i="37"/>
  <c r="H218" i="37"/>
  <c r="H23" i="37"/>
  <c r="H255" i="37"/>
  <c r="H123" i="37"/>
  <c r="H253" i="37"/>
  <c r="H192" i="37"/>
  <c r="H196" i="37"/>
  <c r="H169" i="37"/>
  <c r="H5" i="37"/>
  <c r="H308" i="37"/>
  <c r="H294" i="37"/>
  <c r="H83" i="37"/>
  <c r="H148" i="37"/>
  <c r="H187" i="37"/>
  <c r="H188" i="37"/>
  <c r="H14" i="37"/>
  <c r="H57" i="37"/>
  <c r="H31" i="37"/>
  <c r="H215" i="37"/>
  <c r="H37" i="37"/>
  <c r="H28" i="37"/>
  <c r="H186" i="37"/>
  <c r="H281" i="37"/>
  <c r="H252" i="37"/>
  <c r="H312" i="37"/>
  <c r="H242" i="37"/>
  <c r="H175" i="37"/>
  <c r="H102" i="37"/>
  <c r="H27" i="37"/>
  <c r="H78" i="37"/>
  <c r="H135" i="37"/>
  <c r="M6" i="25"/>
  <c r="M315" i="25" s="1"/>
  <c r="O315" i="49"/>
  <c r="B62" i="40"/>
  <c r="B63" i="40"/>
  <c r="B50" i="40" s="1"/>
  <c r="P5" i="13" s="1"/>
  <c r="M272" i="11"/>
  <c r="L314" i="11"/>
  <c r="O314" i="11" s="1"/>
  <c r="F108" i="33"/>
  <c r="F220" i="33"/>
  <c r="F151" i="33"/>
  <c r="F311" i="33"/>
  <c r="F8" i="33"/>
  <c r="F145" i="33"/>
  <c r="F278" i="33"/>
  <c r="F171" i="33"/>
  <c r="F88" i="33"/>
  <c r="F92" i="33"/>
  <c r="F166" i="33"/>
  <c r="F144" i="33"/>
  <c r="F228" i="33"/>
  <c r="F161" i="33"/>
  <c r="F28" i="33"/>
  <c r="F80" i="33"/>
  <c r="F72" i="33"/>
  <c r="F237" i="33"/>
  <c r="F140" i="33"/>
  <c r="F189" i="33"/>
  <c r="F203" i="33"/>
  <c r="F245" i="33"/>
  <c r="F232" i="33"/>
  <c r="F251" i="33"/>
  <c r="F141" i="33"/>
  <c r="F68" i="33"/>
  <c r="F287" i="33"/>
  <c r="F312" i="33"/>
  <c r="F6" i="33"/>
  <c r="F81" i="33"/>
  <c r="F76" i="33"/>
  <c r="F234" i="33"/>
  <c r="F59" i="33"/>
  <c r="F231" i="33"/>
  <c r="F125" i="33"/>
  <c r="F240" i="33"/>
  <c r="F208" i="33"/>
  <c r="F310" i="33"/>
  <c r="F69" i="33"/>
  <c r="F43" i="33"/>
  <c r="F55" i="33"/>
  <c r="F60" i="33"/>
  <c r="F288" i="33"/>
  <c r="F93" i="33"/>
  <c r="F96" i="33"/>
  <c r="F79" i="33"/>
  <c r="F265" i="33"/>
  <c r="F95" i="33"/>
  <c r="F32" i="33"/>
  <c r="F284" i="33"/>
  <c r="F194" i="33"/>
  <c r="F148" i="33"/>
  <c r="F27" i="33"/>
  <c r="F73" i="33"/>
  <c r="F262" i="33"/>
  <c r="F269" i="33"/>
  <c r="F263" i="33"/>
  <c r="F106" i="33"/>
  <c r="F247" i="33"/>
  <c r="F121" i="33"/>
  <c r="F37" i="33"/>
  <c r="F44" i="33"/>
  <c r="F89" i="33"/>
  <c r="F42" i="33"/>
  <c r="F94" i="33"/>
  <c r="F162" i="33"/>
  <c r="F154" i="33"/>
  <c r="F10" i="33"/>
  <c r="F64" i="33"/>
  <c r="F214" i="33"/>
  <c r="F233" i="33"/>
  <c r="F303" i="33"/>
  <c r="F179" i="33"/>
  <c r="F124" i="33"/>
  <c r="F97" i="33"/>
  <c r="F291" i="33"/>
  <c r="F244" i="33"/>
  <c r="J2" i="33"/>
  <c r="F197" i="33"/>
  <c r="F249" i="33"/>
  <c r="F199" i="33"/>
  <c r="F235" i="33"/>
  <c r="F176" i="33"/>
  <c r="F169" i="33"/>
  <c r="F264" i="33"/>
  <c r="F206" i="33"/>
  <c r="F53" i="33"/>
  <c r="F66" i="33"/>
  <c r="F202" i="33"/>
  <c r="F267" i="33"/>
  <c r="F305" i="33"/>
  <c r="F39" i="33"/>
  <c r="F104" i="33"/>
  <c r="F17" i="33"/>
  <c r="F308" i="33"/>
  <c r="F275" i="33"/>
  <c r="F62" i="33"/>
  <c r="F113" i="33"/>
  <c r="F254" i="33"/>
  <c r="F71" i="33"/>
  <c r="F239" i="33"/>
  <c r="F90" i="33"/>
  <c r="F212" i="33"/>
  <c r="F30" i="33"/>
  <c r="F224" i="33"/>
  <c r="F5" i="33"/>
  <c r="F15" i="33"/>
  <c r="F126" i="33"/>
  <c r="F181" i="33"/>
  <c r="F201" i="33"/>
  <c r="F112" i="33"/>
  <c r="F130" i="33"/>
  <c r="F86" i="33"/>
  <c r="F122" i="33"/>
  <c r="F301" i="33"/>
  <c r="F156" i="33"/>
  <c r="F103" i="33"/>
  <c r="F286" i="33"/>
  <c r="F116" i="33"/>
  <c r="F222" i="33"/>
  <c r="F139" i="33"/>
  <c r="F279" i="33"/>
  <c r="F45" i="33"/>
  <c r="F167" i="33"/>
  <c r="F142" i="33"/>
  <c r="F129" i="33"/>
  <c r="F257" i="33"/>
  <c r="F34" i="33"/>
  <c r="F271" i="33"/>
  <c r="F12" i="33"/>
  <c r="F91" i="33"/>
  <c r="F56" i="33"/>
  <c r="F170" i="33"/>
  <c r="F241" i="33"/>
  <c r="F225" i="33"/>
  <c r="F209" i="33"/>
  <c r="F273" i="33"/>
  <c r="F188" i="33"/>
  <c r="F155" i="33"/>
  <c r="F223" i="33"/>
  <c r="F183" i="33"/>
  <c r="F211" i="33"/>
  <c r="F118" i="33"/>
  <c r="F205" i="33"/>
  <c r="F195" i="33"/>
  <c r="F50" i="33"/>
  <c r="F77" i="33"/>
  <c r="F164" i="33"/>
  <c r="F65" i="33"/>
  <c r="F163" i="33"/>
  <c r="F137" i="33"/>
  <c r="F227" i="33"/>
  <c r="F313" i="33"/>
  <c r="F293" i="33"/>
  <c r="F250" i="33"/>
  <c r="F285" i="33"/>
  <c r="F52" i="33"/>
  <c r="F22" i="33"/>
  <c r="F283" i="33"/>
  <c r="F19" i="33"/>
  <c r="F82" i="33"/>
  <c r="F296" i="33"/>
  <c r="F87" i="33"/>
  <c r="F217" i="33"/>
  <c r="F174" i="33"/>
  <c r="F246" i="33"/>
  <c r="F99" i="33"/>
  <c r="F300" i="33"/>
  <c r="F136" i="33"/>
  <c r="F146" i="33"/>
  <c r="F289" i="33"/>
  <c r="F182" i="33"/>
  <c r="F295" i="33"/>
  <c r="F54" i="33"/>
  <c r="F58" i="33"/>
  <c r="F236" i="33"/>
  <c r="F190" i="33"/>
  <c r="F230" i="33"/>
  <c r="F133" i="33"/>
  <c r="F7" i="33"/>
  <c r="F119" i="33"/>
  <c r="F270" i="33"/>
  <c r="F204" i="33"/>
  <c r="F105" i="33"/>
  <c r="F253" i="33"/>
  <c r="F57" i="33"/>
  <c r="F252" i="33"/>
  <c r="F172" i="33"/>
  <c r="F173" i="33"/>
  <c r="F207" i="33"/>
  <c r="F134" i="33"/>
  <c r="F186" i="33"/>
  <c r="F276" i="33"/>
  <c r="F83" i="33"/>
  <c r="F215" i="33"/>
  <c r="F49" i="33"/>
  <c r="F160" i="33"/>
  <c r="F120" i="33"/>
  <c r="F23" i="33"/>
  <c r="I2" i="33"/>
  <c r="F192" i="33"/>
  <c r="F266" i="33"/>
  <c r="F294" i="33"/>
  <c r="F35" i="33"/>
  <c r="F11" i="33"/>
  <c r="F198" i="33"/>
  <c r="F128" i="33"/>
  <c r="F299" i="33"/>
  <c r="F221" i="33"/>
  <c r="F297" i="33"/>
  <c r="F26" i="33"/>
  <c r="F131" i="33"/>
  <c r="F100" i="33"/>
  <c r="F51" i="33"/>
  <c r="F47" i="33"/>
  <c r="F152" i="33"/>
  <c r="F109" i="33"/>
  <c r="F14" i="33"/>
  <c r="F115" i="33"/>
  <c r="F101" i="33"/>
  <c r="F24" i="33"/>
  <c r="F157" i="33"/>
  <c r="F13" i="33"/>
  <c r="F216" i="33"/>
  <c r="F218" i="33"/>
  <c r="F168" i="33"/>
  <c r="F282" i="33"/>
  <c r="D314" i="37"/>
  <c r="F102" i="33"/>
  <c r="F84" i="33"/>
  <c r="F261" i="33"/>
  <c r="F226" i="33"/>
  <c r="F200" i="33"/>
  <c r="F248" i="33"/>
  <c r="F158" i="33"/>
  <c r="F213" i="33"/>
  <c r="F180" i="33"/>
  <c r="F150" i="33"/>
  <c r="F61" i="33"/>
  <c r="F29" i="33"/>
  <c r="F143" i="33"/>
  <c r="F98" i="33"/>
  <c r="F175" i="33"/>
  <c r="F298" i="33"/>
  <c r="F107" i="33"/>
  <c r="F193" i="33"/>
  <c r="F48" i="33"/>
  <c r="F187" i="33"/>
  <c r="F46" i="33"/>
  <c r="F153" i="33"/>
  <c r="F135" i="33"/>
  <c r="F123" i="33"/>
  <c r="F256" i="33"/>
  <c r="F36" i="33"/>
  <c r="F258" i="33"/>
  <c r="F67" i="33"/>
  <c r="K2" i="33"/>
  <c r="F184" i="33"/>
  <c r="F238" i="33"/>
  <c r="F111" i="33"/>
  <c r="F63" i="33"/>
  <c r="F259" i="33"/>
  <c r="F16" i="33"/>
  <c r="F117" i="33"/>
  <c r="F149" i="33"/>
  <c r="F177" i="33"/>
  <c r="F280" i="33"/>
  <c r="F281" i="33"/>
  <c r="F9" i="33"/>
  <c r="F219" i="33"/>
  <c r="F138" i="33"/>
  <c r="F260" i="33"/>
  <c r="F40" i="33"/>
  <c r="F292" i="33"/>
  <c r="F185" i="33"/>
  <c r="F178" i="33"/>
  <c r="F165" i="33"/>
  <c r="F159" i="33"/>
  <c r="F132" i="33"/>
  <c r="F21" i="33"/>
  <c r="F274" i="33"/>
  <c r="F70" i="33"/>
  <c r="F210" i="33"/>
  <c r="F191" i="33"/>
  <c r="F75" i="33"/>
  <c r="H2" i="33"/>
  <c r="G2" i="33"/>
  <c r="F33" i="33"/>
  <c r="F110" i="33"/>
  <c r="F85" i="33"/>
  <c r="F147" i="33"/>
  <c r="F309" i="33"/>
  <c r="F242" i="33"/>
  <c r="F307" i="33"/>
  <c r="F127" i="33"/>
  <c r="F20" i="33"/>
  <c r="F114" i="33"/>
  <c r="F25" i="33"/>
  <c r="F306" i="33"/>
  <c r="F74" i="33"/>
  <c r="F302" i="33"/>
  <c r="F268" i="33"/>
  <c r="F18" i="33"/>
  <c r="F31" i="33"/>
  <c r="F255" i="33"/>
  <c r="F38" i="33"/>
  <c r="F229" i="33"/>
  <c r="F78" i="33"/>
  <c r="F243" i="33"/>
  <c r="F304" i="33"/>
  <c r="F196" i="33"/>
  <c r="F290" i="33"/>
  <c r="F277" i="33"/>
  <c r="F41" i="33"/>
  <c r="H314" i="11"/>
  <c r="I272" i="11"/>
  <c r="F272" i="33"/>
  <c r="D4" i="9"/>
  <c r="D5" i="9"/>
  <c r="D6" i="34"/>
  <c r="D5" i="34"/>
  <c r="D8" i="34"/>
  <c r="F15" i="34"/>
  <c r="H168" i="33" l="1"/>
  <c r="H98" i="33"/>
  <c r="H92" i="33"/>
  <c r="H16" i="33"/>
  <c r="H187" i="33"/>
  <c r="H173" i="33"/>
  <c r="H160" i="33"/>
  <c r="H131" i="33"/>
  <c r="H9" i="33"/>
  <c r="H157" i="33"/>
  <c r="H162" i="33"/>
  <c r="H265" i="33"/>
  <c r="H53" i="33"/>
  <c r="H125" i="33"/>
  <c r="H303" i="33"/>
  <c r="H261" i="33"/>
  <c r="H224" i="33"/>
  <c r="H214" i="33"/>
  <c r="H250" i="33"/>
  <c r="H71" i="33"/>
  <c r="H113" i="33"/>
  <c r="H129" i="33"/>
  <c r="H227" i="33"/>
  <c r="H176" i="33"/>
  <c r="H234" i="33"/>
  <c r="H51" i="33"/>
  <c r="H83" i="33"/>
  <c r="H188" i="33"/>
  <c r="H262" i="33"/>
  <c r="H271" i="33"/>
  <c r="H244" i="33"/>
  <c r="H126" i="33"/>
  <c r="H30" i="33"/>
  <c r="H121" i="33"/>
  <c r="H179" i="33"/>
  <c r="H182" i="33"/>
  <c r="H208" i="33"/>
  <c r="H281" i="33"/>
  <c r="H100" i="33"/>
  <c r="H275" i="33"/>
  <c r="H145" i="33"/>
  <c r="H193" i="33"/>
  <c r="H293" i="33"/>
  <c r="H66" i="33"/>
  <c r="H57" i="33"/>
  <c r="H256" i="33"/>
  <c r="H68" i="33"/>
  <c r="H273" i="33"/>
  <c r="H191" i="33"/>
  <c r="H285" i="33"/>
  <c r="H263" i="33"/>
  <c r="H36" i="33"/>
  <c r="H195" i="33"/>
  <c r="H20" i="33"/>
  <c r="H276" i="33"/>
  <c r="H104" i="33"/>
  <c r="H288" i="33"/>
  <c r="H60" i="33"/>
  <c r="H111" i="33"/>
  <c r="H123" i="33"/>
  <c r="H29" i="33"/>
  <c r="H202" i="33"/>
  <c r="H58" i="33"/>
  <c r="H42" i="33"/>
  <c r="H44" i="33"/>
  <c r="H94" i="33"/>
  <c r="H91" i="33"/>
  <c r="H229" i="33"/>
  <c r="H259" i="33"/>
  <c r="H207" i="33"/>
  <c r="H13" i="33"/>
  <c r="H107" i="33"/>
  <c r="H95" i="33"/>
  <c r="H245" i="33"/>
  <c r="H299" i="33"/>
  <c r="H236" i="33"/>
  <c r="H279" i="33"/>
  <c r="H26" i="33"/>
  <c r="H11" i="33"/>
  <c r="H264" i="33"/>
  <c r="H167" i="33"/>
  <c r="H161" i="33"/>
  <c r="H47" i="33"/>
  <c r="H69" i="33"/>
  <c r="H62" i="33"/>
  <c r="H184" i="33"/>
  <c r="H237" i="33"/>
  <c r="H268" i="33"/>
  <c r="H172" i="33"/>
  <c r="H308" i="33"/>
  <c r="H143" i="33"/>
  <c r="H201" i="33"/>
  <c r="H267" i="33"/>
  <c r="H243" i="33"/>
  <c r="H154" i="33"/>
  <c r="H240" i="33"/>
  <c r="H85" i="33"/>
  <c r="H142" i="33"/>
  <c r="H103" i="33"/>
  <c r="H112" i="33"/>
  <c r="H190" i="33"/>
  <c r="H43" i="33"/>
  <c r="H153" i="33"/>
  <c r="H287" i="33"/>
  <c r="H246" i="33"/>
  <c r="H194" i="33"/>
  <c r="H209" i="33"/>
  <c r="H241" i="33"/>
  <c r="H270" i="33"/>
  <c r="H48" i="33"/>
  <c r="H17" i="33"/>
  <c r="H149" i="33"/>
  <c r="H198" i="33"/>
  <c r="H300" i="33"/>
  <c r="H298" i="33"/>
  <c r="H130" i="33"/>
  <c r="H114" i="33"/>
  <c r="H164" i="33"/>
  <c r="H215" i="33"/>
  <c r="H166" i="33"/>
  <c r="H23" i="33"/>
  <c r="H15" i="33"/>
  <c r="H97" i="33"/>
  <c r="H49" i="33"/>
  <c r="H19" i="33"/>
  <c r="H269" i="33"/>
  <c r="H88" i="33"/>
  <c r="H203" i="33"/>
  <c r="H218" i="33"/>
  <c r="H10" i="33"/>
  <c r="H150" i="33"/>
  <c r="H217" i="33"/>
  <c r="H301" i="33"/>
  <c r="H181" i="33"/>
  <c r="H292" i="33"/>
  <c r="H106" i="33"/>
  <c r="H28" i="33"/>
  <c r="H169" i="33"/>
  <c r="H75" i="33"/>
  <c r="H78" i="33"/>
  <c r="H31" i="33"/>
  <c r="H132" i="33"/>
  <c r="H7" i="33"/>
  <c r="H140" i="33"/>
  <c r="H137" i="33"/>
  <c r="H282" i="33"/>
  <c r="H290" i="33"/>
  <c r="H178" i="33"/>
  <c r="H124" i="33"/>
  <c r="H45" i="33"/>
  <c r="H21" i="33"/>
  <c r="H211" i="33"/>
  <c r="H93" i="33"/>
  <c r="H158" i="33"/>
  <c r="H133" i="33"/>
  <c r="H115" i="33"/>
  <c r="H50" i="33"/>
  <c r="H180" i="33"/>
  <c r="H127" i="33"/>
  <c r="H313" i="33"/>
  <c r="H252" i="33"/>
  <c r="H291" i="33"/>
  <c r="H116" i="33"/>
  <c r="H284" i="33"/>
  <c r="H35" i="33"/>
  <c r="H174" i="33"/>
  <c r="H122" i="33"/>
  <c r="H41" i="33"/>
  <c r="H33" i="33"/>
  <c r="H109" i="33"/>
  <c r="H163" i="33"/>
  <c r="H144" i="33"/>
  <c r="H257" i="33"/>
  <c r="H223" i="33"/>
  <c r="H77" i="33"/>
  <c r="H110" i="33"/>
  <c r="H155" i="33"/>
  <c r="H165" i="33"/>
  <c r="H304" i="33"/>
  <c r="H220" i="33"/>
  <c r="H148" i="33"/>
  <c r="H205" i="33"/>
  <c r="H296" i="33"/>
  <c r="H135" i="33"/>
  <c r="H73" i="33"/>
  <c r="H206" i="33"/>
  <c r="H147" i="33"/>
  <c r="H141" i="33"/>
  <c r="H310" i="33"/>
  <c r="H274" i="33"/>
  <c r="H80" i="33"/>
  <c r="H305" i="33"/>
  <c r="H266" i="33"/>
  <c r="H82" i="33"/>
  <c r="H63" i="33"/>
  <c r="H96" i="33"/>
  <c r="H38" i="33"/>
  <c r="H210" i="33"/>
  <c r="H233" i="33"/>
  <c r="H138" i="33"/>
  <c r="H37" i="33"/>
  <c r="H277" i="33"/>
  <c r="H216" i="33"/>
  <c r="H197" i="33"/>
  <c r="H25" i="33"/>
  <c r="H56" i="33"/>
  <c r="H72" i="33"/>
  <c r="H278" i="33"/>
  <c r="H196" i="33"/>
  <c r="H70" i="33"/>
  <c r="H39" i="33"/>
  <c r="H134" i="33"/>
  <c r="H5" i="33"/>
  <c r="H108" i="33"/>
  <c r="H119" i="33"/>
  <c r="H139" i="33"/>
  <c r="H307" i="33"/>
  <c r="H228" i="33"/>
  <c r="H297" i="33"/>
  <c r="H34" i="33"/>
  <c r="H199" i="33"/>
  <c r="H159" i="33"/>
  <c r="H27" i="33"/>
  <c r="H204" i="33"/>
  <c r="H136" i="33"/>
  <c r="H232" i="33"/>
  <c r="H40" i="33"/>
  <c r="H170" i="33"/>
  <c r="H79" i="33"/>
  <c r="H146" i="33"/>
  <c r="H230" i="33"/>
  <c r="H306" i="33"/>
  <c r="H87" i="33"/>
  <c r="H67" i="33"/>
  <c r="H59" i="33"/>
  <c r="H81" i="33"/>
  <c r="H151" i="33"/>
  <c r="H286" i="33"/>
  <c r="H102" i="33"/>
  <c r="H86" i="33"/>
  <c r="H242" i="33"/>
  <c r="H239" i="33"/>
  <c r="H6" i="33"/>
  <c r="H55" i="33"/>
  <c r="H175" i="33"/>
  <c r="H24" i="33"/>
  <c r="H312" i="33"/>
  <c r="H289" i="33"/>
  <c r="H8" i="33"/>
  <c r="H221" i="33"/>
  <c r="H294" i="33"/>
  <c r="H52" i="33"/>
  <c r="H311" i="33"/>
  <c r="H65" i="33"/>
  <c r="H117" i="33"/>
  <c r="H260" i="33"/>
  <c r="H222" i="33"/>
  <c r="H101" i="33"/>
  <c r="H177" i="33"/>
  <c r="H212" i="33"/>
  <c r="H253" i="33"/>
  <c r="H189" i="33"/>
  <c r="H105" i="33"/>
  <c r="H89" i="33"/>
  <c r="H152" i="33"/>
  <c r="H309" i="33"/>
  <c r="H99" i="33"/>
  <c r="H120" i="33"/>
  <c r="H255" i="33"/>
  <c r="H247" i="33"/>
  <c r="H46" i="33"/>
  <c r="H171" i="33"/>
  <c r="H76" i="33"/>
  <c r="H118" i="33"/>
  <c r="H74" i="33"/>
  <c r="H61" i="33"/>
  <c r="H249" i="33"/>
  <c r="H128" i="33"/>
  <c r="H32" i="33"/>
  <c r="H185" i="33"/>
  <c r="H18" i="33"/>
  <c r="H183" i="33"/>
  <c r="H238" i="33"/>
  <c r="H225" i="33"/>
  <c r="H90" i="33"/>
  <c r="H258" i="33"/>
  <c r="H251" i="33"/>
  <c r="H22" i="33"/>
  <c r="H226" i="33"/>
  <c r="H280" i="33"/>
  <c r="H186" i="33"/>
  <c r="H84" i="33"/>
  <c r="H231" i="33"/>
  <c r="H235" i="33"/>
  <c r="H219" i="33"/>
  <c r="H156" i="33"/>
  <c r="H200" i="33"/>
  <c r="H12" i="33"/>
  <c r="H295" i="33"/>
  <c r="H302" i="33"/>
  <c r="H64" i="33"/>
  <c r="H192" i="33"/>
  <c r="H54" i="33"/>
  <c r="H248" i="33"/>
  <c r="H14" i="33"/>
  <c r="H213" i="33"/>
  <c r="H283" i="33"/>
  <c r="H254" i="33"/>
  <c r="H272" i="33"/>
  <c r="J71" i="33"/>
  <c r="J117" i="33"/>
  <c r="J149" i="33"/>
  <c r="J204" i="33"/>
  <c r="J34" i="33"/>
  <c r="J292" i="33"/>
  <c r="J95" i="33"/>
  <c r="J185" i="33"/>
  <c r="J262" i="33"/>
  <c r="J40" i="33"/>
  <c r="J113" i="33"/>
  <c r="J188" i="33"/>
  <c r="J179" i="33"/>
  <c r="J249" i="33"/>
  <c r="J198" i="33"/>
  <c r="J91" i="33"/>
  <c r="J202" i="33"/>
  <c r="J311" i="33"/>
  <c r="J63" i="33"/>
  <c r="J22" i="33"/>
  <c r="J162" i="33"/>
  <c r="J191" i="33"/>
  <c r="J148" i="33"/>
  <c r="J275" i="33"/>
  <c r="J174" i="33"/>
  <c r="J252" i="33"/>
  <c r="J126" i="33"/>
  <c r="J196" i="33"/>
  <c r="J93" i="33"/>
  <c r="J48" i="33"/>
  <c r="J303" i="33"/>
  <c r="J175" i="33"/>
  <c r="J127" i="33"/>
  <c r="J273" i="33"/>
  <c r="J23" i="33"/>
  <c r="J111" i="33"/>
  <c r="J277" i="33"/>
  <c r="J223" i="33"/>
  <c r="J24" i="33"/>
  <c r="J45" i="33"/>
  <c r="J232" i="33"/>
  <c r="J65" i="33"/>
  <c r="J254" i="33"/>
  <c r="J313" i="33"/>
  <c r="J61" i="33"/>
  <c r="J96" i="33"/>
  <c r="J152" i="33"/>
  <c r="J35" i="33"/>
  <c r="J49" i="33"/>
  <c r="J103" i="33"/>
  <c r="J47" i="33"/>
  <c r="J100" i="33"/>
  <c r="J246" i="33"/>
  <c r="J264" i="33"/>
  <c r="J276" i="33"/>
  <c r="J274" i="33"/>
  <c r="J195" i="33"/>
  <c r="J218" i="33"/>
  <c r="J73" i="33"/>
  <c r="J125" i="33"/>
  <c r="J31" i="33"/>
  <c r="J79" i="33"/>
  <c r="J10" i="33"/>
  <c r="J75" i="33"/>
  <c r="J12" i="33"/>
  <c r="J193" i="33"/>
  <c r="J220" i="33"/>
  <c r="J7" i="33"/>
  <c r="J120" i="33"/>
  <c r="J197" i="33"/>
  <c r="J259" i="33"/>
  <c r="J266" i="33"/>
  <c r="J296" i="33"/>
  <c r="J109" i="33"/>
  <c r="J106" i="33"/>
  <c r="J217" i="33"/>
  <c r="J14" i="33"/>
  <c r="J121" i="33"/>
  <c r="J257" i="33"/>
  <c r="J51" i="33"/>
  <c r="J46" i="33"/>
  <c r="J177" i="33"/>
  <c r="J69" i="33"/>
  <c r="J16" i="33"/>
  <c r="J248" i="33"/>
  <c r="J136" i="33"/>
  <c r="J171" i="33"/>
  <c r="J251" i="33"/>
  <c r="J158" i="33"/>
  <c r="J227" i="33"/>
  <c r="J211" i="33"/>
  <c r="J205" i="33"/>
  <c r="J209" i="33"/>
  <c r="J304" i="33"/>
  <c r="J284" i="33"/>
  <c r="J139" i="33"/>
  <c r="J236" i="33"/>
  <c r="J282" i="33"/>
  <c r="J53" i="33"/>
  <c r="J186" i="33"/>
  <c r="J226" i="33"/>
  <c r="J135" i="33"/>
  <c r="J80" i="33"/>
  <c r="J98" i="33"/>
  <c r="J88" i="33"/>
  <c r="J234" i="33"/>
  <c r="J250" i="33"/>
  <c r="J66" i="33"/>
  <c r="J30" i="33"/>
  <c r="J180" i="33"/>
  <c r="J300" i="33"/>
  <c r="J184" i="33"/>
  <c r="J215" i="33"/>
  <c r="J116" i="33"/>
  <c r="J11" i="33"/>
  <c r="J104" i="33"/>
  <c r="J213" i="33"/>
  <c r="J267" i="33"/>
  <c r="J58" i="33"/>
  <c r="J230" i="33"/>
  <c r="J241" i="33"/>
  <c r="J81" i="33"/>
  <c r="J170" i="33"/>
  <c r="J280" i="33"/>
  <c r="J44" i="33"/>
  <c r="J86" i="33"/>
  <c r="J278" i="33"/>
  <c r="J140" i="33"/>
  <c r="J201" i="33"/>
  <c r="J286" i="33"/>
  <c r="J27" i="33"/>
  <c r="J137" i="33"/>
  <c r="J294" i="33"/>
  <c r="J168" i="33"/>
  <c r="J20" i="33"/>
  <c r="J114" i="33"/>
  <c r="J302" i="33"/>
  <c r="J164" i="33"/>
  <c r="J25" i="33"/>
  <c r="J247" i="33"/>
  <c r="J82" i="33"/>
  <c r="J129" i="33"/>
  <c r="J244" i="33"/>
  <c r="J74" i="33"/>
  <c r="J134" i="33"/>
  <c r="J224" i="33"/>
  <c r="J87" i="33"/>
  <c r="J101" i="33"/>
  <c r="J214" i="33"/>
  <c r="J62" i="33"/>
  <c r="J38" i="33"/>
  <c r="J146" i="33"/>
  <c r="J288" i="33"/>
  <c r="J145" i="33"/>
  <c r="J163" i="33"/>
  <c r="J169" i="33"/>
  <c r="J271" i="33"/>
  <c r="J176" i="33"/>
  <c r="J239" i="33"/>
  <c r="J32" i="33"/>
  <c r="J256" i="33"/>
  <c r="J115" i="33"/>
  <c r="J231" i="33"/>
  <c r="J203" i="33"/>
  <c r="J84" i="33"/>
  <c r="J233" i="33"/>
  <c r="J8" i="33"/>
  <c r="J124" i="33"/>
  <c r="J182" i="33"/>
  <c r="J305" i="33"/>
  <c r="J50" i="33"/>
  <c r="J297" i="33"/>
  <c r="J64" i="33"/>
  <c r="J299" i="33"/>
  <c r="J55" i="33"/>
  <c r="J60" i="33"/>
  <c r="J216" i="33"/>
  <c r="J33" i="33"/>
  <c r="J187" i="33"/>
  <c r="J306" i="33"/>
  <c r="J298" i="33"/>
  <c r="J290" i="33"/>
  <c r="J76" i="33"/>
  <c r="J21" i="33"/>
  <c r="J261" i="33"/>
  <c r="J279" i="33"/>
  <c r="J77" i="33"/>
  <c r="J263" i="33"/>
  <c r="J131" i="33"/>
  <c r="J189" i="33"/>
  <c r="J242" i="33"/>
  <c r="J43" i="33"/>
  <c r="J192" i="33"/>
  <c r="J52" i="33"/>
  <c r="J307" i="33"/>
  <c r="J123" i="33"/>
  <c r="J97" i="33"/>
  <c r="J237" i="33"/>
  <c r="J122" i="33"/>
  <c r="J67" i="33"/>
  <c r="J190" i="33"/>
  <c r="J154" i="33"/>
  <c r="J199" i="33"/>
  <c r="J155" i="33"/>
  <c r="J37" i="33"/>
  <c r="J291" i="33"/>
  <c r="J29" i="33"/>
  <c r="J42" i="33"/>
  <c r="J258" i="33"/>
  <c r="J283" i="33"/>
  <c r="J238" i="33"/>
  <c r="J28" i="33"/>
  <c r="J78" i="33"/>
  <c r="J153" i="33"/>
  <c r="J281" i="33"/>
  <c r="J221" i="33"/>
  <c r="J36" i="33"/>
  <c r="J235" i="33"/>
  <c r="J310" i="33"/>
  <c r="J90" i="33"/>
  <c r="J39" i="33"/>
  <c r="J17" i="33"/>
  <c r="J89" i="33"/>
  <c r="J240" i="33"/>
  <c r="J151" i="33"/>
  <c r="J132" i="33"/>
  <c r="J210" i="33"/>
  <c r="J243" i="33"/>
  <c r="J54" i="33"/>
  <c r="J245" i="33"/>
  <c r="J105" i="33"/>
  <c r="J219" i="33"/>
  <c r="J94" i="33"/>
  <c r="J15" i="33"/>
  <c r="J228" i="33"/>
  <c r="J41" i="33"/>
  <c r="J173" i="33"/>
  <c r="J156" i="33"/>
  <c r="J161" i="33"/>
  <c r="J301" i="33"/>
  <c r="J128" i="33"/>
  <c r="J102" i="33"/>
  <c r="J138" i="33"/>
  <c r="J99" i="33"/>
  <c r="J285" i="33"/>
  <c r="J260" i="33"/>
  <c r="J143" i="33"/>
  <c r="J222" i="33"/>
  <c r="J309" i="33"/>
  <c r="J59" i="33"/>
  <c r="J6" i="33"/>
  <c r="J150" i="33"/>
  <c r="J265" i="33"/>
  <c r="J72" i="33"/>
  <c r="J57" i="33"/>
  <c r="J142" i="33"/>
  <c r="J229" i="33"/>
  <c r="J133" i="33"/>
  <c r="J270" i="33"/>
  <c r="J107" i="33"/>
  <c r="J130" i="33"/>
  <c r="J13" i="33"/>
  <c r="J118" i="33"/>
  <c r="J312" i="33"/>
  <c r="J112" i="33"/>
  <c r="J19" i="33"/>
  <c r="J157" i="33"/>
  <c r="J167" i="33"/>
  <c r="J200" i="33"/>
  <c r="J9" i="33"/>
  <c r="J208" i="33"/>
  <c r="J18" i="33"/>
  <c r="J166" i="33"/>
  <c r="J5" i="33"/>
  <c r="J83" i="33"/>
  <c r="J92" i="33"/>
  <c r="J268" i="33"/>
  <c r="J206" i="33"/>
  <c r="J56" i="33"/>
  <c r="J147" i="33"/>
  <c r="J183" i="33"/>
  <c r="J308" i="33"/>
  <c r="J108" i="33"/>
  <c r="J172" i="33"/>
  <c r="J289" i="33"/>
  <c r="J68" i="33"/>
  <c r="J253" i="33"/>
  <c r="J212" i="33"/>
  <c r="J70" i="33"/>
  <c r="J159" i="33"/>
  <c r="J194" i="33"/>
  <c r="J225" i="33"/>
  <c r="J207" i="33"/>
  <c r="J165" i="33"/>
  <c r="J295" i="33"/>
  <c r="J144" i="33"/>
  <c r="J26" i="33"/>
  <c r="J110" i="33"/>
  <c r="J178" i="33"/>
  <c r="J287" i="33"/>
  <c r="J141" i="33"/>
  <c r="J255" i="33"/>
  <c r="J160" i="33"/>
  <c r="J119" i="33"/>
  <c r="J85" i="33"/>
  <c r="J269" i="33"/>
  <c r="J293" i="33"/>
  <c r="J181" i="33"/>
  <c r="J272" i="33"/>
  <c r="K163" i="33"/>
  <c r="K174" i="33"/>
  <c r="K100" i="33"/>
  <c r="K90" i="33"/>
  <c r="K43" i="33"/>
  <c r="K178" i="33"/>
  <c r="K134" i="33"/>
  <c r="K273" i="33"/>
  <c r="K81" i="33"/>
  <c r="K102" i="33"/>
  <c r="K227" i="33"/>
  <c r="K266" i="33"/>
  <c r="K204" i="33"/>
  <c r="K133" i="33"/>
  <c r="K301" i="33"/>
  <c r="K34" i="33"/>
  <c r="K137" i="33"/>
  <c r="K278" i="33"/>
  <c r="K304" i="33"/>
  <c r="K312" i="33"/>
  <c r="K46" i="33"/>
  <c r="K269" i="33"/>
  <c r="K9" i="33"/>
  <c r="K5" i="33"/>
  <c r="K160" i="33"/>
  <c r="K80" i="33"/>
  <c r="K8" i="33"/>
  <c r="K238" i="33"/>
  <c r="K79" i="33"/>
  <c r="K75" i="33"/>
  <c r="K101" i="33"/>
  <c r="K252" i="33"/>
  <c r="K257" i="33"/>
  <c r="K201" i="33"/>
  <c r="K70" i="33"/>
  <c r="K15" i="33"/>
  <c r="K26" i="33"/>
  <c r="K192" i="33"/>
  <c r="K225" i="33"/>
  <c r="K44" i="33"/>
  <c r="K64" i="33"/>
  <c r="K50" i="33"/>
  <c r="K224" i="33"/>
  <c r="K37" i="33"/>
  <c r="K69" i="33"/>
  <c r="K162" i="33"/>
  <c r="K293" i="33"/>
  <c r="K91" i="33"/>
  <c r="K76" i="33"/>
  <c r="K219" i="33"/>
  <c r="K234" i="33"/>
  <c r="K62" i="33"/>
  <c r="K182" i="33"/>
  <c r="K28" i="33"/>
  <c r="K7" i="33"/>
  <c r="K152" i="33"/>
  <c r="K211" i="33"/>
  <c r="K113" i="33"/>
  <c r="K88" i="33"/>
  <c r="K87" i="33"/>
  <c r="K190" i="33"/>
  <c r="K51" i="33"/>
  <c r="K126" i="33"/>
  <c r="K229" i="33"/>
  <c r="K110" i="33"/>
  <c r="K150" i="33"/>
  <c r="K73" i="33"/>
  <c r="K107" i="33"/>
  <c r="K10" i="33"/>
  <c r="K253" i="33"/>
  <c r="K275" i="33"/>
  <c r="K127" i="33"/>
  <c r="K298" i="33"/>
  <c r="K68" i="33"/>
  <c r="K303" i="33"/>
  <c r="K277" i="33"/>
  <c r="K254" i="33"/>
  <c r="K280" i="33"/>
  <c r="K145" i="33"/>
  <c r="K258" i="33"/>
  <c r="K140" i="33"/>
  <c r="K12" i="33"/>
  <c r="K55" i="33"/>
  <c r="K122" i="33"/>
  <c r="K153" i="33"/>
  <c r="K241" i="33"/>
  <c r="K47" i="33"/>
  <c r="K307" i="33"/>
  <c r="K39" i="33"/>
  <c r="K221" i="33"/>
  <c r="K209" i="33"/>
  <c r="K205" i="33"/>
  <c r="K311" i="33"/>
  <c r="K189" i="33"/>
  <c r="K35" i="33"/>
  <c r="K233" i="33"/>
  <c r="K120" i="33"/>
  <c r="K218" i="33"/>
  <c r="K251" i="33"/>
  <c r="K84" i="33"/>
  <c r="K279" i="33"/>
  <c r="K124" i="33"/>
  <c r="K148" i="33"/>
  <c r="K128" i="33"/>
  <c r="K217" i="33"/>
  <c r="K109" i="33"/>
  <c r="K146" i="33"/>
  <c r="K228" i="33"/>
  <c r="K261" i="33"/>
  <c r="K171" i="33"/>
  <c r="K111" i="33"/>
  <c r="K92" i="33"/>
  <c r="K86" i="33"/>
  <c r="K271" i="33"/>
  <c r="K265" i="33"/>
  <c r="K186" i="33"/>
  <c r="K208" i="33"/>
  <c r="K42" i="33"/>
  <c r="K24" i="33"/>
  <c r="K193" i="33"/>
  <c r="K138" i="33"/>
  <c r="K240" i="33"/>
  <c r="K119" i="33"/>
  <c r="K249" i="33"/>
  <c r="K17" i="33"/>
  <c r="K237" i="33"/>
  <c r="K263" i="33"/>
  <c r="K302" i="33"/>
  <c r="K284" i="33"/>
  <c r="K235" i="33"/>
  <c r="K147" i="33"/>
  <c r="K255" i="33"/>
  <c r="K212" i="33"/>
  <c r="K242" i="33"/>
  <c r="K232" i="33"/>
  <c r="K247" i="33"/>
  <c r="K99" i="33"/>
  <c r="K287" i="33"/>
  <c r="K14" i="33"/>
  <c r="K83" i="33"/>
  <c r="K207" i="33"/>
  <c r="K142" i="33"/>
  <c r="K306" i="33"/>
  <c r="K65" i="33"/>
  <c r="K63" i="33"/>
  <c r="K112" i="33"/>
  <c r="K114" i="33"/>
  <c r="K297" i="33"/>
  <c r="K262" i="33"/>
  <c r="K77" i="33"/>
  <c r="K40" i="33"/>
  <c r="K71" i="33"/>
  <c r="K89" i="33"/>
  <c r="K270" i="33"/>
  <c r="K268" i="33"/>
  <c r="K74" i="33"/>
  <c r="K94" i="33"/>
  <c r="K54" i="33"/>
  <c r="K29" i="33"/>
  <c r="K22" i="33"/>
  <c r="K170" i="33"/>
  <c r="K180" i="33"/>
  <c r="K56" i="33"/>
  <c r="K67" i="33"/>
  <c r="K286" i="33"/>
  <c r="K164" i="33"/>
  <c r="K230" i="33"/>
  <c r="K98" i="33"/>
  <c r="K108" i="33"/>
  <c r="K173" i="33"/>
  <c r="K248" i="33"/>
  <c r="K155" i="33"/>
  <c r="K156" i="33"/>
  <c r="K223" i="33"/>
  <c r="K290" i="33"/>
  <c r="K296" i="33"/>
  <c r="K118" i="33"/>
  <c r="K85" i="33"/>
  <c r="K246" i="33"/>
  <c r="K18" i="33"/>
  <c r="K310" i="33"/>
  <c r="K288" i="33"/>
  <c r="K21" i="33"/>
  <c r="K274" i="33"/>
  <c r="K25" i="33"/>
  <c r="K31" i="33"/>
  <c r="K27" i="33"/>
  <c r="K245" i="33"/>
  <c r="K179" i="33"/>
  <c r="K308" i="33"/>
  <c r="K197" i="33"/>
  <c r="K161" i="33"/>
  <c r="K294" i="33"/>
  <c r="K176" i="33"/>
  <c r="K48" i="33"/>
  <c r="K181" i="33"/>
  <c r="K289" i="33"/>
  <c r="K49" i="33"/>
  <c r="K96" i="33"/>
  <c r="K172" i="33"/>
  <c r="K292" i="33"/>
  <c r="K52" i="33"/>
  <c r="K121" i="33"/>
  <c r="K168" i="33"/>
  <c r="K11" i="33"/>
  <c r="K282" i="33"/>
  <c r="K53" i="33"/>
  <c r="K281" i="33"/>
  <c r="K16" i="33"/>
  <c r="K215" i="33"/>
  <c r="K202" i="33"/>
  <c r="K187" i="33"/>
  <c r="K154" i="33"/>
  <c r="K226" i="33"/>
  <c r="K32" i="33"/>
  <c r="K45" i="33"/>
  <c r="K19" i="33"/>
  <c r="K194" i="33"/>
  <c r="K283" i="33"/>
  <c r="K157" i="33"/>
  <c r="K141" i="33"/>
  <c r="K200" i="33"/>
  <c r="K185" i="33"/>
  <c r="K151" i="33"/>
  <c r="K250" i="33"/>
  <c r="K13" i="33"/>
  <c r="K300" i="33"/>
  <c r="K30" i="33"/>
  <c r="K166" i="33"/>
  <c r="K291" i="33"/>
  <c r="K20" i="33"/>
  <c r="K313" i="33"/>
  <c r="K115" i="33"/>
  <c r="K159" i="33"/>
  <c r="K216" i="33"/>
  <c r="K213" i="33"/>
  <c r="K123" i="33"/>
  <c r="K97" i="33"/>
  <c r="K259" i="33"/>
  <c r="K131" i="33"/>
  <c r="K244" i="33"/>
  <c r="K78" i="33"/>
  <c r="K135" i="33"/>
  <c r="K59" i="33"/>
  <c r="K6" i="33"/>
  <c r="K139" i="33"/>
  <c r="K143" i="33"/>
  <c r="K222" i="33"/>
  <c r="K231" i="33"/>
  <c r="K167" i="33"/>
  <c r="K191" i="33"/>
  <c r="K129" i="33"/>
  <c r="K184" i="33"/>
  <c r="K236" i="33"/>
  <c r="K106" i="33"/>
  <c r="K220" i="33"/>
  <c r="K72" i="33"/>
  <c r="K299" i="33"/>
  <c r="K41" i="33"/>
  <c r="K95" i="33"/>
  <c r="K203" i="33"/>
  <c r="K144" i="33"/>
  <c r="K243" i="33"/>
  <c r="K117" i="33"/>
  <c r="K198" i="33"/>
  <c r="K165" i="33"/>
  <c r="K158" i="33"/>
  <c r="K188" i="33"/>
  <c r="K58" i="33"/>
  <c r="K295" i="33"/>
  <c r="K276" i="33"/>
  <c r="K239" i="33"/>
  <c r="K214" i="33"/>
  <c r="K57" i="33"/>
  <c r="K103" i="33"/>
  <c r="K305" i="33"/>
  <c r="K66" i="33"/>
  <c r="K132" i="33"/>
  <c r="K256" i="33"/>
  <c r="K285" i="33"/>
  <c r="K33" i="33"/>
  <c r="K130" i="33"/>
  <c r="K104" i="33"/>
  <c r="K23" i="33"/>
  <c r="K183" i="33"/>
  <c r="K260" i="33"/>
  <c r="K93" i="33"/>
  <c r="K136" i="33"/>
  <c r="K206" i="33"/>
  <c r="K169" i="33"/>
  <c r="K267" i="33"/>
  <c r="K175" i="33"/>
  <c r="K210" i="33"/>
  <c r="K38" i="33"/>
  <c r="K264" i="33"/>
  <c r="K61" i="33"/>
  <c r="K116" i="33"/>
  <c r="K177" i="33"/>
  <c r="K125" i="33"/>
  <c r="K199" i="33"/>
  <c r="K36" i="33"/>
  <c r="K309" i="33"/>
  <c r="K82" i="33"/>
  <c r="K105" i="33"/>
  <c r="K195" i="33"/>
  <c r="K60" i="33"/>
  <c r="K196" i="33"/>
  <c r="K149" i="33"/>
  <c r="K272" i="33"/>
  <c r="G5" i="33"/>
  <c r="G40" i="33"/>
  <c r="G124" i="33"/>
  <c r="G240" i="33"/>
  <c r="G293" i="33"/>
  <c r="G209" i="33"/>
  <c r="G199" i="33"/>
  <c r="G112" i="33"/>
  <c r="G118" i="33"/>
  <c r="G299" i="33"/>
  <c r="G140" i="33"/>
  <c r="G298" i="33"/>
  <c r="G152" i="33"/>
  <c r="G228" i="33"/>
  <c r="G155" i="33"/>
  <c r="G306" i="33"/>
  <c r="G83" i="33"/>
  <c r="G7" i="33"/>
  <c r="G284" i="33"/>
  <c r="G85" i="33"/>
  <c r="G229" i="33"/>
  <c r="G166" i="33"/>
  <c r="G153" i="33"/>
  <c r="G173" i="33"/>
  <c r="G262" i="33"/>
  <c r="G107" i="33"/>
  <c r="G185" i="33"/>
  <c r="G303" i="33"/>
  <c r="G218" i="33"/>
  <c r="G108" i="33"/>
  <c r="G51" i="33"/>
  <c r="G257" i="33"/>
  <c r="G267" i="33"/>
  <c r="G265" i="33"/>
  <c r="G188" i="33"/>
  <c r="G19" i="33"/>
  <c r="G99" i="33"/>
  <c r="G194" i="33"/>
  <c r="G261" i="33"/>
  <c r="G180" i="33"/>
  <c r="G288" i="33"/>
  <c r="G216" i="33"/>
  <c r="G93" i="33"/>
  <c r="G191" i="33"/>
  <c r="G50" i="33"/>
  <c r="G110" i="33"/>
  <c r="G18" i="33"/>
  <c r="G300" i="33"/>
  <c r="G129" i="33"/>
  <c r="G165" i="33"/>
  <c r="G14" i="33"/>
  <c r="G138" i="33"/>
  <c r="G247" i="33"/>
  <c r="G295" i="33"/>
  <c r="G23" i="33"/>
  <c r="G67" i="33"/>
  <c r="G59" i="33"/>
  <c r="G248" i="33"/>
  <c r="G221" i="33"/>
  <c r="G234" i="33"/>
  <c r="G44" i="33"/>
  <c r="G105" i="33"/>
  <c r="G312" i="33"/>
  <c r="G220" i="33"/>
  <c r="G142" i="33"/>
  <c r="G49" i="33"/>
  <c r="G139" i="33"/>
  <c r="G249" i="33"/>
  <c r="G149" i="33"/>
  <c r="G235" i="33"/>
  <c r="G46" i="33"/>
  <c r="G208" i="33"/>
  <c r="G239" i="33"/>
  <c r="G20" i="33"/>
  <c r="G177" i="33"/>
  <c r="G287" i="33"/>
  <c r="G86" i="33"/>
  <c r="G158" i="33"/>
  <c r="G225" i="33"/>
  <c r="G192" i="33"/>
  <c r="G90" i="33"/>
  <c r="G219" i="33"/>
  <c r="G144" i="33"/>
  <c r="G80" i="33"/>
  <c r="G169" i="33"/>
  <c r="G29" i="33"/>
  <c r="G313" i="33"/>
  <c r="G22" i="33"/>
  <c r="G11" i="33"/>
  <c r="G226" i="33"/>
  <c r="G53" i="33"/>
  <c r="G202" i="33"/>
  <c r="G281" i="33"/>
  <c r="G78" i="33"/>
  <c r="G68" i="33"/>
  <c r="G126" i="33"/>
  <c r="G251" i="33"/>
  <c r="G38" i="33"/>
  <c r="G146" i="33"/>
  <c r="G277" i="33"/>
  <c r="G238" i="33"/>
  <c r="G65" i="33"/>
  <c r="G294" i="33"/>
  <c r="G30" i="33"/>
  <c r="G260" i="33"/>
  <c r="G134" i="33"/>
  <c r="G95" i="33"/>
  <c r="G21" i="33"/>
  <c r="G269" i="33"/>
  <c r="G214" i="33"/>
  <c r="G103" i="33"/>
  <c r="G271" i="33"/>
  <c r="G161" i="33"/>
  <c r="G89" i="33"/>
  <c r="G159" i="33"/>
  <c r="G66" i="33"/>
  <c r="G302" i="33"/>
  <c r="G24" i="33"/>
  <c r="G117" i="33"/>
  <c r="G100" i="33"/>
  <c r="G233" i="33"/>
  <c r="G143" i="33"/>
  <c r="G141" i="33"/>
  <c r="G34" i="33"/>
  <c r="G198" i="33"/>
  <c r="G217" i="33"/>
  <c r="G224" i="33"/>
  <c r="G297" i="33"/>
  <c r="G8" i="33"/>
  <c r="G231" i="33"/>
  <c r="G250" i="33"/>
  <c r="G151" i="33"/>
  <c r="G157" i="33"/>
  <c r="G119" i="33"/>
  <c r="G54" i="33"/>
  <c r="G305" i="33"/>
  <c r="G170" i="33"/>
  <c r="G145" i="33"/>
  <c r="G156" i="33"/>
  <c r="G172" i="33"/>
  <c r="G270" i="33"/>
  <c r="G268" i="33"/>
  <c r="G79" i="33"/>
  <c r="G47" i="33"/>
  <c r="G109" i="33"/>
  <c r="G201" i="33"/>
  <c r="G132" i="33"/>
  <c r="G94" i="33"/>
  <c r="G42" i="33"/>
  <c r="G279" i="33"/>
  <c r="G121" i="33"/>
  <c r="G87" i="33"/>
  <c r="G35" i="33"/>
  <c r="G64" i="33"/>
  <c r="G181" i="33"/>
  <c r="G55" i="33"/>
  <c r="G278" i="33"/>
  <c r="G131" i="33"/>
  <c r="G304" i="33"/>
  <c r="G41" i="33"/>
  <c r="G82" i="33"/>
  <c r="G101" i="33"/>
  <c r="G276" i="33"/>
  <c r="G37" i="33"/>
  <c r="G186" i="33"/>
  <c r="G154" i="33"/>
  <c r="G222" i="33"/>
  <c r="G97" i="33"/>
  <c r="G39" i="33"/>
  <c r="G301" i="33"/>
  <c r="G113" i="33"/>
  <c r="G232" i="33"/>
  <c r="G16" i="33"/>
  <c r="G125" i="33"/>
  <c r="G241" i="33"/>
  <c r="G57" i="33"/>
  <c r="G36" i="33"/>
  <c r="G102" i="33"/>
  <c r="G48" i="33"/>
  <c r="G96" i="33"/>
  <c r="G130" i="33"/>
  <c r="G292" i="33"/>
  <c r="G282" i="33"/>
  <c r="G162" i="33"/>
  <c r="G203" i="33"/>
  <c r="G116" i="33"/>
  <c r="G244" i="33"/>
  <c r="G12" i="33"/>
  <c r="G227" i="33"/>
  <c r="G160" i="33"/>
  <c r="G106" i="33"/>
  <c r="G242" i="33"/>
  <c r="G183" i="33"/>
  <c r="G243" i="33"/>
  <c r="G182" i="33"/>
  <c r="G307" i="33"/>
  <c r="G98" i="33"/>
  <c r="G63" i="33"/>
  <c r="G25" i="33"/>
  <c r="G135" i="33"/>
  <c r="G196" i="33"/>
  <c r="G187" i="33"/>
  <c r="G195" i="33"/>
  <c r="G253" i="33"/>
  <c r="G184" i="33"/>
  <c r="G133" i="33"/>
  <c r="G207" i="33"/>
  <c r="G32" i="33"/>
  <c r="G91" i="33"/>
  <c r="G61" i="33"/>
  <c r="G255" i="33"/>
  <c r="G204" i="33"/>
  <c r="G115" i="33"/>
  <c r="G174" i="33"/>
  <c r="G128" i="33"/>
  <c r="G280" i="33"/>
  <c r="G73" i="33"/>
  <c r="G52" i="33"/>
  <c r="G56" i="33"/>
  <c r="G62" i="33"/>
  <c r="G289" i="33"/>
  <c r="G285" i="33"/>
  <c r="G296" i="33"/>
  <c r="G120" i="33"/>
  <c r="G60" i="33"/>
  <c r="G189" i="33"/>
  <c r="G84" i="33"/>
  <c r="G179" i="33"/>
  <c r="G43" i="33"/>
  <c r="G122" i="33"/>
  <c r="G266" i="33"/>
  <c r="G273" i="33"/>
  <c r="G310" i="33"/>
  <c r="G254" i="33"/>
  <c r="G258" i="33"/>
  <c r="G58" i="33"/>
  <c r="G137" i="33"/>
  <c r="G6" i="33"/>
  <c r="G69" i="33"/>
  <c r="G263" i="33"/>
  <c r="G71" i="33"/>
  <c r="G33" i="33"/>
  <c r="G245" i="33"/>
  <c r="G190" i="33"/>
  <c r="G28" i="33"/>
  <c r="G290" i="33"/>
  <c r="G200" i="33"/>
  <c r="G26" i="33"/>
  <c r="G211" i="33"/>
  <c r="G223" i="33"/>
  <c r="G150" i="33"/>
  <c r="G197" i="33"/>
  <c r="G171" i="33"/>
  <c r="G81" i="33"/>
  <c r="G111" i="33"/>
  <c r="G147" i="33"/>
  <c r="G308" i="33"/>
  <c r="G256" i="33"/>
  <c r="G164" i="33"/>
  <c r="G213" i="33"/>
  <c r="G114" i="33"/>
  <c r="G252" i="33"/>
  <c r="G17" i="33"/>
  <c r="G178" i="33"/>
  <c r="G104" i="33"/>
  <c r="G70" i="33"/>
  <c r="G286" i="33"/>
  <c r="G264" i="33"/>
  <c r="G311" i="33"/>
  <c r="G92" i="33"/>
  <c r="G76" i="33"/>
  <c r="G123" i="33"/>
  <c r="G10" i="33"/>
  <c r="G193" i="33"/>
  <c r="G13" i="33"/>
  <c r="G148" i="33"/>
  <c r="G230" i="33"/>
  <c r="G212" i="33"/>
  <c r="G283" i="33"/>
  <c r="G236" i="33"/>
  <c r="G274" i="33"/>
  <c r="G74" i="33"/>
  <c r="G15" i="33"/>
  <c r="G31" i="33"/>
  <c r="G163" i="33"/>
  <c r="G167" i="33"/>
  <c r="G309" i="33"/>
  <c r="G215" i="33"/>
  <c r="G275" i="33"/>
  <c r="G205" i="33"/>
  <c r="G291" i="33"/>
  <c r="G72" i="33"/>
  <c r="G27" i="33"/>
  <c r="G45" i="33"/>
  <c r="G75" i="33"/>
  <c r="G127" i="33"/>
  <c r="G259" i="33"/>
  <c r="G206" i="33"/>
  <c r="G136" i="33"/>
  <c r="G9" i="33"/>
  <c r="G175" i="33"/>
  <c r="G77" i="33"/>
  <c r="G168" i="33"/>
  <c r="G176" i="33"/>
  <c r="G88" i="33"/>
  <c r="G246" i="33"/>
  <c r="G210" i="33"/>
  <c r="G237" i="33"/>
  <c r="G272" i="33"/>
  <c r="M314" i="11"/>
  <c r="K41" i="40" s="1"/>
  <c r="I314" i="11"/>
  <c r="K40" i="40" s="1"/>
  <c r="E5" i="37"/>
  <c r="F5" i="37" s="1"/>
  <c r="E96" i="37"/>
  <c r="F96" i="37" s="1"/>
  <c r="I96" i="37" s="1"/>
  <c r="G107" i="34" s="1"/>
  <c r="H107" i="34" s="1"/>
  <c r="E97" i="37"/>
  <c r="F97" i="37" s="1"/>
  <c r="I97" i="37" s="1"/>
  <c r="G108" i="34" s="1"/>
  <c r="H108" i="34" s="1"/>
  <c r="E308" i="37"/>
  <c r="F308" i="37" s="1"/>
  <c r="I308" i="37" s="1"/>
  <c r="G319" i="34" s="1"/>
  <c r="H319" i="34" s="1"/>
  <c r="E188" i="37"/>
  <c r="F188" i="37" s="1"/>
  <c r="I188" i="37" s="1"/>
  <c r="G199" i="34" s="1"/>
  <c r="H199" i="34" s="1"/>
  <c r="E229" i="37"/>
  <c r="F229" i="37" s="1"/>
  <c r="I229" i="37" s="1"/>
  <c r="G240" i="34" s="1"/>
  <c r="H240" i="34" s="1"/>
  <c r="E60" i="37"/>
  <c r="F60" i="37" s="1"/>
  <c r="I60" i="37" s="1"/>
  <c r="G71" i="34" s="1"/>
  <c r="H71" i="34" s="1"/>
  <c r="E33" i="37"/>
  <c r="F33" i="37" s="1"/>
  <c r="I33" i="37" s="1"/>
  <c r="G44" i="34" s="1"/>
  <c r="H44" i="34" s="1"/>
  <c r="E190" i="37"/>
  <c r="F190" i="37" s="1"/>
  <c r="I190" i="37" s="1"/>
  <c r="G201" i="34" s="1"/>
  <c r="H201" i="34" s="1"/>
  <c r="E93" i="37"/>
  <c r="F93" i="37" s="1"/>
  <c r="I93" i="37" s="1"/>
  <c r="G104" i="34" s="1"/>
  <c r="H104" i="34" s="1"/>
  <c r="E160" i="37"/>
  <c r="F160" i="37" s="1"/>
  <c r="I160" i="37" s="1"/>
  <c r="G171" i="34" s="1"/>
  <c r="H171" i="34" s="1"/>
  <c r="E185" i="37"/>
  <c r="F185" i="37" s="1"/>
  <c r="I185" i="37" s="1"/>
  <c r="G196" i="34" s="1"/>
  <c r="H196" i="34" s="1"/>
  <c r="E64" i="37"/>
  <c r="F64" i="37" s="1"/>
  <c r="I64" i="37" s="1"/>
  <c r="G75" i="34" s="1"/>
  <c r="H75" i="34" s="1"/>
  <c r="E140" i="37"/>
  <c r="F140" i="37" s="1"/>
  <c r="I140" i="37" s="1"/>
  <c r="G151" i="34" s="1"/>
  <c r="H151" i="34" s="1"/>
  <c r="E44" i="37"/>
  <c r="F44" i="37" s="1"/>
  <c r="I44" i="37" s="1"/>
  <c r="G55" i="34" s="1"/>
  <c r="H55" i="34" s="1"/>
  <c r="E16" i="37"/>
  <c r="F16" i="37" s="1"/>
  <c r="I16" i="37" s="1"/>
  <c r="G27" i="34" s="1"/>
  <c r="H27" i="34" s="1"/>
  <c r="E202" i="37"/>
  <c r="F202" i="37" s="1"/>
  <c r="I202" i="37" s="1"/>
  <c r="G213" i="34" s="1"/>
  <c r="H213" i="34" s="1"/>
  <c r="E279" i="37"/>
  <c r="F279" i="37" s="1"/>
  <c r="I279" i="37" s="1"/>
  <c r="G290" i="34" s="1"/>
  <c r="H290" i="34" s="1"/>
  <c r="E313" i="37"/>
  <c r="F313" i="37" s="1"/>
  <c r="I313" i="37" s="1"/>
  <c r="G324" i="34" s="1"/>
  <c r="H324" i="34" s="1"/>
  <c r="E256" i="37"/>
  <c r="F256" i="37" s="1"/>
  <c r="I256" i="37" s="1"/>
  <c r="G267" i="34" s="1"/>
  <c r="H267" i="34" s="1"/>
  <c r="E274" i="37"/>
  <c r="F274" i="37" s="1"/>
  <c r="I274" i="37" s="1"/>
  <c r="G285" i="34" s="1"/>
  <c r="H285" i="34" s="1"/>
  <c r="E142" i="37"/>
  <c r="F142" i="37" s="1"/>
  <c r="I142" i="37" s="1"/>
  <c r="G153" i="34" s="1"/>
  <c r="H153" i="34" s="1"/>
  <c r="E111" i="37"/>
  <c r="F111" i="37" s="1"/>
  <c r="I111" i="37" s="1"/>
  <c r="G122" i="34" s="1"/>
  <c r="H122" i="34" s="1"/>
  <c r="E59" i="37"/>
  <c r="F59" i="37" s="1"/>
  <c r="I59" i="37" s="1"/>
  <c r="G70" i="34" s="1"/>
  <c r="H70" i="34" s="1"/>
  <c r="E6" i="37"/>
  <c r="F6" i="37" s="1"/>
  <c r="I6" i="37" s="1"/>
  <c r="G17" i="34" s="1"/>
  <c r="H17" i="34" s="1"/>
  <c r="E224" i="37"/>
  <c r="F224" i="37" s="1"/>
  <c r="I224" i="37" s="1"/>
  <c r="G235" i="34" s="1"/>
  <c r="H235" i="34" s="1"/>
  <c r="E175" i="37"/>
  <c r="F175" i="37" s="1"/>
  <c r="I175" i="37" s="1"/>
  <c r="G186" i="34" s="1"/>
  <c r="H186" i="34" s="1"/>
  <c r="E23" i="37"/>
  <c r="F23" i="37" s="1"/>
  <c r="I23" i="37" s="1"/>
  <c r="G34" i="34" s="1"/>
  <c r="H34" i="34" s="1"/>
  <c r="E236" i="37"/>
  <c r="F236" i="37" s="1"/>
  <c r="I236" i="37" s="1"/>
  <c r="G247" i="34" s="1"/>
  <c r="H247" i="34" s="1"/>
  <c r="E242" i="37"/>
  <c r="F242" i="37" s="1"/>
  <c r="I242" i="37" s="1"/>
  <c r="G253" i="34" s="1"/>
  <c r="H253" i="34" s="1"/>
  <c r="E121" i="37"/>
  <c r="F121" i="37" s="1"/>
  <c r="I121" i="37" s="1"/>
  <c r="G132" i="34" s="1"/>
  <c r="H132" i="34" s="1"/>
  <c r="E165" i="37"/>
  <c r="F165" i="37" s="1"/>
  <c r="I165" i="37" s="1"/>
  <c r="G176" i="34" s="1"/>
  <c r="H176" i="34" s="1"/>
  <c r="E68" i="37"/>
  <c r="F68" i="37" s="1"/>
  <c r="I68" i="37" s="1"/>
  <c r="G79" i="34" s="1"/>
  <c r="H79" i="34" s="1"/>
  <c r="E297" i="37"/>
  <c r="F297" i="37" s="1"/>
  <c r="I297" i="37" s="1"/>
  <c r="G308" i="34" s="1"/>
  <c r="H308" i="34" s="1"/>
  <c r="E305" i="37"/>
  <c r="F305" i="37" s="1"/>
  <c r="I305" i="37" s="1"/>
  <c r="G316" i="34" s="1"/>
  <c r="H316" i="34" s="1"/>
  <c r="E267" i="37"/>
  <c r="F267" i="37" s="1"/>
  <c r="I267" i="37" s="1"/>
  <c r="G278" i="34" s="1"/>
  <c r="H278" i="34" s="1"/>
  <c r="E263" i="37"/>
  <c r="F263" i="37" s="1"/>
  <c r="I263" i="37" s="1"/>
  <c r="G274" i="34" s="1"/>
  <c r="H274" i="34" s="1"/>
  <c r="E107" i="37"/>
  <c r="F107" i="37" s="1"/>
  <c r="I107" i="37" s="1"/>
  <c r="G118" i="34" s="1"/>
  <c r="H118" i="34" s="1"/>
  <c r="E87" i="37"/>
  <c r="F87" i="37" s="1"/>
  <c r="I87" i="37" s="1"/>
  <c r="G98" i="34" s="1"/>
  <c r="H98" i="34" s="1"/>
  <c r="E155" i="37"/>
  <c r="F155" i="37" s="1"/>
  <c r="I155" i="37" s="1"/>
  <c r="G166" i="34" s="1"/>
  <c r="H166" i="34" s="1"/>
  <c r="E47" i="37"/>
  <c r="F47" i="37" s="1"/>
  <c r="I47" i="37" s="1"/>
  <c r="G58" i="34" s="1"/>
  <c r="H58" i="34" s="1"/>
  <c r="E158" i="37"/>
  <c r="F158" i="37" s="1"/>
  <c r="I158" i="37" s="1"/>
  <c r="G169" i="34" s="1"/>
  <c r="H169" i="34" s="1"/>
  <c r="E106" i="37"/>
  <c r="F106" i="37" s="1"/>
  <c r="I106" i="37" s="1"/>
  <c r="G117" i="34" s="1"/>
  <c r="H117" i="34" s="1"/>
  <c r="E264" i="37"/>
  <c r="F264" i="37" s="1"/>
  <c r="I264" i="37" s="1"/>
  <c r="G275" i="34" s="1"/>
  <c r="H275" i="34" s="1"/>
  <c r="E196" i="37"/>
  <c r="F196" i="37" s="1"/>
  <c r="I196" i="37" s="1"/>
  <c r="G207" i="34" s="1"/>
  <c r="H207" i="34" s="1"/>
  <c r="E217" i="37"/>
  <c r="F217" i="37" s="1"/>
  <c r="I217" i="37" s="1"/>
  <c r="G228" i="34" s="1"/>
  <c r="H228" i="34" s="1"/>
  <c r="E194" i="37"/>
  <c r="F194" i="37" s="1"/>
  <c r="I194" i="37" s="1"/>
  <c r="G205" i="34" s="1"/>
  <c r="H205" i="34" s="1"/>
  <c r="E9" i="37"/>
  <c r="F9" i="37" s="1"/>
  <c r="I9" i="37" s="1"/>
  <c r="G20" i="34" s="1"/>
  <c r="H20" i="34" s="1"/>
  <c r="E201" i="37"/>
  <c r="F201" i="37" s="1"/>
  <c r="I201" i="37" s="1"/>
  <c r="G212" i="34" s="1"/>
  <c r="H212" i="34" s="1"/>
  <c r="E41" i="37"/>
  <c r="F41" i="37" s="1"/>
  <c r="I41" i="37" s="1"/>
  <c r="G52" i="34" s="1"/>
  <c r="H52" i="34" s="1"/>
  <c r="E17" i="37"/>
  <c r="F17" i="37" s="1"/>
  <c r="I17" i="37" s="1"/>
  <c r="G28" i="34" s="1"/>
  <c r="H28" i="34" s="1"/>
  <c r="E204" i="37"/>
  <c r="F204" i="37" s="1"/>
  <c r="I204" i="37" s="1"/>
  <c r="G215" i="34" s="1"/>
  <c r="H215" i="34" s="1"/>
  <c r="E80" i="37"/>
  <c r="F80" i="37" s="1"/>
  <c r="I80" i="37" s="1"/>
  <c r="G91" i="34" s="1"/>
  <c r="H91" i="34" s="1"/>
  <c r="E265" i="37"/>
  <c r="F265" i="37" s="1"/>
  <c r="I265" i="37" s="1"/>
  <c r="G276" i="34" s="1"/>
  <c r="H276" i="34" s="1"/>
  <c r="E311" i="37"/>
  <c r="F311" i="37" s="1"/>
  <c r="I311" i="37" s="1"/>
  <c r="G322" i="34" s="1"/>
  <c r="H322" i="34" s="1"/>
  <c r="E86" i="37"/>
  <c r="F86" i="37" s="1"/>
  <c r="I86" i="37" s="1"/>
  <c r="G97" i="34" s="1"/>
  <c r="H97" i="34" s="1"/>
  <c r="E162" i="37"/>
  <c r="F162" i="37" s="1"/>
  <c r="I162" i="37" s="1"/>
  <c r="G173" i="34" s="1"/>
  <c r="H173" i="34" s="1"/>
  <c r="E130" i="37"/>
  <c r="F130" i="37" s="1"/>
  <c r="I130" i="37" s="1"/>
  <c r="G141" i="34" s="1"/>
  <c r="H141" i="34" s="1"/>
  <c r="E46" i="37"/>
  <c r="F46" i="37" s="1"/>
  <c r="I46" i="37" s="1"/>
  <c r="G57" i="34" s="1"/>
  <c r="H57" i="34" s="1"/>
  <c r="E233" i="37"/>
  <c r="F233" i="37" s="1"/>
  <c r="I233" i="37" s="1"/>
  <c r="G244" i="34" s="1"/>
  <c r="H244" i="34" s="1"/>
  <c r="E147" i="37"/>
  <c r="F147" i="37" s="1"/>
  <c r="I147" i="37" s="1"/>
  <c r="G158" i="34" s="1"/>
  <c r="H158" i="34" s="1"/>
  <c r="E220" i="37"/>
  <c r="F220" i="37" s="1"/>
  <c r="I220" i="37" s="1"/>
  <c r="G231" i="34" s="1"/>
  <c r="H231" i="34" s="1"/>
  <c r="E171" i="37"/>
  <c r="F171" i="37" s="1"/>
  <c r="I171" i="37" s="1"/>
  <c r="G182" i="34" s="1"/>
  <c r="H182" i="34" s="1"/>
  <c r="E20" i="37"/>
  <c r="F20" i="37" s="1"/>
  <c r="I20" i="37" s="1"/>
  <c r="G31" i="34" s="1"/>
  <c r="H31" i="34" s="1"/>
  <c r="E168" i="37"/>
  <c r="F168" i="37" s="1"/>
  <c r="I168" i="37" s="1"/>
  <c r="G179" i="34" s="1"/>
  <c r="H179" i="34" s="1"/>
  <c r="E36" i="37"/>
  <c r="F36" i="37" s="1"/>
  <c r="I36" i="37" s="1"/>
  <c r="G47" i="34" s="1"/>
  <c r="H47" i="34" s="1"/>
  <c r="E76" i="37"/>
  <c r="F76" i="37" s="1"/>
  <c r="I76" i="37" s="1"/>
  <c r="G87" i="34" s="1"/>
  <c r="H87" i="34" s="1"/>
  <c r="E287" i="37"/>
  <c r="F287" i="37" s="1"/>
  <c r="I287" i="37" s="1"/>
  <c r="G298" i="34" s="1"/>
  <c r="H298" i="34" s="1"/>
  <c r="E282" i="37"/>
  <c r="F282" i="37" s="1"/>
  <c r="I282" i="37" s="1"/>
  <c r="G293" i="34" s="1"/>
  <c r="H293" i="34" s="1"/>
  <c r="E310" i="37"/>
  <c r="F310" i="37" s="1"/>
  <c r="I310" i="37" s="1"/>
  <c r="G321" i="34" s="1"/>
  <c r="H321" i="34" s="1"/>
  <c r="E299" i="37"/>
  <c r="F299" i="37" s="1"/>
  <c r="I299" i="37" s="1"/>
  <c r="G310" i="34" s="1"/>
  <c r="H310" i="34" s="1"/>
  <c r="E83" i="37"/>
  <c r="F83" i="37" s="1"/>
  <c r="I83" i="37" s="1"/>
  <c r="G94" i="34" s="1"/>
  <c r="H94" i="34" s="1"/>
  <c r="E303" i="37"/>
  <c r="F303" i="37" s="1"/>
  <c r="I303" i="37" s="1"/>
  <c r="G314" i="34" s="1"/>
  <c r="H314" i="34" s="1"/>
  <c r="E42" i="37"/>
  <c r="F42" i="37" s="1"/>
  <c r="I42" i="37" s="1"/>
  <c r="G53" i="34" s="1"/>
  <c r="H53" i="34" s="1"/>
  <c r="E146" i="37"/>
  <c r="F146" i="37" s="1"/>
  <c r="I146" i="37" s="1"/>
  <c r="G157" i="34" s="1"/>
  <c r="H157" i="34" s="1"/>
  <c r="E123" i="37"/>
  <c r="F123" i="37" s="1"/>
  <c r="I123" i="37" s="1"/>
  <c r="G134" i="34" s="1"/>
  <c r="H134" i="34" s="1"/>
  <c r="E67" i="37"/>
  <c r="F67" i="37" s="1"/>
  <c r="I67" i="37" s="1"/>
  <c r="G78" i="34" s="1"/>
  <c r="H78" i="34" s="1"/>
  <c r="E166" i="37"/>
  <c r="F166" i="37" s="1"/>
  <c r="I166" i="37" s="1"/>
  <c r="G177" i="34" s="1"/>
  <c r="H177" i="34" s="1"/>
  <c r="E120" i="37"/>
  <c r="F120" i="37" s="1"/>
  <c r="I120" i="37" s="1"/>
  <c r="G131" i="34" s="1"/>
  <c r="H131" i="34" s="1"/>
  <c r="E257" i="37"/>
  <c r="F257" i="37" s="1"/>
  <c r="I257" i="37" s="1"/>
  <c r="G268" i="34" s="1"/>
  <c r="H268" i="34" s="1"/>
  <c r="E53" i="37"/>
  <c r="F53" i="37" s="1"/>
  <c r="I53" i="37" s="1"/>
  <c r="G64" i="34" s="1"/>
  <c r="H64" i="34" s="1"/>
  <c r="E206" i="37"/>
  <c r="F206" i="37" s="1"/>
  <c r="I206" i="37" s="1"/>
  <c r="G217" i="34" s="1"/>
  <c r="H217" i="34" s="1"/>
  <c r="E45" i="37"/>
  <c r="F45" i="37" s="1"/>
  <c r="I45" i="37" s="1"/>
  <c r="G56" i="34" s="1"/>
  <c r="H56" i="34" s="1"/>
  <c r="E128" i="37"/>
  <c r="F128" i="37" s="1"/>
  <c r="I128" i="37" s="1"/>
  <c r="G139" i="34" s="1"/>
  <c r="H139" i="34" s="1"/>
  <c r="E178" i="37"/>
  <c r="F178" i="37" s="1"/>
  <c r="I178" i="37" s="1"/>
  <c r="G189" i="34" s="1"/>
  <c r="H189" i="34" s="1"/>
  <c r="E280" i="37"/>
  <c r="F280" i="37" s="1"/>
  <c r="I280" i="37" s="1"/>
  <c r="G291" i="34" s="1"/>
  <c r="H291" i="34" s="1"/>
  <c r="E272" i="37"/>
  <c r="F272" i="37" s="1"/>
  <c r="I272" i="37" s="1"/>
  <c r="G283" i="34" s="1"/>
  <c r="H283" i="34" s="1"/>
  <c r="E288" i="37"/>
  <c r="F288" i="37" s="1"/>
  <c r="I288" i="37" s="1"/>
  <c r="G299" i="34" s="1"/>
  <c r="H299" i="34" s="1"/>
  <c r="E222" i="37"/>
  <c r="F222" i="37" s="1"/>
  <c r="I222" i="37" s="1"/>
  <c r="G233" i="34" s="1"/>
  <c r="H233" i="34" s="1"/>
  <c r="E85" i="37"/>
  <c r="F85" i="37" s="1"/>
  <c r="I85" i="37" s="1"/>
  <c r="G96" i="34" s="1"/>
  <c r="H96" i="34" s="1"/>
  <c r="E141" i="37"/>
  <c r="F141" i="37" s="1"/>
  <c r="I141" i="37" s="1"/>
  <c r="G152" i="34" s="1"/>
  <c r="H152" i="34" s="1"/>
  <c r="E61" i="37"/>
  <c r="F61" i="37" s="1"/>
  <c r="I61" i="37" s="1"/>
  <c r="G72" i="34" s="1"/>
  <c r="H72" i="34" s="1"/>
  <c r="E182" i="37"/>
  <c r="F182" i="37" s="1"/>
  <c r="I182" i="37" s="1"/>
  <c r="G193" i="34" s="1"/>
  <c r="H193" i="34" s="1"/>
  <c r="E57" i="37"/>
  <c r="F57" i="37" s="1"/>
  <c r="I57" i="37" s="1"/>
  <c r="G68" i="34" s="1"/>
  <c r="H68" i="34" s="1"/>
  <c r="E193" i="37"/>
  <c r="F193" i="37" s="1"/>
  <c r="I193" i="37" s="1"/>
  <c r="G204" i="34" s="1"/>
  <c r="H204" i="34" s="1"/>
  <c r="E276" i="37"/>
  <c r="F276" i="37" s="1"/>
  <c r="I276" i="37" s="1"/>
  <c r="G287" i="34" s="1"/>
  <c r="H287" i="34" s="1"/>
  <c r="E223" i="37"/>
  <c r="F223" i="37" s="1"/>
  <c r="I223" i="37" s="1"/>
  <c r="G234" i="34" s="1"/>
  <c r="H234" i="34" s="1"/>
  <c r="E110" i="37"/>
  <c r="F110" i="37" s="1"/>
  <c r="I110" i="37" s="1"/>
  <c r="G121" i="34" s="1"/>
  <c r="H121" i="34" s="1"/>
  <c r="E14" i="37"/>
  <c r="F14" i="37" s="1"/>
  <c r="I14" i="37" s="1"/>
  <c r="G25" i="34" s="1"/>
  <c r="H25" i="34" s="1"/>
  <c r="E176" i="37"/>
  <c r="F176" i="37" s="1"/>
  <c r="I176" i="37" s="1"/>
  <c r="G187" i="34" s="1"/>
  <c r="H187" i="34" s="1"/>
  <c r="E99" i="37"/>
  <c r="F99" i="37" s="1"/>
  <c r="I99" i="37" s="1"/>
  <c r="G110" i="34" s="1"/>
  <c r="H110" i="34" s="1"/>
  <c r="E245" i="37"/>
  <c r="F245" i="37" s="1"/>
  <c r="I245" i="37" s="1"/>
  <c r="G256" i="34" s="1"/>
  <c r="H256" i="34" s="1"/>
  <c r="E197" i="37"/>
  <c r="F197" i="37" s="1"/>
  <c r="I197" i="37" s="1"/>
  <c r="G208" i="34" s="1"/>
  <c r="H208" i="34" s="1"/>
  <c r="E237" i="37"/>
  <c r="F237" i="37" s="1"/>
  <c r="I237" i="37" s="1"/>
  <c r="G248" i="34" s="1"/>
  <c r="H248" i="34" s="1"/>
  <c r="E211" i="37"/>
  <c r="F211" i="37" s="1"/>
  <c r="I211" i="37" s="1"/>
  <c r="E77" i="37"/>
  <c r="F77" i="37" s="1"/>
  <c r="I77" i="37" s="1"/>
  <c r="G88" i="34" s="1"/>
  <c r="H88" i="34" s="1"/>
  <c r="E24" i="37"/>
  <c r="F24" i="37" s="1"/>
  <c r="I24" i="37" s="1"/>
  <c r="G35" i="34" s="1"/>
  <c r="H35" i="34" s="1"/>
  <c r="E48" i="37"/>
  <c r="F48" i="37" s="1"/>
  <c r="I48" i="37" s="1"/>
  <c r="G59" i="34" s="1"/>
  <c r="H59" i="34" s="1"/>
  <c r="E270" i="37"/>
  <c r="F270" i="37" s="1"/>
  <c r="I270" i="37" s="1"/>
  <c r="G281" i="34" s="1"/>
  <c r="H281" i="34" s="1"/>
  <c r="E69" i="37"/>
  <c r="F69" i="37" s="1"/>
  <c r="I69" i="37" s="1"/>
  <c r="G80" i="34" s="1"/>
  <c r="H80" i="34" s="1"/>
  <c r="E133" i="37"/>
  <c r="F133" i="37" s="1"/>
  <c r="I133" i="37" s="1"/>
  <c r="G144" i="34" s="1"/>
  <c r="H144" i="34" s="1"/>
  <c r="E173" i="37"/>
  <c r="F173" i="37" s="1"/>
  <c r="I173" i="37" s="1"/>
  <c r="G184" i="34" s="1"/>
  <c r="H184" i="34" s="1"/>
  <c r="E294" i="37"/>
  <c r="F294" i="37" s="1"/>
  <c r="I294" i="37" s="1"/>
  <c r="G305" i="34" s="1"/>
  <c r="H305" i="34" s="1"/>
  <c r="E10" i="37"/>
  <c r="F10" i="37" s="1"/>
  <c r="I10" i="37" s="1"/>
  <c r="G21" i="34" s="1"/>
  <c r="H21" i="34" s="1"/>
  <c r="E11" i="37"/>
  <c r="F11" i="37" s="1"/>
  <c r="I11" i="37" s="1"/>
  <c r="G22" i="34" s="1"/>
  <c r="H22" i="34" s="1"/>
  <c r="E62" i="37"/>
  <c r="F62" i="37" s="1"/>
  <c r="I62" i="37" s="1"/>
  <c r="G73" i="34" s="1"/>
  <c r="H73" i="34" s="1"/>
  <c r="E27" i="37"/>
  <c r="F27" i="37" s="1"/>
  <c r="I27" i="37" s="1"/>
  <c r="G38" i="34" s="1"/>
  <c r="H38" i="34" s="1"/>
  <c r="E174" i="37"/>
  <c r="F174" i="37" s="1"/>
  <c r="I174" i="37" s="1"/>
  <c r="G185" i="34" s="1"/>
  <c r="H185" i="34" s="1"/>
  <c r="E82" i="37"/>
  <c r="F82" i="37" s="1"/>
  <c r="I82" i="37" s="1"/>
  <c r="G93" i="34" s="1"/>
  <c r="H93" i="34" s="1"/>
  <c r="E189" i="37"/>
  <c r="F189" i="37" s="1"/>
  <c r="I189" i="37" s="1"/>
  <c r="G200" i="34" s="1"/>
  <c r="H200" i="34" s="1"/>
  <c r="E134" i="37"/>
  <c r="F134" i="37" s="1"/>
  <c r="I134" i="37" s="1"/>
  <c r="G145" i="34" s="1"/>
  <c r="H145" i="34" s="1"/>
  <c r="E104" i="37"/>
  <c r="F104" i="37" s="1"/>
  <c r="I104" i="37" s="1"/>
  <c r="G115" i="34" s="1"/>
  <c r="H115" i="34" s="1"/>
  <c r="E129" i="37"/>
  <c r="F129" i="37" s="1"/>
  <c r="I129" i="37" s="1"/>
  <c r="G140" i="34" s="1"/>
  <c r="H140" i="34" s="1"/>
  <c r="E152" i="37"/>
  <c r="F152" i="37" s="1"/>
  <c r="I152" i="37" s="1"/>
  <c r="G163" i="34" s="1"/>
  <c r="H163" i="34" s="1"/>
  <c r="E209" i="37"/>
  <c r="F209" i="37" s="1"/>
  <c r="I209" i="37" s="1"/>
  <c r="G220" i="34" s="1"/>
  <c r="H220" i="34" s="1"/>
  <c r="E238" i="37"/>
  <c r="F238" i="37" s="1"/>
  <c r="I238" i="37" s="1"/>
  <c r="G249" i="34" s="1"/>
  <c r="H249" i="34" s="1"/>
  <c r="E186" i="37"/>
  <c r="F186" i="37" s="1"/>
  <c r="I186" i="37" s="1"/>
  <c r="G197" i="34" s="1"/>
  <c r="H197" i="34" s="1"/>
  <c r="E72" i="37"/>
  <c r="F72" i="37" s="1"/>
  <c r="I72" i="37" s="1"/>
  <c r="G83" i="34" s="1"/>
  <c r="H83" i="34" s="1"/>
  <c r="E92" i="37"/>
  <c r="F92" i="37" s="1"/>
  <c r="I92" i="37" s="1"/>
  <c r="G103" i="34" s="1"/>
  <c r="H103" i="34" s="1"/>
  <c r="E268" i="37"/>
  <c r="F268" i="37" s="1"/>
  <c r="I268" i="37" s="1"/>
  <c r="G279" i="34" s="1"/>
  <c r="H279" i="34" s="1"/>
  <c r="E283" i="37"/>
  <c r="F283" i="37" s="1"/>
  <c r="I283" i="37" s="1"/>
  <c r="G294" i="34" s="1"/>
  <c r="H294" i="34" s="1"/>
  <c r="E307" i="37"/>
  <c r="F307" i="37" s="1"/>
  <c r="I307" i="37" s="1"/>
  <c r="G318" i="34" s="1"/>
  <c r="H318" i="34" s="1"/>
  <c r="E216" i="37"/>
  <c r="F216" i="37" s="1"/>
  <c r="I216" i="37" s="1"/>
  <c r="G227" i="34" s="1"/>
  <c r="H227" i="34" s="1"/>
  <c r="E115" i="37"/>
  <c r="F115" i="37" s="1"/>
  <c r="I115" i="37" s="1"/>
  <c r="G126" i="34" s="1"/>
  <c r="H126" i="34" s="1"/>
  <c r="E103" i="37"/>
  <c r="F103" i="37" s="1"/>
  <c r="I103" i="37" s="1"/>
  <c r="G114" i="34" s="1"/>
  <c r="H114" i="34" s="1"/>
  <c r="E22" i="37"/>
  <c r="F22" i="37" s="1"/>
  <c r="I22" i="37" s="1"/>
  <c r="G33" i="34" s="1"/>
  <c r="H33" i="34" s="1"/>
  <c r="E131" i="37"/>
  <c r="F131" i="37" s="1"/>
  <c r="I131" i="37" s="1"/>
  <c r="G142" i="34" s="1"/>
  <c r="H142" i="34" s="1"/>
  <c r="E205" i="37"/>
  <c r="F205" i="37" s="1"/>
  <c r="I205" i="37" s="1"/>
  <c r="G216" i="34" s="1"/>
  <c r="H216" i="34" s="1"/>
  <c r="E151" i="37"/>
  <c r="F151" i="37" s="1"/>
  <c r="I151" i="37" s="1"/>
  <c r="G162" i="34" s="1"/>
  <c r="H162" i="34" s="1"/>
  <c r="E35" i="37"/>
  <c r="F35" i="37" s="1"/>
  <c r="I35" i="37" s="1"/>
  <c r="G46" i="34" s="1"/>
  <c r="H46" i="34" s="1"/>
  <c r="E240" i="37"/>
  <c r="F240" i="37" s="1"/>
  <c r="I240" i="37" s="1"/>
  <c r="G251" i="34" s="1"/>
  <c r="H251" i="34" s="1"/>
  <c r="E101" i="37"/>
  <c r="F101" i="37" s="1"/>
  <c r="I101" i="37" s="1"/>
  <c r="G112" i="34" s="1"/>
  <c r="H112" i="34" s="1"/>
  <c r="E254" i="37"/>
  <c r="F254" i="37" s="1"/>
  <c r="I254" i="37" s="1"/>
  <c r="G265" i="34" s="1"/>
  <c r="H265" i="34" s="1"/>
  <c r="E164" i="37"/>
  <c r="F164" i="37" s="1"/>
  <c r="I164" i="37" s="1"/>
  <c r="G175" i="34" s="1"/>
  <c r="H175" i="34" s="1"/>
  <c r="E21" i="37"/>
  <c r="F21" i="37" s="1"/>
  <c r="I21" i="37" s="1"/>
  <c r="G32" i="34" s="1"/>
  <c r="H32" i="34" s="1"/>
  <c r="E269" i="37"/>
  <c r="F269" i="37" s="1"/>
  <c r="I269" i="37" s="1"/>
  <c r="G280" i="34" s="1"/>
  <c r="H280" i="34" s="1"/>
  <c r="E289" i="37"/>
  <c r="F289" i="37" s="1"/>
  <c r="I289" i="37" s="1"/>
  <c r="G300" i="34" s="1"/>
  <c r="H300" i="34" s="1"/>
  <c r="E187" i="37"/>
  <c r="F187" i="37" s="1"/>
  <c r="I187" i="37" s="1"/>
  <c r="G198" i="34" s="1"/>
  <c r="H198" i="34" s="1"/>
  <c r="E191" i="37"/>
  <c r="F191" i="37" s="1"/>
  <c r="I191" i="37" s="1"/>
  <c r="G202" i="34" s="1"/>
  <c r="H202" i="34" s="1"/>
  <c r="E98" i="37"/>
  <c r="F98" i="37" s="1"/>
  <c r="I98" i="37" s="1"/>
  <c r="G109" i="34" s="1"/>
  <c r="H109" i="34" s="1"/>
  <c r="E243" i="37"/>
  <c r="F243" i="37" s="1"/>
  <c r="I243" i="37" s="1"/>
  <c r="G254" i="34" s="1"/>
  <c r="H254" i="34" s="1"/>
  <c r="E70" i="37"/>
  <c r="F70" i="37" s="1"/>
  <c r="I70" i="37" s="1"/>
  <c r="G81" i="34" s="1"/>
  <c r="H81" i="34" s="1"/>
  <c r="E167" i="37"/>
  <c r="F167" i="37" s="1"/>
  <c r="I167" i="37" s="1"/>
  <c r="G178" i="34" s="1"/>
  <c r="H178" i="34" s="1"/>
  <c r="E126" i="37"/>
  <c r="F126" i="37" s="1"/>
  <c r="I126" i="37" s="1"/>
  <c r="G137" i="34" s="1"/>
  <c r="H137" i="34" s="1"/>
  <c r="E90" i="37"/>
  <c r="F90" i="37" s="1"/>
  <c r="I90" i="37" s="1"/>
  <c r="G101" i="34" s="1"/>
  <c r="H101" i="34" s="1"/>
  <c r="E40" i="37"/>
  <c r="F40" i="37" s="1"/>
  <c r="I40" i="37" s="1"/>
  <c r="G51" i="34" s="1"/>
  <c r="H51" i="34" s="1"/>
  <c r="E284" i="37"/>
  <c r="F284" i="37" s="1"/>
  <c r="I284" i="37" s="1"/>
  <c r="G295" i="34" s="1"/>
  <c r="H295" i="34" s="1"/>
  <c r="E177" i="37"/>
  <c r="F177" i="37" s="1"/>
  <c r="I177" i="37" s="1"/>
  <c r="G188" i="34" s="1"/>
  <c r="H188" i="34" s="1"/>
  <c r="E262" i="37"/>
  <c r="F262" i="37" s="1"/>
  <c r="I262" i="37" s="1"/>
  <c r="G273" i="34" s="1"/>
  <c r="H273" i="34" s="1"/>
  <c r="E8" i="37"/>
  <c r="F8" i="37" s="1"/>
  <c r="I8" i="37" s="1"/>
  <c r="G19" i="34" s="1"/>
  <c r="H19" i="34" s="1"/>
  <c r="E124" i="37"/>
  <c r="F124" i="37" s="1"/>
  <c r="I124" i="37" s="1"/>
  <c r="G135" i="34" s="1"/>
  <c r="H135" i="34" s="1"/>
  <c r="E28" i="37"/>
  <c r="F28" i="37" s="1"/>
  <c r="I28" i="37" s="1"/>
  <c r="G39" i="34" s="1"/>
  <c r="H39" i="34" s="1"/>
  <c r="E260" i="37"/>
  <c r="F260" i="37" s="1"/>
  <c r="I260" i="37" s="1"/>
  <c r="G271" i="34" s="1"/>
  <c r="H271" i="34" s="1"/>
  <c r="E271" i="37"/>
  <c r="F271" i="37" s="1"/>
  <c r="I271" i="37" s="1"/>
  <c r="G282" i="34" s="1"/>
  <c r="H282" i="34" s="1"/>
  <c r="E255" i="37"/>
  <c r="F255" i="37" s="1"/>
  <c r="I255" i="37" s="1"/>
  <c r="G266" i="34" s="1"/>
  <c r="H266" i="34" s="1"/>
  <c r="E66" i="37"/>
  <c r="F66" i="37" s="1"/>
  <c r="I66" i="37" s="1"/>
  <c r="G77" i="34" s="1"/>
  <c r="H77" i="34" s="1"/>
  <c r="E51" i="37"/>
  <c r="F51" i="37" s="1"/>
  <c r="I51" i="37" s="1"/>
  <c r="G62" i="34" s="1"/>
  <c r="H62" i="34" s="1"/>
  <c r="E246" i="37"/>
  <c r="F246" i="37" s="1"/>
  <c r="I246" i="37" s="1"/>
  <c r="G257" i="34" s="1"/>
  <c r="H257" i="34" s="1"/>
  <c r="E248" i="37"/>
  <c r="F248" i="37" s="1"/>
  <c r="I248" i="37" s="1"/>
  <c r="G259" i="34" s="1"/>
  <c r="H259" i="34" s="1"/>
  <c r="E145" i="37"/>
  <c r="F145" i="37" s="1"/>
  <c r="I145" i="37" s="1"/>
  <c r="G156" i="34" s="1"/>
  <c r="H156" i="34" s="1"/>
  <c r="E275" i="37"/>
  <c r="F275" i="37" s="1"/>
  <c r="I275" i="37" s="1"/>
  <c r="G286" i="34" s="1"/>
  <c r="H286" i="34" s="1"/>
  <c r="E138" i="37"/>
  <c r="F138" i="37" s="1"/>
  <c r="I138" i="37" s="1"/>
  <c r="G149" i="34" s="1"/>
  <c r="H149" i="34" s="1"/>
  <c r="E139" i="37"/>
  <c r="F139" i="37" s="1"/>
  <c r="I139" i="37" s="1"/>
  <c r="G150" i="34" s="1"/>
  <c r="H150" i="34" s="1"/>
  <c r="E74" i="37"/>
  <c r="F74" i="37" s="1"/>
  <c r="I74" i="37" s="1"/>
  <c r="G85" i="34" s="1"/>
  <c r="H85" i="34" s="1"/>
  <c r="E219" i="37"/>
  <c r="F219" i="37" s="1"/>
  <c r="I219" i="37" s="1"/>
  <c r="G230" i="34" s="1"/>
  <c r="H230" i="34" s="1"/>
  <c r="E292" i="37"/>
  <c r="F292" i="37" s="1"/>
  <c r="I292" i="37" s="1"/>
  <c r="G303" i="34" s="1"/>
  <c r="H303" i="34" s="1"/>
  <c r="E109" i="37"/>
  <c r="F109" i="37" s="1"/>
  <c r="I109" i="37" s="1"/>
  <c r="G120" i="34" s="1"/>
  <c r="H120" i="34" s="1"/>
  <c r="E73" i="37"/>
  <c r="F73" i="37" s="1"/>
  <c r="I73" i="37" s="1"/>
  <c r="G84" i="34" s="1"/>
  <c r="H84" i="34" s="1"/>
  <c r="E49" i="37"/>
  <c r="F49" i="37" s="1"/>
  <c r="I49" i="37" s="1"/>
  <c r="G60" i="34" s="1"/>
  <c r="H60" i="34" s="1"/>
  <c r="E291" i="37"/>
  <c r="F291" i="37" s="1"/>
  <c r="I291" i="37" s="1"/>
  <c r="G302" i="34" s="1"/>
  <c r="H302" i="34" s="1"/>
  <c r="E195" i="37"/>
  <c r="F195" i="37" s="1"/>
  <c r="I195" i="37" s="1"/>
  <c r="G206" i="34" s="1"/>
  <c r="H206" i="34" s="1"/>
  <c r="E309" i="37"/>
  <c r="F309" i="37" s="1"/>
  <c r="I309" i="37" s="1"/>
  <c r="G320" i="34" s="1"/>
  <c r="H320" i="34" s="1"/>
  <c r="E203" i="37"/>
  <c r="F203" i="37" s="1"/>
  <c r="I203" i="37" s="1"/>
  <c r="G214" i="34" s="1"/>
  <c r="H214" i="34" s="1"/>
  <c r="E75" i="37"/>
  <c r="F75" i="37" s="1"/>
  <c r="I75" i="37" s="1"/>
  <c r="G86" i="34" s="1"/>
  <c r="H86" i="34" s="1"/>
  <c r="E31" i="37"/>
  <c r="F31" i="37" s="1"/>
  <c r="I31" i="37" s="1"/>
  <c r="G42" i="34" s="1"/>
  <c r="H42" i="34" s="1"/>
  <c r="E218" i="37"/>
  <c r="F218" i="37" s="1"/>
  <c r="I218" i="37" s="1"/>
  <c r="G229" i="34" s="1"/>
  <c r="H229" i="34" s="1"/>
  <c r="E304" i="37"/>
  <c r="F304" i="37" s="1"/>
  <c r="I304" i="37" s="1"/>
  <c r="G315" i="34" s="1"/>
  <c r="H315" i="34" s="1"/>
  <c r="E301" i="37"/>
  <c r="F301" i="37" s="1"/>
  <c r="I301" i="37" s="1"/>
  <c r="G312" i="34" s="1"/>
  <c r="H312" i="34" s="1"/>
  <c r="E231" i="37"/>
  <c r="F231" i="37" s="1"/>
  <c r="I231" i="37" s="1"/>
  <c r="G242" i="34" s="1"/>
  <c r="H242" i="34" s="1"/>
  <c r="E154" i="37"/>
  <c r="F154" i="37" s="1"/>
  <c r="I154" i="37" s="1"/>
  <c r="G165" i="34" s="1"/>
  <c r="H165" i="34" s="1"/>
  <c r="E100" i="37"/>
  <c r="F100" i="37" s="1"/>
  <c r="I100" i="37" s="1"/>
  <c r="G111" i="34" s="1"/>
  <c r="H111" i="34" s="1"/>
  <c r="E225" i="37"/>
  <c r="F225" i="37" s="1"/>
  <c r="I225" i="37" s="1"/>
  <c r="G236" i="34" s="1"/>
  <c r="H236" i="34" s="1"/>
  <c r="E215" i="37"/>
  <c r="F215" i="37" s="1"/>
  <c r="I215" i="37" s="1"/>
  <c r="G226" i="34" s="1"/>
  <c r="H226" i="34" s="1"/>
  <c r="E114" i="37"/>
  <c r="F114" i="37" s="1"/>
  <c r="I114" i="37" s="1"/>
  <c r="G125" i="34" s="1"/>
  <c r="H125" i="34" s="1"/>
  <c r="E112" i="37"/>
  <c r="F112" i="37" s="1"/>
  <c r="I112" i="37" s="1"/>
  <c r="G123" i="34" s="1"/>
  <c r="H123" i="34" s="1"/>
  <c r="E54" i="37"/>
  <c r="F54" i="37" s="1"/>
  <c r="I54" i="37" s="1"/>
  <c r="G65" i="34" s="1"/>
  <c r="H65" i="34" s="1"/>
  <c r="E184" i="37"/>
  <c r="F184" i="37" s="1"/>
  <c r="I184" i="37" s="1"/>
  <c r="G195" i="34" s="1"/>
  <c r="H195" i="34" s="1"/>
  <c r="E290" i="37"/>
  <c r="F290" i="37" s="1"/>
  <c r="I290" i="37" s="1"/>
  <c r="G301" i="34" s="1"/>
  <c r="H301" i="34" s="1"/>
  <c r="E91" i="37"/>
  <c r="F91" i="37" s="1"/>
  <c r="I91" i="37" s="1"/>
  <c r="G102" i="34" s="1"/>
  <c r="H102" i="34" s="1"/>
  <c r="E143" i="37"/>
  <c r="F143" i="37" s="1"/>
  <c r="I143" i="37" s="1"/>
  <c r="G154" i="34" s="1"/>
  <c r="H154" i="34" s="1"/>
  <c r="E306" i="37"/>
  <c r="F306" i="37" s="1"/>
  <c r="I306" i="37" s="1"/>
  <c r="G317" i="34" s="1"/>
  <c r="H317" i="34" s="1"/>
  <c r="E135" i="37"/>
  <c r="F135" i="37" s="1"/>
  <c r="I135" i="37" s="1"/>
  <c r="G146" i="34" s="1"/>
  <c r="H146" i="34" s="1"/>
  <c r="E127" i="37"/>
  <c r="F127" i="37" s="1"/>
  <c r="I127" i="37" s="1"/>
  <c r="G138" i="34" s="1"/>
  <c r="H138" i="34" s="1"/>
  <c r="E25" i="37"/>
  <c r="F25" i="37" s="1"/>
  <c r="I25" i="37" s="1"/>
  <c r="G36" i="34" s="1"/>
  <c r="H36" i="34" s="1"/>
  <c r="E108" i="37"/>
  <c r="F108" i="37" s="1"/>
  <c r="I108" i="37" s="1"/>
  <c r="G119" i="34" s="1"/>
  <c r="H119" i="34" s="1"/>
  <c r="E232" i="37"/>
  <c r="F232" i="37" s="1"/>
  <c r="I232" i="37" s="1"/>
  <c r="G243" i="34" s="1"/>
  <c r="H243" i="34" s="1"/>
  <c r="E50" i="37"/>
  <c r="F50" i="37" s="1"/>
  <c r="I50" i="37" s="1"/>
  <c r="G61" i="34" s="1"/>
  <c r="H61" i="34" s="1"/>
  <c r="E172" i="37"/>
  <c r="F172" i="37" s="1"/>
  <c r="I172" i="37" s="1"/>
  <c r="G183" i="34" s="1"/>
  <c r="H183" i="34" s="1"/>
  <c r="E148" i="37"/>
  <c r="F148" i="37" s="1"/>
  <c r="I148" i="37" s="1"/>
  <c r="G159" i="34" s="1"/>
  <c r="H159" i="34" s="1"/>
  <c r="E105" i="37"/>
  <c r="F105" i="37" s="1"/>
  <c r="I105" i="37" s="1"/>
  <c r="G116" i="34" s="1"/>
  <c r="H116" i="34" s="1"/>
  <c r="E261" i="37"/>
  <c r="F261" i="37" s="1"/>
  <c r="I261" i="37" s="1"/>
  <c r="G272" i="34" s="1"/>
  <c r="H272" i="34" s="1"/>
  <c r="E234" i="37"/>
  <c r="F234" i="37" s="1"/>
  <c r="I234" i="37" s="1"/>
  <c r="G245" i="34" s="1"/>
  <c r="H245" i="34" s="1"/>
  <c r="E252" i="37"/>
  <c r="F252" i="37" s="1"/>
  <c r="I252" i="37" s="1"/>
  <c r="G263" i="34" s="1"/>
  <c r="H263" i="34" s="1"/>
  <c r="E38" i="37"/>
  <c r="F38" i="37" s="1"/>
  <c r="I38" i="37" s="1"/>
  <c r="G49" i="34" s="1"/>
  <c r="H49" i="34" s="1"/>
  <c r="E239" i="37"/>
  <c r="F239" i="37" s="1"/>
  <c r="I239" i="37" s="1"/>
  <c r="G250" i="34" s="1"/>
  <c r="H250" i="34" s="1"/>
  <c r="E94" i="37"/>
  <c r="F94" i="37" s="1"/>
  <c r="I94" i="37" s="1"/>
  <c r="G105" i="34" s="1"/>
  <c r="H105" i="34" s="1"/>
  <c r="E63" i="37"/>
  <c r="F63" i="37" s="1"/>
  <c r="I63" i="37" s="1"/>
  <c r="G74" i="34" s="1"/>
  <c r="H74" i="34" s="1"/>
  <c r="E213" i="37"/>
  <c r="F213" i="37" s="1"/>
  <c r="I213" i="37" s="1"/>
  <c r="G224" i="34" s="1"/>
  <c r="H224" i="34" s="1"/>
  <c r="E29" i="37"/>
  <c r="F29" i="37" s="1"/>
  <c r="I29" i="37" s="1"/>
  <c r="G40" i="34" s="1"/>
  <c r="H40" i="34" s="1"/>
  <c r="E235" i="37"/>
  <c r="F235" i="37" s="1"/>
  <c r="I235" i="37" s="1"/>
  <c r="G246" i="34" s="1"/>
  <c r="H246" i="34" s="1"/>
  <c r="E273" i="37"/>
  <c r="F273" i="37" s="1"/>
  <c r="I273" i="37" s="1"/>
  <c r="G284" i="34" s="1"/>
  <c r="H284" i="34" s="1"/>
  <c r="E192" i="37"/>
  <c r="F192" i="37" s="1"/>
  <c r="I192" i="37" s="1"/>
  <c r="G203" i="34" s="1"/>
  <c r="H203" i="34" s="1"/>
  <c r="E163" i="37"/>
  <c r="F163" i="37" s="1"/>
  <c r="I163" i="37" s="1"/>
  <c r="G174" i="34" s="1"/>
  <c r="H174" i="34" s="1"/>
  <c r="E13" i="37"/>
  <c r="F13" i="37" s="1"/>
  <c r="I13" i="37" s="1"/>
  <c r="G24" i="34" s="1"/>
  <c r="H24" i="34" s="1"/>
  <c r="E88" i="37"/>
  <c r="F88" i="37" s="1"/>
  <c r="I88" i="37" s="1"/>
  <c r="G99" i="34" s="1"/>
  <c r="H99" i="34" s="1"/>
  <c r="E302" i="37"/>
  <c r="F302" i="37" s="1"/>
  <c r="I302" i="37" s="1"/>
  <c r="G313" i="34" s="1"/>
  <c r="H313" i="34" s="1"/>
  <c r="E226" i="37"/>
  <c r="F226" i="37" s="1"/>
  <c r="I226" i="37" s="1"/>
  <c r="G237" i="34" s="1"/>
  <c r="H237" i="34" s="1"/>
  <c r="E293" i="37"/>
  <c r="F293" i="37" s="1"/>
  <c r="I293" i="37" s="1"/>
  <c r="G304" i="34" s="1"/>
  <c r="H304" i="34" s="1"/>
  <c r="E266" i="37"/>
  <c r="F266" i="37" s="1"/>
  <c r="I266" i="37" s="1"/>
  <c r="G277" i="34" s="1"/>
  <c r="H277" i="34" s="1"/>
  <c r="E95" i="37"/>
  <c r="F95" i="37" s="1"/>
  <c r="I95" i="37" s="1"/>
  <c r="G106" i="34" s="1"/>
  <c r="H106" i="34" s="1"/>
  <c r="E55" i="37"/>
  <c r="F55" i="37" s="1"/>
  <c r="I55" i="37" s="1"/>
  <c r="G66" i="34" s="1"/>
  <c r="H66" i="34" s="1"/>
  <c r="E298" i="37"/>
  <c r="F298" i="37" s="1"/>
  <c r="I298" i="37" s="1"/>
  <c r="G309" i="34" s="1"/>
  <c r="H309" i="34" s="1"/>
  <c r="E285" i="37"/>
  <c r="F285" i="37" s="1"/>
  <c r="I285" i="37" s="1"/>
  <c r="G296" i="34" s="1"/>
  <c r="H296" i="34" s="1"/>
  <c r="E199" i="37"/>
  <c r="F199" i="37" s="1"/>
  <c r="I199" i="37" s="1"/>
  <c r="G210" i="34" s="1"/>
  <c r="H210" i="34" s="1"/>
  <c r="E19" i="37"/>
  <c r="F19" i="37" s="1"/>
  <c r="I19" i="37" s="1"/>
  <c r="G30" i="34" s="1"/>
  <c r="H30" i="34" s="1"/>
  <c r="E56" i="37"/>
  <c r="F56" i="37" s="1"/>
  <c r="I56" i="37" s="1"/>
  <c r="G67" i="34" s="1"/>
  <c r="H67" i="34" s="1"/>
  <c r="E312" i="37"/>
  <c r="F312" i="37" s="1"/>
  <c r="I312" i="37" s="1"/>
  <c r="G323" i="34" s="1"/>
  <c r="H323" i="34" s="1"/>
  <c r="E180" i="37"/>
  <c r="F180" i="37" s="1"/>
  <c r="I180" i="37" s="1"/>
  <c r="G191" i="34" s="1"/>
  <c r="H191" i="34" s="1"/>
  <c r="E253" i="37"/>
  <c r="F253" i="37" s="1"/>
  <c r="I253" i="37" s="1"/>
  <c r="G264" i="34" s="1"/>
  <c r="H264" i="34" s="1"/>
  <c r="E296" i="37"/>
  <c r="F296" i="37" s="1"/>
  <c r="I296" i="37" s="1"/>
  <c r="G307" i="34" s="1"/>
  <c r="H307" i="34" s="1"/>
  <c r="E37" i="37"/>
  <c r="F37" i="37" s="1"/>
  <c r="I37" i="37" s="1"/>
  <c r="G48" i="34" s="1"/>
  <c r="H48" i="34" s="1"/>
  <c r="E258" i="37"/>
  <c r="F258" i="37" s="1"/>
  <c r="I258" i="37" s="1"/>
  <c r="G269" i="34" s="1"/>
  <c r="H269" i="34" s="1"/>
  <c r="E250" i="37"/>
  <c r="F250" i="37" s="1"/>
  <c r="I250" i="37" s="1"/>
  <c r="G261" i="34" s="1"/>
  <c r="H261" i="34" s="1"/>
  <c r="E295" i="37"/>
  <c r="F295" i="37" s="1"/>
  <c r="I295" i="37" s="1"/>
  <c r="G306" i="34" s="1"/>
  <c r="H306" i="34" s="1"/>
  <c r="E181" i="37"/>
  <c r="F181" i="37" s="1"/>
  <c r="I181" i="37" s="1"/>
  <c r="G192" i="34" s="1"/>
  <c r="H192" i="34" s="1"/>
  <c r="E39" i="37"/>
  <c r="F39" i="37" s="1"/>
  <c r="I39" i="37" s="1"/>
  <c r="G50" i="34" s="1"/>
  <c r="H50" i="34" s="1"/>
  <c r="E150" i="37"/>
  <c r="F150" i="37" s="1"/>
  <c r="I150" i="37" s="1"/>
  <c r="G161" i="34" s="1"/>
  <c r="H161" i="34" s="1"/>
  <c r="E159" i="37"/>
  <c r="F159" i="37" s="1"/>
  <c r="I159" i="37" s="1"/>
  <c r="G170" i="34" s="1"/>
  <c r="H170" i="34" s="1"/>
  <c r="E210" i="37"/>
  <c r="F210" i="37" s="1"/>
  <c r="I210" i="37" s="1"/>
  <c r="G221" i="34" s="1"/>
  <c r="H221" i="34" s="1"/>
  <c r="E157" i="37"/>
  <c r="F157" i="37" s="1"/>
  <c r="I157" i="37" s="1"/>
  <c r="G168" i="34" s="1"/>
  <c r="H168" i="34" s="1"/>
  <c r="E125" i="37"/>
  <c r="F125" i="37" s="1"/>
  <c r="I125" i="37" s="1"/>
  <c r="G136" i="34" s="1"/>
  <c r="H136" i="34" s="1"/>
  <c r="E281" i="37"/>
  <c r="F281" i="37" s="1"/>
  <c r="I281" i="37" s="1"/>
  <c r="G292" i="34" s="1"/>
  <c r="H292" i="34" s="1"/>
  <c r="E102" i="37"/>
  <c r="F102" i="37" s="1"/>
  <c r="I102" i="37" s="1"/>
  <c r="G113" i="34" s="1"/>
  <c r="H113" i="34" s="1"/>
  <c r="E122" i="37"/>
  <c r="F122" i="37" s="1"/>
  <c r="I122" i="37" s="1"/>
  <c r="G133" i="34" s="1"/>
  <c r="H133" i="34" s="1"/>
  <c r="E241" i="37"/>
  <c r="F241" i="37" s="1"/>
  <c r="I241" i="37" s="1"/>
  <c r="G252" i="34" s="1"/>
  <c r="H252" i="34" s="1"/>
  <c r="E78" i="37"/>
  <c r="F78" i="37" s="1"/>
  <c r="I78" i="37" s="1"/>
  <c r="G89" i="34" s="1"/>
  <c r="H89" i="34" s="1"/>
  <c r="E89" i="37"/>
  <c r="F89" i="37" s="1"/>
  <c r="I89" i="37" s="1"/>
  <c r="G100" i="34" s="1"/>
  <c r="H100" i="34" s="1"/>
  <c r="E278" i="37"/>
  <c r="F278" i="37" s="1"/>
  <c r="I278" i="37" s="1"/>
  <c r="G289" i="34" s="1"/>
  <c r="H289" i="34" s="1"/>
  <c r="E132" i="37"/>
  <c r="F132" i="37" s="1"/>
  <c r="I132" i="37" s="1"/>
  <c r="G143" i="34" s="1"/>
  <c r="H143" i="34" s="1"/>
  <c r="E230" i="37"/>
  <c r="F230" i="37" s="1"/>
  <c r="I230" i="37" s="1"/>
  <c r="G241" i="34" s="1"/>
  <c r="H241" i="34" s="1"/>
  <c r="E227" i="37"/>
  <c r="F227" i="37" s="1"/>
  <c r="I227" i="37" s="1"/>
  <c r="G238" i="34" s="1"/>
  <c r="H238" i="34" s="1"/>
  <c r="E251" i="37"/>
  <c r="F251" i="37" s="1"/>
  <c r="I251" i="37" s="1"/>
  <c r="G262" i="34" s="1"/>
  <c r="H262" i="34" s="1"/>
  <c r="E179" i="37"/>
  <c r="F179" i="37" s="1"/>
  <c r="I179" i="37" s="1"/>
  <c r="G190" i="34" s="1"/>
  <c r="H190" i="34" s="1"/>
  <c r="E170" i="37"/>
  <c r="F170" i="37" s="1"/>
  <c r="I170" i="37" s="1"/>
  <c r="G181" i="34" s="1"/>
  <c r="H181" i="34" s="1"/>
  <c r="E7" i="37"/>
  <c r="F7" i="37" s="1"/>
  <c r="I7" i="37" s="1"/>
  <c r="G18" i="34" s="1"/>
  <c r="H18" i="34" s="1"/>
  <c r="E153" i="37"/>
  <c r="F153" i="37" s="1"/>
  <c r="I153" i="37" s="1"/>
  <c r="G164" i="34" s="1"/>
  <c r="H164" i="34" s="1"/>
  <c r="E32" i="37"/>
  <c r="F32" i="37" s="1"/>
  <c r="I32" i="37" s="1"/>
  <c r="G43" i="34" s="1"/>
  <c r="H43" i="34" s="1"/>
  <c r="E244" i="37"/>
  <c r="F244" i="37" s="1"/>
  <c r="I244" i="37" s="1"/>
  <c r="G255" i="34" s="1"/>
  <c r="H255" i="34" s="1"/>
  <c r="E249" i="37"/>
  <c r="F249" i="37" s="1"/>
  <c r="I249" i="37" s="1"/>
  <c r="G260" i="34" s="1"/>
  <c r="H260" i="34" s="1"/>
  <c r="E30" i="37"/>
  <c r="F30" i="37" s="1"/>
  <c r="I30" i="37" s="1"/>
  <c r="G41" i="34" s="1"/>
  <c r="H41" i="34" s="1"/>
  <c r="E300" i="37"/>
  <c r="F300" i="37" s="1"/>
  <c r="I300" i="37" s="1"/>
  <c r="G311" i="34" s="1"/>
  <c r="H311" i="34" s="1"/>
  <c r="E113" i="37"/>
  <c r="F113" i="37" s="1"/>
  <c r="I113" i="37" s="1"/>
  <c r="G124" i="34" s="1"/>
  <c r="H124" i="34" s="1"/>
  <c r="E12" i="37"/>
  <c r="F12" i="37" s="1"/>
  <c r="I12" i="37" s="1"/>
  <c r="G23" i="34" s="1"/>
  <c r="H23" i="34" s="1"/>
  <c r="E144" i="37"/>
  <c r="F144" i="37" s="1"/>
  <c r="I144" i="37" s="1"/>
  <c r="G155" i="34" s="1"/>
  <c r="H155" i="34" s="1"/>
  <c r="E117" i="37"/>
  <c r="F117" i="37" s="1"/>
  <c r="I117" i="37" s="1"/>
  <c r="G128" i="34" s="1"/>
  <c r="H128" i="34" s="1"/>
  <c r="E214" i="37"/>
  <c r="F214" i="37" s="1"/>
  <c r="I214" i="37" s="1"/>
  <c r="G225" i="34" s="1"/>
  <c r="H225" i="34" s="1"/>
  <c r="E169" i="37"/>
  <c r="F169" i="37" s="1"/>
  <c r="I169" i="37" s="1"/>
  <c r="G180" i="34" s="1"/>
  <c r="H180" i="34" s="1"/>
  <c r="E52" i="37"/>
  <c r="F52" i="37" s="1"/>
  <c r="I52" i="37" s="1"/>
  <c r="G63" i="34" s="1"/>
  <c r="H63" i="34" s="1"/>
  <c r="E183" i="37"/>
  <c r="F183" i="37" s="1"/>
  <c r="I183" i="37" s="1"/>
  <c r="G194" i="34" s="1"/>
  <c r="H194" i="34" s="1"/>
  <c r="E118" i="37"/>
  <c r="F118" i="37" s="1"/>
  <c r="I118" i="37" s="1"/>
  <c r="G129" i="34" s="1"/>
  <c r="H129" i="34" s="1"/>
  <c r="E119" i="37"/>
  <c r="F119" i="37" s="1"/>
  <c r="I119" i="37" s="1"/>
  <c r="G130" i="34" s="1"/>
  <c r="H130" i="34" s="1"/>
  <c r="E198" i="37"/>
  <c r="F198" i="37" s="1"/>
  <c r="I198" i="37" s="1"/>
  <c r="G209" i="34" s="1"/>
  <c r="H209" i="34" s="1"/>
  <c r="E137" i="37"/>
  <c r="F137" i="37" s="1"/>
  <c r="I137" i="37" s="1"/>
  <c r="G148" i="34" s="1"/>
  <c r="H148" i="34" s="1"/>
  <c r="E228" i="37"/>
  <c r="F228" i="37" s="1"/>
  <c r="I228" i="37" s="1"/>
  <c r="G239" i="34" s="1"/>
  <c r="H239" i="34" s="1"/>
  <c r="E208" i="37"/>
  <c r="F208" i="37" s="1"/>
  <c r="I208" i="37" s="1"/>
  <c r="G219" i="34" s="1"/>
  <c r="H219" i="34" s="1"/>
  <c r="E207" i="37"/>
  <c r="F207" i="37" s="1"/>
  <c r="I207" i="37" s="1"/>
  <c r="G218" i="34" s="1"/>
  <c r="H218" i="34" s="1"/>
  <c r="E43" i="37"/>
  <c r="F43" i="37" s="1"/>
  <c r="I43" i="37" s="1"/>
  <c r="G54" i="34" s="1"/>
  <c r="H54" i="34" s="1"/>
  <c r="E58" i="37"/>
  <c r="F58" i="37" s="1"/>
  <c r="I58" i="37" s="1"/>
  <c r="G69" i="34" s="1"/>
  <c r="H69" i="34" s="1"/>
  <c r="E18" i="37"/>
  <c r="F18" i="37" s="1"/>
  <c r="I18" i="37" s="1"/>
  <c r="G29" i="34" s="1"/>
  <c r="H29" i="34" s="1"/>
  <c r="E65" i="37"/>
  <c r="F65" i="37" s="1"/>
  <c r="I65" i="37" s="1"/>
  <c r="G76" i="34" s="1"/>
  <c r="H76" i="34" s="1"/>
  <c r="E81" i="37"/>
  <c r="F81" i="37" s="1"/>
  <c r="I81" i="37" s="1"/>
  <c r="G92" i="34" s="1"/>
  <c r="H92" i="34" s="1"/>
  <c r="E156" i="37"/>
  <c r="F156" i="37" s="1"/>
  <c r="I156" i="37" s="1"/>
  <c r="G167" i="34" s="1"/>
  <c r="H167" i="34" s="1"/>
  <c r="E286" i="37"/>
  <c r="F286" i="37" s="1"/>
  <c r="I286" i="37" s="1"/>
  <c r="G297" i="34" s="1"/>
  <c r="H297" i="34" s="1"/>
  <c r="E200" i="37"/>
  <c r="F200" i="37" s="1"/>
  <c r="I200" i="37" s="1"/>
  <c r="G211" i="34" s="1"/>
  <c r="H211" i="34" s="1"/>
  <c r="E71" i="37"/>
  <c r="F71" i="37" s="1"/>
  <c r="I71" i="37" s="1"/>
  <c r="G82" i="34" s="1"/>
  <c r="H82" i="34" s="1"/>
  <c r="E136" i="37"/>
  <c r="F136" i="37" s="1"/>
  <c r="I136" i="37" s="1"/>
  <c r="G147" i="34" s="1"/>
  <c r="H147" i="34" s="1"/>
  <c r="E161" i="37"/>
  <c r="F161" i="37" s="1"/>
  <c r="I161" i="37" s="1"/>
  <c r="G172" i="34" s="1"/>
  <c r="H172" i="34" s="1"/>
  <c r="E259" i="37"/>
  <c r="F259" i="37" s="1"/>
  <c r="I259" i="37" s="1"/>
  <c r="G270" i="34" s="1"/>
  <c r="H270" i="34" s="1"/>
  <c r="E79" i="37"/>
  <c r="F79" i="37" s="1"/>
  <c r="I79" i="37" s="1"/>
  <c r="G90" i="34" s="1"/>
  <c r="H90" i="34" s="1"/>
  <c r="E277" i="37"/>
  <c r="F277" i="37" s="1"/>
  <c r="I277" i="37" s="1"/>
  <c r="G288" i="34" s="1"/>
  <c r="H288" i="34" s="1"/>
  <c r="E84" i="37"/>
  <c r="F84" i="37" s="1"/>
  <c r="I84" i="37" s="1"/>
  <c r="G95" i="34" s="1"/>
  <c r="H95" i="34" s="1"/>
  <c r="E247" i="37"/>
  <c r="F247" i="37" s="1"/>
  <c r="I247" i="37" s="1"/>
  <c r="G258" i="34" s="1"/>
  <c r="H258" i="34" s="1"/>
  <c r="E34" i="37"/>
  <c r="F34" i="37" s="1"/>
  <c r="I34" i="37" s="1"/>
  <c r="G45" i="34" s="1"/>
  <c r="H45" i="34" s="1"/>
  <c r="E221" i="37"/>
  <c r="F221" i="37" s="1"/>
  <c r="I221" i="37" s="1"/>
  <c r="G232" i="34" s="1"/>
  <c r="H232" i="34" s="1"/>
  <c r="E15" i="37"/>
  <c r="F15" i="37" s="1"/>
  <c r="I15" i="37" s="1"/>
  <c r="G26" i="34" s="1"/>
  <c r="H26" i="34" s="1"/>
  <c r="E116" i="37"/>
  <c r="F116" i="37" s="1"/>
  <c r="I116" i="37" s="1"/>
  <c r="G127" i="34" s="1"/>
  <c r="H127" i="34" s="1"/>
  <c r="E212" i="37"/>
  <c r="F212" i="37" s="1"/>
  <c r="I212" i="37" s="1"/>
  <c r="G223" i="34" s="1"/>
  <c r="H223" i="34" s="1"/>
  <c r="E149" i="37"/>
  <c r="F149" i="37" s="1"/>
  <c r="I149" i="37" s="1"/>
  <c r="G160" i="34" s="1"/>
  <c r="H160" i="34" s="1"/>
  <c r="E26" i="37"/>
  <c r="F26" i="37" s="1"/>
  <c r="I26" i="37" s="1"/>
  <c r="G37" i="34" s="1"/>
  <c r="H37" i="34" s="1"/>
  <c r="I37" i="33"/>
  <c r="I127" i="33"/>
  <c r="I179" i="33"/>
  <c r="I255" i="33"/>
  <c r="I28" i="33"/>
  <c r="I189" i="33"/>
  <c r="I65" i="33"/>
  <c r="I45" i="33"/>
  <c r="I21" i="33"/>
  <c r="I5" i="33"/>
  <c r="I201" i="33"/>
  <c r="I35" i="33"/>
  <c r="I186" i="33"/>
  <c r="I278" i="33"/>
  <c r="I103" i="33"/>
  <c r="I124" i="33"/>
  <c r="I286" i="33"/>
  <c r="I249" i="33"/>
  <c r="I32" i="33"/>
  <c r="I156" i="33"/>
  <c r="I267" i="33"/>
  <c r="I258" i="33"/>
  <c r="I143" i="33"/>
  <c r="I244" i="33"/>
  <c r="I54" i="33"/>
  <c r="I235" i="33"/>
  <c r="I219" i="33"/>
  <c r="I59" i="33"/>
  <c r="I75" i="33"/>
  <c r="I237" i="33"/>
  <c r="I70" i="33"/>
  <c r="I177" i="33"/>
  <c r="I113" i="33"/>
  <c r="I200" i="33"/>
  <c r="I222" i="33"/>
  <c r="I78" i="33"/>
  <c r="I116" i="33"/>
  <c r="I227" i="33"/>
  <c r="I257" i="33"/>
  <c r="I15" i="33"/>
  <c r="I98" i="33"/>
  <c r="I96" i="33"/>
  <c r="I168" i="33"/>
  <c r="I178" i="33"/>
  <c r="I119" i="33"/>
  <c r="I209" i="33"/>
  <c r="I61" i="33"/>
  <c r="I195" i="33"/>
  <c r="I33" i="33"/>
  <c r="I282" i="33"/>
  <c r="I293" i="33"/>
  <c r="I126" i="33"/>
  <c r="I204" i="33"/>
  <c r="I34" i="33"/>
  <c r="I309" i="33"/>
  <c r="I69" i="33"/>
  <c r="I71" i="33"/>
  <c r="I9" i="33"/>
  <c r="I251" i="33"/>
  <c r="I273" i="33"/>
  <c r="I261" i="33"/>
  <c r="I281" i="33"/>
  <c r="I135" i="33"/>
  <c r="I13" i="33"/>
  <c r="I14" i="33"/>
  <c r="I117" i="33"/>
  <c r="I234" i="33"/>
  <c r="I142" i="33"/>
  <c r="I240" i="33"/>
  <c r="I101" i="33"/>
  <c r="I212" i="33"/>
  <c r="I118" i="33"/>
  <c r="I86" i="33"/>
  <c r="I55" i="33"/>
  <c r="I262" i="33"/>
  <c r="I290" i="33"/>
  <c r="I225" i="33"/>
  <c r="I89" i="33"/>
  <c r="I146" i="33"/>
  <c r="I263" i="33"/>
  <c r="I238" i="33"/>
  <c r="I188" i="33"/>
  <c r="I229" i="33"/>
  <c r="I152" i="33"/>
  <c r="I254" i="33"/>
  <c r="I111" i="33"/>
  <c r="I122" i="33"/>
  <c r="I82" i="33"/>
  <c r="I289" i="33"/>
  <c r="I287" i="33"/>
  <c r="I147" i="33"/>
  <c r="I246" i="33"/>
  <c r="I23" i="33"/>
  <c r="I301" i="33"/>
  <c r="I223" i="33"/>
  <c r="I84" i="33"/>
  <c r="I72" i="33"/>
  <c r="I259" i="33"/>
  <c r="I153" i="33"/>
  <c r="I60" i="33"/>
  <c r="I12" i="33"/>
  <c r="I248" i="33"/>
  <c r="I306" i="33"/>
  <c r="I184" i="33"/>
  <c r="I47" i="33"/>
  <c r="I232" i="33"/>
  <c r="I165" i="33"/>
  <c r="I99" i="33"/>
  <c r="I174" i="33"/>
  <c r="I241" i="33"/>
  <c r="I268" i="33"/>
  <c r="I134" i="33"/>
  <c r="I114" i="33"/>
  <c r="I180" i="33"/>
  <c r="I145" i="33"/>
  <c r="I292" i="33"/>
  <c r="I16" i="33"/>
  <c r="I298" i="33"/>
  <c r="I137" i="33"/>
  <c r="I274" i="33"/>
  <c r="I183" i="33"/>
  <c r="I277" i="33"/>
  <c r="I253" i="33"/>
  <c r="I125" i="33"/>
  <c r="I236" i="33"/>
  <c r="I83" i="33"/>
  <c r="I303" i="33"/>
  <c r="I163" i="33"/>
  <c r="I94" i="33"/>
  <c r="I20" i="33"/>
  <c r="I310" i="33"/>
  <c r="I288" i="33"/>
  <c r="I130" i="33"/>
  <c r="I128" i="33"/>
  <c r="I66" i="33"/>
  <c r="I313" i="33"/>
  <c r="I230" i="33"/>
  <c r="I123" i="33"/>
  <c r="I308" i="33"/>
  <c r="I157" i="33"/>
  <c r="I210" i="33"/>
  <c r="I131" i="33"/>
  <c r="I203" i="33"/>
  <c r="I105" i="33"/>
  <c r="I171" i="33"/>
  <c r="I42" i="33"/>
  <c r="I305" i="33"/>
  <c r="I295" i="33"/>
  <c r="I110" i="33"/>
  <c r="I215" i="33"/>
  <c r="I57" i="33"/>
  <c r="I158" i="33"/>
  <c r="I112" i="33"/>
  <c r="I49" i="33"/>
  <c r="I30" i="33"/>
  <c r="I150" i="33"/>
  <c r="I8" i="33"/>
  <c r="I283" i="33"/>
  <c r="I102" i="33"/>
  <c r="I138" i="33"/>
  <c r="I68" i="33"/>
  <c r="I193" i="33"/>
  <c r="I218" i="33"/>
  <c r="I18" i="33"/>
  <c r="I220" i="33"/>
  <c r="I226" i="33"/>
  <c r="I224" i="33"/>
  <c r="I284" i="33"/>
  <c r="I90" i="33"/>
  <c r="I25" i="33"/>
  <c r="I231" i="33"/>
  <c r="I36" i="33"/>
  <c r="I196" i="33"/>
  <c r="I85" i="33"/>
  <c r="I256" i="33"/>
  <c r="I48" i="33"/>
  <c r="I198" i="33"/>
  <c r="I207" i="33"/>
  <c r="I162" i="33"/>
  <c r="I192" i="33"/>
  <c r="I270" i="33"/>
  <c r="I121" i="33"/>
  <c r="I187" i="33"/>
  <c r="I133" i="33"/>
  <c r="I52" i="33"/>
  <c r="I199" i="33"/>
  <c r="I63" i="33"/>
  <c r="I194" i="33"/>
  <c r="I299" i="33"/>
  <c r="I7" i="33"/>
  <c r="I291" i="33"/>
  <c r="I64" i="33"/>
  <c r="I50" i="33"/>
  <c r="I136" i="33"/>
  <c r="I62" i="33"/>
  <c r="I81" i="33"/>
  <c r="I141" i="33"/>
  <c r="I175" i="33"/>
  <c r="I239" i="33"/>
  <c r="I106" i="33"/>
  <c r="I132" i="33"/>
  <c r="I43" i="33"/>
  <c r="I160" i="33"/>
  <c r="I53" i="33"/>
  <c r="I95" i="33"/>
  <c r="I269" i="33"/>
  <c r="I312" i="33"/>
  <c r="I74" i="33"/>
  <c r="I242" i="33"/>
  <c r="I109" i="33"/>
  <c r="I38" i="33"/>
  <c r="I27" i="33"/>
  <c r="I285" i="33"/>
  <c r="I208" i="33"/>
  <c r="I149" i="33"/>
  <c r="I6" i="33"/>
  <c r="I250" i="33"/>
  <c r="I58" i="33"/>
  <c r="I167" i="33"/>
  <c r="I233" i="33"/>
  <c r="I140" i="33"/>
  <c r="I311" i="33"/>
  <c r="I228" i="33"/>
  <c r="I56" i="33"/>
  <c r="I243" i="33"/>
  <c r="I211" i="33"/>
  <c r="I185" i="33"/>
  <c r="I104" i="33"/>
  <c r="I213" i="33"/>
  <c r="I129" i="33"/>
  <c r="I19" i="33"/>
  <c r="I155" i="33"/>
  <c r="I108" i="33"/>
  <c r="I73" i="33"/>
  <c r="I41" i="33"/>
  <c r="I51" i="33"/>
  <c r="I120" i="33"/>
  <c r="I154" i="33"/>
  <c r="I161" i="33"/>
  <c r="I252" i="33"/>
  <c r="I26" i="33"/>
  <c r="I164" i="33"/>
  <c r="I172" i="33"/>
  <c r="I100" i="33"/>
  <c r="I170" i="33"/>
  <c r="I307" i="33"/>
  <c r="I144" i="33"/>
  <c r="I247" i="33"/>
  <c r="I44" i="33"/>
  <c r="I191" i="33"/>
  <c r="I92" i="33"/>
  <c r="I296" i="33"/>
  <c r="I11" i="33"/>
  <c r="I148" i="33"/>
  <c r="I87" i="33"/>
  <c r="I266" i="33"/>
  <c r="I159" i="33"/>
  <c r="I217" i="33"/>
  <c r="I31" i="33"/>
  <c r="I151" i="33"/>
  <c r="I173" i="33"/>
  <c r="I214" i="33"/>
  <c r="I107" i="33"/>
  <c r="I206" i="33"/>
  <c r="I17" i="33"/>
  <c r="I245" i="33"/>
  <c r="I115" i="33"/>
  <c r="I176" i="33"/>
  <c r="I88" i="33"/>
  <c r="I169" i="33"/>
  <c r="I205" i="33"/>
  <c r="I279" i="33"/>
  <c r="I202" i="33"/>
  <c r="I97" i="33"/>
  <c r="I24" i="33"/>
  <c r="I40" i="33"/>
  <c r="I79" i="33"/>
  <c r="I46" i="33"/>
  <c r="I76" i="33"/>
  <c r="I22" i="33"/>
  <c r="I304" i="33"/>
  <c r="I302" i="33"/>
  <c r="I221" i="33"/>
  <c r="I197" i="33"/>
  <c r="I265" i="33"/>
  <c r="I93" i="33"/>
  <c r="I216" i="33"/>
  <c r="I77" i="33"/>
  <c r="I260" i="33"/>
  <c r="I67" i="33"/>
  <c r="I166" i="33"/>
  <c r="I39" i="33"/>
  <c r="I264" i="33"/>
  <c r="I139" i="33"/>
  <c r="I276" i="33"/>
  <c r="I91" i="33"/>
  <c r="I280" i="33"/>
  <c r="I80" i="33"/>
  <c r="I181" i="33"/>
  <c r="I275" i="33"/>
  <c r="I10" i="33"/>
  <c r="I182" i="33"/>
  <c r="I190" i="33"/>
  <c r="I29" i="33"/>
  <c r="I300" i="33"/>
  <c r="I294" i="33"/>
  <c r="I297" i="33"/>
  <c r="I271" i="33"/>
  <c r="I272" i="33"/>
  <c r="K42" i="40" l="1"/>
  <c r="H42" i="40" s="1"/>
  <c r="G222" i="34"/>
  <c r="H222" i="34" s="1"/>
  <c r="F30" i="48"/>
  <c r="L308" i="33"/>
  <c r="M308" i="33" s="1"/>
  <c r="E314" i="9" s="1"/>
  <c r="L137" i="33"/>
  <c r="M137" i="33" s="1"/>
  <c r="E143" i="9" s="1"/>
  <c r="L310" i="33"/>
  <c r="M310" i="33" s="1"/>
  <c r="E316" i="9" s="1"/>
  <c r="L115" i="33"/>
  <c r="M115" i="33" s="1"/>
  <c r="E121" i="9" s="1"/>
  <c r="L203" i="33"/>
  <c r="M203" i="33" s="1"/>
  <c r="E209" i="9" s="1"/>
  <c r="L251" i="33"/>
  <c r="M251" i="33" s="1"/>
  <c r="E257" i="9" s="1"/>
  <c r="L161" i="33"/>
  <c r="M161" i="33" s="1"/>
  <c r="E167" i="9" s="1"/>
  <c r="L239" i="33"/>
  <c r="M239" i="33" s="1"/>
  <c r="E245" i="9" s="1"/>
  <c r="L149" i="33"/>
  <c r="M149" i="33" s="1"/>
  <c r="E155" i="9" s="1"/>
  <c r="L218" i="33"/>
  <c r="M218" i="33" s="1"/>
  <c r="E224" i="9" s="1"/>
  <c r="L262" i="33"/>
  <c r="M262" i="33" s="1"/>
  <c r="E268" i="9" s="1"/>
  <c r="L229" i="33"/>
  <c r="M229" i="33" s="1"/>
  <c r="E235" i="9" s="1"/>
  <c r="L293" i="33"/>
  <c r="M293" i="33" s="1"/>
  <c r="E299" i="9" s="1"/>
  <c r="L88" i="33"/>
  <c r="M88" i="33" s="1"/>
  <c r="E94" i="9" s="1"/>
  <c r="L114" i="33"/>
  <c r="M114" i="33" s="1"/>
  <c r="E120" i="9" s="1"/>
  <c r="L71" i="33"/>
  <c r="M71" i="33" s="1"/>
  <c r="E77" i="9" s="1"/>
  <c r="L130" i="33"/>
  <c r="M130" i="33" s="1"/>
  <c r="E136" i="9" s="1"/>
  <c r="L170" i="33"/>
  <c r="M170" i="33" s="1"/>
  <c r="E176" i="9" s="1"/>
  <c r="L260" i="33"/>
  <c r="M260" i="33" s="1"/>
  <c r="E266" i="9" s="1"/>
  <c r="L86" i="33"/>
  <c r="M86" i="33" s="1"/>
  <c r="E92" i="9" s="1"/>
  <c r="L272" i="33"/>
  <c r="M272" i="33" s="1"/>
  <c r="E278" i="9" s="1"/>
  <c r="L230" i="33"/>
  <c r="M230" i="33" s="1"/>
  <c r="E236" i="9" s="1"/>
  <c r="L10" i="33"/>
  <c r="M10" i="33" s="1"/>
  <c r="E16" i="9" s="1"/>
  <c r="L171" i="33"/>
  <c r="M171" i="33" s="1"/>
  <c r="E177" i="9" s="1"/>
  <c r="L196" i="33"/>
  <c r="M196" i="33" s="1"/>
  <c r="E202" i="9" s="1"/>
  <c r="L98" i="33"/>
  <c r="M98" i="33" s="1"/>
  <c r="E104" i="9" s="1"/>
  <c r="L183" i="33"/>
  <c r="M183" i="33" s="1"/>
  <c r="E189" i="9" s="1"/>
  <c r="L186" i="33"/>
  <c r="M186" i="33" s="1"/>
  <c r="E192" i="9" s="1"/>
  <c r="L8" i="33"/>
  <c r="M8" i="33" s="1"/>
  <c r="E14" i="9" s="1"/>
  <c r="L238" i="33"/>
  <c r="M238" i="33" s="1"/>
  <c r="E244" i="9" s="1"/>
  <c r="L90" i="33"/>
  <c r="M90" i="33" s="1"/>
  <c r="E96" i="9" s="1"/>
  <c r="L50" i="33"/>
  <c r="M50" i="33" s="1"/>
  <c r="E56" i="9" s="1"/>
  <c r="L267" i="33"/>
  <c r="M267" i="33" s="1"/>
  <c r="E273" i="9" s="1"/>
  <c r="L168" i="33"/>
  <c r="M168" i="33" s="1"/>
  <c r="E174" i="9" s="1"/>
  <c r="L286" i="33"/>
  <c r="M286" i="33" s="1"/>
  <c r="E292" i="9" s="1"/>
  <c r="L17" i="33"/>
  <c r="M17" i="33" s="1"/>
  <c r="E23" i="9" s="1"/>
  <c r="L258" i="33"/>
  <c r="M258" i="33" s="1"/>
  <c r="E264" i="9" s="1"/>
  <c r="L28" i="33"/>
  <c r="M28" i="33" s="1"/>
  <c r="E34" i="9" s="1"/>
  <c r="L289" i="33"/>
  <c r="M289" i="33" s="1"/>
  <c r="E295" i="9" s="1"/>
  <c r="L16" i="33"/>
  <c r="M16" i="33" s="1"/>
  <c r="E22" i="9" s="1"/>
  <c r="L270" i="33"/>
  <c r="M270" i="33" s="1"/>
  <c r="E276" i="9" s="1"/>
  <c r="L198" i="33"/>
  <c r="M198" i="33" s="1"/>
  <c r="E204" i="9" s="1"/>
  <c r="L11" i="33"/>
  <c r="M11" i="33" s="1"/>
  <c r="E17" i="9" s="1"/>
  <c r="L44" i="33"/>
  <c r="M44" i="33" s="1"/>
  <c r="E50" i="9" s="1"/>
  <c r="L60" i="33"/>
  <c r="M60" i="33" s="1"/>
  <c r="E66" i="9" s="1"/>
  <c r="L73" i="33"/>
  <c r="M73" i="33" s="1"/>
  <c r="E79" i="9" s="1"/>
  <c r="L36" i="33"/>
  <c r="M36" i="33" s="1"/>
  <c r="E42" i="9" s="1"/>
  <c r="L39" i="33"/>
  <c r="M39" i="33" s="1"/>
  <c r="E45" i="9" s="1"/>
  <c r="L278" i="33"/>
  <c r="M278" i="33" s="1"/>
  <c r="E284" i="9" s="1"/>
  <c r="L302" i="33"/>
  <c r="M302" i="33" s="1"/>
  <c r="E308" i="9" s="1"/>
  <c r="L269" i="33"/>
  <c r="M269" i="33" s="1"/>
  <c r="E275" i="9" s="1"/>
  <c r="L281" i="33"/>
  <c r="M281" i="33" s="1"/>
  <c r="E287" i="9" s="1"/>
  <c r="L142" i="33"/>
  <c r="M142" i="33" s="1"/>
  <c r="E148" i="9" s="1"/>
  <c r="L99" i="33"/>
  <c r="M99" i="33" s="1"/>
  <c r="E105" i="9" s="1"/>
  <c r="L175" i="33"/>
  <c r="M175" i="33" s="1"/>
  <c r="E181" i="9" s="1"/>
  <c r="L259" i="33"/>
  <c r="M259" i="33" s="1"/>
  <c r="E265" i="9" s="1"/>
  <c r="L27" i="33"/>
  <c r="M27" i="33" s="1"/>
  <c r="E33" i="9" s="1"/>
  <c r="L275" i="33"/>
  <c r="M275" i="33" s="1"/>
  <c r="E281" i="9" s="1"/>
  <c r="L163" i="33"/>
  <c r="M163" i="33" s="1"/>
  <c r="E169" i="9" s="1"/>
  <c r="L274" i="33"/>
  <c r="M274" i="33" s="1"/>
  <c r="E280" i="9" s="1"/>
  <c r="L311" i="33"/>
  <c r="M311" i="33" s="1"/>
  <c r="E317" i="9" s="1"/>
  <c r="L104" i="33"/>
  <c r="M104" i="33" s="1"/>
  <c r="E110" i="9" s="1"/>
  <c r="L211" i="33"/>
  <c r="L43" i="33"/>
  <c r="M43" i="33" s="1"/>
  <c r="E49" i="9" s="1"/>
  <c r="L91" i="33"/>
  <c r="M91" i="33" s="1"/>
  <c r="E97" i="9" s="1"/>
  <c r="L184" i="33"/>
  <c r="M184" i="33" s="1"/>
  <c r="E190" i="9" s="1"/>
  <c r="L227" i="33"/>
  <c r="M227" i="33" s="1"/>
  <c r="E233" i="9" s="1"/>
  <c r="L82" i="33"/>
  <c r="M82" i="33" s="1"/>
  <c r="E88" i="9" s="1"/>
  <c r="L35" i="33"/>
  <c r="M35" i="33" s="1"/>
  <c r="E41" i="9" s="1"/>
  <c r="L42" i="33"/>
  <c r="M42" i="33" s="1"/>
  <c r="E48" i="9" s="1"/>
  <c r="L109" i="33"/>
  <c r="M109" i="33" s="1"/>
  <c r="E115" i="9" s="1"/>
  <c r="L157" i="33"/>
  <c r="M157" i="33" s="1"/>
  <c r="E163" i="9" s="1"/>
  <c r="L233" i="33"/>
  <c r="M233" i="33" s="1"/>
  <c r="E239" i="9" s="1"/>
  <c r="L169" i="33"/>
  <c r="M169" i="33" s="1"/>
  <c r="E175" i="9" s="1"/>
  <c r="L59" i="33"/>
  <c r="M59" i="33" s="1"/>
  <c r="E65" i="9" s="1"/>
  <c r="L247" i="33"/>
  <c r="M247" i="33" s="1"/>
  <c r="E253" i="9" s="1"/>
  <c r="L129" i="33"/>
  <c r="M129" i="33" s="1"/>
  <c r="E135" i="9" s="1"/>
  <c r="L288" i="33"/>
  <c r="M288" i="33" s="1"/>
  <c r="E294" i="9" s="1"/>
  <c r="L83" i="33"/>
  <c r="M83" i="33" s="1"/>
  <c r="E89" i="9" s="1"/>
  <c r="L152" i="33"/>
  <c r="M152" i="33" s="1"/>
  <c r="E158" i="9" s="1"/>
  <c r="L118" i="33"/>
  <c r="M118" i="33" s="1"/>
  <c r="E124" i="9" s="1"/>
  <c r="L5" i="33"/>
  <c r="M5" i="33" s="1"/>
  <c r="L237" i="33"/>
  <c r="M237" i="33" s="1"/>
  <c r="E243" i="9" s="1"/>
  <c r="L176" i="33"/>
  <c r="M176" i="33" s="1"/>
  <c r="E182" i="9" s="1"/>
  <c r="L9" i="33"/>
  <c r="M9" i="33" s="1"/>
  <c r="E15" i="9" s="1"/>
  <c r="L127" i="33"/>
  <c r="M127" i="33" s="1"/>
  <c r="E133" i="9" s="1"/>
  <c r="L72" i="33"/>
  <c r="M72" i="33" s="1"/>
  <c r="E78" i="9" s="1"/>
  <c r="L215" i="33"/>
  <c r="M215" i="33" s="1"/>
  <c r="E221" i="9" s="1"/>
  <c r="L31" i="33"/>
  <c r="M31" i="33" s="1"/>
  <c r="E37" i="9" s="1"/>
  <c r="L236" i="33"/>
  <c r="M236" i="33" s="1"/>
  <c r="E242" i="9" s="1"/>
  <c r="L148" i="33"/>
  <c r="M148" i="33" s="1"/>
  <c r="E154" i="9" s="1"/>
  <c r="L123" i="33"/>
  <c r="M123" i="33" s="1"/>
  <c r="E129" i="9" s="1"/>
  <c r="L264" i="33"/>
  <c r="M264" i="33" s="1"/>
  <c r="E270" i="9" s="1"/>
  <c r="L178" i="33"/>
  <c r="M178" i="33" s="1"/>
  <c r="E184" i="9" s="1"/>
  <c r="L213" i="33"/>
  <c r="M213" i="33" s="1"/>
  <c r="E219" i="9" s="1"/>
  <c r="L147" i="33"/>
  <c r="M147" i="33" s="1"/>
  <c r="E153" i="9" s="1"/>
  <c r="L197" i="33"/>
  <c r="M197" i="33" s="1"/>
  <c r="E203" i="9" s="1"/>
  <c r="L26" i="33"/>
  <c r="M26" i="33" s="1"/>
  <c r="E32" i="9" s="1"/>
  <c r="L190" i="33"/>
  <c r="M190" i="33" s="1"/>
  <c r="E196" i="9" s="1"/>
  <c r="L263" i="33"/>
  <c r="M263" i="33" s="1"/>
  <c r="E269" i="9" s="1"/>
  <c r="L58" i="33"/>
  <c r="M58" i="33" s="1"/>
  <c r="E64" i="9" s="1"/>
  <c r="L273" i="33"/>
  <c r="M273" i="33" s="1"/>
  <c r="E279" i="9" s="1"/>
  <c r="L179" i="33"/>
  <c r="M179" i="33" s="1"/>
  <c r="E185" i="9" s="1"/>
  <c r="L120" i="33"/>
  <c r="M120" i="33" s="1"/>
  <c r="E126" i="9" s="1"/>
  <c r="L62" i="33"/>
  <c r="M62" i="33" s="1"/>
  <c r="E68" i="9" s="1"/>
  <c r="L280" i="33"/>
  <c r="M280" i="33" s="1"/>
  <c r="E286" i="9" s="1"/>
  <c r="L204" i="33"/>
  <c r="M204" i="33" s="1"/>
  <c r="E210" i="9" s="1"/>
  <c r="L32" i="33"/>
  <c r="M32" i="33" s="1"/>
  <c r="E38" i="9" s="1"/>
  <c r="L253" i="33"/>
  <c r="M253" i="33" s="1"/>
  <c r="E259" i="9" s="1"/>
  <c r="L135" i="33"/>
  <c r="M135" i="33" s="1"/>
  <c r="E141" i="9" s="1"/>
  <c r="L307" i="33"/>
  <c r="M307" i="33" s="1"/>
  <c r="E313" i="9" s="1"/>
  <c r="L242" i="33"/>
  <c r="M242" i="33" s="1"/>
  <c r="E248" i="9" s="1"/>
  <c r="L12" i="33"/>
  <c r="M12" i="33" s="1"/>
  <c r="E18" i="9" s="1"/>
  <c r="L162" i="33"/>
  <c r="M162" i="33" s="1"/>
  <c r="E168" i="9" s="1"/>
  <c r="L96" i="33"/>
  <c r="M96" i="33" s="1"/>
  <c r="E102" i="9" s="1"/>
  <c r="L57" i="33"/>
  <c r="M57" i="33" s="1"/>
  <c r="E63" i="9" s="1"/>
  <c r="L232" i="33"/>
  <c r="M232" i="33" s="1"/>
  <c r="E238" i="9" s="1"/>
  <c r="L97" i="33"/>
  <c r="M97" i="33" s="1"/>
  <c r="E103" i="9" s="1"/>
  <c r="L37" i="33"/>
  <c r="M37" i="33" s="1"/>
  <c r="E43" i="9" s="1"/>
  <c r="L41" i="33"/>
  <c r="M41" i="33" s="1"/>
  <c r="E47" i="9" s="1"/>
  <c r="L55" i="33"/>
  <c r="M55" i="33" s="1"/>
  <c r="E61" i="9" s="1"/>
  <c r="L87" i="33"/>
  <c r="M87" i="33" s="1"/>
  <c r="E93" i="9" s="1"/>
  <c r="L94" i="33"/>
  <c r="M94" i="33" s="1"/>
  <c r="E100" i="9" s="1"/>
  <c r="L47" i="33"/>
  <c r="M47" i="33" s="1"/>
  <c r="E53" i="9" s="1"/>
  <c r="L172" i="33"/>
  <c r="M172" i="33" s="1"/>
  <c r="E178" i="9" s="1"/>
  <c r="L305" i="33"/>
  <c r="M305" i="33" s="1"/>
  <c r="E311" i="9" s="1"/>
  <c r="L151" i="33"/>
  <c r="M151" i="33" s="1"/>
  <c r="E157" i="9" s="1"/>
  <c r="L297" i="33"/>
  <c r="M297" i="33" s="1"/>
  <c r="E303" i="9" s="1"/>
  <c r="L34" i="33"/>
  <c r="M34" i="33" s="1"/>
  <c r="E40" i="9" s="1"/>
  <c r="L100" i="33"/>
  <c r="M100" i="33" s="1"/>
  <c r="E106" i="9" s="1"/>
  <c r="L66" i="33"/>
  <c r="M66" i="33" s="1"/>
  <c r="E72" i="9" s="1"/>
  <c r="L271" i="33"/>
  <c r="M271" i="33" s="1"/>
  <c r="E277" i="9" s="1"/>
  <c r="L21" i="33"/>
  <c r="M21" i="33" s="1"/>
  <c r="E27" i="9" s="1"/>
  <c r="L30" i="33"/>
  <c r="M30" i="33" s="1"/>
  <c r="E36" i="9" s="1"/>
  <c r="L277" i="33"/>
  <c r="M277" i="33" s="1"/>
  <c r="E283" i="9" s="1"/>
  <c r="L126" i="33"/>
  <c r="M126" i="33" s="1"/>
  <c r="E132" i="9" s="1"/>
  <c r="L202" i="33"/>
  <c r="M202" i="33" s="1"/>
  <c r="E208" i="9" s="1"/>
  <c r="L22" i="33"/>
  <c r="M22" i="33" s="1"/>
  <c r="E28" i="9" s="1"/>
  <c r="L80" i="33"/>
  <c r="M80" i="33" s="1"/>
  <c r="E86" i="9" s="1"/>
  <c r="L192" i="33"/>
  <c r="M192" i="33" s="1"/>
  <c r="E198" i="9" s="1"/>
  <c r="L287" i="33"/>
  <c r="M287" i="33" s="1"/>
  <c r="E293" i="9" s="1"/>
  <c r="L208" i="33"/>
  <c r="M208" i="33" s="1"/>
  <c r="E214" i="9" s="1"/>
  <c r="L249" i="33"/>
  <c r="M249" i="33" s="1"/>
  <c r="E255" i="9" s="1"/>
  <c r="L220" i="33"/>
  <c r="M220" i="33" s="1"/>
  <c r="E226" i="9" s="1"/>
  <c r="L234" i="33"/>
  <c r="M234" i="33" s="1"/>
  <c r="E240" i="9" s="1"/>
  <c r="L67" i="33"/>
  <c r="M67" i="33" s="1"/>
  <c r="E73" i="9" s="1"/>
  <c r="L138" i="33"/>
  <c r="M138" i="33" s="1"/>
  <c r="E144" i="9" s="1"/>
  <c r="L300" i="33"/>
  <c r="M300" i="33" s="1"/>
  <c r="E306" i="9" s="1"/>
  <c r="L191" i="33"/>
  <c r="M191" i="33" s="1"/>
  <c r="E197" i="9" s="1"/>
  <c r="L180" i="33"/>
  <c r="M180" i="33" s="1"/>
  <c r="E186" i="9" s="1"/>
  <c r="L19" i="33"/>
  <c r="M19" i="33" s="1"/>
  <c r="E25" i="9" s="1"/>
  <c r="L257" i="33"/>
  <c r="M257" i="33" s="1"/>
  <c r="E263" i="9" s="1"/>
  <c r="L303" i="33"/>
  <c r="M303" i="33" s="1"/>
  <c r="E309" i="9" s="1"/>
  <c r="L173" i="33"/>
  <c r="M173" i="33" s="1"/>
  <c r="E179" i="9" s="1"/>
  <c r="L85" i="33"/>
  <c r="M85" i="33" s="1"/>
  <c r="E91" i="9" s="1"/>
  <c r="L306" i="33"/>
  <c r="M306" i="33" s="1"/>
  <c r="E312" i="9" s="1"/>
  <c r="L298" i="33"/>
  <c r="M298" i="33" s="1"/>
  <c r="E304" i="9" s="1"/>
  <c r="L112" i="33"/>
  <c r="M112" i="33" s="1"/>
  <c r="E118" i="9" s="1"/>
  <c r="L240" i="33"/>
  <c r="M240" i="33" s="1"/>
  <c r="E246" i="9" s="1"/>
  <c r="L266" i="33"/>
  <c r="M266" i="33" s="1"/>
  <c r="E272" i="9" s="1"/>
  <c r="L84" i="33"/>
  <c r="M84" i="33" s="1"/>
  <c r="E90" i="9" s="1"/>
  <c r="L296" i="33"/>
  <c r="M296" i="33" s="1"/>
  <c r="E302" i="9" s="1"/>
  <c r="L56" i="33"/>
  <c r="M56" i="33" s="1"/>
  <c r="E62" i="9" s="1"/>
  <c r="L128" i="33"/>
  <c r="M128" i="33" s="1"/>
  <c r="E134" i="9" s="1"/>
  <c r="L255" i="33"/>
  <c r="M255" i="33" s="1"/>
  <c r="E261" i="9" s="1"/>
  <c r="L207" i="33"/>
  <c r="M207" i="33" s="1"/>
  <c r="E213" i="9" s="1"/>
  <c r="L195" i="33"/>
  <c r="M195" i="33" s="1"/>
  <c r="E201" i="9" s="1"/>
  <c r="L25" i="33"/>
  <c r="M25" i="33" s="1"/>
  <c r="E31" i="9" s="1"/>
  <c r="L182" i="33"/>
  <c r="M182" i="33" s="1"/>
  <c r="E188" i="9" s="1"/>
  <c r="L106" i="33"/>
  <c r="M106" i="33" s="1"/>
  <c r="E112" i="9" s="1"/>
  <c r="L244" i="33"/>
  <c r="M244" i="33" s="1"/>
  <c r="E250" i="9" s="1"/>
  <c r="L282" i="33"/>
  <c r="M282" i="33" s="1"/>
  <c r="E288" i="9" s="1"/>
  <c r="L48" i="33"/>
  <c r="M48" i="33" s="1"/>
  <c r="E54" i="9" s="1"/>
  <c r="L241" i="33"/>
  <c r="M241" i="33" s="1"/>
  <c r="E247" i="9" s="1"/>
  <c r="L113" i="33"/>
  <c r="M113" i="33" s="1"/>
  <c r="E119" i="9" s="1"/>
  <c r="L222" i="33"/>
  <c r="M222" i="33" s="1"/>
  <c r="E228" i="9" s="1"/>
  <c r="L276" i="33"/>
  <c r="M276" i="33" s="1"/>
  <c r="E282" i="9" s="1"/>
  <c r="L304" i="33"/>
  <c r="M304" i="33" s="1"/>
  <c r="E310" i="9" s="1"/>
  <c r="L181" i="33"/>
  <c r="M181" i="33" s="1"/>
  <c r="E187" i="9" s="1"/>
  <c r="L121" i="33"/>
  <c r="M121" i="33" s="1"/>
  <c r="E127" i="9" s="1"/>
  <c r="L132" i="33"/>
  <c r="M132" i="33" s="1"/>
  <c r="E138" i="9" s="1"/>
  <c r="L79" i="33"/>
  <c r="M79" i="33" s="1"/>
  <c r="E85" i="9" s="1"/>
  <c r="L156" i="33"/>
  <c r="M156" i="33" s="1"/>
  <c r="E162" i="9" s="1"/>
  <c r="L54" i="33"/>
  <c r="M54" i="33" s="1"/>
  <c r="E60" i="9" s="1"/>
  <c r="L250" i="33"/>
  <c r="M250" i="33" s="1"/>
  <c r="E256" i="9" s="1"/>
  <c r="L224" i="33"/>
  <c r="M224" i="33" s="1"/>
  <c r="E230" i="9" s="1"/>
  <c r="L141" i="33"/>
  <c r="M141" i="33" s="1"/>
  <c r="E147" i="9" s="1"/>
  <c r="L117" i="33"/>
  <c r="M117" i="33" s="1"/>
  <c r="E123" i="9" s="1"/>
  <c r="L159" i="33"/>
  <c r="M159" i="33" s="1"/>
  <c r="E165" i="9" s="1"/>
  <c r="L103" i="33"/>
  <c r="M103" i="33" s="1"/>
  <c r="E109" i="9" s="1"/>
  <c r="L95" i="33"/>
  <c r="M95" i="33" s="1"/>
  <c r="E101" i="9" s="1"/>
  <c r="L294" i="33"/>
  <c r="M294" i="33" s="1"/>
  <c r="E300" i="9" s="1"/>
  <c r="L146" i="33"/>
  <c r="M146" i="33" s="1"/>
  <c r="E152" i="9" s="1"/>
  <c r="L68" i="33"/>
  <c r="M68" i="33" s="1"/>
  <c r="E74" i="9" s="1"/>
  <c r="L53" i="33"/>
  <c r="M53" i="33" s="1"/>
  <c r="E59" i="9" s="1"/>
  <c r="L313" i="33"/>
  <c r="M313" i="33" s="1"/>
  <c r="E319" i="9" s="1"/>
  <c r="L144" i="33"/>
  <c r="M144" i="33" s="1"/>
  <c r="E150" i="9" s="1"/>
  <c r="L225" i="33"/>
  <c r="M225" i="33" s="1"/>
  <c r="E231" i="9" s="1"/>
  <c r="L177" i="33"/>
  <c r="M177" i="33" s="1"/>
  <c r="E183" i="9" s="1"/>
  <c r="L46" i="33"/>
  <c r="M46" i="33" s="1"/>
  <c r="E52" i="9" s="1"/>
  <c r="L139" i="33"/>
  <c r="M139" i="33" s="1"/>
  <c r="E145" i="9" s="1"/>
  <c r="L312" i="33"/>
  <c r="M312" i="33" s="1"/>
  <c r="E318" i="9" s="1"/>
  <c r="L221" i="33"/>
  <c r="M221" i="33" s="1"/>
  <c r="E227" i="9" s="1"/>
  <c r="L23" i="33"/>
  <c r="M23" i="33" s="1"/>
  <c r="E29" i="9" s="1"/>
  <c r="L14" i="33"/>
  <c r="M14" i="33" s="1"/>
  <c r="E20" i="9" s="1"/>
  <c r="L18" i="33"/>
  <c r="M18" i="33" s="1"/>
  <c r="E24" i="9" s="1"/>
  <c r="L93" i="33"/>
  <c r="M93" i="33" s="1"/>
  <c r="E99" i="9" s="1"/>
  <c r="L261" i="33"/>
  <c r="M261" i="33" s="1"/>
  <c r="E267" i="9" s="1"/>
  <c r="L188" i="33"/>
  <c r="M188" i="33" s="1"/>
  <c r="E194" i="9" s="1"/>
  <c r="L51" i="33"/>
  <c r="M51" i="33" s="1"/>
  <c r="E57" i="9" s="1"/>
  <c r="L185" i="33"/>
  <c r="M185" i="33" s="1"/>
  <c r="E191" i="9" s="1"/>
  <c r="L153" i="33"/>
  <c r="M153" i="33" s="1"/>
  <c r="E159" i="9" s="1"/>
  <c r="L284" i="33"/>
  <c r="M284" i="33" s="1"/>
  <c r="E290" i="9" s="1"/>
  <c r="L155" i="33"/>
  <c r="M155" i="33" s="1"/>
  <c r="E161" i="9" s="1"/>
  <c r="L140" i="33"/>
  <c r="M140" i="33" s="1"/>
  <c r="E146" i="9" s="1"/>
  <c r="L199" i="33"/>
  <c r="M199" i="33" s="1"/>
  <c r="E205" i="9" s="1"/>
  <c r="L124" i="33"/>
  <c r="M124" i="33" s="1"/>
  <c r="E130" i="9" s="1"/>
  <c r="I5" i="37"/>
  <c r="F314" i="37"/>
  <c r="L210" i="33"/>
  <c r="M210" i="33" s="1"/>
  <c r="E216" i="9" s="1"/>
  <c r="L136" i="33"/>
  <c r="M136" i="33" s="1"/>
  <c r="E142" i="9" s="1"/>
  <c r="L75" i="33"/>
  <c r="M75" i="33" s="1"/>
  <c r="E81" i="9" s="1"/>
  <c r="L291" i="33"/>
  <c r="M291" i="33" s="1"/>
  <c r="E297" i="9" s="1"/>
  <c r="L309" i="33"/>
  <c r="M309" i="33" s="1"/>
  <c r="E315" i="9" s="1"/>
  <c r="L15" i="33"/>
  <c r="M15" i="33" s="1"/>
  <c r="E21" i="9" s="1"/>
  <c r="L283" i="33"/>
  <c r="M283" i="33" s="1"/>
  <c r="E289" i="9" s="1"/>
  <c r="L13" i="33"/>
  <c r="M13" i="33" s="1"/>
  <c r="E19" i="9" s="1"/>
  <c r="L76" i="33"/>
  <c r="M76" i="33" s="1"/>
  <c r="E82" i="9" s="1"/>
  <c r="L164" i="33"/>
  <c r="M164" i="33" s="1"/>
  <c r="E170" i="9" s="1"/>
  <c r="L111" i="33"/>
  <c r="M111" i="33" s="1"/>
  <c r="E117" i="9" s="1"/>
  <c r="L150" i="33"/>
  <c r="M150" i="33" s="1"/>
  <c r="E156" i="9" s="1"/>
  <c r="L200" i="33"/>
  <c r="M200" i="33" s="1"/>
  <c r="E206" i="9" s="1"/>
  <c r="L245" i="33"/>
  <c r="M245" i="33" s="1"/>
  <c r="E251" i="9" s="1"/>
  <c r="L69" i="33"/>
  <c r="M69" i="33" s="1"/>
  <c r="E75" i="9" s="1"/>
  <c r="C42" i="40"/>
  <c r="N4" i="11" s="1"/>
  <c r="C41" i="40"/>
  <c r="J4" i="11" s="1"/>
  <c r="L246" i="33"/>
  <c r="M246" i="33" s="1"/>
  <c r="E252" i="9" s="1"/>
  <c r="L77" i="33"/>
  <c r="M77" i="33" s="1"/>
  <c r="E83" i="9" s="1"/>
  <c r="L206" i="33"/>
  <c r="M206" i="33" s="1"/>
  <c r="E212" i="9" s="1"/>
  <c r="L45" i="33"/>
  <c r="M45" i="33" s="1"/>
  <c r="E51" i="9" s="1"/>
  <c r="L205" i="33"/>
  <c r="M205" i="33" s="1"/>
  <c r="E211" i="9" s="1"/>
  <c r="L167" i="33"/>
  <c r="M167" i="33" s="1"/>
  <c r="E173" i="9" s="1"/>
  <c r="L74" i="33"/>
  <c r="M74" i="33" s="1"/>
  <c r="E80" i="9" s="1"/>
  <c r="L212" i="33"/>
  <c r="M212" i="33" s="1"/>
  <c r="E218" i="9" s="1"/>
  <c r="L193" i="33"/>
  <c r="M193" i="33" s="1"/>
  <c r="E199" i="9" s="1"/>
  <c r="L92" i="33"/>
  <c r="M92" i="33" s="1"/>
  <c r="E98" i="9" s="1"/>
  <c r="L70" i="33"/>
  <c r="M70" i="33" s="1"/>
  <c r="E76" i="9" s="1"/>
  <c r="L252" i="33"/>
  <c r="M252" i="33" s="1"/>
  <c r="E258" i="9" s="1"/>
  <c r="L256" i="33"/>
  <c r="M256" i="33" s="1"/>
  <c r="E262" i="9" s="1"/>
  <c r="L81" i="33"/>
  <c r="M81" i="33" s="1"/>
  <c r="E87" i="9" s="1"/>
  <c r="L223" i="33"/>
  <c r="M223" i="33" s="1"/>
  <c r="E229" i="9" s="1"/>
  <c r="L290" i="33"/>
  <c r="M290" i="33" s="1"/>
  <c r="E296" i="9" s="1"/>
  <c r="L33" i="33"/>
  <c r="M33" i="33" s="1"/>
  <c r="E39" i="9" s="1"/>
  <c r="L6" i="33"/>
  <c r="M6" i="33" s="1"/>
  <c r="E12" i="9" s="1"/>
  <c r="L254" i="33"/>
  <c r="M254" i="33" s="1"/>
  <c r="E260" i="9" s="1"/>
  <c r="L122" i="33"/>
  <c r="M122" i="33" s="1"/>
  <c r="E128" i="9" s="1"/>
  <c r="L189" i="33"/>
  <c r="M189" i="33" s="1"/>
  <c r="E195" i="9" s="1"/>
  <c r="L285" i="33"/>
  <c r="M285" i="33" s="1"/>
  <c r="E291" i="9" s="1"/>
  <c r="L52" i="33"/>
  <c r="M52" i="33" s="1"/>
  <c r="E58" i="9" s="1"/>
  <c r="L174" i="33"/>
  <c r="M174" i="33" s="1"/>
  <c r="E180" i="9" s="1"/>
  <c r="L61" i="33"/>
  <c r="M61" i="33" s="1"/>
  <c r="E67" i="9" s="1"/>
  <c r="L133" i="33"/>
  <c r="M133" i="33" s="1"/>
  <c r="E139" i="9" s="1"/>
  <c r="L187" i="33"/>
  <c r="M187" i="33" s="1"/>
  <c r="E193" i="9" s="1"/>
  <c r="L63" i="33"/>
  <c r="M63" i="33" s="1"/>
  <c r="E69" i="9" s="1"/>
  <c r="L243" i="33"/>
  <c r="M243" i="33" s="1"/>
  <c r="E249" i="9" s="1"/>
  <c r="L160" i="33"/>
  <c r="M160" i="33" s="1"/>
  <c r="E166" i="9" s="1"/>
  <c r="L116" i="33"/>
  <c r="M116" i="33" s="1"/>
  <c r="E122" i="9" s="1"/>
  <c r="L292" i="33"/>
  <c r="M292" i="33" s="1"/>
  <c r="E298" i="9" s="1"/>
  <c r="L102" i="33"/>
  <c r="M102" i="33" s="1"/>
  <c r="E108" i="9" s="1"/>
  <c r="L125" i="33"/>
  <c r="M125" i="33" s="1"/>
  <c r="E131" i="9" s="1"/>
  <c r="L301" i="33"/>
  <c r="M301" i="33" s="1"/>
  <c r="E307" i="9" s="1"/>
  <c r="L154" i="33"/>
  <c r="M154" i="33" s="1"/>
  <c r="E160" i="9" s="1"/>
  <c r="L101" i="33"/>
  <c r="M101" i="33" s="1"/>
  <c r="E107" i="9" s="1"/>
  <c r="L131" i="33"/>
  <c r="M131" i="33" s="1"/>
  <c r="E137" i="9" s="1"/>
  <c r="L64" i="33"/>
  <c r="M64" i="33" s="1"/>
  <c r="E70" i="9" s="1"/>
  <c r="L279" i="33"/>
  <c r="M279" i="33" s="1"/>
  <c r="E285" i="9" s="1"/>
  <c r="L201" i="33"/>
  <c r="M201" i="33" s="1"/>
  <c r="E207" i="9" s="1"/>
  <c r="L268" i="33"/>
  <c r="M268" i="33" s="1"/>
  <c r="E274" i="9" s="1"/>
  <c r="L145" i="33"/>
  <c r="M145" i="33" s="1"/>
  <c r="E151" i="9" s="1"/>
  <c r="L119" i="33"/>
  <c r="M119" i="33" s="1"/>
  <c r="E125" i="9" s="1"/>
  <c r="L231" i="33"/>
  <c r="M231" i="33" s="1"/>
  <c r="E237" i="9" s="1"/>
  <c r="L217" i="33"/>
  <c r="M217" i="33" s="1"/>
  <c r="E223" i="9" s="1"/>
  <c r="L143" i="33"/>
  <c r="M143" i="33" s="1"/>
  <c r="E149" i="9" s="1"/>
  <c r="L24" i="33"/>
  <c r="M24" i="33" s="1"/>
  <c r="E30" i="9" s="1"/>
  <c r="L89" i="33"/>
  <c r="M89" i="33" s="1"/>
  <c r="E95" i="9" s="1"/>
  <c r="L214" i="33"/>
  <c r="M214" i="33" s="1"/>
  <c r="E220" i="9" s="1"/>
  <c r="L134" i="33"/>
  <c r="M134" i="33" s="1"/>
  <c r="E140" i="9" s="1"/>
  <c r="L65" i="33"/>
  <c r="M65" i="33" s="1"/>
  <c r="E71" i="9" s="1"/>
  <c r="L38" i="33"/>
  <c r="M38" i="33" s="1"/>
  <c r="E44" i="9" s="1"/>
  <c r="L78" i="33"/>
  <c r="M78" i="33" s="1"/>
  <c r="E84" i="9" s="1"/>
  <c r="L226" i="33"/>
  <c r="M226" i="33" s="1"/>
  <c r="E232" i="9" s="1"/>
  <c r="L29" i="33"/>
  <c r="M29" i="33" s="1"/>
  <c r="E35" i="9" s="1"/>
  <c r="L219" i="33"/>
  <c r="M219" i="33" s="1"/>
  <c r="E225" i="9" s="1"/>
  <c r="L158" i="33"/>
  <c r="M158" i="33" s="1"/>
  <c r="E164" i="9" s="1"/>
  <c r="L20" i="33"/>
  <c r="M20" i="33" s="1"/>
  <c r="E26" i="9" s="1"/>
  <c r="L235" i="33"/>
  <c r="M235" i="33" s="1"/>
  <c r="E241" i="9" s="1"/>
  <c r="L49" i="33"/>
  <c r="M49" i="33" s="1"/>
  <c r="E55" i="9" s="1"/>
  <c r="L105" i="33"/>
  <c r="M105" i="33" s="1"/>
  <c r="E111" i="9" s="1"/>
  <c r="L248" i="33"/>
  <c r="M248" i="33" s="1"/>
  <c r="E254" i="9" s="1"/>
  <c r="L295" i="33"/>
  <c r="M295" i="33" s="1"/>
  <c r="E301" i="9" s="1"/>
  <c r="L165" i="33"/>
  <c r="M165" i="33" s="1"/>
  <c r="E171" i="9" s="1"/>
  <c r="L110" i="33"/>
  <c r="M110" i="33" s="1"/>
  <c r="E116" i="9" s="1"/>
  <c r="L216" i="33"/>
  <c r="M216" i="33" s="1"/>
  <c r="E222" i="9" s="1"/>
  <c r="L194" i="33"/>
  <c r="M194" i="33" s="1"/>
  <c r="E200" i="9" s="1"/>
  <c r="L265" i="33"/>
  <c r="M265" i="33" s="1"/>
  <c r="E271" i="9" s="1"/>
  <c r="L108" i="33"/>
  <c r="M108" i="33" s="1"/>
  <c r="E114" i="9" s="1"/>
  <c r="L107" i="33"/>
  <c r="M107" i="33" s="1"/>
  <c r="E113" i="9" s="1"/>
  <c r="L166" i="33"/>
  <c r="M166" i="33" s="1"/>
  <c r="E172" i="9" s="1"/>
  <c r="L7" i="33"/>
  <c r="M7" i="33" s="1"/>
  <c r="E13" i="9" s="1"/>
  <c r="L228" i="33"/>
  <c r="M228" i="33" s="1"/>
  <c r="E234" i="9" s="1"/>
  <c r="L299" i="33"/>
  <c r="M299" i="33" s="1"/>
  <c r="E305" i="9" s="1"/>
  <c r="L209" i="33"/>
  <c r="M209" i="33" s="1"/>
  <c r="E215" i="9" s="1"/>
  <c r="L40" i="33"/>
  <c r="M40" i="33" s="1"/>
  <c r="E46" i="9" s="1"/>
  <c r="M211" i="33" l="1"/>
  <c r="D18" i="48"/>
  <c r="J119" i="11"/>
  <c r="J81" i="11"/>
  <c r="J224" i="11"/>
  <c r="J213" i="11"/>
  <c r="J68" i="11"/>
  <c r="J192" i="11"/>
  <c r="J300" i="11"/>
  <c r="J259" i="11"/>
  <c r="J80" i="11"/>
  <c r="J153" i="11"/>
  <c r="J212" i="11"/>
  <c r="J313" i="11"/>
  <c r="J12" i="11"/>
  <c r="J294" i="11"/>
  <c r="J120" i="11"/>
  <c r="J282" i="11"/>
  <c r="J122" i="11"/>
  <c r="J106" i="11"/>
  <c r="J157" i="11"/>
  <c r="J239" i="11"/>
  <c r="J222" i="11"/>
  <c r="J279" i="11"/>
  <c r="J303" i="11"/>
  <c r="J83" i="11"/>
  <c r="J113" i="11"/>
  <c r="J91" i="11"/>
  <c r="J304" i="11"/>
  <c r="J85" i="11"/>
  <c r="J21" i="11"/>
  <c r="J138" i="11"/>
  <c r="J14" i="11"/>
  <c r="J163" i="11"/>
  <c r="J159" i="11"/>
  <c r="J204" i="11"/>
  <c r="J276" i="11"/>
  <c r="J161" i="11"/>
  <c r="J103" i="11"/>
  <c r="J176" i="11"/>
  <c r="J72" i="11"/>
  <c r="J88" i="11"/>
  <c r="J302" i="11"/>
  <c r="J178" i="11"/>
  <c r="J158" i="11"/>
  <c r="J308" i="11"/>
  <c r="J9" i="11"/>
  <c r="J128" i="11"/>
  <c r="J283" i="11"/>
  <c r="J62" i="11"/>
  <c r="J200" i="11"/>
  <c r="J100" i="11"/>
  <c r="J251" i="11"/>
  <c r="J184" i="11"/>
  <c r="J139" i="11"/>
  <c r="J295" i="11"/>
  <c r="J248" i="11"/>
  <c r="J254" i="11"/>
  <c r="J210" i="11"/>
  <c r="J142" i="11"/>
  <c r="J275" i="11"/>
  <c r="J202" i="11"/>
  <c r="J152" i="11"/>
  <c r="J42" i="11"/>
  <c r="J57" i="11"/>
  <c r="J123" i="11"/>
  <c r="J218" i="11"/>
  <c r="J269" i="11"/>
  <c r="J195" i="11"/>
  <c r="J198" i="11"/>
  <c r="J183" i="11"/>
  <c r="J87" i="11"/>
  <c r="J194" i="11"/>
  <c r="J256" i="11"/>
  <c r="J49" i="11"/>
  <c r="J291" i="11"/>
  <c r="J151" i="11"/>
  <c r="J155" i="11"/>
  <c r="J43" i="11"/>
  <c r="J241" i="11"/>
  <c r="J147" i="11"/>
  <c r="J280" i="11"/>
  <c r="J162" i="11"/>
  <c r="J31" i="11"/>
  <c r="J233" i="11"/>
  <c r="J127" i="11"/>
  <c r="J125" i="11"/>
  <c r="J129" i="11"/>
  <c r="J196" i="11"/>
  <c r="J116" i="11"/>
  <c r="J135" i="11"/>
  <c r="J37" i="11"/>
  <c r="J243" i="11"/>
  <c r="J44" i="11"/>
  <c r="J288" i="11"/>
  <c r="J64" i="11"/>
  <c r="J164" i="11"/>
  <c r="J297" i="11"/>
  <c r="J253" i="11"/>
  <c r="J250" i="11"/>
  <c r="J36" i="11"/>
  <c r="J311" i="11"/>
  <c r="J221" i="11"/>
  <c r="J108" i="11"/>
  <c r="J73" i="11"/>
  <c r="J165" i="11"/>
  <c r="J132" i="11"/>
  <c r="J133" i="11"/>
  <c r="J23" i="11"/>
  <c r="J124" i="11"/>
  <c r="J24" i="11"/>
  <c r="J26" i="11"/>
  <c r="J45" i="11"/>
  <c r="J134" i="11"/>
  <c r="J112" i="11"/>
  <c r="J53" i="11"/>
  <c r="J22" i="11"/>
  <c r="J86" i="11"/>
  <c r="J25" i="11"/>
  <c r="J205" i="11"/>
  <c r="J252" i="11"/>
  <c r="J78" i="11"/>
  <c r="J99" i="11"/>
  <c r="J290" i="11"/>
  <c r="J54" i="11"/>
  <c r="J115" i="11"/>
  <c r="J38" i="11"/>
  <c r="J150" i="11"/>
  <c r="J174" i="11"/>
  <c r="J217" i="11"/>
  <c r="J110" i="11"/>
  <c r="J140" i="11"/>
  <c r="J175" i="11"/>
  <c r="J63" i="11"/>
  <c r="J285" i="11"/>
  <c r="J230" i="11"/>
  <c r="J136" i="11"/>
  <c r="J287" i="11"/>
  <c r="J206" i="11"/>
  <c r="J301" i="11"/>
  <c r="J172" i="11"/>
  <c r="J97" i="11"/>
  <c r="J261" i="11"/>
  <c r="J35" i="11"/>
  <c r="J51" i="11"/>
  <c r="J169" i="11"/>
  <c r="J187" i="11"/>
  <c r="J201" i="11"/>
  <c r="J107" i="11"/>
  <c r="J235" i="11"/>
  <c r="J232" i="11"/>
  <c r="J267" i="11"/>
  <c r="J237" i="11"/>
  <c r="J71" i="11"/>
  <c r="J109" i="11"/>
  <c r="J5" i="11"/>
  <c r="J58" i="11"/>
  <c r="J266" i="11"/>
  <c r="J20" i="11"/>
  <c r="J77" i="11"/>
  <c r="J177" i="11"/>
  <c r="J273" i="11"/>
  <c r="J146" i="11"/>
  <c r="J167" i="11"/>
  <c r="J310" i="11"/>
  <c r="J70" i="11"/>
  <c r="J214" i="11"/>
  <c r="J95" i="11"/>
  <c r="J28" i="11"/>
  <c r="J90" i="11"/>
  <c r="J149" i="11"/>
  <c r="J186" i="11"/>
  <c r="J7" i="11"/>
  <c r="J271" i="11"/>
  <c r="J48" i="11"/>
  <c r="J223" i="11"/>
  <c r="J238" i="11"/>
  <c r="J11" i="11"/>
  <c r="J52" i="11"/>
  <c r="J59" i="11"/>
  <c r="J173" i="11"/>
  <c r="J234" i="11"/>
  <c r="J258" i="11"/>
  <c r="J82" i="11"/>
  <c r="J118" i="11"/>
  <c r="J211" i="11"/>
  <c r="J170" i="11"/>
  <c r="J260" i="11"/>
  <c r="J305" i="11"/>
  <c r="J111" i="11"/>
  <c r="J41" i="11"/>
  <c r="J203" i="11"/>
  <c r="J249" i="11"/>
  <c r="J208" i="11"/>
  <c r="J39" i="11"/>
  <c r="J299" i="11"/>
  <c r="J181" i="11"/>
  <c r="J306" i="11"/>
  <c r="J278" i="11"/>
  <c r="J69" i="11"/>
  <c r="J92" i="11"/>
  <c r="J65" i="11"/>
  <c r="J209" i="11"/>
  <c r="J50" i="11"/>
  <c r="J246" i="11"/>
  <c r="J145" i="11"/>
  <c r="J30" i="11"/>
  <c r="J47" i="11"/>
  <c r="J292" i="11"/>
  <c r="J105" i="11"/>
  <c r="J84" i="11"/>
  <c r="J160" i="11"/>
  <c r="J75" i="11"/>
  <c r="J199" i="11"/>
  <c r="J166" i="11"/>
  <c r="J67" i="11"/>
  <c r="J55" i="11"/>
  <c r="J231" i="11"/>
  <c r="J284" i="11"/>
  <c r="J190" i="11"/>
  <c r="J179" i="11"/>
  <c r="J29" i="11"/>
  <c r="J247" i="11"/>
  <c r="J27" i="11"/>
  <c r="J180" i="11"/>
  <c r="J168" i="11"/>
  <c r="J265" i="11"/>
  <c r="J141" i="11"/>
  <c r="J245" i="11"/>
  <c r="J40" i="11"/>
  <c r="J236" i="11"/>
  <c r="J188" i="11"/>
  <c r="J263" i="11"/>
  <c r="J156" i="11"/>
  <c r="J154" i="11"/>
  <c r="J296" i="11"/>
  <c r="J240" i="11"/>
  <c r="J121" i="11"/>
  <c r="J98" i="11"/>
  <c r="J185" i="11"/>
  <c r="J264" i="11"/>
  <c r="J6" i="11"/>
  <c r="J229" i="11"/>
  <c r="J66" i="11"/>
  <c r="J286" i="11"/>
  <c r="J244" i="11"/>
  <c r="J32" i="11"/>
  <c r="J220" i="11"/>
  <c r="J298" i="11"/>
  <c r="J34" i="11"/>
  <c r="J257" i="11"/>
  <c r="J8" i="11"/>
  <c r="J101" i="11"/>
  <c r="J226" i="11"/>
  <c r="J79" i="11"/>
  <c r="J76" i="11"/>
  <c r="J144" i="11"/>
  <c r="J270" i="11"/>
  <c r="J130" i="11"/>
  <c r="J228" i="11"/>
  <c r="J189" i="11"/>
  <c r="J182" i="11"/>
  <c r="J215" i="11"/>
  <c r="J137" i="11"/>
  <c r="J18" i="11"/>
  <c r="J197" i="11"/>
  <c r="J94" i="11"/>
  <c r="J293" i="11"/>
  <c r="J16" i="11"/>
  <c r="J117" i="11"/>
  <c r="J193" i="11"/>
  <c r="J255" i="11"/>
  <c r="J281" i="11"/>
  <c r="J262" i="11"/>
  <c r="J277" i="11"/>
  <c r="J143" i="11"/>
  <c r="J104" i="11"/>
  <c r="J171" i="11"/>
  <c r="J61" i="11"/>
  <c r="J10" i="11"/>
  <c r="J33" i="11"/>
  <c r="J268" i="11"/>
  <c r="J131" i="11"/>
  <c r="J312" i="11"/>
  <c r="J309" i="11"/>
  <c r="J17" i="11"/>
  <c r="J148" i="11"/>
  <c r="J74" i="11"/>
  <c r="J274" i="11"/>
  <c r="J242" i="11"/>
  <c r="J307" i="11"/>
  <c r="J19" i="11"/>
  <c r="J289" i="11"/>
  <c r="J207" i="11"/>
  <c r="J15" i="11"/>
  <c r="J89" i="11"/>
  <c r="J60" i="11"/>
  <c r="J225" i="11"/>
  <c r="J216" i="11"/>
  <c r="J13" i="11"/>
  <c r="J102" i="11"/>
  <c r="J46" i="11"/>
  <c r="J93" i="11"/>
  <c r="J191" i="11"/>
  <c r="J114" i="11"/>
  <c r="J56" i="11"/>
  <c r="J126" i="11"/>
  <c r="J96" i="11"/>
  <c r="J227" i="11"/>
  <c r="J219" i="11"/>
  <c r="J272" i="11"/>
  <c r="N54" i="11"/>
  <c r="N16" i="11"/>
  <c r="O16" i="11" s="1"/>
  <c r="N223" i="11"/>
  <c r="N284" i="11"/>
  <c r="O284" i="11" s="1"/>
  <c r="N106" i="11"/>
  <c r="O106" i="11" s="1"/>
  <c r="N110" i="11"/>
  <c r="N44" i="11"/>
  <c r="O44" i="11" s="1"/>
  <c r="N204" i="11"/>
  <c r="N102" i="11"/>
  <c r="N99" i="11"/>
  <c r="N164" i="11"/>
  <c r="N275" i="11"/>
  <c r="N72" i="11"/>
  <c r="N192" i="11"/>
  <c r="N29" i="11"/>
  <c r="O29" i="11" s="1"/>
  <c r="N178" i="11"/>
  <c r="N69" i="11"/>
  <c r="N173" i="11"/>
  <c r="N236" i="11"/>
  <c r="N242" i="11"/>
  <c r="N232" i="11"/>
  <c r="N28" i="11"/>
  <c r="O28" i="11" s="1"/>
  <c r="N172" i="11"/>
  <c r="N119" i="11"/>
  <c r="O119" i="11" s="1"/>
  <c r="N231" i="11"/>
  <c r="N24" i="11"/>
  <c r="N220" i="11"/>
  <c r="N251" i="11"/>
  <c r="N154" i="11"/>
  <c r="N46" i="11"/>
  <c r="N70" i="11"/>
  <c r="O70" i="11" s="1"/>
  <c r="N105" i="11"/>
  <c r="N23" i="11"/>
  <c r="N202" i="11"/>
  <c r="N212" i="11"/>
  <c r="N67" i="11"/>
  <c r="N274" i="11"/>
  <c r="N157" i="11"/>
  <c r="O157" i="11" s="1"/>
  <c r="N33" i="11"/>
  <c r="N41" i="11"/>
  <c r="O41" i="11" s="1"/>
  <c r="N125" i="11"/>
  <c r="N228" i="11"/>
  <c r="N52" i="11"/>
  <c r="N151" i="11"/>
  <c r="N135" i="11"/>
  <c r="N30" i="11"/>
  <c r="N234" i="11"/>
  <c r="O234" i="11" s="1"/>
  <c r="N304" i="11"/>
  <c r="N20" i="11"/>
  <c r="N132" i="11"/>
  <c r="N203" i="11"/>
  <c r="N300" i="11"/>
  <c r="N168" i="11"/>
  <c r="N285" i="11"/>
  <c r="N207" i="11"/>
  <c r="N155" i="11"/>
  <c r="N221" i="11"/>
  <c r="N179" i="11"/>
  <c r="O179" i="11" s="1"/>
  <c r="N49" i="11"/>
  <c r="N10" i="11"/>
  <c r="N276" i="11"/>
  <c r="N244" i="11"/>
  <c r="N149" i="11"/>
  <c r="N293" i="11"/>
  <c r="N112" i="11"/>
  <c r="N219" i="11"/>
  <c r="N174" i="11"/>
  <c r="N268" i="11"/>
  <c r="N278" i="11"/>
  <c r="N233" i="11"/>
  <c r="O233" i="11" s="1"/>
  <c r="N269" i="11"/>
  <c r="N209" i="11"/>
  <c r="O209" i="11" s="1"/>
  <c r="N177" i="11"/>
  <c r="N156" i="11"/>
  <c r="N241" i="11"/>
  <c r="N309" i="11"/>
  <c r="N107" i="11"/>
  <c r="N96" i="11"/>
  <c r="N84" i="11"/>
  <c r="N13" i="11"/>
  <c r="N200" i="11"/>
  <c r="N310" i="11"/>
  <c r="O310" i="11" s="1"/>
  <c r="N113" i="11"/>
  <c r="N184" i="11"/>
  <c r="N59" i="11"/>
  <c r="O59" i="11" s="1"/>
  <c r="N235" i="11"/>
  <c r="N182" i="11"/>
  <c r="O182" i="11" s="1"/>
  <c r="N270" i="11"/>
  <c r="N217" i="11"/>
  <c r="N38" i="11"/>
  <c r="N7" i="11"/>
  <c r="N81" i="11"/>
  <c r="N195" i="11"/>
  <c r="N312" i="11"/>
  <c r="N68" i="11"/>
  <c r="N257" i="11"/>
  <c r="O257" i="11" s="1"/>
  <c r="N19" i="11"/>
  <c r="O19" i="11" s="1"/>
  <c r="N22" i="11"/>
  <c r="O22" i="11" s="1"/>
  <c r="N48" i="11"/>
  <c r="N11" i="11"/>
  <c r="N239" i="11"/>
  <c r="N51" i="11"/>
  <c r="O51" i="11" s="1"/>
  <c r="N80" i="11"/>
  <c r="N121" i="11"/>
  <c r="N104" i="11"/>
  <c r="N130" i="11"/>
  <c r="N53" i="11"/>
  <c r="N283" i="11"/>
  <c r="N128" i="11"/>
  <c r="O128" i="11" s="1"/>
  <c r="N58" i="11"/>
  <c r="O58" i="11" s="1"/>
  <c r="N287" i="11"/>
  <c r="O287" i="11" s="1"/>
  <c r="N101" i="11"/>
  <c r="N158" i="11"/>
  <c r="N111" i="11"/>
  <c r="N26" i="11"/>
  <c r="N14" i="11"/>
  <c r="N308" i="11"/>
  <c r="N116" i="11"/>
  <c r="N225" i="11"/>
  <c r="O225" i="11" s="1"/>
  <c r="N175" i="11"/>
  <c r="N146" i="11"/>
  <c r="N100" i="11"/>
  <c r="N85" i="11"/>
  <c r="O85" i="11" s="1"/>
  <c r="N136" i="11"/>
  <c r="N57" i="11"/>
  <c r="N301" i="11"/>
  <c r="N87" i="11"/>
  <c r="N295" i="11"/>
  <c r="N188" i="11"/>
  <c r="O188" i="11" s="1"/>
  <c r="N249" i="11"/>
  <c r="O249" i="11" s="1"/>
  <c r="N139" i="11"/>
  <c r="N191" i="11"/>
  <c r="N35" i="11"/>
  <c r="O35" i="11" s="1"/>
  <c r="N43" i="11"/>
  <c r="N142" i="11"/>
  <c r="N246" i="11"/>
  <c r="N185" i="11"/>
  <c r="O185" i="11" s="1"/>
  <c r="N42" i="11"/>
  <c r="N290" i="11"/>
  <c r="N245" i="11"/>
  <c r="N165" i="11"/>
  <c r="N240" i="11"/>
  <c r="O240" i="11" s="1"/>
  <c r="N306" i="11"/>
  <c r="O306" i="11" s="1"/>
  <c r="N297" i="11"/>
  <c r="N263" i="11"/>
  <c r="N56" i="11"/>
  <c r="N271" i="11"/>
  <c r="O271" i="11" s="1"/>
  <c r="N266" i="11"/>
  <c r="N166" i="11"/>
  <c r="N226" i="11"/>
  <c r="N160" i="11"/>
  <c r="N6" i="11"/>
  <c r="N218" i="11"/>
  <c r="N194" i="11"/>
  <c r="O194" i="11" s="1"/>
  <c r="N292" i="11"/>
  <c r="N18" i="11"/>
  <c r="N148" i="11"/>
  <c r="N247" i="11"/>
  <c r="N122" i="11"/>
  <c r="N95" i="11"/>
  <c r="N108" i="11"/>
  <c r="O108" i="11" s="1"/>
  <c r="N34" i="11"/>
  <c r="N152" i="11"/>
  <c r="N210" i="11"/>
  <c r="O210" i="11" s="1"/>
  <c r="N147" i="11"/>
  <c r="N145" i="11"/>
  <c r="N36" i="11"/>
  <c r="N260" i="11"/>
  <c r="N15" i="11"/>
  <c r="N138" i="11"/>
  <c r="N280" i="11"/>
  <c r="O280" i="11" s="1"/>
  <c r="N40" i="11"/>
  <c r="N299" i="11"/>
  <c r="O299" i="11" s="1"/>
  <c r="N61" i="11"/>
  <c r="N39" i="11"/>
  <c r="N8" i="11"/>
  <c r="N31" i="11"/>
  <c r="O31" i="11" s="1"/>
  <c r="N163" i="11"/>
  <c r="N206" i="11"/>
  <c r="N171" i="11"/>
  <c r="N63" i="11"/>
  <c r="N65" i="11"/>
  <c r="N196" i="11"/>
  <c r="N224" i="11"/>
  <c r="N199" i="11"/>
  <c r="N144" i="11"/>
  <c r="O144" i="11" s="1"/>
  <c r="N77" i="11"/>
  <c r="N243" i="11"/>
  <c r="N75" i="11"/>
  <c r="N237" i="11"/>
  <c r="O237" i="11" s="1"/>
  <c r="N120" i="11"/>
  <c r="N66" i="11"/>
  <c r="N286" i="11"/>
  <c r="N254" i="11"/>
  <c r="N262" i="11"/>
  <c r="O262" i="11" s="1"/>
  <c r="N62" i="11"/>
  <c r="N238" i="11"/>
  <c r="N124" i="11"/>
  <c r="N71" i="11"/>
  <c r="O71" i="11" s="1"/>
  <c r="N153" i="11"/>
  <c r="N222" i="11"/>
  <c r="N86" i="11"/>
  <c r="N127" i="11"/>
  <c r="O127" i="11" s="1"/>
  <c r="N129" i="11"/>
  <c r="N294" i="11"/>
  <c r="O294" i="11" s="1"/>
  <c r="N169" i="11"/>
  <c r="N93" i="11"/>
  <c r="N25" i="11"/>
  <c r="O25" i="11" s="1"/>
  <c r="N79" i="11"/>
  <c r="N115" i="11"/>
  <c r="N92" i="11"/>
  <c r="N227" i="11"/>
  <c r="N73" i="11"/>
  <c r="N187" i="11"/>
  <c r="N313" i="11"/>
  <c r="O313" i="11" s="1"/>
  <c r="N47" i="11"/>
  <c r="N176" i="11"/>
  <c r="O176" i="11" s="1"/>
  <c r="N60" i="11"/>
  <c r="O60" i="11" s="1"/>
  <c r="N302" i="11"/>
  <c r="N250" i="11"/>
  <c r="N109" i="11"/>
  <c r="N288" i="11"/>
  <c r="N307" i="11"/>
  <c r="N281" i="11"/>
  <c r="N140" i="11"/>
  <c r="O140" i="11" s="1"/>
  <c r="N189" i="11"/>
  <c r="O189" i="11" s="1"/>
  <c r="N131" i="11"/>
  <c r="N143" i="11"/>
  <c r="N201" i="11"/>
  <c r="O201" i="11" s="1"/>
  <c r="N215" i="11"/>
  <c r="N5" i="11"/>
  <c r="N159" i="11"/>
  <c r="O159" i="11" s="1"/>
  <c r="N289" i="11"/>
  <c r="N279" i="11"/>
  <c r="N296" i="11"/>
  <c r="N180" i="11"/>
  <c r="N255" i="11"/>
  <c r="O255" i="11" s="1"/>
  <c r="N137" i="11"/>
  <c r="N9" i="11"/>
  <c r="N98" i="11"/>
  <c r="O98" i="11" s="1"/>
  <c r="N267" i="11"/>
  <c r="O267" i="11" s="1"/>
  <c r="N261" i="11"/>
  <c r="N50" i="11"/>
  <c r="N298" i="11"/>
  <c r="N94" i="11"/>
  <c r="N259" i="11"/>
  <c r="N197" i="11"/>
  <c r="O197" i="11" s="1"/>
  <c r="N193" i="11"/>
  <c r="O193" i="11" s="1"/>
  <c r="N162" i="11"/>
  <c r="N229" i="11"/>
  <c r="N190" i="11"/>
  <c r="N17" i="11"/>
  <c r="N273" i="11"/>
  <c r="N12" i="11"/>
  <c r="N167" i="11"/>
  <c r="N264" i="11"/>
  <c r="N123" i="11"/>
  <c r="N126" i="11"/>
  <c r="N117" i="11"/>
  <c r="O117" i="11" s="1"/>
  <c r="N141" i="11"/>
  <c r="N114" i="11"/>
  <c r="N170" i="11"/>
  <c r="N183" i="11"/>
  <c r="N277" i="11"/>
  <c r="O277" i="11" s="1"/>
  <c r="N82" i="11"/>
  <c r="O82" i="11" s="1"/>
  <c r="N32" i="11"/>
  <c r="N21" i="11"/>
  <c r="N248" i="11"/>
  <c r="N45" i="11"/>
  <c r="N303" i="11"/>
  <c r="O303" i="11" s="1"/>
  <c r="N230" i="11"/>
  <c r="N90" i="11"/>
  <c r="N83" i="11"/>
  <c r="N64" i="11"/>
  <c r="N76" i="11"/>
  <c r="N133" i="11"/>
  <c r="N291" i="11"/>
  <c r="O291" i="11" s="1"/>
  <c r="N216" i="11"/>
  <c r="N282" i="11"/>
  <c r="O282" i="11" s="1"/>
  <c r="N198" i="11"/>
  <c r="N161" i="11"/>
  <c r="N211" i="11"/>
  <c r="N253" i="11"/>
  <c r="N265" i="11"/>
  <c r="O265" i="11" s="1"/>
  <c r="N258" i="11"/>
  <c r="N186" i="11"/>
  <c r="N134" i="11"/>
  <c r="O134" i="11" s="1"/>
  <c r="N205" i="11"/>
  <c r="N118" i="11"/>
  <c r="N150" i="11"/>
  <c r="N37" i="11"/>
  <c r="N181" i="11"/>
  <c r="N305" i="11"/>
  <c r="N97" i="11"/>
  <c r="N208" i="11"/>
  <c r="O208" i="11" s="1"/>
  <c r="N213" i="11"/>
  <c r="N89" i="11"/>
  <c r="O89" i="11" s="1"/>
  <c r="N103" i="11"/>
  <c r="N214" i="11"/>
  <c r="N91" i="11"/>
  <c r="N74" i="11"/>
  <c r="O74" i="11" s="1"/>
  <c r="N55" i="11"/>
  <c r="O55" i="11" s="1"/>
  <c r="N88" i="11"/>
  <c r="O88" i="11" s="1"/>
  <c r="N252" i="11"/>
  <c r="N311" i="11"/>
  <c r="N78" i="11"/>
  <c r="N27" i="11"/>
  <c r="N256" i="11"/>
  <c r="N272" i="11"/>
  <c r="G16" i="34"/>
  <c r="I314" i="37"/>
  <c r="M314" i="33"/>
  <c r="C6" i="9" s="1"/>
  <c r="E11" i="9"/>
  <c r="O69" i="11" l="1"/>
  <c r="E217" i="9"/>
  <c r="E320" i="9" s="1"/>
  <c r="F18" i="48"/>
  <c r="O150" i="11"/>
  <c r="H151" i="25" s="1"/>
  <c r="O64" i="11"/>
  <c r="P64" i="11" s="1"/>
  <c r="O279" i="11"/>
  <c r="O138" i="11"/>
  <c r="O42" i="11"/>
  <c r="P42" i="11" s="1"/>
  <c r="O100" i="11"/>
  <c r="H101" i="25" s="1"/>
  <c r="O37" i="11"/>
  <c r="H38" i="25" s="1"/>
  <c r="O186" i="11"/>
  <c r="O152" i="11"/>
  <c r="P152" i="11" s="1"/>
  <c r="O139" i="11"/>
  <c r="H140" i="25" s="1"/>
  <c r="O68" i="11"/>
  <c r="O113" i="11"/>
  <c r="H114" i="25" s="1"/>
  <c r="O84" i="11"/>
  <c r="O149" i="11"/>
  <c r="O49" i="11"/>
  <c r="H50" i="25" s="1"/>
  <c r="O52" i="11"/>
  <c r="H53" i="25" s="1"/>
  <c r="O214" i="11"/>
  <c r="O21" i="11"/>
  <c r="O307" i="11"/>
  <c r="O302" i="11"/>
  <c r="O206" i="11"/>
  <c r="H207" i="25" s="1"/>
  <c r="O48" i="11"/>
  <c r="P48" i="11" s="1"/>
  <c r="O103" i="11"/>
  <c r="O12" i="11"/>
  <c r="O253" i="11"/>
  <c r="O183" i="11"/>
  <c r="H184" i="25" s="1"/>
  <c r="O9" i="11"/>
  <c r="H10" i="25" s="1"/>
  <c r="O131" i="11"/>
  <c r="P131" i="11" s="1"/>
  <c r="O93" i="11"/>
  <c r="O39" i="11"/>
  <c r="O122" i="11"/>
  <c r="O80" i="11"/>
  <c r="H81" i="25" s="1"/>
  <c r="O222" i="11"/>
  <c r="O218" i="11"/>
  <c r="P218" i="11" s="1"/>
  <c r="O200" i="11"/>
  <c r="P200" i="11" s="1"/>
  <c r="O215" i="11"/>
  <c r="H216" i="25" s="1"/>
  <c r="O247" i="11"/>
  <c r="H248" i="25" s="1"/>
  <c r="O43" i="11"/>
  <c r="O38" i="11"/>
  <c r="O285" i="11"/>
  <c r="P285" i="11" s="1"/>
  <c r="O132" i="11"/>
  <c r="P132" i="11" s="1"/>
  <c r="O24" i="11"/>
  <c r="O99" i="11"/>
  <c r="O216" i="11"/>
  <c r="H217" i="25" s="1"/>
  <c r="O32" i="11"/>
  <c r="P32" i="11" s="1"/>
  <c r="O170" i="11"/>
  <c r="P170" i="11" s="1"/>
  <c r="O229" i="11"/>
  <c r="O261" i="11"/>
  <c r="H262" i="25" s="1"/>
  <c r="O288" i="11"/>
  <c r="O187" i="11"/>
  <c r="O162" i="11"/>
  <c r="O258" i="11"/>
  <c r="P258" i="11" s="1"/>
  <c r="O109" i="11"/>
  <c r="O92" i="11"/>
  <c r="P92" i="11" s="1"/>
  <c r="O120" i="11"/>
  <c r="P120" i="11" s="1"/>
  <c r="O196" i="11"/>
  <c r="O36" i="11"/>
  <c r="O292" i="11"/>
  <c r="O7" i="11"/>
  <c r="P7" i="11" s="1"/>
  <c r="O174" i="11"/>
  <c r="H175" i="25" s="1"/>
  <c r="O212" i="11"/>
  <c r="H213" i="25" s="1"/>
  <c r="O172" i="11"/>
  <c r="P172" i="11" s="1"/>
  <c r="O164" i="11"/>
  <c r="H165" i="25" s="1"/>
  <c r="O173" i="11"/>
  <c r="O272" i="11"/>
  <c r="P272" i="11" s="1"/>
  <c r="O94" i="11"/>
  <c r="P94" i="11" s="1"/>
  <c r="O79" i="11"/>
  <c r="O166" i="11"/>
  <c r="P166" i="11" s="1"/>
  <c r="O146" i="11"/>
  <c r="O112" i="11"/>
  <c r="O221" i="11"/>
  <c r="P221" i="11" s="1"/>
  <c r="O135" i="11"/>
  <c r="H136" i="25" s="1"/>
  <c r="O125" i="11"/>
  <c r="O301" i="11"/>
  <c r="H302" i="25" s="1"/>
  <c r="O126" i="11"/>
  <c r="O27" i="11"/>
  <c r="P27" i="11" s="1"/>
  <c r="O76" i="11"/>
  <c r="P76" i="11" s="1"/>
  <c r="O230" i="11"/>
  <c r="O167" i="11"/>
  <c r="H168" i="25" s="1"/>
  <c r="O190" i="11"/>
  <c r="P190" i="11" s="1"/>
  <c r="O50" i="11"/>
  <c r="H51" i="25" s="1"/>
  <c r="O296" i="11"/>
  <c r="H297" i="25" s="1"/>
  <c r="O77" i="11"/>
  <c r="O160" i="11"/>
  <c r="O290" i="11"/>
  <c r="P290" i="11" s="1"/>
  <c r="O142" i="11"/>
  <c r="O87" i="11"/>
  <c r="O26" i="11"/>
  <c r="P26" i="11" s="1"/>
  <c r="O53" i="11"/>
  <c r="O241" i="11"/>
  <c r="P241" i="11" s="1"/>
  <c r="O269" i="11"/>
  <c r="P269" i="11" s="1"/>
  <c r="O203" i="11"/>
  <c r="P203" i="11" s="1"/>
  <c r="O220" i="11"/>
  <c r="O223" i="11"/>
  <c r="O192" i="11"/>
  <c r="H193" i="25" s="1"/>
  <c r="O91" i="11"/>
  <c r="O205" i="11"/>
  <c r="O133" i="11"/>
  <c r="O250" i="11"/>
  <c r="O129" i="11"/>
  <c r="O153" i="11"/>
  <c r="H154" i="25" s="1"/>
  <c r="O260" i="11"/>
  <c r="O95" i="11"/>
  <c r="P95" i="11" s="1"/>
  <c r="O295" i="11"/>
  <c r="O81" i="11"/>
  <c r="P81" i="11" s="1"/>
  <c r="O178" i="11"/>
  <c r="H179" i="25" s="1"/>
  <c r="O204" i="11"/>
  <c r="H205" i="25" s="1"/>
  <c r="O207" i="11"/>
  <c r="P207" i="11" s="1"/>
  <c r="O305" i="11"/>
  <c r="O118" i="11"/>
  <c r="O45" i="11"/>
  <c r="P45" i="11" s="1"/>
  <c r="O73" i="11"/>
  <c r="P73" i="11" s="1"/>
  <c r="O238" i="11"/>
  <c r="H239" i="25" s="1"/>
  <c r="O147" i="11"/>
  <c r="P147" i="11" s="1"/>
  <c r="O57" i="11"/>
  <c r="O158" i="11"/>
  <c r="O195" i="11"/>
  <c r="H196" i="25" s="1"/>
  <c r="O107" i="11"/>
  <c r="H108" i="25" s="1"/>
  <c r="O177" i="11"/>
  <c r="O276" i="11"/>
  <c r="O23" i="11"/>
  <c r="O72" i="11"/>
  <c r="O54" i="11"/>
  <c r="O252" i="11"/>
  <c r="P252" i="11" s="1"/>
  <c r="O181" i="11"/>
  <c r="O248" i="11"/>
  <c r="O264" i="11"/>
  <c r="O298" i="11"/>
  <c r="P298" i="11" s="1"/>
  <c r="O180" i="11"/>
  <c r="H181" i="25" s="1"/>
  <c r="O281" i="11"/>
  <c r="H282" i="25" s="1"/>
  <c r="O227" i="11"/>
  <c r="H228" i="25" s="1"/>
  <c r="O243" i="11"/>
  <c r="O224" i="11"/>
  <c r="P224" i="11" s="1"/>
  <c r="O245" i="11"/>
  <c r="O246" i="11"/>
  <c r="H247" i="25" s="1"/>
  <c r="O136" i="11"/>
  <c r="O175" i="11"/>
  <c r="O14" i="11"/>
  <c r="O283" i="11"/>
  <c r="O300" i="11"/>
  <c r="O304" i="11"/>
  <c r="P304" i="11" s="1"/>
  <c r="O151" i="11"/>
  <c r="O251" i="11"/>
  <c r="O275" i="11"/>
  <c r="O61" i="11"/>
  <c r="P61" i="11" s="1"/>
  <c r="O30" i="11"/>
  <c r="O110" i="11"/>
  <c r="P110" i="11" s="1"/>
  <c r="O18" i="11"/>
  <c r="P18" i="11" s="1"/>
  <c r="O101" i="11"/>
  <c r="O137" i="11"/>
  <c r="O141" i="11"/>
  <c r="O47" i="11"/>
  <c r="O66" i="11"/>
  <c r="O130" i="11"/>
  <c r="O114" i="11"/>
  <c r="P114" i="11" s="1"/>
  <c r="O289" i="11"/>
  <c r="O286" i="11"/>
  <c r="O75" i="11"/>
  <c r="O15" i="11"/>
  <c r="H16" i="25" s="1"/>
  <c r="O148" i="11"/>
  <c r="H149" i="25" s="1"/>
  <c r="O263" i="11"/>
  <c r="P263" i="11" s="1"/>
  <c r="O278" i="11"/>
  <c r="P278" i="11" s="1"/>
  <c r="O20" i="11"/>
  <c r="P20" i="11" s="1"/>
  <c r="O232" i="11"/>
  <c r="H233" i="25" s="1"/>
  <c r="O104" i="11"/>
  <c r="O33" i="11"/>
  <c r="O236" i="11"/>
  <c r="H237" i="25" s="1"/>
  <c r="O154" i="11"/>
  <c r="O143" i="11"/>
  <c r="O8" i="11"/>
  <c r="H9" i="25" s="1"/>
  <c r="O311" i="11"/>
  <c r="P311" i="11" s="1"/>
  <c r="O161" i="11"/>
  <c r="O83" i="11"/>
  <c r="P83" i="11" s="1"/>
  <c r="O123" i="11"/>
  <c r="P123" i="11" s="1"/>
  <c r="O273" i="11"/>
  <c r="P273" i="11" s="1"/>
  <c r="O199" i="11"/>
  <c r="P199" i="11" s="1"/>
  <c r="O63" i="11"/>
  <c r="O165" i="11"/>
  <c r="H166" i="25" s="1"/>
  <c r="O308" i="11"/>
  <c r="H309" i="25" s="1"/>
  <c r="O239" i="11"/>
  <c r="P239" i="11" s="1"/>
  <c r="O274" i="11"/>
  <c r="O102" i="11"/>
  <c r="H103" i="25" s="1"/>
  <c r="O309" i="11"/>
  <c r="H89" i="25"/>
  <c r="P88" i="11"/>
  <c r="H135" i="25"/>
  <c r="P134" i="11"/>
  <c r="P282" i="11"/>
  <c r="H283" i="25"/>
  <c r="H118" i="25"/>
  <c r="P117" i="11"/>
  <c r="H198" i="25"/>
  <c r="P197" i="11"/>
  <c r="H72" i="25"/>
  <c r="P71" i="11"/>
  <c r="H263" i="25"/>
  <c r="P262" i="11"/>
  <c r="H272" i="25"/>
  <c r="P271" i="11"/>
  <c r="H307" i="25"/>
  <c r="P306" i="11"/>
  <c r="P225" i="11"/>
  <c r="H226" i="25"/>
  <c r="H288" i="25"/>
  <c r="P287" i="11"/>
  <c r="P234" i="11"/>
  <c r="H235" i="25"/>
  <c r="P70" i="11"/>
  <c r="H71" i="25"/>
  <c r="H30" i="25"/>
  <c r="P29" i="11"/>
  <c r="H45" i="25"/>
  <c r="P44" i="11"/>
  <c r="G325" i="34"/>
  <c r="H16" i="34"/>
  <c r="O78" i="11"/>
  <c r="H56" i="25"/>
  <c r="P55" i="11"/>
  <c r="O97" i="11"/>
  <c r="O211" i="11"/>
  <c r="P303" i="11"/>
  <c r="H304" i="25"/>
  <c r="O259" i="11"/>
  <c r="P279" i="11"/>
  <c r="H190" i="25"/>
  <c r="P189" i="11"/>
  <c r="P60" i="11"/>
  <c r="H61" i="25"/>
  <c r="O115" i="11"/>
  <c r="O169" i="11"/>
  <c r="O86" i="11"/>
  <c r="O124" i="11"/>
  <c r="O254" i="11"/>
  <c r="P237" i="11"/>
  <c r="H238" i="25"/>
  <c r="H145" i="25"/>
  <c r="P144" i="11"/>
  <c r="O65" i="11"/>
  <c r="O163" i="11"/>
  <c r="O145" i="11"/>
  <c r="O34" i="11"/>
  <c r="H195" i="25"/>
  <c r="P194" i="11"/>
  <c r="O226" i="11"/>
  <c r="O56" i="11"/>
  <c r="P240" i="11"/>
  <c r="H241" i="25"/>
  <c r="H250" i="25"/>
  <c r="P249" i="11"/>
  <c r="O116" i="11"/>
  <c r="O111" i="11"/>
  <c r="H59" i="25"/>
  <c r="P58" i="11"/>
  <c r="P51" i="11"/>
  <c r="H52" i="25"/>
  <c r="P22" i="11"/>
  <c r="H23" i="25"/>
  <c r="O312" i="11"/>
  <c r="O235" i="11"/>
  <c r="P310" i="11"/>
  <c r="H311" i="25"/>
  <c r="O96" i="11"/>
  <c r="O156" i="11"/>
  <c r="P233" i="11"/>
  <c r="H234" i="25"/>
  <c r="O219" i="11"/>
  <c r="O244" i="11"/>
  <c r="P179" i="11"/>
  <c r="H180" i="25"/>
  <c r="O228" i="11"/>
  <c r="H158" i="25"/>
  <c r="P157" i="11"/>
  <c r="O202" i="11"/>
  <c r="O46" i="11"/>
  <c r="H29" i="25"/>
  <c r="P28" i="11"/>
  <c r="H17" i="25"/>
  <c r="P16" i="11"/>
  <c r="H209" i="25"/>
  <c r="P208" i="11"/>
  <c r="O5" i="11"/>
  <c r="N314" i="11"/>
  <c r="H281" i="25"/>
  <c r="P280" i="11"/>
  <c r="P85" i="11"/>
  <c r="H86" i="25"/>
  <c r="H183" i="25"/>
  <c r="P182" i="11"/>
  <c r="H75" i="25"/>
  <c r="P74" i="11"/>
  <c r="H300" i="25"/>
  <c r="P299" i="11"/>
  <c r="H186" i="25"/>
  <c r="P185" i="11"/>
  <c r="H129" i="25"/>
  <c r="P128" i="11"/>
  <c r="H20" i="25"/>
  <c r="P19" i="11"/>
  <c r="O217" i="11"/>
  <c r="H60" i="25"/>
  <c r="P59" i="11"/>
  <c r="O168" i="11"/>
  <c r="O231" i="11"/>
  <c r="H70" i="25"/>
  <c r="P69" i="11"/>
  <c r="H107" i="25"/>
  <c r="P106" i="11"/>
  <c r="J314" i="11"/>
  <c r="P313" i="11"/>
  <c r="H314" i="25"/>
  <c r="P127" i="11"/>
  <c r="H128" i="25"/>
  <c r="P89" i="11"/>
  <c r="H90" i="25"/>
  <c r="P291" i="11"/>
  <c r="H292" i="25"/>
  <c r="P82" i="11"/>
  <c r="H83" i="25"/>
  <c r="P267" i="11"/>
  <c r="H268" i="25"/>
  <c r="H256" i="25"/>
  <c r="P255" i="11"/>
  <c r="H202" i="25"/>
  <c r="P201" i="11"/>
  <c r="P140" i="11"/>
  <c r="H141" i="25"/>
  <c r="P176" i="11"/>
  <c r="H177" i="25"/>
  <c r="P294" i="11"/>
  <c r="H295" i="25"/>
  <c r="H32" i="25"/>
  <c r="P31" i="11"/>
  <c r="H109" i="25"/>
  <c r="P108" i="11"/>
  <c r="H36" i="25"/>
  <c r="P35" i="11"/>
  <c r="H189" i="25"/>
  <c r="P188" i="11"/>
  <c r="D6" i="9"/>
  <c r="C7" i="9"/>
  <c r="D7" i="9" s="1"/>
  <c r="O256" i="11"/>
  <c r="O213" i="11"/>
  <c r="P265" i="11"/>
  <c r="H266" i="25"/>
  <c r="O198" i="11"/>
  <c r="O90" i="11"/>
  <c r="P277" i="11"/>
  <c r="H278" i="25"/>
  <c r="O17" i="11"/>
  <c r="H194" i="25"/>
  <c r="P193" i="11"/>
  <c r="P98" i="11"/>
  <c r="H99" i="25"/>
  <c r="H160" i="25"/>
  <c r="P159" i="11"/>
  <c r="P25" i="11"/>
  <c r="H26" i="25"/>
  <c r="O62" i="11"/>
  <c r="O171" i="11"/>
  <c r="O40" i="11"/>
  <c r="H211" i="25"/>
  <c r="P210" i="11"/>
  <c r="O6" i="11"/>
  <c r="O266" i="11"/>
  <c r="O297" i="11"/>
  <c r="O191" i="11"/>
  <c r="O121" i="11"/>
  <c r="O11" i="11"/>
  <c r="H258" i="25"/>
  <c r="P257" i="11"/>
  <c r="O270" i="11"/>
  <c r="O184" i="11"/>
  <c r="O13" i="11"/>
  <c r="P209" i="11"/>
  <c r="H210" i="25"/>
  <c r="O268" i="11"/>
  <c r="O293" i="11"/>
  <c r="O10" i="11"/>
  <c r="O155" i="11"/>
  <c r="P41" i="11"/>
  <c r="H42" i="25"/>
  <c r="O67" i="11"/>
  <c r="O105" i="11"/>
  <c r="H120" i="25"/>
  <c r="P119" i="11"/>
  <c r="O242" i="11"/>
  <c r="P284" i="11"/>
  <c r="H285" i="25"/>
  <c r="H132" i="25" l="1"/>
  <c r="P100" i="11"/>
  <c r="H65" i="25"/>
  <c r="H43" i="25"/>
  <c r="P253" i="11"/>
  <c r="P150" i="11"/>
  <c r="P37" i="11"/>
  <c r="H280" i="25"/>
  <c r="P138" i="11"/>
  <c r="P186" i="11"/>
  <c r="H139" i="25"/>
  <c r="H187" i="25"/>
  <c r="P288" i="11"/>
  <c r="P84" i="11"/>
  <c r="P214" i="11"/>
  <c r="H94" i="25"/>
  <c r="P109" i="11"/>
  <c r="P247" i="11"/>
  <c r="P222" i="11"/>
  <c r="H254" i="25"/>
  <c r="H110" i="25"/>
  <c r="H153" i="25"/>
  <c r="H215" i="25"/>
  <c r="H289" i="25"/>
  <c r="H33" i="25"/>
  <c r="H85" i="25"/>
  <c r="P206" i="11"/>
  <c r="H223" i="25"/>
  <c r="P93" i="11"/>
  <c r="H133" i="25"/>
  <c r="P43" i="11"/>
  <c r="P24" i="11"/>
  <c r="H49" i="25"/>
  <c r="P183" i="11"/>
  <c r="P139" i="11"/>
  <c r="P292" i="11"/>
  <c r="H25" i="25"/>
  <c r="H44" i="25"/>
  <c r="H188" i="25"/>
  <c r="H171" i="25"/>
  <c r="H150" i="25"/>
  <c r="H93" i="25"/>
  <c r="H22" i="25"/>
  <c r="P39" i="11"/>
  <c r="H40" i="25"/>
  <c r="P187" i="11"/>
  <c r="P149" i="11"/>
  <c r="P21" i="11"/>
  <c r="H113" i="25"/>
  <c r="H219" i="25"/>
  <c r="H95" i="25"/>
  <c r="P307" i="11"/>
  <c r="P9" i="11"/>
  <c r="P49" i="11"/>
  <c r="H201" i="25"/>
  <c r="H308" i="25"/>
  <c r="H230" i="25"/>
  <c r="H104" i="25"/>
  <c r="P68" i="11"/>
  <c r="P122" i="11"/>
  <c r="P103" i="11"/>
  <c r="H69" i="25"/>
  <c r="H123" i="25"/>
  <c r="H259" i="25"/>
  <c r="H286" i="25"/>
  <c r="P12" i="11"/>
  <c r="P52" i="11"/>
  <c r="P302" i="11"/>
  <c r="P215" i="11"/>
  <c r="H13" i="25"/>
  <c r="P216" i="11"/>
  <c r="P174" i="11"/>
  <c r="P261" i="11"/>
  <c r="P113" i="11"/>
  <c r="P80" i="11"/>
  <c r="H303" i="25"/>
  <c r="H163" i="25"/>
  <c r="H100" i="25"/>
  <c r="P99" i="11"/>
  <c r="H39" i="25"/>
  <c r="P162" i="11"/>
  <c r="P38" i="11"/>
  <c r="P229" i="11"/>
  <c r="H293" i="25"/>
  <c r="H173" i="25"/>
  <c r="H8" i="25"/>
  <c r="H80" i="25"/>
  <c r="P164" i="11"/>
  <c r="H121" i="25"/>
  <c r="P196" i="11"/>
  <c r="P173" i="11"/>
  <c r="P146" i="11"/>
  <c r="H126" i="25"/>
  <c r="H37" i="25"/>
  <c r="H273" i="25"/>
  <c r="H197" i="25"/>
  <c r="H174" i="25"/>
  <c r="P36" i="11"/>
  <c r="H147" i="25"/>
  <c r="P125" i="11"/>
  <c r="P212" i="11"/>
  <c r="P112" i="11"/>
  <c r="P301" i="11"/>
  <c r="P126" i="11"/>
  <c r="H222" i="25"/>
  <c r="P79" i="11"/>
  <c r="H127" i="25"/>
  <c r="H296" i="25"/>
  <c r="P135" i="11"/>
  <c r="H191" i="25"/>
  <c r="H27" i="25"/>
  <c r="H130" i="25"/>
  <c r="H167" i="25"/>
  <c r="H28" i="25"/>
  <c r="P295" i="11"/>
  <c r="P91" i="11"/>
  <c r="H208" i="25"/>
  <c r="H161" i="25"/>
  <c r="P129" i="11"/>
  <c r="H92" i="25"/>
  <c r="H204" i="25"/>
  <c r="P160" i="11"/>
  <c r="P205" i="11"/>
  <c r="P101" i="11"/>
  <c r="H82" i="25"/>
  <c r="P175" i="11"/>
  <c r="P305" i="11"/>
  <c r="H62" i="25"/>
  <c r="H225" i="25"/>
  <c r="H102" i="25"/>
  <c r="H206" i="25"/>
  <c r="H221" i="25"/>
  <c r="H176" i="25"/>
  <c r="P181" i="11"/>
  <c r="H24" i="25"/>
  <c r="P238" i="11"/>
  <c r="H305" i="25"/>
  <c r="P153" i="11"/>
  <c r="P180" i="11"/>
  <c r="H182" i="25"/>
  <c r="P23" i="11"/>
  <c r="P220" i="11"/>
  <c r="H54" i="25"/>
  <c r="H306" i="25"/>
  <c r="P195" i="11"/>
  <c r="H291" i="25"/>
  <c r="P50" i="11"/>
  <c r="H77" i="25"/>
  <c r="P53" i="11"/>
  <c r="H246" i="25"/>
  <c r="H31" i="25"/>
  <c r="P230" i="11"/>
  <c r="H224" i="25"/>
  <c r="H138" i="25"/>
  <c r="H242" i="25"/>
  <c r="P14" i="11"/>
  <c r="P260" i="11"/>
  <c r="H261" i="25"/>
  <c r="P248" i="11"/>
  <c r="H119" i="25"/>
  <c r="P142" i="11"/>
  <c r="H134" i="25"/>
  <c r="P118" i="11"/>
  <c r="P151" i="11"/>
  <c r="P281" i="11"/>
  <c r="H148" i="25"/>
  <c r="P72" i="11"/>
  <c r="P178" i="11"/>
  <c r="H152" i="25"/>
  <c r="H15" i="25"/>
  <c r="P245" i="11"/>
  <c r="P8" i="11"/>
  <c r="H249" i="25"/>
  <c r="P133" i="11"/>
  <c r="H231" i="25"/>
  <c r="H73" i="25"/>
  <c r="P107" i="11"/>
  <c r="H131" i="25"/>
  <c r="P137" i="11"/>
  <c r="P223" i="11"/>
  <c r="H143" i="25"/>
  <c r="P30" i="11"/>
  <c r="P130" i="11"/>
  <c r="P296" i="11"/>
  <c r="H96" i="25"/>
  <c r="H251" i="25"/>
  <c r="H88" i="25"/>
  <c r="P204" i="11"/>
  <c r="H78" i="25"/>
  <c r="P192" i="11"/>
  <c r="P87" i="11"/>
  <c r="P250" i="11"/>
  <c r="P167" i="11"/>
  <c r="H270" i="25"/>
  <c r="P77" i="11"/>
  <c r="H58" i="25"/>
  <c r="P283" i="11"/>
  <c r="P251" i="11"/>
  <c r="P264" i="11"/>
  <c r="P57" i="11"/>
  <c r="P54" i="11"/>
  <c r="H178" i="25"/>
  <c r="H284" i="25"/>
  <c r="P227" i="11"/>
  <c r="H46" i="25"/>
  <c r="H301" i="25"/>
  <c r="H276" i="25"/>
  <c r="H244" i="25"/>
  <c r="H299" i="25"/>
  <c r="H253" i="25"/>
  <c r="P158" i="11"/>
  <c r="H277" i="25"/>
  <c r="H252" i="25"/>
  <c r="P300" i="11"/>
  <c r="H137" i="25"/>
  <c r="P246" i="11"/>
  <c r="P243" i="11"/>
  <c r="H265" i="25"/>
  <c r="H159" i="25"/>
  <c r="H74" i="25"/>
  <c r="H55" i="25"/>
  <c r="P276" i="11"/>
  <c r="P177" i="11"/>
  <c r="H111" i="25"/>
  <c r="P275" i="11"/>
  <c r="P136" i="11"/>
  <c r="P309" i="11"/>
  <c r="H19" i="25"/>
  <c r="P232" i="11"/>
  <c r="P47" i="11"/>
  <c r="P148" i="11"/>
  <c r="H290" i="25"/>
  <c r="H48" i="25"/>
  <c r="P289" i="11"/>
  <c r="H312" i="25"/>
  <c r="H274" i="25"/>
  <c r="H115" i="25"/>
  <c r="P236" i="11"/>
  <c r="H310" i="25"/>
  <c r="H142" i="25"/>
  <c r="H21" i="25"/>
  <c r="P308" i="11"/>
  <c r="P141" i="11"/>
  <c r="P15" i="11"/>
  <c r="P66" i="11"/>
  <c r="H67" i="25"/>
  <c r="P104" i="11"/>
  <c r="P286" i="11"/>
  <c r="H264" i="25"/>
  <c r="H287" i="25"/>
  <c r="H105" i="25"/>
  <c r="P143" i="11"/>
  <c r="H76" i="25"/>
  <c r="P75" i="11"/>
  <c r="H34" i="25"/>
  <c r="H279" i="25"/>
  <c r="P33" i="11"/>
  <c r="H155" i="25"/>
  <c r="P154" i="11"/>
  <c r="P63" i="11"/>
  <c r="H275" i="25"/>
  <c r="H144" i="25"/>
  <c r="H64" i="25"/>
  <c r="H84" i="25"/>
  <c r="P274" i="11"/>
  <c r="H240" i="25"/>
  <c r="H200" i="25"/>
  <c r="P161" i="11"/>
  <c r="H162" i="25"/>
  <c r="H124" i="25"/>
  <c r="P102" i="11"/>
  <c r="P165" i="11"/>
  <c r="H243" i="25"/>
  <c r="P242" i="11"/>
  <c r="P10" i="11"/>
  <c r="H11" i="25"/>
  <c r="H192" i="25"/>
  <c r="P191" i="11"/>
  <c r="H41" i="25"/>
  <c r="P40" i="11"/>
  <c r="P90" i="11"/>
  <c r="H91" i="25"/>
  <c r="H47" i="25"/>
  <c r="P46" i="11"/>
  <c r="P219" i="11"/>
  <c r="H220" i="25"/>
  <c r="P312" i="11"/>
  <c r="H313" i="25"/>
  <c r="P226" i="11"/>
  <c r="H227" i="25"/>
  <c r="H66" i="25"/>
  <c r="P65" i="11"/>
  <c r="P169" i="11"/>
  <c r="H170" i="25"/>
  <c r="H98" i="25"/>
  <c r="P97" i="11"/>
  <c r="H106" i="25"/>
  <c r="P105" i="11"/>
  <c r="P293" i="11"/>
  <c r="H294" i="25"/>
  <c r="H271" i="25"/>
  <c r="P270" i="11"/>
  <c r="P297" i="11"/>
  <c r="H298" i="25"/>
  <c r="H172" i="25"/>
  <c r="P171" i="11"/>
  <c r="H199" i="25"/>
  <c r="P198" i="11"/>
  <c r="H218" i="25"/>
  <c r="P217" i="11"/>
  <c r="H203" i="25"/>
  <c r="P202" i="11"/>
  <c r="P156" i="11"/>
  <c r="H157" i="25"/>
  <c r="H112" i="25"/>
  <c r="P111" i="11"/>
  <c r="H35" i="25"/>
  <c r="P34" i="11"/>
  <c r="H255" i="25"/>
  <c r="P254" i="11"/>
  <c r="P115" i="11"/>
  <c r="H116" i="25"/>
  <c r="H79" i="25"/>
  <c r="P78" i="11"/>
  <c r="H185" i="25"/>
  <c r="P184" i="11"/>
  <c r="H68" i="25"/>
  <c r="P67" i="11"/>
  <c r="P268" i="11"/>
  <c r="H269" i="25"/>
  <c r="P213" i="11"/>
  <c r="H214" i="25"/>
  <c r="P228" i="11"/>
  <c r="H229" i="25"/>
  <c r="P96" i="11"/>
  <c r="H97" i="25"/>
  <c r="H117" i="25"/>
  <c r="P116" i="11"/>
  <c r="H146" i="25"/>
  <c r="P145" i="11"/>
  <c r="H125" i="25"/>
  <c r="P124" i="11"/>
  <c r="H260" i="25"/>
  <c r="P259" i="11"/>
  <c r="F10" i="9"/>
  <c r="B21" i="48"/>
  <c r="P168" i="11"/>
  <c r="H169" i="25"/>
  <c r="H12" i="25"/>
  <c r="P11" i="11"/>
  <c r="P266" i="11"/>
  <c r="H267" i="25"/>
  <c r="P62" i="11"/>
  <c r="H63" i="25"/>
  <c r="P155" i="11"/>
  <c r="H156" i="25"/>
  <c r="H14" i="25"/>
  <c r="P13" i="11"/>
  <c r="H122" i="25"/>
  <c r="P121" i="11"/>
  <c r="H7" i="25"/>
  <c r="P6" i="11"/>
  <c r="H18" i="25"/>
  <c r="P17" i="11"/>
  <c r="H257" i="25"/>
  <c r="P256" i="11"/>
  <c r="P231" i="11"/>
  <c r="H232" i="25"/>
  <c r="H6" i="25"/>
  <c r="P5" i="11"/>
  <c r="P244" i="11"/>
  <c r="H245" i="25"/>
  <c r="P235" i="11"/>
  <c r="H236" i="25"/>
  <c r="P56" i="11"/>
  <c r="H57" i="25"/>
  <c r="H164" i="25"/>
  <c r="P163" i="11"/>
  <c r="H87" i="25"/>
  <c r="P86" i="11"/>
  <c r="H212" i="25"/>
  <c r="P211" i="11"/>
  <c r="H325" i="34"/>
  <c r="G15" i="34"/>
  <c r="C7" i="34" l="1"/>
  <c r="D7" i="34" s="1"/>
  <c r="P314" i="11"/>
  <c r="H315" i="25"/>
  <c r="F143" i="9"/>
  <c r="G143" i="9" s="1"/>
  <c r="F76" i="9"/>
  <c r="G76" i="9" s="1"/>
  <c r="F256" i="9"/>
  <c r="G256" i="9" s="1"/>
  <c r="F106" i="9"/>
  <c r="G106" i="9" s="1"/>
  <c r="F176" i="9"/>
  <c r="G176" i="9" s="1"/>
  <c r="F167" i="9"/>
  <c r="G167" i="9" s="1"/>
  <c r="F57" i="9"/>
  <c r="G57" i="9" s="1"/>
  <c r="F226" i="9"/>
  <c r="G226" i="9" s="1"/>
  <c r="F65" i="9"/>
  <c r="G65" i="9" s="1"/>
  <c r="F261" i="9"/>
  <c r="G261" i="9" s="1"/>
  <c r="F199" i="9"/>
  <c r="G199" i="9" s="1"/>
  <c r="F14" i="9"/>
  <c r="G14" i="9" s="1"/>
  <c r="F202" i="9"/>
  <c r="G202" i="9" s="1"/>
  <c r="F229" i="9"/>
  <c r="G229" i="9" s="1"/>
  <c r="F314" i="9"/>
  <c r="G314" i="9" s="1"/>
  <c r="F194" i="9"/>
  <c r="G194" i="9" s="1"/>
  <c r="F254" i="9"/>
  <c r="G254" i="9" s="1"/>
  <c r="F141" i="9"/>
  <c r="G141" i="9" s="1"/>
  <c r="F31" i="9"/>
  <c r="G31" i="9" s="1"/>
  <c r="F184" i="9"/>
  <c r="G184" i="9" s="1"/>
  <c r="F90" i="9"/>
  <c r="G90" i="9" s="1"/>
  <c r="F218" i="9"/>
  <c r="G218" i="9" s="1"/>
  <c r="F286" i="9"/>
  <c r="G286" i="9" s="1"/>
  <c r="F133" i="9"/>
  <c r="G133" i="9" s="1"/>
  <c r="F178" i="9"/>
  <c r="G178" i="9" s="1"/>
  <c r="F159" i="9"/>
  <c r="G159" i="9" s="1"/>
  <c r="F228" i="9"/>
  <c r="G228" i="9" s="1"/>
  <c r="F12" i="9"/>
  <c r="G12" i="9" s="1"/>
  <c r="F252" i="9"/>
  <c r="G252" i="9" s="1"/>
  <c r="F142" i="9"/>
  <c r="G142" i="9" s="1"/>
  <c r="F165" i="9"/>
  <c r="G165" i="9" s="1"/>
  <c r="F55" i="9"/>
  <c r="G55" i="9" s="1"/>
  <c r="F100" i="9"/>
  <c r="G100" i="9" s="1"/>
  <c r="F205" i="9"/>
  <c r="G205" i="9" s="1"/>
  <c r="F134" i="9"/>
  <c r="G134" i="9" s="1"/>
  <c r="F292" i="9"/>
  <c r="G292" i="9" s="1"/>
  <c r="F116" i="9"/>
  <c r="G116" i="9" s="1"/>
  <c r="F60" i="9"/>
  <c r="G60" i="9" s="1"/>
  <c r="F20" i="9"/>
  <c r="G20" i="9" s="1"/>
  <c r="F291" i="9"/>
  <c r="G291" i="9" s="1"/>
  <c r="F250" i="9"/>
  <c r="G250" i="9" s="1"/>
  <c r="F186" i="9"/>
  <c r="G186" i="9" s="1"/>
  <c r="F239" i="9"/>
  <c r="G239" i="9" s="1"/>
  <c r="F108" i="9"/>
  <c r="G108" i="9" s="1"/>
  <c r="F49" i="9"/>
  <c r="G49" i="9" s="1"/>
  <c r="F35" i="9"/>
  <c r="G35" i="9" s="1"/>
  <c r="F318" i="9"/>
  <c r="G318" i="9" s="1"/>
  <c r="F279" i="9"/>
  <c r="G279" i="9" s="1"/>
  <c r="F297" i="9"/>
  <c r="G297" i="9" s="1"/>
  <c r="F227" i="9"/>
  <c r="G227" i="9" s="1"/>
  <c r="F175" i="9"/>
  <c r="G175" i="9" s="1"/>
  <c r="F75" i="9"/>
  <c r="G75" i="9" s="1"/>
  <c r="F91" i="9"/>
  <c r="G91" i="9" s="1"/>
  <c r="F95" i="9"/>
  <c r="G95" i="9" s="1"/>
  <c r="F11" i="9"/>
  <c r="F48" i="9"/>
  <c r="G48" i="9" s="1"/>
  <c r="F273" i="9"/>
  <c r="G273" i="9" s="1"/>
  <c r="F258" i="9"/>
  <c r="G258" i="9" s="1"/>
  <c r="F182" i="9"/>
  <c r="G182" i="9" s="1"/>
  <c r="F86" i="9"/>
  <c r="G86" i="9" s="1"/>
  <c r="F124" i="9"/>
  <c r="G124" i="9" s="1"/>
  <c r="F283" i="9"/>
  <c r="G283" i="9" s="1"/>
  <c r="F238" i="9"/>
  <c r="G238" i="9" s="1"/>
  <c r="F308" i="9"/>
  <c r="G308" i="9" s="1"/>
  <c r="F198" i="9"/>
  <c r="G198" i="9" s="1"/>
  <c r="F267" i="9"/>
  <c r="G267" i="9" s="1"/>
  <c r="F92" i="9"/>
  <c r="G92" i="9" s="1"/>
  <c r="F277" i="9"/>
  <c r="G277" i="9" s="1"/>
  <c r="F41" i="9"/>
  <c r="G41" i="9" s="1"/>
  <c r="F242" i="9"/>
  <c r="G242" i="9" s="1"/>
  <c r="F211" i="9"/>
  <c r="G211" i="9" s="1"/>
  <c r="F67" i="9"/>
  <c r="G67" i="9" s="1"/>
  <c r="F310" i="9"/>
  <c r="G310" i="9" s="1"/>
  <c r="F114" i="9"/>
  <c r="G114" i="9" s="1"/>
  <c r="F99" i="9"/>
  <c r="G99" i="9" s="1"/>
  <c r="F173" i="9"/>
  <c r="G173" i="9" s="1"/>
  <c r="F179" i="9"/>
  <c r="G179" i="9" s="1"/>
  <c r="F84" i="9"/>
  <c r="G84" i="9" s="1"/>
  <c r="F119" i="9"/>
  <c r="G119" i="9" s="1"/>
  <c r="F72" i="9"/>
  <c r="G72" i="9" s="1"/>
  <c r="F93" i="9"/>
  <c r="G93" i="9" s="1"/>
  <c r="F98" i="9"/>
  <c r="G98" i="9" s="1"/>
  <c r="F113" i="9"/>
  <c r="G113" i="9" s="1"/>
  <c r="F64" i="9"/>
  <c r="G64" i="9" s="1"/>
  <c r="F210" i="9"/>
  <c r="G210" i="9" s="1"/>
  <c r="F185" i="9"/>
  <c r="G185" i="9" s="1"/>
  <c r="F196" i="9"/>
  <c r="G196" i="9" s="1"/>
  <c r="F206" i="9"/>
  <c r="G206" i="9" s="1"/>
  <c r="F293" i="9"/>
  <c r="G293" i="9" s="1"/>
  <c r="F307" i="9"/>
  <c r="G307" i="9" s="1"/>
  <c r="F122" i="9"/>
  <c r="G122" i="9" s="1"/>
  <c r="F295" i="9"/>
  <c r="G295" i="9" s="1"/>
  <c r="F237" i="9"/>
  <c r="G237" i="9" s="1"/>
  <c r="F88" i="9"/>
  <c r="G88" i="9" s="1"/>
  <c r="F217" i="9"/>
  <c r="F144" i="9"/>
  <c r="G144" i="9" s="1"/>
  <c r="F135" i="9"/>
  <c r="G135" i="9" s="1"/>
  <c r="F315" i="9"/>
  <c r="G315" i="9" s="1"/>
  <c r="F138" i="9"/>
  <c r="G138" i="9" s="1"/>
  <c r="F21" i="9"/>
  <c r="G21" i="9" s="1"/>
  <c r="F216" i="9"/>
  <c r="G216" i="9" s="1"/>
  <c r="F309" i="9"/>
  <c r="G309" i="9" s="1"/>
  <c r="F25" i="9"/>
  <c r="G25" i="9" s="1"/>
  <c r="F150" i="9"/>
  <c r="G150" i="9" s="1"/>
  <c r="F299" i="9"/>
  <c r="G299" i="9" s="1"/>
  <c r="F117" i="9"/>
  <c r="G117" i="9" s="1"/>
  <c r="F271" i="9"/>
  <c r="G271" i="9" s="1"/>
  <c r="F197" i="9"/>
  <c r="G197" i="9" s="1"/>
  <c r="F278" i="9"/>
  <c r="G278" i="9" s="1"/>
  <c r="F200" i="9"/>
  <c r="G200" i="9" s="1"/>
  <c r="F224" i="9"/>
  <c r="G224" i="9" s="1"/>
  <c r="F304" i="9"/>
  <c r="G304" i="9" s="1"/>
  <c r="F73" i="9"/>
  <c r="G73" i="9" s="1"/>
  <c r="F44" i="9"/>
  <c r="G44" i="9" s="1"/>
  <c r="F153" i="9"/>
  <c r="G153" i="9" s="1"/>
  <c r="F46" i="9"/>
  <c r="G46" i="9" s="1"/>
  <c r="F45" i="9"/>
  <c r="G45" i="9" s="1"/>
  <c r="F29" i="9"/>
  <c r="G29" i="9" s="1"/>
  <c r="F111" i="9"/>
  <c r="G111" i="9" s="1"/>
  <c r="F282" i="9"/>
  <c r="G282" i="9" s="1"/>
  <c r="F172" i="9"/>
  <c r="G172" i="9" s="1"/>
  <c r="F193" i="9"/>
  <c r="G193" i="9" s="1"/>
  <c r="F154" i="9"/>
  <c r="G154" i="9" s="1"/>
  <c r="F162" i="9"/>
  <c r="G162" i="9" s="1"/>
  <c r="F52" i="9"/>
  <c r="G52" i="9" s="1"/>
  <c r="F22" i="9"/>
  <c r="G22" i="9" s="1"/>
  <c r="F289" i="9"/>
  <c r="G289" i="9" s="1"/>
  <c r="F79" i="9"/>
  <c r="G79" i="9" s="1"/>
  <c r="F70" i="9"/>
  <c r="G70" i="9" s="1"/>
  <c r="F187" i="9"/>
  <c r="G187" i="9" s="1"/>
  <c r="F234" i="9"/>
  <c r="G234" i="9" s="1"/>
  <c r="F101" i="9"/>
  <c r="G101" i="9" s="1"/>
  <c r="F74" i="9"/>
  <c r="G74" i="9" s="1"/>
  <c r="F268" i="9"/>
  <c r="G268" i="9" s="1"/>
  <c r="F53" i="9"/>
  <c r="G53" i="9" s="1"/>
  <c r="F160" i="9"/>
  <c r="G160" i="9" s="1"/>
  <c r="F23" i="9"/>
  <c r="G23" i="9" s="1"/>
  <c r="F288" i="9"/>
  <c r="G288" i="9" s="1"/>
  <c r="F26" i="9"/>
  <c r="G26" i="9" s="1"/>
  <c r="F248" i="9"/>
  <c r="G248" i="9" s="1"/>
  <c r="F33" i="9"/>
  <c r="G33" i="9" s="1"/>
  <c r="F164" i="9"/>
  <c r="G164" i="9" s="1"/>
  <c r="F109" i="9"/>
  <c r="G109" i="9" s="1"/>
  <c r="F285" i="9"/>
  <c r="G285" i="9" s="1"/>
  <c r="F313" i="9"/>
  <c r="G313" i="9" s="1"/>
  <c r="F269" i="9"/>
  <c r="G269" i="9" s="1"/>
  <c r="F32" i="9"/>
  <c r="G32" i="9" s="1"/>
  <c r="F104" i="9"/>
  <c r="G104" i="9" s="1"/>
  <c r="F28" i="9"/>
  <c r="G28" i="9" s="1"/>
  <c r="F170" i="9"/>
  <c r="G170" i="9" s="1"/>
  <c r="F276" i="9"/>
  <c r="G276" i="9" s="1"/>
  <c r="F63" i="9"/>
  <c r="G63" i="9" s="1"/>
  <c r="F40" i="9"/>
  <c r="G40" i="9" s="1"/>
  <c r="F203" i="9"/>
  <c r="G203" i="9" s="1"/>
  <c r="F24" i="9"/>
  <c r="G24" i="9" s="1"/>
  <c r="F236" i="9"/>
  <c r="G236" i="9" s="1"/>
  <c r="F294" i="9"/>
  <c r="G294" i="9" s="1"/>
  <c r="F255" i="9"/>
  <c r="G255" i="9" s="1"/>
  <c r="F105" i="9"/>
  <c r="G105" i="9" s="1"/>
  <c r="F62" i="9"/>
  <c r="G62" i="9" s="1"/>
  <c r="F296" i="9"/>
  <c r="G296" i="9" s="1"/>
  <c r="F245" i="9"/>
  <c r="G245" i="9" s="1"/>
  <c r="F243" i="9"/>
  <c r="G243" i="9" s="1"/>
  <c r="F183" i="9"/>
  <c r="G183" i="9" s="1"/>
  <c r="F181" i="9"/>
  <c r="G181" i="9" s="1"/>
  <c r="F147" i="9"/>
  <c r="G147" i="9" s="1"/>
  <c r="F287" i="9"/>
  <c r="G287" i="9" s="1"/>
  <c r="F264" i="9"/>
  <c r="G264" i="9" s="1"/>
  <c r="F220" i="9"/>
  <c r="G220" i="9" s="1"/>
  <c r="F131" i="9"/>
  <c r="G131" i="9" s="1"/>
  <c r="F51" i="9"/>
  <c r="G51" i="9" s="1"/>
  <c r="F280" i="9"/>
  <c r="G280" i="9" s="1"/>
  <c r="F83" i="9"/>
  <c r="G83" i="9" s="1"/>
  <c r="F230" i="9"/>
  <c r="G230" i="9" s="1"/>
  <c r="F38" i="9"/>
  <c r="G38" i="9" s="1"/>
  <c r="F241" i="9"/>
  <c r="G241" i="9" s="1"/>
  <c r="F97" i="9"/>
  <c r="G97" i="9" s="1"/>
  <c r="F59" i="9"/>
  <c r="G59" i="9" s="1"/>
  <c r="F163" i="9"/>
  <c r="G163" i="9" s="1"/>
  <c r="F240" i="9"/>
  <c r="G240" i="9" s="1"/>
  <c r="F69" i="9"/>
  <c r="G69" i="9" s="1"/>
  <c r="F71" i="9"/>
  <c r="G71" i="9" s="1"/>
  <c r="F77" i="9"/>
  <c r="G77" i="9" s="1"/>
  <c r="F222" i="9"/>
  <c r="G222" i="9" s="1"/>
  <c r="F126" i="9"/>
  <c r="G126" i="9" s="1"/>
  <c r="F171" i="9"/>
  <c r="G171" i="9" s="1"/>
  <c r="F80" i="9"/>
  <c r="G80" i="9" s="1"/>
  <c r="F136" i="9"/>
  <c r="G136" i="9" s="1"/>
  <c r="F47" i="9"/>
  <c r="G47" i="9" s="1"/>
  <c r="F270" i="9"/>
  <c r="G270" i="9" s="1"/>
  <c r="F190" i="9"/>
  <c r="G190" i="9" s="1"/>
  <c r="F37" i="9"/>
  <c r="G37" i="9" s="1"/>
  <c r="F195" i="9"/>
  <c r="G195" i="9" s="1"/>
  <c r="F201" i="9"/>
  <c r="G201" i="9" s="1"/>
  <c r="F36" i="9"/>
  <c r="G36" i="9" s="1"/>
  <c r="F68" i="9"/>
  <c r="G68" i="9" s="1"/>
  <c r="F110" i="9"/>
  <c r="G110" i="9" s="1"/>
  <c r="F118" i="9"/>
  <c r="G118" i="9" s="1"/>
  <c r="F156" i="9"/>
  <c r="G156" i="9" s="1"/>
  <c r="F204" i="9"/>
  <c r="G204" i="9" s="1"/>
  <c r="F132" i="9"/>
  <c r="G132" i="9" s="1"/>
  <c r="F81" i="9"/>
  <c r="G81" i="9" s="1"/>
  <c r="F103" i="9"/>
  <c r="G103" i="9" s="1"/>
  <c r="F213" i="9"/>
  <c r="G213" i="9" s="1"/>
  <c r="F89" i="9"/>
  <c r="G89" i="9" s="1"/>
  <c r="F215" i="9"/>
  <c r="G215" i="9" s="1"/>
  <c r="F284" i="9"/>
  <c r="G284" i="9" s="1"/>
  <c r="F128" i="9"/>
  <c r="G128" i="9" s="1"/>
  <c r="F311" i="9"/>
  <c r="G311" i="9" s="1"/>
  <c r="F303" i="9"/>
  <c r="G303" i="9" s="1"/>
  <c r="F319" i="9"/>
  <c r="G319" i="9" s="1"/>
  <c r="F212" i="9"/>
  <c r="G212" i="9" s="1"/>
  <c r="F223" i="9"/>
  <c r="G223" i="9" s="1"/>
  <c r="F290" i="9"/>
  <c r="G290" i="9" s="1"/>
  <c r="F262" i="9"/>
  <c r="G262" i="9" s="1"/>
  <c r="F207" i="9"/>
  <c r="G207" i="9" s="1"/>
  <c r="F140" i="9"/>
  <c r="G140" i="9" s="1"/>
  <c r="F42" i="9"/>
  <c r="G42" i="9" s="1"/>
  <c r="F274" i="9"/>
  <c r="G274" i="9" s="1"/>
  <c r="F120" i="9"/>
  <c r="G120" i="9" s="1"/>
  <c r="F177" i="9"/>
  <c r="G177" i="9" s="1"/>
  <c r="F219" i="9"/>
  <c r="G219" i="9" s="1"/>
  <c r="F272" i="9"/>
  <c r="G272" i="9" s="1"/>
  <c r="F66" i="9"/>
  <c r="G66" i="9" s="1"/>
  <c r="F58" i="9"/>
  <c r="G58" i="9" s="1"/>
  <c r="F169" i="9"/>
  <c r="G169" i="9" s="1"/>
  <c r="F232" i="9"/>
  <c r="G232" i="9" s="1"/>
  <c r="F180" i="9"/>
  <c r="G180" i="9" s="1"/>
  <c r="F139" i="9"/>
  <c r="G139" i="9" s="1"/>
  <c r="F151" i="9"/>
  <c r="G151" i="9" s="1"/>
  <c r="F188" i="9"/>
  <c r="G188" i="9" s="1"/>
  <c r="F161" i="9"/>
  <c r="G161" i="9" s="1"/>
  <c r="F34" i="9"/>
  <c r="G34" i="9" s="1"/>
  <c r="F247" i="9"/>
  <c r="G247" i="9" s="1"/>
  <c r="F281" i="9"/>
  <c r="G281" i="9" s="1"/>
  <c r="F137" i="9"/>
  <c r="G137" i="9" s="1"/>
  <c r="F15" i="9"/>
  <c r="G15" i="9" s="1"/>
  <c r="F152" i="9"/>
  <c r="G152" i="9" s="1"/>
  <c r="F244" i="9"/>
  <c r="G244" i="9" s="1"/>
  <c r="F253" i="9"/>
  <c r="G253" i="9" s="1"/>
  <c r="F189" i="9"/>
  <c r="G189" i="9" s="1"/>
  <c r="F168" i="9"/>
  <c r="G168" i="9" s="1"/>
  <c r="F13" i="9"/>
  <c r="G13" i="9" s="1"/>
  <c r="F263" i="9"/>
  <c r="G263" i="9" s="1"/>
  <c r="F54" i="9"/>
  <c r="G54" i="9" s="1"/>
  <c r="F130" i="9"/>
  <c r="G130" i="9" s="1"/>
  <c r="F107" i="9"/>
  <c r="G107" i="9" s="1"/>
  <c r="F18" i="9"/>
  <c r="G18" i="9" s="1"/>
  <c r="F146" i="9"/>
  <c r="G146" i="9" s="1"/>
  <c r="F317" i="9"/>
  <c r="G317" i="9" s="1"/>
  <c r="F235" i="9"/>
  <c r="G235" i="9" s="1"/>
  <c r="F259" i="9"/>
  <c r="G259" i="9" s="1"/>
  <c r="F306" i="9"/>
  <c r="G306" i="9" s="1"/>
  <c r="F166" i="9"/>
  <c r="G166" i="9" s="1"/>
  <c r="F214" i="9"/>
  <c r="G214" i="9" s="1"/>
  <c r="F96" i="9"/>
  <c r="G96" i="9" s="1"/>
  <c r="F149" i="9"/>
  <c r="G149" i="9" s="1"/>
  <c r="F61" i="9"/>
  <c r="G61" i="9" s="1"/>
  <c r="F305" i="9"/>
  <c r="G305" i="9" s="1"/>
  <c r="F249" i="9"/>
  <c r="G249" i="9" s="1"/>
  <c r="F158" i="9"/>
  <c r="G158" i="9" s="1"/>
  <c r="F275" i="9"/>
  <c r="G275" i="9" s="1"/>
  <c r="F123" i="9"/>
  <c r="G123" i="9" s="1"/>
  <c r="F265" i="9"/>
  <c r="G265" i="9" s="1"/>
  <c r="F316" i="9"/>
  <c r="G316" i="9" s="1"/>
  <c r="F145" i="9"/>
  <c r="G145" i="9" s="1"/>
  <c r="F87" i="9"/>
  <c r="G87" i="9" s="1"/>
  <c r="F191" i="9"/>
  <c r="G191" i="9" s="1"/>
  <c r="F82" i="9"/>
  <c r="G82" i="9" s="1"/>
  <c r="F266" i="9"/>
  <c r="G266" i="9" s="1"/>
  <c r="F209" i="9"/>
  <c r="G209" i="9" s="1"/>
  <c r="F301" i="9"/>
  <c r="G301" i="9" s="1"/>
  <c r="F43" i="9"/>
  <c r="G43" i="9" s="1"/>
  <c r="F260" i="9"/>
  <c r="G260" i="9" s="1"/>
  <c r="F17" i="9"/>
  <c r="G17" i="9" s="1"/>
  <c r="F115" i="9"/>
  <c r="G115" i="9" s="1"/>
  <c r="F30" i="9"/>
  <c r="G30" i="9" s="1"/>
  <c r="F231" i="9"/>
  <c r="G231" i="9" s="1"/>
  <c r="F121" i="9"/>
  <c r="G121" i="9" s="1"/>
  <c r="F208" i="9"/>
  <c r="G208" i="9" s="1"/>
  <c r="F112" i="9"/>
  <c r="G112" i="9" s="1"/>
  <c r="F302" i="9"/>
  <c r="G302" i="9" s="1"/>
  <c r="F50" i="9"/>
  <c r="G50" i="9" s="1"/>
  <c r="F129" i="9"/>
  <c r="G129" i="9" s="1"/>
  <c r="F85" i="9"/>
  <c r="G85" i="9" s="1"/>
  <c r="F78" i="9"/>
  <c r="G78" i="9" s="1"/>
  <c r="F300" i="9"/>
  <c r="G300" i="9" s="1"/>
  <c r="F312" i="9"/>
  <c r="G312" i="9" s="1"/>
  <c r="F56" i="9"/>
  <c r="G56" i="9" s="1"/>
  <c r="F246" i="9"/>
  <c r="G246" i="9" s="1"/>
  <c r="F233" i="9"/>
  <c r="G233" i="9" s="1"/>
  <c r="F16" i="9"/>
  <c r="G16" i="9" s="1"/>
  <c r="F125" i="9"/>
  <c r="G125" i="9" s="1"/>
  <c r="F157" i="9"/>
  <c r="G157" i="9" s="1"/>
  <c r="F225" i="9"/>
  <c r="G225" i="9" s="1"/>
  <c r="F148" i="9"/>
  <c r="G148" i="9" s="1"/>
  <c r="F102" i="9"/>
  <c r="G102" i="9" s="1"/>
  <c r="F19" i="9"/>
  <c r="G19" i="9" s="1"/>
  <c r="F27" i="9"/>
  <c r="G27" i="9" s="1"/>
  <c r="F39" i="9"/>
  <c r="G39" i="9" s="1"/>
  <c r="F192" i="9"/>
  <c r="G192" i="9" s="1"/>
  <c r="F257" i="9"/>
  <c r="G257" i="9" s="1"/>
  <c r="F127" i="9"/>
  <c r="G127" i="9" s="1"/>
  <c r="F174" i="9"/>
  <c r="G174" i="9" s="1"/>
  <c r="F94" i="9"/>
  <c r="G94" i="9" s="1"/>
  <c r="F298" i="9"/>
  <c r="G298" i="9" s="1"/>
  <c r="F221" i="9"/>
  <c r="G221" i="9" s="1"/>
  <c r="F155" i="9"/>
  <c r="G155" i="9" s="1"/>
  <c r="F251" i="9"/>
  <c r="G251" i="9" s="1"/>
  <c r="G217" i="9" l="1"/>
  <c r="F22" i="48"/>
  <c r="F24" i="48" s="1"/>
  <c r="F89" i="25"/>
  <c r="D88" i="12"/>
  <c r="D88" i="39"/>
  <c r="F97" i="25"/>
  <c r="D96" i="12"/>
  <c r="D96" i="39"/>
  <c r="F51" i="25"/>
  <c r="D50" i="12"/>
  <c r="D50" i="39"/>
  <c r="F107" i="25"/>
  <c r="D106" i="12"/>
  <c r="D106" i="39"/>
  <c r="F77" i="25"/>
  <c r="D76" i="12"/>
  <c r="D76" i="39"/>
  <c r="F153" i="25"/>
  <c r="D152" i="12"/>
  <c r="D152" i="39"/>
  <c r="F141" i="25"/>
  <c r="D140" i="12"/>
  <c r="D140" i="39"/>
  <c r="F184" i="25"/>
  <c r="D183" i="39"/>
  <c r="D183" i="12"/>
  <c r="F134" i="25"/>
  <c r="D133" i="12"/>
  <c r="D133" i="39"/>
  <c r="F53" i="25"/>
  <c r="D52" i="12"/>
  <c r="D52" i="39"/>
  <c r="F218" i="25"/>
  <c r="D217" i="12"/>
  <c r="D217" i="39"/>
  <c r="F84" i="25"/>
  <c r="D83" i="39"/>
  <c r="D83" i="12"/>
  <c r="F105" i="25"/>
  <c r="D104" i="12"/>
  <c r="D104" i="39"/>
  <c r="F42" i="25"/>
  <c r="D41" i="12"/>
  <c r="D41" i="39"/>
  <c r="F64" i="25"/>
  <c r="D63" i="12"/>
  <c r="D63" i="39"/>
  <c r="F78" i="25"/>
  <c r="D77" i="39"/>
  <c r="D77" i="12"/>
  <c r="F176" i="25"/>
  <c r="D175" i="39"/>
  <c r="D175" i="12"/>
  <c r="F289" i="25"/>
  <c r="D288" i="39"/>
  <c r="D288" i="12"/>
  <c r="F23" i="25"/>
  <c r="D22" i="12"/>
  <c r="D22" i="39"/>
  <c r="F28" i="25"/>
  <c r="D27" i="39"/>
  <c r="D27" i="12"/>
  <c r="F69" i="25"/>
  <c r="D68" i="12"/>
  <c r="D68" i="39"/>
  <c r="F65" i="25"/>
  <c r="D64" i="39"/>
  <c r="D64" i="12"/>
  <c r="F47" i="25"/>
  <c r="D46" i="12"/>
  <c r="D46" i="39"/>
  <c r="F40" i="25"/>
  <c r="D39" i="12"/>
  <c r="D39" i="39"/>
  <c r="F68" i="25"/>
  <c r="D67" i="12"/>
  <c r="D67" i="39"/>
  <c r="F273" i="25"/>
  <c r="D272" i="12"/>
  <c r="D272" i="39"/>
  <c r="F294" i="25"/>
  <c r="D293" i="12"/>
  <c r="D293" i="39"/>
  <c r="F211" i="25"/>
  <c r="D210" i="12"/>
  <c r="D210" i="39"/>
  <c r="F130" i="25"/>
  <c r="D129" i="39"/>
  <c r="D129" i="12"/>
  <c r="F232" i="25"/>
  <c r="D231" i="12"/>
  <c r="D231" i="39"/>
  <c r="F288" i="25"/>
  <c r="D287" i="12"/>
  <c r="D287" i="39"/>
  <c r="F205" i="25"/>
  <c r="D204" i="12"/>
  <c r="D204" i="39"/>
  <c r="F88" i="25"/>
  <c r="D87" i="12"/>
  <c r="D87" i="39"/>
  <c r="F174" i="25"/>
  <c r="D173" i="12"/>
  <c r="D173" i="39"/>
  <c r="F305" i="25"/>
  <c r="D304" i="12"/>
  <c r="D304" i="39"/>
  <c r="F36" i="25"/>
  <c r="D35" i="12"/>
  <c r="D35" i="39"/>
  <c r="F193" i="25"/>
  <c r="D192" i="39"/>
  <c r="D192" i="12"/>
  <c r="F119" i="25"/>
  <c r="D118" i="12"/>
  <c r="D118" i="39"/>
  <c r="F268" i="25"/>
  <c r="D267" i="39"/>
  <c r="D267" i="12"/>
  <c r="F86" i="25"/>
  <c r="D85" i="12"/>
  <c r="D85" i="39"/>
  <c r="F292" i="25"/>
  <c r="D291" i="12"/>
  <c r="D291" i="39"/>
  <c r="F44" i="25"/>
  <c r="D43" i="12"/>
  <c r="D43" i="39"/>
  <c r="F245" i="25"/>
  <c r="D244" i="39"/>
  <c r="D244" i="12"/>
  <c r="F111" i="25"/>
  <c r="D110" i="12"/>
  <c r="D110" i="39"/>
  <c r="F95" i="25"/>
  <c r="D94" i="12"/>
  <c r="D94" i="39"/>
  <c r="F247" i="25"/>
  <c r="D246" i="39"/>
  <c r="D246" i="12"/>
  <c r="F173" i="25"/>
  <c r="D172" i="39"/>
  <c r="D172" i="12"/>
  <c r="F85" i="25"/>
  <c r="D84" i="12"/>
  <c r="D84" i="39"/>
  <c r="F249" i="25"/>
  <c r="D248" i="12"/>
  <c r="D248" i="39"/>
  <c r="F197" i="25"/>
  <c r="D196" i="12"/>
  <c r="D196" i="39"/>
  <c r="F60" i="25"/>
  <c r="D59" i="12"/>
  <c r="D59" i="39"/>
  <c r="F171" i="25"/>
  <c r="D170" i="39"/>
  <c r="D170" i="12"/>
  <c r="F138" i="25"/>
  <c r="D137" i="12"/>
  <c r="D137" i="39"/>
  <c r="F150" i="25"/>
  <c r="D149" i="39"/>
  <c r="D149" i="12"/>
  <c r="F169" i="25"/>
  <c r="D168" i="12"/>
  <c r="D168" i="39"/>
  <c r="F34" i="25"/>
  <c r="D33" i="12"/>
  <c r="D33" i="39"/>
  <c r="F143" i="25"/>
  <c r="D142" i="39"/>
  <c r="D142" i="12"/>
  <c r="F11" i="25"/>
  <c r="D10" i="39"/>
  <c r="D10" i="12"/>
  <c r="F307" i="25"/>
  <c r="D306" i="12"/>
  <c r="D306" i="39"/>
  <c r="F124" i="25"/>
  <c r="D123" i="39"/>
  <c r="D123" i="12"/>
  <c r="F203" i="25"/>
  <c r="D202" i="12"/>
  <c r="D202" i="39"/>
  <c r="F110" i="25"/>
  <c r="D109" i="39"/>
  <c r="D109" i="12"/>
  <c r="F296" i="25"/>
  <c r="D295" i="12"/>
  <c r="D295" i="39"/>
  <c r="F186" i="25"/>
  <c r="D185" i="39"/>
  <c r="D185" i="12"/>
  <c r="F260" i="25"/>
  <c r="D259" i="12"/>
  <c r="D259" i="39"/>
  <c r="F244" i="25"/>
  <c r="D243" i="12"/>
  <c r="D243" i="39"/>
  <c r="F91" i="25"/>
  <c r="D90" i="12"/>
  <c r="D90" i="39"/>
  <c r="F254" i="25"/>
  <c r="D253" i="39"/>
  <c r="D253" i="12"/>
  <c r="F13" i="25"/>
  <c r="D12" i="12"/>
  <c r="D12" i="39"/>
  <c r="F258" i="25"/>
  <c r="D257" i="12"/>
  <c r="D257" i="39"/>
  <c r="F248" i="25"/>
  <c r="D247" i="12"/>
  <c r="D247" i="39"/>
  <c r="F132" i="25"/>
  <c r="D131" i="12"/>
  <c r="D131" i="39"/>
  <c r="F156" i="25"/>
  <c r="D155" i="12"/>
  <c r="D155" i="39"/>
  <c r="F175" i="25"/>
  <c r="D174" i="12"/>
  <c r="D174" i="39"/>
  <c r="F61" i="25"/>
  <c r="D60" i="12"/>
  <c r="D60" i="39"/>
  <c r="F115" i="25"/>
  <c r="D114" i="12"/>
  <c r="D114" i="39"/>
  <c r="F202" i="25"/>
  <c r="D201" i="39"/>
  <c r="D201" i="12"/>
  <c r="F207" i="25"/>
  <c r="D206" i="12"/>
  <c r="D206" i="39"/>
  <c r="F123" i="25"/>
  <c r="D122" i="12"/>
  <c r="D122" i="39"/>
  <c r="F208" i="25"/>
  <c r="D207" i="12"/>
  <c r="D207" i="39"/>
  <c r="F199" i="25"/>
  <c r="D198" i="12"/>
  <c r="D198" i="39"/>
  <c r="F63" i="25"/>
  <c r="D62" i="12"/>
  <c r="D62" i="39"/>
  <c r="F32" i="25"/>
  <c r="D31" i="12"/>
  <c r="D31" i="39"/>
  <c r="F131" i="25"/>
  <c r="D130" i="39"/>
  <c r="D130" i="12"/>
  <c r="F217" i="25"/>
  <c r="D216" i="12"/>
  <c r="D216" i="39"/>
  <c r="F235" i="25"/>
  <c r="D234" i="12"/>
  <c r="D234" i="39"/>
  <c r="F236" i="25"/>
  <c r="D235" i="39"/>
  <c r="D235" i="12"/>
  <c r="F275" i="25"/>
  <c r="D274" i="39"/>
  <c r="D274" i="12"/>
  <c r="F259" i="25"/>
  <c r="D258" i="12"/>
  <c r="D258" i="39"/>
  <c r="F178" i="25"/>
  <c r="D177" i="12"/>
  <c r="D177" i="39"/>
  <c r="F57" i="25"/>
  <c r="D56" i="39"/>
  <c r="D56" i="12"/>
  <c r="F231" i="25"/>
  <c r="D230" i="12"/>
  <c r="D230" i="39"/>
  <c r="F58" i="25"/>
  <c r="D57" i="12"/>
  <c r="D57" i="39"/>
  <c r="F99" i="25"/>
  <c r="D98" i="39"/>
  <c r="D98" i="12"/>
  <c r="F280" i="25"/>
  <c r="D279" i="12"/>
  <c r="D279" i="39"/>
  <c r="F243" i="25"/>
  <c r="D242" i="39"/>
  <c r="D242" i="12"/>
  <c r="F155" i="25"/>
  <c r="D154" i="12"/>
  <c r="D154" i="39"/>
  <c r="F96" i="25"/>
  <c r="D95" i="39"/>
  <c r="D95" i="12"/>
  <c r="F74" i="25"/>
  <c r="D73" i="39"/>
  <c r="D73" i="12"/>
  <c r="F157" i="25"/>
  <c r="D156" i="12"/>
  <c r="D156" i="39"/>
  <c r="F277" i="25"/>
  <c r="D276" i="39"/>
  <c r="D276" i="12"/>
  <c r="F41" i="25"/>
  <c r="D40" i="39"/>
  <c r="D40" i="12"/>
  <c r="F299" i="25"/>
  <c r="D298" i="12"/>
  <c r="D298" i="39"/>
  <c r="F192" i="25"/>
  <c r="D191" i="12"/>
  <c r="D191" i="39"/>
  <c r="F145" i="25"/>
  <c r="D144" i="39"/>
  <c r="D144" i="12"/>
  <c r="F16" i="25"/>
  <c r="D15" i="12"/>
  <c r="D15" i="39"/>
  <c r="F139" i="25"/>
  <c r="D138" i="12"/>
  <c r="D138" i="39"/>
  <c r="F290" i="25"/>
  <c r="D289" i="12"/>
  <c r="D289" i="39"/>
  <c r="F201" i="25"/>
  <c r="D200" i="12"/>
  <c r="D200" i="39"/>
  <c r="F59" i="25"/>
  <c r="D58" i="39"/>
  <c r="D58" i="12"/>
  <c r="F67" i="25"/>
  <c r="D66" i="39"/>
  <c r="D66" i="12"/>
  <c r="F168" i="25"/>
  <c r="D167" i="39"/>
  <c r="D167" i="12"/>
  <c r="F62" i="25"/>
  <c r="D61" i="12"/>
  <c r="D61" i="39"/>
  <c r="F272" i="25"/>
  <c r="D271" i="39"/>
  <c r="D271" i="12"/>
  <c r="F303" i="25"/>
  <c r="D302" i="39"/>
  <c r="D302" i="12"/>
  <c r="F81" i="25"/>
  <c r="D80" i="39"/>
  <c r="D80" i="12"/>
  <c r="F43" i="25"/>
  <c r="D42" i="39"/>
  <c r="D42" i="12"/>
  <c r="F70" i="25"/>
  <c r="D69" i="12"/>
  <c r="D69" i="39"/>
  <c r="F274" i="25"/>
  <c r="D273" i="12"/>
  <c r="D273" i="39"/>
  <c r="F103" i="25"/>
  <c r="D102" i="12"/>
  <c r="D102" i="39"/>
  <c r="F286" i="25"/>
  <c r="D285" i="39"/>
  <c r="D285" i="12"/>
  <c r="F287" i="25"/>
  <c r="D286" i="39"/>
  <c r="D286" i="12"/>
  <c r="D49" i="12"/>
  <c r="F50" i="25"/>
  <c r="D49" i="39"/>
  <c r="F7" i="25"/>
  <c r="D6" i="12"/>
  <c r="D6" i="39"/>
  <c r="F128" i="25"/>
  <c r="D127" i="12"/>
  <c r="D127" i="39"/>
  <c r="F179" i="25"/>
  <c r="D178" i="12"/>
  <c r="D178" i="39"/>
  <c r="F189" i="25"/>
  <c r="D188" i="39"/>
  <c r="D188" i="12"/>
  <c r="F9" i="25"/>
  <c r="D8" i="12"/>
  <c r="D8" i="39"/>
  <c r="F221" i="25"/>
  <c r="D220" i="12"/>
  <c r="D220" i="39"/>
  <c r="F101" i="25"/>
  <c r="D100" i="39"/>
  <c r="D100" i="12"/>
  <c r="F246" i="25"/>
  <c r="D245" i="12"/>
  <c r="D245" i="39"/>
  <c r="F25" i="25"/>
  <c r="D24" i="12"/>
  <c r="D24" i="39"/>
  <c r="F144" i="25"/>
  <c r="D143" i="12"/>
  <c r="D143" i="39"/>
  <c r="F10" i="25"/>
  <c r="D9" i="12"/>
  <c r="D9" i="39"/>
  <c r="F135" i="25"/>
  <c r="D134" i="39"/>
  <c r="D134" i="12"/>
  <c r="F190" i="25"/>
  <c r="D189" i="39"/>
  <c r="D189" i="12"/>
  <c r="F18" i="25"/>
  <c r="D17" i="12"/>
  <c r="D17" i="39"/>
  <c r="F216" i="25"/>
  <c r="D215" i="39"/>
  <c r="D215" i="12"/>
  <c r="F228" i="25"/>
  <c r="D227" i="12"/>
  <c r="D227" i="39"/>
  <c r="F12" i="25"/>
  <c r="D11" i="39"/>
  <c r="D11" i="12"/>
  <c r="F118" i="25"/>
  <c r="D117" i="12"/>
  <c r="D117" i="39"/>
  <c r="F102" i="25"/>
  <c r="D101" i="12"/>
  <c r="D101" i="39"/>
  <c r="F183" i="25"/>
  <c r="D182" i="12"/>
  <c r="D182" i="39"/>
  <c r="F257" i="25"/>
  <c r="D256" i="12"/>
  <c r="D256" i="39"/>
  <c r="F151" i="25"/>
  <c r="D150" i="12"/>
  <c r="D150" i="39"/>
  <c r="F72" i="25"/>
  <c r="D71" i="12"/>
  <c r="D71" i="39"/>
  <c r="F46" i="25"/>
  <c r="D45" i="12"/>
  <c r="D45" i="39"/>
  <c r="F100" i="25"/>
  <c r="D99" i="39"/>
  <c r="D99" i="12"/>
  <c r="F271" i="25"/>
  <c r="D270" i="12"/>
  <c r="D270" i="39"/>
  <c r="F104" i="25"/>
  <c r="D103" i="12"/>
  <c r="D103" i="39"/>
  <c r="F21" i="25"/>
  <c r="D20" i="39"/>
  <c r="D20" i="12"/>
  <c r="F48" i="25"/>
  <c r="D47" i="12"/>
  <c r="D47" i="39"/>
  <c r="F229" i="25"/>
  <c r="D228" i="12"/>
  <c r="D228" i="39"/>
  <c r="F284" i="25"/>
  <c r="D283" i="12"/>
  <c r="D283" i="39"/>
  <c r="F149" i="25"/>
  <c r="D148" i="12"/>
  <c r="D148" i="39"/>
  <c r="F106" i="25"/>
  <c r="D105" i="39"/>
  <c r="D105" i="12"/>
  <c r="F148" i="25"/>
  <c r="D147" i="39"/>
  <c r="D147" i="12"/>
  <c r="F219" i="25"/>
  <c r="D218" i="12"/>
  <c r="D218" i="39"/>
  <c r="F266" i="25"/>
  <c r="D265" i="12"/>
  <c r="D265" i="39"/>
  <c r="F20" i="25"/>
  <c r="D19" i="12"/>
  <c r="D19" i="39"/>
  <c r="F133" i="25"/>
  <c r="D132" i="39"/>
  <c r="D132" i="12"/>
  <c r="F212" i="25"/>
  <c r="D211" i="12"/>
  <c r="D211" i="39"/>
  <c r="F117" i="25"/>
  <c r="D116" i="12"/>
  <c r="D116" i="39"/>
  <c r="F191" i="25"/>
  <c r="D190" i="12"/>
  <c r="D190" i="39"/>
  <c r="F108" i="25"/>
  <c r="D107" i="12"/>
  <c r="D107" i="39"/>
  <c r="F114" i="25"/>
  <c r="D113" i="39"/>
  <c r="D113" i="12"/>
  <c r="F94" i="25"/>
  <c r="D93" i="39"/>
  <c r="D93" i="12"/>
  <c r="F206" i="25"/>
  <c r="D205" i="39"/>
  <c r="D205" i="12"/>
  <c r="F87" i="25"/>
  <c r="D86" i="12"/>
  <c r="D86" i="39"/>
  <c r="F233" i="25"/>
  <c r="D232" i="12"/>
  <c r="D232" i="39"/>
  <c r="F177" i="25"/>
  <c r="D176" i="12"/>
  <c r="D176" i="39"/>
  <c r="G11" i="9"/>
  <c r="F320" i="9"/>
  <c r="F170" i="25"/>
  <c r="D169" i="12"/>
  <c r="D169" i="39"/>
  <c r="F313" i="25"/>
  <c r="D312" i="12"/>
  <c r="D312" i="39"/>
  <c r="F234" i="25"/>
  <c r="D233" i="12"/>
  <c r="D233" i="39"/>
  <c r="F15" i="25"/>
  <c r="D14" i="12"/>
  <c r="D14" i="39"/>
  <c r="F129" i="25"/>
  <c r="D128" i="12"/>
  <c r="D128" i="39"/>
  <c r="D159" i="12"/>
  <c r="D159" i="39"/>
  <c r="F160" i="25"/>
  <c r="F223" i="25"/>
  <c r="D222" i="12"/>
  <c r="D222" i="39"/>
  <c r="F281" i="25"/>
  <c r="D280" i="12"/>
  <c r="D280" i="39"/>
  <c r="F26" i="25"/>
  <c r="D25" i="12"/>
  <c r="D25" i="39"/>
  <c r="F309" i="25"/>
  <c r="D308" i="12"/>
  <c r="D308" i="39"/>
  <c r="F194" i="25"/>
  <c r="D193" i="39"/>
  <c r="D193" i="12"/>
  <c r="F52" i="25"/>
  <c r="D51" i="12"/>
  <c r="D51" i="39"/>
  <c r="F251" i="25"/>
  <c r="D250" i="39"/>
  <c r="D250" i="12"/>
  <c r="F314" i="12"/>
  <c r="F314" i="39"/>
  <c r="F187" i="25"/>
  <c r="D186" i="12"/>
  <c r="D186" i="39"/>
  <c r="F120" i="25"/>
  <c r="D119" i="12"/>
  <c r="D119" i="39"/>
  <c r="F80" i="25"/>
  <c r="D79" i="12"/>
  <c r="D79" i="39"/>
  <c r="F38" i="25"/>
  <c r="D37" i="39"/>
  <c r="D37" i="12"/>
  <c r="F311" i="25"/>
  <c r="D310" i="39"/>
  <c r="D310" i="12"/>
  <c r="F301" i="25"/>
  <c r="D300" i="39"/>
  <c r="D300" i="12"/>
  <c r="F49" i="25"/>
  <c r="D48" i="39"/>
  <c r="D48" i="12"/>
  <c r="F29" i="25"/>
  <c r="D28" i="12"/>
  <c r="D28" i="39"/>
  <c r="F172" i="25"/>
  <c r="D171" i="12"/>
  <c r="D171" i="39"/>
  <c r="F306" i="25"/>
  <c r="D305" i="12"/>
  <c r="D305" i="39"/>
  <c r="F127" i="25"/>
  <c r="D126" i="12"/>
  <c r="D126" i="39"/>
  <c r="F121" i="25"/>
  <c r="D120" i="39"/>
  <c r="D120" i="12"/>
  <c r="F92" i="25"/>
  <c r="D91" i="39"/>
  <c r="D91" i="12"/>
  <c r="F215" i="25"/>
  <c r="D214" i="12"/>
  <c r="D214" i="39"/>
  <c r="F291" i="25"/>
  <c r="D290" i="39"/>
  <c r="D290" i="12"/>
  <c r="F35" i="25"/>
  <c r="D34" i="12"/>
  <c r="D34" i="39"/>
  <c r="F308" i="25"/>
  <c r="D307" i="12"/>
  <c r="D307" i="39"/>
  <c r="F167" i="25"/>
  <c r="D166" i="39"/>
  <c r="D166" i="12"/>
  <c r="F122" i="25"/>
  <c r="D121" i="12"/>
  <c r="D121" i="39"/>
  <c r="F22" i="25"/>
  <c r="D21" i="12"/>
  <c r="D21" i="39"/>
  <c r="F220" i="25"/>
  <c r="D219" i="39"/>
  <c r="D219" i="12"/>
  <c r="F295" i="25"/>
  <c r="D294" i="12"/>
  <c r="D294" i="39"/>
  <c r="F45" i="25"/>
  <c r="D44" i="12"/>
  <c r="D44" i="39"/>
  <c r="F116" i="25"/>
  <c r="D115" i="12"/>
  <c r="D115" i="39"/>
  <c r="F204" i="25"/>
  <c r="D203" i="12"/>
  <c r="D203" i="39"/>
  <c r="F82" i="25"/>
  <c r="D81" i="12"/>
  <c r="D81" i="39"/>
  <c r="F300" i="25"/>
  <c r="D299" i="12"/>
  <c r="D299" i="39"/>
  <c r="F209" i="25"/>
  <c r="D208" i="12"/>
  <c r="D208" i="39"/>
  <c r="F230" i="25"/>
  <c r="D229" i="39"/>
  <c r="D229" i="12"/>
  <c r="F8" i="25"/>
  <c r="D7" i="39"/>
  <c r="D7" i="12"/>
  <c r="F239" i="25"/>
  <c r="D238" i="12"/>
  <c r="D238" i="39"/>
  <c r="F276" i="25"/>
  <c r="D275" i="12"/>
  <c r="D275" i="39"/>
  <c r="F227" i="25"/>
  <c r="D226" i="12"/>
  <c r="D226" i="39"/>
  <c r="F267" i="25"/>
  <c r="D266" i="12"/>
  <c r="D266" i="39"/>
  <c r="F269" i="25"/>
  <c r="D268" i="12"/>
  <c r="D268" i="39"/>
  <c r="F314" i="25"/>
  <c r="D313" i="39"/>
  <c r="D313" i="12"/>
  <c r="F279" i="25"/>
  <c r="D278" i="12"/>
  <c r="D278" i="39"/>
  <c r="F98" i="25"/>
  <c r="D97" i="12"/>
  <c r="D97" i="39"/>
  <c r="F31" i="25"/>
  <c r="D30" i="12"/>
  <c r="D30" i="39"/>
  <c r="F185" i="25"/>
  <c r="D184" i="12"/>
  <c r="D184" i="39"/>
  <c r="F75" i="25"/>
  <c r="D74" i="12"/>
  <c r="D74" i="39"/>
  <c r="F158" i="25"/>
  <c r="D157" i="12"/>
  <c r="D157" i="39"/>
  <c r="F33" i="25"/>
  <c r="D32" i="12"/>
  <c r="D32" i="39"/>
  <c r="F282" i="25"/>
  <c r="D281" i="12"/>
  <c r="D281" i="39"/>
  <c r="F238" i="25"/>
  <c r="D237" i="12"/>
  <c r="D237" i="39"/>
  <c r="F19" i="25"/>
  <c r="D18" i="12"/>
  <c r="D18" i="39"/>
  <c r="F27" i="25"/>
  <c r="D26" i="12"/>
  <c r="D26" i="39"/>
  <c r="F293" i="25"/>
  <c r="D292" i="12"/>
  <c r="D292" i="39"/>
  <c r="F252" i="25"/>
  <c r="D251" i="12"/>
  <c r="D251" i="39"/>
  <c r="F14" i="25"/>
  <c r="D13" i="39"/>
  <c r="D13" i="12"/>
  <c r="F152" i="25"/>
  <c r="D151" i="39"/>
  <c r="D151" i="12"/>
  <c r="F241" i="25"/>
  <c r="D240" i="12"/>
  <c r="D240" i="39"/>
  <c r="F73" i="25"/>
  <c r="D72" i="12"/>
  <c r="D72" i="39"/>
  <c r="F297" i="25"/>
  <c r="D296" i="12"/>
  <c r="D296" i="39"/>
  <c r="F226" i="25"/>
  <c r="D225" i="12"/>
  <c r="D225" i="39"/>
  <c r="F255" i="25"/>
  <c r="D254" i="39"/>
  <c r="D254" i="12"/>
  <c r="F261" i="25"/>
  <c r="D260" i="12"/>
  <c r="D260" i="39"/>
  <c r="F140" i="25"/>
  <c r="D139" i="12"/>
  <c r="D139" i="39"/>
  <c r="F270" i="25"/>
  <c r="D269" i="12"/>
  <c r="D269" i="39"/>
  <c r="F56" i="25"/>
  <c r="D55" i="12"/>
  <c r="D55" i="39"/>
  <c r="F161" i="25"/>
  <c r="D160" i="39"/>
  <c r="D160" i="12"/>
  <c r="F312" i="25"/>
  <c r="D311" i="12"/>
  <c r="D311" i="39"/>
  <c r="F125" i="25"/>
  <c r="D124" i="12"/>
  <c r="D124" i="39"/>
  <c r="F163" i="25"/>
  <c r="D162" i="39"/>
  <c r="D162" i="12"/>
  <c r="F147" i="25"/>
  <c r="D146" i="12"/>
  <c r="D146" i="39"/>
  <c r="F242" i="25"/>
  <c r="D241" i="12"/>
  <c r="D241" i="39"/>
  <c r="F146" i="25"/>
  <c r="D145" i="12"/>
  <c r="D145" i="39"/>
  <c r="F164" i="25"/>
  <c r="D163" i="12"/>
  <c r="D163" i="39"/>
  <c r="F214" i="25"/>
  <c r="D213" i="12"/>
  <c r="D213" i="39"/>
  <c r="F37" i="25"/>
  <c r="D36" i="12"/>
  <c r="D36" i="39"/>
  <c r="F285" i="25"/>
  <c r="D284" i="12"/>
  <c r="D284" i="39"/>
  <c r="F298" i="25"/>
  <c r="D297" i="39"/>
  <c r="D297" i="12"/>
  <c r="F210" i="25"/>
  <c r="D209" i="12"/>
  <c r="D209" i="39"/>
  <c r="F76" i="25"/>
  <c r="D75" i="12"/>
  <c r="D75" i="39"/>
  <c r="F113" i="25"/>
  <c r="D112" i="39"/>
  <c r="D112" i="12"/>
  <c r="F196" i="25"/>
  <c r="D195" i="12"/>
  <c r="D195" i="39"/>
  <c r="F265" i="25"/>
  <c r="D264" i="12"/>
  <c r="D264" i="39"/>
  <c r="F166" i="25"/>
  <c r="D165" i="39"/>
  <c r="D165" i="12"/>
  <c r="F66" i="25"/>
  <c r="D65" i="12"/>
  <c r="D65" i="39"/>
  <c r="F54" i="25"/>
  <c r="D53" i="12"/>
  <c r="D53" i="39"/>
  <c r="F225" i="25"/>
  <c r="D224" i="12"/>
  <c r="D224" i="39"/>
  <c r="F126" i="25"/>
  <c r="D125" i="12"/>
  <c r="D125" i="39"/>
  <c r="F142" i="25"/>
  <c r="D141" i="12"/>
  <c r="D141" i="39"/>
  <c r="F240" i="25"/>
  <c r="D239" i="12"/>
  <c r="D239" i="39"/>
  <c r="F250" i="25"/>
  <c r="D249" i="39"/>
  <c r="D249" i="12"/>
  <c r="F198" i="25"/>
  <c r="D197" i="12"/>
  <c r="D197" i="39"/>
  <c r="F165" i="25"/>
  <c r="D164" i="12"/>
  <c r="D164" i="39"/>
  <c r="F264" i="25"/>
  <c r="D263" i="12"/>
  <c r="D263" i="39"/>
  <c r="F159" i="25"/>
  <c r="D158" i="12"/>
  <c r="D158" i="39"/>
  <c r="F283" i="25"/>
  <c r="D282" i="12"/>
  <c r="D282" i="39"/>
  <c r="F263" i="25"/>
  <c r="D262" i="12"/>
  <c r="D262" i="39"/>
  <c r="F182" i="25"/>
  <c r="D181" i="12"/>
  <c r="D181" i="39"/>
  <c r="F17" i="25"/>
  <c r="D16" i="39"/>
  <c r="D16" i="12"/>
  <c r="F188" i="25"/>
  <c r="D187" i="39"/>
  <c r="D187" i="12"/>
  <c r="F24" i="25"/>
  <c r="D23" i="39"/>
  <c r="D23" i="12"/>
  <c r="F39" i="25"/>
  <c r="D38" i="12"/>
  <c r="D38" i="39"/>
  <c r="F195" i="25"/>
  <c r="D194" i="12"/>
  <c r="D194" i="39"/>
  <c r="F112" i="25"/>
  <c r="D111" i="12"/>
  <c r="D111" i="39"/>
  <c r="D303" i="12"/>
  <c r="F304" i="25"/>
  <c r="D303" i="39"/>
  <c r="F310" i="25"/>
  <c r="D309" i="39"/>
  <c r="D309" i="12"/>
  <c r="F83" i="25"/>
  <c r="D82" i="12"/>
  <c r="D82" i="39"/>
  <c r="F302" i="25"/>
  <c r="D301" i="12"/>
  <c r="D301" i="39"/>
  <c r="F180" i="25"/>
  <c r="D179" i="12"/>
  <c r="D179" i="39"/>
  <c r="F93" i="25"/>
  <c r="D92" i="39"/>
  <c r="D92" i="12"/>
  <c r="F79" i="25"/>
  <c r="D78" i="12"/>
  <c r="D78" i="39"/>
  <c r="F109" i="25"/>
  <c r="D108" i="12"/>
  <c r="D108" i="39"/>
  <c r="F237" i="25"/>
  <c r="D236" i="12"/>
  <c r="D236" i="39"/>
  <c r="F262" i="25"/>
  <c r="D261" i="39"/>
  <c r="D261" i="12"/>
  <c r="F278" i="25"/>
  <c r="D277" i="39"/>
  <c r="D277" i="12"/>
  <c r="F253" i="25"/>
  <c r="D252" i="12"/>
  <c r="D252" i="39"/>
  <c r="F90" i="25"/>
  <c r="D89" i="12"/>
  <c r="D89" i="39"/>
  <c r="F222" i="25"/>
  <c r="D221" i="12"/>
  <c r="D221" i="39"/>
  <c r="F30" i="25"/>
  <c r="D29" i="12"/>
  <c r="D29" i="39"/>
  <c r="F181" i="25"/>
  <c r="D180" i="12"/>
  <c r="D180" i="39"/>
  <c r="F55" i="25"/>
  <c r="D54" i="39"/>
  <c r="D54" i="12"/>
  <c r="F200" i="25"/>
  <c r="D199" i="12"/>
  <c r="D199" i="39"/>
  <c r="F137" i="25"/>
  <c r="D136" i="12"/>
  <c r="D136" i="39"/>
  <c r="F154" i="25"/>
  <c r="D153" i="39"/>
  <c r="D153" i="12"/>
  <c r="F213" i="25"/>
  <c r="D212" i="12"/>
  <c r="D212" i="39"/>
  <c r="F136" i="25"/>
  <c r="D135" i="39"/>
  <c r="D135" i="12"/>
  <c r="F224" i="25"/>
  <c r="D223" i="12"/>
  <c r="D223" i="39"/>
  <c r="F256" i="25"/>
  <c r="D255" i="12"/>
  <c r="D255" i="39"/>
  <c r="F162" i="25"/>
  <c r="D161" i="12"/>
  <c r="D161" i="39"/>
  <c r="F71" i="25"/>
  <c r="D70" i="12"/>
  <c r="D70" i="39"/>
  <c r="C9" i="34"/>
  <c r="D9" i="34"/>
  <c r="E15" i="34" s="1"/>
  <c r="E25" i="34" l="1"/>
  <c r="I25" i="34" s="1"/>
  <c r="E98" i="34"/>
  <c r="I98" i="34" s="1"/>
  <c r="E171" i="34"/>
  <c r="I171" i="34" s="1"/>
  <c r="E37" i="34"/>
  <c r="I37" i="34" s="1"/>
  <c r="E16" i="34"/>
  <c r="E81" i="34"/>
  <c r="I81" i="34" s="1"/>
  <c r="E168" i="34"/>
  <c r="I168" i="34" s="1"/>
  <c r="E249" i="34"/>
  <c r="I249" i="34" s="1"/>
  <c r="E300" i="34"/>
  <c r="I300" i="34" s="1"/>
  <c r="E226" i="34"/>
  <c r="I226" i="34" s="1"/>
  <c r="E258" i="34"/>
  <c r="I258" i="34" s="1"/>
  <c r="E49" i="34"/>
  <c r="I49" i="34" s="1"/>
  <c r="E46" i="34"/>
  <c r="I46" i="34" s="1"/>
  <c r="E221" i="34"/>
  <c r="I221" i="34" s="1"/>
  <c r="E105" i="34"/>
  <c r="I105" i="34" s="1"/>
  <c r="E181" i="34"/>
  <c r="I181" i="34" s="1"/>
  <c r="E70" i="34"/>
  <c r="I70" i="34" s="1"/>
  <c r="E60" i="34"/>
  <c r="I60" i="34" s="1"/>
  <c r="E191" i="34"/>
  <c r="I191" i="34" s="1"/>
  <c r="E259" i="34"/>
  <c r="I259" i="34" s="1"/>
  <c r="E141" i="34"/>
  <c r="I141" i="34" s="1"/>
  <c r="E85" i="34"/>
  <c r="I85" i="34" s="1"/>
  <c r="E268" i="34"/>
  <c r="I268" i="34" s="1"/>
  <c r="E272" i="34"/>
  <c r="I272" i="34" s="1"/>
  <c r="E315" i="34"/>
  <c r="I315" i="34" s="1"/>
  <c r="E67" i="34"/>
  <c r="I67" i="34" s="1"/>
  <c r="E322" i="34"/>
  <c r="I322" i="34" s="1"/>
  <c r="E97" i="34"/>
  <c r="I97" i="34" s="1"/>
  <c r="E145" i="34"/>
  <c r="I145" i="34" s="1"/>
  <c r="E244" i="34"/>
  <c r="I244" i="34" s="1"/>
  <c r="E27" i="34"/>
  <c r="I27" i="34" s="1"/>
  <c r="E56" i="34"/>
  <c r="I56" i="34" s="1"/>
  <c r="E42" i="34"/>
  <c r="I42" i="34" s="1"/>
  <c r="E177" i="34"/>
  <c r="I177" i="34" s="1"/>
  <c r="E188" i="34"/>
  <c r="I188" i="34" s="1"/>
  <c r="E74" i="34"/>
  <c r="I74" i="34" s="1"/>
  <c r="E139" i="34"/>
  <c r="I139" i="34" s="1"/>
  <c r="E158" i="34"/>
  <c r="I158" i="34" s="1"/>
  <c r="E107" i="34"/>
  <c r="I107" i="34" s="1"/>
  <c r="E312" i="34"/>
  <c r="I312" i="34" s="1"/>
  <c r="E314" i="34"/>
  <c r="I314" i="34" s="1"/>
  <c r="E234" i="34"/>
  <c r="I234" i="34" s="1"/>
  <c r="E233" i="34"/>
  <c r="I233" i="34" s="1"/>
  <c r="E248" i="34"/>
  <c r="I248" i="34" s="1"/>
  <c r="E250" i="34"/>
  <c r="I250" i="34" s="1"/>
  <c r="E58" i="34"/>
  <c r="I58" i="34" s="1"/>
  <c r="E152" i="34"/>
  <c r="I152" i="34" s="1"/>
  <c r="E174" i="34"/>
  <c r="I174" i="34" s="1"/>
  <c r="E231" i="34"/>
  <c r="I231" i="34" s="1"/>
  <c r="E307" i="34"/>
  <c r="I307" i="34" s="1"/>
  <c r="E230" i="34"/>
  <c r="I230" i="34" s="1"/>
  <c r="E143" i="34"/>
  <c r="I143" i="34" s="1"/>
  <c r="E124" i="34"/>
  <c r="I124" i="34" s="1"/>
  <c r="E198" i="34"/>
  <c r="I198" i="34" s="1"/>
  <c r="E246" i="34"/>
  <c r="I246" i="34" s="1"/>
  <c r="E271" i="34"/>
  <c r="I271" i="34" s="1"/>
  <c r="E263" i="34"/>
  <c r="I263" i="34" s="1"/>
  <c r="E123" i="34"/>
  <c r="I123" i="34" s="1"/>
  <c r="E265" i="34"/>
  <c r="I265" i="34" s="1"/>
  <c r="E71" i="34"/>
  <c r="I71" i="34" s="1"/>
  <c r="E66" i="34"/>
  <c r="I66" i="34" s="1"/>
  <c r="E236" i="34"/>
  <c r="I236" i="34" s="1"/>
  <c r="E61" i="34"/>
  <c r="I61" i="34" s="1"/>
  <c r="E156" i="34"/>
  <c r="I156" i="34" s="1"/>
  <c r="E182" i="34"/>
  <c r="I182" i="34" s="1"/>
  <c r="E235" i="34"/>
  <c r="I235" i="34" s="1"/>
  <c r="E190" i="34"/>
  <c r="I190" i="34" s="1"/>
  <c r="E111" i="34"/>
  <c r="I111" i="34" s="1"/>
  <c r="E108" i="34"/>
  <c r="I108" i="34" s="1"/>
  <c r="E176" i="34"/>
  <c r="I176" i="34" s="1"/>
  <c r="E31" i="34"/>
  <c r="I31" i="34" s="1"/>
  <c r="E100" i="34"/>
  <c r="I100" i="34" s="1"/>
  <c r="E194" i="34"/>
  <c r="I194" i="34" s="1"/>
  <c r="E34" i="34"/>
  <c r="I34" i="34" s="1"/>
  <c r="E88" i="34"/>
  <c r="I88" i="34" s="1"/>
  <c r="E254" i="34"/>
  <c r="I254" i="34" s="1"/>
  <c r="E75" i="34"/>
  <c r="I75" i="34" s="1"/>
  <c r="E65" i="34"/>
  <c r="I65" i="34" s="1"/>
  <c r="E133" i="34"/>
  <c r="I133" i="34" s="1"/>
  <c r="E167" i="34"/>
  <c r="I167" i="34" s="1"/>
  <c r="E122" i="34"/>
  <c r="I122" i="34" s="1"/>
  <c r="E324" i="34"/>
  <c r="I324" i="34" s="1"/>
  <c r="E294" i="34"/>
  <c r="I294" i="34" s="1"/>
  <c r="E129" i="34"/>
  <c r="I129" i="34" s="1"/>
  <c r="E102" i="34"/>
  <c r="I102" i="34" s="1"/>
  <c r="E19" i="34"/>
  <c r="I19" i="34" s="1"/>
  <c r="E128" i="34"/>
  <c r="I128" i="34" s="1"/>
  <c r="E64" i="34"/>
  <c r="I64" i="34" s="1"/>
  <c r="E130" i="34"/>
  <c r="I130" i="34" s="1"/>
  <c r="E47" i="34"/>
  <c r="I47" i="34" s="1"/>
  <c r="E210" i="34"/>
  <c r="I210" i="34" s="1"/>
  <c r="E275" i="34"/>
  <c r="I275" i="34" s="1"/>
  <c r="E183" i="34"/>
  <c r="I183" i="34" s="1"/>
  <c r="E184" i="34"/>
  <c r="I184" i="34" s="1"/>
  <c r="E118" i="34"/>
  <c r="I118" i="34" s="1"/>
  <c r="E207" i="34"/>
  <c r="I207" i="34" s="1"/>
  <c r="E78" i="34"/>
  <c r="I78" i="34" s="1"/>
  <c r="E23" i="34"/>
  <c r="I23" i="34" s="1"/>
  <c r="E26" i="34"/>
  <c r="I26" i="34" s="1"/>
  <c r="E280" i="34"/>
  <c r="I280" i="34" s="1"/>
  <c r="E291" i="34"/>
  <c r="I291" i="34" s="1"/>
  <c r="E187" i="34"/>
  <c r="I187" i="34" s="1"/>
  <c r="E93" i="34"/>
  <c r="I93" i="34" s="1"/>
  <c r="E101" i="34"/>
  <c r="I101" i="34" s="1"/>
  <c r="E120" i="34"/>
  <c r="I120" i="34" s="1"/>
  <c r="E126" i="34"/>
  <c r="I126" i="34" s="1"/>
  <c r="E166" i="34"/>
  <c r="I166" i="34" s="1"/>
  <c r="E203" i="34"/>
  <c r="I203" i="34" s="1"/>
  <c r="E127" i="34"/>
  <c r="I127" i="34" s="1"/>
  <c r="E282" i="34"/>
  <c r="I282" i="34" s="1"/>
  <c r="E222" i="34"/>
  <c r="E241" i="34"/>
  <c r="I241" i="34" s="1"/>
  <c r="E142" i="34"/>
  <c r="I142" i="34" s="1"/>
  <c r="E149" i="34"/>
  <c r="I149" i="34" s="1"/>
  <c r="E135" i="34"/>
  <c r="I135" i="34" s="1"/>
  <c r="E77" i="34"/>
  <c r="I77" i="34" s="1"/>
  <c r="E92" i="34"/>
  <c r="I92" i="34" s="1"/>
  <c r="E147" i="34"/>
  <c r="I147" i="34" s="1"/>
  <c r="E32" i="34"/>
  <c r="I32" i="34" s="1"/>
  <c r="E237" i="34"/>
  <c r="I237" i="34" s="1"/>
  <c r="E79" i="34"/>
  <c r="I79" i="34" s="1"/>
  <c r="E39" i="34"/>
  <c r="I39" i="34" s="1"/>
  <c r="E201" i="34"/>
  <c r="I201" i="34" s="1"/>
  <c r="E252" i="34"/>
  <c r="I252" i="34" s="1"/>
  <c r="E115" i="34"/>
  <c r="I115" i="34" s="1"/>
  <c r="E18" i="34"/>
  <c r="I18" i="34" s="1"/>
  <c r="E247" i="34"/>
  <c r="I247" i="34" s="1"/>
  <c r="E59" i="34"/>
  <c r="I59" i="34" s="1"/>
  <c r="E43" i="34"/>
  <c r="I43" i="34" s="1"/>
  <c r="E292" i="34"/>
  <c r="I292" i="34" s="1"/>
  <c r="E134" i="34"/>
  <c r="I134" i="34" s="1"/>
  <c r="E264" i="34"/>
  <c r="I264" i="34" s="1"/>
  <c r="E316" i="34"/>
  <c r="I316" i="34" s="1"/>
  <c r="E228" i="34"/>
  <c r="I228" i="34" s="1"/>
  <c r="E20" i="34"/>
  <c r="I20" i="34" s="1"/>
  <c r="E89" i="34"/>
  <c r="I89" i="34" s="1"/>
  <c r="E170" i="34"/>
  <c r="I170" i="34" s="1"/>
  <c r="E164" i="34"/>
  <c r="I164" i="34" s="1"/>
  <c r="E204" i="34"/>
  <c r="I204" i="34" s="1"/>
  <c r="E38" i="34"/>
  <c r="I38" i="34" s="1"/>
  <c r="E243" i="34"/>
  <c r="I243" i="34" s="1"/>
  <c r="E276" i="34"/>
  <c r="I276" i="34" s="1"/>
  <c r="E239" i="34"/>
  <c r="I239" i="34" s="1"/>
  <c r="E186" i="34"/>
  <c r="I186" i="34" s="1"/>
  <c r="E136" i="34"/>
  <c r="I136" i="34" s="1"/>
  <c r="E40" i="34"/>
  <c r="I40" i="34" s="1"/>
  <c r="E212" i="34"/>
  <c r="I212" i="34" s="1"/>
  <c r="E96" i="34"/>
  <c r="I96" i="34" s="1"/>
  <c r="E273" i="34"/>
  <c r="I273" i="34" s="1"/>
  <c r="E224" i="34"/>
  <c r="I224" i="34" s="1"/>
  <c r="E319" i="34"/>
  <c r="I319" i="34" s="1"/>
  <c r="E269" i="34"/>
  <c r="I269" i="34" s="1"/>
  <c r="E213" i="34"/>
  <c r="I213" i="34" s="1"/>
  <c r="E290" i="34"/>
  <c r="I290" i="34" s="1"/>
  <c r="E278" i="34"/>
  <c r="I278" i="34" s="1"/>
  <c r="E257" i="34"/>
  <c r="I257" i="34" s="1"/>
  <c r="E53" i="34"/>
  <c r="I53" i="34" s="1"/>
  <c r="E245" i="34"/>
  <c r="I245" i="34" s="1"/>
  <c r="E308" i="34"/>
  <c r="I308" i="34" s="1"/>
  <c r="E68" i="34"/>
  <c r="I68" i="34" s="1"/>
  <c r="E52" i="34"/>
  <c r="I52" i="34" s="1"/>
  <c r="E173" i="34"/>
  <c r="I173" i="34" s="1"/>
  <c r="E223" i="34"/>
  <c r="I223" i="34" s="1"/>
  <c r="E310" i="34"/>
  <c r="I310" i="34" s="1"/>
  <c r="E229" i="34"/>
  <c r="I229" i="34" s="1"/>
  <c r="E117" i="34"/>
  <c r="I117" i="34" s="1"/>
  <c r="E189" i="34"/>
  <c r="I189" i="34" s="1"/>
  <c r="E165" i="34"/>
  <c r="I165" i="34" s="1"/>
  <c r="E22" i="34"/>
  <c r="I22" i="34" s="1"/>
  <c r="E24" i="34"/>
  <c r="I24" i="34" s="1"/>
  <c r="E73" i="34"/>
  <c r="I73" i="34" s="1"/>
  <c r="E125" i="34"/>
  <c r="I125" i="34" s="1"/>
  <c r="E103" i="34"/>
  <c r="I103" i="34" s="1"/>
  <c r="E214" i="34"/>
  <c r="I214" i="34" s="1"/>
  <c r="E33" i="34"/>
  <c r="I33" i="34" s="1"/>
  <c r="E205" i="34"/>
  <c r="I205" i="34" s="1"/>
  <c r="E99" i="34"/>
  <c r="I99" i="34" s="1"/>
  <c r="E199" i="34"/>
  <c r="I199" i="34" s="1"/>
  <c r="E169" i="34"/>
  <c r="I169" i="34" s="1"/>
  <c r="E303" i="34"/>
  <c r="I303" i="34" s="1"/>
  <c r="E151" i="34"/>
  <c r="I151" i="34" s="1"/>
  <c r="E225" i="34"/>
  <c r="I225" i="34" s="1"/>
  <c r="E295" i="34"/>
  <c r="I295" i="34" s="1"/>
  <c r="E116" i="34"/>
  <c r="I116" i="34" s="1"/>
  <c r="E84" i="34"/>
  <c r="I84" i="34" s="1"/>
  <c r="E311" i="34"/>
  <c r="I311" i="34" s="1"/>
  <c r="E217" i="34"/>
  <c r="I217" i="34" s="1"/>
  <c r="E279" i="34"/>
  <c r="I279" i="34" s="1"/>
  <c r="E296" i="34"/>
  <c r="I296" i="34" s="1"/>
  <c r="E215" i="34"/>
  <c r="I215" i="34" s="1"/>
  <c r="E274" i="34"/>
  <c r="I274" i="34" s="1"/>
  <c r="E72" i="34"/>
  <c r="I72" i="34" s="1"/>
  <c r="E277" i="34"/>
  <c r="I277" i="34" s="1"/>
  <c r="E113" i="34"/>
  <c r="I113" i="34" s="1"/>
  <c r="E30" i="34"/>
  <c r="I30" i="34" s="1"/>
  <c r="E200" i="34"/>
  <c r="I200" i="34" s="1"/>
  <c r="E62" i="34"/>
  <c r="I62" i="34" s="1"/>
  <c r="E35" i="34"/>
  <c r="I35" i="34" s="1"/>
  <c r="E298" i="34"/>
  <c r="I298" i="34" s="1"/>
  <c r="E227" i="34"/>
  <c r="I227" i="34" s="1"/>
  <c r="E301" i="34"/>
  <c r="I301" i="34" s="1"/>
  <c r="E305" i="34"/>
  <c r="I305" i="34" s="1"/>
  <c r="E83" i="34"/>
  <c r="I83" i="34" s="1"/>
  <c r="E320" i="34"/>
  <c r="I320" i="34" s="1"/>
  <c r="E219" i="34"/>
  <c r="I219" i="34" s="1"/>
  <c r="E54" i="34"/>
  <c r="I54" i="34" s="1"/>
  <c r="E185" i="34"/>
  <c r="I185" i="34" s="1"/>
  <c r="E112" i="34"/>
  <c r="I112" i="34" s="1"/>
  <c r="E109" i="34"/>
  <c r="I109" i="34" s="1"/>
  <c r="E55" i="34"/>
  <c r="I55" i="34" s="1"/>
  <c r="E137" i="34"/>
  <c r="I137" i="34" s="1"/>
  <c r="E321" i="34"/>
  <c r="I321" i="34" s="1"/>
  <c r="E138" i="34"/>
  <c r="I138" i="34" s="1"/>
  <c r="E82" i="34"/>
  <c r="I82" i="34" s="1"/>
  <c r="E196" i="34"/>
  <c r="I196" i="34" s="1"/>
  <c r="E299" i="34"/>
  <c r="I299" i="34" s="1"/>
  <c r="E50" i="34"/>
  <c r="I50" i="34" s="1"/>
  <c r="E251" i="34"/>
  <c r="I251" i="34" s="1"/>
  <c r="E148" i="34"/>
  <c r="I148" i="34" s="1"/>
  <c r="E51" i="34"/>
  <c r="I51" i="34" s="1"/>
  <c r="E41" i="34"/>
  <c r="I41" i="34" s="1"/>
  <c r="E110" i="34"/>
  <c r="I110" i="34" s="1"/>
  <c r="E144" i="34"/>
  <c r="I144" i="34" s="1"/>
  <c r="E45" i="34"/>
  <c r="I45" i="34" s="1"/>
  <c r="E309" i="34"/>
  <c r="I309" i="34" s="1"/>
  <c r="E157" i="34"/>
  <c r="I157" i="34" s="1"/>
  <c r="E286" i="34"/>
  <c r="I286" i="34" s="1"/>
  <c r="E160" i="34"/>
  <c r="I160" i="34" s="1"/>
  <c r="E131" i="34"/>
  <c r="I131" i="34" s="1"/>
  <c r="E44" i="34"/>
  <c r="I44" i="34" s="1"/>
  <c r="E95" i="34"/>
  <c r="I95" i="34" s="1"/>
  <c r="E262" i="34"/>
  <c r="I262" i="34" s="1"/>
  <c r="E119" i="34"/>
  <c r="I119" i="34" s="1"/>
  <c r="E302" i="34"/>
  <c r="I302" i="34" s="1"/>
  <c r="E161" i="34"/>
  <c r="I161" i="34" s="1"/>
  <c r="E261" i="34"/>
  <c r="I261" i="34" s="1"/>
  <c r="E211" i="34"/>
  <c r="I211" i="34" s="1"/>
  <c r="E90" i="34"/>
  <c r="I90" i="34" s="1"/>
  <c r="E209" i="34"/>
  <c r="I209" i="34" s="1"/>
  <c r="E17" i="34"/>
  <c r="I17" i="34" s="1"/>
  <c r="E285" i="34"/>
  <c r="I285" i="34" s="1"/>
  <c r="E287" i="34"/>
  <c r="I287" i="34" s="1"/>
  <c r="E63" i="34"/>
  <c r="I63" i="34" s="1"/>
  <c r="E317" i="34"/>
  <c r="I317" i="34" s="1"/>
  <c r="E206" i="34"/>
  <c r="I206" i="34" s="1"/>
  <c r="E197" i="34"/>
  <c r="I197" i="34" s="1"/>
  <c r="E193" i="34"/>
  <c r="I193" i="34" s="1"/>
  <c r="E238" i="34"/>
  <c r="I238" i="34" s="1"/>
  <c r="E172" i="34"/>
  <c r="I172" i="34" s="1"/>
  <c r="E140" i="34"/>
  <c r="I140" i="34" s="1"/>
  <c r="E260" i="34"/>
  <c r="I260" i="34" s="1"/>
  <c r="E232" i="34"/>
  <c r="I232" i="34" s="1"/>
  <c r="E121" i="34"/>
  <c r="I121" i="34" s="1"/>
  <c r="E76" i="34"/>
  <c r="I76" i="34" s="1"/>
  <c r="E155" i="34"/>
  <c r="I155" i="34" s="1"/>
  <c r="E218" i="34"/>
  <c r="I218" i="34" s="1"/>
  <c r="E104" i="34"/>
  <c r="I104" i="34" s="1"/>
  <c r="E162" i="34"/>
  <c r="I162" i="34" s="1"/>
  <c r="E195" i="34"/>
  <c r="I195" i="34" s="1"/>
  <c r="E28" i="34"/>
  <c r="I28" i="34" s="1"/>
  <c r="E36" i="34"/>
  <c r="I36" i="34" s="1"/>
  <c r="E202" i="34"/>
  <c r="I202" i="34" s="1"/>
  <c r="E208" i="34"/>
  <c r="I208" i="34" s="1"/>
  <c r="E289" i="34"/>
  <c r="I289" i="34" s="1"/>
  <c r="E159" i="34"/>
  <c r="I159" i="34" s="1"/>
  <c r="E146" i="34"/>
  <c r="I146" i="34" s="1"/>
  <c r="E284" i="34"/>
  <c r="I284" i="34" s="1"/>
  <c r="E48" i="34"/>
  <c r="I48" i="34" s="1"/>
  <c r="E153" i="34"/>
  <c r="I153" i="34" s="1"/>
  <c r="E267" i="34"/>
  <c r="I267" i="34" s="1"/>
  <c r="E132" i="34"/>
  <c r="I132" i="34" s="1"/>
  <c r="E216" i="34"/>
  <c r="I216" i="34" s="1"/>
  <c r="E69" i="34"/>
  <c r="I69" i="34" s="1"/>
  <c r="E21" i="34"/>
  <c r="I21" i="34" s="1"/>
  <c r="E91" i="34"/>
  <c r="I91" i="34" s="1"/>
  <c r="E297" i="34"/>
  <c r="I297" i="34" s="1"/>
  <c r="E256" i="34"/>
  <c r="I256" i="34" s="1"/>
  <c r="E80" i="34"/>
  <c r="I80" i="34" s="1"/>
  <c r="E178" i="34"/>
  <c r="I178" i="34" s="1"/>
  <c r="E179" i="34"/>
  <c r="I179" i="34" s="1"/>
  <c r="E154" i="34"/>
  <c r="I154" i="34" s="1"/>
  <c r="E318" i="34"/>
  <c r="I318" i="34" s="1"/>
  <c r="E255" i="34"/>
  <c r="I255" i="34" s="1"/>
  <c r="E288" i="34"/>
  <c r="I288" i="34" s="1"/>
  <c r="E114" i="34"/>
  <c r="I114" i="34" s="1"/>
  <c r="E192" i="34"/>
  <c r="I192" i="34" s="1"/>
  <c r="E270" i="34"/>
  <c r="I270" i="34" s="1"/>
  <c r="E240" i="34"/>
  <c r="I240" i="34" s="1"/>
  <c r="E94" i="34"/>
  <c r="I94" i="34" s="1"/>
  <c r="E57" i="34"/>
  <c r="I57" i="34" s="1"/>
  <c r="E220" i="34"/>
  <c r="I220" i="34" s="1"/>
  <c r="E163" i="34"/>
  <c r="I163" i="34" s="1"/>
  <c r="E306" i="34"/>
  <c r="I306" i="34" s="1"/>
  <c r="E293" i="34"/>
  <c r="I293" i="34" s="1"/>
  <c r="E313" i="34"/>
  <c r="I313" i="34" s="1"/>
  <c r="E150" i="34"/>
  <c r="I150" i="34" s="1"/>
  <c r="E253" i="34"/>
  <c r="I253" i="34" s="1"/>
  <c r="E175" i="34"/>
  <c r="I175" i="34" s="1"/>
  <c r="E242" i="34"/>
  <c r="I242" i="34" s="1"/>
  <c r="E29" i="34"/>
  <c r="I29" i="34" s="1"/>
  <c r="E266" i="34"/>
  <c r="I266" i="34" s="1"/>
  <c r="E281" i="34"/>
  <c r="I281" i="34" s="1"/>
  <c r="E323" i="34"/>
  <c r="I323" i="34" s="1"/>
  <c r="E106" i="34"/>
  <c r="I106" i="34" s="1"/>
  <c r="E87" i="34"/>
  <c r="I87" i="34" s="1"/>
  <c r="E304" i="34"/>
  <c r="I304" i="34" s="1"/>
  <c r="E180" i="34"/>
  <c r="I180" i="34" s="1"/>
  <c r="E86" i="34"/>
  <c r="I86" i="34" s="1"/>
  <c r="E283" i="34"/>
  <c r="I283" i="34" s="1"/>
  <c r="F6" i="25"/>
  <c r="D5" i="39"/>
  <c r="D5" i="12"/>
  <c r="G320" i="9"/>
  <c r="I222" i="34" l="1"/>
  <c r="F41" i="48"/>
  <c r="E75" i="12"/>
  <c r="G75" i="12" s="1"/>
  <c r="G76" i="25"/>
  <c r="E75" i="39"/>
  <c r="G75" i="39" s="1"/>
  <c r="H75" i="39" s="1"/>
  <c r="I75" i="39" s="1"/>
  <c r="J75" i="39" s="1"/>
  <c r="I76" i="25" s="1"/>
  <c r="E18" i="39"/>
  <c r="G18" i="39" s="1"/>
  <c r="H18" i="39" s="1"/>
  <c r="I18" i="39" s="1"/>
  <c r="J18" i="39" s="1"/>
  <c r="I19" i="25" s="1"/>
  <c r="G19" i="25"/>
  <c r="E18" i="12"/>
  <c r="G18" i="12" s="1"/>
  <c r="G153" i="25"/>
  <c r="E152" i="12"/>
  <c r="G152" i="12" s="1"/>
  <c r="E152" i="39"/>
  <c r="G152" i="39" s="1"/>
  <c r="H152" i="39" s="1"/>
  <c r="I152" i="39" s="1"/>
  <c r="J152" i="39" s="1"/>
  <c r="I153" i="25" s="1"/>
  <c r="E168" i="12"/>
  <c r="G168" i="12" s="1"/>
  <c r="E168" i="39"/>
  <c r="G168" i="39" s="1"/>
  <c r="H168" i="39" s="1"/>
  <c r="I168" i="39" s="1"/>
  <c r="J168" i="39" s="1"/>
  <c r="I169" i="25" s="1"/>
  <c r="G169" i="25"/>
  <c r="E286" i="12"/>
  <c r="G286" i="12" s="1"/>
  <c r="G287" i="25"/>
  <c r="E286" i="39"/>
  <c r="G286" i="39" s="1"/>
  <c r="H286" i="39" s="1"/>
  <c r="I286" i="39" s="1"/>
  <c r="J286" i="39" s="1"/>
  <c r="I287" i="25" s="1"/>
  <c r="G38" i="25"/>
  <c r="E37" i="12"/>
  <c r="G37" i="12" s="1"/>
  <c r="E37" i="39"/>
  <c r="G37" i="39" s="1"/>
  <c r="H37" i="39" s="1"/>
  <c r="I37" i="39" s="1"/>
  <c r="J37" i="39" s="1"/>
  <c r="I38" i="25" s="1"/>
  <c r="E17" i="39"/>
  <c r="G17" i="39" s="1"/>
  <c r="H17" i="39" s="1"/>
  <c r="I17" i="39" s="1"/>
  <c r="J17" i="39" s="1"/>
  <c r="I18" i="25" s="1"/>
  <c r="E17" i="12"/>
  <c r="G17" i="12" s="1"/>
  <c r="G18" i="25"/>
  <c r="E221" i="39"/>
  <c r="G221" i="39" s="1"/>
  <c r="H221" i="39" s="1"/>
  <c r="I221" i="39" s="1"/>
  <c r="J221" i="39" s="1"/>
  <c r="I222" i="25" s="1"/>
  <c r="E221" i="12"/>
  <c r="G221" i="12" s="1"/>
  <c r="G222" i="25"/>
  <c r="E306" i="12"/>
  <c r="G306" i="12" s="1"/>
  <c r="G307" i="25"/>
  <c r="E306" i="39"/>
  <c r="G306" i="39" s="1"/>
  <c r="H306" i="39" s="1"/>
  <c r="I306" i="39" s="1"/>
  <c r="J306" i="39" s="1"/>
  <c r="I307" i="25" s="1"/>
  <c r="G251" i="25"/>
  <c r="E250" i="12"/>
  <c r="G250" i="12" s="1"/>
  <c r="E250" i="39"/>
  <c r="G250" i="39" s="1"/>
  <c r="H250" i="39" s="1"/>
  <c r="I250" i="39" s="1"/>
  <c r="J250" i="39" s="1"/>
  <c r="I251" i="25" s="1"/>
  <c r="E34" i="39"/>
  <c r="G34" i="39" s="1"/>
  <c r="H34" i="39" s="1"/>
  <c r="I34" i="39" s="1"/>
  <c r="J34" i="39" s="1"/>
  <c r="I35" i="25" s="1"/>
  <c r="G35" i="25"/>
  <c r="E34" i="12"/>
  <c r="G34" i="12" s="1"/>
  <c r="E288" i="39"/>
  <c r="G288" i="39" s="1"/>
  <c r="H288" i="39" s="1"/>
  <c r="I288" i="39" s="1"/>
  <c r="J288" i="39" s="1"/>
  <c r="I289" i="25" s="1"/>
  <c r="G289" i="25"/>
  <c r="E288" i="12"/>
  <c r="G288" i="12" s="1"/>
  <c r="E101" i="39"/>
  <c r="G101" i="39" s="1"/>
  <c r="H101" i="39" s="1"/>
  <c r="I101" i="39" s="1"/>
  <c r="J101" i="39" s="1"/>
  <c r="I102" i="25" s="1"/>
  <c r="G102" i="25"/>
  <c r="E101" i="12"/>
  <c r="G101" i="12" s="1"/>
  <c r="E216" i="39"/>
  <c r="G216" i="39" s="1"/>
  <c r="H216" i="39" s="1"/>
  <c r="I216" i="39" s="1"/>
  <c r="J216" i="39" s="1"/>
  <c r="I217" i="25" s="1"/>
  <c r="G217" i="25"/>
  <c r="E216" i="12"/>
  <c r="G216" i="12" s="1"/>
  <c r="E61" i="39"/>
  <c r="G61" i="39" s="1"/>
  <c r="H61" i="39" s="1"/>
  <c r="I61" i="39" s="1"/>
  <c r="J61" i="39" s="1"/>
  <c r="I62" i="25" s="1"/>
  <c r="G62" i="25"/>
  <c r="E61" i="12"/>
  <c r="G61" i="12" s="1"/>
  <c r="E105" i="12"/>
  <c r="G105" i="12" s="1"/>
  <c r="E105" i="39"/>
  <c r="G105" i="39" s="1"/>
  <c r="H105" i="39" s="1"/>
  <c r="I105" i="39" s="1"/>
  <c r="J105" i="39" s="1"/>
  <c r="I106" i="25" s="1"/>
  <c r="G106" i="25"/>
  <c r="E194" i="12"/>
  <c r="G194" i="12" s="1"/>
  <c r="E194" i="39"/>
  <c r="G194" i="39" s="1"/>
  <c r="H194" i="39" s="1"/>
  <c r="I194" i="39" s="1"/>
  <c r="J194" i="39" s="1"/>
  <c r="I195" i="25" s="1"/>
  <c r="G195" i="25"/>
  <c r="E154" i="39"/>
  <c r="G154" i="39" s="1"/>
  <c r="H154" i="39" s="1"/>
  <c r="I154" i="39" s="1"/>
  <c r="J154" i="39" s="1"/>
  <c r="I155" i="25" s="1"/>
  <c r="G155" i="25"/>
  <c r="E154" i="12"/>
  <c r="G154" i="12" s="1"/>
  <c r="G300" i="25"/>
  <c r="E299" i="39"/>
  <c r="G299" i="39" s="1"/>
  <c r="H299" i="39" s="1"/>
  <c r="I299" i="39" s="1"/>
  <c r="J299" i="39" s="1"/>
  <c r="I300" i="25" s="1"/>
  <c r="E299" i="12"/>
  <c r="G299" i="12" s="1"/>
  <c r="E246" i="39"/>
  <c r="G246" i="39" s="1"/>
  <c r="H246" i="39" s="1"/>
  <c r="I246" i="39" s="1"/>
  <c r="J246" i="39" s="1"/>
  <c r="I247" i="25" s="1"/>
  <c r="G247" i="25"/>
  <c r="E246" i="12"/>
  <c r="G246" i="12" s="1"/>
  <c r="G259" i="25"/>
  <c r="E258" i="12"/>
  <c r="G258" i="12" s="1"/>
  <c r="E258" i="39"/>
  <c r="G258" i="39" s="1"/>
  <c r="H258" i="39" s="1"/>
  <c r="I258" i="39" s="1"/>
  <c r="J258" i="39" s="1"/>
  <c r="I259" i="25" s="1"/>
  <c r="E85" i="39"/>
  <c r="G85" i="39" s="1"/>
  <c r="H85" i="39" s="1"/>
  <c r="I85" i="39" s="1"/>
  <c r="J85" i="39" s="1"/>
  <c r="I86" i="25" s="1"/>
  <c r="G86" i="25"/>
  <c r="E85" i="12"/>
  <c r="G85" i="12" s="1"/>
  <c r="E175" i="12"/>
  <c r="G175" i="12" s="1"/>
  <c r="G176" i="25"/>
  <c r="E175" i="39"/>
  <c r="G175" i="39" s="1"/>
  <c r="H175" i="39" s="1"/>
  <c r="I175" i="39" s="1"/>
  <c r="J175" i="39" s="1"/>
  <c r="I176" i="25" s="1"/>
  <c r="G28" i="25"/>
  <c r="E27" i="39"/>
  <c r="G27" i="39" s="1"/>
  <c r="H27" i="39" s="1"/>
  <c r="I27" i="39" s="1"/>
  <c r="J27" i="39" s="1"/>
  <c r="I28" i="25" s="1"/>
  <c r="E27" i="12"/>
  <c r="G27" i="12" s="1"/>
  <c r="E78" i="12"/>
  <c r="G78" i="12" s="1"/>
  <c r="G79" i="25"/>
  <c r="E78" i="39"/>
  <c r="G78" i="39" s="1"/>
  <c r="H78" i="39" s="1"/>
  <c r="I78" i="39" s="1"/>
  <c r="J78" i="39" s="1"/>
  <c r="I79" i="25" s="1"/>
  <c r="G254" i="25"/>
  <c r="E253" i="39"/>
  <c r="G253" i="39" s="1"/>
  <c r="H253" i="39" s="1"/>
  <c r="I253" i="39" s="1"/>
  <c r="J253" i="39" s="1"/>
  <c r="I254" i="25" s="1"/>
  <c r="E253" i="12"/>
  <c r="G253" i="12" s="1"/>
  <c r="G49" i="25"/>
  <c r="E48" i="12"/>
  <c r="G48" i="12" s="1"/>
  <c r="E48" i="39"/>
  <c r="G48" i="39" s="1"/>
  <c r="H48" i="39" s="1"/>
  <c r="I48" i="39" s="1"/>
  <c r="J48" i="39" s="1"/>
  <c r="I49" i="25" s="1"/>
  <c r="E241" i="12"/>
  <c r="G241" i="12" s="1"/>
  <c r="G242" i="25"/>
  <c r="E241" i="39"/>
  <c r="G241" i="39" s="1"/>
  <c r="H241" i="39" s="1"/>
  <c r="I241" i="39" s="1"/>
  <c r="J241" i="39" s="1"/>
  <c r="I242" i="25" s="1"/>
  <c r="G227" i="25"/>
  <c r="E226" i="39"/>
  <c r="G226" i="39" s="1"/>
  <c r="H226" i="39" s="1"/>
  <c r="I226" i="39" s="1"/>
  <c r="J226" i="39" s="1"/>
  <c r="I227" i="25" s="1"/>
  <c r="E226" i="12"/>
  <c r="G226" i="12" s="1"/>
  <c r="G67" i="25"/>
  <c r="E66" i="12"/>
  <c r="G66" i="12" s="1"/>
  <c r="E66" i="39"/>
  <c r="G66" i="39" s="1"/>
  <c r="H66" i="39" s="1"/>
  <c r="I66" i="39" s="1"/>
  <c r="J66" i="39" s="1"/>
  <c r="I67" i="25" s="1"/>
  <c r="E230" i="12"/>
  <c r="G230" i="12" s="1"/>
  <c r="E230" i="39"/>
  <c r="G230" i="39" s="1"/>
  <c r="H230" i="39" s="1"/>
  <c r="I230" i="39" s="1"/>
  <c r="J230" i="39" s="1"/>
  <c r="I231" i="25" s="1"/>
  <c r="G231" i="25"/>
  <c r="E192" i="39"/>
  <c r="G192" i="39" s="1"/>
  <c r="H192" i="39" s="1"/>
  <c r="I192" i="39" s="1"/>
  <c r="J192" i="39" s="1"/>
  <c r="I193" i="25" s="1"/>
  <c r="G193" i="25"/>
  <c r="E192" i="12"/>
  <c r="G192" i="12" s="1"/>
  <c r="E90" i="39"/>
  <c r="G90" i="39" s="1"/>
  <c r="H90" i="39" s="1"/>
  <c r="I90" i="39" s="1"/>
  <c r="J90" i="39" s="1"/>
  <c r="I91" i="25" s="1"/>
  <c r="E90" i="12"/>
  <c r="G90" i="12" s="1"/>
  <c r="G91" i="25"/>
  <c r="E196" i="12"/>
  <c r="G196" i="12" s="1"/>
  <c r="E196" i="39"/>
  <c r="G196" i="39" s="1"/>
  <c r="H196" i="39" s="1"/>
  <c r="I196" i="39" s="1"/>
  <c r="J196" i="39" s="1"/>
  <c r="I197" i="25" s="1"/>
  <c r="G197" i="25"/>
  <c r="E264" i="39"/>
  <c r="G264" i="39" s="1"/>
  <c r="H264" i="39" s="1"/>
  <c r="I264" i="39" s="1"/>
  <c r="J264" i="39" s="1"/>
  <c r="I265" i="25" s="1"/>
  <c r="E264" i="12"/>
  <c r="G264" i="12" s="1"/>
  <c r="G265" i="25"/>
  <c r="G119" i="25"/>
  <c r="E118" i="39"/>
  <c r="G118" i="39" s="1"/>
  <c r="H118" i="39" s="1"/>
  <c r="I118" i="39" s="1"/>
  <c r="J118" i="39" s="1"/>
  <c r="I119" i="25" s="1"/>
  <c r="E118" i="12"/>
  <c r="G118" i="12" s="1"/>
  <c r="E156" i="12"/>
  <c r="G156" i="12" s="1"/>
  <c r="E156" i="39"/>
  <c r="G156" i="39" s="1"/>
  <c r="H156" i="39" s="1"/>
  <c r="I156" i="39" s="1"/>
  <c r="J156" i="39" s="1"/>
  <c r="I157" i="25" s="1"/>
  <c r="G157" i="25"/>
  <c r="E243" i="39"/>
  <c r="G243" i="39" s="1"/>
  <c r="H243" i="39" s="1"/>
  <c r="I243" i="39" s="1"/>
  <c r="J243" i="39" s="1"/>
  <c r="I244" i="25" s="1"/>
  <c r="G244" i="25"/>
  <c r="E243" i="12"/>
  <c r="G243" i="12" s="1"/>
  <c r="E89" i="39"/>
  <c r="G89" i="39" s="1"/>
  <c r="H89" i="39" s="1"/>
  <c r="I89" i="39" s="1"/>
  <c r="J89" i="39" s="1"/>
  <c r="I90" i="25" s="1"/>
  <c r="G90" i="25"/>
  <c r="E89" i="12"/>
  <c r="G89" i="12" s="1"/>
  <c r="E100" i="39"/>
  <c r="G100" i="39" s="1"/>
  <c r="H100" i="39" s="1"/>
  <c r="I100" i="39" s="1"/>
  <c r="J100" i="39" s="1"/>
  <c r="I101" i="25" s="1"/>
  <c r="G101" i="25"/>
  <c r="E100" i="12"/>
  <c r="G100" i="12" s="1"/>
  <c r="E145" i="12"/>
  <c r="G145" i="12" s="1"/>
  <c r="G146" i="25"/>
  <c r="E145" i="39"/>
  <c r="G145" i="39" s="1"/>
  <c r="H145" i="39" s="1"/>
  <c r="I145" i="39" s="1"/>
  <c r="J145" i="39" s="1"/>
  <c r="I146" i="25" s="1"/>
  <c r="G61" i="25"/>
  <c r="E60" i="39"/>
  <c r="G60" i="39" s="1"/>
  <c r="H60" i="39" s="1"/>
  <c r="I60" i="39" s="1"/>
  <c r="J60" i="39" s="1"/>
  <c r="I61" i="25" s="1"/>
  <c r="E60" i="12"/>
  <c r="G60" i="12" s="1"/>
  <c r="E260" i="12"/>
  <c r="G260" i="12" s="1"/>
  <c r="G261" i="25"/>
  <c r="E260" i="39"/>
  <c r="G260" i="39" s="1"/>
  <c r="H260" i="39" s="1"/>
  <c r="I260" i="39" s="1"/>
  <c r="J260" i="39" s="1"/>
  <c r="I261" i="25" s="1"/>
  <c r="G133" i="25"/>
  <c r="E132" i="12"/>
  <c r="G132" i="12" s="1"/>
  <c r="E132" i="39"/>
  <c r="G132" i="39" s="1"/>
  <c r="H132" i="39" s="1"/>
  <c r="I132" i="39" s="1"/>
  <c r="J132" i="39" s="1"/>
  <c r="I133" i="25" s="1"/>
  <c r="G164" i="25"/>
  <c r="E163" i="39"/>
  <c r="G163" i="39" s="1"/>
  <c r="H163" i="39" s="1"/>
  <c r="I163" i="39" s="1"/>
  <c r="J163" i="39" s="1"/>
  <c r="I164" i="25" s="1"/>
  <c r="E163" i="12"/>
  <c r="G163" i="12" s="1"/>
  <c r="E237" i="12"/>
  <c r="G237" i="12" s="1"/>
  <c r="E237" i="39"/>
  <c r="G237" i="39" s="1"/>
  <c r="H237" i="39" s="1"/>
  <c r="I237" i="39" s="1"/>
  <c r="J237" i="39" s="1"/>
  <c r="I238" i="25" s="1"/>
  <c r="G238" i="25"/>
  <c r="G302" i="25"/>
  <c r="E301" i="39"/>
  <c r="G301" i="39" s="1"/>
  <c r="H301" i="39" s="1"/>
  <c r="I301" i="39" s="1"/>
  <c r="J301" i="39" s="1"/>
  <c r="I302" i="25" s="1"/>
  <c r="E301" i="12"/>
  <c r="G301" i="12" s="1"/>
  <c r="E63" i="12"/>
  <c r="G63" i="12" s="1"/>
  <c r="G64" i="25"/>
  <c r="E63" i="39"/>
  <c r="G63" i="39" s="1"/>
  <c r="H63" i="39" s="1"/>
  <c r="I63" i="39" s="1"/>
  <c r="J63" i="39" s="1"/>
  <c r="I64" i="25" s="1"/>
  <c r="E45" i="12"/>
  <c r="G45" i="12" s="1"/>
  <c r="G46" i="25"/>
  <c r="E45" i="39"/>
  <c r="G45" i="39" s="1"/>
  <c r="H45" i="39" s="1"/>
  <c r="I45" i="39" s="1"/>
  <c r="J45" i="39" s="1"/>
  <c r="I46" i="25" s="1"/>
  <c r="G87" i="25"/>
  <c r="E86" i="39"/>
  <c r="G86" i="39" s="1"/>
  <c r="H86" i="39" s="1"/>
  <c r="I86" i="39" s="1"/>
  <c r="J86" i="39" s="1"/>
  <c r="I87" i="25" s="1"/>
  <c r="E86" i="12"/>
  <c r="G86" i="12" s="1"/>
  <c r="G262" i="25"/>
  <c r="E261" i="39"/>
  <c r="G261" i="39" s="1"/>
  <c r="H261" i="39" s="1"/>
  <c r="I261" i="39" s="1"/>
  <c r="J261" i="39" s="1"/>
  <c r="I262" i="25" s="1"/>
  <c r="E261" i="12"/>
  <c r="G261" i="12" s="1"/>
  <c r="E248" i="39"/>
  <c r="G248" i="39" s="1"/>
  <c r="H248" i="39" s="1"/>
  <c r="I248" i="39" s="1"/>
  <c r="J248" i="39" s="1"/>
  <c r="I249" i="25" s="1"/>
  <c r="E248" i="12"/>
  <c r="G248" i="12" s="1"/>
  <c r="G249" i="25"/>
  <c r="E170" i="39"/>
  <c r="G170" i="39" s="1"/>
  <c r="H170" i="39" s="1"/>
  <c r="I170" i="39" s="1"/>
  <c r="J170" i="39" s="1"/>
  <c r="I171" i="25" s="1"/>
  <c r="E170" i="12"/>
  <c r="G170" i="12" s="1"/>
  <c r="G171" i="25"/>
  <c r="G39" i="25"/>
  <c r="E38" i="12"/>
  <c r="G38" i="12" s="1"/>
  <c r="E38" i="39"/>
  <c r="G38" i="39" s="1"/>
  <c r="H38" i="39" s="1"/>
  <c r="I38" i="39" s="1"/>
  <c r="J38" i="39" s="1"/>
  <c r="I39" i="25" s="1"/>
  <c r="G239" i="25"/>
  <c r="E238" i="39"/>
  <c r="G238" i="39" s="1"/>
  <c r="H238" i="39" s="1"/>
  <c r="I238" i="39" s="1"/>
  <c r="J238" i="39" s="1"/>
  <c r="I239" i="25" s="1"/>
  <c r="E238" i="12"/>
  <c r="G238" i="12" s="1"/>
  <c r="E26" i="12"/>
  <c r="G26" i="12" s="1"/>
  <c r="G27" i="25"/>
  <c r="E26" i="39"/>
  <c r="G26" i="39" s="1"/>
  <c r="H26" i="39" s="1"/>
  <c r="I26" i="39" s="1"/>
  <c r="J26" i="39" s="1"/>
  <c r="I27" i="25" s="1"/>
  <c r="E169" i="12"/>
  <c r="G169" i="12" s="1"/>
  <c r="G170" i="25"/>
  <c r="E169" i="39"/>
  <c r="G169" i="39" s="1"/>
  <c r="H169" i="39" s="1"/>
  <c r="I169" i="39" s="1"/>
  <c r="J169" i="39" s="1"/>
  <c r="I170" i="25" s="1"/>
  <c r="E312" i="39"/>
  <c r="G312" i="39" s="1"/>
  <c r="H312" i="39" s="1"/>
  <c r="I312" i="39" s="1"/>
  <c r="J312" i="39" s="1"/>
  <c r="I313" i="25" s="1"/>
  <c r="G313" i="25"/>
  <c r="E312" i="12"/>
  <c r="G312" i="12" s="1"/>
  <c r="E231" i="39"/>
  <c r="G231" i="39" s="1"/>
  <c r="H231" i="39" s="1"/>
  <c r="I231" i="39" s="1"/>
  <c r="J231" i="39" s="1"/>
  <c r="I232" i="25" s="1"/>
  <c r="E231" i="12"/>
  <c r="G231" i="12" s="1"/>
  <c r="G232" i="25"/>
  <c r="E302" i="12"/>
  <c r="G302" i="12" s="1"/>
  <c r="G303" i="25"/>
  <c r="E302" i="39"/>
  <c r="G302" i="39" s="1"/>
  <c r="H302" i="39" s="1"/>
  <c r="I302" i="39" s="1"/>
  <c r="J302" i="39" s="1"/>
  <c r="I303" i="25" s="1"/>
  <c r="E209" i="39"/>
  <c r="G209" i="39" s="1"/>
  <c r="H209" i="39" s="1"/>
  <c r="I209" i="39" s="1"/>
  <c r="J209" i="39" s="1"/>
  <c r="I210" i="25" s="1"/>
  <c r="G210" i="25"/>
  <c r="E209" i="12"/>
  <c r="G209" i="12" s="1"/>
  <c r="G260" i="25"/>
  <c r="E259" i="12"/>
  <c r="G259" i="12" s="1"/>
  <c r="E259" i="39"/>
  <c r="G259" i="39" s="1"/>
  <c r="H259" i="39" s="1"/>
  <c r="I259" i="39" s="1"/>
  <c r="J259" i="39" s="1"/>
  <c r="I260" i="25" s="1"/>
  <c r="G245" i="25"/>
  <c r="E244" i="39"/>
  <c r="G244" i="39" s="1"/>
  <c r="H244" i="39" s="1"/>
  <c r="I244" i="39" s="1"/>
  <c r="J244" i="39" s="1"/>
  <c r="I245" i="25" s="1"/>
  <c r="E244" i="12"/>
  <c r="G244" i="12" s="1"/>
  <c r="E167" i="39"/>
  <c r="G167" i="39" s="1"/>
  <c r="H167" i="39" s="1"/>
  <c r="I167" i="39" s="1"/>
  <c r="J167" i="39" s="1"/>
  <c r="I168" i="25" s="1"/>
  <c r="G168" i="25"/>
  <c r="E167" i="12"/>
  <c r="G167" i="12" s="1"/>
  <c r="E80" i="39"/>
  <c r="G80" i="39" s="1"/>
  <c r="H80" i="39" s="1"/>
  <c r="I80" i="39" s="1"/>
  <c r="J80" i="39" s="1"/>
  <c r="I81" i="25" s="1"/>
  <c r="G81" i="25"/>
  <c r="E80" i="12"/>
  <c r="G80" i="12" s="1"/>
  <c r="E121" i="12"/>
  <c r="G121" i="12" s="1"/>
  <c r="G122" i="25"/>
  <c r="E121" i="39"/>
  <c r="G121" i="39" s="1"/>
  <c r="H121" i="39" s="1"/>
  <c r="I121" i="39" s="1"/>
  <c r="J121" i="39" s="1"/>
  <c r="I122" i="25" s="1"/>
  <c r="E273" i="39"/>
  <c r="G273" i="39" s="1"/>
  <c r="H273" i="39" s="1"/>
  <c r="I273" i="39" s="1"/>
  <c r="J273" i="39" s="1"/>
  <c r="I274" i="25" s="1"/>
  <c r="G274" i="25"/>
  <c r="E273" i="12"/>
  <c r="G273" i="12" s="1"/>
  <c r="H273" i="12" s="1"/>
  <c r="G198" i="25"/>
  <c r="E197" i="12"/>
  <c r="G197" i="12" s="1"/>
  <c r="E197" i="39"/>
  <c r="G197" i="39" s="1"/>
  <c r="H197" i="39" s="1"/>
  <c r="I197" i="39" s="1"/>
  <c r="J197" i="39" s="1"/>
  <c r="I198" i="25" s="1"/>
  <c r="E184" i="39"/>
  <c r="G184" i="39" s="1"/>
  <c r="H184" i="39" s="1"/>
  <c r="I184" i="39" s="1"/>
  <c r="J184" i="39" s="1"/>
  <c r="I185" i="25" s="1"/>
  <c r="G185" i="25"/>
  <c r="E184" i="12"/>
  <c r="G184" i="12" s="1"/>
  <c r="E144" i="39"/>
  <c r="G144" i="39" s="1"/>
  <c r="H144" i="39" s="1"/>
  <c r="I144" i="39" s="1"/>
  <c r="J144" i="39" s="1"/>
  <c r="I145" i="25" s="1"/>
  <c r="E144" i="12"/>
  <c r="G144" i="12" s="1"/>
  <c r="G145" i="25"/>
  <c r="E249" i="39"/>
  <c r="G249" i="39" s="1"/>
  <c r="H249" i="39" s="1"/>
  <c r="I249" i="39" s="1"/>
  <c r="J249" i="39" s="1"/>
  <c r="I250" i="25" s="1"/>
  <c r="G250" i="25"/>
  <c r="E249" i="12"/>
  <c r="G249" i="12" s="1"/>
  <c r="G183" i="25"/>
  <c r="E182" i="39"/>
  <c r="G182" i="39" s="1"/>
  <c r="H182" i="39" s="1"/>
  <c r="I182" i="39" s="1"/>
  <c r="J182" i="39" s="1"/>
  <c r="I183" i="25" s="1"/>
  <c r="E182" i="12"/>
  <c r="G182" i="12" s="1"/>
  <c r="E52" i="39"/>
  <c r="G52" i="39" s="1"/>
  <c r="H52" i="39" s="1"/>
  <c r="I52" i="39" s="1"/>
  <c r="J52" i="39" s="1"/>
  <c r="I53" i="25" s="1"/>
  <c r="G53" i="25"/>
  <c r="E52" i="12"/>
  <c r="G52" i="12" s="1"/>
  <c r="E198" i="12"/>
  <c r="G198" i="12" s="1"/>
  <c r="G199" i="25"/>
  <c r="E198" i="39"/>
  <c r="G198" i="39" s="1"/>
  <c r="H198" i="39" s="1"/>
  <c r="I198" i="39" s="1"/>
  <c r="J198" i="39" s="1"/>
  <c r="I199" i="25" s="1"/>
  <c r="E150" i="39"/>
  <c r="G150" i="39" s="1"/>
  <c r="H150" i="39" s="1"/>
  <c r="I150" i="39" s="1"/>
  <c r="J150" i="39" s="1"/>
  <c r="I151" i="25" s="1"/>
  <c r="E150" i="12"/>
  <c r="G150" i="12" s="1"/>
  <c r="G151" i="25"/>
  <c r="G85" i="25"/>
  <c r="E84" i="39"/>
  <c r="G84" i="39" s="1"/>
  <c r="H84" i="39" s="1"/>
  <c r="I84" i="39" s="1"/>
  <c r="J84" i="39" s="1"/>
  <c r="I85" i="25" s="1"/>
  <c r="E84" i="12"/>
  <c r="G84" i="12" s="1"/>
  <c r="E275" i="12"/>
  <c r="G275" i="12" s="1"/>
  <c r="E275" i="39"/>
  <c r="G275" i="39" s="1"/>
  <c r="H275" i="39" s="1"/>
  <c r="I275" i="39" s="1"/>
  <c r="J275" i="39" s="1"/>
  <c r="I276" i="25" s="1"/>
  <c r="G276" i="25"/>
  <c r="E133" i="12"/>
  <c r="G133" i="12" s="1"/>
  <c r="E133" i="39"/>
  <c r="G133" i="39" s="1"/>
  <c r="H133" i="39" s="1"/>
  <c r="I133" i="39" s="1"/>
  <c r="J133" i="39" s="1"/>
  <c r="I134" i="25" s="1"/>
  <c r="G134" i="25"/>
  <c r="E137" i="12"/>
  <c r="G137" i="12" s="1"/>
  <c r="G138" i="25"/>
  <c r="E137" i="39"/>
  <c r="G137" i="39" s="1"/>
  <c r="H137" i="39" s="1"/>
  <c r="I137" i="39" s="1"/>
  <c r="J137" i="39" s="1"/>
  <c r="I138" i="25" s="1"/>
  <c r="E185" i="12"/>
  <c r="G185" i="12" s="1"/>
  <c r="E185" i="39"/>
  <c r="G185" i="39" s="1"/>
  <c r="H185" i="39" s="1"/>
  <c r="I185" i="39" s="1"/>
  <c r="J185" i="39" s="1"/>
  <c r="I186" i="25" s="1"/>
  <c r="G186" i="25"/>
  <c r="E126" i="12"/>
  <c r="G126" i="12" s="1"/>
  <c r="G127" i="25"/>
  <c r="E126" i="39"/>
  <c r="G126" i="39" s="1"/>
  <c r="H126" i="39" s="1"/>
  <c r="I126" i="39" s="1"/>
  <c r="J126" i="39" s="1"/>
  <c r="I127" i="25" s="1"/>
  <c r="E174" i="39"/>
  <c r="G174" i="39" s="1"/>
  <c r="H174" i="39" s="1"/>
  <c r="I174" i="39" s="1"/>
  <c r="J174" i="39" s="1"/>
  <c r="I175" i="25" s="1"/>
  <c r="G175" i="25"/>
  <c r="E174" i="12"/>
  <c r="G174" i="12" s="1"/>
  <c r="E72" i="12"/>
  <c r="G72" i="12" s="1"/>
  <c r="E72" i="39"/>
  <c r="G72" i="39" s="1"/>
  <c r="H72" i="39" s="1"/>
  <c r="I72" i="39" s="1"/>
  <c r="J72" i="39" s="1"/>
  <c r="I73" i="25" s="1"/>
  <c r="G73" i="25"/>
  <c r="E287" i="39"/>
  <c r="G287" i="39" s="1"/>
  <c r="H287" i="39" s="1"/>
  <c r="I287" i="39" s="1"/>
  <c r="J287" i="39" s="1"/>
  <c r="I288" i="25" s="1"/>
  <c r="G288" i="25"/>
  <c r="E287" i="12"/>
  <c r="G287" i="12" s="1"/>
  <c r="E19" i="12"/>
  <c r="G19" i="12" s="1"/>
  <c r="E19" i="39"/>
  <c r="G19" i="39" s="1"/>
  <c r="H19" i="39" s="1"/>
  <c r="I19" i="39" s="1"/>
  <c r="J19" i="39" s="1"/>
  <c r="I20" i="25" s="1"/>
  <c r="G20" i="25"/>
  <c r="E263" i="39"/>
  <c r="G263" i="39" s="1"/>
  <c r="H263" i="39" s="1"/>
  <c r="I263" i="39" s="1"/>
  <c r="J263" i="39" s="1"/>
  <c r="I264" i="25" s="1"/>
  <c r="E263" i="12"/>
  <c r="G263" i="12" s="1"/>
  <c r="G264" i="25"/>
  <c r="E206" i="12"/>
  <c r="G206" i="12" s="1"/>
  <c r="E206" i="39"/>
  <c r="G206" i="39" s="1"/>
  <c r="H206" i="39" s="1"/>
  <c r="I206" i="39" s="1"/>
  <c r="J206" i="39" s="1"/>
  <c r="I207" i="25" s="1"/>
  <c r="G207" i="25"/>
  <c r="E284" i="12"/>
  <c r="G284" i="12" s="1"/>
  <c r="G285" i="25"/>
  <c r="E284" i="39"/>
  <c r="G284" i="39" s="1"/>
  <c r="H284" i="39" s="1"/>
  <c r="I284" i="39" s="1"/>
  <c r="J284" i="39" s="1"/>
  <c r="I285" i="25" s="1"/>
  <c r="G159" i="25"/>
  <c r="E158" i="12"/>
  <c r="G158" i="12" s="1"/>
  <c r="E158" i="39"/>
  <c r="G158" i="39" s="1"/>
  <c r="H158" i="39" s="1"/>
  <c r="I158" i="39" s="1"/>
  <c r="J158" i="39" s="1"/>
  <c r="I159" i="25" s="1"/>
  <c r="G23" i="25"/>
  <c r="E22" i="12"/>
  <c r="G22" i="12" s="1"/>
  <c r="E22" i="39"/>
  <c r="G22" i="39" s="1"/>
  <c r="H22" i="39" s="1"/>
  <c r="I22" i="39" s="1"/>
  <c r="J22" i="39" s="1"/>
  <c r="I23" i="25" s="1"/>
  <c r="G63" i="25"/>
  <c r="E62" i="12"/>
  <c r="G62" i="12" s="1"/>
  <c r="E62" i="39"/>
  <c r="G62" i="39" s="1"/>
  <c r="H62" i="39" s="1"/>
  <c r="I62" i="39" s="1"/>
  <c r="J62" i="39" s="1"/>
  <c r="I63" i="25" s="1"/>
  <c r="G179" i="25"/>
  <c r="E178" i="12"/>
  <c r="G178" i="12" s="1"/>
  <c r="E178" i="39"/>
  <c r="G178" i="39" s="1"/>
  <c r="H178" i="39" s="1"/>
  <c r="I178" i="39" s="1"/>
  <c r="J178" i="39" s="1"/>
  <c r="I179" i="25" s="1"/>
  <c r="G213" i="25"/>
  <c r="E212" i="12"/>
  <c r="G212" i="12" s="1"/>
  <c r="E212" i="39"/>
  <c r="G212" i="39" s="1"/>
  <c r="H212" i="39" s="1"/>
  <c r="I212" i="39" s="1"/>
  <c r="J212" i="39" s="1"/>
  <c r="I213" i="25" s="1"/>
  <c r="E297" i="39"/>
  <c r="G297" i="39" s="1"/>
  <c r="H297" i="39" s="1"/>
  <c r="I297" i="39" s="1"/>
  <c r="J297" i="39" s="1"/>
  <c r="I298" i="25" s="1"/>
  <c r="E297" i="12"/>
  <c r="G297" i="12" s="1"/>
  <c r="G298" i="25"/>
  <c r="E267" i="39"/>
  <c r="G267" i="39" s="1"/>
  <c r="H267" i="39" s="1"/>
  <c r="I267" i="39" s="1"/>
  <c r="J267" i="39" s="1"/>
  <c r="I268" i="25" s="1"/>
  <c r="E267" i="12"/>
  <c r="G267" i="12" s="1"/>
  <c r="G268" i="25"/>
  <c r="E308" i="12"/>
  <c r="G308" i="12" s="1"/>
  <c r="E308" i="39"/>
  <c r="G308" i="39" s="1"/>
  <c r="H308" i="39" s="1"/>
  <c r="I308" i="39" s="1"/>
  <c r="J308" i="39" s="1"/>
  <c r="I309" i="25" s="1"/>
  <c r="G309" i="25"/>
  <c r="E201" i="12"/>
  <c r="G201" i="12" s="1"/>
  <c r="G202" i="25"/>
  <c r="E201" i="39"/>
  <c r="G201" i="39" s="1"/>
  <c r="H201" i="39" s="1"/>
  <c r="I201" i="39" s="1"/>
  <c r="J201" i="39" s="1"/>
  <c r="I202" i="25" s="1"/>
  <c r="G229" i="25"/>
  <c r="E228" i="39"/>
  <c r="G228" i="39" s="1"/>
  <c r="H228" i="39" s="1"/>
  <c r="I228" i="39" s="1"/>
  <c r="J228" i="39" s="1"/>
  <c r="I229" i="25" s="1"/>
  <c r="E228" i="12"/>
  <c r="G228" i="12" s="1"/>
  <c r="G194" i="25"/>
  <c r="E193" i="12"/>
  <c r="G193" i="12" s="1"/>
  <c r="E193" i="39"/>
  <c r="G193" i="39" s="1"/>
  <c r="H193" i="39" s="1"/>
  <c r="I193" i="39" s="1"/>
  <c r="J193" i="39" s="1"/>
  <c r="I194" i="25" s="1"/>
  <c r="E9" i="39"/>
  <c r="G9" i="39" s="1"/>
  <c r="H9" i="39" s="1"/>
  <c r="I9" i="39" s="1"/>
  <c r="J9" i="39" s="1"/>
  <c r="I10" i="25" s="1"/>
  <c r="E9" i="12"/>
  <c r="G9" i="12" s="1"/>
  <c r="G10" i="25"/>
  <c r="E123" i="39"/>
  <c r="G123" i="39" s="1"/>
  <c r="H123" i="39" s="1"/>
  <c r="I123" i="39" s="1"/>
  <c r="J123" i="39" s="1"/>
  <c r="I124" i="25" s="1"/>
  <c r="G124" i="25"/>
  <c r="E123" i="12"/>
  <c r="G123" i="12" s="1"/>
  <c r="G237" i="25"/>
  <c r="E236" i="12"/>
  <c r="G236" i="12" s="1"/>
  <c r="E236" i="39"/>
  <c r="G236" i="39" s="1"/>
  <c r="H236" i="39" s="1"/>
  <c r="I236" i="39" s="1"/>
  <c r="J236" i="39" s="1"/>
  <c r="I237" i="25" s="1"/>
  <c r="E190" i="39"/>
  <c r="G190" i="39" s="1"/>
  <c r="H190" i="39" s="1"/>
  <c r="I190" i="39" s="1"/>
  <c r="J190" i="39" s="1"/>
  <c r="I191" i="25" s="1"/>
  <c r="G191" i="25"/>
  <c r="E190" i="12"/>
  <c r="G190" i="12" s="1"/>
  <c r="E21" i="12"/>
  <c r="G21" i="12" s="1"/>
  <c r="G22" i="25"/>
  <c r="E21" i="39"/>
  <c r="G21" i="39" s="1"/>
  <c r="H21" i="39" s="1"/>
  <c r="I21" i="39" s="1"/>
  <c r="J21" i="39" s="1"/>
  <c r="I22" i="25" s="1"/>
  <c r="G125" i="25"/>
  <c r="E124" i="12"/>
  <c r="G124" i="12" s="1"/>
  <c r="E124" i="39"/>
  <c r="G124" i="39" s="1"/>
  <c r="H124" i="39" s="1"/>
  <c r="I124" i="39" s="1"/>
  <c r="J124" i="39" s="1"/>
  <c r="I125" i="25" s="1"/>
  <c r="G212" i="25"/>
  <c r="E211" i="39"/>
  <c r="G211" i="39" s="1"/>
  <c r="H211" i="39" s="1"/>
  <c r="I211" i="39" s="1"/>
  <c r="J211" i="39" s="1"/>
  <c r="E211" i="12"/>
  <c r="G211" i="12" s="1"/>
  <c r="G156" i="25"/>
  <c r="E155" i="39"/>
  <c r="G155" i="39" s="1"/>
  <c r="H155" i="39" s="1"/>
  <c r="I155" i="39" s="1"/>
  <c r="J155" i="39" s="1"/>
  <c r="I156" i="25" s="1"/>
  <c r="E155" i="12"/>
  <c r="G155" i="12" s="1"/>
  <c r="G83" i="25"/>
  <c r="E82" i="12"/>
  <c r="G82" i="12" s="1"/>
  <c r="E82" i="39"/>
  <c r="G82" i="39" s="1"/>
  <c r="H82" i="39" s="1"/>
  <c r="I82" i="39" s="1"/>
  <c r="J82" i="39" s="1"/>
  <c r="I83" i="25" s="1"/>
  <c r="G16" i="25"/>
  <c r="E15" i="39"/>
  <c r="G15" i="39" s="1"/>
  <c r="H15" i="39" s="1"/>
  <c r="I15" i="39" s="1"/>
  <c r="J15" i="39" s="1"/>
  <c r="I16" i="25" s="1"/>
  <c r="E15" i="12"/>
  <c r="G15" i="12" s="1"/>
  <c r="E107" i="12"/>
  <c r="G107" i="12" s="1"/>
  <c r="E107" i="39"/>
  <c r="G107" i="39" s="1"/>
  <c r="H107" i="39" s="1"/>
  <c r="I107" i="39" s="1"/>
  <c r="J107" i="39" s="1"/>
  <c r="I108" i="25" s="1"/>
  <c r="G108" i="25"/>
  <c r="E199" i="12"/>
  <c r="G199" i="12" s="1"/>
  <c r="G200" i="25"/>
  <c r="E199" i="39"/>
  <c r="G199" i="39" s="1"/>
  <c r="H199" i="39" s="1"/>
  <c r="I199" i="39" s="1"/>
  <c r="J199" i="39" s="1"/>
  <c r="I200" i="25" s="1"/>
  <c r="E117" i="12"/>
  <c r="G117" i="12" s="1"/>
  <c r="E117" i="39"/>
  <c r="G117" i="39" s="1"/>
  <c r="H117" i="39" s="1"/>
  <c r="I117" i="39" s="1"/>
  <c r="J117" i="39" s="1"/>
  <c r="I118" i="25" s="1"/>
  <c r="G118" i="25"/>
  <c r="G284" i="25"/>
  <c r="E283" i="39"/>
  <c r="G283" i="39" s="1"/>
  <c r="H283" i="39" s="1"/>
  <c r="I283" i="39" s="1"/>
  <c r="J283" i="39" s="1"/>
  <c r="I284" i="25" s="1"/>
  <c r="E283" i="12"/>
  <c r="G283" i="12" s="1"/>
  <c r="E122" i="12"/>
  <c r="G122" i="12" s="1"/>
  <c r="G123" i="25"/>
  <c r="E122" i="39"/>
  <c r="G122" i="39" s="1"/>
  <c r="H122" i="39" s="1"/>
  <c r="I122" i="39" s="1"/>
  <c r="J122" i="39" s="1"/>
  <c r="I123" i="25" s="1"/>
  <c r="E77" i="39"/>
  <c r="G77" i="39" s="1"/>
  <c r="H77" i="39" s="1"/>
  <c r="I77" i="39" s="1"/>
  <c r="J77" i="39" s="1"/>
  <c r="I78" i="25" s="1"/>
  <c r="G78" i="25"/>
  <c r="E77" i="12"/>
  <c r="G77" i="12" s="1"/>
  <c r="G21" i="25"/>
  <c r="E20" i="39"/>
  <c r="G20" i="39" s="1"/>
  <c r="H20" i="39" s="1"/>
  <c r="I20" i="39" s="1"/>
  <c r="J20" i="39" s="1"/>
  <c r="I21" i="25" s="1"/>
  <c r="E20" i="12"/>
  <c r="G20" i="12" s="1"/>
  <c r="E179" i="39"/>
  <c r="G179" i="39" s="1"/>
  <c r="H179" i="39" s="1"/>
  <c r="I179" i="39" s="1"/>
  <c r="J179" i="39" s="1"/>
  <c r="I180" i="25" s="1"/>
  <c r="E179" i="12"/>
  <c r="G179" i="12" s="1"/>
  <c r="G180" i="25"/>
  <c r="G51" i="25"/>
  <c r="E50" i="39"/>
  <c r="G50" i="39" s="1"/>
  <c r="H50" i="39" s="1"/>
  <c r="I50" i="39" s="1"/>
  <c r="J50" i="39" s="1"/>
  <c r="I51" i="25" s="1"/>
  <c r="E50" i="12"/>
  <c r="G50" i="12" s="1"/>
  <c r="G255" i="25"/>
  <c r="E254" i="12"/>
  <c r="G254" i="12" s="1"/>
  <c r="E254" i="39"/>
  <c r="G254" i="39" s="1"/>
  <c r="H254" i="39" s="1"/>
  <c r="I254" i="39" s="1"/>
  <c r="J254" i="39" s="1"/>
  <c r="I255" i="25" s="1"/>
  <c r="G236" i="25"/>
  <c r="E235" i="39"/>
  <c r="G235" i="39" s="1"/>
  <c r="H235" i="39" s="1"/>
  <c r="I235" i="39" s="1"/>
  <c r="J235" i="39" s="1"/>
  <c r="I236" i="25" s="1"/>
  <c r="E235" i="12"/>
  <c r="G235" i="12" s="1"/>
  <c r="E219" i="12"/>
  <c r="G219" i="12" s="1"/>
  <c r="G220" i="25"/>
  <c r="E219" i="39"/>
  <c r="G219" i="39" s="1"/>
  <c r="H219" i="39" s="1"/>
  <c r="I219" i="39" s="1"/>
  <c r="J219" i="39" s="1"/>
  <c r="I220" i="25" s="1"/>
  <c r="E141" i="39"/>
  <c r="G141" i="39" s="1"/>
  <c r="H141" i="39" s="1"/>
  <c r="I141" i="39" s="1"/>
  <c r="J141" i="39" s="1"/>
  <c r="I142" i="25" s="1"/>
  <c r="G142" i="25"/>
  <c r="E141" i="12"/>
  <c r="G141" i="12" s="1"/>
  <c r="G223" i="25"/>
  <c r="E222" i="39"/>
  <c r="G222" i="39" s="1"/>
  <c r="H222" i="39" s="1"/>
  <c r="I222" i="39" s="1"/>
  <c r="J222" i="39" s="1"/>
  <c r="I223" i="25" s="1"/>
  <c r="E222" i="12"/>
  <c r="G222" i="12" s="1"/>
  <c r="G97" i="25"/>
  <c r="E96" i="39"/>
  <c r="G96" i="39" s="1"/>
  <c r="H96" i="39" s="1"/>
  <c r="I96" i="39" s="1"/>
  <c r="J96" i="39" s="1"/>
  <c r="I97" i="25" s="1"/>
  <c r="E96" i="12"/>
  <c r="G96" i="12" s="1"/>
  <c r="E177" i="39"/>
  <c r="G177" i="39" s="1"/>
  <c r="H177" i="39" s="1"/>
  <c r="I177" i="39" s="1"/>
  <c r="J177" i="39" s="1"/>
  <c r="I178" i="25" s="1"/>
  <c r="G178" i="25"/>
  <c r="E177" i="12"/>
  <c r="G177" i="12" s="1"/>
  <c r="E16" i="12"/>
  <c r="G16" i="12" s="1"/>
  <c r="E16" i="39"/>
  <c r="G16" i="39" s="1"/>
  <c r="H16" i="39" s="1"/>
  <c r="I16" i="39" s="1"/>
  <c r="J16" i="39" s="1"/>
  <c r="I17" i="25" s="1"/>
  <c r="G17" i="25"/>
  <c r="E311" i="39"/>
  <c r="G311" i="39" s="1"/>
  <c r="H311" i="39" s="1"/>
  <c r="I311" i="39" s="1"/>
  <c r="J311" i="39" s="1"/>
  <c r="I312" i="25" s="1"/>
  <c r="G312" i="25"/>
  <c r="E311" i="12"/>
  <c r="G311" i="12" s="1"/>
  <c r="E257" i="39"/>
  <c r="G257" i="39" s="1"/>
  <c r="H257" i="39" s="1"/>
  <c r="I257" i="39" s="1"/>
  <c r="J257" i="39" s="1"/>
  <c r="I258" i="25" s="1"/>
  <c r="G258" i="25"/>
  <c r="E257" i="12"/>
  <c r="G257" i="12" s="1"/>
  <c r="E180" i="12"/>
  <c r="G180" i="12" s="1"/>
  <c r="E180" i="39"/>
  <c r="G180" i="39" s="1"/>
  <c r="H180" i="39" s="1"/>
  <c r="I180" i="39" s="1"/>
  <c r="J180" i="39" s="1"/>
  <c r="I181" i="25" s="1"/>
  <c r="G181" i="25"/>
  <c r="G95" i="25"/>
  <c r="E94" i="12"/>
  <c r="G94" i="12" s="1"/>
  <c r="E94" i="39"/>
  <c r="G94" i="39" s="1"/>
  <c r="H94" i="39" s="1"/>
  <c r="I94" i="39" s="1"/>
  <c r="J94" i="39" s="1"/>
  <c r="I95" i="25" s="1"/>
  <c r="G248" i="25"/>
  <c r="E247" i="12"/>
  <c r="G247" i="12" s="1"/>
  <c r="E247" i="39"/>
  <c r="G247" i="39" s="1"/>
  <c r="H247" i="39" s="1"/>
  <c r="I247" i="39" s="1"/>
  <c r="J247" i="39" s="1"/>
  <c r="I248" i="25" s="1"/>
  <c r="G158" i="25"/>
  <c r="E157" i="39"/>
  <c r="G157" i="39" s="1"/>
  <c r="H157" i="39" s="1"/>
  <c r="I157" i="39" s="1"/>
  <c r="J157" i="39" s="1"/>
  <c r="I158" i="25" s="1"/>
  <c r="E157" i="12"/>
  <c r="G157" i="12" s="1"/>
  <c r="G161" i="25"/>
  <c r="E160" i="39"/>
  <c r="G160" i="39" s="1"/>
  <c r="H160" i="39" s="1"/>
  <c r="I160" i="39" s="1"/>
  <c r="J160" i="39" s="1"/>
  <c r="I161" i="25" s="1"/>
  <c r="E160" i="12"/>
  <c r="G160" i="12" s="1"/>
  <c r="E229" i="12"/>
  <c r="G229" i="12" s="1"/>
  <c r="G230" i="25"/>
  <c r="E229" i="39"/>
  <c r="G229" i="39" s="1"/>
  <c r="H229" i="39" s="1"/>
  <c r="I229" i="39" s="1"/>
  <c r="J229" i="39" s="1"/>
  <c r="I230" i="25" s="1"/>
  <c r="E251" i="39"/>
  <c r="G251" i="39" s="1"/>
  <c r="H251" i="39" s="1"/>
  <c r="I251" i="39" s="1"/>
  <c r="J251" i="39" s="1"/>
  <c r="I252" i="25" s="1"/>
  <c r="G252" i="25"/>
  <c r="E251" i="12"/>
  <c r="G251" i="12" s="1"/>
  <c r="E269" i="39"/>
  <c r="G269" i="39" s="1"/>
  <c r="H269" i="39" s="1"/>
  <c r="I269" i="39" s="1"/>
  <c r="J269" i="39" s="1"/>
  <c r="I270" i="25" s="1"/>
  <c r="E269" i="12"/>
  <c r="G269" i="12" s="1"/>
  <c r="G270" i="25"/>
  <c r="E293" i="39"/>
  <c r="G293" i="39" s="1"/>
  <c r="H293" i="39" s="1"/>
  <c r="I293" i="39" s="1"/>
  <c r="J293" i="39" s="1"/>
  <c r="I294" i="25" s="1"/>
  <c r="E293" i="12"/>
  <c r="G293" i="12" s="1"/>
  <c r="G294" i="25"/>
  <c r="E282" i="12"/>
  <c r="G282" i="12" s="1"/>
  <c r="E282" i="39"/>
  <c r="G282" i="39" s="1"/>
  <c r="H282" i="39" s="1"/>
  <c r="I282" i="39" s="1"/>
  <c r="J282" i="39" s="1"/>
  <c r="I283" i="25" s="1"/>
  <c r="G283" i="25"/>
  <c r="E69" i="39"/>
  <c r="G69" i="39" s="1"/>
  <c r="H69" i="39" s="1"/>
  <c r="I69" i="39" s="1"/>
  <c r="J69" i="39" s="1"/>
  <c r="I70" i="25" s="1"/>
  <c r="E69" i="12"/>
  <c r="G69" i="12" s="1"/>
  <c r="G70" i="25"/>
  <c r="G257" i="25"/>
  <c r="E256" i="12"/>
  <c r="G256" i="12" s="1"/>
  <c r="E256" i="39"/>
  <c r="G256" i="39" s="1"/>
  <c r="H256" i="39" s="1"/>
  <c r="I256" i="39" s="1"/>
  <c r="J256" i="39" s="1"/>
  <c r="I257" i="25" s="1"/>
  <c r="G66" i="25"/>
  <c r="E65" i="12"/>
  <c r="G65" i="12" s="1"/>
  <c r="E65" i="39"/>
  <c r="G65" i="39" s="1"/>
  <c r="H65" i="39" s="1"/>
  <c r="I65" i="39" s="1"/>
  <c r="J65" i="39" s="1"/>
  <c r="I66" i="25" s="1"/>
  <c r="E79" i="39"/>
  <c r="G79" i="39" s="1"/>
  <c r="H79" i="39" s="1"/>
  <c r="I79" i="39" s="1"/>
  <c r="J79" i="39" s="1"/>
  <c r="I80" i="25" s="1"/>
  <c r="G80" i="25"/>
  <c r="E79" i="12"/>
  <c r="G79" i="12" s="1"/>
  <c r="G100" i="25"/>
  <c r="E99" i="12"/>
  <c r="G99" i="12" s="1"/>
  <c r="E99" i="39"/>
  <c r="G99" i="39" s="1"/>
  <c r="H99" i="39" s="1"/>
  <c r="I99" i="39" s="1"/>
  <c r="J99" i="39" s="1"/>
  <c r="I100" i="25" s="1"/>
  <c r="G45" i="25"/>
  <c r="E44" i="12"/>
  <c r="G44" i="12" s="1"/>
  <c r="E44" i="39"/>
  <c r="G44" i="39" s="1"/>
  <c r="H44" i="39" s="1"/>
  <c r="I44" i="39" s="1"/>
  <c r="J44" i="39" s="1"/>
  <c r="I45" i="25" s="1"/>
  <c r="G25" i="25"/>
  <c r="E24" i="12"/>
  <c r="G24" i="12" s="1"/>
  <c r="E24" i="39"/>
  <c r="G24" i="39" s="1"/>
  <c r="H24" i="39" s="1"/>
  <c r="I24" i="39" s="1"/>
  <c r="J24" i="39" s="1"/>
  <c r="I25" i="25" s="1"/>
  <c r="E300" i="12"/>
  <c r="G300" i="12" s="1"/>
  <c r="G301" i="25"/>
  <c r="E300" i="39"/>
  <c r="G300" i="39" s="1"/>
  <c r="H300" i="39" s="1"/>
  <c r="I300" i="39" s="1"/>
  <c r="J300" i="39" s="1"/>
  <c r="I301" i="25" s="1"/>
  <c r="E214" i="39"/>
  <c r="G214" i="39" s="1"/>
  <c r="H214" i="39" s="1"/>
  <c r="I214" i="39" s="1"/>
  <c r="J214" i="39" s="1"/>
  <c r="I215" i="25" s="1"/>
  <c r="E214" i="12"/>
  <c r="G214" i="12" s="1"/>
  <c r="G215" i="25"/>
  <c r="E188" i="12"/>
  <c r="G188" i="12" s="1"/>
  <c r="E188" i="39"/>
  <c r="G188" i="39" s="1"/>
  <c r="H188" i="39" s="1"/>
  <c r="I188" i="39" s="1"/>
  <c r="J188" i="39" s="1"/>
  <c r="I189" i="25" s="1"/>
  <c r="G189" i="25"/>
  <c r="E203" i="39"/>
  <c r="G203" i="39" s="1"/>
  <c r="H203" i="39" s="1"/>
  <c r="I203" i="39" s="1"/>
  <c r="J203" i="39" s="1"/>
  <c r="I204" i="25" s="1"/>
  <c r="G204" i="25"/>
  <c r="E203" i="12"/>
  <c r="G203" i="12" s="1"/>
  <c r="E13" i="39"/>
  <c r="G13" i="39" s="1"/>
  <c r="H13" i="39" s="1"/>
  <c r="I13" i="39" s="1"/>
  <c r="J13" i="39" s="1"/>
  <c r="I14" i="25" s="1"/>
  <c r="E13" i="12"/>
  <c r="G13" i="12" s="1"/>
  <c r="G14" i="25"/>
  <c r="E106" i="39"/>
  <c r="G106" i="39" s="1"/>
  <c r="H106" i="39" s="1"/>
  <c r="I106" i="39" s="1"/>
  <c r="J106" i="39" s="1"/>
  <c r="I107" i="25" s="1"/>
  <c r="G107" i="25"/>
  <c r="E106" i="12"/>
  <c r="G106" i="12" s="1"/>
  <c r="E162" i="12"/>
  <c r="G162" i="12" s="1"/>
  <c r="E162" i="39"/>
  <c r="G162" i="39" s="1"/>
  <c r="H162" i="39" s="1"/>
  <c r="I162" i="39" s="1"/>
  <c r="J162" i="39" s="1"/>
  <c r="I163" i="25" s="1"/>
  <c r="G163" i="25"/>
  <c r="G235" i="25"/>
  <c r="E234" i="12"/>
  <c r="G234" i="12" s="1"/>
  <c r="E234" i="39"/>
  <c r="G234" i="39" s="1"/>
  <c r="H234" i="39" s="1"/>
  <c r="I234" i="39" s="1"/>
  <c r="J234" i="39" s="1"/>
  <c r="I235" i="25" s="1"/>
  <c r="E279" i="39"/>
  <c r="G279" i="39" s="1"/>
  <c r="H279" i="39" s="1"/>
  <c r="I279" i="39" s="1"/>
  <c r="J279" i="39" s="1"/>
  <c r="I280" i="25" s="1"/>
  <c r="G280" i="25"/>
  <c r="E279" i="12"/>
  <c r="G279" i="12" s="1"/>
  <c r="E29" i="39"/>
  <c r="G29" i="39" s="1"/>
  <c r="H29" i="39" s="1"/>
  <c r="I29" i="39" s="1"/>
  <c r="J29" i="39" s="1"/>
  <c r="I30" i="25" s="1"/>
  <c r="E29" i="12"/>
  <c r="G29" i="12" s="1"/>
  <c r="G30" i="25"/>
  <c r="G266" i="25"/>
  <c r="E265" i="12"/>
  <c r="G265" i="12" s="1"/>
  <c r="E265" i="39"/>
  <c r="G265" i="39" s="1"/>
  <c r="H265" i="39" s="1"/>
  <c r="I265" i="39" s="1"/>
  <c r="J265" i="39" s="1"/>
  <c r="I266" i="25" s="1"/>
  <c r="G154" i="25"/>
  <c r="E153" i="12"/>
  <c r="G153" i="12" s="1"/>
  <c r="E153" i="39"/>
  <c r="G153" i="39" s="1"/>
  <c r="H153" i="39" s="1"/>
  <c r="I153" i="39" s="1"/>
  <c r="J153" i="39" s="1"/>
  <c r="I154" i="25" s="1"/>
  <c r="E217" i="39"/>
  <c r="G217" i="39" s="1"/>
  <c r="H217" i="39" s="1"/>
  <c r="I217" i="39" s="1"/>
  <c r="J217" i="39" s="1"/>
  <c r="I218" i="25" s="1"/>
  <c r="G218" i="25"/>
  <c r="E217" i="12"/>
  <c r="G217" i="12" s="1"/>
  <c r="G282" i="25"/>
  <c r="E281" i="39"/>
  <c r="G281" i="39" s="1"/>
  <c r="H281" i="39" s="1"/>
  <c r="I281" i="39" s="1"/>
  <c r="J281" i="39" s="1"/>
  <c r="I282" i="25" s="1"/>
  <c r="E281" i="12"/>
  <c r="G281" i="12" s="1"/>
  <c r="E7" i="39"/>
  <c r="G7" i="39" s="1"/>
  <c r="H7" i="39" s="1"/>
  <c r="I7" i="39" s="1"/>
  <c r="J7" i="39" s="1"/>
  <c r="I8" i="25" s="1"/>
  <c r="G8" i="25"/>
  <c r="E7" i="12"/>
  <c r="G7" i="12" s="1"/>
  <c r="E28" i="12"/>
  <c r="G28" i="12" s="1"/>
  <c r="G29" i="25"/>
  <c r="E28" i="39"/>
  <c r="G28" i="39" s="1"/>
  <c r="H28" i="39" s="1"/>
  <c r="I28" i="39" s="1"/>
  <c r="J28" i="39" s="1"/>
  <c r="I29" i="25" s="1"/>
  <c r="G137" i="25"/>
  <c r="E136" i="12"/>
  <c r="G136" i="12" s="1"/>
  <c r="E136" i="39"/>
  <c r="G136" i="39" s="1"/>
  <c r="H136" i="39" s="1"/>
  <c r="I136" i="39" s="1"/>
  <c r="J136" i="39" s="1"/>
  <c r="I137" i="25" s="1"/>
  <c r="E138" i="12"/>
  <c r="G138" i="12" s="1"/>
  <c r="E138" i="39"/>
  <c r="G138" i="39" s="1"/>
  <c r="H138" i="39" s="1"/>
  <c r="I138" i="39" s="1"/>
  <c r="J138" i="39" s="1"/>
  <c r="I139" i="25" s="1"/>
  <c r="G139" i="25"/>
  <c r="G272" i="25"/>
  <c r="E271" i="12"/>
  <c r="G271" i="12" s="1"/>
  <c r="H271" i="12" s="1"/>
  <c r="E271" i="39"/>
  <c r="G271" i="39" s="1"/>
  <c r="H271" i="39" s="1"/>
  <c r="I271" i="39" s="1"/>
  <c r="J271" i="39" s="1"/>
  <c r="I272" i="25" s="1"/>
  <c r="G116" i="25"/>
  <c r="E115" i="39"/>
  <c r="G115" i="39" s="1"/>
  <c r="H115" i="39" s="1"/>
  <c r="I115" i="39" s="1"/>
  <c r="J115" i="39" s="1"/>
  <c r="I116" i="25" s="1"/>
  <c r="E115" i="12"/>
  <c r="G115" i="12" s="1"/>
  <c r="E176" i="39"/>
  <c r="G176" i="39" s="1"/>
  <c r="H176" i="39" s="1"/>
  <c r="I176" i="39" s="1"/>
  <c r="J176" i="39" s="1"/>
  <c r="I177" i="25" s="1"/>
  <c r="G177" i="25"/>
  <c r="E176" i="12"/>
  <c r="G176" i="12" s="1"/>
  <c r="E12" i="39"/>
  <c r="G12" i="39" s="1"/>
  <c r="H12" i="39" s="1"/>
  <c r="I12" i="39" s="1"/>
  <c r="J12" i="39" s="1"/>
  <c r="I13" i="25" s="1"/>
  <c r="E12" i="12"/>
  <c r="G12" i="12" s="1"/>
  <c r="G13" i="25"/>
  <c r="G174" i="25"/>
  <c r="E173" i="12"/>
  <c r="G173" i="12" s="1"/>
  <c r="E173" i="39"/>
  <c r="G173" i="39" s="1"/>
  <c r="H173" i="39" s="1"/>
  <c r="I173" i="39" s="1"/>
  <c r="J173" i="39" s="1"/>
  <c r="I174" i="25" s="1"/>
  <c r="E36" i="12"/>
  <c r="G36" i="12" s="1"/>
  <c r="G37" i="25"/>
  <c r="E36" i="39"/>
  <c r="G36" i="39" s="1"/>
  <c r="H36" i="39" s="1"/>
  <c r="I36" i="39" s="1"/>
  <c r="J36" i="39" s="1"/>
  <c r="I37" i="25" s="1"/>
  <c r="E8" i="39"/>
  <c r="G8" i="39" s="1"/>
  <c r="H8" i="39" s="1"/>
  <c r="I8" i="39" s="1"/>
  <c r="J8" i="39" s="1"/>
  <c r="I9" i="25" s="1"/>
  <c r="G9" i="25"/>
  <c r="E8" i="12"/>
  <c r="G8" i="12" s="1"/>
  <c r="G314" i="25"/>
  <c r="E313" i="12"/>
  <c r="G313" i="12" s="1"/>
  <c r="E313" i="39"/>
  <c r="G313" i="39" s="1"/>
  <c r="H313" i="39" s="1"/>
  <c r="I313" i="39" s="1"/>
  <c r="J313" i="39" s="1"/>
  <c r="I314" i="25" s="1"/>
  <c r="G55" i="25"/>
  <c r="E54" i="12"/>
  <c r="G54" i="12" s="1"/>
  <c r="E54" i="39"/>
  <c r="G54" i="39" s="1"/>
  <c r="H54" i="39" s="1"/>
  <c r="I54" i="39" s="1"/>
  <c r="J54" i="39" s="1"/>
  <c r="I55" i="25" s="1"/>
  <c r="E23" i="12"/>
  <c r="G23" i="12" s="1"/>
  <c r="G24" i="25"/>
  <c r="E23" i="39"/>
  <c r="G23" i="39" s="1"/>
  <c r="H23" i="39" s="1"/>
  <c r="I23" i="39" s="1"/>
  <c r="J23" i="39" s="1"/>
  <c r="I24" i="25" s="1"/>
  <c r="E165" i="39"/>
  <c r="G165" i="39" s="1"/>
  <c r="H165" i="39" s="1"/>
  <c r="I165" i="39" s="1"/>
  <c r="J165" i="39" s="1"/>
  <c r="I166" i="25" s="1"/>
  <c r="E165" i="12"/>
  <c r="G165" i="12" s="1"/>
  <c r="G166" i="25"/>
  <c r="G225" i="25"/>
  <c r="E224" i="12"/>
  <c r="G224" i="12" s="1"/>
  <c r="E224" i="39"/>
  <c r="G224" i="39" s="1"/>
  <c r="H224" i="39" s="1"/>
  <c r="I224" i="39" s="1"/>
  <c r="J224" i="39" s="1"/>
  <c r="I225" i="25" s="1"/>
  <c r="E225" i="39"/>
  <c r="G225" i="39" s="1"/>
  <c r="H225" i="39" s="1"/>
  <c r="I225" i="39" s="1"/>
  <c r="J225" i="39" s="1"/>
  <c r="I226" i="25" s="1"/>
  <c r="G226" i="25"/>
  <c r="E225" i="12"/>
  <c r="G225" i="12" s="1"/>
  <c r="G113" i="25"/>
  <c r="E112" i="39"/>
  <c r="G112" i="39" s="1"/>
  <c r="H112" i="39" s="1"/>
  <c r="I112" i="39" s="1"/>
  <c r="J112" i="39" s="1"/>
  <c r="I113" i="25" s="1"/>
  <c r="E112" i="12"/>
  <c r="G112" i="12" s="1"/>
  <c r="E187" i="39"/>
  <c r="G187" i="39" s="1"/>
  <c r="H187" i="39" s="1"/>
  <c r="I187" i="39" s="1"/>
  <c r="J187" i="39" s="1"/>
  <c r="I188" i="25" s="1"/>
  <c r="G188" i="25"/>
  <c r="E187" i="12"/>
  <c r="G187" i="12" s="1"/>
  <c r="E296" i="39"/>
  <c r="G296" i="39" s="1"/>
  <c r="H296" i="39" s="1"/>
  <c r="I296" i="39" s="1"/>
  <c r="J296" i="39" s="1"/>
  <c r="I297" i="25" s="1"/>
  <c r="G297" i="25"/>
  <c r="E296" i="12"/>
  <c r="G296" i="12" s="1"/>
  <c r="G48" i="25"/>
  <c r="E47" i="39"/>
  <c r="G47" i="39" s="1"/>
  <c r="H47" i="39" s="1"/>
  <c r="I47" i="39" s="1"/>
  <c r="J47" i="39" s="1"/>
  <c r="I48" i="25" s="1"/>
  <c r="E47" i="12"/>
  <c r="G47" i="12" s="1"/>
  <c r="G224" i="25"/>
  <c r="E223" i="39"/>
  <c r="G223" i="39" s="1"/>
  <c r="H223" i="39" s="1"/>
  <c r="I223" i="39" s="1"/>
  <c r="J223" i="39" s="1"/>
  <c r="I224" i="25" s="1"/>
  <c r="E223" i="12"/>
  <c r="G223" i="12" s="1"/>
  <c r="E147" i="39"/>
  <c r="G147" i="39" s="1"/>
  <c r="H147" i="39" s="1"/>
  <c r="I147" i="39" s="1"/>
  <c r="J147" i="39" s="1"/>
  <c r="I148" i="25" s="1"/>
  <c r="G148" i="25"/>
  <c r="E147" i="12"/>
  <c r="G147" i="12" s="1"/>
  <c r="E166" i="39"/>
  <c r="G166" i="39" s="1"/>
  <c r="H166" i="39" s="1"/>
  <c r="I166" i="39" s="1"/>
  <c r="J166" i="39" s="1"/>
  <c r="I167" i="25" s="1"/>
  <c r="G167" i="25"/>
  <c r="E166" i="12"/>
  <c r="G166" i="12" s="1"/>
  <c r="E233" i="12"/>
  <c r="G233" i="12" s="1"/>
  <c r="G234" i="25"/>
  <c r="E233" i="39"/>
  <c r="G233" i="39" s="1"/>
  <c r="H233" i="39" s="1"/>
  <c r="I233" i="39" s="1"/>
  <c r="J233" i="39" s="1"/>
  <c r="I234" i="25" s="1"/>
  <c r="E56" i="12"/>
  <c r="G56" i="12" s="1"/>
  <c r="E56" i="39"/>
  <c r="G56" i="39" s="1"/>
  <c r="H56" i="39" s="1"/>
  <c r="I56" i="39" s="1"/>
  <c r="J56" i="39" s="1"/>
  <c r="I57" i="25" s="1"/>
  <c r="G57" i="25"/>
  <c r="E74" i="12"/>
  <c r="G74" i="12" s="1"/>
  <c r="G75" i="25"/>
  <c r="E74" i="39"/>
  <c r="G74" i="39" s="1"/>
  <c r="H74" i="39" s="1"/>
  <c r="I74" i="39" s="1"/>
  <c r="J74" i="39" s="1"/>
  <c r="I75" i="25" s="1"/>
  <c r="E49" i="39"/>
  <c r="G49" i="39" s="1"/>
  <c r="H49" i="39" s="1"/>
  <c r="I49" i="39" s="1"/>
  <c r="J49" i="39" s="1"/>
  <c r="I50" i="25" s="1"/>
  <c r="E49" i="12"/>
  <c r="G49" i="12" s="1"/>
  <c r="G50" i="25"/>
  <c r="E210" i="39"/>
  <c r="G210" i="39" s="1"/>
  <c r="H210" i="39" s="1"/>
  <c r="I210" i="39" s="1"/>
  <c r="J210" i="39" s="1"/>
  <c r="I211" i="25" s="1"/>
  <c r="E210" i="12"/>
  <c r="G210" i="12" s="1"/>
  <c r="G211" i="25"/>
  <c r="G216" i="25"/>
  <c r="E215" i="39"/>
  <c r="G215" i="39" s="1"/>
  <c r="H215" i="39" s="1"/>
  <c r="I215" i="39" s="1"/>
  <c r="J215" i="39" s="1"/>
  <c r="I216" i="25" s="1"/>
  <c r="E215" i="12"/>
  <c r="G215" i="12" s="1"/>
  <c r="E70" i="12"/>
  <c r="G70" i="12" s="1"/>
  <c r="G71" i="25"/>
  <c r="E70" i="39"/>
  <c r="G70" i="39" s="1"/>
  <c r="H70" i="39" s="1"/>
  <c r="I70" i="39" s="1"/>
  <c r="J70" i="39" s="1"/>
  <c r="I71" i="25" s="1"/>
  <c r="G88" i="25"/>
  <c r="E87" i="39"/>
  <c r="G87" i="39" s="1"/>
  <c r="H87" i="39" s="1"/>
  <c r="I87" i="39" s="1"/>
  <c r="J87" i="39" s="1"/>
  <c r="I88" i="25" s="1"/>
  <c r="E87" i="12"/>
  <c r="G87" i="12" s="1"/>
  <c r="F315" i="25"/>
  <c r="D314" i="12"/>
  <c r="D314" i="39"/>
  <c r="E95" i="39"/>
  <c r="G95" i="39" s="1"/>
  <c r="H95" i="39" s="1"/>
  <c r="I95" i="39" s="1"/>
  <c r="J95" i="39" s="1"/>
  <c r="I96" i="25" s="1"/>
  <c r="G96" i="25"/>
  <c r="E95" i="12"/>
  <c r="G95" i="12" s="1"/>
  <c r="E139" i="12"/>
  <c r="G139" i="12" s="1"/>
  <c r="E139" i="39"/>
  <c r="G139" i="39" s="1"/>
  <c r="H139" i="39" s="1"/>
  <c r="I139" i="39" s="1"/>
  <c r="J139" i="39" s="1"/>
  <c r="I140" i="25" s="1"/>
  <c r="G140" i="25"/>
  <c r="E277" i="39"/>
  <c r="G277" i="39" s="1"/>
  <c r="H277" i="39" s="1"/>
  <c r="I277" i="39" s="1"/>
  <c r="J277" i="39" s="1"/>
  <c r="I278" i="25" s="1"/>
  <c r="E277" i="12"/>
  <c r="G277" i="12" s="1"/>
  <c r="G278" i="25"/>
  <c r="E205" i="12"/>
  <c r="G205" i="12" s="1"/>
  <c r="G206" i="25"/>
  <c r="E205" i="39"/>
  <c r="G205" i="39" s="1"/>
  <c r="H205" i="39" s="1"/>
  <c r="I205" i="39" s="1"/>
  <c r="J205" i="39" s="1"/>
  <c r="I206" i="25" s="1"/>
  <c r="G279" i="25"/>
  <c r="E278" i="39"/>
  <c r="G278" i="39" s="1"/>
  <c r="H278" i="39" s="1"/>
  <c r="I278" i="39" s="1"/>
  <c r="J278" i="39" s="1"/>
  <c r="I279" i="25" s="1"/>
  <c r="E278" i="12"/>
  <c r="G278" i="12" s="1"/>
  <c r="G208" i="25"/>
  <c r="E207" i="12"/>
  <c r="G207" i="12" s="1"/>
  <c r="E207" i="39"/>
  <c r="G207" i="39" s="1"/>
  <c r="H207" i="39" s="1"/>
  <c r="I207" i="39" s="1"/>
  <c r="J207" i="39" s="1"/>
  <c r="I208" i="25" s="1"/>
  <c r="G228" i="25"/>
  <c r="E227" i="39"/>
  <c r="G227" i="39" s="1"/>
  <c r="H227" i="39" s="1"/>
  <c r="I227" i="39" s="1"/>
  <c r="J227" i="39" s="1"/>
  <c r="I228" i="25" s="1"/>
  <c r="E227" i="12"/>
  <c r="G227" i="12" s="1"/>
  <c r="E6" i="12"/>
  <c r="G6" i="12" s="1"/>
  <c r="G7" i="25"/>
  <c r="E6" i="39"/>
  <c r="G6" i="39" s="1"/>
  <c r="H6" i="39" s="1"/>
  <c r="I6" i="39" s="1"/>
  <c r="J6" i="39" s="1"/>
  <c r="I7" i="25" s="1"/>
  <c r="E149" i="39"/>
  <c r="G149" i="39" s="1"/>
  <c r="H149" i="39" s="1"/>
  <c r="I149" i="39" s="1"/>
  <c r="J149" i="39" s="1"/>
  <c r="I150" i="25" s="1"/>
  <c r="E149" i="12"/>
  <c r="G149" i="12" s="1"/>
  <c r="G150" i="25"/>
  <c r="E40" i="12"/>
  <c r="G40" i="12" s="1"/>
  <c r="G41" i="25"/>
  <c r="E40" i="39"/>
  <c r="G40" i="39" s="1"/>
  <c r="H40" i="39" s="1"/>
  <c r="I40" i="39" s="1"/>
  <c r="J40" i="39" s="1"/>
  <c r="I41" i="25" s="1"/>
  <c r="E310" i="12"/>
  <c r="G310" i="12" s="1"/>
  <c r="E310" i="39"/>
  <c r="G310" i="39" s="1"/>
  <c r="H310" i="39" s="1"/>
  <c r="I310" i="39" s="1"/>
  <c r="J310" i="39" s="1"/>
  <c r="I311" i="25" s="1"/>
  <c r="G311" i="25"/>
  <c r="E309" i="39"/>
  <c r="G309" i="39" s="1"/>
  <c r="H309" i="39" s="1"/>
  <c r="I309" i="39" s="1"/>
  <c r="J309" i="39" s="1"/>
  <c r="I310" i="25" s="1"/>
  <c r="G310" i="25"/>
  <c r="E309" i="12"/>
  <c r="G309" i="12" s="1"/>
  <c r="G190" i="25"/>
  <c r="E189" i="12"/>
  <c r="G189" i="12" s="1"/>
  <c r="E189" i="39"/>
  <c r="G189" i="39" s="1"/>
  <c r="H189" i="39" s="1"/>
  <c r="I189" i="39" s="1"/>
  <c r="J189" i="39" s="1"/>
  <c r="I190" i="25" s="1"/>
  <c r="E268" i="39"/>
  <c r="G268" i="39" s="1"/>
  <c r="H268" i="39" s="1"/>
  <c r="I268" i="39" s="1"/>
  <c r="J268" i="39" s="1"/>
  <c r="I269" i="25" s="1"/>
  <c r="E268" i="12"/>
  <c r="G268" i="12" s="1"/>
  <c r="G269" i="25"/>
  <c r="E292" i="12"/>
  <c r="G292" i="12" s="1"/>
  <c r="G293" i="25"/>
  <c r="E292" i="39"/>
  <c r="G292" i="39" s="1"/>
  <c r="H292" i="39" s="1"/>
  <c r="I292" i="39" s="1"/>
  <c r="J292" i="39" s="1"/>
  <c r="I293" i="25" s="1"/>
  <c r="G115" i="25"/>
  <c r="E114" i="39"/>
  <c r="G114" i="39" s="1"/>
  <c r="H114" i="39" s="1"/>
  <c r="I114" i="39" s="1"/>
  <c r="J114" i="39" s="1"/>
  <c r="I115" i="25" s="1"/>
  <c r="E114" i="12"/>
  <c r="G114" i="12" s="1"/>
  <c r="E57" i="39"/>
  <c r="G57" i="39" s="1"/>
  <c r="H57" i="39" s="1"/>
  <c r="I57" i="39" s="1"/>
  <c r="J57" i="39" s="1"/>
  <c r="I58" i="25" s="1"/>
  <c r="G58" i="25"/>
  <c r="E57" i="12"/>
  <c r="G57" i="12" s="1"/>
  <c r="E53" i="12"/>
  <c r="G53" i="12" s="1"/>
  <c r="G54" i="25"/>
  <c r="E53" i="39"/>
  <c r="G53" i="39" s="1"/>
  <c r="H53" i="39" s="1"/>
  <c r="I53" i="39" s="1"/>
  <c r="J53" i="39" s="1"/>
  <c r="I54" i="25" s="1"/>
  <c r="E270" i="12"/>
  <c r="G270" i="12" s="1"/>
  <c r="G271" i="25"/>
  <c r="E270" i="39"/>
  <c r="G270" i="39" s="1"/>
  <c r="H270" i="39" s="1"/>
  <c r="I270" i="39" s="1"/>
  <c r="J270" i="39" s="1"/>
  <c r="I271" i="25" s="1"/>
  <c r="E164" i="12"/>
  <c r="G164" i="12" s="1"/>
  <c r="G165" i="25"/>
  <c r="E164" i="39"/>
  <c r="G164" i="39" s="1"/>
  <c r="H164" i="39" s="1"/>
  <c r="I164" i="39" s="1"/>
  <c r="J164" i="39" s="1"/>
  <c r="I165" i="25" s="1"/>
  <c r="G47" i="25"/>
  <c r="E46" i="12"/>
  <c r="G46" i="12" s="1"/>
  <c r="E46" i="39"/>
  <c r="G46" i="39" s="1"/>
  <c r="H46" i="39" s="1"/>
  <c r="I46" i="39" s="1"/>
  <c r="J46" i="39" s="1"/>
  <c r="I47" i="25" s="1"/>
  <c r="G182" i="25"/>
  <c r="E181" i="12"/>
  <c r="G181" i="12" s="1"/>
  <c r="E181" i="39"/>
  <c r="G181" i="39" s="1"/>
  <c r="H181" i="39" s="1"/>
  <c r="I181" i="39" s="1"/>
  <c r="J181" i="39" s="1"/>
  <c r="I182" i="25" s="1"/>
  <c r="E307" i="39"/>
  <c r="G307" i="39" s="1"/>
  <c r="H307" i="39" s="1"/>
  <c r="I307" i="39" s="1"/>
  <c r="J307" i="39" s="1"/>
  <c r="I308" i="25" s="1"/>
  <c r="G308" i="25"/>
  <c r="E307" i="12"/>
  <c r="G307" i="12" s="1"/>
  <c r="G11" i="25"/>
  <c r="E10" i="12"/>
  <c r="G10" i="12" s="1"/>
  <c r="E10" i="39"/>
  <c r="G10" i="39" s="1"/>
  <c r="H10" i="39" s="1"/>
  <c r="I10" i="39" s="1"/>
  <c r="J10" i="39" s="1"/>
  <c r="I11" i="25" s="1"/>
  <c r="E135" i="39"/>
  <c r="G135" i="39" s="1"/>
  <c r="H135" i="39" s="1"/>
  <c r="I135" i="39" s="1"/>
  <c r="J135" i="39" s="1"/>
  <c r="I136" i="25" s="1"/>
  <c r="G136" i="25"/>
  <c r="E135" i="12"/>
  <c r="G135" i="12" s="1"/>
  <c r="G192" i="25"/>
  <c r="E191" i="12"/>
  <c r="G191" i="12" s="1"/>
  <c r="E191" i="39"/>
  <c r="G191" i="39" s="1"/>
  <c r="H191" i="39" s="1"/>
  <c r="I191" i="39" s="1"/>
  <c r="J191" i="39" s="1"/>
  <c r="I192" i="25" s="1"/>
  <c r="E151" i="39"/>
  <c r="G151" i="39" s="1"/>
  <c r="H151" i="39" s="1"/>
  <c r="I151" i="39" s="1"/>
  <c r="J151" i="39" s="1"/>
  <c r="I152" i="25" s="1"/>
  <c r="G152" i="25"/>
  <c r="E151" i="12"/>
  <c r="G151" i="12" s="1"/>
  <c r="E129" i="39"/>
  <c r="G129" i="39" s="1"/>
  <c r="H129" i="39" s="1"/>
  <c r="I129" i="39" s="1"/>
  <c r="J129" i="39" s="1"/>
  <c r="I130" i="25" s="1"/>
  <c r="E129" i="12"/>
  <c r="G129" i="12" s="1"/>
  <c r="G130" i="25"/>
  <c r="G187" i="25"/>
  <c r="E186" i="39"/>
  <c r="G186" i="39" s="1"/>
  <c r="H186" i="39" s="1"/>
  <c r="I186" i="39" s="1"/>
  <c r="J186" i="39" s="1"/>
  <c r="I187" i="25" s="1"/>
  <c r="E186" i="12"/>
  <c r="G186" i="12" s="1"/>
  <c r="G277" i="25"/>
  <c r="E276" i="12"/>
  <c r="G276" i="12" s="1"/>
  <c r="E276" i="39"/>
  <c r="G276" i="39" s="1"/>
  <c r="H276" i="39" s="1"/>
  <c r="I276" i="39" s="1"/>
  <c r="J276" i="39" s="1"/>
  <c r="I277" i="25" s="1"/>
  <c r="E291" i="39"/>
  <c r="G291" i="39" s="1"/>
  <c r="H291" i="39" s="1"/>
  <c r="I291" i="39" s="1"/>
  <c r="J291" i="39" s="1"/>
  <c r="I292" i="25" s="1"/>
  <c r="E291" i="12"/>
  <c r="G291" i="12" s="1"/>
  <c r="G292" i="25"/>
  <c r="G34" i="25"/>
  <c r="E33" i="39"/>
  <c r="G33" i="39" s="1"/>
  <c r="H33" i="39" s="1"/>
  <c r="I33" i="39" s="1"/>
  <c r="J33" i="39" s="1"/>
  <c r="I34" i="25" s="1"/>
  <c r="E33" i="12"/>
  <c r="G33" i="12" s="1"/>
  <c r="E146" i="39"/>
  <c r="G146" i="39" s="1"/>
  <c r="H146" i="39" s="1"/>
  <c r="I146" i="39" s="1"/>
  <c r="J146" i="39" s="1"/>
  <c r="I147" i="25" s="1"/>
  <c r="G147" i="25"/>
  <c r="E146" i="12"/>
  <c r="G146" i="12" s="1"/>
  <c r="E240" i="12"/>
  <c r="G240" i="12" s="1"/>
  <c r="E240" i="39"/>
  <c r="G240" i="39" s="1"/>
  <c r="H240" i="39" s="1"/>
  <c r="I240" i="39" s="1"/>
  <c r="J240" i="39" s="1"/>
  <c r="I241" i="25" s="1"/>
  <c r="G241" i="25"/>
  <c r="G72" i="25"/>
  <c r="E71" i="12"/>
  <c r="G71" i="12" s="1"/>
  <c r="E71" i="39"/>
  <c r="G71" i="39" s="1"/>
  <c r="H71" i="39" s="1"/>
  <c r="I71" i="39" s="1"/>
  <c r="J71" i="39" s="1"/>
  <c r="I72" i="25" s="1"/>
  <c r="G44" i="25"/>
  <c r="E43" i="39"/>
  <c r="G43" i="39" s="1"/>
  <c r="H43" i="39" s="1"/>
  <c r="I43" i="39" s="1"/>
  <c r="J43" i="39" s="1"/>
  <c r="I44" i="25" s="1"/>
  <c r="E43" i="12"/>
  <c r="G43" i="12" s="1"/>
  <c r="E294" i="12"/>
  <c r="G294" i="12" s="1"/>
  <c r="E294" i="39"/>
  <c r="G294" i="39" s="1"/>
  <c r="H294" i="39" s="1"/>
  <c r="I294" i="39" s="1"/>
  <c r="J294" i="39" s="1"/>
  <c r="I295" i="25" s="1"/>
  <c r="G295" i="25"/>
  <c r="E102" i="39"/>
  <c r="G102" i="39" s="1"/>
  <c r="H102" i="39" s="1"/>
  <c r="I102" i="39" s="1"/>
  <c r="J102" i="39" s="1"/>
  <c r="I103" i="25" s="1"/>
  <c r="G103" i="25"/>
  <c r="E102" i="12"/>
  <c r="G102" i="12" s="1"/>
  <c r="E204" i="39"/>
  <c r="G204" i="39" s="1"/>
  <c r="H204" i="39" s="1"/>
  <c r="I204" i="39" s="1"/>
  <c r="J204" i="39" s="1"/>
  <c r="I205" i="25" s="1"/>
  <c r="G205" i="25"/>
  <c r="E204" i="12"/>
  <c r="G204" i="12" s="1"/>
  <c r="G214" i="25"/>
  <c r="E213" i="39"/>
  <c r="G213" i="39" s="1"/>
  <c r="H213" i="39" s="1"/>
  <c r="I213" i="39" s="1"/>
  <c r="J213" i="39" s="1"/>
  <c r="I214" i="25" s="1"/>
  <c r="E213" i="12"/>
  <c r="G213" i="12" s="1"/>
  <c r="E272" i="12"/>
  <c r="G272" i="12" s="1"/>
  <c r="G273" i="25"/>
  <c r="E272" i="39"/>
  <c r="G272" i="39" s="1"/>
  <c r="H272" i="39" s="1"/>
  <c r="I272" i="39" s="1"/>
  <c r="J272" i="39" s="1"/>
  <c r="I273" i="25" s="1"/>
  <c r="E76" i="39"/>
  <c r="G76" i="39" s="1"/>
  <c r="H76" i="39" s="1"/>
  <c r="I76" i="39" s="1"/>
  <c r="J76" i="39" s="1"/>
  <c r="I77" i="25" s="1"/>
  <c r="G77" i="25"/>
  <c r="E76" i="12"/>
  <c r="G76" i="12" s="1"/>
  <c r="E255" i="12"/>
  <c r="G255" i="12" s="1"/>
  <c r="G256" i="25"/>
  <c r="E255" i="39"/>
  <c r="G255" i="39" s="1"/>
  <c r="H255" i="39" s="1"/>
  <c r="I255" i="39" s="1"/>
  <c r="J255" i="39" s="1"/>
  <c r="I256" i="25" s="1"/>
  <c r="G243" i="25"/>
  <c r="E242" i="39"/>
  <c r="G242" i="39" s="1"/>
  <c r="H242" i="39" s="1"/>
  <c r="I242" i="39" s="1"/>
  <c r="J242" i="39" s="1"/>
  <c r="I243" i="25" s="1"/>
  <c r="E242" i="12"/>
  <c r="G242" i="12" s="1"/>
  <c r="E295" i="12"/>
  <c r="G295" i="12" s="1"/>
  <c r="E295" i="39"/>
  <c r="G295" i="39" s="1"/>
  <c r="H295" i="39" s="1"/>
  <c r="I295" i="39" s="1"/>
  <c r="J295" i="39" s="1"/>
  <c r="I296" i="25" s="1"/>
  <c r="G296" i="25"/>
  <c r="G84" i="25"/>
  <c r="E83" i="12"/>
  <c r="G83" i="12" s="1"/>
  <c r="E83" i="39"/>
  <c r="G83" i="39" s="1"/>
  <c r="H83" i="39" s="1"/>
  <c r="I83" i="39" s="1"/>
  <c r="J83" i="39" s="1"/>
  <c r="I84" i="25" s="1"/>
  <c r="E103" i="12"/>
  <c r="G103" i="12" s="1"/>
  <c r="E103" i="39"/>
  <c r="G103" i="39" s="1"/>
  <c r="H103" i="39" s="1"/>
  <c r="I103" i="39" s="1"/>
  <c r="J103" i="39" s="1"/>
  <c r="I104" i="25" s="1"/>
  <c r="G104" i="25"/>
  <c r="G144" i="25"/>
  <c r="E143" i="39"/>
  <c r="G143" i="39" s="1"/>
  <c r="H143" i="39" s="1"/>
  <c r="I143" i="39" s="1"/>
  <c r="J143" i="39" s="1"/>
  <c r="I144" i="25" s="1"/>
  <c r="E143" i="12"/>
  <c r="G143" i="12" s="1"/>
  <c r="E245" i="12"/>
  <c r="G245" i="12" s="1"/>
  <c r="G246" i="25"/>
  <c r="E245" i="39"/>
  <c r="G245" i="39" s="1"/>
  <c r="H245" i="39" s="1"/>
  <c r="I245" i="39" s="1"/>
  <c r="J245" i="39" s="1"/>
  <c r="I246" i="25" s="1"/>
  <c r="G59" i="25"/>
  <c r="E58" i="12"/>
  <c r="G58" i="12" s="1"/>
  <c r="E58" i="39"/>
  <c r="G58" i="39" s="1"/>
  <c r="H58" i="39" s="1"/>
  <c r="I58" i="39" s="1"/>
  <c r="J58" i="39" s="1"/>
  <c r="I59" i="25" s="1"/>
  <c r="E142" i="12"/>
  <c r="G142" i="12" s="1"/>
  <c r="G143" i="25"/>
  <c r="E142" i="39"/>
  <c r="G142" i="39" s="1"/>
  <c r="H142" i="39" s="1"/>
  <c r="I142" i="39" s="1"/>
  <c r="J142" i="39" s="1"/>
  <c r="I143" i="25" s="1"/>
  <c r="E148" i="12"/>
  <c r="G148" i="12" s="1"/>
  <c r="G149" i="25"/>
  <c r="E148" i="39"/>
  <c r="G148" i="39" s="1"/>
  <c r="H148" i="39" s="1"/>
  <c r="I148" i="39" s="1"/>
  <c r="J148" i="39" s="1"/>
  <c r="I149" i="25" s="1"/>
  <c r="E25" i="39"/>
  <c r="G25" i="39" s="1"/>
  <c r="H25" i="39" s="1"/>
  <c r="I25" i="39" s="1"/>
  <c r="J25" i="39" s="1"/>
  <c r="I26" i="25" s="1"/>
  <c r="E25" i="12"/>
  <c r="G25" i="12" s="1"/>
  <c r="G26" i="25"/>
  <c r="G94" i="25"/>
  <c r="E93" i="12"/>
  <c r="G93" i="12" s="1"/>
  <c r="E93" i="39"/>
  <c r="G93" i="39" s="1"/>
  <c r="H93" i="39" s="1"/>
  <c r="I93" i="39" s="1"/>
  <c r="J93" i="39" s="1"/>
  <c r="I94" i="25" s="1"/>
  <c r="E110" i="12"/>
  <c r="G110" i="12" s="1"/>
  <c r="E110" i="39"/>
  <c r="G110" i="39" s="1"/>
  <c r="H110" i="39" s="1"/>
  <c r="I110" i="39" s="1"/>
  <c r="J110" i="39" s="1"/>
  <c r="I111" i="25" s="1"/>
  <c r="G111" i="25"/>
  <c r="E161" i="39"/>
  <c r="G161" i="39" s="1"/>
  <c r="H161" i="39" s="1"/>
  <c r="I161" i="39" s="1"/>
  <c r="J161" i="39" s="1"/>
  <c r="I162" i="25" s="1"/>
  <c r="E161" i="12"/>
  <c r="G161" i="12" s="1"/>
  <c r="G162" i="25"/>
  <c r="E195" i="39"/>
  <c r="G195" i="39" s="1"/>
  <c r="H195" i="39" s="1"/>
  <c r="I195" i="39" s="1"/>
  <c r="J195" i="39" s="1"/>
  <c r="I196" i="25" s="1"/>
  <c r="E195" i="12"/>
  <c r="G195" i="12" s="1"/>
  <c r="G196" i="25"/>
  <c r="G275" i="25"/>
  <c r="E274" i="12"/>
  <c r="G274" i="12" s="1"/>
  <c r="E274" i="39"/>
  <c r="G274" i="39" s="1"/>
  <c r="H274" i="39" s="1"/>
  <c r="I274" i="39" s="1"/>
  <c r="J274" i="39" s="1"/>
  <c r="I275" i="25" s="1"/>
  <c r="E200" i="39"/>
  <c r="G200" i="39" s="1"/>
  <c r="H200" i="39" s="1"/>
  <c r="I200" i="39" s="1"/>
  <c r="J200" i="39" s="1"/>
  <c r="I201" i="25" s="1"/>
  <c r="E200" i="12"/>
  <c r="G200" i="12" s="1"/>
  <c r="G201" i="25"/>
  <c r="E108" i="39"/>
  <c r="G108" i="39" s="1"/>
  <c r="H108" i="39" s="1"/>
  <c r="I108" i="39" s="1"/>
  <c r="J108" i="39" s="1"/>
  <c r="I109" i="25" s="1"/>
  <c r="E108" i="12"/>
  <c r="G108" i="12" s="1"/>
  <c r="G109" i="25"/>
  <c r="E120" i="39"/>
  <c r="G120" i="39" s="1"/>
  <c r="H120" i="39" s="1"/>
  <c r="I120" i="39" s="1"/>
  <c r="J120" i="39" s="1"/>
  <c r="I121" i="25" s="1"/>
  <c r="G121" i="25"/>
  <c r="E120" i="12"/>
  <c r="G120" i="12" s="1"/>
  <c r="E298" i="39"/>
  <c r="G298" i="39" s="1"/>
  <c r="H298" i="39" s="1"/>
  <c r="I298" i="39" s="1"/>
  <c r="J298" i="39" s="1"/>
  <c r="I299" i="25" s="1"/>
  <c r="G299" i="25"/>
  <c r="E298" i="12"/>
  <c r="G298" i="12" s="1"/>
  <c r="E30" i="39"/>
  <c r="G30" i="39" s="1"/>
  <c r="H30" i="39" s="1"/>
  <c r="I30" i="39" s="1"/>
  <c r="J30" i="39" s="1"/>
  <c r="I31" i="25" s="1"/>
  <c r="G31" i="25"/>
  <c r="E30" i="12"/>
  <c r="G30" i="12" s="1"/>
  <c r="G40" i="25"/>
  <c r="E39" i="39"/>
  <c r="G39" i="39" s="1"/>
  <c r="H39" i="39" s="1"/>
  <c r="I39" i="39" s="1"/>
  <c r="J39" i="39" s="1"/>
  <c r="I40" i="25" s="1"/>
  <c r="E39" i="12"/>
  <c r="G39" i="12" s="1"/>
  <c r="G128" i="25"/>
  <c r="E127" i="12"/>
  <c r="G127" i="12" s="1"/>
  <c r="E127" i="39"/>
  <c r="G127" i="39" s="1"/>
  <c r="H127" i="39" s="1"/>
  <c r="I127" i="39" s="1"/>
  <c r="J127" i="39" s="1"/>
  <c r="I128" i="25" s="1"/>
  <c r="E98" i="39"/>
  <c r="G98" i="39" s="1"/>
  <c r="H98" i="39" s="1"/>
  <c r="I98" i="39" s="1"/>
  <c r="J98" i="39" s="1"/>
  <c r="I99" i="25" s="1"/>
  <c r="E98" i="12"/>
  <c r="G98" i="12" s="1"/>
  <c r="G99" i="25"/>
  <c r="G209" i="25"/>
  <c r="E208" i="39"/>
  <c r="G208" i="39" s="1"/>
  <c r="H208" i="39" s="1"/>
  <c r="I208" i="39" s="1"/>
  <c r="J208" i="39" s="1"/>
  <c r="I209" i="25" s="1"/>
  <c r="E208" i="12"/>
  <c r="G208" i="12" s="1"/>
  <c r="G291" i="25"/>
  <c r="E290" i="12"/>
  <c r="G290" i="12" s="1"/>
  <c r="E290" i="39"/>
  <c r="G290" i="39" s="1"/>
  <c r="H290" i="39" s="1"/>
  <c r="I290" i="39" s="1"/>
  <c r="J290" i="39" s="1"/>
  <c r="I291" i="25" s="1"/>
  <c r="G52" i="25"/>
  <c r="E51" i="12"/>
  <c r="G51" i="12" s="1"/>
  <c r="E51" i="39"/>
  <c r="G51" i="39" s="1"/>
  <c r="H51" i="39" s="1"/>
  <c r="I51" i="39" s="1"/>
  <c r="J51" i="39" s="1"/>
  <c r="I52" i="25" s="1"/>
  <c r="E266" i="12"/>
  <c r="G266" i="12" s="1"/>
  <c r="E266" i="39"/>
  <c r="G266" i="39" s="1"/>
  <c r="H266" i="39" s="1"/>
  <c r="I266" i="39" s="1"/>
  <c r="J266" i="39" s="1"/>
  <c r="I267" i="25" s="1"/>
  <c r="G267" i="25"/>
  <c r="G286" i="25"/>
  <c r="E285" i="12"/>
  <c r="G285" i="12" s="1"/>
  <c r="E285" i="39"/>
  <c r="G285" i="39" s="1"/>
  <c r="H285" i="39" s="1"/>
  <c r="I285" i="39" s="1"/>
  <c r="J285" i="39" s="1"/>
  <c r="I286" i="25" s="1"/>
  <c r="G74" i="25"/>
  <c r="E73" i="39"/>
  <c r="G73" i="39" s="1"/>
  <c r="H73" i="39" s="1"/>
  <c r="I73" i="39" s="1"/>
  <c r="J73" i="39" s="1"/>
  <c r="I74" i="25" s="1"/>
  <c r="E73" i="12"/>
  <c r="G73" i="12" s="1"/>
  <c r="E140" i="12"/>
  <c r="G140" i="12" s="1"/>
  <c r="G141" i="25"/>
  <c r="E140" i="39"/>
  <c r="G140" i="39" s="1"/>
  <c r="H140" i="39" s="1"/>
  <c r="I140" i="39" s="1"/>
  <c r="J140" i="39" s="1"/>
  <c r="I141" i="25" s="1"/>
  <c r="E88" i="12"/>
  <c r="G88" i="12" s="1"/>
  <c r="E88" i="39"/>
  <c r="G88" i="39" s="1"/>
  <c r="H88" i="39" s="1"/>
  <c r="I88" i="39" s="1"/>
  <c r="J88" i="39" s="1"/>
  <c r="I89" i="25" s="1"/>
  <c r="G89" i="25"/>
  <c r="E92" i="39"/>
  <c r="G92" i="39" s="1"/>
  <c r="H92" i="39" s="1"/>
  <c r="I92" i="39" s="1"/>
  <c r="J92" i="39" s="1"/>
  <c r="I93" i="25" s="1"/>
  <c r="E92" i="12"/>
  <c r="G92" i="12" s="1"/>
  <c r="G93" i="25"/>
  <c r="E11" i="39"/>
  <c r="G11" i="39" s="1"/>
  <c r="H11" i="39" s="1"/>
  <c r="I11" i="39" s="1"/>
  <c r="J11" i="39" s="1"/>
  <c r="I12" i="25" s="1"/>
  <c r="G12" i="25"/>
  <c r="E11" i="12"/>
  <c r="G11" i="12" s="1"/>
  <c r="G219" i="25"/>
  <c r="E218" i="12"/>
  <c r="G218" i="12" s="1"/>
  <c r="E218" i="39"/>
  <c r="G218" i="39" s="1"/>
  <c r="H218" i="39" s="1"/>
  <c r="I218" i="39" s="1"/>
  <c r="J218" i="39" s="1"/>
  <c r="I219" i="25" s="1"/>
  <c r="G42" i="25"/>
  <c r="E41" i="12"/>
  <c r="G41" i="12" s="1"/>
  <c r="E41" i="39"/>
  <c r="G41" i="39" s="1"/>
  <c r="H41" i="39" s="1"/>
  <c r="I41" i="39" s="1"/>
  <c r="J41" i="39" s="1"/>
  <c r="I42" i="25" s="1"/>
  <c r="G43" i="25"/>
  <c r="E42" i="39"/>
  <c r="G42" i="39" s="1"/>
  <c r="H42" i="39" s="1"/>
  <c r="I42" i="39" s="1"/>
  <c r="J42" i="39" s="1"/>
  <c r="I43" i="25" s="1"/>
  <c r="E42" i="12"/>
  <c r="G42" i="12" s="1"/>
  <c r="E202" i="12"/>
  <c r="G202" i="12" s="1"/>
  <c r="G203" i="25"/>
  <c r="E202" i="39"/>
  <c r="G202" i="39" s="1"/>
  <c r="H202" i="39" s="1"/>
  <c r="I202" i="39" s="1"/>
  <c r="J202" i="39" s="1"/>
  <c r="I203" i="25" s="1"/>
  <c r="G263" i="25"/>
  <c r="E262" i="12"/>
  <c r="G262" i="12" s="1"/>
  <c r="E262" i="39"/>
  <c r="G262" i="39" s="1"/>
  <c r="H262" i="39" s="1"/>
  <c r="I262" i="39" s="1"/>
  <c r="J262" i="39" s="1"/>
  <c r="I263" i="25" s="1"/>
  <c r="G126" i="25"/>
  <c r="E125" i="12"/>
  <c r="G125" i="12" s="1"/>
  <c r="E125" i="39"/>
  <c r="G125" i="39" s="1"/>
  <c r="H125" i="39" s="1"/>
  <c r="I125" i="39" s="1"/>
  <c r="J125" i="39" s="1"/>
  <c r="I126" i="25" s="1"/>
  <c r="G233" i="25"/>
  <c r="E232" i="12"/>
  <c r="G232" i="12" s="1"/>
  <c r="E232" i="39"/>
  <c r="G232" i="39" s="1"/>
  <c r="H232" i="39" s="1"/>
  <c r="I232" i="39" s="1"/>
  <c r="J232" i="39" s="1"/>
  <c r="I233" i="25" s="1"/>
  <c r="E159" i="12"/>
  <c r="G159" i="12" s="1"/>
  <c r="G160" i="25"/>
  <c r="E159" i="39"/>
  <c r="G159" i="39" s="1"/>
  <c r="H159" i="39" s="1"/>
  <c r="I159" i="39" s="1"/>
  <c r="J159" i="39" s="1"/>
  <c r="I160" i="25" s="1"/>
  <c r="E305" i="12"/>
  <c r="G305" i="12" s="1"/>
  <c r="G306" i="25"/>
  <c r="E305" i="39"/>
  <c r="G305" i="39" s="1"/>
  <c r="H305" i="39" s="1"/>
  <c r="I305" i="39" s="1"/>
  <c r="J305" i="39" s="1"/>
  <c r="I306" i="25" s="1"/>
  <c r="E32" i="12"/>
  <c r="G32" i="12" s="1"/>
  <c r="G33" i="25"/>
  <c r="E32" i="39"/>
  <c r="G32" i="39" s="1"/>
  <c r="H32" i="39" s="1"/>
  <c r="I32" i="39" s="1"/>
  <c r="J32" i="39" s="1"/>
  <c r="I33" i="25" s="1"/>
  <c r="E104" i="12"/>
  <c r="G104" i="12" s="1"/>
  <c r="G105" i="25"/>
  <c r="E104" i="39"/>
  <c r="G104" i="39" s="1"/>
  <c r="H104" i="39" s="1"/>
  <c r="I104" i="39" s="1"/>
  <c r="J104" i="39" s="1"/>
  <c r="I105" i="25" s="1"/>
  <c r="G69" i="25"/>
  <c r="E68" i="12"/>
  <c r="G68" i="12" s="1"/>
  <c r="E68" i="39"/>
  <c r="G68" i="39" s="1"/>
  <c r="H68" i="39" s="1"/>
  <c r="I68" i="39" s="1"/>
  <c r="J68" i="39" s="1"/>
  <c r="I69" i="25" s="1"/>
  <c r="E81" i="12"/>
  <c r="G81" i="12" s="1"/>
  <c r="E81" i="39"/>
  <c r="G81" i="39" s="1"/>
  <c r="H81" i="39" s="1"/>
  <c r="I81" i="39" s="1"/>
  <c r="J81" i="39" s="1"/>
  <c r="I82" i="25" s="1"/>
  <c r="G82" i="25"/>
  <c r="E131" i="39"/>
  <c r="G131" i="39" s="1"/>
  <c r="H131" i="39" s="1"/>
  <c r="I131" i="39" s="1"/>
  <c r="J131" i="39" s="1"/>
  <c r="I132" i="25" s="1"/>
  <c r="G132" i="25"/>
  <c r="E131" i="12"/>
  <c r="G131" i="12" s="1"/>
  <c r="E116" i="12"/>
  <c r="G116" i="12" s="1"/>
  <c r="G117" i="25"/>
  <c r="E116" i="39"/>
  <c r="G116" i="39" s="1"/>
  <c r="H116" i="39" s="1"/>
  <c r="I116" i="39" s="1"/>
  <c r="J116" i="39" s="1"/>
  <c r="I117" i="25" s="1"/>
  <c r="G110" i="25"/>
  <c r="E109" i="39"/>
  <c r="G109" i="39" s="1"/>
  <c r="H109" i="39" s="1"/>
  <c r="I109" i="39" s="1"/>
  <c r="J109" i="39" s="1"/>
  <c r="I110" i="25" s="1"/>
  <c r="E109" i="12"/>
  <c r="G109" i="12" s="1"/>
  <c r="E280" i="39"/>
  <c r="G280" i="39" s="1"/>
  <c r="H280" i="39" s="1"/>
  <c r="I280" i="39" s="1"/>
  <c r="J280" i="39" s="1"/>
  <c r="I281" i="25" s="1"/>
  <c r="E280" i="12"/>
  <c r="G280" i="12" s="1"/>
  <c r="G281" i="25"/>
  <c r="E67" i="39"/>
  <c r="G67" i="39" s="1"/>
  <c r="H67" i="39" s="1"/>
  <c r="I67" i="39" s="1"/>
  <c r="J67" i="39" s="1"/>
  <c r="I68" i="25" s="1"/>
  <c r="G68" i="25"/>
  <c r="E67" i="12"/>
  <c r="G67" i="12" s="1"/>
  <c r="G173" i="25"/>
  <c r="E172" i="39"/>
  <c r="G172" i="39" s="1"/>
  <c r="H172" i="39" s="1"/>
  <c r="I172" i="39" s="1"/>
  <c r="J172" i="39" s="1"/>
  <c r="I173" i="25" s="1"/>
  <c r="E172" i="12"/>
  <c r="G172" i="12" s="1"/>
  <c r="E119" i="39"/>
  <c r="G119" i="39" s="1"/>
  <c r="H119" i="39" s="1"/>
  <c r="I119" i="39" s="1"/>
  <c r="J119" i="39" s="1"/>
  <c r="I120" i="25" s="1"/>
  <c r="E119" i="12"/>
  <c r="G119" i="12" s="1"/>
  <c r="G120" i="25"/>
  <c r="E91" i="12"/>
  <c r="G91" i="12" s="1"/>
  <c r="G92" i="25"/>
  <c r="E91" i="39"/>
  <c r="G91" i="39" s="1"/>
  <c r="H91" i="39" s="1"/>
  <c r="I91" i="39" s="1"/>
  <c r="J91" i="39" s="1"/>
  <c r="I92" i="25" s="1"/>
  <c r="G112" i="25"/>
  <c r="E111" i="12"/>
  <c r="G111" i="12" s="1"/>
  <c r="E111" i="39"/>
  <c r="G111" i="39" s="1"/>
  <c r="H111" i="39" s="1"/>
  <c r="I111" i="39" s="1"/>
  <c r="J111" i="39" s="1"/>
  <c r="I112" i="25" s="1"/>
  <c r="E64" i="39"/>
  <c r="G64" i="39" s="1"/>
  <c r="H64" i="39" s="1"/>
  <c r="I64" i="39" s="1"/>
  <c r="J64" i="39" s="1"/>
  <c r="I65" i="25" s="1"/>
  <c r="E64" i="12"/>
  <c r="G64" i="12" s="1"/>
  <c r="G65" i="25"/>
  <c r="G184" i="25"/>
  <c r="E183" i="39"/>
  <c r="G183" i="39" s="1"/>
  <c r="H183" i="39" s="1"/>
  <c r="I183" i="39" s="1"/>
  <c r="J183" i="39" s="1"/>
  <c r="I184" i="25" s="1"/>
  <c r="E183" i="12"/>
  <c r="G183" i="12" s="1"/>
  <c r="G98" i="25"/>
  <c r="E97" i="12"/>
  <c r="G97" i="12" s="1"/>
  <c r="E97" i="39"/>
  <c r="G97" i="39" s="1"/>
  <c r="H97" i="39" s="1"/>
  <c r="I97" i="39" s="1"/>
  <c r="J97" i="39" s="1"/>
  <c r="I98" i="25" s="1"/>
  <c r="G172" i="25"/>
  <c r="E171" i="12"/>
  <c r="G171" i="12" s="1"/>
  <c r="E171" i="39"/>
  <c r="G171" i="39" s="1"/>
  <c r="H171" i="39" s="1"/>
  <c r="I171" i="39" s="1"/>
  <c r="J171" i="39" s="1"/>
  <c r="I172" i="25" s="1"/>
  <c r="E55" i="39"/>
  <c r="G55" i="39" s="1"/>
  <c r="H55" i="39" s="1"/>
  <c r="I55" i="39" s="1"/>
  <c r="J55" i="39" s="1"/>
  <c r="I56" i="25" s="1"/>
  <c r="E55" i="12"/>
  <c r="G55" i="12" s="1"/>
  <c r="G56" i="25"/>
  <c r="E252" i="12"/>
  <c r="G252" i="12" s="1"/>
  <c r="E252" i="39"/>
  <c r="G252" i="39" s="1"/>
  <c r="H252" i="39" s="1"/>
  <c r="I252" i="39" s="1"/>
  <c r="J252" i="39" s="1"/>
  <c r="I253" i="25" s="1"/>
  <c r="G253" i="25"/>
  <c r="G114" i="25"/>
  <c r="E113" i="12"/>
  <c r="G113" i="12" s="1"/>
  <c r="E113" i="39"/>
  <c r="G113" i="39" s="1"/>
  <c r="H113" i="39" s="1"/>
  <c r="I113" i="39" s="1"/>
  <c r="J113" i="39" s="1"/>
  <c r="I114" i="25" s="1"/>
  <c r="E220" i="12"/>
  <c r="G220" i="12" s="1"/>
  <c r="G221" i="25"/>
  <c r="E220" i="39"/>
  <c r="G220" i="39" s="1"/>
  <c r="H220" i="39" s="1"/>
  <c r="I220" i="39" s="1"/>
  <c r="J220" i="39" s="1"/>
  <c r="I221" i="25" s="1"/>
  <c r="E239" i="12"/>
  <c r="G239" i="12" s="1"/>
  <c r="G240" i="25"/>
  <c r="E239" i="39"/>
  <c r="G239" i="39" s="1"/>
  <c r="H239" i="39" s="1"/>
  <c r="I239" i="39" s="1"/>
  <c r="J239" i="39" s="1"/>
  <c r="I240" i="25" s="1"/>
  <c r="E303" i="12"/>
  <c r="G303" i="12" s="1"/>
  <c r="E303" i="39"/>
  <c r="G303" i="39" s="1"/>
  <c r="H303" i="39" s="1"/>
  <c r="I303" i="39" s="1"/>
  <c r="J303" i="39" s="1"/>
  <c r="I304" i="25" s="1"/>
  <c r="G304" i="25"/>
  <c r="E128" i="39"/>
  <c r="G128" i="39" s="1"/>
  <c r="H128" i="39" s="1"/>
  <c r="I128" i="39" s="1"/>
  <c r="J128" i="39" s="1"/>
  <c r="I129" i="25" s="1"/>
  <c r="G129" i="25"/>
  <c r="E128" i="12"/>
  <c r="G128" i="12" s="1"/>
  <c r="G32" i="25"/>
  <c r="E31" i="12"/>
  <c r="G31" i="12" s="1"/>
  <c r="E31" i="39"/>
  <c r="G31" i="39" s="1"/>
  <c r="H31" i="39" s="1"/>
  <c r="I31" i="39" s="1"/>
  <c r="J31" i="39" s="1"/>
  <c r="I32" i="25" s="1"/>
  <c r="G135" i="25"/>
  <c r="E134" i="39"/>
  <c r="G134" i="39" s="1"/>
  <c r="H134" i="39" s="1"/>
  <c r="I134" i="39" s="1"/>
  <c r="J134" i="39" s="1"/>
  <c r="I135" i="25" s="1"/>
  <c r="E134" i="12"/>
  <c r="G134" i="12" s="1"/>
  <c r="E304" i="12"/>
  <c r="G304" i="12" s="1"/>
  <c r="G305" i="25"/>
  <c r="E304" i="39"/>
  <c r="G304" i="39" s="1"/>
  <c r="H304" i="39" s="1"/>
  <c r="I304" i="39" s="1"/>
  <c r="J304" i="39" s="1"/>
  <c r="I305" i="25" s="1"/>
  <c r="E130" i="12"/>
  <c r="G130" i="12" s="1"/>
  <c r="G131" i="25"/>
  <c r="E130" i="39"/>
  <c r="G130" i="39" s="1"/>
  <c r="H130" i="39" s="1"/>
  <c r="I130" i="39" s="1"/>
  <c r="J130" i="39" s="1"/>
  <c r="I131" i="25" s="1"/>
  <c r="E59" i="39"/>
  <c r="G59" i="39" s="1"/>
  <c r="H59" i="39" s="1"/>
  <c r="I59" i="39" s="1"/>
  <c r="J59" i="39" s="1"/>
  <c r="I60" i="25" s="1"/>
  <c r="G60" i="25"/>
  <c r="E59" i="12"/>
  <c r="G59" i="12" s="1"/>
  <c r="E35" i="12"/>
  <c r="G35" i="12" s="1"/>
  <c r="E35" i="39"/>
  <c r="G35" i="39" s="1"/>
  <c r="H35" i="39" s="1"/>
  <c r="I35" i="39" s="1"/>
  <c r="J35" i="39" s="1"/>
  <c r="I36" i="25" s="1"/>
  <c r="G36" i="25"/>
  <c r="G290" i="25"/>
  <c r="E289" i="12"/>
  <c r="G289" i="12" s="1"/>
  <c r="E289" i="39"/>
  <c r="G289" i="39" s="1"/>
  <c r="H289" i="39" s="1"/>
  <c r="I289" i="39" s="1"/>
  <c r="J289" i="39" s="1"/>
  <c r="I290" i="25" s="1"/>
  <c r="I16" i="34"/>
  <c r="E325" i="34"/>
  <c r="E14" i="12"/>
  <c r="G14" i="12" s="1"/>
  <c r="G15" i="25"/>
  <c r="E14" i="39"/>
  <c r="G14" i="39" s="1"/>
  <c r="H14" i="39" s="1"/>
  <c r="I14" i="39" s="1"/>
  <c r="J14" i="39" s="1"/>
  <c r="I15" i="25" s="1"/>
  <c r="I273" i="12" l="1"/>
  <c r="K273" i="12" s="1"/>
  <c r="N274" i="13"/>
  <c r="I271" i="12"/>
  <c r="K271" i="12" s="1"/>
  <c r="N272" i="13"/>
  <c r="I212" i="25"/>
  <c r="E38" i="48"/>
  <c r="E5" i="39"/>
  <c r="G5" i="39" s="1"/>
  <c r="H5" i="39" s="1"/>
  <c r="I5" i="39" s="1"/>
  <c r="J5" i="39" s="1"/>
  <c r="E5" i="12"/>
  <c r="G5" i="12" s="1"/>
  <c r="G6" i="25"/>
  <c r="H130" i="12"/>
  <c r="H111" i="12"/>
  <c r="H172" i="12"/>
  <c r="H305" i="12"/>
  <c r="H125" i="12"/>
  <c r="H41" i="12"/>
  <c r="H208" i="12"/>
  <c r="H274" i="12"/>
  <c r="H245" i="12"/>
  <c r="H83" i="12"/>
  <c r="H295" i="12"/>
  <c r="H164" i="12"/>
  <c r="H205" i="12"/>
  <c r="H313" i="12"/>
  <c r="H7" i="12"/>
  <c r="H29" i="12"/>
  <c r="H214" i="12"/>
  <c r="H300" i="12"/>
  <c r="H99" i="12"/>
  <c r="H69" i="12"/>
  <c r="H282" i="12"/>
  <c r="H251" i="12"/>
  <c r="H94" i="12"/>
  <c r="H180" i="12"/>
  <c r="H311" i="12"/>
  <c r="H222" i="12"/>
  <c r="H219" i="12"/>
  <c r="H77" i="12"/>
  <c r="H155" i="12"/>
  <c r="H190" i="12"/>
  <c r="H236" i="12"/>
  <c r="H201" i="12"/>
  <c r="H297" i="12"/>
  <c r="H22" i="12"/>
  <c r="H263" i="12"/>
  <c r="H19" i="12"/>
  <c r="H126" i="12"/>
  <c r="H275" i="12"/>
  <c r="H249" i="12"/>
  <c r="H144" i="12"/>
  <c r="H244" i="12"/>
  <c r="H259" i="12"/>
  <c r="H169" i="12"/>
  <c r="H26" i="12"/>
  <c r="H170" i="12"/>
  <c r="H86" i="12"/>
  <c r="H63" i="12"/>
  <c r="H60" i="12"/>
  <c r="H243" i="12"/>
  <c r="H90" i="12"/>
  <c r="H241" i="12"/>
  <c r="H253" i="12"/>
  <c r="H85" i="12"/>
  <c r="H258" i="12"/>
  <c r="H154" i="12"/>
  <c r="H105" i="12"/>
  <c r="H216" i="12"/>
  <c r="H168" i="12"/>
  <c r="H18" i="12"/>
  <c r="H220" i="12"/>
  <c r="H55" i="12"/>
  <c r="H183" i="12"/>
  <c r="H64" i="12"/>
  <c r="H109" i="12"/>
  <c r="H32" i="12"/>
  <c r="H232" i="12"/>
  <c r="H11" i="12"/>
  <c r="H92" i="12"/>
  <c r="H88" i="12"/>
  <c r="H73" i="12"/>
  <c r="H285" i="12"/>
  <c r="H266" i="12"/>
  <c r="H39" i="12"/>
  <c r="H200" i="12"/>
  <c r="H143" i="12"/>
  <c r="H242" i="12"/>
  <c r="H204" i="12"/>
  <c r="H294" i="12"/>
  <c r="H276" i="12"/>
  <c r="H151" i="12"/>
  <c r="H191" i="12"/>
  <c r="H307" i="12"/>
  <c r="H181" i="12"/>
  <c r="H268" i="12"/>
  <c r="H227" i="12"/>
  <c r="H207" i="12"/>
  <c r="H215" i="12"/>
  <c r="H210" i="12"/>
  <c r="H223" i="12"/>
  <c r="H112" i="12"/>
  <c r="H54" i="12"/>
  <c r="H173" i="12"/>
  <c r="H115" i="12"/>
  <c r="H138" i="12"/>
  <c r="H265" i="12"/>
  <c r="H203" i="12"/>
  <c r="H44" i="12"/>
  <c r="H256" i="12"/>
  <c r="H229" i="12"/>
  <c r="H157" i="12"/>
  <c r="H247" i="12"/>
  <c r="H257" i="12"/>
  <c r="H16" i="12"/>
  <c r="H96" i="12"/>
  <c r="H235" i="12"/>
  <c r="H254" i="12"/>
  <c r="H20" i="12"/>
  <c r="H122" i="12"/>
  <c r="H107" i="12"/>
  <c r="H193" i="12"/>
  <c r="H267" i="12"/>
  <c r="H62" i="12"/>
  <c r="H287" i="12"/>
  <c r="H133" i="12"/>
  <c r="H84" i="12"/>
  <c r="H150" i="12"/>
  <c r="H198" i="12"/>
  <c r="H182" i="12"/>
  <c r="H121" i="12"/>
  <c r="H167" i="12"/>
  <c r="H231" i="12"/>
  <c r="H238" i="12"/>
  <c r="H38" i="12"/>
  <c r="H261" i="12"/>
  <c r="H45" i="12"/>
  <c r="H301" i="12"/>
  <c r="H145" i="12"/>
  <c r="H89" i="12"/>
  <c r="H156" i="12"/>
  <c r="H66" i="12"/>
  <c r="H78" i="12"/>
  <c r="H299" i="12"/>
  <c r="H194" i="12"/>
  <c r="H61" i="12"/>
  <c r="H34" i="12"/>
  <c r="H250" i="12"/>
  <c r="H306" i="12"/>
  <c r="H37" i="12"/>
  <c r="H286" i="12"/>
  <c r="H75" i="12"/>
  <c r="H31" i="12"/>
  <c r="H42" i="12"/>
  <c r="H140" i="12"/>
  <c r="H93" i="12"/>
  <c r="H46" i="12"/>
  <c r="H6" i="12"/>
  <c r="H12" i="12"/>
  <c r="H128" i="12"/>
  <c r="H239" i="12"/>
  <c r="H68" i="12"/>
  <c r="H120" i="12"/>
  <c r="H103" i="12"/>
  <c r="H255" i="12"/>
  <c r="H71" i="12"/>
  <c r="H114" i="12"/>
  <c r="H309" i="12"/>
  <c r="H40" i="12"/>
  <c r="H233" i="12"/>
  <c r="H217" i="12"/>
  <c r="H65" i="12"/>
  <c r="H293" i="12"/>
  <c r="H269" i="12"/>
  <c r="H160" i="12"/>
  <c r="H283" i="12"/>
  <c r="H199" i="12"/>
  <c r="H15" i="12"/>
  <c r="H82" i="12"/>
  <c r="H123" i="12"/>
  <c r="H9" i="12"/>
  <c r="H178" i="12"/>
  <c r="H206" i="12"/>
  <c r="H72" i="12"/>
  <c r="H137" i="12"/>
  <c r="H52" i="12"/>
  <c r="H184" i="12"/>
  <c r="H197" i="12"/>
  <c r="H80" i="12"/>
  <c r="H209" i="12"/>
  <c r="H237" i="12"/>
  <c r="H100" i="12"/>
  <c r="H118" i="12"/>
  <c r="H264" i="12"/>
  <c r="H196" i="12"/>
  <c r="H192" i="12"/>
  <c r="H48" i="12"/>
  <c r="H27" i="12"/>
  <c r="H246" i="12"/>
  <c r="H288" i="12"/>
  <c r="H17" i="12"/>
  <c r="H152" i="12"/>
  <c r="H134" i="12"/>
  <c r="H171" i="12"/>
  <c r="H91" i="12"/>
  <c r="H81" i="12"/>
  <c r="H98" i="12"/>
  <c r="H30" i="12"/>
  <c r="H58" i="12"/>
  <c r="H272" i="12"/>
  <c r="H102" i="12"/>
  <c r="H189" i="12"/>
  <c r="H149" i="12"/>
  <c r="H70" i="12"/>
  <c r="H49" i="12"/>
  <c r="H74" i="12"/>
  <c r="H47" i="12"/>
  <c r="H225" i="12"/>
  <c r="H224" i="12"/>
  <c r="H14" i="12"/>
  <c r="H289" i="12"/>
  <c r="H35" i="12"/>
  <c r="H119" i="12"/>
  <c r="H116" i="12"/>
  <c r="H104" i="12"/>
  <c r="H290" i="12"/>
  <c r="H108" i="12"/>
  <c r="H161" i="12"/>
  <c r="H110" i="12"/>
  <c r="H142" i="12"/>
  <c r="H213" i="12"/>
  <c r="H43" i="12"/>
  <c r="H240" i="12"/>
  <c r="H33" i="12"/>
  <c r="H291" i="12"/>
  <c r="H53" i="12"/>
  <c r="H277" i="12"/>
  <c r="H139" i="12"/>
  <c r="J273" i="12"/>
  <c r="J274" i="25" s="1"/>
  <c r="O274" i="13"/>
  <c r="H147" i="12"/>
  <c r="H187" i="12"/>
  <c r="H8" i="12"/>
  <c r="H176" i="12"/>
  <c r="H153" i="12"/>
  <c r="H279" i="12"/>
  <c r="H234" i="12"/>
  <c r="H162" i="12"/>
  <c r="H188" i="12"/>
  <c r="H24" i="12"/>
  <c r="H79" i="12"/>
  <c r="H177" i="12"/>
  <c r="C4" i="34"/>
  <c r="C10" i="34" s="1"/>
  <c r="I325" i="34"/>
  <c r="H59" i="12"/>
  <c r="H304" i="12"/>
  <c r="H303" i="12"/>
  <c r="H113" i="12"/>
  <c r="H252" i="12"/>
  <c r="H97" i="12"/>
  <c r="H67" i="12"/>
  <c r="H280" i="12"/>
  <c r="H131" i="12"/>
  <c r="H159" i="12"/>
  <c r="H262" i="12"/>
  <c r="H202" i="12"/>
  <c r="H218" i="12"/>
  <c r="H51" i="12"/>
  <c r="H127" i="12"/>
  <c r="H298" i="12"/>
  <c r="H195" i="12"/>
  <c r="H25" i="12"/>
  <c r="H148" i="12"/>
  <c r="H76" i="12"/>
  <c r="H146" i="12"/>
  <c r="H186" i="12"/>
  <c r="H129" i="12"/>
  <c r="H135" i="12"/>
  <c r="H10" i="12"/>
  <c r="H270" i="12"/>
  <c r="H57" i="12"/>
  <c r="H292" i="12"/>
  <c r="H310" i="12"/>
  <c r="H278" i="12"/>
  <c r="H95" i="12"/>
  <c r="H87" i="12"/>
  <c r="H56" i="12"/>
  <c r="H166" i="12"/>
  <c r="H296" i="12"/>
  <c r="H165" i="12"/>
  <c r="H23" i="12"/>
  <c r="H36" i="12"/>
  <c r="H136" i="12"/>
  <c r="H28" i="12"/>
  <c r="H281" i="12"/>
  <c r="H106" i="12"/>
  <c r="H13" i="12"/>
  <c r="H141" i="12"/>
  <c r="H50" i="12"/>
  <c r="H179" i="12"/>
  <c r="H117" i="12"/>
  <c r="H211" i="12"/>
  <c r="H124" i="12"/>
  <c r="H21" i="12"/>
  <c r="H228" i="12"/>
  <c r="H308" i="12"/>
  <c r="H212" i="12"/>
  <c r="H158" i="12"/>
  <c r="H284" i="12"/>
  <c r="H174" i="12"/>
  <c r="H185" i="12"/>
  <c r="H302" i="12"/>
  <c r="H312" i="12"/>
  <c r="H248" i="12"/>
  <c r="H163" i="12"/>
  <c r="H132" i="12"/>
  <c r="H260" i="12"/>
  <c r="H230" i="12"/>
  <c r="H226" i="12"/>
  <c r="H175" i="12"/>
  <c r="H101" i="12"/>
  <c r="H221" i="12"/>
  <c r="J271" i="12"/>
  <c r="J272" i="25" s="1"/>
  <c r="O272" i="13"/>
  <c r="N266" i="13" l="1"/>
  <c r="P272" i="13"/>
  <c r="Q272" i="13" s="1"/>
  <c r="K272" i="25" s="1"/>
  <c r="L272" i="25" s="1"/>
  <c r="N272" i="25" s="1"/>
  <c r="I248" i="12"/>
  <c r="N249" i="13" s="1"/>
  <c r="I228" i="12"/>
  <c r="N229" i="13" s="1"/>
  <c r="I141" i="12"/>
  <c r="N142" i="13" s="1"/>
  <c r="I296" i="12"/>
  <c r="N297" i="13" s="1"/>
  <c r="I87" i="12"/>
  <c r="N88" i="13" s="1"/>
  <c r="I57" i="12"/>
  <c r="N58" i="13" s="1"/>
  <c r="I280" i="12"/>
  <c r="N281" i="13" s="1"/>
  <c r="I252" i="12"/>
  <c r="N253" i="13" s="1"/>
  <c r="I188" i="12"/>
  <c r="K188" i="12" s="1"/>
  <c r="I279" i="12"/>
  <c r="N280" i="13" s="1"/>
  <c r="I58" i="12"/>
  <c r="N59" i="13" s="1"/>
  <c r="I48" i="12"/>
  <c r="N49" i="13" s="1"/>
  <c r="I264" i="12"/>
  <c r="K264" i="12" s="1"/>
  <c r="I237" i="12"/>
  <c r="N238" i="13" s="1"/>
  <c r="I52" i="12"/>
  <c r="K52" i="12" s="1"/>
  <c r="I15" i="12"/>
  <c r="N16" i="13" s="1"/>
  <c r="I160" i="12"/>
  <c r="K160" i="12" s="1"/>
  <c r="I217" i="12"/>
  <c r="N218" i="13" s="1"/>
  <c r="I309" i="12"/>
  <c r="K309" i="12" s="1"/>
  <c r="I103" i="12"/>
  <c r="N104" i="13" s="1"/>
  <c r="I61" i="12"/>
  <c r="N62" i="13" s="1"/>
  <c r="I66" i="12"/>
  <c r="N67" i="13" s="1"/>
  <c r="I156" i="12"/>
  <c r="K156" i="12" s="1"/>
  <c r="I301" i="12"/>
  <c r="N302" i="13" s="1"/>
  <c r="I261" i="12"/>
  <c r="K261" i="12" s="1"/>
  <c r="I238" i="12"/>
  <c r="N239" i="13" s="1"/>
  <c r="I182" i="12"/>
  <c r="N183" i="13" s="1"/>
  <c r="I267" i="12"/>
  <c r="N268" i="13" s="1"/>
  <c r="I193" i="12"/>
  <c r="K193" i="12" s="1"/>
  <c r="I254" i="12"/>
  <c r="N255" i="13" s="1"/>
  <c r="I96" i="12"/>
  <c r="K96" i="12" s="1"/>
  <c r="I247" i="12"/>
  <c r="N248" i="13" s="1"/>
  <c r="I229" i="12"/>
  <c r="K229" i="12" s="1"/>
  <c r="I265" i="12"/>
  <c r="I138" i="12"/>
  <c r="K138" i="12" s="1"/>
  <c r="I173" i="12"/>
  <c r="N174" i="13" s="1"/>
  <c r="I215" i="12"/>
  <c r="K215" i="12" s="1"/>
  <c r="I207" i="12"/>
  <c r="N208" i="13" s="1"/>
  <c r="I276" i="12"/>
  <c r="N277" i="13" s="1"/>
  <c r="I143" i="12"/>
  <c r="K143" i="12" s="1"/>
  <c r="I18" i="12"/>
  <c r="K18" i="12" s="1"/>
  <c r="I144" i="12"/>
  <c r="K144" i="12" s="1"/>
  <c r="I126" i="12"/>
  <c r="K126" i="12" s="1"/>
  <c r="I19" i="12"/>
  <c r="K19" i="12" s="1"/>
  <c r="I201" i="12"/>
  <c r="K201" i="12" s="1"/>
  <c r="I190" i="12"/>
  <c r="K190" i="12" s="1"/>
  <c r="I77" i="12"/>
  <c r="K77" i="12" s="1"/>
  <c r="I313" i="12"/>
  <c r="K313" i="12" s="1"/>
  <c r="I83" i="12"/>
  <c r="K83" i="12" s="1"/>
  <c r="I41" i="12"/>
  <c r="K41" i="12" s="1"/>
  <c r="I305" i="12"/>
  <c r="N306" i="13" s="1"/>
  <c r="I172" i="12"/>
  <c r="K172" i="12" s="1"/>
  <c r="I230" i="12"/>
  <c r="K230" i="12" s="1"/>
  <c r="I132" i="12"/>
  <c r="K132" i="12" s="1"/>
  <c r="I308" i="12"/>
  <c r="N309" i="13" s="1"/>
  <c r="I124" i="12"/>
  <c r="K124" i="12" s="1"/>
  <c r="I281" i="12"/>
  <c r="K281" i="12" s="1"/>
  <c r="I10" i="12"/>
  <c r="K10" i="12" s="1"/>
  <c r="I129" i="12"/>
  <c r="N130" i="13" s="1"/>
  <c r="I146" i="12"/>
  <c r="K146" i="12" s="1"/>
  <c r="I127" i="12"/>
  <c r="K127" i="12" s="1"/>
  <c r="I51" i="12"/>
  <c r="K51" i="12" s="1"/>
  <c r="I202" i="12"/>
  <c r="K202" i="12" s="1"/>
  <c r="I159" i="12"/>
  <c r="K159" i="12" s="1"/>
  <c r="I131" i="12"/>
  <c r="K131" i="12" s="1"/>
  <c r="E314" i="39"/>
  <c r="G314" i="39" s="1"/>
  <c r="H314" i="39" s="1"/>
  <c r="G315" i="25"/>
  <c r="E314" i="12"/>
  <c r="G314" i="12" s="1"/>
  <c r="I177" i="12"/>
  <c r="N178" i="13" s="1"/>
  <c r="I147" i="12"/>
  <c r="K147" i="12" s="1"/>
  <c r="I33" i="12"/>
  <c r="N34" i="13" s="1"/>
  <c r="I43" i="12"/>
  <c r="K43" i="12" s="1"/>
  <c r="I142" i="12"/>
  <c r="K142" i="12" s="1"/>
  <c r="I110" i="12"/>
  <c r="K110" i="12" s="1"/>
  <c r="I116" i="12"/>
  <c r="N117" i="13" s="1"/>
  <c r="I119" i="12"/>
  <c r="K119" i="12" s="1"/>
  <c r="I35" i="12"/>
  <c r="N36" i="13" s="1"/>
  <c r="I14" i="12"/>
  <c r="K14" i="12" s="1"/>
  <c r="I224" i="12"/>
  <c r="N225" i="13" s="1"/>
  <c r="I74" i="12"/>
  <c r="K74" i="12" s="1"/>
  <c r="I70" i="12"/>
  <c r="N71" i="13" s="1"/>
  <c r="I149" i="12"/>
  <c r="K149" i="12" s="1"/>
  <c r="I152" i="12"/>
  <c r="K152" i="12" s="1"/>
  <c r="I17" i="12"/>
  <c r="K17" i="12" s="1"/>
  <c r="I27" i="12"/>
  <c r="N28" i="13" s="1"/>
  <c r="I196" i="12"/>
  <c r="N197" i="13" s="1"/>
  <c r="I118" i="12"/>
  <c r="N119" i="13" s="1"/>
  <c r="I72" i="12"/>
  <c r="K72" i="12" s="1"/>
  <c r="I206" i="12"/>
  <c r="N207" i="13" s="1"/>
  <c r="I178" i="12"/>
  <c r="K178" i="12" s="1"/>
  <c r="I255" i="12"/>
  <c r="N256" i="13" s="1"/>
  <c r="I239" i="12"/>
  <c r="N240" i="13" s="1"/>
  <c r="I6" i="12"/>
  <c r="N7" i="13" s="1"/>
  <c r="I140" i="12"/>
  <c r="K140" i="12" s="1"/>
  <c r="I75" i="12"/>
  <c r="N76" i="13" s="1"/>
  <c r="I286" i="12"/>
  <c r="N287" i="13" s="1"/>
  <c r="I306" i="12"/>
  <c r="N307" i="13" s="1"/>
  <c r="I34" i="12"/>
  <c r="K34" i="12" s="1"/>
  <c r="I299" i="12"/>
  <c r="N300" i="13" s="1"/>
  <c r="I78" i="12"/>
  <c r="K78" i="12" s="1"/>
  <c r="I145" i="12"/>
  <c r="N146" i="13" s="1"/>
  <c r="I167" i="12"/>
  <c r="N168" i="13" s="1"/>
  <c r="I198" i="12"/>
  <c r="N199" i="13" s="1"/>
  <c r="I84" i="12"/>
  <c r="K84" i="12" s="1"/>
  <c r="I20" i="12"/>
  <c r="N21" i="13" s="1"/>
  <c r="I257" i="12"/>
  <c r="K257" i="12" s="1"/>
  <c r="I256" i="12"/>
  <c r="N257" i="13" s="1"/>
  <c r="I44" i="12"/>
  <c r="K44" i="12" s="1"/>
  <c r="I223" i="12"/>
  <c r="K223" i="12" s="1"/>
  <c r="I210" i="12"/>
  <c r="K210" i="12" s="1"/>
  <c r="I307" i="12"/>
  <c r="N308" i="13" s="1"/>
  <c r="I151" i="12"/>
  <c r="N152" i="13" s="1"/>
  <c r="I242" i="12"/>
  <c r="N243" i="13" s="1"/>
  <c r="I266" i="12"/>
  <c r="K266" i="12" s="1"/>
  <c r="I73" i="12"/>
  <c r="N74" i="13" s="1"/>
  <c r="I92" i="12"/>
  <c r="K92" i="12" s="1"/>
  <c r="I32" i="12"/>
  <c r="N33" i="13" s="1"/>
  <c r="I109" i="12"/>
  <c r="N110" i="13" s="1"/>
  <c r="I64" i="12"/>
  <c r="K64" i="12" s="1"/>
  <c r="I220" i="12"/>
  <c r="K220" i="12" s="1"/>
  <c r="I105" i="12"/>
  <c r="N106" i="13" s="1"/>
  <c r="I258" i="12"/>
  <c r="N259" i="13" s="1"/>
  <c r="I241" i="12"/>
  <c r="N242" i="13" s="1"/>
  <c r="I86" i="12"/>
  <c r="K86" i="12" s="1"/>
  <c r="I26" i="12"/>
  <c r="N27" i="13" s="1"/>
  <c r="I244" i="12"/>
  <c r="K244" i="12" s="1"/>
  <c r="I297" i="12"/>
  <c r="N298" i="13" s="1"/>
  <c r="I222" i="12"/>
  <c r="K222" i="12" s="1"/>
  <c r="I180" i="12"/>
  <c r="N181" i="13" s="1"/>
  <c r="I282" i="12"/>
  <c r="N283" i="13" s="1"/>
  <c r="I99" i="12"/>
  <c r="N100" i="13" s="1"/>
  <c r="I214" i="12"/>
  <c r="K214" i="12" s="1"/>
  <c r="I29" i="12"/>
  <c r="N30" i="13" s="1"/>
  <c r="I274" i="12"/>
  <c r="N275" i="13" s="1"/>
  <c r="I302" i="12"/>
  <c r="K302" i="12" s="1"/>
  <c r="I277" i="12"/>
  <c r="K277" i="12" s="1"/>
  <c r="I102" i="12"/>
  <c r="K102" i="12" s="1"/>
  <c r="I312" i="12"/>
  <c r="N313" i="13" s="1"/>
  <c r="I174" i="12"/>
  <c r="K174" i="12" s="1"/>
  <c r="I23" i="12"/>
  <c r="K23" i="12" s="1"/>
  <c r="I292" i="12"/>
  <c r="K292" i="12" s="1"/>
  <c r="I97" i="12"/>
  <c r="K97" i="12" s="1"/>
  <c r="D10" i="34"/>
  <c r="D11" i="34" s="1"/>
  <c r="C11" i="34"/>
  <c r="I8" i="12"/>
  <c r="N9" i="13" s="1"/>
  <c r="I81" i="12"/>
  <c r="K81" i="12" s="1"/>
  <c r="I184" i="12"/>
  <c r="K184" i="12" s="1"/>
  <c r="I123" i="12"/>
  <c r="K123" i="12" s="1"/>
  <c r="I82" i="12"/>
  <c r="K82" i="12" s="1"/>
  <c r="I269" i="12"/>
  <c r="K269" i="12" s="1"/>
  <c r="I65" i="12"/>
  <c r="N66" i="13" s="1"/>
  <c r="I40" i="12"/>
  <c r="K40" i="12" s="1"/>
  <c r="I71" i="12"/>
  <c r="K71" i="12" s="1"/>
  <c r="I12" i="12"/>
  <c r="K12" i="12" s="1"/>
  <c r="I31" i="12"/>
  <c r="K31" i="12" s="1"/>
  <c r="I37" i="12"/>
  <c r="K37" i="12" s="1"/>
  <c r="I194" i="12"/>
  <c r="N195" i="13" s="1"/>
  <c r="I45" i="12"/>
  <c r="K45" i="12" s="1"/>
  <c r="I38" i="12"/>
  <c r="K38" i="12" s="1"/>
  <c r="I231" i="12"/>
  <c r="K231" i="12" s="1"/>
  <c r="I62" i="12"/>
  <c r="K62" i="12" s="1"/>
  <c r="I107" i="12"/>
  <c r="K107" i="12" s="1"/>
  <c r="I122" i="12"/>
  <c r="K122" i="12" s="1"/>
  <c r="I235" i="12"/>
  <c r="K235" i="12" s="1"/>
  <c r="I16" i="12"/>
  <c r="K16" i="12" s="1"/>
  <c r="I157" i="12"/>
  <c r="K157" i="12" s="1"/>
  <c r="I203" i="12"/>
  <c r="N204" i="13" s="1"/>
  <c r="I115" i="12"/>
  <c r="K115" i="12" s="1"/>
  <c r="I227" i="12"/>
  <c r="K227" i="12" s="1"/>
  <c r="I204" i="12"/>
  <c r="K204" i="12" s="1"/>
  <c r="I55" i="12"/>
  <c r="N56" i="13" s="1"/>
  <c r="I168" i="12"/>
  <c r="K168" i="12" s="1"/>
  <c r="I60" i="12"/>
  <c r="N61" i="13" s="1"/>
  <c r="I63" i="12"/>
  <c r="K63" i="12" s="1"/>
  <c r="I249" i="12"/>
  <c r="N250" i="13" s="1"/>
  <c r="I275" i="12"/>
  <c r="K275" i="12" s="1"/>
  <c r="I263" i="12"/>
  <c r="N264" i="13" s="1"/>
  <c r="I22" i="12"/>
  <c r="K22" i="12" s="1"/>
  <c r="I236" i="12"/>
  <c r="K236" i="12" s="1"/>
  <c r="I219" i="12"/>
  <c r="K219" i="12" s="1"/>
  <c r="I7" i="12"/>
  <c r="N8" i="13" s="1"/>
  <c r="I164" i="12"/>
  <c r="K164" i="12" s="1"/>
  <c r="I295" i="12"/>
  <c r="K295" i="12" s="1"/>
  <c r="I245" i="12"/>
  <c r="K245" i="12" s="1"/>
  <c r="I208" i="12"/>
  <c r="K208" i="12" s="1"/>
  <c r="I111" i="12"/>
  <c r="K111" i="12" s="1"/>
  <c r="H5" i="12"/>
  <c r="I50" i="12"/>
  <c r="K50" i="12" s="1"/>
  <c r="I13" i="12"/>
  <c r="K13" i="12" s="1"/>
  <c r="I165" i="12"/>
  <c r="K165" i="12" s="1"/>
  <c r="I166" i="12"/>
  <c r="K166" i="12" s="1"/>
  <c r="I303" i="12"/>
  <c r="K303" i="12" s="1"/>
  <c r="I162" i="12"/>
  <c r="K162" i="12" s="1"/>
  <c r="I290" i="12"/>
  <c r="K290" i="12" s="1"/>
  <c r="I98" i="12"/>
  <c r="K98" i="12" s="1"/>
  <c r="I91" i="12"/>
  <c r="K91" i="12" s="1"/>
  <c r="I100" i="12"/>
  <c r="K100" i="12" s="1"/>
  <c r="I197" i="12"/>
  <c r="K197" i="12" s="1"/>
  <c r="I9" i="12"/>
  <c r="K9" i="12" s="1"/>
  <c r="I283" i="12"/>
  <c r="K283" i="12" s="1"/>
  <c r="I293" i="12"/>
  <c r="N294" i="13" s="1"/>
  <c r="I233" i="12"/>
  <c r="K233" i="12" s="1"/>
  <c r="I101" i="12"/>
  <c r="N102" i="13" s="1"/>
  <c r="I284" i="12"/>
  <c r="K284" i="12" s="1"/>
  <c r="I212" i="12"/>
  <c r="K212" i="12" s="1"/>
  <c r="I179" i="12"/>
  <c r="K179" i="12" s="1"/>
  <c r="I106" i="12"/>
  <c r="K106" i="12" s="1"/>
  <c r="I136" i="12"/>
  <c r="K136" i="12" s="1"/>
  <c r="I56" i="12"/>
  <c r="K56" i="12" s="1"/>
  <c r="I278" i="12"/>
  <c r="K278" i="12" s="1"/>
  <c r="I270" i="12"/>
  <c r="K270" i="12" s="1"/>
  <c r="I76" i="12"/>
  <c r="K76" i="12" s="1"/>
  <c r="I25" i="12"/>
  <c r="N26" i="13" s="1"/>
  <c r="I298" i="12"/>
  <c r="K298" i="12" s="1"/>
  <c r="I67" i="12"/>
  <c r="N68" i="13" s="1"/>
  <c r="I113" i="12"/>
  <c r="K113" i="12" s="1"/>
  <c r="I59" i="12"/>
  <c r="K59" i="12" s="1"/>
  <c r="I24" i="12"/>
  <c r="K24" i="12" s="1"/>
  <c r="I234" i="12"/>
  <c r="N235" i="13" s="1"/>
  <c r="I187" i="12"/>
  <c r="K187" i="12" s="1"/>
  <c r="I108" i="12"/>
  <c r="K108" i="12" s="1"/>
  <c r="I104" i="12"/>
  <c r="K104" i="12" s="1"/>
  <c r="I47" i="12"/>
  <c r="K47" i="12" s="1"/>
  <c r="I272" i="12"/>
  <c r="K272" i="12" s="1"/>
  <c r="I30" i="12"/>
  <c r="K30" i="12" s="1"/>
  <c r="I134" i="12"/>
  <c r="K134" i="12" s="1"/>
  <c r="I288" i="12"/>
  <c r="N289" i="13" s="1"/>
  <c r="I246" i="12"/>
  <c r="K246" i="12" s="1"/>
  <c r="I209" i="12"/>
  <c r="N210" i="13" s="1"/>
  <c r="I80" i="12"/>
  <c r="K80" i="12" s="1"/>
  <c r="I199" i="12"/>
  <c r="K199" i="12" s="1"/>
  <c r="I221" i="12"/>
  <c r="K221" i="12" s="1"/>
  <c r="I175" i="12"/>
  <c r="K175" i="12" s="1"/>
  <c r="I226" i="12"/>
  <c r="K226" i="12" s="1"/>
  <c r="I260" i="12"/>
  <c r="N261" i="13" s="1"/>
  <c r="I163" i="12"/>
  <c r="K163" i="12" s="1"/>
  <c r="I185" i="12"/>
  <c r="N186" i="13" s="1"/>
  <c r="I158" i="12"/>
  <c r="K158" i="12" s="1"/>
  <c r="I21" i="12"/>
  <c r="K21" i="12" s="1"/>
  <c r="I211" i="12"/>
  <c r="K211" i="12" s="1"/>
  <c r="I117" i="12"/>
  <c r="N118" i="13" s="1"/>
  <c r="I28" i="12"/>
  <c r="K28" i="12" s="1"/>
  <c r="I36" i="12"/>
  <c r="K36" i="12" s="1"/>
  <c r="I95" i="12"/>
  <c r="K95" i="12" s="1"/>
  <c r="I310" i="12"/>
  <c r="K310" i="12" s="1"/>
  <c r="I135" i="12"/>
  <c r="K135" i="12" s="1"/>
  <c r="I186" i="12"/>
  <c r="K186" i="12" s="1"/>
  <c r="I148" i="12"/>
  <c r="K148" i="12" s="1"/>
  <c r="I195" i="12"/>
  <c r="N196" i="13" s="1"/>
  <c r="I218" i="12"/>
  <c r="K218" i="12" s="1"/>
  <c r="I262" i="12"/>
  <c r="K262" i="12" s="1"/>
  <c r="I304" i="12"/>
  <c r="K304" i="12" s="1"/>
  <c r="I79" i="12"/>
  <c r="N80" i="13" s="1"/>
  <c r="I153" i="12"/>
  <c r="K153" i="12" s="1"/>
  <c r="I176" i="12"/>
  <c r="K176" i="12" s="1"/>
  <c r="P274" i="13"/>
  <c r="Q274" i="13" s="1"/>
  <c r="K274" i="25" s="1"/>
  <c r="L274" i="25" s="1"/>
  <c r="N274" i="25" s="1"/>
  <c r="I139" i="12"/>
  <c r="N140" i="13" s="1"/>
  <c r="I53" i="12"/>
  <c r="K53" i="12" s="1"/>
  <c r="I291" i="12"/>
  <c r="N292" i="13" s="1"/>
  <c r="I240" i="12"/>
  <c r="K240" i="12" s="1"/>
  <c r="I213" i="12"/>
  <c r="K213" i="12" s="1"/>
  <c r="I161" i="12"/>
  <c r="K161" i="12" s="1"/>
  <c r="I289" i="12"/>
  <c r="N290" i="13" s="1"/>
  <c r="I225" i="12"/>
  <c r="K225" i="12" s="1"/>
  <c r="I49" i="12"/>
  <c r="K49" i="12" s="1"/>
  <c r="I189" i="12"/>
  <c r="K189" i="12" s="1"/>
  <c r="I171" i="12"/>
  <c r="K171" i="12" s="1"/>
  <c r="I192" i="12"/>
  <c r="K192" i="12" s="1"/>
  <c r="I137" i="12"/>
  <c r="N138" i="13" s="1"/>
  <c r="I114" i="12"/>
  <c r="K114" i="12" s="1"/>
  <c r="I120" i="12"/>
  <c r="K120" i="12" s="1"/>
  <c r="I68" i="12"/>
  <c r="K68" i="12" s="1"/>
  <c r="I128" i="12"/>
  <c r="K128" i="12" s="1"/>
  <c r="I46" i="12"/>
  <c r="K46" i="12" s="1"/>
  <c r="I93" i="12"/>
  <c r="K93" i="12" s="1"/>
  <c r="I42" i="12"/>
  <c r="K42" i="12" s="1"/>
  <c r="I250" i="12"/>
  <c r="K250" i="12" s="1"/>
  <c r="I89" i="12"/>
  <c r="K89" i="12" s="1"/>
  <c r="I121" i="12"/>
  <c r="N122" i="13" s="1"/>
  <c r="I150" i="12"/>
  <c r="K150" i="12" s="1"/>
  <c r="I133" i="12"/>
  <c r="N134" i="13" s="1"/>
  <c r="I287" i="12"/>
  <c r="K287" i="12" s="1"/>
  <c r="I54" i="12"/>
  <c r="N55" i="13" s="1"/>
  <c r="I112" i="12"/>
  <c r="K112" i="12" s="1"/>
  <c r="I268" i="12"/>
  <c r="K268" i="12" s="1"/>
  <c r="I181" i="12"/>
  <c r="K181" i="12" s="1"/>
  <c r="I191" i="12"/>
  <c r="N192" i="13" s="1"/>
  <c r="I294" i="12"/>
  <c r="K294" i="12" s="1"/>
  <c r="I200" i="12"/>
  <c r="N201" i="13" s="1"/>
  <c r="I39" i="12"/>
  <c r="K39" i="12" s="1"/>
  <c r="I285" i="12"/>
  <c r="N286" i="13" s="1"/>
  <c r="I88" i="12"/>
  <c r="K88" i="12" s="1"/>
  <c r="I11" i="12"/>
  <c r="K11" i="12" s="1"/>
  <c r="I232" i="12"/>
  <c r="K232" i="12" s="1"/>
  <c r="I183" i="12"/>
  <c r="N184" i="13" s="1"/>
  <c r="I216" i="12"/>
  <c r="K216" i="12" s="1"/>
  <c r="I154" i="12"/>
  <c r="K154" i="12" s="1"/>
  <c r="I85" i="12"/>
  <c r="K85" i="12" s="1"/>
  <c r="I253" i="12"/>
  <c r="N254" i="13" s="1"/>
  <c r="I90" i="12"/>
  <c r="K90" i="12" s="1"/>
  <c r="I243" i="12"/>
  <c r="K243" i="12" s="1"/>
  <c r="I170" i="12"/>
  <c r="K170" i="12" s="1"/>
  <c r="I169" i="12"/>
  <c r="N170" i="13" s="1"/>
  <c r="I259" i="12"/>
  <c r="K259" i="12" s="1"/>
  <c r="I155" i="12"/>
  <c r="K155" i="12" s="1"/>
  <c r="I311" i="12"/>
  <c r="K311" i="12" s="1"/>
  <c r="I94" i="12"/>
  <c r="N95" i="13" s="1"/>
  <c r="I251" i="12"/>
  <c r="K251" i="12" s="1"/>
  <c r="I69" i="12"/>
  <c r="N70" i="13" s="1"/>
  <c r="I300" i="12"/>
  <c r="K300" i="12" s="1"/>
  <c r="I205" i="12"/>
  <c r="K205" i="12" s="1"/>
  <c r="I125" i="12"/>
  <c r="K125" i="12" s="1"/>
  <c r="I130" i="12"/>
  <c r="N131" i="13" s="1"/>
  <c r="I6" i="25"/>
  <c r="J314" i="39"/>
  <c r="I315" i="25" s="1"/>
  <c r="N52" i="13" l="1"/>
  <c r="N185" i="13"/>
  <c r="N148" i="13"/>
  <c r="N111" i="13"/>
  <c r="N166" i="13"/>
  <c r="N127" i="13"/>
  <c r="N237" i="13"/>
  <c r="N165" i="13"/>
  <c r="N123" i="13"/>
  <c r="N279" i="13"/>
  <c r="N149" i="13"/>
  <c r="O149" i="13" s="1"/>
  <c r="N86" i="13"/>
  <c r="N64" i="13"/>
  <c r="N135" i="13"/>
  <c r="N73" i="13"/>
  <c r="O73" i="13" s="1"/>
  <c r="N276" i="13"/>
  <c r="O276" i="13" s="1"/>
  <c r="N125" i="13"/>
  <c r="N78" i="13"/>
  <c r="N75" i="13"/>
  <c r="O75" i="13" s="1"/>
  <c r="N180" i="13"/>
  <c r="N126" i="13"/>
  <c r="N89" i="13"/>
  <c r="N200" i="13"/>
  <c r="N42" i="13"/>
  <c r="O42" i="13" s="1"/>
  <c r="N65" i="13"/>
  <c r="N141" i="13"/>
  <c r="N234" i="13"/>
  <c r="N25" i="13"/>
  <c r="N221" i="13"/>
  <c r="N310" i="13"/>
  <c r="N44" i="13"/>
  <c r="O44" i="13" s="1"/>
  <c r="N133" i="13"/>
  <c r="N252" i="13"/>
  <c r="N29" i="13"/>
  <c r="N228" i="13"/>
  <c r="O228" i="13" s="1"/>
  <c r="N128" i="13"/>
  <c r="N60" i="13"/>
  <c r="N57" i="13"/>
  <c r="N265" i="13"/>
  <c r="O265" i="13" s="1"/>
  <c r="N137" i="13"/>
  <c r="N113" i="13"/>
  <c r="N202" i="13"/>
  <c r="N63" i="13"/>
  <c r="N90" i="13"/>
  <c r="N94" i="13"/>
  <c r="N198" i="13"/>
  <c r="N172" i="13"/>
  <c r="N15" i="13"/>
  <c r="N54" i="13"/>
  <c r="N305" i="13"/>
  <c r="N167" i="13"/>
  <c r="O167" i="13" s="1"/>
  <c r="N22" i="13"/>
  <c r="N176" i="13"/>
  <c r="N189" i="13"/>
  <c r="N246" i="13"/>
  <c r="O246" i="13" s="1"/>
  <c r="N312" i="13"/>
  <c r="O312" i="13" s="1"/>
  <c r="N245" i="13"/>
  <c r="N217" i="13"/>
  <c r="N40" i="13"/>
  <c r="O40" i="13" s="1"/>
  <c r="N224" i="13"/>
  <c r="N236" i="13"/>
  <c r="N232" i="13"/>
  <c r="N10" i="13"/>
  <c r="O10" i="13" s="1"/>
  <c r="N150" i="13"/>
  <c r="O150" i="13" s="1"/>
  <c r="N278" i="13"/>
  <c r="N84" i="13"/>
  <c r="N223" i="13"/>
  <c r="O223" i="13" s="1"/>
  <c r="N260" i="13"/>
  <c r="O260" i="13" s="1"/>
  <c r="N169" i="13"/>
  <c r="N173" i="13"/>
  <c r="N12" i="13"/>
  <c r="O12" i="13" s="1"/>
  <c r="N182" i="13"/>
  <c r="O182" i="13" s="1"/>
  <c r="N230" i="13"/>
  <c r="N85" i="13"/>
  <c r="N79" i="13"/>
  <c r="O79" i="13" s="1"/>
  <c r="N13" i="13"/>
  <c r="O13" i="13" s="1"/>
  <c r="N161" i="13"/>
  <c r="N99" i="13"/>
  <c r="N120" i="13"/>
  <c r="O120" i="13" s="1"/>
  <c r="N147" i="13"/>
  <c r="O147" i="13" s="1"/>
  <c r="N24" i="13"/>
  <c r="N213" i="13"/>
  <c r="N258" i="13"/>
  <c r="O258" i="13" s="1"/>
  <c r="N38" i="13"/>
  <c r="N270" i="13"/>
  <c r="N188" i="13"/>
  <c r="N285" i="13"/>
  <c r="O285" i="13" s="1"/>
  <c r="N43" i="13"/>
  <c r="O43" i="13" s="1"/>
  <c r="N153" i="13"/>
  <c r="N212" i="13"/>
  <c r="N82" i="13"/>
  <c r="N262" i="13"/>
  <c r="N20" i="13"/>
  <c r="N93" i="13"/>
  <c r="N269" i="13"/>
  <c r="O269" i="13" s="1"/>
  <c r="N158" i="13"/>
  <c r="N151" i="13"/>
  <c r="N129" i="13"/>
  <c r="N284" i="13"/>
  <c r="O284" i="13" s="1"/>
  <c r="N101" i="13"/>
  <c r="N31" i="13"/>
  <c r="N177" i="13"/>
  <c r="N98" i="13"/>
  <c r="O98" i="13" s="1"/>
  <c r="N187" i="13"/>
  <c r="N37" i="13"/>
  <c r="N159" i="13"/>
  <c r="N304" i="13"/>
  <c r="O304" i="13" s="1"/>
  <c r="N206" i="13"/>
  <c r="N156" i="13"/>
  <c r="N171" i="13"/>
  <c r="N205" i="13"/>
  <c r="O205" i="13" s="1"/>
  <c r="N116" i="13"/>
  <c r="N108" i="13"/>
  <c r="N46" i="13"/>
  <c r="N32" i="13"/>
  <c r="O32" i="13" s="1"/>
  <c r="N41" i="13"/>
  <c r="N18" i="13"/>
  <c r="N48" i="13"/>
  <c r="N154" i="13"/>
  <c r="N96" i="13"/>
  <c r="N314" i="13"/>
  <c r="N191" i="13"/>
  <c r="N87" i="13"/>
  <c r="N295" i="13"/>
  <c r="O295" i="13" s="1"/>
  <c r="N209" i="13"/>
  <c r="N155" i="13"/>
  <c r="N216" i="13"/>
  <c r="O216" i="13" s="1"/>
  <c r="N17" i="13"/>
  <c r="N35" i="13"/>
  <c r="N121" i="13"/>
  <c r="N83" i="13"/>
  <c r="O83" i="13" s="1"/>
  <c r="N103" i="13"/>
  <c r="O103" i="13" s="1"/>
  <c r="N109" i="13"/>
  <c r="N132" i="13"/>
  <c r="N11" i="13"/>
  <c r="O11" i="13" s="1"/>
  <c r="N282" i="13"/>
  <c r="N179" i="13"/>
  <c r="N273" i="13"/>
  <c r="N203" i="13"/>
  <c r="O203" i="13" s="1"/>
  <c r="N175" i="13"/>
  <c r="O175" i="13" s="1"/>
  <c r="N69" i="13"/>
  <c r="N114" i="13"/>
  <c r="N299" i="13"/>
  <c r="O299" i="13" s="1"/>
  <c r="N231" i="13"/>
  <c r="N145" i="13"/>
  <c r="N267" i="13"/>
  <c r="N211" i="13"/>
  <c r="O211" i="13" s="1"/>
  <c r="N97" i="13"/>
  <c r="N251" i="13"/>
  <c r="N124" i="13"/>
  <c r="N193" i="13"/>
  <c r="O193" i="13" s="1"/>
  <c r="N190" i="13"/>
  <c r="O190" i="13" s="1"/>
  <c r="N162" i="13"/>
  <c r="N163" i="13"/>
  <c r="N160" i="13"/>
  <c r="O160" i="13" s="1"/>
  <c r="N271" i="13"/>
  <c r="N107" i="13"/>
  <c r="N303" i="13"/>
  <c r="N241" i="13"/>
  <c r="O241" i="13" s="1"/>
  <c r="N263" i="13"/>
  <c r="N215" i="13"/>
  <c r="N244" i="13"/>
  <c r="N45" i="13"/>
  <c r="O45" i="13" s="1"/>
  <c r="N288" i="13"/>
  <c r="O288" i="13" s="1"/>
  <c r="N157" i="13"/>
  <c r="N47" i="13"/>
  <c r="N81" i="13"/>
  <c r="N92" i="13"/>
  <c r="N105" i="13"/>
  <c r="N112" i="13"/>
  <c r="N301" i="13"/>
  <c r="O301" i="13" s="1"/>
  <c r="N23" i="13"/>
  <c r="O23" i="13" s="1"/>
  <c r="N91" i="13"/>
  <c r="N233" i="13"/>
  <c r="N296" i="13"/>
  <c r="N220" i="13"/>
  <c r="O220" i="13" s="1"/>
  <c r="N19" i="13"/>
  <c r="N144" i="13"/>
  <c r="N39" i="13"/>
  <c r="O39" i="13" s="1"/>
  <c r="N115" i="13"/>
  <c r="O115" i="13" s="1"/>
  <c r="N247" i="13"/>
  <c r="N50" i="13"/>
  <c r="N214" i="13"/>
  <c r="O214" i="13" s="1"/>
  <c r="N219" i="13"/>
  <c r="N311" i="13"/>
  <c r="N51" i="13"/>
  <c r="N14" i="13"/>
  <c r="O14" i="13" s="1"/>
  <c r="N194" i="13"/>
  <c r="N72" i="13"/>
  <c r="N53" i="13"/>
  <c r="N226" i="13"/>
  <c r="O226" i="13" s="1"/>
  <c r="N136" i="13"/>
  <c r="N227" i="13"/>
  <c r="N139" i="13"/>
  <c r="N291" i="13"/>
  <c r="N77" i="13"/>
  <c r="N222" i="13"/>
  <c r="N143" i="13"/>
  <c r="N293" i="13"/>
  <c r="O293" i="13" s="1"/>
  <c r="N164" i="13"/>
  <c r="O164" i="13" s="1"/>
  <c r="J130" i="12"/>
  <c r="J131" i="25" s="1"/>
  <c r="O131" i="13"/>
  <c r="J69" i="12"/>
  <c r="J70" i="25" s="1"/>
  <c r="O70" i="13"/>
  <c r="J169" i="12"/>
  <c r="J170" i="25" s="1"/>
  <c r="O170" i="13"/>
  <c r="J285" i="12"/>
  <c r="J286" i="25" s="1"/>
  <c r="O286" i="13"/>
  <c r="J191" i="12"/>
  <c r="J192" i="25" s="1"/>
  <c r="O192" i="13"/>
  <c r="J54" i="12"/>
  <c r="J55" i="25" s="1"/>
  <c r="O55" i="13"/>
  <c r="J137" i="12"/>
  <c r="J138" i="25" s="1"/>
  <c r="O138" i="13"/>
  <c r="J291" i="12"/>
  <c r="J292" i="25" s="1"/>
  <c r="O292" i="13"/>
  <c r="J79" i="12"/>
  <c r="J80" i="25" s="1"/>
  <c r="O80" i="13"/>
  <c r="J185" i="12"/>
  <c r="J186" i="25" s="1"/>
  <c r="O186" i="13"/>
  <c r="J209" i="12"/>
  <c r="J210" i="25" s="1"/>
  <c r="O210" i="13"/>
  <c r="J234" i="12"/>
  <c r="J235" i="25" s="1"/>
  <c r="O235" i="13"/>
  <c r="J67" i="12"/>
  <c r="J68" i="25" s="1"/>
  <c r="O68" i="13"/>
  <c r="J249" i="12"/>
  <c r="J250" i="25" s="1"/>
  <c r="O250" i="13"/>
  <c r="J55" i="12"/>
  <c r="J56" i="25" s="1"/>
  <c r="O56" i="13"/>
  <c r="J203" i="12"/>
  <c r="J204" i="25" s="1"/>
  <c r="O204" i="13"/>
  <c r="J274" i="12"/>
  <c r="J275" i="25" s="1"/>
  <c r="O275" i="13"/>
  <c r="J282" i="12"/>
  <c r="J283" i="25" s="1"/>
  <c r="O283" i="13"/>
  <c r="J258" i="12"/>
  <c r="J259" i="25" s="1"/>
  <c r="O259" i="13"/>
  <c r="J109" i="12"/>
  <c r="J110" i="25" s="1"/>
  <c r="O110" i="13"/>
  <c r="J151" i="12"/>
  <c r="J152" i="25" s="1"/>
  <c r="O152" i="13"/>
  <c r="J167" i="12"/>
  <c r="J168" i="25" s="1"/>
  <c r="O168" i="13"/>
  <c r="J286" i="12"/>
  <c r="J287" i="25" s="1"/>
  <c r="O287" i="13"/>
  <c r="J239" i="12"/>
  <c r="J240" i="25" s="1"/>
  <c r="O240" i="13"/>
  <c r="J196" i="12"/>
  <c r="J197" i="25" s="1"/>
  <c r="O197" i="13"/>
  <c r="H314" i="12"/>
  <c r="K314" i="12"/>
  <c r="J129" i="12"/>
  <c r="J130" i="25" s="1"/>
  <c r="O130" i="13"/>
  <c r="J308" i="12"/>
  <c r="J309" i="25" s="1"/>
  <c r="O309" i="13"/>
  <c r="J305" i="12"/>
  <c r="J306" i="25" s="1"/>
  <c r="O306" i="13"/>
  <c r="J276" i="12"/>
  <c r="J277" i="25" s="1"/>
  <c r="O277" i="13"/>
  <c r="J182" i="12"/>
  <c r="J183" i="25" s="1"/>
  <c r="O183" i="13"/>
  <c r="J61" i="12"/>
  <c r="J62" i="25" s="1"/>
  <c r="O62" i="13"/>
  <c r="J58" i="12"/>
  <c r="J59" i="25" s="1"/>
  <c r="O59" i="13"/>
  <c r="J280" i="12"/>
  <c r="J281" i="25" s="1"/>
  <c r="O281" i="13"/>
  <c r="J87" i="12"/>
  <c r="J88" i="25" s="1"/>
  <c r="O88" i="13"/>
  <c r="J141" i="12"/>
  <c r="J142" i="25" s="1"/>
  <c r="O142" i="13"/>
  <c r="J248" i="12"/>
  <c r="J249" i="25" s="1"/>
  <c r="O249" i="13"/>
  <c r="J300" i="12"/>
  <c r="J301" i="25" s="1"/>
  <c r="J251" i="12"/>
  <c r="J252" i="25" s="1"/>
  <c r="O252" i="13"/>
  <c r="J311" i="12"/>
  <c r="J312" i="25" s="1"/>
  <c r="J259" i="12"/>
  <c r="J260" i="25" s="1"/>
  <c r="J170" i="12"/>
  <c r="J171" i="25" s="1"/>
  <c r="O171" i="13"/>
  <c r="J90" i="12"/>
  <c r="J91" i="25" s="1"/>
  <c r="O91" i="13"/>
  <c r="J216" i="12"/>
  <c r="J217" i="25" s="1"/>
  <c r="O217" i="13"/>
  <c r="J294" i="12"/>
  <c r="J295" i="25" s="1"/>
  <c r="J181" i="12"/>
  <c r="J182" i="25" s="1"/>
  <c r="J150" i="12"/>
  <c r="J151" i="25" s="1"/>
  <c r="O151" i="13"/>
  <c r="J42" i="12"/>
  <c r="J43" i="25" s="1"/>
  <c r="J46" i="12"/>
  <c r="J47" i="25" s="1"/>
  <c r="O47" i="13"/>
  <c r="J68" i="12"/>
  <c r="J69" i="25" s="1"/>
  <c r="O69" i="13"/>
  <c r="J189" i="12"/>
  <c r="J190" i="25" s="1"/>
  <c r="J225" i="12"/>
  <c r="J226" i="25" s="1"/>
  <c r="J240" i="12"/>
  <c r="J241" i="25" s="1"/>
  <c r="J53" i="12"/>
  <c r="J54" i="25" s="1"/>
  <c r="O54" i="13"/>
  <c r="R274" i="13"/>
  <c r="S274" i="13" s="1"/>
  <c r="J153" i="12"/>
  <c r="J154" i="25" s="1"/>
  <c r="O154" i="13"/>
  <c r="J304" i="12"/>
  <c r="J305" i="25" s="1"/>
  <c r="O305" i="13"/>
  <c r="J135" i="12"/>
  <c r="J136" i="25" s="1"/>
  <c r="O136" i="13"/>
  <c r="J158" i="12"/>
  <c r="J159" i="25" s="1"/>
  <c r="O159" i="13"/>
  <c r="J80" i="12"/>
  <c r="J81" i="25" s="1"/>
  <c r="O81" i="13"/>
  <c r="J246" i="12"/>
  <c r="J247" i="25" s="1"/>
  <c r="O247" i="13"/>
  <c r="J134" i="12"/>
  <c r="J135" i="25" s="1"/>
  <c r="O135" i="13"/>
  <c r="J272" i="12"/>
  <c r="J273" i="25" s="1"/>
  <c r="O273" i="13"/>
  <c r="J187" i="12"/>
  <c r="J188" i="25" s="1"/>
  <c r="O188" i="13"/>
  <c r="J113" i="12"/>
  <c r="J114" i="25" s="1"/>
  <c r="O114" i="13"/>
  <c r="J76" i="12"/>
  <c r="J77" i="25" s="1"/>
  <c r="O77" i="13"/>
  <c r="J278" i="12"/>
  <c r="J279" i="25" s="1"/>
  <c r="O279" i="13"/>
  <c r="J179" i="12"/>
  <c r="J180" i="25" s="1"/>
  <c r="O180" i="13"/>
  <c r="J284" i="12"/>
  <c r="J285" i="25" s="1"/>
  <c r="J233" i="12"/>
  <c r="J234" i="25" s="1"/>
  <c r="O234" i="13"/>
  <c r="J283" i="12"/>
  <c r="J284" i="25" s="1"/>
  <c r="J197" i="12"/>
  <c r="J198" i="25" s="1"/>
  <c r="O198" i="13"/>
  <c r="J91" i="12"/>
  <c r="J92" i="25" s="1"/>
  <c r="O92" i="13"/>
  <c r="J290" i="12"/>
  <c r="J291" i="25" s="1"/>
  <c r="O291" i="13"/>
  <c r="J303" i="12"/>
  <c r="J304" i="25" s="1"/>
  <c r="J165" i="12"/>
  <c r="J166" i="25" s="1"/>
  <c r="O166" i="13"/>
  <c r="J50" i="12"/>
  <c r="J51" i="25" s="1"/>
  <c r="O51" i="13"/>
  <c r="J111" i="12"/>
  <c r="J112" i="25" s="1"/>
  <c r="O112" i="13"/>
  <c r="J219" i="12"/>
  <c r="J220" i="25" s="1"/>
  <c r="J275" i="12"/>
  <c r="J276" i="25" s="1"/>
  <c r="J63" i="12"/>
  <c r="J64" i="25" s="1"/>
  <c r="O64" i="13"/>
  <c r="J168" i="12"/>
  <c r="J169" i="25" s="1"/>
  <c r="O169" i="13"/>
  <c r="J204" i="12"/>
  <c r="J205" i="25" s="1"/>
  <c r="J115" i="12"/>
  <c r="J116" i="25" s="1"/>
  <c r="O116" i="13"/>
  <c r="J107" i="12"/>
  <c r="J108" i="25" s="1"/>
  <c r="O108" i="13"/>
  <c r="J231" i="12"/>
  <c r="J232" i="25" s="1"/>
  <c r="O232" i="13"/>
  <c r="J45" i="12"/>
  <c r="J46" i="25" s="1"/>
  <c r="O46" i="13"/>
  <c r="J37" i="12"/>
  <c r="J38" i="25" s="1"/>
  <c r="O38" i="13"/>
  <c r="J12" i="12"/>
  <c r="J13" i="25" s="1"/>
  <c r="J40" i="12"/>
  <c r="J41" i="25" s="1"/>
  <c r="O41" i="13"/>
  <c r="J269" i="12"/>
  <c r="J270" i="25" s="1"/>
  <c r="O270" i="13"/>
  <c r="J81" i="12"/>
  <c r="J82" i="25" s="1"/>
  <c r="O82" i="13"/>
  <c r="J292" i="12"/>
  <c r="J293" i="25" s="1"/>
  <c r="J102" i="12"/>
  <c r="J103" i="25" s="1"/>
  <c r="J302" i="12"/>
  <c r="J303" i="25" s="1"/>
  <c r="O303" i="13"/>
  <c r="K274" i="12"/>
  <c r="K282" i="12"/>
  <c r="J244" i="12"/>
  <c r="J245" i="25" s="1"/>
  <c r="O245" i="13"/>
  <c r="J86" i="12"/>
  <c r="J87" i="25" s="1"/>
  <c r="O87" i="13"/>
  <c r="K258" i="12"/>
  <c r="J220" i="12"/>
  <c r="J221" i="25" s="1"/>
  <c r="O221" i="13"/>
  <c r="K109" i="12"/>
  <c r="K151" i="12"/>
  <c r="J210" i="12"/>
  <c r="J211" i="25" s="1"/>
  <c r="J257" i="12"/>
  <c r="J258" i="25" s="1"/>
  <c r="J84" i="12"/>
  <c r="J85" i="25" s="1"/>
  <c r="O85" i="13"/>
  <c r="K167" i="12"/>
  <c r="J34" i="12"/>
  <c r="J35" i="25" s="1"/>
  <c r="O35" i="13"/>
  <c r="K286" i="12"/>
  <c r="K239" i="12"/>
  <c r="J178" i="12"/>
  <c r="J179" i="25" s="1"/>
  <c r="O179" i="13"/>
  <c r="K196" i="12"/>
  <c r="J149" i="12"/>
  <c r="J150" i="25" s="1"/>
  <c r="J14" i="12"/>
  <c r="J15" i="25" s="1"/>
  <c r="O15" i="13"/>
  <c r="J119" i="12"/>
  <c r="J120" i="25" s="1"/>
  <c r="J43" i="12"/>
  <c r="J44" i="25" s="1"/>
  <c r="J147" i="12"/>
  <c r="J148" i="25" s="1"/>
  <c r="O148" i="13"/>
  <c r="J159" i="12"/>
  <c r="J160" i="25" s="1"/>
  <c r="J51" i="12"/>
  <c r="J52" i="25" s="1"/>
  <c r="O52" i="13"/>
  <c r="J124" i="12"/>
  <c r="J125" i="25" s="1"/>
  <c r="O125" i="13"/>
  <c r="J172" i="12"/>
  <c r="J173" i="25" s="1"/>
  <c r="O173" i="13"/>
  <c r="J41" i="12"/>
  <c r="J42" i="25" s="1"/>
  <c r="J190" i="12"/>
  <c r="J191" i="25" s="1"/>
  <c r="O191" i="13"/>
  <c r="J19" i="12"/>
  <c r="J20" i="25" s="1"/>
  <c r="O20" i="13"/>
  <c r="J144" i="12"/>
  <c r="J145" i="25" s="1"/>
  <c r="O145" i="13"/>
  <c r="J143" i="12"/>
  <c r="J144" i="25" s="1"/>
  <c r="O144" i="13"/>
  <c r="J207" i="12"/>
  <c r="J208" i="25" s="1"/>
  <c r="O208" i="13"/>
  <c r="J173" i="12"/>
  <c r="J174" i="25" s="1"/>
  <c r="O174" i="13"/>
  <c r="J265" i="12"/>
  <c r="J266" i="25" s="1"/>
  <c r="O266" i="13"/>
  <c r="J247" i="12"/>
  <c r="J248" i="25" s="1"/>
  <c r="O248" i="13"/>
  <c r="J254" i="12"/>
  <c r="J255" i="25" s="1"/>
  <c r="O255" i="13"/>
  <c r="J267" i="12"/>
  <c r="J268" i="25" s="1"/>
  <c r="O268" i="13"/>
  <c r="J238" i="12"/>
  <c r="J239" i="25" s="1"/>
  <c r="O239" i="13"/>
  <c r="J301" i="12"/>
  <c r="J302" i="25" s="1"/>
  <c r="O302" i="13"/>
  <c r="J66" i="12"/>
  <c r="J67" i="25" s="1"/>
  <c r="O67" i="13"/>
  <c r="J103" i="12"/>
  <c r="J104" i="25" s="1"/>
  <c r="O104" i="13"/>
  <c r="J217" i="12"/>
  <c r="J218" i="25" s="1"/>
  <c r="O218" i="13"/>
  <c r="J15" i="12"/>
  <c r="J16" i="25" s="1"/>
  <c r="O16" i="13"/>
  <c r="J237" i="12"/>
  <c r="J238" i="25" s="1"/>
  <c r="O238" i="13"/>
  <c r="J48" i="12"/>
  <c r="J49" i="25" s="1"/>
  <c r="O49" i="13"/>
  <c r="J279" i="12"/>
  <c r="J280" i="25" s="1"/>
  <c r="O280" i="13"/>
  <c r="J252" i="12"/>
  <c r="J253" i="25" s="1"/>
  <c r="O253" i="13"/>
  <c r="J57" i="12"/>
  <c r="J58" i="25" s="1"/>
  <c r="O58" i="13"/>
  <c r="J296" i="12"/>
  <c r="J297" i="25" s="1"/>
  <c r="O297" i="13"/>
  <c r="J228" i="12"/>
  <c r="J229" i="25" s="1"/>
  <c r="O229" i="13"/>
  <c r="J253" i="12"/>
  <c r="J254" i="25" s="1"/>
  <c r="O254" i="13"/>
  <c r="J121" i="12"/>
  <c r="J122" i="25" s="1"/>
  <c r="O122" i="13"/>
  <c r="J117" i="12"/>
  <c r="J118" i="25" s="1"/>
  <c r="O118" i="13"/>
  <c r="J288" i="12"/>
  <c r="J289" i="25" s="1"/>
  <c r="O289" i="13"/>
  <c r="J101" i="12"/>
  <c r="J102" i="25" s="1"/>
  <c r="O102" i="13"/>
  <c r="J266" i="12"/>
  <c r="J267" i="25" s="1"/>
  <c r="O267" i="13"/>
  <c r="J232" i="12"/>
  <c r="J233" i="25" s="1"/>
  <c r="O233" i="13"/>
  <c r="J28" i="12"/>
  <c r="J29" i="25" s="1"/>
  <c r="O29" i="13"/>
  <c r="J163" i="12"/>
  <c r="J164" i="25" s="1"/>
  <c r="J104" i="12"/>
  <c r="J105" i="25" s="1"/>
  <c r="O105" i="13"/>
  <c r="J298" i="12"/>
  <c r="J299" i="25" s="1"/>
  <c r="J22" i="12"/>
  <c r="J23" i="25" s="1"/>
  <c r="J157" i="12"/>
  <c r="J158" i="25" s="1"/>
  <c r="O158" i="13"/>
  <c r="J235" i="12"/>
  <c r="J236" i="25" s="1"/>
  <c r="O236" i="13"/>
  <c r="J123" i="12"/>
  <c r="J124" i="25" s="1"/>
  <c r="O124" i="13"/>
  <c r="J174" i="12"/>
  <c r="J175" i="25" s="1"/>
  <c r="J29" i="12"/>
  <c r="J30" i="25" s="1"/>
  <c r="O30" i="13"/>
  <c r="J99" i="12"/>
  <c r="J100" i="25" s="1"/>
  <c r="O100" i="13"/>
  <c r="J180" i="12"/>
  <c r="J181" i="25" s="1"/>
  <c r="O181" i="13"/>
  <c r="J297" i="12"/>
  <c r="J298" i="25" s="1"/>
  <c r="O298" i="13"/>
  <c r="J26" i="12"/>
  <c r="J27" i="25" s="1"/>
  <c r="O27" i="13"/>
  <c r="J241" i="12"/>
  <c r="J242" i="25" s="1"/>
  <c r="O242" i="13"/>
  <c r="J105" i="12"/>
  <c r="J106" i="25" s="1"/>
  <c r="O106" i="13"/>
  <c r="J32" i="12"/>
  <c r="J33" i="25" s="1"/>
  <c r="O33" i="13"/>
  <c r="J73" i="12"/>
  <c r="J74" i="25" s="1"/>
  <c r="O74" i="13"/>
  <c r="J242" i="12"/>
  <c r="J243" i="25" s="1"/>
  <c r="O243" i="13"/>
  <c r="J307" i="12"/>
  <c r="J308" i="25" s="1"/>
  <c r="O308" i="13"/>
  <c r="J256" i="12"/>
  <c r="J257" i="25" s="1"/>
  <c r="O257" i="13"/>
  <c r="J20" i="12"/>
  <c r="J21" i="25" s="1"/>
  <c r="O21" i="13"/>
  <c r="J198" i="12"/>
  <c r="J199" i="25" s="1"/>
  <c r="O199" i="13"/>
  <c r="J145" i="12"/>
  <c r="J146" i="25" s="1"/>
  <c r="O146" i="13"/>
  <c r="J299" i="12"/>
  <c r="J300" i="25" s="1"/>
  <c r="O300" i="13"/>
  <c r="J306" i="12"/>
  <c r="J307" i="25" s="1"/>
  <c r="O307" i="13"/>
  <c r="J75" i="12"/>
  <c r="J76" i="25" s="1"/>
  <c r="O76" i="13"/>
  <c r="J6" i="12"/>
  <c r="J7" i="25" s="1"/>
  <c r="O7" i="13"/>
  <c r="J255" i="12"/>
  <c r="J256" i="25" s="1"/>
  <c r="O256" i="13"/>
  <c r="J206" i="12"/>
  <c r="J207" i="25" s="1"/>
  <c r="O207" i="13"/>
  <c r="J118" i="12"/>
  <c r="J119" i="25" s="1"/>
  <c r="O119" i="13"/>
  <c r="J27" i="12"/>
  <c r="J28" i="25" s="1"/>
  <c r="O28" i="13"/>
  <c r="J70" i="12"/>
  <c r="J71" i="25" s="1"/>
  <c r="O71" i="13"/>
  <c r="J224" i="12"/>
  <c r="J225" i="25" s="1"/>
  <c r="O225" i="13"/>
  <c r="J35" i="12"/>
  <c r="J36" i="25" s="1"/>
  <c r="O36" i="13"/>
  <c r="J116" i="12"/>
  <c r="J117" i="25" s="1"/>
  <c r="O117" i="13"/>
  <c r="J33" i="12"/>
  <c r="J34" i="25" s="1"/>
  <c r="O34" i="13"/>
  <c r="J177" i="12"/>
  <c r="J178" i="25" s="1"/>
  <c r="O178" i="13"/>
  <c r="J146" i="12"/>
  <c r="J147" i="25" s="1"/>
  <c r="J10" i="12"/>
  <c r="J11" i="25" s="1"/>
  <c r="J132" i="12"/>
  <c r="J133" i="25" s="1"/>
  <c r="O133" i="13"/>
  <c r="J313" i="12"/>
  <c r="J314" i="25" s="1"/>
  <c r="O314" i="13"/>
  <c r="K207" i="12"/>
  <c r="K173" i="12"/>
  <c r="K265" i="12"/>
  <c r="K247" i="12"/>
  <c r="K254" i="12"/>
  <c r="K267" i="12"/>
  <c r="K238" i="12"/>
  <c r="K301" i="12"/>
  <c r="K66" i="12"/>
  <c r="K103" i="12"/>
  <c r="K217" i="12"/>
  <c r="K15" i="12"/>
  <c r="K237" i="12"/>
  <c r="K48" i="12"/>
  <c r="K279" i="12"/>
  <c r="K252" i="12"/>
  <c r="K57" i="12"/>
  <c r="K296" i="12"/>
  <c r="K228" i="12"/>
  <c r="R272" i="13"/>
  <c r="S272" i="13" s="1"/>
  <c r="J94" i="12"/>
  <c r="J95" i="25" s="1"/>
  <c r="O95" i="13"/>
  <c r="J183" i="12"/>
  <c r="J184" i="25" s="1"/>
  <c r="O184" i="13"/>
  <c r="J200" i="12"/>
  <c r="J201" i="25" s="1"/>
  <c r="O201" i="13"/>
  <c r="J133" i="12"/>
  <c r="J134" i="25" s="1"/>
  <c r="O134" i="13"/>
  <c r="J289" i="12"/>
  <c r="J290" i="25" s="1"/>
  <c r="O290" i="13"/>
  <c r="J139" i="12"/>
  <c r="J140" i="25" s="1"/>
  <c r="O140" i="13"/>
  <c r="J195" i="12"/>
  <c r="J196" i="25" s="1"/>
  <c r="O196" i="13"/>
  <c r="J260" i="12"/>
  <c r="J261" i="25" s="1"/>
  <c r="O261" i="13"/>
  <c r="J25" i="12"/>
  <c r="J26" i="25" s="1"/>
  <c r="O26" i="13"/>
  <c r="J293" i="12"/>
  <c r="J294" i="25" s="1"/>
  <c r="O294" i="13"/>
  <c r="J7" i="12"/>
  <c r="J8" i="25" s="1"/>
  <c r="O8" i="13"/>
  <c r="J263" i="12"/>
  <c r="J264" i="25" s="1"/>
  <c r="O264" i="13"/>
  <c r="J60" i="12"/>
  <c r="J61" i="25" s="1"/>
  <c r="O61" i="13"/>
  <c r="J194" i="12"/>
  <c r="J195" i="25" s="1"/>
  <c r="O195" i="13"/>
  <c r="J65" i="12"/>
  <c r="J66" i="25" s="1"/>
  <c r="O66" i="13"/>
  <c r="J8" i="12"/>
  <c r="J9" i="25" s="1"/>
  <c r="O9" i="13"/>
  <c r="J312" i="12"/>
  <c r="J313" i="25" s="1"/>
  <c r="O313" i="13"/>
  <c r="J214" i="12"/>
  <c r="J215" i="25" s="1"/>
  <c r="O215" i="13"/>
  <c r="J222" i="12"/>
  <c r="J223" i="25" s="1"/>
  <c r="J92" i="12"/>
  <c r="J93" i="25" s="1"/>
  <c r="O93" i="13"/>
  <c r="J44" i="12"/>
  <c r="J45" i="25" s="1"/>
  <c r="J78" i="12"/>
  <c r="J79" i="25" s="1"/>
  <c r="J140" i="12"/>
  <c r="J141" i="25" s="1"/>
  <c r="O141" i="13"/>
  <c r="J72" i="12"/>
  <c r="J73" i="25" s="1"/>
  <c r="J17" i="12"/>
  <c r="J18" i="25" s="1"/>
  <c r="O18" i="13"/>
  <c r="J74" i="12"/>
  <c r="J75" i="25" s="1"/>
  <c r="J110" i="12"/>
  <c r="J111" i="25" s="1"/>
  <c r="O111" i="13"/>
  <c r="J125" i="12"/>
  <c r="J126" i="25" s="1"/>
  <c r="O126" i="13"/>
  <c r="J85" i="12"/>
  <c r="J86" i="25" s="1"/>
  <c r="O86" i="13"/>
  <c r="J88" i="12"/>
  <c r="J89" i="25" s="1"/>
  <c r="O89" i="13"/>
  <c r="J39" i="12"/>
  <c r="J40" i="25" s="1"/>
  <c r="J112" i="12"/>
  <c r="J113" i="25" s="1"/>
  <c r="O113" i="13"/>
  <c r="J287" i="12"/>
  <c r="J288" i="25" s="1"/>
  <c r="J89" i="12"/>
  <c r="J90" i="25" s="1"/>
  <c r="O90" i="13"/>
  <c r="J114" i="12"/>
  <c r="J115" i="25" s="1"/>
  <c r="J192" i="12"/>
  <c r="J193" i="25" s="1"/>
  <c r="J161" i="12"/>
  <c r="J162" i="25" s="1"/>
  <c r="O162" i="13"/>
  <c r="J218" i="12"/>
  <c r="J219" i="25" s="1"/>
  <c r="O219" i="13"/>
  <c r="J148" i="12"/>
  <c r="J149" i="25" s="1"/>
  <c r="J95" i="12"/>
  <c r="J96" i="25" s="1"/>
  <c r="O96" i="13"/>
  <c r="J211" i="12"/>
  <c r="O212" i="13"/>
  <c r="J226" i="12"/>
  <c r="J227" i="25" s="1"/>
  <c r="O227" i="13"/>
  <c r="J221" i="12"/>
  <c r="J222" i="25" s="1"/>
  <c r="O222" i="13"/>
  <c r="J24" i="12"/>
  <c r="J25" i="25" s="1"/>
  <c r="O25" i="13"/>
  <c r="J136" i="12"/>
  <c r="J137" i="25" s="1"/>
  <c r="O137" i="13"/>
  <c r="J245" i="12"/>
  <c r="J246" i="25" s="1"/>
  <c r="J164" i="12"/>
  <c r="J165" i="25" s="1"/>
  <c r="O165" i="13"/>
  <c r="K130" i="12"/>
  <c r="J205" i="12"/>
  <c r="J206" i="25" s="1"/>
  <c r="O206" i="13"/>
  <c r="K69" i="12"/>
  <c r="K94" i="12"/>
  <c r="J155" i="12"/>
  <c r="J156" i="25" s="1"/>
  <c r="O156" i="13"/>
  <c r="K169" i="12"/>
  <c r="J243" i="12"/>
  <c r="J244" i="25" s="1"/>
  <c r="O244" i="13"/>
  <c r="K253" i="12"/>
  <c r="J154" i="12"/>
  <c r="J155" i="25" s="1"/>
  <c r="O155" i="13"/>
  <c r="K183" i="12"/>
  <c r="J11" i="12"/>
  <c r="J12" i="25" s="1"/>
  <c r="K285" i="12"/>
  <c r="K200" i="12"/>
  <c r="K191" i="12"/>
  <c r="J268" i="12"/>
  <c r="J269" i="25" s="1"/>
  <c r="K54" i="12"/>
  <c r="K133" i="12"/>
  <c r="K121" i="12"/>
  <c r="J250" i="12"/>
  <c r="J251" i="25" s="1"/>
  <c r="O251" i="13"/>
  <c r="J93" i="12"/>
  <c r="J94" i="25" s="1"/>
  <c r="O94" i="13"/>
  <c r="J128" i="12"/>
  <c r="J129" i="25" s="1"/>
  <c r="O129" i="13"/>
  <c r="J120" i="12"/>
  <c r="J121" i="25" s="1"/>
  <c r="O121" i="13"/>
  <c r="K137" i="12"/>
  <c r="J171" i="12"/>
  <c r="J172" i="25" s="1"/>
  <c r="O172" i="13"/>
  <c r="J49" i="12"/>
  <c r="J50" i="25" s="1"/>
  <c r="O50" i="13"/>
  <c r="K289" i="12"/>
  <c r="J213" i="12"/>
  <c r="J214" i="25" s="1"/>
  <c r="K291" i="12"/>
  <c r="K139" i="12"/>
  <c r="J176" i="12"/>
  <c r="J177" i="25" s="1"/>
  <c r="O177" i="13"/>
  <c r="K79" i="12"/>
  <c r="J262" i="12"/>
  <c r="J263" i="25" s="1"/>
  <c r="O263" i="13"/>
  <c r="K195" i="12"/>
  <c r="J186" i="12"/>
  <c r="J187" i="25" s="1"/>
  <c r="O187" i="13"/>
  <c r="J310" i="12"/>
  <c r="J311" i="25" s="1"/>
  <c r="O311" i="13"/>
  <c r="J36" i="12"/>
  <c r="J37" i="25" s="1"/>
  <c r="O37" i="13"/>
  <c r="K117" i="12"/>
  <c r="J21" i="12"/>
  <c r="J22" i="25" s="1"/>
  <c r="O22" i="13"/>
  <c r="K185" i="12"/>
  <c r="K260" i="12"/>
  <c r="J175" i="12"/>
  <c r="J176" i="25" s="1"/>
  <c r="O176" i="13"/>
  <c r="J199" i="12"/>
  <c r="J200" i="25" s="1"/>
  <c r="O200" i="13"/>
  <c r="K209" i="12"/>
  <c r="K288" i="12"/>
  <c r="J30" i="12"/>
  <c r="J31" i="25" s="1"/>
  <c r="O31" i="13"/>
  <c r="J47" i="12"/>
  <c r="J48" i="25" s="1"/>
  <c r="O48" i="13"/>
  <c r="J108" i="12"/>
  <c r="J109" i="25" s="1"/>
  <c r="O109" i="13"/>
  <c r="K234" i="12"/>
  <c r="J59" i="12"/>
  <c r="J60" i="25" s="1"/>
  <c r="O60" i="13"/>
  <c r="K67" i="12"/>
  <c r="K25" i="12"/>
  <c r="J270" i="12"/>
  <c r="J271" i="25" s="1"/>
  <c r="O271" i="13"/>
  <c r="J56" i="12"/>
  <c r="J57" i="25" s="1"/>
  <c r="O57" i="13"/>
  <c r="J106" i="12"/>
  <c r="J107" i="25" s="1"/>
  <c r="O107" i="13"/>
  <c r="J212" i="12"/>
  <c r="J213" i="25" s="1"/>
  <c r="O213" i="13"/>
  <c r="K101" i="12"/>
  <c r="K293" i="12"/>
  <c r="J9" i="12"/>
  <c r="J10" i="25" s="1"/>
  <c r="J100" i="12"/>
  <c r="J101" i="25" s="1"/>
  <c r="O101" i="13"/>
  <c r="J98" i="12"/>
  <c r="J99" i="25" s="1"/>
  <c r="O99" i="13"/>
  <c r="J162" i="12"/>
  <c r="J163" i="25" s="1"/>
  <c r="O163" i="13"/>
  <c r="J166" i="12"/>
  <c r="J167" i="25" s="1"/>
  <c r="J13" i="12"/>
  <c r="J14" i="25" s="1"/>
  <c r="I5" i="12"/>
  <c r="N6" i="13" s="1"/>
  <c r="J208" i="12"/>
  <c r="J209" i="25" s="1"/>
  <c r="O209" i="13"/>
  <c r="J295" i="12"/>
  <c r="J296" i="25" s="1"/>
  <c r="O296" i="13"/>
  <c r="K7" i="12"/>
  <c r="J236" i="12"/>
  <c r="J237" i="25" s="1"/>
  <c r="O237" i="13"/>
  <c r="K263" i="12"/>
  <c r="K249" i="12"/>
  <c r="K60" i="12"/>
  <c r="K55" i="12"/>
  <c r="J227" i="12"/>
  <c r="J228" i="25" s="1"/>
  <c r="K203" i="12"/>
  <c r="J16" i="12"/>
  <c r="J17" i="25" s="1"/>
  <c r="O17" i="13"/>
  <c r="J122" i="12"/>
  <c r="J123" i="25" s="1"/>
  <c r="O123" i="13"/>
  <c r="J62" i="12"/>
  <c r="J63" i="25" s="1"/>
  <c r="O63" i="13"/>
  <c r="J38" i="12"/>
  <c r="J39" i="25" s="1"/>
  <c r="K194" i="12"/>
  <c r="J31" i="12"/>
  <c r="J32" i="25" s="1"/>
  <c r="J71" i="12"/>
  <c r="J72" i="25" s="1"/>
  <c r="O72" i="13"/>
  <c r="K65" i="12"/>
  <c r="J82" i="12"/>
  <c r="J83" i="25" s="1"/>
  <c r="J184" i="12"/>
  <c r="J185" i="25" s="1"/>
  <c r="O185" i="13"/>
  <c r="K8" i="12"/>
  <c r="J97" i="12"/>
  <c r="J98" i="25" s="1"/>
  <c r="J23" i="12"/>
  <c r="J24" i="25" s="1"/>
  <c r="O24" i="13"/>
  <c r="K312" i="12"/>
  <c r="J277" i="12"/>
  <c r="J278" i="25" s="1"/>
  <c r="O278" i="13"/>
  <c r="K29" i="12"/>
  <c r="K99" i="12"/>
  <c r="K180" i="12"/>
  <c r="K297" i="12"/>
  <c r="K26" i="12"/>
  <c r="K241" i="12"/>
  <c r="K105" i="12"/>
  <c r="J64" i="12"/>
  <c r="J65" i="25" s="1"/>
  <c r="O65" i="13"/>
  <c r="K32" i="12"/>
  <c r="K73" i="12"/>
  <c r="K242" i="12"/>
  <c r="K307" i="12"/>
  <c r="J223" i="12"/>
  <c r="J224" i="25" s="1"/>
  <c r="O224" i="13"/>
  <c r="K256" i="12"/>
  <c r="K20" i="12"/>
  <c r="K198" i="12"/>
  <c r="K145" i="12"/>
  <c r="K299" i="12"/>
  <c r="K306" i="12"/>
  <c r="K75" i="12"/>
  <c r="K6" i="12"/>
  <c r="K255" i="12"/>
  <c r="K206" i="12"/>
  <c r="K118" i="12"/>
  <c r="K27" i="12"/>
  <c r="J152" i="12"/>
  <c r="J153" i="25" s="1"/>
  <c r="O153" i="13"/>
  <c r="K70" i="12"/>
  <c r="K224" i="12"/>
  <c r="K35" i="12"/>
  <c r="K116" i="12"/>
  <c r="J142" i="12"/>
  <c r="J143" i="25" s="1"/>
  <c r="O143" i="13"/>
  <c r="K33" i="12"/>
  <c r="K177" i="12"/>
  <c r="J131" i="12"/>
  <c r="J132" i="25" s="1"/>
  <c r="O132" i="13"/>
  <c r="J202" i="12"/>
  <c r="J203" i="25" s="1"/>
  <c r="J127" i="12"/>
  <c r="J128" i="25" s="1"/>
  <c r="O128" i="13"/>
  <c r="K129" i="12"/>
  <c r="J281" i="12"/>
  <c r="J282" i="25" s="1"/>
  <c r="O282" i="13"/>
  <c r="K308" i="12"/>
  <c r="J230" i="12"/>
  <c r="J231" i="25" s="1"/>
  <c r="O231" i="13"/>
  <c r="K305" i="12"/>
  <c r="J83" i="12"/>
  <c r="J84" i="25" s="1"/>
  <c r="O84" i="13"/>
  <c r="J77" i="12"/>
  <c r="J78" i="25" s="1"/>
  <c r="O78" i="13"/>
  <c r="J201" i="12"/>
  <c r="J202" i="25" s="1"/>
  <c r="O202" i="13"/>
  <c r="J126" i="12"/>
  <c r="J127" i="25" s="1"/>
  <c r="O127" i="13"/>
  <c r="J18" i="12"/>
  <c r="J19" i="25" s="1"/>
  <c r="O19" i="13"/>
  <c r="K276" i="12"/>
  <c r="J215" i="12"/>
  <c r="J216" i="25" s="1"/>
  <c r="J138" i="12"/>
  <c r="J139" i="25" s="1"/>
  <c r="O139" i="13"/>
  <c r="J229" i="12"/>
  <c r="J230" i="25" s="1"/>
  <c r="O230" i="13"/>
  <c r="J96" i="12"/>
  <c r="J97" i="25" s="1"/>
  <c r="O97" i="13"/>
  <c r="J193" i="12"/>
  <c r="J194" i="25" s="1"/>
  <c r="O194" i="13"/>
  <c r="K182" i="12"/>
  <c r="J261" i="12"/>
  <c r="J262" i="25" s="1"/>
  <c r="O262" i="13"/>
  <c r="J156" i="12"/>
  <c r="J157" i="25" s="1"/>
  <c r="O157" i="13"/>
  <c r="K61" i="12"/>
  <c r="J309" i="12"/>
  <c r="J310" i="25" s="1"/>
  <c r="O310" i="13"/>
  <c r="J160" i="12"/>
  <c r="J161" i="25" s="1"/>
  <c r="O161" i="13"/>
  <c r="J52" i="12"/>
  <c r="J53" i="25" s="1"/>
  <c r="O53" i="13"/>
  <c r="J264" i="12"/>
  <c r="J265" i="25" s="1"/>
  <c r="K58" i="12"/>
  <c r="J188" i="12"/>
  <c r="J189" i="25" s="1"/>
  <c r="O189" i="13"/>
  <c r="K280" i="12"/>
  <c r="K87" i="12"/>
  <c r="K141" i="12"/>
  <c r="K248" i="12"/>
  <c r="J212" i="25" l="1"/>
  <c r="E37" i="48"/>
  <c r="P127" i="13"/>
  <c r="Q127" i="13" s="1"/>
  <c r="K127" i="25" s="1"/>
  <c r="L127" i="25" s="1"/>
  <c r="N127" i="25" s="1"/>
  <c r="P282" i="13"/>
  <c r="Q282" i="13" s="1"/>
  <c r="K282" i="25" s="1"/>
  <c r="L282" i="25" s="1"/>
  <c r="N282" i="25" s="1"/>
  <c r="P14" i="13"/>
  <c r="Q14" i="13" s="1"/>
  <c r="K14" i="25" s="1"/>
  <c r="L14" i="25" s="1"/>
  <c r="N14" i="25" s="1"/>
  <c r="P101" i="13"/>
  <c r="Q101" i="13" s="1"/>
  <c r="K101" i="25" s="1"/>
  <c r="L101" i="25" s="1"/>
  <c r="N101" i="25" s="1"/>
  <c r="P60" i="13"/>
  <c r="Q60" i="13" s="1"/>
  <c r="K60" i="25" s="1"/>
  <c r="L60" i="25" s="1"/>
  <c r="N60" i="25" s="1"/>
  <c r="P244" i="13"/>
  <c r="Q244" i="13" s="1"/>
  <c r="K244" i="25" s="1"/>
  <c r="L244" i="25" s="1"/>
  <c r="N244" i="25" s="1"/>
  <c r="P246" i="13"/>
  <c r="Q246" i="13" s="1"/>
  <c r="K246" i="25" s="1"/>
  <c r="L246" i="25" s="1"/>
  <c r="N246" i="25" s="1"/>
  <c r="P227" i="13"/>
  <c r="Q227" i="13" s="1"/>
  <c r="K227" i="25" s="1"/>
  <c r="L227" i="25" s="1"/>
  <c r="N227" i="25" s="1"/>
  <c r="P219" i="13"/>
  <c r="Q219" i="13" s="1"/>
  <c r="K219" i="25" s="1"/>
  <c r="L219" i="25" s="1"/>
  <c r="N219" i="25" s="1"/>
  <c r="P113" i="13"/>
  <c r="Q113" i="13" s="1"/>
  <c r="K113" i="25" s="1"/>
  <c r="L113" i="25" s="1"/>
  <c r="N113" i="25" s="1"/>
  <c r="P126" i="13"/>
  <c r="Q126" i="13" s="1"/>
  <c r="K126" i="25" s="1"/>
  <c r="L126" i="25" s="1"/>
  <c r="N126" i="25" s="1"/>
  <c r="P79" i="13"/>
  <c r="Q79" i="13" s="1"/>
  <c r="K79" i="25" s="1"/>
  <c r="L79" i="25" s="1"/>
  <c r="N79" i="25" s="1"/>
  <c r="P9" i="13"/>
  <c r="Q9" i="13" s="1"/>
  <c r="K9" i="25" s="1"/>
  <c r="L9" i="25" s="1"/>
  <c r="N9" i="25" s="1"/>
  <c r="P294" i="13"/>
  <c r="Q294" i="13" s="1"/>
  <c r="K294" i="25" s="1"/>
  <c r="L294" i="25" s="1"/>
  <c r="N294" i="25" s="1"/>
  <c r="P140" i="13"/>
  <c r="Q140" i="13" s="1"/>
  <c r="K140" i="25" s="1"/>
  <c r="L140" i="25" s="1"/>
  <c r="N140" i="25" s="1"/>
  <c r="P11" i="13"/>
  <c r="Q11" i="13" s="1"/>
  <c r="K11" i="25" s="1"/>
  <c r="L11" i="25" s="1"/>
  <c r="N11" i="25" s="1"/>
  <c r="P117" i="13"/>
  <c r="Q117" i="13" s="1"/>
  <c r="K117" i="25" s="1"/>
  <c r="L117" i="25" s="1"/>
  <c r="N117" i="25" s="1"/>
  <c r="P7" i="13"/>
  <c r="Q7" i="13" s="1"/>
  <c r="K7" i="25" s="1"/>
  <c r="L7" i="25" s="1"/>
  <c r="N7" i="25" s="1"/>
  <c r="P146" i="13"/>
  <c r="Q146" i="13" s="1"/>
  <c r="K146" i="25" s="1"/>
  <c r="L146" i="25" s="1"/>
  <c r="N146" i="25" s="1"/>
  <c r="P21" i="13"/>
  <c r="Q21" i="13" s="1"/>
  <c r="K21" i="25" s="1"/>
  <c r="L21" i="25" s="1"/>
  <c r="N21" i="25" s="1"/>
  <c r="P106" i="13"/>
  <c r="Q106" i="13" s="1"/>
  <c r="K106" i="25" s="1"/>
  <c r="L106" i="25" s="1"/>
  <c r="N106" i="25" s="1"/>
  <c r="P181" i="13"/>
  <c r="Q181" i="13" s="1"/>
  <c r="K181" i="25" s="1"/>
  <c r="L181" i="25" s="1"/>
  <c r="N181" i="25" s="1"/>
  <c r="P158" i="13"/>
  <c r="Q158" i="13" s="1"/>
  <c r="K158" i="25" s="1"/>
  <c r="L158" i="25" s="1"/>
  <c r="N158" i="25" s="1"/>
  <c r="P299" i="13"/>
  <c r="Q299" i="13" s="1"/>
  <c r="K299" i="25" s="1"/>
  <c r="L299" i="25" s="1"/>
  <c r="N299" i="25" s="1"/>
  <c r="P233" i="13"/>
  <c r="Q233" i="13" s="1"/>
  <c r="K233" i="25" s="1"/>
  <c r="L233" i="25" s="1"/>
  <c r="N233" i="25" s="1"/>
  <c r="P102" i="13"/>
  <c r="Q102" i="13" s="1"/>
  <c r="K102" i="25" s="1"/>
  <c r="L102" i="25" s="1"/>
  <c r="N102" i="25" s="1"/>
  <c r="P118" i="13"/>
  <c r="Q118" i="13" s="1"/>
  <c r="K118" i="25" s="1"/>
  <c r="L118" i="25" s="1"/>
  <c r="N118" i="25" s="1"/>
  <c r="P254" i="13"/>
  <c r="Q254" i="13" s="1"/>
  <c r="K254" i="25" s="1"/>
  <c r="L254" i="25" s="1"/>
  <c r="N254" i="25" s="1"/>
  <c r="P297" i="13"/>
  <c r="Q297" i="13" s="1"/>
  <c r="K297" i="25" s="1"/>
  <c r="L297" i="25" s="1"/>
  <c r="N297" i="25" s="1"/>
  <c r="P49" i="13"/>
  <c r="Q49" i="13" s="1"/>
  <c r="K49" i="25" s="1"/>
  <c r="L49" i="25" s="1"/>
  <c r="N49" i="25" s="1"/>
  <c r="P104" i="13"/>
  <c r="Q104" i="13" s="1"/>
  <c r="K104" i="25" s="1"/>
  <c r="L104" i="25" s="1"/>
  <c r="N104" i="25" s="1"/>
  <c r="P302" i="13"/>
  <c r="Q302" i="13" s="1"/>
  <c r="K302" i="25" s="1"/>
  <c r="L302" i="25" s="1"/>
  <c r="N302" i="25" s="1"/>
  <c r="P268" i="13"/>
  <c r="Q268" i="13" s="1"/>
  <c r="K268" i="25" s="1"/>
  <c r="L268" i="25" s="1"/>
  <c r="N268" i="25" s="1"/>
  <c r="P248" i="13"/>
  <c r="Q248" i="13" s="1"/>
  <c r="K248" i="25" s="1"/>
  <c r="L248" i="25" s="1"/>
  <c r="N248" i="25" s="1"/>
  <c r="P174" i="13"/>
  <c r="Q174" i="13" s="1"/>
  <c r="K174" i="25" s="1"/>
  <c r="L174" i="25" s="1"/>
  <c r="N174" i="25" s="1"/>
  <c r="P144" i="13"/>
  <c r="Q144" i="13" s="1"/>
  <c r="K144" i="25" s="1"/>
  <c r="L144" i="25" s="1"/>
  <c r="N144" i="25" s="1"/>
  <c r="P20" i="13"/>
  <c r="Q20" i="13" s="1"/>
  <c r="K20" i="25" s="1"/>
  <c r="L20" i="25" s="1"/>
  <c r="N20" i="25" s="1"/>
  <c r="P42" i="13"/>
  <c r="Q42" i="13" s="1"/>
  <c r="K42" i="25" s="1"/>
  <c r="L42" i="25" s="1"/>
  <c r="N42" i="25" s="1"/>
  <c r="P125" i="13"/>
  <c r="Q125" i="13" s="1"/>
  <c r="K125" i="25" s="1"/>
  <c r="L125" i="25" s="1"/>
  <c r="N125" i="25" s="1"/>
  <c r="P160" i="13"/>
  <c r="Q160" i="13" s="1"/>
  <c r="K160" i="25" s="1"/>
  <c r="L160" i="25" s="1"/>
  <c r="N160" i="25" s="1"/>
  <c r="P87" i="13"/>
  <c r="Q87" i="13" s="1"/>
  <c r="K87" i="25" s="1"/>
  <c r="L87" i="25" s="1"/>
  <c r="N87" i="25" s="1"/>
  <c r="P103" i="13"/>
  <c r="Q103" i="13" s="1"/>
  <c r="K103" i="25" s="1"/>
  <c r="L103" i="25" s="1"/>
  <c r="N103" i="25" s="1"/>
  <c r="P82" i="13"/>
  <c r="Q82" i="13" s="1"/>
  <c r="K82" i="25" s="1"/>
  <c r="L82" i="25" s="1"/>
  <c r="N82" i="25" s="1"/>
  <c r="P41" i="13"/>
  <c r="Q41" i="13" s="1"/>
  <c r="K41" i="25" s="1"/>
  <c r="L41" i="25" s="1"/>
  <c r="N41" i="25" s="1"/>
  <c r="P38" i="13"/>
  <c r="Q38" i="13" s="1"/>
  <c r="K38" i="25" s="1"/>
  <c r="L38" i="25" s="1"/>
  <c r="N38" i="25" s="1"/>
  <c r="P232" i="13"/>
  <c r="Q232" i="13" s="1"/>
  <c r="K232" i="25" s="1"/>
  <c r="L232" i="25" s="1"/>
  <c r="N232" i="25" s="1"/>
  <c r="P116" i="13"/>
  <c r="Q116" i="13" s="1"/>
  <c r="K116" i="25" s="1"/>
  <c r="L116" i="25" s="1"/>
  <c r="N116" i="25" s="1"/>
  <c r="P169" i="13"/>
  <c r="Q169" i="13" s="1"/>
  <c r="K169" i="25" s="1"/>
  <c r="L169" i="25" s="1"/>
  <c r="N169" i="25" s="1"/>
  <c r="P276" i="13"/>
  <c r="Q276" i="13" s="1"/>
  <c r="K276" i="25" s="1"/>
  <c r="L276" i="25" s="1"/>
  <c r="N276" i="25" s="1"/>
  <c r="P112" i="13"/>
  <c r="Q112" i="13" s="1"/>
  <c r="K112" i="25" s="1"/>
  <c r="L112" i="25" s="1"/>
  <c r="N112" i="25" s="1"/>
  <c r="P166" i="13"/>
  <c r="Q166" i="13" s="1"/>
  <c r="K166" i="25" s="1"/>
  <c r="L166" i="25" s="1"/>
  <c r="N166" i="25" s="1"/>
  <c r="P291" i="13"/>
  <c r="Q291" i="13" s="1"/>
  <c r="K291" i="25" s="1"/>
  <c r="L291" i="25" s="1"/>
  <c r="N291" i="25" s="1"/>
  <c r="P198" i="13"/>
  <c r="Q198" i="13" s="1"/>
  <c r="K198" i="25" s="1"/>
  <c r="L198" i="25" s="1"/>
  <c r="N198" i="25" s="1"/>
  <c r="P234" i="13"/>
  <c r="Q234" i="13" s="1"/>
  <c r="K234" i="25" s="1"/>
  <c r="L234" i="25" s="1"/>
  <c r="N234" i="25" s="1"/>
  <c r="P180" i="13"/>
  <c r="Q180" i="13" s="1"/>
  <c r="K180" i="25" s="1"/>
  <c r="L180" i="25" s="1"/>
  <c r="N180" i="25" s="1"/>
  <c r="P77" i="13"/>
  <c r="Q77" i="13" s="1"/>
  <c r="K77" i="25" s="1"/>
  <c r="L77" i="25" s="1"/>
  <c r="N77" i="25" s="1"/>
  <c r="P188" i="13"/>
  <c r="Q188" i="13" s="1"/>
  <c r="K188" i="25" s="1"/>
  <c r="L188" i="25" s="1"/>
  <c r="N188" i="25" s="1"/>
  <c r="P135" i="13"/>
  <c r="Q135" i="13" s="1"/>
  <c r="K135" i="25" s="1"/>
  <c r="L135" i="25" s="1"/>
  <c r="N135" i="25" s="1"/>
  <c r="P81" i="13"/>
  <c r="Q81" i="13" s="1"/>
  <c r="K81" i="25" s="1"/>
  <c r="L81" i="25" s="1"/>
  <c r="N81" i="25" s="1"/>
  <c r="P136" i="13"/>
  <c r="Q136" i="13" s="1"/>
  <c r="K136" i="25" s="1"/>
  <c r="L136" i="25" s="1"/>
  <c r="N136" i="25" s="1"/>
  <c r="P154" i="13"/>
  <c r="Q154" i="13" s="1"/>
  <c r="K154" i="25" s="1"/>
  <c r="L154" i="25" s="1"/>
  <c r="N154" i="25" s="1"/>
  <c r="P265" i="13"/>
  <c r="Q265" i="13" s="1"/>
  <c r="K265" i="25" s="1"/>
  <c r="L265" i="25" s="1"/>
  <c r="N265" i="25" s="1"/>
  <c r="P161" i="13"/>
  <c r="Q161" i="13" s="1"/>
  <c r="K161" i="25" s="1"/>
  <c r="L161" i="25" s="1"/>
  <c r="N161" i="25" s="1"/>
  <c r="P97" i="13"/>
  <c r="Q97" i="13" s="1"/>
  <c r="K97" i="25" s="1"/>
  <c r="L97" i="25" s="1"/>
  <c r="N97" i="25" s="1"/>
  <c r="P139" i="13"/>
  <c r="Q139" i="13" s="1"/>
  <c r="K139" i="25" s="1"/>
  <c r="L139" i="25" s="1"/>
  <c r="N139" i="25" s="1"/>
  <c r="P231" i="13"/>
  <c r="Q231" i="13" s="1"/>
  <c r="K231" i="25" s="1"/>
  <c r="L231" i="25" s="1"/>
  <c r="N231" i="25" s="1"/>
  <c r="P203" i="13"/>
  <c r="Q203" i="13" s="1"/>
  <c r="K203" i="25" s="1"/>
  <c r="L203" i="25" s="1"/>
  <c r="N203" i="25" s="1"/>
  <c r="P153" i="13"/>
  <c r="Q153" i="13" s="1"/>
  <c r="K153" i="25" s="1"/>
  <c r="L153" i="25" s="1"/>
  <c r="N153" i="25" s="1"/>
  <c r="P65" i="13"/>
  <c r="Q65" i="13" s="1"/>
  <c r="K65" i="25" s="1"/>
  <c r="L65" i="25" s="1"/>
  <c r="N65" i="25" s="1"/>
  <c r="P24" i="13"/>
  <c r="Q24" i="13" s="1"/>
  <c r="K24" i="25" s="1"/>
  <c r="L24" i="25" s="1"/>
  <c r="N24" i="25" s="1"/>
  <c r="P32" i="13"/>
  <c r="Q32" i="13" s="1"/>
  <c r="K32" i="25" s="1"/>
  <c r="L32" i="25" s="1"/>
  <c r="N32" i="25" s="1"/>
  <c r="P228" i="13"/>
  <c r="Q228" i="13" s="1"/>
  <c r="K228" i="25" s="1"/>
  <c r="L228" i="25" s="1"/>
  <c r="N228" i="25" s="1"/>
  <c r="P48" i="13"/>
  <c r="Q48" i="13" s="1"/>
  <c r="K48" i="25" s="1"/>
  <c r="L48" i="25" s="1"/>
  <c r="N48" i="25" s="1"/>
  <c r="P176" i="13"/>
  <c r="Q176" i="13" s="1"/>
  <c r="K176" i="25" s="1"/>
  <c r="L176" i="25" s="1"/>
  <c r="N176" i="25" s="1"/>
  <c r="P22" i="13"/>
  <c r="Q22" i="13" s="1"/>
  <c r="K22" i="25" s="1"/>
  <c r="L22" i="25" s="1"/>
  <c r="N22" i="25" s="1"/>
  <c r="P50" i="13"/>
  <c r="Q50" i="13" s="1"/>
  <c r="K50" i="25" s="1"/>
  <c r="L50" i="25" s="1"/>
  <c r="N50" i="25" s="1"/>
  <c r="P269" i="13"/>
  <c r="Q269" i="13" s="1"/>
  <c r="K269" i="25" s="1"/>
  <c r="L269" i="25" s="1"/>
  <c r="N269" i="25" s="1"/>
  <c r="P155" i="13"/>
  <c r="Q155" i="13" s="1"/>
  <c r="K155" i="25" s="1"/>
  <c r="L155" i="25" s="1"/>
  <c r="N155" i="25" s="1"/>
  <c r="P44" i="13"/>
  <c r="Q44" i="13" s="1"/>
  <c r="K44" i="25" s="1"/>
  <c r="L44" i="25" s="1"/>
  <c r="N44" i="25" s="1"/>
  <c r="P15" i="13"/>
  <c r="Q15" i="13" s="1"/>
  <c r="K15" i="25" s="1"/>
  <c r="L15" i="25" s="1"/>
  <c r="N15" i="25" s="1"/>
  <c r="P85" i="13"/>
  <c r="Q85" i="13" s="1"/>
  <c r="K85" i="25" s="1"/>
  <c r="L85" i="25" s="1"/>
  <c r="N85" i="25" s="1"/>
  <c r="P211" i="13"/>
  <c r="Q211" i="13" s="1"/>
  <c r="K211" i="25" s="1"/>
  <c r="L211" i="25" s="1"/>
  <c r="N211" i="25" s="1"/>
  <c r="P221" i="13"/>
  <c r="Q221" i="13" s="1"/>
  <c r="K221" i="25" s="1"/>
  <c r="L221" i="25" s="1"/>
  <c r="N221" i="25" s="1"/>
  <c r="P241" i="13"/>
  <c r="Q241" i="13" s="1"/>
  <c r="K241" i="25" s="1"/>
  <c r="L241" i="25" s="1"/>
  <c r="N241" i="25" s="1"/>
  <c r="P190" i="13"/>
  <c r="Q190" i="13" s="1"/>
  <c r="K190" i="25" s="1"/>
  <c r="L190" i="25" s="1"/>
  <c r="N190" i="25" s="1"/>
  <c r="P47" i="13"/>
  <c r="Q47" i="13" s="1"/>
  <c r="K47" i="25" s="1"/>
  <c r="L47" i="25" s="1"/>
  <c r="N47" i="25" s="1"/>
  <c r="P151" i="13"/>
  <c r="Q151" i="13" s="1"/>
  <c r="K151" i="25" s="1"/>
  <c r="L151" i="25" s="1"/>
  <c r="N151" i="25" s="1"/>
  <c r="P295" i="13"/>
  <c r="Q295" i="13" s="1"/>
  <c r="K295" i="25" s="1"/>
  <c r="L295" i="25" s="1"/>
  <c r="N295" i="25" s="1"/>
  <c r="P91" i="13"/>
  <c r="Q91" i="13" s="1"/>
  <c r="K91" i="25" s="1"/>
  <c r="L91" i="25" s="1"/>
  <c r="N91" i="25" s="1"/>
  <c r="P260" i="13"/>
  <c r="Q260" i="13" s="1"/>
  <c r="K260" i="25" s="1"/>
  <c r="L260" i="25" s="1"/>
  <c r="N260" i="25" s="1"/>
  <c r="P252" i="13"/>
  <c r="Q252" i="13" s="1"/>
  <c r="K252" i="25" s="1"/>
  <c r="L252" i="25" s="1"/>
  <c r="N252" i="25" s="1"/>
  <c r="P249" i="13"/>
  <c r="Q249" i="13" s="1"/>
  <c r="K249" i="25" s="1"/>
  <c r="L249" i="25" s="1"/>
  <c r="N249" i="25" s="1"/>
  <c r="P88" i="13"/>
  <c r="Q88" i="13" s="1"/>
  <c r="K88" i="25" s="1"/>
  <c r="L88" i="25" s="1"/>
  <c r="N88" i="25" s="1"/>
  <c r="P59" i="13"/>
  <c r="Q59" i="13" s="1"/>
  <c r="K59" i="25" s="1"/>
  <c r="L59" i="25" s="1"/>
  <c r="N59" i="25" s="1"/>
  <c r="P183" i="13"/>
  <c r="Q183" i="13" s="1"/>
  <c r="K183" i="25" s="1"/>
  <c r="L183" i="25" s="1"/>
  <c r="N183" i="25" s="1"/>
  <c r="P306" i="13"/>
  <c r="Q306" i="13" s="1"/>
  <c r="K306" i="25" s="1"/>
  <c r="L306" i="25" s="1"/>
  <c r="N306" i="25" s="1"/>
  <c r="P130" i="13"/>
  <c r="Q130" i="13" s="1"/>
  <c r="K130" i="25" s="1"/>
  <c r="L130" i="25" s="1"/>
  <c r="N130" i="25" s="1"/>
  <c r="P197" i="13"/>
  <c r="Q197" i="13" s="1"/>
  <c r="K197" i="25" s="1"/>
  <c r="L197" i="25" s="1"/>
  <c r="N197" i="25" s="1"/>
  <c r="P287" i="13"/>
  <c r="Q287" i="13" s="1"/>
  <c r="K287" i="25" s="1"/>
  <c r="L287" i="25" s="1"/>
  <c r="N287" i="25" s="1"/>
  <c r="P152" i="13"/>
  <c r="Q152" i="13" s="1"/>
  <c r="K152" i="25" s="1"/>
  <c r="L152" i="25" s="1"/>
  <c r="N152" i="25" s="1"/>
  <c r="P259" i="13"/>
  <c r="Q259" i="13" s="1"/>
  <c r="K259" i="25" s="1"/>
  <c r="L259" i="25" s="1"/>
  <c r="N259" i="25" s="1"/>
  <c r="P275" i="13"/>
  <c r="Q275" i="13" s="1"/>
  <c r="K275" i="25" s="1"/>
  <c r="L275" i="25" s="1"/>
  <c r="N275" i="25" s="1"/>
  <c r="P56" i="13"/>
  <c r="Q56" i="13" s="1"/>
  <c r="K56" i="25" s="1"/>
  <c r="L56" i="25" s="1"/>
  <c r="N56" i="25" s="1"/>
  <c r="P68" i="13"/>
  <c r="Q68" i="13" s="1"/>
  <c r="K68" i="25" s="1"/>
  <c r="L68" i="25" s="1"/>
  <c r="N68" i="25" s="1"/>
  <c r="P210" i="13"/>
  <c r="Q210" i="13" s="1"/>
  <c r="K210" i="25" s="1"/>
  <c r="L210" i="25" s="1"/>
  <c r="N210" i="25" s="1"/>
  <c r="P80" i="13"/>
  <c r="Q80" i="13" s="1"/>
  <c r="K80" i="25" s="1"/>
  <c r="L80" i="25" s="1"/>
  <c r="N80" i="25" s="1"/>
  <c r="P138" i="13"/>
  <c r="Q138" i="13" s="1"/>
  <c r="K138" i="25" s="1"/>
  <c r="L138" i="25" s="1"/>
  <c r="N138" i="25" s="1"/>
  <c r="P192" i="13"/>
  <c r="Q192" i="13" s="1"/>
  <c r="K192" i="25" s="1"/>
  <c r="L192" i="25" s="1"/>
  <c r="N192" i="25" s="1"/>
  <c r="P170" i="13"/>
  <c r="Q170" i="13" s="1"/>
  <c r="K170" i="25" s="1"/>
  <c r="L170" i="25" s="1"/>
  <c r="N170" i="25" s="1"/>
  <c r="P131" i="13"/>
  <c r="Q131" i="13" s="1"/>
  <c r="K131" i="25" s="1"/>
  <c r="L131" i="25" s="1"/>
  <c r="N131" i="25" s="1"/>
  <c r="P39" i="13"/>
  <c r="Q39" i="13" s="1"/>
  <c r="K39" i="25" s="1"/>
  <c r="L39" i="25" s="1"/>
  <c r="N39" i="25" s="1"/>
  <c r="P271" i="13"/>
  <c r="Q271" i="13" s="1"/>
  <c r="K271" i="25" s="1"/>
  <c r="L271" i="25" s="1"/>
  <c r="N271" i="25" s="1"/>
  <c r="P37" i="13"/>
  <c r="Q37" i="13" s="1"/>
  <c r="K37" i="25" s="1"/>
  <c r="L37" i="25" s="1"/>
  <c r="N37" i="25" s="1"/>
  <c r="P251" i="13"/>
  <c r="Q251" i="13" s="1"/>
  <c r="K251" i="25" s="1"/>
  <c r="L251" i="25" s="1"/>
  <c r="N251" i="25" s="1"/>
  <c r="P90" i="13"/>
  <c r="Q90" i="13" s="1"/>
  <c r="K90" i="25" s="1"/>
  <c r="L90" i="25" s="1"/>
  <c r="N90" i="25" s="1"/>
  <c r="P93" i="13"/>
  <c r="Q93" i="13" s="1"/>
  <c r="K93" i="25" s="1"/>
  <c r="L93" i="25" s="1"/>
  <c r="N93" i="25" s="1"/>
  <c r="P195" i="13"/>
  <c r="Q195" i="13" s="1"/>
  <c r="K195" i="25" s="1"/>
  <c r="L195" i="25" s="1"/>
  <c r="N195" i="25" s="1"/>
  <c r="P184" i="13"/>
  <c r="Q184" i="13" s="1"/>
  <c r="K184" i="25" s="1"/>
  <c r="L184" i="25" s="1"/>
  <c r="N184" i="25" s="1"/>
  <c r="P314" i="13"/>
  <c r="Q314" i="13" s="1"/>
  <c r="K314" i="25" s="1"/>
  <c r="L314" i="25" s="1"/>
  <c r="N314" i="25" s="1"/>
  <c r="P207" i="13"/>
  <c r="Q207" i="13" s="1"/>
  <c r="K207" i="25" s="1"/>
  <c r="L207" i="25" s="1"/>
  <c r="N207" i="25" s="1"/>
  <c r="P74" i="13"/>
  <c r="Q74" i="13" s="1"/>
  <c r="K74" i="25" s="1"/>
  <c r="L74" i="25" s="1"/>
  <c r="N74" i="25" s="1"/>
  <c r="P253" i="13"/>
  <c r="Q253" i="13" s="1"/>
  <c r="K253" i="25" s="1"/>
  <c r="L253" i="25" s="1"/>
  <c r="N253" i="25" s="1"/>
  <c r="P19" i="13"/>
  <c r="Q19" i="13" s="1"/>
  <c r="K19" i="25" s="1"/>
  <c r="L19" i="25" s="1"/>
  <c r="N19" i="25" s="1"/>
  <c r="P185" i="13"/>
  <c r="Q185" i="13" s="1"/>
  <c r="K185" i="25" s="1"/>
  <c r="L185" i="25" s="1"/>
  <c r="N185" i="25" s="1"/>
  <c r="P17" i="13"/>
  <c r="Q17" i="13" s="1"/>
  <c r="K17" i="25" s="1"/>
  <c r="L17" i="25" s="1"/>
  <c r="N17" i="25" s="1"/>
  <c r="J5" i="12"/>
  <c r="P57" i="13"/>
  <c r="Q57" i="13" s="1"/>
  <c r="K57" i="25" s="1"/>
  <c r="L57" i="25" s="1"/>
  <c r="N57" i="25" s="1"/>
  <c r="P121" i="13"/>
  <c r="Q121" i="13" s="1"/>
  <c r="K121" i="25" s="1"/>
  <c r="L121" i="25" s="1"/>
  <c r="N121" i="25" s="1"/>
  <c r="P12" i="13"/>
  <c r="Q12" i="13" s="1"/>
  <c r="K12" i="25" s="1"/>
  <c r="L12" i="25" s="1"/>
  <c r="N12" i="25" s="1"/>
  <c r="P165" i="13"/>
  <c r="Q165" i="13" s="1"/>
  <c r="K165" i="25" s="1"/>
  <c r="L165" i="25" s="1"/>
  <c r="N165" i="25" s="1"/>
  <c r="P222" i="13"/>
  <c r="Q222" i="13" s="1"/>
  <c r="K222" i="25" s="1"/>
  <c r="L222" i="25" s="1"/>
  <c r="N222" i="25" s="1"/>
  <c r="P149" i="13"/>
  <c r="Q149" i="13" s="1"/>
  <c r="K149" i="25" s="1"/>
  <c r="L149" i="25" s="1"/>
  <c r="N149" i="25" s="1"/>
  <c r="P288" i="13"/>
  <c r="Q288" i="13" s="1"/>
  <c r="K288" i="25" s="1"/>
  <c r="L288" i="25" s="1"/>
  <c r="N288" i="25" s="1"/>
  <c r="P111" i="13"/>
  <c r="Q111" i="13" s="1"/>
  <c r="K111" i="25" s="1"/>
  <c r="L111" i="25" s="1"/>
  <c r="N111" i="25" s="1"/>
  <c r="P45" i="13"/>
  <c r="Q45" i="13" s="1"/>
  <c r="K45" i="25" s="1"/>
  <c r="L45" i="25" s="1"/>
  <c r="N45" i="25" s="1"/>
  <c r="P61" i="13"/>
  <c r="Q61" i="13" s="1"/>
  <c r="K61" i="25" s="1"/>
  <c r="L61" i="25" s="1"/>
  <c r="N61" i="25" s="1"/>
  <c r="P201" i="13"/>
  <c r="Q201" i="13" s="1"/>
  <c r="K201" i="25" s="1"/>
  <c r="L201" i="25" s="1"/>
  <c r="N201" i="25" s="1"/>
  <c r="P133" i="13"/>
  <c r="Q133" i="13" s="1"/>
  <c r="K133" i="25" s="1"/>
  <c r="L133" i="25" s="1"/>
  <c r="N133" i="25" s="1"/>
  <c r="P34" i="13"/>
  <c r="Q34" i="13" s="1"/>
  <c r="K34" i="25" s="1"/>
  <c r="L34" i="25" s="1"/>
  <c r="N34" i="25" s="1"/>
  <c r="P119" i="13"/>
  <c r="Q119" i="13" s="1"/>
  <c r="K119" i="25" s="1"/>
  <c r="L119" i="25" s="1"/>
  <c r="N119" i="25" s="1"/>
  <c r="P256" i="13"/>
  <c r="Q256" i="13" s="1"/>
  <c r="K256" i="25" s="1"/>
  <c r="L256" i="25" s="1"/>
  <c r="N256" i="25" s="1"/>
  <c r="P300" i="13"/>
  <c r="Q300" i="13" s="1"/>
  <c r="K300" i="25" s="1"/>
  <c r="L300" i="25" s="1"/>
  <c r="N300" i="25" s="1"/>
  <c r="P199" i="13"/>
  <c r="Q199" i="13" s="1"/>
  <c r="K199" i="25" s="1"/>
  <c r="L199" i="25" s="1"/>
  <c r="N199" i="25" s="1"/>
  <c r="P257" i="13"/>
  <c r="Q257" i="13" s="1"/>
  <c r="K257" i="25" s="1"/>
  <c r="L257" i="25" s="1"/>
  <c r="N257" i="25" s="1"/>
  <c r="P243" i="13"/>
  <c r="Q243" i="13" s="1"/>
  <c r="K243" i="25" s="1"/>
  <c r="L243" i="25" s="1"/>
  <c r="N243" i="25" s="1"/>
  <c r="P33" i="13"/>
  <c r="Q33" i="13" s="1"/>
  <c r="K33" i="25" s="1"/>
  <c r="L33" i="25" s="1"/>
  <c r="N33" i="25" s="1"/>
  <c r="P242" i="13"/>
  <c r="Q242" i="13" s="1"/>
  <c r="K242" i="25" s="1"/>
  <c r="L242" i="25" s="1"/>
  <c r="N242" i="25" s="1"/>
  <c r="P298" i="13"/>
  <c r="Q298" i="13" s="1"/>
  <c r="K298" i="25" s="1"/>
  <c r="L298" i="25" s="1"/>
  <c r="N298" i="25" s="1"/>
  <c r="P100" i="13"/>
  <c r="Q100" i="13" s="1"/>
  <c r="K100" i="25" s="1"/>
  <c r="L100" i="25" s="1"/>
  <c r="N100" i="25" s="1"/>
  <c r="P175" i="13"/>
  <c r="Q175" i="13" s="1"/>
  <c r="K175" i="25" s="1"/>
  <c r="L175" i="25" s="1"/>
  <c r="N175" i="25" s="1"/>
  <c r="P236" i="13"/>
  <c r="Q236" i="13" s="1"/>
  <c r="K236" i="25" s="1"/>
  <c r="L236" i="25" s="1"/>
  <c r="N236" i="25" s="1"/>
  <c r="P23" i="13"/>
  <c r="Q23" i="13" s="1"/>
  <c r="K23" i="25" s="1"/>
  <c r="L23" i="25" s="1"/>
  <c r="N23" i="25" s="1"/>
  <c r="P105" i="13"/>
  <c r="Q105" i="13" s="1"/>
  <c r="K105" i="25" s="1"/>
  <c r="L105" i="25" s="1"/>
  <c r="N105" i="25" s="1"/>
  <c r="P29" i="13"/>
  <c r="Q29" i="13" s="1"/>
  <c r="K29" i="25" s="1"/>
  <c r="L29" i="25" s="1"/>
  <c r="N29" i="25" s="1"/>
  <c r="P267" i="13"/>
  <c r="Q267" i="13" s="1"/>
  <c r="K267" i="25" s="1"/>
  <c r="L267" i="25" s="1"/>
  <c r="N267" i="25" s="1"/>
  <c r="P289" i="13"/>
  <c r="Q289" i="13" s="1"/>
  <c r="K289" i="25" s="1"/>
  <c r="L289" i="25" s="1"/>
  <c r="N289" i="25" s="1"/>
  <c r="P122" i="13"/>
  <c r="Q122" i="13" s="1"/>
  <c r="K122" i="25" s="1"/>
  <c r="L122" i="25" s="1"/>
  <c r="N122" i="25" s="1"/>
  <c r="P229" i="13"/>
  <c r="Q229" i="13" s="1"/>
  <c r="K229" i="25" s="1"/>
  <c r="L229" i="25" s="1"/>
  <c r="N229" i="25" s="1"/>
  <c r="P58" i="13"/>
  <c r="Q58" i="13" s="1"/>
  <c r="K58" i="25" s="1"/>
  <c r="L58" i="25" s="1"/>
  <c r="N58" i="25" s="1"/>
  <c r="P280" i="13"/>
  <c r="Q280" i="13" s="1"/>
  <c r="K280" i="25" s="1"/>
  <c r="L280" i="25" s="1"/>
  <c r="N280" i="25" s="1"/>
  <c r="P238" i="13"/>
  <c r="Q238" i="13" s="1"/>
  <c r="K238" i="25" s="1"/>
  <c r="L238" i="25" s="1"/>
  <c r="N238" i="25" s="1"/>
  <c r="P218" i="13"/>
  <c r="Q218" i="13" s="1"/>
  <c r="K218" i="25" s="1"/>
  <c r="L218" i="25" s="1"/>
  <c r="N218" i="25" s="1"/>
  <c r="P67" i="13"/>
  <c r="Q67" i="13" s="1"/>
  <c r="K67" i="25" s="1"/>
  <c r="L67" i="25" s="1"/>
  <c r="N67" i="25" s="1"/>
  <c r="P239" i="13"/>
  <c r="Q239" i="13" s="1"/>
  <c r="K239" i="25" s="1"/>
  <c r="L239" i="25" s="1"/>
  <c r="N239" i="25" s="1"/>
  <c r="P255" i="13"/>
  <c r="Q255" i="13" s="1"/>
  <c r="K255" i="25" s="1"/>
  <c r="L255" i="25" s="1"/>
  <c r="N255" i="25" s="1"/>
  <c r="P266" i="13"/>
  <c r="Q266" i="13" s="1"/>
  <c r="K266" i="25" s="1"/>
  <c r="L266" i="25" s="1"/>
  <c r="N266" i="25" s="1"/>
  <c r="P208" i="13"/>
  <c r="Q208" i="13" s="1"/>
  <c r="K208" i="25" s="1"/>
  <c r="L208" i="25" s="1"/>
  <c r="N208" i="25" s="1"/>
  <c r="P145" i="13"/>
  <c r="Q145" i="13" s="1"/>
  <c r="K145" i="25" s="1"/>
  <c r="L145" i="25" s="1"/>
  <c r="N145" i="25" s="1"/>
  <c r="P191" i="13"/>
  <c r="Q191" i="13" s="1"/>
  <c r="K191" i="25" s="1"/>
  <c r="L191" i="25" s="1"/>
  <c r="N191" i="25" s="1"/>
  <c r="P173" i="13"/>
  <c r="Q173" i="13" s="1"/>
  <c r="K173" i="25" s="1"/>
  <c r="L173" i="25" s="1"/>
  <c r="N173" i="25" s="1"/>
  <c r="P52" i="13"/>
  <c r="Q52" i="13" s="1"/>
  <c r="K52" i="25" s="1"/>
  <c r="L52" i="25" s="1"/>
  <c r="N52" i="25" s="1"/>
  <c r="P179" i="13"/>
  <c r="Q179" i="13" s="1"/>
  <c r="K179" i="25" s="1"/>
  <c r="L179" i="25" s="1"/>
  <c r="N179" i="25" s="1"/>
  <c r="P35" i="13"/>
  <c r="Q35" i="13" s="1"/>
  <c r="K35" i="25" s="1"/>
  <c r="L35" i="25" s="1"/>
  <c r="N35" i="25" s="1"/>
  <c r="P245" i="13"/>
  <c r="Q245" i="13" s="1"/>
  <c r="K245" i="25" s="1"/>
  <c r="L245" i="25" s="1"/>
  <c r="N245" i="25" s="1"/>
  <c r="P303" i="13"/>
  <c r="Q303" i="13" s="1"/>
  <c r="K303" i="25" s="1"/>
  <c r="L303" i="25" s="1"/>
  <c r="N303" i="25" s="1"/>
  <c r="P293" i="13"/>
  <c r="Q293" i="13" s="1"/>
  <c r="K293" i="25" s="1"/>
  <c r="L293" i="25" s="1"/>
  <c r="N293" i="25" s="1"/>
  <c r="P270" i="13"/>
  <c r="Q270" i="13" s="1"/>
  <c r="K270" i="25" s="1"/>
  <c r="L270" i="25" s="1"/>
  <c r="N270" i="25" s="1"/>
  <c r="P13" i="13"/>
  <c r="Q13" i="13" s="1"/>
  <c r="K13" i="25" s="1"/>
  <c r="L13" i="25" s="1"/>
  <c r="N13" i="25" s="1"/>
  <c r="P46" i="13"/>
  <c r="Q46" i="13" s="1"/>
  <c r="K46" i="25" s="1"/>
  <c r="L46" i="25" s="1"/>
  <c r="N46" i="25" s="1"/>
  <c r="P108" i="13"/>
  <c r="Q108" i="13" s="1"/>
  <c r="K108" i="25" s="1"/>
  <c r="L108" i="25" s="1"/>
  <c r="N108" i="25" s="1"/>
  <c r="P205" i="13"/>
  <c r="Q205" i="13" s="1"/>
  <c r="K205" i="25" s="1"/>
  <c r="L205" i="25" s="1"/>
  <c r="N205" i="25" s="1"/>
  <c r="P64" i="13"/>
  <c r="Q64" i="13" s="1"/>
  <c r="K64" i="25" s="1"/>
  <c r="L64" i="25" s="1"/>
  <c r="N64" i="25" s="1"/>
  <c r="P220" i="13"/>
  <c r="Q220" i="13" s="1"/>
  <c r="K220" i="25" s="1"/>
  <c r="L220" i="25" s="1"/>
  <c r="N220" i="25" s="1"/>
  <c r="P51" i="13"/>
  <c r="Q51" i="13" s="1"/>
  <c r="K51" i="25" s="1"/>
  <c r="L51" i="25" s="1"/>
  <c r="N51" i="25" s="1"/>
  <c r="P304" i="13"/>
  <c r="Q304" i="13" s="1"/>
  <c r="K304" i="25" s="1"/>
  <c r="L304" i="25" s="1"/>
  <c r="N304" i="25" s="1"/>
  <c r="P92" i="13"/>
  <c r="Q92" i="13" s="1"/>
  <c r="K92" i="25" s="1"/>
  <c r="L92" i="25" s="1"/>
  <c r="N92" i="25" s="1"/>
  <c r="P284" i="13"/>
  <c r="Q284" i="13" s="1"/>
  <c r="K284" i="25" s="1"/>
  <c r="L284" i="25" s="1"/>
  <c r="N284" i="25" s="1"/>
  <c r="P285" i="13"/>
  <c r="Q285" i="13" s="1"/>
  <c r="K285" i="25" s="1"/>
  <c r="L285" i="25" s="1"/>
  <c r="N285" i="25" s="1"/>
  <c r="P279" i="13"/>
  <c r="Q279" i="13" s="1"/>
  <c r="K279" i="25" s="1"/>
  <c r="L279" i="25" s="1"/>
  <c r="N279" i="25" s="1"/>
  <c r="P114" i="13"/>
  <c r="Q114" i="13" s="1"/>
  <c r="K114" i="25" s="1"/>
  <c r="L114" i="25" s="1"/>
  <c r="N114" i="25" s="1"/>
  <c r="P273" i="13"/>
  <c r="Q273" i="13" s="1"/>
  <c r="K273" i="25" s="1"/>
  <c r="L273" i="25" s="1"/>
  <c r="N273" i="25" s="1"/>
  <c r="P247" i="13"/>
  <c r="Q247" i="13" s="1"/>
  <c r="K247" i="25" s="1"/>
  <c r="L247" i="25" s="1"/>
  <c r="N247" i="25" s="1"/>
  <c r="P159" i="13"/>
  <c r="Q159" i="13" s="1"/>
  <c r="K159" i="25" s="1"/>
  <c r="L159" i="25" s="1"/>
  <c r="N159" i="25" s="1"/>
  <c r="P305" i="13"/>
  <c r="Q305" i="13" s="1"/>
  <c r="K305" i="25" s="1"/>
  <c r="L305" i="25" s="1"/>
  <c r="N305" i="25" s="1"/>
  <c r="P262" i="13"/>
  <c r="Q262" i="13" s="1"/>
  <c r="K262" i="25" s="1"/>
  <c r="L262" i="25" s="1"/>
  <c r="N262" i="25" s="1"/>
  <c r="P78" i="13"/>
  <c r="Q78" i="13" s="1"/>
  <c r="K78" i="25" s="1"/>
  <c r="L78" i="25" s="1"/>
  <c r="N78" i="25" s="1"/>
  <c r="P83" i="13"/>
  <c r="Q83" i="13" s="1"/>
  <c r="K83" i="25" s="1"/>
  <c r="L83" i="25" s="1"/>
  <c r="N83" i="25" s="1"/>
  <c r="P123" i="13"/>
  <c r="Q123" i="13" s="1"/>
  <c r="K123" i="25" s="1"/>
  <c r="L123" i="25" s="1"/>
  <c r="N123" i="25" s="1"/>
  <c r="P209" i="13"/>
  <c r="Q209" i="13" s="1"/>
  <c r="K209" i="25" s="1"/>
  <c r="L209" i="25" s="1"/>
  <c r="N209" i="25" s="1"/>
  <c r="P163" i="13"/>
  <c r="Q163" i="13" s="1"/>
  <c r="K163" i="25" s="1"/>
  <c r="L163" i="25" s="1"/>
  <c r="N163" i="25" s="1"/>
  <c r="P107" i="13"/>
  <c r="Q107" i="13" s="1"/>
  <c r="K107" i="25" s="1"/>
  <c r="L107" i="25" s="1"/>
  <c r="N107" i="25" s="1"/>
  <c r="P187" i="13"/>
  <c r="Q187" i="13" s="1"/>
  <c r="K187" i="25" s="1"/>
  <c r="L187" i="25" s="1"/>
  <c r="N187" i="25" s="1"/>
  <c r="P129" i="13"/>
  <c r="Q129" i="13" s="1"/>
  <c r="K129" i="25" s="1"/>
  <c r="L129" i="25" s="1"/>
  <c r="N129" i="25" s="1"/>
  <c r="P25" i="13"/>
  <c r="Q25" i="13" s="1"/>
  <c r="K25" i="25" s="1"/>
  <c r="L25" i="25" s="1"/>
  <c r="N25" i="25" s="1"/>
  <c r="P96" i="13"/>
  <c r="Q96" i="13" s="1"/>
  <c r="K96" i="25" s="1"/>
  <c r="L96" i="25" s="1"/>
  <c r="N96" i="25" s="1"/>
  <c r="P193" i="13"/>
  <c r="Q193" i="13" s="1"/>
  <c r="K193" i="25" s="1"/>
  <c r="L193" i="25" s="1"/>
  <c r="N193" i="25" s="1"/>
  <c r="P89" i="13"/>
  <c r="Q89" i="13" s="1"/>
  <c r="K89" i="25" s="1"/>
  <c r="L89" i="25" s="1"/>
  <c r="N89" i="25" s="1"/>
  <c r="P75" i="13"/>
  <c r="Q75" i="13" s="1"/>
  <c r="K75" i="25" s="1"/>
  <c r="L75" i="25" s="1"/>
  <c r="N75" i="25" s="1"/>
  <c r="P73" i="13"/>
  <c r="Q73" i="13" s="1"/>
  <c r="K73" i="25" s="1"/>
  <c r="L73" i="25" s="1"/>
  <c r="N73" i="25" s="1"/>
  <c r="P215" i="13"/>
  <c r="Q215" i="13" s="1"/>
  <c r="K215" i="25" s="1"/>
  <c r="L215" i="25" s="1"/>
  <c r="N215" i="25" s="1"/>
  <c r="P264" i="13"/>
  <c r="Q264" i="13" s="1"/>
  <c r="K264" i="25" s="1"/>
  <c r="L264" i="25" s="1"/>
  <c r="N264" i="25" s="1"/>
  <c r="P261" i="13"/>
  <c r="Q261" i="13" s="1"/>
  <c r="K261" i="25" s="1"/>
  <c r="L261" i="25" s="1"/>
  <c r="N261" i="25" s="1"/>
  <c r="P134" i="13"/>
  <c r="Q134" i="13" s="1"/>
  <c r="K134" i="25" s="1"/>
  <c r="L134" i="25" s="1"/>
  <c r="N134" i="25" s="1"/>
  <c r="P178" i="13"/>
  <c r="Q178" i="13" s="1"/>
  <c r="K178" i="25" s="1"/>
  <c r="L178" i="25" s="1"/>
  <c r="N178" i="25" s="1"/>
  <c r="P225" i="13"/>
  <c r="Q225" i="13" s="1"/>
  <c r="K225" i="25" s="1"/>
  <c r="L225" i="25" s="1"/>
  <c r="N225" i="25" s="1"/>
  <c r="P28" i="13"/>
  <c r="Q28" i="13" s="1"/>
  <c r="K28" i="25" s="1"/>
  <c r="L28" i="25" s="1"/>
  <c r="N28" i="25" s="1"/>
  <c r="P307" i="13"/>
  <c r="Q307" i="13" s="1"/>
  <c r="K307" i="25" s="1"/>
  <c r="L307" i="25" s="1"/>
  <c r="N307" i="25" s="1"/>
  <c r="P308" i="13"/>
  <c r="Q308" i="13" s="1"/>
  <c r="K308" i="25" s="1"/>
  <c r="L308" i="25" s="1"/>
  <c r="N308" i="25" s="1"/>
  <c r="P27" i="13"/>
  <c r="Q27" i="13" s="1"/>
  <c r="K27" i="25" s="1"/>
  <c r="L27" i="25" s="1"/>
  <c r="N27" i="25" s="1"/>
  <c r="P30" i="13"/>
  <c r="Q30" i="13" s="1"/>
  <c r="K30" i="25" s="1"/>
  <c r="L30" i="25" s="1"/>
  <c r="N30" i="25" s="1"/>
  <c r="P124" i="13"/>
  <c r="Q124" i="13" s="1"/>
  <c r="K124" i="25" s="1"/>
  <c r="L124" i="25" s="1"/>
  <c r="N124" i="25" s="1"/>
  <c r="P164" i="13"/>
  <c r="Q164" i="13" s="1"/>
  <c r="K164" i="25" s="1"/>
  <c r="L164" i="25" s="1"/>
  <c r="N164" i="25" s="1"/>
  <c r="P16" i="13"/>
  <c r="Q16" i="13" s="1"/>
  <c r="K16" i="25" s="1"/>
  <c r="L16" i="25" s="1"/>
  <c r="N16" i="25" s="1"/>
  <c r="P189" i="13"/>
  <c r="Q189" i="13" s="1"/>
  <c r="K189" i="25" s="1"/>
  <c r="L189" i="25" s="1"/>
  <c r="N189" i="25" s="1"/>
  <c r="P157" i="13"/>
  <c r="Q157" i="13" s="1"/>
  <c r="K157" i="25" s="1"/>
  <c r="L157" i="25" s="1"/>
  <c r="N157" i="25" s="1"/>
  <c r="P202" i="13"/>
  <c r="Q202" i="13" s="1"/>
  <c r="K202" i="25" s="1"/>
  <c r="L202" i="25" s="1"/>
  <c r="N202" i="25" s="1"/>
  <c r="P84" i="13"/>
  <c r="Q84" i="13" s="1"/>
  <c r="K84" i="25" s="1"/>
  <c r="L84" i="25" s="1"/>
  <c r="N84" i="25" s="1"/>
  <c r="P278" i="13"/>
  <c r="Q278" i="13" s="1"/>
  <c r="K278" i="25" s="1"/>
  <c r="L278" i="25" s="1"/>
  <c r="N278" i="25" s="1"/>
  <c r="P63" i="13"/>
  <c r="Q63" i="13" s="1"/>
  <c r="K63" i="25" s="1"/>
  <c r="L63" i="25" s="1"/>
  <c r="N63" i="25" s="1"/>
  <c r="P296" i="13"/>
  <c r="Q296" i="13" s="1"/>
  <c r="K296" i="25" s="1"/>
  <c r="L296" i="25" s="1"/>
  <c r="N296" i="25" s="1"/>
  <c r="P167" i="13"/>
  <c r="Q167" i="13" s="1"/>
  <c r="K167" i="25" s="1"/>
  <c r="L167" i="25" s="1"/>
  <c r="N167" i="25" s="1"/>
  <c r="P99" i="13"/>
  <c r="Q99" i="13" s="1"/>
  <c r="K99" i="25" s="1"/>
  <c r="L99" i="25" s="1"/>
  <c r="N99" i="25" s="1"/>
  <c r="P10" i="13"/>
  <c r="Q10" i="13" s="1"/>
  <c r="K10" i="25" s="1"/>
  <c r="L10" i="25" s="1"/>
  <c r="N10" i="25" s="1"/>
  <c r="P213" i="13"/>
  <c r="Q213" i="13" s="1"/>
  <c r="K213" i="25" s="1"/>
  <c r="L213" i="25" s="1"/>
  <c r="N213" i="25" s="1"/>
  <c r="P311" i="13"/>
  <c r="Q311" i="13" s="1"/>
  <c r="K311" i="25" s="1"/>
  <c r="L311" i="25" s="1"/>
  <c r="N311" i="25" s="1"/>
  <c r="P177" i="13"/>
  <c r="Q177" i="13" s="1"/>
  <c r="K177" i="25" s="1"/>
  <c r="L177" i="25" s="1"/>
  <c r="N177" i="25" s="1"/>
  <c r="P214" i="13"/>
  <c r="Q214" i="13" s="1"/>
  <c r="K214" i="25" s="1"/>
  <c r="L214" i="25" s="1"/>
  <c r="N214" i="25" s="1"/>
  <c r="P94" i="13"/>
  <c r="Q94" i="13" s="1"/>
  <c r="K94" i="25" s="1"/>
  <c r="L94" i="25" s="1"/>
  <c r="N94" i="25" s="1"/>
  <c r="P137" i="13"/>
  <c r="Q137" i="13" s="1"/>
  <c r="K137" i="25" s="1"/>
  <c r="L137" i="25" s="1"/>
  <c r="N137" i="25" s="1"/>
  <c r="P212" i="13"/>
  <c r="Q212" i="13" s="1"/>
  <c r="P162" i="13"/>
  <c r="Q162" i="13" s="1"/>
  <c r="K162" i="25" s="1"/>
  <c r="L162" i="25" s="1"/>
  <c r="N162" i="25" s="1"/>
  <c r="P115" i="13"/>
  <c r="Q115" i="13" s="1"/>
  <c r="K115" i="25" s="1"/>
  <c r="L115" i="25" s="1"/>
  <c r="N115" i="25" s="1"/>
  <c r="P40" i="13"/>
  <c r="Q40" i="13" s="1"/>
  <c r="K40" i="25" s="1"/>
  <c r="P86" i="13"/>
  <c r="Q86" i="13" s="1"/>
  <c r="K86" i="25" s="1"/>
  <c r="L86" i="25" s="1"/>
  <c r="N86" i="25" s="1"/>
  <c r="P18" i="13"/>
  <c r="Q18" i="13" s="1"/>
  <c r="K18" i="25" s="1"/>
  <c r="L18" i="25" s="1"/>
  <c r="N18" i="25" s="1"/>
  <c r="P141" i="13"/>
  <c r="Q141" i="13" s="1"/>
  <c r="K141" i="25" s="1"/>
  <c r="L141" i="25" s="1"/>
  <c r="N141" i="25" s="1"/>
  <c r="P223" i="13"/>
  <c r="Q223" i="13" s="1"/>
  <c r="K223" i="25" s="1"/>
  <c r="L223" i="25" s="1"/>
  <c r="N223" i="25" s="1"/>
  <c r="P313" i="13"/>
  <c r="Q313" i="13" s="1"/>
  <c r="K313" i="25" s="1"/>
  <c r="L313" i="25" s="1"/>
  <c r="N313" i="25" s="1"/>
  <c r="P66" i="13"/>
  <c r="Q66" i="13" s="1"/>
  <c r="K66" i="25" s="1"/>
  <c r="L66" i="25" s="1"/>
  <c r="N66" i="25" s="1"/>
  <c r="P8" i="13"/>
  <c r="Q8" i="13" s="1"/>
  <c r="K8" i="25" s="1"/>
  <c r="L8" i="25" s="1"/>
  <c r="N8" i="25" s="1"/>
  <c r="P26" i="13"/>
  <c r="Q26" i="13" s="1"/>
  <c r="K26" i="25" s="1"/>
  <c r="L26" i="25" s="1"/>
  <c r="N26" i="25" s="1"/>
  <c r="P196" i="13"/>
  <c r="Q196" i="13" s="1"/>
  <c r="K196" i="25" s="1"/>
  <c r="L196" i="25" s="1"/>
  <c r="N196" i="25" s="1"/>
  <c r="P290" i="13"/>
  <c r="Q290" i="13" s="1"/>
  <c r="K290" i="25" s="1"/>
  <c r="L290" i="25" s="1"/>
  <c r="N290" i="25" s="1"/>
  <c r="P95" i="13"/>
  <c r="Q95" i="13" s="1"/>
  <c r="K95" i="25" s="1"/>
  <c r="L95" i="25" s="1"/>
  <c r="N95" i="25" s="1"/>
  <c r="P147" i="13"/>
  <c r="Q147" i="13" s="1"/>
  <c r="K147" i="25" s="1"/>
  <c r="L147" i="25" s="1"/>
  <c r="N147" i="25" s="1"/>
  <c r="P36" i="13"/>
  <c r="Q36" i="13" s="1"/>
  <c r="K36" i="25" s="1"/>
  <c r="L36" i="25" s="1"/>
  <c r="N36" i="25" s="1"/>
  <c r="P71" i="13"/>
  <c r="Q71" i="13" s="1"/>
  <c r="K71" i="25" s="1"/>
  <c r="L71" i="25" s="1"/>
  <c r="N71" i="25" s="1"/>
  <c r="P76" i="13"/>
  <c r="Q76" i="13" s="1"/>
  <c r="K76" i="25" s="1"/>
  <c r="L76" i="25" s="1"/>
  <c r="N76" i="25" s="1"/>
  <c r="P53" i="13"/>
  <c r="Q53" i="13" s="1"/>
  <c r="K53" i="25" s="1"/>
  <c r="L53" i="25" s="1"/>
  <c r="N53" i="25" s="1"/>
  <c r="P310" i="13"/>
  <c r="Q310" i="13" s="1"/>
  <c r="K310" i="25" s="1"/>
  <c r="L310" i="25" s="1"/>
  <c r="N310" i="25" s="1"/>
  <c r="P194" i="13"/>
  <c r="Q194" i="13" s="1"/>
  <c r="K194" i="25" s="1"/>
  <c r="L194" i="25" s="1"/>
  <c r="N194" i="25" s="1"/>
  <c r="P230" i="13"/>
  <c r="Q230" i="13" s="1"/>
  <c r="K230" i="25" s="1"/>
  <c r="L230" i="25" s="1"/>
  <c r="N230" i="25" s="1"/>
  <c r="P216" i="13"/>
  <c r="Q216" i="13" s="1"/>
  <c r="K216" i="25" s="1"/>
  <c r="L216" i="25" s="1"/>
  <c r="N216" i="25" s="1"/>
  <c r="P128" i="13"/>
  <c r="Q128" i="13" s="1"/>
  <c r="K128" i="25" s="1"/>
  <c r="L128" i="25" s="1"/>
  <c r="N128" i="25" s="1"/>
  <c r="P132" i="13"/>
  <c r="Q132" i="13" s="1"/>
  <c r="K132" i="25" s="1"/>
  <c r="L132" i="25" s="1"/>
  <c r="N132" i="25" s="1"/>
  <c r="P143" i="13"/>
  <c r="Q143" i="13" s="1"/>
  <c r="K143" i="25" s="1"/>
  <c r="L143" i="25" s="1"/>
  <c r="N143" i="25" s="1"/>
  <c r="P224" i="13"/>
  <c r="Q224" i="13" s="1"/>
  <c r="K224" i="25" s="1"/>
  <c r="L224" i="25" s="1"/>
  <c r="N224" i="25" s="1"/>
  <c r="P98" i="13"/>
  <c r="Q98" i="13" s="1"/>
  <c r="K98" i="25" s="1"/>
  <c r="L98" i="25" s="1"/>
  <c r="N98" i="25" s="1"/>
  <c r="P72" i="13"/>
  <c r="Q72" i="13" s="1"/>
  <c r="K72" i="25" s="1"/>
  <c r="L72" i="25" s="1"/>
  <c r="N72" i="25" s="1"/>
  <c r="P237" i="13"/>
  <c r="Q237" i="13" s="1"/>
  <c r="K237" i="25" s="1"/>
  <c r="L237" i="25" s="1"/>
  <c r="N237" i="25" s="1"/>
  <c r="K5" i="12"/>
  <c r="P109" i="13"/>
  <c r="Q109" i="13" s="1"/>
  <c r="K109" i="25" s="1"/>
  <c r="L109" i="25" s="1"/>
  <c r="N109" i="25" s="1"/>
  <c r="P31" i="13"/>
  <c r="Q31" i="13" s="1"/>
  <c r="K31" i="25" s="1"/>
  <c r="L31" i="25" s="1"/>
  <c r="N31" i="25" s="1"/>
  <c r="P200" i="13"/>
  <c r="Q200" i="13" s="1"/>
  <c r="K200" i="25" s="1"/>
  <c r="L200" i="25" s="1"/>
  <c r="N200" i="25" s="1"/>
  <c r="P263" i="13"/>
  <c r="Q263" i="13" s="1"/>
  <c r="K263" i="25" s="1"/>
  <c r="L263" i="25" s="1"/>
  <c r="N263" i="25" s="1"/>
  <c r="P172" i="13"/>
  <c r="Q172" i="13" s="1"/>
  <c r="K172" i="25" s="1"/>
  <c r="L172" i="25" s="1"/>
  <c r="N172" i="25" s="1"/>
  <c r="P156" i="13"/>
  <c r="Q156" i="13" s="1"/>
  <c r="K156" i="25" s="1"/>
  <c r="L156" i="25" s="1"/>
  <c r="N156" i="25" s="1"/>
  <c r="P206" i="13"/>
  <c r="Q206" i="13" s="1"/>
  <c r="K206" i="25" s="1"/>
  <c r="L206" i="25" s="1"/>
  <c r="N206" i="25" s="1"/>
  <c r="L40" i="25"/>
  <c r="N40" i="25" s="1"/>
  <c r="P148" i="13"/>
  <c r="Q148" i="13" s="1"/>
  <c r="K148" i="25" s="1"/>
  <c r="L148" i="25" s="1"/>
  <c r="N148" i="25" s="1"/>
  <c r="P120" i="13"/>
  <c r="Q120" i="13" s="1"/>
  <c r="K120" i="25" s="1"/>
  <c r="L120" i="25" s="1"/>
  <c r="N120" i="25" s="1"/>
  <c r="P150" i="13"/>
  <c r="Q150" i="13" s="1"/>
  <c r="K150" i="25" s="1"/>
  <c r="L150" i="25" s="1"/>
  <c r="N150" i="25" s="1"/>
  <c r="P258" i="13"/>
  <c r="Q258" i="13" s="1"/>
  <c r="K258" i="25" s="1"/>
  <c r="L258" i="25" s="1"/>
  <c r="N258" i="25" s="1"/>
  <c r="P54" i="13"/>
  <c r="Q54" i="13" s="1"/>
  <c r="K54" i="25" s="1"/>
  <c r="L54" i="25" s="1"/>
  <c r="N54" i="25" s="1"/>
  <c r="P226" i="13"/>
  <c r="Q226" i="13" s="1"/>
  <c r="K226" i="25" s="1"/>
  <c r="L226" i="25" s="1"/>
  <c r="N226" i="25" s="1"/>
  <c r="P69" i="13"/>
  <c r="Q69" i="13" s="1"/>
  <c r="K69" i="25" s="1"/>
  <c r="L69" i="25" s="1"/>
  <c r="N69" i="25" s="1"/>
  <c r="P43" i="13"/>
  <c r="Q43" i="13" s="1"/>
  <c r="K43" i="25" s="1"/>
  <c r="L43" i="25" s="1"/>
  <c r="N43" i="25" s="1"/>
  <c r="P182" i="13"/>
  <c r="Q182" i="13" s="1"/>
  <c r="K182" i="25" s="1"/>
  <c r="L182" i="25" s="1"/>
  <c r="N182" i="25" s="1"/>
  <c r="P217" i="13"/>
  <c r="Q217" i="13" s="1"/>
  <c r="K217" i="25" s="1"/>
  <c r="L217" i="25" s="1"/>
  <c r="N217" i="25" s="1"/>
  <c r="P171" i="13"/>
  <c r="Q171" i="13" s="1"/>
  <c r="K171" i="25" s="1"/>
  <c r="L171" i="25" s="1"/>
  <c r="N171" i="25" s="1"/>
  <c r="P312" i="13"/>
  <c r="Q312" i="13" s="1"/>
  <c r="K312" i="25" s="1"/>
  <c r="L312" i="25" s="1"/>
  <c r="N312" i="25" s="1"/>
  <c r="P301" i="13"/>
  <c r="Q301" i="13" s="1"/>
  <c r="K301" i="25" s="1"/>
  <c r="L301" i="25" s="1"/>
  <c r="N301" i="25" s="1"/>
  <c r="P142" i="13"/>
  <c r="Q142" i="13" s="1"/>
  <c r="K142" i="25" s="1"/>
  <c r="L142" i="25" s="1"/>
  <c r="N142" i="25" s="1"/>
  <c r="P281" i="13"/>
  <c r="Q281" i="13" s="1"/>
  <c r="K281" i="25" s="1"/>
  <c r="L281" i="25" s="1"/>
  <c r="N281" i="25" s="1"/>
  <c r="P62" i="13"/>
  <c r="Q62" i="13" s="1"/>
  <c r="K62" i="25" s="1"/>
  <c r="L62" i="25" s="1"/>
  <c r="N62" i="25" s="1"/>
  <c r="P277" i="13"/>
  <c r="Q277" i="13" s="1"/>
  <c r="K277" i="25" s="1"/>
  <c r="L277" i="25" s="1"/>
  <c r="N277" i="25" s="1"/>
  <c r="P309" i="13"/>
  <c r="Q309" i="13" s="1"/>
  <c r="K309" i="25" s="1"/>
  <c r="L309" i="25" s="1"/>
  <c r="N309" i="25" s="1"/>
  <c r="P240" i="13"/>
  <c r="Q240" i="13" s="1"/>
  <c r="K240" i="25" s="1"/>
  <c r="L240" i="25" s="1"/>
  <c r="N240" i="25" s="1"/>
  <c r="P168" i="13"/>
  <c r="Q168" i="13" s="1"/>
  <c r="K168" i="25" s="1"/>
  <c r="L168" i="25" s="1"/>
  <c r="N168" i="25" s="1"/>
  <c r="P110" i="13"/>
  <c r="Q110" i="13" s="1"/>
  <c r="K110" i="25" s="1"/>
  <c r="L110" i="25" s="1"/>
  <c r="N110" i="25" s="1"/>
  <c r="P283" i="13"/>
  <c r="Q283" i="13" s="1"/>
  <c r="K283" i="25" s="1"/>
  <c r="L283" i="25" s="1"/>
  <c r="N283" i="25" s="1"/>
  <c r="P204" i="13"/>
  <c r="Q204" i="13" s="1"/>
  <c r="K204" i="25" s="1"/>
  <c r="L204" i="25" s="1"/>
  <c r="N204" i="25" s="1"/>
  <c r="P250" i="13"/>
  <c r="Q250" i="13" s="1"/>
  <c r="K250" i="25" s="1"/>
  <c r="L250" i="25" s="1"/>
  <c r="N250" i="25" s="1"/>
  <c r="P235" i="13"/>
  <c r="Q235" i="13" s="1"/>
  <c r="K235" i="25" s="1"/>
  <c r="L235" i="25" s="1"/>
  <c r="N235" i="25" s="1"/>
  <c r="P186" i="13"/>
  <c r="Q186" i="13" s="1"/>
  <c r="K186" i="25" s="1"/>
  <c r="L186" i="25" s="1"/>
  <c r="N186" i="25" s="1"/>
  <c r="P292" i="13"/>
  <c r="Q292" i="13" s="1"/>
  <c r="K292" i="25" s="1"/>
  <c r="L292" i="25" s="1"/>
  <c r="N292" i="25" s="1"/>
  <c r="P55" i="13"/>
  <c r="Q55" i="13" s="1"/>
  <c r="K55" i="25" s="1"/>
  <c r="L55" i="25" s="1"/>
  <c r="N55" i="25" s="1"/>
  <c r="P286" i="13"/>
  <c r="Q286" i="13" s="1"/>
  <c r="K286" i="25" s="1"/>
  <c r="L286" i="25" s="1"/>
  <c r="N286" i="25" s="1"/>
  <c r="P70" i="13"/>
  <c r="Q70" i="13" s="1"/>
  <c r="K70" i="25" s="1"/>
  <c r="L70" i="25" s="1"/>
  <c r="N70" i="25" s="1"/>
  <c r="K212" i="25" l="1"/>
  <c r="L212" i="25" s="1"/>
  <c r="N212" i="25" s="1"/>
  <c r="E39" i="48"/>
  <c r="F39" i="48" s="1"/>
  <c r="F43" i="48" s="1"/>
  <c r="F54" i="48" s="1"/>
  <c r="R232" i="13"/>
  <c r="S232" i="13" s="1"/>
  <c r="R133" i="13"/>
  <c r="S133" i="13" s="1"/>
  <c r="R45" i="13"/>
  <c r="S45" i="13" s="1"/>
  <c r="R176" i="13"/>
  <c r="S176" i="13" s="1"/>
  <c r="R145" i="13"/>
  <c r="S145" i="13" s="1"/>
  <c r="R241" i="13"/>
  <c r="S241" i="13" s="1"/>
  <c r="R97" i="13"/>
  <c r="S97" i="13" s="1"/>
  <c r="R42" i="13"/>
  <c r="S42" i="13" s="1"/>
  <c r="R174" i="13"/>
  <c r="S174" i="13" s="1"/>
  <c r="R302" i="13"/>
  <c r="S302" i="13" s="1"/>
  <c r="R233" i="13"/>
  <c r="S233" i="13" s="1"/>
  <c r="R294" i="13"/>
  <c r="S294" i="13" s="1"/>
  <c r="R194" i="13"/>
  <c r="S194" i="13" s="1"/>
  <c r="R141" i="13"/>
  <c r="S141" i="13" s="1"/>
  <c r="R40" i="13"/>
  <c r="S40" i="13" s="1"/>
  <c r="R308" i="13"/>
  <c r="S308" i="13" s="1"/>
  <c r="R265" i="13"/>
  <c r="S265" i="13" s="1"/>
  <c r="R237" i="13"/>
  <c r="S237" i="13" s="1"/>
  <c r="R32" i="13"/>
  <c r="S32" i="13" s="1"/>
  <c r="R207" i="13"/>
  <c r="S207" i="13" s="1"/>
  <c r="R101" i="13"/>
  <c r="S101" i="13" s="1"/>
  <c r="R312" i="13"/>
  <c r="S312" i="13" s="1"/>
  <c r="R196" i="13"/>
  <c r="S196" i="13" s="1"/>
  <c r="R167" i="13"/>
  <c r="S167" i="13" s="1"/>
  <c r="R74" i="13"/>
  <c r="S74" i="13" s="1"/>
  <c r="R234" i="13"/>
  <c r="S234" i="13" s="1"/>
  <c r="R206" i="13"/>
  <c r="S206" i="13" s="1"/>
  <c r="R177" i="13"/>
  <c r="S177" i="13" s="1"/>
  <c r="R84" i="13"/>
  <c r="S84" i="13" s="1"/>
  <c r="R129" i="13"/>
  <c r="S129" i="13" s="1"/>
  <c r="R83" i="13"/>
  <c r="S83" i="13" s="1"/>
  <c r="R136" i="13"/>
  <c r="S136" i="13" s="1"/>
  <c r="R41" i="13"/>
  <c r="S41" i="13" s="1"/>
  <c r="R186" i="13"/>
  <c r="S186" i="13" s="1"/>
  <c r="R313" i="13"/>
  <c r="S313" i="13" s="1"/>
  <c r="R123" i="13"/>
  <c r="S123" i="13" s="1"/>
  <c r="R298" i="13"/>
  <c r="S298" i="13" s="1"/>
  <c r="R291" i="13"/>
  <c r="S291" i="13" s="1"/>
  <c r="R171" i="13"/>
  <c r="S171" i="13" s="1"/>
  <c r="R235" i="13"/>
  <c r="S235" i="13" s="1"/>
  <c r="R283" i="13"/>
  <c r="S283" i="13" s="1"/>
  <c r="R240" i="13"/>
  <c r="S240" i="13" s="1"/>
  <c r="R62" i="13"/>
  <c r="S62" i="13" s="1"/>
  <c r="R69" i="13"/>
  <c r="S69" i="13" s="1"/>
  <c r="R94" i="13"/>
  <c r="S94" i="13" s="1"/>
  <c r="R214" i="13"/>
  <c r="S214" i="13" s="1"/>
  <c r="R311" i="13"/>
  <c r="S311" i="13" s="1"/>
  <c r="R296" i="13"/>
  <c r="S296" i="13" s="1"/>
  <c r="R187" i="13"/>
  <c r="S187" i="13" s="1"/>
  <c r="R105" i="13"/>
  <c r="S105" i="13" s="1"/>
  <c r="R222" i="13"/>
  <c r="S222" i="13" s="1"/>
  <c r="R12" i="13"/>
  <c r="S12" i="13" s="1"/>
  <c r="R139" i="13"/>
  <c r="S139" i="13" s="1"/>
  <c r="R60" i="13"/>
  <c r="S60" i="13" s="1"/>
  <c r="R14" i="13"/>
  <c r="S14" i="13" s="1"/>
  <c r="R156" i="13"/>
  <c r="S156" i="13" s="1"/>
  <c r="R230" i="13"/>
  <c r="S230" i="13" s="1"/>
  <c r="R223" i="13"/>
  <c r="S223" i="13" s="1"/>
  <c r="R115" i="13"/>
  <c r="S115" i="13" s="1"/>
  <c r="R137" i="13"/>
  <c r="S137" i="13" s="1"/>
  <c r="R27" i="13"/>
  <c r="S27" i="13" s="1"/>
  <c r="R100" i="13"/>
  <c r="S100" i="13" s="1"/>
  <c r="R34" i="13"/>
  <c r="S34" i="13" s="1"/>
  <c r="R104" i="13"/>
  <c r="S104" i="13" s="1"/>
  <c r="R63" i="13"/>
  <c r="S63" i="13" s="1"/>
  <c r="R75" i="13"/>
  <c r="S75" i="13" s="1"/>
  <c r="R165" i="13"/>
  <c r="S165" i="13" s="1"/>
  <c r="R180" i="13"/>
  <c r="S180" i="13" s="1"/>
  <c r="R198" i="13"/>
  <c r="S198" i="13" s="1"/>
  <c r="R166" i="13"/>
  <c r="S166" i="13" s="1"/>
  <c r="R38" i="13"/>
  <c r="S38" i="13" s="1"/>
  <c r="R219" i="13"/>
  <c r="S219" i="13" s="1"/>
  <c r="R55" i="13"/>
  <c r="S55" i="13" s="1"/>
  <c r="R142" i="13"/>
  <c r="S142" i="13" s="1"/>
  <c r="R182" i="13"/>
  <c r="S182" i="13" s="1"/>
  <c r="R72" i="13"/>
  <c r="S72" i="13" s="1"/>
  <c r="R224" i="13"/>
  <c r="S224" i="13" s="1"/>
  <c r="R36" i="13"/>
  <c r="S36" i="13" s="1"/>
  <c r="R8" i="13"/>
  <c r="S8" i="13" s="1"/>
  <c r="R213" i="13"/>
  <c r="S213" i="13" s="1"/>
  <c r="R124" i="13"/>
  <c r="S124" i="13" s="1"/>
  <c r="R193" i="13"/>
  <c r="S193" i="13" s="1"/>
  <c r="R163" i="13"/>
  <c r="S163" i="13" s="1"/>
  <c r="R304" i="13"/>
  <c r="S304" i="13" s="1"/>
  <c r="R220" i="13"/>
  <c r="S220" i="13" s="1"/>
  <c r="R108" i="13"/>
  <c r="S108" i="13" s="1"/>
  <c r="R13" i="13"/>
  <c r="S13" i="13" s="1"/>
  <c r="R173" i="13"/>
  <c r="S173" i="13" s="1"/>
  <c r="R239" i="13"/>
  <c r="S239" i="13" s="1"/>
  <c r="R218" i="13"/>
  <c r="S218" i="13" s="1"/>
  <c r="R289" i="13"/>
  <c r="S289" i="13" s="1"/>
  <c r="R236" i="13"/>
  <c r="S236" i="13" s="1"/>
  <c r="R33" i="13"/>
  <c r="S33" i="13" s="1"/>
  <c r="R257" i="13"/>
  <c r="S257" i="13" s="1"/>
  <c r="R288" i="13"/>
  <c r="S288" i="13" s="1"/>
  <c r="R57" i="13"/>
  <c r="S57" i="13" s="1"/>
  <c r="R195" i="13"/>
  <c r="S195" i="13" s="1"/>
  <c r="R90" i="13"/>
  <c r="S90" i="13" s="1"/>
  <c r="R271" i="13"/>
  <c r="S271" i="13" s="1"/>
  <c r="R138" i="13"/>
  <c r="S138" i="13" s="1"/>
  <c r="R259" i="13"/>
  <c r="S259" i="13" s="1"/>
  <c r="R287" i="13"/>
  <c r="S287" i="13" s="1"/>
  <c r="R306" i="13"/>
  <c r="S306" i="13" s="1"/>
  <c r="R59" i="13"/>
  <c r="S59" i="13" s="1"/>
  <c r="R85" i="13"/>
  <c r="S85" i="13" s="1"/>
  <c r="R50" i="13"/>
  <c r="S50" i="13" s="1"/>
  <c r="R153" i="13"/>
  <c r="S153" i="13" s="1"/>
  <c r="R135" i="13"/>
  <c r="S135" i="13" s="1"/>
  <c r="R21" i="13"/>
  <c r="S21" i="13" s="1"/>
  <c r="R117" i="13"/>
  <c r="S117" i="13" s="1"/>
  <c r="R79" i="13"/>
  <c r="S79" i="13" s="1"/>
  <c r="R120" i="13"/>
  <c r="S120" i="13" s="1"/>
  <c r="R200" i="13"/>
  <c r="S200" i="13" s="1"/>
  <c r="R143" i="13"/>
  <c r="S143" i="13" s="1"/>
  <c r="R10" i="13"/>
  <c r="S10" i="13" s="1"/>
  <c r="R157" i="13"/>
  <c r="S157" i="13" s="1"/>
  <c r="R164" i="13"/>
  <c r="S164" i="13" s="1"/>
  <c r="R178" i="13"/>
  <c r="S178" i="13" s="1"/>
  <c r="R96" i="13"/>
  <c r="S96" i="13" s="1"/>
  <c r="R78" i="13"/>
  <c r="S78" i="13" s="1"/>
  <c r="R279" i="13"/>
  <c r="S279" i="13" s="1"/>
  <c r="R92" i="13"/>
  <c r="S92" i="13" s="1"/>
  <c r="R51" i="13"/>
  <c r="S51" i="13" s="1"/>
  <c r="R46" i="13"/>
  <c r="S46" i="13" s="1"/>
  <c r="R270" i="13"/>
  <c r="S270" i="13" s="1"/>
  <c r="R52" i="13"/>
  <c r="S52" i="13" s="1"/>
  <c r="R67" i="13"/>
  <c r="S67" i="13" s="1"/>
  <c r="R238" i="13"/>
  <c r="S238" i="13" s="1"/>
  <c r="R267" i="13"/>
  <c r="S267" i="13" s="1"/>
  <c r="R243" i="13"/>
  <c r="S243" i="13" s="1"/>
  <c r="R199" i="13"/>
  <c r="S199" i="13" s="1"/>
  <c r="R184" i="13"/>
  <c r="S184" i="13" s="1"/>
  <c r="R93" i="13"/>
  <c r="S93" i="13" s="1"/>
  <c r="R37" i="13"/>
  <c r="S37" i="13" s="1"/>
  <c r="R39" i="13"/>
  <c r="S39" i="13" s="1"/>
  <c r="R192" i="13"/>
  <c r="S192" i="13" s="1"/>
  <c r="R80" i="13"/>
  <c r="S80" i="13" s="1"/>
  <c r="R152" i="13"/>
  <c r="S152" i="13" s="1"/>
  <c r="R183" i="13"/>
  <c r="S183" i="13" s="1"/>
  <c r="R88" i="13"/>
  <c r="S88" i="13" s="1"/>
  <c r="R260" i="13"/>
  <c r="S260" i="13" s="1"/>
  <c r="R15" i="13"/>
  <c r="S15" i="13" s="1"/>
  <c r="R269" i="13"/>
  <c r="S269" i="13" s="1"/>
  <c r="R228" i="13"/>
  <c r="S228" i="13" s="1"/>
  <c r="R188" i="13"/>
  <c r="S188" i="13" s="1"/>
  <c r="R118" i="13"/>
  <c r="S118" i="13" s="1"/>
  <c r="R106" i="13"/>
  <c r="S106" i="13" s="1"/>
  <c r="R11" i="13"/>
  <c r="S11" i="13" s="1"/>
  <c r="R126" i="13"/>
  <c r="S126" i="13" s="1"/>
  <c r="R286" i="13"/>
  <c r="S286" i="13" s="1"/>
  <c r="R292" i="13"/>
  <c r="S292" i="13" s="1"/>
  <c r="R204" i="13"/>
  <c r="S204" i="13" s="1"/>
  <c r="R110" i="13"/>
  <c r="S110" i="13" s="1"/>
  <c r="R277" i="13"/>
  <c r="S277" i="13" s="1"/>
  <c r="R281" i="13"/>
  <c r="S281" i="13" s="1"/>
  <c r="R301" i="13"/>
  <c r="S301" i="13" s="1"/>
  <c r="R54" i="13"/>
  <c r="S54" i="13" s="1"/>
  <c r="R258" i="13"/>
  <c r="S258" i="13" s="1"/>
  <c r="R150" i="13"/>
  <c r="S150" i="13" s="1"/>
  <c r="R148" i="13"/>
  <c r="S148" i="13" s="1"/>
  <c r="R31" i="13"/>
  <c r="S31" i="13" s="1"/>
  <c r="R132" i="13"/>
  <c r="S132" i="13" s="1"/>
  <c r="R216" i="13"/>
  <c r="S216" i="13" s="1"/>
  <c r="R53" i="13"/>
  <c r="S53" i="13" s="1"/>
  <c r="R76" i="13"/>
  <c r="S76" i="13" s="1"/>
  <c r="R95" i="13"/>
  <c r="S95" i="13" s="1"/>
  <c r="R86" i="13"/>
  <c r="S86" i="13" s="1"/>
  <c r="R212" i="13"/>
  <c r="S212" i="13" s="1"/>
  <c r="R99" i="13"/>
  <c r="S99" i="13" s="1"/>
  <c r="R278" i="13"/>
  <c r="S278" i="13" s="1"/>
  <c r="R16" i="13"/>
  <c r="S16" i="13" s="1"/>
  <c r="R307" i="13"/>
  <c r="S307" i="13" s="1"/>
  <c r="R225" i="13"/>
  <c r="S225" i="13" s="1"/>
  <c r="R134" i="13"/>
  <c r="S134" i="13" s="1"/>
  <c r="R264" i="13"/>
  <c r="S264" i="13" s="1"/>
  <c r="R73" i="13"/>
  <c r="S73" i="13" s="1"/>
  <c r="R89" i="13"/>
  <c r="S89" i="13" s="1"/>
  <c r="R262" i="13"/>
  <c r="S262" i="13" s="1"/>
  <c r="R159" i="13"/>
  <c r="S159" i="13" s="1"/>
  <c r="R273" i="13"/>
  <c r="S273" i="13" s="1"/>
  <c r="R284" i="13"/>
  <c r="S284" i="13" s="1"/>
  <c r="R205" i="13"/>
  <c r="S205" i="13" s="1"/>
  <c r="R303" i="13"/>
  <c r="S303" i="13" s="1"/>
  <c r="R35" i="13"/>
  <c r="S35" i="13" s="1"/>
  <c r="R266" i="13"/>
  <c r="S266" i="13" s="1"/>
  <c r="R280" i="13"/>
  <c r="S280" i="13" s="1"/>
  <c r="R229" i="13"/>
  <c r="S229" i="13" s="1"/>
  <c r="R29" i="13"/>
  <c r="S29" i="13" s="1"/>
  <c r="R23" i="13"/>
  <c r="S23" i="13" s="1"/>
  <c r="R175" i="13"/>
  <c r="S175" i="13" s="1"/>
  <c r="R300" i="13"/>
  <c r="S300" i="13" s="1"/>
  <c r="R119" i="13"/>
  <c r="S119" i="13" s="1"/>
  <c r="R61" i="13"/>
  <c r="S61" i="13" s="1"/>
  <c r="R111" i="13"/>
  <c r="S111" i="13" s="1"/>
  <c r="R149" i="13"/>
  <c r="S149" i="13" s="1"/>
  <c r="R121" i="13"/>
  <c r="S121" i="13" s="1"/>
  <c r="O6" i="13"/>
  <c r="N315" i="13"/>
  <c r="R185" i="13"/>
  <c r="S185" i="13" s="1"/>
  <c r="R19" i="13"/>
  <c r="S19" i="13" s="1"/>
  <c r="R314" i="13"/>
  <c r="S314" i="13" s="1"/>
  <c r="R251" i="13"/>
  <c r="S251" i="13" s="1"/>
  <c r="R170" i="13"/>
  <c r="S170" i="13" s="1"/>
  <c r="R210" i="13"/>
  <c r="S210" i="13" s="1"/>
  <c r="R56" i="13"/>
  <c r="S56" i="13" s="1"/>
  <c r="R130" i="13"/>
  <c r="S130" i="13" s="1"/>
  <c r="R252" i="13"/>
  <c r="S252" i="13" s="1"/>
  <c r="R91" i="13"/>
  <c r="S91" i="13" s="1"/>
  <c r="R151" i="13"/>
  <c r="S151" i="13" s="1"/>
  <c r="R190" i="13"/>
  <c r="S190" i="13" s="1"/>
  <c r="R221" i="13"/>
  <c r="S221" i="13" s="1"/>
  <c r="R44" i="13"/>
  <c r="S44" i="13" s="1"/>
  <c r="R22" i="13"/>
  <c r="S22" i="13" s="1"/>
  <c r="R48" i="13"/>
  <c r="S48" i="13" s="1"/>
  <c r="R24" i="13"/>
  <c r="S24" i="13" s="1"/>
  <c r="R231" i="13"/>
  <c r="S231" i="13" s="1"/>
  <c r="R154" i="13"/>
  <c r="S154" i="13" s="1"/>
  <c r="R81" i="13"/>
  <c r="S81" i="13" s="1"/>
  <c r="R276" i="13"/>
  <c r="S276" i="13" s="1"/>
  <c r="R116" i="13"/>
  <c r="S116" i="13" s="1"/>
  <c r="R82" i="13"/>
  <c r="S82" i="13" s="1"/>
  <c r="R87" i="13"/>
  <c r="S87" i="13" s="1"/>
  <c r="R125" i="13"/>
  <c r="S125" i="13" s="1"/>
  <c r="R20" i="13"/>
  <c r="S20" i="13" s="1"/>
  <c r="R268" i="13"/>
  <c r="S268" i="13" s="1"/>
  <c r="R297" i="13"/>
  <c r="S297" i="13" s="1"/>
  <c r="R158" i="13"/>
  <c r="S158" i="13" s="1"/>
  <c r="R146" i="13"/>
  <c r="S146" i="13" s="1"/>
  <c r="R140" i="13"/>
  <c r="S140" i="13" s="1"/>
  <c r="R9" i="13"/>
  <c r="S9" i="13" s="1"/>
  <c r="R246" i="13"/>
  <c r="S246" i="13" s="1"/>
  <c r="R127" i="13"/>
  <c r="S127" i="13" s="1"/>
  <c r="J6" i="25"/>
  <c r="J314" i="12"/>
  <c r="R70" i="13"/>
  <c r="S70" i="13" s="1"/>
  <c r="R250" i="13"/>
  <c r="S250" i="13" s="1"/>
  <c r="R168" i="13"/>
  <c r="S168" i="13" s="1"/>
  <c r="R309" i="13"/>
  <c r="S309" i="13" s="1"/>
  <c r="R217" i="13"/>
  <c r="S217" i="13" s="1"/>
  <c r="R43" i="13"/>
  <c r="S43" i="13" s="1"/>
  <c r="R226" i="13"/>
  <c r="S226" i="13" s="1"/>
  <c r="R172" i="13"/>
  <c r="S172" i="13" s="1"/>
  <c r="R263" i="13"/>
  <c r="S263" i="13" s="1"/>
  <c r="R109" i="13"/>
  <c r="S109" i="13" s="1"/>
  <c r="R98" i="13"/>
  <c r="S98" i="13" s="1"/>
  <c r="R128" i="13"/>
  <c r="S128" i="13" s="1"/>
  <c r="R310" i="13"/>
  <c r="S310" i="13" s="1"/>
  <c r="R71" i="13"/>
  <c r="S71" i="13" s="1"/>
  <c r="R147" i="13"/>
  <c r="S147" i="13" s="1"/>
  <c r="R290" i="13"/>
  <c r="S290" i="13" s="1"/>
  <c r="R26" i="13"/>
  <c r="S26" i="13" s="1"/>
  <c r="R66" i="13"/>
  <c r="S66" i="13" s="1"/>
  <c r="R18" i="13"/>
  <c r="S18" i="13" s="1"/>
  <c r="R162" i="13"/>
  <c r="S162" i="13" s="1"/>
  <c r="R202" i="13"/>
  <c r="S202" i="13" s="1"/>
  <c r="R189" i="13"/>
  <c r="S189" i="13" s="1"/>
  <c r="R30" i="13"/>
  <c r="S30" i="13" s="1"/>
  <c r="R28" i="13"/>
  <c r="S28" i="13" s="1"/>
  <c r="R261" i="13"/>
  <c r="S261" i="13" s="1"/>
  <c r="R215" i="13"/>
  <c r="S215" i="13" s="1"/>
  <c r="R25" i="13"/>
  <c r="S25" i="13" s="1"/>
  <c r="R107" i="13"/>
  <c r="S107" i="13" s="1"/>
  <c r="R209" i="13"/>
  <c r="S209" i="13" s="1"/>
  <c r="R305" i="13"/>
  <c r="S305" i="13" s="1"/>
  <c r="R247" i="13"/>
  <c r="S247" i="13" s="1"/>
  <c r="R114" i="13"/>
  <c r="S114" i="13" s="1"/>
  <c r="R285" i="13"/>
  <c r="S285" i="13" s="1"/>
  <c r="R64" i="13"/>
  <c r="S64" i="13" s="1"/>
  <c r="R293" i="13"/>
  <c r="S293" i="13" s="1"/>
  <c r="R245" i="13"/>
  <c r="S245" i="13" s="1"/>
  <c r="R179" i="13"/>
  <c r="S179" i="13" s="1"/>
  <c r="R191" i="13"/>
  <c r="S191" i="13" s="1"/>
  <c r="R208" i="13"/>
  <c r="S208" i="13" s="1"/>
  <c r="R255" i="13"/>
  <c r="S255" i="13" s="1"/>
  <c r="R58" i="13"/>
  <c r="S58" i="13" s="1"/>
  <c r="R122" i="13"/>
  <c r="S122" i="13" s="1"/>
  <c r="R242" i="13"/>
  <c r="S242" i="13" s="1"/>
  <c r="R256" i="13"/>
  <c r="S256" i="13" s="1"/>
  <c r="R201" i="13"/>
  <c r="S201" i="13" s="1"/>
  <c r="R17" i="13"/>
  <c r="S17" i="13" s="1"/>
  <c r="R253" i="13"/>
  <c r="S253" i="13" s="1"/>
  <c r="R131" i="13"/>
  <c r="S131" i="13" s="1"/>
  <c r="R68" i="13"/>
  <c r="S68" i="13" s="1"/>
  <c r="R275" i="13"/>
  <c r="S275" i="13" s="1"/>
  <c r="R197" i="13"/>
  <c r="S197" i="13" s="1"/>
  <c r="R249" i="13"/>
  <c r="S249" i="13" s="1"/>
  <c r="R295" i="13"/>
  <c r="S295" i="13" s="1"/>
  <c r="R47" i="13"/>
  <c r="S47" i="13" s="1"/>
  <c r="R211" i="13"/>
  <c r="S211" i="13" s="1"/>
  <c r="R155" i="13"/>
  <c r="S155" i="13" s="1"/>
  <c r="R65" i="13"/>
  <c r="S65" i="13" s="1"/>
  <c r="R203" i="13"/>
  <c r="S203" i="13" s="1"/>
  <c r="R161" i="13"/>
  <c r="S161" i="13" s="1"/>
  <c r="R77" i="13"/>
  <c r="S77" i="13" s="1"/>
  <c r="R112" i="13"/>
  <c r="S112" i="13" s="1"/>
  <c r="R169" i="13"/>
  <c r="S169" i="13" s="1"/>
  <c r="R103" i="13"/>
  <c r="S103" i="13" s="1"/>
  <c r="R160" i="13"/>
  <c r="S160" i="13" s="1"/>
  <c r="R144" i="13"/>
  <c r="S144" i="13" s="1"/>
  <c r="R248" i="13"/>
  <c r="S248" i="13" s="1"/>
  <c r="R49" i="13"/>
  <c r="S49" i="13" s="1"/>
  <c r="R254" i="13"/>
  <c r="S254" i="13" s="1"/>
  <c r="R102" i="13"/>
  <c r="S102" i="13" s="1"/>
  <c r="R299" i="13"/>
  <c r="S299" i="13" s="1"/>
  <c r="R181" i="13"/>
  <c r="S181" i="13" s="1"/>
  <c r="R7" i="13"/>
  <c r="S7" i="13" s="1"/>
  <c r="R113" i="13"/>
  <c r="S113" i="13" s="1"/>
  <c r="R227" i="13"/>
  <c r="S227" i="13" s="1"/>
  <c r="R244" i="13"/>
  <c r="S244" i="13" s="1"/>
  <c r="R282" i="13"/>
  <c r="S282" i="13" s="1"/>
  <c r="B33" i="48" l="1"/>
  <c r="P6" i="13"/>
  <c r="Q6" i="13" s="1"/>
  <c r="J315" i="25"/>
  <c r="K6" i="25" l="1"/>
  <c r="L6" i="25" s="1"/>
  <c r="N6" i="25" s="1"/>
  <c r="N315" i="25" s="1"/>
  <c r="Q315" i="13"/>
  <c r="R6" i="13"/>
  <c r="S6" i="13" s="1"/>
  <c r="K315" i="25" l="1"/>
  <c r="L315" i="25" s="1"/>
  <c r="C36" i="40" s="1"/>
  <c r="D36"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Brochet Antoine</author>
  </authors>
  <commentList>
    <comment ref="C3" authorId="0" shapeId="0" xr:uid="{55CDA886-B582-406A-8FE9-6E2C56110B9C}">
      <text>
        <r>
          <rPr>
            <b/>
            <sz val="9"/>
            <color indexed="81"/>
            <rFont val="Tahoma"/>
            <family val="2"/>
          </rPr>
          <t>Veuillez indiquer le nom de votre commune</t>
        </r>
      </text>
    </comment>
  </commentList>
</comments>
</file>

<file path=xl/sharedStrings.xml><?xml version="1.0" encoding="utf-8"?>
<sst xmlns="http://schemas.openxmlformats.org/spreadsheetml/2006/main" count="1377" uniqueCount="636">
  <si>
    <t>Plafonnement de l'aide</t>
  </si>
  <si>
    <t>L'Isle</t>
  </si>
  <si>
    <t>Lussery-Villars</t>
  </si>
  <si>
    <t>Mauraz</t>
  </si>
  <si>
    <t>Mex</t>
  </si>
  <si>
    <t>Moiry</t>
  </si>
  <si>
    <t>Corcelles-près-Payerne</t>
  </si>
  <si>
    <t>Grandcour</t>
  </si>
  <si>
    <t>Henniez</t>
  </si>
  <si>
    <t>Missy</t>
  </si>
  <si>
    <t>Payerne</t>
  </si>
  <si>
    <t>Trey</t>
  </si>
  <si>
    <t>Villarzel</t>
  </si>
  <si>
    <t>Château-d'Oex</t>
  </si>
  <si>
    <t>Rossinière</t>
  </si>
  <si>
    <t>Rougemont</t>
  </si>
  <si>
    <t>Allaman</t>
  </si>
  <si>
    <t>Bursinel</t>
  </si>
  <si>
    <t>Bursins</t>
  </si>
  <si>
    <t>Burtigny</t>
  </si>
  <si>
    <t>Dully</t>
  </si>
  <si>
    <t>Essertines-sur-Rolle</t>
  </si>
  <si>
    <t>Gilly</t>
  </si>
  <si>
    <t>Luins</t>
  </si>
  <si>
    <t>Mont-sur-Rolle</t>
  </si>
  <si>
    <t>Perroy</t>
  </si>
  <si>
    <t>Rolle</t>
  </si>
  <si>
    <t>Tartegnin</t>
  </si>
  <si>
    <t>Vinzel</t>
  </si>
  <si>
    <t>L'Abbaye</t>
  </si>
  <si>
    <t>Saint-Barthélemy</t>
  </si>
  <si>
    <t>Villars-le-Terroir</t>
  </si>
  <si>
    <t>Vuarrens</t>
  </si>
  <si>
    <t>Bonvillars</t>
  </si>
  <si>
    <t>Bullet</t>
  </si>
  <si>
    <t>Champagne</t>
  </si>
  <si>
    <t>Concise</t>
  </si>
  <si>
    <t>Corcelles-près-Concise</t>
  </si>
  <si>
    <t>Fiez</t>
  </si>
  <si>
    <t>Fontaines-sur-Grandson</t>
  </si>
  <si>
    <t>Giez</t>
  </si>
  <si>
    <t>Grandevent</t>
  </si>
  <si>
    <t>Grandson</t>
  </si>
  <si>
    <t>Mauborget</t>
  </si>
  <si>
    <t>Plafond transports</t>
  </si>
  <si>
    <t>Plafond forêts</t>
  </si>
  <si>
    <t>No OFS</t>
  </si>
  <si>
    <t>Fonds de péréquation</t>
  </si>
  <si>
    <t>IFO normalisé à 100</t>
  </si>
  <si>
    <t>Corsier-sur-Vevey</t>
  </si>
  <si>
    <t>Jongny</t>
  </si>
  <si>
    <t>Montreux</t>
  </si>
  <si>
    <t>La Tour-de-Peilz</t>
  </si>
  <si>
    <t>Vevey</t>
  </si>
  <si>
    <t>Veytaux</t>
  </si>
  <si>
    <t>Belmont-sur-Yverdon</t>
  </si>
  <si>
    <t>Bioley-Magnoux</t>
  </si>
  <si>
    <t>Chamblon</t>
  </si>
  <si>
    <t>Champvent</t>
  </si>
  <si>
    <t>Chavannes-le-Chêne</t>
  </si>
  <si>
    <t>Chêne-Pâquier</t>
  </si>
  <si>
    <t>Cheseaux-Noréaz</t>
  </si>
  <si>
    <t>Cronay</t>
  </si>
  <si>
    <t>Cuarny</t>
  </si>
  <si>
    <t>Démoret</t>
  </si>
  <si>
    <t>Donneloye</t>
  </si>
  <si>
    <t>Ependes</t>
  </si>
  <si>
    <t>Habitants</t>
  </si>
  <si>
    <t>Valeur par habitant</t>
  </si>
  <si>
    <t>Nyon</t>
  </si>
  <si>
    <t>Prangins</t>
  </si>
  <si>
    <t>Bougy-Villars</t>
  </si>
  <si>
    <t>Yvorne</t>
  </si>
  <si>
    <t>Apples</t>
  </si>
  <si>
    <t>Aubonne</t>
  </si>
  <si>
    <t>Ballens</t>
  </si>
  <si>
    <t>Berolle</t>
  </si>
  <si>
    <t>Bière</t>
  </si>
  <si>
    <t>Taux communal</t>
  </si>
  <si>
    <t>ISP</t>
  </si>
  <si>
    <t>IPE</t>
  </si>
  <si>
    <t>IBC</t>
  </si>
  <si>
    <t>IET</t>
  </si>
  <si>
    <t>ISO</t>
  </si>
  <si>
    <t>IMM</t>
  </si>
  <si>
    <t>IFO</t>
  </si>
  <si>
    <t>STO</t>
  </si>
  <si>
    <t>IFR</t>
  </si>
  <si>
    <t>ISD</t>
  </si>
  <si>
    <t>DMU</t>
  </si>
  <si>
    <t>IGI</t>
  </si>
  <si>
    <t>TOT</t>
  </si>
  <si>
    <t>Facture sociale à charge des communes</t>
  </si>
  <si>
    <t>Facture sociale</t>
  </si>
  <si>
    <t>Alimentation</t>
  </si>
  <si>
    <t>./. Dép. thématiques</t>
  </si>
  <si>
    <t>Commune</t>
  </si>
  <si>
    <t>Chavannes-sur-Moudon</t>
  </si>
  <si>
    <t>Curtilles</t>
  </si>
  <si>
    <t>Dompierre</t>
  </si>
  <si>
    <t>Hermenches</t>
  </si>
  <si>
    <t>Lovatens</t>
  </si>
  <si>
    <t>Lucens</t>
  </si>
  <si>
    <t>Moudon</t>
  </si>
  <si>
    <t>Ogens</t>
  </si>
  <si>
    <t>Prévonloup</t>
  </si>
  <si>
    <t>Rossenges</t>
  </si>
  <si>
    <t>Syens</t>
  </si>
  <si>
    <t>Villars-le-Comte</t>
  </si>
  <si>
    <t>Vucherens</t>
  </si>
  <si>
    <t>Arnex-sur-Nyon</t>
  </si>
  <si>
    <t>Bassins</t>
  </si>
  <si>
    <t>Chessel</t>
  </si>
  <si>
    <t>Corbeyrier</t>
  </si>
  <si>
    <t>Gryon</t>
  </si>
  <si>
    <t>Lavey-Morcles</t>
  </si>
  <si>
    <t>Leysin</t>
  </si>
  <si>
    <t>Noville</t>
  </si>
  <si>
    <t>Ollon</t>
  </si>
  <si>
    <t>Sainte-Croix</t>
  </si>
  <si>
    <t>Lausanne</t>
  </si>
  <si>
    <t>Le Mont-sur-Lausanne</t>
  </si>
  <si>
    <t>Paudex</t>
  </si>
  <si>
    <t>Prilly</t>
  </si>
  <si>
    <t>Pully</t>
  </si>
  <si>
    <t>Taux projeté</t>
  </si>
  <si>
    <t>Plafonnement du taux</t>
  </si>
  <si>
    <t>Contrôle du taux projeté</t>
  </si>
  <si>
    <t>Rivaz</t>
  </si>
  <si>
    <t>St-Saphorin (Lavaux)</t>
  </si>
  <si>
    <t>Ormont-Dessous</t>
  </si>
  <si>
    <t>Ormont-Dessus</t>
  </si>
  <si>
    <t>Rennaz</t>
  </si>
  <si>
    <t>Roche</t>
  </si>
  <si>
    <t>Villeneuve</t>
  </si>
  <si>
    <t>Romainmôtier-Envy</t>
  </si>
  <si>
    <t>Sergey</t>
  </si>
  <si>
    <t>Valeyres-sous-Rances</t>
  </si>
  <si>
    <t>Total</t>
  </si>
  <si>
    <t>Dépenses thématiques</t>
  </si>
  <si>
    <t>Ferreyres</t>
  </si>
  <si>
    <t>Gollion</t>
  </si>
  <si>
    <t>Grancy</t>
  </si>
  <si>
    <t>Forel (Lavaux)</t>
  </si>
  <si>
    <t>Lutry</t>
  </si>
  <si>
    <t>Péréquation directe nette</t>
  </si>
  <si>
    <t>Plafond en pts</t>
  </si>
  <si>
    <t>Bremblens</t>
  </si>
  <si>
    <t>Buchillon</t>
  </si>
  <si>
    <t>Yvonand</t>
  </si>
  <si>
    <t>Yverdon-les-Bains</t>
  </si>
  <si>
    <t>Clarmont</t>
  </si>
  <si>
    <t>Denens</t>
  </si>
  <si>
    <t>Denges</t>
  </si>
  <si>
    <t>Echandens</t>
  </si>
  <si>
    <t>Echichens</t>
  </si>
  <si>
    <t>Ecublens</t>
  </si>
  <si>
    <t>Etoy</t>
  </si>
  <si>
    <t>Lavigny</t>
  </si>
  <si>
    <t>Lonay</t>
  </si>
  <si>
    <t>Lully</t>
  </si>
  <si>
    <t>Lussy-sur-Morges</t>
  </si>
  <si>
    <t>Morges</t>
  </si>
  <si>
    <t>Préverenges</t>
  </si>
  <si>
    <t>Mont-la-Ville</t>
  </si>
  <si>
    <t>Montricher</t>
  </si>
  <si>
    <t>Orny</t>
  </si>
  <si>
    <t>Pampigny</t>
  </si>
  <si>
    <t>Penthalaz</t>
  </si>
  <si>
    <t>Penthaz</t>
  </si>
  <si>
    <t>Pompaples</t>
  </si>
  <si>
    <t>La Sarraz</t>
  </si>
  <si>
    <t>Senarclens</t>
  </si>
  <si>
    <t>Sévery</t>
  </si>
  <si>
    <t>Sullens</t>
  </si>
  <si>
    <t>Vufflens-la-Ville</t>
  </si>
  <si>
    <t>Assens</t>
  </si>
  <si>
    <t>Bercher</t>
  </si>
  <si>
    <t>Bioley-Orjulaz</t>
  </si>
  <si>
    <t>Bottens</t>
  </si>
  <si>
    <t>Bretigny-sur-Morrens</t>
  </si>
  <si>
    <t>Cugy</t>
  </si>
  <si>
    <t>Echallens</t>
  </si>
  <si>
    <t>Essertines-sur-Yverdon</t>
  </si>
  <si>
    <t>Etagnières</t>
  </si>
  <si>
    <t>Fey</t>
  </si>
  <si>
    <t>Froideville</t>
  </si>
  <si>
    <t>Morrens</t>
  </si>
  <si>
    <t>Oulens-sous-Echallens</t>
  </si>
  <si>
    <t>Pailly</t>
  </si>
  <si>
    <t>Penthéréaz</t>
  </si>
  <si>
    <t>Poliez-Pittet</t>
  </si>
  <si>
    <t>Rueyres</t>
  </si>
  <si>
    <t>Sous-total</t>
  </si>
  <si>
    <t>Frontaliers</t>
  </si>
  <si>
    <t>Successions et donations</t>
  </si>
  <si>
    <t>Droits de mutation</t>
  </si>
  <si>
    <t>Gains immobiliers</t>
  </si>
  <si>
    <t>Villars-sous-Yens</t>
  </si>
  <si>
    <t>Vufflens-le-Château</t>
  </si>
  <si>
    <t>Vullierens</t>
  </si>
  <si>
    <t>Yens</t>
  </si>
  <si>
    <t>Boulens</t>
  </si>
  <si>
    <t>Bussy-sur-Moudon</t>
  </si>
  <si>
    <t>Le Chenit</t>
  </si>
  <si>
    <t>Le Lieu</t>
  </si>
  <si>
    <t>Blonay</t>
  </si>
  <si>
    <t>Chardonne</t>
  </si>
  <si>
    <t>Corseaux</t>
  </si>
  <si>
    <t>Boussens</t>
  </si>
  <si>
    <t>La Chaux (Cossonay)</t>
  </si>
  <si>
    <t>Plafonnement de l'effort</t>
  </si>
  <si>
    <t>Solde net des péréquations</t>
  </si>
  <si>
    <t>Prise en charge dépassement</t>
  </si>
  <si>
    <t>Forêts</t>
  </si>
  <si>
    <t>Dépassement forêts</t>
  </si>
  <si>
    <t>Romanel-sur-Lausanne</t>
  </si>
  <si>
    <t>La Praz</t>
  </si>
  <si>
    <t>Premier</t>
  </si>
  <si>
    <t>Rances</t>
  </si>
  <si>
    <t>Indicateurs financiers</t>
  </si>
  <si>
    <t>Begnins</t>
  </si>
  <si>
    <t>Bogis-Bossey</t>
  </si>
  <si>
    <t>Borex</t>
  </si>
  <si>
    <t>Chavannes-de-Bogis</t>
  </si>
  <si>
    <t>Chavannes-des-Bois</t>
  </si>
  <si>
    <t>Chéserex</t>
  </si>
  <si>
    <t>Coinsins</t>
  </si>
  <si>
    <t>Commugny</t>
  </si>
  <si>
    <t>Coppet</t>
  </si>
  <si>
    <t>Crans-près-Céligny</t>
  </si>
  <si>
    <t>Crassier</t>
  </si>
  <si>
    <t>Duillier</t>
  </si>
  <si>
    <t>Eysins</t>
  </si>
  <si>
    <t>Founex</t>
  </si>
  <si>
    <t>Genolier</t>
  </si>
  <si>
    <t>Gingins</t>
  </si>
  <si>
    <t>Givrins</t>
  </si>
  <si>
    <t>Gland</t>
  </si>
  <si>
    <t>Grens</t>
  </si>
  <si>
    <t>Mies</t>
  </si>
  <si>
    <t>Cottens</t>
  </si>
  <si>
    <t>Cuarnens</t>
  </si>
  <si>
    <t>Daillens</t>
  </si>
  <si>
    <t>Dizy</t>
  </si>
  <si>
    <t>Eclépens</t>
  </si>
  <si>
    <t>Pertes débiteurs</t>
  </si>
  <si>
    <t>Modif. Ant.</t>
  </si>
  <si>
    <t>Imputation forfaitaire</t>
  </si>
  <si>
    <t>Pers. physiques - revenu/fortune corrigé</t>
  </si>
  <si>
    <t>IRF corrrigé</t>
  </si>
  <si>
    <t xml:space="preserve">Pers. physiques - revenu/fortune </t>
  </si>
  <si>
    <t xml:space="preserve">IRF </t>
  </si>
  <si>
    <t>Plafond effort</t>
  </si>
  <si>
    <t>Plafond taux</t>
  </si>
  <si>
    <t>Chavannes-près-Renens</t>
  </si>
  <si>
    <t>Chigny</t>
  </si>
  <si>
    <t>Diff. De taux</t>
  </si>
  <si>
    <t>Impôt spécial affecté</t>
  </si>
  <si>
    <t>Impôt personnel</t>
  </si>
  <si>
    <t>Pers. morales bénéfice / capital</t>
  </si>
  <si>
    <t>Aigle</t>
  </si>
  <si>
    <t>Bex</t>
  </si>
  <si>
    <t>Taux après déduction de l'effort péréquatif</t>
  </si>
  <si>
    <t>Somme des efforts péréquatifs prévus</t>
  </si>
  <si>
    <t>Arnex-sur-Orbe</t>
  </si>
  <si>
    <t>Ballaigues</t>
  </si>
  <si>
    <t>Baulmes</t>
  </si>
  <si>
    <t>Bavois</t>
  </si>
  <si>
    <t>Bofflens</t>
  </si>
  <si>
    <t>Bretonnières</t>
  </si>
  <si>
    <t>Chavornay</t>
  </si>
  <si>
    <t>Les Clées</t>
  </si>
  <si>
    <t>Montagny-près-Yverdon</t>
  </si>
  <si>
    <t>Oppens</t>
  </si>
  <si>
    <t>Orges</t>
  </si>
  <si>
    <t>Ursins</t>
  </si>
  <si>
    <t>Vugelles-La Mothe</t>
  </si>
  <si>
    <t>./. Gestion du fonds</t>
  </si>
  <si>
    <t>Corcelles-le-Jorat</t>
  </si>
  <si>
    <t>Essertes</t>
  </si>
  <si>
    <t>Maracon</t>
  </si>
  <si>
    <t>Montpreveyres</t>
  </si>
  <si>
    <t>Ropraz</t>
  </si>
  <si>
    <t>Servion</t>
  </si>
  <si>
    <t>Mutrux</t>
  </si>
  <si>
    <t>Novalles</t>
  </si>
  <si>
    <t>Onnens</t>
  </si>
  <si>
    <t>Provence</t>
  </si>
  <si>
    <t>Recettes conjoncturelles en pts</t>
  </si>
  <si>
    <t>A répartir selon clé</t>
  </si>
  <si>
    <t>en % de la moyenne</t>
  </si>
  <si>
    <t>Seuil 1</t>
  </si>
  <si>
    <t>Seuil 2</t>
  </si>
  <si>
    <t>Total écrêtage</t>
  </si>
  <si>
    <t>Montant à recevoir</t>
  </si>
  <si>
    <t>Total à recevoir</t>
  </si>
  <si>
    <t>Savigny</t>
  </si>
  <si>
    <t>Chexbres</t>
  </si>
  <si>
    <t>Villars-Epeney</t>
  </si>
  <si>
    <t>Puidoux</t>
  </si>
  <si>
    <t>Bussy-Chardonney</t>
  </si>
  <si>
    <t>Total transports</t>
  </si>
  <si>
    <t>Dépassement transports</t>
  </si>
  <si>
    <t>Population</t>
  </si>
  <si>
    <t>Capacité fiscale totale</t>
  </si>
  <si>
    <t>Montant perçu</t>
  </si>
  <si>
    <t>Bas</t>
  </si>
  <si>
    <t>Seuils de population</t>
  </si>
  <si>
    <t>Haut</t>
  </si>
  <si>
    <t>Montants</t>
  </si>
  <si>
    <t>Compensation brute</t>
  </si>
  <si>
    <t>Reverolle</t>
  </si>
  <si>
    <t>Romanel-sur-Morges</t>
  </si>
  <si>
    <t>Saint-Prex</t>
  </si>
  <si>
    <t>Saint-Sulpice</t>
  </si>
  <si>
    <t>Tolochenaz</t>
  </si>
  <si>
    <t>Vaux-sur-Morges</t>
  </si>
  <si>
    <t>Villars-Sainte-Croix</t>
  </si>
  <si>
    <t>La Rippe</t>
  </si>
  <si>
    <t>Saint-Cergue</t>
  </si>
  <si>
    <t>Signy-Avenex</t>
  </si>
  <si>
    <t>Tannay</t>
  </si>
  <si>
    <t>Trélex</t>
  </si>
  <si>
    <t>Le Vaud</t>
  </si>
  <si>
    <t>Vich</t>
  </si>
  <si>
    <t>L'Abergement</t>
  </si>
  <si>
    <t>Agiez</t>
  </si>
  <si>
    <t>Péréquation directe</t>
  </si>
  <si>
    <t>Routes</t>
  </si>
  <si>
    <t>Transports publics</t>
  </si>
  <si>
    <t>Transports scolaires</t>
  </si>
  <si>
    <t>Croy</t>
  </si>
  <si>
    <t>Juriens</t>
  </si>
  <si>
    <t>Lignerolle</t>
  </si>
  <si>
    <t>Montcherand</t>
  </si>
  <si>
    <t>Orbe</t>
  </si>
  <si>
    <t>Vallorbe</t>
  </si>
  <si>
    <t>Vaulion</t>
  </si>
  <si>
    <t>Vuiteboeuf</t>
  </si>
  <si>
    <t>Effort plafonné</t>
  </si>
  <si>
    <t>Impôts suivant le taux</t>
  </si>
  <si>
    <t>Féchy</t>
  </si>
  <si>
    <t>Gimel</t>
  </si>
  <si>
    <t>Saint-Livres</t>
  </si>
  <si>
    <t>Saint-Oyens</t>
  </si>
  <si>
    <t>Saubraz</t>
  </si>
  <si>
    <t>Avenches</t>
  </si>
  <si>
    <t>Cudrefin</t>
  </si>
  <si>
    <t>Faoug</t>
  </si>
  <si>
    <t>Bettens</t>
  </si>
  <si>
    <t>Bournens</t>
  </si>
  <si>
    <t>% taux communal moyen</t>
  </si>
  <si>
    <t>Compensation nette</t>
  </si>
  <si>
    <t>Différence à compenser</t>
  </si>
  <si>
    <t>A recevoir population</t>
  </si>
  <si>
    <t>Total péréquation directe</t>
  </si>
  <si>
    <t>Total éléments divers</t>
  </si>
  <si>
    <t>Effort total net</t>
  </si>
  <si>
    <t xml:space="preserve">Taux actuel </t>
  </si>
  <si>
    <t xml:space="preserve">Solde net actuel
</t>
  </si>
  <si>
    <t xml:space="preserve">Taux </t>
  </si>
  <si>
    <t>Pop.</t>
  </si>
  <si>
    <t>Longirod</t>
  </si>
  <si>
    <t>Marchissy</t>
  </si>
  <si>
    <t>Mollens</t>
  </si>
  <si>
    <t>Montherod</t>
  </si>
  <si>
    <t>Saint-George</t>
  </si>
  <si>
    <t>Total des prises en charges</t>
  </si>
  <si>
    <t>Thématique</t>
  </si>
  <si>
    <t>Effort total</t>
  </si>
  <si>
    <t>Valeur du point</t>
  </si>
  <si>
    <t>Plafonnement en francs</t>
  </si>
  <si>
    <t>Chavannes-le-Veyron</t>
  </si>
  <si>
    <t>Chevilly</t>
  </si>
  <si>
    <t>Cossonay</t>
  </si>
  <si>
    <t>./. Conjoncturelles</t>
  </si>
  <si>
    <t>./. Ecrêtage</t>
  </si>
  <si>
    <t>Paramétrage des critères de péréquation</t>
  </si>
  <si>
    <t>Prise en charge (%)</t>
  </si>
  <si>
    <t>Montants affectés aux plafonnements</t>
  </si>
  <si>
    <t>Seuil max (pts)</t>
  </si>
  <si>
    <t>Impôt sur les étrangers</t>
  </si>
  <si>
    <t>Impôt à la source</t>
  </si>
  <si>
    <t>Pers. morales immeubles</t>
  </si>
  <si>
    <t>Impôt foncier</t>
  </si>
  <si>
    <t>Vulliens</t>
  </si>
  <si>
    <t>Champtauroz</t>
  </si>
  <si>
    <t>Chevroux</t>
  </si>
  <si>
    <t>Belmont-sur-Lausanne</t>
  </si>
  <si>
    <t>Cheseaux-sur-Lausanne</t>
  </si>
  <si>
    <t>Crissier</t>
  </si>
  <si>
    <t>Epalinges</t>
  </si>
  <si>
    <t>Jouxtens-Mézery</t>
  </si>
  <si>
    <t>Mathod</t>
  </si>
  <si>
    <t>Molondin</t>
  </si>
  <si>
    <t>Renens</t>
  </si>
  <si>
    <t>Valeyres-sous-Montagny</t>
  </si>
  <si>
    <t>Valeyres-sous-Ursins</t>
  </si>
  <si>
    <t>Orzens</t>
  </si>
  <si>
    <t>Pomy</t>
  </si>
  <si>
    <t>Rovray</t>
  </si>
  <si>
    <t>Suchy</t>
  </si>
  <si>
    <t>Suscévaz</t>
  </si>
  <si>
    <t>Treycovagnes</t>
  </si>
  <si>
    <t>Aclens</t>
  </si>
  <si>
    <t>Total part communale</t>
  </si>
  <si>
    <t>Répartition selon péréquation</t>
  </si>
  <si>
    <t>Solde péréquation directe</t>
  </si>
  <si>
    <t>Points</t>
  </si>
  <si>
    <t>Seuil 3</t>
  </si>
  <si>
    <t>Effort total sans thématiques</t>
  </si>
  <si>
    <t>Plafonnement aide</t>
  </si>
  <si>
    <t>Pers. physiques - revenu</t>
  </si>
  <si>
    <t xml:space="preserve">Pers. physiques - fortune </t>
  </si>
  <si>
    <t>Impôt sur la dépense (étrangers)</t>
  </si>
  <si>
    <t>Impôt récupéré après défalcation</t>
  </si>
  <si>
    <t>PPR</t>
  </si>
  <si>
    <t>PPF</t>
  </si>
  <si>
    <t>PMB</t>
  </si>
  <si>
    <t>PMC</t>
  </si>
  <si>
    <t>Montant plafonnement totaux</t>
  </si>
  <si>
    <t xml:space="preserve">Montant prélevé </t>
  </si>
  <si>
    <t xml:space="preserve">./. Plafonnements totaux </t>
  </si>
  <si>
    <t xml:space="preserve">./. Réserve </t>
  </si>
  <si>
    <t>Recettes conjoncturelles (mutations + gains immob + successions)</t>
  </si>
  <si>
    <t>A recevoir solidarité</t>
  </si>
  <si>
    <t>Solde solidarité et population</t>
  </si>
  <si>
    <t>Bourg-en-Lavaux</t>
  </si>
  <si>
    <t>Tévenon</t>
  </si>
  <si>
    <t>Vully-les-Lacs</t>
  </si>
  <si>
    <t>Goumoëns</t>
  </si>
  <si>
    <t>Montilliez</t>
  </si>
  <si>
    <t>Jorat-Menthue</t>
  </si>
  <si>
    <t>Valbroye</t>
  </si>
  <si>
    <t>Oron</t>
  </si>
  <si>
    <t>Prélèvements conjoncturels</t>
  </si>
  <si>
    <t>Variation facture sociale</t>
  </si>
  <si>
    <t>Variation point d'impôt</t>
  </si>
  <si>
    <t>Indexation</t>
  </si>
  <si>
    <t>Plafond aide</t>
  </si>
  <si>
    <t>Bussigny</t>
  </si>
  <si>
    <t>Arzier-Le Muids</t>
  </si>
  <si>
    <t>Montanaire</t>
  </si>
  <si>
    <t>Dépassement routes</t>
  </si>
  <si>
    <t>Droits mutations, GI, successions et donations</t>
  </si>
  <si>
    <t>Indice IPC au 1er janvier 2010</t>
  </si>
  <si>
    <t>Indice IPC au 30 juin de l'année du décompte</t>
  </si>
  <si>
    <t>Montant à affecter ajusté à l'IPC</t>
  </si>
  <si>
    <t>Population selon FAO</t>
  </si>
  <si>
    <t xml:space="preserve">Rendement des impôts et taxes communaux  (en CHF)   </t>
  </si>
  <si>
    <t>Année de référence</t>
  </si>
  <si>
    <t>Valeur du point communal</t>
  </si>
  <si>
    <t>Péréquation directe - Couche Population</t>
  </si>
  <si>
    <t>Péréquation directe - Couche Solidarité</t>
  </si>
  <si>
    <t>CHF</t>
  </si>
  <si>
    <t>Pts</t>
  </si>
  <si>
    <t>A rendre en CHF</t>
  </si>
  <si>
    <t>Effort péréquatif en points</t>
  </si>
  <si>
    <t>A) Période de calcul</t>
  </si>
  <si>
    <t>B) Prélèvement sur recettes conjoncturelles</t>
  </si>
  <si>
    <t>C) Ecrêtage</t>
  </si>
  <si>
    <t>pour une capacité dépassant</t>
  </si>
  <si>
    <t>D) Couche population</t>
  </si>
  <si>
    <t>Montant à affecter par habitant</t>
  </si>
  <si>
    <t>E) Couche solidarité</t>
  </si>
  <si>
    <t>F) Ecart péréquation horizontale</t>
  </si>
  <si>
    <t>G) Dépenses thématiques</t>
  </si>
  <si>
    <t>Transports, nombre de points</t>
  </si>
  <si>
    <t>Prise en charge maximale</t>
  </si>
  <si>
    <t xml:space="preserve">I) Indexation </t>
  </si>
  <si>
    <t>H) Paramètres de plafonnement en points</t>
  </si>
  <si>
    <t>Impôts théoriques</t>
  </si>
  <si>
    <t>Synthèse en CHF</t>
  </si>
  <si>
    <t>Ecrêtage</t>
  </si>
  <si>
    <t xml:space="preserve">J) Liste des communes A--&gt;Z </t>
  </si>
  <si>
    <t>Recettes conjoncturelles (DM + GI + Succ.)</t>
  </si>
  <si>
    <t>Répartition solde après prélèvements</t>
  </si>
  <si>
    <t>Solidarité</t>
  </si>
  <si>
    <t>Plafonnements</t>
  </si>
  <si>
    <t>Aide</t>
  </si>
  <si>
    <t>Taux</t>
  </si>
  <si>
    <t>Total de la péréquation directe</t>
  </si>
  <si>
    <t>Montant à charge de la commune</t>
  </si>
  <si>
    <t>Résumé par commune</t>
  </si>
  <si>
    <t>Communes sans police communale/intercommunale = 0</t>
  </si>
  <si>
    <t>Imp théoriques</t>
  </si>
  <si>
    <t>Facturation de l'Etat au coût réel (Fr/hab) aux communes délégatrices, mais max 2 pts</t>
  </si>
  <si>
    <t>Manco pour l'Etat - à couvrir par la péréquation (en points d'impôts écrêtés)</t>
  </si>
  <si>
    <t>Total à charge des communes</t>
  </si>
  <si>
    <t>Réforme policière</t>
  </si>
  <si>
    <t>Financement reçu pour les nouvelles tâches</t>
  </si>
  <si>
    <t>J) Réforme policière</t>
  </si>
  <si>
    <t>Nombre de point</t>
  </si>
  <si>
    <t>Charges pour commune sans police</t>
  </si>
  <si>
    <t>Répartition du solde</t>
  </si>
  <si>
    <t>Facture</t>
  </si>
  <si>
    <t>Date population</t>
  </si>
  <si>
    <t>Date taux d'impôt</t>
  </si>
  <si>
    <t>Taux IFO</t>
  </si>
  <si>
    <t>Total de la réforme policière</t>
  </si>
  <si>
    <t>Date plafonnement du taux (N-1)</t>
  </si>
  <si>
    <t>Seuil de population (habitants). Art. 2 DLPIC</t>
  </si>
  <si>
    <t>Selon Art. 3 DLPIC</t>
  </si>
  <si>
    <t>Gestion du fond (montant négatif). Art. 8 DLPIC</t>
  </si>
  <si>
    <t>% prélevé. Art. 4 LPIC</t>
  </si>
  <si>
    <t>Frontaliers. Art. 3 LPIC</t>
  </si>
  <si>
    <t>Forêts, nombre de points. Art. 4 DLPIC</t>
  </si>
  <si>
    <t>Effort maximum plafonné. Art. 5 DLPIC</t>
  </si>
  <si>
    <t>Aide maximale plafonnée. Art. 7 DLPIC</t>
  </si>
  <si>
    <t>x</t>
  </si>
  <si>
    <t>P é r é q u a t i o n   d i r e c t e</t>
  </si>
  <si>
    <t>R é f o r m e   p o l i c i è r e</t>
  </si>
  <si>
    <t>T o t a l   p é r é q u a t i o n   d i r e c t e,   i n d i r e c t e   e t   p o l i c e</t>
  </si>
  <si>
    <t>Treytorrens (Payerne)</t>
  </si>
  <si>
    <t>Saint-Légier-La Chiésaz</t>
  </si>
  <si>
    <t>Commune
LDecTer, Etat 01.05.2014</t>
  </si>
  <si>
    <t>Effort péréquatif. Art. 5 DLPIC</t>
  </si>
  <si>
    <t>Dépassement du taux. Art. 6 DLPIC</t>
  </si>
  <si>
    <t>Année 2018</t>
  </si>
  <si>
    <t>Montant écrêtage pour calculer le point impôt écrêté</t>
  </si>
  <si>
    <t>*Année 2019</t>
  </si>
  <si>
    <t>* Cela équivaut à la suppression du point d'impôt écrêté</t>
  </si>
  <si>
    <t>*Max. selon art. 4 DLPIC</t>
  </si>
  <si>
    <t>Jorat-Mézières</t>
  </si>
  <si>
    <t xml:space="preserve">Année 2018 : </t>
  </si>
  <si>
    <t>Dès 2019 :</t>
  </si>
  <si>
    <t>Total des prises en charges pour plfd aide</t>
  </si>
  <si>
    <t>Année 2019</t>
  </si>
  <si>
    <t>Situation N-1 (plafond de l'effort)</t>
  </si>
  <si>
    <t>Situation N-1 (plafond du taux)</t>
  </si>
  <si>
    <t>Effort</t>
  </si>
  <si>
    <t>Total net</t>
  </si>
  <si>
    <t>S y n t h è s e   e n   C H F</t>
  </si>
  <si>
    <t>Coût réel en CHF</t>
  </si>
  <si>
    <t>Taux maximum plafonné. Art. 6 DLPIC</t>
  </si>
  <si>
    <t>Seuil 4</t>
  </si>
  <si>
    <t>Seuil 5</t>
  </si>
  <si>
    <t>2019</t>
  </si>
  <si>
    <t>Valeur point impôt</t>
  </si>
  <si>
    <t>Nombre de points</t>
  </si>
  <si>
    <t>Valeur du point d'impôt</t>
  </si>
  <si>
    <t>Facture en points d'impôts</t>
  </si>
  <si>
    <t>Point impôt</t>
  </si>
  <si>
    <t>Montant total avec le renchérissement à payer par les communes en pts d'impôts</t>
  </si>
  <si>
    <t>Point d'impôt</t>
  </si>
  <si>
    <t>Point d'impôts</t>
  </si>
  <si>
    <t>Plafond de 
taux</t>
  </si>
  <si>
    <t>* Dès 2019, le plafond a passé de 4 à 4.5</t>
  </si>
  <si>
    <t>Année 2020</t>
  </si>
  <si>
    <t>Dès 2020 :</t>
  </si>
  <si>
    <t>Effort total sans les recettes conjoncturelles</t>
  </si>
  <si>
    <t>Montant prélevé en pts d'impôt</t>
  </si>
  <si>
    <t>2020</t>
  </si>
  <si>
    <t>Décompte 2019</t>
  </si>
  <si>
    <t>Part. à la coh. soc. selon les comptes 2019</t>
  </si>
  <si>
    <t>Part. à la coh. soc. selon les comptes 2020</t>
  </si>
  <si>
    <t>Valeur du point d'impôt communal selon comptes 2019</t>
  </si>
  <si>
    <t>Valeur du point d'impôt communal selon comptes 2020</t>
  </si>
  <si>
    <t>Données</t>
  </si>
  <si>
    <t>no cpte</t>
  </si>
  <si>
    <t xml:space="preserve">Charges </t>
  </si>
  <si>
    <t>Revenus</t>
  </si>
  <si>
    <t>OFS_Fusion</t>
  </si>
  <si>
    <t>4001 (b)</t>
  </si>
  <si>
    <t>4411 (a)</t>
  </si>
  <si>
    <t>Total général</t>
  </si>
  <si>
    <t xml:space="preserve">Répartition CHF </t>
  </si>
  <si>
    <t xml:space="preserve">Pers. morales bénéfice </t>
  </si>
  <si>
    <t>Patentes tabacs</t>
  </si>
  <si>
    <t>Patentes diverses</t>
  </si>
  <si>
    <t>Chiens</t>
  </si>
  <si>
    <t>Divertissements</t>
  </si>
  <si>
    <t>Divers</t>
  </si>
  <si>
    <t>IPA</t>
  </si>
  <si>
    <t>ICH</t>
  </si>
  <si>
    <t>IDI</t>
  </si>
  <si>
    <t>IDV</t>
  </si>
  <si>
    <t>Taxe épuration</t>
  </si>
  <si>
    <t>Taxe compl. Epuration</t>
  </si>
  <si>
    <t>Taxe annuelle Epuration</t>
  </si>
  <si>
    <t>Taxe annuelle encaissée par une association</t>
  </si>
  <si>
    <t>Ordures</t>
  </si>
  <si>
    <t>Taxe eau</t>
  </si>
  <si>
    <t>Taxe compl. Eau</t>
  </si>
  <si>
    <t>Pompiers</t>
  </si>
  <si>
    <t>Taxe communale de séjour</t>
  </si>
  <si>
    <t>Taxe pour l'usage du sol</t>
  </si>
  <si>
    <t>taxe pour l'éclairage public</t>
  </si>
  <si>
    <t>Taxe pour l'amélioration énergétique</t>
  </si>
  <si>
    <t>Taxe pour le développement durable</t>
  </si>
  <si>
    <t>Total taxes</t>
  </si>
  <si>
    <t>Taxegout</t>
  </si>
  <si>
    <t>Taxcegou</t>
  </si>
  <si>
    <t>Taxaneg</t>
  </si>
  <si>
    <t>Taxenc</t>
  </si>
  <si>
    <t>Ordure</t>
  </si>
  <si>
    <t>Taxeau</t>
  </si>
  <si>
    <t>Taxceau</t>
  </si>
  <si>
    <t>Pompier</t>
  </si>
  <si>
    <t>Taxcomse</t>
  </si>
  <si>
    <t>Tot. taxes</t>
  </si>
  <si>
    <t>Direction générale des affaires institutionnelles et des communes</t>
  </si>
  <si>
    <t>Lausanne, le 2 mars 2021.</t>
  </si>
  <si>
    <t>Direction des finances communales, rue Cité-Derrière 17, 1014 Lausanne.</t>
  </si>
  <si>
    <t>Direction générale des affaires institutionnelles et des communes,</t>
  </si>
  <si>
    <t xml:space="preserve">publication pour adresser leurs éventuelles remarques à la </t>
  </si>
  <si>
    <t>Les communes disposent d’un délai de 20 jours dès la</t>
  </si>
  <si>
    <t>St-Légier-La Chiésaz</t>
  </si>
  <si>
    <t>Riviera-Pays-d'Enhaut</t>
  </si>
  <si>
    <t>Ouest lausannois</t>
  </si>
  <si>
    <t>Crans</t>
  </si>
  <si>
    <t>Lavaux-Oron</t>
  </si>
  <si>
    <t>Jura-Nord vaudois</t>
  </si>
  <si>
    <t>Gros-de-Vaud</t>
  </si>
  <si>
    <t>Treytorrens</t>
  </si>
  <si>
    <t>Broye-Vully</t>
  </si>
  <si>
    <t/>
  </si>
  <si>
    <t>CANTON DE VAUD</t>
  </si>
  <si>
    <t>Total FAO</t>
  </si>
  <si>
    <t>calculs péréquatifs des communes.</t>
  </si>
  <si>
    <t>arrête la population retenue au 31 décembre 2020 pour les</t>
  </si>
  <si>
    <t>INSTITUTIONNELLES ET DES COMMUNES</t>
  </si>
  <si>
    <t>LA DIRECTION GÉNÉRALE DES AFFAIRES</t>
  </si>
  <si>
    <t>intercommunales</t>
  </si>
  <si>
    <t>Vu l’article 9 de la loi du 15 juin 2010 sur les péréquations</t>
  </si>
  <si>
    <t>Pers. morales  capital</t>
  </si>
  <si>
    <t>Péréquation horizontal</t>
  </si>
  <si>
    <t>Participation à la coh. Sociale</t>
  </si>
  <si>
    <t>Voir escomptes</t>
  </si>
  <si>
    <t>Décompte provisoire 2020</t>
  </si>
  <si>
    <t xml:space="preserve"> </t>
  </si>
  <si>
    <t>ATTENTION! Le montant perçu en raison du plafond de l'effort ou du taux est susceptible d'évoluer en fonction de la prise en charge des dépenses thématiques dont la commune pourrait bénéficier. Pour toutes questions, veuillez contacter la DFC au 021 316 40 80.</t>
  </si>
  <si>
    <t xml:space="preserve">Message plafond avec DT : </t>
  </si>
  <si>
    <t>P é r é q u a t i o n   i n d i r e c t e   (participation à la cohésion sociale)</t>
  </si>
  <si>
    <t>Total de la participation à la cohésion sociale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</si>
</sst>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 #,##0.00_-;_-* &quot;-&quot;??_-;_-@_-"/>
    <numFmt numFmtId="164" formatCode="_-* #,##0.00\ _C_H_F_-;\-* #,##0.00\ _C_H_F_-;_-* &quot;-&quot;??\ _C_H_F_-;_-@_-"/>
    <numFmt numFmtId="165" formatCode="_ * #,##0.00_ ;_ * \-#,##0.00_ ;_ * &quot;-&quot;??_ ;_ @_ "/>
    <numFmt numFmtId="166" formatCode="#\ ###\ ###\ ##0"/>
    <numFmt numFmtId="167" formatCode="#,##0.0"/>
    <numFmt numFmtId="168" formatCode="0.0%"/>
    <numFmt numFmtId="169" formatCode="#\ ###\ ##0"/>
    <numFmt numFmtId="170" formatCode="0.000"/>
    <numFmt numFmtId="171" formatCode="#,##0.000"/>
    <numFmt numFmtId="172" formatCode="#,##0;\-#,##0;"/>
    <numFmt numFmtId="173" formatCode="#,##0.000000"/>
    <numFmt numFmtId="174" formatCode="0.0000"/>
    <numFmt numFmtId="175" formatCode="_-* #,##0_-;\-* #,##0_-;_-* &quot;-&quot;??_-;_-@_-"/>
    <numFmt numFmtId="176" formatCode="_ * #,##0_ ;_ * \-#,##0_ ;_ * &quot;-&quot;??_ ;_ @_ "/>
    <numFmt numFmtId="177" formatCode="_-* #,##0.0_-;\-* #,##0.0_-;_-* &quot;-&quot;??_-;_-@_-"/>
    <numFmt numFmtId="178" formatCode="_ * #,##0.000_ ;_ * \-#,##0.000_ ;_ * &quot;-&quot;??_ ;_ @_ "/>
    <numFmt numFmtId="179" formatCode="0_ ;\-0\ "/>
    <numFmt numFmtId="180" formatCode="00"/>
    <numFmt numFmtId="181" formatCode="#,##0.00000000000000"/>
    <numFmt numFmtId="182" formatCode="#,##0.00000"/>
  </numFmts>
  <fonts count="80" x14ac:knownFonts="1">
    <font>
      <sz val="10"/>
      <name val="Verdana"/>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Verdana"/>
      <family val="2"/>
    </font>
    <font>
      <sz val="10"/>
      <name val="Arial Narrow"/>
      <family val="2"/>
    </font>
    <font>
      <sz val="10"/>
      <name val="Arial"/>
      <family val="2"/>
    </font>
    <font>
      <sz val="8"/>
      <name val="Verdana"/>
      <family val="2"/>
    </font>
    <font>
      <sz val="10"/>
      <color indexed="8"/>
      <name val="Arial"/>
      <family val="2"/>
    </font>
    <font>
      <sz val="10"/>
      <name val="Times New Roman"/>
      <family val="1"/>
    </font>
    <font>
      <sz val="14"/>
      <name val="Times New Roman"/>
      <family val="1"/>
    </font>
    <font>
      <sz val="10"/>
      <name val="MS Sans Serif"/>
      <family val="2"/>
    </font>
    <font>
      <sz val="11"/>
      <color theme="1"/>
      <name val="Calibri"/>
      <family val="2"/>
      <scheme val="minor"/>
    </font>
    <font>
      <sz val="11"/>
      <color theme="0"/>
      <name val="Calibri"/>
      <family val="2"/>
      <scheme val="minor"/>
    </font>
    <font>
      <sz val="11"/>
      <name val="Calibri"/>
      <family val="2"/>
      <scheme val="minor"/>
    </font>
    <font>
      <i/>
      <sz val="11"/>
      <name val="Calibri"/>
      <family val="2"/>
      <scheme val="minor"/>
    </font>
    <font>
      <sz val="16"/>
      <name val="Calibri"/>
      <family val="2"/>
      <scheme val="minor"/>
    </font>
    <font>
      <b/>
      <sz val="11"/>
      <name val="Calibri"/>
      <family val="2"/>
      <scheme val="minor"/>
    </font>
    <font>
      <sz val="11"/>
      <color indexed="10"/>
      <name val="Calibri"/>
      <family val="2"/>
      <scheme val="minor"/>
    </font>
    <font>
      <sz val="11"/>
      <color indexed="8"/>
      <name val="Calibri"/>
      <family val="2"/>
      <scheme val="minor"/>
    </font>
    <font>
      <sz val="24"/>
      <name val="Calibri"/>
      <family val="2"/>
      <scheme val="minor"/>
    </font>
    <font>
      <sz val="20"/>
      <name val="Calibri"/>
      <family val="2"/>
      <scheme val="minor"/>
    </font>
    <font>
      <sz val="20"/>
      <color theme="0"/>
      <name val="Calibri"/>
      <family val="2"/>
      <scheme val="minor"/>
    </font>
    <font>
      <sz val="10"/>
      <name val="Arial"/>
      <family val="2"/>
    </font>
    <font>
      <sz val="10"/>
      <name val="Calibri"/>
      <family val="2"/>
      <scheme val="minor"/>
    </font>
    <font>
      <sz val="12"/>
      <color theme="0"/>
      <name val="Trebuchet MS"/>
      <family val="2"/>
    </font>
    <font>
      <b/>
      <sz val="10"/>
      <name val="Calibri"/>
      <family val="2"/>
      <scheme val="minor"/>
    </font>
    <font>
      <sz val="14"/>
      <name val="Trebuchet MS"/>
      <family val="2"/>
    </font>
    <font>
      <sz val="11"/>
      <color theme="0"/>
      <name val="Calibri"/>
      <family val="2"/>
    </font>
    <font>
      <sz val="11"/>
      <name val="Calibri"/>
      <family val="2"/>
    </font>
    <font>
      <sz val="11"/>
      <color indexed="8"/>
      <name val="ARIAL"/>
      <family val="2"/>
    </font>
    <font>
      <sz val="8"/>
      <color indexed="8"/>
      <name val="Arial"/>
      <family val="2"/>
    </font>
    <font>
      <sz val="12"/>
      <name val="ARIAL"/>
      <family val="2"/>
    </font>
    <font>
      <sz val="11"/>
      <name val="ARIAL"/>
      <family val="2"/>
    </font>
    <font>
      <sz val="11"/>
      <color indexed="9"/>
      <name val="Arial"/>
      <family val="2"/>
    </font>
    <font>
      <sz val="10"/>
      <color indexed="54"/>
      <name val="Arial"/>
      <family val="2"/>
    </font>
    <font>
      <sz val="11"/>
      <color indexed="54"/>
      <name val="Arial"/>
      <family val="2"/>
    </font>
    <font>
      <sz val="8"/>
      <name val="Helvetica"/>
    </font>
    <font>
      <sz val="10"/>
      <name val="Arial"/>
      <family val="2"/>
    </font>
    <font>
      <sz val="10"/>
      <color indexed="8"/>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8"/>
      <name val="Arial"/>
      <family val="2"/>
    </font>
    <font>
      <b/>
      <sz val="10"/>
      <name val="Arial"/>
      <family val="2"/>
    </font>
    <font>
      <b/>
      <sz val="8"/>
      <name val="Arial"/>
      <family val="2"/>
    </font>
    <font>
      <b/>
      <sz val="10"/>
      <color indexed="60"/>
      <name val="Arial"/>
      <family val="2"/>
    </font>
    <font>
      <b/>
      <sz val="10"/>
      <color indexed="12"/>
      <name val="Arial"/>
      <family val="2"/>
    </font>
    <font>
      <sz val="8"/>
      <name val="Helvetica"/>
      <family val="2"/>
    </font>
    <font>
      <b/>
      <sz val="9"/>
      <name val="Calibri"/>
      <family val="2"/>
      <scheme val="minor"/>
    </font>
    <font>
      <b/>
      <sz val="9"/>
      <color theme="1"/>
      <name val="Calibri"/>
      <family val="2"/>
      <scheme val="minor"/>
    </font>
    <font>
      <b/>
      <sz val="9"/>
      <color indexed="81"/>
      <name val="Tahoma"/>
      <family val="2"/>
    </font>
  </fonts>
  <fills count="36">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bgColor indexed="64"/>
      </patternFill>
    </fill>
    <fill>
      <patternFill patternType="solid">
        <fgColor rgb="FF92D050"/>
        <bgColor indexed="64"/>
      </patternFill>
    </fill>
    <fill>
      <patternFill patternType="solid">
        <fgColor rgb="FF00B050"/>
        <bgColor indexed="64"/>
      </patternFill>
    </fill>
    <fill>
      <patternFill patternType="solid">
        <fgColor rgb="FFFFC000"/>
        <bgColor indexed="64"/>
      </patternFill>
    </fill>
    <fill>
      <patternFill patternType="solid">
        <fgColor theme="3" tint="0.59999389629810485"/>
        <bgColor indexed="64"/>
      </patternFill>
    </fill>
    <fill>
      <patternFill patternType="solid">
        <fgColor rgb="FF002060"/>
        <bgColor indexed="64"/>
      </patternFill>
    </fill>
    <fill>
      <patternFill patternType="solid">
        <fgColor theme="5" tint="0.59999389629810485"/>
        <bgColor indexed="64"/>
      </patternFill>
    </fill>
    <fill>
      <patternFill patternType="solid">
        <fgColor indexed="54"/>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55"/>
      </patternFill>
    </fill>
    <fill>
      <patternFill patternType="solid">
        <fgColor rgb="FFFFFF00"/>
        <bgColor indexed="64"/>
      </patternFill>
    </fill>
    <fill>
      <patternFill patternType="solid">
        <fgColor theme="6" tint="0.59999389629810485"/>
        <bgColor indexed="64"/>
      </patternFill>
    </fill>
    <fill>
      <patternFill patternType="solid">
        <fgColor rgb="FFFF0000"/>
        <bgColor indexed="64"/>
      </patternFill>
    </fill>
  </fills>
  <borders count="28">
    <border>
      <left/>
      <right/>
      <top/>
      <bottom/>
      <diagonal/>
    </border>
    <border>
      <left/>
      <right/>
      <top style="medium">
        <color indexed="64"/>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medium">
        <color indexed="8"/>
      </top>
      <bottom/>
      <diagonal/>
    </border>
    <border>
      <left style="hair">
        <color indexed="8"/>
      </left>
      <right style="hair">
        <color indexed="8"/>
      </right>
      <top style="hair">
        <color indexed="8"/>
      </top>
      <bottom style="hair">
        <color indexed="8"/>
      </bottom>
      <diagonal/>
    </border>
  </borders>
  <cellStyleXfs count="671">
    <xf numFmtId="0" fontId="0" fillId="0" borderId="0"/>
    <xf numFmtId="0" fontId="23" fillId="0" borderId="1"/>
    <xf numFmtId="0" fontId="24" fillId="0" borderId="0"/>
    <xf numFmtId="0" fontId="23" fillId="0" borderId="2">
      <alignment vertical="top"/>
    </xf>
    <xf numFmtId="43" fontId="18" fillId="0" borderId="0" applyFont="0" applyFill="0" applyBorder="0" applyAlignment="0" applyProtection="0"/>
    <xf numFmtId="165" fontId="20" fillId="0" borderId="0" applyFont="0" applyFill="0" applyBorder="0" applyAlignment="0" applyProtection="0"/>
    <xf numFmtId="165" fontId="26" fillId="0" borderId="0" applyFont="0" applyFill="0" applyBorder="0" applyAlignment="0" applyProtection="0"/>
    <xf numFmtId="0" fontId="25" fillId="0" borderId="0"/>
    <xf numFmtId="0" fontId="22" fillId="0" borderId="0"/>
    <xf numFmtId="0" fontId="20" fillId="0" borderId="0"/>
    <xf numFmtId="0" fontId="26" fillId="0" borderId="0"/>
    <xf numFmtId="0" fontId="19" fillId="0" borderId="0"/>
    <xf numFmtId="9" fontId="18" fillId="0" borderId="0" applyFont="0" applyFill="0" applyBorder="0" applyAlignment="0" applyProtection="0"/>
    <xf numFmtId="9" fontId="20" fillId="0" borderId="0" applyFont="0" applyFill="0" applyBorder="0" applyAlignment="0" applyProtection="0"/>
    <xf numFmtId="165" fontId="37" fillId="0" borderId="0" applyFont="0" applyFill="0" applyBorder="0" applyAlignment="0" applyProtection="0"/>
    <xf numFmtId="0" fontId="37" fillId="0" borderId="0"/>
    <xf numFmtId="165" fontId="15" fillId="0" borderId="0" applyFont="0" applyFill="0" applyBorder="0" applyAlignment="0" applyProtection="0"/>
    <xf numFmtId="0" fontId="15" fillId="0" borderId="0"/>
    <xf numFmtId="0" fontId="18"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0" fontId="14" fillId="0" borderId="0"/>
    <xf numFmtId="0" fontId="14" fillId="0" borderId="0"/>
    <xf numFmtId="0" fontId="20" fillId="0" borderId="0"/>
    <xf numFmtId="165" fontId="13" fillId="0" borderId="0" applyFont="0" applyFill="0" applyBorder="0" applyAlignment="0" applyProtection="0"/>
    <xf numFmtId="0" fontId="13" fillId="0" borderId="0"/>
    <xf numFmtId="165" fontId="13" fillId="0" borderId="0" applyFont="0" applyFill="0" applyBorder="0" applyAlignment="0" applyProtection="0"/>
    <xf numFmtId="0" fontId="13" fillId="0" borderId="0"/>
    <xf numFmtId="165" fontId="13" fillId="0" borderId="0" applyFont="0" applyFill="0" applyBorder="0" applyAlignment="0" applyProtection="0"/>
    <xf numFmtId="0" fontId="13" fillId="0" borderId="0"/>
    <xf numFmtId="165" fontId="13" fillId="0" borderId="0" applyFont="0" applyFill="0" applyBorder="0" applyAlignment="0" applyProtection="0"/>
    <xf numFmtId="0" fontId="13" fillId="0" borderId="0"/>
    <xf numFmtId="165" fontId="13" fillId="0" borderId="0" applyFont="0" applyFill="0" applyBorder="0" applyAlignment="0" applyProtection="0"/>
    <xf numFmtId="0" fontId="13" fillId="0" borderId="0"/>
    <xf numFmtId="165" fontId="13" fillId="0" borderId="0" applyFont="0" applyFill="0" applyBorder="0" applyAlignment="0" applyProtection="0"/>
    <xf numFmtId="0" fontId="13"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0" fontId="11" fillId="0" borderId="0"/>
    <xf numFmtId="165" fontId="11" fillId="0" borderId="0" applyFont="0" applyFill="0" applyBorder="0" applyAlignment="0" applyProtection="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20" fillId="0" borderId="0"/>
    <xf numFmtId="0" fontId="20"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0" fontId="8" fillId="0" borderId="0"/>
    <xf numFmtId="165" fontId="8"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0" fontId="6" fillId="0" borderId="0"/>
    <xf numFmtId="9" fontId="6"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0" fontId="22" fillId="0" borderId="0">
      <alignment vertical="top"/>
    </xf>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0"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51" fillId="0" borderId="5" applyBorder="0">
      <alignment horizontal="center" textRotation="90"/>
    </xf>
    <xf numFmtId="0" fontId="52" fillId="0" borderId="0"/>
    <xf numFmtId="0" fontId="2" fillId="0" borderId="0"/>
    <xf numFmtId="9"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165" fontId="2" fillId="0" borderId="0" applyFont="0" applyFill="0" applyBorder="0" applyAlignment="0" applyProtection="0"/>
    <xf numFmtId="0" fontId="2" fillId="0" borderId="0"/>
    <xf numFmtId="9" fontId="18"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3" fontId="18"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0" fillId="0" borderId="0"/>
    <xf numFmtId="0" fontId="53" fillId="0" borderId="0">
      <alignment vertical="top"/>
    </xf>
    <xf numFmtId="0" fontId="54" fillId="12" borderId="0" applyNumberFormat="0" applyBorder="0" applyAlignment="0" applyProtection="0"/>
    <xf numFmtId="0" fontId="54" fillId="13" borderId="0" applyNumberFormat="0" applyBorder="0" applyAlignment="0" applyProtection="0"/>
    <xf numFmtId="0" fontId="54" fillId="14" borderId="0" applyNumberFormat="0" applyBorder="0" applyAlignment="0" applyProtection="0"/>
    <xf numFmtId="0" fontId="54" fillId="15"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18" borderId="0" applyNumberFormat="0" applyBorder="0" applyAlignment="0" applyProtection="0"/>
    <xf numFmtId="0" fontId="54" fillId="19" borderId="0" applyNumberFormat="0" applyBorder="0" applyAlignment="0" applyProtection="0"/>
    <xf numFmtId="0" fontId="54" fillId="20" borderId="0" applyNumberFormat="0" applyBorder="0" applyAlignment="0" applyProtection="0"/>
    <xf numFmtId="0" fontId="54" fillId="15" borderId="0" applyNumberFormat="0" applyBorder="0" applyAlignment="0" applyProtection="0"/>
    <xf numFmtId="0" fontId="54" fillId="18" borderId="0" applyNumberFormat="0" applyBorder="0" applyAlignment="0" applyProtection="0"/>
    <xf numFmtId="0" fontId="54" fillId="21" borderId="0" applyNumberFormat="0" applyBorder="0" applyAlignment="0" applyProtection="0"/>
    <xf numFmtId="0" fontId="55" fillId="22"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55" fillId="27" borderId="0" applyNumberFormat="0" applyBorder="0" applyAlignment="0" applyProtection="0"/>
    <xf numFmtId="0" fontId="55" fillId="28"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9" borderId="0" applyNumberFormat="0" applyBorder="0" applyAlignment="0" applyProtection="0"/>
    <xf numFmtId="0" fontId="56" fillId="0" borderId="0" applyNumberFormat="0" applyFill="0" applyBorder="0" applyAlignment="0" applyProtection="0"/>
    <xf numFmtId="0" fontId="57" fillId="30" borderId="18" applyNumberFormat="0" applyAlignment="0" applyProtection="0"/>
    <xf numFmtId="0" fontId="58" fillId="0" borderId="19" applyNumberFormat="0" applyFill="0" applyAlignment="0" applyProtection="0"/>
    <xf numFmtId="0" fontId="59" fillId="17" borderId="18" applyNumberFormat="0" applyAlignment="0" applyProtection="0"/>
    <xf numFmtId="0" fontId="60" fillId="13" borderId="0" applyNumberFormat="0" applyBorder="0" applyAlignment="0" applyProtection="0"/>
    <xf numFmtId="165" fontId="22" fillId="0" borderId="0" applyFont="0" applyFill="0" applyBorder="0" applyAlignment="0" applyProtection="0">
      <alignment vertical="top"/>
    </xf>
    <xf numFmtId="0" fontId="61" fillId="31" borderId="0" applyNumberFormat="0" applyBorder="0" applyAlignment="0" applyProtection="0"/>
    <xf numFmtId="0" fontId="25" fillId="0" borderId="0"/>
    <xf numFmtId="0" fontId="62" fillId="14" borderId="0" applyNumberFormat="0" applyBorder="0" applyAlignment="0" applyProtection="0"/>
    <xf numFmtId="0" fontId="63" fillId="30" borderId="20" applyNumberFormat="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6" fillId="0" borderId="21"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68" fillId="0" borderId="0" applyNumberFormat="0" applyFill="0" applyBorder="0" applyAlignment="0" applyProtection="0"/>
    <xf numFmtId="0" fontId="69" fillId="0" borderId="24" applyNumberFormat="0" applyFill="0" applyAlignment="0" applyProtection="0"/>
    <xf numFmtId="0" fontId="70" fillId="32" borderId="25" applyNumberFormat="0" applyAlignment="0" applyProtection="0"/>
    <xf numFmtId="0" fontId="2" fillId="0" borderId="0"/>
    <xf numFmtId="165" fontId="2" fillId="0" borderId="0" applyFont="0" applyFill="0" applyBorder="0" applyAlignment="0" applyProtection="0"/>
    <xf numFmtId="0" fontId="23" fillId="0" borderId="26"/>
    <xf numFmtId="0" fontId="23" fillId="0" borderId="27">
      <alignment vertical="top"/>
    </xf>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71" fillId="0" borderId="0"/>
    <xf numFmtId="0" fontId="7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4"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4"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4"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4"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4"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cellStyleXfs>
  <cellXfs count="639">
    <xf numFmtId="0" fontId="0" fillId="0" borderId="0" xfId="0"/>
    <xf numFmtId="175" fontId="28" fillId="0" borderId="0" xfId="4" applyNumberFormat="1" applyFont="1" applyFill="1" applyBorder="1"/>
    <xf numFmtId="175" fontId="28" fillId="3" borderId="5" xfId="4" applyNumberFormat="1" applyFont="1" applyFill="1" applyBorder="1"/>
    <xf numFmtId="0" fontId="28" fillId="4" borderId="0" xfId="0" applyNumberFormat="1" applyFont="1" applyFill="1" applyAlignment="1">
      <alignment horizontal="left"/>
    </xf>
    <xf numFmtId="0" fontId="28" fillId="4" borderId="0" xfId="0" applyNumberFormat="1" applyFont="1" applyFill="1" applyAlignment="1">
      <alignment horizontal="center"/>
    </xf>
    <xf numFmtId="175" fontId="28" fillId="4" borderId="0" xfId="4" applyNumberFormat="1" applyFont="1" applyFill="1" applyAlignment="1">
      <alignment horizontal="center"/>
    </xf>
    <xf numFmtId="175" fontId="28" fillId="4" borderId="0" xfId="4" applyNumberFormat="1" applyFont="1" applyFill="1"/>
    <xf numFmtId="0" fontId="28" fillId="4" borderId="14" xfId="0" applyNumberFormat="1" applyFont="1" applyFill="1" applyBorder="1" applyAlignment="1">
      <alignment horizontal="center"/>
    </xf>
    <xf numFmtId="0" fontId="28" fillId="4" borderId="5" xfId="0" applyNumberFormat="1" applyFont="1" applyFill="1" applyBorder="1" applyAlignment="1">
      <alignment horizontal="center"/>
    </xf>
    <xf numFmtId="3" fontId="28" fillId="4" borderId="9" xfId="0" applyNumberFormat="1" applyFont="1" applyFill="1" applyBorder="1"/>
    <xf numFmtId="175" fontId="28" fillId="4" borderId="5" xfId="4" applyNumberFormat="1" applyFont="1" applyFill="1" applyBorder="1"/>
    <xf numFmtId="175" fontId="28" fillId="4" borderId="14" xfId="4" applyNumberFormat="1" applyFont="1" applyFill="1" applyBorder="1"/>
    <xf numFmtId="3" fontId="28" fillId="4" borderId="0" xfId="0" applyNumberFormat="1" applyFont="1" applyFill="1"/>
    <xf numFmtId="0" fontId="28" fillId="4" borderId="0" xfId="0" applyFont="1" applyFill="1"/>
    <xf numFmtId="175" fontId="28" fillId="4" borderId="0" xfId="4" applyNumberFormat="1" applyFont="1" applyFill="1" applyBorder="1"/>
    <xf numFmtId="43" fontId="28" fillId="4" borderId="0" xfId="4" applyFont="1" applyFill="1"/>
    <xf numFmtId="0" fontId="28" fillId="4" borderId="0" xfId="0" applyFont="1" applyFill="1" applyAlignment="1">
      <alignment vertical="top" wrapText="1"/>
    </xf>
    <xf numFmtId="43" fontId="28" fillId="4" borderId="0" xfId="0" applyNumberFormat="1" applyFont="1" applyFill="1"/>
    <xf numFmtId="175" fontId="28" fillId="4" borderId="3" xfId="4" applyNumberFormat="1" applyFont="1" applyFill="1" applyBorder="1"/>
    <xf numFmtId="43" fontId="28" fillId="4" borderId="14" xfId="4" applyFont="1" applyFill="1" applyBorder="1"/>
    <xf numFmtId="175" fontId="27" fillId="6" borderId="14" xfId="4" applyNumberFormat="1" applyFont="1" applyFill="1" applyBorder="1" applyAlignment="1">
      <alignment horizontal="center"/>
    </xf>
    <xf numFmtId="166" fontId="27" fillId="6" borderId="14" xfId="0" applyNumberFormat="1" applyFont="1" applyFill="1" applyBorder="1" applyAlignment="1">
      <alignment horizontal="center"/>
    </xf>
    <xf numFmtId="0" fontId="28" fillId="4" borderId="0" xfId="0" applyFont="1" applyFill="1" applyAlignment="1">
      <alignment horizontal="center"/>
    </xf>
    <xf numFmtId="14" fontId="27" fillId="6" borderId="14" xfId="0" applyNumberFormat="1" applyFont="1" applyFill="1" applyBorder="1" applyAlignment="1">
      <alignment horizontal="center"/>
    </xf>
    <xf numFmtId="166" fontId="28" fillId="4" borderId="17" xfId="0" applyNumberFormat="1" applyFont="1" applyFill="1" applyBorder="1" applyAlignment="1">
      <alignment horizontal="center"/>
    </xf>
    <xf numFmtId="0" fontId="30" fillId="4" borderId="0" xfId="0" applyNumberFormat="1" applyFont="1" applyFill="1" applyAlignment="1">
      <alignment horizontal="left"/>
    </xf>
    <xf numFmtId="0" fontId="30" fillId="4" borderId="0" xfId="0" applyNumberFormat="1" applyFont="1" applyFill="1" applyAlignment="1">
      <alignment horizontal="center"/>
    </xf>
    <xf numFmtId="0" fontId="29" fillId="4" borderId="0" xfId="0" applyFont="1" applyFill="1"/>
    <xf numFmtId="4" fontId="28" fillId="4" borderId="0" xfId="0" applyNumberFormat="1" applyFont="1" applyFill="1"/>
    <xf numFmtId="166" fontId="28" fillId="4" borderId="0" xfId="0" applyNumberFormat="1" applyFont="1" applyFill="1" applyAlignment="1">
      <alignment horizontal="left"/>
    </xf>
    <xf numFmtId="0" fontId="28" fillId="4" borderId="14" xfId="0" applyFont="1" applyFill="1" applyBorder="1"/>
    <xf numFmtId="175" fontId="28" fillId="4" borderId="11" xfId="4" applyNumberFormat="1" applyFont="1" applyFill="1" applyBorder="1"/>
    <xf numFmtId="3" fontId="28" fillId="4" borderId="5" xfId="0" applyNumberFormat="1" applyFont="1" applyFill="1" applyBorder="1"/>
    <xf numFmtId="43" fontId="28" fillId="4" borderId="5" xfId="4" applyFont="1" applyFill="1" applyBorder="1"/>
    <xf numFmtId="2" fontId="28" fillId="4" borderId="5" xfId="0" applyNumberFormat="1" applyFont="1" applyFill="1" applyBorder="1"/>
    <xf numFmtId="2" fontId="28" fillId="4" borderId="14" xfId="0" applyNumberFormat="1" applyFont="1" applyFill="1" applyBorder="1"/>
    <xf numFmtId="175" fontId="28" fillId="4" borderId="0" xfId="0" applyNumberFormat="1" applyFont="1" applyFill="1"/>
    <xf numFmtId="175" fontId="28" fillId="5" borderId="14" xfId="4" applyNumberFormat="1" applyFont="1" applyFill="1" applyBorder="1"/>
    <xf numFmtId="175" fontId="28" fillId="3" borderId="14" xfId="4" applyNumberFormat="1" applyFont="1" applyFill="1" applyBorder="1"/>
    <xf numFmtId="3" fontId="27" fillId="6" borderId="14" xfId="0" applyNumberFormat="1" applyFont="1" applyFill="1" applyBorder="1" applyAlignment="1">
      <alignment horizontal="center"/>
    </xf>
    <xf numFmtId="0" fontId="27" fillId="6" borderId="14" xfId="0" applyNumberFormat="1" applyFont="1" applyFill="1" applyBorder="1" applyAlignment="1">
      <alignment horizontal="center"/>
    </xf>
    <xf numFmtId="175" fontId="28" fillId="4" borderId="9" xfId="4" applyNumberFormat="1" applyFont="1" applyFill="1" applyBorder="1"/>
    <xf numFmtId="3" fontId="28" fillId="4" borderId="0" xfId="11" applyNumberFormat="1" applyFont="1" applyFill="1" applyAlignment="1">
      <alignment vertical="center"/>
    </xf>
    <xf numFmtId="0" fontId="28" fillId="4" borderId="0" xfId="11" applyFont="1" applyFill="1" applyAlignment="1">
      <alignment vertical="center"/>
    </xf>
    <xf numFmtId="175" fontId="28" fillId="4" borderId="0" xfId="4" applyNumberFormat="1" applyFont="1" applyFill="1" applyAlignment="1">
      <alignment vertical="center"/>
    </xf>
    <xf numFmtId="0" fontId="28" fillId="4" borderId="0" xfId="0" applyFont="1" applyFill="1" applyBorder="1"/>
    <xf numFmtId="0" fontId="28" fillId="4" borderId="4" xfId="0" applyFont="1" applyFill="1" applyBorder="1" applyAlignment="1">
      <alignment horizontal="center"/>
    </xf>
    <xf numFmtId="167" fontId="28" fillId="4" borderId="0" xfId="0" applyNumberFormat="1" applyFont="1" applyFill="1"/>
    <xf numFmtId="0" fontId="28" fillId="4" borderId="0" xfId="0" quotePrefix="1" applyFont="1" applyFill="1"/>
    <xf numFmtId="0" fontId="28" fillId="4" borderId="5" xfId="0" applyFont="1" applyFill="1" applyBorder="1" applyAlignment="1">
      <alignment horizontal="center"/>
    </xf>
    <xf numFmtId="0" fontId="28" fillId="4" borderId="3" xfId="0" applyFont="1" applyFill="1" applyBorder="1" applyAlignment="1">
      <alignment horizontal="center"/>
    </xf>
    <xf numFmtId="1" fontId="30" fillId="4" borderId="0" xfId="11" applyNumberFormat="1" applyFont="1" applyFill="1" applyAlignment="1">
      <alignment horizontal="left" vertical="center"/>
    </xf>
    <xf numFmtId="4" fontId="28" fillId="4" borderId="0" xfId="11" applyNumberFormat="1" applyFont="1" applyFill="1" applyAlignment="1">
      <alignment vertical="center"/>
    </xf>
    <xf numFmtId="0" fontId="29" fillId="4" borderId="0" xfId="11" applyFont="1" applyFill="1"/>
    <xf numFmtId="175" fontId="28" fillId="4" borderId="4" xfId="4" applyNumberFormat="1" applyFont="1" applyFill="1" applyBorder="1"/>
    <xf numFmtId="175" fontId="28" fillId="5" borderId="5" xfId="4" applyNumberFormat="1" applyFont="1" applyFill="1" applyBorder="1"/>
    <xf numFmtId="0" fontId="28" fillId="4" borderId="0" xfId="11" applyFont="1" applyFill="1" applyBorder="1" applyAlignment="1">
      <alignment vertical="center"/>
    </xf>
    <xf numFmtId="10" fontId="28" fillId="4" borderId="0" xfId="12" applyNumberFormat="1" applyFont="1" applyFill="1" applyAlignment="1">
      <alignment vertical="center"/>
    </xf>
    <xf numFmtId="10" fontId="28" fillId="4" borderId="0" xfId="12" applyNumberFormat="1" applyFont="1" applyFill="1"/>
    <xf numFmtId="4" fontId="28" fillId="4" borderId="14" xfId="0" applyNumberFormat="1" applyFont="1" applyFill="1" applyBorder="1"/>
    <xf numFmtId="10" fontId="28" fillId="4" borderId="14" xfId="12" applyNumberFormat="1" applyFont="1" applyFill="1" applyBorder="1"/>
    <xf numFmtId="0" fontId="27" fillId="6" borderId="4" xfId="0" applyFont="1" applyFill="1" applyBorder="1" applyAlignment="1">
      <alignment horizontal="center" vertical="center" wrapText="1"/>
    </xf>
    <xf numFmtId="4" fontId="28" fillId="4" borderId="11" xfId="0" applyNumberFormat="1" applyFont="1" applyFill="1" applyBorder="1"/>
    <xf numFmtId="9" fontId="27" fillId="6" borderId="14" xfId="12" applyNumberFormat="1" applyFont="1" applyFill="1" applyBorder="1" applyAlignment="1">
      <alignment horizontal="center" vertical="center" wrapText="1"/>
    </xf>
    <xf numFmtId="0" fontId="27" fillId="6" borderId="14" xfId="0" applyFont="1" applyFill="1" applyBorder="1" applyAlignment="1">
      <alignment horizontal="center" vertical="center" wrapText="1"/>
    </xf>
    <xf numFmtId="9" fontId="27" fillId="6" borderId="14" xfId="12" applyNumberFormat="1" applyFont="1" applyFill="1" applyBorder="1" applyAlignment="1">
      <alignment horizontal="center" vertical="center"/>
    </xf>
    <xf numFmtId="43" fontId="27" fillId="6" borderId="14" xfId="4" applyFont="1" applyFill="1" applyBorder="1" applyAlignment="1">
      <alignment vertical="center" wrapText="1"/>
    </xf>
    <xf numFmtId="4" fontId="28" fillId="4" borderId="12" xfId="0" applyNumberFormat="1" applyFont="1" applyFill="1" applyBorder="1"/>
    <xf numFmtId="169" fontId="28" fillId="4" borderId="0" xfId="11" applyNumberFormat="1" applyFont="1" applyFill="1" applyAlignment="1">
      <alignment vertical="center"/>
    </xf>
    <xf numFmtId="175" fontId="28" fillId="4" borderId="15" xfId="4" applyNumberFormat="1" applyFont="1" applyFill="1" applyBorder="1"/>
    <xf numFmtId="175" fontId="28" fillId="4" borderId="16" xfId="4" applyNumberFormat="1" applyFont="1" applyFill="1" applyBorder="1"/>
    <xf numFmtId="170" fontId="28" fillId="4" borderId="0" xfId="0" applyNumberFormat="1" applyFont="1" applyFill="1"/>
    <xf numFmtId="0" fontId="28" fillId="4" borderId="0" xfId="0" applyFont="1" applyFill="1" applyAlignment="1">
      <alignment vertical="top"/>
    </xf>
    <xf numFmtId="3" fontId="28" fillId="4" borderId="0" xfId="0" applyNumberFormat="1" applyFont="1" applyFill="1" applyAlignment="1">
      <alignment vertical="top"/>
    </xf>
    <xf numFmtId="3" fontId="28" fillId="4" borderId="0" xfId="0" applyNumberFormat="1" applyFont="1" applyFill="1" applyBorder="1" applyAlignment="1">
      <alignment vertical="top" wrapText="1"/>
    </xf>
    <xf numFmtId="0" fontId="28" fillId="4" borderId="17" xfId="0" applyFont="1" applyFill="1" applyBorder="1"/>
    <xf numFmtId="0" fontId="28" fillId="4" borderId="6" xfId="0" applyFont="1" applyFill="1" applyBorder="1"/>
    <xf numFmtId="0" fontId="28" fillId="4" borderId="7" xfId="0" applyFont="1" applyFill="1" applyBorder="1"/>
    <xf numFmtId="0" fontId="28" fillId="4" borderId="14" xfId="0" applyFont="1" applyFill="1" applyBorder="1" applyAlignment="1">
      <alignment horizontal="center"/>
    </xf>
    <xf numFmtId="0" fontId="28" fillId="4" borderId="8" xfId="0" applyFont="1" applyFill="1" applyBorder="1"/>
    <xf numFmtId="0" fontId="28" fillId="4" borderId="12" xfId="0" applyFont="1" applyFill="1" applyBorder="1"/>
    <xf numFmtId="0" fontId="28" fillId="4" borderId="9" xfId="0" applyFont="1" applyFill="1" applyBorder="1"/>
    <xf numFmtId="0" fontId="28" fillId="4" borderId="11" xfId="0" applyFont="1" applyFill="1" applyBorder="1"/>
    <xf numFmtId="0" fontId="28" fillId="4" borderId="10" xfId="0" applyFont="1" applyFill="1" applyBorder="1"/>
    <xf numFmtId="0" fontId="28" fillId="4" borderId="13" xfId="0" applyFont="1" applyFill="1" applyBorder="1"/>
    <xf numFmtId="173" fontId="28" fillId="4" borderId="0" xfId="0" applyNumberFormat="1" applyFont="1" applyFill="1" applyAlignment="1">
      <alignment vertical="top"/>
    </xf>
    <xf numFmtId="175" fontId="28" fillId="4" borderId="12" xfId="4" applyNumberFormat="1" applyFont="1" applyFill="1" applyBorder="1"/>
    <xf numFmtId="43" fontId="28" fillId="4" borderId="4" xfId="4" applyFont="1" applyFill="1" applyBorder="1"/>
    <xf numFmtId="43" fontId="28" fillId="4" borderId="3" xfId="4" applyFont="1" applyFill="1" applyBorder="1"/>
    <xf numFmtId="3" fontId="28" fillId="4" borderId="8" xfId="0" applyNumberFormat="1" applyFont="1" applyFill="1" applyBorder="1"/>
    <xf numFmtId="3" fontId="28" fillId="4" borderId="10" xfId="0" applyNumberFormat="1" applyFont="1" applyFill="1" applyBorder="1"/>
    <xf numFmtId="3" fontId="28" fillId="4" borderId="17" xfId="0" applyNumberFormat="1" applyFont="1" applyFill="1" applyBorder="1"/>
    <xf numFmtId="3" fontId="28" fillId="4" borderId="13" xfId="0" applyNumberFormat="1" applyFont="1" applyFill="1" applyBorder="1" applyAlignment="1">
      <alignment horizontal="center" vertical="top" wrapText="1"/>
    </xf>
    <xf numFmtId="169" fontId="28" fillId="4" borderId="0" xfId="0" applyNumberFormat="1" applyFont="1" applyFill="1"/>
    <xf numFmtId="3" fontId="28" fillId="4" borderId="4" xfId="12" applyNumberFormat="1" applyFont="1" applyFill="1" applyBorder="1"/>
    <xf numFmtId="3" fontId="28" fillId="4" borderId="5" xfId="12" applyNumberFormat="1" applyFont="1" applyFill="1" applyBorder="1"/>
    <xf numFmtId="3" fontId="28" fillId="4" borderId="3" xfId="12" applyNumberFormat="1" applyFont="1" applyFill="1" applyBorder="1"/>
    <xf numFmtId="3" fontId="28" fillId="4" borderId="14" xfId="12" applyNumberFormat="1" applyFont="1" applyFill="1" applyBorder="1"/>
    <xf numFmtId="43" fontId="28" fillId="4" borderId="14" xfId="4" applyNumberFormat="1" applyFont="1" applyFill="1" applyBorder="1"/>
    <xf numFmtId="175" fontId="28" fillId="8" borderId="14" xfId="4" applyNumberFormat="1" applyFont="1" applyFill="1" applyBorder="1"/>
    <xf numFmtId="175" fontId="28" fillId="5" borderId="4" xfId="4" applyNumberFormat="1" applyFont="1" applyFill="1" applyBorder="1"/>
    <xf numFmtId="175" fontId="28" fillId="5" borderId="3" xfId="4" applyNumberFormat="1" applyFont="1" applyFill="1" applyBorder="1"/>
    <xf numFmtId="3" fontId="27" fillId="6" borderId="4" xfId="0" applyNumberFormat="1" applyFont="1" applyFill="1" applyBorder="1"/>
    <xf numFmtId="0" fontId="27" fillId="6" borderId="0" xfId="0" applyFont="1" applyFill="1"/>
    <xf numFmtId="0" fontId="28" fillId="4" borderId="8" xfId="0" applyFont="1" applyFill="1" applyBorder="1" applyAlignment="1">
      <alignment horizontal="center"/>
    </xf>
    <xf numFmtId="0" fontId="27" fillId="6" borderId="3" xfId="0" applyFont="1" applyFill="1" applyBorder="1" applyAlignment="1">
      <alignment horizontal="center"/>
    </xf>
    <xf numFmtId="175" fontId="28" fillId="4" borderId="13" xfId="4" applyNumberFormat="1" applyFont="1" applyFill="1" applyBorder="1"/>
    <xf numFmtId="2" fontId="28" fillId="4" borderId="0" xfId="0" applyNumberFormat="1" applyFont="1" applyFill="1"/>
    <xf numFmtId="9" fontId="28" fillId="4" borderId="0" xfId="0" applyNumberFormat="1" applyFont="1" applyFill="1"/>
    <xf numFmtId="4" fontId="28" fillId="4" borderId="14" xfId="12" applyNumberFormat="1" applyFont="1" applyFill="1" applyBorder="1"/>
    <xf numFmtId="4" fontId="28" fillId="4" borderId="0" xfId="12" applyNumberFormat="1" applyFont="1" applyFill="1" applyBorder="1"/>
    <xf numFmtId="0" fontId="28" fillId="4" borderId="16" xfId="0" applyFont="1" applyFill="1" applyBorder="1"/>
    <xf numFmtId="0" fontId="27" fillId="6" borderId="4" xfId="0" applyFont="1" applyFill="1" applyBorder="1" applyAlignment="1">
      <alignment horizontal="center" vertical="top" wrapText="1"/>
    </xf>
    <xf numFmtId="175" fontId="28" fillId="5" borderId="11" xfId="4" applyNumberFormat="1" applyFont="1" applyFill="1" applyBorder="1"/>
    <xf numFmtId="3" fontId="28" fillId="4" borderId="17" xfId="12" applyNumberFormat="1" applyFont="1" applyFill="1" applyBorder="1"/>
    <xf numFmtId="171" fontId="28" fillId="4" borderId="0" xfId="0" applyNumberFormat="1" applyFont="1" applyFill="1"/>
    <xf numFmtId="2" fontId="27" fillId="6" borderId="3" xfId="0" applyNumberFormat="1" applyFont="1" applyFill="1" applyBorder="1" applyAlignment="1">
      <alignment horizontal="center" vertical="top" wrapText="1"/>
    </xf>
    <xf numFmtId="3" fontId="28" fillId="4" borderId="7" xfId="12" applyNumberFormat="1" applyFont="1" applyFill="1" applyBorder="1"/>
    <xf numFmtId="166" fontId="28" fillId="4" borderId="14" xfId="0" applyNumberFormat="1" applyFont="1" applyFill="1" applyBorder="1" applyAlignment="1">
      <alignment horizontal="center"/>
    </xf>
    <xf numFmtId="175" fontId="28" fillId="4" borderId="7" xfId="4" applyNumberFormat="1" applyFont="1" applyFill="1" applyBorder="1"/>
    <xf numFmtId="0" fontId="27" fillId="6" borderId="17" xfId="0" applyFont="1" applyFill="1" applyBorder="1"/>
    <xf numFmtId="0" fontId="27" fillId="6" borderId="6" xfId="0" applyFont="1" applyFill="1" applyBorder="1"/>
    <xf numFmtId="0" fontId="27" fillId="6" borderId="14" xfId="0" applyFont="1" applyFill="1" applyBorder="1" applyAlignment="1">
      <alignment horizontal="center"/>
    </xf>
    <xf numFmtId="167" fontId="28" fillId="4" borderId="4" xfId="0" applyNumberFormat="1" applyFont="1" applyFill="1" applyBorder="1"/>
    <xf numFmtId="0" fontId="17" fillId="4" borderId="0" xfId="0" applyFont="1" applyFill="1" applyBorder="1" applyAlignment="1">
      <alignment horizontal="left"/>
    </xf>
    <xf numFmtId="167" fontId="28" fillId="4" borderId="5" xfId="0" applyNumberFormat="1" applyFont="1" applyFill="1" applyBorder="1"/>
    <xf numFmtId="0" fontId="17" fillId="4" borderId="0" xfId="0" applyFont="1" applyFill="1" applyAlignment="1">
      <alignment horizontal="left"/>
    </xf>
    <xf numFmtId="167" fontId="28" fillId="4" borderId="3" xfId="0" applyNumberFormat="1" applyFont="1" applyFill="1" applyBorder="1"/>
    <xf numFmtId="175" fontId="28" fillId="3" borderId="4" xfId="4" applyNumberFormat="1" applyFont="1" applyFill="1" applyBorder="1"/>
    <xf numFmtId="175" fontId="28" fillId="5" borderId="15" xfId="4" applyNumberFormat="1" applyFont="1" applyFill="1" applyBorder="1"/>
    <xf numFmtId="175" fontId="28" fillId="5" borderId="0" xfId="4" applyNumberFormat="1" applyFont="1" applyFill="1" applyBorder="1"/>
    <xf numFmtId="175" fontId="28" fillId="3" borderId="3" xfId="4" applyNumberFormat="1" applyFont="1" applyFill="1" applyBorder="1"/>
    <xf numFmtId="175" fontId="28" fillId="5" borderId="16" xfId="4" applyNumberFormat="1" applyFont="1" applyFill="1" applyBorder="1"/>
    <xf numFmtId="43" fontId="28" fillId="4" borderId="0" xfId="4" applyFont="1" applyFill="1" applyBorder="1" applyAlignment="1">
      <alignment vertical="center"/>
    </xf>
    <xf numFmtId="43" fontId="28" fillId="4" borderId="0" xfId="4" applyFont="1" applyFill="1" applyAlignment="1">
      <alignment vertical="center"/>
    </xf>
    <xf numFmtId="4" fontId="28" fillId="4" borderId="4" xfId="12" applyNumberFormat="1" applyFont="1" applyFill="1" applyBorder="1"/>
    <xf numFmtId="4" fontId="28" fillId="4" borderId="5" xfId="12" applyNumberFormat="1" applyFont="1" applyFill="1" applyBorder="1"/>
    <xf numFmtId="0" fontId="28" fillId="4" borderId="0" xfId="0" applyFont="1" applyFill="1" applyBorder="1" applyAlignment="1">
      <alignment horizontal="center" vertical="top" wrapText="1"/>
    </xf>
    <xf numFmtId="177" fontId="28" fillId="4" borderId="0" xfId="11" applyNumberFormat="1" applyFont="1" applyFill="1" applyAlignment="1">
      <alignment vertical="center"/>
    </xf>
    <xf numFmtId="177" fontId="28" fillId="4" borderId="0" xfId="0" applyNumberFormat="1" applyFont="1" applyFill="1"/>
    <xf numFmtId="177" fontId="27" fillId="6" borderId="4" xfId="0" applyNumberFormat="1" applyFont="1" applyFill="1" applyBorder="1" applyAlignment="1">
      <alignment horizontal="center" vertical="top" wrapText="1"/>
    </xf>
    <xf numFmtId="172" fontId="28" fillId="4" borderId="0" xfId="0" applyNumberFormat="1" applyFont="1" applyFill="1"/>
    <xf numFmtId="167" fontId="28" fillId="4" borderId="0" xfId="12" applyNumberFormat="1" applyFont="1" applyFill="1" applyBorder="1" applyAlignment="1">
      <alignment horizontal="center" vertical="top" wrapText="1"/>
    </xf>
    <xf numFmtId="167" fontId="28" fillId="4" borderId="12" xfId="0" applyNumberFormat="1" applyFont="1" applyFill="1" applyBorder="1"/>
    <xf numFmtId="172" fontId="28" fillId="4" borderId="0" xfId="0" applyNumberFormat="1" applyFont="1" applyFill="1" applyBorder="1"/>
    <xf numFmtId="167" fontId="28" fillId="4" borderId="11" xfId="0" applyNumberFormat="1" applyFont="1" applyFill="1" applyBorder="1"/>
    <xf numFmtId="167" fontId="28" fillId="4" borderId="13" xfId="0" applyNumberFormat="1" applyFont="1" applyFill="1" applyBorder="1"/>
    <xf numFmtId="172" fontId="28" fillId="4" borderId="14" xfId="0" applyNumberFormat="1" applyFont="1" applyFill="1" applyBorder="1"/>
    <xf numFmtId="172" fontId="28" fillId="4" borderId="0" xfId="12" applyNumberFormat="1" applyFont="1" applyFill="1" applyBorder="1"/>
    <xf numFmtId="3" fontId="28" fillId="3" borderId="7" xfId="12" applyNumberFormat="1" applyFont="1" applyFill="1" applyBorder="1"/>
    <xf numFmtId="0" fontId="32" fillId="4" borderId="0" xfId="0" applyFont="1" applyFill="1"/>
    <xf numFmtId="0" fontId="33" fillId="4" borderId="5" xfId="0" applyFont="1" applyFill="1" applyBorder="1" applyAlignment="1">
      <alignment horizontal="center"/>
    </xf>
    <xf numFmtId="0" fontId="33" fillId="4" borderId="5" xfId="0" applyFont="1" applyFill="1" applyBorder="1"/>
    <xf numFmtId="3" fontId="33" fillId="4" borderId="5" xfId="12" applyNumberFormat="1" applyFont="1" applyFill="1" applyBorder="1" applyAlignment="1">
      <alignment horizontal="right"/>
    </xf>
    <xf numFmtId="0" fontId="33" fillId="4" borderId="0" xfId="0" applyFont="1" applyFill="1"/>
    <xf numFmtId="168" fontId="28" fillId="4" borderId="0" xfId="0" applyNumberFormat="1" applyFont="1" applyFill="1"/>
    <xf numFmtId="172" fontId="28" fillId="4" borderId="14" xfId="12" applyNumberFormat="1" applyFont="1" applyFill="1" applyBorder="1"/>
    <xf numFmtId="172" fontId="33" fillId="4" borderId="4" xfId="0" applyNumberFormat="1" applyFont="1" applyFill="1" applyBorder="1"/>
    <xf numFmtId="0" fontId="28" fillId="8" borderId="0" xfId="0" applyFont="1" applyFill="1"/>
    <xf numFmtId="14" fontId="28" fillId="8" borderId="0" xfId="0" applyNumberFormat="1" applyFont="1" applyFill="1"/>
    <xf numFmtId="0" fontId="28" fillId="8" borderId="0" xfId="0" applyFont="1" applyFill="1" applyBorder="1"/>
    <xf numFmtId="0" fontId="29" fillId="8" borderId="0" xfId="0" applyFont="1" applyFill="1"/>
    <xf numFmtId="174" fontId="28" fillId="8" borderId="0" xfId="0" applyNumberFormat="1" applyFont="1" applyFill="1" applyBorder="1"/>
    <xf numFmtId="0" fontId="28" fillId="8" borderId="0" xfId="0" applyFont="1" applyFill="1" applyAlignment="1">
      <alignment horizontal="center" wrapText="1"/>
    </xf>
    <xf numFmtId="43" fontId="28" fillId="8" borderId="0" xfId="4" applyFont="1" applyFill="1"/>
    <xf numFmtId="3" fontId="28" fillId="8" borderId="0" xfId="0" applyNumberFormat="1" applyFont="1" applyFill="1"/>
    <xf numFmtId="2" fontId="28" fillId="8" borderId="0" xfId="0" applyNumberFormat="1" applyFont="1" applyFill="1"/>
    <xf numFmtId="0" fontId="28" fillId="8" borderId="0" xfId="0" applyFont="1" applyFill="1" applyAlignment="1">
      <alignment horizontal="center"/>
    </xf>
    <xf numFmtId="9" fontId="28" fillId="8" borderId="0" xfId="0" applyNumberFormat="1" applyFont="1" applyFill="1" applyBorder="1" applyAlignment="1">
      <alignment horizontal="center" vertical="top" wrapText="1"/>
    </xf>
    <xf numFmtId="2" fontId="28" fillId="8" borderId="0" xfId="0" applyNumberFormat="1" applyFont="1" applyFill="1" applyBorder="1" applyAlignment="1">
      <alignment horizontal="center"/>
    </xf>
    <xf numFmtId="10" fontId="28" fillId="8" borderId="14" xfId="0" applyNumberFormat="1" applyFont="1" applyFill="1" applyBorder="1" applyAlignment="1">
      <alignment horizontal="center" vertical="top" wrapText="1"/>
    </xf>
    <xf numFmtId="170" fontId="28" fillId="8" borderId="0" xfId="0" applyNumberFormat="1" applyFont="1" applyFill="1" applyBorder="1"/>
    <xf numFmtId="3" fontId="28" fillId="8" borderId="0" xfId="0" applyNumberFormat="1" applyFont="1" applyFill="1" applyBorder="1"/>
    <xf numFmtId="43" fontId="28" fillId="8" borderId="0" xfId="4" applyFont="1" applyFill="1" applyBorder="1"/>
    <xf numFmtId="0" fontId="28" fillId="8" borderId="14" xfId="0" applyFont="1" applyFill="1" applyBorder="1"/>
    <xf numFmtId="43" fontId="28" fillId="8" borderId="14" xfId="4" applyFont="1" applyFill="1" applyBorder="1"/>
    <xf numFmtId="0" fontId="28" fillId="8" borderId="0" xfId="0" applyFont="1" applyFill="1" applyAlignment="1">
      <alignment vertical="top"/>
    </xf>
    <xf numFmtId="0" fontId="30" fillId="8" borderId="0" xfId="0" applyFont="1" applyFill="1"/>
    <xf numFmtId="14" fontId="28" fillId="7" borderId="14" xfId="0" applyNumberFormat="1" applyFont="1" applyFill="1" applyBorder="1" applyAlignment="1">
      <alignment horizontal="center"/>
    </xf>
    <xf numFmtId="9" fontId="28" fillId="7" borderId="14" xfId="0" applyNumberFormat="1" applyFont="1" applyFill="1" applyBorder="1" applyAlignment="1">
      <alignment horizontal="center" vertical="top" wrapText="1"/>
    </xf>
    <xf numFmtId="10" fontId="28" fillId="7" borderId="14" xfId="0" applyNumberFormat="1" applyFont="1" applyFill="1" applyBorder="1" applyAlignment="1">
      <alignment horizontal="center"/>
    </xf>
    <xf numFmtId="0" fontId="28" fillId="8" borderId="0" xfId="0" applyFont="1" applyFill="1" applyBorder="1" applyAlignment="1"/>
    <xf numFmtId="0" fontId="28" fillId="8" borderId="0" xfId="0" applyFont="1" applyFill="1" applyBorder="1" applyAlignment="1">
      <alignment horizontal="left" vertical="top"/>
    </xf>
    <xf numFmtId="0" fontId="28" fillId="8" borderId="0" xfId="0" applyFont="1" applyFill="1" applyBorder="1" applyAlignment="1">
      <alignment horizontal="left"/>
    </xf>
    <xf numFmtId="3" fontId="28" fillId="7" borderId="14" xfId="0" applyNumberFormat="1" applyFont="1" applyFill="1" applyBorder="1"/>
    <xf numFmtId="3" fontId="28" fillId="8" borderId="14" xfId="0" applyNumberFormat="1" applyFont="1" applyFill="1" applyBorder="1"/>
    <xf numFmtId="3" fontId="28" fillId="8" borderId="14" xfId="0" applyNumberFormat="1" applyFont="1" applyFill="1" applyBorder="1" applyAlignment="1">
      <alignment horizontal="center"/>
    </xf>
    <xf numFmtId="9" fontId="28" fillId="7" borderId="14" xfId="0" applyNumberFormat="1" applyFont="1" applyFill="1" applyBorder="1" applyAlignment="1">
      <alignment horizontal="center"/>
    </xf>
    <xf numFmtId="0" fontId="28" fillId="7" borderId="14" xfId="0" applyFont="1" applyFill="1" applyBorder="1" applyAlignment="1">
      <alignment horizontal="center" vertical="top" wrapText="1"/>
    </xf>
    <xf numFmtId="0" fontId="28" fillId="8" borderId="4" xfId="0" applyFont="1" applyFill="1" applyBorder="1" applyAlignment="1">
      <alignment horizontal="center" vertical="center" wrapText="1"/>
    </xf>
    <xf numFmtId="176" fontId="28" fillId="8" borderId="14" xfId="4" applyNumberFormat="1" applyFont="1" applyFill="1" applyBorder="1"/>
    <xf numFmtId="175" fontId="28" fillId="8" borderId="17" xfId="4" applyNumberFormat="1" applyFont="1" applyFill="1" applyBorder="1"/>
    <xf numFmtId="0" fontId="28" fillId="8" borderId="7" xfId="0" applyFont="1" applyFill="1" applyBorder="1"/>
    <xf numFmtId="2" fontId="28" fillId="8" borderId="4" xfId="0" applyNumberFormat="1" applyFont="1" applyFill="1" applyBorder="1"/>
    <xf numFmtId="0" fontId="28" fillId="8" borderId="0" xfId="0" quotePrefix="1" applyFont="1" applyFill="1" applyBorder="1"/>
    <xf numFmtId="170" fontId="28" fillId="8" borderId="14" xfId="0" applyNumberFormat="1" applyFont="1" applyFill="1" applyBorder="1"/>
    <xf numFmtId="174" fontId="28" fillId="8" borderId="14" xfId="0" applyNumberFormat="1" applyFont="1" applyFill="1" applyBorder="1"/>
    <xf numFmtId="0" fontId="28" fillId="8" borderId="0" xfId="0" applyFont="1" applyFill="1" applyBorder="1" applyAlignment="1">
      <alignment horizontal="center" vertical="center" wrapText="1"/>
    </xf>
    <xf numFmtId="0" fontId="34" fillId="8" borderId="0" xfId="0" applyFont="1" applyFill="1"/>
    <xf numFmtId="0" fontId="30" fillId="8" borderId="0" xfId="0" applyFont="1" applyFill="1" applyBorder="1"/>
    <xf numFmtId="0" fontId="27" fillId="6" borderId="3" xfId="0" applyFont="1" applyFill="1" applyBorder="1" applyAlignment="1">
      <alignment horizontal="center" vertical="center" wrapText="1"/>
    </xf>
    <xf numFmtId="4" fontId="28" fillId="4" borderId="0" xfId="0" applyNumberFormat="1" applyFont="1" applyFill="1" applyBorder="1"/>
    <xf numFmtId="1" fontId="30" fillId="4" borderId="0" xfId="11" applyNumberFormat="1" applyFont="1" applyFill="1" applyAlignment="1">
      <alignment horizontal="left" vertical="center"/>
    </xf>
    <xf numFmtId="175" fontId="28" fillId="8" borderId="0" xfId="4" applyNumberFormat="1" applyFont="1" applyFill="1"/>
    <xf numFmtId="0" fontId="35" fillId="8" borderId="0" xfId="0" applyFont="1" applyFill="1"/>
    <xf numFmtId="175" fontId="35" fillId="8" borderId="0" xfId="4" applyNumberFormat="1" applyFont="1" applyFill="1"/>
    <xf numFmtId="175" fontId="27" fillId="6" borderId="0" xfId="4" applyNumberFormat="1" applyFont="1" applyFill="1"/>
    <xf numFmtId="0" fontId="35" fillId="8" borderId="0" xfId="0" applyFont="1" applyFill="1" applyAlignment="1">
      <alignment horizontal="right"/>
    </xf>
    <xf numFmtId="169" fontId="31" fillId="4" borderId="0" xfId="11" applyNumberFormat="1" applyFont="1" applyFill="1" applyAlignment="1">
      <alignment vertical="center"/>
    </xf>
    <xf numFmtId="169" fontId="31" fillId="4" borderId="0" xfId="11" applyNumberFormat="1" applyFont="1" applyFill="1" applyBorder="1" applyAlignment="1">
      <alignment vertical="center"/>
    </xf>
    <xf numFmtId="176" fontId="28" fillId="4" borderId="0" xfId="14" applyNumberFormat="1" applyFont="1" applyFill="1" applyBorder="1" applyAlignment="1">
      <alignment vertical="center"/>
    </xf>
    <xf numFmtId="0" fontId="29" fillId="4" borderId="0" xfId="11" applyFont="1" applyFill="1" applyBorder="1"/>
    <xf numFmtId="176" fontId="29" fillId="4" borderId="0" xfId="14" applyNumberFormat="1" applyFont="1" applyFill="1" applyBorder="1"/>
    <xf numFmtId="0" fontId="28" fillId="4" borderId="0" xfId="15" applyFont="1" applyFill="1"/>
    <xf numFmtId="0" fontId="28" fillId="4" borderId="0" xfId="15" applyFont="1" applyFill="1" applyBorder="1"/>
    <xf numFmtId="176" fontId="28" fillId="4" borderId="0" xfId="14" applyNumberFormat="1" applyFont="1" applyFill="1" applyBorder="1"/>
    <xf numFmtId="3" fontId="16" fillId="4" borderId="5" xfId="15" applyNumberFormat="1" applyFont="1" applyFill="1" applyBorder="1" applyAlignment="1">
      <alignment horizontal="right"/>
    </xf>
    <xf numFmtId="165" fontId="28" fillId="4" borderId="5" xfId="14" applyFont="1" applyFill="1" applyBorder="1"/>
    <xf numFmtId="176" fontId="16" fillId="4" borderId="0" xfId="14" applyNumberFormat="1" applyFont="1" applyFill="1" applyBorder="1" applyAlignment="1">
      <alignment horizontal="left"/>
    </xf>
    <xf numFmtId="3" fontId="16" fillId="4" borderId="0" xfId="15" applyNumberFormat="1" applyFont="1" applyFill="1" applyBorder="1" applyAlignment="1">
      <alignment horizontal="right"/>
    </xf>
    <xf numFmtId="176" fontId="28" fillId="4" borderId="0" xfId="15" applyNumberFormat="1" applyFont="1" applyFill="1" applyBorder="1"/>
    <xf numFmtId="3" fontId="28" fillId="4" borderId="0" xfId="15" applyNumberFormat="1" applyFont="1" applyFill="1"/>
    <xf numFmtId="0" fontId="27" fillId="4" borderId="0" xfId="15" applyFont="1" applyFill="1" applyBorder="1" applyAlignment="1">
      <alignment vertical="center"/>
    </xf>
    <xf numFmtId="176" fontId="27" fillId="4" borderId="0" xfId="14" applyNumberFormat="1" applyFont="1" applyFill="1" applyBorder="1" applyAlignment="1">
      <alignment horizontal="center" vertical="center" wrapText="1"/>
    </xf>
    <xf numFmtId="176" fontId="27" fillId="4" borderId="0" xfId="14" applyNumberFormat="1" applyFont="1" applyFill="1" applyBorder="1" applyAlignment="1">
      <alignment vertical="center"/>
    </xf>
    <xf numFmtId="0" fontId="27" fillId="4" borderId="0" xfId="15" applyFont="1" applyFill="1" applyAlignment="1">
      <alignment vertical="center"/>
    </xf>
    <xf numFmtId="0" fontId="28" fillId="4" borderId="4" xfId="15" applyFont="1" applyFill="1" applyBorder="1"/>
    <xf numFmtId="0" fontId="28" fillId="4" borderId="5" xfId="15" applyFont="1" applyFill="1" applyBorder="1"/>
    <xf numFmtId="0" fontId="27" fillId="6" borderId="4" xfId="15" applyFont="1" applyFill="1" applyBorder="1" applyAlignment="1">
      <alignment horizontal="center" vertical="center" wrapText="1"/>
    </xf>
    <xf numFmtId="175" fontId="28" fillId="4" borderId="14" xfId="4" applyNumberFormat="1" applyFont="1" applyFill="1" applyBorder="1" applyAlignment="1">
      <alignment horizontal="center"/>
    </xf>
    <xf numFmtId="0" fontId="28" fillId="7" borderId="14" xfId="0" applyFont="1" applyFill="1" applyBorder="1"/>
    <xf numFmtId="175" fontId="28" fillId="4" borderId="7" xfId="4" applyNumberFormat="1" applyFont="1" applyFill="1" applyBorder="1" applyAlignment="1">
      <alignment horizontal="center"/>
    </xf>
    <xf numFmtId="175" fontId="28" fillId="5" borderId="14" xfId="4" applyNumberFormat="1" applyFont="1" applyFill="1" applyBorder="1" applyAlignment="1">
      <alignment horizontal="center"/>
    </xf>
    <xf numFmtId="172" fontId="33" fillId="5" borderId="4" xfId="0" applyNumberFormat="1" applyFont="1" applyFill="1" applyBorder="1"/>
    <xf numFmtId="172" fontId="33" fillId="5" borderId="5" xfId="0" applyNumberFormat="1" applyFont="1" applyFill="1" applyBorder="1"/>
    <xf numFmtId="172" fontId="28" fillId="5" borderId="14" xfId="0" applyNumberFormat="1" applyFont="1" applyFill="1" applyBorder="1"/>
    <xf numFmtId="172" fontId="33" fillId="5" borderId="3" xfId="0" applyNumberFormat="1" applyFont="1" applyFill="1" applyBorder="1"/>
    <xf numFmtId="0" fontId="28" fillId="7" borderId="14" xfId="15" applyFont="1" applyFill="1" applyBorder="1" applyAlignment="1">
      <alignment horizontal="center"/>
    </xf>
    <xf numFmtId="175" fontId="28" fillId="7" borderId="3" xfId="4" applyNumberFormat="1" applyFont="1" applyFill="1" applyBorder="1" applyAlignment="1">
      <alignment horizontal="center"/>
    </xf>
    <xf numFmtId="175" fontId="28" fillId="7" borderId="14" xfId="4" applyNumberFormat="1" applyFont="1" applyFill="1" applyBorder="1"/>
    <xf numFmtId="0" fontId="28" fillId="7" borderId="14" xfId="4" applyNumberFormat="1" applyFont="1" applyFill="1" applyBorder="1" applyAlignment="1">
      <alignment horizontal="center"/>
    </xf>
    <xf numFmtId="0" fontId="39" fillId="6" borderId="0" xfId="0" applyFont="1" applyFill="1"/>
    <xf numFmtId="0" fontId="28" fillId="7" borderId="4" xfId="15" applyFont="1" applyFill="1" applyBorder="1" applyAlignment="1">
      <alignment horizontal="center"/>
    </xf>
    <xf numFmtId="0" fontId="28" fillId="7" borderId="5" xfId="15" applyFont="1" applyFill="1" applyBorder="1" applyAlignment="1">
      <alignment horizontal="center"/>
    </xf>
    <xf numFmtId="175" fontId="28" fillId="4" borderId="0" xfId="15" applyNumberFormat="1" applyFont="1" applyFill="1"/>
    <xf numFmtId="175" fontId="28" fillId="4" borderId="3" xfId="4" applyNumberFormat="1" applyFont="1" applyFill="1" applyBorder="1" applyAlignment="1">
      <alignment horizontal="center"/>
    </xf>
    <xf numFmtId="175" fontId="28" fillId="8" borderId="0" xfId="4" applyNumberFormat="1" applyFont="1" applyFill="1" applyBorder="1"/>
    <xf numFmtId="43" fontId="28" fillId="7" borderId="14" xfId="4" applyFont="1" applyFill="1" applyBorder="1" applyAlignment="1">
      <alignment horizontal="center"/>
    </xf>
    <xf numFmtId="0" fontId="38" fillId="4" borderId="0" xfId="0" applyFont="1" applyFill="1"/>
    <xf numFmtId="175" fontId="38" fillId="4" borderId="0" xfId="4" applyNumberFormat="1" applyFont="1" applyFill="1"/>
    <xf numFmtId="0" fontId="38" fillId="8" borderId="0" xfId="0" applyFont="1" applyFill="1"/>
    <xf numFmtId="175" fontId="38" fillId="3" borderId="0" xfId="4" applyNumberFormat="1" applyFont="1" applyFill="1"/>
    <xf numFmtId="43" fontId="38" fillId="4" borderId="0" xfId="4" applyFont="1" applyFill="1"/>
    <xf numFmtId="175" fontId="38" fillId="4" borderId="16" xfId="4" applyNumberFormat="1" applyFont="1" applyFill="1" applyBorder="1"/>
    <xf numFmtId="175" fontId="40" fillId="4" borderId="0" xfId="4" applyNumberFormat="1" applyFont="1" applyFill="1"/>
    <xf numFmtId="0" fontId="40" fillId="4" borderId="0" xfId="0" applyFont="1" applyFill="1"/>
    <xf numFmtId="0" fontId="38" fillId="4" borderId="0" xfId="0" applyFont="1" applyFill="1" applyAlignment="1">
      <alignment horizontal="right"/>
    </xf>
    <xf numFmtId="0" fontId="38" fillId="4" borderId="0" xfId="0" applyFont="1" applyFill="1" applyAlignment="1">
      <alignment horizontal="left"/>
    </xf>
    <xf numFmtId="43" fontId="33" fillId="4" borderId="14" xfId="4" applyFont="1" applyFill="1" applyBorder="1"/>
    <xf numFmtId="175" fontId="28" fillId="0" borderId="5" xfId="4" applyNumberFormat="1" applyFont="1" applyFill="1" applyBorder="1"/>
    <xf numFmtId="0" fontId="17" fillId="0" borderId="0" xfId="0" applyFont="1" applyFill="1" applyAlignment="1">
      <alignment horizontal="left"/>
    </xf>
    <xf numFmtId="0" fontId="28" fillId="0" borderId="0" xfId="0" applyFont="1" applyFill="1"/>
    <xf numFmtId="10" fontId="28" fillId="8" borderId="3" xfId="12" applyNumberFormat="1" applyFont="1" applyFill="1" applyBorder="1"/>
    <xf numFmtId="2" fontId="28" fillId="8" borderId="14" xfId="0" applyNumberFormat="1" applyFont="1" applyFill="1" applyBorder="1" applyAlignment="1"/>
    <xf numFmtId="2" fontId="28" fillId="7" borderId="4" xfId="0" applyNumberFormat="1" applyFont="1" applyFill="1" applyBorder="1" applyAlignment="1"/>
    <xf numFmtId="2" fontId="28" fillId="8" borderId="14" xfId="4" applyNumberFormat="1" applyFont="1" applyFill="1" applyBorder="1"/>
    <xf numFmtId="4" fontId="28" fillId="4" borderId="5" xfId="0" applyNumberFormat="1" applyFont="1" applyFill="1" applyBorder="1"/>
    <xf numFmtId="43" fontId="28" fillId="4" borderId="5" xfId="4" applyNumberFormat="1" applyFont="1" applyFill="1" applyBorder="1"/>
    <xf numFmtId="176" fontId="28" fillId="5" borderId="14" xfId="4" applyNumberFormat="1" applyFont="1" applyFill="1" applyBorder="1"/>
    <xf numFmtId="175" fontId="28" fillId="7" borderId="14" xfId="4" applyNumberFormat="1" applyFont="1" applyFill="1" applyBorder="1" applyAlignment="1">
      <alignment horizontal="center" vertical="center" wrapText="1"/>
    </xf>
    <xf numFmtId="171" fontId="28" fillId="8" borderId="14" xfId="0" applyNumberFormat="1" applyFont="1" applyFill="1" applyBorder="1"/>
    <xf numFmtId="10" fontId="28" fillId="7" borderId="17" xfId="0" applyNumberFormat="1" applyFont="1" applyFill="1" applyBorder="1" applyAlignment="1">
      <alignment horizontal="center"/>
    </xf>
    <xf numFmtId="10" fontId="28" fillId="8" borderId="0" xfId="0" applyNumberFormat="1" applyFont="1" applyFill="1" applyBorder="1" applyAlignment="1">
      <alignment horizontal="center" vertical="top" wrapText="1"/>
    </xf>
    <xf numFmtId="0" fontId="28" fillId="8" borderId="14" xfId="0" applyFont="1" applyFill="1" applyBorder="1" applyAlignment="1">
      <alignment horizontal="right"/>
    </xf>
    <xf numFmtId="3" fontId="28" fillId="4" borderId="14" xfId="0" applyNumberFormat="1" applyFont="1" applyFill="1" applyBorder="1"/>
    <xf numFmtId="43" fontId="27" fillId="6" borderId="14" xfId="4" applyNumberFormat="1" applyFont="1" applyFill="1" applyBorder="1"/>
    <xf numFmtId="1" fontId="28" fillId="4" borderId="14" xfId="0" applyNumberFormat="1" applyFont="1" applyFill="1" applyBorder="1"/>
    <xf numFmtId="10" fontId="28" fillId="4" borderId="14" xfId="0" applyNumberFormat="1" applyFont="1" applyFill="1" applyBorder="1"/>
    <xf numFmtId="175" fontId="28" fillId="4" borderId="0" xfId="4" quotePrefix="1" applyNumberFormat="1" applyFont="1" applyFill="1" applyBorder="1"/>
    <xf numFmtId="10" fontId="28" fillId="4" borderId="0" xfId="0" applyNumberFormat="1" applyFont="1" applyFill="1" applyBorder="1"/>
    <xf numFmtId="43" fontId="28" fillId="7" borderId="14" xfId="4" applyNumberFormat="1" applyFont="1" applyFill="1" applyBorder="1"/>
    <xf numFmtId="43" fontId="28" fillId="4" borderId="0" xfId="4" applyNumberFormat="1" applyFont="1" applyFill="1"/>
    <xf numFmtId="0" fontId="28" fillId="4" borderId="0" xfId="0" applyFont="1" applyFill="1" applyAlignment="1">
      <alignment horizontal="left" vertical="center"/>
    </xf>
    <xf numFmtId="0" fontId="28" fillId="4" borderId="0" xfId="0" applyFont="1" applyFill="1" applyAlignment="1">
      <alignment vertical="center"/>
    </xf>
    <xf numFmtId="175" fontId="27" fillId="6" borderId="4" xfId="4" applyNumberFormat="1" applyFont="1" applyFill="1" applyBorder="1" applyAlignment="1">
      <alignment horizontal="center" vertical="center" wrapText="1"/>
    </xf>
    <xf numFmtId="175" fontId="28" fillId="4" borderId="0" xfId="4" applyNumberFormat="1" applyFont="1" applyFill="1" applyBorder="1" applyAlignment="1">
      <alignment horizontal="center"/>
    </xf>
    <xf numFmtId="175" fontId="27" fillId="6" borderId="5" xfId="4" applyNumberFormat="1" applyFont="1" applyFill="1" applyBorder="1" applyAlignment="1">
      <alignment horizontal="center" vertical="center" wrapText="1"/>
    </xf>
    <xf numFmtId="0" fontId="27" fillId="6" borderId="4" xfId="0" applyFont="1" applyFill="1" applyBorder="1" applyAlignment="1">
      <alignment horizontal="center" vertical="center" wrapText="1"/>
    </xf>
    <xf numFmtId="175" fontId="28" fillId="4" borderId="0" xfId="4" applyNumberFormat="1" applyFont="1" applyFill="1" applyBorder="1" applyAlignment="1">
      <alignment vertical="center"/>
    </xf>
    <xf numFmtId="175" fontId="27" fillId="6" borderId="15" xfId="4" applyNumberFormat="1" applyFont="1" applyFill="1" applyBorder="1" applyAlignment="1">
      <alignment horizontal="center" vertical="center" wrapText="1"/>
    </xf>
    <xf numFmtId="175" fontId="27" fillId="6" borderId="16" xfId="4" applyNumberFormat="1" applyFont="1" applyFill="1" applyBorder="1" applyAlignment="1">
      <alignment horizontal="center" vertical="top" wrapText="1"/>
    </xf>
    <xf numFmtId="9" fontId="28" fillId="7" borderId="14" xfId="12" applyFont="1" applyFill="1" applyBorder="1"/>
    <xf numFmtId="165" fontId="28" fillId="8" borderId="0" xfId="0" applyNumberFormat="1" applyFont="1" applyFill="1"/>
    <xf numFmtId="0" fontId="28" fillId="4" borderId="0" xfId="0" applyFont="1" applyFill="1" applyBorder="1" applyAlignment="1">
      <alignment horizontal="left"/>
    </xf>
    <xf numFmtId="175" fontId="27" fillId="6" borderId="14" xfId="4" applyNumberFormat="1" applyFont="1" applyFill="1" applyBorder="1" applyAlignment="1">
      <alignment horizontal="center" vertical="center" wrapText="1"/>
    </xf>
    <xf numFmtId="3" fontId="28" fillId="4" borderId="0" xfId="0" applyNumberFormat="1" applyFont="1" applyFill="1" applyBorder="1"/>
    <xf numFmtId="3" fontId="28" fillId="4" borderId="7" xfId="0" applyNumberFormat="1" applyFont="1" applyFill="1" applyBorder="1"/>
    <xf numFmtId="0" fontId="28" fillId="4" borderId="9" xfId="0" applyFont="1" applyFill="1" applyBorder="1" applyAlignment="1">
      <alignment horizontal="center"/>
    </xf>
    <xf numFmtId="3" fontId="28" fillId="4" borderId="4" xfId="0" applyNumberFormat="1" applyFont="1" applyFill="1" applyBorder="1"/>
    <xf numFmtId="166" fontId="28" fillId="4" borderId="6" xfId="0" applyNumberFormat="1" applyFont="1" applyFill="1" applyBorder="1" applyAlignment="1">
      <alignment horizontal="center"/>
    </xf>
    <xf numFmtId="175" fontId="28" fillId="4" borderId="6" xfId="4" applyNumberFormat="1" applyFont="1" applyFill="1" applyBorder="1"/>
    <xf numFmtId="43" fontId="27" fillId="6" borderId="3" xfId="4" applyFont="1" applyFill="1" applyBorder="1" applyAlignment="1">
      <alignment horizontal="center" vertical="center"/>
    </xf>
    <xf numFmtId="175" fontId="28" fillId="3" borderId="11" xfId="4" applyNumberFormat="1" applyFont="1" applyFill="1" applyBorder="1"/>
    <xf numFmtId="175" fontId="28" fillId="3" borderId="7" xfId="4" applyNumberFormat="1" applyFont="1" applyFill="1" applyBorder="1"/>
    <xf numFmtId="175" fontId="28" fillId="4" borderId="4" xfId="4" applyNumberFormat="1" applyFont="1" applyFill="1" applyBorder="1" applyAlignment="1">
      <alignment horizontal="center"/>
    </xf>
    <xf numFmtId="175" fontId="28" fillId="4" borderId="5" xfId="4" applyNumberFormat="1" applyFont="1" applyFill="1" applyBorder="1" applyAlignment="1">
      <alignment horizontal="center"/>
    </xf>
    <xf numFmtId="4" fontId="28" fillId="4" borderId="6" xfId="12" applyNumberFormat="1" applyFont="1" applyFill="1" applyBorder="1"/>
    <xf numFmtId="177" fontId="28" fillId="4" borderId="6" xfId="4" applyNumberFormat="1" applyFont="1" applyFill="1" applyBorder="1"/>
    <xf numFmtId="0" fontId="28" fillId="4" borderId="4" xfId="15" applyFont="1" applyFill="1" applyBorder="1" applyAlignment="1">
      <alignment horizontal="center"/>
    </xf>
    <xf numFmtId="0" fontId="28" fillId="4" borderId="5" xfId="15" applyFont="1" applyFill="1" applyBorder="1" applyAlignment="1">
      <alignment horizontal="center"/>
    </xf>
    <xf numFmtId="0" fontId="28" fillId="4" borderId="3" xfId="15" applyFont="1" applyFill="1" applyBorder="1" applyAlignment="1">
      <alignment horizontal="center"/>
    </xf>
    <xf numFmtId="0" fontId="33" fillId="4" borderId="4" xfId="0" applyFont="1" applyFill="1" applyBorder="1" applyAlignment="1">
      <alignment horizontal="center"/>
    </xf>
    <xf numFmtId="172" fontId="33" fillId="5" borderId="12" xfId="0" applyNumberFormat="1" applyFont="1" applyFill="1" applyBorder="1"/>
    <xf numFmtId="172" fontId="33" fillId="5" borderId="11" xfId="0" applyNumberFormat="1" applyFont="1" applyFill="1" applyBorder="1"/>
    <xf numFmtId="3" fontId="33" fillId="4" borderId="0" xfId="12" applyNumberFormat="1" applyFont="1" applyFill="1" applyBorder="1"/>
    <xf numFmtId="172" fontId="33" fillId="4" borderId="0" xfId="0" applyNumberFormat="1" applyFont="1" applyFill="1" applyBorder="1"/>
    <xf numFmtId="43" fontId="33" fillId="4" borderId="9" xfId="4" applyFont="1" applyFill="1" applyBorder="1"/>
    <xf numFmtId="3" fontId="33" fillId="4" borderId="4" xfId="12" applyNumberFormat="1" applyFont="1" applyFill="1" applyBorder="1" applyAlignment="1">
      <alignment horizontal="right"/>
    </xf>
    <xf numFmtId="172" fontId="33" fillId="4" borderId="5" xfId="0" applyNumberFormat="1" applyFont="1" applyFill="1" applyBorder="1"/>
    <xf numFmtId="0" fontId="28" fillId="8" borderId="0" xfId="0" applyFont="1" applyFill="1" applyBorder="1" applyAlignment="1">
      <alignment horizontal="right"/>
    </xf>
    <xf numFmtId="3" fontId="33" fillId="4" borderId="0" xfId="0" applyNumberFormat="1" applyFont="1" applyFill="1"/>
    <xf numFmtId="43" fontId="28" fillId="7" borderId="17" xfId="4" applyFont="1" applyFill="1" applyBorder="1"/>
    <xf numFmtId="167" fontId="28" fillId="7" borderId="14" xfId="0" applyNumberFormat="1" applyFont="1" applyFill="1" applyBorder="1" applyAlignment="1">
      <alignment horizontal="center"/>
    </xf>
    <xf numFmtId="43" fontId="27" fillId="6" borderId="4" xfId="4" applyFont="1" applyFill="1" applyBorder="1" applyAlignment="1">
      <alignment horizontal="center" vertical="center" wrapText="1"/>
    </xf>
    <xf numFmtId="175" fontId="38" fillId="4" borderId="0" xfId="4" applyNumberFormat="1" applyFont="1" applyFill="1" applyAlignment="1">
      <alignment horizontal="right"/>
    </xf>
    <xf numFmtId="43" fontId="27" fillId="6" borderId="5" xfId="4" applyFont="1" applyFill="1" applyBorder="1" applyAlignment="1">
      <alignment horizontal="center" vertical="top" wrapText="1"/>
    </xf>
    <xf numFmtId="43" fontId="28" fillId="4" borderId="0" xfId="4" applyFont="1" applyFill="1" applyAlignment="1">
      <alignment horizontal="center"/>
    </xf>
    <xf numFmtId="43" fontId="28" fillId="4" borderId="0" xfId="4" applyFont="1" applyFill="1" applyBorder="1" applyAlignment="1">
      <alignment horizontal="center"/>
    </xf>
    <xf numFmtId="43" fontId="28" fillId="4" borderId="0" xfId="4" applyFont="1" applyFill="1" applyBorder="1" applyAlignment="1">
      <alignment horizontal="left"/>
    </xf>
    <xf numFmtId="43" fontId="28" fillId="4" borderId="0" xfId="4" applyFont="1" applyFill="1" applyAlignment="1">
      <alignment horizontal="left"/>
    </xf>
    <xf numFmtId="43" fontId="29" fillId="4" borderId="0" xfId="4" applyFont="1" applyFill="1"/>
    <xf numFmtId="43" fontId="28" fillId="4" borderId="0" xfId="4" applyFont="1" applyFill="1" applyAlignment="1">
      <alignment horizontal="center" vertical="top" wrapText="1"/>
    </xf>
    <xf numFmtId="43" fontId="27" fillId="6" borderId="14" xfId="4" applyFont="1" applyFill="1" applyBorder="1" applyAlignment="1">
      <alignment horizontal="center"/>
    </xf>
    <xf numFmtId="43" fontId="28" fillId="4" borderId="9" xfId="4" applyFont="1" applyFill="1" applyBorder="1"/>
    <xf numFmtId="43" fontId="28" fillId="2" borderId="5" xfId="4" applyFont="1" applyFill="1" applyBorder="1"/>
    <xf numFmtId="43" fontId="28" fillId="2" borderId="0" xfId="4" applyFont="1" applyFill="1" applyBorder="1"/>
    <xf numFmtId="43" fontId="28" fillId="0" borderId="9" xfId="4" applyFont="1" applyFill="1" applyBorder="1"/>
    <xf numFmtId="43" fontId="28" fillId="0" borderId="0" xfId="4" applyFont="1" applyFill="1"/>
    <xf numFmtId="43" fontId="28" fillId="4" borderId="0" xfId="4" applyFont="1" applyFill="1" applyBorder="1"/>
    <xf numFmtId="179" fontId="30" fillId="4" borderId="0" xfId="4" applyNumberFormat="1" applyFont="1" applyFill="1" applyAlignment="1">
      <alignment horizontal="left"/>
    </xf>
    <xf numFmtId="179" fontId="28" fillId="4" borderId="0" xfId="4" applyNumberFormat="1" applyFont="1" applyFill="1" applyAlignment="1">
      <alignment horizontal="left"/>
    </xf>
    <xf numFmtId="179" fontId="28" fillId="4" borderId="5" xfId="4" applyNumberFormat="1" applyFont="1" applyFill="1" applyBorder="1" applyAlignment="1">
      <alignment horizontal="center"/>
    </xf>
    <xf numFmtId="179" fontId="28" fillId="0" borderId="5" xfId="4" applyNumberFormat="1" applyFont="1" applyFill="1" applyBorder="1" applyAlignment="1">
      <alignment horizontal="center"/>
    </xf>
    <xf numFmtId="179" fontId="28" fillId="4" borderId="14" xfId="4" applyNumberFormat="1" applyFont="1" applyFill="1" applyBorder="1" applyAlignment="1">
      <alignment horizontal="center"/>
    </xf>
    <xf numFmtId="179" fontId="28" fillId="4" borderId="0" xfId="4" applyNumberFormat="1" applyFont="1" applyFill="1" applyAlignment="1">
      <alignment horizontal="center"/>
    </xf>
    <xf numFmtId="175" fontId="43" fillId="4" borderId="0" xfId="4" applyNumberFormat="1" applyFont="1" applyFill="1"/>
    <xf numFmtId="43" fontId="42" fillId="6" borderId="4" xfId="4" applyFont="1" applyFill="1" applyBorder="1" applyAlignment="1">
      <alignment horizontal="center"/>
    </xf>
    <xf numFmtId="43" fontId="27" fillId="6" borderId="12" xfId="4" applyFont="1" applyFill="1" applyBorder="1" applyAlignment="1">
      <alignment horizontal="center"/>
    </xf>
    <xf numFmtId="14" fontId="42" fillId="6" borderId="4" xfId="0" applyNumberFormat="1" applyFont="1" applyFill="1" applyBorder="1" applyAlignment="1">
      <alignment horizontal="center"/>
    </xf>
    <xf numFmtId="0" fontId="28" fillId="7" borderId="14" xfId="0" applyFont="1" applyFill="1" applyBorder="1" applyAlignment="1">
      <alignment horizontal="center"/>
    </xf>
    <xf numFmtId="175" fontId="38" fillId="8" borderId="0" xfId="0" applyNumberFormat="1" applyFont="1" applyFill="1"/>
    <xf numFmtId="175" fontId="40" fillId="4" borderId="0" xfId="4" applyNumberFormat="1" applyFont="1" applyFill="1" applyAlignment="1">
      <alignment horizontal="center"/>
    </xf>
    <xf numFmtId="0" fontId="42" fillId="6" borderId="4" xfId="4" quotePrefix="1" applyNumberFormat="1" applyFont="1" applyFill="1" applyBorder="1" applyAlignment="1">
      <alignment horizontal="center"/>
    </xf>
    <xf numFmtId="0" fontId="27" fillId="6" borderId="5" xfId="0" applyFont="1" applyFill="1" applyBorder="1" applyAlignment="1">
      <alignment horizontal="center" vertical="center" wrapText="1"/>
    </xf>
    <xf numFmtId="0" fontId="28" fillId="4" borderId="9" xfId="0" applyFont="1" applyFill="1" applyBorder="1" applyAlignment="1">
      <alignment horizontal="left"/>
    </xf>
    <xf numFmtId="0" fontId="28" fillId="4" borderId="10" xfId="0" applyFont="1" applyFill="1" applyBorder="1" applyAlignment="1">
      <alignment horizontal="left"/>
    </xf>
    <xf numFmtId="0" fontId="28" fillId="4" borderId="8" xfId="0" applyFont="1" applyFill="1" applyBorder="1" applyAlignment="1">
      <alignment horizontal="left"/>
    </xf>
    <xf numFmtId="3" fontId="28" fillId="4" borderId="12" xfId="12" applyNumberFormat="1" applyFont="1" applyFill="1" applyBorder="1"/>
    <xf numFmtId="3" fontId="28" fillId="4" borderId="11" xfId="12" applyNumberFormat="1" applyFont="1" applyFill="1" applyBorder="1"/>
    <xf numFmtId="3" fontId="28" fillId="4" borderId="13" xfId="12" applyNumberFormat="1" applyFont="1" applyFill="1" applyBorder="1"/>
    <xf numFmtId="0" fontId="27" fillId="6" borderId="5" xfId="0" applyFont="1" applyFill="1" applyBorder="1" applyAlignment="1">
      <alignment horizontal="center" vertical="center"/>
    </xf>
    <xf numFmtId="171" fontId="28" fillId="8" borderId="0" xfId="0" applyNumberFormat="1" applyFont="1" applyFill="1"/>
    <xf numFmtId="175" fontId="28" fillId="4" borderId="17" xfId="4" applyNumberFormat="1" applyFont="1" applyFill="1" applyBorder="1" applyAlignment="1">
      <alignment horizontal="center"/>
    </xf>
    <xf numFmtId="172" fontId="28" fillId="4" borderId="3" xfId="0" applyNumberFormat="1" applyFont="1" applyFill="1" applyBorder="1"/>
    <xf numFmtId="172" fontId="33" fillId="4" borderId="3" xfId="0" applyNumberFormat="1" applyFont="1" applyFill="1" applyBorder="1"/>
    <xf numFmtId="176" fontId="28" fillId="4" borderId="0" xfId="4" applyNumberFormat="1" applyFont="1" applyFill="1"/>
    <xf numFmtId="175" fontId="28" fillId="7" borderId="14" xfId="4" applyNumberFormat="1" applyFont="1" applyFill="1" applyBorder="1" applyAlignment="1">
      <alignment horizontal="center"/>
    </xf>
    <xf numFmtId="0" fontId="28" fillId="8" borderId="0" xfId="0" quotePrefix="1" applyFont="1" applyFill="1" applyBorder="1" applyAlignment="1"/>
    <xf numFmtId="10" fontId="28" fillId="4" borderId="9" xfId="12" applyNumberFormat="1" applyFont="1" applyFill="1" applyBorder="1"/>
    <xf numFmtId="2" fontId="28" fillId="4" borderId="8" xfId="13" applyNumberFormat="1" applyFont="1" applyFill="1" applyBorder="1"/>
    <xf numFmtId="2" fontId="28" fillId="4" borderId="0" xfId="13" applyNumberFormat="1" applyFont="1" applyFill="1" applyBorder="1"/>
    <xf numFmtId="2" fontId="28" fillId="4" borderId="9" xfId="13" applyNumberFormat="1" applyFont="1" applyFill="1" applyBorder="1"/>
    <xf numFmtId="2" fontId="28" fillId="4" borderId="10" xfId="13" applyNumberFormat="1" applyFont="1" applyFill="1" applyBorder="1"/>
    <xf numFmtId="43" fontId="28" fillId="4" borderId="0" xfId="4" applyFont="1" applyFill="1"/>
    <xf numFmtId="0" fontId="28" fillId="4" borderId="3" xfId="0" applyFont="1" applyFill="1" applyBorder="1"/>
    <xf numFmtId="43" fontId="28" fillId="4" borderId="5" xfId="4" applyNumberFormat="1" applyFont="1" applyFill="1" applyBorder="1"/>
    <xf numFmtId="2" fontId="28" fillId="4" borderId="0" xfId="13" applyNumberFormat="1" applyFont="1" applyFill="1" applyBorder="1"/>
    <xf numFmtId="43" fontId="28" fillId="4" borderId="4" xfId="4" applyNumberFormat="1" applyFont="1" applyFill="1" applyBorder="1"/>
    <xf numFmtId="2" fontId="28" fillId="4" borderId="4" xfId="13" applyNumberFormat="1" applyFont="1" applyFill="1" applyBorder="1"/>
    <xf numFmtId="2" fontId="28" fillId="4" borderId="5" xfId="13" applyNumberFormat="1" applyFont="1" applyFill="1" applyBorder="1"/>
    <xf numFmtId="2" fontId="28" fillId="4" borderId="3" xfId="13" applyNumberFormat="1" applyFont="1" applyFill="1" applyBorder="1"/>
    <xf numFmtId="43" fontId="28" fillId="4" borderId="3" xfId="4" applyNumberFormat="1" applyFont="1" applyFill="1" applyBorder="1"/>
    <xf numFmtId="43" fontId="43" fillId="10" borderId="5" xfId="4" applyFont="1" applyFill="1" applyBorder="1"/>
    <xf numFmtId="178" fontId="28" fillId="8" borderId="0" xfId="0" quotePrefix="1" applyNumberFormat="1" applyFont="1" applyFill="1" applyAlignment="1">
      <alignment horizontal="right"/>
    </xf>
    <xf numFmtId="164" fontId="28" fillId="8" borderId="0" xfId="0" applyNumberFormat="1" applyFont="1" applyFill="1"/>
    <xf numFmtId="43" fontId="27" fillId="6" borderId="14" xfId="4" applyNumberFormat="1" applyFont="1" applyFill="1" applyBorder="1" applyAlignment="1">
      <alignment horizontal="center" vertical="top" wrapText="1"/>
    </xf>
    <xf numFmtId="2" fontId="27" fillId="6" borderId="14" xfId="0" applyNumberFormat="1" applyFont="1" applyFill="1" applyBorder="1" applyAlignment="1">
      <alignment horizontal="center" vertical="top" wrapText="1"/>
    </xf>
    <xf numFmtId="43" fontId="27" fillId="10" borderId="14" xfId="4" applyFont="1" applyFill="1" applyBorder="1" applyAlignment="1">
      <alignment horizontal="center"/>
    </xf>
    <xf numFmtId="0" fontId="28" fillId="8" borderId="0" xfId="0" applyFont="1" applyFill="1" applyBorder="1"/>
    <xf numFmtId="0" fontId="28" fillId="8" borderId="0" xfId="0" applyFont="1" applyFill="1" applyBorder="1" applyAlignment="1">
      <alignment horizontal="left"/>
    </xf>
    <xf numFmtId="43" fontId="28" fillId="4" borderId="14" xfId="4" applyFont="1" applyFill="1" applyBorder="1"/>
    <xf numFmtId="43" fontId="43" fillId="4" borderId="5" xfId="4" applyFont="1" applyFill="1" applyBorder="1"/>
    <xf numFmtId="43" fontId="28" fillId="3" borderId="5" xfId="4" applyFont="1" applyFill="1" applyBorder="1"/>
    <xf numFmtId="43" fontId="28" fillId="4" borderId="14" xfId="4" applyFont="1" applyFill="1" applyBorder="1"/>
    <xf numFmtId="43" fontId="43" fillId="4" borderId="5" xfId="4" applyFont="1" applyFill="1" applyBorder="1"/>
    <xf numFmtId="43" fontId="28" fillId="2" borderId="14" xfId="4" applyFont="1" applyFill="1" applyBorder="1"/>
    <xf numFmtId="43" fontId="28" fillId="4" borderId="9" xfId="4" applyNumberFormat="1" applyFont="1" applyFill="1" applyBorder="1"/>
    <xf numFmtId="43" fontId="28" fillId="4" borderId="9" xfId="4" applyNumberFormat="1" applyFont="1" applyFill="1" applyBorder="1"/>
    <xf numFmtId="43" fontId="28" fillId="4" borderId="9" xfId="4" applyNumberFormat="1" applyFont="1" applyFill="1" applyBorder="1"/>
    <xf numFmtId="43" fontId="28" fillId="4" borderId="5" xfId="4" applyFont="1" applyFill="1" applyBorder="1" applyAlignment="1">
      <alignment horizontal="center"/>
    </xf>
    <xf numFmtId="43" fontId="28" fillId="4" borderId="4" xfId="4" applyFont="1" applyFill="1" applyBorder="1" applyAlignment="1">
      <alignment horizontal="center"/>
    </xf>
    <xf numFmtId="43" fontId="28" fillId="4" borderId="3" xfId="4" applyFont="1" applyFill="1" applyBorder="1" applyAlignment="1">
      <alignment horizontal="center"/>
    </xf>
    <xf numFmtId="175" fontId="28" fillId="4" borderId="11" xfId="4" applyNumberFormat="1" applyFont="1" applyFill="1" applyBorder="1"/>
    <xf numFmtId="175" fontId="28" fillId="4" borderId="12" xfId="4" applyNumberFormat="1" applyFont="1" applyFill="1" applyBorder="1"/>
    <xf numFmtId="175" fontId="28" fillId="4" borderId="13" xfId="4" applyNumberFormat="1" applyFont="1" applyFill="1" applyBorder="1"/>
    <xf numFmtId="43" fontId="28" fillId="4" borderId="0" xfId="4" applyFont="1" applyFill="1"/>
    <xf numFmtId="3" fontId="28" fillId="3" borderId="14" xfId="12" applyNumberFormat="1" applyFont="1" applyFill="1" applyBorder="1"/>
    <xf numFmtId="3" fontId="28" fillId="3" borderId="5" xfId="12" applyNumberFormat="1" applyFont="1" applyFill="1" applyBorder="1"/>
    <xf numFmtId="175" fontId="28" fillId="3" borderId="5" xfId="4" applyNumberFormat="1" applyFont="1" applyFill="1" applyBorder="1"/>
    <xf numFmtId="171" fontId="10" fillId="8" borderId="14" xfId="0" applyNumberFormat="1" applyFont="1" applyFill="1" applyBorder="1"/>
    <xf numFmtId="167" fontId="10" fillId="7" borderId="14" xfId="0" applyNumberFormat="1" applyFont="1" applyFill="1" applyBorder="1"/>
    <xf numFmtId="164" fontId="28" fillId="4" borderId="0" xfId="0" applyNumberFormat="1" applyFont="1" applyFill="1"/>
    <xf numFmtId="43" fontId="28" fillId="4" borderId="14" xfId="4" applyNumberFormat="1" applyFont="1" applyFill="1" applyBorder="1" applyAlignment="1">
      <alignment horizontal="right"/>
    </xf>
    <xf numFmtId="9" fontId="27" fillId="6" borderId="14" xfId="12" applyFont="1" applyFill="1" applyBorder="1" applyAlignment="1">
      <alignment horizontal="center"/>
    </xf>
    <xf numFmtId="0" fontId="28" fillId="4" borderId="0" xfId="0" applyFont="1" applyFill="1"/>
    <xf numFmtId="4" fontId="28" fillId="4" borderId="0" xfId="0" applyNumberFormat="1" applyFont="1" applyFill="1"/>
    <xf numFmtId="2" fontId="28" fillId="4" borderId="5" xfId="0" applyNumberFormat="1" applyFont="1" applyFill="1" applyBorder="1"/>
    <xf numFmtId="2" fontId="28" fillId="4" borderId="14" xfId="0" applyNumberFormat="1" applyFont="1" applyFill="1" applyBorder="1"/>
    <xf numFmtId="169" fontId="28" fillId="4" borderId="0" xfId="11" applyNumberFormat="1" applyFont="1" applyFill="1" applyAlignment="1">
      <alignment vertical="center"/>
    </xf>
    <xf numFmtId="4" fontId="28" fillId="4" borderId="0" xfId="12" applyNumberFormat="1" applyFont="1" applyFill="1" applyBorder="1"/>
    <xf numFmtId="4" fontId="28" fillId="4" borderId="5" xfId="12" applyNumberFormat="1" applyFont="1" applyFill="1" applyBorder="1"/>
    <xf numFmtId="0" fontId="28" fillId="8" borderId="0" xfId="0" applyFont="1" applyFill="1"/>
    <xf numFmtId="0" fontId="28" fillId="8" borderId="0" xfId="0" applyFont="1" applyFill="1" applyBorder="1"/>
    <xf numFmtId="10" fontId="28" fillId="7" borderId="14" xfId="0" applyNumberFormat="1" applyFont="1" applyFill="1" applyBorder="1" applyAlignment="1">
      <alignment horizontal="center"/>
    </xf>
    <xf numFmtId="177" fontId="28" fillId="4" borderId="0" xfId="4" applyNumberFormat="1" applyFont="1" applyFill="1" applyBorder="1"/>
    <xf numFmtId="175" fontId="28" fillId="4" borderId="0" xfId="4" applyNumberFormat="1" applyFont="1" applyFill="1" applyBorder="1"/>
    <xf numFmtId="175" fontId="28" fillId="4" borderId="3" xfId="4" applyNumberFormat="1" applyFont="1" applyFill="1" applyBorder="1"/>
    <xf numFmtId="175" fontId="28" fillId="4" borderId="0" xfId="0" applyNumberFormat="1" applyFont="1" applyFill="1"/>
    <xf numFmtId="175" fontId="28" fillId="8" borderId="0" xfId="0" applyNumberFormat="1" applyFont="1" applyFill="1"/>
    <xf numFmtId="175" fontId="38" fillId="8" borderId="0" xfId="0" applyNumberFormat="1" applyFont="1" applyFill="1"/>
    <xf numFmtId="43" fontId="38" fillId="8" borderId="0" xfId="4" applyFont="1" applyFill="1"/>
    <xf numFmtId="43" fontId="28" fillId="4" borderId="0" xfId="15" applyNumberFormat="1" applyFont="1" applyFill="1"/>
    <xf numFmtId="176" fontId="5" fillId="4" borderId="0" xfId="14" applyNumberFormat="1" applyFont="1" applyFill="1" applyBorder="1" applyAlignment="1">
      <alignment horizontal="left"/>
    </xf>
    <xf numFmtId="164" fontId="16" fillId="4" borderId="0" xfId="14" applyNumberFormat="1" applyFont="1" applyFill="1" applyBorder="1" applyAlignment="1">
      <alignment horizontal="left"/>
    </xf>
    <xf numFmtId="0" fontId="27" fillId="6" borderId="4" xfId="0" applyFont="1" applyFill="1" applyBorder="1" applyAlignment="1">
      <alignment horizontal="center" vertical="center" wrapText="1"/>
    </xf>
    <xf numFmtId="179" fontId="28" fillId="0" borderId="0" xfId="4" applyNumberFormat="1" applyFont="1" applyFill="1" applyAlignment="1">
      <alignment horizontal="left"/>
    </xf>
    <xf numFmtId="43" fontId="28" fillId="0" borderId="0" xfId="4" applyFont="1" applyFill="1" applyBorder="1"/>
    <xf numFmtId="166" fontId="28" fillId="4" borderId="13" xfId="0" applyNumberFormat="1" applyFont="1" applyFill="1" applyBorder="1" applyAlignment="1">
      <alignment horizontal="center"/>
    </xf>
    <xf numFmtId="9" fontId="27" fillId="6" borderId="5" xfId="12" applyFont="1" applyFill="1" applyBorder="1" applyAlignment="1">
      <alignment horizontal="center"/>
    </xf>
    <xf numFmtId="10" fontId="27" fillId="6" borderId="14" xfId="12" applyNumberFormat="1" applyFont="1" applyFill="1" applyBorder="1" applyAlignment="1">
      <alignment vertical="center"/>
    </xf>
    <xf numFmtId="43" fontId="27" fillId="6" borderId="14" xfId="4" applyNumberFormat="1" applyFont="1" applyFill="1" applyBorder="1" applyAlignment="1">
      <alignment horizontal="center" vertical="center" wrapText="1"/>
    </xf>
    <xf numFmtId="43" fontId="27" fillId="6" borderId="14" xfId="4" quotePrefix="1" applyFont="1" applyFill="1" applyBorder="1" applyAlignment="1">
      <alignment horizontal="center" vertical="center" wrapText="1"/>
    </xf>
    <xf numFmtId="0" fontId="27" fillId="6" borderId="14" xfId="15" quotePrefix="1" applyFont="1" applyFill="1" applyBorder="1" applyAlignment="1">
      <alignment horizontal="center" vertical="center" wrapText="1"/>
    </xf>
    <xf numFmtId="43" fontId="28" fillId="4" borderId="5" xfId="4" applyFont="1" applyFill="1" applyBorder="1"/>
    <xf numFmtId="175" fontId="28" fillId="4" borderId="0" xfId="4" applyNumberFormat="1" applyFont="1" applyFill="1" applyBorder="1" applyAlignment="1">
      <alignment horizontal="center"/>
    </xf>
    <xf numFmtId="175" fontId="28" fillId="4" borderId="4" xfId="4" applyNumberFormat="1" applyFont="1" applyFill="1" applyBorder="1" applyAlignment="1">
      <alignment horizontal="center"/>
    </xf>
    <xf numFmtId="175" fontId="28" fillId="4" borderId="5" xfId="4" applyNumberFormat="1" applyFont="1" applyFill="1" applyBorder="1" applyAlignment="1">
      <alignment horizontal="center"/>
    </xf>
    <xf numFmtId="175" fontId="28" fillId="0" borderId="0" xfId="4" applyNumberFormat="1" applyFont="1" applyFill="1" applyBorder="1"/>
    <xf numFmtId="175" fontId="28" fillId="4" borderId="0" xfId="4" applyNumberFormat="1" applyFont="1" applyFill="1" applyBorder="1"/>
    <xf numFmtId="175" fontId="28" fillId="4" borderId="15" xfId="4" applyNumberFormat="1" applyFont="1" applyFill="1" applyBorder="1"/>
    <xf numFmtId="175" fontId="28" fillId="4" borderId="16" xfId="4" applyNumberFormat="1" applyFont="1" applyFill="1" applyBorder="1"/>
    <xf numFmtId="0" fontId="20" fillId="0" borderId="0" xfId="9"/>
    <xf numFmtId="0" fontId="22" fillId="0" borderId="0" xfId="173" applyFont="1" applyBorder="1" applyAlignment="1">
      <alignment vertical="top"/>
    </xf>
    <xf numFmtId="4" fontId="44" fillId="0" borderId="0" xfId="173" applyNumberFormat="1" applyFont="1" applyBorder="1" applyAlignment="1">
      <alignment vertical="top"/>
    </xf>
    <xf numFmtId="4" fontId="45" fillId="0" borderId="0" xfId="173" applyNumberFormat="1" applyFont="1" applyBorder="1" applyAlignment="1">
      <alignment vertical="top"/>
    </xf>
    <xf numFmtId="0" fontId="22" fillId="0" borderId="0" xfId="173" applyAlignment="1">
      <alignment vertical="top"/>
    </xf>
    <xf numFmtId="0" fontId="46" fillId="0" borderId="0" xfId="9" applyFont="1" applyAlignment="1"/>
    <xf numFmtId="4" fontId="46" fillId="0" borderId="0" xfId="9" applyNumberFormat="1" applyFont="1"/>
    <xf numFmtId="0" fontId="46" fillId="0" borderId="0" xfId="9" applyFont="1"/>
    <xf numFmtId="0" fontId="20" fillId="0" borderId="0" xfId="9" applyFont="1"/>
    <xf numFmtId="0" fontId="20" fillId="0" borderId="0" xfId="9" applyFont="1" applyAlignment="1"/>
    <xf numFmtId="4" fontId="47" fillId="0" borderId="0" xfId="9" applyNumberFormat="1" applyFont="1"/>
    <xf numFmtId="0" fontId="48" fillId="11" borderId="0" xfId="9" applyFont="1" applyFill="1" applyAlignment="1">
      <alignment horizontal="left"/>
    </xf>
    <xf numFmtId="0" fontId="48" fillId="11" borderId="0" xfId="9" applyFont="1" applyFill="1"/>
    <xf numFmtId="0" fontId="48" fillId="11" borderId="0" xfId="9" applyFont="1" applyFill="1" applyAlignment="1">
      <alignment horizontal="right"/>
    </xf>
    <xf numFmtId="0" fontId="49" fillId="0" borderId="0" xfId="9" applyFont="1" applyAlignment="1">
      <alignment horizontal="left"/>
    </xf>
    <xf numFmtId="4" fontId="50" fillId="0" borderId="0" xfId="9" applyNumberFormat="1" applyFont="1" applyAlignment="1">
      <alignment horizontal="right"/>
    </xf>
    <xf numFmtId="4" fontId="48" fillId="11" borderId="0" xfId="9" applyNumberFormat="1" applyFont="1" applyFill="1" applyAlignment="1">
      <alignment horizontal="right"/>
    </xf>
    <xf numFmtId="4" fontId="20" fillId="0" borderId="0" xfId="9" applyNumberFormat="1"/>
    <xf numFmtId="4" fontId="20" fillId="0" borderId="0" xfId="9" applyNumberFormat="1" applyFont="1"/>
    <xf numFmtId="43" fontId="43" fillId="10" borderId="14" xfId="4" applyFont="1" applyFill="1" applyBorder="1"/>
    <xf numFmtId="43" fontId="28" fillId="4" borderId="0" xfId="4" applyFont="1" applyFill="1"/>
    <xf numFmtId="43" fontId="28" fillId="4" borderId="3" xfId="4" applyFont="1" applyFill="1" applyBorder="1"/>
    <xf numFmtId="43" fontId="27" fillId="6" borderId="14" xfId="4" applyFont="1" applyFill="1" applyBorder="1" applyAlignment="1">
      <alignment horizontal="center"/>
    </xf>
    <xf numFmtId="175" fontId="43" fillId="4" borderId="0" xfId="4" applyNumberFormat="1" applyFont="1" applyFill="1"/>
    <xf numFmtId="43" fontId="27" fillId="6" borderId="4" xfId="4" applyFont="1" applyFill="1" applyBorder="1" applyAlignment="1">
      <alignment horizontal="center"/>
    </xf>
    <xf numFmtId="43" fontId="28" fillId="4" borderId="10" xfId="4" applyFont="1" applyFill="1" applyBorder="1" applyAlignment="1">
      <alignment horizontal="center"/>
    </xf>
    <xf numFmtId="43" fontId="28" fillId="4" borderId="9" xfId="4" applyFont="1" applyFill="1" applyBorder="1" applyAlignment="1">
      <alignment horizontal="center"/>
    </xf>
    <xf numFmtId="43" fontId="28" fillId="4" borderId="8" xfId="4" applyFont="1" applyFill="1" applyBorder="1" applyAlignment="1">
      <alignment horizontal="center"/>
    </xf>
    <xf numFmtId="43" fontId="28" fillId="4" borderId="14" xfId="4" applyFont="1" applyFill="1" applyBorder="1" applyAlignment="1">
      <alignment horizontal="center"/>
    </xf>
    <xf numFmtId="43" fontId="28" fillId="4" borderId="0" xfId="4" applyFont="1" applyFill="1"/>
    <xf numFmtId="43" fontId="28" fillId="4" borderId="14" xfId="4" applyFont="1" applyFill="1" applyBorder="1"/>
    <xf numFmtId="43" fontId="28" fillId="4" borderId="5" xfId="4" applyFont="1" applyFill="1" applyBorder="1"/>
    <xf numFmtId="43" fontId="28" fillId="4" borderId="3" xfId="4" applyFont="1" applyFill="1" applyBorder="1"/>
    <xf numFmtId="43" fontId="28" fillId="4" borderId="0" xfId="4" applyFont="1" applyFill="1" applyBorder="1" applyAlignment="1">
      <alignment horizontal="center"/>
    </xf>
    <xf numFmtId="43" fontId="28" fillId="2" borderId="0" xfId="4" applyFont="1" applyFill="1" applyBorder="1"/>
    <xf numFmtId="43" fontId="28" fillId="4" borderId="0" xfId="4" applyFont="1" applyFill="1" applyBorder="1"/>
    <xf numFmtId="43" fontId="28" fillId="4" borderId="13" xfId="4" applyFont="1" applyFill="1" applyBorder="1"/>
    <xf numFmtId="175" fontId="42" fillId="6" borderId="14" xfId="4" applyNumberFormat="1" applyFont="1" applyFill="1" applyBorder="1" applyAlignment="1">
      <alignment horizontal="center"/>
    </xf>
    <xf numFmtId="43" fontId="27" fillId="6" borderId="4" xfId="4" applyFont="1" applyFill="1" applyBorder="1" applyAlignment="1">
      <alignment horizontal="center"/>
    </xf>
    <xf numFmtId="43" fontId="28" fillId="4" borderId="9" xfId="4" applyFont="1" applyFill="1" applyBorder="1"/>
    <xf numFmtId="43" fontId="28" fillId="4" borderId="8" xfId="4" applyFont="1" applyFill="1" applyBorder="1"/>
    <xf numFmtId="43" fontId="43" fillId="4" borderId="0" xfId="4" applyFont="1" applyFill="1" applyBorder="1"/>
    <xf numFmtId="43" fontId="28" fillId="4" borderId="10" xfId="4" applyFont="1" applyFill="1" applyBorder="1"/>
    <xf numFmtId="0" fontId="71" fillId="0" borderId="0" xfId="449"/>
    <xf numFmtId="3" fontId="20" fillId="0" borderId="0" xfId="449" applyNumberFormat="1" applyFont="1"/>
    <xf numFmtId="0" fontId="20" fillId="0" borderId="0" xfId="449" applyFont="1" applyFill="1" applyBorder="1" applyAlignment="1">
      <alignment horizontal="right"/>
    </xf>
    <xf numFmtId="3" fontId="20" fillId="0" borderId="0" xfId="449" applyNumberFormat="1" applyFont="1" applyFill="1"/>
    <xf numFmtId="0" fontId="20" fillId="0" borderId="0" xfId="449" applyFont="1" applyFill="1" applyBorder="1" applyAlignment="1">
      <alignment horizontal="left"/>
    </xf>
    <xf numFmtId="0" fontId="72" fillId="0" borderId="0" xfId="449" applyFont="1" applyFill="1" applyBorder="1" applyAlignment="1">
      <alignment horizontal="right"/>
    </xf>
    <xf numFmtId="3" fontId="72" fillId="0" borderId="0" xfId="449" applyNumberFormat="1" applyFont="1" applyFill="1"/>
    <xf numFmtId="0" fontId="72" fillId="0" borderId="0" xfId="449" applyFont="1" applyFill="1" applyBorder="1" applyAlignment="1">
      <alignment horizontal="left"/>
    </xf>
    <xf numFmtId="0" fontId="20" fillId="0" borderId="0" xfId="449" applyFont="1"/>
    <xf numFmtId="3" fontId="73" fillId="0" borderId="0" xfId="449" applyNumberFormat="1" applyFont="1"/>
    <xf numFmtId="3" fontId="72" fillId="33" borderId="0" xfId="449" applyNumberFormat="1" applyFont="1" applyFill="1"/>
    <xf numFmtId="0" fontId="72" fillId="33" borderId="0" xfId="449" applyFont="1" applyFill="1"/>
    <xf numFmtId="0" fontId="73" fillId="0" borderId="0" xfId="449" applyFont="1"/>
    <xf numFmtId="3" fontId="72" fillId="0" borderId="0" xfId="449" applyNumberFormat="1" applyFont="1"/>
    <xf numFmtId="0" fontId="72" fillId="0" borderId="0" xfId="449" applyFont="1"/>
    <xf numFmtId="3" fontId="72" fillId="0" borderId="16" xfId="449" applyNumberFormat="1" applyFont="1" applyFill="1" applyBorder="1" applyAlignment="1">
      <alignment horizontal="right"/>
    </xf>
    <xf numFmtId="0" fontId="20" fillId="0" borderId="16" xfId="449" applyFont="1" applyBorder="1"/>
    <xf numFmtId="3" fontId="72" fillId="0" borderId="15" xfId="449" applyNumberFormat="1" applyFont="1" applyFill="1" applyBorder="1" applyAlignment="1">
      <alignment horizontal="right"/>
    </xf>
    <xf numFmtId="0" fontId="20" fillId="0" borderId="15" xfId="449" applyFont="1" applyBorder="1"/>
    <xf numFmtId="3" fontId="74" fillId="0" borderId="0" xfId="449" applyNumberFormat="1" applyFont="1" applyFill="1" applyAlignment="1">
      <alignment horizontal="right"/>
    </xf>
    <xf numFmtId="0" fontId="20" fillId="0" borderId="0" xfId="449" applyFont="1" applyFill="1"/>
    <xf numFmtId="0" fontId="75" fillId="0" borderId="0" xfId="449" applyFont="1" applyFill="1" applyBorder="1" applyAlignment="1">
      <alignment horizontal="left"/>
    </xf>
    <xf numFmtId="3" fontId="20" fillId="0" borderId="0" xfId="449" applyNumberFormat="1" applyFont="1" applyFill="1" applyAlignment="1">
      <alignment horizontal="right"/>
    </xf>
    <xf numFmtId="0" fontId="76" fillId="0" borderId="0" xfId="450" applyFont="1"/>
    <xf numFmtId="3" fontId="72" fillId="0" borderId="0" xfId="449" applyNumberFormat="1" applyFont="1" applyFill="1" applyAlignment="1">
      <alignment horizontal="right"/>
    </xf>
    <xf numFmtId="43" fontId="28" fillId="4" borderId="4" xfId="4" applyFont="1" applyFill="1" applyBorder="1" applyAlignment="1">
      <alignment horizontal="center" vertical="top" wrapText="1"/>
    </xf>
    <xf numFmtId="43" fontId="28" fillId="4" borderId="5" xfId="4" applyFont="1" applyFill="1" applyBorder="1" applyAlignment="1">
      <alignment horizontal="center" vertical="top" wrapText="1"/>
    </xf>
    <xf numFmtId="43" fontId="28" fillId="4" borderId="3" xfId="4" applyFont="1" applyFill="1" applyBorder="1" applyAlignment="1">
      <alignment horizontal="center" vertical="top" wrapText="1"/>
    </xf>
    <xf numFmtId="43" fontId="43" fillId="4" borderId="9" xfId="4" applyFont="1" applyFill="1" applyBorder="1"/>
    <xf numFmtId="43" fontId="28" fillId="34" borderId="9" xfId="4" applyFont="1" applyFill="1" applyBorder="1"/>
    <xf numFmtId="43" fontId="43" fillId="7" borderId="5" xfId="4" applyFont="1" applyFill="1" applyBorder="1"/>
    <xf numFmtId="43" fontId="28" fillId="7" borderId="9" xfId="4" applyFont="1" applyFill="1" applyBorder="1"/>
    <xf numFmtId="175" fontId="28" fillId="7" borderId="11" xfId="4" applyNumberFormat="1" applyFont="1" applyFill="1" applyBorder="1"/>
    <xf numFmtId="43" fontId="28" fillId="7" borderId="0" xfId="4" applyFont="1" applyFill="1"/>
    <xf numFmtId="0" fontId="28" fillId="4" borderId="0" xfId="0" applyFont="1" applyFill="1" applyAlignment="1">
      <alignment vertical="center"/>
    </xf>
    <xf numFmtId="181" fontId="33" fillId="4" borderId="0" xfId="0" applyNumberFormat="1" applyFont="1" applyFill="1"/>
    <xf numFmtId="3" fontId="28" fillId="35" borderId="14" xfId="0" applyNumberFormat="1" applyFont="1" applyFill="1" applyBorder="1"/>
    <xf numFmtId="170" fontId="28" fillId="7" borderId="14" xfId="0" applyNumberFormat="1" applyFont="1" applyFill="1" applyBorder="1" applyAlignment="1">
      <alignment horizontal="right" vertical="top" wrapText="1"/>
    </xf>
    <xf numFmtId="170" fontId="28" fillId="8" borderId="14" xfId="0" applyNumberFormat="1" applyFont="1" applyFill="1" applyBorder="1"/>
    <xf numFmtId="43" fontId="77" fillId="0" borderId="0" xfId="4" applyFont="1" applyFill="1"/>
    <xf numFmtId="43" fontId="77" fillId="35" borderId="0" xfId="4" applyFont="1" applyFill="1"/>
    <xf numFmtId="43" fontId="78" fillId="0" borderId="0" xfId="4" applyFont="1" applyFill="1"/>
    <xf numFmtId="175" fontId="28" fillId="4" borderId="0" xfId="4" applyNumberFormat="1" applyFont="1" applyFill="1" applyAlignment="1">
      <alignment horizontal="center" vertical="top" wrapText="1"/>
    </xf>
    <xf numFmtId="175" fontId="28" fillId="0" borderId="0" xfId="4" applyNumberFormat="1" applyFont="1" applyFill="1"/>
    <xf numFmtId="43" fontId="28" fillId="35" borderId="0" xfId="4" applyFont="1" applyFill="1"/>
    <xf numFmtId="43" fontId="28" fillId="4" borderId="0" xfId="4" applyNumberFormat="1" applyFont="1" applyFill="1" applyAlignment="1">
      <alignment horizontal="center" vertical="top" wrapText="1"/>
    </xf>
    <xf numFmtId="0" fontId="40" fillId="35" borderId="0" xfId="0" applyFont="1" applyFill="1"/>
    <xf numFmtId="0" fontId="38" fillId="35" borderId="0" xfId="0" applyFont="1" applyFill="1"/>
    <xf numFmtId="175" fontId="38" fillId="35" borderId="0" xfId="4" applyNumberFormat="1" applyFont="1" applyFill="1"/>
    <xf numFmtId="43" fontId="43" fillId="35" borderId="5" xfId="4" applyFont="1" applyFill="1" applyBorder="1"/>
    <xf numFmtId="43" fontId="43" fillId="35" borderId="0" xfId="4" applyFont="1" applyFill="1" applyBorder="1"/>
    <xf numFmtId="0" fontId="31" fillId="8" borderId="0" xfId="0" applyFont="1" applyFill="1" applyAlignment="1">
      <alignment vertical="center" wrapText="1"/>
    </xf>
    <xf numFmtId="175" fontId="38" fillId="35" borderId="0" xfId="4" applyNumberFormat="1" applyFont="1" applyFill="1" applyAlignment="1">
      <alignment horizontal="center"/>
    </xf>
    <xf numFmtId="9" fontId="27" fillId="6" borderId="14" xfId="0" applyNumberFormat="1" applyFont="1" applyFill="1" applyBorder="1" applyAlignment="1">
      <alignment horizontal="center"/>
    </xf>
    <xf numFmtId="182" fontId="28" fillId="4" borderId="5" xfId="12" applyNumberFormat="1" applyFont="1" applyFill="1" applyBorder="1"/>
    <xf numFmtId="0" fontId="41" fillId="4" borderId="0" xfId="0" applyFont="1" applyFill="1" applyAlignment="1">
      <alignment horizontal="center"/>
    </xf>
    <xf numFmtId="15" fontId="36" fillId="9" borderId="0" xfId="0" applyNumberFormat="1" applyFont="1" applyFill="1" applyAlignment="1">
      <alignment horizontal="center"/>
    </xf>
    <xf numFmtId="0" fontId="40" fillId="4" borderId="0" xfId="0" applyFont="1" applyFill="1" applyAlignment="1">
      <alignment horizontal="center" wrapText="1"/>
    </xf>
    <xf numFmtId="175" fontId="42" fillId="6" borderId="4" xfId="4" applyNumberFormat="1" applyFont="1" applyFill="1" applyBorder="1" applyAlignment="1">
      <alignment horizontal="center" vertical="center" textRotation="90" wrapText="1"/>
    </xf>
    <xf numFmtId="175" fontId="42" fillId="6" borderId="3" xfId="4" applyNumberFormat="1" applyFont="1" applyFill="1" applyBorder="1" applyAlignment="1">
      <alignment horizontal="center" vertical="center" textRotation="90" wrapText="1"/>
    </xf>
    <xf numFmtId="43" fontId="27" fillId="6" borderId="4" xfId="4" applyFont="1" applyFill="1" applyBorder="1" applyAlignment="1">
      <alignment horizontal="center" vertical="center" textRotation="90" wrapText="1"/>
    </xf>
    <xf numFmtId="43" fontId="27" fillId="6" borderId="3" xfId="4" applyFont="1" applyFill="1" applyBorder="1" applyAlignment="1">
      <alignment horizontal="center" vertical="center" textRotation="90" wrapText="1"/>
    </xf>
    <xf numFmtId="175" fontId="42" fillId="6" borderId="5" xfId="4" applyNumberFormat="1" applyFont="1" applyFill="1" applyBorder="1" applyAlignment="1">
      <alignment horizontal="center" vertical="center" textRotation="90" wrapText="1"/>
    </xf>
    <xf numFmtId="175" fontId="42" fillId="6" borderId="12" xfId="4" applyNumberFormat="1" applyFont="1" applyFill="1" applyBorder="1" applyAlignment="1">
      <alignment horizontal="center" vertical="center" textRotation="90" wrapText="1"/>
    </xf>
    <xf numFmtId="175" fontId="42" fillId="6" borderId="13" xfId="4" applyNumberFormat="1" applyFont="1" applyFill="1" applyBorder="1" applyAlignment="1">
      <alignment horizontal="center" vertical="center" textRotation="90" wrapText="1"/>
    </xf>
    <xf numFmtId="43" fontId="27" fillId="6" borderId="5" xfId="4" applyFont="1" applyFill="1" applyBorder="1" applyAlignment="1">
      <alignment horizontal="center" vertical="center" textRotation="90" wrapText="1"/>
    </xf>
    <xf numFmtId="3" fontId="42" fillId="6" borderId="4" xfId="0" applyNumberFormat="1" applyFont="1" applyFill="1" applyBorder="1" applyAlignment="1">
      <alignment horizontal="center" vertical="center" textRotation="90" wrapText="1"/>
    </xf>
    <xf numFmtId="0" fontId="42" fillId="6" borderId="3" xfId="0" applyFont="1" applyFill="1" applyBorder="1" applyAlignment="1">
      <alignment horizontal="center" vertical="center" textRotation="90" wrapText="1"/>
    </xf>
    <xf numFmtId="43" fontId="42" fillId="6" borderId="4" xfId="4" applyFont="1" applyFill="1" applyBorder="1" applyAlignment="1">
      <alignment horizontal="center" vertical="center" textRotation="90" wrapText="1"/>
    </xf>
    <xf numFmtId="43" fontId="42" fillId="6" borderId="3" xfId="4" applyFont="1" applyFill="1" applyBorder="1" applyAlignment="1">
      <alignment horizontal="center" vertical="center" textRotation="90" wrapText="1"/>
    </xf>
    <xf numFmtId="179" fontId="27" fillId="6" borderId="4" xfId="4" applyNumberFormat="1" applyFont="1" applyFill="1" applyBorder="1" applyAlignment="1">
      <alignment horizontal="center" vertical="center" wrapText="1"/>
    </xf>
    <xf numFmtId="179" fontId="27" fillId="6" borderId="5" xfId="4" applyNumberFormat="1" applyFont="1" applyFill="1" applyBorder="1" applyAlignment="1">
      <alignment horizontal="center" vertical="center" wrapText="1"/>
    </xf>
    <xf numFmtId="179" fontId="27" fillId="6" borderId="3" xfId="4" applyNumberFormat="1" applyFont="1" applyFill="1" applyBorder="1" applyAlignment="1">
      <alignment horizontal="center" vertical="center" wrapText="1"/>
    </xf>
    <xf numFmtId="43" fontId="27" fillId="6" borderId="8" xfId="4" applyFont="1" applyFill="1" applyBorder="1" applyAlignment="1">
      <alignment horizontal="center" vertical="center" wrapText="1"/>
    </xf>
    <xf numFmtId="43" fontId="27" fillId="6" borderId="9" xfId="4" applyFont="1" applyFill="1" applyBorder="1" applyAlignment="1">
      <alignment horizontal="center" vertical="center" wrapText="1"/>
    </xf>
    <xf numFmtId="43" fontId="27" fillId="6" borderId="10" xfId="4" applyFont="1" applyFill="1" applyBorder="1" applyAlignment="1">
      <alignment horizontal="center" vertical="center" wrapText="1"/>
    </xf>
    <xf numFmtId="43" fontId="27" fillId="6" borderId="12" xfId="4" applyFont="1" applyFill="1" applyBorder="1" applyAlignment="1">
      <alignment horizontal="center" vertical="center" textRotation="90" wrapText="1"/>
    </xf>
    <xf numFmtId="43" fontId="27" fillId="6" borderId="13" xfId="4" applyFont="1" applyFill="1" applyBorder="1" applyAlignment="1">
      <alignment horizontal="center" vertical="center" textRotation="90" wrapText="1"/>
    </xf>
    <xf numFmtId="43" fontId="27" fillId="10" borderId="4" xfId="4" applyFont="1" applyFill="1" applyBorder="1" applyAlignment="1">
      <alignment horizontal="center" vertical="center" textRotation="90" wrapText="1"/>
    </xf>
    <xf numFmtId="43" fontId="27" fillId="10" borderId="3" xfId="4" applyFont="1" applyFill="1" applyBorder="1" applyAlignment="1">
      <alignment horizontal="center" vertical="center" textRotation="90" wrapText="1"/>
    </xf>
    <xf numFmtId="43" fontId="27" fillId="6" borderId="4" xfId="4" applyFont="1" applyFill="1" applyBorder="1" applyAlignment="1">
      <alignment horizontal="center" vertical="center" textRotation="90"/>
    </xf>
    <xf numFmtId="43" fontId="27" fillId="6" borderId="3" xfId="4" applyFont="1" applyFill="1" applyBorder="1" applyAlignment="1">
      <alignment horizontal="center" vertical="center" textRotation="90"/>
    </xf>
    <xf numFmtId="4" fontId="27" fillId="6" borderId="4" xfId="0" applyNumberFormat="1" applyFont="1" applyFill="1" applyBorder="1" applyAlignment="1">
      <alignment horizontal="center" vertical="center" textRotation="90" wrapText="1"/>
    </xf>
    <xf numFmtId="4" fontId="27" fillId="6" borderId="5" xfId="0" applyNumberFormat="1" applyFont="1" applyFill="1" applyBorder="1" applyAlignment="1">
      <alignment horizontal="center" vertical="center" textRotation="90" wrapText="1"/>
    </xf>
    <xf numFmtId="4" fontId="27" fillId="6" borderId="3" xfId="0" applyNumberFormat="1" applyFont="1" applyFill="1" applyBorder="1" applyAlignment="1">
      <alignment horizontal="center" vertical="center" textRotation="90" wrapText="1"/>
    </xf>
    <xf numFmtId="3" fontId="27" fillId="6" borderId="4" xfId="0" applyNumberFormat="1" applyFont="1" applyFill="1" applyBorder="1" applyAlignment="1">
      <alignment horizontal="center" vertical="center" textRotation="90" wrapText="1"/>
    </xf>
    <xf numFmtId="3" fontId="27" fillId="6" borderId="5" xfId="0" applyNumberFormat="1" applyFont="1" applyFill="1" applyBorder="1" applyAlignment="1">
      <alignment horizontal="center" vertical="center" textRotation="90" wrapText="1"/>
    </xf>
    <xf numFmtId="3" fontId="27" fillId="6" borderId="3" xfId="0" applyNumberFormat="1" applyFont="1" applyFill="1" applyBorder="1" applyAlignment="1">
      <alignment horizontal="center" vertical="center" textRotation="90" wrapText="1"/>
    </xf>
    <xf numFmtId="0" fontId="27" fillId="6" borderId="4" xfId="0" applyFont="1" applyFill="1" applyBorder="1" applyAlignment="1">
      <alignment horizontal="center" vertical="center" wrapText="1"/>
    </xf>
    <xf numFmtId="0" fontId="27" fillId="6" borderId="3" xfId="0" applyFont="1" applyFill="1" applyBorder="1" applyAlignment="1">
      <alignment horizontal="center" vertical="center" wrapText="1"/>
    </xf>
    <xf numFmtId="0" fontId="27" fillId="6" borderId="5" xfId="0" applyFont="1" applyFill="1" applyBorder="1" applyAlignment="1">
      <alignment horizontal="center" vertical="center" wrapText="1"/>
    </xf>
    <xf numFmtId="175" fontId="27" fillId="6" borderId="4" xfId="4" applyNumberFormat="1" applyFont="1" applyFill="1" applyBorder="1" applyAlignment="1">
      <alignment horizontal="center" vertical="center" wrapText="1"/>
    </xf>
    <xf numFmtId="175" fontId="27" fillId="6" borderId="5" xfId="4" applyNumberFormat="1" applyFont="1" applyFill="1" applyBorder="1" applyAlignment="1">
      <alignment horizontal="center" vertical="center" wrapText="1"/>
    </xf>
    <xf numFmtId="175" fontId="27" fillId="6" borderId="3" xfId="4" applyNumberFormat="1" applyFont="1" applyFill="1" applyBorder="1" applyAlignment="1">
      <alignment horizontal="center" vertical="center" wrapText="1"/>
    </xf>
    <xf numFmtId="0" fontId="27" fillId="6" borderId="4" xfId="0" applyNumberFormat="1" applyFont="1" applyFill="1" applyBorder="1" applyAlignment="1">
      <alignment horizontal="center" vertical="center" wrapText="1"/>
    </xf>
    <xf numFmtId="0" fontId="27" fillId="6" borderId="5" xfId="0" applyNumberFormat="1" applyFont="1" applyFill="1" applyBorder="1" applyAlignment="1">
      <alignment horizontal="center" vertical="center" wrapText="1"/>
    </xf>
    <xf numFmtId="0" fontId="27" fillId="6" borderId="3" xfId="0" applyNumberFormat="1" applyFont="1" applyFill="1" applyBorder="1" applyAlignment="1">
      <alignment horizontal="center" vertical="center" wrapText="1"/>
    </xf>
    <xf numFmtId="3" fontId="27" fillId="6" borderId="4" xfId="0" applyNumberFormat="1" applyFont="1" applyFill="1" applyBorder="1" applyAlignment="1">
      <alignment horizontal="center" vertical="center" wrapText="1"/>
    </xf>
    <xf numFmtId="3" fontId="27" fillId="6" borderId="5" xfId="0" applyNumberFormat="1" applyFont="1" applyFill="1" applyBorder="1" applyAlignment="1">
      <alignment horizontal="center" vertical="center" wrapText="1"/>
    </xf>
    <xf numFmtId="3" fontId="27" fillId="6" borderId="3" xfId="0" applyNumberFormat="1" applyFont="1" applyFill="1" applyBorder="1" applyAlignment="1">
      <alignment horizontal="center" vertical="center" wrapText="1"/>
    </xf>
    <xf numFmtId="175" fontId="27" fillId="6" borderId="4" xfId="4" applyNumberFormat="1" applyFont="1" applyFill="1" applyBorder="1" applyAlignment="1">
      <alignment horizontal="center" vertical="center" textRotation="90" wrapText="1"/>
    </xf>
    <xf numFmtId="175" fontId="27" fillId="6" borderId="5" xfId="4" applyNumberFormat="1" applyFont="1" applyFill="1" applyBorder="1" applyAlignment="1">
      <alignment horizontal="center" vertical="center" textRotation="90" wrapText="1"/>
    </xf>
    <xf numFmtId="175" fontId="27" fillId="6" borderId="3" xfId="4" applyNumberFormat="1" applyFont="1" applyFill="1" applyBorder="1" applyAlignment="1">
      <alignment horizontal="center" vertical="center" textRotation="90" wrapText="1"/>
    </xf>
    <xf numFmtId="4" fontId="27" fillId="6" borderId="4" xfId="0" applyNumberFormat="1" applyFont="1" applyFill="1" applyBorder="1" applyAlignment="1">
      <alignment horizontal="center" vertical="center" wrapText="1"/>
    </xf>
    <xf numFmtId="4" fontId="27" fillId="6" borderId="3" xfId="0" applyNumberFormat="1" applyFont="1" applyFill="1" applyBorder="1" applyAlignment="1">
      <alignment horizontal="center" vertical="center" wrapText="1"/>
    </xf>
    <xf numFmtId="10" fontId="27" fillId="6" borderId="14" xfId="12" applyNumberFormat="1" applyFont="1" applyFill="1" applyBorder="1" applyAlignment="1">
      <alignment horizontal="center" vertical="center" wrapText="1"/>
    </xf>
    <xf numFmtId="0" fontId="27" fillId="6" borderId="17" xfId="0" applyFont="1" applyFill="1" applyBorder="1" applyAlignment="1">
      <alignment horizontal="center" vertical="center"/>
    </xf>
    <xf numFmtId="0" fontId="27" fillId="6" borderId="6" xfId="0" applyFont="1" applyFill="1" applyBorder="1" applyAlignment="1">
      <alignment horizontal="center" vertical="center"/>
    </xf>
    <xf numFmtId="0" fontId="27" fillId="6" borderId="7" xfId="0" applyFont="1" applyFill="1" applyBorder="1" applyAlignment="1">
      <alignment horizontal="center" vertical="center"/>
    </xf>
    <xf numFmtId="10" fontId="27" fillId="6" borderId="4" xfId="12" applyNumberFormat="1" applyFont="1" applyFill="1" applyBorder="1" applyAlignment="1">
      <alignment horizontal="center" vertical="center" wrapText="1"/>
    </xf>
    <xf numFmtId="0" fontId="27" fillId="6" borderId="17" xfId="0" applyFont="1" applyFill="1" applyBorder="1" applyAlignment="1">
      <alignment horizontal="center" vertical="center" wrapText="1"/>
    </xf>
    <xf numFmtId="0" fontId="27" fillId="6" borderId="6" xfId="0" applyFont="1" applyFill="1" applyBorder="1" applyAlignment="1">
      <alignment horizontal="center" vertical="center" wrapText="1"/>
    </xf>
    <xf numFmtId="0" fontId="27" fillId="6" borderId="7" xfId="0" applyFont="1" applyFill="1" applyBorder="1" applyAlignment="1">
      <alignment horizontal="center" vertical="center" wrapText="1"/>
    </xf>
    <xf numFmtId="0" fontId="27" fillId="6" borderId="12" xfId="0" applyFont="1" applyFill="1" applyBorder="1" applyAlignment="1">
      <alignment horizontal="center" vertical="center" wrapText="1"/>
    </xf>
    <xf numFmtId="0" fontId="27" fillId="6" borderId="13" xfId="0" applyFont="1" applyFill="1" applyBorder="1" applyAlignment="1">
      <alignment horizontal="center" vertical="center" wrapText="1"/>
    </xf>
    <xf numFmtId="0" fontId="27" fillId="6" borderId="8" xfId="0" applyFont="1" applyFill="1" applyBorder="1" applyAlignment="1">
      <alignment horizontal="center" vertical="center" wrapText="1"/>
    </xf>
    <xf numFmtId="0" fontId="27" fillId="6" borderId="10" xfId="0" applyFont="1" applyFill="1" applyBorder="1" applyAlignment="1">
      <alignment horizontal="center" vertical="center" wrapText="1"/>
    </xf>
    <xf numFmtId="0" fontId="27" fillId="6" borderId="17" xfId="0" applyFont="1" applyFill="1" applyBorder="1" applyAlignment="1">
      <alignment horizontal="center"/>
    </xf>
    <xf numFmtId="0" fontId="27" fillId="6" borderId="6" xfId="0" applyFont="1" applyFill="1" applyBorder="1" applyAlignment="1">
      <alignment horizontal="center"/>
    </xf>
    <xf numFmtId="0" fontId="27" fillId="6" borderId="7" xfId="0" applyFont="1" applyFill="1" applyBorder="1" applyAlignment="1">
      <alignment horizontal="center"/>
    </xf>
    <xf numFmtId="43" fontId="27" fillId="6" borderId="4" xfId="4" applyFont="1" applyFill="1" applyBorder="1" applyAlignment="1">
      <alignment horizontal="center" vertical="center" wrapText="1"/>
    </xf>
    <xf numFmtId="43" fontId="27" fillId="6" borderId="3" xfId="4" applyFont="1" applyFill="1" applyBorder="1" applyAlignment="1">
      <alignment horizontal="center" vertical="center" wrapText="1"/>
    </xf>
    <xf numFmtId="0" fontId="27" fillId="6" borderId="14" xfId="0" applyFont="1" applyFill="1" applyBorder="1" applyAlignment="1">
      <alignment horizontal="center" vertical="center" wrapText="1"/>
    </xf>
    <xf numFmtId="175" fontId="27" fillId="6" borderId="12" xfId="4" applyNumberFormat="1" applyFont="1" applyFill="1" applyBorder="1" applyAlignment="1">
      <alignment horizontal="center" vertical="center" wrapText="1"/>
    </xf>
    <xf numFmtId="175" fontId="27" fillId="6" borderId="13" xfId="4" applyNumberFormat="1" applyFont="1" applyFill="1" applyBorder="1" applyAlignment="1">
      <alignment horizontal="center" vertical="center" wrapText="1"/>
    </xf>
    <xf numFmtId="43" fontId="27" fillId="6" borderId="5" xfId="4" applyFont="1" applyFill="1" applyBorder="1" applyAlignment="1">
      <alignment horizontal="center" vertical="center" wrapText="1"/>
    </xf>
    <xf numFmtId="0" fontId="27" fillId="6" borderId="11" xfId="0" applyFont="1" applyFill="1" applyBorder="1" applyAlignment="1">
      <alignment horizontal="center" vertical="center" wrapText="1"/>
    </xf>
    <xf numFmtId="0" fontId="27" fillId="6" borderId="9" xfId="0" applyFont="1" applyFill="1" applyBorder="1" applyAlignment="1">
      <alignment horizontal="center" vertical="center" wrapText="1"/>
    </xf>
    <xf numFmtId="0" fontId="17" fillId="3" borderId="17" xfId="11" applyFont="1" applyFill="1" applyBorder="1" applyAlignment="1">
      <alignment horizontal="center"/>
    </xf>
    <xf numFmtId="0" fontId="17" fillId="3" borderId="6" xfId="11" applyFont="1" applyFill="1" applyBorder="1" applyAlignment="1">
      <alignment horizontal="center"/>
    </xf>
    <xf numFmtId="0" fontId="17" fillId="3" borderId="7" xfId="11" applyFont="1" applyFill="1" applyBorder="1" applyAlignment="1">
      <alignment horizontal="center"/>
    </xf>
    <xf numFmtId="167" fontId="27" fillId="6" borderId="4" xfId="12" applyNumberFormat="1" applyFont="1" applyFill="1" applyBorder="1" applyAlignment="1">
      <alignment horizontal="center" vertical="center" wrapText="1"/>
    </xf>
    <xf numFmtId="167" fontId="27" fillId="6" borderId="3" xfId="12" applyNumberFormat="1" applyFont="1" applyFill="1" applyBorder="1" applyAlignment="1">
      <alignment horizontal="center" vertical="center" wrapText="1"/>
    </xf>
    <xf numFmtId="167" fontId="27" fillId="6" borderId="12" xfId="12" applyNumberFormat="1" applyFont="1" applyFill="1" applyBorder="1" applyAlignment="1">
      <alignment horizontal="center" vertical="center" wrapText="1"/>
    </xf>
    <xf numFmtId="167" fontId="27" fillId="6" borderId="13" xfId="12" applyNumberFormat="1" applyFont="1" applyFill="1" applyBorder="1" applyAlignment="1">
      <alignment horizontal="center" vertical="center" wrapText="1"/>
    </xf>
    <xf numFmtId="167" fontId="27" fillId="10" borderId="4" xfId="12" applyNumberFormat="1" applyFont="1" applyFill="1" applyBorder="1" applyAlignment="1">
      <alignment horizontal="center" vertical="center" wrapText="1"/>
    </xf>
    <xf numFmtId="167" fontId="27" fillId="10" borderId="3" xfId="12" applyNumberFormat="1" applyFont="1" applyFill="1" applyBorder="1" applyAlignment="1">
      <alignment horizontal="center" vertical="center" wrapText="1"/>
    </xf>
    <xf numFmtId="167" fontId="27" fillId="6" borderId="5" xfId="12" applyNumberFormat="1" applyFont="1" applyFill="1" applyBorder="1" applyAlignment="1">
      <alignment horizontal="center" vertical="center" wrapText="1"/>
    </xf>
    <xf numFmtId="1" fontId="28" fillId="4" borderId="0" xfId="11" applyNumberFormat="1" applyFont="1" applyFill="1" applyAlignment="1">
      <alignment horizontal="left" vertical="center"/>
    </xf>
    <xf numFmtId="0" fontId="28" fillId="4" borderId="0" xfId="0" applyFont="1" applyFill="1" applyAlignment="1">
      <alignment vertical="center"/>
    </xf>
    <xf numFmtId="0" fontId="27" fillId="6" borderId="4" xfId="15" applyFont="1" applyFill="1" applyBorder="1" applyAlignment="1">
      <alignment horizontal="center" vertical="center" wrapText="1"/>
    </xf>
    <xf numFmtId="0" fontId="27" fillId="6" borderId="3" xfId="15" applyFont="1" applyFill="1" applyBorder="1" applyAlignment="1">
      <alignment horizontal="center" vertical="center" wrapText="1"/>
    </xf>
    <xf numFmtId="0" fontId="27" fillId="6" borderId="8" xfId="15" applyFont="1" applyFill="1" applyBorder="1" applyAlignment="1">
      <alignment horizontal="center" vertical="center" wrapText="1"/>
    </xf>
    <xf numFmtId="0" fontId="27" fillId="6" borderId="10" xfId="15" applyFont="1" applyFill="1" applyBorder="1" applyAlignment="1">
      <alignment horizontal="center" vertical="center" wrapText="1"/>
    </xf>
    <xf numFmtId="0" fontId="27" fillId="4" borderId="9" xfId="0" applyFont="1" applyFill="1" applyBorder="1" applyAlignment="1">
      <alignment horizontal="center"/>
    </xf>
  </cellXfs>
  <cellStyles count="671">
    <cellStyle name="20 % - Accent1 2" xfId="350" xr:uid="{00000000-0005-0000-0000-000000000000}"/>
    <cellStyle name="20 % - Accent2 2" xfId="351" xr:uid="{00000000-0005-0000-0000-000001000000}"/>
    <cellStyle name="20 % - Accent3 2" xfId="352" xr:uid="{00000000-0005-0000-0000-000002000000}"/>
    <cellStyle name="20 % - Accent4 2" xfId="353" xr:uid="{00000000-0005-0000-0000-000003000000}"/>
    <cellStyle name="20 % - Accent5 2" xfId="354" xr:uid="{00000000-0005-0000-0000-000004000000}"/>
    <cellStyle name="20 % - Accent6 2" xfId="355" xr:uid="{00000000-0005-0000-0000-000005000000}"/>
    <cellStyle name="40 % - Accent1 2" xfId="356" xr:uid="{00000000-0005-0000-0000-000006000000}"/>
    <cellStyle name="40 % - Accent2 2" xfId="357" xr:uid="{00000000-0005-0000-0000-000007000000}"/>
    <cellStyle name="40 % - Accent3 2" xfId="358" xr:uid="{00000000-0005-0000-0000-000008000000}"/>
    <cellStyle name="40 % - Accent4 2" xfId="359" xr:uid="{00000000-0005-0000-0000-000009000000}"/>
    <cellStyle name="40 % - Accent5 2" xfId="360" xr:uid="{00000000-0005-0000-0000-00000A000000}"/>
    <cellStyle name="40 % - Accent6 2" xfId="361" xr:uid="{00000000-0005-0000-0000-00000B000000}"/>
    <cellStyle name="60 % - Accent1 2" xfId="362" xr:uid="{00000000-0005-0000-0000-00000C000000}"/>
    <cellStyle name="60 % - Accent2 2" xfId="363" xr:uid="{00000000-0005-0000-0000-00000D000000}"/>
    <cellStyle name="60 % - Accent3 2" xfId="364" xr:uid="{00000000-0005-0000-0000-00000E000000}"/>
    <cellStyle name="60 % - Accent4 2" xfId="365" xr:uid="{00000000-0005-0000-0000-00000F000000}"/>
    <cellStyle name="60 % - Accent5 2" xfId="366" xr:uid="{00000000-0005-0000-0000-000010000000}"/>
    <cellStyle name="60 % - Accent6 2" xfId="367" xr:uid="{00000000-0005-0000-0000-000011000000}"/>
    <cellStyle name="Accent1 2" xfId="368" xr:uid="{00000000-0005-0000-0000-000012000000}"/>
    <cellStyle name="Accent2 2" xfId="369" xr:uid="{00000000-0005-0000-0000-000013000000}"/>
    <cellStyle name="Accent3 2" xfId="370" xr:uid="{00000000-0005-0000-0000-000014000000}"/>
    <cellStyle name="Accent4 2" xfId="371" xr:uid="{00000000-0005-0000-0000-000015000000}"/>
    <cellStyle name="Accent5 2" xfId="372" xr:uid="{00000000-0005-0000-0000-000016000000}"/>
    <cellStyle name="Accent6 2" xfId="373" xr:uid="{00000000-0005-0000-0000-000017000000}"/>
    <cellStyle name="Avertissement 2" xfId="374" xr:uid="{00000000-0005-0000-0000-000018000000}"/>
    <cellStyle name="Calcul 2" xfId="375" xr:uid="{00000000-0005-0000-0000-000019000000}"/>
    <cellStyle name="Cellule liée 2" xfId="376" xr:uid="{00000000-0005-0000-0000-00001A000000}"/>
    <cellStyle name="cexColumnHeadings" xfId="1" xr:uid="{00000000-0005-0000-0000-00001B000000}"/>
    <cellStyle name="cexColumnHeadings 2" xfId="394" xr:uid="{00000000-0005-0000-0000-00001C000000}"/>
    <cellStyle name="cexReportTitle" xfId="2" xr:uid="{00000000-0005-0000-0000-00001D000000}"/>
    <cellStyle name="cexTableEntry" xfId="3" xr:uid="{00000000-0005-0000-0000-00001E000000}"/>
    <cellStyle name="cexTableEntry 2" xfId="395" xr:uid="{00000000-0005-0000-0000-00001F000000}"/>
    <cellStyle name="Entrée 2" xfId="377" xr:uid="{00000000-0005-0000-0000-000020000000}"/>
    <cellStyle name="Insatisfaisant 2" xfId="378" xr:uid="{00000000-0005-0000-0000-000021000000}"/>
    <cellStyle name="Milliers" xfId="4" builtinId="3"/>
    <cellStyle name="Milliers 2" xfId="5" xr:uid="{00000000-0005-0000-0000-000023000000}"/>
    <cellStyle name="Milliers 3" xfId="6" xr:uid="{00000000-0005-0000-0000-000024000000}"/>
    <cellStyle name="Milliers 3 10" xfId="139" xr:uid="{00000000-0005-0000-0000-000025000000}"/>
    <cellStyle name="Milliers 3 10 2" xfId="396" xr:uid="{00000000-0005-0000-0000-000026000000}"/>
    <cellStyle name="Milliers 3 10 3" xfId="618" xr:uid="{00000000-0005-0000-0000-000027000000}"/>
    <cellStyle name="Milliers 3 11" xfId="156" xr:uid="{00000000-0005-0000-0000-000028000000}"/>
    <cellStyle name="Milliers 3 11 2" xfId="425" xr:uid="{00000000-0005-0000-0000-000029000000}"/>
    <cellStyle name="Milliers 3 11 3" xfId="647" xr:uid="{00000000-0005-0000-0000-00002A000000}"/>
    <cellStyle name="Milliers 3 12" xfId="174" xr:uid="{00000000-0005-0000-0000-00002B000000}"/>
    <cellStyle name="Milliers 3 13" xfId="451" xr:uid="{00000000-0005-0000-0000-00002C000000}"/>
    <cellStyle name="Milliers 3 2" xfId="16" xr:uid="{00000000-0005-0000-0000-00002D000000}"/>
    <cellStyle name="Milliers 3 2 10" xfId="158" xr:uid="{00000000-0005-0000-0000-00002E000000}"/>
    <cellStyle name="Milliers 3 2 10 2" xfId="427" xr:uid="{00000000-0005-0000-0000-00002F000000}"/>
    <cellStyle name="Milliers 3 2 10 3" xfId="649" xr:uid="{00000000-0005-0000-0000-000030000000}"/>
    <cellStyle name="Milliers 3 2 11" xfId="176" xr:uid="{00000000-0005-0000-0000-000031000000}"/>
    <cellStyle name="Milliers 3 2 12" xfId="453" xr:uid="{00000000-0005-0000-0000-000032000000}"/>
    <cellStyle name="Milliers 3 2 2" xfId="19" xr:uid="{00000000-0005-0000-0000-000033000000}"/>
    <cellStyle name="Milliers 3 2 2 10" xfId="455" xr:uid="{00000000-0005-0000-0000-000034000000}"/>
    <cellStyle name="Milliers 3 2 2 2" xfId="35" xr:uid="{00000000-0005-0000-0000-000035000000}"/>
    <cellStyle name="Milliers 3 2 2 2 2" xfId="59" xr:uid="{00000000-0005-0000-0000-000036000000}"/>
    <cellStyle name="Milliers 3 2 2 2 2 2" xfId="311" xr:uid="{00000000-0005-0000-0000-000037000000}"/>
    <cellStyle name="Milliers 3 2 2 2 2 2 2" xfId="579" xr:uid="{00000000-0005-0000-0000-000038000000}"/>
    <cellStyle name="Milliers 3 2 2 2 2 3" xfId="220" xr:uid="{00000000-0005-0000-0000-000039000000}"/>
    <cellStyle name="Milliers 3 2 2 2 2 4" xfId="496" xr:uid="{00000000-0005-0000-0000-00003A000000}"/>
    <cellStyle name="Milliers 3 2 2 2 3" xfId="88" xr:uid="{00000000-0005-0000-0000-00003B000000}"/>
    <cellStyle name="Milliers 3 2 2 2 3 2" xfId="340" xr:uid="{00000000-0005-0000-0000-00003C000000}"/>
    <cellStyle name="Milliers 3 2 2 2 3 2 2" xfId="608" xr:uid="{00000000-0005-0000-0000-00003D000000}"/>
    <cellStyle name="Milliers 3 2 2 2 3 3" xfId="249" xr:uid="{00000000-0005-0000-0000-00003E000000}"/>
    <cellStyle name="Milliers 3 2 2 2 3 4" xfId="525" xr:uid="{00000000-0005-0000-0000-00003F000000}"/>
    <cellStyle name="Milliers 3 2 2 2 4" xfId="111" xr:uid="{00000000-0005-0000-0000-000040000000}"/>
    <cellStyle name="Milliers 3 2 2 2 4 2" xfId="284" xr:uid="{00000000-0005-0000-0000-000041000000}"/>
    <cellStyle name="Milliers 3 2 2 2 4 3" xfId="552" xr:uid="{00000000-0005-0000-0000-000042000000}"/>
    <cellStyle name="Milliers 3 2 2 2 5" xfId="417" xr:uid="{00000000-0005-0000-0000-000043000000}"/>
    <cellStyle name="Milliers 3 2 2 2 5 2" xfId="639" xr:uid="{00000000-0005-0000-0000-000044000000}"/>
    <cellStyle name="Milliers 3 2 2 2 6" xfId="443" xr:uid="{00000000-0005-0000-0000-000045000000}"/>
    <cellStyle name="Milliers 3 2 2 2 6 2" xfId="665" xr:uid="{00000000-0005-0000-0000-000046000000}"/>
    <cellStyle name="Milliers 3 2 2 2 7" xfId="192" xr:uid="{00000000-0005-0000-0000-000047000000}"/>
    <cellStyle name="Milliers 3 2 2 2 8" xfId="469" xr:uid="{00000000-0005-0000-0000-000048000000}"/>
    <cellStyle name="Milliers 3 2 2 3" xfId="45" xr:uid="{00000000-0005-0000-0000-000049000000}"/>
    <cellStyle name="Milliers 3 2 2 3 2" xfId="294" xr:uid="{00000000-0005-0000-0000-00004A000000}"/>
    <cellStyle name="Milliers 3 2 2 3 2 2" xfId="562" xr:uid="{00000000-0005-0000-0000-00004B000000}"/>
    <cellStyle name="Milliers 3 2 2 3 3" xfId="202" xr:uid="{00000000-0005-0000-0000-00004C000000}"/>
    <cellStyle name="Milliers 3 2 2 3 4" xfId="479" xr:uid="{00000000-0005-0000-0000-00004D000000}"/>
    <cellStyle name="Milliers 3 2 2 4" xfId="71" xr:uid="{00000000-0005-0000-0000-00004E000000}"/>
    <cellStyle name="Milliers 3 2 2 4 2" xfId="323" xr:uid="{00000000-0005-0000-0000-00004F000000}"/>
    <cellStyle name="Milliers 3 2 2 4 2 2" xfId="591" xr:uid="{00000000-0005-0000-0000-000050000000}"/>
    <cellStyle name="Milliers 3 2 2 4 3" xfId="232" xr:uid="{00000000-0005-0000-0000-000051000000}"/>
    <cellStyle name="Milliers 3 2 2 4 4" xfId="508" xr:uid="{00000000-0005-0000-0000-000052000000}"/>
    <cellStyle name="Milliers 3 2 2 5" xfId="97" xr:uid="{00000000-0005-0000-0000-000053000000}"/>
    <cellStyle name="Milliers 3 2 2 5 2" xfId="269" xr:uid="{00000000-0005-0000-0000-000054000000}"/>
    <cellStyle name="Milliers 3 2 2 5 3" xfId="538" xr:uid="{00000000-0005-0000-0000-000055000000}"/>
    <cellStyle name="Milliers 3 2 2 6" xfId="124" xr:uid="{00000000-0005-0000-0000-000056000000}"/>
    <cellStyle name="Milliers 3 2 2 6 2" xfId="400" xr:uid="{00000000-0005-0000-0000-000057000000}"/>
    <cellStyle name="Milliers 3 2 2 6 3" xfId="622" xr:uid="{00000000-0005-0000-0000-000058000000}"/>
    <cellStyle name="Milliers 3 2 2 7" xfId="143" xr:uid="{00000000-0005-0000-0000-000059000000}"/>
    <cellStyle name="Milliers 3 2 2 7 2" xfId="429" xr:uid="{00000000-0005-0000-0000-00005A000000}"/>
    <cellStyle name="Milliers 3 2 2 7 3" xfId="651" xr:uid="{00000000-0005-0000-0000-00005B000000}"/>
    <cellStyle name="Milliers 3 2 2 8" xfId="160" xr:uid="{00000000-0005-0000-0000-00005C000000}"/>
    <cellStyle name="Milliers 3 2 2 9" xfId="178" xr:uid="{00000000-0005-0000-0000-00005D000000}"/>
    <cellStyle name="Milliers 3 2 3" xfId="20" xr:uid="{00000000-0005-0000-0000-00005E000000}"/>
    <cellStyle name="Milliers 3 2 3 10" xfId="456" xr:uid="{00000000-0005-0000-0000-00005F000000}"/>
    <cellStyle name="Milliers 3 2 3 2" xfId="39" xr:uid="{00000000-0005-0000-0000-000060000000}"/>
    <cellStyle name="Milliers 3 2 3 2 2" xfId="63" xr:uid="{00000000-0005-0000-0000-000061000000}"/>
    <cellStyle name="Milliers 3 2 3 2 2 2" xfId="312" xr:uid="{00000000-0005-0000-0000-000062000000}"/>
    <cellStyle name="Milliers 3 2 3 2 2 2 2" xfId="580" xr:uid="{00000000-0005-0000-0000-000063000000}"/>
    <cellStyle name="Milliers 3 2 3 2 2 3" xfId="221" xr:uid="{00000000-0005-0000-0000-000064000000}"/>
    <cellStyle name="Milliers 3 2 3 2 2 4" xfId="497" xr:uid="{00000000-0005-0000-0000-000065000000}"/>
    <cellStyle name="Milliers 3 2 3 2 3" xfId="91" xr:uid="{00000000-0005-0000-0000-000066000000}"/>
    <cellStyle name="Milliers 3 2 3 2 3 2" xfId="341" xr:uid="{00000000-0005-0000-0000-000067000000}"/>
    <cellStyle name="Milliers 3 2 3 2 3 2 2" xfId="609" xr:uid="{00000000-0005-0000-0000-000068000000}"/>
    <cellStyle name="Milliers 3 2 3 2 3 3" xfId="250" xr:uid="{00000000-0005-0000-0000-000069000000}"/>
    <cellStyle name="Milliers 3 2 3 2 3 4" xfId="526" xr:uid="{00000000-0005-0000-0000-00006A000000}"/>
    <cellStyle name="Milliers 3 2 3 2 4" xfId="115" xr:uid="{00000000-0005-0000-0000-00006B000000}"/>
    <cellStyle name="Milliers 3 2 3 2 4 2" xfId="288" xr:uid="{00000000-0005-0000-0000-00006C000000}"/>
    <cellStyle name="Milliers 3 2 3 2 4 3" xfId="556" xr:uid="{00000000-0005-0000-0000-00006D000000}"/>
    <cellStyle name="Milliers 3 2 3 2 5" xfId="418" xr:uid="{00000000-0005-0000-0000-00006E000000}"/>
    <cellStyle name="Milliers 3 2 3 2 5 2" xfId="640" xr:uid="{00000000-0005-0000-0000-00006F000000}"/>
    <cellStyle name="Milliers 3 2 3 2 6" xfId="447" xr:uid="{00000000-0005-0000-0000-000070000000}"/>
    <cellStyle name="Milliers 3 2 3 2 6 2" xfId="669" xr:uid="{00000000-0005-0000-0000-000071000000}"/>
    <cellStyle name="Milliers 3 2 3 2 7" xfId="196" xr:uid="{00000000-0005-0000-0000-000072000000}"/>
    <cellStyle name="Milliers 3 2 3 2 8" xfId="473" xr:uid="{00000000-0005-0000-0000-000073000000}"/>
    <cellStyle name="Milliers 3 2 3 3" xfId="46" xr:uid="{00000000-0005-0000-0000-000074000000}"/>
    <cellStyle name="Milliers 3 2 3 3 2" xfId="295" xr:uid="{00000000-0005-0000-0000-000075000000}"/>
    <cellStyle name="Milliers 3 2 3 3 2 2" xfId="563" xr:uid="{00000000-0005-0000-0000-000076000000}"/>
    <cellStyle name="Milliers 3 2 3 3 3" xfId="203" xr:uid="{00000000-0005-0000-0000-000077000000}"/>
    <cellStyle name="Milliers 3 2 3 3 4" xfId="480" xr:uid="{00000000-0005-0000-0000-000078000000}"/>
    <cellStyle name="Milliers 3 2 3 4" xfId="72" xr:uid="{00000000-0005-0000-0000-000079000000}"/>
    <cellStyle name="Milliers 3 2 3 4 2" xfId="324" xr:uid="{00000000-0005-0000-0000-00007A000000}"/>
    <cellStyle name="Milliers 3 2 3 4 2 2" xfId="592" xr:uid="{00000000-0005-0000-0000-00007B000000}"/>
    <cellStyle name="Milliers 3 2 3 4 3" xfId="233" xr:uid="{00000000-0005-0000-0000-00007C000000}"/>
    <cellStyle name="Milliers 3 2 3 4 4" xfId="509" xr:uid="{00000000-0005-0000-0000-00007D000000}"/>
    <cellStyle name="Milliers 3 2 3 5" xfId="98" xr:uid="{00000000-0005-0000-0000-00007E000000}"/>
    <cellStyle name="Milliers 3 2 3 5 2" xfId="270" xr:uid="{00000000-0005-0000-0000-00007F000000}"/>
    <cellStyle name="Milliers 3 2 3 5 3" xfId="539" xr:uid="{00000000-0005-0000-0000-000080000000}"/>
    <cellStyle name="Milliers 3 2 3 6" xfId="125" xr:uid="{00000000-0005-0000-0000-000081000000}"/>
    <cellStyle name="Milliers 3 2 3 6 2" xfId="401" xr:uid="{00000000-0005-0000-0000-000082000000}"/>
    <cellStyle name="Milliers 3 2 3 6 3" xfId="623" xr:uid="{00000000-0005-0000-0000-000083000000}"/>
    <cellStyle name="Milliers 3 2 3 7" xfId="144" xr:uid="{00000000-0005-0000-0000-000084000000}"/>
    <cellStyle name="Milliers 3 2 3 7 2" xfId="430" xr:uid="{00000000-0005-0000-0000-000085000000}"/>
    <cellStyle name="Milliers 3 2 3 7 3" xfId="652" xr:uid="{00000000-0005-0000-0000-000086000000}"/>
    <cellStyle name="Milliers 3 2 3 8" xfId="161" xr:uid="{00000000-0005-0000-0000-000087000000}"/>
    <cellStyle name="Milliers 3 2 3 9" xfId="179" xr:uid="{00000000-0005-0000-0000-000088000000}"/>
    <cellStyle name="Milliers 3 2 4" xfId="31" xr:uid="{00000000-0005-0000-0000-000089000000}"/>
    <cellStyle name="Milliers 3 2 4 2" xfId="55" xr:uid="{00000000-0005-0000-0000-00008A000000}"/>
    <cellStyle name="Milliers 3 2 4 2 2" xfId="305" xr:uid="{00000000-0005-0000-0000-00008B000000}"/>
    <cellStyle name="Milliers 3 2 4 2 2 2" xfId="573" xr:uid="{00000000-0005-0000-0000-00008C000000}"/>
    <cellStyle name="Milliers 3 2 4 2 3" xfId="214" xr:uid="{00000000-0005-0000-0000-00008D000000}"/>
    <cellStyle name="Milliers 3 2 4 2 4" xfId="490" xr:uid="{00000000-0005-0000-0000-00008E000000}"/>
    <cellStyle name="Milliers 3 2 4 3" xfId="86" xr:uid="{00000000-0005-0000-0000-00008F000000}"/>
    <cellStyle name="Milliers 3 2 4 3 2" xfId="334" xr:uid="{00000000-0005-0000-0000-000090000000}"/>
    <cellStyle name="Milliers 3 2 4 3 2 2" xfId="602" xr:uid="{00000000-0005-0000-0000-000091000000}"/>
    <cellStyle name="Milliers 3 2 4 3 3" xfId="243" xr:uid="{00000000-0005-0000-0000-000092000000}"/>
    <cellStyle name="Milliers 3 2 4 3 4" xfId="519" xr:uid="{00000000-0005-0000-0000-000093000000}"/>
    <cellStyle name="Milliers 3 2 4 4" xfId="107" xr:uid="{00000000-0005-0000-0000-000094000000}"/>
    <cellStyle name="Milliers 3 2 4 4 2" xfId="280" xr:uid="{00000000-0005-0000-0000-000095000000}"/>
    <cellStyle name="Milliers 3 2 4 4 3" xfId="548" xr:uid="{00000000-0005-0000-0000-000096000000}"/>
    <cellStyle name="Milliers 3 2 4 5" xfId="135" xr:uid="{00000000-0005-0000-0000-000097000000}"/>
    <cellStyle name="Milliers 3 2 4 5 2" xfId="411" xr:uid="{00000000-0005-0000-0000-000098000000}"/>
    <cellStyle name="Milliers 3 2 4 5 3" xfId="633" xr:uid="{00000000-0005-0000-0000-000099000000}"/>
    <cellStyle name="Milliers 3 2 4 6" xfId="154" xr:uid="{00000000-0005-0000-0000-00009A000000}"/>
    <cellStyle name="Milliers 3 2 4 6 2" xfId="439" xr:uid="{00000000-0005-0000-0000-00009B000000}"/>
    <cellStyle name="Milliers 3 2 4 6 3" xfId="661" xr:uid="{00000000-0005-0000-0000-00009C000000}"/>
    <cellStyle name="Milliers 3 2 4 7" xfId="171" xr:uid="{00000000-0005-0000-0000-00009D000000}"/>
    <cellStyle name="Milliers 3 2 4 8" xfId="188" xr:uid="{00000000-0005-0000-0000-00009E000000}"/>
    <cellStyle name="Milliers 3 2 4 9" xfId="465" xr:uid="{00000000-0005-0000-0000-00009F000000}"/>
    <cellStyle name="Milliers 3 2 5" xfId="43" xr:uid="{00000000-0005-0000-0000-0000A0000000}"/>
    <cellStyle name="Milliers 3 2 5 2" xfId="247" xr:uid="{00000000-0005-0000-0000-0000A1000000}"/>
    <cellStyle name="Milliers 3 2 5 2 2" xfId="338" xr:uid="{00000000-0005-0000-0000-0000A2000000}"/>
    <cellStyle name="Milliers 3 2 5 2 2 2" xfId="606" xr:uid="{00000000-0005-0000-0000-0000A3000000}"/>
    <cellStyle name="Milliers 3 2 5 2 3" xfId="523" xr:uid="{00000000-0005-0000-0000-0000A4000000}"/>
    <cellStyle name="Milliers 3 2 5 3" xfId="309" xr:uid="{00000000-0005-0000-0000-0000A5000000}"/>
    <cellStyle name="Milliers 3 2 5 3 2" xfId="577" xr:uid="{00000000-0005-0000-0000-0000A6000000}"/>
    <cellStyle name="Milliers 3 2 5 4" xfId="415" xr:uid="{00000000-0005-0000-0000-0000A7000000}"/>
    <cellStyle name="Milliers 3 2 5 4 2" xfId="637" xr:uid="{00000000-0005-0000-0000-0000A8000000}"/>
    <cellStyle name="Milliers 3 2 5 5" xfId="218" xr:uid="{00000000-0005-0000-0000-0000A9000000}"/>
    <cellStyle name="Milliers 3 2 5 6" xfId="494" xr:uid="{00000000-0005-0000-0000-0000AA000000}"/>
    <cellStyle name="Milliers 3 2 6" xfId="69" xr:uid="{00000000-0005-0000-0000-0000AB000000}"/>
    <cellStyle name="Milliers 3 2 6 2" xfId="292" xr:uid="{00000000-0005-0000-0000-0000AC000000}"/>
    <cellStyle name="Milliers 3 2 6 2 2" xfId="560" xr:uid="{00000000-0005-0000-0000-0000AD000000}"/>
    <cellStyle name="Milliers 3 2 6 3" xfId="200" xr:uid="{00000000-0005-0000-0000-0000AE000000}"/>
    <cellStyle name="Milliers 3 2 6 4" xfId="477" xr:uid="{00000000-0005-0000-0000-0000AF000000}"/>
    <cellStyle name="Milliers 3 2 7" xfId="95" xr:uid="{00000000-0005-0000-0000-0000B0000000}"/>
    <cellStyle name="Milliers 3 2 7 2" xfId="321" xr:uid="{00000000-0005-0000-0000-0000B1000000}"/>
    <cellStyle name="Milliers 3 2 7 2 2" xfId="589" xr:uid="{00000000-0005-0000-0000-0000B2000000}"/>
    <cellStyle name="Milliers 3 2 7 3" xfId="230" xr:uid="{00000000-0005-0000-0000-0000B3000000}"/>
    <cellStyle name="Milliers 3 2 7 4" xfId="506" xr:uid="{00000000-0005-0000-0000-0000B4000000}"/>
    <cellStyle name="Milliers 3 2 8" xfId="122" xr:uid="{00000000-0005-0000-0000-0000B5000000}"/>
    <cellStyle name="Milliers 3 2 8 2" xfId="267" xr:uid="{00000000-0005-0000-0000-0000B6000000}"/>
    <cellStyle name="Milliers 3 2 8 3" xfId="536" xr:uid="{00000000-0005-0000-0000-0000B7000000}"/>
    <cellStyle name="Milliers 3 2 9" xfId="141" xr:uid="{00000000-0005-0000-0000-0000B8000000}"/>
    <cellStyle name="Milliers 3 2 9 2" xfId="398" xr:uid="{00000000-0005-0000-0000-0000B9000000}"/>
    <cellStyle name="Milliers 3 2 9 3" xfId="620" xr:uid="{00000000-0005-0000-0000-0000BA000000}"/>
    <cellStyle name="Milliers 3 3" xfId="21" xr:uid="{00000000-0005-0000-0000-0000BB000000}"/>
    <cellStyle name="Milliers 3 3 10" xfId="457" xr:uid="{00000000-0005-0000-0000-0000BC000000}"/>
    <cellStyle name="Milliers 3 3 2" xfId="33" xr:uid="{00000000-0005-0000-0000-0000BD000000}"/>
    <cellStyle name="Milliers 3 3 2 2" xfId="57" xr:uid="{00000000-0005-0000-0000-0000BE000000}"/>
    <cellStyle name="Milliers 3 3 2 2 2" xfId="313" xr:uid="{00000000-0005-0000-0000-0000BF000000}"/>
    <cellStyle name="Milliers 3 3 2 2 2 2" xfId="581" xr:uid="{00000000-0005-0000-0000-0000C0000000}"/>
    <cellStyle name="Milliers 3 3 2 2 3" xfId="222" xr:uid="{00000000-0005-0000-0000-0000C1000000}"/>
    <cellStyle name="Milliers 3 3 2 2 4" xfId="498" xr:uid="{00000000-0005-0000-0000-0000C2000000}"/>
    <cellStyle name="Milliers 3 3 2 3" xfId="67" xr:uid="{00000000-0005-0000-0000-0000C3000000}"/>
    <cellStyle name="Milliers 3 3 2 3 2" xfId="342" xr:uid="{00000000-0005-0000-0000-0000C4000000}"/>
    <cellStyle name="Milliers 3 3 2 3 2 2" xfId="610" xr:uid="{00000000-0005-0000-0000-0000C5000000}"/>
    <cellStyle name="Milliers 3 3 2 3 3" xfId="251" xr:uid="{00000000-0005-0000-0000-0000C6000000}"/>
    <cellStyle name="Milliers 3 3 2 3 4" xfId="527" xr:uid="{00000000-0005-0000-0000-0000C7000000}"/>
    <cellStyle name="Milliers 3 3 2 4" xfId="109" xr:uid="{00000000-0005-0000-0000-0000C8000000}"/>
    <cellStyle name="Milliers 3 3 2 4 2" xfId="282" xr:uid="{00000000-0005-0000-0000-0000C9000000}"/>
    <cellStyle name="Milliers 3 3 2 4 3" xfId="550" xr:uid="{00000000-0005-0000-0000-0000CA000000}"/>
    <cellStyle name="Milliers 3 3 2 5" xfId="419" xr:uid="{00000000-0005-0000-0000-0000CB000000}"/>
    <cellStyle name="Milliers 3 3 2 5 2" xfId="641" xr:uid="{00000000-0005-0000-0000-0000CC000000}"/>
    <cellStyle name="Milliers 3 3 2 6" xfId="441" xr:uid="{00000000-0005-0000-0000-0000CD000000}"/>
    <cellStyle name="Milliers 3 3 2 6 2" xfId="663" xr:uid="{00000000-0005-0000-0000-0000CE000000}"/>
    <cellStyle name="Milliers 3 3 2 7" xfId="190" xr:uid="{00000000-0005-0000-0000-0000CF000000}"/>
    <cellStyle name="Milliers 3 3 2 8" xfId="467" xr:uid="{00000000-0005-0000-0000-0000D0000000}"/>
    <cellStyle name="Milliers 3 3 3" xfId="47" xr:uid="{00000000-0005-0000-0000-0000D1000000}"/>
    <cellStyle name="Milliers 3 3 3 2" xfId="296" xr:uid="{00000000-0005-0000-0000-0000D2000000}"/>
    <cellStyle name="Milliers 3 3 3 2 2" xfId="564" xr:uid="{00000000-0005-0000-0000-0000D3000000}"/>
    <cellStyle name="Milliers 3 3 3 3" xfId="204" xr:uid="{00000000-0005-0000-0000-0000D4000000}"/>
    <cellStyle name="Milliers 3 3 3 4" xfId="481" xr:uid="{00000000-0005-0000-0000-0000D5000000}"/>
    <cellStyle name="Milliers 3 3 4" xfId="73" xr:uid="{00000000-0005-0000-0000-0000D6000000}"/>
    <cellStyle name="Milliers 3 3 4 2" xfId="325" xr:uid="{00000000-0005-0000-0000-0000D7000000}"/>
    <cellStyle name="Milliers 3 3 4 2 2" xfId="593" xr:uid="{00000000-0005-0000-0000-0000D8000000}"/>
    <cellStyle name="Milliers 3 3 4 3" xfId="234" xr:uid="{00000000-0005-0000-0000-0000D9000000}"/>
    <cellStyle name="Milliers 3 3 4 4" xfId="510" xr:uid="{00000000-0005-0000-0000-0000DA000000}"/>
    <cellStyle name="Milliers 3 3 5" xfId="99" xr:uid="{00000000-0005-0000-0000-0000DB000000}"/>
    <cellStyle name="Milliers 3 3 5 2" xfId="271" xr:uid="{00000000-0005-0000-0000-0000DC000000}"/>
    <cellStyle name="Milliers 3 3 5 3" xfId="540" xr:uid="{00000000-0005-0000-0000-0000DD000000}"/>
    <cellStyle name="Milliers 3 3 6" xfId="126" xr:uid="{00000000-0005-0000-0000-0000DE000000}"/>
    <cellStyle name="Milliers 3 3 6 2" xfId="402" xr:uid="{00000000-0005-0000-0000-0000DF000000}"/>
    <cellStyle name="Milliers 3 3 6 3" xfId="624" xr:uid="{00000000-0005-0000-0000-0000E0000000}"/>
    <cellStyle name="Milliers 3 3 7" xfId="145" xr:uid="{00000000-0005-0000-0000-0000E1000000}"/>
    <cellStyle name="Milliers 3 3 7 2" xfId="431" xr:uid="{00000000-0005-0000-0000-0000E2000000}"/>
    <cellStyle name="Milliers 3 3 7 3" xfId="653" xr:uid="{00000000-0005-0000-0000-0000E3000000}"/>
    <cellStyle name="Milliers 3 3 8" xfId="162" xr:uid="{00000000-0005-0000-0000-0000E4000000}"/>
    <cellStyle name="Milliers 3 3 9" xfId="180" xr:uid="{00000000-0005-0000-0000-0000E5000000}"/>
    <cellStyle name="Milliers 3 4" xfId="22" xr:uid="{00000000-0005-0000-0000-0000E6000000}"/>
    <cellStyle name="Milliers 3 4 10" xfId="458" xr:uid="{00000000-0005-0000-0000-0000E7000000}"/>
    <cellStyle name="Milliers 3 4 2" xfId="37" xr:uid="{00000000-0005-0000-0000-0000E8000000}"/>
    <cellStyle name="Milliers 3 4 2 2" xfId="61" xr:uid="{00000000-0005-0000-0000-0000E9000000}"/>
    <cellStyle name="Milliers 3 4 2 2 2" xfId="314" xr:uid="{00000000-0005-0000-0000-0000EA000000}"/>
    <cellStyle name="Milliers 3 4 2 2 2 2" xfId="582" xr:uid="{00000000-0005-0000-0000-0000EB000000}"/>
    <cellStyle name="Milliers 3 4 2 2 3" xfId="223" xr:uid="{00000000-0005-0000-0000-0000EC000000}"/>
    <cellStyle name="Milliers 3 4 2 2 4" xfId="499" xr:uid="{00000000-0005-0000-0000-0000ED000000}"/>
    <cellStyle name="Milliers 3 4 2 3" xfId="89" xr:uid="{00000000-0005-0000-0000-0000EE000000}"/>
    <cellStyle name="Milliers 3 4 2 3 2" xfId="343" xr:uid="{00000000-0005-0000-0000-0000EF000000}"/>
    <cellStyle name="Milliers 3 4 2 3 2 2" xfId="611" xr:uid="{00000000-0005-0000-0000-0000F0000000}"/>
    <cellStyle name="Milliers 3 4 2 3 3" xfId="252" xr:uid="{00000000-0005-0000-0000-0000F1000000}"/>
    <cellStyle name="Milliers 3 4 2 3 4" xfId="528" xr:uid="{00000000-0005-0000-0000-0000F2000000}"/>
    <cellStyle name="Milliers 3 4 2 4" xfId="113" xr:uid="{00000000-0005-0000-0000-0000F3000000}"/>
    <cellStyle name="Milliers 3 4 2 4 2" xfId="286" xr:uid="{00000000-0005-0000-0000-0000F4000000}"/>
    <cellStyle name="Milliers 3 4 2 4 3" xfId="554" xr:uid="{00000000-0005-0000-0000-0000F5000000}"/>
    <cellStyle name="Milliers 3 4 2 5" xfId="420" xr:uid="{00000000-0005-0000-0000-0000F6000000}"/>
    <cellStyle name="Milliers 3 4 2 5 2" xfId="642" xr:uid="{00000000-0005-0000-0000-0000F7000000}"/>
    <cellStyle name="Milliers 3 4 2 6" xfId="445" xr:uid="{00000000-0005-0000-0000-0000F8000000}"/>
    <cellStyle name="Milliers 3 4 2 6 2" xfId="667" xr:uid="{00000000-0005-0000-0000-0000F9000000}"/>
    <cellStyle name="Milliers 3 4 2 7" xfId="194" xr:uid="{00000000-0005-0000-0000-0000FA000000}"/>
    <cellStyle name="Milliers 3 4 2 8" xfId="471" xr:uid="{00000000-0005-0000-0000-0000FB000000}"/>
    <cellStyle name="Milliers 3 4 3" xfId="48" xr:uid="{00000000-0005-0000-0000-0000FC000000}"/>
    <cellStyle name="Milliers 3 4 3 2" xfId="297" xr:uid="{00000000-0005-0000-0000-0000FD000000}"/>
    <cellStyle name="Milliers 3 4 3 2 2" xfId="565" xr:uid="{00000000-0005-0000-0000-0000FE000000}"/>
    <cellStyle name="Milliers 3 4 3 3" xfId="205" xr:uid="{00000000-0005-0000-0000-0000FF000000}"/>
    <cellStyle name="Milliers 3 4 3 4" xfId="482" xr:uid="{00000000-0005-0000-0000-000000010000}"/>
    <cellStyle name="Milliers 3 4 4" xfId="74" xr:uid="{00000000-0005-0000-0000-000001010000}"/>
    <cellStyle name="Milliers 3 4 4 2" xfId="326" xr:uid="{00000000-0005-0000-0000-000002010000}"/>
    <cellStyle name="Milliers 3 4 4 2 2" xfId="594" xr:uid="{00000000-0005-0000-0000-000003010000}"/>
    <cellStyle name="Milliers 3 4 4 3" xfId="235" xr:uid="{00000000-0005-0000-0000-000004010000}"/>
    <cellStyle name="Milliers 3 4 4 4" xfId="511" xr:uid="{00000000-0005-0000-0000-000005010000}"/>
    <cellStyle name="Milliers 3 4 5" xfId="100" xr:uid="{00000000-0005-0000-0000-000006010000}"/>
    <cellStyle name="Milliers 3 4 5 2" xfId="272" xr:uid="{00000000-0005-0000-0000-000007010000}"/>
    <cellStyle name="Milliers 3 4 5 3" xfId="541" xr:uid="{00000000-0005-0000-0000-000008010000}"/>
    <cellStyle name="Milliers 3 4 6" xfId="127" xr:uid="{00000000-0005-0000-0000-000009010000}"/>
    <cellStyle name="Milliers 3 4 6 2" xfId="403" xr:uid="{00000000-0005-0000-0000-00000A010000}"/>
    <cellStyle name="Milliers 3 4 6 3" xfId="625" xr:uid="{00000000-0005-0000-0000-00000B010000}"/>
    <cellStyle name="Milliers 3 4 7" xfId="146" xr:uid="{00000000-0005-0000-0000-00000C010000}"/>
    <cellStyle name="Milliers 3 4 7 2" xfId="432" xr:uid="{00000000-0005-0000-0000-00000D010000}"/>
    <cellStyle name="Milliers 3 4 7 3" xfId="654" xr:uid="{00000000-0005-0000-0000-00000E010000}"/>
    <cellStyle name="Milliers 3 4 8" xfId="163" xr:uid="{00000000-0005-0000-0000-00000F010000}"/>
    <cellStyle name="Milliers 3 4 9" xfId="181" xr:uid="{00000000-0005-0000-0000-000010010000}"/>
    <cellStyle name="Milliers 3 5" xfId="29" xr:uid="{00000000-0005-0000-0000-000011010000}"/>
    <cellStyle name="Milliers 3 5 2" xfId="53" xr:uid="{00000000-0005-0000-0000-000012010000}"/>
    <cellStyle name="Milliers 3 5 2 2" xfId="303" xr:uid="{00000000-0005-0000-0000-000013010000}"/>
    <cellStyle name="Milliers 3 5 2 2 2" xfId="571" xr:uid="{00000000-0005-0000-0000-000014010000}"/>
    <cellStyle name="Milliers 3 5 2 3" xfId="212" xr:uid="{00000000-0005-0000-0000-000015010000}"/>
    <cellStyle name="Milliers 3 5 2 4" xfId="488" xr:uid="{00000000-0005-0000-0000-000016010000}"/>
    <cellStyle name="Milliers 3 5 3" xfId="84" xr:uid="{00000000-0005-0000-0000-000017010000}"/>
    <cellStyle name="Milliers 3 5 3 2" xfId="332" xr:uid="{00000000-0005-0000-0000-000018010000}"/>
    <cellStyle name="Milliers 3 5 3 2 2" xfId="600" xr:uid="{00000000-0005-0000-0000-000019010000}"/>
    <cellStyle name="Milliers 3 5 3 3" xfId="241" xr:uid="{00000000-0005-0000-0000-00001A010000}"/>
    <cellStyle name="Milliers 3 5 3 4" xfId="517" xr:uid="{00000000-0005-0000-0000-00001B010000}"/>
    <cellStyle name="Milliers 3 5 4" xfId="105" xr:uid="{00000000-0005-0000-0000-00001C010000}"/>
    <cellStyle name="Milliers 3 5 4 2" xfId="278" xr:uid="{00000000-0005-0000-0000-00001D010000}"/>
    <cellStyle name="Milliers 3 5 4 3" xfId="546" xr:uid="{00000000-0005-0000-0000-00001E010000}"/>
    <cellStyle name="Milliers 3 5 5" xfId="133" xr:uid="{00000000-0005-0000-0000-00001F010000}"/>
    <cellStyle name="Milliers 3 5 5 2" xfId="409" xr:uid="{00000000-0005-0000-0000-000020010000}"/>
    <cellStyle name="Milliers 3 5 5 3" xfId="631" xr:uid="{00000000-0005-0000-0000-000021010000}"/>
    <cellStyle name="Milliers 3 5 6" xfId="152" xr:uid="{00000000-0005-0000-0000-000022010000}"/>
    <cellStyle name="Milliers 3 5 6 2" xfId="437" xr:uid="{00000000-0005-0000-0000-000023010000}"/>
    <cellStyle name="Milliers 3 5 6 3" xfId="659" xr:uid="{00000000-0005-0000-0000-000024010000}"/>
    <cellStyle name="Milliers 3 5 7" xfId="169" xr:uid="{00000000-0005-0000-0000-000025010000}"/>
    <cellStyle name="Milliers 3 5 8" xfId="186" xr:uid="{00000000-0005-0000-0000-000026010000}"/>
    <cellStyle name="Milliers 3 5 9" xfId="463" xr:uid="{00000000-0005-0000-0000-000027010000}"/>
    <cellStyle name="Milliers 3 6" xfId="41" xr:uid="{00000000-0005-0000-0000-000028010000}"/>
    <cellStyle name="Milliers 3 6 2" xfId="245" xr:uid="{00000000-0005-0000-0000-000029010000}"/>
    <cellStyle name="Milliers 3 6 2 2" xfId="336" xr:uid="{00000000-0005-0000-0000-00002A010000}"/>
    <cellStyle name="Milliers 3 6 2 2 2" xfId="604" xr:uid="{00000000-0005-0000-0000-00002B010000}"/>
    <cellStyle name="Milliers 3 6 2 3" xfId="521" xr:uid="{00000000-0005-0000-0000-00002C010000}"/>
    <cellStyle name="Milliers 3 6 3" xfId="307" xr:uid="{00000000-0005-0000-0000-00002D010000}"/>
    <cellStyle name="Milliers 3 6 3 2" xfId="575" xr:uid="{00000000-0005-0000-0000-00002E010000}"/>
    <cellStyle name="Milliers 3 6 4" xfId="413" xr:uid="{00000000-0005-0000-0000-00002F010000}"/>
    <cellStyle name="Milliers 3 6 4 2" xfId="635" xr:uid="{00000000-0005-0000-0000-000030010000}"/>
    <cellStyle name="Milliers 3 6 5" xfId="216" xr:uid="{00000000-0005-0000-0000-000031010000}"/>
    <cellStyle name="Milliers 3 6 6" xfId="492" xr:uid="{00000000-0005-0000-0000-000032010000}"/>
    <cellStyle name="Milliers 3 7" xfId="66" xr:uid="{00000000-0005-0000-0000-000033010000}"/>
    <cellStyle name="Milliers 3 7 2" xfId="290" xr:uid="{00000000-0005-0000-0000-000034010000}"/>
    <cellStyle name="Milliers 3 7 2 2" xfId="558" xr:uid="{00000000-0005-0000-0000-000035010000}"/>
    <cellStyle name="Milliers 3 7 3" xfId="198" xr:uid="{00000000-0005-0000-0000-000036010000}"/>
    <cellStyle name="Milliers 3 7 4" xfId="475" xr:uid="{00000000-0005-0000-0000-000037010000}"/>
    <cellStyle name="Milliers 3 8" xfId="93" xr:uid="{00000000-0005-0000-0000-000038010000}"/>
    <cellStyle name="Milliers 3 8 2" xfId="319" xr:uid="{00000000-0005-0000-0000-000039010000}"/>
    <cellStyle name="Milliers 3 8 2 2" xfId="587" xr:uid="{00000000-0005-0000-0000-00003A010000}"/>
    <cellStyle name="Milliers 3 8 3" xfId="228" xr:uid="{00000000-0005-0000-0000-00003B010000}"/>
    <cellStyle name="Milliers 3 8 4" xfId="504" xr:uid="{00000000-0005-0000-0000-00003C010000}"/>
    <cellStyle name="Milliers 3 9" xfId="120" xr:uid="{00000000-0005-0000-0000-00003D010000}"/>
    <cellStyle name="Milliers 3 9 2" xfId="264" xr:uid="{00000000-0005-0000-0000-00003E010000}"/>
    <cellStyle name="Milliers 3 9 3" xfId="534" xr:uid="{00000000-0005-0000-0000-00003F010000}"/>
    <cellStyle name="Milliers 4" xfId="14" xr:uid="{00000000-0005-0000-0000-000040010000}"/>
    <cellStyle name="Milliers 4 2" xfId="23" xr:uid="{00000000-0005-0000-0000-000041010000}"/>
    <cellStyle name="Milliers 5" xfId="81" xr:uid="{00000000-0005-0000-0000-000042010000}"/>
    <cellStyle name="Milliers 5 2" xfId="132" xr:uid="{00000000-0005-0000-0000-000043010000}"/>
    <cellStyle name="Milliers 5 2 2" xfId="331" xr:uid="{00000000-0005-0000-0000-000044010000}"/>
    <cellStyle name="Milliers 5 2 2 2" xfId="599" xr:uid="{00000000-0005-0000-0000-000045010000}"/>
    <cellStyle name="Milliers 5 2 3" xfId="240" xr:uid="{00000000-0005-0000-0000-000046010000}"/>
    <cellStyle name="Milliers 5 2 4" xfId="516" xr:uid="{00000000-0005-0000-0000-000047010000}"/>
    <cellStyle name="Milliers 5 3" xfId="151" xr:uid="{00000000-0005-0000-0000-000048010000}"/>
    <cellStyle name="Milliers 5 3 2" xfId="302" xr:uid="{00000000-0005-0000-0000-000049010000}"/>
    <cellStyle name="Milliers 5 3 3" xfId="570" xr:uid="{00000000-0005-0000-0000-00004A010000}"/>
    <cellStyle name="Milliers 5 4" xfId="168" xr:uid="{00000000-0005-0000-0000-00004B010000}"/>
    <cellStyle name="Milliers 5 4 2" xfId="408" xr:uid="{00000000-0005-0000-0000-00004C010000}"/>
    <cellStyle name="Milliers 5 4 3" xfId="630" xr:uid="{00000000-0005-0000-0000-00004D010000}"/>
    <cellStyle name="Milliers 5 5" xfId="210" xr:uid="{00000000-0005-0000-0000-00004E010000}"/>
    <cellStyle name="Milliers 5 6" xfId="487" xr:uid="{00000000-0005-0000-0000-00004F010000}"/>
    <cellStyle name="Milliers 6" xfId="118" xr:uid="{00000000-0005-0000-0000-000050010000}"/>
    <cellStyle name="Milliers 6 2" xfId="263" xr:uid="{00000000-0005-0000-0000-000051010000}"/>
    <cellStyle name="Milliers 7" xfId="273" xr:uid="{00000000-0005-0000-0000-000052010000}"/>
    <cellStyle name="Milliers 8" xfId="379" xr:uid="{00000000-0005-0000-0000-000053010000}"/>
    <cellStyle name="Milliers 9" xfId="393" xr:uid="{00000000-0005-0000-0000-000054010000}"/>
    <cellStyle name="Milliers 9 2" xfId="617" xr:uid="{00000000-0005-0000-0000-000055010000}"/>
    <cellStyle name="Neutre 2" xfId="380" xr:uid="{00000000-0005-0000-0000-000056010000}"/>
    <cellStyle name="Normal" xfId="0" builtinId="0"/>
    <cellStyle name="Normal 10" xfId="261" xr:uid="{00000000-0005-0000-0000-000058010000}"/>
    <cellStyle name="Normal 11" xfId="349" xr:uid="{00000000-0005-0000-0000-000059010000}"/>
    <cellStyle name="Normal 12" xfId="392" xr:uid="{00000000-0005-0000-0000-00005A010000}"/>
    <cellStyle name="Normal 12 2" xfId="616" xr:uid="{00000000-0005-0000-0000-00005B010000}"/>
    <cellStyle name="Normal 2" xfId="7" xr:uid="{00000000-0005-0000-0000-00005C010000}"/>
    <cellStyle name="Normal 2 2" xfId="8" xr:uid="{00000000-0005-0000-0000-00005D010000}"/>
    <cellStyle name="Normal 2 3" xfId="9" xr:uid="{00000000-0005-0000-0000-00005E010000}"/>
    <cellStyle name="Normal 2 3 2" xfId="381" xr:uid="{00000000-0005-0000-0000-00005F010000}"/>
    <cellStyle name="Normal 3" xfId="10" xr:uid="{00000000-0005-0000-0000-000060010000}"/>
    <cellStyle name="Normal 3 10" xfId="140" xr:uid="{00000000-0005-0000-0000-000061010000}"/>
    <cellStyle name="Normal 3 10 2" xfId="265" xr:uid="{00000000-0005-0000-0000-000062010000}"/>
    <cellStyle name="Normal 3 10 3" xfId="535" xr:uid="{00000000-0005-0000-0000-000063010000}"/>
    <cellStyle name="Normal 3 11" xfId="157" xr:uid="{00000000-0005-0000-0000-000064010000}"/>
    <cellStyle name="Normal 3 11 2" xfId="259" xr:uid="{00000000-0005-0000-0000-000065010000}"/>
    <cellStyle name="Normal 3 11 3" xfId="533" xr:uid="{00000000-0005-0000-0000-000066010000}"/>
    <cellStyle name="Normal 3 12" xfId="397" xr:uid="{00000000-0005-0000-0000-000067010000}"/>
    <cellStyle name="Normal 3 12 2" xfId="619" xr:uid="{00000000-0005-0000-0000-000068010000}"/>
    <cellStyle name="Normal 3 13" xfId="426" xr:uid="{00000000-0005-0000-0000-000069010000}"/>
    <cellStyle name="Normal 3 13 2" xfId="648" xr:uid="{00000000-0005-0000-0000-00006A010000}"/>
    <cellStyle name="Normal 3 14" xfId="175" xr:uid="{00000000-0005-0000-0000-00006B010000}"/>
    <cellStyle name="Normal 3 15" xfId="452" xr:uid="{00000000-0005-0000-0000-00006C010000}"/>
    <cellStyle name="Normal 3 2" xfId="17" xr:uid="{00000000-0005-0000-0000-00006D010000}"/>
    <cellStyle name="Normal 3 2 10" xfId="159" xr:uid="{00000000-0005-0000-0000-00006E010000}"/>
    <cellStyle name="Normal 3 2 10 2" xfId="428" xr:uid="{00000000-0005-0000-0000-00006F010000}"/>
    <cellStyle name="Normal 3 2 10 3" xfId="650" xr:uid="{00000000-0005-0000-0000-000070010000}"/>
    <cellStyle name="Normal 3 2 11" xfId="177" xr:uid="{00000000-0005-0000-0000-000071010000}"/>
    <cellStyle name="Normal 3 2 12" xfId="454" xr:uid="{00000000-0005-0000-0000-000072010000}"/>
    <cellStyle name="Normal 3 2 2" xfId="24" xr:uid="{00000000-0005-0000-0000-000073010000}"/>
    <cellStyle name="Normal 3 2 2 10" xfId="459" xr:uid="{00000000-0005-0000-0000-000074010000}"/>
    <cellStyle name="Normal 3 2 2 2" xfId="36" xr:uid="{00000000-0005-0000-0000-000075010000}"/>
    <cellStyle name="Normal 3 2 2 2 2" xfId="60" xr:uid="{00000000-0005-0000-0000-000076010000}"/>
    <cellStyle name="Normal 3 2 2 2 2 2" xfId="315" xr:uid="{00000000-0005-0000-0000-000077010000}"/>
    <cellStyle name="Normal 3 2 2 2 2 2 2" xfId="583" xr:uid="{00000000-0005-0000-0000-000078010000}"/>
    <cellStyle name="Normal 3 2 2 2 2 3" xfId="224" xr:uid="{00000000-0005-0000-0000-000079010000}"/>
    <cellStyle name="Normal 3 2 2 2 2 4" xfId="500" xr:uid="{00000000-0005-0000-0000-00007A010000}"/>
    <cellStyle name="Normal 3 2 2 2 3" xfId="80" xr:uid="{00000000-0005-0000-0000-00007B010000}"/>
    <cellStyle name="Normal 3 2 2 2 3 2" xfId="344" xr:uid="{00000000-0005-0000-0000-00007C010000}"/>
    <cellStyle name="Normal 3 2 2 2 3 2 2" xfId="612" xr:uid="{00000000-0005-0000-0000-00007D010000}"/>
    <cellStyle name="Normal 3 2 2 2 3 3" xfId="253" xr:uid="{00000000-0005-0000-0000-00007E010000}"/>
    <cellStyle name="Normal 3 2 2 2 3 4" xfId="529" xr:uid="{00000000-0005-0000-0000-00007F010000}"/>
    <cellStyle name="Normal 3 2 2 2 4" xfId="112" xr:uid="{00000000-0005-0000-0000-000080010000}"/>
    <cellStyle name="Normal 3 2 2 2 4 2" xfId="285" xr:uid="{00000000-0005-0000-0000-000081010000}"/>
    <cellStyle name="Normal 3 2 2 2 4 3" xfId="553" xr:uid="{00000000-0005-0000-0000-000082010000}"/>
    <cellStyle name="Normal 3 2 2 2 5" xfId="421" xr:uid="{00000000-0005-0000-0000-000083010000}"/>
    <cellStyle name="Normal 3 2 2 2 5 2" xfId="643" xr:uid="{00000000-0005-0000-0000-000084010000}"/>
    <cellStyle name="Normal 3 2 2 2 6" xfId="444" xr:uid="{00000000-0005-0000-0000-000085010000}"/>
    <cellStyle name="Normal 3 2 2 2 6 2" xfId="666" xr:uid="{00000000-0005-0000-0000-000086010000}"/>
    <cellStyle name="Normal 3 2 2 2 7" xfId="193" xr:uid="{00000000-0005-0000-0000-000087010000}"/>
    <cellStyle name="Normal 3 2 2 2 8" xfId="470" xr:uid="{00000000-0005-0000-0000-000088010000}"/>
    <cellStyle name="Normal 3 2 2 3" xfId="49" xr:uid="{00000000-0005-0000-0000-000089010000}"/>
    <cellStyle name="Normal 3 2 2 3 2" xfId="298" xr:uid="{00000000-0005-0000-0000-00008A010000}"/>
    <cellStyle name="Normal 3 2 2 3 2 2" xfId="566" xr:uid="{00000000-0005-0000-0000-00008B010000}"/>
    <cellStyle name="Normal 3 2 2 3 3" xfId="206" xr:uid="{00000000-0005-0000-0000-00008C010000}"/>
    <cellStyle name="Normal 3 2 2 3 4" xfId="483" xr:uid="{00000000-0005-0000-0000-00008D010000}"/>
    <cellStyle name="Normal 3 2 2 4" xfId="76" xr:uid="{00000000-0005-0000-0000-00008E010000}"/>
    <cellStyle name="Normal 3 2 2 4 2" xfId="327" xr:uid="{00000000-0005-0000-0000-00008F010000}"/>
    <cellStyle name="Normal 3 2 2 4 2 2" xfId="595" xr:uid="{00000000-0005-0000-0000-000090010000}"/>
    <cellStyle name="Normal 3 2 2 4 3" xfId="236" xr:uid="{00000000-0005-0000-0000-000091010000}"/>
    <cellStyle name="Normal 3 2 2 4 4" xfId="512" xr:uid="{00000000-0005-0000-0000-000092010000}"/>
    <cellStyle name="Normal 3 2 2 5" xfId="101" xr:uid="{00000000-0005-0000-0000-000093010000}"/>
    <cellStyle name="Normal 3 2 2 5 2" xfId="274" xr:uid="{00000000-0005-0000-0000-000094010000}"/>
    <cellStyle name="Normal 3 2 2 5 3" xfId="542" xr:uid="{00000000-0005-0000-0000-000095010000}"/>
    <cellStyle name="Normal 3 2 2 6" xfId="128" xr:uid="{00000000-0005-0000-0000-000096010000}"/>
    <cellStyle name="Normal 3 2 2 6 2" xfId="404" xr:uid="{00000000-0005-0000-0000-000097010000}"/>
    <cellStyle name="Normal 3 2 2 6 3" xfId="626" xr:uid="{00000000-0005-0000-0000-000098010000}"/>
    <cellStyle name="Normal 3 2 2 7" xfId="147" xr:uid="{00000000-0005-0000-0000-000099010000}"/>
    <cellStyle name="Normal 3 2 2 7 2" xfId="433" xr:uid="{00000000-0005-0000-0000-00009A010000}"/>
    <cellStyle name="Normal 3 2 2 7 3" xfId="655" xr:uid="{00000000-0005-0000-0000-00009B010000}"/>
    <cellStyle name="Normal 3 2 2 8" xfId="164" xr:uid="{00000000-0005-0000-0000-00009C010000}"/>
    <cellStyle name="Normal 3 2 2 9" xfId="182" xr:uid="{00000000-0005-0000-0000-00009D010000}"/>
    <cellStyle name="Normal 3 2 3" xfId="25" xr:uid="{00000000-0005-0000-0000-00009E010000}"/>
    <cellStyle name="Normal 3 2 3 10" xfId="460" xr:uid="{00000000-0005-0000-0000-00009F010000}"/>
    <cellStyle name="Normal 3 2 3 2" xfId="40" xr:uid="{00000000-0005-0000-0000-0000A0010000}"/>
    <cellStyle name="Normal 3 2 3 2 2" xfId="64" xr:uid="{00000000-0005-0000-0000-0000A1010000}"/>
    <cellStyle name="Normal 3 2 3 2 2 2" xfId="316" xr:uid="{00000000-0005-0000-0000-0000A2010000}"/>
    <cellStyle name="Normal 3 2 3 2 2 2 2" xfId="584" xr:uid="{00000000-0005-0000-0000-0000A3010000}"/>
    <cellStyle name="Normal 3 2 3 2 2 3" xfId="225" xr:uid="{00000000-0005-0000-0000-0000A4010000}"/>
    <cellStyle name="Normal 3 2 3 2 2 4" xfId="501" xr:uid="{00000000-0005-0000-0000-0000A5010000}"/>
    <cellStyle name="Normal 3 2 3 2 3" xfId="92" xr:uid="{00000000-0005-0000-0000-0000A6010000}"/>
    <cellStyle name="Normal 3 2 3 2 3 2" xfId="345" xr:uid="{00000000-0005-0000-0000-0000A7010000}"/>
    <cellStyle name="Normal 3 2 3 2 3 2 2" xfId="613" xr:uid="{00000000-0005-0000-0000-0000A8010000}"/>
    <cellStyle name="Normal 3 2 3 2 3 3" xfId="254" xr:uid="{00000000-0005-0000-0000-0000A9010000}"/>
    <cellStyle name="Normal 3 2 3 2 3 4" xfId="530" xr:uid="{00000000-0005-0000-0000-0000AA010000}"/>
    <cellStyle name="Normal 3 2 3 2 4" xfId="116" xr:uid="{00000000-0005-0000-0000-0000AB010000}"/>
    <cellStyle name="Normal 3 2 3 2 4 2" xfId="289" xr:uid="{00000000-0005-0000-0000-0000AC010000}"/>
    <cellStyle name="Normal 3 2 3 2 4 3" xfId="557" xr:uid="{00000000-0005-0000-0000-0000AD010000}"/>
    <cellStyle name="Normal 3 2 3 2 5" xfId="422" xr:uid="{00000000-0005-0000-0000-0000AE010000}"/>
    <cellStyle name="Normal 3 2 3 2 5 2" xfId="644" xr:uid="{00000000-0005-0000-0000-0000AF010000}"/>
    <cellStyle name="Normal 3 2 3 2 6" xfId="448" xr:uid="{00000000-0005-0000-0000-0000B0010000}"/>
    <cellStyle name="Normal 3 2 3 2 6 2" xfId="670" xr:uid="{00000000-0005-0000-0000-0000B1010000}"/>
    <cellStyle name="Normal 3 2 3 2 7" xfId="197" xr:uid="{00000000-0005-0000-0000-0000B2010000}"/>
    <cellStyle name="Normal 3 2 3 2 8" xfId="474" xr:uid="{00000000-0005-0000-0000-0000B3010000}"/>
    <cellStyle name="Normal 3 2 3 3" xfId="50" xr:uid="{00000000-0005-0000-0000-0000B4010000}"/>
    <cellStyle name="Normal 3 2 3 3 2" xfId="299" xr:uid="{00000000-0005-0000-0000-0000B5010000}"/>
    <cellStyle name="Normal 3 2 3 3 2 2" xfId="567" xr:uid="{00000000-0005-0000-0000-0000B6010000}"/>
    <cellStyle name="Normal 3 2 3 3 3" xfId="207" xr:uid="{00000000-0005-0000-0000-0000B7010000}"/>
    <cellStyle name="Normal 3 2 3 3 4" xfId="484" xr:uid="{00000000-0005-0000-0000-0000B8010000}"/>
    <cellStyle name="Normal 3 2 3 4" xfId="77" xr:uid="{00000000-0005-0000-0000-0000B9010000}"/>
    <cellStyle name="Normal 3 2 3 4 2" xfId="328" xr:uid="{00000000-0005-0000-0000-0000BA010000}"/>
    <cellStyle name="Normal 3 2 3 4 2 2" xfId="596" xr:uid="{00000000-0005-0000-0000-0000BB010000}"/>
    <cellStyle name="Normal 3 2 3 4 3" xfId="237" xr:uid="{00000000-0005-0000-0000-0000BC010000}"/>
    <cellStyle name="Normal 3 2 3 4 4" xfId="513" xr:uid="{00000000-0005-0000-0000-0000BD010000}"/>
    <cellStyle name="Normal 3 2 3 5" xfId="102" xr:uid="{00000000-0005-0000-0000-0000BE010000}"/>
    <cellStyle name="Normal 3 2 3 5 2" xfId="275" xr:uid="{00000000-0005-0000-0000-0000BF010000}"/>
    <cellStyle name="Normal 3 2 3 5 3" xfId="543" xr:uid="{00000000-0005-0000-0000-0000C0010000}"/>
    <cellStyle name="Normal 3 2 3 6" xfId="129" xr:uid="{00000000-0005-0000-0000-0000C1010000}"/>
    <cellStyle name="Normal 3 2 3 6 2" xfId="405" xr:uid="{00000000-0005-0000-0000-0000C2010000}"/>
    <cellStyle name="Normal 3 2 3 6 3" xfId="627" xr:uid="{00000000-0005-0000-0000-0000C3010000}"/>
    <cellStyle name="Normal 3 2 3 7" xfId="148" xr:uid="{00000000-0005-0000-0000-0000C4010000}"/>
    <cellStyle name="Normal 3 2 3 7 2" xfId="434" xr:uid="{00000000-0005-0000-0000-0000C5010000}"/>
    <cellStyle name="Normal 3 2 3 7 3" xfId="656" xr:uid="{00000000-0005-0000-0000-0000C6010000}"/>
    <cellStyle name="Normal 3 2 3 8" xfId="165" xr:uid="{00000000-0005-0000-0000-0000C7010000}"/>
    <cellStyle name="Normal 3 2 3 9" xfId="183" xr:uid="{00000000-0005-0000-0000-0000C8010000}"/>
    <cellStyle name="Normal 3 2 4" xfId="32" xr:uid="{00000000-0005-0000-0000-0000C9010000}"/>
    <cellStyle name="Normal 3 2 4 2" xfId="56" xr:uid="{00000000-0005-0000-0000-0000CA010000}"/>
    <cellStyle name="Normal 3 2 4 2 2" xfId="306" xr:uid="{00000000-0005-0000-0000-0000CB010000}"/>
    <cellStyle name="Normal 3 2 4 2 2 2" xfId="574" xr:uid="{00000000-0005-0000-0000-0000CC010000}"/>
    <cellStyle name="Normal 3 2 4 2 3" xfId="215" xr:uid="{00000000-0005-0000-0000-0000CD010000}"/>
    <cellStyle name="Normal 3 2 4 2 4" xfId="491" xr:uid="{00000000-0005-0000-0000-0000CE010000}"/>
    <cellStyle name="Normal 3 2 4 3" xfId="87" xr:uid="{00000000-0005-0000-0000-0000CF010000}"/>
    <cellStyle name="Normal 3 2 4 3 2" xfId="335" xr:uid="{00000000-0005-0000-0000-0000D0010000}"/>
    <cellStyle name="Normal 3 2 4 3 2 2" xfId="603" xr:uid="{00000000-0005-0000-0000-0000D1010000}"/>
    <cellStyle name="Normal 3 2 4 3 3" xfId="244" xr:uid="{00000000-0005-0000-0000-0000D2010000}"/>
    <cellStyle name="Normal 3 2 4 3 4" xfId="520" xr:uid="{00000000-0005-0000-0000-0000D3010000}"/>
    <cellStyle name="Normal 3 2 4 4" xfId="108" xr:uid="{00000000-0005-0000-0000-0000D4010000}"/>
    <cellStyle name="Normal 3 2 4 4 2" xfId="281" xr:uid="{00000000-0005-0000-0000-0000D5010000}"/>
    <cellStyle name="Normal 3 2 4 4 3" xfId="549" xr:uid="{00000000-0005-0000-0000-0000D6010000}"/>
    <cellStyle name="Normal 3 2 4 5" xfId="136" xr:uid="{00000000-0005-0000-0000-0000D7010000}"/>
    <cellStyle name="Normal 3 2 4 5 2" xfId="412" xr:uid="{00000000-0005-0000-0000-0000D8010000}"/>
    <cellStyle name="Normal 3 2 4 5 3" xfId="634" xr:uid="{00000000-0005-0000-0000-0000D9010000}"/>
    <cellStyle name="Normal 3 2 4 6" xfId="155" xr:uid="{00000000-0005-0000-0000-0000DA010000}"/>
    <cellStyle name="Normal 3 2 4 6 2" xfId="440" xr:uid="{00000000-0005-0000-0000-0000DB010000}"/>
    <cellStyle name="Normal 3 2 4 6 3" xfId="662" xr:uid="{00000000-0005-0000-0000-0000DC010000}"/>
    <cellStyle name="Normal 3 2 4 7" xfId="172" xr:uid="{00000000-0005-0000-0000-0000DD010000}"/>
    <cellStyle name="Normal 3 2 4 8" xfId="189" xr:uid="{00000000-0005-0000-0000-0000DE010000}"/>
    <cellStyle name="Normal 3 2 4 9" xfId="466" xr:uid="{00000000-0005-0000-0000-0000DF010000}"/>
    <cellStyle name="Normal 3 2 5" xfId="44" xr:uid="{00000000-0005-0000-0000-0000E0010000}"/>
    <cellStyle name="Normal 3 2 5 2" xfId="248" xr:uid="{00000000-0005-0000-0000-0000E1010000}"/>
    <cellStyle name="Normal 3 2 5 2 2" xfId="339" xr:uid="{00000000-0005-0000-0000-0000E2010000}"/>
    <cellStyle name="Normal 3 2 5 2 2 2" xfId="607" xr:uid="{00000000-0005-0000-0000-0000E3010000}"/>
    <cellStyle name="Normal 3 2 5 2 3" xfId="524" xr:uid="{00000000-0005-0000-0000-0000E4010000}"/>
    <cellStyle name="Normal 3 2 5 3" xfId="310" xr:uid="{00000000-0005-0000-0000-0000E5010000}"/>
    <cellStyle name="Normal 3 2 5 3 2" xfId="578" xr:uid="{00000000-0005-0000-0000-0000E6010000}"/>
    <cellStyle name="Normal 3 2 5 4" xfId="416" xr:uid="{00000000-0005-0000-0000-0000E7010000}"/>
    <cellStyle name="Normal 3 2 5 4 2" xfId="638" xr:uid="{00000000-0005-0000-0000-0000E8010000}"/>
    <cellStyle name="Normal 3 2 5 5" xfId="219" xr:uid="{00000000-0005-0000-0000-0000E9010000}"/>
    <cellStyle name="Normal 3 2 5 6" xfId="495" xr:uid="{00000000-0005-0000-0000-0000EA010000}"/>
    <cellStyle name="Normal 3 2 6" xfId="70" xr:uid="{00000000-0005-0000-0000-0000EB010000}"/>
    <cellStyle name="Normal 3 2 6 2" xfId="293" xr:uid="{00000000-0005-0000-0000-0000EC010000}"/>
    <cellStyle name="Normal 3 2 6 2 2" xfId="561" xr:uid="{00000000-0005-0000-0000-0000ED010000}"/>
    <cellStyle name="Normal 3 2 6 3" xfId="201" xr:uid="{00000000-0005-0000-0000-0000EE010000}"/>
    <cellStyle name="Normal 3 2 6 4" xfId="478" xr:uid="{00000000-0005-0000-0000-0000EF010000}"/>
    <cellStyle name="Normal 3 2 7" xfId="96" xr:uid="{00000000-0005-0000-0000-0000F0010000}"/>
    <cellStyle name="Normal 3 2 7 2" xfId="322" xr:uid="{00000000-0005-0000-0000-0000F1010000}"/>
    <cellStyle name="Normal 3 2 7 2 2" xfId="590" xr:uid="{00000000-0005-0000-0000-0000F2010000}"/>
    <cellStyle name="Normal 3 2 7 3" xfId="231" xr:uid="{00000000-0005-0000-0000-0000F3010000}"/>
    <cellStyle name="Normal 3 2 7 4" xfId="507" xr:uid="{00000000-0005-0000-0000-0000F4010000}"/>
    <cellStyle name="Normal 3 2 8" xfId="123" xr:uid="{00000000-0005-0000-0000-0000F5010000}"/>
    <cellStyle name="Normal 3 2 8 2" xfId="268" xr:uid="{00000000-0005-0000-0000-0000F6010000}"/>
    <cellStyle name="Normal 3 2 8 3" xfId="537" xr:uid="{00000000-0005-0000-0000-0000F7010000}"/>
    <cellStyle name="Normal 3 2 9" xfId="142" xr:uid="{00000000-0005-0000-0000-0000F8010000}"/>
    <cellStyle name="Normal 3 2 9 2" xfId="399" xr:uid="{00000000-0005-0000-0000-0000F9010000}"/>
    <cellStyle name="Normal 3 2 9 3" xfId="621" xr:uid="{00000000-0005-0000-0000-0000FA010000}"/>
    <cellStyle name="Normal 3 3" xfId="26" xr:uid="{00000000-0005-0000-0000-0000FB010000}"/>
    <cellStyle name="Normal 3 3 10" xfId="461" xr:uid="{00000000-0005-0000-0000-0000FC010000}"/>
    <cellStyle name="Normal 3 3 2" xfId="34" xr:uid="{00000000-0005-0000-0000-0000FD010000}"/>
    <cellStyle name="Normal 3 3 2 2" xfId="58" xr:uid="{00000000-0005-0000-0000-0000FE010000}"/>
    <cellStyle name="Normal 3 3 2 2 2" xfId="317" xr:uid="{00000000-0005-0000-0000-0000FF010000}"/>
    <cellStyle name="Normal 3 3 2 2 2 2" xfId="585" xr:uid="{00000000-0005-0000-0000-000000020000}"/>
    <cellStyle name="Normal 3 3 2 2 3" xfId="226" xr:uid="{00000000-0005-0000-0000-000001020000}"/>
    <cellStyle name="Normal 3 3 2 2 4" xfId="502" xr:uid="{00000000-0005-0000-0000-000002020000}"/>
    <cellStyle name="Normal 3 3 2 3" xfId="75" xr:uid="{00000000-0005-0000-0000-000003020000}"/>
    <cellStyle name="Normal 3 3 2 3 2" xfId="346" xr:uid="{00000000-0005-0000-0000-000004020000}"/>
    <cellStyle name="Normal 3 3 2 3 2 2" xfId="614" xr:uid="{00000000-0005-0000-0000-000005020000}"/>
    <cellStyle name="Normal 3 3 2 3 3" xfId="255" xr:uid="{00000000-0005-0000-0000-000006020000}"/>
    <cellStyle name="Normal 3 3 2 3 4" xfId="531" xr:uid="{00000000-0005-0000-0000-000007020000}"/>
    <cellStyle name="Normal 3 3 2 4" xfId="110" xr:uid="{00000000-0005-0000-0000-000008020000}"/>
    <cellStyle name="Normal 3 3 2 4 2" xfId="283" xr:uid="{00000000-0005-0000-0000-000009020000}"/>
    <cellStyle name="Normal 3 3 2 4 3" xfId="551" xr:uid="{00000000-0005-0000-0000-00000A020000}"/>
    <cellStyle name="Normal 3 3 2 5" xfId="423" xr:uid="{00000000-0005-0000-0000-00000B020000}"/>
    <cellStyle name="Normal 3 3 2 5 2" xfId="645" xr:uid="{00000000-0005-0000-0000-00000C020000}"/>
    <cellStyle name="Normal 3 3 2 6" xfId="442" xr:uid="{00000000-0005-0000-0000-00000D020000}"/>
    <cellStyle name="Normal 3 3 2 6 2" xfId="664" xr:uid="{00000000-0005-0000-0000-00000E020000}"/>
    <cellStyle name="Normal 3 3 2 7" xfId="191" xr:uid="{00000000-0005-0000-0000-00000F020000}"/>
    <cellStyle name="Normal 3 3 2 8" xfId="468" xr:uid="{00000000-0005-0000-0000-000010020000}"/>
    <cellStyle name="Normal 3 3 3" xfId="51" xr:uid="{00000000-0005-0000-0000-000011020000}"/>
    <cellStyle name="Normal 3 3 3 2" xfId="300" xr:uid="{00000000-0005-0000-0000-000012020000}"/>
    <cellStyle name="Normal 3 3 3 2 2" xfId="568" xr:uid="{00000000-0005-0000-0000-000013020000}"/>
    <cellStyle name="Normal 3 3 3 3" xfId="208" xr:uid="{00000000-0005-0000-0000-000014020000}"/>
    <cellStyle name="Normal 3 3 3 4" xfId="485" xr:uid="{00000000-0005-0000-0000-000015020000}"/>
    <cellStyle name="Normal 3 3 4" xfId="78" xr:uid="{00000000-0005-0000-0000-000016020000}"/>
    <cellStyle name="Normal 3 3 4 2" xfId="329" xr:uid="{00000000-0005-0000-0000-000017020000}"/>
    <cellStyle name="Normal 3 3 4 2 2" xfId="597" xr:uid="{00000000-0005-0000-0000-000018020000}"/>
    <cellStyle name="Normal 3 3 4 3" xfId="238" xr:uid="{00000000-0005-0000-0000-000019020000}"/>
    <cellStyle name="Normal 3 3 4 4" xfId="514" xr:uid="{00000000-0005-0000-0000-00001A020000}"/>
    <cellStyle name="Normal 3 3 5" xfId="103" xr:uid="{00000000-0005-0000-0000-00001B020000}"/>
    <cellStyle name="Normal 3 3 5 2" xfId="276" xr:uid="{00000000-0005-0000-0000-00001C020000}"/>
    <cellStyle name="Normal 3 3 5 3" xfId="544" xr:uid="{00000000-0005-0000-0000-00001D020000}"/>
    <cellStyle name="Normal 3 3 6" xfId="130" xr:uid="{00000000-0005-0000-0000-00001E020000}"/>
    <cellStyle name="Normal 3 3 6 2" xfId="406" xr:uid="{00000000-0005-0000-0000-00001F020000}"/>
    <cellStyle name="Normal 3 3 6 3" xfId="628" xr:uid="{00000000-0005-0000-0000-000020020000}"/>
    <cellStyle name="Normal 3 3 7" xfId="149" xr:uid="{00000000-0005-0000-0000-000021020000}"/>
    <cellStyle name="Normal 3 3 7 2" xfId="435" xr:uid="{00000000-0005-0000-0000-000022020000}"/>
    <cellStyle name="Normal 3 3 7 3" xfId="657" xr:uid="{00000000-0005-0000-0000-000023020000}"/>
    <cellStyle name="Normal 3 3 8" xfId="166" xr:uid="{00000000-0005-0000-0000-000024020000}"/>
    <cellStyle name="Normal 3 3 9" xfId="184" xr:uid="{00000000-0005-0000-0000-000025020000}"/>
    <cellStyle name="Normal 3 4" xfId="27" xr:uid="{00000000-0005-0000-0000-000026020000}"/>
    <cellStyle name="Normal 3 4 10" xfId="462" xr:uid="{00000000-0005-0000-0000-000027020000}"/>
    <cellStyle name="Normal 3 4 2" xfId="38" xr:uid="{00000000-0005-0000-0000-000028020000}"/>
    <cellStyle name="Normal 3 4 2 2" xfId="62" xr:uid="{00000000-0005-0000-0000-000029020000}"/>
    <cellStyle name="Normal 3 4 2 2 2" xfId="318" xr:uid="{00000000-0005-0000-0000-00002A020000}"/>
    <cellStyle name="Normal 3 4 2 2 2 2" xfId="586" xr:uid="{00000000-0005-0000-0000-00002B020000}"/>
    <cellStyle name="Normal 3 4 2 2 3" xfId="227" xr:uid="{00000000-0005-0000-0000-00002C020000}"/>
    <cellStyle name="Normal 3 4 2 2 4" xfId="503" xr:uid="{00000000-0005-0000-0000-00002D020000}"/>
    <cellStyle name="Normal 3 4 2 3" xfId="90" xr:uid="{00000000-0005-0000-0000-00002E020000}"/>
    <cellStyle name="Normal 3 4 2 3 2" xfId="347" xr:uid="{00000000-0005-0000-0000-00002F020000}"/>
    <cellStyle name="Normal 3 4 2 3 2 2" xfId="615" xr:uid="{00000000-0005-0000-0000-000030020000}"/>
    <cellStyle name="Normal 3 4 2 3 3" xfId="256" xr:uid="{00000000-0005-0000-0000-000031020000}"/>
    <cellStyle name="Normal 3 4 2 3 4" xfId="532" xr:uid="{00000000-0005-0000-0000-000032020000}"/>
    <cellStyle name="Normal 3 4 2 4" xfId="114" xr:uid="{00000000-0005-0000-0000-000033020000}"/>
    <cellStyle name="Normal 3 4 2 4 2" xfId="287" xr:uid="{00000000-0005-0000-0000-000034020000}"/>
    <cellStyle name="Normal 3 4 2 4 3" xfId="555" xr:uid="{00000000-0005-0000-0000-000035020000}"/>
    <cellStyle name="Normal 3 4 2 5" xfId="424" xr:uid="{00000000-0005-0000-0000-000036020000}"/>
    <cellStyle name="Normal 3 4 2 5 2" xfId="646" xr:uid="{00000000-0005-0000-0000-000037020000}"/>
    <cellStyle name="Normal 3 4 2 6" xfId="446" xr:uid="{00000000-0005-0000-0000-000038020000}"/>
    <cellStyle name="Normal 3 4 2 6 2" xfId="668" xr:uid="{00000000-0005-0000-0000-000039020000}"/>
    <cellStyle name="Normal 3 4 2 7" xfId="195" xr:uid="{00000000-0005-0000-0000-00003A020000}"/>
    <cellStyle name="Normal 3 4 2 8" xfId="472" xr:uid="{00000000-0005-0000-0000-00003B020000}"/>
    <cellStyle name="Normal 3 4 3" xfId="52" xr:uid="{00000000-0005-0000-0000-00003C020000}"/>
    <cellStyle name="Normal 3 4 3 2" xfId="301" xr:uid="{00000000-0005-0000-0000-00003D020000}"/>
    <cellStyle name="Normal 3 4 3 2 2" xfId="569" xr:uid="{00000000-0005-0000-0000-00003E020000}"/>
    <cellStyle name="Normal 3 4 3 3" xfId="209" xr:uid="{00000000-0005-0000-0000-00003F020000}"/>
    <cellStyle name="Normal 3 4 3 4" xfId="486" xr:uid="{00000000-0005-0000-0000-000040020000}"/>
    <cellStyle name="Normal 3 4 4" xfId="79" xr:uid="{00000000-0005-0000-0000-000041020000}"/>
    <cellStyle name="Normal 3 4 4 2" xfId="330" xr:uid="{00000000-0005-0000-0000-000042020000}"/>
    <cellStyle name="Normal 3 4 4 2 2" xfId="598" xr:uid="{00000000-0005-0000-0000-000043020000}"/>
    <cellStyle name="Normal 3 4 4 3" xfId="239" xr:uid="{00000000-0005-0000-0000-000044020000}"/>
    <cellStyle name="Normal 3 4 4 4" xfId="515" xr:uid="{00000000-0005-0000-0000-000045020000}"/>
    <cellStyle name="Normal 3 4 5" xfId="104" xr:uid="{00000000-0005-0000-0000-000046020000}"/>
    <cellStyle name="Normal 3 4 5 2" xfId="277" xr:uid="{00000000-0005-0000-0000-000047020000}"/>
    <cellStyle name="Normal 3 4 5 3" xfId="545" xr:uid="{00000000-0005-0000-0000-000048020000}"/>
    <cellStyle name="Normal 3 4 6" xfId="131" xr:uid="{00000000-0005-0000-0000-000049020000}"/>
    <cellStyle name="Normal 3 4 6 2" xfId="407" xr:uid="{00000000-0005-0000-0000-00004A020000}"/>
    <cellStyle name="Normal 3 4 6 3" xfId="629" xr:uid="{00000000-0005-0000-0000-00004B020000}"/>
    <cellStyle name="Normal 3 4 7" xfId="150" xr:uid="{00000000-0005-0000-0000-00004C020000}"/>
    <cellStyle name="Normal 3 4 7 2" xfId="436" xr:uid="{00000000-0005-0000-0000-00004D020000}"/>
    <cellStyle name="Normal 3 4 7 3" xfId="658" xr:uid="{00000000-0005-0000-0000-00004E020000}"/>
    <cellStyle name="Normal 3 4 8" xfId="167" xr:uid="{00000000-0005-0000-0000-00004F020000}"/>
    <cellStyle name="Normal 3 4 9" xfId="185" xr:uid="{00000000-0005-0000-0000-000050020000}"/>
    <cellStyle name="Normal 3 5" xfId="30" xr:uid="{00000000-0005-0000-0000-000051020000}"/>
    <cellStyle name="Normal 3 5 2" xfId="54" xr:uid="{00000000-0005-0000-0000-000052020000}"/>
    <cellStyle name="Normal 3 5 2 2" xfId="211" xr:uid="{00000000-0005-0000-0000-000053020000}"/>
    <cellStyle name="Normal 3 5 3" xfId="82" xr:uid="{00000000-0005-0000-0000-000054020000}"/>
    <cellStyle name="Normal 3 5 3 2" xfId="279" xr:uid="{00000000-0005-0000-0000-000055020000}"/>
    <cellStyle name="Normal 3 5 3 3" xfId="547" xr:uid="{00000000-0005-0000-0000-000056020000}"/>
    <cellStyle name="Normal 3 5 4" xfId="65" xr:uid="{00000000-0005-0000-0000-000057020000}"/>
    <cellStyle name="Normal 3 5 4 2" xfId="438" xr:uid="{00000000-0005-0000-0000-000058020000}"/>
    <cellStyle name="Normal 3 5 4 3" xfId="660" xr:uid="{00000000-0005-0000-0000-000059020000}"/>
    <cellStyle name="Normal 3 5 5" xfId="106" xr:uid="{00000000-0005-0000-0000-00005A020000}"/>
    <cellStyle name="Normal 3 5 6" xfId="187" xr:uid="{00000000-0005-0000-0000-00005B020000}"/>
    <cellStyle name="Normal 3 5 7" xfId="464" xr:uid="{00000000-0005-0000-0000-00005C020000}"/>
    <cellStyle name="Normal 3 6" xfId="42" xr:uid="{00000000-0005-0000-0000-00005D020000}"/>
    <cellStyle name="Normal 3 6 2" xfId="85" xr:uid="{00000000-0005-0000-0000-00005E020000}"/>
    <cellStyle name="Normal 3 6 2 2" xfId="333" xr:uid="{00000000-0005-0000-0000-00005F020000}"/>
    <cellStyle name="Normal 3 6 2 2 2" xfId="601" xr:uid="{00000000-0005-0000-0000-000060020000}"/>
    <cellStyle name="Normal 3 6 2 3" xfId="242" xr:uid="{00000000-0005-0000-0000-000061020000}"/>
    <cellStyle name="Normal 3 6 2 4" xfId="518" xr:uid="{00000000-0005-0000-0000-000062020000}"/>
    <cellStyle name="Normal 3 6 3" xfId="134" xr:uid="{00000000-0005-0000-0000-000063020000}"/>
    <cellStyle name="Normal 3 6 3 2" xfId="304" xr:uid="{00000000-0005-0000-0000-000064020000}"/>
    <cellStyle name="Normal 3 6 3 3" xfId="572" xr:uid="{00000000-0005-0000-0000-000065020000}"/>
    <cellStyle name="Normal 3 6 4" xfId="153" xr:uid="{00000000-0005-0000-0000-000066020000}"/>
    <cellStyle name="Normal 3 6 4 2" xfId="410" xr:uid="{00000000-0005-0000-0000-000067020000}"/>
    <cellStyle name="Normal 3 6 4 3" xfId="632" xr:uid="{00000000-0005-0000-0000-000068020000}"/>
    <cellStyle name="Normal 3 6 5" xfId="170" xr:uid="{00000000-0005-0000-0000-000069020000}"/>
    <cellStyle name="Normal 3 6 6" xfId="213" xr:uid="{00000000-0005-0000-0000-00006A020000}"/>
    <cellStyle name="Normal 3 6 7" xfId="489" xr:uid="{00000000-0005-0000-0000-00006B020000}"/>
    <cellStyle name="Normal 3 7" xfId="68" xr:uid="{00000000-0005-0000-0000-00006C020000}"/>
    <cellStyle name="Normal 3 7 2" xfId="246" xr:uid="{00000000-0005-0000-0000-00006D020000}"/>
    <cellStyle name="Normal 3 7 2 2" xfId="337" xr:uid="{00000000-0005-0000-0000-00006E020000}"/>
    <cellStyle name="Normal 3 7 2 2 2" xfId="605" xr:uid="{00000000-0005-0000-0000-00006F020000}"/>
    <cellStyle name="Normal 3 7 2 3" xfId="522" xr:uid="{00000000-0005-0000-0000-000070020000}"/>
    <cellStyle name="Normal 3 7 3" xfId="308" xr:uid="{00000000-0005-0000-0000-000071020000}"/>
    <cellStyle name="Normal 3 7 3 2" xfId="576" xr:uid="{00000000-0005-0000-0000-000072020000}"/>
    <cellStyle name="Normal 3 7 4" xfId="414" xr:uid="{00000000-0005-0000-0000-000073020000}"/>
    <cellStyle name="Normal 3 7 4 2" xfId="636" xr:uid="{00000000-0005-0000-0000-000074020000}"/>
    <cellStyle name="Normal 3 7 5" xfId="217" xr:uid="{00000000-0005-0000-0000-000075020000}"/>
    <cellStyle name="Normal 3 7 6" xfId="493" xr:uid="{00000000-0005-0000-0000-000076020000}"/>
    <cellStyle name="Normal 3 8" xfId="94" xr:uid="{00000000-0005-0000-0000-000077020000}"/>
    <cellStyle name="Normal 3 8 2" xfId="291" xr:uid="{00000000-0005-0000-0000-000078020000}"/>
    <cellStyle name="Normal 3 8 2 2" xfId="559" xr:uid="{00000000-0005-0000-0000-000079020000}"/>
    <cellStyle name="Normal 3 8 3" xfId="199" xr:uid="{00000000-0005-0000-0000-00007A020000}"/>
    <cellStyle name="Normal 3 8 4" xfId="476" xr:uid="{00000000-0005-0000-0000-00007B020000}"/>
    <cellStyle name="Normal 3 9" xfId="121" xr:uid="{00000000-0005-0000-0000-00007C020000}"/>
    <cellStyle name="Normal 3 9 2" xfId="320" xr:uid="{00000000-0005-0000-0000-00007D020000}"/>
    <cellStyle name="Normal 3 9 2 2" xfId="588" xr:uid="{00000000-0005-0000-0000-00007E020000}"/>
    <cellStyle name="Normal 3 9 3" xfId="229" xr:uid="{00000000-0005-0000-0000-00007F020000}"/>
    <cellStyle name="Normal 3 9 4" xfId="505" xr:uid="{00000000-0005-0000-0000-000080020000}"/>
    <cellStyle name="Normal 4" xfId="15" xr:uid="{00000000-0005-0000-0000-000081020000}"/>
    <cellStyle name="Normal 4 2" xfId="28" xr:uid="{00000000-0005-0000-0000-000082020000}"/>
    <cellStyle name="Normal 5" xfId="18" xr:uid="{00000000-0005-0000-0000-000083020000}"/>
    <cellStyle name="Normal 6" xfId="83" xr:uid="{00000000-0005-0000-0000-000084020000}"/>
    <cellStyle name="Normal 7" xfId="117" xr:uid="{00000000-0005-0000-0000-000085020000}"/>
    <cellStyle name="Normal 7 2" xfId="257" xr:uid="{00000000-0005-0000-0000-000086020000}"/>
    <cellStyle name="Normal 8" xfId="119" xr:uid="{00000000-0005-0000-0000-000087020000}"/>
    <cellStyle name="Normal 8 2" xfId="348" xr:uid="{00000000-0005-0000-0000-000088020000}"/>
    <cellStyle name="Normal 8 3" xfId="258" xr:uid="{00000000-0005-0000-0000-000089020000}"/>
    <cellStyle name="Normal 9" xfId="137" xr:uid="{00000000-0005-0000-0000-00008A020000}"/>
    <cellStyle name="Normal 9 2" xfId="262" xr:uid="{00000000-0005-0000-0000-00008B020000}"/>
    <cellStyle name="Normal_3crit_2002-03.xls" xfId="11" xr:uid="{00000000-0005-0000-0000-00008C020000}"/>
    <cellStyle name="Normal_Classeur6" xfId="450" xr:uid="{00000000-0005-0000-0000-00008D020000}"/>
    <cellStyle name="Normal_Pop 2011_339 comm 2" xfId="449" xr:uid="{00000000-0005-0000-0000-00008E020000}"/>
    <cellStyle name="Normal_Rendement impôts-2004-SJIC" xfId="173" xr:uid="{00000000-0005-0000-0000-00008F020000}"/>
    <cellStyle name="Pourcentage" xfId="12" builtinId="5"/>
    <cellStyle name="Pourcentage 2" xfId="13" xr:uid="{00000000-0005-0000-0000-000091020000}"/>
    <cellStyle name="Pourcentage 3" xfId="138" xr:uid="{00000000-0005-0000-0000-000092020000}"/>
    <cellStyle name="Pourcentage 3 2" xfId="266" xr:uid="{00000000-0005-0000-0000-000093020000}"/>
    <cellStyle name="Pourcentage 4" xfId="260" xr:uid="{00000000-0005-0000-0000-000094020000}"/>
    <cellStyle name="Satisfaisant 2" xfId="382" xr:uid="{00000000-0005-0000-0000-000095020000}"/>
    <cellStyle name="Sortie 2" xfId="383" xr:uid="{00000000-0005-0000-0000-000096020000}"/>
    <cellStyle name="Texte explicatif 2" xfId="384" xr:uid="{00000000-0005-0000-0000-000097020000}"/>
    <cellStyle name="Titre 2" xfId="385" xr:uid="{00000000-0005-0000-0000-000098020000}"/>
    <cellStyle name="Titre 1 2" xfId="386" xr:uid="{00000000-0005-0000-0000-000099020000}"/>
    <cellStyle name="Titre 2 2" xfId="387" xr:uid="{00000000-0005-0000-0000-00009A020000}"/>
    <cellStyle name="Titre 3 2" xfId="388" xr:uid="{00000000-0005-0000-0000-00009B020000}"/>
    <cellStyle name="Titre 4 2" xfId="389" xr:uid="{00000000-0005-0000-0000-00009C020000}"/>
    <cellStyle name="Total 2" xfId="390" xr:uid="{00000000-0005-0000-0000-00009D020000}"/>
    <cellStyle name="Vérification 2" xfId="391" xr:uid="{00000000-0005-0000-0000-00009E020000}"/>
  </cellStyles>
  <dxfs count="10">
    <dxf>
      <font>
        <color rgb="FF9C0006"/>
      </font>
      <fill>
        <patternFill>
          <bgColor rgb="FFFFC7CE"/>
        </patternFill>
      </fill>
    </dxf>
    <dxf>
      <font>
        <color rgb="FF9C0006"/>
      </font>
      <fill>
        <patternFill>
          <bgColor rgb="FFFFC7CE"/>
        </patternFill>
      </fill>
    </dxf>
    <dxf>
      <numFmt numFmtId="4" formatCode="#,##0.00"/>
    </dxf>
    <dxf>
      <font>
        <sz val="12"/>
      </font>
    </dxf>
    <dxf>
      <font>
        <sz val="12"/>
      </font>
    </dxf>
    <dxf>
      <font>
        <sz val="12"/>
      </font>
    </dxf>
    <dxf>
      <font>
        <sz val="11"/>
      </font>
    </dxf>
    <dxf>
      <font>
        <b val="0"/>
      </font>
    </dxf>
    <dxf>
      <font>
        <sz val="15"/>
      </font>
    </dxf>
    <dxf>
      <numFmt numFmtId="4" formatCode="#,##0.0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w4f4wu\Desktop\Copie%20de%20D&#233;compte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ètres"/>
      <sheetName val="Recherche"/>
      <sheetName val="A) Base RI"/>
      <sheetName val="B) D RI"/>
      <sheetName val="C) Prél. conj."/>
      <sheetName val="D) Ecrêtage"/>
      <sheetName val="E) Fact soc"/>
      <sheetName val="F) Population"/>
      <sheetName val="G) Solidarité"/>
      <sheetName val="H) Péréquation directe"/>
      <sheetName val="I) Dépenses thématiques"/>
      <sheetName val="J) Plafonnement effort"/>
      <sheetName val="K) Plafonnement aide"/>
      <sheetName val="L) Plafonnement taux"/>
      <sheetName val="M) Police"/>
      <sheetName val="Synthèse"/>
      <sheetName val="Acomptes vs Décompte"/>
      <sheetName val="Feuil1"/>
    </sheetNames>
    <sheetDataSet>
      <sheetData sheetId="0">
        <row r="5">
          <cell r="B5" t="str">
            <v>Décompte 2019</v>
          </cell>
        </row>
      </sheetData>
      <sheetData sheetId="1"/>
      <sheetData sheetId="2"/>
      <sheetData sheetId="3">
        <row r="7">
          <cell r="A7">
            <v>5401</v>
          </cell>
          <cell r="B7" t="str">
            <v>Aigle</v>
          </cell>
          <cell r="S7">
            <v>67.5</v>
          </cell>
          <cell r="AA7">
            <v>10217</v>
          </cell>
        </row>
        <row r="8">
          <cell r="A8">
            <v>5402</v>
          </cell>
          <cell r="B8" t="str">
            <v>Bex</v>
          </cell>
          <cell r="S8">
            <v>71</v>
          </cell>
          <cell r="AA8">
            <v>7869</v>
          </cell>
        </row>
        <row r="9">
          <cell r="A9">
            <v>5403</v>
          </cell>
          <cell r="B9" t="str">
            <v>Chessel</v>
          </cell>
          <cell r="S9">
            <v>74</v>
          </cell>
          <cell r="AA9">
            <v>429</v>
          </cell>
        </row>
        <row r="10">
          <cell r="A10">
            <v>5404</v>
          </cell>
          <cell r="B10" t="str">
            <v>Corbeyrier</v>
          </cell>
          <cell r="S10">
            <v>74</v>
          </cell>
          <cell r="AA10">
            <v>437</v>
          </cell>
        </row>
        <row r="11">
          <cell r="A11">
            <v>5405</v>
          </cell>
          <cell r="B11" t="str">
            <v>Gryon</v>
          </cell>
          <cell r="S11">
            <v>75</v>
          </cell>
          <cell r="AA11">
            <v>1347</v>
          </cell>
        </row>
        <row r="12">
          <cell r="A12">
            <v>5406</v>
          </cell>
          <cell r="B12" t="str">
            <v>Lavey-Morcles</v>
          </cell>
          <cell r="S12">
            <v>71</v>
          </cell>
          <cell r="AA12">
            <v>931</v>
          </cell>
        </row>
        <row r="13">
          <cell r="A13">
            <v>5407</v>
          </cell>
          <cell r="B13" t="str">
            <v>Leysin</v>
          </cell>
          <cell r="S13">
            <v>78</v>
          </cell>
          <cell r="AA13">
            <v>3776</v>
          </cell>
        </row>
        <row r="14">
          <cell r="A14">
            <v>5408</v>
          </cell>
          <cell r="B14" t="str">
            <v>Noville</v>
          </cell>
          <cell r="S14">
            <v>78.5</v>
          </cell>
          <cell r="AA14">
            <v>1167</v>
          </cell>
        </row>
        <row r="15">
          <cell r="A15">
            <v>5409</v>
          </cell>
          <cell r="B15" t="str">
            <v>Ollon</v>
          </cell>
          <cell r="S15">
            <v>68</v>
          </cell>
          <cell r="AA15">
            <v>7560</v>
          </cell>
        </row>
        <row r="16">
          <cell r="A16">
            <v>5410</v>
          </cell>
          <cell r="B16" t="str">
            <v>Ormont-Dessous</v>
          </cell>
          <cell r="S16">
            <v>78.5</v>
          </cell>
          <cell r="AA16">
            <v>1141</v>
          </cell>
        </row>
        <row r="17">
          <cell r="A17">
            <v>5411</v>
          </cell>
          <cell r="B17" t="str">
            <v>Ormont-Dessus</v>
          </cell>
          <cell r="S17">
            <v>76</v>
          </cell>
          <cell r="AA17">
            <v>1434</v>
          </cell>
        </row>
        <row r="18">
          <cell r="A18">
            <v>5412</v>
          </cell>
          <cell r="B18" t="str">
            <v>Rennaz</v>
          </cell>
          <cell r="S18">
            <v>67.5</v>
          </cell>
          <cell r="AA18">
            <v>871</v>
          </cell>
        </row>
        <row r="19">
          <cell r="A19">
            <v>5413</v>
          </cell>
          <cell r="B19" t="str">
            <v>Roche</v>
          </cell>
          <cell r="S19">
            <v>68</v>
          </cell>
          <cell r="AA19">
            <v>1826</v>
          </cell>
        </row>
        <row r="20">
          <cell r="A20">
            <v>5414</v>
          </cell>
          <cell r="B20" t="str">
            <v>Villeneuve</v>
          </cell>
          <cell r="S20">
            <v>69</v>
          </cell>
          <cell r="AA20">
            <v>5772</v>
          </cell>
        </row>
        <row r="21">
          <cell r="A21">
            <v>5415</v>
          </cell>
          <cell r="B21" t="str">
            <v>Yvorne</v>
          </cell>
          <cell r="S21">
            <v>71.5</v>
          </cell>
          <cell r="AA21">
            <v>1071</v>
          </cell>
        </row>
        <row r="22">
          <cell r="A22">
            <v>5421</v>
          </cell>
          <cell r="B22" t="str">
            <v>Apples</v>
          </cell>
          <cell r="S22">
            <v>76</v>
          </cell>
          <cell r="AA22">
            <v>1460</v>
          </cell>
        </row>
        <row r="23">
          <cell r="A23">
            <v>5422</v>
          </cell>
          <cell r="B23" t="str">
            <v>Aubonne</v>
          </cell>
          <cell r="S23">
            <v>70</v>
          </cell>
          <cell r="AA23">
            <v>3276</v>
          </cell>
        </row>
        <row r="24">
          <cell r="A24">
            <v>5423</v>
          </cell>
          <cell r="B24" t="str">
            <v>Ballens</v>
          </cell>
          <cell r="S24">
            <v>73</v>
          </cell>
          <cell r="AA24">
            <v>545</v>
          </cell>
        </row>
        <row r="25">
          <cell r="A25">
            <v>5424</v>
          </cell>
          <cell r="B25" t="str">
            <v>Berolle</v>
          </cell>
          <cell r="S25">
            <v>77</v>
          </cell>
          <cell r="AA25">
            <v>300</v>
          </cell>
        </row>
        <row r="26">
          <cell r="A26">
            <v>5425</v>
          </cell>
          <cell r="B26" t="str">
            <v>Bière</v>
          </cell>
          <cell r="S26">
            <v>70</v>
          </cell>
          <cell r="AA26">
            <v>1596</v>
          </cell>
        </row>
        <row r="27">
          <cell r="A27">
            <v>5426</v>
          </cell>
          <cell r="B27" t="str">
            <v>Bougy-Villars</v>
          </cell>
          <cell r="S27">
            <v>66</v>
          </cell>
          <cell r="AA27">
            <v>475</v>
          </cell>
        </row>
        <row r="28">
          <cell r="A28">
            <v>5427</v>
          </cell>
          <cell r="B28" t="str">
            <v>Féchy</v>
          </cell>
          <cell r="S28">
            <v>64</v>
          </cell>
          <cell r="AA28">
            <v>861</v>
          </cell>
        </row>
        <row r="29">
          <cell r="A29">
            <v>5428</v>
          </cell>
          <cell r="B29" t="str">
            <v>Gimel</v>
          </cell>
          <cell r="S29">
            <v>74.5</v>
          </cell>
          <cell r="AA29">
            <v>2238</v>
          </cell>
        </row>
        <row r="30">
          <cell r="A30">
            <v>5429</v>
          </cell>
          <cell r="B30" t="str">
            <v>Longirod</v>
          </cell>
          <cell r="S30">
            <v>81</v>
          </cell>
          <cell r="AA30">
            <v>482</v>
          </cell>
        </row>
        <row r="31">
          <cell r="A31">
            <v>5430</v>
          </cell>
          <cell r="B31" t="str">
            <v>Marchissy</v>
          </cell>
          <cell r="S31">
            <v>79</v>
          </cell>
          <cell r="AA31">
            <v>472</v>
          </cell>
        </row>
        <row r="32">
          <cell r="A32">
            <v>5431</v>
          </cell>
          <cell r="B32" t="str">
            <v>Mollens</v>
          </cell>
          <cell r="S32">
            <v>74</v>
          </cell>
          <cell r="AA32">
            <v>308</v>
          </cell>
        </row>
        <row r="33">
          <cell r="A33">
            <v>5432</v>
          </cell>
          <cell r="B33" t="str">
            <v>Montherod</v>
          </cell>
          <cell r="S33">
            <v>78</v>
          </cell>
          <cell r="AA33">
            <v>541</v>
          </cell>
        </row>
        <row r="34">
          <cell r="A34">
            <v>5434</v>
          </cell>
          <cell r="B34" t="str">
            <v>Saint-George</v>
          </cell>
          <cell r="S34">
            <v>71</v>
          </cell>
          <cell r="AA34">
            <v>1063</v>
          </cell>
        </row>
        <row r="35">
          <cell r="A35">
            <v>5435</v>
          </cell>
          <cell r="B35" t="str">
            <v>Saint-Livres</v>
          </cell>
          <cell r="S35">
            <v>69</v>
          </cell>
          <cell r="AA35">
            <v>691</v>
          </cell>
        </row>
        <row r="36">
          <cell r="A36">
            <v>5436</v>
          </cell>
          <cell r="B36" t="str">
            <v>Saint-Oyens</v>
          </cell>
          <cell r="S36">
            <v>81</v>
          </cell>
          <cell r="AA36">
            <v>447</v>
          </cell>
        </row>
        <row r="37">
          <cell r="A37">
            <v>5437</v>
          </cell>
          <cell r="B37" t="str">
            <v>Saubraz</v>
          </cell>
          <cell r="S37">
            <v>80</v>
          </cell>
          <cell r="AA37">
            <v>423</v>
          </cell>
        </row>
        <row r="38">
          <cell r="A38">
            <v>5451</v>
          </cell>
          <cell r="B38" t="str">
            <v>Avenches</v>
          </cell>
          <cell r="S38">
            <v>68</v>
          </cell>
          <cell r="AA38">
            <v>4305</v>
          </cell>
        </row>
        <row r="39">
          <cell r="A39">
            <v>5456</v>
          </cell>
          <cell r="B39" t="str">
            <v>Cudrefin</v>
          </cell>
          <cell r="S39">
            <v>59</v>
          </cell>
          <cell r="AA39">
            <v>1735</v>
          </cell>
        </row>
        <row r="40">
          <cell r="A40">
            <v>5458</v>
          </cell>
          <cell r="B40" t="str">
            <v>Faoug</v>
          </cell>
          <cell r="S40">
            <v>66</v>
          </cell>
          <cell r="AA40">
            <v>884</v>
          </cell>
        </row>
        <row r="41">
          <cell r="A41">
            <v>5464</v>
          </cell>
          <cell r="B41" t="str">
            <v>Vully-les-Lacs</v>
          </cell>
          <cell r="S41">
            <v>67</v>
          </cell>
          <cell r="AA41">
            <v>3278</v>
          </cell>
        </row>
        <row r="42">
          <cell r="A42">
            <v>5471</v>
          </cell>
          <cell r="B42" t="str">
            <v>Bettens</v>
          </cell>
          <cell r="S42">
            <v>70</v>
          </cell>
          <cell r="AA42">
            <v>650</v>
          </cell>
        </row>
        <row r="43">
          <cell r="A43">
            <v>5472</v>
          </cell>
          <cell r="B43" t="str">
            <v>Bournens</v>
          </cell>
          <cell r="S43">
            <v>76</v>
          </cell>
          <cell r="AA43">
            <v>422</v>
          </cell>
        </row>
        <row r="44">
          <cell r="A44">
            <v>5473</v>
          </cell>
          <cell r="B44" t="str">
            <v>Boussens</v>
          </cell>
          <cell r="S44">
            <v>69</v>
          </cell>
          <cell r="AA44">
            <v>993</v>
          </cell>
        </row>
        <row r="45">
          <cell r="A45">
            <v>5474</v>
          </cell>
          <cell r="B45" t="str">
            <v>La Chaux (Cossonay)</v>
          </cell>
          <cell r="S45">
            <v>77</v>
          </cell>
          <cell r="AA45">
            <v>395</v>
          </cell>
        </row>
        <row r="46">
          <cell r="A46">
            <v>5475</v>
          </cell>
          <cell r="B46" t="str">
            <v>Chavannes-le-Veyron</v>
          </cell>
          <cell r="S46">
            <v>77</v>
          </cell>
          <cell r="AA46">
            <v>152</v>
          </cell>
        </row>
        <row r="47">
          <cell r="A47">
            <v>5476</v>
          </cell>
          <cell r="B47" t="str">
            <v>Chevilly</v>
          </cell>
          <cell r="S47">
            <v>74</v>
          </cell>
          <cell r="AA47">
            <v>317</v>
          </cell>
        </row>
        <row r="48">
          <cell r="A48">
            <v>5477</v>
          </cell>
          <cell r="B48" t="str">
            <v>Cossonay</v>
          </cell>
          <cell r="S48">
            <v>71</v>
          </cell>
          <cell r="AA48">
            <v>4045</v>
          </cell>
        </row>
        <row r="49">
          <cell r="A49">
            <v>5478</v>
          </cell>
          <cell r="B49" t="str">
            <v>Cottens</v>
          </cell>
          <cell r="S49">
            <v>74</v>
          </cell>
          <cell r="AA49">
            <v>487</v>
          </cell>
        </row>
        <row r="50">
          <cell r="A50">
            <v>5479</v>
          </cell>
          <cell r="B50" t="str">
            <v>Cuarnens</v>
          </cell>
          <cell r="S50">
            <v>77</v>
          </cell>
          <cell r="AA50">
            <v>486</v>
          </cell>
        </row>
        <row r="51">
          <cell r="A51">
            <v>5480</v>
          </cell>
          <cell r="B51" t="str">
            <v>Daillens</v>
          </cell>
          <cell r="S51">
            <v>66</v>
          </cell>
          <cell r="AA51">
            <v>1034</v>
          </cell>
        </row>
        <row r="52">
          <cell r="A52">
            <v>5481</v>
          </cell>
          <cell r="B52" t="str">
            <v>Dizy</v>
          </cell>
          <cell r="S52">
            <v>79</v>
          </cell>
          <cell r="AA52">
            <v>234</v>
          </cell>
        </row>
        <row r="53">
          <cell r="A53">
            <v>5482</v>
          </cell>
          <cell r="B53" t="str">
            <v>Eclépens</v>
          </cell>
          <cell r="S53">
            <v>46</v>
          </cell>
          <cell r="AA53">
            <v>1222</v>
          </cell>
        </row>
        <row r="54">
          <cell r="A54">
            <v>5483</v>
          </cell>
          <cell r="B54" t="str">
            <v>Ferreyres</v>
          </cell>
          <cell r="S54">
            <v>76</v>
          </cell>
          <cell r="AA54">
            <v>320</v>
          </cell>
        </row>
        <row r="55">
          <cell r="A55">
            <v>5484</v>
          </cell>
          <cell r="B55" t="str">
            <v>Gollion</v>
          </cell>
          <cell r="S55">
            <v>74</v>
          </cell>
          <cell r="AA55">
            <v>939</v>
          </cell>
        </row>
        <row r="56">
          <cell r="A56">
            <v>5485</v>
          </cell>
          <cell r="B56" t="str">
            <v>Grancy</v>
          </cell>
          <cell r="S56">
            <v>70</v>
          </cell>
          <cell r="AA56">
            <v>397</v>
          </cell>
        </row>
        <row r="57">
          <cell r="A57">
            <v>5486</v>
          </cell>
          <cell r="B57" t="str">
            <v>L'Isle</v>
          </cell>
          <cell r="S57">
            <v>76</v>
          </cell>
          <cell r="AA57">
            <v>1011</v>
          </cell>
        </row>
        <row r="58">
          <cell r="A58">
            <v>5487</v>
          </cell>
          <cell r="B58" t="str">
            <v>Lussery-Villars</v>
          </cell>
          <cell r="S58">
            <v>75</v>
          </cell>
          <cell r="AA58">
            <v>459</v>
          </cell>
        </row>
        <row r="59">
          <cell r="A59">
            <v>5488</v>
          </cell>
          <cell r="B59" t="str">
            <v>Mauraz</v>
          </cell>
          <cell r="S59">
            <v>78</v>
          </cell>
          <cell r="AA59">
            <v>57</v>
          </cell>
        </row>
        <row r="60">
          <cell r="A60">
            <v>5489</v>
          </cell>
          <cell r="B60" t="str">
            <v>Mex</v>
          </cell>
          <cell r="S60">
            <v>61</v>
          </cell>
          <cell r="AA60">
            <v>718</v>
          </cell>
        </row>
        <row r="61">
          <cell r="A61">
            <v>5490</v>
          </cell>
          <cell r="B61" t="str">
            <v>Moiry</v>
          </cell>
          <cell r="S61">
            <v>78.5</v>
          </cell>
          <cell r="AA61">
            <v>310</v>
          </cell>
        </row>
        <row r="62">
          <cell r="A62">
            <v>5491</v>
          </cell>
          <cell r="B62" t="str">
            <v>Mont-la-Ville</v>
          </cell>
          <cell r="S62">
            <v>76</v>
          </cell>
          <cell r="AA62">
            <v>478</v>
          </cell>
        </row>
        <row r="63">
          <cell r="A63">
            <v>5492</v>
          </cell>
          <cell r="B63" t="str">
            <v>Montricher</v>
          </cell>
          <cell r="S63">
            <v>64</v>
          </cell>
          <cell r="AA63">
            <v>964</v>
          </cell>
        </row>
        <row r="64">
          <cell r="A64">
            <v>5493</v>
          </cell>
          <cell r="B64" t="str">
            <v>Orny</v>
          </cell>
          <cell r="S64">
            <v>73</v>
          </cell>
          <cell r="AA64">
            <v>416</v>
          </cell>
        </row>
        <row r="65">
          <cell r="A65">
            <v>5494</v>
          </cell>
          <cell r="B65" t="str">
            <v>Pampigny</v>
          </cell>
          <cell r="S65">
            <v>75</v>
          </cell>
          <cell r="AA65">
            <v>1103</v>
          </cell>
        </row>
        <row r="66">
          <cell r="A66">
            <v>5495</v>
          </cell>
          <cell r="B66" t="str">
            <v>Penthalaz</v>
          </cell>
          <cell r="S66">
            <v>74</v>
          </cell>
          <cell r="AA66">
            <v>3257</v>
          </cell>
        </row>
        <row r="67">
          <cell r="A67">
            <v>5496</v>
          </cell>
          <cell r="B67" t="str">
            <v>Penthaz</v>
          </cell>
          <cell r="S67">
            <v>71</v>
          </cell>
          <cell r="AA67">
            <v>1760</v>
          </cell>
        </row>
        <row r="68">
          <cell r="A68">
            <v>5497</v>
          </cell>
          <cell r="B68" t="str">
            <v>Pompaples</v>
          </cell>
          <cell r="S68">
            <v>66</v>
          </cell>
          <cell r="AA68">
            <v>851</v>
          </cell>
        </row>
        <row r="69">
          <cell r="A69">
            <v>5498</v>
          </cell>
          <cell r="B69" t="str">
            <v>La Sarraz</v>
          </cell>
          <cell r="S69">
            <v>66</v>
          </cell>
          <cell r="AA69">
            <v>2651</v>
          </cell>
        </row>
        <row r="70">
          <cell r="A70">
            <v>5499</v>
          </cell>
          <cell r="B70" t="str">
            <v>Senarclens</v>
          </cell>
          <cell r="S70">
            <v>68.5</v>
          </cell>
          <cell r="AA70">
            <v>477</v>
          </cell>
        </row>
        <row r="71">
          <cell r="A71">
            <v>5500</v>
          </cell>
          <cell r="B71" t="str">
            <v>Sévery</v>
          </cell>
          <cell r="S71">
            <v>75</v>
          </cell>
          <cell r="AA71">
            <v>227</v>
          </cell>
        </row>
        <row r="72">
          <cell r="A72">
            <v>5501</v>
          </cell>
          <cell r="B72" t="str">
            <v>Sullens</v>
          </cell>
          <cell r="S72">
            <v>70</v>
          </cell>
          <cell r="AA72">
            <v>1035</v>
          </cell>
        </row>
        <row r="73">
          <cell r="A73">
            <v>5503</v>
          </cell>
          <cell r="B73" t="str">
            <v>Vufflens-la-Ville</v>
          </cell>
          <cell r="S73">
            <v>67</v>
          </cell>
          <cell r="AA73">
            <v>1295</v>
          </cell>
        </row>
        <row r="74">
          <cell r="A74">
            <v>5511</v>
          </cell>
          <cell r="B74" t="str">
            <v>Assens</v>
          </cell>
          <cell r="S74">
            <v>70</v>
          </cell>
          <cell r="AA74">
            <v>1074</v>
          </cell>
        </row>
        <row r="75">
          <cell r="A75">
            <v>5512</v>
          </cell>
          <cell r="B75" t="str">
            <v>Bercher</v>
          </cell>
          <cell r="S75">
            <v>79</v>
          </cell>
          <cell r="AA75">
            <v>1280</v>
          </cell>
        </row>
        <row r="76">
          <cell r="A76">
            <v>5513</v>
          </cell>
          <cell r="B76" t="str">
            <v>Bioley-Orjulaz</v>
          </cell>
          <cell r="S76">
            <v>68</v>
          </cell>
          <cell r="AA76">
            <v>521</v>
          </cell>
        </row>
        <row r="77">
          <cell r="A77">
            <v>5514</v>
          </cell>
          <cell r="B77" t="str">
            <v>Bottens</v>
          </cell>
          <cell r="S77">
            <v>74</v>
          </cell>
          <cell r="AA77">
            <v>1299</v>
          </cell>
        </row>
        <row r="78">
          <cell r="A78">
            <v>5515</v>
          </cell>
          <cell r="B78" t="str">
            <v>Bretigny-sur-Morrens</v>
          </cell>
          <cell r="S78">
            <v>81</v>
          </cell>
          <cell r="AA78">
            <v>861</v>
          </cell>
        </row>
        <row r="79">
          <cell r="A79">
            <v>5516</v>
          </cell>
          <cell r="B79" t="str">
            <v>Cugy</v>
          </cell>
          <cell r="S79">
            <v>78</v>
          </cell>
          <cell r="AA79">
            <v>2768</v>
          </cell>
        </row>
        <row r="80">
          <cell r="A80">
            <v>5518</v>
          </cell>
          <cell r="B80" t="str">
            <v>Echallens</v>
          </cell>
          <cell r="S80">
            <v>74</v>
          </cell>
          <cell r="AA80">
            <v>5725</v>
          </cell>
        </row>
        <row r="81">
          <cell r="A81">
            <v>5520</v>
          </cell>
          <cell r="B81" t="str">
            <v>Essertines-sur-Yverdon</v>
          </cell>
          <cell r="S81">
            <v>73</v>
          </cell>
          <cell r="AA81">
            <v>1030</v>
          </cell>
        </row>
        <row r="82">
          <cell r="A82">
            <v>5521</v>
          </cell>
          <cell r="B82" t="str">
            <v>Etagnières</v>
          </cell>
          <cell r="S82">
            <v>73</v>
          </cell>
          <cell r="AA82">
            <v>1143</v>
          </cell>
        </row>
        <row r="83">
          <cell r="A83">
            <v>5522</v>
          </cell>
          <cell r="B83" t="str">
            <v>Fey</v>
          </cell>
          <cell r="S83">
            <v>75</v>
          </cell>
          <cell r="AA83">
            <v>751</v>
          </cell>
        </row>
        <row r="84">
          <cell r="A84">
            <v>5523</v>
          </cell>
          <cell r="B84" t="str">
            <v>Froideville</v>
          </cell>
          <cell r="S84">
            <v>76</v>
          </cell>
          <cell r="AA84">
            <v>2638</v>
          </cell>
        </row>
        <row r="85">
          <cell r="A85">
            <v>5527</v>
          </cell>
          <cell r="B85" t="str">
            <v>Morrens</v>
          </cell>
          <cell r="S85">
            <v>74</v>
          </cell>
          <cell r="AA85">
            <v>1126</v>
          </cell>
        </row>
        <row r="86">
          <cell r="A86">
            <v>5529</v>
          </cell>
          <cell r="B86" t="str">
            <v>Oulens-sous-Echallens</v>
          </cell>
          <cell r="S86">
            <v>71</v>
          </cell>
          <cell r="AA86">
            <v>615</v>
          </cell>
        </row>
        <row r="87">
          <cell r="A87">
            <v>5530</v>
          </cell>
          <cell r="B87" t="str">
            <v>Pailly</v>
          </cell>
          <cell r="S87">
            <v>77.5</v>
          </cell>
          <cell r="AA87">
            <v>563</v>
          </cell>
        </row>
        <row r="88">
          <cell r="A88">
            <v>5531</v>
          </cell>
          <cell r="B88" t="str">
            <v>Penthéréaz</v>
          </cell>
          <cell r="S88">
            <v>78</v>
          </cell>
          <cell r="AA88">
            <v>421</v>
          </cell>
        </row>
        <row r="89">
          <cell r="A89">
            <v>5533</v>
          </cell>
          <cell r="B89" t="str">
            <v>Poliez-Pittet</v>
          </cell>
          <cell r="S89">
            <v>73</v>
          </cell>
          <cell r="AA89">
            <v>829</v>
          </cell>
        </row>
        <row r="90">
          <cell r="A90">
            <v>5534</v>
          </cell>
          <cell r="B90" t="str">
            <v>Rueyres</v>
          </cell>
          <cell r="S90">
            <v>73</v>
          </cell>
          <cell r="AA90">
            <v>265</v>
          </cell>
        </row>
        <row r="91">
          <cell r="A91">
            <v>5535</v>
          </cell>
          <cell r="B91" t="str">
            <v>Saint-Barthélemy</v>
          </cell>
          <cell r="S91">
            <v>77</v>
          </cell>
          <cell r="AA91">
            <v>791</v>
          </cell>
        </row>
        <row r="92">
          <cell r="A92">
            <v>5537</v>
          </cell>
          <cell r="B92" t="str">
            <v>Villars-le-Terroir</v>
          </cell>
          <cell r="S92">
            <v>73</v>
          </cell>
          <cell r="AA92">
            <v>1228</v>
          </cell>
        </row>
        <row r="93">
          <cell r="A93">
            <v>5539</v>
          </cell>
          <cell r="B93" t="str">
            <v>Vuarrens</v>
          </cell>
          <cell r="S93">
            <v>75</v>
          </cell>
          <cell r="AA93">
            <v>1054</v>
          </cell>
        </row>
        <row r="94">
          <cell r="A94">
            <v>5540</v>
          </cell>
          <cell r="B94" t="str">
            <v>Montilliez</v>
          </cell>
          <cell r="S94">
            <v>74</v>
          </cell>
          <cell r="AA94">
            <v>1819</v>
          </cell>
        </row>
        <row r="95">
          <cell r="A95">
            <v>5541</v>
          </cell>
          <cell r="B95" t="str">
            <v>Goumoëns</v>
          </cell>
          <cell r="S95">
            <v>77</v>
          </cell>
          <cell r="AA95">
            <v>1140</v>
          </cell>
        </row>
        <row r="96">
          <cell r="A96">
            <v>5551</v>
          </cell>
          <cell r="B96" t="str">
            <v>Bonvillars</v>
          </cell>
          <cell r="S96">
            <v>55</v>
          </cell>
          <cell r="AA96">
            <v>490</v>
          </cell>
        </row>
        <row r="97">
          <cell r="A97">
            <v>5552</v>
          </cell>
          <cell r="B97" t="str">
            <v>Bullet</v>
          </cell>
          <cell r="S97">
            <v>73</v>
          </cell>
          <cell r="AA97">
            <v>657</v>
          </cell>
        </row>
        <row r="98">
          <cell r="A98">
            <v>5553</v>
          </cell>
          <cell r="B98" t="str">
            <v>Champagne</v>
          </cell>
          <cell r="S98">
            <v>65</v>
          </cell>
          <cell r="AA98">
            <v>1059</v>
          </cell>
        </row>
        <row r="99">
          <cell r="A99">
            <v>5554</v>
          </cell>
          <cell r="B99" t="str">
            <v>Concise</v>
          </cell>
          <cell r="S99">
            <v>75</v>
          </cell>
          <cell r="AA99">
            <v>1025</v>
          </cell>
        </row>
        <row r="100">
          <cell r="A100">
            <v>5555</v>
          </cell>
          <cell r="B100" t="str">
            <v>Corcelles-près-Concise</v>
          </cell>
          <cell r="S100">
            <v>71</v>
          </cell>
          <cell r="AA100">
            <v>401</v>
          </cell>
        </row>
        <row r="101">
          <cell r="A101">
            <v>5556</v>
          </cell>
          <cell r="B101" t="str">
            <v>Fiez</v>
          </cell>
          <cell r="S101">
            <v>69</v>
          </cell>
          <cell r="AA101">
            <v>445</v>
          </cell>
        </row>
        <row r="102">
          <cell r="A102">
            <v>5557</v>
          </cell>
          <cell r="B102" t="str">
            <v>Fontaines-sur-Grandson</v>
          </cell>
          <cell r="S102">
            <v>69</v>
          </cell>
          <cell r="AA102">
            <v>215</v>
          </cell>
        </row>
        <row r="103">
          <cell r="A103">
            <v>5559</v>
          </cell>
          <cell r="B103" t="str">
            <v>Giez</v>
          </cell>
          <cell r="S103">
            <v>66</v>
          </cell>
          <cell r="AA103">
            <v>414</v>
          </cell>
        </row>
        <row r="104">
          <cell r="A104">
            <v>5560</v>
          </cell>
          <cell r="B104" t="str">
            <v>Grandevent</v>
          </cell>
          <cell r="S104">
            <v>68</v>
          </cell>
          <cell r="AA104">
            <v>222</v>
          </cell>
        </row>
        <row r="105">
          <cell r="A105">
            <v>5561</v>
          </cell>
          <cell r="B105" t="str">
            <v>Grandson</v>
          </cell>
          <cell r="S105">
            <v>69</v>
          </cell>
          <cell r="AA105">
            <v>3340</v>
          </cell>
        </row>
        <row r="106">
          <cell r="A106">
            <v>5562</v>
          </cell>
          <cell r="B106" t="str">
            <v>Mauborget</v>
          </cell>
          <cell r="S106">
            <v>70</v>
          </cell>
          <cell r="AA106">
            <v>120</v>
          </cell>
        </row>
        <row r="107">
          <cell r="A107">
            <v>5563</v>
          </cell>
          <cell r="B107" t="str">
            <v>Mutrux</v>
          </cell>
          <cell r="S107">
            <v>80</v>
          </cell>
          <cell r="AA107">
            <v>153</v>
          </cell>
        </row>
        <row r="108">
          <cell r="A108">
            <v>5564</v>
          </cell>
          <cell r="B108" t="str">
            <v>Novalles</v>
          </cell>
          <cell r="S108">
            <v>76</v>
          </cell>
          <cell r="AA108">
            <v>100</v>
          </cell>
        </row>
        <row r="109">
          <cell r="A109">
            <v>5565</v>
          </cell>
          <cell r="B109" t="str">
            <v>Onnens</v>
          </cell>
          <cell r="S109">
            <v>65</v>
          </cell>
          <cell r="AA109">
            <v>497</v>
          </cell>
        </row>
        <row r="110">
          <cell r="A110">
            <v>5566</v>
          </cell>
          <cell r="B110" t="str">
            <v>Provence</v>
          </cell>
          <cell r="S110">
            <v>81</v>
          </cell>
          <cell r="AA110">
            <v>379</v>
          </cell>
        </row>
        <row r="111">
          <cell r="A111">
            <v>5568</v>
          </cell>
          <cell r="B111" t="str">
            <v>Sainte-Croix</v>
          </cell>
          <cell r="S111">
            <v>70</v>
          </cell>
          <cell r="AA111">
            <v>4888</v>
          </cell>
        </row>
        <row r="112">
          <cell r="A112">
            <v>5571</v>
          </cell>
          <cell r="B112" t="str">
            <v>Tévenon</v>
          </cell>
          <cell r="S112">
            <v>73</v>
          </cell>
          <cell r="AA112">
            <v>896</v>
          </cell>
        </row>
        <row r="113">
          <cell r="A113">
            <v>5581</v>
          </cell>
          <cell r="B113" t="str">
            <v>Belmont-sur-Lausanne</v>
          </cell>
          <cell r="S113">
            <v>72</v>
          </cell>
          <cell r="AA113">
            <v>3773</v>
          </cell>
        </row>
        <row r="114">
          <cell r="A114">
            <v>5582</v>
          </cell>
          <cell r="B114" t="str">
            <v>Cheseaux-sur-Lausanne</v>
          </cell>
          <cell r="S114">
            <v>74.5</v>
          </cell>
          <cell r="AA114">
            <v>4339</v>
          </cell>
        </row>
        <row r="115">
          <cell r="A115">
            <v>5583</v>
          </cell>
          <cell r="B115" t="str">
            <v>Crissier</v>
          </cell>
          <cell r="S115">
            <v>65</v>
          </cell>
          <cell r="AA115">
            <v>7944</v>
          </cell>
        </row>
        <row r="116">
          <cell r="A116">
            <v>5584</v>
          </cell>
          <cell r="B116" t="str">
            <v>Epalinges</v>
          </cell>
          <cell r="S116">
            <v>66</v>
          </cell>
          <cell r="AA116">
            <v>9701</v>
          </cell>
        </row>
        <row r="117">
          <cell r="A117">
            <v>5585</v>
          </cell>
          <cell r="B117" t="str">
            <v>Jouxtens-Mézery</v>
          </cell>
          <cell r="S117">
            <v>59</v>
          </cell>
          <cell r="AA117">
            <v>1423</v>
          </cell>
        </row>
        <row r="118">
          <cell r="A118">
            <v>5586</v>
          </cell>
          <cell r="B118" t="str">
            <v>Lausanne</v>
          </cell>
          <cell r="S118">
            <v>79</v>
          </cell>
          <cell r="AA118">
            <v>139726</v>
          </cell>
        </row>
        <row r="119">
          <cell r="A119">
            <v>5587</v>
          </cell>
          <cell r="B119" t="str">
            <v>Le Mont-sur-Lausanne</v>
          </cell>
          <cell r="S119">
            <v>75</v>
          </cell>
          <cell r="AA119">
            <v>8991</v>
          </cell>
        </row>
        <row r="120">
          <cell r="A120">
            <v>5588</v>
          </cell>
          <cell r="B120" t="str">
            <v>Paudex</v>
          </cell>
          <cell r="S120">
            <v>68</v>
          </cell>
          <cell r="AA120">
            <v>1532</v>
          </cell>
        </row>
        <row r="121">
          <cell r="A121">
            <v>5589</v>
          </cell>
          <cell r="B121" t="str">
            <v>Prilly</v>
          </cell>
          <cell r="S121">
            <v>73.5</v>
          </cell>
          <cell r="AA121">
            <v>12423</v>
          </cell>
        </row>
        <row r="122">
          <cell r="A122">
            <v>5590</v>
          </cell>
          <cell r="B122" t="str">
            <v>Pully</v>
          </cell>
          <cell r="S122">
            <v>61</v>
          </cell>
          <cell r="AA122">
            <v>18495</v>
          </cell>
        </row>
        <row r="123">
          <cell r="A123">
            <v>5591</v>
          </cell>
          <cell r="B123" t="str">
            <v>Renens</v>
          </cell>
          <cell r="S123">
            <v>78.5</v>
          </cell>
          <cell r="AA123">
            <v>20928</v>
          </cell>
        </row>
        <row r="124">
          <cell r="A124">
            <v>5592</v>
          </cell>
          <cell r="B124" t="str">
            <v>Romanel-sur-Lausanne</v>
          </cell>
          <cell r="S124">
            <v>72</v>
          </cell>
          <cell r="AA124">
            <v>3294</v>
          </cell>
        </row>
        <row r="125">
          <cell r="A125">
            <v>5601</v>
          </cell>
          <cell r="B125" t="str">
            <v>Chexbres</v>
          </cell>
          <cell r="S125">
            <v>69</v>
          </cell>
          <cell r="AA125">
            <v>2235</v>
          </cell>
        </row>
        <row r="126">
          <cell r="A126">
            <v>5604</v>
          </cell>
          <cell r="B126" t="str">
            <v>Forel (Lavaux)</v>
          </cell>
          <cell r="S126">
            <v>70</v>
          </cell>
          <cell r="AA126">
            <v>2064</v>
          </cell>
        </row>
        <row r="127">
          <cell r="A127">
            <v>5606</v>
          </cell>
          <cell r="B127" t="str">
            <v>Lutry</v>
          </cell>
          <cell r="S127">
            <v>55.5</v>
          </cell>
          <cell r="AA127">
            <v>10357</v>
          </cell>
        </row>
        <row r="128">
          <cell r="A128">
            <v>5607</v>
          </cell>
          <cell r="B128" t="str">
            <v>Puidoux</v>
          </cell>
          <cell r="S128">
            <v>70</v>
          </cell>
          <cell r="AA128">
            <v>2881</v>
          </cell>
        </row>
        <row r="129">
          <cell r="A129">
            <v>5609</v>
          </cell>
          <cell r="B129" t="str">
            <v>Rivaz</v>
          </cell>
          <cell r="S129">
            <v>63.5</v>
          </cell>
          <cell r="AA129">
            <v>342</v>
          </cell>
        </row>
        <row r="130">
          <cell r="A130">
            <v>5610</v>
          </cell>
          <cell r="B130" t="str">
            <v>St-Saphorin (Lavaux)</v>
          </cell>
          <cell r="S130">
            <v>70</v>
          </cell>
          <cell r="AA130">
            <v>384</v>
          </cell>
        </row>
        <row r="131">
          <cell r="A131">
            <v>5611</v>
          </cell>
          <cell r="B131" t="str">
            <v>Savigny</v>
          </cell>
          <cell r="S131">
            <v>69</v>
          </cell>
          <cell r="AA131">
            <v>3359</v>
          </cell>
        </row>
        <row r="132">
          <cell r="A132">
            <v>5613</v>
          </cell>
          <cell r="B132" t="str">
            <v>Bourg-en-Lavaux</v>
          </cell>
          <cell r="S132">
            <v>64</v>
          </cell>
          <cell r="AA132">
            <v>5345</v>
          </cell>
        </row>
        <row r="133">
          <cell r="A133">
            <v>5621</v>
          </cell>
          <cell r="B133" t="str">
            <v>Aclens</v>
          </cell>
          <cell r="S133">
            <v>62</v>
          </cell>
          <cell r="AA133">
            <v>539</v>
          </cell>
        </row>
        <row r="134">
          <cell r="A134">
            <v>5622</v>
          </cell>
          <cell r="B134" t="str">
            <v>Bremblens</v>
          </cell>
          <cell r="S134">
            <v>66</v>
          </cell>
          <cell r="AA134">
            <v>577</v>
          </cell>
        </row>
        <row r="135">
          <cell r="A135">
            <v>5623</v>
          </cell>
          <cell r="B135" t="str">
            <v>Buchillon</v>
          </cell>
          <cell r="S135">
            <v>53</v>
          </cell>
          <cell r="AA135">
            <v>686</v>
          </cell>
        </row>
        <row r="136">
          <cell r="A136">
            <v>5624</v>
          </cell>
          <cell r="B136" t="str">
            <v>Bussigny</v>
          </cell>
          <cell r="S136">
            <v>64</v>
          </cell>
          <cell r="AA136">
            <v>8962</v>
          </cell>
        </row>
        <row r="137">
          <cell r="A137">
            <v>5625</v>
          </cell>
          <cell r="B137" t="str">
            <v>Bussy-Chardonney</v>
          </cell>
          <cell r="S137">
            <v>77</v>
          </cell>
          <cell r="AA137">
            <v>384</v>
          </cell>
        </row>
        <row r="138">
          <cell r="A138">
            <v>5627</v>
          </cell>
          <cell r="B138" t="str">
            <v>Chavannes-près-Renens</v>
          </cell>
          <cell r="S138">
            <v>79</v>
          </cell>
          <cell r="AA138">
            <v>7887</v>
          </cell>
        </row>
        <row r="139">
          <cell r="A139">
            <v>5628</v>
          </cell>
          <cell r="B139" t="str">
            <v>Chigny</v>
          </cell>
          <cell r="S139">
            <v>62</v>
          </cell>
          <cell r="AA139">
            <v>382</v>
          </cell>
        </row>
        <row r="140">
          <cell r="A140">
            <v>5629</v>
          </cell>
          <cell r="B140" t="str">
            <v>Clarmont</v>
          </cell>
          <cell r="S140">
            <v>75</v>
          </cell>
          <cell r="AA140">
            <v>191</v>
          </cell>
        </row>
        <row r="141">
          <cell r="A141">
            <v>5631</v>
          </cell>
          <cell r="B141" t="str">
            <v>Denens</v>
          </cell>
          <cell r="S141">
            <v>70</v>
          </cell>
          <cell r="AA141">
            <v>742</v>
          </cell>
        </row>
        <row r="142">
          <cell r="A142">
            <v>5632</v>
          </cell>
          <cell r="B142" t="str">
            <v>Denges</v>
          </cell>
          <cell r="S142">
            <v>62</v>
          </cell>
          <cell r="AA142">
            <v>1609</v>
          </cell>
        </row>
        <row r="143">
          <cell r="A143">
            <v>5633</v>
          </cell>
          <cell r="B143" t="str">
            <v>Echandens</v>
          </cell>
          <cell r="S143">
            <v>62</v>
          </cell>
          <cell r="AA143">
            <v>2739</v>
          </cell>
        </row>
        <row r="144">
          <cell r="A144">
            <v>5634</v>
          </cell>
          <cell r="B144" t="str">
            <v>Echichens</v>
          </cell>
          <cell r="S144">
            <v>68</v>
          </cell>
          <cell r="AA144">
            <v>3077</v>
          </cell>
        </row>
        <row r="145">
          <cell r="A145">
            <v>5635</v>
          </cell>
          <cell r="B145" t="str">
            <v>Ecublens</v>
          </cell>
          <cell r="S145">
            <v>64</v>
          </cell>
          <cell r="AA145">
            <v>13089</v>
          </cell>
        </row>
        <row r="146">
          <cell r="A146">
            <v>5636</v>
          </cell>
          <cell r="B146" t="str">
            <v>Etoy</v>
          </cell>
          <cell r="S146">
            <v>61</v>
          </cell>
          <cell r="AA146">
            <v>2933</v>
          </cell>
        </row>
        <row r="147">
          <cell r="A147">
            <v>5637</v>
          </cell>
          <cell r="B147" t="str">
            <v>Lavigny</v>
          </cell>
          <cell r="S147">
            <v>74.5</v>
          </cell>
          <cell r="AA147">
            <v>992</v>
          </cell>
        </row>
        <row r="148">
          <cell r="A148">
            <v>5638</v>
          </cell>
          <cell r="B148" t="str">
            <v>Lonay</v>
          </cell>
          <cell r="S148">
            <v>55</v>
          </cell>
          <cell r="AA148">
            <v>2676</v>
          </cell>
        </row>
        <row r="149">
          <cell r="A149">
            <v>5639</v>
          </cell>
          <cell r="B149" t="str">
            <v>Lully</v>
          </cell>
          <cell r="S149">
            <v>61</v>
          </cell>
          <cell r="AA149">
            <v>818</v>
          </cell>
        </row>
        <row r="150">
          <cell r="A150">
            <v>5640</v>
          </cell>
          <cell r="B150" t="str">
            <v>Lussy-sur-Morges</v>
          </cell>
          <cell r="S150">
            <v>66</v>
          </cell>
          <cell r="AA150">
            <v>696</v>
          </cell>
        </row>
        <row r="151">
          <cell r="A151">
            <v>5642</v>
          </cell>
          <cell r="B151" t="str">
            <v>Morges</v>
          </cell>
          <cell r="S151">
            <v>68.5</v>
          </cell>
          <cell r="AA151">
            <v>15862</v>
          </cell>
        </row>
        <row r="152">
          <cell r="A152">
            <v>5643</v>
          </cell>
          <cell r="B152" t="str">
            <v>Préverenges</v>
          </cell>
          <cell r="S152">
            <v>64</v>
          </cell>
          <cell r="AA152">
            <v>5243</v>
          </cell>
        </row>
        <row r="153">
          <cell r="A153">
            <v>5644</v>
          </cell>
          <cell r="B153" t="str">
            <v>Reverolle</v>
          </cell>
          <cell r="S153">
            <v>76</v>
          </cell>
          <cell r="AA153">
            <v>413</v>
          </cell>
        </row>
        <row r="154">
          <cell r="A154">
            <v>5645</v>
          </cell>
          <cell r="B154" t="str">
            <v>Romanel-sur-Morges</v>
          </cell>
          <cell r="S154">
            <v>56</v>
          </cell>
          <cell r="AA154">
            <v>470</v>
          </cell>
        </row>
        <row r="155">
          <cell r="A155">
            <v>5646</v>
          </cell>
          <cell r="B155" t="str">
            <v>Saint-Prex</v>
          </cell>
          <cell r="S155">
            <v>55</v>
          </cell>
          <cell r="AA155">
            <v>5774</v>
          </cell>
        </row>
        <row r="156">
          <cell r="A156">
            <v>5648</v>
          </cell>
          <cell r="B156" t="str">
            <v>Saint-Sulpice</v>
          </cell>
          <cell r="S156">
            <v>55</v>
          </cell>
          <cell r="AA156">
            <v>4717</v>
          </cell>
        </row>
        <row r="157">
          <cell r="A157">
            <v>5649</v>
          </cell>
          <cell r="B157" t="str">
            <v>Tolochenaz</v>
          </cell>
          <cell r="S157">
            <v>65</v>
          </cell>
          <cell r="AA157">
            <v>1907</v>
          </cell>
        </row>
        <row r="158">
          <cell r="A158">
            <v>5650</v>
          </cell>
          <cell r="B158" t="str">
            <v>Vaux-sur-Morges</v>
          </cell>
          <cell r="S158">
            <v>56</v>
          </cell>
          <cell r="AA158">
            <v>196</v>
          </cell>
        </row>
        <row r="159">
          <cell r="A159">
            <v>5651</v>
          </cell>
          <cell r="B159" t="str">
            <v>Villars-Sainte-Croix</v>
          </cell>
          <cell r="S159">
            <v>62</v>
          </cell>
          <cell r="AA159">
            <v>973</v>
          </cell>
        </row>
        <row r="160">
          <cell r="A160">
            <v>5652</v>
          </cell>
          <cell r="B160" t="str">
            <v>Villars-sous-Yens</v>
          </cell>
          <cell r="S160">
            <v>76</v>
          </cell>
          <cell r="AA160">
            <v>603</v>
          </cell>
        </row>
        <row r="161">
          <cell r="A161">
            <v>5653</v>
          </cell>
          <cell r="B161" t="str">
            <v>Vufflens-le-Château</v>
          </cell>
          <cell r="S161">
            <v>60</v>
          </cell>
          <cell r="AA161">
            <v>883</v>
          </cell>
        </row>
        <row r="162">
          <cell r="A162">
            <v>5654</v>
          </cell>
          <cell r="B162" t="str">
            <v>Vullierens</v>
          </cell>
          <cell r="S162">
            <v>76</v>
          </cell>
          <cell r="AA162">
            <v>513</v>
          </cell>
        </row>
        <row r="163">
          <cell r="A163">
            <v>5655</v>
          </cell>
          <cell r="B163" t="str">
            <v>Yens</v>
          </cell>
          <cell r="S163">
            <v>73</v>
          </cell>
          <cell r="AA163">
            <v>1477</v>
          </cell>
        </row>
        <row r="164">
          <cell r="A164">
            <v>5661</v>
          </cell>
          <cell r="B164" t="str">
            <v>Boulens</v>
          </cell>
          <cell r="S164">
            <v>73</v>
          </cell>
          <cell r="AA164">
            <v>361</v>
          </cell>
        </row>
        <row r="165">
          <cell r="A165">
            <v>5663</v>
          </cell>
          <cell r="B165" t="str">
            <v>Bussy-sur-Moudon</v>
          </cell>
          <cell r="S165">
            <v>80</v>
          </cell>
          <cell r="AA165">
            <v>218</v>
          </cell>
        </row>
        <row r="166">
          <cell r="A166">
            <v>5665</v>
          </cell>
          <cell r="B166" t="str">
            <v>Chavannes-sur-Moudon</v>
          </cell>
          <cell r="S166">
            <v>73</v>
          </cell>
          <cell r="AA166">
            <v>210</v>
          </cell>
        </row>
        <row r="167">
          <cell r="A167">
            <v>5669</v>
          </cell>
          <cell r="B167" t="str">
            <v>Curtilles</v>
          </cell>
          <cell r="S167">
            <v>75</v>
          </cell>
          <cell r="AA167">
            <v>310</v>
          </cell>
        </row>
        <row r="168">
          <cell r="A168">
            <v>5671</v>
          </cell>
          <cell r="B168" t="str">
            <v>Dompierre</v>
          </cell>
          <cell r="S168">
            <v>80</v>
          </cell>
          <cell r="AA168">
            <v>232</v>
          </cell>
        </row>
        <row r="169">
          <cell r="A169">
            <v>5673</v>
          </cell>
          <cell r="B169" t="str">
            <v>Hermenches</v>
          </cell>
          <cell r="S169">
            <v>75</v>
          </cell>
          <cell r="AA169">
            <v>367</v>
          </cell>
        </row>
        <row r="170">
          <cell r="A170">
            <v>5674</v>
          </cell>
          <cell r="B170" t="str">
            <v>Lovatens</v>
          </cell>
          <cell r="S170">
            <v>75</v>
          </cell>
          <cell r="AA170">
            <v>136</v>
          </cell>
        </row>
        <row r="171">
          <cell r="A171">
            <v>5675</v>
          </cell>
          <cell r="B171" t="str">
            <v>Lucens</v>
          </cell>
          <cell r="S171">
            <v>69</v>
          </cell>
          <cell r="AA171">
            <v>4220</v>
          </cell>
        </row>
        <row r="172">
          <cell r="A172">
            <v>5678</v>
          </cell>
          <cell r="B172" t="str">
            <v>Moudon</v>
          </cell>
          <cell r="S172">
            <v>75</v>
          </cell>
          <cell r="AA172">
            <v>6080</v>
          </cell>
        </row>
        <row r="173">
          <cell r="A173">
            <v>5680</v>
          </cell>
          <cell r="B173" t="str">
            <v>Ogens</v>
          </cell>
          <cell r="S173">
            <v>78</v>
          </cell>
          <cell r="AA173">
            <v>296</v>
          </cell>
        </row>
        <row r="174">
          <cell r="A174">
            <v>5683</v>
          </cell>
          <cell r="B174" t="str">
            <v>Prévonloup</v>
          </cell>
          <cell r="S174">
            <v>74</v>
          </cell>
          <cell r="AA174">
            <v>194</v>
          </cell>
        </row>
        <row r="175">
          <cell r="A175">
            <v>5684</v>
          </cell>
          <cell r="B175" t="str">
            <v>Rossenges</v>
          </cell>
          <cell r="S175">
            <v>75</v>
          </cell>
          <cell r="AA175">
            <v>84</v>
          </cell>
        </row>
        <row r="176">
          <cell r="A176">
            <v>5688</v>
          </cell>
          <cell r="B176" t="str">
            <v>Syens</v>
          </cell>
          <cell r="S176">
            <v>75.599999999999994</v>
          </cell>
          <cell r="AA176">
            <v>155</v>
          </cell>
        </row>
        <row r="177">
          <cell r="A177">
            <v>5690</v>
          </cell>
          <cell r="B177" t="str">
            <v>Villars-le-Comte</v>
          </cell>
          <cell r="S177">
            <v>70</v>
          </cell>
          <cell r="AA177">
            <v>122</v>
          </cell>
        </row>
        <row r="178">
          <cell r="A178">
            <v>5692</v>
          </cell>
          <cell r="B178" t="str">
            <v>Vucherens</v>
          </cell>
          <cell r="S178">
            <v>79</v>
          </cell>
          <cell r="AA178">
            <v>580</v>
          </cell>
        </row>
        <row r="179">
          <cell r="A179">
            <v>5693</v>
          </cell>
          <cell r="B179" t="str">
            <v>Montanaire</v>
          </cell>
          <cell r="S179">
            <v>72</v>
          </cell>
          <cell r="AA179">
            <v>2717</v>
          </cell>
        </row>
        <row r="180">
          <cell r="A180">
            <v>5701</v>
          </cell>
          <cell r="B180" t="str">
            <v>Arnex-sur-Nyon</v>
          </cell>
          <cell r="S180">
            <v>70</v>
          </cell>
          <cell r="AA180">
            <v>229</v>
          </cell>
        </row>
        <row r="181">
          <cell r="A181">
            <v>5702</v>
          </cell>
          <cell r="B181" t="str">
            <v>Arzier-Le Muids</v>
          </cell>
          <cell r="S181">
            <v>64</v>
          </cell>
          <cell r="AA181">
            <v>2801</v>
          </cell>
        </row>
        <row r="182">
          <cell r="A182">
            <v>5703</v>
          </cell>
          <cell r="B182" t="str">
            <v>Bassins</v>
          </cell>
          <cell r="S182">
            <v>74</v>
          </cell>
          <cell r="AA182">
            <v>1395</v>
          </cell>
        </row>
        <row r="183">
          <cell r="A183">
            <v>5704</v>
          </cell>
          <cell r="B183" t="str">
            <v>Begnins</v>
          </cell>
          <cell r="S183">
            <v>64</v>
          </cell>
          <cell r="AA183">
            <v>1931</v>
          </cell>
        </row>
        <row r="184">
          <cell r="A184">
            <v>5705</v>
          </cell>
          <cell r="B184" t="str">
            <v>Bogis-Bossey</v>
          </cell>
          <cell r="S184">
            <v>76</v>
          </cell>
          <cell r="AA184">
            <v>825</v>
          </cell>
        </row>
        <row r="185">
          <cell r="A185">
            <v>5706</v>
          </cell>
          <cell r="B185" t="str">
            <v>Borex</v>
          </cell>
          <cell r="S185">
            <v>58</v>
          </cell>
          <cell r="AA185">
            <v>1132</v>
          </cell>
        </row>
        <row r="186">
          <cell r="A186">
            <v>5707</v>
          </cell>
          <cell r="B186" t="str">
            <v>Chavannes-de-Bogis</v>
          </cell>
          <cell r="S186">
            <v>59</v>
          </cell>
          <cell r="AA186">
            <v>1357</v>
          </cell>
        </row>
        <row r="187">
          <cell r="A187">
            <v>5708</v>
          </cell>
          <cell r="B187" t="str">
            <v>Chavannes-des-Bois</v>
          </cell>
          <cell r="S187">
            <v>68</v>
          </cell>
          <cell r="AA187">
            <v>960</v>
          </cell>
        </row>
        <row r="188">
          <cell r="A188">
            <v>5709</v>
          </cell>
          <cell r="B188" t="str">
            <v>Chéserex</v>
          </cell>
          <cell r="S188">
            <v>57</v>
          </cell>
          <cell r="AA188">
            <v>1238</v>
          </cell>
        </row>
        <row r="189">
          <cell r="A189">
            <v>5710</v>
          </cell>
          <cell r="B189" t="str">
            <v>Coinsins</v>
          </cell>
          <cell r="S189">
            <v>51</v>
          </cell>
          <cell r="AA189">
            <v>494</v>
          </cell>
        </row>
        <row r="190">
          <cell r="A190">
            <v>5711</v>
          </cell>
          <cell r="B190" t="str">
            <v>Commugny</v>
          </cell>
          <cell r="S190">
            <v>57</v>
          </cell>
          <cell r="AA190">
            <v>2935</v>
          </cell>
        </row>
        <row r="191">
          <cell r="A191">
            <v>5712</v>
          </cell>
          <cell r="B191" t="str">
            <v>Coppet</v>
          </cell>
          <cell r="S191">
            <v>53</v>
          </cell>
          <cell r="AA191">
            <v>3211</v>
          </cell>
        </row>
        <row r="192">
          <cell r="A192">
            <v>5713</v>
          </cell>
          <cell r="B192" t="str">
            <v>Crans-près-Céligny</v>
          </cell>
          <cell r="S192">
            <v>56</v>
          </cell>
          <cell r="AA192">
            <v>2286</v>
          </cell>
        </row>
        <row r="193">
          <cell r="A193">
            <v>5714</v>
          </cell>
          <cell r="B193" t="str">
            <v>Crassier</v>
          </cell>
          <cell r="S193">
            <v>68</v>
          </cell>
          <cell r="AA193">
            <v>1169</v>
          </cell>
        </row>
        <row r="194">
          <cell r="A194">
            <v>5715</v>
          </cell>
          <cell r="B194" t="str">
            <v>Duillier</v>
          </cell>
          <cell r="S194">
            <v>66</v>
          </cell>
          <cell r="AA194">
            <v>1090</v>
          </cell>
        </row>
        <row r="195">
          <cell r="A195">
            <v>5716</v>
          </cell>
          <cell r="B195" t="str">
            <v>Eysins</v>
          </cell>
          <cell r="S195">
            <v>61</v>
          </cell>
          <cell r="AA195">
            <v>1737</v>
          </cell>
        </row>
        <row r="196">
          <cell r="A196">
            <v>5717</v>
          </cell>
          <cell r="B196" t="str">
            <v>Founex</v>
          </cell>
          <cell r="S196">
            <v>57</v>
          </cell>
          <cell r="AA196">
            <v>3772</v>
          </cell>
        </row>
        <row r="197">
          <cell r="A197">
            <v>5718</v>
          </cell>
          <cell r="B197" t="str">
            <v>Genolier</v>
          </cell>
          <cell r="S197">
            <v>55</v>
          </cell>
          <cell r="AA197">
            <v>2000</v>
          </cell>
        </row>
        <row r="198">
          <cell r="A198">
            <v>5719</v>
          </cell>
          <cell r="B198" t="str">
            <v>Gingins</v>
          </cell>
          <cell r="S198">
            <v>57</v>
          </cell>
          <cell r="AA198">
            <v>1239</v>
          </cell>
        </row>
        <row r="199">
          <cell r="A199">
            <v>5720</v>
          </cell>
          <cell r="B199" t="str">
            <v>Givrins</v>
          </cell>
          <cell r="S199">
            <v>67</v>
          </cell>
          <cell r="AA199">
            <v>1032</v>
          </cell>
        </row>
        <row r="200">
          <cell r="A200">
            <v>5721</v>
          </cell>
          <cell r="B200" t="str">
            <v>Gland</v>
          </cell>
          <cell r="S200">
            <v>62.5</v>
          </cell>
          <cell r="AA200">
            <v>13194</v>
          </cell>
        </row>
        <row r="201">
          <cell r="A201">
            <v>5722</v>
          </cell>
          <cell r="B201" t="str">
            <v>Grens</v>
          </cell>
          <cell r="S201">
            <v>62</v>
          </cell>
          <cell r="AA201">
            <v>383</v>
          </cell>
        </row>
        <row r="202">
          <cell r="A202">
            <v>5723</v>
          </cell>
          <cell r="B202" t="str">
            <v>Mies</v>
          </cell>
          <cell r="S202">
            <v>53</v>
          </cell>
          <cell r="AA202">
            <v>2116</v>
          </cell>
        </row>
        <row r="203">
          <cell r="A203">
            <v>5724</v>
          </cell>
          <cell r="B203" t="str">
            <v>Nyon</v>
          </cell>
          <cell r="S203">
            <v>61</v>
          </cell>
          <cell r="AA203">
            <v>21416</v>
          </cell>
        </row>
        <row r="204">
          <cell r="A204">
            <v>5725</v>
          </cell>
          <cell r="B204" t="str">
            <v>Prangins</v>
          </cell>
          <cell r="S204">
            <v>56</v>
          </cell>
          <cell r="AA204">
            <v>4088</v>
          </cell>
        </row>
        <row r="205">
          <cell r="A205">
            <v>5726</v>
          </cell>
          <cell r="B205" t="str">
            <v>La Rippe</v>
          </cell>
          <cell r="S205">
            <v>65</v>
          </cell>
          <cell r="AA205">
            <v>1136</v>
          </cell>
        </row>
        <row r="206">
          <cell r="A206">
            <v>5727</v>
          </cell>
          <cell r="B206" t="str">
            <v>Saint-Cergue</v>
          </cell>
          <cell r="S206">
            <v>66</v>
          </cell>
          <cell r="AA206">
            <v>2603</v>
          </cell>
        </row>
        <row r="207">
          <cell r="A207">
            <v>5728</v>
          </cell>
          <cell r="B207" t="str">
            <v>Signy-Avenex</v>
          </cell>
          <cell r="S207">
            <v>58</v>
          </cell>
          <cell r="AA207">
            <v>586</v>
          </cell>
        </row>
        <row r="208">
          <cell r="A208">
            <v>5729</v>
          </cell>
          <cell r="B208" t="str">
            <v>Tannay</v>
          </cell>
          <cell r="S208">
            <v>61</v>
          </cell>
          <cell r="AA208">
            <v>1600</v>
          </cell>
        </row>
        <row r="209">
          <cell r="A209">
            <v>5730</v>
          </cell>
          <cell r="B209" t="str">
            <v>Trélex</v>
          </cell>
          <cell r="S209">
            <v>57</v>
          </cell>
          <cell r="AA209">
            <v>1434</v>
          </cell>
        </row>
        <row r="210">
          <cell r="A210">
            <v>5731</v>
          </cell>
          <cell r="B210" t="str">
            <v>Le Vaud</v>
          </cell>
          <cell r="S210">
            <v>75</v>
          </cell>
          <cell r="AA210">
            <v>1362</v>
          </cell>
        </row>
        <row r="211">
          <cell r="A211">
            <v>5732</v>
          </cell>
          <cell r="B211" t="str">
            <v>Vich</v>
          </cell>
          <cell r="S211">
            <v>66</v>
          </cell>
          <cell r="AA211">
            <v>1083</v>
          </cell>
        </row>
        <row r="212">
          <cell r="A212">
            <v>5741</v>
          </cell>
          <cell r="B212" t="str">
            <v>L'Abergement</v>
          </cell>
          <cell r="S212">
            <v>81</v>
          </cell>
          <cell r="AA212">
            <v>244</v>
          </cell>
        </row>
        <row r="213">
          <cell r="A213">
            <v>5742</v>
          </cell>
          <cell r="B213" t="str">
            <v>Agiez</v>
          </cell>
          <cell r="S213">
            <v>76</v>
          </cell>
          <cell r="AA213">
            <v>354</v>
          </cell>
        </row>
        <row r="214">
          <cell r="A214">
            <v>5743</v>
          </cell>
          <cell r="B214" t="str">
            <v>Arnex-sur-Orbe</v>
          </cell>
          <cell r="S214">
            <v>73</v>
          </cell>
          <cell r="AA214">
            <v>633</v>
          </cell>
        </row>
        <row r="215">
          <cell r="A215">
            <v>5744</v>
          </cell>
          <cell r="B215" t="str">
            <v>Ballaigues</v>
          </cell>
          <cell r="S215">
            <v>66</v>
          </cell>
          <cell r="AA215">
            <v>1108</v>
          </cell>
        </row>
        <row r="216">
          <cell r="A216">
            <v>5745</v>
          </cell>
          <cell r="B216" t="str">
            <v>Baulmes</v>
          </cell>
          <cell r="S216">
            <v>78</v>
          </cell>
          <cell r="AA216">
            <v>1042</v>
          </cell>
        </row>
        <row r="217">
          <cell r="A217">
            <v>5746</v>
          </cell>
          <cell r="B217" t="str">
            <v>Bavois</v>
          </cell>
          <cell r="S217">
            <v>73</v>
          </cell>
          <cell r="AA217">
            <v>952</v>
          </cell>
        </row>
        <row r="218">
          <cell r="A218">
            <v>5747</v>
          </cell>
          <cell r="B218" t="str">
            <v>Bofflens</v>
          </cell>
          <cell r="S218">
            <v>69</v>
          </cell>
          <cell r="AA218">
            <v>194</v>
          </cell>
        </row>
        <row r="219">
          <cell r="A219">
            <v>5748</v>
          </cell>
          <cell r="B219" t="str">
            <v>Bretonnières</v>
          </cell>
          <cell r="S219">
            <v>72</v>
          </cell>
          <cell r="AA219">
            <v>269</v>
          </cell>
        </row>
        <row r="220">
          <cell r="A220">
            <v>5749</v>
          </cell>
          <cell r="B220" t="str">
            <v>Chavornay</v>
          </cell>
          <cell r="S220">
            <v>72</v>
          </cell>
          <cell r="AA220">
            <v>5135</v>
          </cell>
        </row>
        <row r="221">
          <cell r="A221">
            <v>5750</v>
          </cell>
          <cell r="B221" t="str">
            <v>Les Clées</v>
          </cell>
          <cell r="S221">
            <v>80</v>
          </cell>
          <cell r="AA221">
            <v>185</v>
          </cell>
        </row>
        <row r="222">
          <cell r="A222">
            <v>5752</v>
          </cell>
          <cell r="B222" t="str">
            <v>Croy</v>
          </cell>
          <cell r="S222">
            <v>74</v>
          </cell>
          <cell r="AA222">
            <v>403</v>
          </cell>
        </row>
        <row r="223">
          <cell r="A223">
            <v>5754</v>
          </cell>
          <cell r="B223" t="str">
            <v>Juriens</v>
          </cell>
          <cell r="S223">
            <v>79</v>
          </cell>
          <cell r="AA223">
            <v>328</v>
          </cell>
        </row>
        <row r="224">
          <cell r="A224">
            <v>5755</v>
          </cell>
          <cell r="B224" t="str">
            <v>Lignerolle</v>
          </cell>
          <cell r="S224">
            <v>80</v>
          </cell>
          <cell r="AA224">
            <v>437</v>
          </cell>
        </row>
        <row r="225">
          <cell r="A225">
            <v>5756</v>
          </cell>
          <cell r="B225" t="str">
            <v>Montcherand</v>
          </cell>
          <cell r="S225">
            <v>72</v>
          </cell>
          <cell r="AA225">
            <v>505</v>
          </cell>
        </row>
        <row r="226">
          <cell r="A226">
            <v>5757</v>
          </cell>
          <cell r="B226" t="str">
            <v>Orbe</v>
          </cell>
          <cell r="S226">
            <v>77</v>
          </cell>
          <cell r="AA226">
            <v>7030</v>
          </cell>
        </row>
        <row r="227">
          <cell r="A227">
            <v>5758</v>
          </cell>
          <cell r="B227" t="str">
            <v>La Praz</v>
          </cell>
          <cell r="S227">
            <v>83</v>
          </cell>
          <cell r="AA227">
            <v>165</v>
          </cell>
        </row>
        <row r="228">
          <cell r="A228">
            <v>5759</v>
          </cell>
          <cell r="B228" t="str">
            <v>Premier</v>
          </cell>
          <cell r="S228">
            <v>81</v>
          </cell>
          <cell r="AA228">
            <v>215</v>
          </cell>
        </row>
        <row r="229">
          <cell r="A229">
            <v>5760</v>
          </cell>
          <cell r="B229" t="str">
            <v>Rances</v>
          </cell>
          <cell r="S229">
            <v>78</v>
          </cell>
          <cell r="AA229">
            <v>505</v>
          </cell>
        </row>
        <row r="230">
          <cell r="A230">
            <v>5761</v>
          </cell>
          <cell r="B230" t="str">
            <v>Romainmôtier-Envy</v>
          </cell>
          <cell r="S230">
            <v>81</v>
          </cell>
          <cell r="AA230">
            <v>535</v>
          </cell>
        </row>
        <row r="231">
          <cell r="A231">
            <v>5762</v>
          </cell>
          <cell r="B231" t="str">
            <v>Sergey</v>
          </cell>
          <cell r="S231">
            <v>78</v>
          </cell>
          <cell r="AA231">
            <v>145</v>
          </cell>
        </row>
        <row r="232">
          <cell r="A232">
            <v>5763</v>
          </cell>
          <cell r="B232" t="str">
            <v>Valeyres-sous-Rances</v>
          </cell>
          <cell r="S232">
            <v>68</v>
          </cell>
          <cell r="AA232">
            <v>620</v>
          </cell>
        </row>
        <row r="233">
          <cell r="A233">
            <v>5764</v>
          </cell>
          <cell r="B233" t="str">
            <v>Vallorbe</v>
          </cell>
          <cell r="S233">
            <v>73</v>
          </cell>
          <cell r="AA233">
            <v>3857</v>
          </cell>
        </row>
        <row r="234">
          <cell r="A234">
            <v>5765</v>
          </cell>
          <cell r="B234" t="str">
            <v>Vaulion</v>
          </cell>
          <cell r="S234">
            <v>81</v>
          </cell>
          <cell r="AA234">
            <v>496</v>
          </cell>
        </row>
        <row r="235">
          <cell r="A235">
            <v>5766</v>
          </cell>
          <cell r="B235" t="str">
            <v>Vuiteboeuf</v>
          </cell>
          <cell r="S235">
            <v>77</v>
          </cell>
          <cell r="AA235">
            <v>576</v>
          </cell>
        </row>
        <row r="236">
          <cell r="A236">
            <v>5785</v>
          </cell>
          <cell r="B236" t="str">
            <v>Corcelles-le-Jorat</v>
          </cell>
          <cell r="S236">
            <v>77</v>
          </cell>
          <cell r="AA236">
            <v>458</v>
          </cell>
        </row>
        <row r="237">
          <cell r="A237">
            <v>5788</v>
          </cell>
          <cell r="B237" t="str">
            <v>Essertes</v>
          </cell>
          <cell r="S237">
            <v>72</v>
          </cell>
          <cell r="AA237">
            <v>380</v>
          </cell>
        </row>
        <row r="238">
          <cell r="A238">
            <v>5790</v>
          </cell>
          <cell r="B238" t="str">
            <v>Maracon</v>
          </cell>
          <cell r="S238">
            <v>76</v>
          </cell>
          <cell r="AA238">
            <v>538</v>
          </cell>
        </row>
        <row r="239">
          <cell r="A239">
            <v>5792</v>
          </cell>
          <cell r="B239" t="str">
            <v>Montpreveyres</v>
          </cell>
          <cell r="S239">
            <v>77</v>
          </cell>
          <cell r="AA239">
            <v>657</v>
          </cell>
        </row>
        <row r="240">
          <cell r="A240">
            <v>5798</v>
          </cell>
          <cell r="B240" t="str">
            <v>Ropraz</v>
          </cell>
          <cell r="S240">
            <v>77.5</v>
          </cell>
          <cell r="AA240">
            <v>488</v>
          </cell>
        </row>
        <row r="241">
          <cell r="A241">
            <v>5799</v>
          </cell>
          <cell r="B241" t="str">
            <v>Servion</v>
          </cell>
          <cell r="S241">
            <v>69</v>
          </cell>
          <cell r="AA241">
            <v>1997</v>
          </cell>
        </row>
        <row r="242">
          <cell r="A242">
            <v>5803</v>
          </cell>
          <cell r="B242" t="str">
            <v>Vulliens</v>
          </cell>
          <cell r="S242">
            <v>78</v>
          </cell>
          <cell r="AA242">
            <v>614</v>
          </cell>
        </row>
        <row r="243">
          <cell r="A243">
            <v>5804</v>
          </cell>
          <cell r="B243" t="str">
            <v>Jorat-Menthue</v>
          </cell>
          <cell r="S243">
            <v>72</v>
          </cell>
          <cell r="AA243">
            <v>1591</v>
          </cell>
        </row>
        <row r="244">
          <cell r="A244">
            <v>5805</v>
          </cell>
          <cell r="B244" t="str">
            <v>Oron</v>
          </cell>
          <cell r="S244">
            <v>69</v>
          </cell>
          <cell r="AA244">
            <v>5669</v>
          </cell>
        </row>
        <row r="245">
          <cell r="A245">
            <v>5806</v>
          </cell>
          <cell r="B245" t="str">
            <v>Jorat-Mézières</v>
          </cell>
          <cell r="S245">
            <v>76</v>
          </cell>
          <cell r="AA245">
            <v>2949</v>
          </cell>
        </row>
        <row r="246">
          <cell r="A246">
            <v>5812</v>
          </cell>
          <cell r="B246" t="str">
            <v>Champtauroz</v>
          </cell>
          <cell r="S246">
            <v>77</v>
          </cell>
          <cell r="AA246">
            <v>130</v>
          </cell>
        </row>
        <row r="247">
          <cell r="A247">
            <v>5813</v>
          </cell>
          <cell r="B247" t="str">
            <v>Chevroux</v>
          </cell>
          <cell r="S247">
            <v>70</v>
          </cell>
          <cell r="AA247">
            <v>492</v>
          </cell>
        </row>
        <row r="248">
          <cell r="A248">
            <v>5816</v>
          </cell>
          <cell r="B248" t="str">
            <v>Corcelles-près-Payerne</v>
          </cell>
          <cell r="S248">
            <v>70</v>
          </cell>
          <cell r="AA248">
            <v>2571</v>
          </cell>
        </row>
        <row r="249">
          <cell r="A249">
            <v>5817</v>
          </cell>
          <cell r="B249" t="str">
            <v>Grandcour</v>
          </cell>
          <cell r="S249">
            <v>77</v>
          </cell>
          <cell r="AA249">
            <v>953</v>
          </cell>
        </row>
        <row r="250">
          <cell r="A250">
            <v>5819</v>
          </cell>
          <cell r="B250" t="str">
            <v>Henniez</v>
          </cell>
          <cell r="S250">
            <v>69</v>
          </cell>
          <cell r="AA250">
            <v>376</v>
          </cell>
        </row>
        <row r="251">
          <cell r="A251">
            <v>5821</v>
          </cell>
          <cell r="B251" t="str">
            <v>Missy</v>
          </cell>
          <cell r="S251">
            <v>72</v>
          </cell>
          <cell r="AA251">
            <v>362</v>
          </cell>
        </row>
        <row r="252">
          <cell r="A252">
            <v>5822</v>
          </cell>
          <cell r="B252" t="str">
            <v>Payerne</v>
          </cell>
          <cell r="S252">
            <v>75</v>
          </cell>
          <cell r="AA252">
            <v>10072</v>
          </cell>
        </row>
        <row r="253">
          <cell r="A253">
            <v>5827</v>
          </cell>
          <cell r="B253" t="str">
            <v>Trey</v>
          </cell>
          <cell r="S253">
            <v>80</v>
          </cell>
          <cell r="AA253">
            <v>285</v>
          </cell>
        </row>
        <row r="254">
          <cell r="A254">
            <v>5828</v>
          </cell>
          <cell r="B254" t="str">
            <v>Treytorrens (Payerne)</v>
          </cell>
          <cell r="S254">
            <v>84</v>
          </cell>
          <cell r="AA254">
            <v>111</v>
          </cell>
        </row>
        <row r="255">
          <cell r="A255">
            <v>5830</v>
          </cell>
          <cell r="B255" t="str">
            <v>Villarzel</v>
          </cell>
          <cell r="S255">
            <v>77</v>
          </cell>
          <cell r="AA255">
            <v>451</v>
          </cell>
        </row>
        <row r="256">
          <cell r="A256">
            <v>5831</v>
          </cell>
          <cell r="B256" t="str">
            <v>Valbroye</v>
          </cell>
          <cell r="S256">
            <v>73</v>
          </cell>
          <cell r="AA256">
            <v>3296</v>
          </cell>
        </row>
        <row r="257">
          <cell r="A257">
            <v>5841</v>
          </cell>
          <cell r="B257" t="str">
            <v>Château-d'Oex</v>
          </cell>
          <cell r="S257">
            <v>83</v>
          </cell>
          <cell r="AA257">
            <v>3468</v>
          </cell>
        </row>
        <row r="258">
          <cell r="A258">
            <v>5842</v>
          </cell>
          <cell r="B258" t="str">
            <v>Rossinière</v>
          </cell>
          <cell r="S258">
            <v>81</v>
          </cell>
          <cell r="AA258">
            <v>548</v>
          </cell>
        </row>
        <row r="259">
          <cell r="A259">
            <v>5843</v>
          </cell>
          <cell r="B259" t="str">
            <v>Rougemont</v>
          </cell>
          <cell r="S259">
            <v>74</v>
          </cell>
          <cell r="AA259">
            <v>858</v>
          </cell>
        </row>
        <row r="260">
          <cell r="A260">
            <v>5851</v>
          </cell>
          <cell r="B260" t="str">
            <v>Allaman</v>
          </cell>
          <cell r="S260">
            <v>62</v>
          </cell>
          <cell r="AA260">
            <v>451</v>
          </cell>
        </row>
        <row r="261">
          <cell r="A261">
            <v>5852</v>
          </cell>
          <cell r="B261" t="str">
            <v>Bursinel</v>
          </cell>
          <cell r="S261">
            <v>65.5</v>
          </cell>
          <cell r="AA261">
            <v>473</v>
          </cell>
        </row>
        <row r="262">
          <cell r="A262">
            <v>5853</v>
          </cell>
          <cell r="B262" t="str">
            <v>Bursins</v>
          </cell>
          <cell r="S262">
            <v>71</v>
          </cell>
          <cell r="AA262">
            <v>782</v>
          </cell>
        </row>
        <row r="263">
          <cell r="A263">
            <v>5854</v>
          </cell>
          <cell r="B263" t="str">
            <v>Burtigny</v>
          </cell>
          <cell r="S263">
            <v>80</v>
          </cell>
          <cell r="AA263">
            <v>390</v>
          </cell>
        </row>
        <row r="264">
          <cell r="A264">
            <v>5855</v>
          </cell>
          <cell r="B264" t="str">
            <v>Dully</v>
          </cell>
          <cell r="S264">
            <v>49</v>
          </cell>
          <cell r="AA264">
            <v>639</v>
          </cell>
        </row>
        <row r="265">
          <cell r="A265">
            <v>5856</v>
          </cell>
          <cell r="B265" t="str">
            <v>Essertines-sur-Rolle</v>
          </cell>
          <cell r="S265">
            <v>68</v>
          </cell>
          <cell r="AA265">
            <v>722</v>
          </cell>
        </row>
        <row r="266">
          <cell r="A266">
            <v>5857</v>
          </cell>
          <cell r="B266" t="str">
            <v>Gilly</v>
          </cell>
          <cell r="S266">
            <v>66</v>
          </cell>
          <cell r="AA266">
            <v>1370</v>
          </cell>
        </row>
        <row r="267">
          <cell r="A267">
            <v>5858</v>
          </cell>
          <cell r="B267" t="str">
            <v>Luins</v>
          </cell>
          <cell r="S267">
            <v>60</v>
          </cell>
          <cell r="AA267">
            <v>621</v>
          </cell>
        </row>
        <row r="268">
          <cell r="A268">
            <v>5859</v>
          </cell>
          <cell r="B268" t="str">
            <v>Mont-sur-Rolle</v>
          </cell>
          <cell r="S268">
            <v>65</v>
          </cell>
          <cell r="AA268">
            <v>2677</v>
          </cell>
        </row>
        <row r="269">
          <cell r="A269">
            <v>5860</v>
          </cell>
          <cell r="B269" t="str">
            <v>Perroy</v>
          </cell>
          <cell r="S269">
            <v>60</v>
          </cell>
          <cell r="AA269">
            <v>1497</v>
          </cell>
        </row>
        <row r="270">
          <cell r="A270">
            <v>5861</v>
          </cell>
          <cell r="B270" t="str">
            <v>Rolle</v>
          </cell>
          <cell r="S270">
            <v>59.5</v>
          </cell>
          <cell r="AA270">
            <v>6245</v>
          </cell>
        </row>
        <row r="271">
          <cell r="A271">
            <v>5862</v>
          </cell>
          <cell r="B271" t="str">
            <v>Tartegnin</v>
          </cell>
          <cell r="S271">
            <v>81</v>
          </cell>
          <cell r="AA271">
            <v>233</v>
          </cell>
        </row>
        <row r="272">
          <cell r="A272">
            <v>5863</v>
          </cell>
          <cell r="B272" t="str">
            <v>Vinzel</v>
          </cell>
          <cell r="S272">
            <v>67</v>
          </cell>
          <cell r="AA272">
            <v>355</v>
          </cell>
        </row>
        <row r="273">
          <cell r="A273">
            <v>5871</v>
          </cell>
          <cell r="B273" t="str">
            <v>L'Abbaye</v>
          </cell>
          <cell r="S273">
            <v>77.599999999999994</v>
          </cell>
          <cell r="AA273">
            <v>1481</v>
          </cell>
        </row>
        <row r="274">
          <cell r="A274">
            <v>5872</v>
          </cell>
          <cell r="B274" t="str">
            <v>Le Chenit</v>
          </cell>
          <cell r="S274">
            <v>68.39</v>
          </cell>
          <cell r="AA274">
            <v>4657</v>
          </cell>
        </row>
        <row r="275">
          <cell r="A275">
            <v>5873</v>
          </cell>
          <cell r="B275" t="str">
            <v>Le Lieu</v>
          </cell>
          <cell r="S275">
            <v>70</v>
          </cell>
          <cell r="AA275">
            <v>900</v>
          </cell>
        </row>
        <row r="276">
          <cell r="A276">
            <v>5881</v>
          </cell>
          <cell r="B276" t="str">
            <v>Blonay</v>
          </cell>
          <cell r="S276">
            <v>70</v>
          </cell>
          <cell r="AA276">
            <v>6151</v>
          </cell>
        </row>
        <row r="277">
          <cell r="A277">
            <v>5882</v>
          </cell>
          <cell r="B277" t="str">
            <v>Chardonne</v>
          </cell>
          <cell r="S277">
            <v>68</v>
          </cell>
          <cell r="AA277">
            <v>3032</v>
          </cell>
        </row>
        <row r="278">
          <cell r="A278">
            <v>5883</v>
          </cell>
          <cell r="B278" t="str">
            <v>Corseaux</v>
          </cell>
          <cell r="S278">
            <v>69</v>
          </cell>
          <cell r="AA278">
            <v>2287</v>
          </cell>
        </row>
        <row r="279">
          <cell r="A279">
            <v>5884</v>
          </cell>
          <cell r="B279" t="str">
            <v>Corsier-sur-Vevey</v>
          </cell>
          <cell r="S279">
            <v>66</v>
          </cell>
          <cell r="AA279">
            <v>3363</v>
          </cell>
        </row>
        <row r="280">
          <cell r="A280">
            <v>5885</v>
          </cell>
          <cell r="B280" t="str">
            <v>Jongny</v>
          </cell>
          <cell r="S280">
            <v>71</v>
          </cell>
          <cell r="AA280">
            <v>1544</v>
          </cell>
        </row>
        <row r="281">
          <cell r="A281">
            <v>5886</v>
          </cell>
          <cell r="B281" t="str">
            <v>Montreux</v>
          </cell>
          <cell r="S281">
            <v>65</v>
          </cell>
          <cell r="AA281">
            <v>26065</v>
          </cell>
        </row>
        <row r="282">
          <cell r="A282">
            <v>5888</v>
          </cell>
          <cell r="B282" t="str">
            <v>Saint-Légier-La Chiésaz</v>
          </cell>
          <cell r="S282">
            <v>70</v>
          </cell>
          <cell r="AA282">
            <v>5243</v>
          </cell>
        </row>
        <row r="283">
          <cell r="A283">
            <v>5889</v>
          </cell>
          <cell r="B283" t="str">
            <v>La Tour-de-Peilz</v>
          </cell>
          <cell r="S283">
            <v>64</v>
          </cell>
          <cell r="AA283">
            <v>11906</v>
          </cell>
        </row>
        <row r="284">
          <cell r="A284">
            <v>5890</v>
          </cell>
          <cell r="B284" t="str">
            <v>Vevey</v>
          </cell>
          <cell r="S284">
            <v>76</v>
          </cell>
          <cell r="AA284">
            <v>19871</v>
          </cell>
        </row>
        <row r="285">
          <cell r="A285">
            <v>5891</v>
          </cell>
          <cell r="B285" t="str">
            <v>Veytaux</v>
          </cell>
          <cell r="S285">
            <v>71</v>
          </cell>
          <cell r="AA285">
            <v>922</v>
          </cell>
        </row>
        <row r="286">
          <cell r="A286">
            <v>5902</v>
          </cell>
          <cell r="B286" t="str">
            <v>Belmont-sur-Yverdon</v>
          </cell>
          <cell r="S286">
            <v>76</v>
          </cell>
          <cell r="AA286">
            <v>374</v>
          </cell>
        </row>
        <row r="287">
          <cell r="A287">
            <v>5903</v>
          </cell>
          <cell r="B287" t="str">
            <v>Bioley-Magnoux</v>
          </cell>
          <cell r="S287">
            <v>74</v>
          </cell>
          <cell r="AA287">
            <v>228</v>
          </cell>
        </row>
        <row r="288">
          <cell r="A288">
            <v>5904</v>
          </cell>
          <cell r="B288" t="str">
            <v>Chamblon</v>
          </cell>
          <cell r="S288">
            <v>66</v>
          </cell>
          <cell r="AA288">
            <v>540</v>
          </cell>
        </row>
        <row r="289">
          <cell r="A289">
            <v>5905</v>
          </cell>
          <cell r="B289" t="str">
            <v>Champvent</v>
          </cell>
          <cell r="S289">
            <v>71</v>
          </cell>
          <cell r="AA289">
            <v>689</v>
          </cell>
        </row>
        <row r="290">
          <cell r="A290">
            <v>5907</v>
          </cell>
          <cell r="B290" t="str">
            <v>Chavannes-le-Chêne</v>
          </cell>
          <cell r="S290">
            <v>78</v>
          </cell>
          <cell r="AA290">
            <v>311</v>
          </cell>
        </row>
        <row r="291">
          <cell r="A291">
            <v>5908</v>
          </cell>
          <cell r="B291" t="str">
            <v>Chêne-Pâquier</v>
          </cell>
          <cell r="S291">
            <v>79</v>
          </cell>
          <cell r="AA291">
            <v>153</v>
          </cell>
        </row>
        <row r="292">
          <cell r="A292">
            <v>5909</v>
          </cell>
          <cell r="B292" t="str">
            <v>Cheseaux-Noréaz</v>
          </cell>
          <cell r="S292">
            <v>70</v>
          </cell>
          <cell r="AA292">
            <v>725</v>
          </cell>
        </row>
        <row r="293">
          <cell r="A293">
            <v>5910</v>
          </cell>
          <cell r="B293" t="str">
            <v>Cronay</v>
          </cell>
          <cell r="S293">
            <v>79</v>
          </cell>
          <cell r="AA293">
            <v>394</v>
          </cell>
        </row>
        <row r="294">
          <cell r="A294">
            <v>5911</v>
          </cell>
          <cell r="B294" t="str">
            <v>Cuarny</v>
          </cell>
          <cell r="S294">
            <v>79</v>
          </cell>
          <cell r="AA294">
            <v>239</v>
          </cell>
        </row>
        <row r="295">
          <cell r="A295">
            <v>5912</v>
          </cell>
          <cell r="B295" t="str">
            <v>Démoret</v>
          </cell>
          <cell r="S295">
            <v>81</v>
          </cell>
          <cell r="AA295">
            <v>156</v>
          </cell>
        </row>
        <row r="296">
          <cell r="A296">
            <v>5913</v>
          </cell>
          <cell r="B296" t="str">
            <v>Donneloye</v>
          </cell>
          <cell r="S296">
            <v>73</v>
          </cell>
          <cell r="AA296">
            <v>823</v>
          </cell>
        </row>
        <row r="297">
          <cell r="A297">
            <v>5914</v>
          </cell>
          <cell r="B297" t="str">
            <v>Ependes</v>
          </cell>
          <cell r="S297">
            <v>75</v>
          </cell>
          <cell r="AA297">
            <v>357</v>
          </cell>
        </row>
        <row r="298">
          <cell r="A298">
            <v>5919</v>
          </cell>
          <cell r="B298" t="str">
            <v>Mathod</v>
          </cell>
          <cell r="S298">
            <v>72</v>
          </cell>
          <cell r="AA298">
            <v>601</v>
          </cell>
        </row>
        <row r="299">
          <cell r="A299">
            <v>5921</v>
          </cell>
          <cell r="B299" t="str">
            <v>Molondin</v>
          </cell>
          <cell r="S299">
            <v>81</v>
          </cell>
          <cell r="AA299">
            <v>240</v>
          </cell>
        </row>
        <row r="300">
          <cell r="A300">
            <v>5922</v>
          </cell>
          <cell r="B300" t="str">
            <v>Montagny-près-Yverdon</v>
          </cell>
          <cell r="S300">
            <v>65</v>
          </cell>
          <cell r="AA300">
            <v>747</v>
          </cell>
        </row>
        <row r="301">
          <cell r="A301">
            <v>5923</v>
          </cell>
          <cell r="B301" t="str">
            <v>Oppens</v>
          </cell>
          <cell r="S301">
            <v>81</v>
          </cell>
          <cell r="AA301">
            <v>202</v>
          </cell>
        </row>
        <row r="302">
          <cell r="A302">
            <v>5924</v>
          </cell>
          <cell r="B302" t="str">
            <v>Orges</v>
          </cell>
          <cell r="S302">
            <v>74</v>
          </cell>
          <cell r="AA302">
            <v>332</v>
          </cell>
        </row>
        <row r="303">
          <cell r="A303">
            <v>5925</v>
          </cell>
          <cell r="B303" t="str">
            <v>Orzens</v>
          </cell>
          <cell r="S303">
            <v>79</v>
          </cell>
          <cell r="AA303">
            <v>208</v>
          </cell>
        </row>
        <row r="304">
          <cell r="A304">
            <v>5926</v>
          </cell>
          <cell r="B304" t="str">
            <v>Pomy</v>
          </cell>
          <cell r="S304">
            <v>71</v>
          </cell>
          <cell r="AA304">
            <v>793</v>
          </cell>
        </row>
        <row r="305">
          <cell r="A305">
            <v>5928</v>
          </cell>
          <cell r="B305" t="str">
            <v>Rovray</v>
          </cell>
          <cell r="S305">
            <v>73</v>
          </cell>
          <cell r="AA305">
            <v>185</v>
          </cell>
        </row>
        <row r="306">
          <cell r="A306">
            <v>5929</v>
          </cell>
          <cell r="B306" t="str">
            <v>Suchy</v>
          </cell>
          <cell r="S306">
            <v>70</v>
          </cell>
          <cell r="AA306">
            <v>645</v>
          </cell>
        </row>
        <row r="307">
          <cell r="A307">
            <v>5930</v>
          </cell>
          <cell r="B307" t="str">
            <v>Suscévaz</v>
          </cell>
          <cell r="S307">
            <v>72</v>
          </cell>
          <cell r="AA307">
            <v>215</v>
          </cell>
        </row>
        <row r="308">
          <cell r="A308">
            <v>5931</v>
          </cell>
          <cell r="B308" t="str">
            <v>Treycovagnes</v>
          </cell>
          <cell r="S308">
            <v>75</v>
          </cell>
          <cell r="AA308">
            <v>492</v>
          </cell>
        </row>
        <row r="309">
          <cell r="A309">
            <v>5932</v>
          </cell>
          <cell r="B309" t="str">
            <v>Ursins</v>
          </cell>
          <cell r="S309">
            <v>77</v>
          </cell>
          <cell r="AA309">
            <v>225</v>
          </cell>
        </row>
        <row r="310">
          <cell r="A310">
            <v>5933</v>
          </cell>
          <cell r="B310" t="str">
            <v>Valeyres-sous-Montagny</v>
          </cell>
          <cell r="S310">
            <v>72</v>
          </cell>
          <cell r="AA310">
            <v>709</v>
          </cell>
        </row>
        <row r="311">
          <cell r="A311">
            <v>5934</v>
          </cell>
          <cell r="B311" t="str">
            <v>Valeyres-sous-Ursins</v>
          </cell>
          <cell r="S311">
            <v>79</v>
          </cell>
          <cell r="AA311">
            <v>227</v>
          </cell>
        </row>
        <row r="312">
          <cell r="A312">
            <v>5935</v>
          </cell>
          <cell r="B312" t="str">
            <v>Villars-Epeney</v>
          </cell>
          <cell r="S312">
            <v>60</v>
          </cell>
          <cell r="AA312">
            <v>102</v>
          </cell>
        </row>
        <row r="313">
          <cell r="A313">
            <v>5937</v>
          </cell>
          <cell r="B313" t="str">
            <v>Vugelles-La Mothe</v>
          </cell>
          <cell r="S313">
            <v>70</v>
          </cell>
          <cell r="AA313">
            <v>135</v>
          </cell>
        </row>
        <row r="314">
          <cell r="A314">
            <v>5938</v>
          </cell>
          <cell r="B314" t="str">
            <v>Yverdon-les-Bains</v>
          </cell>
          <cell r="S314">
            <v>76.5</v>
          </cell>
          <cell r="AA314">
            <v>30189</v>
          </cell>
        </row>
        <row r="315">
          <cell r="A315">
            <v>5939</v>
          </cell>
          <cell r="B315" t="str">
            <v>Yvonand</v>
          </cell>
          <cell r="S315">
            <v>73</v>
          </cell>
          <cell r="AA315">
            <v>3434</v>
          </cell>
        </row>
      </sheetData>
      <sheetData sheetId="4"/>
      <sheetData sheetId="5">
        <row r="5">
          <cell r="C5">
            <v>277789.63254320994</v>
          </cell>
        </row>
        <row r="6">
          <cell r="C6">
            <v>185729.53788732394</v>
          </cell>
        </row>
        <row r="7">
          <cell r="C7">
            <v>10653.993243243245</v>
          </cell>
        </row>
        <row r="8">
          <cell r="C8">
            <v>14595.552612612611</v>
          </cell>
        </row>
        <row r="9">
          <cell r="C9">
            <v>65705.555822222203</v>
          </cell>
        </row>
        <row r="10">
          <cell r="C10">
            <v>24857.219750812561</v>
          </cell>
        </row>
        <row r="11">
          <cell r="C11">
            <v>90593.766196581171</v>
          </cell>
        </row>
        <row r="12">
          <cell r="C12">
            <v>28671.623864118894</v>
          </cell>
        </row>
        <row r="13">
          <cell r="C13">
            <v>399776.03154977376</v>
          </cell>
        </row>
        <row r="14">
          <cell r="C14">
            <v>38431.903864118896</v>
          </cell>
        </row>
        <row r="15">
          <cell r="C15">
            <v>73250.08368421052</v>
          </cell>
        </row>
        <row r="16">
          <cell r="C16">
            <v>24302.490518518523</v>
          </cell>
        </row>
        <row r="17">
          <cell r="C17">
            <v>45084.327818627447</v>
          </cell>
        </row>
        <row r="18">
          <cell r="C18">
            <v>167595.35260869566</v>
          </cell>
        </row>
        <row r="19">
          <cell r="C19">
            <v>39170.690675990678</v>
          </cell>
        </row>
        <row r="20">
          <cell r="C20">
            <v>70612.156710526324</v>
          </cell>
        </row>
        <row r="21">
          <cell r="C21">
            <v>231171.83385714272</v>
          </cell>
        </row>
        <row r="22">
          <cell r="C22">
            <v>16262.42684931507</v>
          </cell>
        </row>
        <row r="23">
          <cell r="C23">
            <v>9281.7425974025955</v>
          </cell>
        </row>
        <row r="24">
          <cell r="C24">
            <v>39522.239817733993</v>
          </cell>
        </row>
        <row r="25">
          <cell r="C25">
            <v>52073.160505050502</v>
          </cell>
        </row>
        <row r="26">
          <cell r="C26">
            <v>86749.440144230772</v>
          </cell>
        </row>
        <row r="27">
          <cell r="C27">
            <v>66171.009865771834</v>
          </cell>
        </row>
        <row r="28">
          <cell r="C28">
            <v>15311.416666666666</v>
          </cell>
        </row>
        <row r="29">
          <cell r="C29">
            <v>14827.393037974683</v>
          </cell>
        </row>
        <row r="30">
          <cell r="C30">
            <v>10626.755405405405</v>
          </cell>
        </row>
        <row r="31">
          <cell r="C31">
            <v>16078.014230769231</v>
          </cell>
        </row>
        <row r="32">
          <cell r="C32">
            <v>39905.96180751174</v>
          </cell>
        </row>
        <row r="33">
          <cell r="C33">
            <v>24331.716956521734</v>
          </cell>
        </row>
        <row r="34">
          <cell r="C34">
            <v>16564.840617283953</v>
          </cell>
        </row>
        <row r="35">
          <cell r="C35">
            <v>13155.785124999999</v>
          </cell>
        </row>
        <row r="36">
          <cell r="C36">
            <v>129378.19823529426</v>
          </cell>
        </row>
        <row r="37">
          <cell r="C37">
            <v>57755.250790960446</v>
          </cell>
        </row>
        <row r="38">
          <cell r="C38">
            <v>33143.605656565654</v>
          </cell>
        </row>
        <row r="39">
          <cell r="C39">
            <v>112741.2284079602</v>
          </cell>
        </row>
        <row r="40">
          <cell r="C40">
            <v>21708.019984126982</v>
          </cell>
        </row>
        <row r="41">
          <cell r="C41">
            <v>15065.660131578947</v>
          </cell>
        </row>
        <row r="42">
          <cell r="C42">
            <v>34350.684492753629</v>
          </cell>
        </row>
        <row r="43">
          <cell r="C43">
            <v>15323.423073593074</v>
          </cell>
        </row>
        <row r="44">
          <cell r="C44">
            <v>3045.9346753246755</v>
          </cell>
        </row>
        <row r="45">
          <cell r="C45">
            <v>12632.544999999996</v>
          </cell>
        </row>
        <row r="46">
          <cell r="C46">
            <v>144389.2549295775</v>
          </cell>
        </row>
        <row r="47">
          <cell r="C47">
            <v>17566.345945945945</v>
          </cell>
        </row>
        <row r="48">
          <cell r="C48">
            <v>17277.023636363636</v>
          </cell>
        </row>
        <row r="49">
          <cell r="C49">
            <v>40568.804343434349</v>
          </cell>
        </row>
        <row r="50">
          <cell r="C50">
            <v>9658.8267088607608</v>
          </cell>
        </row>
        <row r="51">
          <cell r="C51">
            <v>60116.695217391316</v>
          </cell>
        </row>
        <row r="52">
          <cell r="C52">
            <v>11167.980394736842</v>
          </cell>
        </row>
        <row r="53">
          <cell r="C53">
            <v>33995.543783783789</v>
          </cell>
        </row>
        <row r="54">
          <cell r="C54">
            <v>16957.048857142858</v>
          </cell>
        </row>
        <row r="55">
          <cell r="C55">
            <v>35667.648026315794</v>
          </cell>
        </row>
        <row r="56">
          <cell r="C56">
            <v>15504.095066666665</v>
          </cell>
        </row>
        <row r="57">
          <cell r="C57">
            <v>1751.8621794871794</v>
          </cell>
        </row>
        <row r="58">
          <cell r="C58">
            <v>62953.268196721314</v>
          </cell>
        </row>
        <row r="59">
          <cell r="C59">
            <v>8346.3239490445867</v>
          </cell>
        </row>
        <row r="60">
          <cell r="C60">
            <v>14105.600657894736</v>
          </cell>
        </row>
        <row r="61">
          <cell r="C61">
            <v>190092.85661458335</v>
          </cell>
        </row>
        <row r="62">
          <cell r="C62">
            <v>10669.457639620656</v>
          </cell>
        </row>
        <row r="63">
          <cell r="C63">
            <v>37008.943269841264</v>
          </cell>
        </row>
        <row r="64">
          <cell r="C64">
            <v>95334.294459459459</v>
          </cell>
        </row>
        <row r="65">
          <cell r="C65">
            <v>59470.759859154932</v>
          </cell>
        </row>
        <row r="66">
          <cell r="C66">
            <v>22300.858484848486</v>
          </cell>
        </row>
        <row r="67">
          <cell r="C67">
            <v>77649.398333333345</v>
          </cell>
        </row>
        <row r="68">
          <cell r="C68">
            <v>19517.373430656935</v>
          </cell>
        </row>
        <row r="69">
          <cell r="C69">
            <v>6999.0248888888891</v>
          </cell>
        </row>
        <row r="70">
          <cell r="C70">
            <v>40473.718571428566</v>
          </cell>
        </row>
        <row r="71">
          <cell r="C71">
            <v>87926.416417910455</v>
          </cell>
        </row>
        <row r="72">
          <cell r="C72">
            <v>50067.904428571426</v>
          </cell>
        </row>
        <row r="73">
          <cell r="C73">
            <v>40005.59860759494</v>
          </cell>
        </row>
        <row r="74">
          <cell r="C74">
            <v>22037.146176470589</v>
          </cell>
        </row>
        <row r="75">
          <cell r="C75">
            <v>40784.156621621616</v>
          </cell>
        </row>
        <row r="76">
          <cell r="C76">
            <v>28825.846790123462</v>
          </cell>
        </row>
        <row r="77">
          <cell r="C77">
            <v>111163.080491453</v>
          </cell>
        </row>
        <row r="78">
          <cell r="C78">
            <v>187816.41499999998</v>
          </cell>
        </row>
        <row r="79">
          <cell r="C79">
            <v>29858.34041095891</v>
          </cell>
        </row>
        <row r="80">
          <cell r="C80">
            <v>48278.723150684935</v>
          </cell>
        </row>
        <row r="81">
          <cell r="C81">
            <v>22727.539066666664</v>
          </cell>
        </row>
        <row r="82">
          <cell r="C82">
            <v>89231.727236842082</v>
          </cell>
        </row>
        <row r="83">
          <cell r="C83">
            <v>40137.160945945958</v>
          </cell>
        </row>
        <row r="84">
          <cell r="C84">
            <v>21602.609436619721</v>
          </cell>
        </row>
        <row r="85">
          <cell r="C85">
            <v>17625.052150537631</v>
          </cell>
        </row>
        <row r="86">
          <cell r="C86">
            <v>14653.782435897439</v>
          </cell>
        </row>
        <row r="87">
          <cell r="C87">
            <v>22836.129452054793</v>
          </cell>
        </row>
        <row r="88">
          <cell r="C88">
            <v>10463.952465753426</v>
          </cell>
        </row>
        <row r="89">
          <cell r="C89">
            <v>22478.945584415589</v>
          </cell>
        </row>
        <row r="90">
          <cell r="C90">
            <v>36268.70386986302</v>
          </cell>
        </row>
        <row r="91">
          <cell r="C91">
            <v>30000.607399999997</v>
          </cell>
        </row>
        <row r="92">
          <cell r="C92">
            <v>64761.783243243241</v>
          </cell>
        </row>
        <row r="93">
          <cell r="C93">
            <v>37389.402987012982</v>
          </cell>
        </row>
        <row r="94">
          <cell r="C94">
            <v>18282.205818181821</v>
          </cell>
        </row>
        <row r="95">
          <cell r="C95">
            <v>18372.474931506851</v>
          </cell>
        </row>
        <row r="96">
          <cell r="C96">
            <v>37695.100615384617</v>
          </cell>
        </row>
        <row r="97">
          <cell r="C97">
            <v>33287.826000000008</v>
          </cell>
        </row>
        <row r="98">
          <cell r="C98">
            <v>13538.992394366198</v>
          </cell>
        </row>
        <row r="99">
          <cell r="C99">
            <v>13049.601497584543</v>
          </cell>
        </row>
        <row r="100">
          <cell r="C100">
            <v>6546.22</v>
          </cell>
        </row>
        <row r="101">
          <cell r="C101">
            <v>20822.479090909092</v>
          </cell>
        </row>
        <row r="102">
          <cell r="C102">
            <v>7406.141029411765</v>
          </cell>
        </row>
        <row r="103">
          <cell r="C103">
            <v>113542.57695652173</v>
          </cell>
        </row>
        <row r="104">
          <cell r="C104">
            <v>5487.2855</v>
          </cell>
        </row>
        <row r="105">
          <cell r="C105">
            <v>4022.9622499999991</v>
          </cell>
        </row>
        <row r="106">
          <cell r="C106">
            <v>2263.2775657894736</v>
          </cell>
        </row>
        <row r="107">
          <cell r="C107">
            <v>18486.800307692305</v>
          </cell>
        </row>
        <row r="108">
          <cell r="C108">
            <v>8488.3012345678999</v>
          </cell>
        </row>
        <row r="109">
          <cell r="C109">
            <v>109300.43271428571</v>
          </cell>
        </row>
        <row r="110">
          <cell r="C110">
            <v>24815.960251141551</v>
          </cell>
        </row>
        <row r="111">
          <cell r="C111">
            <v>187774.68592592591</v>
          </cell>
        </row>
        <row r="112">
          <cell r="C112">
            <v>167195.61731543625</v>
          </cell>
        </row>
        <row r="113">
          <cell r="C113">
            <v>313349.85476923082</v>
          </cell>
        </row>
        <row r="114">
          <cell r="C114">
            <v>475091.38424242428</v>
          </cell>
        </row>
        <row r="115">
          <cell r="C115">
            <v>229695.06966101698</v>
          </cell>
        </row>
        <row r="116">
          <cell r="C116">
            <v>6038274.9810970454</v>
          </cell>
        </row>
        <row r="117">
          <cell r="C117">
            <v>437426.32075555553</v>
          </cell>
        </row>
        <row r="118">
          <cell r="C118">
            <v>134588.09264705883</v>
          </cell>
        </row>
        <row r="119">
          <cell r="C119">
            <v>418113.86360020924</v>
          </cell>
        </row>
        <row r="120">
          <cell r="C120">
            <v>1533094.7704683845</v>
          </cell>
        </row>
        <row r="121">
          <cell r="C121">
            <v>563128.30316651508</v>
          </cell>
        </row>
        <row r="122">
          <cell r="C122">
            <v>113674.73902777777</v>
          </cell>
        </row>
        <row r="123">
          <cell r="C123">
            <v>103470.98536231882</v>
          </cell>
        </row>
        <row r="124">
          <cell r="C124">
            <v>73971.129714285707</v>
          </cell>
        </row>
        <row r="125">
          <cell r="C125">
            <v>806998.35454311455</v>
          </cell>
        </row>
        <row r="126">
          <cell r="C126">
            <v>100918.13995031056</v>
          </cell>
        </row>
        <row r="127">
          <cell r="C127">
            <v>13641.583779527558</v>
          </cell>
        </row>
        <row r="128">
          <cell r="C128">
            <v>22278.713000000003</v>
          </cell>
        </row>
        <row r="129">
          <cell r="C129">
            <v>134929.74355072467</v>
          </cell>
        </row>
        <row r="130">
          <cell r="C130">
            <v>333126.87406250008</v>
          </cell>
        </row>
        <row r="131">
          <cell r="C131">
            <v>27514.906070381232</v>
          </cell>
        </row>
        <row r="132">
          <cell r="C132">
            <v>27505.151666666668</v>
          </cell>
        </row>
        <row r="133">
          <cell r="C133">
            <v>89779.897358490547</v>
          </cell>
        </row>
        <row r="134">
          <cell r="C134">
            <v>397950.93625000003</v>
          </cell>
        </row>
        <row r="135">
          <cell r="C135">
            <v>16807.989913419911</v>
          </cell>
        </row>
        <row r="136">
          <cell r="C136">
            <v>211976.34008438818</v>
          </cell>
        </row>
        <row r="137">
          <cell r="C137">
            <v>22390.960806451614</v>
          </cell>
        </row>
        <row r="138">
          <cell r="C138">
            <v>6767.1243999999997</v>
          </cell>
        </row>
        <row r="139">
          <cell r="C139">
            <v>51475.873428571431</v>
          </cell>
        </row>
        <row r="140">
          <cell r="C140">
            <v>72992.009193548365</v>
          </cell>
        </row>
        <row r="141">
          <cell r="C141">
            <v>160902.30048387093</v>
          </cell>
        </row>
        <row r="142">
          <cell r="C142">
            <v>173253.00779411764</v>
          </cell>
        </row>
        <row r="143">
          <cell r="C143">
            <v>489428.14554687496</v>
          </cell>
        </row>
        <row r="144">
          <cell r="C144">
            <v>176252.1018032787</v>
          </cell>
        </row>
        <row r="145">
          <cell r="C145">
            <v>37192.899776286358</v>
          </cell>
        </row>
        <row r="146">
          <cell r="C146">
            <v>157137.98454545456</v>
          </cell>
        </row>
        <row r="147">
          <cell r="C147">
            <v>47176.43180327869</v>
          </cell>
        </row>
        <row r="148">
          <cell r="C148">
            <v>61400.456666666665</v>
          </cell>
        </row>
        <row r="149">
          <cell r="C149">
            <v>842114.79489051085</v>
          </cell>
        </row>
        <row r="150">
          <cell r="C150">
            <v>259364.760625</v>
          </cell>
        </row>
        <row r="151">
          <cell r="C151">
            <v>16859.730657894735</v>
          </cell>
        </row>
        <row r="152">
          <cell r="C152">
            <v>29743.552142857145</v>
          </cell>
        </row>
        <row r="153">
          <cell r="C153">
            <v>419083.43709090899</v>
          </cell>
        </row>
        <row r="154">
          <cell r="C154">
            <v>383471.67436363641</v>
          </cell>
        </row>
        <row r="155">
          <cell r="C155">
            <v>109794.23076923077</v>
          </cell>
        </row>
        <row r="156">
          <cell r="C156">
            <v>162834.69392857142</v>
          </cell>
        </row>
        <row r="157">
          <cell r="C157">
            <v>58682.807419354831</v>
          </cell>
        </row>
        <row r="158">
          <cell r="C158">
            <v>32935.200285087711</v>
          </cell>
        </row>
        <row r="159">
          <cell r="C159">
            <v>71866.827999999994</v>
          </cell>
        </row>
        <row r="160">
          <cell r="C160">
            <v>18067.402499999997</v>
          </cell>
        </row>
        <row r="161">
          <cell r="C161">
            <v>77231.578767123297</v>
          </cell>
        </row>
        <row r="162">
          <cell r="C162">
            <v>10067.366438356165</v>
          </cell>
        </row>
        <row r="163">
          <cell r="C163">
            <v>6357.5273750000006</v>
          </cell>
        </row>
        <row r="164">
          <cell r="C164">
            <v>4734.8986301369869</v>
          </cell>
        </row>
        <row r="165">
          <cell r="C165">
            <v>10002.199066666666</v>
          </cell>
        </row>
        <row r="166">
          <cell r="C166">
            <v>6571.3844999999983</v>
          </cell>
        </row>
        <row r="167">
          <cell r="C167">
            <v>9909.6989333333331</v>
          </cell>
        </row>
        <row r="168">
          <cell r="C168">
            <v>3215.0507999999995</v>
          </cell>
        </row>
        <row r="169">
          <cell r="C169">
            <v>97758.400909090895</v>
          </cell>
        </row>
        <row r="170">
          <cell r="C170">
            <v>126080.27293333331</v>
          </cell>
        </row>
        <row r="171">
          <cell r="C171">
            <v>6313.5037606837595</v>
          </cell>
        </row>
        <row r="172">
          <cell r="C172">
            <v>4589.3872972972958</v>
          </cell>
        </row>
        <row r="173">
          <cell r="C173">
            <v>3098.721</v>
          </cell>
        </row>
        <row r="174">
          <cell r="C174">
            <v>2742.3284391534398</v>
          </cell>
        </row>
        <row r="175">
          <cell r="C175">
            <v>3018.1645000000003</v>
          </cell>
        </row>
        <row r="176">
          <cell r="C176">
            <v>16002.190506329114</v>
          </cell>
        </row>
        <row r="177">
          <cell r="C177">
            <v>70807.212499999965</v>
          </cell>
        </row>
        <row r="178">
          <cell r="C178">
            <v>12068.134285714286</v>
          </cell>
        </row>
        <row r="179">
          <cell r="C179">
            <v>173952.76901041667</v>
          </cell>
        </row>
        <row r="180">
          <cell r="C180">
            <v>58992.28158301158</v>
          </cell>
        </row>
        <row r="181">
          <cell r="C181">
            <v>129564.85270833333</v>
          </cell>
        </row>
        <row r="182">
          <cell r="C182">
            <v>47436.61605263158</v>
          </cell>
        </row>
        <row r="183">
          <cell r="C183">
            <v>76683.378793103446</v>
          </cell>
        </row>
        <row r="184">
          <cell r="C184">
            <v>81307.638983050841</v>
          </cell>
        </row>
        <row r="185">
          <cell r="C185">
            <v>64704.48911764707</v>
          </cell>
        </row>
        <row r="186">
          <cell r="C186">
            <v>99426.699824561394</v>
          </cell>
        </row>
        <row r="187">
          <cell r="C187">
            <v>112110.92803921571</v>
          </cell>
        </row>
        <row r="188">
          <cell r="C188">
            <v>257487.27623481784</v>
          </cell>
        </row>
        <row r="189">
          <cell r="C189">
            <v>389043.84018867929</v>
          </cell>
        </row>
        <row r="190">
          <cell r="C190">
            <v>285689.07035714283</v>
          </cell>
        </row>
        <row r="191">
          <cell r="C191">
            <v>69757.357205882377</v>
          </cell>
        </row>
        <row r="192">
          <cell r="C192">
            <v>70129.929393939397</v>
          </cell>
        </row>
        <row r="193">
          <cell r="C193">
            <v>206146.61786885248</v>
          </cell>
        </row>
        <row r="194">
          <cell r="C194">
            <v>344775.19280701759</v>
          </cell>
        </row>
        <row r="195">
          <cell r="C195">
            <v>171473.77890909091</v>
          </cell>
        </row>
        <row r="196">
          <cell r="C196">
            <v>142317.67801169588</v>
          </cell>
        </row>
        <row r="197">
          <cell r="C197">
            <v>82564.367429519058</v>
          </cell>
        </row>
        <row r="198">
          <cell r="C198">
            <v>655037.95408000017</v>
          </cell>
        </row>
        <row r="199">
          <cell r="C199">
            <v>20306.92935483871</v>
          </cell>
        </row>
        <row r="200">
          <cell r="C200">
            <v>571754.57660377375</v>
          </cell>
        </row>
        <row r="201">
          <cell r="C201">
            <v>1403046.442824716</v>
          </cell>
        </row>
        <row r="202">
          <cell r="C202">
            <v>339116.20058673463</v>
          </cell>
        </row>
        <row r="203">
          <cell r="C203">
            <v>61326.535692307698</v>
          </cell>
        </row>
        <row r="204">
          <cell r="C204">
            <v>96125.190858585862</v>
          </cell>
        </row>
        <row r="205">
          <cell r="C205">
            <v>43125.38</v>
          </cell>
        </row>
        <row r="206">
          <cell r="C206">
            <v>176892.2019125683</v>
          </cell>
        </row>
        <row r="207">
          <cell r="C207">
            <v>134482.25955165693</v>
          </cell>
        </row>
        <row r="208">
          <cell r="C208">
            <v>61944.089333333322</v>
          </cell>
        </row>
        <row r="209">
          <cell r="C209">
            <v>63992.408333333333</v>
          </cell>
        </row>
        <row r="210">
          <cell r="C210">
            <v>7144.356296296296</v>
          </cell>
        </row>
        <row r="211">
          <cell r="C211">
            <v>9023.5640789473691</v>
          </cell>
        </row>
        <row r="212">
          <cell r="C212">
            <v>19009.64441780822</v>
          </cell>
        </row>
        <row r="213">
          <cell r="C213">
            <v>63457.136212121215</v>
          </cell>
        </row>
        <row r="214">
          <cell r="C214">
            <v>27759.177948717952</v>
          </cell>
        </row>
        <row r="215">
          <cell r="C215">
            <v>26302.981735159818</v>
          </cell>
        </row>
        <row r="216">
          <cell r="C216">
            <v>5938.7008695652166</v>
          </cell>
        </row>
        <row r="217">
          <cell r="C217">
            <v>7318.7627314814808</v>
          </cell>
        </row>
        <row r="218">
          <cell r="C218">
            <v>133236.15722222222</v>
          </cell>
        </row>
        <row r="219">
          <cell r="C219">
            <v>5052.8727083333342</v>
          </cell>
        </row>
        <row r="220">
          <cell r="C220">
            <v>9724.9561776061801</v>
          </cell>
        </row>
        <row r="221">
          <cell r="C221">
            <v>9237.2617721518982</v>
          </cell>
        </row>
        <row r="222">
          <cell r="C222">
            <v>9846.5387499999997</v>
          </cell>
        </row>
        <row r="223">
          <cell r="C223">
            <v>16429.064166666663</v>
          </cell>
        </row>
        <row r="224">
          <cell r="C224">
            <v>203622.90168831171</v>
          </cell>
        </row>
        <row r="225">
          <cell r="C225">
            <v>4513.7940160642565</v>
          </cell>
        </row>
        <row r="226">
          <cell r="C226">
            <v>5266.2719753086421</v>
          </cell>
        </row>
        <row r="227">
          <cell r="C227">
            <v>12393.154658119658</v>
          </cell>
        </row>
        <row r="228">
          <cell r="C228">
            <v>12300.346363636363</v>
          </cell>
        </row>
        <row r="229">
          <cell r="C229">
            <v>4008.7221794871789</v>
          </cell>
        </row>
        <row r="230">
          <cell r="C230">
            <v>21916.016764705884</v>
          </cell>
        </row>
        <row r="231">
          <cell r="C231">
            <v>88041.024794520548</v>
          </cell>
        </row>
        <row r="232">
          <cell r="C232">
            <v>11969.433580246912</v>
          </cell>
        </row>
        <row r="233">
          <cell r="C233">
            <v>13963.194675324676</v>
          </cell>
        </row>
        <row r="234">
          <cell r="C234">
            <v>16982.100779220782</v>
          </cell>
        </row>
        <row r="235">
          <cell r="C235">
            <v>12373.296527777777</v>
          </cell>
        </row>
        <row r="236">
          <cell r="C236">
            <v>14432.888421052632</v>
          </cell>
        </row>
        <row r="237">
          <cell r="C237">
            <v>20144.698311688313</v>
          </cell>
        </row>
        <row r="238">
          <cell r="C238">
            <v>14372.607741935482</v>
          </cell>
        </row>
        <row r="239">
          <cell r="C239">
            <v>71130.218550724647</v>
          </cell>
        </row>
        <row r="240">
          <cell r="C240">
            <v>17471.95461538462</v>
          </cell>
        </row>
        <row r="241">
          <cell r="C241">
            <v>44252.610972222225</v>
          </cell>
        </row>
        <row r="242">
          <cell r="C242">
            <v>158737.86322793149</v>
          </cell>
        </row>
        <row r="243">
          <cell r="C243">
            <v>92100.572236842127</v>
          </cell>
        </row>
        <row r="244">
          <cell r="C244">
            <v>3697.8804870129875</v>
          </cell>
        </row>
        <row r="245">
          <cell r="C245">
            <v>14717.819857142857</v>
          </cell>
        </row>
        <row r="246">
          <cell r="C246">
            <v>60753.42418367348</v>
          </cell>
        </row>
        <row r="247">
          <cell r="C247">
            <v>21844.312857142857</v>
          </cell>
        </row>
        <row r="248">
          <cell r="C248">
            <v>12524.767971014497</v>
          </cell>
        </row>
        <row r="249">
          <cell r="C249">
            <v>8359.2275000000009</v>
          </cell>
        </row>
        <row r="250">
          <cell r="C250">
            <v>246662.05359999998</v>
          </cell>
        </row>
        <row r="251">
          <cell r="C251">
            <v>6768.899124999999</v>
          </cell>
        </row>
        <row r="252">
          <cell r="C252">
            <v>2424.4907539682545</v>
          </cell>
        </row>
        <row r="253">
          <cell r="C253">
            <v>13652.802077922079</v>
          </cell>
        </row>
        <row r="254">
          <cell r="C254">
            <v>90573.475753424646</v>
          </cell>
        </row>
        <row r="255">
          <cell r="C255">
            <v>118643.61518072287</v>
          </cell>
        </row>
        <row r="256">
          <cell r="C256">
            <v>13727.475720164608</v>
          </cell>
        </row>
        <row r="257">
          <cell r="C257">
            <v>86224.81779279279</v>
          </cell>
        </row>
        <row r="258">
          <cell r="C258">
            <v>23662.073064516131</v>
          </cell>
        </row>
        <row r="259">
          <cell r="C259">
            <v>39686.843918575076</v>
          </cell>
        </row>
        <row r="260">
          <cell r="C260">
            <v>36429.778873239433</v>
          </cell>
        </row>
        <row r="261">
          <cell r="C261">
            <v>11092.867583333333</v>
          </cell>
        </row>
        <row r="262">
          <cell r="C262">
            <v>79675.83</v>
          </cell>
        </row>
        <row r="263">
          <cell r="C263">
            <v>36504.775588235294</v>
          </cell>
        </row>
        <row r="264">
          <cell r="C264">
            <v>85344.541363636366</v>
          </cell>
        </row>
        <row r="265">
          <cell r="C265">
            <v>46698.811277777771</v>
          </cell>
        </row>
        <row r="266">
          <cell r="C266">
            <v>136402.77030769232</v>
          </cell>
        </row>
        <row r="267">
          <cell r="C267">
            <v>102583.41574358974</v>
          </cell>
        </row>
        <row r="268">
          <cell r="C268">
            <v>762445.16588235286</v>
          </cell>
        </row>
        <row r="269">
          <cell r="C269">
            <v>10955.91814814815</v>
          </cell>
        </row>
        <row r="270">
          <cell r="C270">
            <v>17885.432686567161</v>
          </cell>
        </row>
        <row r="271">
          <cell r="C271">
            <v>46763.12603092783</v>
          </cell>
        </row>
        <row r="272">
          <cell r="C272">
            <v>269128.75712823507</v>
          </cell>
        </row>
        <row r="273">
          <cell r="C273">
            <v>28965.792761904762</v>
          </cell>
        </row>
        <row r="274">
          <cell r="C274">
            <v>355898.72514285718</v>
          </cell>
        </row>
        <row r="275">
          <cell r="C275">
            <v>184082.76117647055</v>
          </cell>
        </row>
        <row r="276">
          <cell r="C276">
            <v>164555.95811594205</v>
          </cell>
        </row>
        <row r="277">
          <cell r="C277">
            <v>127106.22217171718</v>
          </cell>
        </row>
        <row r="278">
          <cell r="C278">
            <v>79120.74528169015</v>
          </cell>
        </row>
        <row r="279">
          <cell r="C279">
            <v>1142059.586051282</v>
          </cell>
        </row>
        <row r="280">
          <cell r="C280">
            <v>338249.0701666667</v>
          </cell>
        </row>
        <row r="281">
          <cell r="C281">
            <v>693156.74124999996</v>
          </cell>
        </row>
        <row r="282">
          <cell r="C282">
            <v>976839.63723684219</v>
          </cell>
        </row>
        <row r="283">
          <cell r="C283">
            <v>37197.97126760563</v>
          </cell>
        </row>
        <row r="284">
          <cell r="C284">
            <v>10777.690131578949</v>
          </cell>
        </row>
        <row r="285">
          <cell r="C285">
            <v>6482.7722393822396</v>
          </cell>
        </row>
        <row r="286">
          <cell r="C286">
            <v>21977.410303030305</v>
          </cell>
        </row>
        <row r="287">
          <cell r="C287">
            <v>23661.341690140842</v>
          </cell>
        </row>
        <row r="288">
          <cell r="C288">
            <v>9481.5466666666634</v>
          </cell>
        </row>
        <row r="289">
          <cell r="C289">
            <v>3375.4056962025325</v>
          </cell>
        </row>
        <row r="290">
          <cell r="C290">
            <v>32349.342000000001</v>
          </cell>
        </row>
        <row r="291">
          <cell r="C291">
            <v>10200.577848101264</v>
          </cell>
        </row>
        <row r="292">
          <cell r="C292">
            <v>7836.9853164556971</v>
          </cell>
        </row>
        <row r="293">
          <cell r="C293">
            <v>3965.4814814814822</v>
          </cell>
        </row>
        <row r="294">
          <cell r="C294">
            <v>21603.148082191776</v>
          </cell>
        </row>
        <row r="295">
          <cell r="C295">
            <v>10115.447866666666</v>
          </cell>
        </row>
        <row r="296">
          <cell r="C296">
            <v>17475.442962962959</v>
          </cell>
        </row>
        <row r="297">
          <cell r="C297">
            <v>5665.6146913580242</v>
          </cell>
        </row>
        <row r="298">
          <cell r="C298">
            <v>37619.371576923077</v>
          </cell>
        </row>
        <row r="299">
          <cell r="C299">
            <v>5399.502592592592</v>
          </cell>
        </row>
        <row r="300">
          <cell r="C300">
            <v>11911.353243243244</v>
          </cell>
        </row>
        <row r="301">
          <cell r="C301">
            <v>5348.3883544303808</v>
          </cell>
        </row>
        <row r="302">
          <cell r="C302">
            <v>27563.954929577467</v>
          </cell>
        </row>
        <row r="303">
          <cell r="C303">
            <v>6002.0193150684927</v>
          </cell>
        </row>
        <row r="304">
          <cell r="C304">
            <v>17258.460214285715</v>
          </cell>
        </row>
        <row r="305">
          <cell r="C305">
            <v>5852.6869444444428</v>
          </cell>
        </row>
        <row r="306">
          <cell r="C306">
            <v>12202.115733333332</v>
          </cell>
        </row>
        <row r="307">
          <cell r="C307">
            <v>8278.3758441558457</v>
          </cell>
        </row>
        <row r="308">
          <cell r="C308">
            <v>22135.641944444447</v>
          </cell>
        </row>
        <row r="309">
          <cell r="C309">
            <v>7563.0520253164568</v>
          </cell>
        </row>
        <row r="310">
          <cell r="C310">
            <v>4858.9101666666666</v>
          </cell>
        </row>
        <row r="311">
          <cell r="C311">
            <v>2984.3882040816329</v>
          </cell>
        </row>
        <row r="312">
          <cell r="C312">
            <v>788422.31346405216</v>
          </cell>
        </row>
        <row r="313">
          <cell r="C313">
            <v>95122.764246575331</v>
          </cell>
        </row>
      </sheetData>
      <sheetData sheetId="6">
        <row r="11">
          <cell r="G11">
            <v>5210182.734449177</v>
          </cell>
        </row>
        <row r="12">
          <cell r="G12">
            <v>3363248.323230288</v>
          </cell>
        </row>
        <row r="13">
          <cell r="G13">
            <v>206354.19600788265</v>
          </cell>
        </row>
        <row r="14">
          <cell r="G14">
            <v>309847.84535203007</v>
          </cell>
        </row>
        <row r="15">
          <cell r="G15">
            <v>1312105.8004444193</v>
          </cell>
        </row>
        <row r="16">
          <cell r="G16">
            <v>386576.126299511</v>
          </cell>
        </row>
        <row r="17">
          <cell r="G17">
            <v>1730472.4034701895</v>
          </cell>
        </row>
        <row r="18">
          <cell r="G18">
            <v>773752.70598031348</v>
          </cell>
        </row>
        <row r="19">
          <cell r="G19">
            <v>8030699.6367016761</v>
          </cell>
        </row>
        <row r="20">
          <cell r="G20">
            <v>749270.30253441597</v>
          </cell>
        </row>
        <row r="21">
          <cell r="G21">
            <v>1518692.2547864781</v>
          </cell>
        </row>
        <row r="22">
          <cell r="G22">
            <v>415965.80905807531</v>
          </cell>
        </row>
        <row r="23">
          <cell r="G23">
            <v>932862.73318605835</v>
          </cell>
        </row>
        <row r="24">
          <cell r="G24">
            <v>3791454.8488014084</v>
          </cell>
        </row>
        <row r="25">
          <cell r="G25">
            <v>763324.50122795452</v>
          </cell>
        </row>
        <row r="26">
          <cell r="G26">
            <v>1261252.481074976</v>
          </cell>
        </row>
        <row r="27">
          <cell r="G27">
            <v>5495655.2422491331</v>
          </cell>
        </row>
        <row r="28">
          <cell r="G28">
            <v>288962.9304933555</v>
          </cell>
        </row>
        <row r="29">
          <cell r="G29">
            <v>141611.621543285</v>
          </cell>
        </row>
        <row r="30">
          <cell r="G30">
            <v>750863.6899306674</v>
          </cell>
        </row>
        <row r="31">
          <cell r="G31">
            <v>1651467.7306426382</v>
          </cell>
        </row>
        <row r="32">
          <cell r="G32">
            <v>2544465.6345609678</v>
          </cell>
        </row>
        <row r="33">
          <cell r="G33">
            <v>1221259.428748192</v>
          </cell>
        </row>
        <row r="34">
          <cell r="G34">
            <v>263414.67188112694</v>
          </cell>
        </row>
        <row r="35">
          <cell r="G35">
            <v>247706.05778232383</v>
          </cell>
        </row>
        <row r="36">
          <cell r="G36">
            <v>214375.62526318911</v>
          </cell>
        </row>
        <row r="37">
          <cell r="G37">
            <v>260908.09810291277</v>
          </cell>
        </row>
        <row r="38">
          <cell r="G38">
            <v>701586.47045881464</v>
          </cell>
        </row>
        <row r="39">
          <cell r="G39">
            <v>391084.93466867734</v>
          </cell>
        </row>
        <row r="40">
          <cell r="G40">
            <v>267489.26799732901</v>
          </cell>
        </row>
        <row r="41">
          <cell r="G41">
            <v>216533.2693914524</v>
          </cell>
        </row>
        <row r="42">
          <cell r="G42">
            <v>2399546.927846753</v>
          </cell>
        </row>
        <row r="43">
          <cell r="G43">
            <v>1426049.3645792538</v>
          </cell>
        </row>
        <row r="44">
          <cell r="G44">
            <v>711571.36706510419</v>
          </cell>
        </row>
        <row r="45">
          <cell r="G45">
            <v>2037221.4122604332</v>
          </cell>
        </row>
        <row r="46">
          <cell r="G46">
            <v>349507.03270198748</v>
          </cell>
        </row>
        <row r="47">
          <cell r="G47">
            <v>251455.84549740131</v>
          </cell>
        </row>
        <row r="48">
          <cell r="G48">
            <v>550039.27916090284</v>
          </cell>
        </row>
        <row r="49">
          <cell r="G49">
            <v>276544.39006338036</v>
          </cell>
        </row>
        <row r="50">
          <cell r="G50">
            <v>57568.798438988684</v>
          </cell>
        </row>
        <row r="51">
          <cell r="G51">
            <v>185586.88402302933</v>
          </cell>
        </row>
        <row r="52">
          <cell r="G52">
            <v>2376203.484886907</v>
          </cell>
        </row>
        <row r="53">
          <cell r="G53">
            <v>310612.24945534987</v>
          </cell>
        </row>
        <row r="54">
          <cell r="G54">
            <v>278749.01581062691</v>
          </cell>
        </row>
        <row r="55">
          <cell r="G55">
            <v>700785.77377627359</v>
          </cell>
        </row>
        <row r="56">
          <cell r="G56">
            <v>141967.30386319666</v>
          </cell>
        </row>
        <row r="57">
          <cell r="G57">
            <v>1061436.451057265</v>
          </cell>
        </row>
        <row r="58">
          <cell r="G58">
            <v>193994.36435640976</v>
          </cell>
        </row>
        <row r="59">
          <cell r="G59">
            <v>639892.83112841076</v>
          </cell>
        </row>
        <row r="60">
          <cell r="G60">
            <v>293679.87148010277</v>
          </cell>
        </row>
        <row r="61">
          <cell r="G61">
            <v>843730.0911818879</v>
          </cell>
        </row>
        <row r="62">
          <cell r="G62">
            <v>262880.14328380494</v>
          </cell>
        </row>
        <row r="63">
          <cell r="G63">
            <v>25736.907577120735</v>
          </cell>
        </row>
        <row r="64">
          <cell r="G64">
            <v>1570361.6297983322</v>
          </cell>
        </row>
        <row r="65">
          <cell r="G65">
            <v>131878.4508339646</v>
          </cell>
        </row>
        <row r="66">
          <cell r="G66">
            <v>220551.92219936699</v>
          </cell>
        </row>
        <row r="67">
          <cell r="G67">
            <v>7340039.4074617838</v>
          </cell>
        </row>
        <row r="68">
          <cell r="G68">
            <v>242137.76610591757</v>
          </cell>
        </row>
        <row r="69">
          <cell r="G69">
            <v>642545.25952480326</v>
          </cell>
        </row>
        <row r="70">
          <cell r="G70">
            <v>1618766.1317854149</v>
          </cell>
        </row>
        <row r="71">
          <cell r="G71">
            <v>1091070.6673668462</v>
          </cell>
        </row>
        <row r="72">
          <cell r="G72">
            <v>447943.86973845272</v>
          </cell>
        </row>
        <row r="73">
          <cell r="G73">
            <v>1422827.2713115686</v>
          </cell>
        </row>
        <row r="74">
          <cell r="G74">
            <v>346859.86367175484</v>
          </cell>
        </row>
        <row r="75">
          <cell r="G75">
            <v>118721.49939178079</v>
          </cell>
        </row>
        <row r="76">
          <cell r="G76">
            <v>684993.50740045612</v>
          </cell>
        </row>
        <row r="77">
          <cell r="G77">
            <v>1957398.4933915893</v>
          </cell>
        </row>
        <row r="78">
          <cell r="G78">
            <v>858907.2064305495</v>
          </cell>
        </row>
        <row r="79">
          <cell r="G79">
            <v>675584.38176823943</v>
          </cell>
        </row>
        <row r="80">
          <cell r="G80">
            <v>387219.92201140331</v>
          </cell>
        </row>
        <row r="81">
          <cell r="G81">
            <v>662454.70101008017</v>
          </cell>
        </row>
        <row r="82">
          <cell r="G82">
            <v>519668.40642261767</v>
          </cell>
        </row>
        <row r="83">
          <cell r="G83">
            <v>1780765.3706982615</v>
          </cell>
        </row>
        <row r="84">
          <cell r="G84">
            <v>3523749.6576180104</v>
          </cell>
        </row>
        <row r="85">
          <cell r="G85">
            <v>501645.79719286674</v>
          </cell>
        </row>
        <row r="86">
          <cell r="G86">
            <v>841136.7875817311</v>
          </cell>
        </row>
        <row r="87">
          <cell r="G87">
            <v>386034.38730608206</v>
          </cell>
        </row>
        <row r="88">
          <cell r="G88">
            <v>1435787.4356365625</v>
          </cell>
        </row>
        <row r="89">
          <cell r="G89">
            <v>708372.79663292412</v>
          </cell>
        </row>
        <row r="90">
          <cell r="G90">
            <v>356784.05327943969</v>
          </cell>
        </row>
        <row r="91">
          <cell r="G91">
            <v>311821.76237022487</v>
          </cell>
        </row>
        <row r="92">
          <cell r="G92">
            <v>222404.58966746629</v>
          </cell>
        </row>
        <row r="93">
          <cell r="G93">
            <v>406892.42727201473</v>
          </cell>
        </row>
        <row r="94">
          <cell r="G94">
            <v>178875.26936963401</v>
          </cell>
        </row>
        <row r="95">
          <cell r="G95">
            <v>378617.11284527974</v>
          </cell>
        </row>
        <row r="96">
          <cell r="G96">
            <v>579918.97061039484</v>
          </cell>
        </row>
        <row r="97">
          <cell r="G97">
            <v>544086.43591579422</v>
          </cell>
        </row>
        <row r="98">
          <cell r="G98">
            <v>1030342.6488717753</v>
          </cell>
        </row>
        <row r="99">
          <cell r="G99">
            <v>657867.69844688755</v>
          </cell>
        </row>
        <row r="100">
          <cell r="G100">
            <v>280841.76954863907</v>
          </cell>
        </row>
        <row r="101">
          <cell r="G101">
            <v>336484.05356612243</v>
          </cell>
        </row>
        <row r="102">
          <cell r="G102">
            <v>663247.85970694618</v>
          </cell>
        </row>
        <row r="103">
          <cell r="G103">
            <v>674307.47285226046</v>
          </cell>
        </row>
        <row r="104">
          <cell r="G104">
            <v>245007.34307380195</v>
          </cell>
        </row>
        <row r="105">
          <cell r="G105">
            <v>206288.48251945456</v>
          </cell>
        </row>
        <row r="106">
          <cell r="G106">
            <v>98355.440150835449</v>
          </cell>
        </row>
        <row r="107">
          <cell r="G107">
            <v>364295.37595705438</v>
          </cell>
        </row>
        <row r="108">
          <cell r="G108">
            <v>122977.11239867072</v>
          </cell>
        </row>
        <row r="109">
          <cell r="G109">
            <v>2986318.0711518014</v>
          </cell>
        </row>
        <row r="110">
          <cell r="G110">
            <v>122221.8768923741</v>
          </cell>
        </row>
        <row r="111">
          <cell r="G111">
            <v>61475.003017297793</v>
          </cell>
        </row>
        <row r="112">
          <cell r="G112">
            <v>33260.098682379146</v>
          </cell>
        </row>
        <row r="113">
          <cell r="G113">
            <v>361511.26226493128</v>
          </cell>
        </row>
        <row r="114">
          <cell r="G114">
            <v>168501.83347285248</v>
          </cell>
        </row>
        <row r="115">
          <cell r="G115">
            <v>2665555.4979151306</v>
          </cell>
        </row>
        <row r="116">
          <cell r="G116">
            <v>434211.14091728063</v>
          </cell>
        </row>
        <row r="117">
          <cell r="G117">
            <v>3272414.9370178939</v>
          </cell>
        </row>
        <row r="118">
          <cell r="G118">
            <v>3062948.4990868662</v>
          </cell>
        </row>
        <row r="119">
          <cell r="G119">
            <v>6044271.6497843657</v>
          </cell>
        </row>
        <row r="120">
          <cell r="G120">
            <v>8434738.2742269207</v>
          </cell>
        </row>
        <row r="121">
          <cell r="G121">
            <v>7887589.3596754055</v>
          </cell>
        </row>
        <row r="122">
          <cell r="G122">
            <v>108920136.56291933</v>
          </cell>
        </row>
        <row r="123">
          <cell r="G123">
            <v>7555978.8820711616</v>
          </cell>
        </row>
        <row r="124">
          <cell r="G124">
            <v>3415240.8549245796</v>
          </cell>
        </row>
        <row r="125">
          <cell r="G125">
            <v>7233589.5168114295</v>
          </cell>
        </row>
        <row r="126">
          <cell r="G126">
            <v>39946403.184118681</v>
          </cell>
        </row>
        <row r="127">
          <cell r="G127">
            <v>10244932.356363542</v>
          </cell>
        </row>
        <row r="128">
          <cell r="G128">
            <v>2028734.5267953984</v>
          </cell>
        </row>
        <row r="129">
          <cell r="G129">
            <v>1945355.1326032868</v>
          </cell>
        </row>
        <row r="130">
          <cell r="G130">
            <v>1284917.0365128051</v>
          </cell>
        </row>
        <row r="131">
          <cell r="G131">
            <v>20721620.896863993</v>
          </cell>
        </row>
        <row r="132">
          <cell r="G132">
            <v>1665842.003055369</v>
          </cell>
        </row>
        <row r="133">
          <cell r="G133">
            <v>219028.34569907488</v>
          </cell>
        </row>
        <row r="134">
          <cell r="G134">
            <v>406706.50426759897</v>
          </cell>
        </row>
        <row r="135">
          <cell r="G135">
            <v>2637448.846702815</v>
          </cell>
        </row>
        <row r="136">
          <cell r="G136">
            <v>7124988.4752306249</v>
          </cell>
        </row>
        <row r="137">
          <cell r="G137">
            <v>572991.88423543901</v>
          </cell>
        </row>
        <row r="138">
          <cell r="G138">
            <v>529390.18377926096</v>
          </cell>
        </row>
        <row r="139">
          <cell r="G139">
            <v>2783607.0210639983</v>
          </cell>
        </row>
        <row r="140">
          <cell r="G140">
            <v>7778192.9398488672</v>
          </cell>
        </row>
        <row r="141">
          <cell r="G141">
            <v>290489.98598669027</v>
          </cell>
        </row>
        <row r="142">
          <cell r="G142">
            <v>4532938.7334451936</v>
          </cell>
        </row>
        <row r="143">
          <cell r="G143">
            <v>467814.25288006134</v>
          </cell>
        </row>
        <row r="144">
          <cell r="G144">
            <v>150763.45955791863</v>
          </cell>
        </row>
        <row r="145">
          <cell r="G145">
            <v>1105993.3915390924</v>
          </cell>
        </row>
        <row r="146">
          <cell r="G146">
            <v>1244384.0841051333</v>
          </cell>
        </row>
        <row r="147">
          <cell r="G147">
            <v>3100696.3006851585</v>
          </cell>
        </row>
        <row r="148">
          <cell r="G148">
            <v>3585007.2110498417</v>
          </cell>
        </row>
        <row r="149">
          <cell r="G149">
            <v>9118647.4423422944</v>
          </cell>
        </row>
        <row r="150">
          <cell r="G150">
            <v>3759596.492169857</v>
          </cell>
        </row>
        <row r="151">
          <cell r="G151">
            <v>666471.21109418862</v>
          </cell>
        </row>
        <row r="152">
          <cell r="G152">
            <v>4319933.9244946996</v>
          </cell>
        </row>
        <row r="153">
          <cell r="G153">
            <v>869096.13799074583</v>
          </cell>
        </row>
        <row r="154">
          <cell r="G154">
            <v>1736633.7301760232</v>
          </cell>
        </row>
        <row r="155">
          <cell r="G155">
            <v>17047853.214152928</v>
          </cell>
        </row>
        <row r="156">
          <cell r="G156">
            <v>4895220.5829126667</v>
          </cell>
        </row>
        <row r="157">
          <cell r="G157">
            <v>288479.23813299288</v>
          </cell>
        </row>
        <row r="158">
          <cell r="G158">
            <v>629782.76944932796</v>
          </cell>
        </row>
        <row r="159">
          <cell r="G159">
            <v>9279074.7527597435</v>
          </cell>
        </row>
        <row r="160">
          <cell r="G160">
            <v>9512323.221918229</v>
          </cell>
        </row>
        <row r="161">
          <cell r="G161">
            <v>2068987.3541509476</v>
          </cell>
        </row>
        <row r="162">
          <cell r="G162">
            <v>7368678.8639374375</v>
          </cell>
        </row>
        <row r="163">
          <cell r="G163">
            <v>1184718.7729052808</v>
          </cell>
        </row>
        <row r="164">
          <cell r="G164">
            <v>586267.14705282368</v>
          </cell>
        </row>
        <row r="165">
          <cell r="G165">
            <v>2520648.8416742105</v>
          </cell>
        </row>
        <row r="166">
          <cell r="G166">
            <v>292261.14718037349</v>
          </cell>
        </row>
        <row r="167">
          <cell r="G167">
            <v>1510281.1106004845</v>
          </cell>
        </row>
        <row r="168">
          <cell r="G168">
            <v>154082.96105970879</v>
          </cell>
        </row>
        <row r="169">
          <cell r="G169">
            <v>116096.59945191049</v>
          </cell>
        </row>
        <row r="170">
          <cell r="G170">
            <v>84311.882415610526</v>
          </cell>
        </row>
        <row r="171">
          <cell r="G171">
            <v>154560.57103144846</v>
          </cell>
        </row>
        <row r="172">
          <cell r="G172">
            <v>120548.36113394867</v>
          </cell>
        </row>
        <row r="173">
          <cell r="G173">
            <v>168896.91571658928</v>
          </cell>
        </row>
        <row r="174">
          <cell r="G174">
            <v>47327.537415906518</v>
          </cell>
        </row>
        <row r="175">
          <cell r="G175">
            <v>1895615.4201690583</v>
          </cell>
        </row>
        <row r="176">
          <cell r="G176">
            <v>2606363.9719164721</v>
          </cell>
        </row>
        <row r="177">
          <cell r="G177">
            <v>129427.79098761189</v>
          </cell>
        </row>
        <row r="178">
          <cell r="G178">
            <v>71550.125481803349</v>
          </cell>
        </row>
        <row r="179">
          <cell r="G179">
            <v>45523.841383246661</v>
          </cell>
        </row>
        <row r="180">
          <cell r="G180">
            <v>40409.612180245524</v>
          </cell>
        </row>
        <row r="181">
          <cell r="G181">
            <v>123206.37203302459</v>
          </cell>
        </row>
        <row r="182">
          <cell r="G182">
            <v>285682.93876971729</v>
          </cell>
        </row>
        <row r="183">
          <cell r="G183">
            <v>1208818.6463697727</v>
          </cell>
        </row>
        <row r="184">
          <cell r="G184">
            <v>216223.94082308756</v>
          </cell>
        </row>
        <row r="185">
          <cell r="G185">
            <v>3864330.6578436852</v>
          </cell>
        </row>
        <row r="186">
          <cell r="G186">
            <v>1041922.7659929006</v>
          </cell>
        </row>
        <row r="187">
          <cell r="G187">
            <v>2842775.7944342764</v>
          </cell>
        </row>
        <row r="188">
          <cell r="G188">
            <v>995166.48959438351</v>
          </cell>
        </row>
        <row r="189">
          <cell r="G189">
            <v>1591318.1194359257</v>
          </cell>
        </row>
        <row r="190">
          <cell r="G190">
            <v>1808981.2649503581</v>
          </cell>
        </row>
        <row r="191">
          <cell r="G191">
            <v>1525222.8267562927</v>
          </cell>
        </row>
        <row r="192">
          <cell r="G192">
            <v>2479999.2615934224</v>
          </cell>
        </row>
        <row r="193">
          <cell r="G193">
            <v>4001536.115234836</v>
          </cell>
        </row>
        <row r="194">
          <cell r="G194">
            <v>6641777.1852600537</v>
          </cell>
        </row>
        <row r="195">
          <cell r="G195">
            <v>11800015.109192647</v>
          </cell>
        </row>
        <row r="196">
          <cell r="G196">
            <v>8691804.7284708247</v>
          </cell>
        </row>
        <row r="197">
          <cell r="G197">
            <v>1425891.9622207661</v>
          </cell>
        </row>
        <row r="198">
          <cell r="G198">
            <v>1501101.4297484469</v>
          </cell>
        </row>
        <row r="199">
          <cell r="G199">
            <v>6377633.2673162641</v>
          </cell>
        </row>
        <row r="200">
          <cell r="G200">
            <v>9407615.2036280688</v>
          </cell>
        </row>
        <row r="201">
          <cell r="G201">
            <v>4653862.9081177805</v>
          </cell>
        </row>
        <row r="202">
          <cell r="G202">
            <v>4110896.608271278</v>
          </cell>
        </row>
        <row r="203">
          <cell r="G203">
            <v>2187813.2407735381</v>
          </cell>
        </row>
        <row r="204">
          <cell r="G204">
            <v>17563431.432870831</v>
          </cell>
        </row>
        <row r="205">
          <cell r="G205">
            <v>395265.79968694906</v>
          </cell>
        </row>
        <row r="206">
          <cell r="G206">
            <v>22008010.394518293</v>
          </cell>
        </row>
        <row r="207">
          <cell r="G207">
            <v>32170875.128055278</v>
          </cell>
        </row>
        <row r="208">
          <cell r="G208">
            <v>9151696.6750882342</v>
          </cell>
        </row>
        <row r="209">
          <cell r="G209">
            <v>1135514.1320744064</v>
          </cell>
        </row>
        <row r="210">
          <cell r="G210">
            <v>1784026.97135776</v>
          </cell>
        </row>
        <row r="211">
          <cell r="G211">
            <v>988563.30745556601</v>
          </cell>
        </row>
        <row r="212">
          <cell r="G212">
            <v>5390006.77563449</v>
          </cell>
        </row>
        <row r="213">
          <cell r="G213">
            <v>3494413.993921712</v>
          </cell>
        </row>
        <row r="214">
          <cell r="G214">
            <v>1281018.5246417532</v>
          </cell>
        </row>
        <row r="215">
          <cell r="G215">
            <v>1336258.4581317299</v>
          </cell>
        </row>
        <row r="216">
          <cell r="G216">
            <v>128829.49801022008</v>
          </cell>
        </row>
        <row r="217">
          <cell r="G217">
            <v>166023.15167257306</v>
          </cell>
        </row>
        <row r="218">
          <cell r="G218">
            <v>388144.42471080861</v>
          </cell>
        </row>
        <row r="219">
          <cell r="G219">
            <v>1645790.0207955574</v>
          </cell>
        </row>
        <row r="220">
          <cell r="G220">
            <v>523058.70162877341</v>
          </cell>
        </row>
        <row r="221">
          <cell r="G221">
            <v>491285.32843917364</v>
          </cell>
        </row>
        <row r="222">
          <cell r="G222">
            <v>94332.197466748679</v>
          </cell>
        </row>
        <row r="223">
          <cell r="G223">
            <v>123795.88284568535</v>
          </cell>
        </row>
        <row r="224">
          <cell r="G224">
            <v>2571598.1346419598</v>
          </cell>
        </row>
        <row r="225">
          <cell r="G225">
            <v>77966.649104431359</v>
          </cell>
        </row>
        <row r="226">
          <cell r="G226">
            <v>167561.08822422492</v>
          </cell>
        </row>
        <row r="227">
          <cell r="G227">
            <v>138621.41611477477</v>
          </cell>
        </row>
        <row r="228">
          <cell r="G228">
            <v>201685.79863653483</v>
          </cell>
        </row>
        <row r="229">
          <cell r="G229">
            <v>269757.22788697167</v>
          </cell>
        </row>
        <row r="230">
          <cell r="G230">
            <v>4213510.0680503491</v>
          </cell>
        </row>
        <row r="231">
          <cell r="G231">
            <v>96198.371629264817</v>
          </cell>
        </row>
        <row r="232">
          <cell r="G232">
            <v>89865.879315744372</v>
          </cell>
        </row>
        <row r="233">
          <cell r="G233">
            <v>198380.46947498462</v>
          </cell>
        </row>
        <row r="234">
          <cell r="G234">
            <v>252542.98191184737</v>
          </cell>
        </row>
        <row r="235">
          <cell r="G235">
            <v>62495.94970040935</v>
          </cell>
        </row>
        <row r="236">
          <cell r="G236">
            <v>351134.31905957498</v>
          </cell>
        </row>
        <row r="237">
          <cell r="G237">
            <v>2288638.4919502418</v>
          </cell>
        </row>
        <row r="238">
          <cell r="G238">
            <v>225929.08548712567</v>
          </cell>
        </row>
        <row r="239">
          <cell r="G239">
            <v>252685.96149867956</v>
          </cell>
        </row>
        <row r="240">
          <cell r="G240">
            <v>294991.75356166507</v>
          </cell>
        </row>
        <row r="241">
          <cell r="G241">
            <v>231442.62027811864</v>
          </cell>
        </row>
        <row r="242">
          <cell r="G242">
            <v>333771.81783047819</v>
          </cell>
        </row>
        <row r="243">
          <cell r="G243">
            <v>356510.59103289084</v>
          </cell>
        </row>
        <row r="244">
          <cell r="G244">
            <v>219484.49404045855</v>
          </cell>
        </row>
        <row r="245">
          <cell r="G245">
            <v>1267341.143629571</v>
          </cell>
        </row>
        <row r="246">
          <cell r="G246">
            <v>266904.68023783161</v>
          </cell>
        </row>
        <row r="247">
          <cell r="G247">
            <v>740529.7434254376</v>
          </cell>
        </row>
        <row r="248">
          <cell r="G248">
            <v>3014928.6689878069</v>
          </cell>
        </row>
        <row r="249">
          <cell r="G249">
            <v>1533111.8792992453</v>
          </cell>
        </row>
        <row r="250">
          <cell r="G250">
            <v>85540.196112842095</v>
          </cell>
        </row>
        <row r="251">
          <cell r="G251">
            <v>236276.66440006034</v>
          </cell>
        </row>
        <row r="252">
          <cell r="G252">
            <v>1321205.9238283176</v>
          </cell>
        </row>
        <row r="253">
          <cell r="G253">
            <v>344885.36966232589</v>
          </cell>
        </row>
        <row r="254">
          <cell r="G254">
            <v>216048.28321543051</v>
          </cell>
        </row>
        <row r="255">
          <cell r="G255">
            <v>124621.84411293354</v>
          </cell>
        </row>
        <row r="256">
          <cell r="G256">
            <v>4231175.2014104445</v>
          </cell>
        </row>
        <row r="257">
          <cell r="G257">
            <v>109589.40734711097</v>
          </cell>
        </row>
        <row r="258">
          <cell r="G258">
            <v>51598.7842645317</v>
          </cell>
        </row>
        <row r="259">
          <cell r="G259">
            <v>241388.55564379145</v>
          </cell>
        </row>
        <row r="260">
          <cell r="G260">
            <v>1625782.543091658</v>
          </cell>
        </row>
        <row r="261">
          <cell r="G261">
            <v>2084887.5131062164</v>
          </cell>
        </row>
        <row r="262">
          <cell r="G262">
            <v>225562.52392227901</v>
          </cell>
        </row>
        <row r="263">
          <cell r="G263">
            <v>3358896.2963533308</v>
          </cell>
        </row>
        <row r="264">
          <cell r="G264">
            <v>574358.11985506513</v>
          </cell>
        </row>
        <row r="265">
          <cell r="G265">
            <v>1169762.0125436024</v>
          </cell>
        </row>
        <row r="266">
          <cell r="G266">
            <v>716199.57109592855</v>
          </cell>
        </row>
        <row r="267">
          <cell r="G267">
            <v>260699.07416849735</v>
          </cell>
        </row>
        <row r="268">
          <cell r="G268">
            <v>2423509.0171489548</v>
          </cell>
        </row>
        <row r="269">
          <cell r="G269">
            <v>634079.35806197778</v>
          </cell>
        </row>
        <row r="270">
          <cell r="G270">
            <v>1813931.7549246312</v>
          </cell>
        </row>
        <row r="271">
          <cell r="G271">
            <v>1006534.4563330754</v>
          </cell>
        </row>
        <row r="272">
          <cell r="G272">
            <v>2815314.4013417601</v>
          </cell>
        </row>
        <row r="273">
          <cell r="G273">
            <v>2240967.6650723205</v>
          </cell>
        </row>
        <row r="274">
          <cell r="G274">
            <v>23640879.72220901</v>
          </cell>
        </row>
        <row r="275">
          <cell r="G275">
            <v>164066.26154078403</v>
          </cell>
        </row>
        <row r="276">
          <cell r="G276">
            <v>327322.23319290107</v>
          </cell>
        </row>
        <row r="277">
          <cell r="G277">
            <v>1016993.5154968603</v>
          </cell>
        </row>
        <row r="278">
          <cell r="G278">
            <v>7340747.1085846201</v>
          </cell>
        </row>
        <row r="279">
          <cell r="G279">
            <v>709807.83668312069</v>
          </cell>
        </row>
        <row r="280">
          <cell r="G280">
            <v>7550811.868422417</v>
          </cell>
        </row>
        <row r="281">
          <cell r="G281">
            <v>4519780.8246623008</v>
          </cell>
        </row>
        <row r="282">
          <cell r="G282">
            <v>3805231.3502226472</v>
          </cell>
        </row>
        <row r="283">
          <cell r="G283">
            <v>2245108.7980423095</v>
          </cell>
        </row>
        <row r="284">
          <cell r="G284">
            <v>1546213.8518320988</v>
          </cell>
        </row>
        <row r="285">
          <cell r="G285">
            <v>24889310.001661122</v>
          </cell>
        </row>
        <row r="286">
          <cell r="G286">
            <v>7471028.40582739</v>
          </cell>
        </row>
        <row r="287">
          <cell r="G287">
            <v>13955976.078285433</v>
          </cell>
        </row>
        <row r="288">
          <cell r="G288">
            <v>16686685.000984279</v>
          </cell>
        </row>
        <row r="289">
          <cell r="G289">
            <v>657131.67224249791</v>
          </cell>
        </row>
        <row r="290">
          <cell r="G290">
            <v>385873.34319812362</v>
          </cell>
        </row>
        <row r="291">
          <cell r="G291">
            <v>102735.50322359994</v>
          </cell>
        </row>
        <row r="292">
          <cell r="G292">
            <v>349310.58205497119</v>
          </cell>
        </row>
        <row r="293">
          <cell r="G293">
            <v>524215.59171682061</v>
          </cell>
        </row>
        <row r="294">
          <cell r="G294">
            <v>144803.43237457945</v>
          </cell>
        </row>
        <row r="295">
          <cell r="G295">
            <v>51924.688683510503</v>
          </cell>
        </row>
        <row r="296">
          <cell r="G296">
            <v>586823.87853651529</v>
          </cell>
        </row>
        <row r="297">
          <cell r="G297">
            <v>226686.41271492222</v>
          </cell>
        </row>
        <row r="298">
          <cell r="G298">
            <v>107482.91467349989</v>
          </cell>
        </row>
        <row r="299">
          <cell r="G299">
            <v>58257.568193833831</v>
          </cell>
        </row>
        <row r="300">
          <cell r="G300">
            <v>400404.90661387151</v>
          </cell>
        </row>
        <row r="301">
          <cell r="G301">
            <v>159845.17356497375</v>
          </cell>
        </row>
        <row r="302">
          <cell r="G302">
            <v>287394.81815006572</v>
          </cell>
        </row>
        <row r="303">
          <cell r="G303">
            <v>104839.66661120014</v>
          </cell>
        </row>
        <row r="304">
          <cell r="G304">
            <v>747041.01154707849</v>
          </cell>
        </row>
        <row r="305">
          <cell r="G305">
            <v>93606.158152203527</v>
          </cell>
        </row>
        <row r="306">
          <cell r="G306">
            <v>222774.89730027039</v>
          </cell>
        </row>
        <row r="307">
          <cell r="G307">
            <v>173932.65511753311</v>
          </cell>
        </row>
        <row r="308">
          <cell r="G308">
            <v>452181.22679011256</v>
          </cell>
        </row>
        <row r="309">
          <cell r="G309">
            <v>116876.04460347054</v>
          </cell>
        </row>
        <row r="310">
          <cell r="G310">
            <v>359492.71739480132</v>
          </cell>
        </row>
        <row r="311">
          <cell r="G311">
            <v>87333.527148583991</v>
          </cell>
        </row>
        <row r="312">
          <cell r="G312">
            <v>202169.62888370399</v>
          </cell>
        </row>
        <row r="313">
          <cell r="G313">
            <v>144880.91357761036</v>
          </cell>
        </row>
        <row r="314">
          <cell r="G314">
            <v>393691.37522251782</v>
          </cell>
        </row>
        <row r="315">
          <cell r="G315">
            <v>129869.26873665741</v>
          </cell>
        </row>
        <row r="316">
          <cell r="G316">
            <v>72559.340643015399</v>
          </cell>
        </row>
        <row r="317">
          <cell r="G317">
            <v>61070.213679869732</v>
          </cell>
        </row>
        <row r="318">
          <cell r="G318">
            <v>14771659.955779977</v>
          </cell>
        </row>
        <row r="319">
          <cell r="G319">
            <v>2051859.3401681427</v>
          </cell>
        </row>
        <row r="320">
          <cell r="G320">
            <v>825655960</v>
          </cell>
        </row>
      </sheetData>
      <sheetData sheetId="7"/>
      <sheetData sheetId="8"/>
      <sheetData sheetId="9">
        <row r="16">
          <cell r="I16">
            <v>-3402725.6145400498</v>
          </cell>
        </row>
        <row r="17">
          <cell r="I17">
            <v>-3542791.298948817</v>
          </cell>
        </row>
        <row r="18">
          <cell r="I18">
            <v>-48075.693635283824</v>
          </cell>
        </row>
        <row r="19">
          <cell r="I19">
            <v>107062.79349909286</v>
          </cell>
        </row>
        <row r="20">
          <cell r="I20">
            <v>1066861.0578884447</v>
          </cell>
        </row>
        <row r="21">
          <cell r="I21">
            <v>804.16877104144078</v>
          </cell>
        </row>
        <row r="22">
          <cell r="I22">
            <v>-1510782.0045539604</v>
          </cell>
        </row>
        <row r="23">
          <cell r="I23">
            <v>-252999.15894871007</v>
          </cell>
        </row>
        <row r="24">
          <cell r="I24">
            <v>4620289.0554518336</v>
          </cell>
        </row>
        <row r="25">
          <cell r="I25">
            <v>219452.25443192711</v>
          </cell>
        </row>
        <row r="26">
          <cell r="I26">
            <v>1187198.9258265225</v>
          </cell>
        </row>
        <row r="27">
          <cell r="I27">
            <v>74741.997396932042</v>
          </cell>
        </row>
        <row r="28">
          <cell r="I28">
            <v>-264203.43344149389</v>
          </cell>
        </row>
        <row r="29">
          <cell r="I29">
            <v>-914863.94018646423</v>
          </cell>
        </row>
        <row r="30">
          <cell r="I30">
            <v>404345.18473594345</v>
          </cell>
        </row>
        <row r="31">
          <cell r="I31">
            <v>1125276.9615885508</v>
          </cell>
        </row>
        <row r="32">
          <cell r="I32">
            <v>3657139.3613272482</v>
          </cell>
        </row>
        <row r="33">
          <cell r="I33">
            <v>58118.707266307436</v>
          </cell>
        </row>
        <row r="34">
          <cell r="I34">
            <v>34019.548549449974</v>
          </cell>
        </row>
        <row r="35">
          <cell r="I35">
            <v>-236972.43257779675</v>
          </cell>
        </row>
        <row r="36">
          <cell r="I36">
            <v>982137.95962206542</v>
          </cell>
        </row>
        <row r="37">
          <cell r="I37">
            <v>1627402.8618298196</v>
          </cell>
        </row>
        <row r="38">
          <cell r="I38">
            <v>-100763.0167446679</v>
          </cell>
        </row>
        <row r="39">
          <cell r="I39">
            <v>53472.406295064895</v>
          </cell>
        </row>
        <row r="40">
          <cell r="I40">
            <v>54108.586386486189</v>
          </cell>
        </row>
        <row r="41">
          <cell r="I41">
            <v>89621.251433075406</v>
          </cell>
        </row>
        <row r="42">
          <cell r="I42">
            <v>26868.775860733702</v>
          </cell>
        </row>
        <row r="43">
          <cell r="I43">
            <v>447257.63762540213</v>
          </cell>
        </row>
        <row r="44">
          <cell r="I44">
            <v>244818.10473539488</v>
          </cell>
        </row>
        <row r="45">
          <cell r="I45">
            <v>158354.13376139855</v>
          </cell>
        </row>
        <row r="46">
          <cell r="I46">
            <v>38307.167128092871</v>
          </cell>
        </row>
        <row r="47">
          <cell r="I47">
            <v>-242050.561728484</v>
          </cell>
        </row>
        <row r="48">
          <cell r="I48">
            <v>440448.5661438948</v>
          </cell>
        </row>
        <row r="49">
          <cell r="I49">
            <v>405184.04217179434</v>
          </cell>
        </row>
        <row r="50">
          <cell r="I50">
            <v>544964.19790280913</v>
          </cell>
        </row>
        <row r="51">
          <cell r="I51">
            <v>179529.63099034142</v>
          </cell>
        </row>
        <row r="52">
          <cell r="I52">
            <v>138145.00938628099</v>
          </cell>
        </row>
        <row r="53">
          <cell r="I53">
            <v>327911.95227203192</v>
          </cell>
        </row>
        <row r="54">
          <cell r="I54">
            <v>179693.85258297157</v>
          </cell>
        </row>
        <row r="55">
          <cell r="I55">
            <v>-54805.15860551985</v>
          </cell>
        </row>
        <row r="56">
          <cell r="I56">
            <v>162913.12577482525</v>
          </cell>
        </row>
        <row r="57">
          <cell r="I57">
            <v>611744.28740440262</v>
          </cell>
        </row>
        <row r="58">
          <cell r="I58">
            <v>173541.77599957169</v>
          </cell>
        </row>
        <row r="59">
          <cell r="I59">
            <v>152537.6059195018</v>
          </cell>
        </row>
        <row r="60">
          <cell r="I60">
            <v>533353.35770331544</v>
          </cell>
        </row>
        <row r="61">
          <cell r="I61">
            <v>130030.90696750824</v>
          </cell>
        </row>
        <row r="62">
          <cell r="I62">
            <v>999016.5216840331</v>
          </cell>
        </row>
        <row r="63">
          <cell r="I63">
            <v>93768.885566384444</v>
          </cell>
        </row>
        <row r="64">
          <cell r="I64">
            <v>339835.75865360675</v>
          </cell>
        </row>
        <row r="65">
          <cell r="I65">
            <v>255399.36667580483</v>
          </cell>
        </row>
        <row r="66">
          <cell r="I66">
            <v>310219.96378457505</v>
          </cell>
        </row>
        <row r="67">
          <cell r="I67">
            <v>116082.11301058633</v>
          </cell>
        </row>
        <row r="68">
          <cell r="I68">
            <v>5382.9695746357283</v>
          </cell>
        </row>
        <row r="69">
          <cell r="I69">
            <v>1169285.1194621297</v>
          </cell>
        </row>
        <row r="70">
          <cell r="I70">
            <v>-24756.858019096922</v>
          </cell>
        </row>
        <row r="71">
          <cell r="I71">
            <v>29593.553441428958</v>
          </cell>
        </row>
        <row r="72">
          <cell r="I72">
            <v>3682022.888544241</v>
          </cell>
        </row>
        <row r="73">
          <cell r="I73">
            <v>-27314.983091273927</v>
          </cell>
        </row>
        <row r="74">
          <cell r="I74">
            <v>245167.15715203679</v>
          </cell>
        </row>
        <row r="75">
          <cell r="I75">
            <v>-311786.95478275279</v>
          </cell>
        </row>
        <row r="76">
          <cell r="I76">
            <v>328423.74899712286</v>
          </cell>
        </row>
        <row r="77">
          <cell r="I77">
            <v>32216.555282192072</v>
          </cell>
        </row>
        <row r="78">
          <cell r="I78">
            <v>31704.083587950794</v>
          </cell>
        </row>
        <row r="79">
          <cell r="I79">
            <v>275539.76342453941</v>
          </cell>
        </row>
        <row r="80">
          <cell r="I80">
            <v>29142.40588487497</v>
          </cell>
        </row>
        <row r="81">
          <cell r="I81">
            <v>510768.1589611721</v>
          </cell>
        </row>
        <row r="82">
          <cell r="I82">
            <v>1529718.4967452257</v>
          </cell>
        </row>
        <row r="83">
          <cell r="I83">
            <v>839478.84071758681</v>
          </cell>
        </row>
        <row r="84">
          <cell r="I84">
            <v>74283.341025497066</v>
          </cell>
        </row>
        <row r="85">
          <cell r="I85">
            <v>329395.32820993179</v>
          </cell>
        </row>
        <row r="86">
          <cell r="I86">
            <v>142173.86714033887</v>
          </cell>
        </row>
        <row r="87">
          <cell r="I87">
            <v>163343.08548496669</v>
          </cell>
        </row>
        <row r="88">
          <cell r="I88">
            <v>1012070.814756575</v>
          </cell>
        </row>
        <row r="89">
          <cell r="I89">
            <v>-291094.01597119635</v>
          </cell>
        </row>
        <row r="90">
          <cell r="I90">
            <v>67039.507018166711</v>
          </cell>
        </row>
        <row r="91">
          <cell r="I91">
            <v>672128.43184623006</v>
          </cell>
        </row>
        <row r="92">
          <cell r="I92">
            <v>78326.096871598624</v>
          </cell>
        </row>
        <row r="93">
          <cell r="I93">
            <v>281078.68080712156</v>
          </cell>
        </row>
        <row r="94">
          <cell r="I94">
            <v>352818.4012218389</v>
          </cell>
        </row>
        <row r="95">
          <cell r="I95">
            <v>207652.61233626801</v>
          </cell>
        </row>
        <row r="96">
          <cell r="I96">
            <v>70090.28023385728</v>
          </cell>
        </row>
        <row r="97">
          <cell r="I97">
            <v>115364.58762391144</v>
          </cell>
        </row>
        <row r="98">
          <cell r="I98">
            <v>10274.981351901137</v>
          </cell>
        </row>
        <row r="99">
          <cell r="I99">
            <v>133349.495478333</v>
          </cell>
        </row>
        <row r="100">
          <cell r="I100">
            <v>2998.6406285827979</v>
          </cell>
        </row>
        <row r="101">
          <cell r="I101">
            <v>64022.877574647893</v>
          </cell>
        </row>
        <row r="102">
          <cell r="I102">
            <v>17530.054797544843</v>
          </cell>
        </row>
        <row r="103">
          <cell r="I103">
            <v>427540.05668446852</v>
          </cell>
        </row>
        <row r="104">
          <cell r="I104">
            <v>189744.80739405146</v>
          </cell>
        </row>
        <row r="105">
          <cell r="I105">
            <v>246610.92468057145</v>
          </cell>
        </row>
        <row r="106">
          <cell r="I106">
            <v>19421.106623498432</v>
          </cell>
        </row>
        <row r="107">
          <cell r="I107">
            <v>403516.52610124461</v>
          </cell>
        </row>
        <row r="108">
          <cell r="I108">
            <v>197146.35382772225</v>
          </cell>
        </row>
        <row r="109">
          <cell r="I109">
            <v>113550.32579265349</v>
          </cell>
        </row>
        <row r="110">
          <cell r="I110">
            <v>55859.413123639504</v>
          </cell>
        </row>
        <row r="111">
          <cell r="I111">
            <v>36366.752145585924</v>
          </cell>
        </row>
        <row r="112">
          <cell r="I112">
            <v>364578.59115765372</v>
          </cell>
        </row>
        <row r="113">
          <cell r="I113">
            <v>64340.790759520853</v>
          </cell>
        </row>
        <row r="114">
          <cell r="I114">
            <v>444924.22807393828</v>
          </cell>
        </row>
        <row r="115">
          <cell r="I115">
            <v>91453.760750337038</v>
          </cell>
        </row>
        <row r="116">
          <cell r="I116">
            <v>-19497.495410032207</v>
          </cell>
        </row>
        <row r="117">
          <cell r="I117">
            <v>-23294.245708258917</v>
          </cell>
        </row>
        <row r="118">
          <cell r="I118">
            <v>224880.49322337148</v>
          </cell>
        </row>
        <row r="119">
          <cell r="I119">
            <v>-121252.90809327093</v>
          </cell>
        </row>
        <row r="120">
          <cell r="I120">
            <v>-1939572.9961110265</v>
          </cell>
        </row>
        <row r="121">
          <cell r="I121">
            <v>16622.248749252118</v>
          </cell>
        </row>
        <row r="122">
          <cell r="I122">
            <v>2539156.0365479374</v>
          </cell>
        </row>
        <row r="123">
          <cell r="I123">
            <v>1023789.2528102752</v>
          </cell>
        </row>
        <row r="124">
          <cell r="I124">
            <v>1639038.1392702311</v>
          </cell>
        </row>
        <row r="125">
          <cell r="I125">
            <v>4659906.7272477318</v>
          </cell>
        </row>
        <row r="126">
          <cell r="I126">
            <v>4321014.7699577641</v>
          </cell>
        </row>
        <row r="127">
          <cell r="I127">
            <v>-34138159.861661166</v>
          </cell>
        </row>
        <row r="128">
          <cell r="I128">
            <v>4510627.8405609569</v>
          </cell>
        </row>
        <row r="129">
          <cell r="I129">
            <v>2379896.9766078112</v>
          </cell>
        </row>
        <row r="130">
          <cell r="I130">
            <v>-2447992.579830314</v>
          </cell>
        </row>
        <row r="131">
          <cell r="I131">
            <v>17159773.672288485</v>
          </cell>
        </row>
        <row r="132">
          <cell r="I132">
            <v>-15136672.70904661</v>
          </cell>
        </row>
        <row r="133">
          <cell r="I133">
            <v>444442.76554978546</v>
          </cell>
        </row>
        <row r="134">
          <cell r="I134">
            <v>1475132.7042704569</v>
          </cell>
        </row>
        <row r="135">
          <cell r="I135">
            <v>528079.62885413598</v>
          </cell>
        </row>
        <row r="136">
          <cell r="I136">
            <v>10739862.061995743</v>
          </cell>
        </row>
        <row r="137">
          <cell r="I137">
            <v>555653.18405925436</v>
          </cell>
        </row>
        <row r="138">
          <cell r="I138">
            <v>190442.51246051519</v>
          </cell>
        </row>
        <row r="139">
          <cell r="I139">
            <v>397481.87603997771</v>
          </cell>
        </row>
        <row r="140">
          <cell r="I140">
            <v>1249549.1262238536</v>
          </cell>
        </row>
        <row r="141">
          <cell r="I141">
            <v>4622545.0732493224</v>
          </cell>
        </row>
        <row r="142">
          <cell r="I142">
            <v>482768.3125547283</v>
          </cell>
        </row>
        <row r="143">
          <cell r="I143">
            <v>477799.26585449628</v>
          </cell>
        </row>
        <row r="144">
          <cell r="I144">
            <v>1710017.3178248792</v>
          </cell>
        </row>
        <row r="145">
          <cell r="I145">
            <v>3342940.6752898339</v>
          </cell>
        </row>
        <row r="146">
          <cell r="I146">
            <v>257796.7725847199</v>
          </cell>
        </row>
        <row r="147">
          <cell r="I147">
            <v>-3280358.7566900114</v>
          </cell>
        </row>
        <row r="148">
          <cell r="I148">
            <v>399978.84075358987</v>
          </cell>
        </row>
        <row r="149">
          <cell r="I149">
            <v>61644.395063556934</v>
          </cell>
        </row>
        <row r="150">
          <cell r="I150">
            <v>936645.33940817311</v>
          </cell>
        </row>
        <row r="151">
          <cell r="I151">
            <v>1077379.5643599471</v>
          </cell>
        </row>
        <row r="152">
          <cell r="I152">
            <v>2481782.1991851283</v>
          </cell>
        </row>
        <row r="153">
          <cell r="I153">
            <v>2598375.8137741447</v>
          </cell>
        </row>
        <row r="154">
          <cell r="I154">
            <v>-177658.21355390549</v>
          </cell>
        </row>
        <row r="155">
          <cell r="I155">
            <v>2720639.380326075</v>
          </cell>
        </row>
        <row r="156">
          <cell r="I156">
            <v>409508.66897248948</v>
          </cell>
        </row>
        <row r="157">
          <cell r="I157">
            <v>2428631.6092328168</v>
          </cell>
        </row>
        <row r="158">
          <cell r="I158">
            <v>841079.95303040266</v>
          </cell>
        </row>
        <row r="159">
          <cell r="I159">
            <v>1140982.3321459931</v>
          </cell>
        </row>
        <row r="160">
          <cell r="I160">
            <v>6114107.5701209828</v>
          </cell>
        </row>
        <row r="161">
          <cell r="I161">
            <v>3208317.1163546713</v>
          </cell>
        </row>
        <row r="162">
          <cell r="I162">
            <v>225898.22939567629</v>
          </cell>
        </row>
        <row r="163">
          <cell r="I163">
            <v>536024.53097325924</v>
          </cell>
        </row>
        <row r="164">
          <cell r="I164">
            <v>6083556.692325728</v>
          </cell>
        </row>
        <row r="165">
          <cell r="I165">
            <v>5980030.9496113956</v>
          </cell>
        </row>
        <row r="166">
          <cell r="I166">
            <v>1751943.6344315775</v>
          </cell>
        </row>
        <row r="167">
          <cell r="I167">
            <v>3233160.1504558627</v>
          </cell>
        </row>
        <row r="168">
          <cell r="I168">
            <v>1051811.9936491475</v>
          </cell>
        </row>
        <row r="169">
          <cell r="I169">
            <v>583170.22206894436</v>
          </cell>
        </row>
        <row r="170">
          <cell r="I170">
            <v>1326887.2078166173</v>
          </cell>
        </row>
        <row r="171">
          <cell r="I171">
            <v>157343.54522893656</v>
          </cell>
        </row>
        <row r="172">
          <cell r="I172">
            <v>1251729.7630611965</v>
          </cell>
        </row>
        <row r="173">
          <cell r="I173">
            <v>9532.3145439714426</v>
          </cell>
        </row>
        <row r="174">
          <cell r="I174">
            <v>582.11598697307636</v>
          </cell>
        </row>
        <row r="175">
          <cell r="I175">
            <v>-40554.25434183664</v>
          </cell>
        </row>
        <row r="176">
          <cell r="I176">
            <v>58572.118354149134</v>
          </cell>
        </row>
        <row r="177">
          <cell r="I177">
            <v>-8197.0556861176447</v>
          </cell>
        </row>
        <row r="178">
          <cell r="I178">
            <v>-12323.726686992304</v>
          </cell>
        </row>
        <row r="179">
          <cell r="I179">
            <v>-23896.862273103143</v>
          </cell>
        </row>
        <row r="180">
          <cell r="I180">
            <v>-1392359.2196683423</v>
          </cell>
        </row>
        <row r="181">
          <cell r="I181">
            <v>-3536220.3926691776</v>
          </cell>
        </row>
        <row r="182">
          <cell r="I182">
            <v>-94803.927488851987</v>
          </cell>
        </row>
        <row r="183">
          <cell r="I183">
            <v>-31266.434713486145</v>
          </cell>
        </row>
        <row r="184">
          <cell r="I184">
            <v>32294.102327461704</v>
          </cell>
        </row>
        <row r="185">
          <cell r="I185">
            <v>-67843.330758204582</v>
          </cell>
        </row>
        <row r="186">
          <cell r="I186">
            <v>-7928.7305519157162</v>
          </cell>
        </row>
        <row r="187">
          <cell r="I187">
            <v>-32689.854251736426</v>
          </cell>
        </row>
        <row r="188">
          <cell r="I188">
            <v>-487677.83495772653</v>
          </cell>
        </row>
        <row r="189">
          <cell r="I189">
            <v>212674.44350984279</v>
          </cell>
        </row>
        <row r="190">
          <cell r="I190">
            <v>2721069.734219823</v>
          </cell>
        </row>
        <row r="191">
          <cell r="I191">
            <v>769385.62390288245</v>
          </cell>
        </row>
        <row r="192">
          <cell r="I192">
            <v>2139046.1030278727</v>
          </cell>
        </row>
        <row r="193">
          <cell r="I193">
            <v>845405.97747687006</v>
          </cell>
        </row>
        <row r="194">
          <cell r="I194">
            <v>1362119.4899935434</v>
          </cell>
        </row>
        <row r="195">
          <cell r="I195">
            <v>1375489.5075133874</v>
          </cell>
        </row>
        <row r="196">
          <cell r="I196">
            <v>1173919.0921540153</v>
          </cell>
        </row>
        <row r="197">
          <cell r="I197">
            <v>1779851.464284305</v>
          </cell>
        </row>
        <row r="198">
          <cell r="I198">
            <v>2180908.0705701737</v>
          </cell>
        </row>
        <row r="199">
          <cell r="I199">
            <v>4345182.8845916782</v>
          </cell>
        </row>
        <row r="200">
          <cell r="I200">
            <v>6848299.2752975617</v>
          </cell>
        </row>
        <row r="201">
          <cell r="I201">
            <v>5137700.0681718709</v>
          </cell>
        </row>
        <row r="202">
          <cell r="I202">
            <v>1210537.5760578243</v>
          </cell>
        </row>
        <row r="203">
          <cell r="I203">
            <v>1245780.5971707872</v>
          </cell>
        </row>
        <row r="204">
          <cell r="I204">
            <v>3739435.3567804457</v>
          </cell>
        </row>
        <row r="205">
          <cell r="I205">
            <v>5680719.1645953385</v>
          </cell>
        </row>
        <row r="206">
          <cell r="I206">
            <v>2953233.5567758828</v>
          </cell>
        </row>
        <row r="207">
          <cell r="I207">
            <v>2637606.2468853742</v>
          </cell>
        </row>
        <row r="208">
          <cell r="I208">
            <v>1514954.6681908567</v>
          </cell>
        </row>
        <row r="209">
          <cell r="I209">
            <v>5096056.3646534383</v>
          </cell>
        </row>
        <row r="210">
          <cell r="I210">
            <v>358158.63889411406</v>
          </cell>
        </row>
        <row r="211">
          <cell r="I211">
            <v>10920723.525747446</v>
          </cell>
        </row>
        <row r="212">
          <cell r="I212">
            <v>11475459.161625216</v>
          </cell>
        </row>
        <row r="213">
          <cell r="I213">
            <v>5408706.6878037658</v>
          </cell>
        </row>
        <row r="214">
          <cell r="I214">
            <v>1053472.8345596576</v>
          </cell>
        </row>
        <row r="215">
          <cell r="I215">
            <v>775896.93769785343</v>
          </cell>
        </row>
        <row r="216">
          <cell r="I216">
            <v>789177.68701722228</v>
          </cell>
        </row>
        <row r="217">
          <cell r="I217">
            <v>3202342.4963462274</v>
          </cell>
        </row>
        <row r="218">
          <cell r="I218">
            <v>2412252.1417919486</v>
          </cell>
        </row>
        <row r="219">
          <cell r="I219">
            <v>936446.28299217345</v>
          </cell>
        </row>
        <row r="220">
          <cell r="I220">
            <v>1125451.4343375061</v>
          </cell>
        </row>
        <row r="221">
          <cell r="I221">
            <v>-827.48555318129365</v>
          </cell>
        </row>
        <row r="222">
          <cell r="I222">
            <v>-39089.643646279292</v>
          </cell>
        </row>
        <row r="223">
          <cell r="I223">
            <v>72491.597070775169</v>
          </cell>
        </row>
        <row r="224">
          <cell r="I224">
            <v>1105948.3963743269</v>
          </cell>
        </row>
        <row r="225">
          <cell r="I225">
            <v>-99209.69771068159</v>
          </cell>
        </row>
        <row r="226">
          <cell r="I226">
            <v>15031.314066253835</v>
          </cell>
        </row>
        <row r="227">
          <cell r="I227">
            <v>34053.391900700444</v>
          </cell>
        </row>
        <row r="228">
          <cell r="I228">
            <v>2658.2228384172195</v>
          </cell>
        </row>
        <row r="229">
          <cell r="I229">
            <v>-1482118.5041314373</v>
          </cell>
        </row>
        <row r="230">
          <cell r="I230">
            <v>-15027.204585952597</v>
          </cell>
        </row>
        <row r="231">
          <cell r="I231">
            <v>-56974.041100716771</v>
          </cell>
        </row>
        <row r="232">
          <cell r="I232">
            <v>-10091.112136569427</v>
          </cell>
        </row>
        <row r="233">
          <cell r="I233">
            <v>-130233.99331738765</v>
          </cell>
        </row>
        <row r="234">
          <cell r="I234">
            <v>113997.07629537606</v>
          </cell>
        </row>
        <row r="235">
          <cell r="I235">
            <v>-1981444.2866234905</v>
          </cell>
        </row>
        <row r="236">
          <cell r="I236">
            <v>-19392.469022454068</v>
          </cell>
        </row>
        <row r="237">
          <cell r="I237">
            <v>-48045.258922796173</v>
          </cell>
        </row>
        <row r="238">
          <cell r="I238">
            <v>-90228.428507242323</v>
          </cell>
        </row>
        <row r="239">
          <cell r="I239">
            <v>-156530.44942238284</v>
          </cell>
        </row>
        <row r="240">
          <cell r="I240">
            <v>-6051.2152451623115</v>
          </cell>
        </row>
        <row r="241">
          <cell r="I241">
            <v>226902.25184272492</v>
          </cell>
        </row>
        <row r="242">
          <cell r="I242">
            <v>-1475841.5313847905</v>
          </cell>
        </row>
        <row r="243">
          <cell r="I243">
            <v>-119104.2297086913</v>
          </cell>
        </row>
        <row r="244">
          <cell r="I244">
            <v>-102425.44293869013</v>
          </cell>
        </row>
        <row r="245">
          <cell r="I245">
            <v>174206.92988789707</v>
          </cell>
        </row>
        <row r="246">
          <cell r="I246">
            <v>86219.040369582828</v>
          </cell>
        </row>
        <row r="247">
          <cell r="I247">
            <v>-28574.657858833438</v>
          </cell>
        </row>
        <row r="248">
          <cell r="I248">
            <v>66575.249611900188</v>
          </cell>
        </row>
        <row r="249">
          <cell r="I249">
            <v>21145.956026323605</v>
          </cell>
        </row>
        <row r="250">
          <cell r="I250">
            <v>513595.81857270352</v>
          </cell>
        </row>
        <row r="251">
          <cell r="I251">
            <v>-3704.2141411641496</v>
          </cell>
        </row>
        <row r="252">
          <cell r="I252">
            <v>-78775.643015543232</v>
          </cell>
        </row>
        <row r="253">
          <cell r="I253">
            <v>-1105433.8953294479</v>
          </cell>
        </row>
        <row r="254">
          <cell r="I254">
            <v>-40485.24606956495</v>
          </cell>
        </row>
        <row r="255">
          <cell r="I255">
            <v>644.57297461686539</v>
          </cell>
        </row>
        <row r="256">
          <cell r="I256">
            <v>68365.54511603486</v>
          </cell>
        </row>
        <row r="257">
          <cell r="I257">
            <v>-634680.45972403185</v>
          </cell>
        </row>
        <row r="258">
          <cell r="I258">
            <v>-224164.1731652118</v>
          </cell>
        </row>
        <row r="259">
          <cell r="I259">
            <v>105429.39157116972</v>
          </cell>
        </row>
        <row r="260">
          <cell r="I260">
            <v>-56808.340967688913</v>
          </cell>
        </row>
        <row r="261">
          <cell r="I261">
            <v>-5304608.3465838786</v>
          </cell>
        </row>
        <row r="262">
          <cell r="I262">
            <v>-69188.784032565571</v>
          </cell>
        </row>
        <row r="263">
          <cell r="I263">
            <v>-43841.63637617229</v>
          </cell>
        </row>
        <row r="264">
          <cell r="I264">
            <v>38065.449178154493</v>
          </cell>
        </row>
        <row r="265">
          <cell r="I265">
            <v>-532017.83167512552</v>
          </cell>
        </row>
        <row r="266">
          <cell r="I266">
            <v>87767.006578425877</v>
          </cell>
        </row>
        <row r="267">
          <cell r="I267">
            <v>-108452.42678374844</v>
          </cell>
        </row>
        <row r="268">
          <cell r="I268">
            <v>1617283.7909211256</v>
          </cell>
        </row>
        <row r="269">
          <cell r="I269">
            <v>416741.20549322665</v>
          </cell>
        </row>
        <row r="270">
          <cell r="I270">
            <v>734580.00978140929</v>
          </cell>
        </row>
        <row r="271">
          <cell r="I271">
            <v>622179.62095638388</v>
          </cell>
        </row>
        <row r="272">
          <cell r="I272">
            <v>-11687.060082480486</v>
          </cell>
        </row>
        <row r="273">
          <cell r="I273">
            <v>1513772.9176232468</v>
          </cell>
        </row>
        <row r="274">
          <cell r="I274">
            <v>639635.78787426127</v>
          </cell>
        </row>
        <row r="275">
          <cell r="I275">
            <v>1451681.6783278394</v>
          </cell>
        </row>
        <row r="276">
          <cell r="I276">
            <v>856273.21501650801</v>
          </cell>
        </row>
        <row r="277">
          <cell r="I277">
            <v>2013436.8265842558</v>
          </cell>
        </row>
        <row r="278">
          <cell r="I278">
            <v>1751900.9180328608</v>
          </cell>
        </row>
        <row r="279">
          <cell r="I279">
            <v>12669067.13937814</v>
          </cell>
        </row>
        <row r="280">
          <cell r="I280">
            <v>189292.98902486256</v>
          </cell>
        </row>
        <row r="281">
          <cell r="I281">
            <v>313230.10916050262</v>
          </cell>
        </row>
        <row r="282">
          <cell r="I282">
            <v>91687.212898201426</v>
          </cell>
        </row>
        <row r="283">
          <cell r="I283">
            <v>3722558.4528423506</v>
          </cell>
        </row>
        <row r="284">
          <cell r="I284">
            <v>205567.20095852279</v>
          </cell>
        </row>
        <row r="285">
          <cell r="I285">
            <v>4592101.8635547571</v>
          </cell>
        </row>
        <row r="286">
          <cell r="I286">
            <v>2837656.5213369462</v>
          </cell>
        </row>
        <row r="287">
          <cell r="I287">
            <v>2713875.5727472645</v>
          </cell>
        </row>
        <row r="288">
          <cell r="I288">
            <v>990294.05418044375</v>
          </cell>
        </row>
        <row r="289">
          <cell r="I289">
            <v>1265957.7758380305</v>
          </cell>
        </row>
        <row r="290">
          <cell r="I290">
            <v>-94803.718430891633</v>
          </cell>
        </row>
        <row r="291">
          <cell r="I291">
            <v>4786531.1145380586</v>
          </cell>
        </row>
        <row r="292">
          <cell r="I292">
            <v>7138995.1048888732</v>
          </cell>
        </row>
        <row r="293">
          <cell r="I293">
            <v>4578881.5522728469</v>
          </cell>
        </row>
        <row r="294">
          <cell r="I294">
            <v>503611.80047016119</v>
          </cell>
        </row>
        <row r="295">
          <cell r="I295">
            <v>12053.712463275122</v>
          </cell>
        </row>
        <row r="296">
          <cell r="I296">
            <v>8655.0740067920851</v>
          </cell>
        </row>
        <row r="297">
          <cell r="I297">
            <v>312008.90521760349</v>
          </cell>
        </row>
        <row r="298">
          <cell r="I298">
            <v>211032.53575112729</v>
          </cell>
        </row>
        <row r="299">
          <cell r="I299">
            <v>25981.069086945907</v>
          </cell>
        </row>
        <row r="300">
          <cell r="I300">
            <v>-46448.09879836702</v>
          </cell>
        </row>
        <row r="301">
          <cell r="I301">
            <v>520888.34346467338</v>
          </cell>
        </row>
        <row r="302">
          <cell r="I302">
            <v>-52161.656123398512</v>
          </cell>
        </row>
        <row r="303">
          <cell r="I303">
            <v>42112.325316297269</v>
          </cell>
        </row>
        <row r="304">
          <cell r="I304">
            <v>-28221.860710228822</v>
          </cell>
        </row>
        <row r="305">
          <cell r="I305">
            <v>-33688.776539580896</v>
          </cell>
        </row>
        <row r="306">
          <cell r="I306">
            <v>8126.7788560951594</v>
          </cell>
        </row>
        <row r="307">
          <cell r="I307">
            <v>51491.544452363392</v>
          </cell>
        </row>
        <row r="308">
          <cell r="I308">
            <v>-63427.263265973859</v>
          </cell>
        </row>
        <row r="309">
          <cell r="I309">
            <v>658794.44598699093</v>
          </cell>
        </row>
        <row r="310">
          <cell r="I310">
            <v>-24371.043890447138</v>
          </cell>
        </row>
        <row r="311">
          <cell r="I311">
            <v>115637.1267969508</v>
          </cell>
        </row>
        <row r="312">
          <cell r="I312">
            <v>-29177.722279884401</v>
          </cell>
        </row>
        <row r="313">
          <cell r="I313">
            <v>256118.87882049294</v>
          </cell>
        </row>
        <row r="314">
          <cell r="I314">
            <v>39531.218146684536</v>
          </cell>
        </row>
        <row r="315">
          <cell r="I315">
            <v>9381.6688808439649</v>
          </cell>
        </row>
        <row r="316">
          <cell r="I316">
            <v>2250.9904617767024</v>
          </cell>
        </row>
        <row r="317">
          <cell r="I317">
            <v>-62301.132169400516</v>
          </cell>
        </row>
        <row r="318">
          <cell r="I318">
            <v>82783.533880939503</v>
          </cell>
        </row>
        <row r="319">
          <cell r="I319">
            <v>122347.74270144349</v>
          </cell>
        </row>
        <row r="320">
          <cell r="I320">
            <v>45344.110601627413</v>
          </cell>
        </row>
        <row r="321">
          <cell r="I321">
            <v>84396.579026430685</v>
          </cell>
        </row>
        <row r="322">
          <cell r="I322">
            <v>-22778.505209008261</v>
          </cell>
        </row>
        <row r="323">
          <cell r="I323">
            <v>-24775081.759365395</v>
          </cell>
        </row>
        <row r="324">
          <cell r="I324">
            <v>-551575.95128377853</v>
          </cell>
        </row>
        <row r="325">
          <cell r="I325">
            <v>192061235.68211234</v>
          </cell>
        </row>
      </sheetData>
      <sheetData sheetId="10">
        <row r="5">
          <cell r="O5">
            <v>-2980978.384066138</v>
          </cell>
        </row>
        <row r="6">
          <cell r="O6">
            <v>-1938370.0772425835</v>
          </cell>
        </row>
        <row r="7">
          <cell r="O7">
            <v>-48694.75422131391</v>
          </cell>
        </row>
        <row r="8">
          <cell r="O8">
            <v>-140399.93651511351</v>
          </cell>
        </row>
        <row r="9">
          <cell r="O9">
            <v>-1048812.6748973592</v>
          </cell>
        </row>
        <row r="10">
          <cell r="O10">
            <v>-116706.83922416078</v>
          </cell>
        </row>
        <row r="11">
          <cell r="O11">
            <v>-2159045.7562066987</v>
          </cell>
        </row>
        <row r="12">
          <cell r="O12">
            <v>-278987.68781439052</v>
          </cell>
        </row>
        <row r="13">
          <cell r="O13">
            <v>-2371989.5309431036</v>
          </cell>
        </row>
        <row r="14">
          <cell r="O14">
            <v>-996578.86033393291</v>
          </cell>
        </row>
        <row r="15">
          <cell r="O15">
            <v>-932421.12260084273</v>
          </cell>
        </row>
        <row r="16">
          <cell r="O16">
            <v>-87730.488967625322</v>
          </cell>
        </row>
        <row r="17">
          <cell r="O17">
            <v>0</v>
          </cell>
        </row>
        <row r="18">
          <cell r="O18">
            <v>-1912795.9805848359</v>
          </cell>
        </row>
        <row r="19">
          <cell r="O19">
            <v>-179397.17132212708</v>
          </cell>
        </row>
        <row r="20">
          <cell r="O20">
            <v>-254533.01856888458</v>
          </cell>
        </row>
        <row r="21">
          <cell r="O21">
            <v>0</v>
          </cell>
        </row>
        <row r="22">
          <cell r="O22">
            <v>-80876.415743834703</v>
          </cell>
        </row>
        <row r="23">
          <cell r="O23">
            <v>-40563.913492354957</v>
          </cell>
        </row>
        <row r="24">
          <cell r="O24">
            <v>-580914.55960819568</v>
          </cell>
        </row>
        <row r="25">
          <cell r="O25">
            <v>0</v>
          </cell>
        </row>
        <row r="26">
          <cell r="O26">
            <v>0</v>
          </cell>
        </row>
        <row r="27">
          <cell r="O27">
            <v>-262726.02437352511</v>
          </cell>
        </row>
        <row r="28">
          <cell r="O28">
            <v>-72546.873567125862</v>
          </cell>
        </row>
        <row r="29">
          <cell r="O29">
            <v>-72072.524279598641</v>
          </cell>
        </row>
        <row r="30">
          <cell r="O30">
            <v>-27355.275762547051</v>
          </cell>
        </row>
        <row r="31">
          <cell r="O31">
            <v>-42030.942117929073</v>
          </cell>
        </row>
        <row r="32">
          <cell r="O32">
            <v>-61374.553693589871</v>
          </cell>
        </row>
        <row r="33">
          <cell r="O33">
            <v>-68687.650152748713</v>
          </cell>
        </row>
        <row r="34">
          <cell r="O34">
            <v>0</v>
          </cell>
        </row>
        <row r="35">
          <cell r="O35">
            <v>-16705.106838367716</v>
          </cell>
        </row>
        <row r="36">
          <cell r="O36">
            <v>-1378171.014164017</v>
          </cell>
        </row>
        <row r="37">
          <cell r="O37">
            <v>-339002.92821700295</v>
          </cell>
        </row>
        <row r="38">
          <cell r="O38">
            <v>-63682.903050690329</v>
          </cell>
        </row>
        <row r="39">
          <cell r="O39">
            <v>-507436.55378276884</v>
          </cell>
        </row>
        <row r="40">
          <cell r="O40">
            <v>-73.508838802048729</v>
          </cell>
        </row>
        <row r="41">
          <cell r="O41">
            <v>-4616.4888664145892</v>
          </cell>
        </row>
        <row r="42">
          <cell r="O42">
            <v>0</v>
          </cell>
        </row>
        <row r="43">
          <cell r="O43">
            <v>-149638.05271140952</v>
          </cell>
        </row>
        <row r="44">
          <cell r="O44">
            <v>-18072.651795607409</v>
          </cell>
        </row>
        <row r="45">
          <cell r="O45">
            <v>-10518.086891594234</v>
          </cell>
        </row>
        <row r="46">
          <cell r="O46">
            <v>-546177.97339774342</v>
          </cell>
        </row>
        <row r="47">
          <cell r="O47">
            <v>-547798.72955636017</v>
          </cell>
        </row>
        <row r="48">
          <cell r="O48">
            <v>-302756.35955906921</v>
          </cell>
        </row>
        <row r="49">
          <cell r="O49">
            <v>-422971.69885239034</v>
          </cell>
        </row>
        <row r="50">
          <cell r="O50">
            <v>-14272.169191387311</v>
          </cell>
        </row>
        <row r="51">
          <cell r="O51">
            <v>-60825.989342286288</v>
          </cell>
        </row>
        <row r="52">
          <cell r="O52">
            <v>-1924.1061405399323</v>
          </cell>
        </row>
        <row r="53">
          <cell r="O53">
            <v>-118298.28714251418</v>
          </cell>
        </row>
        <row r="54">
          <cell r="O54">
            <v>-28895.504383582986</v>
          </cell>
        </row>
        <row r="55">
          <cell r="O55">
            <v>-287257.63168439991</v>
          </cell>
        </row>
        <row r="56">
          <cell r="O56">
            <v>-40706.649299969838</v>
          </cell>
        </row>
        <row r="57">
          <cell r="O57">
            <v>0</v>
          </cell>
        </row>
        <row r="58">
          <cell r="O58">
            <v>0</v>
          </cell>
        </row>
        <row r="59">
          <cell r="O59">
            <v>-63400.480179210026</v>
          </cell>
        </row>
        <row r="60">
          <cell r="O60">
            <v>-96842.485920311738</v>
          </cell>
        </row>
        <row r="61">
          <cell r="O61">
            <v>-142997.07460096962</v>
          </cell>
        </row>
        <row r="62">
          <cell r="O62">
            <v>0</v>
          </cell>
        </row>
        <row r="63">
          <cell r="O63">
            <v>-234631.15890875048</v>
          </cell>
        </row>
        <row r="64">
          <cell r="O64">
            <v>-574835.29027520993</v>
          </cell>
        </row>
        <row r="65">
          <cell r="O65">
            <v>-258601.56221357977</v>
          </cell>
        </row>
        <row r="66">
          <cell r="O66">
            <v>-174819.86734168441</v>
          </cell>
        </row>
        <row r="67">
          <cell r="O67">
            <v>-566467.14005341416</v>
          </cell>
        </row>
        <row r="68">
          <cell r="O68">
            <v>0</v>
          </cell>
        </row>
        <row r="69">
          <cell r="O69">
            <v>-17795.434734293071</v>
          </cell>
        </row>
        <row r="70">
          <cell r="O70">
            <v>-6250.386231080327</v>
          </cell>
        </row>
        <row r="71">
          <cell r="O71">
            <v>0</v>
          </cell>
        </row>
        <row r="72">
          <cell r="O72">
            <v>-213323.18275033904</v>
          </cell>
        </row>
        <row r="73">
          <cell r="O73">
            <v>-235545.70509127987</v>
          </cell>
        </row>
        <row r="74">
          <cell r="O74">
            <v>0</v>
          </cell>
        </row>
        <row r="75">
          <cell r="O75">
            <v>0</v>
          </cell>
        </row>
        <row r="76">
          <cell r="O76">
            <v>-59008.823913075263</v>
          </cell>
        </row>
        <row r="77">
          <cell r="O77">
            <v>-200095.17227107228</v>
          </cell>
        </row>
        <row r="78">
          <cell r="O78">
            <v>-1008331.643333217</v>
          </cell>
        </row>
        <row r="79">
          <cell r="O79">
            <v>-76427.776527363487</v>
          </cell>
        </row>
        <row r="80">
          <cell r="O80">
            <v>-6885.4688848623664</v>
          </cell>
        </row>
        <row r="81">
          <cell r="O81">
            <v>-15795.520513695685</v>
          </cell>
        </row>
        <row r="82">
          <cell r="O82">
            <v>-54698.851848166567</v>
          </cell>
        </row>
        <row r="83">
          <cell r="O83">
            <v>0</v>
          </cell>
        </row>
        <row r="84">
          <cell r="O84">
            <v>-53932.039328840037</v>
          </cell>
        </row>
        <row r="85">
          <cell r="O85">
            <v>-369982.75641007</v>
          </cell>
        </row>
        <row r="86">
          <cell r="O86">
            <v>-65281.743028160978</v>
          </cell>
        </row>
        <row r="87">
          <cell r="O87">
            <v>-77264.379985842024</v>
          </cell>
        </row>
        <row r="88">
          <cell r="O88">
            <v>-2026.657452139772</v>
          </cell>
        </row>
        <row r="89">
          <cell r="O89">
            <v>-18560.463622731393</v>
          </cell>
        </row>
        <row r="90">
          <cell r="O90">
            <v>-32567.533826019975</v>
          </cell>
        </row>
        <row r="91">
          <cell r="O91">
            <v>-22440.390562227833</v>
          </cell>
        </row>
        <row r="92">
          <cell r="O92">
            <v>-292871.02762279019</v>
          </cell>
        </row>
        <row r="93">
          <cell r="O93">
            <v>-2383.4385608970065</v>
          </cell>
        </row>
        <row r="94">
          <cell r="O94">
            <v>-92844.688283929354</v>
          </cell>
        </row>
        <row r="95">
          <cell r="O95">
            <v>-211306.94368216765</v>
          </cell>
        </row>
        <row r="96">
          <cell r="O96">
            <v>-179050.90613641564</v>
          </cell>
        </row>
        <row r="97">
          <cell r="O97">
            <v>-151910.67816759835</v>
          </cell>
        </row>
        <row r="98">
          <cell r="O98">
            <v>-111511.11477953129</v>
          </cell>
        </row>
        <row r="99">
          <cell r="O99">
            <v>-133853.43399456187</v>
          </cell>
        </row>
        <row r="100">
          <cell r="O100">
            <v>-35815.81931570993</v>
          </cell>
        </row>
        <row r="101">
          <cell r="O101">
            <v>0</v>
          </cell>
        </row>
        <row r="102">
          <cell r="O102">
            <v>-10224.38713253423</v>
          </cell>
        </row>
        <row r="103">
          <cell r="O103">
            <v>-1063013.0344319942</v>
          </cell>
        </row>
        <row r="104">
          <cell r="O104">
            <v>-856.54792616083864</v>
          </cell>
        </row>
        <row r="105">
          <cell r="O105">
            <v>-29359.12754991958</v>
          </cell>
        </row>
        <row r="106">
          <cell r="O106">
            <v>-10201.905514306116</v>
          </cell>
        </row>
        <row r="107">
          <cell r="O107">
            <v>-63746.596610089662</v>
          </cell>
        </row>
        <row r="108">
          <cell r="O108">
            <v>-218641.1315980439</v>
          </cell>
        </row>
        <row r="109">
          <cell r="O109">
            <v>-1351440.5187934819</v>
          </cell>
        </row>
        <row r="110">
          <cell r="O110">
            <v>-122084.72508860943</v>
          </cell>
        </row>
        <row r="111">
          <cell r="O111">
            <v>-1023656.5004802936</v>
          </cell>
        </row>
        <row r="112">
          <cell r="O112">
            <v>-356289.1355157622</v>
          </cell>
        </row>
        <row r="113">
          <cell r="O113">
            <v>-2392156.4257416511</v>
          </cell>
        </row>
        <row r="114">
          <cell r="O114">
            <v>-3623895.5148903932</v>
          </cell>
        </row>
        <row r="115">
          <cell r="O115">
            <v>0</v>
          </cell>
        </row>
        <row r="116">
          <cell r="O116">
            <v>-57807078.107040443</v>
          </cell>
        </row>
        <row r="117">
          <cell r="O117">
            <v>-2572059.6860221359</v>
          </cell>
        </row>
        <row r="118">
          <cell r="O118">
            <v>0</v>
          </cell>
        </row>
        <row r="119">
          <cell r="O119">
            <v>-2827013.6973192398</v>
          </cell>
        </row>
        <row r="120">
          <cell r="O120">
            <v>-2084073.182346225</v>
          </cell>
        </row>
        <row r="121">
          <cell r="O121">
            <v>-6209586.1604981907</v>
          </cell>
        </row>
        <row r="122">
          <cell r="O122">
            <v>-274982.56384424132</v>
          </cell>
        </row>
        <row r="123">
          <cell r="O123">
            <v>-302656.94711016893</v>
          </cell>
        </row>
        <row r="124">
          <cell r="O124">
            <v>-349092.8799326127</v>
          </cell>
        </row>
        <row r="125">
          <cell r="O125">
            <v>-2564048.9357694807</v>
          </cell>
        </row>
        <row r="126">
          <cell r="O126">
            <v>-812285.66682718112</v>
          </cell>
        </row>
        <row r="127">
          <cell r="O127">
            <v>-51322.807237002104</v>
          </cell>
        </row>
        <row r="128">
          <cell r="O128">
            <v>-22361.484978991393</v>
          </cell>
        </row>
        <row r="129">
          <cell r="O129">
            <v>-492701.99137578084</v>
          </cell>
        </row>
        <row r="130">
          <cell r="O130">
            <v>0</v>
          </cell>
        </row>
        <row r="131">
          <cell r="O131">
            <v>-3174.2434802283024</v>
          </cell>
        </row>
        <row r="132">
          <cell r="O132">
            <v>0</v>
          </cell>
        </row>
        <row r="133">
          <cell r="O133">
            <v>0</v>
          </cell>
        </row>
        <row r="134">
          <cell r="O134">
            <v>-1048032.4860593491</v>
          </cell>
        </row>
        <row r="135">
          <cell r="O135">
            <v>-34533.70060020563</v>
          </cell>
        </row>
        <row r="136">
          <cell r="O136">
            <v>-1313403.0464514729</v>
          </cell>
        </row>
        <row r="137">
          <cell r="O137">
            <v>0</v>
          </cell>
        </row>
        <row r="138">
          <cell r="O138">
            <v>-46869.637103254834</v>
          </cell>
        </row>
        <row r="139">
          <cell r="O139">
            <v>0</v>
          </cell>
        </row>
        <row r="140">
          <cell r="O140">
            <v>-158736.88762351027</v>
          </cell>
        </row>
        <row r="141">
          <cell r="O141">
            <v>-551586.73815527325</v>
          </cell>
        </row>
        <row r="142">
          <cell r="O142">
            <v>0</v>
          </cell>
        </row>
        <row r="143">
          <cell r="O143">
            <v>-2895169.738119537</v>
          </cell>
        </row>
        <row r="144">
          <cell r="O144">
            <v>-182306.13757619794</v>
          </cell>
        </row>
        <row r="145">
          <cell r="O145">
            <v>-183051.05411167315</v>
          </cell>
        </row>
        <row r="146">
          <cell r="O146">
            <v>-384623.2179924919</v>
          </cell>
        </row>
        <row r="147">
          <cell r="O147">
            <v>0</v>
          </cell>
        </row>
        <row r="148">
          <cell r="O148">
            <v>0</v>
          </cell>
        </row>
        <row r="149">
          <cell r="O149">
            <v>-972367.81060273899</v>
          </cell>
        </row>
        <row r="150">
          <cell r="O150">
            <v>0</v>
          </cell>
        </row>
        <row r="151">
          <cell r="O151">
            <v>-50055.82166938416</v>
          </cell>
        </row>
        <row r="152">
          <cell r="O152">
            <v>0</v>
          </cell>
        </row>
        <row r="153">
          <cell r="O153">
            <v>0</v>
          </cell>
        </row>
        <row r="154">
          <cell r="O154">
            <v>0</v>
          </cell>
        </row>
        <row r="155">
          <cell r="O155">
            <v>-476507.68348350923</v>
          </cell>
        </row>
        <row r="156">
          <cell r="O156">
            <v>0</v>
          </cell>
        </row>
        <row r="157">
          <cell r="O157">
            <v>0</v>
          </cell>
        </row>
        <row r="158">
          <cell r="O158">
            <v>0</v>
          </cell>
        </row>
        <row r="159">
          <cell r="O159">
            <v>0</v>
          </cell>
        </row>
        <row r="160">
          <cell r="O160">
            <v>-20015.425587751593</v>
          </cell>
        </row>
        <row r="161">
          <cell r="O161">
            <v>0</v>
          </cell>
        </row>
        <row r="162">
          <cell r="O162">
            <v>-76262.497688634176</v>
          </cell>
        </row>
        <row r="163">
          <cell r="O163">
            <v>-29801.965860612585</v>
          </cell>
        </row>
        <row r="164">
          <cell r="O164">
            <v>-20781.549970738964</v>
          </cell>
        </row>
        <row r="165">
          <cell r="O165">
            <v>0</v>
          </cell>
        </row>
        <row r="166">
          <cell r="O166">
            <v>-39737.354647376073</v>
          </cell>
        </row>
        <row r="167">
          <cell r="O167">
            <v>-92114.034839305183</v>
          </cell>
        </row>
        <row r="168">
          <cell r="O168">
            <v>-12427.911301915214</v>
          </cell>
        </row>
        <row r="169">
          <cell r="O169">
            <v>-477088.99967832561</v>
          </cell>
        </row>
        <row r="170">
          <cell r="O170">
            <v>-1108823.9398942168</v>
          </cell>
        </row>
        <row r="171">
          <cell r="O171">
            <v>-28312.071496967135</v>
          </cell>
        </row>
        <row r="172">
          <cell r="O172">
            <v>-21874.058655472887</v>
          </cell>
        </row>
        <row r="173">
          <cell r="O173">
            <v>-11738.219003396134</v>
          </cell>
        </row>
        <row r="174">
          <cell r="O174">
            <v>-41915.783793332375</v>
          </cell>
        </row>
        <row r="175">
          <cell r="O175">
            <v>0</v>
          </cell>
        </row>
        <row r="176">
          <cell r="O176">
            <v>-67612.185806788577</v>
          </cell>
        </row>
        <row r="177">
          <cell r="O177">
            <v>-574374.51686143992</v>
          </cell>
        </row>
        <row r="178">
          <cell r="O178">
            <v>-172362.4810194833</v>
          </cell>
        </row>
        <row r="179">
          <cell r="O179">
            <v>-275671.3500097543</v>
          </cell>
        </row>
        <row r="180">
          <cell r="O180">
            <v>-351042.53015735361</v>
          </cell>
        </row>
        <row r="181">
          <cell r="O181">
            <v>0</v>
          </cell>
        </row>
        <row r="182">
          <cell r="O182">
            <v>0</v>
          </cell>
        </row>
        <row r="183">
          <cell r="O183">
            <v>0</v>
          </cell>
        </row>
        <row r="184">
          <cell r="O184">
            <v>0</v>
          </cell>
        </row>
        <row r="185">
          <cell r="O185">
            <v>0</v>
          </cell>
        </row>
        <row r="186">
          <cell r="O186">
            <v>0</v>
          </cell>
        </row>
        <row r="187">
          <cell r="O187">
            <v>0</v>
          </cell>
        </row>
        <row r="188">
          <cell r="O188">
            <v>0</v>
          </cell>
        </row>
        <row r="189">
          <cell r="O189">
            <v>0</v>
          </cell>
        </row>
        <row r="190">
          <cell r="O190">
            <v>0</v>
          </cell>
        </row>
        <row r="191">
          <cell r="O191">
            <v>0</v>
          </cell>
        </row>
        <row r="192">
          <cell r="O192">
            <v>0</v>
          </cell>
        </row>
        <row r="193">
          <cell r="O193">
            <v>0</v>
          </cell>
        </row>
        <row r="194">
          <cell r="O194">
            <v>0</v>
          </cell>
        </row>
        <row r="195">
          <cell r="O195">
            <v>0</v>
          </cell>
        </row>
        <row r="196">
          <cell r="O196">
            <v>0</v>
          </cell>
        </row>
        <row r="197">
          <cell r="O197">
            <v>-40005.618853129818</v>
          </cell>
        </row>
        <row r="198">
          <cell r="O198">
            <v>0</v>
          </cell>
        </row>
        <row r="199">
          <cell r="O199">
            <v>-207385.96133561325</v>
          </cell>
        </row>
        <row r="200">
          <cell r="O200">
            <v>0</v>
          </cell>
        </row>
        <row r="201">
          <cell r="O201">
            <v>-594768.18815043836</v>
          </cell>
        </row>
        <row r="202">
          <cell r="O202">
            <v>0</v>
          </cell>
        </row>
        <row r="203">
          <cell r="O203">
            <v>-684.0050105154944</v>
          </cell>
        </row>
        <row r="204">
          <cell r="O204">
            <v>-353010.26235267235</v>
          </cell>
        </row>
        <row r="205">
          <cell r="O205">
            <v>0</v>
          </cell>
        </row>
        <row r="206">
          <cell r="O206">
            <v>0</v>
          </cell>
        </row>
        <row r="207">
          <cell r="O207">
            <v>0</v>
          </cell>
        </row>
        <row r="208">
          <cell r="O208">
            <v>-106723.24757644707</v>
          </cell>
        </row>
        <row r="209">
          <cell r="O209">
            <v>0</v>
          </cell>
        </row>
        <row r="210">
          <cell r="O210">
            <v>-119029.12603311837</v>
          </cell>
        </row>
        <row r="211">
          <cell r="O211">
            <v>-16768.112043677316</v>
          </cell>
        </row>
        <row r="212">
          <cell r="O212">
            <v>-74427.116278908186</v>
          </cell>
        </row>
        <row r="213">
          <cell r="O213">
            <v>-268883.87138676416</v>
          </cell>
        </row>
        <row r="214">
          <cell r="O214">
            <v>-286299.15522613947</v>
          </cell>
        </row>
        <row r="215">
          <cell r="O215">
            <v>-197349.23565942844</v>
          </cell>
        </row>
        <row r="216">
          <cell r="O216">
            <v>-233743.82006459788</v>
          </cell>
        </row>
        <row r="217">
          <cell r="O217">
            <v>-52428.256658389146</v>
          </cell>
        </row>
        <row r="218">
          <cell r="O218">
            <v>-614815.85197655589</v>
          </cell>
        </row>
        <row r="219">
          <cell r="O219">
            <v>-57872.254626138194</v>
          </cell>
        </row>
        <row r="220">
          <cell r="O220">
            <v>-85517.763644249702</v>
          </cell>
        </row>
        <row r="221">
          <cell r="O221">
            <v>-33992.695398293719</v>
          </cell>
        </row>
        <row r="222">
          <cell r="O222">
            <v>-135198.48986538377</v>
          </cell>
        </row>
        <row r="223">
          <cell r="O223">
            <v>-62293.891157677688</v>
          </cell>
        </row>
        <row r="224">
          <cell r="O224">
            <v>-1558656.6774928318</v>
          </cell>
        </row>
        <row r="225">
          <cell r="O225">
            <v>-31696.260957747658</v>
          </cell>
        </row>
        <row r="226">
          <cell r="O226">
            <v>-51720.008965546047</v>
          </cell>
        </row>
        <row r="227">
          <cell r="O227">
            <v>-118615.48297533378</v>
          </cell>
        </row>
        <row r="228">
          <cell r="O228">
            <v>-135311.33477002283</v>
          </cell>
        </row>
        <row r="229">
          <cell r="O229">
            <v>-1517.384264829361</v>
          </cell>
        </row>
        <row r="230">
          <cell r="O230">
            <v>-99575.826502113487</v>
          </cell>
        </row>
        <row r="231">
          <cell r="O231">
            <v>-2233171.5401521726</v>
          </cell>
        </row>
        <row r="232">
          <cell r="O232">
            <v>-131970.3077729895</v>
          </cell>
        </row>
        <row r="233">
          <cell r="O233">
            <v>-96347.658314508211</v>
          </cell>
        </row>
        <row r="234">
          <cell r="O234">
            <v>-75632.193458276291</v>
          </cell>
        </row>
        <row r="235">
          <cell r="O235">
            <v>-31845.579441489564</v>
          </cell>
        </row>
        <row r="236">
          <cell r="O236">
            <v>-96862.788250611717</v>
          </cell>
        </row>
        <row r="237">
          <cell r="O237">
            <v>-127477.44063610658</v>
          </cell>
        </row>
        <row r="238">
          <cell r="O238">
            <v>-55343.619593835429</v>
          </cell>
        </row>
        <row r="239">
          <cell r="O239">
            <v>-246716.32745178361</v>
          </cell>
        </row>
        <row r="240">
          <cell r="O240">
            <v>-104001.34396085085</v>
          </cell>
        </row>
        <row r="241">
          <cell r="O241">
            <v>-1190850.9560272719</v>
          </cell>
        </row>
        <row r="242">
          <cell r="O242">
            <v>-794074.48806790938</v>
          </cell>
        </row>
        <row r="243">
          <cell r="O243">
            <v>-345188.72061307245</v>
          </cell>
        </row>
        <row r="244">
          <cell r="O244">
            <v>-13381.622931603975</v>
          </cell>
        </row>
        <row r="245">
          <cell r="O245">
            <v>-50697.116600451242</v>
          </cell>
        </row>
        <row r="246">
          <cell r="O246">
            <v>-470115.05003277602</v>
          </cell>
        </row>
        <row r="247">
          <cell r="O247">
            <v>-150789.00217291637</v>
          </cell>
        </row>
        <row r="248">
          <cell r="O248">
            <v>-74973.755068083221</v>
          </cell>
        </row>
        <row r="249">
          <cell r="O249">
            <v>-18397.400251509367</v>
          </cell>
        </row>
        <row r="250">
          <cell r="O250">
            <v>-1687042.4696395826</v>
          </cell>
        </row>
        <row r="251">
          <cell r="O251">
            <v>-53583.076100842911</v>
          </cell>
        </row>
        <row r="252">
          <cell r="O252">
            <v>-31924.380039385509</v>
          </cell>
        </row>
        <row r="253">
          <cell r="O253">
            <v>-87930.546721552018</v>
          </cell>
        </row>
        <row r="254">
          <cell r="O254">
            <v>-894259.60320506501</v>
          </cell>
        </row>
        <row r="255">
          <cell r="O255">
            <v>-2119286.0145050273</v>
          </cell>
        </row>
        <row r="256">
          <cell r="O256">
            <v>-279441.21164126939</v>
          </cell>
        </row>
        <row r="257">
          <cell r="O257">
            <v>-333464.83116839203</v>
          </cell>
        </row>
        <row r="258">
          <cell r="O258">
            <v>0</v>
          </cell>
        </row>
        <row r="259">
          <cell r="O259">
            <v>0</v>
          </cell>
        </row>
        <row r="260">
          <cell r="O260">
            <v>-25258.769324522604</v>
          </cell>
        </row>
        <row r="261">
          <cell r="O261">
            <v>-52633.563765193452</v>
          </cell>
        </row>
        <row r="262">
          <cell r="O262">
            <v>0</v>
          </cell>
        </row>
        <row r="263">
          <cell r="O263">
            <v>0</v>
          </cell>
        </row>
        <row r="264">
          <cell r="O264">
            <v>0</v>
          </cell>
        </row>
        <row r="265">
          <cell r="O265">
            <v>0</v>
          </cell>
        </row>
        <row r="266">
          <cell r="O266">
            <v>0</v>
          </cell>
        </row>
        <row r="267">
          <cell r="O267">
            <v>-2021140.6817147464</v>
          </cell>
        </row>
        <row r="268">
          <cell r="O268">
            <v>0</v>
          </cell>
        </row>
        <row r="269">
          <cell r="O269">
            <v>0</v>
          </cell>
        </row>
        <row r="270">
          <cell r="O270">
            <v>0</v>
          </cell>
        </row>
        <row r="271">
          <cell r="O271">
            <v>-393819.15009918768</v>
          </cell>
        </row>
        <row r="272">
          <cell r="O272">
            <v>-1173815.9400967343</v>
          </cell>
        </row>
        <row r="273">
          <cell r="O273">
            <v>-685970.94819057174</v>
          </cell>
        </row>
        <row r="274">
          <cell r="O274">
            <v>-582543.02080170764</v>
          </cell>
        </row>
        <row r="275">
          <cell r="O275">
            <v>-396354.41257633799</v>
          </cell>
        </row>
        <row r="276">
          <cell r="O276">
            <v>0</v>
          </cell>
        </row>
        <row r="277">
          <cell r="O277">
            <v>-1421229.7120195532</v>
          </cell>
        </row>
        <row r="278">
          <cell r="O278">
            <v>-116467.95495784891</v>
          </cell>
        </row>
        <row r="279">
          <cell r="O279">
            <v>-5311381.4081647228</v>
          </cell>
        </row>
        <row r="280">
          <cell r="O280">
            <v>-208737.14438075075</v>
          </cell>
        </row>
        <row r="281">
          <cell r="O281">
            <v>0</v>
          </cell>
        </row>
        <row r="282">
          <cell r="O282">
            <v>-2728048.951317932</v>
          </cell>
        </row>
        <row r="283">
          <cell r="O283">
            <v>-880503.16356111411</v>
          </cell>
        </row>
        <row r="284">
          <cell r="O284">
            <v>-9280.3003863698832</v>
          </cell>
        </row>
        <row r="285">
          <cell r="O285">
            <v>-209109.50837344251</v>
          </cell>
        </row>
        <row r="286">
          <cell r="O286">
            <v>0</v>
          </cell>
        </row>
        <row r="287">
          <cell r="O287">
            <v>-30487.57941285515</v>
          </cell>
        </row>
        <row r="288">
          <cell r="O288">
            <v>-80996.928333337681</v>
          </cell>
        </row>
        <row r="289">
          <cell r="O289">
            <v>-23953.073297061419</v>
          </cell>
        </row>
        <row r="290">
          <cell r="O290">
            <v>-109205.0071044698</v>
          </cell>
        </row>
        <row r="291">
          <cell r="O291">
            <v>-970.11771048341825</v>
          </cell>
        </row>
        <row r="292">
          <cell r="O292">
            <v>-14502.444298156637</v>
          </cell>
        </row>
        <row r="293">
          <cell r="O293">
            <v>-17174.985321723372</v>
          </cell>
        </row>
        <row r="294">
          <cell r="O294">
            <v>-55292.696861689532</v>
          </cell>
        </row>
        <row r="295">
          <cell r="O295">
            <v>-46879.278915936025</v>
          </cell>
        </row>
        <row r="296">
          <cell r="O296">
            <v>-90776.647724774113</v>
          </cell>
        </row>
        <row r="297">
          <cell r="O297">
            <v>-36991.159961922902</v>
          </cell>
        </row>
        <row r="298">
          <cell r="O298">
            <v>-201287.84593382289</v>
          </cell>
        </row>
        <row r="299">
          <cell r="O299">
            <v>-30692.709533058889</v>
          </cell>
        </row>
        <row r="300">
          <cell r="O300">
            <v>0</v>
          </cell>
        </row>
        <row r="301">
          <cell r="O301">
            <v>-43133.587158307404</v>
          </cell>
        </row>
        <row r="302">
          <cell r="O302">
            <v>-34314.546476672629</v>
          </cell>
        </row>
        <row r="303">
          <cell r="O303">
            <v>-2405.8015924719493</v>
          </cell>
        </row>
        <row r="304">
          <cell r="O304">
            <v>-26586.201542545321</v>
          </cell>
        </row>
        <row r="305">
          <cell r="O305">
            <v>-33912.270401665577</v>
          </cell>
        </row>
        <row r="306">
          <cell r="O306">
            <v>-6723.9782196071556</v>
          </cell>
        </row>
        <row r="307">
          <cell r="O307">
            <v>-11303.437654062576</v>
          </cell>
        </row>
        <row r="308">
          <cell r="O308">
            <v>-116466.3386415431</v>
          </cell>
        </row>
        <row r="309">
          <cell r="O309">
            <v>-150556.47795505289</v>
          </cell>
        </row>
        <row r="310">
          <cell r="O310">
            <v>-2150.8892374617626</v>
          </cell>
        </row>
        <row r="311">
          <cell r="O311">
            <v>-30483.003972029106</v>
          </cell>
        </row>
        <row r="312">
          <cell r="O312">
            <v>-10018680.718203487</v>
          </cell>
        </row>
        <row r="313">
          <cell r="O313">
            <v>-340802.81266107078</v>
          </cell>
        </row>
        <row r="314">
          <cell r="O314">
            <v>-170940039.30213711</v>
          </cell>
        </row>
      </sheetData>
      <sheetData sheetId="11">
        <row r="5">
          <cell r="I5">
            <v>0</v>
          </cell>
        </row>
        <row r="6">
          <cell r="I6">
            <v>0</v>
          </cell>
        </row>
        <row r="7">
          <cell r="I7">
            <v>0</v>
          </cell>
        </row>
        <row r="8">
          <cell r="I8">
            <v>0</v>
          </cell>
        </row>
        <row r="9">
          <cell r="I9">
            <v>0</v>
          </cell>
        </row>
        <row r="10">
          <cell r="I10">
            <v>0</v>
          </cell>
        </row>
        <row r="11">
          <cell r="I11">
            <v>0</v>
          </cell>
        </row>
        <row r="12">
          <cell r="I12">
            <v>0</v>
          </cell>
        </row>
        <row r="13">
          <cell r="I13">
            <v>0</v>
          </cell>
        </row>
        <row r="14">
          <cell r="I14">
            <v>0</v>
          </cell>
        </row>
        <row r="15">
          <cell r="I15">
            <v>0</v>
          </cell>
        </row>
        <row r="16">
          <cell r="I16">
            <v>0</v>
          </cell>
        </row>
        <row r="17">
          <cell r="I17">
            <v>0</v>
          </cell>
        </row>
        <row r="18">
          <cell r="I18">
            <v>0</v>
          </cell>
        </row>
        <row r="19">
          <cell r="I19">
            <v>0</v>
          </cell>
        </row>
        <row r="20">
          <cell r="I20">
            <v>0</v>
          </cell>
        </row>
        <row r="21">
          <cell r="I21">
            <v>0</v>
          </cell>
        </row>
        <row r="22">
          <cell r="I22">
            <v>0</v>
          </cell>
        </row>
        <row r="23">
          <cell r="I23">
            <v>0</v>
          </cell>
        </row>
        <row r="24">
          <cell r="I24">
            <v>0</v>
          </cell>
        </row>
        <row r="25">
          <cell r="I25">
            <v>-290313.46753743105</v>
          </cell>
        </row>
        <row r="26">
          <cell r="I26">
            <v>-268143.68990040268</v>
          </cell>
        </row>
        <row r="27">
          <cell r="I27">
            <v>0</v>
          </cell>
        </row>
        <row r="28">
          <cell r="I28">
            <v>0</v>
          </cell>
        </row>
        <row r="29">
          <cell r="I29">
            <v>0</v>
          </cell>
        </row>
        <row r="30">
          <cell r="I30">
            <v>0</v>
          </cell>
        </row>
        <row r="31">
          <cell r="I31">
            <v>0</v>
          </cell>
        </row>
        <row r="32">
          <cell r="I32">
            <v>0</v>
          </cell>
        </row>
        <row r="33">
          <cell r="I33">
            <v>0</v>
          </cell>
        </row>
        <row r="34">
          <cell r="I34">
            <v>0</v>
          </cell>
        </row>
        <row r="35">
          <cell r="I35">
            <v>0</v>
          </cell>
        </row>
        <row r="36">
          <cell r="I36">
            <v>0</v>
          </cell>
        </row>
        <row r="37">
          <cell r="I37">
            <v>0</v>
          </cell>
        </row>
        <row r="38">
          <cell r="I38">
            <v>0</v>
          </cell>
        </row>
        <row r="39">
          <cell r="I39">
            <v>0</v>
          </cell>
        </row>
        <row r="40">
          <cell r="I40">
            <v>0</v>
          </cell>
        </row>
        <row r="41">
          <cell r="I41">
            <v>0</v>
          </cell>
        </row>
        <row r="42">
          <cell r="I42">
            <v>0</v>
          </cell>
        </row>
        <row r="43">
          <cell r="I43">
            <v>0</v>
          </cell>
        </row>
        <row r="44">
          <cell r="I44">
            <v>0</v>
          </cell>
        </row>
        <row r="45">
          <cell r="I45">
            <v>0</v>
          </cell>
        </row>
        <row r="46">
          <cell r="I46">
            <v>0</v>
          </cell>
        </row>
        <row r="47">
          <cell r="I47">
            <v>0</v>
          </cell>
        </row>
        <row r="48">
          <cell r="I48">
            <v>0</v>
          </cell>
        </row>
        <row r="49">
          <cell r="I49">
            <v>0</v>
          </cell>
        </row>
        <row r="50">
          <cell r="I50">
            <v>0</v>
          </cell>
        </row>
        <row r="51">
          <cell r="I51">
            <v>0</v>
          </cell>
        </row>
        <row r="52">
          <cell r="I52">
            <v>0</v>
          </cell>
        </row>
        <row r="53">
          <cell r="I53">
            <v>0</v>
          </cell>
        </row>
        <row r="54">
          <cell r="I54">
            <v>0</v>
          </cell>
        </row>
        <row r="55">
          <cell r="I55">
            <v>0</v>
          </cell>
        </row>
        <row r="56">
          <cell r="I56">
            <v>0</v>
          </cell>
        </row>
        <row r="57">
          <cell r="I57">
            <v>0</v>
          </cell>
        </row>
        <row r="58">
          <cell r="I58">
            <v>0</v>
          </cell>
        </row>
        <row r="59">
          <cell r="I59">
            <v>0</v>
          </cell>
        </row>
        <row r="60">
          <cell r="I60">
            <v>0</v>
          </cell>
        </row>
        <row r="61">
          <cell r="I61">
            <v>-2324886.6737488047</v>
          </cell>
        </row>
        <row r="62">
          <cell r="I62">
            <v>0</v>
          </cell>
        </row>
        <row r="63">
          <cell r="I63">
            <v>0</v>
          </cell>
        </row>
        <row r="64">
          <cell r="I64">
            <v>0</v>
          </cell>
        </row>
        <row r="65">
          <cell r="I65">
            <v>0</v>
          </cell>
        </row>
        <row r="66">
          <cell r="I66">
            <v>0</v>
          </cell>
        </row>
        <row r="67">
          <cell r="I67">
            <v>0</v>
          </cell>
        </row>
        <row r="68">
          <cell r="I68">
            <v>0</v>
          </cell>
        </row>
        <row r="69">
          <cell r="I69">
            <v>0</v>
          </cell>
        </row>
        <row r="70">
          <cell r="I70">
            <v>0</v>
          </cell>
        </row>
        <row r="71">
          <cell r="I71">
            <v>0</v>
          </cell>
        </row>
        <row r="72">
          <cell r="I72">
            <v>0</v>
          </cell>
        </row>
        <row r="73">
          <cell r="I73">
            <v>0</v>
          </cell>
        </row>
        <row r="74">
          <cell r="I74">
            <v>0</v>
          </cell>
        </row>
        <row r="75">
          <cell r="I75">
            <v>0</v>
          </cell>
        </row>
        <row r="76">
          <cell r="I76">
            <v>0</v>
          </cell>
        </row>
        <row r="77">
          <cell r="I77">
            <v>0</v>
          </cell>
        </row>
        <row r="78">
          <cell r="I78">
            <v>0</v>
          </cell>
        </row>
        <row r="79">
          <cell r="I79">
            <v>0</v>
          </cell>
        </row>
        <row r="80">
          <cell r="I80">
            <v>0</v>
          </cell>
        </row>
        <row r="81">
          <cell r="I81">
            <v>0</v>
          </cell>
        </row>
        <row r="82">
          <cell r="I82">
            <v>0</v>
          </cell>
        </row>
        <row r="83">
          <cell r="I83">
            <v>0</v>
          </cell>
        </row>
        <row r="84">
          <cell r="I84">
            <v>0</v>
          </cell>
        </row>
        <row r="85">
          <cell r="I85">
            <v>0</v>
          </cell>
        </row>
        <row r="86">
          <cell r="I86">
            <v>0</v>
          </cell>
        </row>
        <row r="87">
          <cell r="I87">
            <v>0</v>
          </cell>
        </row>
        <row r="88">
          <cell r="I88">
            <v>0</v>
          </cell>
        </row>
        <row r="89">
          <cell r="I89">
            <v>0</v>
          </cell>
        </row>
        <row r="90">
          <cell r="I90">
            <v>0</v>
          </cell>
        </row>
        <row r="91">
          <cell r="I91">
            <v>0</v>
          </cell>
        </row>
        <row r="92">
          <cell r="I92">
            <v>0</v>
          </cell>
        </row>
        <row r="93">
          <cell r="I93">
            <v>0</v>
          </cell>
        </row>
        <row r="94">
          <cell r="I94">
            <v>0</v>
          </cell>
        </row>
        <row r="95">
          <cell r="I95">
            <v>0</v>
          </cell>
        </row>
        <row r="96">
          <cell r="I96">
            <v>0</v>
          </cell>
        </row>
        <row r="97">
          <cell r="I97">
            <v>0</v>
          </cell>
        </row>
        <row r="98">
          <cell r="I98">
            <v>0</v>
          </cell>
        </row>
        <row r="99">
          <cell r="I99">
            <v>0</v>
          </cell>
        </row>
        <row r="100">
          <cell r="I100">
            <v>0</v>
          </cell>
        </row>
        <row r="101">
          <cell r="I101">
            <v>0</v>
          </cell>
        </row>
        <row r="102">
          <cell r="I102">
            <v>0</v>
          </cell>
        </row>
        <row r="103">
          <cell r="I103">
            <v>0</v>
          </cell>
        </row>
        <row r="104">
          <cell r="I104">
            <v>0</v>
          </cell>
        </row>
        <row r="105">
          <cell r="I105">
            <v>0</v>
          </cell>
        </row>
        <row r="106">
          <cell r="I106">
            <v>0</v>
          </cell>
        </row>
        <row r="107">
          <cell r="I107">
            <v>0</v>
          </cell>
        </row>
        <row r="108">
          <cell r="I108">
            <v>0</v>
          </cell>
        </row>
        <row r="109">
          <cell r="I109">
            <v>0</v>
          </cell>
        </row>
        <row r="110">
          <cell r="I110">
            <v>0</v>
          </cell>
        </row>
        <row r="111">
          <cell r="I111">
            <v>0</v>
          </cell>
        </row>
        <row r="112">
          <cell r="I112">
            <v>0</v>
          </cell>
        </row>
        <row r="113">
          <cell r="I113">
            <v>0</v>
          </cell>
        </row>
        <row r="114">
          <cell r="I114">
            <v>0</v>
          </cell>
        </row>
        <row r="115">
          <cell r="I115">
            <v>-1872325.9948874046</v>
          </cell>
        </row>
        <row r="116">
          <cell r="I116">
            <v>0</v>
          </cell>
        </row>
        <row r="117">
          <cell r="I117">
            <v>0</v>
          </cell>
        </row>
        <row r="118">
          <cell r="I118">
            <v>0</v>
          </cell>
        </row>
        <row r="119">
          <cell r="I119">
            <v>0</v>
          </cell>
        </row>
        <row r="120">
          <cell r="I120">
            <v>0</v>
          </cell>
        </row>
        <row r="121">
          <cell r="I121">
            <v>0</v>
          </cell>
        </row>
        <row r="122">
          <cell r="I122">
            <v>0</v>
          </cell>
        </row>
        <row r="123">
          <cell r="I123">
            <v>0</v>
          </cell>
        </row>
        <row r="124">
          <cell r="I124">
            <v>0</v>
          </cell>
        </row>
        <row r="125">
          <cell r="I125">
            <v>0</v>
          </cell>
        </row>
        <row r="126">
          <cell r="I126">
            <v>0</v>
          </cell>
        </row>
        <row r="127">
          <cell r="I127">
            <v>0</v>
          </cell>
        </row>
        <row r="128">
          <cell r="I128">
            <v>0</v>
          </cell>
        </row>
        <row r="129">
          <cell r="I129">
            <v>0</v>
          </cell>
        </row>
        <row r="130">
          <cell r="I130">
            <v>0</v>
          </cell>
        </row>
        <row r="131">
          <cell r="I131">
            <v>0</v>
          </cell>
        </row>
        <row r="132">
          <cell r="I132">
            <v>0</v>
          </cell>
        </row>
        <row r="133">
          <cell r="I133">
            <v>-453528.95775680285</v>
          </cell>
        </row>
        <row r="134">
          <cell r="I134">
            <v>0</v>
          </cell>
        </row>
        <row r="135">
          <cell r="I135">
            <v>0</v>
          </cell>
        </row>
        <row r="136">
          <cell r="I136">
            <v>0</v>
          </cell>
        </row>
        <row r="137">
          <cell r="I137">
            <v>0</v>
          </cell>
        </row>
        <row r="138">
          <cell r="I138">
            <v>0</v>
          </cell>
        </row>
        <row r="139">
          <cell r="I139">
            <v>0</v>
          </cell>
        </row>
        <row r="140">
          <cell r="I140">
            <v>0</v>
          </cell>
        </row>
        <row r="141">
          <cell r="I141">
            <v>0</v>
          </cell>
        </row>
        <row r="142">
          <cell r="I142">
            <v>0</v>
          </cell>
        </row>
        <row r="143">
          <cell r="I143">
            <v>0</v>
          </cell>
        </row>
        <row r="144">
          <cell r="I144">
            <v>0</v>
          </cell>
        </row>
        <row r="145">
          <cell r="I145">
            <v>0</v>
          </cell>
        </row>
        <row r="146">
          <cell r="I146">
            <v>0</v>
          </cell>
        </row>
        <row r="147">
          <cell r="I147">
            <v>0</v>
          </cell>
        </row>
        <row r="148">
          <cell r="I148">
            <v>-114595.51232201634</v>
          </cell>
        </row>
        <row r="149">
          <cell r="I149">
            <v>0</v>
          </cell>
        </row>
        <row r="150">
          <cell r="I150">
            <v>0</v>
          </cell>
        </row>
        <row r="151">
          <cell r="I151">
            <v>0</v>
          </cell>
        </row>
        <row r="152">
          <cell r="I152">
            <v>0</v>
          </cell>
        </row>
        <row r="153">
          <cell r="I153">
            <v>0</v>
          </cell>
        </row>
        <row r="154">
          <cell r="I154">
            <v>0</v>
          </cell>
        </row>
        <row r="155">
          <cell r="I155">
            <v>0</v>
          </cell>
        </row>
        <row r="156">
          <cell r="I156">
            <v>-3274277.7876075851</v>
          </cell>
        </row>
        <row r="157">
          <cell r="I157">
            <v>0</v>
          </cell>
        </row>
        <row r="158">
          <cell r="I158">
            <v>0</v>
          </cell>
        </row>
        <row r="159">
          <cell r="I159">
            <v>-613528.78949082759</v>
          </cell>
        </row>
        <row r="160">
          <cell r="I160">
            <v>0</v>
          </cell>
        </row>
        <row r="161">
          <cell r="I161">
            <v>0</v>
          </cell>
        </row>
        <row r="162">
          <cell r="I162">
            <v>0</v>
          </cell>
        </row>
        <row r="163">
          <cell r="I163">
            <v>0</v>
          </cell>
        </row>
        <row r="164">
          <cell r="I164">
            <v>0</v>
          </cell>
        </row>
        <row r="165">
          <cell r="I165">
            <v>0</v>
          </cell>
        </row>
        <row r="166">
          <cell r="I166">
            <v>0</v>
          </cell>
        </row>
        <row r="167">
          <cell r="I167">
            <v>0</v>
          </cell>
        </row>
        <row r="168">
          <cell r="I168">
            <v>0</v>
          </cell>
        </row>
        <row r="169">
          <cell r="I169">
            <v>0</v>
          </cell>
        </row>
        <row r="170">
          <cell r="I170">
            <v>0</v>
          </cell>
        </row>
        <row r="171">
          <cell r="I171">
            <v>0</v>
          </cell>
        </row>
        <row r="172">
          <cell r="I172">
            <v>0</v>
          </cell>
        </row>
        <row r="173">
          <cell r="I173">
            <v>0</v>
          </cell>
        </row>
        <row r="174">
          <cell r="I174">
            <v>0</v>
          </cell>
        </row>
        <row r="175">
          <cell r="I175">
            <v>0</v>
          </cell>
        </row>
        <row r="176">
          <cell r="I176">
            <v>0</v>
          </cell>
        </row>
        <row r="177">
          <cell r="I177">
            <v>0</v>
          </cell>
        </row>
        <row r="178">
          <cell r="I178">
            <v>0</v>
          </cell>
        </row>
        <row r="179">
          <cell r="I179">
            <v>0</v>
          </cell>
        </row>
        <row r="180">
          <cell r="I180">
            <v>0</v>
          </cell>
        </row>
        <row r="181">
          <cell r="I181">
            <v>0</v>
          </cell>
        </row>
        <row r="182">
          <cell r="I182">
            <v>0</v>
          </cell>
        </row>
        <row r="183">
          <cell r="I183">
            <v>0</v>
          </cell>
        </row>
        <row r="184">
          <cell r="I184">
            <v>0</v>
          </cell>
        </row>
        <row r="185">
          <cell r="I185">
            <v>0</v>
          </cell>
        </row>
        <row r="186">
          <cell r="I186">
            <v>0</v>
          </cell>
        </row>
        <row r="187">
          <cell r="I187">
            <v>-1137452.4240403031</v>
          </cell>
        </row>
        <row r="188">
          <cell r="I188">
            <v>0</v>
          </cell>
        </row>
        <row r="189">
          <cell r="I189">
            <v>-1141341.5759996397</v>
          </cell>
        </row>
        <row r="190">
          <cell r="I190">
            <v>-973496.63057126792</v>
          </cell>
        </row>
        <row r="191">
          <cell r="I191">
            <v>0</v>
          </cell>
        </row>
        <row r="192">
          <cell r="I192">
            <v>0</v>
          </cell>
        </row>
        <row r="193">
          <cell r="I193">
            <v>-840470.81999834778</v>
          </cell>
        </row>
        <row r="194">
          <cell r="I194">
            <v>0</v>
          </cell>
        </row>
        <row r="195">
          <cell r="I195">
            <v>0</v>
          </cell>
        </row>
        <row r="196">
          <cell r="I196">
            <v>-344207.34463033732</v>
          </cell>
        </row>
        <row r="197">
          <cell r="I197">
            <v>0</v>
          </cell>
        </row>
        <row r="198">
          <cell r="I198">
            <v>0</v>
          </cell>
        </row>
        <row r="199">
          <cell r="I199">
            <v>0</v>
          </cell>
        </row>
        <row r="200">
          <cell r="I200">
            <v>-7199777.9730959199</v>
          </cell>
        </row>
        <row r="201">
          <cell r="I201">
            <v>0</v>
          </cell>
        </row>
        <row r="202">
          <cell r="I202">
            <v>0</v>
          </cell>
        </row>
        <row r="203">
          <cell r="I203">
            <v>0</v>
          </cell>
        </row>
        <row r="204">
          <cell r="I204">
            <v>0</v>
          </cell>
        </row>
        <row r="205">
          <cell r="I205">
            <v>0</v>
          </cell>
        </row>
        <row r="206">
          <cell r="I206">
            <v>-632200.18591514311</v>
          </cell>
        </row>
        <row r="207">
          <cell r="I207">
            <v>0</v>
          </cell>
        </row>
        <row r="208">
          <cell r="I208">
            <v>0</v>
          </cell>
        </row>
        <row r="209">
          <cell r="I209">
            <v>0</v>
          </cell>
        </row>
        <row r="210">
          <cell r="I210">
            <v>0</v>
          </cell>
        </row>
        <row r="211">
          <cell r="I211">
            <v>0</v>
          </cell>
        </row>
        <row r="212">
          <cell r="I212">
            <v>0</v>
          </cell>
        </row>
        <row r="213">
          <cell r="I213">
            <v>0</v>
          </cell>
        </row>
        <row r="214">
          <cell r="I214">
            <v>0</v>
          </cell>
        </row>
        <row r="215">
          <cell r="I215">
            <v>0</v>
          </cell>
        </row>
        <row r="216">
          <cell r="I216">
            <v>0</v>
          </cell>
        </row>
        <row r="217">
          <cell r="I217">
            <v>0</v>
          </cell>
        </row>
        <row r="218">
          <cell r="I218">
            <v>0</v>
          </cell>
        </row>
        <row r="219">
          <cell r="I219">
            <v>0</v>
          </cell>
        </row>
        <row r="220">
          <cell r="I220">
            <v>0</v>
          </cell>
        </row>
        <row r="221">
          <cell r="I221">
            <v>0</v>
          </cell>
        </row>
        <row r="222">
          <cell r="I222">
            <v>0</v>
          </cell>
        </row>
        <row r="223">
          <cell r="I223">
            <v>0</v>
          </cell>
        </row>
        <row r="224">
          <cell r="I224">
            <v>0</v>
          </cell>
        </row>
        <row r="225">
          <cell r="I225">
            <v>0</v>
          </cell>
        </row>
        <row r="226">
          <cell r="I226">
            <v>0</v>
          </cell>
        </row>
        <row r="227">
          <cell r="I227">
            <v>0</v>
          </cell>
        </row>
        <row r="228">
          <cell r="I228">
            <v>0</v>
          </cell>
        </row>
        <row r="229">
          <cell r="I229">
            <v>0</v>
          </cell>
        </row>
        <row r="230">
          <cell r="I230">
            <v>0</v>
          </cell>
        </row>
        <row r="231">
          <cell r="I231">
            <v>0</v>
          </cell>
        </row>
        <row r="232">
          <cell r="I232">
            <v>0</v>
          </cell>
        </row>
        <row r="233">
          <cell r="I233">
            <v>0</v>
          </cell>
        </row>
        <row r="234">
          <cell r="I234">
            <v>0</v>
          </cell>
        </row>
        <row r="235">
          <cell r="I235">
            <v>0</v>
          </cell>
        </row>
        <row r="236">
          <cell r="I236">
            <v>0</v>
          </cell>
        </row>
        <row r="237">
          <cell r="I237">
            <v>0</v>
          </cell>
        </row>
        <row r="238">
          <cell r="I238">
            <v>0</v>
          </cell>
        </row>
        <row r="239">
          <cell r="I239">
            <v>0</v>
          </cell>
        </row>
        <row r="240">
          <cell r="I240">
            <v>0</v>
          </cell>
        </row>
        <row r="241">
          <cell r="I241">
            <v>0</v>
          </cell>
        </row>
        <row r="242">
          <cell r="I242">
            <v>0</v>
          </cell>
        </row>
        <row r="243">
          <cell r="I243">
            <v>0</v>
          </cell>
        </row>
        <row r="244">
          <cell r="I244">
            <v>0</v>
          </cell>
        </row>
        <row r="245">
          <cell r="I245">
            <v>0</v>
          </cell>
        </row>
        <row r="246">
          <cell r="I246">
            <v>0</v>
          </cell>
        </row>
        <row r="247">
          <cell r="I247">
            <v>0</v>
          </cell>
        </row>
        <row r="248">
          <cell r="I248">
            <v>0</v>
          </cell>
        </row>
        <row r="249">
          <cell r="I249">
            <v>0</v>
          </cell>
        </row>
        <row r="250">
          <cell r="I250">
            <v>0</v>
          </cell>
        </row>
        <row r="251">
          <cell r="I251">
            <v>0</v>
          </cell>
        </row>
        <row r="252">
          <cell r="I252">
            <v>0</v>
          </cell>
        </row>
        <row r="253">
          <cell r="I253">
            <v>0</v>
          </cell>
        </row>
        <row r="254">
          <cell r="I254">
            <v>0</v>
          </cell>
        </row>
        <row r="255">
          <cell r="I255">
            <v>0</v>
          </cell>
        </row>
        <row r="256">
          <cell r="I256">
            <v>0</v>
          </cell>
        </row>
        <row r="257">
          <cell r="I257">
            <v>-762598.45543038833</v>
          </cell>
        </row>
        <row r="258">
          <cell r="I258">
            <v>0</v>
          </cell>
        </row>
        <row r="259">
          <cell r="I259">
            <v>-118434.04598913316</v>
          </cell>
        </row>
        <row r="260">
          <cell r="I260">
            <v>0</v>
          </cell>
        </row>
        <row r="261">
          <cell r="I261">
            <v>0</v>
          </cell>
        </row>
        <row r="262">
          <cell r="I262">
            <v>-351869.58477220143</v>
          </cell>
        </row>
        <row r="263">
          <cell r="I263">
            <v>0</v>
          </cell>
        </row>
        <row r="264">
          <cell r="I264">
            <v>0</v>
          </cell>
        </row>
        <row r="265">
          <cell r="I265">
            <v>0</v>
          </cell>
        </row>
        <row r="266">
          <cell r="I266">
            <v>0</v>
          </cell>
        </row>
        <row r="267">
          <cell r="I267">
            <v>0</v>
          </cell>
        </row>
        <row r="268">
          <cell r="I268">
            <v>-1999914.3968812721</v>
          </cell>
        </row>
        <row r="269">
          <cell r="I269">
            <v>0</v>
          </cell>
        </row>
        <row r="270">
          <cell r="I270">
            <v>0</v>
          </cell>
        </row>
        <row r="271">
          <cell r="I271">
            <v>0</v>
          </cell>
        </row>
        <row r="272">
          <cell r="I272">
            <v>0</v>
          </cell>
        </row>
        <row r="273">
          <cell r="I273">
            <v>0</v>
          </cell>
        </row>
        <row r="274">
          <cell r="I274">
            <v>0</v>
          </cell>
        </row>
        <row r="275">
          <cell r="I275">
            <v>0</v>
          </cell>
        </row>
        <row r="276">
          <cell r="I276">
            <v>0</v>
          </cell>
        </row>
        <row r="277">
          <cell r="I277">
            <v>0</v>
          </cell>
        </row>
        <row r="278">
          <cell r="I278">
            <v>0</v>
          </cell>
        </row>
        <row r="279">
          <cell r="I279">
            <v>0</v>
          </cell>
        </row>
        <row r="280">
          <cell r="I280">
            <v>0</v>
          </cell>
        </row>
        <row r="281">
          <cell r="I281">
            <v>0</v>
          </cell>
        </row>
        <row r="282">
          <cell r="I282">
            <v>0</v>
          </cell>
        </row>
        <row r="283">
          <cell r="I283">
            <v>0</v>
          </cell>
        </row>
        <row r="284">
          <cell r="I284">
            <v>0</v>
          </cell>
        </row>
        <row r="285">
          <cell r="I285">
            <v>0</v>
          </cell>
        </row>
        <row r="286">
          <cell r="I286">
            <v>0</v>
          </cell>
        </row>
        <row r="287">
          <cell r="I287">
            <v>0</v>
          </cell>
        </row>
        <row r="288">
          <cell r="I288">
            <v>0</v>
          </cell>
        </row>
        <row r="289">
          <cell r="I289">
            <v>0</v>
          </cell>
        </row>
        <row r="290">
          <cell r="I290">
            <v>0</v>
          </cell>
        </row>
        <row r="291">
          <cell r="I291">
            <v>0</v>
          </cell>
        </row>
        <row r="292">
          <cell r="I292">
            <v>0</v>
          </cell>
        </row>
        <row r="293">
          <cell r="I293">
            <v>0</v>
          </cell>
        </row>
        <row r="294">
          <cell r="I294">
            <v>0</v>
          </cell>
        </row>
        <row r="295">
          <cell r="I295">
            <v>0</v>
          </cell>
        </row>
        <row r="296">
          <cell r="I296">
            <v>0</v>
          </cell>
        </row>
        <row r="297">
          <cell r="I297">
            <v>0</v>
          </cell>
        </row>
        <row r="298">
          <cell r="I298">
            <v>0</v>
          </cell>
        </row>
        <row r="299">
          <cell r="I299">
            <v>0</v>
          </cell>
        </row>
        <row r="300">
          <cell r="I300">
            <v>0</v>
          </cell>
        </row>
        <row r="301">
          <cell r="I301">
            <v>0</v>
          </cell>
        </row>
        <row r="302">
          <cell r="I302">
            <v>0</v>
          </cell>
        </row>
        <row r="303">
          <cell r="I303">
            <v>0</v>
          </cell>
        </row>
        <row r="304">
          <cell r="I304">
            <v>0</v>
          </cell>
        </row>
        <row r="305">
          <cell r="I305">
            <v>0</v>
          </cell>
        </row>
        <row r="306">
          <cell r="I306">
            <v>0</v>
          </cell>
        </row>
        <row r="307">
          <cell r="I307">
            <v>0</v>
          </cell>
        </row>
        <row r="308">
          <cell r="I308">
            <v>0</v>
          </cell>
        </row>
        <row r="309">
          <cell r="I309">
            <v>0</v>
          </cell>
        </row>
        <row r="310">
          <cell r="I310">
            <v>0</v>
          </cell>
        </row>
        <row r="311">
          <cell r="I311">
            <v>0</v>
          </cell>
        </row>
        <row r="312">
          <cell r="I312">
            <v>0</v>
          </cell>
        </row>
        <row r="313">
          <cell r="I313">
            <v>0</v>
          </cell>
        </row>
        <row r="314">
          <cell r="I314">
            <v>-24713364.310575232</v>
          </cell>
        </row>
      </sheetData>
      <sheetData sheetId="12">
        <row r="5">
          <cell r="J5">
            <v>0</v>
          </cell>
        </row>
        <row r="6">
          <cell r="J6">
            <v>0</v>
          </cell>
        </row>
        <row r="7">
          <cell r="J7">
            <v>0</v>
          </cell>
        </row>
        <row r="8">
          <cell r="J8">
            <v>0</v>
          </cell>
        </row>
        <row r="9">
          <cell r="J9">
            <v>0</v>
          </cell>
        </row>
        <row r="10">
          <cell r="J10">
            <v>0</v>
          </cell>
        </row>
        <row r="11">
          <cell r="J11">
            <v>0</v>
          </cell>
        </row>
        <row r="12">
          <cell r="J12">
            <v>0</v>
          </cell>
        </row>
        <row r="13">
          <cell r="J13">
            <v>0</v>
          </cell>
        </row>
        <row r="14">
          <cell r="J14">
            <v>0</v>
          </cell>
        </row>
        <row r="15">
          <cell r="J15">
            <v>0</v>
          </cell>
        </row>
        <row r="16">
          <cell r="J16">
            <v>0</v>
          </cell>
        </row>
        <row r="17">
          <cell r="J17">
            <v>0</v>
          </cell>
        </row>
        <row r="18">
          <cell r="J18">
            <v>0</v>
          </cell>
        </row>
        <row r="19">
          <cell r="J19">
            <v>0</v>
          </cell>
        </row>
        <row r="20">
          <cell r="J20">
            <v>0</v>
          </cell>
        </row>
        <row r="21">
          <cell r="J21">
            <v>0</v>
          </cell>
        </row>
        <row r="22">
          <cell r="J22">
            <v>0</v>
          </cell>
        </row>
        <row r="23">
          <cell r="J23">
            <v>0</v>
          </cell>
        </row>
        <row r="24">
          <cell r="J24">
            <v>0</v>
          </cell>
        </row>
        <row r="25">
          <cell r="J25">
            <v>0</v>
          </cell>
        </row>
        <row r="26">
          <cell r="J26">
            <v>0</v>
          </cell>
        </row>
        <row r="27">
          <cell r="J27">
            <v>0</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J42">
            <v>0</v>
          </cell>
        </row>
        <row r="43">
          <cell r="J43">
            <v>0</v>
          </cell>
        </row>
        <row r="44">
          <cell r="J44">
            <v>0</v>
          </cell>
        </row>
        <row r="45">
          <cell r="J45">
            <v>0</v>
          </cell>
        </row>
        <row r="46">
          <cell r="J46">
            <v>0</v>
          </cell>
        </row>
        <row r="47">
          <cell r="J47">
            <v>0</v>
          </cell>
        </row>
        <row r="48">
          <cell r="J48">
            <v>0</v>
          </cell>
        </row>
        <row r="49">
          <cell r="J49">
            <v>0</v>
          </cell>
        </row>
        <row r="50">
          <cell r="J50">
            <v>0</v>
          </cell>
        </row>
        <row r="51">
          <cell r="J51">
            <v>0</v>
          </cell>
        </row>
        <row r="52">
          <cell r="J52">
            <v>0</v>
          </cell>
        </row>
        <row r="53">
          <cell r="J53">
            <v>0</v>
          </cell>
        </row>
        <row r="54">
          <cell r="J54">
            <v>0</v>
          </cell>
        </row>
        <row r="55">
          <cell r="J55">
            <v>0</v>
          </cell>
        </row>
        <row r="56">
          <cell r="J56">
            <v>0</v>
          </cell>
        </row>
        <row r="57">
          <cell r="J57">
            <v>0</v>
          </cell>
        </row>
        <row r="58">
          <cell r="J58">
            <v>0</v>
          </cell>
        </row>
        <row r="59">
          <cell r="J59">
            <v>0</v>
          </cell>
        </row>
        <row r="60">
          <cell r="J60">
            <v>0</v>
          </cell>
        </row>
        <row r="61">
          <cell r="J61">
            <v>0</v>
          </cell>
        </row>
        <row r="62">
          <cell r="J62">
            <v>0</v>
          </cell>
        </row>
        <row r="63">
          <cell r="J63">
            <v>0</v>
          </cell>
        </row>
        <row r="64">
          <cell r="J64">
            <v>0</v>
          </cell>
        </row>
        <row r="65">
          <cell r="J65">
            <v>0</v>
          </cell>
        </row>
        <row r="66">
          <cell r="J66">
            <v>0</v>
          </cell>
        </row>
        <row r="67">
          <cell r="J67">
            <v>0</v>
          </cell>
        </row>
        <row r="68">
          <cell r="J68">
            <v>0</v>
          </cell>
        </row>
        <row r="69">
          <cell r="J69">
            <v>0</v>
          </cell>
        </row>
        <row r="70">
          <cell r="J70">
            <v>0</v>
          </cell>
        </row>
        <row r="71">
          <cell r="J71">
            <v>0</v>
          </cell>
        </row>
        <row r="72">
          <cell r="J72">
            <v>0</v>
          </cell>
        </row>
        <row r="73">
          <cell r="J73">
            <v>0</v>
          </cell>
        </row>
        <row r="74">
          <cell r="J74">
            <v>0</v>
          </cell>
        </row>
        <row r="75">
          <cell r="J75">
            <v>0</v>
          </cell>
        </row>
        <row r="76">
          <cell r="J76">
            <v>0</v>
          </cell>
        </row>
        <row r="77">
          <cell r="J77">
            <v>0</v>
          </cell>
        </row>
        <row r="78">
          <cell r="J78">
            <v>0</v>
          </cell>
        </row>
        <row r="79">
          <cell r="J79">
            <v>0</v>
          </cell>
        </row>
        <row r="80">
          <cell r="J80">
            <v>0</v>
          </cell>
        </row>
        <row r="81">
          <cell r="J81">
            <v>0</v>
          </cell>
        </row>
        <row r="82">
          <cell r="J82">
            <v>0</v>
          </cell>
        </row>
        <row r="83">
          <cell r="J83">
            <v>0</v>
          </cell>
        </row>
        <row r="84">
          <cell r="J84">
            <v>0</v>
          </cell>
        </row>
        <row r="85">
          <cell r="J85">
            <v>0</v>
          </cell>
        </row>
        <row r="86">
          <cell r="J86">
            <v>0</v>
          </cell>
        </row>
        <row r="87">
          <cell r="J87">
            <v>0</v>
          </cell>
        </row>
        <row r="88">
          <cell r="J88">
            <v>0</v>
          </cell>
        </row>
        <row r="89">
          <cell r="J89">
            <v>0</v>
          </cell>
        </row>
        <row r="90">
          <cell r="J90">
            <v>0</v>
          </cell>
        </row>
        <row r="91">
          <cell r="J91">
            <v>0</v>
          </cell>
        </row>
        <row r="92">
          <cell r="J92">
            <v>0</v>
          </cell>
        </row>
        <row r="93">
          <cell r="J93">
            <v>0</v>
          </cell>
        </row>
        <row r="94">
          <cell r="J94">
            <v>0</v>
          </cell>
        </row>
        <row r="95">
          <cell r="J95">
            <v>0</v>
          </cell>
        </row>
        <row r="96">
          <cell r="J96">
            <v>0</v>
          </cell>
        </row>
        <row r="97">
          <cell r="J97">
            <v>0</v>
          </cell>
        </row>
        <row r="98">
          <cell r="J98">
            <v>0</v>
          </cell>
        </row>
        <row r="99">
          <cell r="J99">
            <v>0</v>
          </cell>
        </row>
        <row r="100">
          <cell r="J100">
            <v>0</v>
          </cell>
        </row>
        <row r="101">
          <cell r="J101">
            <v>0</v>
          </cell>
        </row>
        <row r="102">
          <cell r="J102">
            <v>0</v>
          </cell>
        </row>
        <row r="103">
          <cell r="J103">
            <v>0</v>
          </cell>
        </row>
        <row r="104">
          <cell r="J104">
            <v>0</v>
          </cell>
        </row>
        <row r="105">
          <cell r="J105">
            <v>0</v>
          </cell>
        </row>
        <row r="106">
          <cell r="J106">
            <v>0</v>
          </cell>
        </row>
        <row r="107">
          <cell r="J107">
            <v>0</v>
          </cell>
        </row>
        <row r="108">
          <cell r="J108">
            <v>0</v>
          </cell>
        </row>
        <row r="109">
          <cell r="J109">
            <v>0</v>
          </cell>
        </row>
        <row r="110">
          <cell r="J110">
            <v>0</v>
          </cell>
        </row>
        <row r="111">
          <cell r="J111">
            <v>0</v>
          </cell>
        </row>
        <row r="112">
          <cell r="J112">
            <v>0</v>
          </cell>
        </row>
        <row r="113">
          <cell r="J113">
            <v>0</v>
          </cell>
        </row>
        <row r="114">
          <cell r="J114">
            <v>0</v>
          </cell>
        </row>
        <row r="115">
          <cell r="J115">
            <v>0</v>
          </cell>
        </row>
        <row r="116">
          <cell r="J116">
            <v>0</v>
          </cell>
        </row>
        <row r="117">
          <cell r="J117">
            <v>0</v>
          </cell>
        </row>
        <row r="118">
          <cell r="J118">
            <v>0</v>
          </cell>
        </row>
        <row r="119">
          <cell r="J119">
            <v>0</v>
          </cell>
        </row>
        <row r="120">
          <cell r="J120">
            <v>0</v>
          </cell>
        </row>
        <row r="121">
          <cell r="J121">
            <v>386713.92735094792</v>
          </cell>
        </row>
        <row r="122">
          <cell r="J122">
            <v>0</v>
          </cell>
        </row>
        <row r="123">
          <cell r="J123">
            <v>0</v>
          </cell>
        </row>
        <row r="124">
          <cell r="J124">
            <v>0</v>
          </cell>
        </row>
        <row r="125">
          <cell r="J125">
            <v>0</v>
          </cell>
        </row>
        <row r="126">
          <cell r="J126">
            <v>0</v>
          </cell>
        </row>
        <row r="127">
          <cell r="J127">
            <v>0</v>
          </cell>
        </row>
        <row r="128">
          <cell r="J128">
            <v>0</v>
          </cell>
        </row>
        <row r="129">
          <cell r="J129">
            <v>0</v>
          </cell>
        </row>
        <row r="130">
          <cell r="J130">
            <v>0</v>
          </cell>
        </row>
        <row r="131">
          <cell r="J131">
            <v>0</v>
          </cell>
        </row>
        <row r="132">
          <cell r="J132">
            <v>0</v>
          </cell>
        </row>
        <row r="133">
          <cell r="J133">
            <v>0</v>
          </cell>
        </row>
        <row r="134">
          <cell r="J134">
            <v>0</v>
          </cell>
        </row>
        <row r="135">
          <cell r="J135">
            <v>0</v>
          </cell>
        </row>
        <row r="136">
          <cell r="J136">
            <v>0</v>
          </cell>
        </row>
        <row r="137">
          <cell r="J137">
            <v>0</v>
          </cell>
        </row>
        <row r="138">
          <cell r="J138">
            <v>0</v>
          </cell>
        </row>
        <row r="139">
          <cell r="J139">
            <v>0</v>
          </cell>
        </row>
        <row r="140">
          <cell r="J140">
            <v>0</v>
          </cell>
        </row>
        <row r="141">
          <cell r="J141">
            <v>0</v>
          </cell>
        </row>
        <row r="142">
          <cell r="J142">
            <v>0</v>
          </cell>
        </row>
        <row r="143">
          <cell r="J143">
            <v>0</v>
          </cell>
        </row>
        <row r="144">
          <cell r="J144">
            <v>0</v>
          </cell>
        </row>
        <row r="145">
          <cell r="J145">
            <v>0</v>
          </cell>
        </row>
        <row r="146">
          <cell r="J146">
            <v>0</v>
          </cell>
        </row>
        <row r="147">
          <cell r="J147">
            <v>0</v>
          </cell>
        </row>
        <row r="148">
          <cell r="J148">
            <v>0</v>
          </cell>
        </row>
        <row r="149">
          <cell r="J149">
            <v>0</v>
          </cell>
        </row>
        <row r="150">
          <cell r="J150">
            <v>0</v>
          </cell>
        </row>
        <row r="151">
          <cell r="J151">
            <v>0</v>
          </cell>
        </row>
        <row r="152">
          <cell r="J152">
            <v>0</v>
          </cell>
        </row>
        <row r="153">
          <cell r="J153">
            <v>0</v>
          </cell>
        </row>
        <row r="154">
          <cell r="J154">
            <v>0</v>
          </cell>
        </row>
        <row r="155">
          <cell r="J155">
            <v>0</v>
          </cell>
        </row>
        <row r="156">
          <cell r="J156">
            <v>0</v>
          </cell>
        </row>
        <row r="157">
          <cell r="J157">
            <v>0</v>
          </cell>
        </row>
        <row r="158">
          <cell r="J158">
            <v>0</v>
          </cell>
        </row>
        <row r="159">
          <cell r="J159">
            <v>0</v>
          </cell>
        </row>
        <row r="160">
          <cell r="J160">
            <v>0</v>
          </cell>
        </row>
        <row r="161">
          <cell r="J161">
            <v>0</v>
          </cell>
        </row>
        <row r="162">
          <cell r="J162">
            <v>0</v>
          </cell>
        </row>
        <row r="163">
          <cell r="J163">
            <v>0</v>
          </cell>
        </row>
        <row r="164">
          <cell r="J164">
            <v>0</v>
          </cell>
        </row>
        <row r="165">
          <cell r="J165">
            <v>0</v>
          </cell>
        </row>
        <row r="166">
          <cell r="J166">
            <v>0</v>
          </cell>
        </row>
        <row r="167">
          <cell r="J167">
            <v>0</v>
          </cell>
        </row>
        <row r="168">
          <cell r="J168">
            <v>0</v>
          </cell>
        </row>
        <row r="169">
          <cell r="J169">
            <v>0</v>
          </cell>
        </row>
        <row r="170">
          <cell r="J170">
            <v>0</v>
          </cell>
        </row>
        <row r="171">
          <cell r="J171">
            <v>0</v>
          </cell>
        </row>
        <row r="172">
          <cell r="J172">
            <v>0</v>
          </cell>
        </row>
        <row r="173">
          <cell r="J173">
            <v>0</v>
          </cell>
        </row>
        <row r="174">
          <cell r="J174">
            <v>5495.0910647315441</v>
          </cell>
        </row>
        <row r="175">
          <cell r="J175">
            <v>0</v>
          </cell>
        </row>
        <row r="176">
          <cell r="J176">
            <v>0</v>
          </cell>
        </row>
        <row r="177">
          <cell r="J177">
            <v>0</v>
          </cell>
        </row>
        <row r="178">
          <cell r="J178">
            <v>0</v>
          </cell>
        </row>
        <row r="179">
          <cell r="J179">
            <v>0</v>
          </cell>
        </row>
        <row r="180">
          <cell r="J180">
            <v>0</v>
          </cell>
        </row>
        <row r="181">
          <cell r="J181">
            <v>0</v>
          </cell>
        </row>
        <row r="182">
          <cell r="J182">
            <v>0</v>
          </cell>
        </row>
        <row r="183">
          <cell r="J183">
            <v>0</v>
          </cell>
        </row>
        <row r="184">
          <cell r="J184">
            <v>0</v>
          </cell>
        </row>
        <row r="185">
          <cell r="J185">
            <v>0</v>
          </cell>
        </row>
        <row r="186">
          <cell r="J186">
            <v>0</v>
          </cell>
        </row>
        <row r="187">
          <cell r="J187">
            <v>0</v>
          </cell>
        </row>
        <row r="188">
          <cell r="J188">
            <v>0</v>
          </cell>
        </row>
        <row r="189">
          <cell r="J189">
            <v>0</v>
          </cell>
        </row>
        <row r="190">
          <cell r="J190">
            <v>0</v>
          </cell>
        </row>
        <row r="191">
          <cell r="J191">
            <v>0</v>
          </cell>
        </row>
        <row r="192">
          <cell r="J192">
            <v>0</v>
          </cell>
        </row>
        <row r="193">
          <cell r="J193">
            <v>0</v>
          </cell>
        </row>
        <row r="194">
          <cell r="J194">
            <v>0</v>
          </cell>
        </row>
        <row r="195">
          <cell r="J195">
            <v>0</v>
          </cell>
        </row>
        <row r="196">
          <cell r="J196">
            <v>0</v>
          </cell>
        </row>
        <row r="197">
          <cell r="J197">
            <v>0</v>
          </cell>
        </row>
        <row r="198">
          <cell r="J198">
            <v>0</v>
          </cell>
        </row>
        <row r="199">
          <cell r="J199">
            <v>0</v>
          </cell>
        </row>
        <row r="200">
          <cell r="J200">
            <v>0</v>
          </cell>
        </row>
        <row r="201">
          <cell r="J201">
            <v>0</v>
          </cell>
        </row>
        <row r="202">
          <cell r="J202">
            <v>0</v>
          </cell>
        </row>
        <row r="203">
          <cell r="J203">
            <v>0</v>
          </cell>
        </row>
        <row r="204">
          <cell r="J204">
            <v>0</v>
          </cell>
        </row>
        <row r="205">
          <cell r="J205">
            <v>0</v>
          </cell>
        </row>
        <row r="206">
          <cell r="J206">
            <v>0</v>
          </cell>
        </row>
        <row r="207">
          <cell r="J207">
            <v>0</v>
          </cell>
        </row>
        <row r="208">
          <cell r="J208">
            <v>0</v>
          </cell>
        </row>
        <row r="209">
          <cell r="J209">
            <v>0</v>
          </cell>
        </row>
        <row r="210">
          <cell r="J210">
            <v>0</v>
          </cell>
        </row>
        <row r="211">
          <cell r="J211">
            <v>0</v>
          </cell>
        </row>
        <row r="212">
          <cell r="J212">
            <v>0</v>
          </cell>
        </row>
        <row r="213">
          <cell r="J213">
            <v>0</v>
          </cell>
        </row>
        <row r="214">
          <cell r="J214">
            <v>0</v>
          </cell>
        </row>
        <row r="215">
          <cell r="J215">
            <v>0</v>
          </cell>
        </row>
        <row r="216">
          <cell r="J216">
            <v>0</v>
          </cell>
        </row>
        <row r="217">
          <cell r="J217">
            <v>0</v>
          </cell>
        </row>
        <row r="218">
          <cell r="J218">
            <v>0</v>
          </cell>
        </row>
        <row r="219">
          <cell r="J219">
            <v>0</v>
          </cell>
        </row>
        <row r="220">
          <cell r="J220">
            <v>0</v>
          </cell>
        </row>
        <row r="221">
          <cell r="J221">
            <v>0</v>
          </cell>
        </row>
        <row r="222">
          <cell r="J222">
            <v>0</v>
          </cell>
        </row>
        <row r="223">
          <cell r="J223">
            <v>0</v>
          </cell>
        </row>
        <row r="224">
          <cell r="J224">
            <v>0</v>
          </cell>
        </row>
        <row r="225">
          <cell r="J225">
            <v>0</v>
          </cell>
        </row>
        <row r="226">
          <cell r="J226">
            <v>0</v>
          </cell>
        </row>
        <row r="227">
          <cell r="J227">
            <v>0</v>
          </cell>
        </row>
        <row r="228">
          <cell r="J228">
            <v>0</v>
          </cell>
        </row>
        <row r="229">
          <cell r="J229">
            <v>0</v>
          </cell>
        </row>
        <row r="230">
          <cell r="J230">
            <v>0</v>
          </cell>
        </row>
        <row r="231">
          <cell r="J231">
            <v>0</v>
          </cell>
        </row>
        <row r="232">
          <cell r="J232">
            <v>0</v>
          </cell>
        </row>
        <row r="233">
          <cell r="J233">
            <v>0</v>
          </cell>
        </row>
        <row r="234">
          <cell r="J234">
            <v>0</v>
          </cell>
        </row>
        <row r="235">
          <cell r="J235">
            <v>0</v>
          </cell>
        </row>
        <row r="236">
          <cell r="J236">
            <v>0</v>
          </cell>
        </row>
        <row r="237">
          <cell r="J237">
            <v>0</v>
          </cell>
        </row>
        <row r="238">
          <cell r="J238">
            <v>0</v>
          </cell>
        </row>
        <row r="239">
          <cell r="J239">
            <v>0</v>
          </cell>
        </row>
        <row r="240">
          <cell r="J240">
            <v>0</v>
          </cell>
        </row>
        <row r="241">
          <cell r="J241">
            <v>0</v>
          </cell>
        </row>
        <row r="242">
          <cell r="J242">
            <v>0</v>
          </cell>
        </row>
        <row r="243">
          <cell r="J243">
            <v>0</v>
          </cell>
        </row>
        <row r="244">
          <cell r="J244">
            <v>0</v>
          </cell>
        </row>
        <row r="245">
          <cell r="J245">
            <v>0</v>
          </cell>
        </row>
        <row r="246">
          <cell r="J246">
            <v>0</v>
          </cell>
        </row>
        <row r="247">
          <cell r="J247">
            <v>0</v>
          </cell>
        </row>
        <row r="248">
          <cell r="J248">
            <v>0</v>
          </cell>
        </row>
        <row r="249">
          <cell r="J249">
            <v>0</v>
          </cell>
        </row>
        <row r="250">
          <cell r="J250">
            <v>0</v>
          </cell>
        </row>
        <row r="251">
          <cell r="J251">
            <v>0</v>
          </cell>
        </row>
        <row r="252">
          <cell r="J252">
            <v>0</v>
          </cell>
        </row>
        <row r="253">
          <cell r="J253">
            <v>0</v>
          </cell>
        </row>
        <row r="254">
          <cell r="J254">
            <v>0</v>
          </cell>
        </row>
        <row r="255">
          <cell r="J255">
            <v>0</v>
          </cell>
        </row>
        <row r="256">
          <cell r="J256">
            <v>0</v>
          </cell>
        </row>
        <row r="257">
          <cell r="J257">
            <v>0</v>
          </cell>
        </row>
        <row r="258">
          <cell r="J258">
            <v>0</v>
          </cell>
        </row>
        <row r="259">
          <cell r="J259">
            <v>0</v>
          </cell>
        </row>
        <row r="260">
          <cell r="J260">
            <v>0</v>
          </cell>
        </row>
        <row r="261">
          <cell r="J261">
            <v>0</v>
          </cell>
        </row>
        <row r="262">
          <cell r="J262">
            <v>0</v>
          </cell>
        </row>
        <row r="263">
          <cell r="J263">
            <v>0</v>
          </cell>
        </row>
        <row r="264">
          <cell r="J264">
            <v>0</v>
          </cell>
        </row>
        <row r="265">
          <cell r="J265">
            <v>0</v>
          </cell>
        </row>
        <row r="266">
          <cell r="J266">
            <v>0</v>
          </cell>
        </row>
        <row r="267">
          <cell r="J267">
            <v>0</v>
          </cell>
        </row>
        <row r="268">
          <cell r="J268">
            <v>0</v>
          </cell>
        </row>
        <row r="269">
          <cell r="J269">
            <v>0</v>
          </cell>
        </row>
        <row r="270">
          <cell r="J270">
            <v>0</v>
          </cell>
        </row>
        <row r="271">
          <cell r="J271">
            <v>0</v>
          </cell>
        </row>
        <row r="272">
          <cell r="J272">
            <v>0</v>
          </cell>
        </row>
        <row r="273">
          <cell r="J273">
            <v>0</v>
          </cell>
        </row>
        <row r="274">
          <cell r="J274">
            <v>0</v>
          </cell>
        </row>
        <row r="275">
          <cell r="J275">
            <v>0</v>
          </cell>
        </row>
        <row r="276">
          <cell r="J276">
            <v>0</v>
          </cell>
        </row>
        <row r="277">
          <cell r="J277">
            <v>0</v>
          </cell>
        </row>
        <row r="278">
          <cell r="J278">
            <v>0</v>
          </cell>
        </row>
        <row r="279">
          <cell r="J279">
            <v>0</v>
          </cell>
        </row>
        <row r="280">
          <cell r="J280">
            <v>0</v>
          </cell>
        </row>
        <row r="281">
          <cell r="J281">
            <v>0</v>
          </cell>
        </row>
        <row r="282">
          <cell r="J282">
            <v>0</v>
          </cell>
        </row>
        <row r="283">
          <cell r="J283">
            <v>0</v>
          </cell>
        </row>
        <row r="284">
          <cell r="J284">
            <v>0</v>
          </cell>
        </row>
        <row r="285">
          <cell r="J285">
            <v>0</v>
          </cell>
        </row>
        <row r="286">
          <cell r="J286">
            <v>0</v>
          </cell>
        </row>
        <row r="287">
          <cell r="J287">
            <v>0</v>
          </cell>
        </row>
        <row r="288">
          <cell r="J288">
            <v>0</v>
          </cell>
        </row>
        <row r="289">
          <cell r="J289">
            <v>0</v>
          </cell>
        </row>
        <row r="290">
          <cell r="J290">
            <v>0</v>
          </cell>
        </row>
        <row r="291">
          <cell r="J291">
            <v>0</v>
          </cell>
        </row>
        <row r="292">
          <cell r="J292">
            <v>0</v>
          </cell>
        </row>
        <row r="293">
          <cell r="J293">
            <v>0</v>
          </cell>
        </row>
        <row r="294">
          <cell r="J294">
            <v>0</v>
          </cell>
        </row>
        <row r="295">
          <cell r="J295">
            <v>0</v>
          </cell>
        </row>
        <row r="296">
          <cell r="J296">
            <v>0</v>
          </cell>
        </row>
        <row r="297">
          <cell r="J297">
            <v>0</v>
          </cell>
        </row>
        <row r="298">
          <cell r="J298">
            <v>0</v>
          </cell>
        </row>
        <row r="299">
          <cell r="J299">
            <v>0</v>
          </cell>
        </row>
        <row r="300">
          <cell r="J300">
            <v>0</v>
          </cell>
        </row>
        <row r="301">
          <cell r="J301">
            <v>0</v>
          </cell>
        </row>
        <row r="302">
          <cell r="J302">
            <v>0</v>
          </cell>
        </row>
        <row r="303">
          <cell r="J303">
            <v>0</v>
          </cell>
        </row>
        <row r="304">
          <cell r="J304">
            <v>0</v>
          </cell>
        </row>
        <row r="305">
          <cell r="J305">
            <v>0</v>
          </cell>
        </row>
        <row r="306">
          <cell r="J306">
            <v>0</v>
          </cell>
        </row>
        <row r="307">
          <cell r="J307">
            <v>0</v>
          </cell>
        </row>
        <row r="308">
          <cell r="J308">
            <v>0</v>
          </cell>
        </row>
        <row r="309">
          <cell r="J309">
            <v>0</v>
          </cell>
        </row>
        <row r="310">
          <cell r="J310">
            <v>0</v>
          </cell>
        </row>
        <row r="311">
          <cell r="J311">
            <v>0</v>
          </cell>
        </row>
        <row r="312">
          <cell r="J312">
            <v>3696043.2958730017</v>
          </cell>
        </row>
        <row r="313">
          <cell r="J313">
            <v>0</v>
          </cell>
        </row>
        <row r="314">
          <cell r="J314">
            <v>4088252.3142886814</v>
          </cell>
        </row>
      </sheetData>
      <sheetData sheetId="13">
        <row r="6">
          <cell r="Q6">
            <v>0</v>
          </cell>
        </row>
        <row r="7">
          <cell r="Q7">
            <v>0</v>
          </cell>
        </row>
        <row r="8">
          <cell r="Q8">
            <v>0</v>
          </cell>
        </row>
        <row r="9">
          <cell r="Q9">
            <v>0</v>
          </cell>
        </row>
        <row r="10">
          <cell r="Q10">
            <v>0</v>
          </cell>
        </row>
        <row r="11">
          <cell r="Q11">
            <v>0</v>
          </cell>
        </row>
        <row r="12">
          <cell r="Q12">
            <v>0</v>
          </cell>
        </row>
        <row r="13">
          <cell r="Q13">
            <v>0</v>
          </cell>
        </row>
        <row r="14">
          <cell r="Q14">
            <v>0</v>
          </cell>
        </row>
        <row r="15">
          <cell r="Q15">
            <v>0</v>
          </cell>
        </row>
        <row r="16">
          <cell r="Q16">
            <v>0</v>
          </cell>
        </row>
        <row r="17">
          <cell r="Q17">
            <v>0</v>
          </cell>
        </row>
        <row r="18">
          <cell r="Q18">
            <v>0</v>
          </cell>
        </row>
        <row r="19">
          <cell r="Q19">
            <v>0</v>
          </cell>
        </row>
        <row r="20">
          <cell r="Q20">
            <v>0</v>
          </cell>
        </row>
        <row r="21">
          <cell r="Q21">
            <v>0</v>
          </cell>
        </row>
        <row r="22">
          <cell r="Q22">
            <v>0</v>
          </cell>
        </row>
        <row r="23">
          <cell r="Q23">
            <v>0</v>
          </cell>
        </row>
        <row r="24">
          <cell r="Q24">
            <v>0</v>
          </cell>
        </row>
        <row r="25">
          <cell r="Q25">
            <v>0</v>
          </cell>
        </row>
        <row r="26">
          <cell r="Q26">
            <v>0</v>
          </cell>
        </row>
        <row r="27">
          <cell r="Q27">
            <v>0</v>
          </cell>
        </row>
        <row r="28">
          <cell r="Q28">
            <v>0</v>
          </cell>
        </row>
        <row r="29">
          <cell r="Q29">
            <v>0</v>
          </cell>
        </row>
        <row r="30">
          <cell r="Q30">
            <v>0</v>
          </cell>
        </row>
        <row r="31">
          <cell r="Q31">
            <v>0</v>
          </cell>
        </row>
        <row r="32">
          <cell r="Q32">
            <v>0</v>
          </cell>
        </row>
        <row r="33">
          <cell r="Q33">
            <v>0</v>
          </cell>
        </row>
        <row r="34">
          <cell r="Q34">
            <v>0</v>
          </cell>
        </row>
        <row r="35">
          <cell r="Q35">
            <v>0</v>
          </cell>
        </row>
        <row r="36">
          <cell r="Q36">
            <v>0</v>
          </cell>
        </row>
        <row r="37">
          <cell r="Q37">
            <v>0</v>
          </cell>
        </row>
        <row r="38">
          <cell r="Q38">
            <v>0</v>
          </cell>
        </row>
        <row r="39">
          <cell r="Q39">
            <v>0</v>
          </cell>
        </row>
        <row r="40">
          <cell r="Q40">
            <v>0</v>
          </cell>
        </row>
        <row r="41">
          <cell r="Q41">
            <v>0</v>
          </cell>
        </row>
        <row r="42">
          <cell r="Q42">
            <v>0</v>
          </cell>
        </row>
        <row r="43">
          <cell r="Q43">
            <v>0</v>
          </cell>
        </row>
        <row r="44">
          <cell r="Q44">
            <v>0</v>
          </cell>
        </row>
        <row r="45">
          <cell r="Q45">
            <v>0</v>
          </cell>
        </row>
        <row r="46">
          <cell r="Q46">
            <v>0</v>
          </cell>
        </row>
        <row r="47">
          <cell r="Q47">
            <v>0</v>
          </cell>
        </row>
        <row r="48">
          <cell r="Q48">
            <v>0</v>
          </cell>
        </row>
        <row r="49">
          <cell r="Q49">
            <v>0</v>
          </cell>
        </row>
        <row r="50">
          <cell r="Q50">
            <v>0</v>
          </cell>
        </row>
        <row r="51">
          <cell r="Q51">
            <v>0</v>
          </cell>
        </row>
        <row r="52">
          <cell r="Q52">
            <v>0</v>
          </cell>
        </row>
        <row r="53">
          <cell r="Q53">
            <v>0</v>
          </cell>
        </row>
        <row r="54">
          <cell r="Q54">
            <v>0</v>
          </cell>
        </row>
        <row r="55">
          <cell r="Q55">
            <v>0</v>
          </cell>
        </row>
        <row r="56">
          <cell r="Q56">
            <v>0</v>
          </cell>
        </row>
        <row r="57">
          <cell r="Q57">
            <v>0</v>
          </cell>
        </row>
        <row r="58">
          <cell r="Q58">
            <v>0</v>
          </cell>
        </row>
        <row r="59">
          <cell r="Q59">
            <v>0</v>
          </cell>
        </row>
        <row r="60">
          <cell r="Q60">
            <v>0</v>
          </cell>
        </row>
        <row r="61">
          <cell r="Q61">
            <v>0</v>
          </cell>
        </row>
        <row r="62">
          <cell r="Q62">
            <v>0</v>
          </cell>
        </row>
        <row r="63">
          <cell r="Q63">
            <v>0</v>
          </cell>
        </row>
        <row r="64">
          <cell r="Q64">
            <v>0</v>
          </cell>
        </row>
        <row r="65">
          <cell r="Q65">
            <v>0</v>
          </cell>
        </row>
        <row r="66">
          <cell r="Q66">
            <v>0</v>
          </cell>
        </row>
        <row r="67">
          <cell r="Q67">
            <v>0</v>
          </cell>
        </row>
        <row r="68">
          <cell r="Q68">
            <v>0</v>
          </cell>
        </row>
        <row r="69">
          <cell r="Q69">
            <v>0</v>
          </cell>
        </row>
        <row r="70">
          <cell r="Q70">
            <v>0</v>
          </cell>
        </row>
        <row r="71">
          <cell r="Q71">
            <v>0</v>
          </cell>
        </row>
        <row r="72">
          <cell r="Q72">
            <v>0</v>
          </cell>
        </row>
        <row r="73">
          <cell r="Q73">
            <v>0</v>
          </cell>
        </row>
        <row r="74">
          <cell r="Q74">
            <v>0</v>
          </cell>
        </row>
        <row r="75">
          <cell r="Q75">
            <v>0</v>
          </cell>
        </row>
        <row r="76">
          <cell r="Q76">
            <v>0</v>
          </cell>
        </row>
        <row r="77">
          <cell r="Q77">
            <v>0</v>
          </cell>
        </row>
        <row r="78">
          <cell r="Q78">
            <v>0</v>
          </cell>
        </row>
        <row r="79">
          <cell r="Q79">
            <v>0</v>
          </cell>
        </row>
        <row r="80">
          <cell r="Q80">
            <v>0</v>
          </cell>
        </row>
        <row r="81">
          <cell r="Q81">
            <v>0</v>
          </cell>
        </row>
        <row r="82">
          <cell r="Q82">
            <v>0</v>
          </cell>
        </row>
        <row r="83">
          <cell r="Q83">
            <v>0</v>
          </cell>
        </row>
        <row r="84">
          <cell r="Q84">
            <v>0</v>
          </cell>
        </row>
        <row r="85">
          <cell r="Q85">
            <v>0</v>
          </cell>
        </row>
        <row r="86">
          <cell r="Q86">
            <v>0</v>
          </cell>
        </row>
        <row r="87">
          <cell r="Q87">
            <v>0</v>
          </cell>
        </row>
        <row r="88">
          <cell r="Q88">
            <v>0</v>
          </cell>
        </row>
        <row r="89">
          <cell r="Q89">
            <v>0</v>
          </cell>
        </row>
        <row r="90">
          <cell r="Q90">
            <v>0</v>
          </cell>
        </row>
        <row r="91">
          <cell r="Q91">
            <v>0</v>
          </cell>
        </row>
        <row r="92">
          <cell r="Q92">
            <v>0</v>
          </cell>
        </row>
        <row r="93">
          <cell r="Q93">
            <v>0</v>
          </cell>
        </row>
        <row r="94">
          <cell r="Q94">
            <v>0</v>
          </cell>
        </row>
        <row r="95">
          <cell r="Q95">
            <v>0</v>
          </cell>
        </row>
        <row r="96">
          <cell r="Q96">
            <v>0</v>
          </cell>
        </row>
        <row r="97">
          <cell r="Q97">
            <v>0</v>
          </cell>
        </row>
        <row r="98">
          <cell r="Q98">
            <v>0</v>
          </cell>
        </row>
        <row r="99">
          <cell r="Q99">
            <v>0</v>
          </cell>
        </row>
        <row r="100">
          <cell r="Q100">
            <v>0</v>
          </cell>
        </row>
        <row r="101">
          <cell r="Q101">
            <v>0</v>
          </cell>
        </row>
        <row r="102">
          <cell r="Q102">
            <v>0</v>
          </cell>
        </row>
        <row r="103">
          <cell r="Q103">
            <v>0</v>
          </cell>
        </row>
        <row r="104">
          <cell r="Q104">
            <v>0</v>
          </cell>
        </row>
        <row r="105">
          <cell r="Q105">
            <v>0</v>
          </cell>
        </row>
        <row r="106">
          <cell r="Q106">
            <v>0</v>
          </cell>
        </row>
        <row r="107">
          <cell r="Q107">
            <v>0</v>
          </cell>
        </row>
        <row r="108">
          <cell r="Q108">
            <v>0</v>
          </cell>
        </row>
        <row r="109">
          <cell r="Q109">
            <v>0</v>
          </cell>
        </row>
        <row r="110">
          <cell r="Q110">
            <v>0</v>
          </cell>
        </row>
        <row r="111">
          <cell r="Q111">
            <v>0</v>
          </cell>
        </row>
        <row r="112">
          <cell r="Q112">
            <v>0</v>
          </cell>
        </row>
        <row r="113">
          <cell r="Q113">
            <v>0</v>
          </cell>
        </row>
        <row r="114">
          <cell r="Q114">
            <v>0</v>
          </cell>
        </row>
        <row r="115">
          <cell r="Q115">
            <v>0</v>
          </cell>
        </row>
        <row r="116">
          <cell r="Q116">
            <v>0</v>
          </cell>
        </row>
        <row r="117">
          <cell r="Q117">
            <v>0</v>
          </cell>
        </row>
        <row r="118">
          <cell r="Q118">
            <v>0</v>
          </cell>
        </row>
        <row r="119">
          <cell r="Q119">
            <v>0</v>
          </cell>
        </row>
        <row r="120">
          <cell r="Q120">
            <v>0</v>
          </cell>
        </row>
        <row r="121">
          <cell r="Q121">
            <v>0</v>
          </cell>
        </row>
        <row r="122">
          <cell r="Q122">
            <v>0</v>
          </cell>
        </row>
        <row r="123">
          <cell r="Q123">
            <v>0</v>
          </cell>
        </row>
        <row r="124">
          <cell r="Q124">
            <v>0</v>
          </cell>
        </row>
        <row r="125">
          <cell r="Q125">
            <v>0</v>
          </cell>
        </row>
        <row r="126">
          <cell r="Q126">
            <v>0</v>
          </cell>
        </row>
        <row r="127">
          <cell r="Q127">
            <v>0</v>
          </cell>
        </row>
        <row r="128">
          <cell r="Q128">
            <v>0</v>
          </cell>
        </row>
        <row r="129">
          <cell r="Q129">
            <v>0</v>
          </cell>
        </row>
        <row r="130">
          <cell r="Q130">
            <v>0</v>
          </cell>
        </row>
        <row r="131">
          <cell r="Q131">
            <v>0</v>
          </cell>
        </row>
        <row r="132">
          <cell r="Q132">
            <v>0</v>
          </cell>
        </row>
        <row r="133">
          <cell r="Q133">
            <v>0</v>
          </cell>
        </row>
        <row r="134">
          <cell r="Q134">
            <v>0</v>
          </cell>
        </row>
        <row r="135">
          <cell r="Q135">
            <v>0</v>
          </cell>
        </row>
        <row r="136">
          <cell r="Q136">
            <v>0</v>
          </cell>
        </row>
        <row r="137">
          <cell r="Q137">
            <v>0</v>
          </cell>
        </row>
        <row r="138">
          <cell r="Q138">
            <v>0</v>
          </cell>
        </row>
        <row r="139">
          <cell r="Q139">
            <v>0</v>
          </cell>
        </row>
        <row r="140">
          <cell r="Q140">
            <v>0</v>
          </cell>
        </row>
        <row r="141">
          <cell r="Q141">
            <v>0</v>
          </cell>
        </row>
        <row r="142">
          <cell r="Q142">
            <v>0</v>
          </cell>
        </row>
        <row r="143">
          <cell r="Q143">
            <v>0</v>
          </cell>
        </row>
        <row r="144">
          <cell r="Q144">
            <v>0</v>
          </cell>
        </row>
        <row r="145">
          <cell r="Q145">
            <v>0</v>
          </cell>
        </row>
        <row r="146">
          <cell r="Q146">
            <v>0</v>
          </cell>
        </row>
        <row r="147">
          <cell r="Q147">
            <v>0</v>
          </cell>
        </row>
        <row r="148">
          <cell r="Q148">
            <v>0</v>
          </cell>
        </row>
        <row r="149">
          <cell r="Q149">
            <v>0</v>
          </cell>
        </row>
        <row r="150">
          <cell r="Q150">
            <v>0</v>
          </cell>
        </row>
        <row r="151">
          <cell r="Q151">
            <v>0</v>
          </cell>
        </row>
        <row r="152">
          <cell r="Q152">
            <v>0</v>
          </cell>
        </row>
        <row r="153">
          <cell r="Q153">
            <v>0</v>
          </cell>
        </row>
        <row r="154">
          <cell r="Q154">
            <v>0</v>
          </cell>
        </row>
        <row r="155">
          <cell r="Q155">
            <v>0</v>
          </cell>
        </row>
        <row r="156">
          <cell r="Q156">
            <v>0</v>
          </cell>
        </row>
        <row r="157">
          <cell r="Q157">
            <v>0</v>
          </cell>
        </row>
        <row r="158">
          <cell r="Q158">
            <v>0</v>
          </cell>
        </row>
        <row r="159">
          <cell r="Q159">
            <v>0</v>
          </cell>
        </row>
        <row r="160">
          <cell r="Q160">
            <v>0</v>
          </cell>
        </row>
        <row r="161">
          <cell r="Q161">
            <v>0</v>
          </cell>
        </row>
        <row r="162">
          <cell r="Q162">
            <v>0</v>
          </cell>
        </row>
        <row r="163">
          <cell r="Q163">
            <v>0</v>
          </cell>
        </row>
        <row r="164">
          <cell r="Q164">
            <v>0</v>
          </cell>
        </row>
        <row r="165">
          <cell r="Q165">
            <v>0</v>
          </cell>
        </row>
        <row r="166">
          <cell r="Q166">
            <v>0</v>
          </cell>
        </row>
        <row r="167">
          <cell r="Q167">
            <v>0</v>
          </cell>
        </row>
        <row r="168">
          <cell r="Q168">
            <v>0</v>
          </cell>
        </row>
        <row r="169">
          <cell r="Q169">
            <v>0</v>
          </cell>
        </row>
        <row r="170">
          <cell r="Q170">
            <v>0</v>
          </cell>
        </row>
        <row r="171">
          <cell r="Q171">
            <v>0</v>
          </cell>
        </row>
        <row r="172">
          <cell r="Q172">
            <v>0</v>
          </cell>
        </row>
        <row r="173">
          <cell r="Q173">
            <v>0</v>
          </cell>
        </row>
        <row r="174">
          <cell r="Q174">
            <v>0</v>
          </cell>
        </row>
        <row r="175">
          <cell r="Q175">
            <v>0</v>
          </cell>
        </row>
        <row r="176">
          <cell r="Q176">
            <v>0</v>
          </cell>
        </row>
        <row r="177">
          <cell r="Q177">
            <v>0</v>
          </cell>
        </row>
        <row r="178">
          <cell r="Q178">
            <v>0</v>
          </cell>
        </row>
        <row r="179">
          <cell r="Q179">
            <v>0</v>
          </cell>
        </row>
        <row r="180">
          <cell r="Q180">
            <v>0</v>
          </cell>
        </row>
        <row r="181">
          <cell r="Q181">
            <v>0</v>
          </cell>
        </row>
        <row r="182">
          <cell r="Q182">
            <v>0</v>
          </cell>
        </row>
        <row r="183">
          <cell r="Q183">
            <v>0</v>
          </cell>
        </row>
        <row r="184">
          <cell r="Q184">
            <v>0</v>
          </cell>
        </row>
        <row r="185">
          <cell r="Q185">
            <v>0</v>
          </cell>
        </row>
        <row r="186">
          <cell r="Q186">
            <v>0</v>
          </cell>
        </row>
        <row r="187">
          <cell r="Q187">
            <v>0</v>
          </cell>
        </row>
        <row r="188">
          <cell r="Q188">
            <v>0</v>
          </cell>
        </row>
        <row r="189">
          <cell r="Q189">
            <v>0</v>
          </cell>
        </row>
        <row r="190">
          <cell r="Q190">
            <v>0</v>
          </cell>
        </row>
        <row r="191">
          <cell r="Q191">
            <v>0</v>
          </cell>
        </row>
        <row r="192">
          <cell r="Q192">
            <v>0</v>
          </cell>
        </row>
        <row r="193">
          <cell r="Q193">
            <v>0</v>
          </cell>
        </row>
        <row r="194">
          <cell r="Q194">
            <v>0</v>
          </cell>
        </row>
        <row r="195">
          <cell r="Q195">
            <v>0</v>
          </cell>
        </row>
        <row r="196">
          <cell r="Q196">
            <v>0</v>
          </cell>
        </row>
        <row r="197">
          <cell r="Q197">
            <v>0</v>
          </cell>
        </row>
        <row r="198">
          <cell r="Q198">
            <v>0</v>
          </cell>
        </row>
        <row r="199">
          <cell r="Q199">
            <v>0</v>
          </cell>
        </row>
        <row r="200">
          <cell r="Q200">
            <v>0</v>
          </cell>
        </row>
        <row r="201">
          <cell r="Q201">
            <v>0</v>
          </cell>
        </row>
        <row r="202">
          <cell r="Q202">
            <v>0</v>
          </cell>
        </row>
        <row r="203">
          <cell r="Q203">
            <v>0</v>
          </cell>
        </row>
        <row r="204">
          <cell r="Q204">
            <v>0</v>
          </cell>
        </row>
        <row r="205">
          <cell r="Q205">
            <v>0</v>
          </cell>
        </row>
        <row r="206">
          <cell r="Q206">
            <v>0</v>
          </cell>
        </row>
        <row r="207">
          <cell r="Q207">
            <v>0</v>
          </cell>
        </row>
        <row r="208">
          <cell r="Q208">
            <v>0</v>
          </cell>
        </row>
        <row r="209">
          <cell r="Q209">
            <v>0</v>
          </cell>
        </row>
        <row r="210">
          <cell r="Q210">
            <v>0</v>
          </cell>
        </row>
        <row r="211">
          <cell r="Q211">
            <v>0</v>
          </cell>
        </row>
        <row r="212">
          <cell r="Q212">
            <v>0</v>
          </cell>
        </row>
        <row r="213">
          <cell r="Q213">
            <v>0</v>
          </cell>
        </row>
        <row r="214">
          <cell r="Q214">
            <v>0</v>
          </cell>
        </row>
        <row r="215">
          <cell r="Q215">
            <v>0</v>
          </cell>
        </row>
        <row r="216">
          <cell r="Q216">
            <v>0</v>
          </cell>
        </row>
        <row r="217">
          <cell r="Q217">
            <v>0</v>
          </cell>
        </row>
        <row r="218">
          <cell r="Q218">
            <v>0</v>
          </cell>
        </row>
        <row r="219">
          <cell r="Q219">
            <v>0</v>
          </cell>
        </row>
        <row r="220">
          <cell r="Q220">
            <v>0</v>
          </cell>
        </row>
        <row r="221">
          <cell r="Q221">
            <v>0</v>
          </cell>
        </row>
        <row r="222">
          <cell r="Q222">
            <v>0</v>
          </cell>
        </row>
        <row r="223">
          <cell r="Q223">
            <v>0</v>
          </cell>
        </row>
        <row r="224">
          <cell r="Q224">
            <v>0</v>
          </cell>
        </row>
        <row r="225">
          <cell r="Q225">
            <v>0</v>
          </cell>
        </row>
        <row r="226">
          <cell r="Q226">
            <v>0</v>
          </cell>
        </row>
        <row r="227">
          <cell r="Q227">
            <v>0</v>
          </cell>
        </row>
        <row r="228">
          <cell r="Q228">
            <v>0</v>
          </cell>
        </row>
        <row r="229">
          <cell r="Q229">
            <v>0</v>
          </cell>
        </row>
        <row r="230">
          <cell r="Q230">
            <v>0</v>
          </cell>
        </row>
        <row r="231">
          <cell r="Q231">
            <v>0</v>
          </cell>
        </row>
        <row r="232">
          <cell r="Q232">
            <v>0</v>
          </cell>
        </row>
        <row r="233">
          <cell r="Q233">
            <v>0</v>
          </cell>
        </row>
        <row r="234">
          <cell r="Q234">
            <v>0</v>
          </cell>
        </row>
        <row r="235">
          <cell r="Q235">
            <v>0</v>
          </cell>
        </row>
        <row r="236">
          <cell r="Q236">
            <v>0</v>
          </cell>
        </row>
        <row r="237">
          <cell r="Q237">
            <v>0</v>
          </cell>
        </row>
        <row r="238">
          <cell r="Q238">
            <v>0</v>
          </cell>
        </row>
        <row r="239">
          <cell r="Q239">
            <v>0</v>
          </cell>
        </row>
        <row r="240">
          <cell r="Q240">
            <v>0</v>
          </cell>
        </row>
        <row r="241">
          <cell r="Q241">
            <v>0</v>
          </cell>
        </row>
        <row r="242">
          <cell r="Q242">
            <v>0</v>
          </cell>
        </row>
        <row r="243">
          <cell r="Q243">
            <v>0</v>
          </cell>
        </row>
        <row r="244">
          <cell r="Q244">
            <v>0</v>
          </cell>
        </row>
        <row r="245">
          <cell r="Q245">
            <v>-764.78735964255941</v>
          </cell>
        </row>
        <row r="246">
          <cell r="Q246">
            <v>0</v>
          </cell>
        </row>
        <row r="247">
          <cell r="Q247">
            <v>0</v>
          </cell>
        </row>
        <row r="248">
          <cell r="Q248">
            <v>0</v>
          </cell>
        </row>
        <row r="249">
          <cell r="Q249">
            <v>0</v>
          </cell>
        </row>
        <row r="250">
          <cell r="Q250">
            <v>0</v>
          </cell>
        </row>
        <row r="251">
          <cell r="Q251">
            <v>0</v>
          </cell>
        </row>
        <row r="252">
          <cell r="Q252">
            <v>0</v>
          </cell>
        </row>
        <row r="253">
          <cell r="Q253">
            <v>0</v>
          </cell>
        </row>
        <row r="254">
          <cell r="Q254">
            <v>0</v>
          </cell>
        </row>
        <row r="255">
          <cell r="Q255">
            <v>0</v>
          </cell>
        </row>
        <row r="256">
          <cell r="Q256">
            <v>0</v>
          </cell>
        </row>
        <row r="257">
          <cell r="Q257">
            <v>0</v>
          </cell>
        </row>
        <row r="258">
          <cell r="Q258">
            <v>0</v>
          </cell>
        </row>
        <row r="259">
          <cell r="Q259">
            <v>0</v>
          </cell>
        </row>
        <row r="260">
          <cell r="Q260">
            <v>0</v>
          </cell>
        </row>
        <row r="261">
          <cell r="Q261">
            <v>0</v>
          </cell>
        </row>
        <row r="262">
          <cell r="Q262">
            <v>0</v>
          </cell>
        </row>
        <row r="263">
          <cell r="Q263">
            <v>0</v>
          </cell>
        </row>
        <row r="264">
          <cell r="Q264">
            <v>0</v>
          </cell>
        </row>
        <row r="265">
          <cell r="Q265">
            <v>0</v>
          </cell>
        </row>
        <row r="266">
          <cell r="Q266">
            <v>0</v>
          </cell>
        </row>
        <row r="267">
          <cell r="Q267">
            <v>0</v>
          </cell>
        </row>
        <row r="268">
          <cell r="Q268">
            <v>0</v>
          </cell>
        </row>
        <row r="269">
          <cell r="Q269">
            <v>0</v>
          </cell>
        </row>
        <row r="270">
          <cell r="Q270">
            <v>0</v>
          </cell>
        </row>
        <row r="271">
          <cell r="Q271">
            <v>0</v>
          </cell>
        </row>
        <row r="272">
          <cell r="Q272">
            <v>0</v>
          </cell>
        </row>
        <row r="273">
          <cell r="Q273">
            <v>0</v>
          </cell>
        </row>
        <row r="274">
          <cell r="Q274">
            <v>0</v>
          </cell>
        </row>
        <row r="275">
          <cell r="Q275">
            <v>0</v>
          </cell>
        </row>
        <row r="276">
          <cell r="Q276">
            <v>0</v>
          </cell>
        </row>
        <row r="277">
          <cell r="Q277">
            <v>0</v>
          </cell>
        </row>
        <row r="278">
          <cell r="Q278">
            <v>0</v>
          </cell>
        </row>
        <row r="279">
          <cell r="Q279">
            <v>0</v>
          </cell>
        </row>
        <row r="280">
          <cell r="Q280">
            <v>0</v>
          </cell>
        </row>
        <row r="281">
          <cell r="Q281">
            <v>0</v>
          </cell>
        </row>
        <row r="282">
          <cell r="Q282">
            <v>0</v>
          </cell>
        </row>
        <row r="283">
          <cell r="Q283">
            <v>0</v>
          </cell>
        </row>
        <row r="284">
          <cell r="Q284">
            <v>0</v>
          </cell>
        </row>
        <row r="285">
          <cell r="Q285">
            <v>-45319.162017875293</v>
          </cell>
        </row>
        <row r="286">
          <cell r="Q286">
            <v>0</v>
          </cell>
        </row>
        <row r="287">
          <cell r="Q287">
            <v>0</v>
          </cell>
        </row>
        <row r="288">
          <cell r="Q288">
            <v>0</v>
          </cell>
        </row>
        <row r="289">
          <cell r="Q289">
            <v>0</v>
          </cell>
        </row>
        <row r="290">
          <cell r="Q290">
            <v>0</v>
          </cell>
        </row>
        <row r="291">
          <cell r="Q291">
            <v>0</v>
          </cell>
        </row>
        <row r="292">
          <cell r="Q292">
            <v>0</v>
          </cell>
        </row>
        <row r="293">
          <cell r="Q293">
            <v>0</v>
          </cell>
        </row>
        <row r="294">
          <cell r="Q294">
            <v>0</v>
          </cell>
        </row>
        <row r="295">
          <cell r="Q295">
            <v>0</v>
          </cell>
        </row>
        <row r="296">
          <cell r="Q296">
            <v>0</v>
          </cell>
        </row>
        <row r="297">
          <cell r="Q297">
            <v>0</v>
          </cell>
        </row>
        <row r="298">
          <cell r="Q298">
            <v>0</v>
          </cell>
        </row>
        <row r="299">
          <cell r="Q299">
            <v>0</v>
          </cell>
        </row>
        <row r="300">
          <cell r="Q300">
            <v>0</v>
          </cell>
        </row>
        <row r="301">
          <cell r="Q301">
            <v>0</v>
          </cell>
        </row>
        <row r="302">
          <cell r="Q302">
            <v>0</v>
          </cell>
        </row>
        <row r="303">
          <cell r="Q303">
            <v>0</v>
          </cell>
        </row>
        <row r="304">
          <cell r="Q304">
            <v>0</v>
          </cell>
        </row>
        <row r="305">
          <cell r="Q305">
            <v>0</v>
          </cell>
        </row>
        <row r="306">
          <cell r="Q306">
            <v>0</v>
          </cell>
        </row>
        <row r="307">
          <cell r="Q307">
            <v>0</v>
          </cell>
        </row>
        <row r="308">
          <cell r="Q308">
            <v>0</v>
          </cell>
        </row>
        <row r="309">
          <cell r="Q309">
            <v>0</v>
          </cell>
        </row>
        <row r="310">
          <cell r="Q310">
            <v>0</v>
          </cell>
        </row>
        <row r="311">
          <cell r="Q311">
            <v>0</v>
          </cell>
        </row>
        <row r="312">
          <cell r="Q312">
            <v>0</v>
          </cell>
        </row>
        <row r="313">
          <cell r="Q313">
            <v>0</v>
          </cell>
        </row>
        <row r="314">
          <cell r="Q314">
            <v>0</v>
          </cell>
        </row>
        <row r="315">
          <cell r="Q315">
            <v>-46083.949377517849</v>
          </cell>
        </row>
      </sheetData>
      <sheetData sheetId="14">
        <row r="6">
          <cell r="O6">
            <v>331187.90492672863</v>
          </cell>
        </row>
        <row r="7">
          <cell r="O7">
            <v>221431.50546248065</v>
          </cell>
        </row>
        <row r="8">
          <cell r="O8">
            <v>32082.884862760227</v>
          </cell>
        </row>
        <row r="9">
          <cell r="O9">
            <v>44326.723837030244</v>
          </cell>
        </row>
        <row r="10">
          <cell r="O10">
            <v>195582.36206496696</v>
          </cell>
        </row>
        <row r="11">
          <cell r="O11">
            <v>74863.848651490087</v>
          </cell>
        </row>
        <row r="12">
          <cell r="O12">
            <v>267041.59568369051</v>
          </cell>
        </row>
        <row r="13">
          <cell r="O13">
            <v>84051.527124856657</v>
          </cell>
        </row>
        <row r="14">
          <cell r="O14">
            <v>476623.20986114012</v>
          </cell>
        </row>
        <row r="15">
          <cell r="O15">
            <v>112629.47226047951</v>
          </cell>
        </row>
        <row r="16">
          <cell r="O16">
            <v>211270.34591287683</v>
          </cell>
        </row>
        <row r="17">
          <cell r="O17">
            <v>73715.888112848566</v>
          </cell>
        </row>
        <row r="18">
          <cell r="O18">
            <v>135882.10933274229</v>
          </cell>
        </row>
        <row r="19">
          <cell r="O19">
            <v>496398.56247807364</v>
          </cell>
        </row>
        <row r="20">
          <cell r="O20">
            <v>118651.34544416031</v>
          </cell>
        </row>
        <row r="21">
          <cell r="O21">
            <v>211767.23986847172</v>
          </cell>
        </row>
        <row r="22">
          <cell r="O22">
            <v>561881.15728722629</v>
          </cell>
        </row>
        <row r="23">
          <cell r="O23">
            <v>49636.256849304613</v>
          </cell>
        </row>
        <row r="24">
          <cell r="O24">
            <v>28307.052481636754</v>
          </cell>
        </row>
        <row r="25">
          <cell r="O25">
            <v>119997.72716865179</v>
          </cell>
        </row>
        <row r="26">
          <cell r="O26">
            <v>103590.67285550627</v>
          </cell>
        </row>
        <row r="27">
          <cell r="O27">
            <v>178663.10360773228</v>
          </cell>
        </row>
        <row r="28">
          <cell r="O28">
            <v>201074.96397095727</v>
          </cell>
        </row>
        <row r="29">
          <cell r="O29">
            <v>46401.308248194968</v>
          </cell>
        </row>
        <row r="30">
          <cell r="O30">
            <v>45121.838991364712</v>
          </cell>
        </row>
        <row r="31">
          <cell r="O31">
            <v>32521.627432045632</v>
          </cell>
        </row>
        <row r="32">
          <cell r="O32">
            <v>48782.827741043409</v>
          </cell>
        </row>
        <row r="33">
          <cell r="O33">
            <v>120795.65848014411</v>
          </cell>
        </row>
        <row r="34">
          <cell r="O34">
            <v>74097.821953092149</v>
          </cell>
        </row>
        <row r="35">
          <cell r="O35">
            <v>50884.800489018002</v>
          </cell>
        </row>
        <row r="36">
          <cell r="O36">
            <v>40313.921260749405</v>
          </cell>
        </row>
        <row r="37">
          <cell r="O37">
            <v>383990.96703450818</v>
          </cell>
        </row>
        <row r="38">
          <cell r="O38">
            <v>173452.62211081095</v>
          </cell>
        </row>
        <row r="39">
          <cell r="O39">
            <v>100262.98740606784</v>
          </cell>
        </row>
        <row r="40">
          <cell r="O40">
            <v>339757.88712836034</v>
          </cell>
        </row>
        <row r="41">
          <cell r="O41">
            <v>65859.678364082618</v>
          </cell>
        </row>
        <row r="42">
          <cell r="O42">
            <v>45684.00271077198</v>
          </cell>
        </row>
        <row r="43">
          <cell r="O43">
            <v>104360.87565214363</v>
          </cell>
        </row>
        <row r="44">
          <cell r="O44">
            <v>47079.948602919118</v>
          </cell>
        </row>
        <row r="45">
          <cell r="O45">
            <v>9137.5884983372325</v>
          </cell>
        </row>
        <row r="46">
          <cell r="O46">
            <v>38724.88730489726</v>
          </cell>
        </row>
        <row r="47">
          <cell r="O47">
            <v>441735.13459331205</v>
          </cell>
        </row>
        <row r="48">
          <cell r="O48">
            <v>53905.218551751459</v>
          </cell>
        </row>
        <row r="49">
          <cell r="O49">
            <v>52976.555446692495</v>
          </cell>
        </row>
        <row r="50">
          <cell r="O50">
            <v>121093.98495198843</v>
          </cell>
        </row>
        <row r="51">
          <cell r="O51">
            <v>29912.909359457306</v>
          </cell>
        </row>
        <row r="52">
          <cell r="O52">
            <v>171487.27598709569</v>
          </cell>
        </row>
        <row r="53">
          <cell r="O53">
            <v>34231.261343051927</v>
          </cell>
        </row>
        <row r="54">
          <cell r="O54">
            <v>103573.37815235584</v>
          </cell>
        </row>
        <row r="55">
          <cell r="O55">
            <v>52031.786499760972</v>
          </cell>
        </row>
        <row r="56">
          <cell r="O56">
            <v>108847.08487783969</v>
          </cell>
        </row>
        <row r="57">
          <cell r="O57">
            <v>47427.760819119787</v>
          </cell>
        </row>
        <row r="58">
          <cell r="O58">
            <v>5376.2879745812279</v>
          </cell>
        </row>
        <row r="59">
          <cell r="O59">
            <v>137796.69073404558</v>
          </cell>
        </row>
        <row r="60">
          <cell r="O60">
            <v>25495.138592482675</v>
          </cell>
        </row>
        <row r="61">
          <cell r="O61">
            <v>42859.980250862282</v>
          </cell>
        </row>
        <row r="62">
          <cell r="O62">
            <v>310872.38911101379</v>
          </cell>
        </row>
        <row r="63">
          <cell r="O63">
            <v>32556.187961264572</v>
          </cell>
        </row>
        <row r="64">
          <cell r="O64">
            <v>112420.34474181951</v>
          </cell>
        </row>
        <row r="65">
          <cell r="O65">
            <v>289338.14340326877</v>
          </cell>
        </row>
        <row r="66">
          <cell r="O66">
            <v>180347.6440827219</v>
          </cell>
        </row>
        <row r="67">
          <cell r="O67">
            <v>67896.867812745681</v>
          </cell>
        </row>
        <row r="68">
          <cell r="O68">
            <v>235517.5014542609</v>
          </cell>
        </row>
        <row r="69">
          <cell r="O69">
            <v>59544.337492145503</v>
          </cell>
        </row>
        <row r="70">
          <cell r="O70">
            <v>21211.469819505037</v>
          </cell>
        </row>
        <row r="71">
          <cell r="O71">
            <v>122864.16104614985</v>
          </cell>
        </row>
        <row r="72">
          <cell r="O72">
            <v>217991.27231669193</v>
          </cell>
        </row>
        <row r="73">
          <cell r="O73">
            <v>152978.47224352125</v>
          </cell>
        </row>
        <row r="74">
          <cell r="O74">
            <v>121184.92800734495</v>
          </cell>
        </row>
        <row r="75">
          <cell r="O75">
            <v>66664.060784938003</v>
          </cell>
        </row>
        <row r="76">
          <cell r="O76">
            <v>123699.38195551404</v>
          </cell>
        </row>
        <row r="77">
          <cell r="O77">
            <v>87903.296758405369</v>
          </cell>
        </row>
        <row r="78">
          <cell r="O78">
            <v>339400.40033743263</v>
          </cell>
        </row>
        <row r="79">
          <cell r="O79">
            <v>569732.41102944058</v>
          </cell>
        </row>
        <row r="80">
          <cell r="O80">
            <v>90236.957944838796</v>
          </cell>
        </row>
        <row r="81">
          <cell r="O81">
            <v>146871.50774032529</v>
          </cell>
        </row>
        <row r="82">
          <cell r="O82">
            <v>68955.070176178924</v>
          </cell>
        </row>
        <row r="83">
          <cell r="O83">
            <v>270782.76248628052</v>
          </cell>
        </row>
        <row r="84">
          <cell r="O84">
            <v>121876.10013577706</v>
          </cell>
        </row>
        <row r="85">
          <cell r="O85">
            <v>65503.054484895008</v>
          </cell>
        </row>
        <row r="86">
          <cell r="O86">
            <v>53612.80571070459</v>
          </cell>
        </row>
        <row r="87">
          <cell r="O87">
            <v>44789.397039501229</v>
          </cell>
        </row>
        <row r="88">
          <cell r="O88">
            <v>69084.24226858266</v>
          </cell>
        </row>
        <row r="89">
          <cell r="O89">
            <v>31220.814505279741</v>
          </cell>
        </row>
        <row r="90">
          <cell r="O90">
            <v>67906.63386837866</v>
          </cell>
        </row>
        <row r="91">
          <cell r="O91">
            <v>109402.56735501098</v>
          </cell>
        </row>
        <row r="92">
          <cell r="O92">
            <v>90879.612266009994</v>
          </cell>
        </row>
        <row r="93">
          <cell r="O93">
            <v>197489.38033677312</v>
          </cell>
        </row>
        <row r="94">
          <cell r="O94">
            <v>113930.25267749705</v>
          </cell>
        </row>
        <row r="95">
          <cell r="O95">
            <v>54008.125015677972</v>
          </cell>
        </row>
        <row r="96">
          <cell r="O96">
            <v>55346.856990781533</v>
          </cell>
        </row>
        <row r="97">
          <cell r="O97">
            <v>112434.64123282759</v>
          </cell>
        </row>
        <row r="98">
          <cell r="O98">
            <v>101585.64822458898</v>
          </cell>
        </row>
        <row r="99">
          <cell r="O99">
            <v>40607.412173486635</v>
          </cell>
        </row>
        <row r="100">
          <cell r="O100">
            <v>39531.970703277955</v>
          </cell>
        </row>
        <row r="101">
          <cell r="O101">
            <v>19789.997872796717</v>
          </cell>
        </row>
        <row r="102">
          <cell r="O102">
            <v>61002.346206691494</v>
          </cell>
        </row>
        <row r="103">
          <cell r="O103">
            <v>22398.971349923399</v>
          </cell>
        </row>
        <row r="104">
          <cell r="O104">
            <v>344441.10953661415</v>
          </cell>
        </row>
        <row r="105">
          <cell r="O105">
            <v>16602.056692499573</v>
          </cell>
        </row>
        <row r="106">
          <cell r="O106">
            <v>12284.044239513358</v>
          </cell>
        </row>
        <row r="107">
          <cell r="O107">
            <v>6866.3826648061977</v>
          </cell>
        </row>
        <row r="108">
          <cell r="O108">
            <v>54351.41985491736</v>
          </cell>
        </row>
        <row r="109">
          <cell r="O109">
            <v>25698.772305757488</v>
          </cell>
        </row>
        <row r="110">
          <cell r="O110">
            <v>330296.47973827535</v>
          </cell>
        </row>
        <row r="111">
          <cell r="O111">
            <v>74502.741431842427</v>
          </cell>
        </row>
        <row r="112">
          <cell r="O112">
            <v>223869.78326273023</v>
          </cell>
        </row>
        <row r="113">
          <cell r="O113">
            <v>508573.44004053733</v>
          </cell>
        </row>
        <row r="114">
          <cell r="O114">
            <v>373583.71138625452</v>
          </cell>
        </row>
        <row r="115">
          <cell r="O115">
            <v>1414134.7992631786</v>
          </cell>
        </row>
        <row r="116">
          <cell r="O116">
            <v>398196.72469143459</v>
          </cell>
        </row>
        <row r="117">
          <cell r="O117">
            <v>7198985.8730596965</v>
          </cell>
        </row>
        <row r="118">
          <cell r="O118">
            <v>1307186.4303522343</v>
          </cell>
        </row>
        <row r="119">
          <cell r="O119">
            <v>160459.36640536945</v>
          </cell>
        </row>
        <row r="120">
          <cell r="O120">
            <v>498486.04225729604</v>
          </cell>
        </row>
        <row r="121">
          <cell r="O121">
            <v>1827794.7972250883</v>
          </cell>
        </row>
        <row r="122">
          <cell r="O122">
            <v>671375.96613383945</v>
          </cell>
        </row>
        <row r="123">
          <cell r="O123">
            <v>336294.57132087566</v>
          </cell>
        </row>
        <row r="124">
          <cell r="O124">
            <v>123360.75522012207</v>
          </cell>
        </row>
        <row r="125">
          <cell r="O125">
            <v>223820.98365764727</v>
          </cell>
        </row>
        <row r="126">
          <cell r="O126">
            <v>962124.07883464894</v>
          </cell>
        </row>
        <row r="127">
          <cell r="O127">
            <v>120317.18762595236</v>
          </cell>
        </row>
        <row r="128">
          <cell r="O128">
            <v>16263.845091920113</v>
          </cell>
        </row>
        <row r="129">
          <cell r="O129">
            <v>26561.251459901636</v>
          </cell>
        </row>
        <row r="130">
          <cell r="O130">
            <v>160866.69135110447</v>
          </cell>
        </row>
        <row r="131">
          <cell r="O131">
            <v>397162.3796233224</v>
          </cell>
        </row>
        <row r="132">
          <cell r="O132">
            <v>77758.261538398729</v>
          </cell>
        </row>
        <row r="133">
          <cell r="O133">
            <v>83213.300851244407</v>
          </cell>
        </row>
        <row r="134">
          <cell r="O134">
            <v>107037.88992582407</v>
          </cell>
        </row>
        <row r="135">
          <cell r="O135">
            <v>474447.28456439718</v>
          </cell>
        </row>
        <row r="136">
          <cell r="O136">
            <v>51050.133393803626</v>
          </cell>
        </row>
        <row r="137">
          <cell r="O137">
            <v>252723.61435470087</v>
          </cell>
        </row>
        <row r="138">
          <cell r="O138">
            <v>60076.020732424004</v>
          </cell>
        </row>
        <row r="139">
          <cell r="O139">
            <v>20608.143592013523</v>
          </cell>
        </row>
        <row r="140">
          <cell r="O140">
            <v>126210.27925419684</v>
          </cell>
        </row>
        <row r="141">
          <cell r="O141">
            <v>221175.23607922631</v>
          </cell>
        </row>
        <row r="142">
          <cell r="O142">
            <v>431178.45364897471</v>
          </cell>
        </row>
        <row r="143">
          <cell r="O143">
            <v>475439.30181207671</v>
          </cell>
        </row>
        <row r="144">
          <cell r="O144">
            <v>583508.7531952085</v>
          </cell>
        </row>
        <row r="145">
          <cell r="O145">
            <v>466431.50568119675</v>
          </cell>
        </row>
        <row r="146">
          <cell r="O146">
            <v>113495.68612539148</v>
          </cell>
        </row>
        <row r="147">
          <cell r="O147">
            <v>421185.3055941537</v>
          </cell>
        </row>
        <row r="148">
          <cell r="O148">
            <v>127725.61002664996</v>
          </cell>
        </row>
        <row r="149">
          <cell r="O149">
            <v>73203.194873784989</v>
          </cell>
        </row>
        <row r="150">
          <cell r="O150">
            <v>1003990.7971878962</v>
          </cell>
        </row>
        <row r="151">
          <cell r="O151">
            <v>309221.30137399852</v>
          </cell>
        </row>
        <row r="152">
          <cell r="O152">
            <v>51730.656847500592</v>
          </cell>
        </row>
        <row r="153">
          <cell r="O153">
            <v>76531.819284847035</v>
          </cell>
        </row>
        <row r="154">
          <cell r="O154">
            <v>499641.9925716311</v>
          </cell>
        </row>
        <row r="155">
          <cell r="O155">
            <v>457184.73820826464</v>
          </cell>
        </row>
        <row r="156">
          <cell r="O156">
            <v>130899.49012350972</v>
          </cell>
        </row>
        <row r="157">
          <cell r="O157">
            <v>211263.08255637059</v>
          </cell>
        </row>
        <row r="158">
          <cell r="O158">
            <v>69963.143931988569</v>
          </cell>
        </row>
        <row r="159">
          <cell r="O159">
            <v>91959.145160808708</v>
          </cell>
        </row>
        <row r="160">
          <cell r="O160">
            <v>162842.13553379878</v>
          </cell>
        </row>
        <row r="161">
          <cell r="O161">
            <v>54953.815158840094</v>
          </cell>
        </row>
        <row r="162">
          <cell r="O162">
            <v>221144.62356679668</v>
          </cell>
        </row>
        <row r="163">
          <cell r="O163">
            <v>30612.975869822785</v>
          </cell>
        </row>
        <row r="164">
          <cell r="O164">
            <v>19498.902742570066</v>
          </cell>
        </row>
        <row r="165">
          <cell r="O165">
            <v>14443.023415450189</v>
          </cell>
        </row>
        <row r="166">
          <cell r="O166">
            <v>30676.571686256913</v>
          </cell>
        </row>
        <row r="167">
          <cell r="O167">
            <v>20156.524176805877</v>
          </cell>
        </row>
        <row r="168">
          <cell r="O168">
            <v>30333.447728093233</v>
          </cell>
        </row>
        <row r="169">
          <cell r="O169">
            <v>9779.6447282541558</v>
          </cell>
        </row>
        <row r="170">
          <cell r="O170">
            <v>291639.96853325062</v>
          </cell>
        </row>
        <row r="171">
          <cell r="O171">
            <v>378583.52667200641</v>
          </cell>
        </row>
        <row r="172">
          <cell r="O172">
            <v>18896.763227695468</v>
          </cell>
        </row>
        <row r="173">
          <cell r="O173">
            <v>13818.487891293513</v>
          </cell>
        </row>
        <row r="174">
          <cell r="O174">
            <v>9676.4197653338651</v>
          </cell>
        </row>
        <row r="175">
          <cell r="O175">
            <v>8125.5066452107221</v>
          </cell>
        </row>
        <row r="176">
          <cell r="O176">
            <v>9019.8269123117789</v>
          </cell>
        </row>
        <row r="177">
          <cell r="O177">
            <v>48670.66637832937</v>
          </cell>
        </row>
        <row r="178">
          <cell r="O178">
            <v>215473.59199653496</v>
          </cell>
        </row>
        <row r="179">
          <cell r="O179">
            <v>34399.028167074022</v>
          </cell>
        </row>
        <row r="180">
          <cell r="O180">
            <v>452155.40565908886</v>
          </cell>
        </row>
        <row r="181">
          <cell r="O181">
            <v>179871.23343178869</v>
          </cell>
        </row>
        <row r="182">
          <cell r="O182">
            <v>323210.33220934507</v>
          </cell>
        </row>
        <row r="183">
          <cell r="O183">
            <v>128647.50104492967</v>
          </cell>
        </row>
        <row r="184">
          <cell r="O184">
            <v>190343.33382047989</v>
          </cell>
        </row>
        <row r="185">
          <cell r="O185">
            <v>215518.04621249839</v>
          </cell>
        </row>
        <row r="186">
          <cell r="O186">
            <v>161031.63164387451</v>
          </cell>
        </row>
        <row r="187">
          <cell r="O187">
            <v>226721.27805264265</v>
          </cell>
        </row>
        <row r="188">
          <cell r="O188">
            <v>176829.54365327678</v>
          </cell>
        </row>
        <row r="189">
          <cell r="O189">
            <v>563456.92772892653</v>
          </cell>
        </row>
        <row r="190">
          <cell r="O190">
            <v>744420.19746184908</v>
          </cell>
        </row>
        <row r="191">
          <cell r="O191">
            <v>340605.81673194497</v>
          </cell>
        </row>
        <row r="192">
          <cell r="O192">
            <v>185319.1865884604</v>
          </cell>
        </row>
        <row r="193">
          <cell r="O193">
            <v>178859.98762070975</v>
          </cell>
        </row>
        <row r="194">
          <cell r="O194">
            <v>397560.44506263523</v>
          </cell>
        </row>
        <row r="195">
          <cell r="O195">
            <v>740664.78458728781</v>
          </cell>
        </row>
        <row r="196">
          <cell r="O196">
            <v>379204.76827117411</v>
          </cell>
        </row>
        <row r="197">
          <cell r="O197">
            <v>277944.38393895287</v>
          </cell>
        </row>
        <row r="198">
          <cell r="O198">
            <v>188616.33172644541</v>
          </cell>
        </row>
        <row r="199">
          <cell r="O199">
            <v>1933906.360346796</v>
          </cell>
        </row>
        <row r="200">
          <cell r="O200">
            <v>57678.769804304706</v>
          </cell>
        </row>
        <row r="201">
          <cell r="O201">
            <v>866566.39515095961</v>
          </cell>
        </row>
        <row r="202">
          <cell r="O202">
            <v>1672747.8547700569</v>
          </cell>
        </row>
        <row r="203">
          <cell r="O203">
            <v>404303.00789415889</v>
          </cell>
        </row>
        <row r="204">
          <cell r="O204">
            <v>172384.05138122186</v>
          </cell>
        </row>
        <row r="205">
          <cell r="O205">
            <v>291055.57112982764</v>
          </cell>
        </row>
        <row r="206">
          <cell r="O206">
            <v>102622.59863264998</v>
          </cell>
        </row>
        <row r="207">
          <cell r="O207">
            <v>350710.88210635248</v>
          </cell>
        </row>
        <row r="208">
          <cell r="O208">
            <v>285642.80861478817</v>
          </cell>
        </row>
        <row r="209">
          <cell r="O209">
            <v>190593.70097677829</v>
          </cell>
        </row>
        <row r="210">
          <cell r="O210">
            <v>170930.9853317641</v>
          </cell>
        </row>
        <row r="211">
          <cell r="O211">
            <v>21817.014183758685</v>
          </cell>
        </row>
        <row r="212">
          <cell r="O212">
            <v>27407.017837444873</v>
          </cell>
        </row>
        <row r="213">
          <cell r="O213">
            <v>58335.948119058645</v>
          </cell>
        </row>
        <row r="214">
          <cell r="O214">
            <v>172477.43700924757</v>
          </cell>
        </row>
        <row r="215">
          <cell r="O215">
            <v>85240.58091964433</v>
          </cell>
        </row>
        <row r="216">
          <cell r="O216">
            <v>79140.382094986373</v>
          </cell>
        </row>
        <row r="217">
          <cell r="O217">
            <v>18040.322084983145</v>
          </cell>
        </row>
        <row r="218">
          <cell r="O218">
            <v>22291.005008915039</v>
          </cell>
        </row>
        <row r="219">
          <cell r="O219">
            <v>400510.11469128611</v>
          </cell>
        </row>
        <row r="220">
          <cell r="O220">
            <v>15542.930329896173</v>
          </cell>
        </row>
        <row r="221">
          <cell r="O221">
            <v>29384.895543615035</v>
          </cell>
        </row>
        <row r="222">
          <cell r="O222">
            <v>28439.256201344127</v>
          </cell>
        </row>
        <row r="223">
          <cell r="O223">
            <v>29829.507842079031</v>
          </cell>
        </row>
        <row r="224">
          <cell r="O224">
            <v>19587.150504685462</v>
          </cell>
        </row>
        <row r="225">
          <cell r="O225">
            <v>242764.43144350738</v>
          </cell>
        </row>
        <row r="226">
          <cell r="O226">
            <v>13752.317783423443</v>
          </cell>
        </row>
        <row r="227">
          <cell r="O227">
            <v>16099.195995936196</v>
          </cell>
        </row>
        <row r="228">
          <cell r="O228">
            <v>37760.744423919568</v>
          </cell>
        </row>
        <row r="229">
          <cell r="O229">
            <v>37033.835935007686</v>
          </cell>
        </row>
        <row r="230">
          <cell r="O230">
            <v>12285.371113230547</v>
          </cell>
        </row>
        <row r="231">
          <cell r="O231">
            <v>67157.506025641851</v>
          </cell>
        </row>
        <row r="232">
          <cell r="O232">
            <v>267613.98240193789</v>
          </cell>
        </row>
        <row r="233">
          <cell r="O233">
            <v>36639.946831161353</v>
          </cell>
        </row>
        <row r="234">
          <cell r="O234">
            <v>42375.000944595078</v>
          </cell>
        </row>
        <row r="235">
          <cell r="O235">
            <v>52374.986067987811</v>
          </cell>
        </row>
        <row r="236">
          <cell r="O236">
            <v>37385.164758143976</v>
          </cell>
        </row>
        <row r="237">
          <cell r="O237">
            <v>43921.226356276442</v>
          </cell>
        </row>
        <row r="238">
          <cell r="O238">
            <v>61249.028982515607</v>
          </cell>
        </row>
        <row r="239">
          <cell r="O239">
            <v>43791.812492742603</v>
          </cell>
        </row>
        <row r="240">
          <cell r="O240">
            <v>214849.60440021771</v>
          </cell>
        </row>
        <row r="241">
          <cell r="O241">
            <v>53087.962710054802</v>
          </cell>
        </row>
        <row r="242">
          <cell r="O242">
            <v>133697.87492522877</v>
          </cell>
        </row>
        <row r="243">
          <cell r="O243">
            <v>478573.52288795513</v>
          </cell>
        </row>
        <row r="244">
          <cell r="O244">
            <v>280270.01681892498</v>
          </cell>
        </row>
        <row r="245">
          <cell r="O245">
            <v>11305.210554226414</v>
          </cell>
        </row>
        <row r="246">
          <cell r="O246">
            <v>44315.022413335602</v>
          </cell>
        </row>
        <row r="247">
          <cell r="O247">
            <v>182915.30476987822</v>
          </cell>
        </row>
        <row r="248">
          <cell r="O248">
            <v>66174.549537922081</v>
          </cell>
        </row>
        <row r="249">
          <cell r="O249">
            <v>37521.803502888819</v>
          </cell>
        </row>
        <row r="250">
          <cell r="O250">
            <v>25187.513440069808</v>
          </cell>
        </row>
        <row r="251">
          <cell r="O251">
            <v>744352.13902908703</v>
          </cell>
        </row>
        <row r="252">
          <cell r="O252">
            <v>20647.630414550556</v>
          </cell>
        </row>
        <row r="253">
          <cell r="O253">
            <v>7365.1182212683916</v>
          </cell>
        </row>
        <row r="254">
          <cell r="O254">
            <v>42042.23048354646</v>
          </cell>
        </row>
        <row r="255">
          <cell r="O255">
            <v>267568.76452255761</v>
          </cell>
        </row>
        <row r="256">
          <cell r="O256">
            <v>354212.43954701489</v>
          </cell>
        </row>
        <row r="257">
          <cell r="O257">
            <v>41472.87111719072</v>
          </cell>
        </row>
        <row r="258">
          <cell r="O258">
            <v>177775.48140719178</v>
          </cell>
        </row>
        <row r="259">
          <cell r="O259">
            <v>67621.015620852777</v>
          </cell>
        </row>
        <row r="260">
          <cell r="O260">
            <v>88648.620073755141</v>
          </cell>
        </row>
        <row r="261">
          <cell r="O261">
            <v>110272.70709268437</v>
          </cell>
        </row>
        <row r="262">
          <cell r="O262">
            <v>33626.298954456593</v>
          </cell>
        </row>
        <row r="263">
          <cell r="O263">
            <v>150830.36756826262</v>
          </cell>
        </row>
        <row r="264">
          <cell r="O264">
            <v>106613.66006126729</v>
          </cell>
        </row>
        <row r="265">
          <cell r="O265">
            <v>221466.94521356971</v>
          </cell>
        </row>
        <row r="266">
          <cell r="O266">
            <v>109941.39830687494</v>
          </cell>
        </row>
        <row r="267">
          <cell r="O267">
            <v>396551.63750820747</v>
          </cell>
        </row>
        <row r="268">
          <cell r="O268">
            <v>253117.42546536092</v>
          </cell>
        </row>
        <row r="269">
          <cell r="O269">
            <v>1454723.9021747117</v>
          </cell>
        </row>
        <row r="270">
          <cell r="O270">
            <v>33422.554327344922</v>
          </cell>
        </row>
        <row r="271">
          <cell r="O271">
            <v>52345.028735979562</v>
          </cell>
        </row>
        <row r="272">
          <cell r="O272">
            <v>142478.49207668082</v>
          </cell>
        </row>
        <row r="273">
          <cell r="O273">
            <v>727812.6035686559</v>
          </cell>
        </row>
        <row r="274">
          <cell r="O274">
            <v>88426.463558509698</v>
          </cell>
        </row>
        <row r="275">
          <cell r="O275">
            <v>424311.56291558879</v>
          </cell>
        </row>
        <row r="276">
          <cell r="O276">
            <v>219468.1761482924</v>
          </cell>
        </row>
        <row r="277">
          <cell r="O277">
            <v>196187.82210366361</v>
          </cell>
        </row>
        <row r="278">
          <cell r="O278">
            <v>151539.28906131626</v>
          </cell>
        </row>
        <row r="279">
          <cell r="O279">
            <v>94329.776191371464</v>
          </cell>
        </row>
        <row r="280">
          <cell r="O280">
            <v>1361592.64887964</v>
          </cell>
        </row>
        <row r="281">
          <cell r="O281">
            <v>403269.19282881136</v>
          </cell>
        </row>
        <row r="282">
          <cell r="O282">
            <v>826399.19574650563</v>
          </cell>
        </row>
        <row r="283">
          <cell r="O283">
            <v>1164613.2000823771</v>
          </cell>
        </row>
        <row r="284">
          <cell r="O284">
            <v>44348.372755511911</v>
          </cell>
        </row>
        <row r="285">
          <cell r="O285">
            <v>32930.254940463463</v>
          </cell>
        </row>
        <row r="286">
          <cell r="O286">
            <v>19704.801467861522</v>
          </cell>
        </row>
        <row r="287">
          <cell r="O287">
            <v>26202.030678173414</v>
          </cell>
        </row>
        <row r="288">
          <cell r="O288">
            <v>72663.514775867356</v>
          </cell>
        </row>
        <row r="289">
          <cell r="O289">
            <v>28993.358855204882</v>
          </cell>
        </row>
        <row r="290">
          <cell r="O290">
            <v>10314.433611155951</v>
          </cell>
        </row>
        <row r="291">
          <cell r="O291">
            <v>38567.712929573499</v>
          </cell>
        </row>
        <row r="292">
          <cell r="O292">
            <v>31204.327784755606</v>
          </cell>
        </row>
        <row r="293">
          <cell r="O293">
            <v>24147.193327722052</v>
          </cell>
        </row>
        <row r="294">
          <cell r="O294">
            <v>12153.933632288612</v>
          </cell>
        </row>
        <row r="295">
          <cell r="O295">
            <v>65788.023220253992</v>
          </cell>
        </row>
        <row r="296">
          <cell r="O296">
            <v>12059.895668841322</v>
          </cell>
        </row>
        <row r="297">
          <cell r="O297">
            <v>20834.670068797404</v>
          </cell>
        </row>
        <row r="298">
          <cell r="O298">
            <v>17296.654694740315</v>
          </cell>
        </row>
        <row r="299">
          <cell r="O299">
            <v>108091.40898241052</v>
          </cell>
        </row>
        <row r="300">
          <cell r="O300">
            <v>16598.652501049153</v>
          </cell>
        </row>
        <row r="301">
          <cell r="O301">
            <v>36587.084587154248</v>
          </cell>
        </row>
        <row r="302">
          <cell r="O302">
            <v>16266.65197383745</v>
          </cell>
        </row>
        <row r="303">
          <cell r="O303">
            <v>32862.452068658647</v>
          </cell>
        </row>
        <row r="304">
          <cell r="O304">
            <v>18530.676283177221</v>
          </cell>
        </row>
        <row r="305">
          <cell r="O305">
            <v>20575.977686069687</v>
          </cell>
        </row>
        <row r="306">
          <cell r="O306">
            <v>6977.7230689884191</v>
          </cell>
        </row>
        <row r="307">
          <cell r="O307">
            <v>14547.674470059768</v>
          </cell>
        </row>
        <row r="308">
          <cell r="O308">
            <v>25580.404144196087</v>
          </cell>
        </row>
        <row r="309">
          <cell r="O309">
            <v>67292.295710370759</v>
          </cell>
        </row>
        <row r="310">
          <cell r="O310">
            <v>23400.050393422702</v>
          </cell>
        </row>
        <row r="311">
          <cell r="O311">
            <v>14706.153484095765</v>
          </cell>
        </row>
        <row r="312">
          <cell r="O312">
            <v>9060.7199484236153</v>
          </cell>
        </row>
        <row r="313">
          <cell r="O313">
            <v>939977.24754190596</v>
          </cell>
        </row>
        <row r="314">
          <cell r="O314">
            <v>287184.23604562745</v>
          </cell>
        </row>
      </sheetData>
      <sheetData sheetId="15"/>
      <sheetData sheetId="16"/>
      <sheetData sheetId="17"/>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Q:\Finances%20Communales\P&#233;r&#233;quations\2020\D&#233;compte\Rendements%20ACI%202020\Rendement%20des%20imp&#244;ts%20communaux%20et%20taxes%202020.xls"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ernandez-Affannato Rita" refreshedDate="44214.388613773146" createdVersion="1" refreshedVersion="4" recordCount="33468" xr:uid="{00000000-000A-0000-FFFF-FFFF00000000}">
  <cacheSource type="worksheet">
    <worksheetSource ref="A1:M33469" sheet="Général" r:id="rId2"/>
  </cacheSource>
  <cacheFields count="13">
    <cacheField name="Perception" numFmtId="0">
      <sharedItems count="3">
        <s v="PP"/>
        <s v="PM"/>
        <s v="IS"/>
      </sharedItems>
    </cacheField>
    <cacheField name="District" numFmtId="0">
      <sharedItems containsSemiMixedTypes="0" containsString="0" containsNumber="1" containsInteger="1" minValue="1" maxValue="19" count="14">
        <n v="1"/>
        <n v="17"/>
        <n v="12"/>
        <n v="15"/>
        <n v="5"/>
        <n v="10"/>
        <n v="6"/>
        <n v="9"/>
        <n v="7"/>
        <n v="13"/>
        <n v="16"/>
        <n v="18"/>
        <n v="19"/>
        <n v="8"/>
      </sharedItems>
    </cacheField>
    <cacheField name="NomDist" numFmtId="0">
      <sharedItems count="10">
        <s v="Aigle"/>
        <s v="Morges"/>
        <s v="Nyon"/>
        <s v="Broye - Vully"/>
        <s v="Gros-de-Vaud"/>
        <s v="Jura - Nord vaudois"/>
        <s v="Lavaux - Oron"/>
        <s v="Lausanne"/>
        <s v="Ouest lausannois"/>
        <s v="Riviera - Pays-d'Enhaut"/>
      </sharedItems>
    </cacheField>
    <cacheField name="nocommune" numFmtId="0">
      <sharedItems containsSemiMixedTypes="0" containsString="0" containsNumber="1" containsInteger="1" minValue="5401" maxValue="8022" count="394">
        <n v="5401"/>
        <n v="5402"/>
        <n v="5403"/>
        <n v="5404"/>
        <n v="5405"/>
        <n v="5406"/>
        <n v="5407"/>
        <n v="5408"/>
        <n v="5409"/>
        <n v="5410"/>
        <n v="5411"/>
        <n v="5412"/>
        <n v="5413"/>
        <n v="5414"/>
        <n v="5415"/>
        <n v="5421"/>
        <n v="5422"/>
        <n v="5423"/>
        <n v="5424"/>
        <n v="5425"/>
        <n v="5426"/>
        <n v="5427"/>
        <n v="5428"/>
        <n v="5429"/>
        <n v="5430"/>
        <n v="5431"/>
        <n v="5432"/>
        <n v="5434"/>
        <n v="5435"/>
        <n v="5436"/>
        <n v="5437"/>
        <n v="5451"/>
        <n v="5452"/>
        <n v="5453"/>
        <n v="5455"/>
        <n v="5456"/>
        <n v="5458"/>
        <n v="5459"/>
        <n v="5461"/>
        <n v="5462"/>
        <n v="5463"/>
        <n v="5464"/>
        <n v="5471"/>
        <n v="5472"/>
        <n v="5473"/>
        <n v="5474"/>
        <n v="5475"/>
        <n v="5476"/>
        <n v="5477"/>
        <n v="5478"/>
        <n v="5479"/>
        <n v="5480"/>
        <n v="5481"/>
        <n v="5482"/>
        <n v="5483"/>
        <n v="5484"/>
        <n v="5485"/>
        <n v="5486"/>
        <n v="5487"/>
        <n v="5488"/>
        <n v="5489"/>
        <n v="5490"/>
        <n v="5491"/>
        <n v="5492"/>
        <n v="5493"/>
        <n v="5494"/>
        <n v="5495"/>
        <n v="5496"/>
        <n v="5497"/>
        <n v="5498"/>
        <n v="5499"/>
        <n v="5500"/>
        <n v="5501"/>
        <n v="5503"/>
        <n v="5511"/>
        <n v="5512"/>
        <n v="5513"/>
        <n v="5514"/>
        <n v="5515"/>
        <n v="5516"/>
        <n v="5517"/>
        <n v="5518"/>
        <n v="5520"/>
        <n v="5521"/>
        <n v="5522"/>
        <n v="5523"/>
        <n v="5524"/>
        <n v="5526"/>
        <n v="5527"/>
        <n v="5528"/>
        <n v="5529"/>
        <n v="5530"/>
        <n v="5531"/>
        <n v="5532"/>
        <n v="5533"/>
        <n v="5534"/>
        <n v="5535"/>
        <n v="5536"/>
        <n v="5537"/>
        <n v="5538"/>
        <n v="5539"/>
        <n v="5540"/>
        <n v="5541"/>
        <n v="5551"/>
        <n v="5552"/>
        <n v="5553"/>
        <n v="5554"/>
        <n v="5555"/>
        <n v="5556"/>
        <n v="5557"/>
        <n v="5559"/>
        <n v="5560"/>
        <n v="5561"/>
        <n v="5562"/>
        <n v="5563"/>
        <n v="5564"/>
        <n v="5565"/>
        <n v="5566"/>
        <n v="5567"/>
        <n v="5568"/>
        <n v="5570"/>
        <n v="5571"/>
        <n v="5581"/>
        <n v="5582"/>
        <n v="5583"/>
        <n v="5584"/>
        <n v="5585"/>
        <n v="5586"/>
        <n v="5587"/>
        <n v="5588"/>
        <n v="5589"/>
        <n v="5590"/>
        <n v="5591"/>
        <n v="5592"/>
        <n v="5601"/>
        <n v="5602"/>
        <n v="5603"/>
        <n v="5604"/>
        <n v="5605"/>
        <n v="5606"/>
        <n v="5607"/>
        <n v="5608"/>
        <n v="5609"/>
        <n v="5610"/>
        <n v="5611"/>
        <n v="5612"/>
        <n v="5613"/>
        <n v="5621"/>
        <n v="5622"/>
        <n v="5623"/>
        <n v="5624"/>
        <n v="5625"/>
        <n v="5627"/>
        <n v="5628"/>
        <n v="5629"/>
        <n v="5630"/>
        <n v="5631"/>
        <n v="5632"/>
        <n v="5633"/>
        <n v="5634"/>
        <n v="5635"/>
        <n v="5636"/>
        <n v="5637"/>
        <n v="5638"/>
        <n v="5639"/>
        <n v="5640"/>
        <n v="5641"/>
        <n v="5642"/>
        <n v="5643"/>
        <n v="5644"/>
        <n v="5645"/>
        <n v="5646"/>
        <n v="5647"/>
        <n v="5648"/>
        <n v="5649"/>
        <n v="5650"/>
        <n v="5651"/>
        <n v="5652"/>
        <n v="5653"/>
        <n v="5654"/>
        <n v="5655"/>
        <n v="5661"/>
        <n v="5662"/>
        <n v="5663"/>
        <n v="5664"/>
        <n v="5665"/>
        <n v="5666"/>
        <n v="5668"/>
        <n v="5669"/>
        <n v="5670"/>
        <n v="5671"/>
        <n v="5672"/>
        <n v="5673"/>
        <n v="5674"/>
        <n v="5675"/>
        <n v="5676"/>
        <n v="5677"/>
        <n v="5678"/>
        <n v="5680"/>
        <n v="5682"/>
        <n v="5683"/>
        <n v="5684"/>
        <n v="5686"/>
        <n v="5689"/>
        <n v="5690"/>
        <n v="5692"/>
        <n v="5693"/>
        <n v="5701"/>
        <n v="5702"/>
        <n v="5703"/>
        <n v="5704"/>
        <n v="5705"/>
        <n v="5706"/>
        <n v="5707"/>
        <n v="5708"/>
        <n v="5709"/>
        <n v="5710"/>
        <n v="5711"/>
        <n v="5712"/>
        <n v="5713"/>
        <n v="5714"/>
        <n v="5715"/>
        <n v="5716"/>
        <n v="5717"/>
        <n v="5718"/>
        <n v="5719"/>
        <n v="5720"/>
        <n v="5721"/>
        <n v="5722"/>
        <n v="5723"/>
        <n v="5724"/>
        <n v="5725"/>
        <n v="5726"/>
        <n v="5727"/>
        <n v="5728"/>
        <n v="5729"/>
        <n v="5730"/>
        <n v="5731"/>
        <n v="5732"/>
        <n v="5741"/>
        <n v="5742"/>
        <n v="5743"/>
        <n v="5744"/>
        <n v="5745"/>
        <n v="5746"/>
        <n v="5747"/>
        <n v="5748"/>
        <n v="5749"/>
        <n v="5750"/>
        <n v="5751"/>
        <n v="5752"/>
        <n v="5754"/>
        <n v="5755"/>
        <n v="5756"/>
        <n v="5757"/>
        <n v="5758"/>
        <n v="5759"/>
        <n v="5760"/>
        <n v="5761"/>
        <n v="5762"/>
        <n v="5763"/>
        <n v="5764"/>
        <n v="5765"/>
        <n v="5766"/>
        <n v="5782"/>
        <n v="5783"/>
        <n v="5785"/>
        <n v="5786"/>
        <n v="5787"/>
        <n v="5788"/>
        <n v="5789"/>
        <n v="5790"/>
        <n v="5791"/>
        <n v="5792"/>
        <n v="5793"/>
        <n v="5794"/>
        <n v="5795"/>
        <n v="5796"/>
        <n v="5798"/>
        <n v="5799"/>
        <n v="5801"/>
        <n v="5802"/>
        <n v="5803"/>
        <n v="5804"/>
        <n v="5805"/>
        <n v="5806"/>
        <n v="5812"/>
        <n v="5813"/>
        <n v="5815"/>
        <n v="5816"/>
        <n v="5817"/>
        <n v="5818"/>
        <n v="5819"/>
        <n v="5820"/>
        <n v="5821"/>
        <n v="5822"/>
        <n v="5824"/>
        <n v="5826"/>
        <n v="5827"/>
        <n v="5828"/>
        <n v="5830"/>
        <n v="5831"/>
        <n v="5841"/>
        <n v="5842"/>
        <n v="5843"/>
        <n v="5851"/>
        <n v="5852"/>
        <n v="5853"/>
        <n v="5854"/>
        <n v="5855"/>
        <n v="5856"/>
        <n v="5857"/>
        <n v="5858"/>
        <n v="5859"/>
        <n v="5860"/>
        <n v="5861"/>
        <n v="5862"/>
        <n v="5863"/>
        <n v="5881"/>
        <n v="5882"/>
        <n v="5883"/>
        <n v="5884"/>
        <n v="5885"/>
        <n v="5886"/>
        <n v="5888"/>
        <n v="5889"/>
        <n v="5890"/>
        <n v="5891"/>
        <n v="5902"/>
        <n v="5903"/>
        <n v="5904"/>
        <n v="5905"/>
        <n v="5906"/>
        <n v="5907"/>
        <n v="5908"/>
        <n v="5909"/>
        <n v="5910"/>
        <n v="5911"/>
        <n v="5912"/>
        <n v="5913"/>
        <n v="5914"/>
        <n v="5915"/>
        <n v="5916"/>
        <n v="5919"/>
        <n v="5921"/>
        <n v="5922"/>
        <n v="5923"/>
        <n v="5924"/>
        <n v="5925"/>
        <n v="5926"/>
        <n v="5928"/>
        <n v="5929"/>
        <n v="5930"/>
        <n v="5931"/>
        <n v="5932"/>
        <n v="5933"/>
        <n v="5934"/>
        <n v="5935"/>
        <n v="5937"/>
        <n v="5938"/>
        <n v="5939"/>
        <n v="8000"/>
        <n v="8001"/>
        <n v="8002"/>
        <n v="8003"/>
        <n v="8010"/>
        <n v="8011"/>
        <n v="8012"/>
        <n v="8020"/>
        <n v="8021"/>
        <n v="8022"/>
        <n v="5685"/>
        <n v="5687"/>
        <n v="5688"/>
        <n v="5691"/>
        <n v="5814"/>
        <n v="5927"/>
        <n v="5936" u="1"/>
        <n v="5873" u="1"/>
        <n v="5558" u="1"/>
        <n v="5519" u="1"/>
        <n v="5433" u="1"/>
        <n v="5457" u="1"/>
        <n v="5781" u="1"/>
        <n v="5679" u="1"/>
        <n v="5460" u="1"/>
        <n v="5917" u="1"/>
        <n v="5681" u="1"/>
        <n v="5784" u="1"/>
        <n v="5918" u="1"/>
        <n v="5800" u="1"/>
        <n v="5525" u="1"/>
        <n v="5667" u="1"/>
        <n v="5872" u="1"/>
      </sharedItems>
    </cacheField>
    <cacheField name="OFS_Fusion" numFmtId="0">
      <sharedItems containsSemiMixedTypes="0" containsString="0" containsNumber="1" containsInteger="1" minValue="5401" maxValue="8020" count="315">
        <n v="5401"/>
        <n v="5402"/>
        <n v="5403"/>
        <n v="5404"/>
        <n v="5405"/>
        <n v="5406"/>
        <n v="5407"/>
        <n v="5408"/>
        <n v="5409"/>
        <n v="5410"/>
        <n v="5411"/>
        <n v="5412"/>
        <n v="5413"/>
        <n v="5414"/>
        <n v="5415"/>
        <n v="5421"/>
        <n v="5422"/>
        <n v="5423"/>
        <n v="5424"/>
        <n v="5425"/>
        <n v="5426"/>
        <n v="5427"/>
        <n v="5428"/>
        <n v="5429"/>
        <n v="5430"/>
        <n v="5431"/>
        <n v="5432"/>
        <n v="5434"/>
        <n v="5435"/>
        <n v="5436"/>
        <n v="5437"/>
        <n v="5451"/>
        <n v="5464"/>
        <n v="5456"/>
        <n v="5458"/>
        <n v="5471"/>
        <n v="5472"/>
        <n v="5473"/>
        <n v="5474"/>
        <n v="5475"/>
        <n v="5476"/>
        <n v="5477"/>
        <n v="5478"/>
        <n v="5479"/>
        <n v="5480"/>
        <n v="5481"/>
        <n v="5482"/>
        <n v="5483"/>
        <n v="5484"/>
        <n v="5485"/>
        <n v="5486"/>
        <n v="5487"/>
        <n v="5488"/>
        <n v="5489"/>
        <n v="5490"/>
        <n v="5491"/>
        <n v="5492"/>
        <n v="5493"/>
        <n v="5494"/>
        <n v="5495"/>
        <n v="5496"/>
        <n v="5497"/>
        <n v="5498"/>
        <n v="5499"/>
        <n v="5500"/>
        <n v="5501"/>
        <n v="5503"/>
        <n v="5511"/>
        <n v="5512"/>
        <n v="5513"/>
        <n v="5514"/>
        <n v="5515"/>
        <n v="5516"/>
        <n v="5540"/>
        <n v="5518"/>
        <n v="5520"/>
        <n v="5521"/>
        <n v="5522"/>
        <n v="5523"/>
        <n v="5541"/>
        <n v="5527"/>
        <n v="5529"/>
        <n v="5530"/>
        <n v="5531"/>
        <n v="5533"/>
        <n v="5534"/>
        <n v="5535"/>
        <n v="5537"/>
        <n v="5804"/>
        <n v="5539"/>
        <n v="5551"/>
        <n v="5552"/>
        <n v="5553"/>
        <n v="5554"/>
        <n v="5555"/>
        <n v="5556"/>
        <n v="5557"/>
        <n v="5559"/>
        <n v="5560"/>
        <n v="5561"/>
        <n v="5562"/>
        <n v="5563"/>
        <n v="5564"/>
        <n v="5565"/>
        <n v="5566"/>
        <n v="5571"/>
        <n v="5568"/>
        <n v="5581"/>
        <n v="5582"/>
        <n v="5583"/>
        <n v="5584"/>
        <n v="5585"/>
        <n v="5586"/>
        <n v="5587"/>
        <n v="5588"/>
        <n v="5589"/>
        <n v="5590"/>
        <n v="5591"/>
        <n v="5592"/>
        <n v="5601"/>
        <n v="5613"/>
        <n v="5604"/>
        <n v="5606"/>
        <n v="5607"/>
        <n v="5609"/>
        <n v="5610"/>
        <n v="5611"/>
        <n v="5621"/>
        <n v="5622"/>
        <n v="5623"/>
        <n v="5624"/>
        <n v="5625"/>
        <n v="5627"/>
        <n v="5628"/>
        <n v="5629"/>
        <n v="5634"/>
        <n v="5631"/>
        <n v="5632"/>
        <n v="5633"/>
        <n v="5635"/>
        <n v="5636"/>
        <n v="5637"/>
        <n v="5638"/>
        <n v="5639"/>
        <n v="5640"/>
        <n v="5642"/>
        <n v="5643"/>
        <n v="5644"/>
        <n v="5645"/>
        <n v="5646"/>
        <n v="5648"/>
        <n v="5649"/>
        <n v="5650"/>
        <n v="5651"/>
        <n v="5652"/>
        <n v="5653"/>
        <n v="5654"/>
        <n v="5655"/>
        <n v="5661"/>
        <n v="5675"/>
        <n v="5663"/>
        <n v="5693"/>
        <n v="5665"/>
        <n v="5669"/>
        <n v="5671"/>
        <n v="5673"/>
        <n v="5674"/>
        <n v="5678"/>
        <n v="5680"/>
        <n v="5683"/>
        <n v="5684"/>
        <n v="5690"/>
        <n v="5692"/>
        <n v="5701"/>
        <n v="5702"/>
        <n v="5703"/>
        <n v="5704"/>
        <n v="5705"/>
        <n v="5706"/>
        <n v="5707"/>
        <n v="5708"/>
        <n v="5709"/>
        <n v="5710"/>
        <n v="5711"/>
        <n v="5712"/>
        <n v="5713"/>
        <n v="5714"/>
        <n v="5715"/>
        <n v="5716"/>
        <n v="5717"/>
        <n v="5718"/>
        <n v="5719"/>
        <n v="5720"/>
        <n v="5721"/>
        <n v="5722"/>
        <n v="5723"/>
        <n v="5724"/>
        <n v="5725"/>
        <n v="5726"/>
        <n v="5727"/>
        <n v="5728"/>
        <n v="5729"/>
        <n v="5730"/>
        <n v="5731"/>
        <n v="5732"/>
        <n v="5741"/>
        <n v="5742"/>
        <n v="5743"/>
        <n v="5744"/>
        <n v="5745"/>
        <n v="5746"/>
        <n v="5747"/>
        <n v="5748"/>
        <n v="5749"/>
        <n v="5750"/>
        <n v="5752"/>
        <n v="5754"/>
        <n v="5755"/>
        <n v="5756"/>
        <n v="5757"/>
        <n v="5758"/>
        <n v="5759"/>
        <n v="5760"/>
        <n v="5761"/>
        <n v="5762"/>
        <n v="5763"/>
        <n v="5764"/>
        <n v="5765"/>
        <n v="5766"/>
        <n v="5806"/>
        <n v="5805"/>
        <n v="5785"/>
        <n v="5799"/>
        <n v="5788"/>
        <n v="5790"/>
        <n v="5792"/>
        <n v="5798"/>
        <n v="5803"/>
        <n v="5812"/>
        <n v="5813"/>
        <n v="5831"/>
        <n v="5816"/>
        <n v="5817"/>
        <n v="5819"/>
        <n v="5821"/>
        <n v="5822"/>
        <n v="5827"/>
        <n v="5828"/>
        <n v="5830"/>
        <n v="5841"/>
        <n v="5842"/>
        <n v="5843"/>
        <n v="5851"/>
        <n v="5852"/>
        <n v="5853"/>
        <n v="5854"/>
        <n v="5855"/>
        <n v="5856"/>
        <n v="5857"/>
        <n v="5858"/>
        <n v="5859"/>
        <n v="5860"/>
        <n v="5861"/>
        <n v="5862"/>
        <n v="5863"/>
        <n v="5881"/>
        <n v="5882"/>
        <n v="5883"/>
        <n v="5884"/>
        <n v="5885"/>
        <n v="5886"/>
        <n v="5888"/>
        <n v="5889"/>
        <n v="5890"/>
        <n v="5891"/>
        <n v="5902"/>
        <n v="5903"/>
        <n v="5904"/>
        <n v="5905"/>
        <n v="5907"/>
        <n v="5908"/>
        <n v="5909"/>
        <n v="5910"/>
        <n v="5911"/>
        <n v="5912"/>
        <n v="5913"/>
        <n v="5914"/>
        <n v="5919"/>
        <n v="5921"/>
        <n v="5922"/>
        <n v="5923"/>
        <n v="5924"/>
        <n v="5925"/>
        <n v="5926"/>
        <n v="5928"/>
        <n v="5929"/>
        <n v="5930"/>
        <n v="5931"/>
        <n v="5932"/>
        <n v="5933"/>
        <n v="5934"/>
        <n v="5935"/>
        <n v="5937"/>
        <n v="5938"/>
        <n v="5939"/>
        <n v="8000"/>
        <n v="8001"/>
        <n v="8002"/>
        <n v="8003"/>
        <n v="8010"/>
        <n v="8011"/>
        <n v="8012"/>
        <n v="8020"/>
        <n v="5688"/>
        <n v="5872" u="1"/>
      </sharedItems>
    </cacheField>
    <cacheField name="commune" numFmtId="0">
      <sharedItems count="315">
        <s v="Aigle                    "/>
        <s v="Bex                      "/>
        <s v="Chessel                  "/>
        <s v="Corbeyrier               "/>
        <s v="Gryon                    "/>
        <s v="Lavey-Morcles            "/>
        <s v="Leysin                   "/>
        <s v="Noville                  "/>
        <s v="Ollon                    "/>
        <s v="Ormont-Dessous           "/>
        <s v="Ormont-Dessus            "/>
        <s v="Rennaz                   "/>
        <s v="Roche (VD)               "/>
        <s v="Villeneuve (VD)          "/>
        <s v="Yvorne                   "/>
        <s v="Apples                   "/>
        <s v="Aubonne                  "/>
        <s v="Ballens                  "/>
        <s v="Berolle                  "/>
        <s v="Bière                    "/>
        <s v="Bougy-Villars            "/>
        <s v="Féchy                    "/>
        <s v="Gimel                    "/>
        <s v="Longirod                 "/>
        <s v="Marchissy                "/>
        <s v="Mollens (VD)             "/>
        <s v="Montherod                "/>
        <s v="Saint-George             "/>
        <s v="Saint-Livres             "/>
        <s v="Saint-Oyens              "/>
        <s v="Saubraz                  "/>
        <s v="Avenches                 "/>
        <s v="Vully-les-Lacs"/>
        <s v="Cudrefin                 "/>
        <s v="Faoug                    "/>
        <s v="Bettens                  "/>
        <s v="Bournens                 "/>
        <s v="Boussens                 "/>
        <s v="La Chaux (Cossonay)      "/>
        <s v="Chavannes-le-Veyron      "/>
        <s v="Chevilly                 "/>
        <s v="Cossonay                 "/>
        <s v="Cottens (VD)             "/>
        <s v="Cuarnens                 "/>
        <s v="Daillens                 "/>
        <s v="Dizy                     "/>
        <s v="Eclépens                 "/>
        <s v="Ferreyres                "/>
        <s v="Gollion                  "/>
        <s v="Grancy                   "/>
        <s v="L'Isle                   "/>
        <s v="Lussery                  "/>
        <s v="Mauraz                   "/>
        <s v="Mex (VD)                 "/>
        <s v="Moiry                    "/>
        <s v="Mont-la-Ville            "/>
        <s v="Montricher               "/>
        <s v="Orny                     "/>
        <s v="Pampigny                 "/>
        <s v="Penthalaz                "/>
        <s v="Penthaz                  "/>
        <s v="Pompaples                "/>
        <s v="La Sarraz                "/>
        <s v="Senarclens               "/>
        <s v="Sévery                   "/>
        <s v="Sullens                  "/>
        <s v="Vufflens-la-Ville        "/>
        <s v="Assens                   "/>
        <s v="Bercher                  "/>
        <s v="Bioley-Orjulaz           "/>
        <s v="Bottens                  "/>
        <s v="Bretigny-sur-Morrens     "/>
        <s v="Cugy (VD)                "/>
        <s v="Montilliez"/>
        <s v="Echallens                "/>
        <s v="Essertines-sur-Yverdon   "/>
        <s v="Etagnières               "/>
        <s v="Fey                      "/>
        <s v="Froideville              "/>
        <s v="Goumoëns"/>
        <s v="Morrens (VD)             "/>
        <s v="Oulens-sous-Echallens    "/>
        <s v="Pailly                   "/>
        <s v="Penthéréaz               "/>
        <s v="Poliez-Pittet            "/>
        <s v="Rueyres                  "/>
        <s v="Saint-Barthélemy (VD)    "/>
        <s v="Villars-le-Terroir       "/>
        <s v="Jorat-Menthue"/>
        <s v="Vuarrens                 "/>
        <s v="Bonvillars               "/>
        <s v="Bullet                   "/>
        <s v="Champagne                "/>
        <s v="Concise                  "/>
        <s v="Corcelles-près-Concise   "/>
        <s v="Fiez                     "/>
        <s v="Fontaines-sur-Grandson   "/>
        <s v="Giez                     "/>
        <s v="Grandevent               "/>
        <s v="Grandson                 "/>
        <s v="Mauborget                "/>
        <s v="Mutrux                   "/>
        <s v="Novalles                 "/>
        <s v="Onnens (VD)              "/>
        <s v="Provence                 "/>
        <s v="Tévenon"/>
        <s v="Sainte-Croix             "/>
        <s v="Belmont-sur-Lausanne     "/>
        <s v="Cheseaux-sur-Lausanne    "/>
        <s v="Crissier                 "/>
        <s v="Epalinges                "/>
        <s v="Jouxtens-Mézery          "/>
        <s v="Lausanne                 "/>
        <s v="Le Mont-sur-Lausanne     "/>
        <s v="Paudex                   "/>
        <s v="Prilly                   "/>
        <s v="Pully                    "/>
        <s v="Renens (VD)              "/>
        <s v="Romanel-sur-Lausanne     "/>
        <s v="Chexbres                 "/>
        <s v="Bourg-en-Lavaux"/>
        <s v="Forel (Lavaux)           "/>
        <s v="Lutry                    "/>
        <s v="Puidoux                  "/>
        <s v="Rivaz                    "/>
        <s v="Saint-Saphorin (Lavaux)  "/>
        <s v="Savigny                  "/>
        <s v="Aclens                   "/>
        <s v="Bremblens                "/>
        <s v="Buchillon                "/>
        <s v="Bussigny"/>
        <s v="Bussy-Chardonney         "/>
        <s v="Chavannes-près-Renens    "/>
        <s v="Chigny                   "/>
        <s v="Clarmont                 "/>
        <s v="Echichens                "/>
        <s v="Denens                   "/>
        <s v="Denges                   "/>
        <s v="Echandens                "/>
        <s v="Ecublens (VD)            "/>
        <s v="Etoy                     "/>
        <s v="Lavigny                  "/>
        <s v="Lonay                    "/>
        <s v="Lully (VD)               "/>
        <s v="Lussy-sur-Morges         "/>
        <s v="Morges                   "/>
        <s v="Préverenges              "/>
        <s v="Reverolle                "/>
        <s v="Romanel-sur-Morges       "/>
        <s v="Saint-Prex               "/>
        <s v="Saint-Sulpice (VD)       "/>
        <s v="Tolochenaz               "/>
        <s v="Vaux-sur-Morges          "/>
        <s v="Villars-Sainte-Croix     "/>
        <s v="Villars-sous-Yens        "/>
        <s v="Vufflens-le-Château      "/>
        <s v="Vullierens               "/>
        <s v="Yens                     "/>
        <s v="Boulens                  "/>
        <s v="Lucens                   "/>
        <s v="Bussy-sur-Moudon         "/>
        <s v="Montanaire"/>
        <s v="Chavannes-sur-Moudon     "/>
        <s v="Curtilles                "/>
        <s v="Dompierre (VD)           "/>
        <s v="Hermenches               "/>
        <s v="Lovatens                 "/>
        <s v="Moudon                   "/>
        <s v="Ogens                    "/>
        <s v="Prévonloup               "/>
        <s v="Rossenges                "/>
        <s v="Villars-le-Comte         "/>
        <s v="Vucherens                "/>
        <s v="Arnex-sur-Nyon           "/>
        <s v="Arzier-Le Muids"/>
        <s v="Bassins                  "/>
        <s v="Begnins                  "/>
        <s v="Bogis-Bossey             "/>
        <s v="Borex                    "/>
        <s v="Chavannes-de-Bogis       "/>
        <s v="Chavannes-des-Bois       "/>
        <s v="Chéserex                 "/>
        <s v="Coinsins                 "/>
        <s v="Commugny                 "/>
        <s v="Coppet                   "/>
        <s v="Crans-près-Céligny       "/>
        <s v="Crassier                 "/>
        <s v="Duillier                 "/>
        <s v="Eysins                   "/>
        <s v="Founex                   "/>
        <s v="Genolier                 "/>
        <s v="Gingins                  "/>
        <s v="Givrins                  "/>
        <s v="Gland                    "/>
        <s v="Grens                    "/>
        <s v="Mies                     "/>
        <s v="Nyon                     "/>
        <s v="Prangins                 "/>
        <s v="La Rippe                 "/>
        <s v="Saint-Cergue             "/>
        <s v="Signy-Avenex             "/>
        <s v="Tannay                   "/>
        <s v="Trélex                   "/>
        <s v="Le Vaud                  "/>
        <s v="Vich                     "/>
        <s v="L'Abergement             "/>
        <s v="Agiez                    "/>
        <s v="Arnex-sur-Orbe           "/>
        <s v="Ballaigues               "/>
        <s v="Baulmes                  "/>
        <s v="Bavois                   "/>
        <s v="Bofflens                 "/>
        <s v="Bretonnières             "/>
        <s v="Chavornay                "/>
        <s v="Les Clées                "/>
        <s v="Croy                     "/>
        <s v="Juriens                  "/>
        <s v="Lignerolle               "/>
        <s v="Montcherand              "/>
        <s v="Orbe                     "/>
        <s v="La Praz                  "/>
        <s v="Premier                  "/>
        <s v="Rances                   "/>
        <s v="Romainmôtier-Envy        "/>
        <s v="Sergey                   "/>
        <s v="Valeyres-sous-Rances     "/>
        <s v="Vallorbe                 "/>
        <s v="Vaulion                  "/>
        <s v="Vuiteboeuf               "/>
        <s v="Jorat-Mézières"/>
        <s v="ORON"/>
        <s v="Corcelles-le-Jorat       "/>
        <s v="Servion                  "/>
        <s v="Essertes                 "/>
        <s v="Maracon                  "/>
        <s v="Montpreveyres            "/>
        <s v="Ropraz                   "/>
        <s v="Vulliens                 "/>
        <s v="Champtauroz              "/>
        <s v="Chevroux                 "/>
        <s v="Valbroye"/>
        <s v="Corcelles-près-Payerne   "/>
        <s v="Grandcour                "/>
        <s v="Henniez                  "/>
        <s v="Missy                    "/>
        <s v="Payerne                  "/>
        <s v="Trey                     "/>
        <s v="Treytorrens (Payerne)    "/>
        <s v="Villarzel                "/>
        <s v="Château-d'Oex            "/>
        <s v="Rossinière               "/>
        <s v="Rougemont                "/>
        <s v="Allaman                  "/>
        <s v="Bursinel                 "/>
        <s v="Bursins                  "/>
        <s v="Burtigny                 "/>
        <s v="Dully                    "/>
        <s v="Essertines-sur-Rolle     "/>
        <s v="Gilly                    "/>
        <s v="Luins                    "/>
        <s v="Mont-sur-Rolle           "/>
        <s v="Perroy                   "/>
        <s v="Rolle                    "/>
        <s v="Tartegnin                "/>
        <s v="Vinzel                   "/>
        <s v="Blonay                   "/>
        <s v="Chardonne                "/>
        <s v="Corseaux                 "/>
        <s v="Corsier-sur-Vevey        "/>
        <s v="Jongny                   "/>
        <s v="Montreux                 "/>
        <s v="Saint-Légier-La-Chiésaz  "/>
        <s v="La Tour-de-Peilz         "/>
        <s v="Vevey                    "/>
        <s v="Veytaux                  "/>
        <s v="Belmont-sur-Yverdon      "/>
        <s v="Bioley-Magnoux           "/>
        <s v="Chamblon                 "/>
        <s v="Champvent                "/>
        <s v="Chavannes-le-Chêne       "/>
        <s v="Chêne-Pâquier            "/>
        <s v="Cheseaux-Noréaz          "/>
        <s v="Cronay                   "/>
        <s v="Cuarny                   "/>
        <s v="Démoret                  "/>
        <s v="Donneloye                "/>
        <s v="Ependes (VD)             "/>
        <s v="Mathod                   "/>
        <s v="Molondin                 "/>
        <s v="Montagny-près-Yverdon    "/>
        <s v="Oppens                   "/>
        <s v="Orges                    "/>
        <s v="Orzens                   "/>
        <s v="Pomy                     "/>
        <s v="Rovray                   "/>
        <s v="Suchy                    "/>
        <s v="Suscévaz                 "/>
        <s v="Treycovagnes             "/>
        <s v="Ursins                   "/>
        <s v="Valeyres-sous-Montagny   "/>
        <s v="Valeyres-sous-Ursins     "/>
        <s v="Villars-Epeney           "/>
        <s v="Vugelles-La Mothe        "/>
        <s v="Yverdon-les-Bains        "/>
        <s v="Yvonand                  "/>
        <s v="Le Chenit (Le Sentier)"/>
        <s v="Le Chenit (Le Brassus)"/>
        <s v="Le Chenit (L'Orient)"/>
        <s v="Le Chenit (Le Solliat)"/>
        <s v="L'Abbaye (Le Pont)"/>
        <s v="L'Abbaye (L'Abbaye)"/>
        <s v="L'Abbaye (Les Bioux)"/>
        <s v="Le Lieu                  "/>
        <s v="Syens                    "/>
        <s v="Le Chenit                " u="1"/>
      </sharedItems>
    </cacheField>
    <cacheField name="REVENUS/charges" numFmtId="0">
      <sharedItems/>
    </cacheField>
    <cacheField name="no cpte" numFmtId="0">
      <sharedItems containsMixedTypes="1" containsNumber="1" containsInteger="1" minValue="451" maxValue="4411" count="23">
        <n v="3290"/>
        <n v="3301"/>
        <n v="4001"/>
        <n v="4002"/>
        <n v="4050"/>
        <n v="4061"/>
        <n v="4223"/>
        <e v="#N/A"/>
        <n v="4090"/>
        <n v="4411"/>
        <n v="4040"/>
        <n v="4020"/>
        <n v="4004"/>
        <n v="4370"/>
        <n v="4003"/>
        <n v="4005"/>
        <n v="4012"/>
        <n v="4011"/>
        <n v="4013"/>
        <n v="3186"/>
        <s v="4411 (a)"/>
        <s v="4001 (b)"/>
        <n v="451"/>
      </sharedItems>
    </cacheField>
    <cacheField name="No détaillé" numFmtId="0">
      <sharedItems containsBlank="1"/>
    </cacheField>
    <cacheField name="Titre" numFmtId="0">
      <sharedItems/>
    </cacheField>
    <cacheField name="Charges " numFmtId="0">
      <sharedItems containsString="0" containsBlank="1" containsNumber="1" minValue="-36200.03" maxValue="4398562.79"/>
    </cacheField>
    <cacheField name="Revenus" numFmtId="0">
      <sharedItems containsSemiMixedTypes="0" containsString="0" containsNumber="1" minValue="-32185965.789999999" maxValue="262853787.55000001"/>
    </cacheField>
    <cacheField name="no cpte2" numFmtId="0">
      <sharedItems containsMixedTypes="1" containsNumber="1" containsInteger="1" minValue="451" maxValue="437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3468">
  <r>
    <x v="0"/>
    <x v="0"/>
    <x v="0"/>
    <x v="0"/>
    <x v="0"/>
    <x v="0"/>
    <s v="CHARGES"/>
    <x v="0"/>
    <s v="3212.002"/>
    <s v="Intérêts bonifiés/trop perçu acompte C/C"/>
    <n v="59.2"/>
    <n v="0"/>
    <n v="3212"/>
  </r>
  <r>
    <x v="0"/>
    <x v="0"/>
    <x v="0"/>
    <x v="0"/>
    <x v="0"/>
    <x v="0"/>
    <s v="CHARGES"/>
    <x v="0"/>
    <s v="3212.004"/>
    <s v="Intérêts rémun./perçu trop tôt sur acomptes C/C"/>
    <n v="2512.33"/>
    <n v="0"/>
    <n v="3212"/>
  </r>
  <r>
    <x v="0"/>
    <x v="0"/>
    <x v="0"/>
    <x v="0"/>
    <x v="0"/>
    <x v="0"/>
    <s v="CHARGES"/>
    <x v="0"/>
    <s v="3221.002"/>
    <s v="Intérêts compensatoires / créances en faveur ctb."/>
    <n v="1334.89"/>
    <n v="0"/>
    <n v="3221"/>
  </r>
  <r>
    <x v="0"/>
    <x v="0"/>
    <x v="0"/>
    <x v="0"/>
    <x v="0"/>
    <x v="0"/>
    <s v="CHARGES"/>
    <x v="1"/>
    <s v="3301.001"/>
    <s v="Défalcations, abandons de solde PP et IS"/>
    <n v="63148.19"/>
    <n v="0"/>
    <n v="3301"/>
  </r>
  <r>
    <x v="0"/>
    <x v="0"/>
    <x v="0"/>
    <x v="0"/>
    <x v="0"/>
    <x v="0"/>
    <s v="CHARGES"/>
    <x v="0"/>
    <s v="3221.002"/>
    <s v="Intérêts compensatoires / créances en faveur ctb."/>
    <n v="10.039999999999999"/>
    <n v="0"/>
    <n v="3221"/>
  </r>
  <r>
    <x v="0"/>
    <x v="0"/>
    <x v="0"/>
    <x v="0"/>
    <x v="0"/>
    <x v="0"/>
    <s v="CHARGES"/>
    <x v="1"/>
    <s v="3301.001"/>
    <s v="Défalcations, abandons de solde PP et IS"/>
    <n v="9.85"/>
    <n v="0"/>
    <n v="3301"/>
  </r>
  <r>
    <x v="0"/>
    <x v="0"/>
    <x v="0"/>
    <x v="0"/>
    <x v="0"/>
    <x v="0"/>
    <s v="CHARGES"/>
    <x v="0"/>
    <s v="3221.002"/>
    <s v="Intérêts compensatoires / créances en faveur ctb."/>
    <n v="29.28"/>
    <n v="0"/>
    <n v="3221"/>
  </r>
  <r>
    <x v="0"/>
    <x v="0"/>
    <x v="0"/>
    <x v="0"/>
    <x v="0"/>
    <x v="0"/>
    <s v="CHARGES"/>
    <x v="1"/>
    <s v="3301.001"/>
    <s v="Défalcations, abandons de solde PP et IS"/>
    <n v="50608.12"/>
    <n v="0"/>
    <n v="3301"/>
  </r>
  <r>
    <x v="0"/>
    <x v="0"/>
    <x v="0"/>
    <x v="0"/>
    <x v="0"/>
    <x v="0"/>
    <s v="CHARGES"/>
    <x v="1"/>
    <s v="3301.003"/>
    <s v="Remises PP et IS"/>
    <n v="19814.97"/>
    <n v="0"/>
    <n v="3301"/>
  </r>
  <r>
    <x v="0"/>
    <x v="0"/>
    <x v="0"/>
    <x v="0"/>
    <x v="0"/>
    <x v="0"/>
    <s v="CHARGES"/>
    <x v="0"/>
    <s v="3212.004"/>
    <s v="Intérêts rémun./perçu trop tôt sur acomptes C/C"/>
    <n v="57.62"/>
    <n v="0"/>
    <n v="3212"/>
  </r>
  <r>
    <x v="0"/>
    <x v="0"/>
    <x v="0"/>
    <x v="0"/>
    <x v="0"/>
    <x v="0"/>
    <s v="CHARGES"/>
    <x v="1"/>
    <s v="3301.001"/>
    <s v="Défalcations, abandons de solde PP et IS"/>
    <n v="109697.82"/>
    <n v="0"/>
    <n v="3301"/>
  </r>
  <r>
    <x v="0"/>
    <x v="0"/>
    <x v="0"/>
    <x v="0"/>
    <x v="0"/>
    <x v="0"/>
    <s v="CHARGES"/>
    <x v="0"/>
    <s v="3212.004"/>
    <s v="Intérêts rémun./perçu trop tôt sur acomptes C/C"/>
    <n v="1.26"/>
    <n v="0"/>
    <n v="3212"/>
  </r>
  <r>
    <x v="0"/>
    <x v="0"/>
    <x v="0"/>
    <x v="0"/>
    <x v="0"/>
    <x v="0"/>
    <s v="CHARGES"/>
    <x v="0"/>
    <s v="3221.002"/>
    <s v="Intérêts compensatoires / créances en faveur ctb."/>
    <n v="2.6"/>
    <n v="0"/>
    <n v="3221"/>
  </r>
  <r>
    <x v="0"/>
    <x v="0"/>
    <x v="0"/>
    <x v="0"/>
    <x v="0"/>
    <x v="0"/>
    <s v="CHARGES"/>
    <x v="0"/>
    <s v="3212.002"/>
    <s v="Intérêts bonifiés/trop perçu acompte C/C"/>
    <n v="0.03"/>
    <n v="0"/>
    <n v="3212"/>
  </r>
  <r>
    <x v="0"/>
    <x v="0"/>
    <x v="0"/>
    <x v="0"/>
    <x v="0"/>
    <x v="0"/>
    <s v="CHARGES"/>
    <x v="0"/>
    <s v="3212.004"/>
    <s v="Intérêts rémun./perçu trop tôt sur acomptes C/C"/>
    <n v="59.11"/>
    <n v="0"/>
    <n v="3212"/>
  </r>
  <r>
    <x v="0"/>
    <x v="0"/>
    <x v="0"/>
    <x v="0"/>
    <x v="0"/>
    <x v="0"/>
    <s v="CHARGES"/>
    <x v="1"/>
    <s v="3301.001"/>
    <s v="Défalcations, abandons de solde PP et IS"/>
    <n v="4.5"/>
    <n v="0"/>
    <n v="3301"/>
  </r>
  <r>
    <x v="0"/>
    <x v="0"/>
    <x v="0"/>
    <x v="0"/>
    <x v="0"/>
    <x v="0"/>
    <s v="CHARGES"/>
    <x v="0"/>
    <s v="3221.002"/>
    <s v="Intérêts compensatoires / créances en faveur ctb."/>
    <n v="0.06"/>
    <n v="0"/>
    <n v="3221"/>
  </r>
  <r>
    <x v="0"/>
    <x v="0"/>
    <x v="0"/>
    <x v="0"/>
    <x v="0"/>
    <x v="0"/>
    <s v="CHARGES"/>
    <x v="0"/>
    <s v="3212.002"/>
    <s v="Intérêts bonifiés/trop perçu acompte C/C"/>
    <n v="-0.1"/>
    <n v="0"/>
    <n v="3212"/>
  </r>
  <r>
    <x v="0"/>
    <x v="0"/>
    <x v="0"/>
    <x v="0"/>
    <x v="0"/>
    <x v="0"/>
    <s v="CHARGES"/>
    <x v="0"/>
    <s v="3212.004"/>
    <s v="Intérêts rémun./perçu trop tôt sur acomptes C/C"/>
    <n v="63.27"/>
    <n v="0"/>
    <n v="3212"/>
  </r>
  <r>
    <x v="0"/>
    <x v="0"/>
    <x v="0"/>
    <x v="0"/>
    <x v="0"/>
    <x v="0"/>
    <s v="CHARGES"/>
    <x v="0"/>
    <s v="3212.002"/>
    <s v="Intérêts bonifiés/trop perçu acompte C/C"/>
    <n v="-0.05"/>
    <n v="0"/>
    <n v="3212"/>
  </r>
  <r>
    <x v="0"/>
    <x v="0"/>
    <x v="0"/>
    <x v="0"/>
    <x v="0"/>
    <x v="0"/>
    <s v="CHARGES"/>
    <x v="0"/>
    <s v="3212.004"/>
    <s v="Intérêts rémun./perçu trop tôt sur acomptes C/C"/>
    <n v="-0.37"/>
    <n v="0"/>
    <n v="3212"/>
  </r>
  <r>
    <x v="0"/>
    <x v="0"/>
    <x v="0"/>
    <x v="0"/>
    <x v="0"/>
    <x v="0"/>
    <s v="CHARGES"/>
    <x v="0"/>
    <s v="3221.002"/>
    <s v="Intérêts compensatoires / créances en faveur ctb."/>
    <n v="-0.08"/>
    <n v="0"/>
    <n v="3221"/>
  </r>
  <r>
    <x v="0"/>
    <x v="0"/>
    <x v="0"/>
    <x v="0"/>
    <x v="0"/>
    <x v="0"/>
    <s v="CHARGES"/>
    <x v="0"/>
    <s v="3212.002"/>
    <s v="Intérêts bonifiés/trop perçu acompte C/C"/>
    <n v="10.82"/>
    <n v="0"/>
    <n v="3212"/>
  </r>
  <r>
    <x v="0"/>
    <x v="0"/>
    <x v="0"/>
    <x v="0"/>
    <x v="0"/>
    <x v="0"/>
    <s v="CHARGES"/>
    <x v="0"/>
    <s v="3221.002"/>
    <s v="Intérêts compensatoires / créances en faveur ctb."/>
    <n v="0.28999999999999998"/>
    <n v="0"/>
    <n v="3221"/>
  </r>
  <r>
    <x v="0"/>
    <x v="0"/>
    <x v="0"/>
    <x v="0"/>
    <x v="0"/>
    <x v="0"/>
    <s v="CHARGES"/>
    <x v="0"/>
    <s v="3212.004"/>
    <s v="Intérêts rémun./perçu trop tôt sur acomptes C/C"/>
    <n v="2.98"/>
    <n v="0"/>
    <n v="3212"/>
  </r>
  <r>
    <x v="0"/>
    <x v="0"/>
    <x v="0"/>
    <x v="0"/>
    <x v="0"/>
    <x v="0"/>
    <s v="CHARGES"/>
    <x v="1"/>
    <s v="3301.001"/>
    <s v="Défalcations, abandons de solde PP et IS"/>
    <n v="0.01"/>
    <n v="0"/>
    <n v="3301"/>
  </r>
  <r>
    <x v="0"/>
    <x v="0"/>
    <x v="0"/>
    <x v="0"/>
    <x v="0"/>
    <x v="0"/>
    <s v="CHARGES"/>
    <x v="1"/>
    <s v="3301.001"/>
    <s v="Défalcations, abandons de solde PP et IS"/>
    <n v="0.12"/>
    <n v="0"/>
    <n v="3301"/>
  </r>
  <r>
    <x v="0"/>
    <x v="0"/>
    <x v="0"/>
    <x v="0"/>
    <x v="0"/>
    <x v="0"/>
    <s v="CHARGES"/>
    <x v="0"/>
    <s v="3221.002"/>
    <s v="Intérêts compensatoires / créances en faveur ctb."/>
    <n v="0.09"/>
    <n v="0"/>
    <n v="3221"/>
  </r>
  <r>
    <x v="0"/>
    <x v="0"/>
    <x v="0"/>
    <x v="0"/>
    <x v="0"/>
    <x v="0"/>
    <s v="CHARGES"/>
    <x v="1"/>
    <s v="3301.001"/>
    <s v="Défalcations, abandons de solde PP et IS"/>
    <n v="0.04"/>
    <n v="0"/>
    <n v="3301"/>
  </r>
  <r>
    <x v="0"/>
    <x v="0"/>
    <x v="0"/>
    <x v="0"/>
    <x v="0"/>
    <x v="0"/>
    <s v="CHARGES"/>
    <x v="1"/>
    <s v="3301.001"/>
    <s v="Défalcations, abandons de solde PP et IS"/>
    <n v="0.42"/>
    <n v="0"/>
    <n v="3301"/>
  </r>
  <r>
    <x v="0"/>
    <x v="0"/>
    <x v="0"/>
    <x v="0"/>
    <x v="0"/>
    <x v="0"/>
    <s v="CHARGES"/>
    <x v="0"/>
    <s v="3212.004"/>
    <s v="Intérêts rémun./perçu trop tôt sur acomptes C/C"/>
    <n v="-5.98"/>
    <n v="0"/>
    <n v="3212"/>
  </r>
  <r>
    <x v="0"/>
    <x v="0"/>
    <x v="0"/>
    <x v="0"/>
    <x v="0"/>
    <x v="0"/>
    <s v="CHARGES"/>
    <x v="1"/>
    <s v="3301.001"/>
    <s v="Défalcations, abandons de solde PP et IS"/>
    <n v="0.21"/>
    <n v="0"/>
    <n v="3301"/>
  </r>
  <r>
    <x v="0"/>
    <x v="0"/>
    <x v="0"/>
    <x v="0"/>
    <x v="0"/>
    <x v="0"/>
    <s v="REVENUS"/>
    <x v="2"/>
    <s v="4001.007"/>
    <s v="Acompte impôt sur revenu"/>
    <n v="0"/>
    <n v="-1441055.04"/>
    <n v="4001"/>
  </r>
  <r>
    <x v="0"/>
    <x v="0"/>
    <x v="0"/>
    <x v="0"/>
    <x v="0"/>
    <x v="0"/>
    <s v="REVENUS"/>
    <x v="2"/>
    <s v="4001.001"/>
    <s v="Impôt revenu"/>
    <n v="0"/>
    <n v="10362847.199999999"/>
    <n v="4001"/>
  </r>
  <r>
    <x v="0"/>
    <x v="0"/>
    <x v="0"/>
    <x v="0"/>
    <x v="0"/>
    <x v="0"/>
    <s v="REVENUS"/>
    <x v="2"/>
    <s v="4001.002"/>
    <s v="Impôt complément s/revenu PP"/>
    <n v="0"/>
    <n v="2134986.4"/>
    <n v="4001"/>
  </r>
  <r>
    <x v="0"/>
    <x v="0"/>
    <x v="0"/>
    <x v="0"/>
    <x v="0"/>
    <x v="0"/>
    <s v="REVENUS"/>
    <x v="3"/>
    <s v="4002.001"/>
    <s v="Impôt ordinaire s/fortune PP"/>
    <n v="0"/>
    <n v="1360013.75"/>
    <n v="4002"/>
  </r>
  <r>
    <x v="0"/>
    <x v="0"/>
    <x v="0"/>
    <x v="0"/>
    <x v="0"/>
    <x v="0"/>
    <s v="REVENUS"/>
    <x v="3"/>
    <s v="4002.007"/>
    <s v="Acompte impôt sur fortune"/>
    <n v="0"/>
    <n v="-150171.04"/>
    <n v="4002"/>
  </r>
  <r>
    <x v="0"/>
    <x v="0"/>
    <x v="0"/>
    <x v="0"/>
    <x v="0"/>
    <x v="0"/>
    <s v="REVENUS"/>
    <x v="4"/>
    <s v="4051.002"/>
    <s v="Impôt sur les donations"/>
    <n v="0"/>
    <n v="30224.799999999999"/>
    <n v="4051"/>
  </r>
  <r>
    <x v="0"/>
    <x v="0"/>
    <x v="0"/>
    <x v="0"/>
    <x v="0"/>
    <x v="0"/>
    <s v="REVENUS"/>
    <x v="5"/>
    <s v="4061.000"/>
    <s v="Impôt sur les chiens"/>
    <n v="0"/>
    <n v="56150"/>
    <n v="4061"/>
  </r>
  <r>
    <x v="0"/>
    <x v="0"/>
    <x v="0"/>
    <x v="0"/>
    <x v="0"/>
    <x v="0"/>
    <s v="REVENUS"/>
    <x v="6"/>
    <s v="4211.001"/>
    <s v="Intérêts de retard sur factures"/>
    <n v="0"/>
    <n v="76230.490000000005"/>
    <n v="4211"/>
  </r>
  <r>
    <x v="0"/>
    <x v="0"/>
    <x v="0"/>
    <x v="0"/>
    <x v="0"/>
    <x v="0"/>
    <s v="REVENUS"/>
    <x v="6"/>
    <s v="4211.002"/>
    <s v="Intérêts de retard sur acomptes"/>
    <n v="0"/>
    <n v="68952.759999999995"/>
    <n v="4211"/>
  </r>
  <r>
    <x v="0"/>
    <x v="0"/>
    <x v="0"/>
    <x v="0"/>
    <x v="0"/>
    <x v="0"/>
    <s v="REVENUS"/>
    <x v="6"/>
    <s v="4221.003"/>
    <s v="Intérêts compensat. / acomptes en faveur du fisc"/>
    <n v="0"/>
    <n v="1540.67"/>
    <n v="4221"/>
  </r>
  <r>
    <x v="0"/>
    <x v="0"/>
    <x v="0"/>
    <x v="0"/>
    <x v="0"/>
    <x v="0"/>
    <s v="REVENUS"/>
    <x v="6"/>
    <s v="4211.001"/>
    <s v="Intérêts de retard sur factures"/>
    <n v="0"/>
    <n v="481.97"/>
    <n v="4211"/>
  </r>
  <r>
    <x v="0"/>
    <x v="0"/>
    <x v="0"/>
    <x v="0"/>
    <x v="0"/>
    <x v="0"/>
    <s v="REVENUS"/>
    <x v="3"/>
    <s v="4002.002"/>
    <s v="Impôt complémentaire s/fortune PP"/>
    <n v="0"/>
    <n v="347958.7"/>
    <n v="4002"/>
  </r>
  <r>
    <x v="0"/>
    <x v="0"/>
    <x v="0"/>
    <x v="0"/>
    <x v="0"/>
    <x v="0"/>
    <s v="REVENUS"/>
    <x v="7"/>
    <s v="4184.000"/>
    <s v="Frais de poursuite"/>
    <n v="0"/>
    <n v="12219.67"/>
    <n v="4184"/>
  </r>
  <r>
    <x v="0"/>
    <x v="0"/>
    <x v="0"/>
    <x v="0"/>
    <x v="0"/>
    <x v="0"/>
    <s v="REVENUS"/>
    <x v="2"/>
    <s v="4001.001"/>
    <s v="Impôt revenu"/>
    <n v="0"/>
    <n v="95829.45"/>
    <n v="4001"/>
  </r>
  <r>
    <x v="0"/>
    <x v="0"/>
    <x v="0"/>
    <x v="0"/>
    <x v="0"/>
    <x v="0"/>
    <s v="REVENUS"/>
    <x v="2"/>
    <s v="4001.007"/>
    <s v="Acompte impôt sur revenu"/>
    <n v="0"/>
    <n v="3630.77"/>
    <n v="4001"/>
  </r>
  <r>
    <x v="0"/>
    <x v="0"/>
    <x v="0"/>
    <x v="0"/>
    <x v="0"/>
    <x v="0"/>
    <s v="REVENUS"/>
    <x v="3"/>
    <s v="4002.001"/>
    <s v="Impôt ordinaire s/fortune PP"/>
    <n v="0"/>
    <n v="17885.849999999999"/>
    <n v="4002"/>
  </r>
  <r>
    <x v="0"/>
    <x v="0"/>
    <x v="0"/>
    <x v="0"/>
    <x v="0"/>
    <x v="0"/>
    <s v="REVENUS"/>
    <x v="3"/>
    <s v="4002.007"/>
    <s v="Acompte impôt sur fortune"/>
    <n v="0"/>
    <n v="-4176.4399999999996"/>
    <n v="4002"/>
  </r>
  <r>
    <x v="0"/>
    <x v="0"/>
    <x v="0"/>
    <x v="0"/>
    <x v="0"/>
    <x v="0"/>
    <s v="REVENUS"/>
    <x v="6"/>
    <s v="4221.003"/>
    <s v="Intérêts compensat. / acomptes en faveur du fisc"/>
    <n v="0"/>
    <n v="34.72"/>
    <n v="4221"/>
  </r>
  <r>
    <x v="0"/>
    <x v="0"/>
    <x v="0"/>
    <x v="0"/>
    <x v="0"/>
    <x v="0"/>
    <s v="REVENUS"/>
    <x v="2"/>
    <s v="4001.001"/>
    <s v="Impôt revenu"/>
    <n v="0"/>
    <n v="267299.5"/>
    <n v="4001"/>
  </r>
  <r>
    <x v="0"/>
    <x v="0"/>
    <x v="0"/>
    <x v="0"/>
    <x v="0"/>
    <x v="0"/>
    <s v="REVENUS"/>
    <x v="2"/>
    <s v="4001.007"/>
    <s v="Acompte impôt sur revenu"/>
    <n v="0"/>
    <n v="6169.39"/>
    <n v="4001"/>
  </r>
  <r>
    <x v="0"/>
    <x v="0"/>
    <x v="0"/>
    <x v="0"/>
    <x v="0"/>
    <x v="0"/>
    <s v="REVENUS"/>
    <x v="3"/>
    <s v="4002.001"/>
    <s v="Impôt ordinaire s/fortune PP"/>
    <n v="0"/>
    <n v="34423.4"/>
    <n v="4002"/>
  </r>
  <r>
    <x v="0"/>
    <x v="0"/>
    <x v="0"/>
    <x v="0"/>
    <x v="0"/>
    <x v="0"/>
    <s v="REVENUS"/>
    <x v="3"/>
    <s v="4002.007"/>
    <s v="Acompte impôt sur fortune"/>
    <n v="0"/>
    <n v="121677.75999999999"/>
    <n v="4002"/>
  </r>
  <r>
    <x v="0"/>
    <x v="0"/>
    <x v="0"/>
    <x v="0"/>
    <x v="0"/>
    <x v="0"/>
    <s v="REVENUS"/>
    <x v="7"/>
    <s v="4184.000"/>
    <s v="Frais de poursuite"/>
    <n v="0"/>
    <n v="16373.81"/>
    <n v="4184"/>
  </r>
  <r>
    <x v="0"/>
    <x v="0"/>
    <x v="0"/>
    <x v="0"/>
    <x v="0"/>
    <x v="0"/>
    <s v="REVENUS"/>
    <x v="6"/>
    <s v="4211.002"/>
    <s v="Intérêts de retard sur acomptes"/>
    <n v="0"/>
    <n v="575.94000000000005"/>
    <n v="4211"/>
  </r>
  <r>
    <x v="0"/>
    <x v="0"/>
    <x v="0"/>
    <x v="0"/>
    <x v="0"/>
    <x v="0"/>
    <s v="REVENUS"/>
    <x v="8"/>
    <s v="4091.001"/>
    <s v="Impôt récupéré après défalcations"/>
    <n v="0"/>
    <n v="65483.13"/>
    <n v="4091"/>
  </r>
  <r>
    <x v="0"/>
    <x v="0"/>
    <x v="0"/>
    <x v="0"/>
    <x v="0"/>
    <x v="0"/>
    <s v="REVENUS"/>
    <x v="2"/>
    <s v="4001.001"/>
    <s v="Impôt revenu"/>
    <n v="0"/>
    <n v="54247.95"/>
    <n v="4001"/>
  </r>
  <r>
    <x v="0"/>
    <x v="0"/>
    <x v="0"/>
    <x v="0"/>
    <x v="0"/>
    <x v="0"/>
    <s v="REVENUS"/>
    <x v="2"/>
    <s v="4001.007"/>
    <s v="Acompte impôt sur revenu"/>
    <n v="0"/>
    <n v="12816.25"/>
    <n v="4001"/>
  </r>
  <r>
    <x v="0"/>
    <x v="0"/>
    <x v="0"/>
    <x v="0"/>
    <x v="0"/>
    <x v="0"/>
    <s v="REVENUS"/>
    <x v="3"/>
    <s v="4002.001"/>
    <s v="Impôt ordinaire s/fortune PP"/>
    <n v="0"/>
    <n v="18221.599999999999"/>
    <n v="4002"/>
  </r>
  <r>
    <x v="0"/>
    <x v="0"/>
    <x v="0"/>
    <x v="0"/>
    <x v="0"/>
    <x v="0"/>
    <s v="REVENUS"/>
    <x v="3"/>
    <s v="4002.007"/>
    <s v="Acompte impôt sur fortune"/>
    <n v="0"/>
    <n v="3950.41"/>
    <n v="4002"/>
  </r>
  <r>
    <x v="0"/>
    <x v="0"/>
    <x v="0"/>
    <x v="0"/>
    <x v="0"/>
    <x v="0"/>
    <s v="REVENUS"/>
    <x v="6"/>
    <s v="4221.003"/>
    <s v="Intérêts compensat. / acomptes en faveur du fisc"/>
    <n v="0"/>
    <n v="11.49"/>
    <n v="4221"/>
  </r>
  <r>
    <x v="0"/>
    <x v="0"/>
    <x v="0"/>
    <x v="0"/>
    <x v="0"/>
    <x v="0"/>
    <s v="REVENUS"/>
    <x v="6"/>
    <s v="4221.003"/>
    <s v="Intérêts compensat. / acomptes en faveur du fisc"/>
    <n v="0"/>
    <n v="50.35"/>
    <n v="4221"/>
  </r>
  <r>
    <x v="0"/>
    <x v="0"/>
    <x v="0"/>
    <x v="0"/>
    <x v="0"/>
    <x v="0"/>
    <s v="REVENUS"/>
    <x v="2"/>
    <s v="4001.003"/>
    <s v="Impôt s/prest. cap. PP"/>
    <n v="0"/>
    <n v="288536.09999999998"/>
    <n v="4001"/>
  </r>
  <r>
    <x v="0"/>
    <x v="0"/>
    <x v="0"/>
    <x v="0"/>
    <x v="0"/>
    <x v="0"/>
    <s v="REVENUS"/>
    <x v="6"/>
    <s v="4221.002"/>
    <s v="Intérêts compensat. sur impôts distincts"/>
    <n v="0"/>
    <n v="1111.76"/>
    <n v="4221"/>
  </r>
  <r>
    <x v="0"/>
    <x v="0"/>
    <x v="0"/>
    <x v="0"/>
    <x v="0"/>
    <x v="0"/>
    <s v="REVENUS"/>
    <x v="2"/>
    <s v="4001.001"/>
    <s v="Impôt revenu"/>
    <n v="0"/>
    <n v="4971.5"/>
    <n v="4001"/>
  </r>
  <r>
    <x v="0"/>
    <x v="0"/>
    <x v="0"/>
    <x v="0"/>
    <x v="0"/>
    <x v="0"/>
    <s v="REVENUS"/>
    <x v="3"/>
    <s v="4002.001"/>
    <s v="Impôt ordinaire s/fortune PP"/>
    <n v="0"/>
    <n v="2098.25"/>
    <n v="4002"/>
  </r>
  <r>
    <x v="0"/>
    <x v="0"/>
    <x v="0"/>
    <x v="0"/>
    <x v="0"/>
    <x v="0"/>
    <s v="REVENUS"/>
    <x v="6"/>
    <s v="4211.002"/>
    <s v="Intérêts de retard sur acomptes"/>
    <n v="0"/>
    <n v="434.74"/>
    <n v="4211"/>
  </r>
  <r>
    <x v="0"/>
    <x v="0"/>
    <x v="0"/>
    <x v="0"/>
    <x v="0"/>
    <x v="0"/>
    <s v="REVENUS"/>
    <x v="9"/>
    <s v="4031.001"/>
    <s v="Impôt sur les gains immobiliers"/>
    <n v="0"/>
    <n v="399003.8"/>
    <n v="4031"/>
  </r>
  <r>
    <x v="0"/>
    <x v="0"/>
    <x v="0"/>
    <x v="0"/>
    <x v="0"/>
    <x v="0"/>
    <s v="REVENUS"/>
    <x v="10"/>
    <s v="4041.001"/>
    <s v="Droits de mutation"/>
    <n v="0"/>
    <n v="489790.25"/>
    <n v="4041"/>
  </r>
  <r>
    <x v="0"/>
    <x v="0"/>
    <x v="0"/>
    <x v="0"/>
    <x v="0"/>
    <x v="0"/>
    <s v="REVENUS"/>
    <x v="3"/>
    <s v="4002.002"/>
    <s v="Impôt complémentaire s/fortune PP"/>
    <n v="0"/>
    <n v="6219.3"/>
    <n v="4002"/>
  </r>
  <r>
    <x v="0"/>
    <x v="0"/>
    <x v="0"/>
    <x v="0"/>
    <x v="0"/>
    <x v="0"/>
    <s v="REVENUS"/>
    <x v="6"/>
    <s v="4211.001"/>
    <s v="Intérêts de retard sur factures"/>
    <n v="0"/>
    <n v="260.27"/>
    <n v="4211"/>
  </r>
  <r>
    <x v="0"/>
    <x v="0"/>
    <x v="0"/>
    <x v="0"/>
    <x v="0"/>
    <x v="0"/>
    <s v="REVENUS"/>
    <x v="2"/>
    <s v="4001.002"/>
    <s v="Impôt complément s/revenu PP"/>
    <n v="0"/>
    <n v="86297.05"/>
    <n v="4001"/>
  </r>
  <r>
    <x v="0"/>
    <x v="0"/>
    <x v="0"/>
    <x v="0"/>
    <x v="0"/>
    <x v="0"/>
    <s v="REVENUS"/>
    <x v="3"/>
    <s v="4002.002"/>
    <s v="Impôt complémentaire s/fortune PP"/>
    <n v="0"/>
    <n v="32087.15"/>
    <n v="4002"/>
  </r>
  <r>
    <x v="0"/>
    <x v="0"/>
    <x v="0"/>
    <x v="0"/>
    <x v="0"/>
    <x v="0"/>
    <s v="REVENUS"/>
    <x v="7"/>
    <s v="4184.000"/>
    <s v="Frais de poursuite"/>
    <n v="0"/>
    <n v="7.78"/>
    <n v="4184"/>
  </r>
  <r>
    <x v="0"/>
    <x v="0"/>
    <x v="0"/>
    <x v="0"/>
    <x v="0"/>
    <x v="0"/>
    <s v="REVENUS"/>
    <x v="2"/>
    <s v="4001.002"/>
    <s v="Impôt complément s/revenu PP"/>
    <n v="0"/>
    <n v="10476.450000000001"/>
    <n v="4001"/>
  </r>
  <r>
    <x v="0"/>
    <x v="0"/>
    <x v="0"/>
    <x v="0"/>
    <x v="0"/>
    <x v="0"/>
    <s v="REVENUS"/>
    <x v="2"/>
    <s v="4001.007"/>
    <s v="Acompte impôt sur revenu"/>
    <n v="0"/>
    <n v="919.95"/>
    <n v="4001"/>
  </r>
  <r>
    <x v="0"/>
    <x v="0"/>
    <x v="0"/>
    <x v="0"/>
    <x v="0"/>
    <x v="0"/>
    <s v="REVENUS"/>
    <x v="3"/>
    <s v="4002.007"/>
    <s v="Acompte impôt sur fortune"/>
    <n v="0"/>
    <n v="662.55"/>
    <n v="4002"/>
  </r>
  <r>
    <x v="0"/>
    <x v="0"/>
    <x v="0"/>
    <x v="0"/>
    <x v="0"/>
    <x v="0"/>
    <s v="REVENUS"/>
    <x v="6"/>
    <s v="4211.001"/>
    <s v="Intérêts de retard sur factures"/>
    <n v="0"/>
    <n v="369.42"/>
    <n v="4211"/>
  </r>
  <r>
    <x v="0"/>
    <x v="0"/>
    <x v="0"/>
    <x v="0"/>
    <x v="0"/>
    <x v="0"/>
    <s v="REVENUS"/>
    <x v="6"/>
    <s v="4211.002"/>
    <s v="Intérêts de retard sur acomptes"/>
    <n v="0"/>
    <n v="271.52999999999997"/>
    <n v="4211"/>
  </r>
  <r>
    <x v="0"/>
    <x v="0"/>
    <x v="0"/>
    <x v="0"/>
    <x v="0"/>
    <x v="0"/>
    <s v="REVENUS"/>
    <x v="11"/>
    <s v="4198.000"/>
    <s v="Contributions communales"/>
    <n v="0"/>
    <n v="1138985.95"/>
    <n v="4198"/>
  </r>
  <r>
    <x v="0"/>
    <x v="0"/>
    <x v="0"/>
    <x v="0"/>
    <x v="0"/>
    <x v="0"/>
    <s v="REVENUS"/>
    <x v="2"/>
    <s v="4001.002"/>
    <s v="Impôt complément s/revenu PP"/>
    <n v="0"/>
    <n v="21570.25"/>
    <n v="4001"/>
  </r>
  <r>
    <x v="0"/>
    <x v="0"/>
    <x v="0"/>
    <x v="0"/>
    <x v="0"/>
    <x v="0"/>
    <s v="REVENUS"/>
    <x v="3"/>
    <s v="4002.002"/>
    <s v="Impôt complémentaire s/fortune PP"/>
    <n v="0"/>
    <n v="6764.1"/>
    <n v="4002"/>
  </r>
  <r>
    <x v="0"/>
    <x v="0"/>
    <x v="0"/>
    <x v="0"/>
    <x v="0"/>
    <x v="0"/>
    <s v="REVENUS"/>
    <x v="4"/>
    <s v="4051.001"/>
    <s v="Impôt sur les successions"/>
    <n v="0"/>
    <n v="203912.4"/>
    <n v="4051"/>
  </r>
  <r>
    <x v="0"/>
    <x v="0"/>
    <x v="0"/>
    <x v="0"/>
    <x v="0"/>
    <x v="0"/>
    <s v="REVENUS"/>
    <x v="3"/>
    <s v="4002.007"/>
    <s v="Acompte impôt sur fortune"/>
    <n v="0"/>
    <n v="-224.5"/>
    <n v="4002"/>
  </r>
  <r>
    <x v="0"/>
    <x v="0"/>
    <x v="0"/>
    <x v="0"/>
    <x v="0"/>
    <x v="0"/>
    <s v="REVENUS"/>
    <x v="8"/>
    <s v="4091.001"/>
    <s v="Impôt récupéré après défalcations"/>
    <n v="0"/>
    <n v="4798.63"/>
    <n v="4091"/>
  </r>
  <r>
    <x v="0"/>
    <x v="0"/>
    <x v="0"/>
    <x v="0"/>
    <x v="0"/>
    <x v="0"/>
    <s v="REVENUS"/>
    <x v="10"/>
    <s v="4041.002"/>
    <s v="Complément droit de mutation"/>
    <n v="0"/>
    <n v="7365.65"/>
    <n v="4041"/>
  </r>
  <r>
    <x v="0"/>
    <x v="0"/>
    <x v="0"/>
    <x v="0"/>
    <x v="0"/>
    <x v="0"/>
    <s v="REVENUS"/>
    <x v="2"/>
    <s v="4001.007"/>
    <s v="Acompte impôt sur revenu"/>
    <n v="0"/>
    <n v="-595.25"/>
    <n v="4001"/>
  </r>
  <r>
    <x v="0"/>
    <x v="0"/>
    <x v="0"/>
    <x v="0"/>
    <x v="0"/>
    <x v="0"/>
    <s v="REVENUS"/>
    <x v="2"/>
    <s v="4001.001"/>
    <s v="Impôt revenu"/>
    <n v="0"/>
    <n v="-3445.5"/>
    <n v="4001"/>
  </r>
  <r>
    <x v="0"/>
    <x v="0"/>
    <x v="0"/>
    <x v="0"/>
    <x v="0"/>
    <x v="0"/>
    <s v="REVENUS"/>
    <x v="2"/>
    <s v="4001.002"/>
    <s v="Impôt complément s/revenu PP"/>
    <n v="0"/>
    <n v="-26.2"/>
    <n v="4001"/>
  </r>
  <r>
    <x v="0"/>
    <x v="0"/>
    <x v="0"/>
    <x v="0"/>
    <x v="0"/>
    <x v="0"/>
    <s v="REVENUS"/>
    <x v="3"/>
    <s v="4002.001"/>
    <s v="Impôt ordinaire s/fortune PP"/>
    <n v="0"/>
    <n v="-2973.5"/>
    <n v="4002"/>
  </r>
  <r>
    <x v="0"/>
    <x v="0"/>
    <x v="0"/>
    <x v="0"/>
    <x v="0"/>
    <x v="0"/>
    <s v="REVENUS"/>
    <x v="3"/>
    <s v="4002.002"/>
    <s v="Impôt complémentaire s/fortune PP"/>
    <n v="0"/>
    <n v="-234.65"/>
    <n v="4002"/>
  </r>
  <r>
    <x v="0"/>
    <x v="0"/>
    <x v="0"/>
    <x v="0"/>
    <x v="0"/>
    <x v="0"/>
    <s v="REVENUS"/>
    <x v="2"/>
    <s v="4001.007"/>
    <s v="Acompte impôt sur revenu"/>
    <n v="0"/>
    <n v="-25.51"/>
    <n v="4001"/>
  </r>
  <r>
    <x v="0"/>
    <x v="0"/>
    <x v="0"/>
    <x v="0"/>
    <x v="0"/>
    <x v="0"/>
    <s v="REVENUS"/>
    <x v="3"/>
    <s v="4002.007"/>
    <s v="Acompte impôt sur fortune"/>
    <n v="0"/>
    <n v="-18.420000000000002"/>
    <n v="4002"/>
  </r>
  <r>
    <x v="0"/>
    <x v="0"/>
    <x v="0"/>
    <x v="0"/>
    <x v="0"/>
    <x v="0"/>
    <s v="REVENUS"/>
    <x v="3"/>
    <s v="4002.007"/>
    <s v="Acompte impôt sur fortune"/>
    <n v="0"/>
    <n v="-279"/>
    <n v="4002"/>
  </r>
  <r>
    <x v="0"/>
    <x v="0"/>
    <x v="0"/>
    <x v="0"/>
    <x v="0"/>
    <x v="0"/>
    <s v="REVENUS"/>
    <x v="2"/>
    <s v="4001.007"/>
    <s v="Acompte impôt sur revenu"/>
    <n v="0"/>
    <n v="299.39999999999998"/>
    <n v="4001"/>
  </r>
  <r>
    <x v="0"/>
    <x v="0"/>
    <x v="0"/>
    <x v="0"/>
    <x v="0"/>
    <x v="0"/>
    <s v="REVENUS"/>
    <x v="3"/>
    <s v="4002.007"/>
    <s v="Acompte impôt sur fortune"/>
    <n v="0"/>
    <n v="-21.8"/>
    <n v="4002"/>
  </r>
  <r>
    <x v="0"/>
    <x v="0"/>
    <x v="0"/>
    <x v="0"/>
    <x v="0"/>
    <x v="0"/>
    <s v="REVENUS"/>
    <x v="7"/>
    <s v="4184.000"/>
    <s v="Frais de poursuite"/>
    <n v="0"/>
    <n v="1124.53"/>
    <n v="4184"/>
  </r>
  <r>
    <x v="0"/>
    <x v="0"/>
    <x v="0"/>
    <x v="0"/>
    <x v="0"/>
    <x v="0"/>
    <s v="REVENUS"/>
    <x v="6"/>
    <s v="4211.002"/>
    <s v="Intérêts de retard sur acomptes"/>
    <n v="0"/>
    <n v="0.05"/>
    <n v="4211"/>
  </r>
  <r>
    <x v="0"/>
    <x v="0"/>
    <x v="0"/>
    <x v="0"/>
    <x v="0"/>
    <x v="0"/>
    <s v="REVENUS"/>
    <x v="9"/>
    <s v="4031.002"/>
    <s v="Complément impôt sur les gains immobiliers"/>
    <n v="0"/>
    <n v="10387.1"/>
    <n v="4031"/>
  </r>
  <r>
    <x v="0"/>
    <x v="0"/>
    <x v="0"/>
    <x v="0"/>
    <x v="0"/>
    <x v="0"/>
    <s v="REVENUS"/>
    <x v="3"/>
    <s v="4002.001"/>
    <s v="Impôt ordinaire s/fortune PP"/>
    <n v="0"/>
    <n v="192.95"/>
    <n v="4002"/>
  </r>
  <r>
    <x v="0"/>
    <x v="0"/>
    <x v="0"/>
    <x v="0"/>
    <x v="0"/>
    <x v="0"/>
    <s v="REVENUS"/>
    <x v="6"/>
    <s v="4211.002"/>
    <s v="Intérêts de retard sur acomptes"/>
    <n v="0"/>
    <n v="17.309999999999999"/>
    <n v="4211"/>
  </r>
  <r>
    <x v="0"/>
    <x v="0"/>
    <x v="0"/>
    <x v="0"/>
    <x v="0"/>
    <x v="0"/>
    <s v="REVENUS"/>
    <x v="3"/>
    <s v="4002.007"/>
    <s v="Acompte impôt sur fortune"/>
    <n v="0"/>
    <n v="-616.04999999999995"/>
    <n v="4002"/>
  </r>
  <r>
    <x v="0"/>
    <x v="0"/>
    <x v="0"/>
    <x v="0"/>
    <x v="0"/>
    <x v="0"/>
    <s v="REVENUS"/>
    <x v="2"/>
    <s v="4001.001"/>
    <s v="Impôt revenu"/>
    <n v="0"/>
    <n v="4581"/>
    <n v="4001"/>
  </r>
  <r>
    <x v="0"/>
    <x v="0"/>
    <x v="0"/>
    <x v="0"/>
    <x v="0"/>
    <x v="0"/>
    <s v="REVENUS"/>
    <x v="3"/>
    <s v="4002.001"/>
    <s v="Impôt ordinaire s/fortune PP"/>
    <n v="0"/>
    <n v="2248.1"/>
    <n v="4002"/>
  </r>
  <r>
    <x v="0"/>
    <x v="0"/>
    <x v="0"/>
    <x v="0"/>
    <x v="0"/>
    <x v="0"/>
    <s v="REVENUS"/>
    <x v="8"/>
    <s v="4091.001"/>
    <s v="Impôt récupéré après défalcations"/>
    <n v="0"/>
    <n v="8949.94"/>
    <n v="4091"/>
  </r>
  <r>
    <x v="0"/>
    <x v="0"/>
    <x v="0"/>
    <x v="0"/>
    <x v="0"/>
    <x v="0"/>
    <s v="REVENUS"/>
    <x v="6"/>
    <s v="4211.002"/>
    <s v="Intérêts de retard sur acomptes"/>
    <n v="0"/>
    <n v="80.069999999999993"/>
    <n v="4211"/>
  </r>
  <r>
    <x v="0"/>
    <x v="0"/>
    <x v="0"/>
    <x v="0"/>
    <x v="0"/>
    <x v="0"/>
    <s v="REVENUS"/>
    <x v="2"/>
    <s v="4001.001"/>
    <s v="Impôt revenu"/>
    <n v="0"/>
    <n v="1413.85"/>
    <n v="4001"/>
  </r>
  <r>
    <x v="0"/>
    <x v="0"/>
    <x v="0"/>
    <x v="0"/>
    <x v="0"/>
    <x v="0"/>
    <s v="REVENUS"/>
    <x v="6"/>
    <s v="4211.002"/>
    <s v="Intérêts de retard sur acomptes"/>
    <n v="0"/>
    <n v="0.02"/>
    <n v="4211"/>
  </r>
  <r>
    <x v="0"/>
    <x v="0"/>
    <x v="0"/>
    <x v="0"/>
    <x v="0"/>
    <x v="0"/>
    <s v="REVENUS"/>
    <x v="6"/>
    <s v="4221.003"/>
    <s v="Intérêts compensat. / acomptes en faveur du fisc"/>
    <n v="0"/>
    <n v="0.21"/>
    <n v="4221"/>
  </r>
  <r>
    <x v="0"/>
    <x v="0"/>
    <x v="0"/>
    <x v="0"/>
    <x v="0"/>
    <x v="0"/>
    <s v="REVENUS"/>
    <x v="6"/>
    <s v="4221.003"/>
    <s v="Intérêts compensat. / acomptes en faveur du fisc"/>
    <n v="0"/>
    <n v="0.12"/>
    <n v="4221"/>
  </r>
  <r>
    <x v="0"/>
    <x v="0"/>
    <x v="0"/>
    <x v="0"/>
    <x v="0"/>
    <x v="0"/>
    <s v="REVENUS"/>
    <x v="6"/>
    <s v="4211.002"/>
    <s v="Intérêts de retard sur acomptes"/>
    <n v="0"/>
    <n v="1.88"/>
    <n v="4211"/>
  </r>
  <r>
    <x v="0"/>
    <x v="0"/>
    <x v="0"/>
    <x v="0"/>
    <x v="0"/>
    <x v="0"/>
    <s v="REVENUS"/>
    <x v="4"/>
    <s v="4051.001"/>
    <s v="Impôt sur les successions"/>
    <n v="0"/>
    <n v="5243.8"/>
    <n v="4051"/>
  </r>
  <r>
    <x v="0"/>
    <x v="0"/>
    <x v="0"/>
    <x v="0"/>
    <x v="0"/>
    <x v="0"/>
    <s v="REVENUS"/>
    <x v="6"/>
    <s v="4221.002"/>
    <s v="Intérêts compensat. sur impôts distincts"/>
    <n v="0"/>
    <n v="16.149999999999999"/>
    <n v="4221"/>
  </r>
  <r>
    <x v="0"/>
    <x v="0"/>
    <x v="0"/>
    <x v="0"/>
    <x v="0"/>
    <x v="0"/>
    <s v="REVENUS"/>
    <x v="6"/>
    <s v="4221.003"/>
    <s v="Intérêts compensat. / acomptes en faveur du fisc"/>
    <n v="0"/>
    <n v="0.04"/>
    <n v="4221"/>
  </r>
  <r>
    <x v="0"/>
    <x v="0"/>
    <x v="0"/>
    <x v="0"/>
    <x v="0"/>
    <x v="0"/>
    <s v="REVENUS"/>
    <x v="2"/>
    <s v="4001.003"/>
    <s v="Impôt s/prest. cap. PP"/>
    <n v="0"/>
    <n v="1789.7"/>
    <n v="4001"/>
  </r>
  <r>
    <x v="0"/>
    <x v="0"/>
    <x v="0"/>
    <x v="0"/>
    <x v="0"/>
    <x v="0"/>
    <s v="REVENUS"/>
    <x v="6"/>
    <s v="4221.003"/>
    <s v="Intérêts compensat. / acomptes en faveur du fisc"/>
    <n v="0"/>
    <n v="0.42"/>
    <n v="4221"/>
  </r>
  <r>
    <x v="0"/>
    <x v="0"/>
    <x v="0"/>
    <x v="0"/>
    <x v="0"/>
    <x v="0"/>
    <s v="REVENUS"/>
    <x v="2"/>
    <s v="4001.002"/>
    <s v="Impôt complément s/revenu PP"/>
    <n v="0"/>
    <n v="31.75"/>
    <n v="4001"/>
  </r>
  <r>
    <x v="0"/>
    <x v="0"/>
    <x v="0"/>
    <x v="0"/>
    <x v="0"/>
    <x v="0"/>
    <s v="REVENUS"/>
    <x v="2"/>
    <s v="4001.007"/>
    <s v="Acompte impôt sur revenu"/>
    <n v="0"/>
    <n v="-246.05"/>
    <n v="4001"/>
  </r>
  <r>
    <x v="0"/>
    <x v="0"/>
    <x v="0"/>
    <x v="0"/>
    <x v="0"/>
    <x v="0"/>
    <s v="REVENUS"/>
    <x v="3"/>
    <s v="4002.001"/>
    <s v="Impôt ordinaire s/fortune PP"/>
    <n v="0"/>
    <n v="462"/>
    <n v="4002"/>
  </r>
  <r>
    <x v="0"/>
    <x v="0"/>
    <x v="0"/>
    <x v="0"/>
    <x v="0"/>
    <x v="0"/>
    <s v="REVENUS"/>
    <x v="2"/>
    <s v="4001.001"/>
    <s v="Impôt revenu"/>
    <n v="0"/>
    <n v="-4841.7"/>
    <n v="4001"/>
  </r>
  <r>
    <x v="0"/>
    <x v="0"/>
    <x v="0"/>
    <x v="0"/>
    <x v="0"/>
    <x v="0"/>
    <s v="REVENUS"/>
    <x v="3"/>
    <s v="4002.001"/>
    <s v="Impôt ordinaire s/fortune PP"/>
    <n v="0"/>
    <n v="-2797.85"/>
    <n v="4002"/>
  </r>
  <r>
    <x v="0"/>
    <x v="0"/>
    <x v="0"/>
    <x v="0"/>
    <x v="0"/>
    <x v="0"/>
    <s v="REVENUS"/>
    <x v="6"/>
    <s v="4221.003"/>
    <s v="Intérêts compensat. / acomptes en faveur du fisc"/>
    <n v="0"/>
    <n v="-0.72"/>
    <n v="4221"/>
  </r>
  <r>
    <x v="0"/>
    <x v="0"/>
    <x v="0"/>
    <x v="0"/>
    <x v="0"/>
    <x v="0"/>
    <s v="REVENUS"/>
    <x v="12"/>
    <s v="4004.000"/>
    <s v="Impôt spécial étrangers"/>
    <n v="0"/>
    <n v="7766.45"/>
    <n v="4004"/>
  </r>
  <r>
    <x v="0"/>
    <x v="0"/>
    <x v="0"/>
    <x v="0"/>
    <x v="0"/>
    <x v="0"/>
    <s v="REVENUS"/>
    <x v="7"/>
    <s v="4184.000"/>
    <s v="Frais de poursuite"/>
    <n v="0"/>
    <n v="1.92"/>
    <n v="4184"/>
  </r>
  <r>
    <x v="0"/>
    <x v="0"/>
    <x v="0"/>
    <x v="0"/>
    <x v="0"/>
    <x v="0"/>
    <s v="REVENUS"/>
    <x v="2"/>
    <s v="4001.002"/>
    <s v="Impôt complément s/revenu PP"/>
    <n v="0"/>
    <n v="-0.15"/>
    <n v="4001"/>
  </r>
  <r>
    <x v="0"/>
    <x v="0"/>
    <x v="0"/>
    <x v="0"/>
    <x v="0"/>
    <x v="0"/>
    <s v="REVENUS"/>
    <x v="6"/>
    <s v="4211.001"/>
    <s v="Intérêts de retard sur factures"/>
    <n v="0"/>
    <n v="0.5"/>
    <n v="4211"/>
  </r>
  <r>
    <x v="0"/>
    <x v="0"/>
    <x v="0"/>
    <x v="0"/>
    <x v="0"/>
    <x v="0"/>
    <s v="REVENUS"/>
    <x v="2"/>
    <s v="4001.001"/>
    <s v="Impôt revenu"/>
    <n v="0"/>
    <n v="496.85"/>
    <n v="4001"/>
  </r>
  <r>
    <x v="0"/>
    <x v="0"/>
    <x v="0"/>
    <x v="0"/>
    <x v="0"/>
    <x v="0"/>
    <s v="REVENUS"/>
    <x v="6"/>
    <s v="4221.003"/>
    <s v="Intérêts compensat. / acomptes en faveur du fisc"/>
    <n v="0"/>
    <n v="0.21"/>
    <n v="4221"/>
  </r>
  <r>
    <x v="0"/>
    <x v="0"/>
    <x v="0"/>
    <x v="0"/>
    <x v="0"/>
    <x v="0"/>
    <s v="REVENUS"/>
    <x v="2"/>
    <s v="4001.005"/>
    <s v="Amende de soustract. Impôt"/>
    <n v="0"/>
    <n v="800"/>
    <n v="4001"/>
  </r>
  <r>
    <x v="0"/>
    <x v="0"/>
    <x v="0"/>
    <x v="0"/>
    <x v="0"/>
    <x v="0"/>
    <s v="REVENUS"/>
    <x v="12"/>
    <s v="4004.007"/>
    <s v="Acompte spécial étrangers"/>
    <n v="0"/>
    <n v="3755.99"/>
    <n v="4004"/>
  </r>
  <r>
    <x v="0"/>
    <x v="0"/>
    <x v="0"/>
    <x v="1"/>
    <x v="1"/>
    <x v="1"/>
    <s v="CHARGES"/>
    <x v="0"/>
    <s v="3212.004"/>
    <s v="Intérêts rémun./perçu trop tôt sur acomptes C/C"/>
    <n v="1545.11"/>
    <n v="0"/>
    <n v="3212"/>
  </r>
  <r>
    <x v="0"/>
    <x v="0"/>
    <x v="0"/>
    <x v="1"/>
    <x v="1"/>
    <x v="1"/>
    <s v="CHARGES"/>
    <x v="0"/>
    <s v="3221.002"/>
    <s v="Intérêts compensatoires / créances en faveur ctb."/>
    <n v="583.74"/>
    <n v="0"/>
    <n v="3221"/>
  </r>
  <r>
    <x v="0"/>
    <x v="0"/>
    <x v="0"/>
    <x v="1"/>
    <x v="1"/>
    <x v="1"/>
    <s v="CHARGES"/>
    <x v="1"/>
    <s v="3301.001"/>
    <s v="Défalcations, abandons de solde PP et IS"/>
    <n v="55542.86"/>
    <n v="0"/>
    <n v="3301"/>
  </r>
  <r>
    <x v="0"/>
    <x v="0"/>
    <x v="0"/>
    <x v="1"/>
    <x v="1"/>
    <x v="1"/>
    <s v="CHARGES"/>
    <x v="1"/>
    <s v="3301.001"/>
    <s v="Défalcations, abandons de solde PP et IS"/>
    <n v="6.07"/>
    <n v="0"/>
    <n v="3301"/>
  </r>
  <r>
    <x v="0"/>
    <x v="0"/>
    <x v="0"/>
    <x v="1"/>
    <x v="1"/>
    <x v="1"/>
    <s v="CHARGES"/>
    <x v="0"/>
    <s v="3212.004"/>
    <s v="Intérêts rémun./perçu trop tôt sur acomptes C/C"/>
    <n v="9.36"/>
    <n v="0"/>
    <n v="3212"/>
  </r>
  <r>
    <x v="0"/>
    <x v="0"/>
    <x v="0"/>
    <x v="1"/>
    <x v="1"/>
    <x v="1"/>
    <s v="CHARGES"/>
    <x v="0"/>
    <s v="3221.002"/>
    <s v="Intérêts compensatoires / créances en faveur ctb."/>
    <n v="6.35"/>
    <n v="0"/>
    <n v="3221"/>
  </r>
  <r>
    <x v="0"/>
    <x v="0"/>
    <x v="0"/>
    <x v="1"/>
    <x v="1"/>
    <x v="1"/>
    <s v="CHARGES"/>
    <x v="1"/>
    <s v="3301.001"/>
    <s v="Défalcations, abandons de solde PP et IS"/>
    <n v="1.38"/>
    <n v="0"/>
    <n v="3301"/>
  </r>
  <r>
    <x v="0"/>
    <x v="0"/>
    <x v="0"/>
    <x v="1"/>
    <x v="1"/>
    <x v="1"/>
    <s v="CHARGES"/>
    <x v="0"/>
    <s v="3212.002"/>
    <s v="Intérêts bonifiés/trop perçu acompte C/C"/>
    <n v="53.17"/>
    <n v="0"/>
    <n v="3212"/>
  </r>
  <r>
    <x v="0"/>
    <x v="0"/>
    <x v="0"/>
    <x v="1"/>
    <x v="1"/>
    <x v="1"/>
    <s v="CHARGES"/>
    <x v="1"/>
    <s v="3301.003"/>
    <s v="Remises PP et IS"/>
    <n v="7649.16"/>
    <n v="0"/>
    <n v="3301"/>
  </r>
  <r>
    <x v="0"/>
    <x v="0"/>
    <x v="0"/>
    <x v="1"/>
    <x v="1"/>
    <x v="1"/>
    <s v="CHARGES"/>
    <x v="0"/>
    <s v="3212.004"/>
    <s v="Intérêts rémun./perçu trop tôt sur acomptes C/C"/>
    <n v="23.69"/>
    <n v="0"/>
    <n v="3212"/>
  </r>
  <r>
    <x v="0"/>
    <x v="0"/>
    <x v="0"/>
    <x v="1"/>
    <x v="1"/>
    <x v="1"/>
    <s v="CHARGES"/>
    <x v="0"/>
    <s v="3221.002"/>
    <s v="Intérêts compensatoires / créances en faveur ctb."/>
    <n v="7.74"/>
    <n v="0"/>
    <n v="3221"/>
  </r>
  <r>
    <x v="0"/>
    <x v="0"/>
    <x v="0"/>
    <x v="1"/>
    <x v="1"/>
    <x v="1"/>
    <s v="CHARGES"/>
    <x v="1"/>
    <s v="3301.001"/>
    <s v="Défalcations, abandons de solde PP et IS"/>
    <n v="99256.44"/>
    <n v="0"/>
    <n v="3301"/>
  </r>
  <r>
    <x v="0"/>
    <x v="0"/>
    <x v="0"/>
    <x v="1"/>
    <x v="1"/>
    <x v="1"/>
    <s v="CHARGES"/>
    <x v="0"/>
    <s v="3212.004"/>
    <s v="Intérêts rémun./perçu trop tôt sur acomptes C/C"/>
    <n v="10.89"/>
    <n v="0"/>
    <n v="3212"/>
  </r>
  <r>
    <x v="0"/>
    <x v="0"/>
    <x v="0"/>
    <x v="1"/>
    <x v="1"/>
    <x v="1"/>
    <s v="CHARGES"/>
    <x v="0"/>
    <s v="3221.002"/>
    <s v="Intérêts compensatoires / créances en faveur ctb."/>
    <n v="1.91"/>
    <n v="0"/>
    <n v="3221"/>
  </r>
  <r>
    <x v="0"/>
    <x v="0"/>
    <x v="0"/>
    <x v="1"/>
    <x v="1"/>
    <x v="1"/>
    <s v="CHARGES"/>
    <x v="0"/>
    <s v="3212.004"/>
    <s v="Intérêts rémun./perçu trop tôt sur acomptes C/C"/>
    <n v="21.67"/>
    <n v="0"/>
    <n v="3212"/>
  </r>
  <r>
    <x v="0"/>
    <x v="0"/>
    <x v="0"/>
    <x v="1"/>
    <x v="1"/>
    <x v="1"/>
    <s v="CHARGES"/>
    <x v="0"/>
    <s v="3212.004"/>
    <s v="Intérêts rémun./perçu trop tôt sur acomptes C/C"/>
    <n v="10.74"/>
    <n v="0"/>
    <n v="3212"/>
  </r>
  <r>
    <x v="0"/>
    <x v="0"/>
    <x v="0"/>
    <x v="1"/>
    <x v="1"/>
    <x v="1"/>
    <s v="CHARGES"/>
    <x v="0"/>
    <s v="3221.002"/>
    <s v="Intérêts compensatoires / créances en faveur ctb."/>
    <n v="31.65"/>
    <n v="0"/>
    <n v="3221"/>
  </r>
  <r>
    <x v="0"/>
    <x v="0"/>
    <x v="0"/>
    <x v="1"/>
    <x v="1"/>
    <x v="1"/>
    <s v="CHARGES"/>
    <x v="0"/>
    <s v="3221.002"/>
    <s v="Intérêts compensatoires / créances en faveur ctb."/>
    <n v="12.75"/>
    <n v="0"/>
    <n v="3221"/>
  </r>
  <r>
    <x v="0"/>
    <x v="0"/>
    <x v="0"/>
    <x v="1"/>
    <x v="1"/>
    <x v="1"/>
    <s v="CHARGES"/>
    <x v="1"/>
    <s v="3301.001"/>
    <s v="Défalcations, abandons de solde PP et IS"/>
    <n v="21440.13"/>
    <n v="0"/>
    <n v="3301"/>
  </r>
  <r>
    <x v="0"/>
    <x v="0"/>
    <x v="0"/>
    <x v="1"/>
    <x v="1"/>
    <x v="1"/>
    <s v="CHARGES"/>
    <x v="1"/>
    <s v="3301.001"/>
    <s v="Défalcations, abandons de solde PP et IS"/>
    <n v="1.49"/>
    <n v="0"/>
    <n v="3301"/>
  </r>
  <r>
    <x v="0"/>
    <x v="0"/>
    <x v="0"/>
    <x v="1"/>
    <x v="1"/>
    <x v="1"/>
    <s v="CHARGES"/>
    <x v="0"/>
    <s v="3212.004"/>
    <s v="Intérêts rémun./perçu trop tôt sur acomptes C/C"/>
    <n v="0.28000000000000003"/>
    <n v="0"/>
    <n v="3212"/>
  </r>
  <r>
    <x v="0"/>
    <x v="0"/>
    <x v="0"/>
    <x v="1"/>
    <x v="1"/>
    <x v="1"/>
    <s v="CHARGES"/>
    <x v="0"/>
    <s v="3221.002"/>
    <s v="Intérêts compensatoires / créances en faveur ctb."/>
    <n v="0.56000000000000005"/>
    <n v="0"/>
    <n v="3221"/>
  </r>
  <r>
    <x v="0"/>
    <x v="0"/>
    <x v="0"/>
    <x v="1"/>
    <x v="1"/>
    <x v="1"/>
    <s v="CHARGES"/>
    <x v="1"/>
    <s v="3301.001"/>
    <s v="Défalcations, abandons de solde PP et IS"/>
    <n v="0.01"/>
    <n v="0"/>
    <n v="3301"/>
  </r>
  <r>
    <x v="0"/>
    <x v="0"/>
    <x v="0"/>
    <x v="1"/>
    <x v="1"/>
    <x v="1"/>
    <s v="CHARGES"/>
    <x v="1"/>
    <s v="3301.001"/>
    <s v="Défalcations, abandons de solde PP et IS"/>
    <n v="1.69"/>
    <n v="0"/>
    <n v="3301"/>
  </r>
  <r>
    <x v="0"/>
    <x v="0"/>
    <x v="0"/>
    <x v="1"/>
    <x v="1"/>
    <x v="1"/>
    <s v="CHARGES"/>
    <x v="0"/>
    <s v="3212.002"/>
    <s v="Intérêts bonifiés/trop perçu acompte C/C"/>
    <n v="0.05"/>
    <n v="0"/>
    <n v="3212"/>
  </r>
  <r>
    <x v="0"/>
    <x v="0"/>
    <x v="0"/>
    <x v="1"/>
    <x v="1"/>
    <x v="1"/>
    <s v="CHARGES"/>
    <x v="1"/>
    <s v="3301.003"/>
    <s v="Remises PP et IS"/>
    <n v="8.2200000000000006"/>
    <n v="0"/>
    <n v="3301"/>
  </r>
  <r>
    <x v="0"/>
    <x v="0"/>
    <x v="0"/>
    <x v="1"/>
    <x v="1"/>
    <x v="1"/>
    <s v="REVENUS"/>
    <x v="2"/>
    <s v="4001.007"/>
    <s v="Acompte impôt sur revenu"/>
    <n v="0"/>
    <n v="-588087.34"/>
    <n v="4001"/>
  </r>
  <r>
    <x v="0"/>
    <x v="0"/>
    <x v="0"/>
    <x v="1"/>
    <x v="1"/>
    <x v="1"/>
    <s v="REVENUS"/>
    <x v="2"/>
    <s v="4001.001"/>
    <s v="Impôt revenu"/>
    <n v="0"/>
    <n v="7506538.7999999998"/>
    <n v="4001"/>
  </r>
  <r>
    <x v="0"/>
    <x v="0"/>
    <x v="0"/>
    <x v="1"/>
    <x v="1"/>
    <x v="1"/>
    <s v="REVENUS"/>
    <x v="3"/>
    <s v="4002.001"/>
    <s v="Impôt ordinaire s/fortune PP"/>
    <n v="0"/>
    <n v="929231.3"/>
    <n v="4002"/>
  </r>
  <r>
    <x v="0"/>
    <x v="0"/>
    <x v="0"/>
    <x v="1"/>
    <x v="1"/>
    <x v="1"/>
    <s v="REVENUS"/>
    <x v="3"/>
    <s v="4002.007"/>
    <s v="Acompte impôt sur fortune"/>
    <n v="0"/>
    <n v="55733.83"/>
    <n v="4002"/>
  </r>
  <r>
    <x v="0"/>
    <x v="0"/>
    <x v="0"/>
    <x v="1"/>
    <x v="1"/>
    <x v="1"/>
    <s v="REVENUS"/>
    <x v="6"/>
    <s v="4211.001"/>
    <s v="Intérêts de retard sur factures"/>
    <n v="0"/>
    <n v="51093.79"/>
    <n v="4211"/>
  </r>
  <r>
    <x v="0"/>
    <x v="0"/>
    <x v="0"/>
    <x v="1"/>
    <x v="1"/>
    <x v="1"/>
    <s v="REVENUS"/>
    <x v="6"/>
    <s v="4211.002"/>
    <s v="Intérêts de retard sur acomptes"/>
    <n v="0"/>
    <n v="63675.17"/>
    <n v="4211"/>
  </r>
  <r>
    <x v="0"/>
    <x v="0"/>
    <x v="0"/>
    <x v="1"/>
    <x v="1"/>
    <x v="1"/>
    <s v="REVENUS"/>
    <x v="6"/>
    <s v="4221.003"/>
    <s v="Intérêts compensat. / acomptes en faveur du fisc"/>
    <n v="0"/>
    <n v="1421.72"/>
    <n v="4221"/>
  </r>
  <r>
    <x v="0"/>
    <x v="0"/>
    <x v="0"/>
    <x v="1"/>
    <x v="1"/>
    <x v="1"/>
    <s v="REVENUS"/>
    <x v="2"/>
    <s v="4001.001"/>
    <s v="Impôt revenu"/>
    <n v="0"/>
    <n v="62453"/>
    <n v="4001"/>
  </r>
  <r>
    <x v="0"/>
    <x v="0"/>
    <x v="0"/>
    <x v="1"/>
    <x v="1"/>
    <x v="1"/>
    <s v="REVENUS"/>
    <x v="2"/>
    <s v="4001.007"/>
    <s v="Acompte impôt sur revenu"/>
    <n v="0"/>
    <n v="-30963.4"/>
    <n v="4001"/>
  </r>
  <r>
    <x v="0"/>
    <x v="0"/>
    <x v="0"/>
    <x v="1"/>
    <x v="1"/>
    <x v="1"/>
    <s v="REVENUS"/>
    <x v="3"/>
    <s v="4002.001"/>
    <s v="Impôt ordinaire s/fortune PP"/>
    <n v="0"/>
    <n v="35550.9"/>
    <n v="4002"/>
  </r>
  <r>
    <x v="0"/>
    <x v="0"/>
    <x v="0"/>
    <x v="1"/>
    <x v="1"/>
    <x v="1"/>
    <s v="REVENUS"/>
    <x v="3"/>
    <s v="4002.007"/>
    <s v="Acompte impôt sur fortune"/>
    <n v="0"/>
    <n v="522.45000000000005"/>
    <n v="4002"/>
  </r>
  <r>
    <x v="0"/>
    <x v="0"/>
    <x v="0"/>
    <x v="1"/>
    <x v="1"/>
    <x v="1"/>
    <s v="REVENUS"/>
    <x v="6"/>
    <s v="4211.002"/>
    <s v="Intérêts de retard sur acomptes"/>
    <n v="0"/>
    <n v="159.43"/>
    <n v="4211"/>
  </r>
  <r>
    <x v="0"/>
    <x v="0"/>
    <x v="0"/>
    <x v="1"/>
    <x v="1"/>
    <x v="1"/>
    <s v="REVENUS"/>
    <x v="6"/>
    <s v="4221.003"/>
    <s v="Intérêts compensat. / acomptes en faveur du fisc"/>
    <n v="0"/>
    <n v="42.55"/>
    <n v="4221"/>
  </r>
  <r>
    <x v="0"/>
    <x v="0"/>
    <x v="0"/>
    <x v="1"/>
    <x v="1"/>
    <x v="1"/>
    <s v="REVENUS"/>
    <x v="3"/>
    <s v="4002.001"/>
    <s v="Impôt ordinaire s/fortune PP"/>
    <n v="0"/>
    <n v="38355.599999999999"/>
    <n v="4002"/>
  </r>
  <r>
    <x v="0"/>
    <x v="0"/>
    <x v="0"/>
    <x v="1"/>
    <x v="1"/>
    <x v="1"/>
    <s v="REVENUS"/>
    <x v="2"/>
    <s v="4001.001"/>
    <s v="Impôt revenu"/>
    <n v="0"/>
    <n v="15276.6"/>
    <n v="4001"/>
  </r>
  <r>
    <x v="0"/>
    <x v="0"/>
    <x v="0"/>
    <x v="1"/>
    <x v="1"/>
    <x v="1"/>
    <s v="REVENUS"/>
    <x v="2"/>
    <s v="4001.007"/>
    <s v="Acompte impôt sur revenu"/>
    <n v="0"/>
    <n v="-5859.9"/>
    <n v="4001"/>
  </r>
  <r>
    <x v="0"/>
    <x v="0"/>
    <x v="0"/>
    <x v="1"/>
    <x v="1"/>
    <x v="1"/>
    <s v="REVENUS"/>
    <x v="3"/>
    <s v="4002.001"/>
    <s v="Impôt ordinaire s/fortune PP"/>
    <n v="0"/>
    <n v="12524.65"/>
    <n v="4002"/>
  </r>
  <r>
    <x v="0"/>
    <x v="0"/>
    <x v="0"/>
    <x v="1"/>
    <x v="1"/>
    <x v="1"/>
    <s v="REVENUS"/>
    <x v="3"/>
    <s v="4002.007"/>
    <s v="Acompte impôt sur fortune"/>
    <n v="0"/>
    <n v="-1694.92"/>
    <n v="4002"/>
  </r>
  <r>
    <x v="0"/>
    <x v="0"/>
    <x v="0"/>
    <x v="1"/>
    <x v="1"/>
    <x v="1"/>
    <s v="REVENUS"/>
    <x v="6"/>
    <s v="4211.001"/>
    <s v="Intérêts de retard sur factures"/>
    <n v="0"/>
    <n v="61.5"/>
    <n v="4211"/>
  </r>
  <r>
    <x v="0"/>
    <x v="0"/>
    <x v="0"/>
    <x v="1"/>
    <x v="1"/>
    <x v="1"/>
    <s v="REVENUS"/>
    <x v="7"/>
    <s v="4184.000"/>
    <s v="Frais de poursuite"/>
    <n v="0"/>
    <n v="11482.76"/>
    <n v="4184"/>
  </r>
  <r>
    <x v="0"/>
    <x v="0"/>
    <x v="0"/>
    <x v="1"/>
    <x v="1"/>
    <x v="1"/>
    <s v="REVENUS"/>
    <x v="2"/>
    <s v="4001.007"/>
    <s v="Acompte impôt sur revenu"/>
    <n v="0"/>
    <n v="-1081.95"/>
    <n v="4001"/>
  </r>
  <r>
    <x v="0"/>
    <x v="0"/>
    <x v="0"/>
    <x v="1"/>
    <x v="1"/>
    <x v="1"/>
    <s v="REVENUS"/>
    <x v="6"/>
    <s v="4211.001"/>
    <s v="Intérêts de retard sur factures"/>
    <n v="0"/>
    <n v="69.19"/>
    <n v="4211"/>
  </r>
  <r>
    <x v="0"/>
    <x v="0"/>
    <x v="0"/>
    <x v="1"/>
    <x v="1"/>
    <x v="1"/>
    <s v="REVENUS"/>
    <x v="7"/>
    <s v="4184.000"/>
    <s v="Frais de poursuite"/>
    <n v="0"/>
    <n v="12515.29"/>
    <n v="4184"/>
  </r>
  <r>
    <x v="0"/>
    <x v="0"/>
    <x v="0"/>
    <x v="1"/>
    <x v="1"/>
    <x v="1"/>
    <s v="REVENUS"/>
    <x v="2"/>
    <s v="4001.002"/>
    <s v="Impôt complément s/revenu PP"/>
    <n v="0"/>
    <n v="1297317.75"/>
    <n v="4001"/>
  </r>
  <r>
    <x v="0"/>
    <x v="0"/>
    <x v="0"/>
    <x v="1"/>
    <x v="1"/>
    <x v="1"/>
    <s v="REVENUS"/>
    <x v="3"/>
    <s v="4002.002"/>
    <s v="Impôt complémentaire s/fortune PP"/>
    <n v="0"/>
    <n v="238361.5"/>
    <n v="4002"/>
  </r>
  <r>
    <x v="0"/>
    <x v="0"/>
    <x v="0"/>
    <x v="1"/>
    <x v="1"/>
    <x v="1"/>
    <s v="REVENUS"/>
    <x v="3"/>
    <s v="4002.007"/>
    <s v="Acompte impôt sur fortune"/>
    <n v="0"/>
    <n v="-623.29999999999995"/>
    <n v="4002"/>
  </r>
  <r>
    <x v="0"/>
    <x v="0"/>
    <x v="0"/>
    <x v="1"/>
    <x v="1"/>
    <x v="1"/>
    <s v="REVENUS"/>
    <x v="2"/>
    <s v="4001.001"/>
    <s v="Impôt revenu"/>
    <n v="0"/>
    <n v="40248.449999999997"/>
    <n v="4001"/>
  </r>
  <r>
    <x v="0"/>
    <x v="0"/>
    <x v="0"/>
    <x v="1"/>
    <x v="1"/>
    <x v="1"/>
    <s v="REVENUS"/>
    <x v="2"/>
    <s v="4001.007"/>
    <s v="Acompte impôt sur revenu"/>
    <n v="0"/>
    <n v="11887.95"/>
    <n v="4001"/>
  </r>
  <r>
    <x v="0"/>
    <x v="0"/>
    <x v="0"/>
    <x v="1"/>
    <x v="1"/>
    <x v="1"/>
    <s v="REVENUS"/>
    <x v="3"/>
    <s v="4002.001"/>
    <s v="Impôt ordinaire s/fortune PP"/>
    <n v="0"/>
    <n v="25339.55"/>
    <n v="4002"/>
  </r>
  <r>
    <x v="0"/>
    <x v="0"/>
    <x v="0"/>
    <x v="1"/>
    <x v="1"/>
    <x v="1"/>
    <s v="REVENUS"/>
    <x v="3"/>
    <s v="4002.007"/>
    <s v="Acompte impôt sur fortune"/>
    <n v="0"/>
    <n v="1052.46"/>
    <n v="4002"/>
  </r>
  <r>
    <x v="0"/>
    <x v="0"/>
    <x v="0"/>
    <x v="1"/>
    <x v="1"/>
    <x v="1"/>
    <s v="REVENUS"/>
    <x v="6"/>
    <s v="4221.003"/>
    <s v="Intérêts compensat. / acomptes en faveur du fisc"/>
    <n v="0"/>
    <n v="24.79"/>
    <n v="4221"/>
  </r>
  <r>
    <x v="0"/>
    <x v="0"/>
    <x v="0"/>
    <x v="1"/>
    <x v="1"/>
    <x v="1"/>
    <s v="REVENUS"/>
    <x v="2"/>
    <s v="4001.001"/>
    <s v="Impôt revenu"/>
    <n v="0"/>
    <n v="71266.5"/>
    <n v="4001"/>
  </r>
  <r>
    <x v="0"/>
    <x v="0"/>
    <x v="0"/>
    <x v="1"/>
    <x v="1"/>
    <x v="1"/>
    <s v="REVENUS"/>
    <x v="3"/>
    <s v="4002.007"/>
    <s v="Acompte impôt sur fortune"/>
    <n v="0"/>
    <n v="-776.15"/>
    <n v="4002"/>
  </r>
  <r>
    <x v="0"/>
    <x v="0"/>
    <x v="0"/>
    <x v="1"/>
    <x v="1"/>
    <x v="1"/>
    <s v="REVENUS"/>
    <x v="6"/>
    <s v="4211.001"/>
    <s v="Intérêts de retard sur factures"/>
    <n v="0"/>
    <n v="147.54"/>
    <n v="4211"/>
  </r>
  <r>
    <x v="0"/>
    <x v="0"/>
    <x v="0"/>
    <x v="1"/>
    <x v="1"/>
    <x v="1"/>
    <s v="REVENUS"/>
    <x v="8"/>
    <s v="4091.001"/>
    <s v="Impôt récupéré après défalcations"/>
    <n v="0"/>
    <n v="33579.129999999997"/>
    <n v="4091"/>
  </r>
  <r>
    <x v="0"/>
    <x v="0"/>
    <x v="0"/>
    <x v="1"/>
    <x v="1"/>
    <x v="1"/>
    <s v="REVENUS"/>
    <x v="2"/>
    <s v="4001.003"/>
    <s v="Impôt s/prest. cap. PP"/>
    <n v="0"/>
    <n v="211431.15"/>
    <n v="4001"/>
  </r>
  <r>
    <x v="0"/>
    <x v="0"/>
    <x v="0"/>
    <x v="1"/>
    <x v="1"/>
    <x v="1"/>
    <s v="REVENUS"/>
    <x v="6"/>
    <s v="4221.002"/>
    <s v="Intérêts compensat. sur impôts distincts"/>
    <n v="0"/>
    <n v="111.44"/>
    <n v="4221"/>
  </r>
  <r>
    <x v="0"/>
    <x v="0"/>
    <x v="0"/>
    <x v="1"/>
    <x v="1"/>
    <x v="1"/>
    <s v="REVENUS"/>
    <x v="9"/>
    <s v="4031.001"/>
    <s v="Impôt sur les gains immobiliers"/>
    <n v="0"/>
    <n v="326422.40000000002"/>
    <n v="4031"/>
  </r>
  <r>
    <x v="0"/>
    <x v="0"/>
    <x v="0"/>
    <x v="1"/>
    <x v="1"/>
    <x v="1"/>
    <s v="REVENUS"/>
    <x v="6"/>
    <s v="4211.001"/>
    <s v="Intérêts de retard sur factures"/>
    <n v="0"/>
    <n v="20.91"/>
    <n v="4211"/>
  </r>
  <r>
    <x v="0"/>
    <x v="0"/>
    <x v="0"/>
    <x v="1"/>
    <x v="1"/>
    <x v="1"/>
    <s v="REVENUS"/>
    <x v="6"/>
    <s v="4211.002"/>
    <s v="Intérêts de retard sur acomptes"/>
    <n v="0"/>
    <n v="161.38999999999999"/>
    <n v="4211"/>
  </r>
  <r>
    <x v="0"/>
    <x v="0"/>
    <x v="0"/>
    <x v="1"/>
    <x v="1"/>
    <x v="1"/>
    <s v="REVENUS"/>
    <x v="2"/>
    <s v="4001.007"/>
    <s v="Acompte impôt sur revenu"/>
    <n v="0"/>
    <n v="9827.19"/>
    <n v="4001"/>
  </r>
  <r>
    <x v="0"/>
    <x v="0"/>
    <x v="0"/>
    <x v="1"/>
    <x v="1"/>
    <x v="1"/>
    <s v="REVENUS"/>
    <x v="6"/>
    <s v="4221.003"/>
    <s v="Intérêts compensat. / acomptes en faveur du fisc"/>
    <n v="0"/>
    <n v="7.25"/>
    <n v="4221"/>
  </r>
  <r>
    <x v="0"/>
    <x v="0"/>
    <x v="0"/>
    <x v="1"/>
    <x v="1"/>
    <x v="1"/>
    <s v="REVENUS"/>
    <x v="10"/>
    <s v="4041.001"/>
    <s v="Droits de mutation"/>
    <n v="0"/>
    <n v="382084.75"/>
    <n v="4041"/>
  </r>
  <r>
    <x v="0"/>
    <x v="0"/>
    <x v="0"/>
    <x v="1"/>
    <x v="1"/>
    <x v="1"/>
    <s v="REVENUS"/>
    <x v="2"/>
    <s v="4001.001"/>
    <s v="Impôt revenu"/>
    <n v="0"/>
    <n v="12965.65"/>
    <n v="4001"/>
  </r>
  <r>
    <x v="0"/>
    <x v="0"/>
    <x v="0"/>
    <x v="1"/>
    <x v="1"/>
    <x v="1"/>
    <s v="REVENUS"/>
    <x v="3"/>
    <s v="4002.001"/>
    <s v="Impôt ordinaire s/fortune PP"/>
    <n v="0"/>
    <n v="8666.9"/>
    <n v="4002"/>
  </r>
  <r>
    <x v="0"/>
    <x v="0"/>
    <x v="0"/>
    <x v="1"/>
    <x v="1"/>
    <x v="1"/>
    <s v="REVENUS"/>
    <x v="2"/>
    <s v="4001.002"/>
    <s v="Impôt complément s/revenu PP"/>
    <n v="0"/>
    <n v="-7350.45"/>
    <n v="4001"/>
  </r>
  <r>
    <x v="0"/>
    <x v="0"/>
    <x v="0"/>
    <x v="1"/>
    <x v="1"/>
    <x v="1"/>
    <s v="REVENUS"/>
    <x v="3"/>
    <s v="4002.002"/>
    <s v="Impôt complémentaire s/fortune PP"/>
    <n v="0"/>
    <n v="2185.3000000000002"/>
    <n v="4002"/>
  </r>
  <r>
    <x v="0"/>
    <x v="0"/>
    <x v="0"/>
    <x v="1"/>
    <x v="1"/>
    <x v="1"/>
    <s v="REVENUS"/>
    <x v="2"/>
    <s v="4001.007"/>
    <s v="Acompte impôt sur revenu"/>
    <n v="0"/>
    <n v="-5574.95"/>
    <n v="4001"/>
  </r>
  <r>
    <x v="0"/>
    <x v="0"/>
    <x v="0"/>
    <x v="1"/>
    <x v="1"/>
    <x v="1"/>
    <s v="REVENUS"/>
    <x v="3"/>
    <s v="4002.007"/>
    <s v="Acompte impôt sur fortune"/>
    <n v="0"/>
    <n v="-2597.75"/>
    <n v="4002"/>
  </r>
  <r>
    <x v="0"/>
    <x v="0"/>
    <x v="0"/>
    <x v="1"/>
    <x v="1"/>
    <x v="1"/>
    <s v="REVENUS"/>
    <x v="7"/>
    <s v="4184.000"/>
    <s v="Frais de poursuite"/>
    <n v="0"/>
    <n v="846.27"/>
    <n v="4184"/>
  </r>
  <r>
    <x v="0"/>
    <x v="0"/>
    <x v="0"/>
    <x v="1"/>
    <x v="1"/>
    <x v="1"/>
    <s v="REVENUS"/>
    <x v="5"/>
    <s v="4061.000"/>
    <s v="Impôt sur les chiens"/>
    <n v="0"/>
    <n v="59250"/>
    <n v="4061"/>
  </r>
  <r>
    <x v="0"/>
    <x v="0"/>
    <x v="0"/>
    <x v="1"/>
    <x v="1"/>
    <x v="1"/>
    <s v="REVENUS"/>
    <x v="6"/>
    <s v="4211.002"/>
    <s v="Intérêts de retard sur acomptes"/>
    <n v="0"/>
    <n v="162.68"/>
    <n v="4211"/>
  </r>
  <r>
    <x v="0"/>
    <x v="0"/>
    <x v="0"/>
    <x v="1"/>
    <x v="1"/>
    <x v="1"/>
    <s v="REVENUS"/>
    <x v="6"/>
    <s v="4221.003"/>
    <s v="Intérêts compensat. / acomptes en faveur du fisc"/>
    <n v="0"/>
    <n v="3.16"/>
    <n v="4221"/>
  </r>
  <r>
    <x v="0"/>
    <x v="0"/>
    <x v="0"/>
    <x v="1"/>
    <x v="1"/>
    <x v="1"/>
    <s v="REVENUS"/>
    <x v="4"/>
    <s v="4051.001"/>
    <s v="Impôt sur les successions"/>
    <n v="0"/>
    <n v="6.8"/>
    <n v="4051"/>
  </r>
  <r>
    <x v="0"/>
    <x v="0"/>
    <x v="0"/>
    <x v="1"/>
    <x v="1"/>
    <x v="1"/>
    <s v="REVENUS"/>
    <x v="8"/>
    <s v="4091.001"/>
    <s v="Impôt récupéré après défalcations"/>
    <n v="0"/>
    <n v="1858.47"/>
    <n v="4091"/>
  </r>
  <r>
    <x v="0"/>
    <x v="0"/>
    <x v="0"/>
    <x v="1"/>
    <x v="1"/>
    <x v="1"/>
    <s v="REVENUS"/>
    <x v="2"/>
    <s v="4001.007"/>
    <s v="Acompte impôt sur revenu"/>
    <n v="0"/>
    <n v="-6925.15"/>
    <n v="4001"/>
  </r>
  <r>
    <x v="0"/>
    <x v="0"/>
    <x v="0"/>
    <x v="1"/>
    <x v="1"/>
    <x v="1"/>
    <s v="REVENUS"/>
    <x v="3"/>
    <s v="4002.007"/>
    <s v="Acompte impôt sur fortune"/>
    <n v="0"/>
    <n v="-6706.47"/>
    <n v="4002"/>
  </r>
  <r>
    <x v="0"/>
    <x v="0"/>
    <x v="0"/>
    <x v="1"/>
    <x v="1"/>
    <x v="1"/>
    <s v="REVENUS"/>
    <x v="2"/>
    <s v="4001.007"/>
    <s v="Acompte impôt sur revenu"/>
    <n v="0"/>
    <n v="207.15"/>
    <n v="4001"/>
  </r>
  <r>
    <x v="0"/>
    <x v="0"/>
    <x v="0"/>
    <x v="1"/>
    <x v="1"/>
    <x v="1"/>
    <s v="REVENUS"/>
    <x v="3"/>
    <s v="4002.007"/>
    <s v="Acompte impôt sur fortune"/>
    <n v="0"/>
    <n v="-7.7"/>
    <n v="4002"/>
  </r>
  <r>
    <x v="0"/>
    <x v="0"/>
    <x v="0"/>
    <x v="1"/>
    <x v="1"/>
    <x v="1"/>
    <s v="REVENUS"/>
    <x v="3"/>
    <s v="4002.007"/>
    <s v="Acompte impôt sur fortune"/>
    <n v="0"/>
    <n v="50.15"/>
    <n v="4002"/>
  </r>
  <r>
    <x v="0"/>
    <x v="0"/>
    <x v="0"/>
    <x v="1"/>
    <x v="1"/>
    <x v="1"/>
    <s v="REVENUS"/>
    <x v="4"/>
    <s v="4051.001"/>
    <s v="Impôt sur les successions"/>
    <n v="0"/>
    <n v="96269.4"/>
    <n v="4051"/>
  </r>
  <r>
    <x v="0"/>
    <x v="0"/>
    <x v="0"/>
    <x v="1"/>
    <x v="1"/>
    <x v="1"/>
    <s v="REVENUS"/>
    <x v="6"/>
    <s v="4211.002"/>
    <s v="Intérêts de retard sur acomptes"/>
    <n v="0"/>
    <n v="357.9"/>
    <n v="4211"/>
  </r>
  <r>
    <x v="0"/>
    <x v="0"/>
    <x v="0"/>
    <x v="1"/>
    <x v="1"/>
    <x v="1"/>
    <s v="REVENUS"/>
    <x v="6"/>
    <s v="4211.002"/>
    <s v="Intérêts de retard sur acomptes"/>
    <n v="0"/>
    <n v="334.94"/>
    <n v="4211"/>
  </r>
  <r>
    <x v="0"/>
    <x v="0"/>
    <x v="0"/>
    <x v="1"/>
    <x v="1"/>
    <x v="1"/>
    <s v="REVENUS"/>
    <x v="2"/>
    <s v="4001.001"/>
    <s v="Impôt revenu"/>
    <n v="0"/>
    <n v="551"/>
    <n v="4001"/>
  </r>
  <r>
    <x v="0"/>
    <x v="0"/>
    <x v="0"/>
    <x v="1"/>
    <x v="1"/>
    <x v="1"/>
    <s v="REVENUS"/>
    <x v="3"/>
    <s v="4002.001"/>
    <s v="Impôt ordinaire s/fortune PP"/>
    <n v="0"/>
    <n v="817.4"/>
    <n v="4002"/>
  </r>
  <r>
    <x v="0"/>
    <x v="0"/>
    <x v="0"/>
    <x v="1"/>
    <x v="1"/>
    <x v="1"/>
    <s v="REVENUS"/>
    <x v="6"/>
    <s v="4221.003"/>
    <s v="Intérêts compensat. / acomptes en faveur du fisc"/>
    <n v="0"/>
    <n v="0.57999999999999996"/>
    <n v="4221"/>
  </r>
  <r>
    <x v="0"/>
    <x v="0"/>
    <x v="0"/>
    <x v="1"/>
    <x v="1"/>
    <x v="1"/>
    <s v="REVENUS"/>
    <x v="10"/>
    <s v="4041.001"/>
    <s v="Droits de mutation"/>
    <n v="0"/>
    <n v="211.75"/>
    <n v="4041"/>
  </r>
  <r>
    <x v="0"/>
    <x v="0"/>
    <x v="0"/>
    <x v="1"/>
    <x v="1"/>
    <x v="1"/>
    <s v="REVENUS"/>
    <x v="7"/>
    <s v="4184.000"/>
    <s v="Frais de poursuite"/>
    <n v="0"/>
    <n v="119.3"/>
    <n v="4184"/>
  </r>
  <r>
    <x v="0"/>
    <x v="0"/>
    <x v="0"/>
    <x v="1"/>
    <x v="1"/>
    <x v="1"/>
    <s v="REVENUS"/>
    <x v="2"/>
    <s v="4001.002"/>
    <s v="Impôt complément s/revenu PP"/>
    <n v="0"/>
    <n v="916.95"/>
    <n v="4001"/>
  </r>
  <r>
    <x v="0"/>
    <x v="0"/>
    <x v="0"/>
    <x v="1"/>
    <x v="1"/>
    <x v="1"/>
    <s v="REVENUS"/>
    <x v="3"/>
    <s v="4002.002"/>
    <s v="Impôt complémentaire s/fortune PP"/>
    <n v="0"/>
    <n v="1005.55"/>
    <n v="4002"/>
  </r>
  <r>
    <x v="0"/>
    <x v="0"/>
    <x v="0"/>
    <x v="1"/>
    <x v="1"/>
    <x v="1"/>
    <s v="REVENUS"/>
    <x v="6"/>
    <s v="4221.003"/>
    <s v="Intérêts compensat. / acomptes en faveur du fisc"/>
    <n v="0"/>
    <n v="1.0900000000000001"/>
    <n v="4221"/>
  </r>
  <r>
    <x v="0"/>
    <x v="0"/>
    <x v="0"/>
    <x v="1"/>
    <x v="1"/>
    <x v="1"/>
    <s v="REVENUS"/>
    <x v="7"/>
    <s v="4184.000"/>
    <s v="Frais de poursuite"/>
    <n v="0"/>
    <n v="3.32"/>
    <n v="4184"/>
  </r>
  <r>
    <x v="0"/>
    <x v="0"/>
    <x v="0"/>
    <x v="1"/>
    <x v="1"/>
    <x v="1"/>
    <s v="REVENUS"/>
    <x v="2"/>
    <s v="4001.001"/>
    <s v="Impôt revenu"/>
    <n v="0"/>
    <n v="-553.35"/>
    <n v="4001"/>
  </r>
  <r>
    <x v="0"/>
    <x v="0"/>
    <x v="0"/>
    <x v="1"/>
    <x v="1"/>
    <x v="1"/>
    <s v="REVENUS"/>
    <x v="3"/>
    <s v="4002.001"/>
    <s v="Impôt ordinaire s/fortune PP"/>
    <n v="0"/>
    <n v="-566.85"/>
    <n v="4002"/>
  </r>
  <r>
    <x v="0"/>
    <x v="0"/>
    <x v="0"/>
    <x v="1"/>
    <x v="1"/>
    <x v="1"/>
    <s v="REVENUS"/>
    <x v="7"/>
    <s v="4184.000"/>
    <s v="Frais de poursuite"/>
    <n v="0"/>
    <n v="0.05"/>
    <n v="4184"/>
  </r>
  <r>
    <x v="0"/>
    <x v="0"/>
    <x v="0"/>
    <x v="1"/>
    <x v="1"/>
    <x v="1"/>
    <s v="REVENUS"/>
    <x v="6"/>
    <s v="4211.001"/>
    <s v="Intérêts de retard sur factures"/>
    <n v="0"/>
    <n v="0.03"/>
    <n v="4211"/>
  </r>
  <r>
    <x v="0"/>
    <x v="0"/>
    <x v="0"/>
    <x v="1"/>
    <x v="1"/>
    <x v="1"/>
    <s v="REVENUS"/>
    <x v="6"/>
    <s v="4211.002"/>
    <s v="Intérêts de retard sur acomptes"/>
    <n v="0"/>
    <n v="0.23"/>
    <n v="4211"/>
  </r>
  <r>
    <x v="0"/>
    <x v="0"/>
    <x v="0"/>
    <x v="1"/>
    <x v="1"/>
    <x v="1"/>
    <s v="REVENUS"/>
    <x v="2"/>
    <s v="4001.002"/>
    <s v="Impôt complément s/revenu PP"/>
    <n v="0"/>
    <n v="3392.75"/>
    <n v="4001"/>
  </r>
  <r>
    <x v="0"/>
    <x v="0"/>
    <x v="0"/>
    <x v="1"/>
    <x v="1"/>
    <x v="1"/>
    <s v="REVENUS"/>
    <x v="3"/>
    <s v="4002.002"/>
    <s v="Impôt complémentaire s/fortune PP"/>
    <n v="0"/>
    <n v="2613.9"/>
    <n v="4002"/>
  </r>
  <r>
    <x v="0"/>
    <x v="0"/>
    <x v="0"/>
    <x v="1"/>
    <x v="1"/>
    <x v="1"/>
    <s v="REVENUS"/>
    <x v="10"/>
    <s v="4041.002"/>
    <s v="Complément droit de mutation"/>
    <n v="0"/>
    <n v="2135.1"/>
    <n v="4041"/>
  </r>
  <r>
    <x v="0"/>
    <x v="0"/>
    <x v="0"/>
    <x v="1"/>
    <x v="1"/>
    <x v="1"/>
    <s v="REVENUS"/>
    <x v="3"/>
    <s v="4002.002"/>
    <s v="Impôt complémentaire s/fortune PP"/>
    <n v="0"/>
    <n v="4465.45"/>
    <n v="4002"/>
  </r>
  <r>
    <x v="0"/>
    <x v="0"/>
    <x v="0"/>
    <x v="1"/>
    <x v="1"/>
    <x v="1"/>
    <s v="REVENUS"/>
    <x v="2"/>
    <s v="4001.001"/>
    <s v="Impôt revenu"/>
    <n v="0"/>
    <n v="165.6"/>
    <n v="4001"/>
  </r>
  <r>
    <x v="0"/>
    <x v="0"/>
    <x v="0"/>
    <x v="1"/>
    <x v="1"/>
    <x v="1"/>
    <s v="REVENUS"/>
    <x v="3"/>
    <s v="4002.001"/>
    <s v="Impôt ordinaire s/fortune PP"/>
    <n v="0"/>
    <n v="15.25"/>
    <n v="4002"/>
  </r>
  <r>
    <x v="0"/>
    <x v="0"/>
    <x v="0"/>
    <x v="1"/>
    <x v="1"/>
    <x v="1"/>
    <s v="REVENUS"/>
    <x v="4"/>
    <s v="4051.002"/>
    <s v="Impôt sur les donations"/>
    <n v="0"/>
    <n v="22762.3"/>
    <n v="4051"/>
  </r>
  <r>
    <x v="0"/>
    <x v="0"/>
    <x v="0"/>
    <x v="1"/>
    <x v="1"/>
    <x v="1"/>
    <s v="REVENUS"/>
    <x v="12"/>
    <s v="4004.007"/>
    <s v="Acompte spécial étrangers"/>
    <n v="0"/>
    <n v="-55670.9"/>
    <n v="4004"/>
  </r>
  <r>
    <x v="0"/>
    <x v="0"/>
    <x v="0"/>
    <x v="1"/>
    <x v="1"/>
    <x v="1"/>
    <s v="REVENUS"/>
    <x v="9"/>
    <s v="4031.002"/>
    <s v="Complément impôt sur les gains immobiliers"/>
    <n v="0"/>
    <n v="2634.05"/>
    <n v="4031"/>
  </r>
  <r>
    <x v="0"/>
    <x v="0"/>
    <x v="0"/>
    <x v="1"/>
    <x v="1"/>
    <x v="1"/>
    <s v="REVENUS"/>
    <x v="6"/>
    <s v="4211.001"/>
    <s v="Intérêts de retard sur factures"/>
    <n v="0"/>
    <n v="3.55"/>
    <n v="4211"/>
  </r>
  <r>
    <x v="0"/>
    <x v="0"/>
    <x v="0"/>
    <x v="1"/>
    <x v="1"/>
    <x v="1"/>
    <s v="REVENUS"/>
    <x v="2"/>
    <s v="4001.002"/>
    <s v="Impôt complément s/revenu PP"/>
    <n v="0"/>
    <n v="6757.05"/>
    <n v="4001"/>
  </r>
  <r>
    <x v="0"/>
    <x v="0"/>
    <x v="0"/>
    <x v="1"/>
    <x v="1"/>
    <x v="1"/>
    <s v="REVENUS"/>
    <x v="4"/>
    <s v="4051.001"/>
    <s v="Impôt sur les successions"/>
    <n v="0"/>
    <n v="-7.6"/>
    <n v="4051"/>
  </r>
  <r>
    <x v="0"/>
    <x v="0"/>
    <x v="0"/>
    <x v="1"/>
    <x v="1"/>
    <x v="1"/>
    <s v="REVENUS"/>
    <x v="6"/>
    <s v="4221.002"/>
    <s v="Intérêts compensat. sur impôts distincts"/>
    <n v="0"/>
    <n v="-0.03"/>
    <n v="4221"/>
  </r>
  <r>
    <x v="0"/>
    <x v="0"/>
    <x v="0"/>
    <x v="1"/>
    <x v="1"/>
    <x v="1"/>
    <s v="REVENUS"/>
    <x v="4"/>
    <s v="4051.001"/>
    <s v="Impôt sur les successions"/>
    <n v="0"/>
    <n v="2"/>
    <n v="4051"/>
  </r>
  <r>
    <x v="0"/>
    <x v="0"/>
    <x v="0"/>
    <x v="1"/>
    <x v="1"/>
    <x v="1"/>
    <s v="REVENUS"/>
    <x v="2"/>
    <s v="4001.002"/>
    <s v="Impôt complément s/revenu PP"/>
    <n v="0"/>
    <n v="1320.2"/>
    <n v="4001"/>
  </r>
  <r>
    <x v="0"/>
    <x v="0"/>
    <x v="0"/>
    <x v="1"/>
    <x v="1"/>
    <x v="1"/>
    <s v="REVENUS"/>
    <x v="3"/>
    <s v="4002.002"/>
    <s v="Impôt complémentaire s/fortune PP"/>
    <n v="0"/>
    <n v="102.1"/>
    <n v="4002"/>
  </r>
  <r>
    <x v="0"/>
    <x v="0"/>
    <x v="0"/>
    <x v="2"/>
    <x v="2"/>
    <x v="2"/>
    <s v="CHARGES"/>
    <x v="1"/>
    <s v="3301.001"/>
    <s v="Défalcations, abandons de solde PP et IS"/>
    <n v="7035.46"/>
    <n v="0"/>
    <n v="3301"/>
  </r>
  <r>
    <x v="0"/>
    <x v="0"/>
    <x v="0"/>
    <x v="2"/>
    <x v="2"/>
    <x v="2"/>
    <s v="CHARGES"/>
    <x v="1"/>
    <s v="3301.003"/>
    <s v="Remises PP et IS"/>
    <n v="13661.95"/>
    <n v="0"/>
    <n v="3301"/>
  </r>
  <r>
    <x v="0"/>
    <x v="0"/>
    <x v="0"/>
    <x v="2"/>
    <x v="2"/>
    <x v="2"/>
    <s v="CHARGES"/>
    <x v="0"/>
    <s v="3212.002"/>
    <s v="Intérêts bonifiés/trop perçu acompte C/C"/>
    <n v="5.6"/>
    <n v="0"/>
    <n v="3212"/>
  </r>
  <r>
    <x v="0"/>
    <x v="0"/>
    <x v="0"/>
    <x v="2"/>
    <x v="2"/>
    <x v="2"/>
    <s v="CHARGES"/>
    <x v="0"/>
    <s v="3212.004"/>
    <s v="Intérêts rémun./perçu trop tôt sur acomptes C/C"/>
    <n v="93.95"/>
    <n v="0"/>
    <n v="3212"/>
  </r>
  <r>
    <x v="0"/>
    <x v="0"/>
    <x v="0"/>
    <x v="2"/>
    <x v="2"/>
    <x v="2"/>
    <s v="CHARGES"/>
    <x v="0"/>
    <s v="3221.002"/>
    <s v="Intérêts compensatoires / créances en faveur ctb."/>
    <n v="40.479999999999997"/>
    <n v="0"/>
    <n v="3221"/>
  </r>
  <r>
    <x v="0"/>
    <x v="0"/>
    <x v="0"/>
    <x v="2"/>
    <x v="2"/>
    <x v="2"/>
    <s v="CHARGES"/>
    <x v="0"/>
    <s v="3212.004"/>
    <s v="Intérêts rémun./perçu trop tôt sur acomptes C/C"/>
    <n v="1.75"/>
    <n v="0"/>
    <n v="3212"/>
  </r>
  <r>
    <x v="0"/>
    <x v="0"/>
    <x v="0"/>
    <x v="2"/>
    <x v="2"/>
    <x v="2"/>
    <s v="CHARGES"/>
    <x v="0"/>
    <s v="3221.002"/>
    <s v="Intérêts compensatoires / créances en faveur ctb."/>
    <n v="2.02"/>
    <n v="0"/>
    <n v="3221"/>
  </r>
  <r>
    <x v="0"/>
    <x v="0"/>
    <x v="0"/>
    <x v="2"/>
    <x v="2"/>
    <x v="2"/>
    <s v="CHARGES"/>
    <x v="0"/>
    <s v="3221.002"/>
    <s v="Intérêts compensatoires / créances en faveur ctb."/>
    <n v="0.17"/>
    <n v="0"/>
    <n v="3221"/>
  </r>
  <r>
    <x v="0"/>
    <x v="0"/>
    <x v="0"/>
    <x v="2"/>
    <x v="2"/>
    <x v="2"/>
    <s v="CHARGES"/>
    <x v="1"/>
    <s v="3301.001"/>
    <s v="Défalcations, abandons de solde PP et IS"/>
    <n v="0.75"/>
    <n v="0"/>
    <n v="3301"/>
  </r>
  <r>
    <x v="0"/>
    <x v="0"/>
    <x v="0"/>
    <x v="2"/>
    <x v="2"/>
    <x v="2"/>
    <s v="CHARGES"/>
    <x v="1"/>
    <s v="3301.001"/>
    <s v="Défalcations, abandons de solde PP et IS"/>
    <n v="4429.46"/>
    <n v="0"/>
    <n v="3301"/>
  </r>
  <r>
    <x v="0"/>
    <x v="0"/>
    <x v="0"/>
    <x v="2"/>
    <x v="2"/>
    <x v="2"/>
    <s v="CHARGES"/>
    <x v="1"/>
    <s v="3301.001"/>
    <s v="Défalcations, abandons de solde PP et IS"/>
    <n v="14698.22"/>
    <n v="0"/>
    <n v="3301"/>
  </r>
  <r>
    <x v="0"/>
    <x v="0"/>
    <x v="0"/>
    <x v="2"/>
    <x v="2"/>
    <x v="2"/>
    <s v="CHARGES"/>
    <x v="1"/>
    <s v="3301.001"/>
    <s v="Défalcations, abandons de solde PP et IS"/>
    <n v="0.51"/>
    <n v="0"/>
    <n v="3301"/>
  </r>
  <r>
    <x v="0"/>
    <x v="0"/>
    <x v="0"/>
    <x v="2"/>
    <x v="2"/>
    <x v="2"/>
    <s v="CHARGES"/>
    <x v="1"/>
    <s v="3301.001"/>
    <s v="Défalcations, abandons de solde PP et IS"/>
    <n v="183.99"/>
    <n v="0"/>
    <n v="3301"/>
  </r>
  <r>
    <x v="0"/>
    <x v="0"/>
    <x v="0"/>
    <x v="2"/>
    <x v="2"/>
    <x v="2"/>
    <s v="CHARGES"/>
    <x v="0"/>
    <s v="3212.004"/>
    <s v="Intérêts rémun./perçu trop tôt sur acomptes C/C"/>
    <n v="0.26"/>
    <n v="0"/>
    <n v="3212"/>
  </r>
  <r>
    <x v="0"/>
    <x v="0"/>
    <x v="0"/>
    <x v="2"/>
    <x v="2"/>
    <x v="2"/>
    <s v="CHARGES"/>
    <x v="0"/>
    <s v="3212.004"/>
    <s v="Intérêts rémun./perçu trop tôt sur acomptes C/C"/>
    <n v="0.02"/>
    <n v="0"/>
    <n v="3212"/>
  </r>
  <r>
    <x v="0"/>
    <x v="0"/>
    <x v="0"/>
    <x v="2"/>
    <x v="2"/>
    <x v="2"/>
    <s v="REVENUS"/>
    <x v="6"/>
    <s v="4211.001"/>
    <s v="Intérêts de retard sur factures"/>
    <n v="0"/>
    <n v="3307.98"/>
    <n v="4211"/>
  </r>
  <r>
    <x v="0"/>
    <x v="0"/>
    <x v="0"/>
    <x v="2"/>
    <x v="2"/>
    <x v="2"/>
    <s v="REVENUS"/>
    <x v="2"/>
    <s v="4001.007"/>
    <s v="Acompte impôt sur revenu"/>
    <n v="0"/>
    <n v="-75415.28"/>
    <n v="4001"/>
  </r>
  <r>
    <x v="0"/>
    <x v="0"/>
    <x v="0"/>
    <x v="2"/>
    <x v="2"/>
    <x v="2"/>
    <s v="REVENUS"/>
    <x v="2"/>
    <s v="4001.003"/>
    <s v="Impôt s/prest. cap. PP"/>
    <n v="0"/>
    <n v="30802"/>
    <n v="4001"/>
  </r>
  <r>
    <x v="0"/>
    <x v="0"/>
    <x v="0"/>
    <x v="2"/>
    <x v="2"/>
    <x v="2"/>
    <s v="REVENUS"/>
    <x v="2"/>
    <s v="4001.001"/>
    <s v="Impôt revenu"/>
    <n v="0"/>
    <n v="558003.44999999995"/>
    <n v="4001"/>
  </r>
  <r>
    <x v="0"/>
    <x v="0"/>
    <x v="0"/>
    <x v="2"/>
    <x v="2"/>
    <x v="2"/>
    <s v="REVENUS"/>
    <x v="2"/>
    <s v="4001.002"/>
    <s v="Impôt complément s/revenu PP"/>
    <n v="0"/>
    <n v="114958.65"/>
    <n v="4001"/>
  </r>
  <r>
    <x v="0"/>
    <x v="0"/>
    <x v="0"/>
    <x v="2"/>
    <x v="2"/>
    <x v="2"/>
    <s v="REVENUS"/>
    <x v="3"/>
    <s v="4002.001"/>
    <s v="Impôt ordinaire s/fortune PP"/>
    <n v="0"/>
    <n v="49620.95"/>
    <n v="4002"/>
  </r>
  <r>
    <x v="0"/>
    <x v="0"/>
    <x v="0"/>
    <x v="2"/>
    <x v="2"/>
    <x v="2"/>
    <s v="REVENUS"/>
    <x v="3"/>
    <s v="4002.002"/>
    <s v="Impôt complémentaire s/fortune PP"/>
    <n v="0"/>
    <n v="6578.85"/>
    <n v="4002"/>
  </r>
  <r>
    <x v="0"/>
    <x v="0"/>
    <x v="0"/>
    <x v="2"/>
    <x v="2"/>
    <x v="2"/>
    <s v="REVENUS"/>
    <x v="6"/>
    <s v="4211.002"/>
    <s v="Intérêts de retard sur acomptes"/>
    <n v="0"/>
    <n v="4331.9799999999996"/>
    <n v="4211"/>
  </r>
  <r>
    <x v="0"/>
    <x v="0"/>
    <x v="0"/>
    <x v="2"/>
    <x v="2"/>
    <x v="2"/>
    <s v="REVENUS"/>
    <x v="6"/>
    <s v="4221.003"/>
    <s v="Intérêts compensat. / acomptes en faveur du fisc"/>
    <n v="0"/>
    <n v="123.22"/>
    <n v="4221"/>
  </r>
  <r>
    <x v="0"/>
    <x v="0"/>
    <x v="0"/>
    <x v="2"/>
    <x v="2"/>
    <x v="2"/>
    <s v="REVENUS"/>
    <x v="2"/>
    <s v="4001.007"/>
    <s v="Acompte impôt sur revenu"/>
    <n v="0"/>
    <n v="94.55"/>
    <n v="4001"/>
  </r>
  <r>
    <x v="0"/>
    <x v="0"/>
    <x v="0"/>
    <x v="2"/>
    <x v="2"/>
    <x v="2"/>
    <s v="REVENUS"/>
    <x v="3"/>
    <s v="4002.007"/>
    <s v="Acompte impôt sur fortune"/>
    <n v="0"/>
    <n v="135.65"/>
    <n v="4002"/>
  </r>
  <r>
    <x v="0"/>
    <x v="0"/>
    <x v="0"/>
    <x v="2"/>
    <x v="2"/>
    <x v="2"/>
    <s v="REVENUS"/>
    <x v="2"/>
    <s v="4001.001"/>
    <s v="Impôt revenu"/>
    <n v="0"/>
    <n v="4114.55"/>
    <n v="4001"/>
  </r>
  <r>
    <x v="0"/>
    <x v="0"/>
    <x v="0"/>
    <x v="2"/>
    <x v="2"/>
    <x v="2"/>
    <s v="REVENUS"/>
    <x v="3"/>
    <s v="4002.001"/>
    <s v="Impôt ordinaire s/fortune PP"/>
    <n v="0"/>
    <n v="5627.8"/>
    <n v="4002"/>
  </r>
  <r>
    <x v="0"/>
    <x v="0"/>
    <x v="0"/>
    <x v="2"/>
    <x v="2"/>
    <x v="2"/>
    <s v="REVENUS"/>
    <x v="6"/>
    <s v="4211.002"/>
    <s v="Intérêts de retard sur acomptes"/>
    <n v="0"/>
    <n v="2.76"/>
    <n v="4211"/>
  </r>
  <r>
    <x v="0"/>
    <x v="0"/>
    <x v="0"/>
    <x v="2"/>
    <x v="2"/>
    <x v="2"/>
    <s v="REVENUS"/>
    <x v="9"/>
    <s v="4031.001"/>
    <s v="Impôt sur les gains immobiliers"/>
    <n v="0"/>
    <n v="29709.7"/>
    <n v="4031"/>
  </r>
  <r>
    <x v="0"/>
    <x v="0"/>
    <x v="0"/>
    <x v="2"/>
    <x v="2"/>
    <x v="2"/>
    <s v="REVENUS"/>
    <x v="7"/>
    <s v="4184.000"/>
    <s v="Frais de poursuite"/>
    <n v="0"/>
    <n v="1669.87"/>
    <n v="4184"/>
  </r>
  <r>
    <x v="0"/>
    <x v="0"/>
    <x v="0"/>
    <x v="2"/>
    <x v="2"/>
    <x v="2"/>
    <s v="REVENUS"/>
    <x v="7"/>
    <s v="4184.000"/>
    <s v="Frais de poursuite"/>
    <n v="0"/>
    <n v="965.31"/>
    <n v="4184"/>
  </r>
  <r>
    <x v="0"/>
    <x v="0"/>
    <x v="0"/>
    <x v="2"/>
    <x v="2"/>
    <x v="2"/>
    <s v="REVENUS"/>
    <x v="7"/>
    <s v="4184.000"/>
    <s v="Frais de poursuite"/>
    <n v="0"/>
    <n v="186.24"/>
    <n v="4184"/>
  </r>
  <r>
    <x v="0"/>
    <x v="0"/>
    <x v="0"/>
    <x v="2"/>
    <x v="2"/>
    <x v="2"/>
    <s v="REVENUS"/>
    <x v="2"/>
    <s v="4001.001"/>
    <s v="Impôt revenu"/>
    <n v="0"/>
    <n v="2802.3"/>
    <n v="4001"/>
  </r>
  <r>
    <x v="0"/>
    <x v="0"/>
    <x v="0"/>
    <x v="2"/>
    <x v="2"/>
    <x v="2"/>
    <s v="REVENUS"/>
    <x v="3"/>
    <s v="4002.001"/>
    <s v="Impôt ordinaire s/fortune PP"/>
    <n v="0"/>
    <n v="797.25"/>
    <n v="4002"/>
  </r>
  <r>
    <x v="0"/>
    <x v="0"/>
    <x v="0"/>
    <x v="2"/>
    <x v="2"/>
    <x v="2"/>
    <s v="REVENUS"/>
    <x v="2"/>
    <s v="4001.007"/>
    <s v="Acompte impôt sur revenu"/>
    <n v="0"/>
    <n v="5947.15"/>
    <n v="4001"/>
  </r>
  <r>
    <x v="0"/>
    <x v="0"/>
    <x v="0"/>
    <x v="2"/>
    <x v="2"/>
    <x v="2"/>
    <s v="REVENUS"/>
    <x v="3"/>
    <s v="4002.007"/>
    <s v="Acompte impôt sur fortune"/>
    <n v="0"/>
    <n v="4372.1499999999996"/>
    <n v="4002"/>
  </r>
  <r>
    <x v="0"/>
    <x v="0"/>
    <x v="0"/>
    <x v="2"/>
    <x v="2"/>
    <x v="2"/>
    <s v="REVENUS"/>
    <x v="6"/>
    <s v="4221.003"/>
    <s v="Intérêts compensat. / acomptes en faveur du fisc"/>
    <n v="0"/>
    <n v="0.82"/>
    <n v="4221"/>
  </r>
  <r>
    <x v="0"/>
    <x v="0"/>
    <x v="0"/>
    <x v="2"/>
    <x v="2"/>
    <x v="2"/>
    <s v="REVENUS"/>
    <x v="3"/>
    <s v="4002.007"/>
    <s v="Acompte impôt sur fortune"/>
    <n v="0"/>
    <n v="-11296.25"/>
    <n v="4002"/>
  </r>
  <r>
    <x v="0"/>
    <x v="0"/>
    <x v="0"/>
    <x v="2"/>
    <x v="2"/>
    <x v="2"/>
    <s v="REVENUS"/>
    <x v="2"/>
    <s v="4001.007"/>
    <s v="Acompte impôt sur revenu"/>
    <n v="0"/>
    <n v="2755.45"/>
    <n v="4001"/>
  </r>
  <r>
    <x v="0"/>
    <x v="0"/>
    <x v="0"/>
    <x v="2"/>
    <x v="2"/>
    <x v="2"/>
    <s v="REVENUS"/>
    <x v="3"/>
    <s v="4002.007"/>
    <s v="Acompte impôt sur fortune"/>
    <n v="0"/>
    <n v="545.79999999999995"/>
    <n v="4002"/>
  </r>
  <r>
    <x v="0"/>
    <x v="0"/>
    <x v="0"/>
    <x v="2"/>
    <x v="2"/>
    <x v="2"/>
    <s v="REVENUS"/>
    <x v="6"/>
    <s v="4221.002"/>
    <s v="Intérêts compensat. sur impôts distincts"/>
    <n v="0"/>
    <n v="3.84"/>
    <n v="4221"/>
  </r>
  <r>
    <x v="0"/>
    <x v="0"/>
    <x v="0"/>
    <x v="2"/>
    <x v="2"/>
    <x v="2"/>
    <s v="REVENUS"/>
    <x v="10"/>
    <s v="4041.001"/>
    <s v="Droits de mutation"/>
    <n v="0"/>
    <n v="74485.3"/>
    <n v="4041"/>
  </r>
  <r>
    <x v="0"/>
    <x v="0"/>
    <x v="0"/>
    <x v="2"/>
    <x v="2"/>
    <x v="2"/>
    <s v="REVENUS"/>
    <x v="3"/>
    <s v="4002.007"/>
    <s v="Acompte impôt sur fortune"/>
    <n v="0"/>
    <n v="0"/>
    <n v="4002"/>
  </r>
  <r>
    <x v="0"/>
    <x v="0"/>
    <x v="0"/>
    <x v="2"/>
    <x v="2"/>
    <x v="2"/>
    <s v="REVENUS"/>
    <x v="3"/>
    <s v="4002.001"/>
    <s v="Impôt ordinaire s/fortune PP"/>
    <n v="0"/>
    <n v="26.8"/>
    <n v="4002"/>
  </r>
  <r>
    <x v="0"/>
    <x v="0"/>
    <x v="0"/>
    <x v="2"/>
    <x v="2"/>
    <x v="2"/>
    <s v="REVENUS"/>
    <x v="6"/>
    <s v="4221.003"/>
    <s v="Intérêts compensat. / acomptes en faveur du fisc"/>
    <n v="0"/>
    <n v="0.51"/>
    <n v="4221"/>
  </r>
  <r>
    <x v="0"/>
    <x v="0"/>
    <x v="0"/>
    <x v="2"/>
    <x v="2"/>
    <x v="2"/>
    <s v="REVENUS"/>
    <x v="11"/>
    <s v="4198.000"/>
    <s v="Contributions communales"/>
    <n v="0"/>
    <n v="63410.9"/>
    <n v="4198"/>
  </r>
  <r>
    <x v="0"/>
    <x v="0"/>
    <x v="0"/>
    <x v="2"/>
    <x v="2"/>
    <x v="2"/>
    <s v="REVENUS"/>
    <x v="7"/>
    <s v="4184.000"/>
    <s v="Frais de poursuite"/>
    <n v="0"/>
    <n v="14.38"/>
    <n v="4184"/>
  </r>
  <r>
    <x v="0"/>
    <x v="0"/>
    <x v="0"/>
    <x v="2"/>
    <x v="2"/>
    <x v="2"/>
    <s v="REVENUS"/>
    <x v="6"/>
    <s v="4221.003"/>
    <s v="Intérêts compensat. / acomptes en faveur du fisc"/>
    <n v="0"/>
    <n v="0.09"/>
    <n v="4221"/>
  </r>
  <r>
    <x v="0"/>
    <x v="0"/>
    <x v="0"/>
    <x v="2"/>
    <x v="2"/>
    <x v="2"/>
    <s v="REVENUS"/>
    <x v="5"/>
    <s v="4061.000"/>
    <s v="Impôt sur les chiens"/>
    <n v="0"/>
    <n v="6550"/>
    <n v="4061"/>
  </r>
  <r>
    <x v="0"/>
    <x v="0"/>
    <x v="0"/>
    <x v="2"/>
    <x v="2"/>
    <x v="2"/>
    <s v="REVENUS"/>
    <x v="2"/>
    <s v="4001.001"/>
    <s v="Impôt revenu"/>
    <n v="0"/>
    <n v="572.45000000000005"/>
    <n v="4001"/>
  </r>
  <r>
    <x v="0"/>
    <x v="0"/>
    <x v="0"/>
    <x v="2"/>
    <x v="2"/>
    <x v="2"/>
    <s v="REVENUS"/>
    <x v="3"/>
    <s v="4002.001"/>
    <s v="Impôt ordinaire s/fortune PP"/>
    <n v="0"/>
    <n v="582.79999999999995"/>
    <n v="4002"/>
  </r>
  <r>
    <x v="0"/>
    <x v="0"/>
    <x v="0"/>
    <x v="2"/>
    <x v="2"/>
    <x v="2"/>
    <s v="REVENUS"/>
    <x v="6"/>
    <s v="4221.003"/>
    <s v="Intérêts compensat. / acomptes en faveur du fisc"/>
    <n v="0"/>
    <n v="0.12"/>
    <n v="4221"/>
  </r>
  <r>
    <x v="0"/>
    <x v="0"/>
    <x v="0"/>
    <x v="2"/>
    <x v="2"/>
    <x v="2"/>
    <s v="REVENUS"/>
    <x v="2"/>
    <s v="4001.002"/>
    <s v="Impôt complément s/revenu PP"/>
    <n v="0"/>
    <n v="189.35"/>
    <n v="4001"/>
  </r>
  <r>
    <x v="0"/>
    <x v="0"/>
    <x v="0"/>
    <x v="2"/>
    <x v="2"/>
    <x v="2"/>
    <s v="REVENUS"/>
    <x v="3"/>
    <s v="4002.002"/>
    <s v="Impôt complémentaire s/fortune PP"/>
    <n v="0"/>
    <n v="886.25"/>
    <n v="4002"/>
  </r>
  <r>
    <x v="0"/>
    <x v="0"/>
    <x v="0"/>
    <x v="2"/>
    <x v="2"/>
    <x v="2"/>
    <s v="REVENUS"/>
    <x v="3"/>
    <s v="4002.002"/>
    <s v="Impôt complémentaire s/fortune PP"/>
    <n v="0"/>
    <n v="92.4"/>
    <n v="4002"/>
  </r>
  <r>
    <x v="0"/>
    <x v="0"/>
    <x v="0"/>
    <x v="2"/>
    <x v="2"/>
    <x v="2"/>
    <s v="REVENUS"/>
    <x v="6"/>
    <s v="4211.001"/>
    <s v="Intérêts de retard sur factures"/>
    <n v="0"/>
    <n v="0.3"/>
    <n v="4211"/>
  </r>
  <r>
    <x v="0"/>
    <x v="0"/>
    <x v="0"/>
    <x v="2"/>
    <x v="2"/>
    <x v="2"/>
    <s v="REVENUS"/>
    <x v="2"/>
    <s v="4001.002"/>
    <s v="Impôt complément s/revenu PP"/>
    <n v="0"/>
    <n v="2797.6"/>
    <n v="4001"/>
  </r>
  <r>
    <x v="0"/>
    <x v="0"/>
    <x v="0"/>
    <x v="2"/>
    <x v="2"/>
    <x v="2"/>
    <s v="REVENUS"/>
    <x v="3"/>
    <s v="4002.002"/>
    <s v="Impôt complémentaire s/fortune PP"/>
    <n v="0"/>
    <n v="1451.3"/>
    <n v="4002"/>
  </r>
  <r>
    <x v="0"/>
    <x v="0"/>
    <x v="0"/>
    <x v="2"/>
    <x v="2"/>
    <x v="2"/>
    <s v="REVENUS"/>
    <x v="6"/>
    <s v="4211.001"/>
    <s v="Intérêts de retard sur factures"/>
    <n v="0"/>
    <n v="0.1"/>
    <n v="4211"/>
  </r>
  <r>
    <x v="0"/>
    <x v="0"/>
    <x v="0"/>
    <x v="2"/>
    <x v="2"/>
    <x v="2"/>
    <s v="REVENUS"/>
    <x v="2"/>
    <s v="4001.001"/>
    <s v="Impôt revenu"/>
    <n v="0"/>
    <n v="946.55"/>
    <n v="4001"/>
  </r>
  <r>
    <x v="0"/>
    <x v="0"/>
    <x v="0"/>
    <x v="3"/>
    <x v="3"/>
    <x v="3"/>
    <s v="CHARGES"/>
    <x v="0"/>
    <s v="3212.004"/>
    <s v="Intérêts rémun./perçu trop tôt sur acomptes C/C"/>
    <n v="140.46"/>
    <n v="0"/>
    <n v="3212"/>
  </r>
  <r>
    <x v="0"/>
    <x v="0"/>
    <x v="0"/>
    <x v="3"/>
    <x v="3"/>
    <x v="3"/>
    <s v="CHARGES"/>
    <x v="1"/>
    <s v="3301.001"/>
    <s v="Défalcations, abandons de solde PP et IS"/>
    <n v="180.9"/>
    <n v="0"/>
    <n v="3301"/>
  </r>
  <r>
    <x v="0"/>
    <x v="0"/>
    <x v="0"/>
    <x v="3"/>
    <x v="3"/>
    <x v="3"/>
    <s v="CHARGES"/>
    <x v="0"/>
    <s v="3221.002"/>
    <s v="Intérêts compensatoires / créances en faveur ctb."/>
    <n v="48.52"/>
    <n v="0"/>
    <n v="3221"/>
  </r>
  <r>
    <x v="0"/>
    <x v="0"/>
    <x v="0"/>
    <x v="3"/>
    <x v="3"/>
    <x v="3"/>
    <s v="CHARGES"/>
    <x v="0"/>
    <s v="3212.004"/>
    <s v="Intérêts rémun./perçu trop tôt sur acomptes C/C"/>
    <n v="0.87"/>
    <n v="0"/>
    <n v="3212"/>
  </r>
  <r>
    <x v="0"/>
    <x v="0"/>
    <x v="0"/>
    <x v="3"/>
    <x v="3"/>
    <x v="3"/>
    <s v="CHARGES"/>
    <x v="0"/>
    <s v="3221.002"/>
    <s v="Intérêts compensatoires / créances en faveur ctb."/>
    <n v="0.16"/>
    <n v="0"/>
    <n v="3221"/>
  </r>
  <r>
    <x v="0"/>
    <x v="0"/>
    <x v="0"/>
    <x v="3"/>
    <x v="3"/>
    <x v="3"/>
    <s v="CHARGES"/>
    <x v="1"/>
    <s v="3301.001"/>
    <s v="Défalcations, abandons de solde PP et IS"/>
    <n v="0.09"/>
    <n v="0"/>
    <n v="3301"/>
  </r>
  <r>
    <x v="0"/>
    <x v="0"/>
    <x v="0"/>
    <x v="3"/>
    <x v="3"/>
    <x v="3"/>
    <s v="CHARGES"/>
    <x v="0"/>
    <s v="3212.002"/>
    <s v="Intérêts bonifiés/trop perçu acompte C/C"/>
    <n v="1.61"/>
    <n v="0"/>
    <n v="3212"/>
  </r>
  <r>
    <x v="0"/>
    <x v="0"/>
    <x v="0"/>
    <x v="3"/>
    <x v="3"/>
    <x v="3"/>
    <s v="CHARGES"/>
    <x v="0"/>
    <s v="3212.004"/>
    <s v="Intérêts rémun./perçu trop tôt sur acomptes C/C"/>
    <n v="0.21"/>
    <n v="0"/>
    <n v="3212"/>
  </r>
  <r>
    <x v="0"/>
    <x v="0"/>
    <x v="0"/>
    <x v="3"/>
    <x v="3"/>
    <x v="3"/>
    <s v="CHARGES"/>
    <x v="0"/>
    <s v="3221.002"/>
    <s v="Intérêts compensatoires / créances en faveur ctb."/>
    <n v="0.13"/>
    <n v="0"/>
    <n v="3221"/>
  </r>
  <r>
    <x v="0"/>
    <x v="0"/>
    <x v="0"/>
    <x v="3"/>
    <x v="3"/>
    <x v="3"/>
    <s v="CHARGES"/>
    <x v="0"/>
    <s v="3221.002"/>
    <s v="Intérêts compensatoires / créances en faveur ctb."/>
    <n v="1.06"/>
    <n v="0"/>
    <n v="3221"/>
  </r>
  <r>
    <x v="0"/>
    <x v="0"/>
    <x v="0"/>
    <x v="3"/>
    <x v="3"/>
    <x v="3"/>
    <s v="CHARGES"/>
    <x v="1"/>
    <s v="3301.001"/>
    <s v="Défalcations, abandons de solde PP et IS"/>
    <n v="749.73"/>
    <n v="0"/>
    <n v="3301"/>
  </r>
  <r>
    <x v="0"/>
    <x v="0"/>
    <x v="0"/>
    <x v="3"/>
    <x v="3"/>
    <x v="3"/>
    <s v="CHARGES"/>
    <x v="0"/>
    <s v="3212.004"/>
    <s v="Intérêts rémun./perçu trop tôt sur acomptes C/C"/>
    <n v="5.76"/>
    <n v="0"/>
    <n v="3212"/>
  </r>
  <r>
    <x v="0"/>
    <x v="0"/>
    <x v="0"/>
    <x v="3"/>
    <x v="3"/>
    <x v="3"/>
    <s v="CHARGES"/>
    <x v="0"/>
    <s v="3221.002"/>
    <s v="Intérêts compensatoires / créances en faveur ctb."/>
    <n v="0.22"/>
    <n v="0"/>
    <n v="3221"/>
  </r>
  <r>
    <x v="0"/>
    <x v="0"/>
    <x v="0"/>
    <x v="3"/>
    <x v="3"/>
    <x v="3"/>
    <s v="CHARGES"/>
    <x v="0"/>
    <s v="3212.004"/>
    <s v="Intérêts rémun./perçu trop tôt sur acomptes C/C"/>
    <n v="2.04"/>
    <n v="0"/>
    <n v="3212"/>
  </r>
  <r>
    <x v="0"/>
    <x v="0"/>
    <x v="0"/>
    <x v="3"/>
    <x v="3"/>
    <x v="3"/>
    <s v="CHARGES"/>
    <x v="1"/>
    <s v="3301.001"/>
    <s v="Défalcations, abandons de solde PP et IS"/>
    <n v="1.41"/>
    <n v="0"/>
    <n v="3301"/>
  </r>
  <r>
    <x v="0"/>
    <x v="0"/>
    <x v="0"/>
    <x v="3"/>
    <x v="3"/>
    <x v="3"/>
    <s v="CHARGES"/>
    <x v="0"/>
    <s v="3212.004"/>
    <s v="Intérêts rémun./perçu trop tôt sur acomptes C/C"/>
    <n v="1.62"/>
    <n v="0"/>
    <n v="3212"/>
  </r>
  <r>
    <x v="0"/>
    <x v="0"/>
    <x v="0"/>
    <x v="3"/>
    <x v="3"/>
    <x v="3"/>
    <s v="CHARGES"/>
    <x v="1"/>
    <s v="3301.001"/>
    <s v="Défalcations, abandons de solde PP et IS"/>
    <n v="1017.2"/>
    <n v="0"/>
    <n v="3301"/>
  </r>
  <r>
    <x v="0"/>
    <x v="0"/>
    <x v="0"/>
    <x v="3"/>
    <x v="3"/>
    <x v="3"/>
    <s v="CHARGES"/>
    <x v="0"/>
    <s v="3212.004"/>
    <s v="Intérêts rémun./perçu trop tôt sur acomptes C/C"/>
    <n v="0.4"/>
    <n v="0"/>
    <n v="3212"/>
  </r>
  <r>
    <x v="0"/>
    <x v="0"/>
    <x v="0"/>
    <x v="3"/>
    <x v="3"/>
    <x v="3"/>
    <s v="CHARGES"/>
    <x v="0"/>
    <s v="3221.002"/>
    <s v="Intérêts compensatoires / créances en faveur ctb."/>
    <n v="0.01"/>
    <n v="0"/>
    <n v="3221"/>
  </r>
  <r>
    <x v="0"/>
    <x v="0"/>
    <x v="0"/>
    <x v="3"/>
    <x v="3"/>
    <x v="3"/>
    <s v="CHARGES"/>
    <x v="0"/>
    <s v="3221.002"/>
    <s v="Intérêts compensatoires / créances en faveur ctb."/>
    <n v="0.19"/>
    <n v="0"/>
    <n v="3221"/>
  </r>
  <r>
    <x v="0"/>
    <x v="0"/>
    <x v="0"/>
    <x v="3"/>
    <x v="3"/>
    <x v="3"/>
    <s v="CHARGES"/>
    <x v="1"/>
    <s v="3301.001"/>
    <s v="Défalcations, abandons de solde PP et IS"/>
    <n v="0.06"/>
    <n v="0"/>
    <n v="3301"/>
  </r>
  <r>
    <x v="0"/>
    <x v="0"/>
    <x v="0"/>
    <x v="3"/>
    <x v="3"/>
    <x v="3"/>
    <s v="REVENUS"/>
    <x v="2"/>
    <s v="4001.007"/>
    <s v="Acompte impôt sur revenu"/>
    <n v="0"/>
    <n v="-34376.160000000003"/>
    <n v="4001"/>
  </r>
  <r>
    <x v="0"/>
    <x v="0"/>
    <x v="0"/>
    <x v="3"/>
    <x v="3"/>
    <x v="3"/>
    <s v="REVENUS"/>
    <x v="2"/>
    <s v="4001.001"/>
    <s v="Impôt revenu"/>
    <n v="0"/>
    <n v="575469.15"/>
    <n v="4001"/>
  </r>
  <r>
    <x v="0"/>
    <x v="0"/>
    <x v="0"/>
    <x v="3"/>
    <x v="3"/>
    <x v="3"/>
    <s v="REVENUS"/>
    <x v="3"/>
    <s v="4002.001"/>
    <s v="Impôt ordinaire s/fortune PP"/>
    <n v="0"/>
    <n v="96390.1"/>
    <n v="4002"/>
  </r>
  <r>
    <x v="0"/>
    <x v="0"/>
    <x v="0"/>
    <x v="3"/>
    <x v="3"/>
    <x v="3"/>
    <s v="REVENUS"/>
    <x v="3"/>
    <s v="4002.007"/>
    <s v="Acompte impôt sur fortune"/>
    <n v="0"/>
    <n v="7048.17"/>
    <n v="4002"/>
  </r>
  <r>
    <x v="0"/>
    <x v="0"/>
    <x v="0"/>
    <x v="3"/>
    <x v="3"/>
    <x v="3"/>
    <s v="REVENUS"/>
    <x v="6"/>
    <s v="4211.002"/>
    <s v="Intérêts de retard sur acomptes"/>
    <n v="0"/>
    <n v="2567.9899999999998"/>
    <n v="4211"/>
  </r>
  <r>
    <x v="0"/>
    <x v="0"/>
    <x v="0"/>
    <x v="3"/>
    <x v="3"/>
    <x v="3"/>
    <s v="REVENUS"/>
    <x v="2"/>
    <s v="4001.003"/>
    <s v="Impôt s/prest. cap. PP"/>
    <n v="0"/>
    <n v="20220"/>
    <n v="4001"/>
  </r>
  <r>
    <x v="0"/>
    <x v="0"/>
    <x v="0"/>
    <x v="3"/>
    <x v="3"/>
    <x v="3"/>
    <s v="REVENUS"/>
    <x v="6"/>
    <s v="4221.002"/>
    <s v="Intérêts compensat. sur impôts distincts"/>
    <n v="0"/>
    <n v="14.77"/>
    <n v="4221"/>
  </r>
  <r>
    <x v="0"/>
    <x v="0"/>
    <x v="0"/>
    <x v="3"/>
    <x v="3"/>
    <x v="3"/>
    <s v="REVENUS"/>
    <x v="6"/>
    <s v="4221.003"/>
    <s v="Intérêts compensat. / acomptes en faveur du fisc"/>
    <n v="0"/>
    <n v="79.53"/>
    <n v="4221"/>
  </r>
  <r>
    <x v="0"/>
    <x v="0"/>
    <x v="0"/>
    <x v="3"/>
    <x v="3"/>
    <x v="3"/>
    <s v="REVENUS"/>
    <x v="2"/>
    <s v="4001.007"/>
    <s v="Acompte impôt sur revenu"/>
    <n v="0"/>
    <n v="-1971.7"/>
    <n v="4001"/>
  </r>
  <r>
    <x v="0"/>
    <x v="0"/>
    <x v="0"/>
    <x v="3"/>
    <x v="3"/>
    <x v="3"/>
    <s v="REVENUS"/>
    <x v="10"/>
    <s v="4041.001"/>
    <s v="Droits de mutation"/>
    <n v="0"/>
    <n v="33854.400000000001"/>
    <n v="4041"/>
  </r>
  <r>
    <x v="0"/>
    <x v="0"/>
    <x v="0"/>
    <x v="3"/>
    <x v="3"/>
    <x v="3"/>
    <s v="REVENUS"/>
    <x v="6"/>
    <s v="4211.001"/>
    <s v="Intérêts de retard sur factures"/>
    <n v="0"/>
    <n v="4691.5600000000004"/>
    <n v="4211"/>
  </r>
  <r>
    <x v="0"/>
    <x v="0"/>
    <x v="0"/>
    <x v="3"/>
    <x v="3"/>
    <x v="3"/>
    <s v="REVENUS"/>
    <x v="7"/>
    <s v="4184.000"/>
    <s v="Frais de poursuite"/>
    <n v="0"/>
    <n v="349.95"/>
    <n v="4184"/>
  </r>
  <r>
    <x v="0"/>
    <x v="0"/>
    <x v="0"/>
    <x v="3"/>
    <x v="3"/>
    <x v="3"/>
    <s v="REVENUS"/>
    <x v="2"/>
    <s v="4001.001"/>
    <s v="Impôt revenu"/>
    <n v="0"/>
    <n v="1488.3"/>
    <n v="4001"/>
  </r>
  <r>
    <x v="0"/>
    <x v="0"/>
    <x v="0"/>
    <x v="3"/>
    <x v="3"/>
    <x v="3"/>
    <s v="REVENUS"/>
    <x v="2"/>
    <s v="4001.007"/>
    <s v="Acompte impôt sur revenu"/>
    <n v="0"/>
    <n v="478.9"/>
    <n v="4001"/>
  </r>
  <r>
    <x v="0"/>
    <x v="0"/>
    <x v="0"/>
    <x v="3"/>
    <x v="3"/>
    <x v="3"/>
    <s v="REVENUS"/>
    <x v="3"/>
    <s v="4002.001"/>
    <s v="Impôt ordinaire s/fortune PP"/>
    <n v="0"/>
    <n v="1619.05"/>
    <n v="4002"/>
  </r>
  <r>
    <x v="0"/>
    <x v="0"/>
    <x v="0"/>
    <x v="3"/>
    <x v="3"/>
    <x v="3"/>
    <s v="REVENUS"/>
    <x v="3"/>
    <s v="4002.007"/>
    <s v="Acompte impôt sur fortune"/>
    <n v="0"/>
    <n v="-255.3"/>
    <n v="4002"/>
  </r>
  <r>
    <x v="0"/>
    <x v="0"/>
    <x v="0"/>
    <x v="3"/>
    <x v="3"/>
    <x v="3"/>
    <s v="REVENUS"/>
    <x v="2"/>
    <s v="4001.007"/>
    <s v="Acompte impôt sur revenu"/>
    <n v="0"/>
    <n v="891.59"/>
    <n v="4001"/>
  </r>
  <r>
    <x v="0"/>
    <x v="0"/>
    <x v="0"/>
    <x v="3"/>
    <x v="3"/>
    <x v="3"/>
    <s v="REVENUS"/>
    <x v="3"/>
    <s v="4002.007"/>
    <s v="Acompte impôt sur fortune"/>
    <n v="0"/>
    <n v="-696.27"/>
    <n v="4002"/>
  </r>
  <r>
    <x v="0"/>
    <x v="0"/>
    <x v="0"/>
    <x v="3"/>
    <x v="3"/>
    <x v="3"/>
    <s v="REVENUS"/>
    <x v="6"/>
    <s v="4211.001"/>
    <s v="Intérêts de retard sur factures"/>
    <n v="0"/>
    <n v="7.0000000000000007E-2"/>
    <n v="4211"/>
  </r>
  <r>
    <x v="0"/>
    <x v="0"/>
    <x v="0"/>
    <x v="3"/>
    <x v="3"/>
    <x v="3"/>
    <s v="REVENUS"/>
    <x v="2"/>
    <s v="4001.002"/>
    <s v="Impôt complément s/revenu PP"/>
    <n v="0"/>
    <n v="29654.2"/>
    <n v="4001"/>
  </r>
  <r>
    <x v="0"/>
    <x v="0"/>
    <x v="0"/>
    <x v="3"/>
    <x v="3"/>
    <x v="3"/>
    <s v="REVENUS"/>
    <x v="3"/>
    <s v="4002.002"/>
    <s v="Impôt complémentaire s/fortune PP"/>
    <n v="0"/>
    <n v="6467.6"/>
    <n v="4002"/>
  </r>
  <r>
    <x v="0"/>
    <x v="0"/>
    <x v="0"/>
    <x v="3"/>
    <x v="3"/>
    <x v="3"/>
    <s v="REVENUS"/>
    <x v="3"/>
    <s v="4002.007"/>
    <s v="Acompte impôt sur fortune"/>
    <n v="0"/>
    <n v="128"/>
    <n v="4002"/>
  </r>
  <r>
    <x v="0"/>
    <x v="0"/>
    <x v="0"/>
    <x v="3"/>
    <x v="3"/>
    <x v="3"/>
    <s v="REVENUS"/>
    <x v="2"/>
    <s v="4001.007"/>
    <s v="Acompte impôt sur revenu"/>
    <n v="0"/>
    <n v="1350.73"/>
    <n v="4001"/>
  </r>
  <r>
    <x v="0"/>
    <x v="0"/>
    <x v="0"/>
    <x v="3"/>
    <x v="3"/>
    <x v="3"/>
    <s v="REVENUS"/>
    <x v="3"/>
    <s v="4002.007"/>
    <s v="Acompte impôt sur fortune"/>
    <n v="0"/>
    <n v="378.01"/>
    <n v="4002"/>
  </r>
  <r>
    <x v="0"/>
    <x v="0"/>
    <x v="0"/>
    <x v="3"/>
    <x v="3"/>
    <x v="3"/>
    <s v="REVENUS"/>
    <x v="3"/>
    <s v="4002.001"/>
    <s v="Impôt ordinaire s/fortune PP"/>
    <n v="0"/>
    <n v="3269.7"/>
    <n v="4002"/>
  </r>
  <r>
    <x v="0"/>
    <x v="0"/>
    <x v="0"/>
    <x v="3"/>
    <x v="3"/>
    <x v="3"/>
    <s v="REVENUS"/>
    <x v="3"/>
    <s v="4002.007"/>
    <s v="Acompte impôt sur fortune"/>
    <n v="0"/>
    <n v="-12.1"/>
    <n v="4002"/>
  </r>
  <r>
    <x v="0"/>
    <x v="0"/>
    <x v="0"/>
    <x v="3"/>
    <x v="3"/>
    <x v="3"/>
    <s v="REVENUS"/>
    <x v="2"/>
    <s v="4001.001"/>
    <s v="Impôt revenu"/>
    <n v="0"/>
    <n v="923.1"/>
    <n v="4001"/>
  </r>
  <r>
    <x v="0"/>
    <x v="0"/>
    <x v="0"/>
    <x v="3"/>
    <x v="3"/>
    <x v="3"/>
    <s v="REVENUS"/>
    <x v="7"/>
    <s v="4184.000"/>
    <s v="Frais de poursuite"/>
    <n v="0"/>
    <n v="332.43"/>
    <n v="4184"/>
  </r>
  <r>
    <x v="0"/>
    <x v="0"/>
    <x v="0"/>
    <x v="3"/>
    <x v="3"/>
    <x v="3"/>
    <s v="REVENUS"/>
    <x v="2"/>
    <s v="4001.007"/>
    <s v="Acompte impôt sur revenu"/>
    <n v="0"/>
    <n v="-2319.0500000000002"/>
    <n v="4001"/>
  </r>
  <r>
    <x v="0"/>
    <x v="0"/>
    <x v="0"/>
    <x v="3"/>
    <x v="3"/>
    <x v="3"/>
    <s v="REVENUS"/>
    <x v="2"/>
    <s v="4001.007"/>
    <s v="Acompte impôt sur revenu"/>
    <n v="0"/>
    <n v="120.1"/>
    <n v="4001"/>
  </r>
  <r>
    <x v="0"/>
    <x v="0"/>
    <x v="0"/>
    <x v="3"/>
    <x v="3"/>
    <x v="3"/>
    <s v="REVENUS"/>
    <x v="6"/>
    <s v="4211.002"/>
    <s v="Intérêts de retard sur acomptes"/>
    <n v="0"/>
    <n v="1.34"/>
    <n v="4211"/>
  </r>
  <r>
    <x v="0"/>
    <x v="0"/>
    <x v="0"/>
    <x v="3"/>
    <x v="3"/>
    <x v="3"/>
    <s v="REVENUS"/>
    <x v="3"/>
    <s v="4002.007"/>
    <s v="Acompte impôt sur fortune"/>
    <n v="0"/>
    <n v="-23.65"/>
    <n v="4002"/>
  </r>
  <r>
    <x v="0"/>
    <x v="0"/>
    <x v="0"/>
    <x v="3"/>
    <x v="3"/>
    <x v="3"/>
    <s v="REVENUS"/>
    <x v="3"/>
    <s v="4002.001"/>
    <s v="Impôt ordinaire s/fortune PP"/>
    <n v="0"/>
    <n v="910.25"/>
    <n v="4002"/>
  </r>
  <r>
    <x v="0"/>
    <x v="0"/>
    <x v="0"/>
    <x v="3"/>
    <x v="3"/>
    <x v="3"/>
    <s v="REVENUS"/>
    <x v="6"/>
    <s v="4211.002"/>
    <s v="Intérêts de retard sur acomptes"/>
    <n v="0"/>
    <n v="92.64"/>
    <n v="4211"/>
  </r>
  <r>
    <x v="0"/>
    <x v="0"/>
    <x v="0"/>
    <x v="3"/>
    <x v="3"/>
    <x v="3"/>
    <s v="REVENUS"/>
    <x v="2"/>
    <s v="4001.007"/>
    <s v="Acompte impôt sur revenu"/>
    <n v="0"/>
    <n v="-232.65"/>
    <n v="4001"/>
  </r>
  <r>
    <x v="0"/>
    <x v="0"/>
    <x v="0"/>
    <x v="3"/>
    <x v="3"/>
    <x v="3"/>
    <s v="REVENUS"/>
    <x v="3"/>
    <s v="4002.007"/>
    <s v="Acompte impôt sur fortune"/>
    <n v="0"/>
    <n v="-181.7"/>
    <n v="4002"/>
  </r>
  <r>
    <x v="0"/>
    <x v="0"/>
    <x v="0"/>
    <x v="3"/>
    <x v="3"/>
    <x v="3"/>
    <s v="REVENUS"/>
    <x v="2"/>
    <s v="4001.001"/>
    <s v="Impôt revenu"/>
    <n v="0"/>
    <n v="14274.7"/>
    <n v="4001"/>
  </r>
  <r>
    <x v="0"/>
    <x v="0"/>
    <x v="0"/>
    <x v="3"/>
    <x v="3"/>
    <x v="3"/>
    <s v="REVENUS"/>
    <x v="6"/>
    <s v="4211.001"/>
    <s v="Intérêts de retard sur factures"/>
    <n v="0"/>
    <n v="0.41"/>
    <n v="4211"/>
  </r>
  <r>
    <x v="0"/>
    <x v="0"/>
    <x v="0"/>
    <x v="3"/>
    <x v="3"/>
    <x v="3"/>
    <s v="REVENUS"/>
    <x v="2"/>
    <s v="4001.001"/>
    <s v="Impôt revenu"/>
    <n v="0"/>
    <n v="4773"/>
    <n v="4001"/>
  </r>
  <r>
    <x v="0"/>
    <x v="0"/>
    <x v="0"/>
    <x v="3"/>
    <x v="3"/>
    <x v="3"/>
    <s v="REVENUS"/>
    <x v="6"/>
    <s v="4221.003"/>
    <s v="Intérêts compensat. / acomptes en faveur du fisc"/>
    <n v="0"/>
    <n v="0.2"/>
    <n v="4221"/>
  </r>
  <r>
    <x v="0"/>
    <x v="0"/>
    <x v="0"/>
    <x v="3"/>
    <x v="3"/>
    <x v="3"/>
    <s v="REVENUS"/>
    <x v="2"/>
    <s v="4001.001"/>
    <s v="Impôt revenu"/>
    <n v="0"/>
    <n v="5748.8"/>
    <n v="4001"/>
  </r>
  <r>
    <x v="0"/>
    <x v="0"/>
    <x v="0"/>
    <x v="3"/>
    <x v="3"/>
    <x v="3"/>
    <s v="REVENUS"/>
    <x v="6"/>
    <s v="4211.002"/>
    <s v="Intérêts de retard sur acomptes"/>
    <n v="0"/>
    <n v="9.15"/>
    <n v="4211"/>
  </r>
  <r>
    <x v="0"/>
    <x v="0"/>
    <x v="0"/>
    <x v="3"/>
    <x v="3"/>
    <x v="3"/>
    <s v="REVENUS"/>
    <x v="3"/>
    <s v="4002.001"/>
    <s v="Impôt ordinaire s/fortune PP"/>
    <n v="0"/>
    <n v="3342.9"/>
    <n v="4002"/>
  </r>
  <r>
    <x v="0"/>
    <x v="0"/>
    <x v="0"/>
    <x v="3"/>
    <x v="3"/>
    <x v="3"/>
    <s v="REVENUS"/>
    <x v="2"/>
    <s v="4001.002"/>
    <s v="Impôt complément s/revenu PP"/>
    <n v="0"/>
    <n v="4.6500000000000004"/>
    <n v="4001"/>
  </r>
  <r>
    <x v="0"/>
    <x v="0"/>
    <x v="0"/>
    <x v="3"/>
    <x v="3"/>
    <x v="3"/>
    <s v="REVENUS"/>
    <x v="3"/>
    <s v="4002.002"/>
    <s v="Impôt complémentaire s/fortune PP"/>
    <n v="0"/>
    <n v="70.099999999999994"/>
    <n v="4002"/>
  </r>
  <r>
    <x v="0"/>
    <x v="0"/>
    <x v="0"/>
    <x v="3"/>
    <x v="3"/>
    <x v="3"/>
    <s v="REVENUS"/>
    <x v="2"/>
    <s v="4001.002"/>
    <s v="Impôt complément s/revenu PP"/>
    <n v="0"/>
    <n v="827.35"/>
    <n v="4001"/>
  </r>
  <r>
    <x v="0"/>
    <x v="0"/>
    <x v="0"/>
    <x v="3"/>
    <x v="3"/>
    <x v="3"/>
    <s v="REVENUS"/>
    <x v="3"/>
    <s v="4002.002"/>
    <s v="Impôt complémentaire s/fortune PP"/>
    <n v="0"/>
    <n v="86.15"/>
    <n v="4002"/>
  </r>
  <r>
    <x v="0"/>
    <x v="0"/>
    <x v="0"/>
    <x v="3"/>
    <x v="3"/>
    <x v="3"/>
    <s v="REVENUS"/>
    <x v="6"/>
    <s v="4221.003"/>
    <s v="Intérêts compensat. / acomptes en faveur du fisc"/>
    <n v="0"/>
    <n v="1.51"/>
    <n v="4221"/>
  </r>
  <r>
    <x v="0"/>
    <x v="0"/>
    <x v="0"/>
    <x v="3"/>
    <x v="3"/>
    <x v="3"/>
    <s v="REVENUS"/>
    <x v="2"/>
    <s v="4001.001"/>
    <s v="Impôt revenu"/>
    <n v="0"/>
    <n v="207.5"/>
    <n v="4001"/>
  </r>
  <r>
    <x v="0"/>
    <x v="0"/>
    <x v="0"/>
    <x v="3"/>
    <x v="3"/>
    <x v="3"/>
    <s v="REVENUS"/>
    <x v="3"/>
    <s v="4002.001"/>
    <s v="Impôt ordinaire s/fortune PP"/>
    <n v="0"/>
    <n v="431.1"/>
    <n v="4002"/>
  </r>
  <r>
    <x v="0"/>
    <x v="0"/>
    <x v="0"/>
    <x v="3"/>
    <x v="3"/>
    <x v="3"/>
    <s v="REVENUS"/>
    <x v="6"/>
    <s v="4211.001"/>
    <s v="Intérêts de retard sur factures"/>
    <n v="0"/>
    <n v="5.61"/>
    <n v="4211"/>
  </r>
  <r>
    <x v="0"/>
    <x v="0"/>
    <x v="0"/>
    <x v="3"/>
    <x v="3"/>
    <x v="3"/>
    <s v="REVENUS"/>
    <x v="5"/>
    <s v="4061.000"/>
    <s v="Impôt sur les chiens"/>
    <n v="0"/>
    <n v="6400"/>
    <n v="4061"/>
  </r>
  <r>
    <x v="0"/>
    <x v="0"/>
    <x v="0"/>
    <x v="3"/>
    <x v="3"/>
    <x v="3"/>
    <s v="REVENUS"/>
    <x v="6"/>
    <s v="4211.001"/>
    <s v="Intérêts de retard sur factures"/>
    <n v="0"/>
    <n v="0.12"/>
    <n v="4211"/>
  </r>
  <r>
    <x v="0"/>
    <x v="0"/>
    <x v="0"/>
    <x v="3"/>
    <x v="3"/>
    <x v="3"/>
    <s v="REVENUS"/>
    <x v="6"/>
    <s v="4221.003"/>
    <s v="Intérêts compensat. / acomptes en faveur du fisc"/>
    <n v="0"/>
    <n v="36.46"/>
    <n v="4221"/>
  </r>
  <r>
    <x v="0"/>
    <x v="0"/>
    <x v="0"/>
    <x v="3"/>
    <x v="3"/>
    <x v="3"/>
    <s v="REVENUS"/>
    <x v="4"/>
    <s v="4051.002"/>
    <s v="Impôt sur les donations"/>
    <n v="0"/>
    <n v="3260.4"/>
    <n v="4051"/>
  </r>
  <r>
    <x v="0"/>
    <x v="0"/>
    <x v="0"/>
    <x v="3"/>
    <x v="3"/>
    <x v="3"/>
    <s v="REVENUS"/>
    <x v="9"/>
    <s v="4031.001"/>
    <s v="Impôt sur les gains immobiliers"/>
    <n v="0"/>
    <n v="24780.9"/>
    <n v="4031"/>
  </r>
  <r>
    <x v="0"/>
    <x v="0"/>
    <x v="0"/>
    <x v="3"/>
    <x v="3"/>
    <x v="3"/>
    <s v="REVENUS"/>
    <x v="3"/>
    <s v="4002.001"/>
    <s v="Impôt ordinaire s/fortune PP"/>
    <n v="0"/>
    <n v="133.94999999999999"/>
    <n v="4002"/>
  </r>
  <r>
    <x v="0"/>
    <x v="0"/>
    <x v="0"/>
    <x v="3"/>
    <x v="3"/>
    <x v="3"/>
    <s v="REVENUS"/>
    <x v="6"/>
    <s v="4211.002"/>
    <s v="Intérêts de retard sur acomptes"/>
    <n v="0"/>
    <n v="1.95"/>
    <n v="4211"/>
  </r>
  <r>
    <x v="0"/>
    <x v="0"/>
    <x v="0"/>
    <x v="3"/>
    <x v="3"/>
    <x v="3"/>
    <s v="REVENUS"/>
    <x v="6"/>
    <s v="4221.003"/>
    <s v="Intérêts compensat. / acomptes en faveur du fisc"/>
    <n v="0"/>
    <n v="7.0000000000000007E-2"/>
    <n v="4221"/>
  </r>
  <r>
    <x v="0"/>
    <x v="0"/>
    <x v="0"/>
    <x v="3"/>
    <x v="3"/>
    <x v="3"/>
    <s v="REVENUS"/>
    <x v="2"/>
    <s v="4001.002"/>
    <s v="Impôt complément s/revenu PP"/>
    <n v="0"/>
    <n v="2306.3000000000002"/>
    <n v="4001"/>
  </r>
  <r>
    <x v="0"/>
    <x v="0"/>
    <x v="0"/>
    <x v="3"/>
    <x v="3"/>
    <x v="3"/>
    <s v="REVENUS"/>
    <x v="3"/>
    <s v="4002.002"/>
    <s v="Impôt complémentaire s/fortune PP"/>
    <n v="0"/>
    <n v="341.35"/>
    <n v="4002"/>
  </r>
  <r>
    <x v="0"/>
    <x v="0"/>
    <x v="0"/>
    <x v="3"/>
    <x v="3"/>
    <x v="3"/>
    <s v="REVENUS"/>
    <x v="4"/>
    <s v="4051.002"/>
    <s v="Impôt sur les donations"/>
    <n v="0"/>
    <n v="8267.5"/>
    <n v="4051"/>
  </r>
  <r>
    <x v="0"/>
    <x v="0"/>
    <x v="0"/>
    <x v="3"/>
    <x v="3"/>
    <x v="3"/>
    <s v="REVENUS"/>
    <x v="9"/>
    <s v="4031.002"/>
    <s v="Complément impôt sur les gains immobiliers"/>
    <n v="0"/>
    <n v="17229.3"/>
    <n v="4031"/>
  </r>
  <r>
    <x v="0"/>
    <x v="0"/>
    <x v="0"/>
    <x v="3"/>
    <x v="3"/>
    <x v="3"/>
    <s v="REVENUS"/>
    <x v="4"/>
    <s v="4051.001"/>
    <s v="Impôt sur les successions"/>
    <n v="0"/>
    <n v="23470.799999999999"/>
    <n v="4051"/>
  </r>
  <r>
    <x v="0"/>
    <x v="0"/>
    <x v="0"/>
    <x v="4"/>
    <x v="4"/>
    <x v="4"/>
    <s v="CHARGES"/>
    <x v="0"/>
    <s v="3212.004"/>
    <s v="Intérêts rémun./perçu trop tôt sur acomptes C/C"/>
    <n v="845.35"/>
    <n v="0"/>
    <n v="3212"/>
  </r>
  <r>
    <x v="0"/>
    <x v="0"/>
    <x v="0"/>
    <x v="4"/>
    <x v="4"/>
    <x v="4"/>
    <s v="CHARGES"/>
    <x v="1"/>
    <s v="3301.001"/>
    <s v="Défalcations, abandons de solde PP et IS"/>
    <n v="2304.44"/>
    <n v="0"/>
    <n v="3301"/>
  </r>
  <r>
    <x v="0"/>
    <x v="0"/>
    <x v="0"/>
    <x v="4"/>
    <x v="4"/>
    <x v="4"/>
    <s v="CHARGES"/>
    <x v="0"/>
    <s v="3212.004"/>
    <s v="Intérêts rémun./perçu trop tôt sur acomptes C/C"/>
    <n v="93.54"/>
    <n v="0"/>
    <n v="3212"/>
  </r>
  <r>
    <x v="0"/>
    <x v="0"/>
    <x v="0"/>
    <x v="4"/>
    <x v="4"/>
    <x v="4"/>
    <s v="CHARGES"/>
    <x v="0"/>
    <s v="3221.002"/>
    <s v="Intérêts compensatoires / créances en faveur ctb."/>
    <n v="92.02"/>
    <n v="0"/>
    <n v="3221"/>
  </r>
  <r>
    <x v="0"/>
    <x v="0"/>
    <x v="0"/>
    <x v="4"/>
    <x v="4"/>
    <x v="4"/>
    <s v="CHARGES"/>
    <x v="0"/>
    <s v="3212.002"/>
    <s v="Intérêts bonifiés/trop perçu acompte C/C"/>
    <n v="43.93"/>
    <n v="0"/>
    <n v="3212"/>
  </r>
  <r>
    <x v="0"/>
    <x v="0"/>
    <x v="0"/>
    <x v="4"/>
    <x v="4"/>
    <x v="4"/>
    <s v="CHARGES"/>
    <x v="0"/>
    <s v="3221.002"/>
    <s v="Intérêts compensatoires / créances en faveur ctb."/>
    <n v="201.96"/>
    <n v="0"/>
    <n v="3221"/>
  </r>
  <r>
    <x v="0"/>
    <x v="0"/>
    <x v="0"/>
    <x v="4"/>
    <x v="4"/>
    <x v="4"/>
    <s v="CHARGES"/>
    <x v="0"/>
    <s v="3212.004"/>
    <s v="Intérêts rémun./perçu trop tôt sur acomptes C/C"/>
    <n v="23.79"/>
    <n v="0"/>
    <n v="3212"/>
  </r>
  <r>
    <x v="0"/>
    <x v="0"/>
    <x v="0"/>
    <x v="4"/>
    <x v="4"/>
    <x v="4"/>
    <s v="CHARGES"/>
    <x v="0"/>
    <s v="3221.002"/>
    <s v="Intérêts compensatoires / créances en faveur ctb."/>
    <n v="19.05"/>
    <n v="0"/>
    <n v="3221"/>
  </r>
  <r>
    <x v="0"/>
    <x v="0"/>
    <x v="0"/>
    <x v="4"/>
    <x v="4"/>
    <x v="4"/>
    <s v="CHARGES"/>
    <x v="1"/>
    <s v="3301.001"/>
    <s v="Défalcations, abandons de solde PP et IS"/>
    <n v="4.96"/>
    <n v="0"/>
    <n v="3301"/>
  </r>
  <r>
    <x v="0"/>
    <x v="0"/>
    <x v="0"/>
    <x v="4"/>
    <x v="4"/>
    <x v="4"/>
    <s v="CHARGES"/>
    <x v="1"/>
    <s v="3301.001"/>
    <s v="Défalcations, abandons de solde PP et IS"/>
    <n v="8.56"/>
    <n v="0"/>
    <n v="3301"/>
  </r>
  <r>
    <x v="0"/>
    <x v="0"/>
    <x v="0"/>
    <x v="4"/>
    <x v="4"/>
    <x v="4"/>
    <s v="CHARGES"/>
    <x v="1"/>
    <s v="3301.001"/>
    <s v="Défalcations, abandons de solde PP et IS"/>
    <n v="24657.43"/>
    <n v="0"/>
    <n v="3301"/>
  </r>
  <r>
    <x v="0"/>
    <x v="0"/>
    <x v="0"/>
    <x v="4"/>
    <x v="4"/>
    <x v="4"/>
    <s v="CHARGES"/>
    <x v="0"/>
    <s v="3212.004"/>
    <s v="Intérêts rémun./perçu trop tôt sur acomptes C/C"/>
    <n v="3.69"/>
    <n v="0"/>
    <n v="3212"/>
  </r>
  <r>
    <x v="0"/>
    <x v="0"/>
    <x v="0"/>
    <x v="4"/>
    <x v="4"/>
    <x v="4"/>
    <s v="CHARGES"/>
    <x v="0"/>
    <s v="3221.002"/>
    <s v="Intérêts compensatoires / créances en faveur ctb."/>
    <n v="3.74"/>
    <n v="0"/>
    <n v="3221"/>
  </r>
  <r>
    <x v="0"/>
    <x v="0"/>
    <x v="0"/>
    <x v="4"/>
    <x v="4"/>
    <x v="4"/>
    <s v="CHARGES"/>
    <x v="0"/>
    <s v="3212.004"/>
    <s v="Intérêts rémun./perçu trop tôt sur acomptes C/C"/>
    <n v="29.44"/>
    <n v="0"/>
    <n v="3212"/>
  </r>
  <r>
    <x v="0"/>
    <x v="0"/>
    <x v="0"/>
    <x v="4"/>
    <x v="4"/>
    <x v="4"/>
    <s v="CHARGES"/>
    <x v="0"/>
    <s v="3221.002"/>
    <s v="Intérêts compensatoires / créances en faveur ctb."/>
    <n v="21.86"/>
    <n v="0"/>
    <n v="3221"/>
  </r>
  <r>
    <x v="0"/>
    <x v="0"/>
    <x v="0"/>
    <x v="4"/>
    <x v="4"/>
    <x v="4"/>
    <s v="CHARGES"/>
    <x v="1"/>
    <s v="3301.001"/>
    <s v="Défalcations, abandons de solde PP et IS"/>
    <n v="8.7200000000000006"/>
    <n v="0"/>
    <n v="3301"/>
  </r>
  <r>
    <x v="0"/>
    <x v="0"/>
    <x v="0"/>
    <x v="4"/>
    <x v="4"/>
    <x v="4"/>
    <s v="CHARGES"/>
    <x v="0"/>
    <s v="3212.004"/>
    <s v="Intérêts rémun./perçu trop tôt sur acomptes C/C"/>
    <n v="5.17"/>
    <n v="0"/>
    <n v="3212"/>
  </r>
  <r>
    <x v="0"/>
    <x v="0"/>
    <x v="0"/>
    <x v="4"/>
    <x v="4"/>
    <x v="4"/>
    <s v="CHARGES"/>
    <x v="0"/>
    <s v="3221.002"/>
    <s v="Intérêts compensatoires / créances en faveur ctb."/>
    <n v="2.11"/>
    <n v="0"/>
    <n v="3221"/>
  </r>
  <r>
    <x v="0"/>
    <x v="0"/>
    <x v="0"/>
    <x v="4"/>
    <x v="4"/>
    <x v="4"/>
    <s v="CHARGES"/>
    <x v="0"/>
    <s v="3212.002"/>
    <s v="Intérêts bonifiés/trop perçu acompte C/C"/>
    <n v="0.01"/>
    <n v="0"/>
    <n v="3212"/>
  </r>
  <r>
    <x v="0"/>
    <x v="0"/>
    <x v="0"/>
    <x v="4"/>
    <x v="4"/>
    <x v="4"/>
    <s v="CHARGES"/>
    <x v="0"/>
    <s v="3212.002"/>
    <s v="Intérêts bonifiés/trop perçu acompte C/C"/>
    <n v="0.35"/>
    <n v="0"/>
    <n v="3212"/>
  </r>
  <r>
    <x v="0"/>
    <x v="0"/>
    <x v="0"/>
    <x v="4"/>
    <x v="4"/>
    <x v="4"/>
    <s v="CHARGES"/>
    <x v="0"/>
    <s v="3221.002"/>
    <s v="Intérêts compensatoires / créances en faveur ctb."/>
    <n v="-0.02"/>
    <n v="0"/>
    <n v="3221"/>
  </r>
  <r>
    <x v="0"/>
    <x v="0"/>
    <x v="0"/>
    <x v="4"/>
    <x v="4"/>
    <x v="4"/>
    <s v="CHARGES"/>
    <x v="1"/>
    <s v="3301.001"/>
    <s v="Défalcations, abandons de solde PP et IS"/>
    <n v="2.68"/>
    <n v="0"/>
    <n v="3301"/>
  </r>
  <r>
    <x v="0"/>
    <x v="0"/>
    <x v="0"/>
    <x v="4"/>
    <x v="4"/>
    <x v="4"/>
    <s v="CHARGES"/>
    <x v="0"/>
    <s v="3212.002"/>
    <s v="Intérêts bonifiés/trop perçu acompte C/C"/>
    <n v="-0.02"/>
    <n v="0"/>
    <n v="3212"/>
  </r>
  <r>
    <x v="0"/>
    <x v="0"/>
    <x v="0"/>
    <x v="4"/>
    <x v="4"/>
    <x v="4"/>
    <s v="CHARGES"/>
    <x v="0"/>
    <s v="3212.004"/>
    <s v="Intérêts rémun./perçu trop tôt sur acomptes C/C"/>
    <n v="-0.02"/>
    <n v="0"/>
    <n v="3212"/>
  </r>
  <r>
    <x v="0"/>
    <x v="0"/>
    <x v="0"/>
    <x v="4"/>
    <x v="4"/>
    <x v="4"/>
    <s v="CHARGES"/>
    <x v="0"/>
    <s v="3221.002"/>
    <s v="Intérêts compensatoires / créances en faveur ctb."/>
    <n v="-0.06"/>
    <n v="0"/>
    <n v="3221"/>
  </r>
  <r>
    <x v="0"/>
    <x v="0"/>
    <x v="0"/>
    <x v="4"/>
    <x v="4"/>
    <x v="4"/>
    <s v="CHARGES"/>
    <x v="1"/>
    <s v="3301.001"/>
    <s v="Défalcations, abandons de solde PP et IS"/>
    <n v="-7.0000000000000007E-2"/>
    <n v="0"/>
    <n v="3301"/>
  </r>
  <r>
    <x v="0"/>
    <x v="0"/>
    <x v="0"/>
    <x v="4"/>
    <x v="4"/>
    <x v="4"/>
    <s v="CHARGES"/>
    <x v="1"/>
    <s v="3301.001"/>
    <s v="Défalcations, abandons de solde PP et IS"/>
    <n v="0.08"/>
    <n v="0"/>
    <n v="3301"/>
  </r>
  <r>
    <x v="0"/>
    <x v="0"/>
    <x v="0"/>
    <x v="4"/>
    <x v="4"/>
    <x v="4"/>
    <s v="CHARGES"/>
    <x v="0"/>
    <s v="3212.004"/>
    <s v="Intérêts rémun./perçu trop tôt sur acomptes C/C"/>
    <n v="3.08"/>
    <n v="0"/>
    <n v="3212"/>
  </r>
  <r>
    <x v="0"/>
    <x v="0"/>
    <x v="0"/>
    <x v="4"/>
    <x v="4"/>
    <x v="4"/>
    <s v="CHARGES"/>
    <x v="0"/>
    <s v="3221.002"/>
    <s v="Intérêts compensatoires / créances en faveur ctb."/>
    <n v="0.94"/>
    <n v="0"/>
    <n v="3221"/>
  </r>
  <r>
    <x v="0"/>
    <x v="0"/>
    <x v="0"/>
    <x v="4"/>
    <x v="4"/>
    <x v="4"/>
    <s v="CHARGES"/>
    <x v="0"/>
    <s v="3212.004"/>
    <s v="Intérêts rémun./perçu trop tôt sur acomptes C/C"/>
    <n v="0.02"/>
    <n v="0"/>
    <n v="3212"/>
  </r>
  <r>
    <x v="0"/>
    <x v="0"/>
    <x v="0"/>
    <x v="4"/>
    <x v="4"/>
    <x v="4"/>
    <s v="CHARGES"/>
    <x v="1"/>
    <s v="3301.001"/>
    <s v="Défalcations, abandons de solde PP et IS"/>
    <n v="121.41"/>
    <n v="0"/>
    <n v="3301"/>
  </r>
  <r>
    <x v="0"/>
    <x v="0"/>
    <x v="0"/>
    <x v="4"/>
    <x v="4"/>
    <x v="4"/>
    <s v="CHARGES"/>
    <x v="0"/>
    <s v="3212.004"/>
    <s v="Intérêts rémun./perçu trop tôt sur acomptes C/C"/>
    <n v="0.06"/>
    <n v="0"/>
    <n v="3212"/>
  </r>
  <r>
    <x v="0"/>
    <x v="0"/>
    <x v="0"/>
    <x v="4"/>
    <x v="4"/>
    <x v="4"/>
    <s v="CHARGES"/>
    <x v="0"/>
    <s v="3221.002"/>
    <s v="Intérêts compensatoires / créances en faveur ctb."/>
    <n v="0.05"/>
    <n v="0"/>
    <n v="3221"/>
  </r>
  <r>
    <x v="0"/>
    <x v="0"/>
    <x v="0"/>
    <x v="4"/>
    <x v="4"/>
    <x v="4"/>
    <s v="CHARGES"/>
    <x v="0"/>
    <s v="3212.002"/>
    <s v="Intérêts bonifiés/trop perçu acompte C/C"/>
    <n v="0.02"/>
    <n v="0"/>
    <n v="3212"/>
  </r>
  <r>
    <x v="0"/>
    <x v="0"/>
    <x v="0"/>
    <x v="4"/>
    <x v="4"/>
    <x v="4"/>
    <s v="REVENUS"/>
    <x v="2"/>
    <s v="4001.001"/>
    <s v="Impôt revenu"/>
    <n v="0"/>
    <n v="2105588.4"/>
    <n v="4001"/>
  </r>
  <r>
    <x v="0"/>
    <x v="0"/>
    <x v="0"/>
    <x v="4"/>
    <x v="4"/>
    <x v="4"/>
    <s v="REVENUS"/>
    <x v="2"/>
    <s v="4001.007"/>
    <s v="Acompte impôt sur revenu"/>
    <n v="0"/>
    <n v="42013.3"/>
    <n v="4001"/>
  </r>
  <r>
    <x v="0"/>
    <x v="0"/>
    <x v="0"/>
    <x v="4"/>
    <x v="4"/>
    <x v="4"/>
    <s v="REVENUS"/>
    <x v="3"/>
    <s v="4002.001"/>
    <s v="Impôt ordinaire s/fortune PP"/>
    <n v="0"/>
    <n v="831739.95"/>
    <n v="4002"/>
  </r>
  <r>
    <x v="0"/>
    <x v="0"/>
    <x v="0"/>
    <x v="4"/>
    <x v="4"/>
    <x v="4"/>
    <s v="REVENUS"/>
    <x v="3"/>
    <s v="4002.007"/>
    <s v="Acompte impôt sur fortune"/>
    <n v="0"/>
    <n v="12557.75"/>
    <n v="4002"/>
  </r>
  <r>
    <x v="0"/>
    <x v="0"/>
    <x v="0"/>
    <x v="4"/>
    <x v="4"/>
    <x v="4"/>
    <s v="REVENUS"/>
    <x v="6"/>
    <s v="4211.001"/>
    <s v="Intérêts de retard sur factures"/>
    <n v="0"/>
    <n v="12342.35"/>
    <n v="4211"/>
  </r>
  <r>
    <x v="0"/>
    <x v="0"/>
    <x v="0"/>
    <x v="4"/>
    <x v="4"/>
    <x v="4"/>
    <s v="REVENUS"/>
    <x v="6"/>
    <s v="4211.002"/>
    <s v="Intérêts de retard sur acomptes"/>
    <n v="0"/>
    <n v="19505.560000000001"/>
    <n v="4211"/>
  </r>
  <r>
    <x v="0"/>
    <x v="0"/>
    <x v="0"/>
    <x v="4"/>
    <x v="4"/>
    <x v="4"/>
    <s v="REVENUS"/>
    <x v="3"/>
    <s v="4002.007"/>
    <s v="Acompte impôt sur fortune"/>
    <n v="0"/>
    <n v="3968.61"/>
    <n v="4002"/>
  </r>
  <r>
    <x v="0"/>
    <x v="0"/>
    <x v="0"/>
    <x v="4"/>
    <x v="4"/>
    <x v="4"/>
    <s v="REVENUS"/>
    <x v="2"/>
    <s v="4001.007"/>
    <s v="Acompte impôt sur revenu"/>
    <n v="0"/>
    <n v="-73052.81"/>
    <n v="4001"/>
  </r>
  <r>
    <x v="0"/>
    <x v="0"/>
    <x v="0"/>
    <x v="4"/>
    <x v="4"/>
    <x v="4"/>
    <s v="REVENUS"/>
    <x v="3"/>
    <s v="4002.001"/>
    <s v="Impôt ordinaire s/fortune PP"/>
    <n v="0"/>
    <n v="100695.6"/>
    <n v="4002"/>
  </r>
  <r>
    <x v="0"/>
    <x v="0"/>
    <x v="0"/>
    <x v="4"/>
    <x v="4"/>
    <x v="4"/>
    <s v="REVENUS"/>
    <x v="3"/>
    <s v="4002.007"/>
    <s v="Acompte impôt sur fortune"/>
    <n v="0"/>
    <n v="-34726.33"/>
    <n v="4002"/>
  </r>
  <r>
    <x v="0"/>
    <x v="0"/>
    <x v="0"/>
    <x v="4"/>
    <x v="4"/>
    <x v="4"/>
    <s v="REVENUS"/>
    <x v="7"/>
    <s v="4184.000"/>
    <s v="Frais de poursuite"/>
    <n v="0"/>
    <n v="1719.36"/>
    <n v="4184"/>
  </r>
  <r>
    <x v="0"/>
    <x v="0"/>
    <x v="0"/>
    <x v="4"/>
    <x v="4"/>
    <x v="4"/>
    <s v="REVENUS"/>
    <x v="2"/>
    <s v="4001.001"/>
    <s v="Impôt revenu"/>
    <n v="0"/>
    <n v="133781.70000000001"/>
    <n v="4001"/>
  </r>
  <r>
    <x v="0"/>
    <x v="0"/>
    <x v="0"/>
    <x v="4"/>
    <x v="4"/>
    <x v="4"/>
    <s v="REVENUS"/>
    <x v="2"/>
    <s v="4001.007"/>
    <s v="Acompte impôt sur revenu"/>
    <n v="0"/>
    <n v="-2109.37"/>
    <n v="4001"/>
  </r>
  <r>
    <x v="0"/>
    <x v="0"/>
    <x v="0"/>
    <x v="4"/>
    <x v="4"/>
    <x v="4"/>
    <s v="REVENUS"/>
    <x v="3"/>
    <s v="4002.007"/>
    <s v="Acompte impôt sur fortune"/>
    <n v="0"/>
    <n v="2429.1"/>
    <n v="4002"/>
  </r>
  <r>
    <x v="0"/>
    <x v="0"/>
    <x v="0"/>
    <x v="4"/>
    <x v="4"/>
    <x v="4"/>
    <s v="REVENUS"/>
    <x v="2"/>
    <s v="4001.007"/>
    <s v="Acompte impôt sur revenu"/>
    <n v="0"/>
    <n v="-10101.57"/>
    <n v="4001"/>
  </r>
  <r>
    <x v="0"/>
    <x v="0"/>
    <x v="0"/>
    <x v="4"/>
    <x v="4"/>
    <x v="4"/>
    <s v="REVENUS"/>
    <x v="3"/>
    <s v="4002.001"/>
    <s v="Impôt ordinaire s/fortune PP"/>
    <n v="0"/>
    <n v="33762"/>
    <n v="4002"/>
  </r>
  <r>
    <x v="0"/>
    <x v="0"/>
    <x v="0"/>
    <x v="4"/>
    <x v="4"/>
    <x v="4"/>
    <s v="REVENUS"/>
    <x v="3"/>
    <s v="4002.007"/>
    <s v="Acompte impôt sur fortune"/>
    <n v="0"/>
    <n v="8173.7"/>
    <n v="4002"/>
  </r>
  <r>
    <x v="0"/>
    <x v="0"/>
    <x v="0"/>
    <x v="4"/>
    <x v="4"/>
    <x v="4"/>
    <s v="REVENUS"/>
    <x v="7"/>
    <s v="4184.000"/>
    <s v="Frais de poursuite"/>
    <n v="0"/>
    <n v="1797.62"/>
    <n v="4184"/>
  </r>
  <r>
    <x v="0"/>
    <x v="0"/>
    <x v="0"/>
    <x v="4"/>
    <x v="4"/>
    <x v="4"/>
    <s v="REVENUS"/>
    <x v="3"/>
    <s v="4002.001"/>
    <s v="Impôt ordinaire s/fortune PP"/>
    <n v="0"/>
    <n v="9125"/>
    <n v="4002"/>
  </r>
  <r>
    <x v="0"/>
    <x v="0"/>
    <x v="0"/>
    <x v="4"/>
    <x v="4"/>
    <x v="4"/>
    <s v="REVENUS"/>
    <x v="3"/>
    <s v="4002.007"/>
    <s v="Acompte impôt sur fortune"/>
    <n v="0"/>
    <n v="2052.16"/>
    <n v="4002"/>
  </r>
  <r>
    <x v="0"/>
    <x v="0"/>
    <x v="0"/>
    <x v="4"/>
    <x v="4"/>
    <x v="4"/>
    <s v="REVENUS"/>
    <x v="2"/>
    <s v="4001.002"/>
    <s v="Impôt complément s/revenu PP"/>
    <n v="0"/>
    <n v="392538.35"/>
    <n v="4001"/>
  </r>
  <r>
    <x v="0"/>
    <x v="0"/>
    <x v="0"/>
    <x v="4"/>
    <x v="4"/>
    <x v="4"/>
    <s v="REVENUS"/>
    <x v="3"/>
    <s v="4002.002"/>
    <s v="Impôt complémentaire s/fortune PP"/>
    <n v="0"/>
    <n v="89548.800000000003"/>
    <n v="4002"/>
  </r>
  <r>
    <x v="0"/>
    <x v="0"/>
    <x v="0"/>
    <x v="4"/>
    <x v="4"/>
    <x v="4"/>
    <s v="REVENUS"/>
    <x v="13"/>
    <s v="4371.013"/>
    <s v="Amende soustraction LMSD"/>
    <n v="0"/>
    <n v="29896.9"/>
    <n v="4371"/>
  </r>
  <r>
    <x v="0"/>
    <x v="0"/>
    <x v="0"/>
    <x v="4"/>
    <x v="4"/>
    <x v="4"/>
    <s v="REVENUS"/>
    <x v="6"/>
    <s v="4211.002"/>
    <s v="Intérêts de retard sur acomptes"/>
    <n v="0"/>
    <n v="548.4"/>
    <n v="4211"/>
  </r>
  <r>
    <x v="0"/>
    <x v="0"/>
    <x v="0"/>
    <x v="4"/>
    <x v="4"/>
    <x v="4"/>
    <s v="REVENUS"/>
    <x v="9"/>
    <s v="4031.001"/>
    <s v="Impôt sur les gains immobiliers"/>
    <n v="0"/>
    <n v="252451.85"/>
    <n v="4031"/>
  </r>
  <r>
    <x v="0"/>
    <x v="0"/>
    <x v="0"/>
    <x v="4"/>
    <x v="4"/>
    <x v="4"/>
    <s v="REVENUS"/>
    <x v="6"/>
    <s v="4221.002"/>
    <s v="Intérêts compensat. sur impôts distincts"/>
    <n v="0"/>
    <n v="8.1"/>
    <n v="4221"/>
  </r>
  <r>
    <x v="0"/>
    <x v="0"/>
    <x v="0"/>
    <x v="4"/>
    <x v="4"/>
    <x v="4"/>
    <s v="REVENUS"/>
    <x v="2"/>
    <s v="4001.003"/>
    <s v="Impôt s/prest. cap. PP"/>
    <n v="0"/>
    <n v="80936.899999999994"/>
    <n v="4001"/>
  </r>
  <r>
    <x v="0"/>
    <x v="0"/>
    <x v="0"/>
    <x v="4"/>
    <x v="4"/>
    <x v="4"/>
    <s v="REVENUS"/>
    <x v="6"/>
    <s v="4221.003"/>
    <s v="Intérêts compensat. / acomptes en faveur du fisc"/>
    <n v="0"/>
    <n v="255.6"/>
    <n v="4221"/>
  </r>
  <r>
    <x v="0"/>
    <x v="0"/>
    <x v="0"/>
    <x v="4"/>
    <x v="4"/>
    <x v="4"/>
    <s v="REVENUS"/>
    <x v="2"/>
    <s v="4001.001"/>
    <s v="Impôt revenu"/>
    <n v="0"/>
    <n v="6644.1"/>
    <n v="4001"/>
  </r>
  <r>
    <x v="0"/>
    <x v="0"/>
    <x v="0"/>
    <x v="4"/>
    <x v="4"/>
    <x v="4"/>
    <s v="REVENUS"/>
    <x v="2"/>
    <s v="4001.007"/>
    <s v="Acompte impôt sur revenu"/>
    <n v="0"/>
    <n v="776.46"/>
    <n v="4001"/>
  </r>
  <r>
    <x v="0"/>
    <x v="0"/>
    <x v="0"/>
    <x v="4"/>
    <x v="4"/>
    <x v="4"/>
    <s v="REVENUS"/>
    <x v="3"/>
    <s v="4002.001"/>
    <s v="Impôt ordinaire s/fortune PP"/>
    <n v="0"/>
    <n v="8619.15"/>
    <n v="4002"/>
  </r>
  <r>
    <x v="0"/>
    <x v="0"/>
    <x v="0"/>
    <x v="4"/>
    <x v="4"/>
    <x v="4"/>
    <s v="REVENUS"/>
    <x v="6"/>
    <s v="4211.002"/>
    <s v="Intérêts de retard sur acomptes"/>
    <n v="0"/>
    <n v="205.41"/>
    <n v="4211"/>
  </r>
  <r>
    <x v="0"/>
    <x v="0"/>
    <x v="0"/>
    <x v="4"/>
    <x v="4"/>
    <x v="4"/>
    <s v="REVENUS"/>
    <x v="6"/>
    <s v="4221.003"/>
    <s v="Intérêts compensat. / acomptes en faveur du fisc"/>
    <n v="0"/>
    <n v="4.5"/>
    <n v="4221"/>
  </r>
  <r>
    <x v="0"/>
    <x v="0"/>
    <x v="0"/>
    <x v="4"/>
    <x v="4"/>
    <x v="4"/>
    <s v="REVENUS"/>
    <x v="3"/>
    <s v="4002.001"/>
    <s v="Impôt ordinaire s/fortune PP"/>
    <n v="0"/>
    <n v="53894.85"/>
    <n v="4002"/>
  </r>
  <r>
    <x v="0"/>
    <x v="0"/>
    <x v="0"/>
    <x v="4"/>
    <x v="4"/>
    <x v="4"/>
    <s v="REVENUS"/>
    <x v="6"/>
    <s v="4211.002"/>
    <s v="Intérêts de retard sur acomptes"/>
    <n v="0"/>
    <n v="511.34"/>
    <n v="4211"/>
  </r>
  <r>
    <x v="0"/>
    <x v="0"/>
    <x v="0"/>
    <x v="4"/>
    <x v="4"/>
    <x v="4"/>
    <s v="REVENUS"/>
    <x v="6"/>
    <s v="4221.003"/>
    <s v="Intérêts compensat. / acomptes en faveur du fisc"/>
    <n v="0"/>
    <n v="17.010000000000002"/>
    <n v="4221"/>
  </r>
  <r>
    <x v="0"/>
    <x v="0"/>
    <x v="0"/>
    <x v="4"/>
    <x v="4"/>
    <x v="4"/>
    <s v="REVENUS"/>
    <x v="2"/>
    <s v="4001.001"/>
    <s v="Impôt revenu"/>
    <n v="0"/>
    <n v="31481.05"/>
    <n v="4001"/>
  </r>
  <r>
    <x v="0"/>
    <x v="0"/>
    <x v="0"/>
    <x v="4"/>
    <x v="4"/>
    <x v="4"/>
    <s v="REVENUS"/>
    <x v="6"/>
    <s v="4221.003"/>
    <s v="Intérêts compensat. / acomptes en faveur du fisc"/>
    <n v="0"/>
    <n v="5.92"/>
    <n v="4221"/>
  </r>
  <r>
    <x v="0"/>
    <x v="0"/>
    <x v="0"/>
    <x v="4"/>
    <x v="4"/>
    <x v="4"/>
    <s v="REVENUS"/>
    <x v="2"/>
    <s v="4001.001"/>
    <s v="Impôt revenu"/>
    <n v="0"/>
    <n v="6561.55"/>
    <n v="4001"/>
  </r>
  <r>
    <x v="0"/>
    <x v="0"/>
    <x v="0"/>
    <x v="4"/>
    <x v="4"/>
    <x v="4"/>
    <s v="REVENUS"/>
    <x v="7"/>
    <s v="4184.000"/>
    <s v="Frais de poursuite"/>
    <n v="0"/>
    <n v="62.03"/>
    <n v="4184"/>
  </r>
  <r>
    <x v="0"/>
    <x v="0"/>
    <x v="0"/>
    <x v="4"/>
    <x v="4"/>
    <x v="4"/>
    <s v="REVENUS"/>
    <x v="2"/>
    <s v="4001.007"/>
    <s v="Acompte impôt sur revenu"/>
    <n v="0"/>
    <n v="-199.9"/>
    <n v="4001"/>
  </r>
  <r>
    <x v="0"/>
    <x v="0"/>
    <x v="0"/>
    <x v="4"/>
    <x v="4"/>
    <x v="4"/>
    <s v="REVENUS"/>
    <x v="6"/>
    <s v="4221.003"/>
    <s v="Intérêts compensat. / acomptes en faveur du fisc"/>
    <n v="0"/>
    <n v="23.24"/>
    <n v="4221"/>
  </r>
  <r>
    <x v="0"/>
    <x v="0"/>
    <x v="0"/>
    <x v="4"/>
    <x v="4"/>
    <x v="4"/>
    <s v="REVENUS"/>
    <x v="2"/>
    <s v="4001.002"/>
    <s v="Impôt complément s/revenu PP"/>
    <n v="0"/>
    <n v="27584.95"/>
    <n v="4001"/>
  </r>
  <r>
    <x v="0"/>
    <x v="0"/>
    <x v="0"/>
    <x v="4"/>
    <x v="4"/>
    <x v="4"/>
    <s v="REVENUS"/>
    <x v="3"/>
    <s v="4002.002"/>
    <s v="Impôt complémentaire s/fortune PP"/>
    <n v="0"/>
    <n v="20985.200000000001"/>
    <n v="4002"/>
  </r>
  <r>
    <x v="0"/>
    <x v="0"/>
    <x v="0"/>
    <x v="4"/>
    <x v="4"/>
    <x v="4"/>
    <s v="REVENUS"/>
    <x v="6"/>
    <s v="4211.001"/>
    <s v="Intérêts de retard sur factures"/>
    <n v="0"/>
    <n v="200.12"/>
    <n v="4211"/>
  </r>
  <r>
    <x v="0"/>
    <x v="0"/>
    <x v="0"/>
    <x v="4"/>
    <x v="4"/>
    <x v="4"/>
    <s v="REVENUS"/>
    <x v="2"/>
    <s v="4001.001"/>
    <s v="Impôt revenu"/>
    <n v="0"/>
    <n v="25605"/>
    <n v="4001"/>
  </r>
  <r>
    <x v="0"/>
    <x v="0"/>
    <x v="0"/>
    <x v="4"/>
    <x v="4"/>
    <x v="4"/>
    <s v="REVENUS"/>
    <x v="3"/>
    <s v="4002.002"/>
    <s v="Impôt complémentaire s/fortune PP"/>
    <n v="0"/>
    <n v="612.75"/>
    <n v="4002"/>
  </r>
  <r>
    <x v="0"/>
    <x v="0"/>
    <x v="0"/>
    <x v="4"/>
    <x v="4"/>
    <x v="4"/>
    <s v="REVENUS"/>
    <x v="6"/>
    <s v="4211.001"/>
    <s v="Intérêts de retard sur factures"/>
    <n v="0"/>
    <n v="5.37"/>
    <n v="4211"/>
  </r>
  <r>
    <x v="0"/>
    <x v="0"/>
    <x v="0"/>
    <x v="4"/>
    <x v="4"/>
    <x v="4"/>
    <s v="REVENUS"/>
    <x v="6"/>
    <s v="4211.002"/>
    <s v="Intérêts de retard sur acomptes"/>
    <n v="0"/>
    <n v="24.13"/>
    <n v="4211"/>
  </r>
  <r>
    <x v="0"/>
    <x v="0"/>
    <x v="0"/>
    <x v="4"/>
    <x v="4"/>
    <x v="4"/>
    <s v="REVENUS"/>
    <x v="2"/>
    <s v="4001.002"/>
    <s v="Impôt complément s/revenu PP"/>
    <n v="0"/>
    <n v="26718.5"/>
    <n v="4001"/>
  </r>
  <r>
    <x v="0"/>
    <x v="0"/>
    <x v="0"/>
    <x v="4"/>
    <x v="4"/>
    <x v="4"/>
    <s v="REVENUS"/>
    <x v="3"/>
    <s v="4002.002"/>
    <s v="Impôt complémentaire s/fortune PP"/>
    <n v="0"/>
    <n v="25180.35"/>
    <n v="4002"/>
  </r>
  <r>
    <x v="0"/>
    <x v="0"/>
    <x v="0"/>
    <x v="4"/>
    <x v="4"/>
    <x v="4"/>
    <s v="REVENUS"/>
    <x v="6"/>
    <s v="4211.001"/>
    <s v="Intérêts de retard sur factures"/>
    <n v="0"/>
    <n v="588.74"/>
    <n v="4211"/>
  </r>
  <r>
    <x v="0"/>
    <x v="0"/>
    <x v="0"/>
    <x v="4"/>
    <x v="4"/>
    <x v="4"/>
    <s v="REVENUS"/>
    <x v="12"/>
    <s v="4004.007"/>
    <s v="Acompte spécial étrangers"/>
    <n v="0"/>
    <n v="10214.049999999999"/>
    <n v="4004"/>
  </r>
  <r>
    <x v="0"/>
    <x v="0"/>
    <x v="0"/>
    <x v="4"/>
    <x v="4"/>
    <x v="4"/>
    <s v="REVENUS"/>
    <x v="6"/>
    <s v="4211.001"/>
    <s v="Intérêts de retard sur factures"/>
    <n v="0"/>
    <n v="9.35"/>
    <n v="4211"/>
  </r>
  <r>
    <x v="0"/>
    <x v="0"/>
    <x v="0"/>
    <x v="4"/>
    <x v="4"/>
    <x v="4"/>
    <s v="REVENUS"/>
    <x v="2"/>
    <s v="4001.002"/>
    <s v="Impôt complément s/revenu PP"/>
    <n v="0"/>
    <n v="10041.450000000001"/>
    <n v="4001"/>
  </r>
  <r>
    <x v="0"/>
    <x v="0"/>
    <x v="0"/>
    <x v="4"/>
    <x v="4"/>
    <x v="4"/>
    <s v="REVENUS"/>
    <x v="3"/>
    <s v="4002.002"/>
    <s v="Impôt complémentaire s/fortune PP"/>
    <n v="0"/>
    <n v="5203.1499999999996"/>
    <n v="4002"/>
  </r>
  <r>
    <x v="0"/>
    <x v="0"/>
    <x v="0"/>
    <x v="4"/>
    <x v="4"/>
    <x v="4"/>
    <s v="REVENUS"/>
    <x v="6"/>
    <s v="4211.002"/>
    <s v="Intérêts de retard sur acomptes"/>
    <n v="0"/>
    <n v="201.6"/>
    <n v="4211"/>
  </r>
  <r>
    <x v="0"/>
    <x v="0"/>
    <x v="0"/>
    <x v="4"/>
    <x v="4"/>
    <x v="4"/>
    <s v="REVENUS"/>
    <x v="2"/>
    <s v="4001.007"/>
    <s v="Acompte impôt sur revenu"/>
    <n v="0"/>
    <n v="-4501.33"/>
    <n v="4001"/>
  </r>
  <r>
    <x v="0"/>
    <x v="0"/>
    <x v="0"/>
    <x v="4"/>
    <x v="4"/>
    <x v="4"/>
    <s v="REVENUS"/>
    <x v="3"/>
    <s v="4002.007"/>
    <s v="Acompte impôt sur fortune"/>
    <n v="0"/>
    <n v="-10567.71"/>
    <n v="4002"/>
  </r>
  <r>
    <x v="0"/>
    <x v="0"/>
    <x v="0"/>
    <x v="4"/>
    <x v="4"/>
    <x v="4"/>
    <s v="REVENUS"/>
    <x v="2"/>
    <s v="4001.001"/>
    <s v="Impôt revenu"/>
    <n v="0"/>
    <n v="-796.2"/>
    <n v="4001"/>
  </r>
  <r>
    <x v="0"/>
    <x v="0"/>
    <x v="0"/>
    <x v="4"/>
    <x v="4"/>
    <x v="4"/>
    <s v="REVENUS"/>
    <x v="3"/>
    <s v="4002.001"/>
    <s v="Impôt ordinaire s/fortune PP"/>
    <n v="0"/>
    <n v="-5003.3999999999996"/>
    <n v="4002"/>
  </r>
  <r>
    <x v="0"/>
    <x v="0"/>
    <x v="0"/>
    <x v="4"/>
    <x v="4"/>
    <x v="4"/>
    <s v="REVENUS"/>
    <x v="6"/>
    <s v="4221.003"/>
    <s v="Intérêts compensat. / acomptes en faveur du fisc"/>
    <n v="0"/>
    <n v="-0.01"/>
    <n v="4221"/>
  </r>
  <r>
    <x v="0"/>
    <x v="0"/>
    <x v="0"/>
    <x v="4"/>
    <x v="4"/>
    <x v="4"/>
    <s v="REVENUS"/>
    <x v="6"/>
    <s v="4221.003"/>
    <s v="Intérêts compensat. / acomptes en faveur du fisc"/>
    <n v="0"/>
    <n v="0.85"/>
    <n v="4221"/>
  </r>
  <r>
    <x v="0"/>
    <x v="0"/>
    <x v="0"/>
    <x v="4"/>
    <x v="4"/>
    <x v="4"/>
    <s v="REVENUS"/>
    <x v="3"/>
    <s v="4002.007"/>
    <s v="Acompte impôt sur fortune"/>
    <n v="0"/>
    <n v="-1077.53"/>
    <n v="4002"/>
  </r>
  <r>
    <x v="0"/>
    <x v="0"/>
    <x v="0"/>
    <x v="4"/>
    <x v="4"/>
    <x v="4"/>
    <s v="REVENUS"/>
    <x v="2"/>
    <s v="4001.007"/>
    <s v="Acompte impôt sur revenu"/>
    <n v="0"/>
    <n v="-715.13"/>
    <n v="4001"/>
  </r>
  <r>
    <x v="0"/>
    <x v="0"/>
    <x v="0"/>
    <x v="4"/>
    <x v="4"/>
    <x v="4"/>
    <s v="REVENUS"/>
    <x v="3"/>
    <s v="4002.007"/>
    <s v="Acompte impôt sur fortune"/>
    <n v="0"/>
    <n v="-78.13"/>
    <n v="4002"/>
  </r>
  <r>
    <x v="0"/>
    <x v="0"/>
    <x v="0"/>
    <x v="4"/>
    <x v="4"/>
    <x v="4"/>
    <s v="REVENUS"/>
    <x v="2"/>
    <s v="4001.001"/>
    <s v="Impôt revenu"/>
    <n v="0"/>
    <n v="-1203.9000000000001"/>
    <n v="4001"/>
  </r>
  <r>
    <x v="0"/>
    <x v="0"/>
    <x v="0"/>
    <x v="4"/>
    <x v="4"/>
    <x v="4"/>
    <s v="REVENUS"/>
    <x v="3"/>
    <s v="4002.001"/>
    <s v="Impôt ordinaire s/fortune PP"/>
    <n v="0"/>
    <n v="-1644.85"/>
    <n v="4002"/>
  </r>
  <r>
    <x v="0"/>
    <x v="0"/>
    <x v="0"/>
    <x v="4"/>
    <x v="4"/>
    <x v="4"/>
    <s v="REVENUS"/>
    <x v="2"/>
    <s v="4001.002"/>
    <s v="Impôt complément s/revenu PP"/>
    <n v="0"/>
    <n v="17125.650000000001"/>
    <n v="4001"/>
  </r>
  <r>
    <x v="0"/>
    <x v="0"/>
    <x v="0"/>
    <x v="4"/>
    <x v="4"/>
    <x v="4"/>
    <s v="REVENUS"/>
    <x v="3"/>
    <s v="4002.002"/>
    <s v="Impôt complémentaire s/fortune PP"/>
    <n v="0"/>
    <n v="13552.6"/>
    <n v="4002"/>
  </r>
  <r>
    <x v="0"/>
    <x v="0"/>
    <x v="0"/>
    <x v="4"/>
    <x v="4"/>
    <x v="4"/>
    <s v="REVENUS"/>
    <x v="6"/>
    <s v="4211.001"/>
    <s v="Intérêts de retard sur factures"/>
    <n v="0"/>
    <n v="44.9"/>
    <n v="4211"/>
  </r>
  <r>
    <x v="0"/>
    <x v="0"/>
    <x v="0"/>
    <x v="4"/>
    <x v="4"/>
    <x v="4"/>
    <s v="REVENUS"/>
    <x v="3"/>
    <s v="4002.001"/>
    <s v="Impôt ordinaire s/fortune PP"/>
    <n v="0"/>
    <n v="203.6"/>
    <n v="4002"/>
  </r>
  <r>
    <x v="0"/>
    <x v="0"/>
    <x v="0"/>
    <x v="4"/>
    <x v="4"/>
    <x v="4"/>
    <s v="REVENUS"/>
    <x v="6"/>
    <s v="4221.003"/>
    <s v="Intérêts compensat. / acomptes en faveur du fisc"/>
    <n v="0"/>
    <n v="0.03"/>
    <n v="4221"/>
  </r>
  <r>
    <x v="0"/>
    <x v="0"/>
    <x v="0"/>
    <x v="4"/>
    <x v="4"/>
    <x v="4"/>
    <s v="REVENUS"/>
    <x v="2"/>
    <s v="4001.002"/>
    <s v="Impôt complément s/revenu PP"/>
    <n v="0"/>
    <n v="8496.1"/>
    <n v="4001"/>
  </r>
  <r>
    <x v="0"/>
    <x v="0"/>
    <x v="0"/>
    <x v="4"/>
    <x v="4"/>
    <x v="4"/>
    <s v="REVENUS"/>
    <x v="2"/>
    <s v="4001.007"/>
    <s v="Acompte impôt sur revenu"/>
    <n v="0"/>
    <n v="-1025.9100000000001"/>
    <n v="4001"/>
  </r>
  <r>
    <x v="0"/>
    <x v="0"/>
    <x v="0"/>
    <x v="4"/>
    <x v="4"/>
    <x v="4"/>
    <s v="REVENUS"/>
    <x v="2"/>
    <s v="4001.001"/>
    <s v="Impôt revenu"/>
    <n v="0"/>
    <n v="33.549999999999997"/>
    <n v="4001"/>
  </r>
  <r>
    <x v="0"/>
    <x v="0"/>
    <x v="0"/>
    <x v="4"/>
    <x v="4"/>
    <x v="4"/>
    <s v="REVENUS"/>
    <x v="3"/>
    <s v="4002.001"/>
    <s v="Impôt ordinaire s/fortune PP"/>
    <n v="0"/>
    <n v="1191"/>
    <n v="4002"/>
  </r>
  <r>
    <x v="0"/>
    <x v="0"/>
    <x v="0"/>
    <x v="4"/>
    <x v="4"/>
    <x v="4"/>
    <s v="REVENUS"/>
    <x v="12"/>
    <s v="4004.000"/>
    <s v="Impôt spécial étrangers"/>
    <n v="0"/>
    <n v="309341.2"/>
    <n v="4004"/>
  </r>
  <r>
    <x v="0"/>
    <x v="0"/>
    <x v="0"/>
    <x v="4"/>
    <x v="4"/>
    <x v="4"/>
    <s v="REVENUS"/>
    <x v="7"/>
    <s v="4184.000"/>
    <s v="Frais de poursuite"/>
    <n v="0"/>
    <n v="7.03"/>
    <n v="4184"/>
  </r>
  <r>
    <x v="0"/>
    <x v="0"/>
    <x v="0"/>
    <x v="4"/>
    <x v="4"/>
    <x v="4"/>
    <s v="REVENUS"/>
    <x v="8"/>
    <s v="4091.001"/>
    <s v="Impôt récupéré après défalcations"/>
    <n v="0"/>
    <n v="2458.92"/>
    <n v="4091"/>
  </r>
  <r>
    <x v="0"/>
    <x v="0"/>
    <x v="0"/>
    <x v="4"/>
    <x v="4"/>
    <x v="4"/>
    <s v="REVENUS"/>
    <x v="6"/>
    <s v="4211.001"/>
    <s v="Intérêts de retard sur factures"/>
    <n v="0"/>
    <n v="0.05"/>
    <n v="4211"/>
  </r>
  <r>
    <x v="0"/>
    <x v="0"/>
    <x v="0"/>
    <x v="4"/>
    <x v="4"/>
    <x v="4"/>
    <s v="REVENUS"/>
    <x v="2"/>
    <s v="4001.001"/>
    <s v="Impôt revenu"/>
    <n v="0"/>
    <n v="141.35"/>
    <n v="4001"/>
  </r>
  <r>
    <x v="0"/>
    <x v="0"/>
    <x v="0"/>
    <x v="4"/>
    <x v="4"/>
    <x v="4"/>
    <s v="REVENUS"/>
    <x v="2"/>
    <s v="4001.007"/>
    <s v="Acompte impôt sur revenu"/>
    <n v="0"/>
    <n v="-40.15"/>
    <n v="4001"/>
  </r>
  <r>
    <x v="0"/>
    <x v="0"/>
    <x v="0"/>
    <x v="4"/>
    <x v="4"/>
    <x v="4"/>
    <s v="REVENUS"/>
    <x v="3"/>
    <s v="4002.007"/>
    <s v="Acompte impôt sur fortune"/>
    <n v="0"/>
    <n v="-616.79999999999995"/>
    <n v="4002"/>
  </r>
  <r>
    <x v="0"/>
    <x v="0"/>
    <x v="0"/>
    <x v="4"/>
    <x v="4"/>
    <x v="4"/>
    <s v="REVENUS"/>
    <x v="7"/>
    <s v="4184.000"/>
    <s v="Frais de poursuite"/>
    <n v="0"/>
    <n v="89.88"/>
    <n v="4184"/>
  </r>
  <r>
    <x v="0"/>
    <x v="0"/>
    <x v="0"/>
    <x v="4"/>
    <x v="4"/>
    <x v="4"/>
    <s v="REVENUS"/>
    <x v="8"/>
    <s v="4091.001"/>
    <s v="Impôt récupéré après défalcations"/>
    <n v="0"/>
    <n v="1167.52"/>
    <n v="4091"/>
  </r>
  <r>
    <x v="0"/>
    <x v="0"/>
    <x v="0"/>
    <x v="4"/>
    <x v="4"/>
    <x v="4"/>
    <s v="REVENUS"/>
    <x v="7"/>
    <s v="4184.000"/>
    <s v="Frais de poursuite"/>
    <n v="0"/>
    <n v="1.08"/>
    <n v="4184"/>
  </r>
  <r>
    <x v="0"/>
    <x v="0"/>
    <x v="0"/>
    <x v="4"/>
    <x v="4"/>
    <x v="4"/>
    <s v="REVENUS"/>
    <x v="6"/>
    <s v="4211.002"/>
    <s v="Intérêts de retard sur acomptes"/>
    <n v="0"/>
    <n v="0.01"/>
    <n v="4211"/>
  </r>
  <r>
    <x v="0"/>
    <x v="0"/>
    <x v="0"/>
    <x v="4"/>
    <x v="4"/>
    <x v="4"/>
    <s v="REVENUS"/>
    <x v="9"/>
    <s v="4031.002"/>
    <s v="Complément impôt sur les gains immobiliers"/>
    <n v="0"/>
    <n v="9659.4"/>
    <n v="4031"/>
  </r>
  <r>
    <x v="0"/>
    <x v="0"/>
    <x v="0"/>
    <x v="5"/>
    <x v="5"/>
    <x v="5"/>
    <s v="CHARGES"/>
    <x v="0"/>
    <s v="3212.004"/>
    <s v="Intérêts rémun./perçu trop tôt sur acomptes C/C"/>
    <n v="278.26"/>
    <n v="0"/>
    <n v="3212"/>
  </r>
  <r>
    <x v="0"/>
    <x v="0"/>
    <x v="0"/>
    <x v="5"/>
    <x v="5"/>
    <x v="5"/>
    <s v="CHARGES"/>
    <x v="1"/>
    <s v="3301.001"/>
    <s v="Défalcations, abandons de solde PP et IS"/>
    <n v="4372.1099999999997"/>
    <n v="0"/>
    <n v="3301"/>
  </r>
  <r>
    <x v="0"/>
    <x v="0"/>
    <x v="0"/>
    <x v="5"/>
    <x v="5"/>
    <x v="5"/>
    <s v="CHARGES"/>
    <x v="0"/>
    <s v="3221.002"/>
    <s v="Intérêts compensatoires / créances en faveur ctb."/>
    <n v="78.05"/>
    <n v="0"/>
    <n v="3221"/>
  </r>
  <r>
    <x v="0"/>
    <x v="0"/>
    <x v="0"/>
    <x v="5"/>
    <x v="5"/>
    <x v="5"/>
    <s v="CHARGES"/>
    <x v="0"/>
    <s v="3212.004"/>
    <s v="Intérêts rémun./perçu trop tôt sur acomptes C/C"/>
    <n v="2.77"/>
    <n v="0"/>
    <n v="3212"/>
  </r>
  <r>
    <x v="0"/>
    <x v="0"/>
    <x v="0"/>
    <x v="5"/>
    <x v="5"/>
    <x v="5"/>
    <s v="CHARGES"/>
    <x v="0"/>
    <s v="3221.002"/>
    <s v="Intérêts compensatoires / créances en faveur ctb."/>
    <n v="1.68"/>
    <n v="0"/>
    <n v="3221"/>
  </r>
  <r>
    <x v="0"/>
    <x v="0"/>
    <x v="0"/>
    <x v="5"/>
    <x v="5"/>
    <x v="5"/>
    <s v="CHARGES"/>
    <x v="1"/>
    <s v="3301.001"/>
    <s v="Défalcations, abandons de solde PP et IS"/>
    <n v="3878.41"/>
    <n v="0"/>
    <n v="3301"/>
  </r>
  <r>
    <x v="0"/>
    <x v="0"/>
    <x v="0"/>
    <x v="5"/>
    <x v="5"/>
    <x v="5"/>
    <s v="CHARGES"/>
    <x v="1"/>
    <s v="3301.001"/>
    <s v="Défalcations, abandons de solde PP et IS"/>
    <n v="0.27"/>
    <n v="0"/>
    <n v="3301"/>
  </r>
  <r>
    <x v="0"/>
    <x v="0"/>
    <x v="0"/>
    <x v="5"/>
    <x v="5"/>
    <x v="5"/>
    <s v="CHARGES"/>
    <x v="0"/>
    <s v="3212.002"/>
    <s v="Intérêts bonifiés/trop perçu acompte C/C"/>
    <n v="40.93"/>
    <n v="0"/>
    <n v="3212"/>
  </r>
  <r>
    <x v="0"/>
    <x v="0"/>
    <x v="0"/>
    <x v="5"/>
    <x v="5"/>
    <x v="5"/>
    <s v="CHARGES"/>
    <x v="0"/>
    <s v="3212.004"/>
    <s v="Intérêts rémun./perçu trop tôt sur acomptes C/C"/>
    <n v="0.19"/>
    <n v="0"/>
    <n v="3212"/>
  </r>
  <r>
    <x v="0"/>
    <x v="0"/>
    <x v="0"/>
    <x v="5"/>
    <x v="5"/>
    <x v="5"/>
    <s v="CHARGES"/>
    <x v="0"/>
    <s v="3221.002"/>
    <s v="Intérêts compensatoires / créances en faveur ctb."/>
    <n v="0.33"/>
    <n v="0"/>
    <n v="3221"/>
  </r>
  <r>
    <x v="0"/>
    <x v="0"/>
    <x v="0"/>
    <x v="5"/>
    <x v="5"/>
    <x v="5"/>
    <s v="CHARGES"/>
    <x v="0"/>
    <s v="3212.004"/>
    <s v="Intérêts rémun./perçu trop tôt sur acomptes C/C"/>
    <n v="1.4"/>
    <n v="0"/>
    <n v="3212"/>
  </r>
  <r>
    <x v="0"/>
    <x v="0"/>
    <x v="0"/>
    <x v="5"/>
    <x v="5"/>
    <x v="5"/>
    <s v="CHARGES"/>
    <x v="0"/>
    <s v="3221.002"/>
    <s v="Intérêts compensatoires / créances en faveur ctb."/>
    <n v="0.18"/>
    <n v="0"/>
    <n v="3221"/>
  </r>
  <r>
    <x v="0"/>
    <x v="0"/>
    <x v="0"/>
    <x v="5"/>
    <x v="5"/>
    <x v="5"/>
    <s v="CHARGES"/>
    <x v="1"/>
    <s v="3301.001"/>
    <s v="Défalcations, abandons de solde PP et IS"/>
    <n v="6297.31"/>
    <n v="0"/>
    <n v="3301"/>
  </r>
  <r>
    <x v="0"/>
    <x v="0"/>
    <x v="0"/>
    <x v="5"/>
    <x v="5"/>
    <x v="5"/>
    <s v="CHARGES"/>
    <x v="1"/>
    <s v="3301.001"/>
    <s v="Défalcations, abandons de solde PP et IS"/>
    <n v="0.15"/>
    <n v="0"/>
    <n v="3301"/>
  </r>
  <r>
    <x v="0"/>
    <x v="0"/>
    <x v="0"/>
    <x v="5"/>
    <x v="5"/>
    <x v="5"/>
    <s v="CHARGES"/>
    <x v="1"/>
    <s v="3301.001"/>
    <s v="Défalcations, abandons de solde PP et IS"/>
    <n v="0.28999999999999998"/>
    <n v="0"/>
    <n v="3301"/>
  </r>
  <r>
    <x v="0"/>
    <x v="0"/>
    <x v="0"/>
    <x v="5"/>
    <x v="5"/>
    <x v="5"/>
    <s v="CHARGES"/>
    <x v="0"/>
    <s v="3212.004"/>
    <s v="Intérêts rémun./perçu trop tôt sur acomptes C/C"/>
    <n v="0.06"/>
    <n v="0"/>
    <n v="3212"/>
  </r>
  <r>
    <x v="0"/>
    <x v="0"/>
    <x v="0"/>
    <x v="5"/>
    <x v="5"/>
    <x v="5"/>
    <s v="CHARGES"/>
    <x v="0"/>
    <s v="3221.002"/>
    <s v="Intérêts compensatoires / créances en faveur ctb."/>
    <n v="7.0000000000000007E-2"/>
    <n v="0"/>
    <n v="3221"/>
  </r>
  <r>
    <x v="0"/>
    <x v="0"/>
    <x v="0"/>
    <x v="5"/>
    <x v="5"/>
    <x v="5"/>
    <s v="CHARGES"/>
    <x v="1"/>
    <s v="3301.003"/>
    <s v="Remises PP et IS"/>
    <n v="908.66"/>
    <n v="0"/>
    <n v="3301"/>
  </r>
  <r>
    <x v="0"/>
    <x v="0"/>
    <x v="0"/>
    <x v="5"/>
    <x v="5"/>
    <x v="5"/>
    <s v="CHARGES"/>
    <x v="0"/>
    <s v="3221.002"/>
    <s v="Intérêts compensatoires / créances en faveur ctb."/>
    <n v="0.01"/>
    <n v="0"/>
    <n v="3221"/>
  </r>
  <r>
    <x v="0"/>
    <x v="0"/>
    <x v="0"/>
    <x v="5"/>
    <x v="5"/>
    <x v="5"/>
    <s v="REVENUS"/>
    <x v="5"/>
    <s v="4061.000"/>
    <s v="Impôt sur les chiens"/>
    <n v="0"/>
    <n v="7250"/>
    <n v="4061"/>
  </r>
  <r>
    <x v="0"/>
    <x v="0"/>
    <x v="0"/>
    <x v="5"/>
    <x v="5"/>
    <x v="5"/>
    <s v="REVENUS"/>
    <x v="2"/>
    <s v="4001.001"/>
    <s v="Impôt revenu"/>
    <n v="0"/>
    <n v="1082612.6000000001"/>
    <n v="4001"/>
  </r>
  <r>
    <x v="0"/>
    <x v="0"/>
    <x v="0"/>
    <x v="5"/>
    <x v="5"/>
    <x v="5"/>
    <s v="REVENUS"/>
    <x v="2"/>
    <s v="4001.007"/>
    <s v="Acompte impôt sur revenu"/>
    <n v="0"/>
    <n v="-55171.71"/>
    <n v="4001"/>
  </r>
  <r>
    <x v="0"/>
    <x v="0"/>
    <x v="0"/>
    <x v="5"/>
    <x v="5"/>
    <x v="5"/>
    <s v="REVENUS"/>
    <x v="3"/>
    <s v="4002.007"/>
    <s v="Acompte impôt sur fortune"/>
    <n v="0"/>
    <n v="-5266.22"/>
    <n v="4002"/>
  </r>
  <r>
    <x v="0"/>
    <x v="0"/>
    <x v="0"/>
    <x v="5"/>
    <x v="5"/>
    <x v="5"/>
    <s v="REVENUS"/>
    <x v="6"/>
    <s v="4221.003"/>
    <s v="Intérêts compensat. / acomptes en faveur du fisc"/>
    <n v="0"/>
    <n v="124.3"/>
    <n v="4221"/>
  </r>
  <r>
    <x v="0"/>
    <x v="0"/>
    <x v="0"/>
    <x v="5"/>
    <x v="5"/>
    <x v="5"/>
    <s v="REVENUS"/>
    <x v="2"/>
    <s v="4001.002"/>
    <s v="Impôt complément s/revenu PP"/>
    <n v="0"/>
    <n v="62989.25"/>
    <n v="4001"/>
  </r>
  <r>
    <x v="0"/>
    <x v="0"/>
    <x v="0"/>
    <x v="5"/>
    <x v="5"/>
    <x v="5"/>
    <s v="REVENUS"/>
    <x v="3"/>
    <s v="4002.001"/>
    <s v="Impôt ordinaire s/fortune PP"/>
    <n v="0"/>
    <n v="130718.95"/>
    <n v="4002"/>
  </r>
  <r>
    <x v="0"/>
    <x v="0"/>
    <x v="0"/>
    <x v="5"/>
    <x v="5"/>
    <x v="5"/>
    <s v="REVENUS"/>
    <x v="3"/>
    <s v="4002.002"/>
    <s v="Impôt complémentaire s/fortune PP"/>
    <n v="0"/>
    <n v="21500.45"/>
    <n v="4002"/>
  </r>
  <r>
    <x v="0"/>
    <x v="0"/>
    <x v="0"/>
    <x v="5"/>
    <x v="5"/>
    <x v="5"/>
    <s v="REVENUS"/>
    <x v="6"/>
    <s v="4211.001"/>
    <s v="Intérêts de retard sur factures"/>
    <n v="0"/>
    <n v="2559.2399999999998"/>
    <n v="4211"/>
  </r>
  <r>
    <x v="0"/>
    <x v="0"/>
    <x v="0"/>
    <x v="5"/>
    <x v="5"/>
    <x v="5"/>
    <s v="REVENUS"/>
    <x v="2"/>
    <s v="4001.003"/>
    <s v="Impôt s/prest. cap. PP"/>
    <n v="0"/>
    <n v="31882.85"/>
    <n v="4001"/>
  </r>
  <r>
    <x v="0"/>
    <x v="0"/>
    <x v="0"/>
    <x v="5"/>
    <x v="5"/>
    <x v="5"/>
    <s v="REVENUS"/>
    <x v="6"/>
    <s v="4211.002"/>
    <s v="Intérêts de retard sur acomptes"/>
    <n v="0"/>
    <n v="8114.73"/>
    <n v="4211"/>
  </r>
  <r>
    <x v="0"/>
    <x v="0"/>
    <x v="0"/>
    <x v="5"/>
    <x v="5"/>
    <x v="5"/>
    <s v="REVENUS"/>
    <x v="2"/>
    <s v="4001.001"/>
    <s v="Impôt revenu"/>
    <n v="0"/>
    <n v="1495.45"/>
    <n v="4001"/>
  </r>
  <r>
    <x v="0"/>
    <x v="0"/>
    <x v="0"/>
    <x v="5"/>
    <x v="5"/>
    <x v="5"/>
    <s v="REVENUS"/>
    <x v="3"/>
    <s v="4002.001"/>
    <s v="Impôt ordinaire s/fortune PP"/>
    <n v="0"/>
    <n v="1245.3"/>
    <n v="4002"/>
  </r>
  <r>
    <x v="0"/>
    <x v="0"/>
    <x v="0"/>
    <x v="5"/>
    <x v="5"/>
    <x v="5"/>
    <s v="REVENUS"/>
    <x v="6"/>
    <s v="4211.002"/>
    <s v="Intérêts de retard sur acomptes"/>
    <n v="0"/>
    <n v="0.89"/>
    <n v="4211"/>
  </r>
  <r>
    <x v="0"/>
    <x v="0"/>
    <x v="0"/>
    <x v="5"/>
    <x v="5"/>
    <x v="5"/>
    <s v="REVENUS"/>
    <x v="10"/>
    <s v="4041.001"/>
    <s v="Droits de mutation"/>
    <n v="0"/>
    <n v="70197.350000000006"/>
    <n v="4041"/>
  </r>
  <r>
    <x v="0"/>
    <x v="0"/>
    <x v="0"/>
    <x v="5"/>
    <x v="5"/>
    <x v="5"/>
    <s v="REVENUS"/>
    <x v="6"/>
    <s v="4221.002"/>
    <s v="Intérêts compensat. sur impôts distincts"/>
    <n v="0"/>
    <n v="51.47"/>
    <n v="4221"/>
  </r>
  <r>
    <x v="0"/>
    <x v="0"/>
    <x v="0"/>
    <x v="5"/>
    <x v="5"/>
    <x v="5"/>
    <s v="REVENUS"/>
    <x v="7"/>
    <s v="4184.000"/>
    <s v="Frais de poursuite"/>
    <n v="0"/>
    <n v="831.94"/>
    <n v="4184"/>
  </r>
  <r>
    <x v="0"/>
    <x v="0"/>
    <x v="0"/>
    <x v="5"/>
    <x v="5"/>
    <x v="5"/>
    <s v="REVENUS"/>
    <x v="8"/>
    <s v="4091.001"/>
    <s v="Impôt récupéré après défalcations"/>
    <n v="0"/>
    <n v="-167.31"/>
    <n v="4091"/>
  </r>
  <r>
    <x v="0"/>
    <x v="0"/>
    <x v="0"/>
    <x v="5"/>
    <x v="5"/>
    <x v="5"/>
    <s v="REVENUS"/>
    <x v="7"/>
    <s v="4184.000"/>
    <s v="Frais de poursuite"/>
    <n v="0"/>
    <n v="1830.77"/>
    <n v="4184"/>
  </r>
  <r>
    <x v="0"/>
    <x v="0"/>
    <x v="0"/>
    <x v="5"/>
    <x v="5"/>
    <x v="5"/>
    <s v="REVENUS"/>
    <x v="2"/>
    <s v="4001.007"/>
    <s v="Acompte impôt sur revenu"/>
    <n v="0"/>
    <n v="-951.65"/>
    <n v="4001"/>
  </r>
  <r>
    <x v="0"/>
    <x v="0"/>
    <x v="0"/>
    <x v="5"/>
    <x v="5"/>
    <x v="5"/>
    <s v="REVENUS"/>
    <x v="3"/>
    <s v="4002.007"/>
    <s v="Acompte impôt sur fortune"/>
    <n v="0"/>
    <n v="-1114.0999999999999"/>
    <n v="4002"/>
  </r>
  <r>
    <x v="0"/>
    <x v="0"/>
    <x v="0"/>
    <x v="5"/>
    <x v="5"/>
    <x v="5"/>
    <s v="REVENUS"/>
    <x v="2"/>
    <s v="4001.007"/>
    <s v="Acompte impôt sur revenu"/>
    <n v="0"/>
    <n v="410.35"/>
    <n v="4001"/>
  </r>
  <r>
    <x v="0"/>
    <x v="0"/>
    <x v="0"/>
    <x v="5"/>
    <x v="5"/>
    <x v="5"/>
    <s v="REVENUS"/>
    <x v="2"/>
    <s v="4001.001"/>
    <s v="Impôt revenu"/>
    <n v="0"/>
    <n v="2765.75"/>
    <n v="4001"/>
  </r>
  <r>
    <x v="0"/>
    <x v="0"/>
    <x v="0"/>
    <x v="5"/>
    <x v="5"/>
    <x v="5"/>
    <s v="REVENUS"/>
    <x v="3"/>
    <s v="4002.001"/>
    <s v="Impôt ordinaire s/fortune PP"/>
    <n v="0"/>
    <n v="3226.85"/>
    <n v="4002"/>
  </r>
  <r>
    <x v="0"/>
    <x v="0"/>
    <x v="0"/>
    <x v="5"/>
    <x v="5"/>
    <x v="5"/>
    <s v="REVENUS"/>
    <x v="3"/>
    <s v="4002.007"/>
    <s v="Acompte impôt sur fortune"/>
    <n v="0"/>
    <n v="-512.33000000000004"/>
    <n v="4002"/>
  </r>
  <r>
    <x v="0"/>
    <x v="0"/>
    <x v="0"/>
    <x v="5"/>
    <x v="5"/>
    <x v="5"/>
    <s v="REVENUS"/>
    <x v="2"/>
    <s v="4001.007"/>
    <s v="Acompte impôt sur revenu"/>
    <n v="0"/>
    <n v="3327.64"/>
    <n v="4001"/>
  </r>
  <r>
    <x v="0"/>
    <x v="0"/>
    <x v="0"/>
    <x v="5"/>
    <x v="5"/>
    <x v="5"/>
    <s v="REVENUS"/>
    <x v="3"/>
    <s v="4002.007"/>
    <s v="Acompte impôt sur fortune"/>
    <n v="0"/>
    <n v="1408.72"/>
    <n v="4002"/>
  </r>
  <r>
    <x v="0"/>
    <x v="0"/>
    <x v="0"/>
    <x v="5"/>
    <x v="5"/>
    <x v="5"/>
    <s v="REVENUS"/>
    <x v="2"/>
    <s v="4001.001"/>
    <s v="Impôt revenu"/>
    <n v="0"/>
    <n v="362.8"/>
    <n v="4001"/>
  </r>
  <r>
    <x v="0"/>
    <x v="0"/>
    <x v="0"/>
    <x v="5"/>
    <x v="5"/>
    <x v="5"/>
    <s v="REVENUS"/>
    <x v="2"/>
    <s v="4001.002"/>
    <s v="Impôt complément s/revenu PP"/>
    <n v="0"/>
    <n v="308.2"/>
    <n v="4001"/>
  </r>
  <r>
    <x v="0"/>
    <x v="0"/>
    <x v="0"/>
    <x v="5"/>
    <x v="5"/>
    <x v="5"/>
    <s v="REVENUS"/>
    <x v="3"/>
    <s v="4002.007"/>
    <s v="Acompte impôt sur fortune"/>
    <n v="0"/>
    <n v="-141.69999999999999"/>
    <n v="4002"/>
  </r>
  <r>
    <x v="0"/>
    <x v="0"/>
    <x v="0"/>
    <x v="5"/>
    <x v="5"/>
    <x v="5"/>
    <s v="REVENUS"/>
    <x v="6"/>
    <s v="4221.003"/>
    <s v="Intérêts compensat. / acomptes en faveur du fisc"/>
    <n v="0"/>
    <n v="0.25"/>
    <n v="4221"/>
  </r>
  <r>
    <x v="0"/>
    <x v="0"/>
    <x v="0"/>
    <x v="5"/>
    <x v="5"/>
    <x v="5"/>
    <s v="REVENUS"/>
    <x v="3"/>
    <s v="4002.001"/>
    <s v="Impôt ordinaire s/fortune PP"/>
    <n v="0"/>
    <n v="313.85000000000002"/>
    <n v="4002"/>
  </r>
  <r>
    <x v="0"/>
    <x v="0"/>
    <x v="0"/>
    <x v="5"/>
    <x v="5"/>
    <x v="5"/>
    <s v="REVENUS"/>
    <x v="2"/>
    <s v="4001.007"/>
    <s v="Acompte impôt sur revenu"/>
    <n v="0"/>
    <n v="-540.92999999999995"/>
    <n v="4001"/>
  </r>
  <r>
    <x v="0"/>
    <x v="0"/>
    <x v="0"/>
    <x v="5"/>
    <x v="5"/>
    <x v="5"/>
    <s v="REVENUS"/>
    <x v="3"/>
    <s v="4002.002"/>
    <s v="Impôt complémentaire s/fortune PP"/>
    <n v="0"/>
    <n v="153.69999999999999"/>
    <n v="4002"/>
  </r>
  <r>
    <x v="0"/>
    <x v="0"/>
    <x v="0"/>
    <x v="5"/>
    <x v="5"/>
    <x v="5"/>
    <s v="REVENUS"/>
    <x v="6"/>
    <s v="4211.001"/>
    <s v="Intérêts de retard sur factures"/>
    <n v="0"/>
    <n v="0.04"/>
    <n v="4211"/>
  </r>
  <r>
    <x v="0"/>
    <x v="0"/>
    <x v="0"/>
    <x v="5"/>
    <x v="5"/>
    <x v="5"/>
    <s v="REVENUS"/>
    <x v="6"/>
    <s v="4211.002"/>
    <s v="Intérêts de retard sur acomptes"/>
    <n v="0"/>
    <n v="40.06"/>
    <n v="4211"/>
  </r>
  <r>
    <x v="0"/>
    <x v="0"/>
    <x v="0"/>
    <x v="5"/>
    <x v="5"/>
    <x v="5"/>
    <s v="REVENUS"/>
    <x v="2"/>
    <s v="4001.007"/>
    <s v="Acompte impôt sur revenu"/>
    <n v="0"/>
    <n v="-3.75"/>
    <n v="4001"/>
  </r>
  <r>
    <x v="0"/>
    <x v="0"/>
    <x v="0"/>
    <x v="5"/>
    <x v="5"/>
    <x v="5"/>
    <s v="REVENUS"/>
    <x v="2"/>
    <s v="4001.007"/>
    <s v="Acompte impôt sur revenu"/>
    <n v="0"/>
    <n v="-85.75"/>
    <n v="4001"/>
  </r>
  <r>
    <x v="0"/>
    <x v="0"/>
    <x v="0"/>
    <x v="5"/>
    <x v="5"/>
    <x v="5"/>
    <s v="REVENUS"/>
    <x v="3"/>
    <s v="4002.007"/>
    <s v="Acompte impôt sur fortune"/>
    <n v="0"/>
    <n v="-149.35"/>
    <n v="4002"/>
  </r>
  <r>
    <x v="0"/>
    <x v="0"/>
    <x v="0"/>
    <x v="5"/>
    <x v="5"/>
    <x v="5"/>
    <s v="REVENUS"/>
    <x v="3"/>
    <s v="4002.001"/>
    <s v="Impôt ordinaire s/fortune PP"/>
    <n v="0"/>
    <n v="233.9"/>
    <n v="4002"/>
  </r>
  <r>
    <x v="0"/>
    <x v="0"/>
    <x v="0"/>
    <x v="5"/>
    <x v="5"/>
    <x v="5"/>
    <s v="REVENUS"/>
    <x v="6"/>
    <s v="4211.002"/>
    <s v="Intérêts de retard sur acomptes"/>
    <n v="0"/>
    <n v="0.41"/>
    <n v="4211"/>
  </r>
  <r>
    <x v="0"/>
    <x v="0"/>
    <x v="0"/>
    <x v="5"/>
    <x v="5"/>
    <x v="5"/>
    <s v="REVENUS"/>
    <x v="4"/>
    <s v="4051.001"/>
    <s v="Impôt sur les successions"/>
    <n v="0"/>
    <n v="73255.8"/>
    <n v="4051"/>
  </r>
  <r>
    <x v="0"/>
    <x v="0"/>
    <x v="0"/>
    <x v="5"/>
    <x v="5"/>
    <x v="5"/>
    <s v="REVENUS"/>
    <x v="6"/>
    <s v="4221.003"/>
    <s v="Intérêts compensat. / acomptes en faveur du fisc"/>
    <n v="0"/>
    <n v="0.81"/>
    <n v="4221"/>
  </r>
  <r>
    <x v="0"/>
    <x v="0"/>
    <x v="0"/>
    <x v="5"/>
    <x v="5"/>
    <x v="5"/>
    <s v="REVENUS"/>
    <x v="9"/>
    <s v="4031.001"/>
    <s v="Impôt sur les gains immobiliers"/>
    <n v="0"/>
    <n v="54988.7"/>
    <n v="4031"/>
  </r>
  <r>
    <x v="0"/>
    <x v="0"/>
    <x v="0"/>
    <x v="5"/>
    <x v="5"/>
    <x v="5"/>
    <s v="REVENUS"/>
    <x v="2"/>
    <s v="4001.001"/>
    <s v="Impôt revenu"/>
    <n v="0"/>
    <n v="700.1"/>
    <n v="4001"/>
  </r>
  <r>
    <x v="0"/>
    <x v="0"/>
    <x v="0"/>
    <x v="5"/>
    <x v="5"/>
    <x v="5"/>
    <s v="REVENUS"/>
    <x v="6"/>
    <s v="4221.003"/>
    <s v="Intérêts compensat. / acomptes en faveur du fisc"/>
    <n v="0"/>
    <n v="0.15"/>
    <n v="4221"/>
  </r>
  <r>
    <x v="0"/>
    <x v="0"/>
    <x v="0"/>
    <x v="5"/>
    <x v="5"/>
    <x v="5"/>
    <s v="REVENUS"/>
    <x v="6"/>
    <s v="4221.003"/>
    <s v="Intérêts compensat. / acomptes en faveur du fisc"/>
    <n v="0"/>
    <n v="0.64"/>
    <n v="4221"/>
  </r>
  <r>
    <x v="0"/>
    <x v="0"/>
    <x v="0"/>
    <x v="5"/>
    <x v="5"/>
    <x v="5"/>
    <s v="REVENUS"/>
    <x v="2"/>
    <s v="4001.002"/>
    <s v="Impôt complément s/revenu PP"/>
    <n v="0"/>
    <n v="131.94999999999999"/>
    <n v="4001"/>
  </r>
  <r>
    <x v="0"/>
    <x v="0"/>
    <x v="0"/>
    <x v="5"/>
    <x v="5"/>
    <x v="5"/>
    <s v="REVENUS"/>
    <x v="6"/>
    <s v="4211.001"/>
    <s v="Intérêts de retard sur factures"/>
    <n v="0"/>
    <n v="0.02"/>
    <n v="4211"/>
  </r>
  <r>
    <x v="0"/>
    <x v="0"/>
    <x v="0"/>
    <x v="5"/>
    <x v="5"/>
    <x v="5"/>
    <s v="REVENUS"/>
    <x v="9"/>
    <s v="4031.002"/>
    <s v="Complément impôt sur les gains immobiliers"/>
    <n v="0"/>
    <n v="5395.9"/>
    <n v="4031"/>
  </r>
  <r>
    <x v="0"/>
    <x v="0"/>
    <x v="0"/>
    <x v="5"/>
    <x v="5"/>
    <x v="5"/>
    <s v="REVENUS"/>
    <x v="3"/>
    <s v="4002.002"/>
    <s v="Impôt complémentaire s/fortune PP"/>
    <n v="0"/>
    <n v="57.05"/>
    <n v="4002"/>
  </r>
  <r>
    <x v="0"/>
    <x v="0"/>
    <x v="0"/>
    <x v="5"/>
    <x v="5"/>
    <x v="5"/>
    <s v="REVENUS"/>
    <x v="2"/>
    <s v="4001.007"/>
    <s v="Acompte impôt sur revenu"/>
    <n v="0"/>
    <n v="-403.45"/>
    <n v="4001"/>
  </r>
  <r>
    <x v="0"/>
    <x v="0"/>
    <x v="0"/>
    <x v="5"/>
    <x v="5"/>
    <x v="5"/>
    <s v="REVENUS"/>
    <x v="2"/>
    <s v="4001.001"/>
    <s v="Impôt revenu"/>
    <n v="0"/>
    <n v="94.75"/>
    <n v="4001"/>
  </r>
  <r>
    <x v="0"/>
    <x v="0"/>
    <x v="0"/>
    <x v="5"/>
    <x v="5"/>
    <x v="5"/>
    <s v="REVENUS"/>
    <x v="8"/>
    <s v="4091.001"/>
    <s v="Impôt récupéré après défalcations"/>
    <n v="0"/>
    <n v="963.85"/>
    <n v="4091"/>
  </r>
  <r>
    <x v="0"/>
    <x v="0"/>
    <x v="0"/>
    <x v="5"/>
    <x v="5"/>
    <x v="5"/>
    <s v="REVENUS"/>
    <x v="7"/>
    <s v="4184.000"/>
    <s v="Frais de poursuite"/>
    <n v="0"/>
    <n v="14.77"/>
    <n v="4184"/>
  </r>
  <r>
    <x v="0"/>
    <x v="0"/>
    <x v="0"/>
    <x v="5"/>
    <x v="5"/>
    <x v="5"/>
    <s v="REVENUS"/>
    <x v="6"/>
    <s v="4211.002"/>
    <s v="Intérêts de retard sur acomptes"/>
    <n v="0"/>
    <n v="0.23"/>
    <n v="4211"/>
  </r>
  <r>
    <x v="0"/>
    <x v="0"/>
    <x v="0"/>
    <x v="5"/>
    <x v="5"/>
    <x v="5"/>
    <s v="REVENUS"/>
    <x v="7"/>
    <s v="4184.000"/>
    <s v="Frais de poursuite"/>
    <n v="0"/>
    <n v="5.12"/>
    <n v="4184"/>
  </r>
  <r>
    <x v="0"/>
    <x v="0"/>
    <x v="0"/>
    <x v="5"/>
    <x v="5"/>
    <x v="5"/>
    <s v="REVENUS"/>
    <x v="3"/>
    <s v="4002.002"/>
    <s v="Impôt complémentaire s/fortune PP"/>
    <n v="0"/>
    <n v="32.75"/>
    <n v="4002"/>
  </r>
  <r>
    <x v="0"/>
    <x v="0"/>
    <x v="0"/>
    <x v="6"/>
    <x v="6"/>
    <x v="6"/>
    <s v="CHARGES"/>
    <x v="0"/>
    <s v="3212.004"/>
    <s v="Intérêts rémun./perçu trop tôt sur acomptes C/C"/>
    <n v="973.87"/>
    <n v="0"/>
    <n v="3212"/>
  </r>
  <r>
    <x v="0"/>
    <x v="0"/>
    <x v="0"/>
    <x v="6"/>
    <x v="6"/>
    <x v="6"/>
    <s v="CHARGES"/>
    <x v="1"/>
    <s v="3301.001"/>
    <s v="Défalcations, abandons de solde PP et IS"/>
    <n v="8371.59"/>
    <n v="0"/>
    <n v="3301"/>
  </r>
  <r>
    <x v="0"/>
    <x v="0"/>
    <x v="0"/>
    <x v="6"/>
    <x v="6"/>
    <x v="6"/>
    <s v="CHARGES"/>
    <x v="0"/>
    <s v="3212.002"/>
    <s v="Intérêts bonifiés/trop perçu acompte C/C"/>
    <n v="0.13"/>
    <n v="0"/>
    <n v="3212"/>
  </r>
  <r>
    <x v="0"/>
    <x v="0"/>
    <x v="0"/>
    <x v="6"/>
    <x v="6"/>
    <x v="6"/>
    <s v="CHARGES"/>
    <x v="0"/>
    <s v="3212.002"/>
    <s v="Intérêts bonifiés/trop perçu acompte C/C"/>
    <n v="52.84"/>
    <n v="0"/>
    <n v="3212"/>
  </r>
  <r>
    <x v="0"/>
    <x v="0"/>
    <x v="0"/>
    <x v="6"/>
    <x v="6"/>
    <x v="6"/>
    <s v="CHARGES"/>
    <x v="0"/>
    <s v="3221.002"/>
    <s v="Intérêts compensatoires / créances en faveur ctb."/>
    <n v="314.20999999999998"/>
    <n v="0"/>
    <n v="3221"/>
  </r>
  <r>
    <x v="0"/>
    <x v="0"/>
    <x v="0"/>
    <x v="6"/>
    <x v="6"/>
    <x v="6"/>
    <s v="CHARGES"/>
    <x v="0"/>
    <s v="3212.004"/>
    <s v="Intérêts rémun./perçu trop tôt sur acomptes C/C"/>
    <n v="60.36"/>
    <n v="0"/>
    <n v="3212"/>
  </r>
  <r>
    <x v="0"/>
    <x v="0"/>
    <x v="0"/>
    <x v="6"/>
    <x v="6"/>
    <x v="6"/>
    <s v="CHARGES"/>
    <x v="0"/>
    <s v="3221.002"/>
    <s v="Intérêts compensatoires / créances en faveur ctb."/>
    <n v="71.27"/>
    <n v="0"/>
    <n v="3221"/>
  </r>
  <r>
    <x v="0"/>
    <x v="0"/>
    <x v="0"/>
    <x v="6"/>
    <x v="6"/>
    <x v="6"/>
    <s v="CHARGES"/>
    <x v="1"/>
    <s v="3301.003"/>
    <s v="Remises PP et IS"/>
    <n v="8419"/>
    <n v="0"/>
    <n v="3301"/>
  </r>
  <r>
    <x v="0"/>
    <x v="0"/>
    <x v="0"/>
    <x v="6"/>
    <x v="6"/>
    <x v="6"/>
    <s v="CHARGES"/>
    <x v="1"/>
    <s v="3301.001"/>
    <s v="Défalcations, abandons de solde PP et IS"/>
    <n v="73.8"/>
    <n v="0"/>
    <n v="3301"/>
  </r>
  <r>
    <x v="0"/>
    <x v="0"/>
    <x v="0"/>
    <x v="6"/>
    <x v="6"/>
    <x v="6"/>
    <s v="CHARGES"/>
    <x v="0"/>
    <s v="3212.004"/>
    <s v="Intérêts rémun./perçu trop tôt sur acomptes C/C"/>
    <n v="31.1"/>
    <n v="0"/>
    <n v="3212"/>
  </r>
  <r>
    <x v="0"/>
    <x v="0"/>
    <x v="0"/>
    <x v="6"/>
    <x v="6"/>
    <x v="6"/>
    <s v="CHARGES"/>
    <x v="0"/>
    <s v="3221.002"/>
    <s v="Intérêts compensatoires / créances en faveur ctb."/>
    <n v="11.69"/>
    <n v="0"/>
    <n v="3221"/>
  </r>
  <r>
    <x v="0"/>
    <x v="0"/>
    <x v="0"/>
    <x v="6"/>
    <x v="6"/>
    <x v="6"/>
    <s v="CHARGES"/>
    <x v="0"/>
    <s v="3212.004"/>
    <s v="Intérêts rémun./perçu trop tôt sur acomptes C/C"/>
    <n v="0.09"/>
    <n v="0"/>
    <n v="3212"/>
  </r>
  <r>
    <x v="0"/>
    <x v="0"/>
    <x v="0"/>
    <x v="6"/>
    <x v="6"/>
    <x v="6"/>
    <s v="CHARGES"/>
    <x v="0"/>
    <s v="3221.002"/>
    <s v="Intérêts compensatoires / créances en faveur ctb."/>
    <n v="0.05"/>
    <n v="0"/>
    <n v="3221"/>
  </r>
  <r>
    <x v="0"/>
    <x v="0"/>
    <x v="0"/>
    <x v="6"/>
    <x v="6"/>
    <x v="6"/>
    <s v="CHARGES"/>
    <x v="0"/>
    <s v="3212.002"/>
    <s v="Intérêts bonifiés/trop perçu acompte C/C"/>
    <n v="0.35"/>
    <n v="0"/>
    <n v="3212"/>
  </r>
  <r>
    <x v="0"/>
    <x v="0"/>
    <x v="0"/>
    <x v="6"/>
    <x v="6"/>
    <x v="6"/>
    <s v="CHARGES"/>
    <x v="0"/>
    <s v="3212.004"/>
    <s v="Intérêts rémun./perçu trop tôt sur acomptes C/C"/>
    <n v="26.14"/>
    <n v="0"/>
    <n v="3212"/>
  </r>
  <r>
    <x v="0"/>
    <x v="0"/>
    <x v="0"/>
    <x v="6"/>
    <x v="6"/>
    <x v="6"/>
    <s v="CHARGES"/>
    <x v="0"/>
    <s v="3221.002"/>
    <s v="Intérêts compensatoires / créances en faveur ctb."/>
    <n v="23.93"/>
    <n v="0"/>
    <n v="3221"/>
  </r>
  <r>
    <x v="0"/>
    <x v="0"/>
    <x v="0"/>
    <x v="6"/>
    <x v="6"/>
    <x v="6"/>
    <s v="CHARGES"/>
    <x v="1"/>
    <s v="3301.001"/>
    <s v="Défalcations, abandons de solde PP et IS"/>
    <n v="5.0999999999999996"/>
    <n v="0"/>
    <n v="3301"/>
  </r>
  <r>
    <x v="0"/>
    <x v="0"/>
    <x v="0"/>
    <x v="6"/>
    <x v="6"/>
    <x v="6"/>
    <s v="CHARGES"/>
    <x v="0"/>
    <s v="3212.004"/>
    <s v="Intérêts rémun./perçu trop tôt sur acomptes C/C"/>
    <n v="6.08"/>
    <n v="0"/>
    <n v="3212"/>
  </r>
  <r>
    <x v="0"/>
    <x v="0"/>
    <x v="0"/>
    <x v="6"/>
    <x v="6"/>
    <x v="6"/>
    <s v="CHARGES"/>
    <x v="0"/>
    <s v="3221.002"/>
    <s v="Intérêts compensatoires / créances en faveur ctb."/>
    <n v="2.89"/>
    <n v="0"/>
    <n v="3221"/>
  </r>
  <r>
    <x v="0"/>
    <x v="0"/>
    <x v="0"/>
    <x v="6"/>
    <x v="6"/>
    <x v="6"/>
    <s v="CHARGES"/>
    <x v="1"/>
    <s v="3301.001"/>
    <s v="Défalcations, abandons de solde PP et IS"/>
    <n v="22760.48"/>
    <n v="0"/>
    <n v="3301"/>
  </r>
  <r>
    <x v="0"/>
    <x v="0"/>
    <x v="0"/>
    <x v="6"/>
    <x v="6"/>
    <x v="6"/>
    <s v="CHARGES"/>
    <x v="0"/>
    <s v="3212.004"/>
    <s v="Intérêts rémun./perçu trop tôt sur acomptes C/C"/>
    <n v="3.98"/>
    <n v="0"/>
    <n v="3212"/>
  </r>
  <r>
    <x v="0"/>
    <x v="0"/>
    <x v="0"/>
    <x v="6"/>
    <x v="6"/>
    <x v="6"/>
    <s v="CHARGES"/>
    <x v="1"/>
    <s v="3301.001"/>
    <s v="Défalcations, abandons de solde PP et IS"/>
    <n v="5.85"/>
    <n v="0"/>
    <n v="3301"/>
  </r>
  <r>
    <x v="0"/>
    <x v="0"/>
    <x v="0"/>
    <x v="6"/>
    <x v="6"/>
    <x v="6"/>
    <s v="CHARGES"/>
    <x v="1"/>
    <s v="3301.001"/>
    <s v="Défalcations, abandons de solde PP et IS"/>
    <n v="1.25"/>
    <n v="0"/>
    <n v="3301"/>
  </r>
  <r>
    <x v="0"/>
    <x v="0"/>
    <x v="0"/>
    <x v="6"/>
    <x v="6"/>
    <x v="6"/>
    <s v="CHARGES"/>
    <x v="0"/>
    <s v="3221.002"/>
    <s v="Intérêts compensatoires / créances en faveur ctb."/>
    <n v="4.2300000000000004"/>
    <n v="0"/>
    <n v="3221"/>
  </r>
  <r>
    <x v="0"/>
    <x v="0"/>
    <x v="0"/>
    <x v="6"/>
    <x v="6"/>
    <x v="6"/>
    <s v="CHARGES"/>
    <x v="0"/>
    <s v="3212.004"/>
    <s v="Intérêts rémun./perçu trop tôt sur acomptes C/C"/>
    <n v="-0.19"/>
    <n v="0"/>
    <n v="3212"/>
  </r>
  <r>
    <x v="0"/>
    <x v="0"/>
    <x v="0"/>
    <x v="6"/>
    <x v="6"/>
    <x v="6"/>
    <s v="CHARGES"/>
    <x v="0"/>
    <s v="3212.002"/>
    <s v="Intérêts bonifiés/trop perçu acompte C/C"/>
    <n v="-0.55000000000000004"/>
    <n v="0"/>
    <n v="3212"/>
  </r>
  <r>
    <x v="0"/>
    <x v="0"/>
    <x v="0"/>
    <x v="6"/>
    <x v="6"/>
    <x v="6"/>
    <s v="CHARGES"/>
    <x v="0"/>
    <s v="3221.002"/>
    <s v="Intérêts compensatoires / créances en faveur ctb."/>
    <n v="-0.05"/>
    <n v="0"/>
    <n v="3221"/>
  </r>
  <r>
    <x v="0"/>
    <x v="0"/>
    <x v="0"/>
    <x v="6"/>
    <x v="6"/>
    <x v="6"/>
    <s v="CHARGES"/>
    <x v="1"/>
    <s v="3301.001"/>
    <s v="Défalcations, abandons de solde PP et IS"/>
    <n v="8683.84"/>
    <n v="0"/>
    <n v="3301"/>
  </r>
  <r>
    <x v="0"/>
    <x v="0"/>
    <x v="0"/>
    <x v="6"/>
    <x v="6"/>
    <x v="6"/>
    <s v="CHARGES"/>
    <x v="1"/>
    <s v="3301.001"/>
    <s v="Défalcations, abandons de solde PP et IS"/>
    <n v="0.13"/>
    <n v="0"/>
    <n v="3301"/>
  </r>
  <r>
    <x v="0"/>
    <x v="0"/>
    <x v="0"/>
    <x v="6"/>
    <x v="6"/>
    <x v="6"/>
    <s v="CHARGES"/>
    <x v="1"/>
    <s v="3301.001"/>
    <s v="Défalcations, abandons de solde PP et IS"/>
    <n v="-0.02"/>
    <n v="0"/>
    <n v="3301"/>
  </r>
  <r>
    <x v="0"/>
    <x v="0"/>
    <x v="0"/>
    <x v="6"/>
    <x v="6"/>
    <x v="6"/>
    <s v="CHARGES"/>
    <x v="0"/>
    <s v="3212.004"/>
    <s v="Intérêts rémun./perçu trop tôt sur acomptes C/C"/>
    <n v="0.12"/>
    <n v="0"/>
    <n v="3212"/>
  </r>
  <r>
    <x v="0"/>
    <x v="0"/>
    <x v="0"/>
    <x v="6"/>
    <x v="6"/>
    <x v="6"/>
    <s v="CHARGES"/>
    <x v="0"/>
    <s v="3212.004"/>
    <s v="Intérêts rémun./perçu trop tôt sur acomptes C/C"/>
    <n v="-4.5999999999999996"/>
    <n v="0"/>
    <n v="3212"/>
  </r>
  <r>
    <x v="0"/>
    <x v="0"/>
    <x v="0"/>
    <x v="6"/>
    <x v="6"/>
    <x v="6"/>
    <s v="REVENUS"/>
    <x v="2"/>
    <s v="4001.007"/>
    <s v="Acompte impôt sur revenu"/>
    <n v="0"/>
    <n v="-331124.75"/>
    <n v="4001"/>
  </r>
  <r>
    <x v="0"/>
    <x v="0"/>
    <x v="0"/>
    <x v="6"/>
    <x v="6"/>
    <x v="6"/>
    <s v="REVENUS"/>
    <x v="2"/>
    <s v="4001.001"/>
    <s v="Impôt revenu"/>
    <n v="0"/>
    <n v="3672067.6"/>
    <n v="4001"/>
  </r>
  <r>
    <x v="0"/>
    <x v="0"/>
    <x v="0"/>
    <x v="6"/>
    <x v="6"/>
    <x v="6"/>
    <s v="REVENUS"/>
    <x v="2"/>
    <s v="4001.003"/>
    <s v="Impôt s/prest. cap. PP"/>
    <n v="0"/>
    <n v="167347.6"/>
    <n v="4001"/>
  </r>
  <r>
    <x v="0"/>
    <x v="0"/>
    <x v="0"/>
    <x v="6"/>
    <x v="6"/>
    <x v="6"/>
    <s v="REVENUS"/>
    <x v="3"/>
    <s v="4002.001"/>
    <s v="Impôt ordinaire s/fortune PP"/>
    <n v="0"/>
    <n v="786845.6"/>
    <n v="4002"/>
  </r>
  <r>
    <x v="0"/>
    <x v="0"/>
    <x v="0"/>
    <x v="6"/>
    <x v="6"/>
    <x v="6"/>
    <s v="REVENUS"/>
    <x v="3"/>
    <s v="4002.007"/>
    <s v="Acompte impôt sur fortune"/>
    <n v="0"/>
    <n v="17246.400000000001"/>
    <n v="4002"/>
  </r>
  <r>
    <x v="0"/>
    <x v="0"/>
    <x v="0"/>
    <x v="6"/>
    <x v="6"/>
    <x v="6"/>
    <s v="REVENUS"/>
    <x v="6"/>
    <s v="4211.001"/>
    <s v="Intérêts de retard sur factures"/>
    <n v="0"/>
    <n v="22147.23"/>
    <n v="4211"/>
  </r>
  <r>
    <x v="0"/>
    <x v="0"/>
    <x v="0"/>
    <x v="6"/>
    <x v="6"/>
    <x v="6"/>
    <s v="REVENUS"/>
    <x v="6"/>
    <s v="4221.002"/>
    <s v="Intérêts compensat. sur impôts distincts"/>
    <n v="0"/>
    <n v="540.78"/>
    <n v="4221"/>
  </r>
  <r>
    <x v="0"/>
    <x v="0"/>
    <x v="0"/>
    <x v="6"/>
    <x v="6"/>
    <x v="6"/>
    <s v="REVENUS"/>
    <x v="6"/>
    <s v="4221.003"/>
    <s v="Intérêts compensat. / acomptes en faveur du fisc"/>
    <n v="0"/>
    <n v="827.67"/>
    <n v="4221"/>
  </r>
  <r>
    <x v="0"/>
    <x v="0"/>
    <x v="0"/>
    <x v="6"/>
    <x v="6"/>
    <x v="6"/>
    <s v="REVENUS"/>
    <x v="2"/>
    <s v="4001.002"/>
    <s v="Impôt complément s/revenu PP"/>
    <n v="0"/>
    <n v="545792.65"/>
    <n v="4001"/>
  </r>
  <r>
    <x v="0"/>
    <x v="0"/>
    <x v="0"/>
    <x v="6"/>
    <x v="6"/>
    <x v="6"/>
    <s v="REVENUS"/>
    <x v="7"/>
    <s v="4184.000"/>
    <s v="Frais de poursuite"/>
    <n v="0"/>
    <n v="3402.11"/>
    <n v="4184"/>
  </r>
  <r>
    <x v="0"/>
    <x v="0"/>
    <x v="0"/>
    <x v="6"/>
    <x v="6"/>
    <x v="6"/>
    <s v="REVENUS"/>
    <x v="6"/>
    <s v="4211.002"/>
    <s v="Intérêts de retard sur acomptes"/>
    <n v="0"/>
    <n v="34327.910000000003"/>
    <n v="4211"/>
  </r>
  <r>
    <x v="0"/>
    <x v="0"/>
    <x v="0"/>
    <x v="6"/>
    <x v="6"/>
    <x v="6"/>
    <s v="REVENUS"/>
    <x v="3"/>
    <s v="4002.001"/>
    <s v="Impôt ordinaire s/fortune PP"/>
    <n v="0"/>
    <n v="48788.25"/>
    <n v="4002"/>
  </r>
  <r>
    <x v="0"/>
    <x v="0"/>
    <x v="0"/>
    <x v="6"/>
    <x v="6"/>
    <x v="6"/>
    <s v="REVENUS"/>
    <x v="2"/>
    <s v="4001.001"/>
    <s v="Impôt revenu"/>
    <n v="0"/>
    <n v="106890.5"/>
    <n v="4001"/>
  </r>
  <r>
    <x v="0"/>
    <x v="0"/>
    <x v="0"/>
    <x v="6"/>
    <x v="6"/>
    <x v="6"/>
    <s v="REVENUS"/>
    <x v="2"/>
    <s v="4001.007"/>
    <s v="Acompte impôt sur revenu"/>
    <n v="0"/>
    <n v="-31779.02"/>
    <n v="4001"/>
  </r>
  <r>
    <x v="0"/>
    <x v="0"/>
    <x v="0"/>
    <x v="6"/>
    <x v="6"/>
    <x v="6"/>
    <s v="REVENUS"/>
    <x v="3"/>
    <s v="4002.007"/>
    <s v="Acompte impôt sur fortune"/>
    <n v="0"/>
    <n v="-17800.830000000002"/>
    <n v="4002"/>
  </r>
  <r>
    <x v="0"/>
    <x v="0"/>
    <x v="0"/>
    <x v="6"/>
    <x v="6"/>
    <x v="6"/>
    <s v="REVENUS"/>
    <x v="6"/>
    <s v="4221.003"/>
    <s v="Intérêts compensat. / acomptes en faveur du fisc"/>
    <n v="0"/>
    <n v="22.92"/>
    <n v="4221"/>
  </r>
  <r>
    <x v="0"/>
    <x v="0"/>
    <x v="0"/>
    <x v="6"/>
    <x v="6"/>
    <x v="6"/>
    <s v="REVENUS"/>
    <x v="2"/>
    <s v="4001.001"/>
    <s v="Impôt revenu"/>
    <n v="0"/>
    <n v="17088.8"/>
    <n v="4001"/>
  </r>
  <r>
    <x v="0"/>
    <x v="0"/>
    <x v="0"/>
    <x v="6"/>
    <x v="6"/>
    <x v="6"/>
    <s v="REVENUS"/>
    <x v="3"/>
    <s v="4002.001"/>
    <s v="Impôt ordinaire s/fortune PP"/>
    <n v="0"/>
    <n v="25024.1"/>
    <n v="4002"/>
  </r>
  <r>
    <x v="0"/>
    <x v="0"/>
    <x v="0"/>
    <x v="6"/>
    <x v="6"/>
    <x v="6"/>
    <s v="REVENUS"/>
    <x v="6"/>
    <s v="4211.001"/>
    <s v="Intérêts de retard sur factures"/>
    <n v="0"/>
    <n v="-261.06"/>
    <n v="4211"/>
  </r>
  <r>
    <x v="0"/>
    <x v="0"/>
    <x v="0"/>
    <x v="6"/>
    <x v="6"/>
    <x v="6"/>
    <s v="REVENUS"/>
    <x v="6"/>
    <s v="4211.002"/>
    <s v="Intérêts de retard sur acomptes"/>
    <n v="0"/>
    <n v="-101.83"/>
    <n v="4211"/>
  </r>
  <r>
    <x v="0"/>
    <x v="0"/>
    <x v="0"/>
    <x v="6"/>
    <x v="6"/>
    <x v="6"/>
    <s v="REVENUS"/>
    <x v="7"/>
    <s v="4184.000"/>
    <s v="Frais de poursuite"/>
    <n v="0"/>
    <n v="4850.3599999999997"/>
    <n v="4184"/>
  </r>
  <r>
    <x v="0"/>
    <x v="0"/>
    <x v="0"/>
    <x v="6"/>
    <x v="6"/>
    <x v="6"/>
    <s v="REVENUS"/>
    <x v="12"/>
    <s v="4004.000"/>
    <s v="Impôt spécial étrangers"/>
    <n v="0"/>
    <n v="149559.4"/>
    <n v="4004"/>
  </r>
  <r>
    <x v="0"/>
    <x v="0"/>
    <x v="0"/>
    <x v="6"/>
    <x v="6"/>
    <x v="6"/>
    <s v="REVENUS"/>
    <x v="12"/>
    <s v="4004.007"/>
    <s v="Acompte spécial étrangers"/>
    <n v="0"/>
    <n v="6389.9"/>
    <n v="4004"/>
  </r>
  <r>
    <x v="0"/>
    <x v="0"/>
    <x v="0"/>
    <x v="6"/>
    <x v="6"/>
    <x v="6"/>
    <s v="REVENUS"/>
    <x v="10"/>
    <s v="4041.001"/>
    <s v="Droits de mutation"/>
    <n v="0"/>
    <n v="376824.2"/>
    <n v="4041"/>
  </r>
  <r>
    <x v="0"/>
    <x v="0"/>
    <x v="0"/>
    <x v="6"/>
    <x v="6"/>
    <x v="6"/>
    <s v="REVENUS"/>
    <x v="4"/>
    <s v="4051.001"/>
    <s v="Impôt sur les successions"/>
    <n v="0"/>
    <n v="157815.9"/>
    <n v="4051"/>
  </r>
  <r>
    <x v="0"/>
    <x v="0"/>
    <x v="0"/>
    <x v="6"/>
    <x v="6"/>
    <x v="6"/>
    <s v="REVENUS"/>
    <x v="6"/>
    <s v="4211.001"/>
    <s v="Intérêts de retard sur factures"/>
    <n v="0"/>
    <n v="667.7"/>
    <n v="4211"/>
  </r>
  <r>
    <x v="0"/>
    <x v="0"/>
    <x v="0"/>
    <x v="6"/>
    <x v="6"/>
    <x v="6"/>
    <s v="REVENUS"/>
    <x v="2"/>
    <s v="4001.001"/>
    <s v="Impôt revenu"/>
    <n v="0"/>
    <n v="219.1"/>
    <n v="4001"/>
  </r>
  <r>
    <x v="0"/>
    <x v="0"/>
    <x v="0"/>
    <x v="6"/>
    <x v="6"/>
    <x v="6"/>
    <s v="REVENUS"/>
    <x v="2"/>
    <s v="4001.007"/>
    <s v="Acompte impôt sur revenu"/>
    <n v="0"/>
    <n v="-120.67"/>
    <n v="4001"/>
  </r>
  <r>
    <x v="0"/>
    <x v="0"/>
    <x v="0"/>
    <x v="6"/>
    <x v="6"/>
    <x v="6"/>
    <s v="REVENUS"/>
    <x v="3"/>
    <s v="4002.001"/>
    <s v="Impôt ordinaire s/fortune PP"/>
    <n v="0"/>
    <n v="65.849999999999994"/>
    <n v="4002"/>
  </r>
  <r>
    <x v="0"/>
    <x v="0"/>
    <x v="0"/>
    <x v="6"/>
    <x v="6"/>
    <x v="6"/>
    <s v="REVENUS"/>
    <x v="3"/>
    <s v="4002.007"/>
    <s v="Acompte impôt sur fortune"/>
    <n v="0"/>
    <n v="-17.39"/>
    <n v="4002"/>
  </r>
  <r>
    <x v="0"/>
    <x v="0"/>
    <x v="0"/>
    <x v="6"/>
    <x v="6"/>
    <x v="6"/>
    <s v="REVENUS"/>
    <x v="3"/>
    <s v="4002.002"/>
    <s v="Impôt complémentaire s/fortune PP"/>
    <n v="0"/>
    <n v="107361.3"/>
    <n v="4002"/>
  </r>
  <r>
    <x v="0"/>
    <x v="0"/>
    <x v="0"/>
    <x v="6"/>
    <x v="6"/>
    <x v="6"/>
    <s v="REVENUS"/>
    <x v="2"/>
    <s v="4001.007"/>
    <s v="Acompte impôt sur revenu"/>
    <n v="0"/>
    <n v="-9062.1"/>
    <n v="4001"/>
  </r>
  <r>
    <x v="0"/>
    <x v="0"/>
    <x v="0"/>
    <x v="6"/>
    <x v="6"/>
    <x v="6"/>
    <s v="REVENUS"/>
    <x v="3"/>
    <s v="4002.007"/>
    <s v="Acompte impôt sur fortune"/>
    <n v="0"/>
    <n v="-6691.39"/>
    <n v="4002"/>
  </r>
  <r>
    <x v="0"/>
    <x v="0"/>
    <x v="0"/>
    <x v="6"/>
    <x v="6"/>
    <x v="6"/>
    <s v="REVENUS"/>
    <x v="2"/>
    <s v="4001.007"/>
    <s v="Acompte impôt sur revenu"/>
    <n v="0"/>
    <n v="1294.43"/>
    <n v="4001"/>
  </r>
  <r>
    <x v="0"/>
    <x v="0"/>
    <x v="0"/>
    <x v="6"/>
    <x v="6"/>
    <x v="6"/>
    <s v="REVENUS"/>
    <x v="3"/>
    <s v="4002.007"/>
    <s v="Acompte impôt sur fortune"/>
    <n v="0"/>
    <n v="3644.46"/>
    <n v="4002"/>
  </r>
  <r>
    <x v="0"/>
    <x v="0"/>
    <x v="0"/>
    <x v="6"/>
    <x v="6"/>
    <x v="6"/>
    <s v="REVENUS"/>
    <x v="2"/>
    <s v="4001.001"/>
    <s v="Impôt revenu"/>
    <n v="0"/>
    <n v="55775.3"/>
    <n v="4001"/>
  </r>
  <r>
    <x v="0"/>
    <x v="0"/>
    <x v="0"/>
    <x v="6"/>
    <x v="6"/>
    <x v="6"/>
    <s v="REVENUS"/>
    <x v="2"/>
    <s v="4001.007"/>
    <s v="Acompte impôt sur revenu"/>
    <n v="0"/>
    <n v="956.33"/>
    <n v="4001"/>
  </r>
  <r>
    <x v="0"/>
    <x v="0"/>
    <x v="0"/>
    <x v="6"/>
    <x v="6"/>
    <x v="6"/>
    <s v="REVENUS"/>
    <x v="3"/>
    <s v="4002.001"/>
    <s v="Impôt ordinaire s/fortune PP"/>
    <n v="0"/>
    <n v="35536.449999999997"/>
    <n v="4002"/>
  </r>
  <r>
    <x v="0"/>
    <x v="0"/>
    <x v="0"/>
    <x v="6"/>
    <x v="6"/>
    <x v="6"/>
    <s v="REVENUS"/>
    <x v="3"/>
    <s v="4002.007"/>
    <s v="Acompte impôt sur fortune"/>
    <n v="0"/>
    <n v="914.13"/>
    <n v="4002"/>
  </r>
  <r>
    <x v="0"/>
    <x v="0"/>
    <x v="0"/>
    <x v="6"/>
    <x v="6"/>
    <x v="6"/>
    <s v="REVENUS"/>
    <x v="2"/>
    <s v="4001.002"/>
    <s v="Impôt complément s/revenu PP"/>
    <n v="0"/>
    <n v="5513.85"/>
    <n v="4001"/>
  </r>
  <r>
    <x v="0"/>
    <x v="0"/>
    <x v="0"/>
    <x v="6"/>
    <x v="6"/>
    <x v="6"/>
    <s v="REVENUS"/>
    <x v="3"/>
    <s v="4002.002"/>
    <s v="Impôt complémentaire s/fortune PP"/>
    <n v="0"/>
    <n v="12086"/>
    <n v="4002"/>
  </r>
  <r>
    <x v="0"/>
    <x v="0"/>
    <x v="0"/>
    <x v="6"/>
    <x v="6"/>
    <x v="6"/>
    <s v="REVENUS"/>
    <x v="6"/>
    <s v="4211.002"/>
    <s v="Intérêts de retard sur acomptes"/>
    <n v="0"/>
    <n v="376.7"/>
    <n v="4211"/>
  </r>
  <r>
    <x v="0"/>
    <x v="0"/>
    <x v="0"/>
    <x v="6"/>
    <x v="6"/>
    <x v="6"/>
    <s v="REVENUS"/>
    <x v="6"/>
    <s v="4211.001"/>
    <s v="Intérêts de retard sur factures"/>
    <n v="0"/>
    <n v="3.77"/>
    <n v="4211"/>
  </r>
  <r>
    <x v="0"/>
    <x v="0"/>
    <x v="0"/>
    <x v="6"/>
    <x v="6"/>
    <x v="6"/>
    <s v="REVENUS"/>
    <x v="2"/>
    <s v="4001.001"/>
    <s v="Impôt revenu"/>
    <n v="0"/>
    <n v="10086.65"/>
    <n v="4001"/>
  </r>
  <r>
    <x v="0"/>
    <x v="0"/>
    <x v="0"/>
    <x v="6"/>
    <x v="6"/>
    <x v="6"/>
    <s v="REVENUS"/>
    <x v="3"/>
    <s v="4002.001"/>
    <s v="Impôt ordinaire s/fortune PP"/>
    <n v="0"/>
    <n v="7178.6"/>
    <n v="4002"/>
  </r>
  <r>
    <x v="0"/>
    <x v="0"/>
    <x v="0"/>
    <x v="6"/>
    <x v="6"/>
    <x v="6"/>
    <s v="REVENUS"/>
    <x v="6"/>
    <s v="4211.002"/>
    <s v="Intérêts de retard sur acomptes"/>
    <n v="0"/>
    <n v="32.26"/>
    <n v="4211"/>
  </r>
  <r>
    <x v="0"/>
    <x v="0"/>
    <x v="0"/>
    <x v="6"/>
    <x v="6"/>
    <x v="6"/>
    <s v="REVENUS"/>
    <x v="6"/>
    <s v="4221.003"/>
    <s v="Intérêts compensat. / acomptes en faveur du fisc"/>
    <n v="0"/>
    <n v="3.06"/>
    <n v="4221"/>
  </r>
  <r>
    <x v="0"/>
    <x v="0"/>
    <x v="0"/>
    <x v="6"/>
    <x v="6"/>
    <x v="6"/>
    <s v="REVENUS"/>
    <x v="6"/>
    <s v="4221.003"/>
    <s v="Intérêts compensat. / acomptes en faveur du fisc"/>
    <n v="0"/>
    <n v="9.98"/>
    <n v="4221"/>
  </r>
  <r>
    <x v="0"/>
    <x v="0"/>
    <x v="0"/>
    <x v="6"/>
    <x v="6"/>
    <x v="6"/>
    <s v="REVENUS"/>
    <x v="2"/>
    <s v="4001.001"/>
    <s v="Impôt revenu"/>
    <n v="0"/>
    <n v="12774.2"/>
    <n v="4001"/>
  </r>
  <r>
    <x v="0"/>
    <x v="0"/>
    <x v="0"/>
    <x v="6"/>
    <x v="6"/>
    <x v="6"/>
    <s v="REVENUS"/>
    <x v="2"/>
    <s v="4001.002"/>
    <s v="Impôt complément s/revenu PP"/>
    <n v="0"/>
    <n v="2848.85"/>
    <n v="4001"/>
  </r>
  <r>
    <x v="0"/>
    <x v="0"/>
    <x v="0"/>
    <x v="6"/>
    <x v="6"/>
    <x v="6"/>
    <s v="REVENUS"/>
    <x v="2"/>
    <s v="4001.007"/>
    <s v="Acompte impôt sur revenu"/>
    <n v="0"/>
    <n v="5152.38"/>
    <n v="4001"/>
  </r>
  <r>
    <x v="0"/>
    <x v="0"/>
    <x v="0"/>
    <x v="6"/>
    <x v="6"/>
    <x v="6"/>
    <s v="REVENUS"/>
    <x v="3"/>
    <s v="4002.001"/>
    <s v="Impôt ordinaire s/fortune PP"/>
    <n v="0"/>
    <n v="15261.45"/>
    <n v="4002"/>
  </r>
  <r>
    <x v="0"/>
    <x v="0"/>
    <x v="0"/>
    <x v="6"/>
    <x v="6"/>
    <x v="6"/>
    <s v="REVENUS"/>
    <x v="3"/>
    <s v="4002.002"/>
    <s v="Impôt complémentaire s/fortune PP"/>
    <n v="0"/>
    <n v="2671"/>
    <n v="4002"/>
  </r>
  <r>
    <x v="0"/>
    <x v="0"/>
    <x v="0"/>
    <x v="6"/>
    <x v="6"/>
    <x v="6"/>
    <s v="REVENUS"/>
    <x v="3"/>
    <s v="4002.007"/>
    <s v="Acompte impôt sur fortune"/>
    <n v="0"/>
    <n v="-1320.2"/>
    <n v="4002"/>
  </r>
  <r>
    <x v="0"/>
    <x v="0"/>
    <x v="0"/>
    <x v="6"/>
    <x v="6"/>
    <x v="6"/>
    <s v="REVENUS"/>
    <x v="6"/>
    <s v="4211.001"/>
    <s v="Intérêts de retard sur factures"/>
    <n v="0"/>
    <n v="4.51"/>
    <n v="4211"/>
  </r>
  <r>
    <x v="0"/>
    <x v="0"/>
    <x v="0"/>
    <x v="6"/>
    <x v="6"/>
    <x v="6"/>
    <s v="REVENUS"/>
    <x v="6"/>
    <s v="4211.002"/>
    <s v="Intérêts de retard sur acomptes"/>
    <n v="0"/>
    <n v="54.33"/>
    <n v="4211"/>
  </r>
  <r>
    <x v="0"/>
    <x v="0"/>
    <x v="0"/>
    <x v="6"/>
    <x v="6"/>
    <x v="6"/>
    <s v="REVENUS"/>
    <x v="6"/>
    <s v="4221.003"/>
    <s v="Intérêts compensat. / acomptes en faveur du fisc"/>
    <n v="0"/>
    <n v="4.95"/>
    <n v="4221"/>
  </r>
  <r>
    <x v="0"/>
    <x v="0"/>
    <x v="0"/>
    <x v="6"/>
    <x v="6"/>
    <x v="6"/>
    <s v="REVENUS"/>
    <x v="2"/>
    <s v="4001.007"/>
    <s v="Acompte impôt sur revenu"/>
    <n v="0"/>
    <n v="-3180.05"/>
    <n v="4001"/>
  </r>
  <r>
    <x v="0"/>
    <x v="0"/>
    <x v="0"/>
    <x v="6"/>
    <x v="6"/>
    <x v="6"/>
    <s v="REVENUS"/>
    <x v="3"/>
    <s v="4002.007"/>
    <s v="Acompte impôt sur fortune"/>
    <n v="0"/>
    <n v="-908.31"/>
    <n v="4002"/>
  </r>
  <r>
    <x v="0"/>
    <x v="0"/>
    <x v="0"/>
    <x v="6"/>
    <x v="6"/>
    <x v="6"/>
    <s v="REVENUS"/>
    <x v="2"/>
    <s v="4001.007"/>
    <s v="Acompte impôt sur revenu"/>
    <n v="0"/>
    <n v="-1901.19"/>
    <n v="4001"/>
  </r>
  <r>
    <x v="0"/>
    <x v="0"/>
    <x v="0"/>
    <x v="6"/>
    <x v="6"/>
    <x v="6"/>
    <s v="REVENUS"/>
    <x v="3"/>
    <s v="4002.007"/>
    <s v="Acompte impôt sur fortune"/>
    <n v="0"/>
    <n v="-1022.87"/>
    <n v="4002"/>
  </r>
  <r>
    <x v="0"/>
    <x v="0"/>
    <x v="0"/>
    <x v="6"/>
    <x v="6"/>
    <x v="6"/>
    <s v="REVENUS"/>
    <x v="2"/>
    <s v="4001.002"/>
    <s v="Impôt complément s/revenu PP"/>
    <n v="0"/>
    <n v="26945.1"/>
    <n v="4001"/>
  </r>
  <r>
    <x v="0"/>
    <x v="0"/>
    <x v="0"/>
    <x v="6"/>
    <x v="6"/>
    <x v="6"/>
    <s v="REVENUS"/>
    <x v="3"/>
    <s v="4002.002"/>
    <s v="Impôt complémentaire s/fortune PP"/>
    <n v="0"/>
    <n v="22583.25"/>
    <n v="4002"/>
  </r>
  <r>
    <x v="0"/>
    <x v="0"/>
    <x v="0"/>
    <x v="6"/>
    <x v="6"/>
    <x v="6"/>
    <s v="REVENUS"/>
    <x v="6"/>
    <s v="4221.003"/>
    <s v="Intérêts compensat. / acomptes en faveur du fisc"/>
    <n v="0"/>
    <n v="-2.1800000000000002"/>
    <n v="4221"/>
  </r>
  <r>
    <x v="0"/>
    <x v="0"/>
    <x v="0"/>
    <x v="6"/>
    <x v="6"/>
    <x v="6"/>
    <s v="REVENUS"/>
    <x v="2"/>
    <s v="4001.002"/>
    <s v="Impôt complément s/revenu PP"/>
    <n v="0"/>
    <n v="2569.65"/>
    <n v="4001"/>
  </r>
  <r>
    <x v="0"/>
    <x v="0"/>
    <x v="0"/>
    <x v="6"/>
    <x v="6"/>
    <x v="6"/>
    <s v="REVENUS"/>
    <x v="3"/>
    <s v="4002.002"/>
    <s v="Impôt complémentaire s/fortune PP"/>
    <n v="0"/>
    <n v="4906.45"/>
    <n v="4002"/>
  </r>
  <r>
    <x v="0"/>
    <x v="0"/>
    <x v="0"/>
    <x v="6"/>
    <x v="6"/>
    <x v="6"/>
    <s v="REVENUS"/>
    <x v="6"/>
    <s v="4211.001"/>
    <s v="Intérêts de retard sur factures"/>
    <n v="0"/>
    <n v="245.27"/>
    <n v="4211"/>
  </r>
  <r>
    <x v="0"/>
    <x v="0"/>
    <x v="0"/>
    <x v="6"/>
    <x v="6"/>
    <x v="6"/>
    <s v="REVENUS"/>
    <x v="6"/>
    <s v="4211.002"/>
    <s v="Intérêts de retard sur acomptes"/>
    <n v="0"/>
    <n v="8.9"/>
    <n v="4211"/>
  </r>
  <r>
    <x v="0"/>
    <x v="0"/>
    <x v="0"/>
    <x v="6"/>
    <x v="6"/>
    <x v="6"/>
    <s v="REVENUS"/>
    <x v="9"/>
    <s v="4031.001"/>
    <s v="Impôt sur les gains immobiliers"/>
    <n v="0"/>
    <n v="163011.5"/>
    <n v="4031"/>
  </r>
  <r>
    <x v="0"/>
    <x v="0"/>
    <x v="0"/>
    <x v="6"/>
    <x v="6"/>
    <x v="6"/>
    <s v="REVENUS"/>
    <x v="9"/>
    <s v="4031.002"/>
    <s v="Complément impôt sur les gains immobiliers"/>
    <n v="0"/>
    <n v="24345.65"/>
    <n v="4031"/>
  </r>
  <r>
    <x v="0"/>
    <x v="0"/>
    <x v="0"/>
    <x v="6"/>
    <x v="6"/>
    <x v="6"/>
    <s v="REVENUS"/>
    <x v="2"/>
    <s v="4001.007"/>
    <s v="Acompte impôt sur revenu"/>
    <n v="0"/>
    <n v="89.55"/>
    <n v="4001"/>
  </r>
  <r>
    <x v="0"/>
    <x v="0"/>
    <x v="0"/>
    <x v="6"/>
    <x v="6"/>
    <x v="6"/>
    <s v="REVENUS"/>
    <x v="3"/>
    <s v="4002.007"/>
    <s v="Acompte impôt sur fortune"/>
    <n v="0"/>
    <n v="-50.1"/>
    <n v="4002"/>
  </r>
  <r>
    <x v="0"/>
    <x v="0"/>
    <x v="0"/>
    <x v="6"/>
    <x v="6"/>
    <x v="6"/>
    <s v="REVENUS"/>
    <x v="7"/>
    <s v="4184.000"/>
    <s v="Frais de poursuite"/>
    <n v="0"/>
    <n v="542.21"/>
    <n v="4184"/>
  </r>
  <r>
    <x v="0"/>
    <x v="0"/>
    <x v="0"/>
    <x v="6"/>
    <x v="6"/>
    <x v="6"/>
    <s v="REVENUS"/>
    <x v="8"/>
    <s v="4091.001"/>
    <s v="Impôt récupéré après défalcations"/>
    <n v="0"/>
    <n v="20706.84"/>
    <n v="4091"/>
  </r>
  <r>
    <x v="0"/>
    <x v="0"/>
    <x v="0"/>
    <x v="6"/>
    <x v="6"/>
    <x v="6"/>
    <s v="REVENUS"/>
    <x v="2"/>
    <s v="4001.001"/>
    <s v="Impôt revenu"/>
    <n v="0"/>
    <n v="-2511.9499999999998"/>
    <n v="4001"/>
  </r>
  <r>
    <x v="0"/>
    <x v="0"/>
    <x v="0"/>
    <x v="6"/>
    <x v="6"/>
    <x v="6"/>
    <s v="REVENUS"/>
    <x v="3"/>
    <s v="4002.001"/>
    <s v="Impôt ordinaire s/fortune PP"/>
    <n v="0"/>
    <n v="-1607"/>
    <n v="4002"/>
  </r>
  <r>
    <x v="0"/>
    <x v="0"/>
    <x v="0"/>
    <x v="6"/>
    <x v="6"/>
    <x v="6"/>
    <s v="REVENUS"/>
    <x v="6"/>
    <s v="4211.002"/>
    <s v="Intérêts de retard sur acomptes"/>
    <n v="0"/>
    <n v="0.01"/>
    <n v="4211"/>
  </r>
  <r>
    <x v="0"/>
    <x v="0"/>
    <x v="0"/>
    <x v="6"/>
    <x v="6"/>
    <x v="6"/>
    <s v="REVENUS"/>
    <x v="6"/>
    <s v="4221.003"/>
    <s v="Intérêts compensat. / acomptes en faveur du fisc"/>
    <n v="0"/>
    <n v="0"/>
    <n v="4221"/>
  </r>
  <r>
    <x v="0"/>
    <x v="0"/>
    <x v="0"/>
    <x v="6"/>
    <x v="6"/>
    <x v="6"/>
    <s v="REVENUS"/>
    <x v="7"/>
    <s v="4184.000"/>
    <s v="Frais de poursuite"/>
    <n v="0"/>
    <n v="14.2"/>
    <n v="4184"/>
  </r>
  <r>
    <x v="0"/>
    <x v="0"/>
    <x v="0"/>
    <x v="6"/>
    <x v="6"/>
    <x v="6"/>
    <s v="REVENUS"/>
    <x v="8"/>
    <s v="4091.001"/>
    <s v="Impôt récupéré après défalcations"/>
    <n v="0"/>
    <n v="2248.75"/>
    <n v="4091"/>
  </r>
  <r>
    <x v="0"/>
    <x v="0"/>
    <x v="0"/>
    <x v="6"/>
    <x v="6"/>
    <x v="6"/>
    <s v="REVENUS"/>
    <x v="8"/>
    <s v="4091.001"/>
    <s v="Impôt récupéré après défalcations"/>
    <n v="0"/>
    <n v="1318.85"/>
    <n v="4091"/>
  </r>
  <r>
    <x v="0"/>
    <x v="0"/>
    <x v="0"/>
    <x v="6"/>
    <x v="6"/>
    <x v="6"/>
    <s v="REVENUS"/>
    <x v="2"/>
    <s v="4001.001"/>
    <s v="Impôt revenu"/>
    <n v="0"/>
    <n v="594.15"/>
    <n v="4001"/>
  </r>
  <r>
    <x v="0"/>
    <x v="0"/>
    <x v="0"/>
    <x v="6"/>
    <x v="6"/>
    <x v="6"/>
    <s v="REVENUS"/>
    <x v="6"/>
    <s v="4211.002"/>
    <s v="Intérêts de retard sur acomptes"/>
    <n v="0"/>
    <n v="0.05"/>
    <n v="4211"/>
  </r>
  <r>
    <x v="0"/>
    <x v="0"/>
    <x v="0"/>
    <x v="6"/>
    <x v="6"/>
    <x v="6"/>
    <s v="REVENUS"/>
    <x v="6"/>
    <s v="4221.003"/>
    <s v="Intérêts compensat. / acomptes en faveur du fisc"/>
    <n v="0"/>
    <n v="0.13"/>
    <n v="4221"/>
  </r>
  <r>
    <x v="0"/>
    <x v="0"/>
    <x v="0"/>
    <x v="6"/>
    <x v="6"/>
    <x v="6"/>
    <s v="REVENUS"/>
    <x v="2"/>
    <s v="4001.002"/>
    <s v="Impôt complément s/revenu PP"/>
    <n v="0"/>
    <n v="395.8"/>
    <n v="4001"/>
  </r>
  <r>
    <x v="0"/>
    <x v="0"/>
    <x v="0"/>
    <x v="6"/>
    <x v="6"/>
    <x v="6"/>
    <s v="REVENUS"/>
    <x v="3"/>
    <s v="4002.002"/>
    <s v="Impôt complémentaire s/fortune PP"/>
    <n v="0"/>
    <n v="424"/>
    <n v="4002"/>
  </r>
  <r>
    <x v="0"/>
    <x v="0"/>
    <x v="0"/>
    <x v="6"/>
    <x v="6"/>
    <x v="6"/>
    <s v="REVENUS"/>
    <x v="5"/>
    <s v="4061.000"/>
    <s v="Impôt sur les chiens"/>
    <n v="0"/>
    <n v="17800"/>
    <n v="4061"/>
  </r>
  <r>
    <x v="0"/>
    <x v="0"/>
    <x v="0"/>
    <x v="6"/>
    <x v="6"/>
    <x v="6"/>
    <s v="REVENUS"/>
    <x v="3"/>
    <s v="4002.001"/>
    <s v="Impôt ordinaire s/fortune PP"/>
    <n v="0"/>
    <n v="1265.55"/>
    <n v="4002"/>
  </r>
  <r>
    <x v="0"/>
    <x v="0"/>
    <x v="0"/>
    <x v="6"/>
    <x v="6"/>
    <x v="6"/>
    <s v="REVENUS"/>
    <x v="2"/>
    <s v="4001.001"/>
    <s v="Impôt revenu"/>
    <n v="0"/>
    <n v="-762.9"/>
    <n v="4001"/>
  </r>
  <r>
    <x v="0"/>
    <x v="0"/>
    <x v="0"/>
    <x v="6"/>
    <x v="6"/>
    <x v="6"/>
    <s v="REVENUS"/>
    <x v="3"/>
    <s v="4002.001"/>
    <s v="Impôt ordinaire s/fortune PP"/>
    <n v="0"/>
    <n v="-1612.45"/>
    <n v="4002"/>
  </r>
  <r>
    <x v="0"/>
    <x v="0"/>
    <x v="0"/>
    <x v="6"/>
    <x v="6"/>
    <x v="6"/>
    <s v="REVENUS"/>
    <x v="6"/>
    <s v="4221.003"/>
    <s v="Intérêts compensat. / acomptes en faveur du fisc"/>
    <n v="0"/>
    <n v="-3.21"/>
    <n v="4221"/>
  </r>
  <r>
    <x v="0"/>
    <x v="0"/>
    <x v="0"/>
    <x v="6"/>
    <x v="6"/>
    <x v="6"/>
    <s v="REVENUS"/>
    <x v="10"/>
    <s v="4041.002"/>
    <s v="Complément droit de mutation"/>
    <n v="0"/>
    <n v="4636.5"/>
    <n v="4041"/>
  </r>
  <r>
    <x v="0"/>
    <x v="0"/>
    <x v="0"/>
    <x v="6"/>
    <x v="6"/>
    <x v="6"/>
    <s v="REVENUS"/>
    <x v="6"/>
    <s v="4211.002"/>
    <s v="Intérêts de retard sur acomptes"/>
    <n v="0"/>
    <n v="1.05"/>
    <n v="4211"/>
  </r>
  <r>
    <x v="0"/>
    <x v="0"/>
    <x v="0"/>
    <x v="6"/>
    <x v="6"/>
    <x v="6"/>
    <s v="REVENUS"/>
    <x v="6"/>
    <s v="4211.001"/>
    <s v="Intérêts de retard sur factures"/>
    <n v="0"/>
    <n v="14.05"/>
    <n v="4211"/>
  </r>
  <r>
    <x v="0"/>
    <x v="0"/>
    <x v="0"/>
    <x v="7"/>
    <x v="7"/>
    <x v="7"/>
    <s v="CHARGES"/>
    <x v="1"/>
    <s v="3301.001"/>
    <s v="Défalcations, abandons de solde PP et IS"/>
    <n v="4326.45"/>
    <n v="0"/>
    <n v="3301"/>
  </r>
  <r>
    <x v="0"/>
    <x v="0"/>
    <x v="0"/>
    <x v="7"/>
    <x v="7"/>
    <x v="7"/>
    <s v="CHARGES"/>
    <x v="0"/>
    <s v="3212.004"/>
    <s v="Intérêts rémun./perçu trop tôt sur acomptes C/C"/>
    <n v="276.83"/>
    <n v="0"/>
    <n v="3212"/>
  </r>
  <r>
    <x v="0"/>
    <x v="0"/>
    <x v="0"/>
    <x v="7"/>
    <x v="7"/>
    <x v="7"/>
    <s v="CHARGES"/>
    <x v="0"/>
    <s v="3221.002"/>
    <s v="Intérêts compensatoires / créances en faveur ctb."/>
    <n v="94.42"/>
    <n v="0"/>
    <n v="3221"/>
  </r>
  <r>
    <x v="0"/>
    <x v="0"/>
    <x v="0"/>
    <x v="7"/>
    <x v="7"/>
    <x v="7"/>
    <s v="CHARGES"/>
    <x v="1"/>
    <s v="3301.001"/>
    <s v="Défalcations, abandons de solde PP et IS"/>
    <n v="6084.17"/>
    <n v="0"/>
    <n v="3301"/>
  </r>
  <r>
    <x v="0"/>
    <x v="0"/>
    <x v="0"/>
    <x v="7"/>
    <x v="7"/>
    <x v="7"/>
    <s v="CHARGES"/>
    <x v="0"/>
    <s v="3212.002"/>
    <s v="Intérêts bonifiés/trop perçu acompte C/C"/>
    <n v="37.99"/>
    <n v="0"/>
    <n v="3212"/>
  </r>
  <r>
    <x v="0"/>
    <x v="0"/>
    <x v="0"/>
    <x v="7"/>
    <x v="7"/>
    <x v="7"/>
    <s v="CHARGES"/>
    <x v="0"/>
    <s v="3212.004"/>
    <s v="Intérêts rémun./perçu trop tôt sur acomptes C/C"/>
    <n v="14.71"/>
    <n v="0"/>
    <n v="3212"/>
  </r>
  <r>
    <x v="0"/>
    <x v="0"/>
    <x v="0"/>
    <x v="7"/>
    <x v="7"/>
    <x v="7"/>
    <s v="CHARGES"/>
    <x v="0"/>
    <s v="3221.002"/>
    <s v="Intérêts compensatoires / créances en faveur ctb."/>
    <n v="3.44"/>
    <n v="0"/>
    <n v="3221"/>
  </r>
  <r>
    <x v="0"/>
    <x v="0"/>
    <x v="0"/>
    <x v="7"/>
    <x v="7"/>
    <x v="7"/>
    <s v="CHARGES"/>
    <x v="0"/>
    <s v="3212.004"/>
    <s v="Intérêts rémun./perçu trop tôt sur acomptes C/C"/>
    <n v="2.33"/>
    <n v="0"/>
    <n v="3212"/>
  </r>
  <r>
    <x v="0"/>
    <x v="0"/>
    <x v="0"/>
    <x v="7"/>
    <x v="7"/>
    <x v="7"/>
    <s v="CHARGES"/>
    <x v="0"/>
    <s v="3221.002"/>
    <s v="Intérêts compensatoires / créances en faveur ctb."/>
    <n v="0.85"/>
    <n v="0"/>
    <n v="3221"/>
  </r>
  <r>
    <x v="0"/>
    <x v="0"/>
    <x v="0"/>
    <x v="7"/>
    <x v="7"/>
    <x v="7"/>
    <s v="CHARGES"/>
    <x v="1"/>
    <s v="3301.001"/>
    <s v="Défalcations, abandons de solde PP et IS"/>
    <n v="4.12"/>
    <n v="0"/>
    <n v="3301"/>
  </r>
  <r>
    <x v="0"/>
    <x v="0"/>
    <x v="0"/>
    <x v="7"/>
    <x v="7"/>
    <x v="7"/>
    <s v="CHARGES"/>
    <x v="0"/>
    <s v="3212.004"/>
    <s v="Intérêts rémun./perçu trop tôt sur acomptes C/C"/>
    <n v="0.02"/>
    <n v="0"/>
    <n v="3212"/>
  </r>
  <r>
    <x v="0"/>
    <x v="0"/>
    <x v="0"/>
    <x v="7"/>
    <x v="7"/>
    <x v="7"/>
    <s v="CHARGES"/>
    <x v="0"/>
    <s v="3212.004"/>
    <s v="Intérêts rémun./perçu trop tôt sur acomptes C/C"/>
    <n v="7.0000000000000007E-2"/>
    <n v="0"/>
    <n v="3212"/>
  </r>
  <r>
    <x v="0"/>
    <x v="0"/>
    <x v="0"/>
    <x v="7"/>
    <x v="7"/>
    <x v="7"/>
    <s v="CHARGES"/>
    <x v="0"/>
    <s v="3221.002"/>
    <s v="Intérêts compensatoires / créances en faveur ctb."/>
    <n v="0.01"/>
    <n v="0"/>
    <n v="3221"/>
  </r>
  <r>
    <x v="0"/>
    <x v="0"/>
    <x v="0"/>
    <x v="7"/>
    <x v="7"/>
    <x v="7"/>
    <s v="CHARGES"/>
    <x v="0"/>
    <s v="3212.004"/>
    <s v="Intérêts rémun./perçu trop tôt sur acomptes C/C"/>
    <n v="7.0000000000000007E-2"/>
    <n v="0"/>
    <n v="3212"/>
  </r>
  <r>
    <x v="0"/>
    <x v="0"/>
    <x v="0"/>
    <x v="7"/>
    <x v="7"/>
    <x v="7"/>
    <s v="CHARGES"/>
    <x v="0"/>
    <s v="3212.004"/>
    <s v="Intérêts rémun./perçu trop tôt sur acomptes C/C"/>
    <n v="0.02"/>
    <n v="0"/>
    <n v="3212"/>
  </r>
  <r>
    <x v="0"/>
    <x v="0"/>
    <x v="0"/>
    <x v="7"/>
    <x v="7"/>
    <x v="7"/>
    <s v="CHARGES"/>
    <x v="1"/>
    <s v="3301.001"/>
    <s v="Défalcations, abandons de solde PP et IS"/>
    <n v="0.77"/>
    <n v="0"/>
    <n v="3301"/>
  </r>
  <r>
    <x v="0"/>
    <x v="0"/>
    <x v="0"/>
    <x v="7"/>
    <x v="7"/>
    <x v="7"/>
    <s v="REVENUS"/>
    <x v="5"/>
    <s v="4061.000"/>
    <s v="Impôt sur les chiens"/>
    <n v="0"/>
    <n v="13650"/>
    <n v="4061"/>
  </r>
  <r>
    <x v="0"/>
    <x v="0"/>
    <x v="0"/>
    <x v="7"/>
    <x v="7"/>
    <x v="7"/>
    <s v="REVENUS"/>
    <x v="2"/>
    <s v="4001.007"/>
    <s v="Acompte impôt sur revenu"/>
    <n v="0"/>
    <n v="81055.649999999994"/>
    <n v="4001"/>
  </r>
  <r>
    <x v="0"/>
    <x v="0"/>
    <x v="0"/>
    <x v="7"/>
    <x v="7"/>
    <x v="7"/>
    <s v="REVENUS"/>
    <x v="3"/>
    <s v="4002.007"/>
    <s v="Acompte impôt sur fortune"/>
    <n v="0"/>
    <n v="-7638.87"/>
    <n v="4002"/>
  </r>
  <r>
    <x v="0"/>
    <x v="0"/>
    <x v="0"/>
    <x v="7"/>
    <x v="7"/>
    <x v="7"/>
    <s v="REVENUS"/>
    <x v="2"/>
    <s v="4001.001"/>
    <s v="Impôt revenu"/>
    <n v="0"/>
    <n v="1623030.85"/>
    <n v="4001"/>
  </r>
  <r>
    <x v="0"/>
    <x v="0"/>
    <x v="0"/>
    <x v="7"/>
    <x v="7"/>
    <x v="7"/>
    <s v="REVENUS"/>
    <x v="3"/>
    <s v="4002.001"/>
    <s v="Impôt ordinaire s/fortune PP"/>
    <n v="0"/>
    <n v="166080.65"/>
    <n v="4002"/>
  </r>
  <r>
    <x v="0"/>
    <x v="0"/>
    <x v="0"/>
    <x v="7"/>
    <x v="7"/>
    <x v="7"/>
    <s v="REVENUS"/>
    <x v="6"/>
    <s v="4211.002"/>
    <s v="Intérêts de retard sur acomptes"/>
    <n v="0"/>
    <n v="13386.97"/>
    <n v="4211"/>
  </r>
  <r>
    <x v="0"/>
    <x v="0"/>
    <x v="0"/>
    <x v="7"/>
    <x v="7"/>
    <x v="7"/>
    <s v="REVENUS"/>
    <x v="6"/>
    <s v="4221.003"/>
    <s v="Intérêts compensat. / acomptes en faveur du fisc"/>
    <n v="0"/>
    <n v="203.02"/>
    <n v="4221"/>
  </r>
  <r>
    <x v="0"/>
    <x v="0"/>
    <x v="0"/>
    <x v="7"/>
    <x v="7"/>
    <x v="7"/>
    <s v="REVENUS"/>
    <x v="6"/>
    <s v="4211.001"/>
    <s v="Intérêts de retard sur factures"/>
    <n v="0"/>
    <n v="7767.94"/>
    <n v="4211"/>
  </r>
  <r>
    <x v="0"/>
    <x v="0"/>
    <x v="0"/>
    <x v="7"/>
    <x v="7"/>
    <x v="7"/>
    <s v="REVENUS"/>
    <x v="2"/>
    <s v="4001.003"/>
    <s v="Impôt s/prest. cap. PP"/>
    <n v="0"/>
    <n v="39897.85"/>
    <n v="4001"/>
  </r>
  <r>
    <x v="0"/>
    <x v="0"/>
    <x v="0"/>
    <x v="7"/>
    <x v="7"/>
    <x v="7"/>
    <s v="REVENUS"/>
    <x v="2"/>
    <s v="4001.001"/>
    <s v="Impôt revenu"/>
    <n v="0"/>
    <n v="22008.6"/>
    <n v="4001"/>
  </r>
  <r>
    <x v="0"/>
    <x v="0"/>
    <x v="0"/>
    <x v="7"/>
    <x v="7"/>
    <x v="7"/>
    <s v="REVENUS"/>
    <x v="3"/>
    <s v="4002.001"/>
    <s v="Impôt ordinaire s/fortune PP"/>
    <n v="0"/>
    <n v="14399.15"/>
    <n v="4002"/>
  </r>
  <r>
    <x v="0"/>
    <x v="0"/>
    <x v="0"/>
    <x v="7"/>
    <x v="7"/>
    <x v="7"/>
    <s v="REVENUS"/>
    <x v="7"/>
    <s v="4184.000"/>
    <s v="Frais de poursuite"/>
    <n v="0"/>
    <n v="1144.55"/>
    <n v="4184"/>
  </r>
  <r>
    <x v="0"/>
    <x v="0"/>
    <x v="0"/>
    <x v="7"/>
    <x v="7"/>
    <x v="7"/>
    <s v="REVENUS"/>
    <x v="6"/>
    <s v="4221.003"/>
    <s v="Intérêts compensat. / acomptes en faveur du fisc"/>
    <n v="0"/>
    <n v="4.88"/>
    <n v="4221"/>
  </r>
  <r>
    <x v="0"/>
    <x v="0"/>
    <x v="0"/>
    <x v="7"/>
    <x v="7"/>
    <x v="7"/>
    <s v="REVENUS"/>
    <x v="10"/>
    <s v="4041.001"/>
    <s v="Droits de mutation"/>
    <n v="0"/>
    <n v="118116.05"/>
    <n v="4041"/>
  </r>
  <r>
    <x v="0"/>
    <x v="0"/>
    <x v="0"/>
    <x v="7"/>
    <x v="7"/>
    <x v="7"/>
    <s v="REVENUS"/>
    <x v="6"/>
    <s v="4221.002"/>
    <s v="Intérêts compensat. sur impôts distincts"/>
    <n v="0"/>
    <n v="5.63"/>
    <n v="4221"/>
  </r>
  <r>
    <x v="0"/>
    <x v="0"/>
    <x v="0"/>
    <x v="7"/>
    <x v="7"/>
    <x v="7"/>
    <s v="REVENUS"/>
    <x v="8"/>
    <s v="4091.001"/>
    <s v="Impôt récupéré après défalcations"/>
    <n v="0"/>
    <n v="9081.0400000000009"/>
    <n v="4091"/>
  </r>
  <r>
    <x v="0"/>
    <x v="0"/>
    <x v="0"/>
    <x v="7"/>
    <x v="7"/>
    <x v="7"/>
    <s v="REVENUS"/>
    <x v="2"/>
    <s v="4001.002"/>
    <s v="Impôt complément s/revenu PP"/>
    <n v="0"/>
    <n v="276758.55"/>
    <n v="4001"/>
  </r>
  <r>
    <x v="0"/>
    <x v="0"/>
    <x v="0"/>
    <x v="7"/>
    <x v="7"/>
    <x v="7"/>
    <s v="REVENUS"/>
    <x v="7"/>
    <s v="4184.000"/>
    <s v="Frais de poursuite"/>
    <n v="0"/>
    <n v="997.03"/>
    <n v="4184"/>
  </r>
  <r>
    <x v="0"/>
    <x v="0"/>
    <x v="0"/>
    <x v="7"/>
    <x v="7"/>
    <x v="7"/>
    <s v="REVENUS"/>
    <x v="2"/>
    <s v="4001.007"/>
    <s v="Acompte impôt sur revenu"/>
    <n v="0"/>
    <n v="-302.85000000000002"/>
    <n v="4001"/>
  </r>
  <r>
    <x v="0"/>
    <x v="0"/>
    <x v="0"/>
    <x v="7"/>
    <x v="7"/>
    <x v="7"/>
    <s v="REVENUS"/>
    <x v="3"/>
    <s v="4002.007"/>
    <s v="Acompte impôt sur fortune"/>
    <n v="0"/>
    <n v="-394.8"/>
    <n v="4002"/>
  </r>
  <r>
    <x v="0"/>
    <x v="0"/>
    <x v="0"/>
    <x v="7"/>
    <x v="7"/>
    <x v="7"/>
    <s v="REVENUS"/>
    <x v="2"/>
    <s v="4001.007"/>
    <s v="Acompte impôt sur revenu"/>
    <n v="0"/>
    <n v="13539.65"/>
    <n v="4001"/>
  </r>
  <r>
    <x v="0"/>
    <x v="0"/>
    <x v="0"/>
    <x v="7"/>
    <x v="7"/>
    <x v="7"/>
    <s v="REVENUS"/>
    <x v="3"/>
    <s v="4002.007"/>
    <s v="Acompte impôt sur fortune"/>
    <n v="0"/>
    <n v="-250.78"/>
    <n v="4002"/>
  </r>
  <r>
    <x v="0"/>
    <x v="0"/>
    <x v="0"/>
    <x v="7"/>
    <x v="7"/>
    <x v="7"/>
    <s v="REVENUS"/>
    <x v="9"/>
    <s v="4031.001"/>
    <s v="Impôt sur les gains immobiliers"/>
    <n v="0"/>
    <n v="61146.95"/>
    <n v="4031"/>
  </r>
  <r>
    <x v="0"/>
    <x v="0"/>
    <x v="0"/>
    <x v="7"/>
    <x v="7"/>
    <x v="7"/>
    <s v="REVENUS"/>
    <x v="3"/>
    <s v="4002.007"/>
    <s v="Acompte impôt sur fortune"/>
    <n v="0"/>
    <n v="-1143.75"/>
    <n v="4002"/>
  </r>
  <r>
    <x v="0"/>
    <x v="0"/>
    <x v="0"/>
    <x v="7"/>
    <x v="7"/>
    <x v="7"/>
    <s v="REVENUS"/>
    <x v="2"/>
    <s v="4001.007"/>
    <s v="Acompte impôt sur revenu"/>
    <n v="0"/>
    <n v="341.45"/>
    <n v="4001"/>
  </r>
  <r>
    <x v="0"/>
    <x v="0"/>
    <x v="0"/>
    <x v="7"/>
    <x v="7"/>
    <x v="7"/>
    <s v="REVENUS"/>
    <x v="3"/>
    <s v="4002.007"/>
    <s v="Acompte impôt sur fortune"/>
    <n v="0"/>
    <n v="379.1"/>
    <n v="4002"/>
  </r>
  <r>
    <x v="0"/>
    <x v="0"/>
    <x v="0"/>
    <x v="7"/>
    <x v="7"/>
    <x v="7"/>
    <s v="REVENUS"/>
    <x v="2"/>
    <s v="4001.002"/>
    <s v="Impôt complément s/revenu PP"/>
    <n v="0"/>
    <n v="1794.3"/>
    <n v="4001"/>
  </r>
  <r>
    <x v="0"/>
    <x v="0"/>
    <x v="0"/>
    <x v="7"/>
    <x v="7"/>
    <x v="7"/>
    <s v="REVENUS"/>
    <x v="2"/>
    <s v="4001.007"/>
    <s v="Acompte impôt sur revenu"/>
    <n v="0"/>
    <n v="-1548.1"/>
    <n v="4001"/>
  </r>
  <r>
    <x v="0"/>
    <x v="0"/>
    <x v="0"/>
    <x v="7"/>
    <x v="7"/>
    <x v="7"/>
    <s v="REVENUS"/>
    <x v="3"/>
    <s v="4002.002"/>
    <s v="Impôt complémentaire s/fortune PP"/>
    <n v="0"/>
    <n v="2199.6999999999998"/>
    <n v="4002"/>
  </r>
  <r>
    <x v="0"/>
    <x v="0"/>
    <x v="0"/>
    <x v="7"/>
    <x v="7"/>
    <x v="7"/>
    <s v="REVENUS"/>
    <x v="6"/>
    <s v="4211.001"/>
    <s v="Intérêts de retard sur factures"/>
    <n v="0"/>
    <n v="33.99"/>
    <n v="4211"/>
  </r>
  <r>
    <x v="0"/>
    <x v="0"/>
    <x v="0"/>
    <x v="7"/>
    <x v="7"/>
    <x v="7"/>
    <s v="REVENUS"/>
    <x v="6"/>
    <s v="4211.002"/>
    <s v="Intérêts de retard sur acomptes"/>
    <n v="0"/>
    <n v="327.67"/>
    <n v="4211"/>
  </r>
  <r>
    <x v="0"/>
    <x v="0"/>
    <x v="0"/>
    <x v="7"/>
    <x v="7"/>
    <x v="7"/>
    <s v="REVENUS"/>
    <x v="2"/>
    <s v="4001.007"/>
    <s v="Acompte impôt sur revenu"/>
    <n v="0"/>
    <n v="0.25"/>
    <n v="4001"/>
  </r>
  <r>
    <x v="0"/>
    <x v="0"/>
    <x v="0"/>
    <x v="7"/>
    <x v="7"/>
    <x v="7"/>
    <s v="REVENUS"/>
    <x v="3"/>
    <s v="4002.007"/>
    <s v="Acompte impôt sur fortune"/>
    <n v="0"/>
    <n v="-0.4"/>
    <n v="4002"/>
  </r>
  <r>
    <x v="0"/>
    <x v="0"/>
    <x v="0"/>
    <x v="7"/>
    <x v="7"/>
    <x v="7"/>
    <s v="REVENUS"/>
    <x v="6"/>
    <s v="4211.001"/>
    <s v="Intérêts de retard sur factures"/>
    <n v="0"/>
    <n v="0.04"/>
    <n v="4211"/>
  </r>
  <r>
    <x v="0"/>
    <x v="0"/>
    <x v="0"/>
    <x v="7"/>
    <x v="7"/>
    <x v="7"/>
    <s v="REVENUS"/>
    <x v="3"/>
    <s v="4002.002"/>
    <s v="Impôt complémentaire s/fortune PP"/>
    <n v="0"/>
    <n v="41766.15"/>
    <n v="4002"/>
  </r>
  <r>
    <x v="0"/>
    <x v="0"/>
    <x v="0"/>
    <x v="7"/>
    <x v="7"/>
    <x v="7"/>
    <s v="REVENUS"/>
    <x v="2"/>
    <s v="4001.001"/>
    <s v="Impôt revenu"/>
    <n v="0"/>
    <n v="15123.5"/>
    <n v="4001"/>
  </r>
  <r>
    <x v="0"/>
    <x v="0"/>
    <x v="0"/>
    <x v="7"/>
    <x v="7"/>
    <x v="7"/>
    <s v="REVENUS"/>
    <x v="3"/>
    <s v="4002.001"/>
    <s v="Impôt ordinaire s/fortune PP"/>
    <n v="0"/>
    <n v="6695.15"/>
    <n v="4002"/>
  </r>
  <r>
    <x v="0"/>
    <x v="0"/>
    <x v="0"/>
    <x v="7"/>
    <x v="7"/>
    <x v="7"/>
    <s v="REVENUS"/>
    <x v="6"/>
    <s v="4211.002"/>
    <s v="Intérêts de retard sur acomptes"/>
    <n v="0"/>
    <n v="15.18"/>
    <n v="4211"/>
  </r>
  <r>
    <x v="0"/>
    <x v="0"/>
    <x v="0"/>
    <x v="7"/>
    <x v="7"/>
    <x v="7"/>
    <s v="REVENUS"/>
    <x v="6"/>
    <s v="4221.003"/>
    <s v="Intérêts compensat. / acomptes en faveur du fisc"/>
    <n v="0"/>
    <n v="4.41"/>
    <n v="4221"/>
  </r>
  <r>
    <x v="0"/>
    <x v="0"/>
    <x v="0"/>
    <x v="7"/>
    <x v="7"/>
    <x v="7"/>
    <s v="REVENUS"/>
    <x v="3"/>
    <s v="4002.001"/>
    <s v="Impôt ordinaire s/fortune PP"/>
    <n v="0"/>
    <n v="2771.2"/>
    <n v="4002"/>
  </r>
  <r>
    <x v="0"/>
    <x v="0"/>
    <x v="0"/>
    <x v="7"/>
    <x v="7"/>
    <x v="7"/>
    <s v="REVENUS"/>
    <x v="6"/>
    <s v="4211.002"/>
    <s v="Intérêts de retard sur acomptes"/>
    <n v="0"/>
    <n v="73.19"/>
    <n v="4211"/>
  </r>
  <r>
    <x v="0"/>
    <x v="0"/>
    <x v="0"/>
    <x v="7"/>
    <x v="7"/>
    <x v="7"/>
    <s v="REVENUS"/>
    <x v="2"/>
    <s v="4001.001"/>
    <s v="Impôt revenu"/>
    <n v="0"/>
    <n v="2877.6"/>
    <n v="4001"/>
  </r>
  <r>
    <x v="0"/>
    <x v="0"/>
    <x v="0"/>
    <x v="7"/>
    <x v="7"/>
    <x v="7"/>
    <s v="REVENUS"/>
    <x v="4"/>
    <s v="4051.002"/>
    <s v="Impôt sur les donations"/>
    <n v="0"/>
    <n v="0"/>
    <n v="4051"/>
  </r>
  <r>
    <x v="0"/>
    <x v="0"/>
    <x v="0"/>
    <x v="7"/>
    <x v="7"/>
    <x v="7"/>
    <s v="REVENUS"/>
    <x v="2"/>
    <s v="4001.001"/>
    <s v="Impôt revenu"/>
    <n v="0"/>
    <n v="75.599999999999994"/>
    <n v="4001"/>
  </r>
  <r>
    <x v="0"/>
    <x v="0"/>
    <x v="0"/>
    <x v="7"/>
    <x v="7"/>
    <x v="7"/>
    <s v="REVENUS"/>
    <x v="3"/>
    <s v="4002.001"/>
    <s v="Impôt ordinaire s/fortune PP"/>
    <n v="0"/>
    <n v="33.799999999999997"/>
    <n v="4002"/>
  </r>
  <r>
    <x v="0"/>
    <x v="0"/>
    <x v="0"/>
    <x v="7"/>
    <x v="7"/>
    <x v="7"/>
    <s v="REVENUS"/>
    <x v="3"/>
    <s v="4002.001"/>
    <s v="Impôt ordinaire s/fortune PP"/>
    <n v="0"/>
    <n v="31.05"/>
    <n v="4002"/>
  </r>
  <r>
    <x v="0"/>
    <x v="0"/>
    <x v="0"/>
    <x v="7"/>
    <x v="7"/>
    <x v="7"/>
    <s v="REVENUS"/>
    <x v="3"/>
    <s v="4002.001"/>
    <s v="Impôt ordinaire s/fortune PP"/>
    <n v="0"/>
    <n v="821.35"/>
    <n v="4002"/>
  </r>
  <r>
    <x v="0"/>
    <x v="0"/>
    <x v="0"/>
    <x v="7"/>
    <x v="7"/>
    <x v="7"/>
    <s v="REVENUS"/>
    <x v="8"/>
    <s v="4091.001"/>
    <s v="Impôt récupéré après défalcations"/>
    <n v="0"/>
    <n v="2906.24"/>
    <n v="4091"/>
  </r>
  <r>
    <x v="0"/>
    <x v="0"/>
    <x v="0"/>
    <x v="7"/>
    <x v="7"/>
    <x v="7"/>
    <s v="REVENUS"/>
    <x v="3"/>
    <s v="4002.001"/>
    <s v="Impôt ordinaire s/fortune PP"/>
    <n v="0"/>
    <n v="276.14999999999998"/>
    <n v="4002"/>
  </r>
  <r>
    <x v="0"/>
    <x v="0"/>
    <x v="0"/>
    <x v="7"/>
    <x v="7"/>
    <x v="7"/>
    <s v="REVENUS"/>
    <x v="6"/>
    <s v="4211.002"/>
    <s v="Intérêts de retard sur acomptes"/>
    <n v="0"/>
    <n v="58.02"/>
    <n v="4211"/>
  </r>
  <r>
    <x v="0"/>
    <x v="0"/>
    <x v="0"/>
    <x v="7"/>
    <x v="7"/>
    <x v="7"/>
    <s v="REVENUS"/>
    <x v="6"/>
    <s v="4221.003"/>
    <s v="Intérêts compensat. / acomptes en faveur du fisc"/>
    <n v="0"/>
    <n v="0.77"/>
    <n v="4221"/>
  </r>
  <r>
    <x v="0"/>
    <x v="0"/>
    <x v="0"/>
    <x v="7"/>
    <x v="7"/>
    <x v="7"/>
    <s v="REVENUS"/>
    <x v="4"/>
    <s v="4051.001"/>
    <s v="Impôt sur les successions"/>
    <n v="0"/>
    <n v="0"/>
    <n v="4051"/>
  </r>
  <r>
    <x v="0"/>
    <x v="0"/>
    <x v="0"/>
    <x v="7"/>
    <x v="7"/>
    <x v="7"/>
    <s v="REVENUS"/>
    <x v="11"/>
    <s v="4198.000"/>
    <s v="Contributions communales"/>
    <n v="0"/>
    <n v="303368.34999999998"/>
    <n v="4198"/>
  </r>
  <r>
    <x v="0"/>
    <x v="0"/>
    <x v="0"/>
    <x v="8"/>
    <x v="8"/>
    <x v="8"/>
    <s v="CHARGES"/>
    <x v="0"/>
    <s v="3212.002"/>
    <s v="Intérêts bonifiés/trop perçu acompte C/C"/>
    <n v="368.98"/>
    <n v="0"/>
    <n v="3212"/>
  </r>
  <r>
    <x v="0"/>
    <x v="0"/>
    <x v="0"/>
    <x v="8"/>
    <x v="8"/>
    <x v="8"/>
    <s v="CHARGES"/>
    <x v="0"/>
    <s v="3212.004"/>
    <s v="Intérêts rémun./perçu trop tôt sur acomptes C/C"/>
    <n v="4699.34"/>
    <n v="0"/>
    <n v="3212"/>
  </r>
  <r>
    <x v="0"/>
    <x v="0"/>
    <x v="0"/>
    <x v="8"/>
    <x v="8"/>
    <x v="8"/>
    <s v="CHARGES"/>
    <x v="0"/>
    <s v="3221.002"/>
    <s v="Intérêts compensatoires / créances en faveur ctb."/>
    <n v="1086.73"/>
    <n v="0"/>
    <n v="3221"/>
  </r>
  <r>
    <x v="0"/>
    <x v="0"/>
    <x v="0"/>
    <x v="8"/>
    <x v="8"/>
    <x v="8"/>
    <s v="CHARGES"/>
    <x v="1"/>
    <s v="3301.001"/>
    <s v="Défalcations, abandons de solde PP et IS"/>
    <n v="13715.45"/>
    <n v="0"/>
    <n v="3301"/>
  </r>
  <r>
    <x v="0"/>
    <x v="0"/>
    <x v="0"/>
    <x v="8"/>
    <x v="8"/>
    <x v="8"/>
    <s v="CHARGES"/>
    <x v="0"/>
    <s v="3212.004"/>
    <s v="Intérêts rémun./perçu trop tôt sur acomptes C/C"/>
    <n v="92.24"/>
    <n v="0"/>
    <n v="3212"/>
  </r>
  <r>
    <x v="0"/>
    <x v="0"/>
    <x v="0"/>
    <x v="8"/>
    <x v="8"/>
    <x v="8"/>
    <s v="CHARGES"/>
    <x v="0"/>
    <s v="3221.002"/>
    <s v="Intérêts compensatoires / créances en faveur ctb."/>
    <n v="43.27"/>
    <n v="0"/>
    <n v="3221"/>
  </r>
  <r>
    <x v="0"/>
    <x v="0"/>
    <x v="0"/>
    <x v="8"/>
    <x v="8"/>
    <x v="8"/>
    <s v="CHARGES"/>
    <x v="1"/>
    <s v="3301.001"/>
    <s v="Défalcations, abandons de solde PP et IS"/>
    <n v="12.22"/>
    <n v="0"/>
    <n v="3301"/>
  </r>
  <r>
    <x v="0"/>
    <x v="0"/>
    <x v="0"/>
    <x v="8"/>
    <x v="8"/>
    <x v="8"/>
    <s v="CHARGES"/>
    <x v="0"/>
    <s v="3212.004"/>
    <s v="Intérêts rémun./perçu trop tôt sur acomptes C/C"/>
    <n v="42.07"/>
    <n v="0"/>
    <n v="3212"/>
  </r>
  <r>
    <x v="0"/>
    <x v="0"/>
    <x v="0"/>
    <x v="8"/>
    <x v="8"/>
    <x v="8"/>
    <s v="CHARGES"/>
    <x v="0"/>
    <s v="3221.002"/>
    <s v="Intérêts compensatoires / créances en faveur ctb."/>
    <n v="13.33"/>
    <n v="0"/>
    <n v="3221"/>
  </r>
  <r>
    <x v="0"/>
    <x v="0"/>
    <x v="0"/>
    <x v="8"/>
    <x v="8"/>
    <x v="8"/>
    <s v="CHARGES"/>
    <x v="0"/>
    <s v="3212.002"/>
    <s v="Intérêts bonifiés/trop perçu acompte C/C"/>
    <n v="0.54"/>
    <n v="0"/>
    <n v="3212"/>
  </r>
  <r>
    <x v="0"/>
    <x v="0"/>
    <x v="0"/>
    <x v="8"/>
    <x v="8"/>
    <x v="8"/>
    <s v="CHARGES"/>
    <x v="0"/>
    <s v="3212.004"/>
    <s v="Intérêts rémun./perçu trop tôt sur acomptes C/C"/>
    <n v="6.79"/>
    <n v="0"/>
    <n v="3212"/>
  </r>
  <r>
    <x v="0"/>
    <x v="0"/>
    <x v="0"/>
    <x v="8"/>
    <x v="8"/>
    <x v="8"/>
    <s v="CHARGES"/>
    <x v="1"/>
    <s v="3301.001"/>
    <s v="Défalcations, abandons de solde PP et IS"/>
    <n v="7.3"/>
    <n v="0"/>
    <n v="3301"/>
  </r>
  <r>
    <x v="0"/>
    <x v="0"/>
    <x v="0"/>
    <x v="8"/>
    <x v="8"/>
    <x v="8"/>
    <s v="CHARGES"/>
    <x v="1"/>
    <s v="3301.001"/>
    <s v="Défalcations, abandons de solde PP et IS"/>
    <n v="2.96"/>
    <n v="0"/>
    <n v="3301"/>
  </r>
  <r>
    <x v="0"/>
    <x v="0"/>
    <x v="0"/>
    <x v="8"/>
    <x v="8"/>
    <x v="8"/>
    <s v="CHARGES"/>
    <x v="1"/>
    <s v="3301.001"/>
    <s v="Défalcations, abandons de solde PP et IS"/>
    <n v="65983.39"/>
    <n v="0"/>
    <n v="3301"/>
  </r>
  <r>
    <x v="0"/>
    <x v="0"/>
    <x v="0"/>
    <x v="8"/>
    <x v="8"/>
    <x v="8"/>
    <s v="CHARGES"/>
    <x v="0"/>
    <s v="3212.004"/>
    <s v="Intérêts rémun./perçu trop tôt sur acomptes C/C"/>
    <n v="47.88"/>
    <n v="0"/>
    <n v="3212"/>
  </r>
  <r>
    <x v="0"/>
    <x v="0"/>
    <x v="0"/>
    <x v="8"/>
    <x v="8"/>
    <x v="8"/>
    <s v="CHARGES"/>
    <x v="0"/>
    <s v="3221.002"/>
    <s v="Intérêts compensatoires / créances en faveur ctb."/>
    <n v="23.36"/>
    <n v="0"/>
    <n v="3221"/>
  </r>
  <r>
    <x v="0"/>
    <x v="0"/>
    <x v="0"/>
    <x v="8"/>
    <x v="8"/>
    <x v="8"/>
    <s v="CHARGES"/>
    <x v="0"/>
    <s v="3221.002"/>
    <s v="Intérêts compensatoires / créances en faveur ctb."/>
    <n v="0.53"/>
    <n v="0"/>
    <n v="3221"/>
  </r>
  <r>
    <x v="0"/>
    <x v="0"/>
    <x v="0"/>
    <x v="8"/>
    <x v="8"/>
    <x v="8"/>
    <s v="CHARGES"/>
    <x v="0"/>
    <s v="3212.002"/>
    <s v="Intérêts bonifiés/trop perçu acompte C/C"/>
    <n v="1.57"/>
    <n v="0"/>
    <n v="3212"/>
  </r>
  <r>
    <x v="0"/>
    <x v="0"/>
    <x v="0"/>
    <x v="8"/>
    <x v="8"/>
    <x v="8"/>
    <s v="CHARGES"/>
    <x v="0"/>
    <s v="3212.002"/>
    <s v="Intérêts bonifiés/trop perçu acompte C/C"/>
    <n v="-0.04"/>
    <n v="0"/>
    <n v="3212"/>
  </r>
  <r>
    <x v="0"/>
    <x v="0"/>
    <x v="0"/>
    <x v="8"/>
    <x v="8"/>
    <x v="8"/>
    <s v="CHARGES"/>
    <x v="0"/>
    <s v="3212.004"/>
    <s v="Intérêts rémun./perçu trop tôt sur acomptes C/C"/>
    <n v="-5.7"/>
    <n v="0"/>
    <n v="3212"/>
  </r>
  <r>
    <x v="0"/>
    <x v="0"/>
    <x v="0"/>
    <x v="8"/>
    <x v="8"/>
    <x v="8"/>
    <s v="CHARGES"/>
    <x v="0"/>
    <s v="3221.002"/>
    <s v="Intérêts compensatoires / créances en faveur ctb."/>
    <n v="-1.62"/>
    <n v="0"/>
    <n v="3221"/>
  </r>
  <r>
    <x v="0"/>
    <x v="0"/>
    <x v="0"/>
    <x v="8"/>
    <x v="8"/>
    <x v="8"/>
    <s v="CHARGES"/>
    <x v="1"/>
    <s v="3301.001"/>
    <s v="Défalcations, abandons de solde PP et IS"/>
    <n v="-7.0000000000000007E-2"/>
    <n v="0"/>
    <n v="3301"/>
  </r>
  <r>
    <x v="0"/>
    <x v="0"/>
    <x v="0"/>
    <x v="8"/>
    <x v="8"/>
    <x v="8"/>
    <s v="CHARGES"/>
    <x v="0"/>
    <s v="3212.002"/>
    <s v="Intérêts bonifiés/trop perçu acompte C/C"/>
    <n v="3.2"/>
    <n v="0"/>
    <n v="3212"/>
  </r>
  <r>
    <x v="0"/>
    <x v="0"/>
    <x v="0"/>
    <x v="8"/>
    <x v="8"/>
    <x v="8"/>
    <s v="CHARGES"/>
    <x v="0"/>
    <s v="3212.004"/>
    <s v="Intérêts rémun./perçu trop tôt sur acomptes C/C"/>
    <n v="46.71"/>
    <n v="0"/>
    <n v="3212"/>
  </r>
  <r>
    <x v="0"/>
    <x v="0"/>
    <x v="0"/>
    <x v="8"/>
    <x v="8"/>
    <x v="8"/>
    <s v="CHARGES"/>
    <x v="1"/>
    <s v="3301.001"/>
    <s v="Défalcations, abandons de solde PP et IS"/>
    <n v="4.04"/>
    <n v="0"/>
    <n v="3301"/>
  </r>
  <r>
    <x v="0"/>
    <x v="0"/>
    <x v="0"/>
    <x v="8"/>
    <x v="8"/>
    <x v="8"/>
    <s v="CHARGES"/>
    <x v="0"/>
    <s v="3221.002"/>
    <s v="Intérêts compensatoires / créances en faveur ctb."/>
    <n v="19.98"/>
    <n v="0"/>
    <n v="3221"/>
  </r>
  <r>
    <x v="0"/>
    <x v="0"/>
    <x v="0"/>
    <x v="8"/>
    <x v="8"/>
    <x v="8"/>
    <s v="CHARGES"/>
    <x v="0"/>
    <s v="3212.004"/>
    <s v="Intérêts rémun./perçu trop tôt sur acomptes C/C"/>
    <n v="10.41"/>
    <n v="0"/>
    <n v="3212"/>
  </r>
  <r>
    <x v="0"/>
    <x v="0"/>
    <x v="0"/>
    <x v="8"/>
    <x v="8"/>
    <x v="8"/>
    <s v="CHARGES"/>
    <x v="0"/>
    <s v="3221.002"/>
    <s v="Intérêts compensatoires / créances en faveur ctb."/>
    <n v="0.13"/>
    <n v="0"/>
    <n v="3221"/>
  </r>
  <r>
    <x v="0"/>
    <x v="0"/>
    <x v="0"/>
    <x v="8"/>
    <x v="8"/>
    <x v="8"/>
    <s v="CHARGES"/>
    <x v="1"/>
    <s v="3301.001"/>
    <s v="Défalcations, abandons de solde PP et IS"/>
    <n v="37027.53"/>
    <n v="0"/>
    <n v="3301"/>
  </r>
  <r>
    <x v="0"/>
    <x v="0"/>
    <x v="0"/>
    <x v="8"/>
    <x v="8"/>
    <x v="8"/>
    <s v="CHARGES"/>
    <x v="0"/>
    <s v="3212.004"/>
    <s v="Intérêts rémun./perçu trop tôt sur acomptes C/C"/>
    <n v="0.37"/>
    <n v="0"/>
    <n v="3212"/>
  </r>
  <r>
    <x v="0"/>
    <x v="0"/>
    <x v="0"/>
    <x v="8"/>
    <x v="8"/>
    <x v="8"/>
    <s v="CHARGES"/>
    <x v="1"/>
    <s v="3301.001"/>
    <s v="Défalcations, abandons de solde PP et IS"/>
    <n v="0.03"/>
    <n v="0"/>
    <n v="3301"/>
  </r>
  <r>
    <x v="0"/>
    <x v="0"/>
    <x v="0"/>
    <x v="8"/>
    <x v="8"/>
    <x v="8"/>
    <s v="CHARGES"/>
    <x v="0"/>
    <s v="3212.004"/>
    <s v="Intérêts rémun./perçu trop tôt sur acomptes C/C"/>
    <n v="-0.12"/>
    <n v="0"/>
    <n v="3212"/>
  </r>
  <r>
    <x v="0"/>
    <x v="0"/>
    <x v="0"/>
    <x v="8"/>
    <x v="8"/>
    <x v="8"/>
    <s v="CHARGES"/>
    <x v="1"/>
    <s v="3301.001"/>
    <s v="Défalcations, abandons de solde PP et IS"/>
    <n v="0.23"/>
    <n v="0"/>
    <n v="3301"/>
  </r>
  <r>
    <x v="0"/>
    <x v="0"/>
    <x v="0"/>
    <x v="8"/>
    <x v="8"/>
    <x v="8"/>
    <s v="CHARGES"/>
    <x v="0"/>
    <s v="3212.002"/>
    <s v="Intérêts bonifiés/trop perçu acompte C/C"/>
    <n v="0.27"/>
    <n v="0"/>
    <n v="3212"/>
  </r>
  <r>
    <x v="0"/>
    <x v="0"/>
    <x v="0"/>
    <x v="8"/>
    <x v="8"/>
    <x v="8"/>
    <s v="CHARGES"/>
    <x v="0"/>
    <s v="3221.002"/>
    <s v="Intérêts compensatoires / créances en faveur ctb."/>
    <n v="0.01"/>
    <n v="0"/>
    <n v="3221"/>
  </r>
  <r>
    <x v="0"/>
    <x v="0"/>
    <x v="0"/>
    <x v="8"/>
    <x v="8"/>
    <x v="8"/>
    <s v="CHARGES"/>
    <x v="1"/>
    <s v="3301.003"/>
    <s v="Remises PP et IS"/>
    <n v="1573.6"/>
    <n v="0"/>
    <n v="3301"/>
  </r>
  <r>
    <x v="0"/>
    <x v="0"/>
    <x v="0"/>
    <x v="8"/>
    <x v="8"/>
    <x v="8"/>
    <s v="CHARGES"/>
    <x v="0"/>
    <s v="3212.004"/>
    <s v="Intérêts rémun./perçu trop tôt sur acomptes C/C"/>
    <n v="-0.24"/>
    <n v="0"/>
    <n v="3212"/>
  </r>
  <r>
    <x v="0"/>
    <x v="0"/>
    <x v="0"/>
    <x v="8"/>
    <x v="8"/>
    <x v="8"/>
    <s v="CHARGES"/>
    <x v="0"/>
    <s v="3221.002"/>
    <s v="Intérêts compensatoires / créances en faveur ctb."/>
    <n v="-0.48"/>
    <n v="0"/>
    <n v="3221"/>
  </r>
  <r>
    <x v="0"/>
    <x v="0"/>
    <x v="0"/>
    <x v="8"/>
    <x v="8"/>
    <x v="8"/>
    <s v="REVENUS"/>
    <x v="2"/>
    <s v="4001.007"/>
    <s v="Acompte impôt sur revenu"/>
    <n v="0"/>
    <n v="-984135.84"/>
    <n v="4001"/>
  </r>
  <r>
    <x v="0"/>
    <x v="0"/>
    <x v="0"/>
    <x v="8"/>
    <x v="8"/>
    <x v="8"/>
    <s v="REVENUS"/>
    <x v="3"/>
    <s v="4002.007"/>
    <s v="Acompte impôt sur fortune"/>
    <n v="0"/>
    <n v="-56987.65"/>
    <n v="4002"/>
  </r>
  <r>
    <x v="0"/>
    <x v="0"/>
    <x v="0"/>
    <x v="8"/>
    <x v="8"/>
    <x v="8"/>
    <s v="REVENUS"/>
    <x v="2"/>
    <s v="4001.001"/>
    <s v="Impôt revenu"/>
    <n v="0"/>
    <n v="11906807.050000001"/>
    <n v="4001"/>
  </r>
  <r>
    <x v="0"/>
    <x v="0"/>
    <x v="0"/>
    <x v="8"/>
    <x v="8"/>
    <x v="8"/>
    <s v="REVENUS"/>
    <x v="2"/>
    <s v="4001.002"/>
    <s v="Impôt complément s/revenu PP"/>
    <n v="0"/>
    <n v="2239390.4500000002"/>
    <n v="4001"/>
  </r>
  <r>
    <x v="0"/>
    <x v="0"/>
    <x v="0"/>
    <x v="8"/>
    <x v="8"/>
    <x v="8"/>
    <s v="REVENUS"/>
    <x v="3"/>
    <s v="4002.001"/>
    <s v="Impôt ordinaire s/fortune PP"/>
    <n v="0"/>
    <n v="3718733.25"/>
    <n v="4002"/>
  </r>
  <r>
    <x v="0"/>
    <x v="0"/>
    <x v="0"/>
    <x v="8"/>
    <x v="8"/>
    <x v="8"/>
    <s v="REVENUS"/>
    <x v="3"/>
    <s v="4002.002"/>
    <s v="Impôt complémentaire s/fortune PP"/>
    <n v="0"/>
    <n v="901694.2"/>
    <n v="4002"/>
  </r>
  <r>
    <x v="0"/>
    <x v="0"/>
    <x v="0"/>
    <x v="8"/>
    <x v="8"/>
    <x v="8"/>
    <s v="REVENUS"/>
    <x v="6"/>
    <s v="4211.001"/>
    <s v="Intérêts de retard sur factures"/>
    <n v="0"/>
    <n v="89063.74"/>
    <n v="4211"/>
  </r>
  <r>
    <x v="0"/>
    <x v="0"/>
    <x v="0"/>
    <x v="8"/>
    <x v="8"/>
    <x v="8"/>
    <s v="REVENUS"/>
    <x v="6"/>
    <s v="4211.002"/>
    <s v="Intérêts de retard sur acomptes"/>
    <n v="0"/>
    <n v="82908.78"/>
    <n v="4211"/>
  </r>
  <r>
    <x v="0"/>
    <x v="0"/>
    <x v="0"/>
    <x v="8"/>
    <x v="8"/>
    <x v="8"/>
    <s v="REVENUS"/>
    <x v="6"/>
    <s v="4221.003"/>
    <s v="Intérêts compensat. / acomptes en faveur du fisc"/>
    <n v="0"/>
    <n v="2882.22"/>
    <n v="4221"/>
  </r>
  <r>
    <x v="0"/>
    <x v="0"/>
    <x v="0"/>
    <x v="8"/>
    <x v="8"/>
    <x v="8"/>
    <s v="REVENUS"/>
    <x v="2"/>
    <s v="4001.001"/>
    <s v="Impôt revenu"/>
    <n v="0"/>
    <n v="116914.15"/>
    <n v="4001"/>
  </r>
  <r>
    <x v="0"/>
    <x v="0"/>
    <x v="0"/>
    <x v="8"/>
    <x v="8"/>
    <x v="8"/>
    <s v="REVENUS"/>
    <x v="2"/>
    <s v="4001.007"/>
    <s v="Acompte impôt sur revenu"/>
    <n v="0"/>
    <n v="12482.09"/>
    <n v="4001"/>
  </r>
  <r>
    <x v="0"/>
    <x v="0"/>
    <x v="0"/>
    <x v="8"/>
    <x v="8"/>
    <x v="8"/>
    <s v="REVENUS"/>
    <x v="3"/>
    <s v="4002.001"/>
    <s v="Impôt ordinaire s/fortune PP"/>
    <n v="0"/>
    <n v="136017.5"/>
    <n v="4002"/>
  </r>
  <r>
    <x v="0"/>
    <x v="0"/>
    <x v="0"/>
    <x v="8"/>
    <x v="8"/>
    <x v="8"/>
    <s v="REVENUS"/>
    <x v="3"/>
    <s v="4002.007"/>
    <s v="Acompte impôt sur fortune"/>
    <n v="0"/>
    <n v="-16580.349999999999"/>
    <n v="4002"/>
  </r>
  <r>
    <x v="0"/>
    <x v="0"/>
    <x v="0"/>
    <x v="8"/>
    <x v="8"/>
    <x v="8"/>
    <s v="REVENUS"/>
    <x v="6"/>
    <s v="4221.003"/>
    <s v="Intérêts compensat. / acomptes en faveur du fisc"/>
    <n v="0"/>
    <n v="47.49"/>
    <n v="4221"/>
  </r>
  <r>
    <x v="0"/>
    <x v="0"/>
    <x v="0"/>
    <x v="8"/>
    <x v="8"/>
    <x v="8"/>
    <s v="REVENUS"/>
    <x v="2"/>
    <s v="4001.001"/>
    <s v="Impôt revenu"/>
    <n v="0"/>
    <n v="63573.15"/>
    <n v="4001"/>
  </r>
  <r>
    <x v="0"/>
    <x v="0"/>
    <x v="0"/>
    <x v="8"/>
    <x v="8"/>
    <x v="8"/>
    <s v="REVENUS"/>
    <x v="2"/>
    <s v="4001.007"/>
    <s v="Acompte impôt sur revenu"/>
    <n v="0"/>
    <n v="-4014.2"/>
    <n v="4001"/>
  </r>
  <r>
    <x v="0"/>
    <x v="0"/>
    <x v="0"/>
    <x v="8"/>
    <x v="8"/>
    <x v="8"/>
    <s v="REVENUS"/>
    <x v="3"/>
    <s v="4002.001"/>
    <s v="Impôt ordinaire s/fortune PP"/>
    <n v="0"/>
    <n v="116295.4"/>
    <n v="4002"/>
  </r>
  <r>
    <x v="0"/>
    <x v="0"/>
    <x v="0"/>
    <x v="8"/>
    <x v="8"/>
    <x v="8"/>
    <s v="REVENUS"/>
    <x v="3"/>
    <s v="4002.007"/>
    <s v="Acompte impôt sur fortune"/>
    <n v="0"/>
    <n v="9775.32"/>
    <n v="4002"/>
  </r>
  <r>
    <x v="0"/>
    <x v="0"/>
    <x v="0"/>
    <x v="8"/>
    <x v="8"/>
    <x v="8"/>
    <s v="REVENUS"/>
    <x v="6"/>
    <s v="4211.001"/>
    <s v="Intérêts de retard sur factures"/>
    <n v="0"/>
    <n v="422.86"/>
    <n v="4211"/>
  </r>
  <r>
    <x v="0"/>
    <x v="0"/>
    <x v="0"/>
    <x v="8"/>
    <x v="8"/>
    <x v="8"/>
    <s v="REVENUS"/>
    <x v="2"/>
    <s v="4001.007"/>
    <s v="Acompte impôt sur revenu"/>
    <n v="0"/>
    <n v="-2728.9"/>
    <n v="4001"/>
  </r>
  <r>
    <x v="0"/>
    <x v="0"/>
    <x v="0"/>
    <x v="8"/>
    <x v="8"/>
    <x v="8"/>
    <s v="REVENUS"/>
    <x v="3"/>
    <s v="4002.007"/>
    <s v="Acompte impôt sur fortune"/>
    <n v="0"/>
    <n v="-1830.7"/>
    <n v="4002"/>
  </r>
  <r>
    <x v="0"/>
    <x v="0"/>
    <x v="0"/>
    <x v="8"/>
    <x v="8"/>
    <x v="8"/>
    <s v="REVENUS"/>
    <x v="2"/>
    <s v="4001.001"/>
    <s v="Impôt revenu"/>
    <n v="0"/>
    <n v="19429.900000000001"/>
    <n v="4001"/>
  </r>
  <r>
    <x v="0"/>
    <x v="0"/>
    <x v="0"/>
    <x v="8"/>
    <x v="8"/>
    <x v="8"/>
    <s v="REVENUS"/>
    <x v="3"/>
    <s v="4002.001"/>
    <s v="Impôt ordinaire s/fortune PP"/>
    <n v="0"/>
    <n v="13407.1"/>
    <n v="4002"/>
  </r>
  <r>
    <x v="0"/>
    <x v="0"/>
    <x v="0"/>
    <x v="8"/>
    <x v="8"/>
    <x v="8"/>
    <s v="REVENUS"/>
    <x v="9"/>
    <s v="4031.001"/>
    <s v="Impôt sur les gains immobiliers"/>
    <n v="0"/>
    <n v="1099043.2"/>
    <n v="4031"/>
  </r>
  <r>
    <x v="0"/>
    <x v="0"/>
    <x v="0"/>
    <x v="8"/>
    <x v="8"/>
    <x v="8"/>
    <s v="REVENUS"/>
    <x v="6"/>
    <s v="4221.002"/>
    <s v="Intérêts compensat. sur impôts distincts"/>
    <n v="0"/>
    <n v="306.43"/>
    <n v="4221"/>
  </r>
  <r>
    <x v="0"/>
    <x v="0"/>
    <x v="0"/>
    <x v="8"/>
    <x v="8"/>
    <x v="8"/>
    <s v="REVENUS"/>
    <x v="2"/>
    <s v="4001.002"/>
    <s v="Impôt complément s/revenu PP"/>
    <n v="0"/>
    <n v="6630.75"/>
    <n v="4001"/>
  </r>
  <r>
    <x v="0"/>
    <x v="0"/>
    <x v="0"/>
    <x v="8"/>
    <x v="8"/>
    <x v="8"/>
    <s v="REVENUS"/>
    <x v="3"/>
    <s v="4002.002"/>
    <s v="Impôt complémentaire s/fortune PP"/>
    <n v="0"/>
    <n v="40572.75"/>
    <n v="4002"/>
  </r>
  <r>
    <x v="0"/>
    <x v="0"/>
    <x v="0"/>
    <x v="8"/>
    <x v="8"/>
    <x v="8"/>
    <s v="REVENUS"/>
    <x v="7"/>
    <s v="4184.000"/>
    <s v="Frais de poursuite"/>
    <n v="0"/>
    <n v="11.61"/>
    <n v="4184"/>
  </r>
  <r>
    <x v="0"/>
    <x v="0"/>
    <x v="0"/>
    <x v="8"/>
    <x v="8"/>
    <x v="8"/>
    <s v="REVENUS"/>
    <x v="6"/>
    <s v="4211.002"/>
    <s v="Intérêts de retard sur acomptes"/>
    <n v="0"/>
    <n v="509.69"/>
    <n v="4211"/>
  </r>
  <r>
    <x v="0"/>
    <x v="0"/>
    <x v="0"/>
    <x v="8"/>
    <x v="8"/>
    <x v="8"/>
    <s v="REVENUS"/>
    <x v="6"/>
    <s v="4221.003"/>
    <s v="Intérêts compensat. / acomptes en faveur du fisc"/>
    <n v="0"/>
    <n v="23.13"/>
    <n v="4221"/>
  </r>
  <r>
    <x v="0"/>
    <x v="0"/>
    <x v="0"/>
    <x v="8"/>
    <x v="8"/>
    <x v="8"/>
    <s v="REVENUS"/>
    <x v="7"/>
    <s v="4184.000"/>
    <s v="Frais de poursuite"/>
    <n v="0"/>
    <n v="8618.01"/>
    <n v="4184"/>
  </r>
  <r>
    <x v="0"/>
    <x v="0"/>
    <x v="0"/>
    <x v="8"/>
    <x v="8"/>
    <x v="8"/>
    <s v="REVENUS"/>
    <x v="12"/>
    <s v="4004.000"/>
    <s v="Impôt spécial étrangers"/>
    <n v="0"/>
    <n v="2768631.55"/>
    <n v="4004"/>
  </r>
  <r>
    <x v="0"/>
    <x v="0"/>
    <x v="0"/>
    <x v="8"/>
    <x v="8"/>
    <x v="8"/>
    <s v="REVENUS"/>
    <x v="12"/>
    <s v="4004.007"/>
    <s v="Acompte spécial étrangers"/>
    <n v="0"/>
    <n v="-210130.56"/>
    <n v="4004"/>
  </r>
  <r>
    <x v="0"/>
    <x v="0"/>
    <x v="0"/>
    <x v="8"/>
    <x v="8"/>
    <x v="8"/>
    <s v="REVENUS"/>
    <x v="4"/>
    <s v="4051.002"/>
    <s v="Impôt sur les donations"/>
    <n v="0"/>
    <n v="491834.75"/>
    <n v="4051"/>
  </r>
  <r>
    <x v="0"/>
    <x v="0"/>
    <x v="0"/>
    <x v="8"/>
    <x v="8"/>
    <x v="8"/>
    <s v="REVENUS"/>
    <x v="7"/>
    <s v="4184.000"/>
    <s v="Frais de poursuite"/>
    <n v="0"/>
    <n v="10194.52"/>
    <n v="4184"/>
  </r>
  <r>
    <x v="0"/>
    <x v="0"/>
    <x v="0"/>
    <x v="8"/>
    <x v="8"/>
    <x v="8"/>
    <s v="REVENUS"/>
    <x v="13"/>
    <s v="4371.013"/>
    <s v="Amende soustraction LMSD"/>
    <n v="0"/>
    <n v="11199.35"/>
    <n v="4371"/>
  </r>
  <r>
    <x v="0"/>
    <x v="0"/>
    <x v="0"/>
    <x v="8"/>
    <x v="8"/>
    <x v="8"/>
    <s v="REVENUS"/>
    <x v="2"/>
    <s v="4001.007"/>
    <s v="Acompte impôt sur revenu"/>
    <n v="0"/>
    <n v="1838.36"/>
    <n v="4001"/>
  </r>
  <r>
    <x v="0"/>
    <x v="0"/>
    <x v="0"/>
    <x v="8"/>
    <x v="8"/>
    <x v="8"/>
    <s v="REVENUS"/>
    <x v="3"/>
    <s v="4002.007"/>
    <s v="Acompte impôt sur fortune"/>
    <n v="0"/>
    <n v="50"/>
    <n v="4002"/>
  </r>
  <r>
    <x v="0"/>
    <x v="0"/>
    <x v="0"/>
    <x v="8"/>
    <x v="8"/>
    <x v="8"/>
    <s v="REVENUS"/>
    <x v="6"/>
    <s v="4211.002"/>
    <s v="Intérêts de retard sur acomptes"/>
    <n v="0"/>
    <n v="175"/>
    <n v="4211"/>
  </r>
  <r>
    <x v="0"/>
    <x v="0"/>
    <x v="0"/>
    <x v="8"/>
    <x v="8"/>
    <x v="8"/>
    <s v="REVENUS"/>
    <x v="6"/>
    <s v="4221.003"/>
    <s v="Intérêts compensat. / acomptes en faveur du fisc"/>
    <n v="0"/>
    <n v="2.7"/>
    <n v="4221"/>
  </r>
  <r>
    <x v="0"/>
    <x v="0"/>
    <x v="0"/>
    <x v="8"/>
    <x v="8"/>
    <x v="8"/>
    <s v="REVENUS"/>
    <x v="2"/>
    <s v="4001.003"/>
    <s v="Impôt s/prest. cap. PP"/>
    <n v="0"/>
    <n v="461188.45"/>
    <n v="4001"/>
  </r>
  <r>
    <x v="0"/>
    <x v="0"/>
    <x v="0"/>
    <x v="8"/>
    <x v="8"/>
    <x v="8"/>
    <s v="REVENUS"/>
    <x v="10"/>
    <s v="4041.001"/>
    <s v="Droits de mutation"/>
    <n v="0"/>
    <n v="1392952.95"/>
    <n v="4041"/>
  </r>
  <r>
    <x v="0"/>
    <x v="0"/>
    <x v="0"/>
    <x v="8"/>
    <x v="8"/>
    <x v="8"/>
    <s v="REVENUS"/>
    <x v="6"/>
    <s v="4211.002"/>
    <s v="Intérêts de retard sur acomptes"/>
    <n v="0"/>
    <n v="2218.9299999999998"/>
    <n v="4211"/>
  </r>
  <r>
    <x v="0"/>
    <x v="0"/>
    <x v="0"/>
    <x v="8"/>
    <x v="8"/>
    <x v="8"/>
    <s v="REVENUS"/>
    <x v="6"/>
    <s v="4211.001"/>
    <s v="Intérêts de retard sur factures"/>
    <n v="0"/>
    <n v="1381"/>
    <n v="4211"/>
  </r>
  <r>
    <x v="0"/>
    <x v="0"/>
    <x v="0"/>
    <x v="8"/>
    <x v="8"/>
    <x v="8"/>
    <s v="REVENUS"/>
    <x v="2"/>
    <s v="4001.001"/>
    <s v="Impôt revenu"/>
    <n v="0"/>
    <n v="112355.05"/>
    <n v="4001"/>
  </r>
  <r>
    <x v="0"/>
    <x v="0"/>
    <x v="0"/>
    <x v="8"/>
    <x v="8"/>
    <x v="8"/>
    <s v="REVENUS"/>
    <x v="2"/>
    <s v="4001.007"/>
    <s v="Acompte impôt sur revenu"/>
    <n v="0"/>
    <n v="23076.83"/>
    <n v="4001"/>
  </r>
  <r>
    <x v="0"/>
    <x v="0"/>
    <x v="0"/>
    <x v="8"/>
    <x v="8"/>
    <x v="8"/>
    <s v="REVENUS"/>
    <x v="3"/>
    <s v="4002.001"/>
    <s v="Impôt ordinaire s/fortune PP"/>
    <n v="0"/>
    <n v="104905.2"/>
    <n v="4002"/>
  </r>
  <r>
    <x v="0"/>
    <x v="0"/>
    <x v="0"/>
    <x v="8"/>
    <x v="8"/>
    <x v="8"/>
    <s v="REVENUS"/>
    <x v="3"/>
    <s v="4002.007"/>
    <s v="Acompte impôt sur fortune"/>
    <n v="0"/>
    <n v="14605.88"/>
    <n v="4002"/>
  </r>
  <r>
    <x v="0"/>
    <x v="0"/>
    <x v="0"/>
    <x v="8"/>
    <x v="8"/>
    <x v="8"/>
    <s v="REVENUS"/>
    <x v="7"/>
    <s v="4184.000"/>
    <s v="Frais de poursuite"/>
    <n v="0"/>
    <n v="21.08"/>
    <n v="4184"/>
  </r>
  <r>
    <x v="0"/>
    <x v="0"/>
    <x v="0"/>
    <x v="8"/>
    <x v="8"/>
    <x v="8"/>
    <s v="REVENUS"/>
    <x v="6"/>
    <s v="4221.003"/>
    <s v="Intérêts compensat. / acomptes en faveur du fisc"/>
    <n v="0"/>
    <n v="174.49"/>
    <n v="4221"/>
  </r>
  <r>
    <x v="0"/>
    <x v="0"/>
    <x v="0"/>
    <x v="8"/>
    <x v="8"/>
    <x v="8"/>
    <s v="REVENUS"/>
    <x v="2"/>
    <s v="4001.002"/>
    <s v="Impôt complément s/revenu PP"/>
    <n v="0"/>
    <n v="10084"/>
    <n v="4001"/>
  </r>
  <r>
    <x v="0"/>
    <x v="0"/>
    <x v="0"/>
    <x v="8"/>
    <x v="8"/>
    <x v="8"/>
    <s v="REVENUS"/>
    <x v="3"/>
    <s v="4002.002"/>
    <s v="Impôt complémentaire s/fortune PP"/>
    <n v="0"/>
    <n v="1756.65"/>
    <n v="4002"/>
  </r>
  <r>
    <x v="0"/>
    <x v="0"/>
    <x v="0"/>
    <x v="8"/>
    <x v="8"/>
    <x v="8"/>
    <s v="REVENUS"/>
    <x v="6"/>
    <s v="4211.001"/>
    <s v="Intérêts de retard sur factures"/>
    <n v="0"/>
    <n v="19.39"/>
    <n v="4211"/>
  </r>
  <r>
    <x v="0"/>
    <x v="0"/>
    <x v="0"/>
    <x v="8"/>
    <x v="8"/>
    <x v="8"/>
    <s v="REVENUS"/>
    <x v="3"/>
    <s v="4002.007"/>
    <s v="Acompte impôt sur fortune"/>
    <n v="0"/>
    <n v="-3921.96"/>
    <n v="4002"/>
  </r>
  <r>
    <x v="0"/>
    <x v="0"/>
    <x v="0"/>
    <x v="8"/>
    <x v="8"/>
    <x v="8"/>
    <s v="REVENUS"/>
    <x v="6"/>
    <s v="4211.002"/>
    <s v="Intérêts de retard sur acomptes"/>
    <n v="0"/>
    <n v="1692.39"/>
    <n v="4211"/>
  </r>
  <r>
    <x v="0"/>
    <x v="0"/>
    <x v="0"/>
    <x v="8"/>
    <x v="8"/>
    <x v="8"/>
    <s v="REVENUS"/>
    <x v="4"/>
    <s v="4051.001"/>
    <s v="Impôt sur les successions"/>
    <n v="0"/>
    <n v="184826.8"/>
    <n v="4051"/>
  </r>
  <r>
    <x v="0"/>
    <x v="0"/>
    <x v="0"/>
    <x v="8"/>
    <x v="8"/>
    <x v="8"/>
    <s v="REVENUS"/>
    <x v="3"/>
    <s v="4002.001"/>
    <s v="Impôt ordinaire s/fortune PP"/>
    <n v="0"/>
    <n v="40841.5"/>
    <n v="4002"/>
  </r>
  <r>
    <x v="0"/>
    <x v="0"/>
    <x v="0"/>
    <x v="8"/>
    <x v="8"/>
    <x v="8"/>
    <s v="REVENUS"/>
    <x v="2"/>
    <s v="4001.001"/>
    <s v="Impôt revenu"/>
    <n v="0"/>
    <n v="-279.25"/>
    <n v="4001"/>
  </r>
  <r>
    <x v="0"/>
    <x v="0"/>
    <x v="0"/>
    <x v="8"/>
    <x v="8"/>
    <x v="8"/>
    <s v="REVENUS"/>
    <x v="3"/>
    <s v="4002.001"/>
    <s v="Impôt ordinaire s/fortune PP"/>
    <n v="0"/>
    <n v="-4316.2"/>
    <n v="4002"/>
  </r>
  <r>
    <x v="0"/>
    <x v="0"/>
    <x v="0"/>
    <x v="8"/>
    <x v="8"/>
    <x v="8"/>
    <s v="REVENUS"/>
    <x v="2"/>
    <s v="4001.002"/>
    <s v="Impôt complément s/revenu PP"/>
    <n v="0"/>
    <n v="11679.2"/>
    <n v="4001"/>
  </r>
  <r>
    <x v="0"/>
    <x v="0"/>
    <x v="0"/>
    <x v="8"/>
    <x v="8"/>
    <x v="8"/>
    <s v="REVENUS"/>
    <x v="3"/>
    <s v="4002.002"/>
    <s v="Impôt complémentaire s/fortune PP"/>
    <n v="0"/>
    <n v="20029.150000000001"/>
    <n v="4002"/>
  </r>
  <r>
    <x v="0"/>
    <x v="0"/>
    <x v="0"/>
    <x v="8"/>
    <x v="8"/>
    <x v="8"/>
    <s v="REVENUS"/>
    <x v="3"/>
    <s v="4002.007"/>
    <s v="Acompte impôt sur fortune"/>
    <n v="0"/>
    <n v="-4211.97"/>
    <n v="4002"/>
  </r>
  <r>
    <x v="0"/>
    <x v="0"/>
    <x v="0"/>
    <x v="8"/>
    <x v="8"/>
    <x v="8"/>
    <s v="REVENUS"/>
    <x v="6"/>
    <s v="4211.001"/>
    <s v="Intérêts de retard sur factures"/>
    <n v="0"/>
    <n v="1304.08"/>
    <n v="4211"/>
  </r>
  <r>
    <x v="0"/>
    <x v="0"/>
    <x v="0"/>
    <x v="8"/>
    <x v="8"/>
    <x v="8"/>
    <s v="REVENUS"/>
    <x v="2"/>
    <s v="4001.007"/>
    <s v="Acompte impôt sur revenu"/>
    <n v="0"/>
    <n v="-3722.19"/>
    <n v="4001"/>
  </r>
  <r>
    <x v="0"/>
    <x v="0"/>
    <x v="0"/>
    <x v="8"/>
    <x v="8"/>
    <x v="8"/>
    <s v="REVENUS"/>
    <x v="2"/>
    <s v="4001.001"/>
    <s v="Impôt revenu"/>
    <n v="0"/>
    <n v="49000"/>
    <n v="4001"/>
  </r>
  <r>
    <x v="0"/>
    <x v="0"/>
    <x v="0"/>
    <x v="8"/>
    <x v="8"/>
    <x v="8"/>
    <s v="REVENUS"/>
    <x v="2"/>
    <s v="4001.002"/>
    <s v="Impôt complément s/revenu PP"/>
    <n v="0"/>
    <n v="41738.449999999997"/>
    <n v="4001"/>
  </r>
  <r>
    <x v="0"/>
    <x v="0"/>
    <x v="0"/>
    <x v="8"/>
    <x v="8"/>
    <x v="8"/>
    <s v="REVENUS"/>
    <x v="6"/>
    <s v="4211.001"/>
    <s v="Intérêts de retard sur factures"/>
    <n v="0"/>
    <n v="1.39"/>
    <n v="4211"/>
  </r>
  <r>
    <x v="0"/>
    <x v="0"/>
    <x v="0"/>
    <x v="8"/>
    <x v="8"/>
    <x v="8"/>
    <s v="REVENUS"/>
    <x v="6"/>
    <s v="4211.002"/>
    <s v="Intérêts de retard sur acomptes"/>
    <n v="0"/>
    <n v="3.07"/>
    <n v="4211"/>
  </r>
  <r>
    <x v="0"/>
    <x v="0"/>
    <x v="0"/>
    <x v="8"/>
    <x v="8"/>
    <x v="8"/>
    <s v="REVENUS"/>
    <x v="6"/>
    <s v="4221.003"/>
    <s v="Intérêts compensat. / acomptes en faveur du fisc"/>
    <n v="0"/>
    <n v="5.26"/>
    <n v="4221"/>
  </r>
  <r>
    <x v="0"/>
    <x v="0"/>
    <x v="0"/>
    <x v="8"/>
    <x v="8"/>
    <x v="8"/>
    <s v="REVENUS"/>
    <x v="3"/>
    <s v="4002.007"/>
    <s v="Acompte impôt sur fortune"/>
    <n v="0"/>
    <n v="-1092.1500000000001"/>
    <n v="4002"/>
  </r>
  <r>
    <x v="0"/>
    <x v="0"/>
    <x v="0"/>
    <x v="8"/>
    <x v="8"/>
    <x v="8"/>
    <s v="REVENUS"/>
    <x v="5"/>
    <s v="4061.000"/>
    <s v="Impôt sur les chiens"/>
    <n v="0"/>
    <n v="57300"/>
    <n v="4061"/>
  </r>
  <r>
    <x v="0"/>
    <x v="0"/>
    <x v="0"/>
    <x v="8"/>
    <x v="8"/>
    <x v="8"/>
    <s v="REVENUS"/>
    <x v="11"/>
    <s v="4198.000"/>
    <s v="Contributions communales"/>
    <n v="0"/>
    <n v="3459707.7"/>
    <n v="4198"/>
  </r>
  <r>
    <x v="0"/>
    <x v="0"/>
    <x v="0"/>
    <x v="8"/>
    <x v="8"/>
    <x v="8"/>
    <s v="REVENUS"/>
    <x v="2"/>
    <s v="4001.007"/>
    <s v="Acompte impôt sur revenu"/>
    <n v="0"/>
    <n v="-14426.41"/>
    <n v="4001"/>
  </r>
  <r>
    <x v="0"/>
    <x v="0"/>
    <x v="0"/>
    <x v="8"/>
    <x v="8"/>
    <x v="8"/>
    <s v="REVENUS"/>
    <x v="3"/>
    <s v="4002.002"/>
    <s v="Impôt complémentaire s/fortune PP"/>
    <n v="0"/>
    <n v="10321.15"/>
    <n v="4002"/>
  </r>
  <r>
    <x v="0"/>
    <x v="0"/>
    <x v="0"/>
    <x v="8"/>
    <x v="8"/>
    <x v="8"/>
    <s v="REVENUS"/>
    <x v="2"/>
    <s v="4001.007"/>
    <s v="Acompte impôt sur revenu"/>
    <n v="0"/>
    <n v="4.4000000000000004"/>
    <n v="4001"/>
  </r>
  <r>
    <x v="0"/>
    <x v="0"/>
    <x v="0"/>
    <x v="8"/>
    <x v="8"/>
    <x v="8"/>
    <s v="REVENUS"/>
    <x v="3"/>
    <s v="4002.007"/>
    <s v="Acompte impôt sur fortune"/>
    <n v="0"/>
    <n v="43.1"/>
    <n v="4002"/>
  </r>
  <r>
    <x v="0"/>
    <x v="0"/>
    <x v="0"/>
    <x v="8"/>
    <x v="8"/>
    <x v="8"/>
    <s v="REVENUS"/>
    <x v="2"/>
    <s v="4001.007"/>
    <s v="Acompte impôt sur revenu"/>
    <n v="0"/>
    <n v="-63.6"/>
    <n v="4001"/>
  </r>
  <r>
    <x v="0"/>
    <x v="0"/>
    <x v="0"/>
    <x v="8"/>
    <x v="8"/>
    <x v="8"/>
    <s v="REVENUS"/>
    <x v="2"/>
    <s v="4001.001"/>
    <s v="Impôt revenu"/>
    <n v="0"/>
    <n v="3275.7"/>
    <n v="4001"/>
  </r>
  <r>
    <x v="0"/>
    <x v="0"/>
    <x v="0"/>
    <x v="8"/>
    <x v="8"/>
    <x v="8"/>
    <s v="REVENUS"/>
    <x v="3"/>
    <s v="4002.001"/>
    <s v="Impôt ordinaire s/fortune PP"/>
    <n v="0"/>
    <n v="4029.6"/>
    <n v="4002"/>
  </r>
  <r>
    <x v="0"/>
    <x v="0"/>
    <x v="0"/>
    <x v="8"/>
    <x v="8"/>
    <x v="8"/>
    <s v="REVENUS"/>
    <x v="7"/>
    <s v="4184.000"/>
    <s v="Frais de poursuite"/>
    <n v="0"/>
    <n v="1125.98"/>
    <n v="4184"/>
  </r>
  <r>
    <x v="0"/>
    <x v="0"/>
    <x v="0"/>
    <x v="8"/>
    <x v="8"/>
    <x v="8"/>
    <s v="REVENUS"/>
    <x v="3"/>
    <s v="4002.002"/>
    <s v="Impôt complémentaire s/fortune PP"/>
    <n v="0"/>
    <n v="48978.75"/>
    <n v="4002"/>
  </r>
  <r>
    <x v="0"/>
    <x v="0"/>
    <x v="0"/>
    <x v="8"/>
    <x v="8"/>
    <x v="8"/>
    <s v="REVENUS"/>
    <x v="2"/>
    <s v="4001.002"/>
    <s v="Impôt complément s/revenu PP"/>
    <n v="0"/>
    <n v="-116.75"/>
    <n v="4001"/>
  </r>
  <r>
    <x v="0"/>
    <x v="0"/>
    <x v="0"/>
    <x v="8"/>
    <x v="8"/>
    <x v="8"/>
    <s v="REVENUS"/>
    <x v="3"/>
    <s v="4002.002"/>
    <s v="Impôt complémentaire s/fortune PP"/>
    <n v="0"/>
    <n v="-593.79999999999995"/>
    <n v="4002"/>
  </r>
  <r>
    <x v="0"/>
    <x v="0"/>
    <x v="0"/>
    <x v="8"/>
    <x v="8"/>
    <x v="8"/>
    <s v="REVENUS"/>
    <x v="6"/>
    <s v="4211.001"/>
    <s v="Intérêts de retard sur factures"/>
    <n v="0"/>
    <n v="-0.76"/>
    <n v="4211"/>
  </r>
  <r>
    <x v="0"/>
    <x v="0"/>
    <x v="0"/>
    <x v="8"/>
    <x v="8"/>
    <x v="8"/>
    <s v="REVENUS"/>
    <x v="2"/>
    <s v="4001.002"/>
    <s v="Impôt complément s/revenu PP"/>
    <n v="0"/>
    <n v="67977"/>
    <n v="4001"/>
  </r>
  <r>
    <x v="0"/>
    <x v="0"/>
    <x v="0"/>
    <x v="8"/>
    <x v="8"/>
    <x v="8"/>
    <s v="REVENUS"/>
    <x v="3"/>
    <s v="4002.001"/>
    <s v="Impôt ordinaire s/fortune PP"/>
    <n v="0"/>
    <n v="855.45"/>
    <n v="4002"/>
  </r>
  <r>
    <x v="0"/>
    <x v="0"/>
    <x v="0"/>
    <x v="8"/>
    <x v="8"/>
    <x v="8"/>
    <s v="REVENUS"/>
    <x v="6"/>
    <s v="4221.003"/>
    <s v="Intérêts compensat. / acomptes en faveur du fisc"/>
    <n v="0"/>
    <n v="0.03"/>
    <n v="4221"/>
  </r>
  <r>
    <x v="0"/>
    <x v="0"/>
    <x v="0"/>
    <x v="8"/>
    <x v="8"/>
    <x v="8"/>
    <s v="REVENUS"/>
    <x v="6"/>
    <s v="4211.002"/>
    <s v="Intérêts de retard sur acomptes"/>
    <n v="0"/>
    <n v="46.63"/>
    <n v="4211"/>
  </r>
  <r>
    <x v="0"/>
    <x v="0"/>
    <x v="0"/>
    <x v="8"/>
    <x v="8"/>
    <x v="8"/>
    <s v="REVENUS"/>
    <x v="6"/>
    <s v="4211.001"/>
    <s v="Intérêts de retard sur factures"/>
    <n v="0"/>
    <n v="0.23"/>
    <n v="4211"/>
  </r>
  <r>
    <x v="0"/>
    <x v="0"/>
    <x v="0"/>
    <x v="8"/>
    <x v="8"/>
    <x v="8"/>
    <s v="REVENUS"/>
    <x v="2"/>
    <s v="4001.007"/>
    <s v="Acompte impôt sur revenu"/>
    <n v="0"/>
    <n v="-213.25"/>
    <n v="4001"/>
  </r>
  <r>
    <x v="0"/>
    <x v="0"/>
    <x v="0"/>
    <x v="8"/>
    <x v="8"/>
    <x v="8"/>
    <s v="REVENUS"/>
    <x v="3"/>
    <s v="4002.007"/>
    <s v="Acompte impôt sur fortune"/>
    <n v="0"/>
    <n v="-581.15"/>
    <n v="4002"/>
  </r>
  <r>
    <x v="0"/>
    <x v="0"/>
    <x v="0"/>
    <x v="8"/>
    <x v="8"/>
    <x v="8"/>
    <s v="REVENUS"/>
    <x v="4"/>
    <s v="4051.002"/>
    <s v="Impôt sur les donations"/>
    <n v="0"/>
    <n v="6504.4"/>
    <n v="4051"/>
  </r>
  <r>
    <x v="0"/>
    <x v="0"/>
    <x v="0"/>
    <x v="8"/>
    <x v="8"/>
    <x v="8"/>
    <s v="REVENUS"/>
    <x v="9"/>
    <s v="4031.002"/>
    <s v="Complément impôt sur les gains immobiliers"/>
    <n v="0"/>
    <n v="65275"/>
    <n v="4031"/>
  </r>
  <r>
    <x v="0"/>
    <x v="0"/>
    <x v="0"/>
    <x v="8"/>
    <x v="8"/>
    <x v="8"/>
    <s v="REVENUS"/>
    <x v="2"/>
    <s v="4001.001"/>
    <s v="Impôt revenu"/>
    <n v="0"/>
    <n v="292.35000000000002"/>
    <n v="4001"/>
  </r>
  <r>
    <x v="0"/>
    <x v="0"/>
    <x v="0"/>
    <x v="8"/>
    <x v="8"/>
    <x v="8"/>
    <s v="REVENUS"/>
    <x v="4"/>
    <s v="4051.001"/>
    <s v="Impôt sur les successions"/>
    <n v="0"/>
    <n v="996.1"/>
    <n v="4051"/>
  </r>
  <r>
    <x v="0"/>
    <x v="0"/>
    <x v="0"/>
    <x v="8"/>
    <x v="8"/>
    <x v="8"/>
    <s v="REVENUS"/>
    <x v="6"/>
    <s v="4221.002"/>
    <s v="Intérêts compensat. sur impôts distincts"/>
    <n v="0"/>
    <n v="3.07"/>
    <n v="4221"/>
  </r>
  <r>
    <x v="0"/>
    <x v="0"/>
    <x v="0"/>
    <x v="8"/>
    <x v="8"/>
    <x v="8"/>
    <s v="REVENUS"/>
    <x v="8"/>
    <s v="4091.001"/>
    <s v="Impôt récupéré après défalcations"/>
    <n v="0"/>
    <n v="1316.71"/>
    <n v="4091"/>
  </r>
  <r>
    <x v="0"/>
    <x v="0"/>
    <x v="0"/>
    <x v="8"/>
    <x v="8"/>
    <x v="8"/>
    <s v="REVENUS"/>
    <x v="10"/>
    <s v="4041.002"/>
    <s v="Complément droit de mutation"/>
    <n v="0"/>
    <n v="15101.2"/>
    <n v="4041"/>
  </r>
  <r>
    <x v="0"/>
    <x v="0"/>
    <x v="0"/>
    <x v="8"/>
    <x v="8"/>
    <x v="8"/>
    <s v="REVENUS"/>
    <x v="8"/>
    <s v="4091.001"/>
    <s v="Impôt récupéré après défalcations"/>
    <n v="0"/>
    <n v="11374.12"/>
    <n v="4091"/>
  </r>
  <r>
    <x v="0"/>
    <x v="0"/>
    <x v="0"/>
    <x v="8"/>
    <x v="8"/>
    <x v="8"/>
    <s v="REVENUS"/>
    <x v="7"/>
    <s v="4184.000"/>
    <s v="Frais de poursuite"/>
    <n v="0"/>
    <n v="58.08"/>
    <n v="4184"/>
  </r>
  <r>
    <x v="0"/>
    <x v="0"/>
    <x v="0"/>
    <x v="8"/>
    <x v="8"/>
    <x v="8"/>
    <s v="REVENUS"/>
    <x v="8"/>
    <s v="4091.001"/>
    <s v="Impôt récupéré après défalcations"/>
    <n v="0"/>
    <n v="2905.95"/>
    <n v="4091"/>
  </r>
  <r>
    <x v="0"/>
    <x v="0"/>
    <x v="0"/>
    <x v="8"/>
    <x v="8"/>
    <x v="8"/>
    <s v="REVENUS"/>
    <x v="4"/>
    <s v="4051.001"/>
    <s v="Impôt sur les successions"/>
    <n v="0"/>
    <n v="4748.6000000000004"/>
    <n v="4051"/>
  </r>
  <r>
    <x v="0"/>
    <x v="0"/>
    <x v="0"/>
    <x v="8"/>
    <x v="8"/>
    <x v="8"/>
    <s v="REVENUS"/>
    <x v="6"/>
    <s v="4221.002"/>
    <s v="Intérêts compensat. sur impôts distincts"/>
    <n v="0"/>
    <n v="15.76"/>
    <n v="4221"/>
  </r>
  <r>
    <x v="0"/>
    <x v="0"/>
    <x v="0"/>
    <x v="8"/>
    <x v="8"/>
    <x v="8"/>
    <s v="REVENUS"/>
    <x v="3"/>
    <s v="4002.001"/>
    <s v="Impôt ordinaire s/fortune PP"/>
    <n v="0"/>
    <n v="-1208.6500000000001"/>
    <n v="4002"/>
  </r>
  <r>
    <x v="0"/>
    <x v="0"/>
    <x v="0"/>
    <x v="8"/>
    <x v="8"/>
    <x v="8"/>
    <s v="REVENUS"/>
    <x v="6"/>
    <s v="4211.002"/>
    <s v="Intérêts de retard sur acomptes"/>
    <n v="0"/>
    <n v="-0.79"/>
    <n v="4211"/>
  </r>
  <r>
    <x v="0"/>
    <x v="0"/>
    <x v="0"/>
    <x v="8"/>
    <x v="8"/>
    <x v="8"/>
    <s v="REVENUS"/>
    <x v="2"/>
    <s v="4001.003"/>
    <s v="Impôt s/prest. cap. PP"/>
    <n v="0"/>
    <n v="734.7"/>
    <n v="4001"/>
  </r>
  <r>
    <x v="0"/>
    <x v="0"/>
    <x v="0"/>
    <x v="8"/>
    <x v="8"/>
    <x v="8"/>
    <s v="REVENUS"/>
    <x v="9"/>
    <s v="4031.001"/>
    <s v="Impôt sur les gains immobiliers"/>
    <n v="0"/>
    <n v="1447.5"/>
    <n v="4031"/>
  </r>
  <r>
    <x v="0"/>
    <x v="0"/>
    <x v="0"/>
    <x v="9"/>
    <x v="9"/>
    <x v="9"/>
    <s v="CHARGES"/>
    <x v="0"/>
    <s v="3212.002"/>
    <s v="Intérêts bonifiés/trop perçu acompte C/C"/>
    <n v="10.69"/>
    <n v="0"/>
    <n v="3212"/>
  </r>
  <r>
    <x v="0"/>
    <x v="0"/>
    <x v="0"/>
    <x v="9"/>
    <x v="9"/>
    <x v="9"/>
    <s v="CHARGES"/>
    <x v="1"/>
    <s v="3301.001"/>
    <s v="Défalcations, abandons de solde PP et IS"/>
    <n v="4274.33"/>
    <n v="0"/>
    <n v="3301"/>
  </r>
  <r>
    <x v="0"/>
    <x v="0"/>
    <x v="0"/>
    <x v="9"/>
    <x v="9"/>
    <x v="9"/>
    <s v="CHARGES"/>
    <x v="1"/>
    <s v="3301.001"/>
    <s v="Défalcations, abandons de solde PP et IS"/>
    <n v="1.19"/>
    <n v="0"/>
    <n v="3301"/>
  </r>
  <r>
    <x v="0"/>
    <x v="0"/>
    <x v="0"/>
    <x v="9"/>
    <x v="9"/>
    <x v="9"/>
    <s v="CHARGES"/>
    <x v="0"/>
    <s v="3212.004"/>
    <s v="Intérêts rémun./perçu trop tôt sur acomptes C/C"/>
    <n v="14.72"/>
    <n v="0"/>
    <n v="3212"/>
  </r>
  <r>
    <x v="0"/>
    <x v="0"/>
    <x v="0"/>
    <x v="9"/>
    <x v="9"/>
    <x v="9"/>
    <s v="CHARGES"/>
    <x v="0"/>
    <s v="3221.002"/>
    <s v="Intérêts compensatoires / créances en faveur ctb."/>
    <n v="7.28"/>
    <n v="0"/>
    <n v="3221"/>
  </r>
  <r>
    <x v="0"/>
    <x v="0"/>
    <x v="0"/>
    <x v="9"/>
    <x v="9"/>
    <x v="9"/>
    <s v="CHARGES"/>
    <x v="0"/>
    <s v="3212.004"/>
    <s v="Intérêts rémun./perçu trop tôt sur acomptes C/C"/>
    <n v="514.14"/>
    <n v="0"/>
    <n v="3212"/>
  </r>
  <r>
    <x v="0"/>
    <x v="0"/>
    <x v="0"/>
    <x v="9"/>
    <x v="9"/>
    <x v="9"/>
    <s v="CHARGES"/>
    <x v="0"/>
    <s v="3212.004"/>
    <s v="Intérêts rémun./perçu trop tôt sur acomptes C/C"/>
    <n v="41.52"/>
    <n v="0"/>
    <n v="3212"/>
  </r>
  <r>
    <x v="0"/>
    <x v="0"/>
    <x v="0"/>
    <x v="9"/>
    <x v="9"/>
    <x v="9"/>
    <s v="CHARGES"/>
    <x v="1"/>
    <s v="3301.001"/>
    <s v="Défalcations, abandons de solde PP et IS"/>
    <n v="29.17"/>
    <n v="0"/>
    <n v="3301"/>
  </r>
  <r>
    <x v="0"/>
    <x v="0"/>
    <x v="0"/>
    <x v="9"/>
    <x v="9"/>
    <x v="9"/>
    <s v="CHARGES"/>
    <x v="0"/>
    <s v="3221.002"/>
    <s v="Intérêts compensatoires / créances en faveur ctb."/>
    <n v="21.99"/>
    <n v="0"/>
    <n v="3221"/>
  </r>
  <r>
    <x v="0"/>
    <x v="0"/>
    <x v="0"/>
    <x v="9"/>
    <x v="9"/>
    <x v="9"/>
    <s v="CHARGES"/>
    <x v="0"/>
    <s v="3221.002"/>
    <s v="Intérêts compensatoires / créances en faveur ctb."/>
    <n v="131.4"/>
    <n v="0"/>
    <n v="3221"/>
  </r>
  <r>
    <x v="0"/>
    <x v="0"/>
    <x v="0"/>
    <x v="9"/>
    <x v="9"/>
    <x v="9"/>
    <s v="CHARGES"/>
    <x v="0"/>
    <s v="3212.004"/>
    <s v="Intérêts rémun./perçu trop tôt sur acomptes C/C"/>
    <n v="6.71"/>
    <n v="0"/>
    <n v="3212"/>
  </r>
  <r>
    <x v="0"/>
    <x v="0"/>
    <x v="0"/>
    <x v="9"/>
    <x v="9"/>
    <x v="9"/>
    <s v="CHARGES"/>
    <x v="0"/>
    <s v="3221.002"/>
    <s v="Intérêts compensatoires / créances en faveur ctb."/>
    <n v="4.46"/>
    <n v="0"/>
    <n v="3221"/>
  </r>
  <r>
    <x v="0"/>
    <x v="0"/>
    <x v="0"/>
    <x v="9"/>
    <x v="9"/>
    <x v="9"/>
    <s v="CHARGES"/>
    <x v="0"/>
    <s v="3212.004"/>
    <s v="Intérêts rémun./perçu trop tôt sur acomptes C/C"/>
    <n v="21.89"/>
    <n v="0"/>
    <n v="3212"/>
  </r>
  <r>
    <x v="0"/>
    <x v="0"/>
    <x v="0"/>
    <x v="9"/>
    <x v="9"/>
    <x v="9"/>
    <s v="CHARGES"/>
    <x v="0"/>
    <s v="3221.002"/>
    <s v="Intérêts compensatoires / créances en faveur ctb."/>
    <n v="10.65"/>
    <n v="0"/>
    <n v="3221"/>
  </r>
  <r>
    <x v="0"/>
    <x v="0"/>
    <x v="0"/>
    <x v="9"/>
    <x v="9"/>
    <x v="9"/>
    <s v="CHARGES"/>
    <x v="0"/>
    <s v="3212.004"/>
    <s v="Intérêts rémun./perçu trop tôt sur acomptes C/C"/>
    <n v="9.0399999999999991"/>
    <n v="0"/>
    <n v="3212"/>
  </r>
  <r>
    <x v="0"/>
    <x v="0"/>
    <x v="0"/>
    <x v="9"/>
    <x v="9"/>
    <x v="9"/>
    <s v="CHARGES"/>
    <x v="0"/>
    <s v="3221.002"/>
    <s v="Intérêts compensatoires / créances en faveur ctb."/>
    <n v="9.3000000000000007"/>
    <n v="0"/>
    <n v="3221"/>
  </r>
  <r>
    <x v="0"/>
    <x v="0"/>
    <x v="0"/>
    <x v="9"/>
    <x v="9"/>
    <x v="9"/>
    <s v="CHARGES"/>
    <x v="0"/>
    <s v="3212.002"/>
    <s v="Intérêts bonifiés/trop perçu acompte C/C"/>
    <n v="0.02"/>
    <n v="0"/>
    <n v="3212"/>
  </r>
  <r>
    <x v="0"/>
    <x v="0"/>
    <x v="0"/>
    <x v="9"/>
    <x v="9"/>
    <x v="9"/>
    <s v="CHARGES"/>
    <x v="1"/>
    <s v="3301.001"/>
    <s v="Défalcations, abandons de solde PP et IS"/>
    <n v="16583.36"/>
    <n v="0"/>
    <n v="3301"/>
  </r>
  <r>
    <x v="0"/>
    <x v="0"/>
    <x v="0"/>
    <x v="9"/>
    <x v="9"/>
    <x v="9"/>
    <s v="CHARGES"/>
    <x v="1"/>
    <s v="3301.001"/>
    <s v="Défalcations, abandons de solde PP et IS"/>
    <n v="4.25"/>
    <n v="0"/>
    <n v="3301"/>
  </r>
  <r>
    <x v="0"/>
    <x v="0"/>
    <x v="0"/>
    <x v="9"/>
    <x v="9"/>
    <x v="9"/>
    <s v="CHARGES"/>
    <x v="0"/>
    <s v="3212.002"/>
    <s v="Intérêts bonifiés/trop perçu acompte C/C"/>
    <n v="0.01"/>
    <n v="0"/>
    <n v="3212"/>
  </r>
  <r>
    <x v="0"/>
    <x v="0"/>
    <x v="0"/>
    <x v="9"/>
    <x v="9"/>
    <x v="9"/>
    <s v="CHARGES"/>
    <x v="0"/>
    <s v="3212.002"/>
    <s v="Intérêts bonifiés/trop perçu acompte C/C"/>
    <n v="0.02"/>
    <n v="0"/>
    <n v="3212"/>
  </r>
  <r>
    <x v="0"/>
    <x v="0"/>
    <x v="0"/>
    <x v="9"/>
    <x v="9"/>
    <x v="9"/>
    <s v="CHARGES"/>
    <x v="0"/>
    <s v="3212.004"/>
    <s v="Intérêts rémun./perçu trop tôt sur acomptes C/C"/>
    <n v="0.37"/>
    <n v="0"/>
    <n v="3212"/>
  </r>
  <r>
    <x v="0"/>
    <x v="0"/>
    <x v="0"/>
    <x v="9"/>
    <x v="9"/>
    <x v="9"/>
    <s v="CHARGES"/>
    <x v="0"/>
    <s v="3212.002"/>
    <s v="Intérêts bonifiés/trop perçu acompte C/C"/>
    <n v="0.17"/>
    <n v="0"/>
    <n v="3212"/>
  </r>
  <r>
    <x v="0"/>
    <x v="0"/>
    <x v="0"/>
    <x v="9"/>
    <x v="9"/>
    <x v="9"/>
    <s v="CHARGES"/>
    <x v="0"/>
    <s v="3212.002"/>
    <s v="Intérêts bonifiés/trop perçu acompte C/C"/>
    <n v="0.04"/>
    <n v="0"/>
    <n v="3212"/>
  </r>
  <r>
    <x v="0"/>
    <x v="0"/>
    <x v="0"/>
    <x v="9"/>
    <x v="9"/>
    <x v="9"/>
    <s v="CHARGES"/>
    <x v="0"/>
    <s v="3212.004"/>
    <s v="Intérêts rémun./perçu trop tôt sur acomptes C/C"/>
    <n v="0.02"/>
    <n v="0"/>
    <n v="3212"/>
  </r>
  <r>
    <x v="0"/>
    <x v="0"/>
    <x v="0"/>
    <x v="9"/>
    <x v="9"/>
    <x v="9"/>
    <s v="CHARGES"/>
    <x v="1"/>
    <s v="3301.001"/>
    <s v="Défalcations, abandons de solde PP et IS"/>
    <n v="0.03"/>
    <n v="0"/>
    <n v="3301"/>
  </r>
  <r>
    <x v="0"/>
    <x v="0"/>
    <x v="0"/>
    <x v="9"/>
    <x v="9"/>
    <x v="9"/>
    <s v="CHARGES"/>
    <x v="1"/>
    <s v="3301.001"/>
    <s v="Défalcations, abandons de solde PP et IS"/>
    <n v="18529.36"/>
    <n v="0"/>
    <n v="3301"/>
  </r>
  <r>
    <x v="0"/>
    <x v="0"/>
    <x v="0"/>
    <x v="9"/>
    <x v="9"/>
    <x v="9"/>
    <s v="CHARGES"/>
    <x v="1"/>
    <s v="3301.001"/>
    <s v="Défalcations, abandons de solde PP et IS"/>
    <n v="2.5499999999999998"/>
    <n v="0"/>
    <n v="3301"/>
  </r>
  <r>
    <x v="0"/>
    <x v="0"/>
    <x v="0"/>
    <x v="9"/>
    <x v="9"/>
    <x v="9"/>
    <s v="CHARGES"/>
    <x v="0"/>
    <s v="3221.002"/>
    <s v="Intérêts compensatoires / créances en faveur ctb."/>
    <n v="-0.01"/>
    <n v="0"/>
    <n v="3221"/>
  </r>
  <r>
    <x v="0"/>
    <x v="0"/>
    <x v="0"/>
    <x v="9"/>
    <x v="9"/>
    <x v="9"/>
    <s v="CHARGES"/>
    <x v="0"/>
    <s v="3221.002"/>
    <s v="Intérêts compensatoires / créances en faveur ctb."/>
    <n v="0.04"/>
    <n v="0"/>
    <n v="3221"/>
  </r>
  <r>
    <x v="0"/>
    <x v="0"/>
    <x v="0"/>
    <x v="9"/>
    <x v="9"/>
    <x v="9"/>
    <s v="CHARGES"/>
    <x v="1"/>
    <s v="3301.001"/>
    <s v="Défalcations, abandons de solde PP et IS"/>
    <n v="0.34"/>
    <n v="0"/>
    <n v="3301"/>
  </r>
  <r>
    <x v="0"/>
    <x v="0"/>
    <x v="0"/>
    <x v="9"/>
    <x v="9"/>
    <x v="9"/>
    <s v="CHARGES"/>
    <x v="0"/>
    <s v="3212.002"/>
    <s v="Intérêts bonifiés/trop perçu acompte C/C"/>
    <n v="0"/>
    <n v="0"/>
    <n v="3212"/>
  </r>
  <r>
    <x v="0"/>
    <x v="0"/>
    <x v="0"/>
    <x v="9"/>
    <x v="9"/>
    <x v="9"/>
    <s v="CHARGES"/>
    <x v="1"/>
    <s v="3301.003"/>
    <s v="Remises PP et IS"/>
    <n v="1953.35"/>
    <n v="0"/>
    <n v="3301"/>
  </r>
  <r>
    <x v="0"/>
    <x v="0"/>
    <x v="0"/>
    <x v="9"/>
    <x v="9"/>
    <x v="9"/>
    <s v="REVENUS"/>
    <x v="2"/>
    <s v="4001.001"/>
    <s v="Impôt revenu"/>
    <n v="0"/>
    <n v="1581987.2"/>
    <n v="4001"/>
  </r>
  <r>
    <x v="0"/>
    <x v="0"/>
    <x v="0"/>
    <x v="9"/>
    <x v="9"/>
    <x v="9"/>
    <s v="REVENUS"/>
    <x v="2"/>
    <s v="4001.007"/>
    <s v="Acompte impôt sur revenu"/>
    <n v="0"/>
    <n v="139888.63"/>
    <n v="4001"/>
  </r>
  <r>
    <x v="0"/>
    <x v="0"/>
    <x v="0"/>
    <x v="9"/>
    <x v="9"/>
    <x v="9"/>
    <s v="REVENUS"/>
    <x v="3"/>
    <s v="4002.001"/>
    <s v="Impôt ordinaire s/fortune PP"/>
    <n v="0"/>
    <n v="414333.75"/>
    <n v="4002"/>
  </r>
  <r>
    <x v="0"/>
    <x v="0"/>
    <x v="0"/>
    <x v="9"/>
    <x v="9"/>
    <x v="9"/>
    <s v="REVENUS"/>
    <x v="3"/>
    <s v="4002.007"/>
    <s v="Acompte impôt sur fortune"/>
    <n v="0"/>
    <n v="-33324.76"/>
    <n v="4002"/>
  </r>
  <r>
    <x v="0"/>
    <x v="0"/>
    <x v="0"/>
    <x v="9"/>
    <x v="9"/>
    <x v="9"/>
    <s v="REVENUS"/>
    <x v="10"/>
    <s v="4041.001"/>
    <s v="Droits de mutation"/>
    <n v="0"/>
    <n v="108443.1"/>
    <n v="4041"/>
  </r>
  <r>
    <x v="0"/>
    <x v="0"/>
    <x v="0"/>
    <x v="9"/>
    <x v="9"/>
    <x v="9"/>
    <s v="REVENUS"/>
    <x v="6"/>
    <s v="4211.001"/>
    <s v="Intérêts de retard sur factures"/>
    <n v="0"/>
    <n v="3669.24"/>
    <n v="4211"/>
  </r>
  <r>
    <x v="0"/>
    <x v="0"/>
    <x v="0"/>
    <x v="9"/>
    <x v="9"/>
    <x v="9"/>
    <s v="REVENUS"/>
    <x v="6"/>
    <s v="4211.002"/>
    <s v="Intérêts de retard sur acomptes"/>
    <n v="0"/>
    <n v="13987.74"/>
    <n v="4211"/>
  </r>
  <r>
    <x v="0"/>
    <x v="0"/>
    <x v="0"/>
    <x v="9"/>
    <x v="9"/>
    <x v="9"/>
    <s v="REVENUS"/>
    <x v="6"/>
    <s v="4211.001"/>
    <s v="Intérêts de retard sur factures"/>
    <n v="0"/>
    <n v="3.09"/>
    <n v="4211"/>
  </r>
  <r>
    <x v="0"/>
    <x v="0"/>
    <x v="0"/>
    <x v="9"/>
    <x v="9"/>
    <x v="9"/>
    <s v="REVENUS"/>
    <x v="2"/>
    <s v="4001.007"/>
    <s v="Acompte impôt sur revenu"/>
    <n v="0"/>
    <n v="-13283.17"/>
    <n v="4001"/>
  </r>
  <r>
    <x v="0"/>
    <x v="0"/>
    <x v="0"/>
    <x v="9"/>
    <x v="9"/>
    <x v="9"/>
    <s v="REVENUS"/>
    <x v="3"/>
    <s v="4002.007"/>
    <s v="Acompte impôt sur fortune"/>
    <n v="0"/>
    <n v="-8609.34"/>
    <n v="4002"/>
  </r>
  <r>
    <x v="0"/>
    <x v="0"/>
    <x v="0"/>
    <x v="9"/>
    <x v="9"/>
    <x v="9"/>
    <s v="REVENUS"/>
    <x v="2"/>
    <s v="4001.001"/>
    <s v="Impôt revenu"/>
    <n v="0"/>
    <n v="26431.8"/>
    <n v="4001"/>
  </r>
  <r>
    <x v="0"/>
    <x v="0"/>
    <x v="0"/>
    <x v="9"/>
    <x v="9"/>
    <x v="9"/>
    <s v="REVENUS"/>
    <x v="3"/>
    <s v="4002.001"/>
    <s v="Impôt ordinaire s/fortune PP"/>
    <n v="0"/>
    <n v="29742.45"/>
    <n v="4002"/>
  </r>
  <r>
    <x v="0"/>
    <x v="0"/>
    <x v="0"/>
    <x v="9"/>
    <x v="9"/>
    <x v="9"/>
    <s v="REVENUS"/>
    <x v="3"/>
    <s v="4002.007"/>
    <s v="Acompte impôt sur fortune"/>
    <n v="0"/>
    <n v="-46.99"/>
    <n v="4002"/>
  </r>
  <r>
    <x v="0"/>
    <x v="0"/>
    <x v="0"/>
    <x v="9"/>
    <x v="9"/>
    <x v="9"/>
    <s v="REVENUS"/>
    <x v="7"/>
    <s v="4184.000"/>
    <s v="Frais de poursuite"/>
    <n v="0"/>
    <n v="1347.65"/>
    <n v="4184"/>
  </r>
  <r>
    <x v="0"/>
    <x v="0"/>
    <x v="0"/>
    <x v="9"/>
    <x v="9"/>
    <x v="9"/>
    <s v="REVENUS"/>
    <x v="6"/>
    <s v="4221.003"/>
    <s v="Intérêts compensat. / acomptes en faveur du fisc"/>
    <n v="0"/>
    <n v="176.74"/>
    <n v="4221"/>
  </r>
  <r>
    <x v="0"/>
    <x v="0"/>
    <x v="0"/>
    <x v="9"/>
    <x v="9"/>
    <x v="9"/>
    <s v="REVENUS"/>
    <x v="3"/>
    <s v="4002.002"/>
    <s v="Impôt complémentaire s/fortune PP"/>
    <n v="0"/>
    <n v="2335.0500000000002"/>
    <n v="4002"/>
  </r>
  <r>
    <x v="0"/>
    <x v="0"/>
    <x v="0"/>
    <x v="9"/>
    <x v="9"/>
    <x v="9"/>
    <s v="REVENUS"/>
    <x v="6"/>
    <s v="4211.001"/>
    <s v="Intérêts de retard sur factures"/>
    <n v="0"/>
    <n v="70.66"/>
    <n v="4211"/>
  </r>
  <r>
    <x v="0"/>
    <x v="0"/>
    <x v="0"/>
    <x v="9"/>
    <x v="9"/>
    <x v="9"/>
    <s v="REVENUS"/>
    <x v="6"/>
    <s v="4211.002"/>
    <s v="Intérêts de retard sur acomptes"/>
    <n v="0"/>
    <n v="251.32"/>
    <n v="4211"/>
  </r>
  <r>
    <x v="0"/>
    <x v="0"/>
    <x v="0"/>
    <x v="9"/>
    <x v="9"/>
    <x v="9"/>
    <s v="REVENUS"/>
    <x v="6"/>
    <s v="4221.003"/>
    <s v="Intérêts compensat. / acomptes en faveur du fisc"/>
    <n v="0"/>
    <n v="4.1100000000000003"/>
    <n v="4221"/>
  </r>
  <r>
    <x v="0"/>
    <x v="0"/>
    <x v="0"/>
    <x v="9"/>
    <x v="9"/>
    <x v="9"/>
    <s v="REVENUS"/>
    <x v="2"/>
    <s v="4001.007"/>
    <s v="Acompte impôt sur revenu"/>
    <n v="0"/>
    <n v="-5626.96"/>
    <n v="4001"/>
  </r>
  <r>
    <x v="0"/>
    <x v="0"/>
    <x v="0"/>
    <x v="9"/>
    <x v="9"/>
    <x v="9"/>
    <s v="REVENUS"/>
    <x v="3"/>
    <s v="4002.002"/>
    <s v="Impôt complémentaire s/fortune PP"/>
    <n v="0"/>
    <n v="29395.25"/>
    <n v="4002"/>
  </r>
  <r>
    <x v="0"/>
    <x v="0"/>
    <x v="0"/>
    <x v="9"/>
    <x v="9"/>
    <x v="9"/>
    <s v="REVENUS"/>
    <x v="2"/>
    <s v="4001.001"/>
    <s v="Impôt revenu"/>
    <n v="0"/>
    <n v="96503.55"/>
    <n v="4001"/>
  </r>
  <r>
    <x v="0"/>
    <x v="0"/>
    <x v="0"/>
    <x v="9"/>
    <x v="9"/>
    <x v="9"/>
    <s v="REVENUS"/>
    <x v="3"/>
    <s v="4002.001"/>
    <s v="Impôt ordinaire s/fortune PP"/>
    <n v="0"/>
    <n v="66809.75"/>
    <n v="4002"/>
  </r>
  <r>
    <x v="0"/>
    <x v="0"/>
    <x v="0"/>
    <x v="9"/>
    <x v="9"/>
    <x v="9"/>
    <s v="REVENUS"/>
    <x v="6"/>
    <s v="4221.003"/>
    <s v="Intérêts compensat. / acomptes en faveur du fisc"/>
    <n v="0"/>
    <n v="28.22"/>
    <n v="4221"/>
  </r>
  <r>
    <x v="0"/>
    <x v="0"/>
    <x v="0"/>
    <x v="9"/>
    <x v="9"/>
    <x v="9"/>
    <s v="REVENUS"/>
    <x v="2"/>
    <s v="4001.003"/>
    <s v="Impôt s/prest. cap. PP"/>
    <n v="0"/>
    <n v="21678.95"/>
    <n v="4001"/>
  </r>
  <r>
    <x v="0"/>
    <x v="0"/>
    <x v="0"/>
    <x v="9"/>
    <x v="9"/>
    <x v="9"/>
    <s v="REVENUS"/>
    <x v="2"/>
    <s v="4001.001"/>
    <s v="Impôt revenu"/>
    <n v="0"/>
    <n v="5416.95"/>
    <n v="4001"/>
  </r>
  <r>
    <x v="0"/>
    <x v="0"/>
    <x v="0"/>
    <x v="9"/>
    <x v="9"/>
    <x v="9"/>
    <s v="REVENUS"/>
    <x v="3"/>
    <s v="4002.001"/>
    <s v="Impôt ordinaire s/fortune PP"/>
    <n v="0"/>
    <n v="8203.5499999999993"/>
    <n v="4002"/>
  </r>
  <r>
    <x v="0"/>
    <x v="0"/>
    <x v="0"/>
    <x v="9"/>
    <x v="9"/>
    <x v="9"/>
    <s v="REVENUS"/>
    <x v="3"/>
    <s v="4002.007"/>
    <s v="Acompte impôt sur fortune"/>
    <n v="0"/>
    <n v="-50.97"/>
    <n v="4002"/>
  </r>
  <r>
    <x v="0"/>
    <x v="0"/>
    <x v="0"/>
    <x v="9"/>
    <x v="9"/>
    <x v="9"/>
    <s v="REVENUS"/>
    <x v="2"/>
    <s v="4001.002"/>
    <s v="Impôt complément s/revenu PP"/>
    <n v="0"/>
    <n v="8847.9500000000007"/>
    <n v="4001"/>
  </r>
  <r>
    <x v="0"/>
    <x v="0"/>
    <x v="0"/>
    <x v="9"/>
    <x v="9"/>
    <x v="9"/>
    <s v="REVENUS"/>
    <x v="3"/>
    <s v="4002.002"/>
    <s v="Impôt complémentaire s/fortune PP"/>
    <n v="0"/>
    <n v="9394.15"/>
    <n v="4002"/>
  </r>
  <r>
    <x v="0"/>
    <x v="0"/>
    <x v="0"/>
    <x v="9"/>
    <x v="9"/>
    <x v="9"/>
    <s v="REVENUS"/>
    <x v="6"/>
    <s v="4211.001"/>
    <s v="Intérêts de retard sur factures"/>
    <n v="0"/>
    <n v="114.76"/>
    <n v="4211"/>
  </r>
  <r>
    <x v="0"/>
    <x v="0"/>
    <x v="0"/>
    <x v="9"/>
    <x v="9"/>
    <x v="9"/>
    <s v="REVENUS"/>
    <x v="6"/>
    <s v="4211.002"/>
    <s v="Intérêts de retard sur acomptes"/>
    <n v="0"/>
    <n v="658.47"/>
    <n v="4211"/>
  </r>
  <r>
    <x v="0"/>
    <x v="0"/>
    <x v="0"/>
    <x v="9"/>
    <x v="9"/>
    <x v="9"/>
    <s v="REVENUS"/>
    <x v="2"/>
    <s v="4001.007"/>
    <s v="Acompte impôt sur revenu"/>
    <n v="0"/>
    <n v="-1455.96"/>
    <n v="4001"/>
  </r>
  <r>
    <x v="0"/>
    <x v="0"/>
    <x v="0"/>
    <x v="9"/>
    <x v="9"/>
    <x v="9"/>
    <s v="REVENUS"/>
    <x v="3"/>
    <s v="4002.007"/>
    <s v="Acompte impôt sur fortune"/>
    <n v="0"/>
    <n v="-6205.94"/>
    <n v="4002"/>
  </r>
  <r>
    <x v="0"/>
    <x v="0"/>
    <x v="0"/>
    <x v="9"/>
    <x v="9"/>
    <x v="9"/>
    <s v="REVENUS"/>
    <x v="6"/>
    <s v="4211.002"/>
    <s v="Intérêts de retard sur acomptes"/>
    <n v="0"/>
    <n v="41.07"/>
    <n v="4211"/>
  </r>
  <r>
    <x v="0"/>
    <x v="0"/>
    <x v="0"/>
    <x v="9"/>
    <x v="9"/>
    <x v="9"/>
    <s v="REVENUS"/>
    <x v="3"/>
    <s v="4002.001"/>
    <s v="Impôt ordinaire s/fortune PP"/>
    <n v="0"/>
    <n v="35232.1"/>
    <n v="4002"/>
  </r>
  <r>
    <x v="0"/>
    <x v="0"/>
    <x v="0"/>
    <x v="9"/>
    <x v="9"/>
    <x v="9"/>
    <s v="REVENUS"/>
    <x v="3"/>
    <s v="4002.007"/>
    <s v="Acompte impôt sur fortune"/>
    <n v="0"/>
    <n v="14913.19"/>
    <n v="4002"/>
  </r>
  <r>
    <x v="0"/>
    <x v="0"/>
    <x v="0"/>
    <x v="9"/>
    <x v="9"/>
    <x v="9"/>
    <s v="REVENUS"/>
    <x v="2"/>
    <s v="4001.007"/>
    <s v="Acompte impôt sur revenu"/>
    <n v="0"/>
    <n v="-2384"/>
    <n v="4001"/>
  </r>
  <r>
    <x v="0"/>
    <x v="0"/>
    <x v="0"/>
    <x v="9"/>
    <x v="9"/>
    <x v="9"/>
    <s v="REVENUS"/>
    <x v="3"/>
    <s v="4002.007"/>
    <s v="Acompte impôt sur fortune"/>
    <n v="0"/>
    <n v="-2642.15"/>
    <n v="4002"/>
  </r>
  <r>
    <x v="0"/>
    <x v="0"/>
    <x v="0"/>
    <x v="9"/>
    <x v="9"/>
    <x v="9"/>
    <s v="REVENUS"/>
    <x v="3"/>
    <s v="4002.001"/>
    <s v="Impôt ordinaire s/fortune PP"/>
    <n v="0"/>
    <n v="12286.95"/>
    <n v="4002"/>
  </r>
  <r>
    <x v="0"/>
    <x v="0"/>
    <x v="0"/>
    <x v="9"/>
    <x v="9"/>
    <x v="9"/>
    <s v="REVENUS"/>
    <x v="2"/>
    <s v="4001.001"/>
    <s v="Impôt revenu"/>
    <n v="0"/>
    <n v="14337.3"/>
    <n v="4001"/>
  </r>
  <r>
    <x v="0"/>
    <x v="0"/>
    <x v="0"/>
    <x v="9"/>
    <x v="9"/>
    <x v="9"/>
    <s v="REVENUS"/>
    <x v="2"/>
    <s v="4001.007"/>
    <s v="Acompte impôt sur revenu"/>
    <n v="0"/>
    <n v="2796.29"/>
    <n v="4001"/>
  </r>
  <r>
    <x v="0"/>
    <x v="0"/>
    <x v="0"/>
    <x v="9"/>
    <x v="9"/>
    <x v="9"/>
    <s v="REVENUS"/>
    <x v="6"/>
    <s v="4211.002"/>
    <s v="Intérêts de retard sur acomptes"/>
    <n v="0"/>
    <n v="254.99"/>
    <n v="4211"/>
  </r>
  <r>
    <x v="0"/>
    <x v="0"/>
    <x v="0"/>
    <x v="9"/>
    <x v="9"/>
    <x v="9"/>
    <s v="REVENUS"/>
    <x v="2"/>
    <s v="4001.001"/>
    <s v="Impôt revenu"/>
    <n v="0"/>
    <n v="17018.25"/>
    <n v="4001"/>
  </r>
  <r>
    <x v="0"/>
    <x v="0"/>
    <x v="0"/>
    <x v="9"/>
    <x v="9"/>
    <x v="9"/>
    <s v="REVENUS"/>
    <x v="2"/>
    <s v="4001.007"/>
    <s v="Acompte impôt sur revenu"/>
    <n v="0"/>
    <n v="-4216.82"/>
    <n v="4001"/>
  </r>
  <r>
    <x v="0"/>
    <x v="0"/>
    <x v="0"/>
    <x v="9"/>
    <x v="9"/>
    <x v="9"/>
    <s v="REVENUS"/>
    <x v="3"/>
    <s v="4002.007"/>
    <s v="Acompte impôt sur fortune"/>
    <n v="0"/>
    <n v="-348.57"/>
    <n v="4002"/>
  </r>
  <r>
    <x v="0"/>
    <x v="0"/>
    <x v="0"/>
    <x v="9"/>
    <x v="9"/>
    <x v="9"/>
    <s v="REVENUS"/>
    <x v="7"/>
    <s v="4184.000"/>
    <s v="Frais de poursuite"/>
    <n v="0"/>
    <n v="1522.86"/>
    <n v="4184"/>
  </r>
  <r>
    <x v="0"/>
    <x v="0"/>
    <x v="0"/>
    <x v="9"/>
    <x v="9"/>
    <x v="9"/>
    <s v="REVENUS"/>
    <x v="2"/>
    <s v="4001.002"/>
    <s v="Impôt complément s/revenu PP"/>
    <n v="0"/>
    <n v="2331.75"/>
    <n v="4001"/>
  </r>
  <r>
    <x v="0"/>
    <x v="0"/>
    <x v="0"/>
    <x v="9"/>
    <x v="9"/>
    <x v="9"/>
    <s v="REVENUS"/>
    <x v="3"/>
    <s v="4002.002"/>
    <s v="Impôt complémentaire s/fortune PP"/>
    <n v="0"/>
    <n v="455.25"/>
    <n v="4002"/>
  </r>
  <r>
    <x v="0"/>
    <x v="0"/>
    <x v="0"/>
    <x v="9"/>
    <x v="9"/>
    <x v="9"/>
    <s v="REVENUS"/>
    <x v="6"/>
    <s v="4211.002"/>
    <s v="Intérêts de retard sur acomptes"/>
    <n v="0"/>
    <n v="170.55"/>
    <n v="4211"/>
  </r>
  <r>
    <x v="0"/>
    <x v="0"/>
    <x v="0"/>
    <x v="9"/>
    <x v="9"/>
    <x v="9"/>
    <s v="REVENUS"/>
    <x v="6"/>
    <s v="4221.003"/>
    <s v="Intérêts compensat. / acomptes en faveur du fisc"/>
    <n v="0"/>
    <n v="1.19"/>
    <n v="4221"/>
  </r>
  <r>
    <x v="0"/>
    <x v="0"/>
    <x v="0"/>
    <x v="9"/>
    <x v="9"/>
    <x v="9"/>
    <s v="REVENUS"/>
    <x v="2"/>
    <s v="4001.007"/>
    <s v="Acompte impôt sur revenu"/>
    <n v="0"/>
    <n v="-2422.2199999999998"/>
    <n v="4001"/>
  </r>
  <r>
    <x v="0"/>
    <x v="0"/>
    <x v="0"/>
    <x v="9"/>
    <x v="9"/>
    <x v="9"/>
    <s v="REVENUS"/>
    <x v="6"/>
    <s v="4211.001"/>
    <s v="Intérêts de retard sur factures"/>
    <n v="0"/>
    <n v="0.5"/>
    <n v="4211"/>
  </r>
  <r>
    <x v="0"/>
    <x v="0"/>
    <x v="0"/>
    <x v="9"/>
    <x v="9"/>
    <x v="9"/>
    <s v="REVENUS"/>
    <x v="2"/>
    <s v="4001.007"/>
    <s v="Acompte impôt sur revenu"/>
    <n v="0"/>
    <n v="122.2"/>
    <n v="4001"/>
  </r>
  <r>
    <x v="0"/>
    <x v="0"/>
    <x v="0"/>
    <x v="9"/>
    <x v="9"/>
    <x v="9"/>
    <s v="REVENUS"/>
    <x v="3"/>
    <s v="4002.007"/>
    <s v="Acompte impôt sur fortune"/>
    <n v="0"/>
    <n v="1891.25"/>
    <n v="4002"/>
  </r>
  <r>
    <x v="0"/>
    <x v="0"/>
    <x v="0"/>
    <x v="9"/>
    <x v="9"/>
    <x v="9"/>
    <s v="REVENUS"/>
    <x v="7"/>
    <s v="4184.000"/>
    <s v="Frais de poursuite"/>
    <n v="0"/>
    <n v="10.62"/>
    <n v="4184"/>
  </r>
  <r>
    <x v="0"/>
    <x v="0"/>
    <x v="0"/>
    <x v="9"/>
    <x v="9"/>
    <x v="9"/>
    <s v="REVENUS"/>
    <x v="7"/>
    <s v="4184.000"/>
    <s v="Frais de poursuite"/>
    <n v="0"/>
    <n v="397.13"/>
    <n v="4184"/>
  </r>
  <r>
    <x v="0"/>
    <x v="0"/>
    <x v="0"/>
    <x v="9"/>
    <x v="9"/>
    <x v="9"/>
    <s v="REVENUS"/>
    <x v="2"/>
    <s v="4001.002"/>
    <s v="Impôt complément s/revenu PP"/>
    <n v="0"/>
    <n v="132431.65"/>
    <n v="4001"/>
  </r>
  <r>
    <x v="0"/>
    <x v="0"/>
    <x v="0"/>
    <x v="9"/>
    <x v="9"/>
    <x v="9"/>
    <s v="REVENUS"/>
    <x v="2"/>
    <s v="4001.002"/>
    <s v="Impôt complément s/revenu PP"/>
    <n v="0"/>
    <n v="1909.7"/>
    <n v="4001"/>
  </r>
  <r>
    <x v="0"/>
    <x v="0"/>
    <x v="0"/>
    <x v="9"/>
    <x v="9"/>
    <x v="9"/>
    <s v="REVENUS"/>
    <x v="7"/>
    <s v="4184.000"/>
    <s v="Frais de poursuite"/>
    <n v="0"/>
    <n v="26.85"/>
    <n v="4184"/>
  </r>
  <r>
    <x v="0"/>
    <x v="0"/>
    <x v="0"/>
    <x v="9"/>
    <x v="9"/>
    <x v="9"/>
    <s v="REVENUS"/>
    <x v="6"/>
    <s v="4221.003"/>
    <s v="Intérêts compensat. / acomptes en faveur du fisc"/>
    <n v="0"/>
    <n v="15.47"/>
    <n v="4221"/>
  </r>
  <r>
    <x v="0"/>
    <x v="0"/>
    <x v="0"/>
    <x v="9"/>
    <x v="9"/>
    <x v="9"/>
    <s v="REVENUS"/>
    <x v="6"/>
    <s v="4211.001"/>
    <s v="Intérêts de retard sur factures"/>
    <n v="0"/>
    <n v="43.79"/>
    <n v="4211"/>
  </r>
  <r>
    <x v="0"/>
    <x v="0"/>
    <x v="0"/>
    <x v="9"/>
    <x v="9"/>
    <x v="9"/>
    <s v="REVENUS"/>
    <x v="2"/>
    <s v="4001.002"/>
    <s v="Impôt complément s/revenu PP"/>
    <n v="0"/>
    <n v="1589.15"/>
    <n v="4001"/>
  </r>
  <r>
    <x v="0"/>
    <x v="0"/>
    <x v="0"/>
    <x v="9"/>
    <x v="9"/>
    <x v="9"/>
    <s v="REVENUS"/>
    <x v="6"/>
    <s v="4221.003"/>
    <s v="Intérêts compensat. / acomptes en faveur du fisc"/>
    <n v="0"/>
    <n v="0.81"/>
    <n v="4221"/>
  </r>
  <r>
    <x v="0"/>
    <x v="0"/>
    <x v="0"/>
    <x v="9"/>
    <x v="9"/>
    <x v="9"/>
    <s v="REVENUS"/>
    <x v="3"/>
    <s v="4002.002"/>
    <s v="Impôt complémentaire s/fortune PP"/>
    <n v="0"/>
    <n v="1577.8"/>
    <n v="4002"/>
  </r>
  <r>
    <x v="0"/>
    <x v="0"/>
    <x v="0"/>
    <x v="9"/>
    <x v="9"/>
    <x v="9"/>
    <s v="REVENUS"/>
    <x v="6"/>
    <s v="4221.002"/>
    <s v="Intérêts compensat. sur impôts distincts"/>
    <n v="0"/>
    <n v="62.41"/>
    <n v="4221"/>
  </r>
  <r>
    <x v="0"/>
    <x v="0"/>
    <x v="0"/>
    <x v="9"/>
    <x v="9"/>
    <x v="9"/>
    <s v="REVENUS"/>
    <x v="9"/>
    <s v="4031.001"/>
    <s v="Impôt sur les gains immobiliers"/>
    <n v="0"/>
    <n v="93741.4"/>
    <n v="4031"/>
  </r>
  <r>
    <x v="0"/>
    <x v="0"/>
    <x v="0"/>
    <x v="9"/>
    <x v="9"/>
    <x v="9"/>
    <s v="REVENUS"/>
    <x v="5"/>
    <s v="4061.000"/>
    <s v="Impôt sur les chiens"/>
    <n v="0"/>
    <n v="16750"/>
    <n v="4061"/>
  </r>
  <r>
    <x v="0"/>
    <x v="0"/>
    <x v="0"/>
    <x v="9"/>
    <x v="9"/>
    <x v="9"/>
    <s v="REVENUS"/>
    <x v="3"/>
    <s v="4002.001"/>
    <s v="Impôt ordinaire s/fortune PP"/>
    <n v="0"/>
    <n v="776.25"/>
    <n v="4002"/>
  </r>
  <r>
    <x v="0"/>
    <x v="0"/>
    <x v="0"/>
    <x v="9"/>
    <x v="9"/>
    <x v="9"/>
    <s v="REVENUS"/>
    <x v="4"/>
    <s v="4051.001"/>
    <s v="Impôt sur les successions"/>
    <n v="0"/>
    <n v="209967.9"/>
    <n v="4051"/>
  </r>
  <r>
    <x v="0"/>
    <x v="0"/>
    <x v="0"/>
    <x v="9"/>
    <x v="9"/>
    <x v="9"/>
    <s v="REVENUS"/>
    <x v="2"/>
    <s v="4001.007"/>
    <s v="Acompte impôt sur revenu"/>
    <n v="0"/>
    <n v="321.10000000000002"/>
    <n v="4001"/>
  </r>
  <r>
    <x v="0"/>
    <x v="0"/>
    <x v="0"/>
    <x v="9"/>
    <x v="9"/>
    <x v="9"/>
    <s v="REVENUS"/>
    <x v="3"/>
    <s v="4002.007"/>
    <s v="Acompte impôt sur fortune"/>
    <n v="0"/>
    <n v="222.7"/>
    <n v="4002"/>
  </r>
  <r>
    <x v="0"/>
    <x v="0"/>
    <x v="0"/>
    <x v="9"/>
    <x v="9"/>
    <x v="9"/>
    <s v="REVENUS"/>
    <x v="3"/>
    <s v="4002.001"/>
    <s v="Impôt ordinaire s/fortune PP"/>
    <n v="0"/>
    <n v="-455.9"/>
    <n v="4002"/>
  </r>
  <r>
    <x v="0"/>
    <x v="0"/>
    <x v="0"/>
    <x v="9"/>
    <x v="9"/>
    <x v="9"/>
    <s v="REVENUS"/>
    <x v="6"/>
    <s v="4211.001"/>
    <s v="Intérêts de retard sur factures"/>
    <n v="0"/>
    <n v="0.01"/>
    <n v="4211"/>
  </r>
  <r>
    <x v="0"/>
    <x v="0"/>
    <x v="0"/>
    <x v="9"/>
    <x v="9"/>
    <x v="9"/>
    <s v="REVENUS"/>
    <x v="6"/>
    <s v="4211.002"/>
    <s v="Intérêts de retard sur acomptes"/>
    <n v="0"/>
    <n v="0.26"/>
    <n v="4211"/>
  </r>
  <r>
    <x v="0"/>
    <x v="0"/>
    <x v="0"/>
    <x v="9"/>
    <x v="9"/>
    <x v="9"/>
    <s v="REVENUS"/>
    <x v="6"/>
    <s v="4221.003"/>
    <s v="Intérêts compensat. / acomptes en faveur du fisc"/>
    <n v="0"/>
    <n v="0.03"/>
    <n v="4221"/>
  </r>
  <r>
    <x v="0"/>
    <x v="0"/>
    <x v="0"/>
    <x v="9"/>
    <x v="9"/>
    <x v="9"/>
    <s v="REVENUS"/>
    <x v="6"/>
    <s v="4211.001"/>
    <s v="Intérêts de retard sur factures"/>
    <n v="0"/>
    <n v="29.89"/>
    <n v="4211"/>
  </r>
  <r>
    <x v="0"/>
    <x v="0"/>
    <x v="0"/>
    <x v="9"/>
    <x v="9"/>
    <x v="9"/>
    <s v="REVENUS"/>
    <x v="2"/>
    <s v="4001.001"/>
    <s v="Impôt revenu"/>
    <n v="0"/>
    <n v="-396.6"/>
    <n v="4001"/>
  </r>
  <r>
    <x v="0"/>
    <x v="0"/>
    <x v="0"/>
    <x v="9"/>
    <x v="9"/>
    <x v="9"/>
    <s v="REVENUS"/>
    <x v="2"/>
    <s v="4001.001"/>
    <s v="Impôt revenu"/>
    <n v="0"/>
    <n v="1946.2"/>
    <n v="4001"/>
  </r>
  <r>
    <x v="0"/>
    <x v="0"/>
    <x v="0"/>
    <x v="9"/>
    <x v="9"/>
    <x v="9"/>
    <s v="REVENUS"/>
    <x v="2"/>
    <s v="4001.002"/>
    <s v="Impôt complément s/revenu PP"/>
    <n v="0"/>
    <n v="6798.6"/>
    <n v="4001"/>
  </r>
  <r>
    <x v="0"/>
    <x v="0"/>
    <x v="0"/>
    <x v="9"/>
    <x v="9"/>
    <x v="9"/>
    <s v="REVENUS"/>
    <x v="3"/>
    <s v="4002.002"/>
    <s v="Impôt complémentaire s/fortune PP"/>
    <n v="0"/>
    <n v="3018.7"/>
    <n v="4002"/>
  </r>
  <r>
    <x v="0"/>
    <x v="0"/>
    <x v="0"/>
    <x v="9"/>
    <x v="9"/>
    <x v="9"/>
    <s v="REVENUS"/>
    <x v="4"/>
    <s v="4051.002"/>
    <s v="Impôt sur les donations"/>
    <n v="0"/>
    <n v="3168"/>
    <n v="4051"/>
  </r>
  <r>
    <x v="0"/>
    <x v="0"/>
    <x v="0"/>
    <x v="9"/>
    <x v="9"/>
    <x v="9"/>
    <s v="REVENUS"/>
    <x v="4"/>
    <s v="4051.002"/>
    <s v="Impôt sur les donations"/>
    <n v="0"/>
    <n v="3168"/>
    <n v="4051"/>
  </r>
  <r>
    <x v="0"/>
    <x v="0"/>
    <x v="0"/>
    <x v="9"/>
    <x v="9"/>
    <x v="9"/>
    <s v="REVENUS"/>
    <x v="4"/>
    <s v="4051.002"/>
    <s v="Impôt sur les donations"/>
    <n v="0"/>
    <n v="3077.3"/>
    <n v="4051"/>
  </r>
  <r>
    <x v="0"/>
    <x v="0"/>
    <x v="0"/>
    <x v="9"/>
    <x v="9"/>
    <x v="9"/>
    <s v="REVENUS"/>
    <x v="6"/>
    <s v="4211.002"/>
    <s v="Intérêts de retard sur acomptes"/>
    <n v="0"/>
    <n v="2.52"/>
    <n v="4211"/>
  </r>
  <r>
    <x v="0"/>
    <x v="0"/>
    <x v="0"/>
    <x v="9"/>
    <x v="9"/>
    <x v="9"/>
    <s v="REVENUS"/>
    <x v="6"/>
    <s v="4221.003"/>
    <s v="Intérêts compensat. / acomptes en faveur du fisc"/>
    <n v="0"/>
    <n v="0.34"/>
    <n v="4221"/>
  </r>
  <r>
    <x v="0"/>
    <x v="0"/>
    <x v="0"/>
    <x v="9"/>
    <x v="9"/>
    <x v="9"/>
    <s v="REVENUS"/>
    <x v="8"/>
    <s v="4091.001"/>
    <s v="Impôt récupéré après défalcations"/>
    <n v="0"/>
    <n v="1753.14"/>
    <n v="4091"/>
  </r>
  <r>
    <x v="0"/>
    <x v="0"/>
    <x v="0"/>
    <x v="9"/>
    <x v="9"/>
    <x v="9"/>
    <s v="REVENUS"/>
    <x v="4"/>
    <s v="4051.001"/>
    <s v="Impôt sur les successions"/>
    <n v="0"/>
    <n v="897.9"/>
    <n v="4051"/>
  </r>
  <r>
    <x v="0"/>
    <x v="0"/>
    <x v="0"/>
    <x v="9"/>
    <x v="9"/>
    <x v="9"/>
    <s v="REVENUS"/>
    <x v="6"/>
    <s v="4221.002"/>
    <s v="Intérêts compensat. sur impôts distincts"/>
    <n v="0"/>
    <n v="0.8"/>
    <n v="4221"/>
  </r>
  <r>
    <x v="0"/>
    <x v="0"/>
    <x v="0"/>
    <x v="9"/>
    <x v="9"/>
    <x v="9"/>
    <s v="REVENUS"/>
    <x v="6"/>
    <s v="4211.001"/>
    <s v="Intérêts de retard sur factures"/>
    <n v="0"/>
    <n v="18.12"/>
    <n v="4211"/>
  </r>
  <r>
    <x v="0"/>
    <x v="0"/>
    <x v="0"/>
    <x v="9"/>
    <x v="9"/>
    <x v="9"/>
    <s v="REVENUS"/>
    <x v="7"/>
    <s v="4184.000"/>
    <s v="Frais de poursuite"/>
    <n v="0"/>
    <n v="1.29"/>
    <n v="4184"/>
  </r>
  <r>
    <x v="0"/>
    <x v="0"/>
    <x v="0"/>
    <x v="9"/>
    <x v="9"/>
    <x v="9"/>
    <s v="REVENUS"/>
    <x v="4"/>
    <s v="4051.001"/>
    <s v="Impôt sur les successions"/>
    <n v="0"/>
    <n v="13.7"/>
    <n v="4051"/>
  </r>
  <r>
    <x v="0"/>
    <x v="0"/>
    <x v="0"/>
    <x v="9"/>
    <x v="9"/>
    <x v="9"/>
    <s v="REVENUS"/>
    <x v="2"/>
    <s v="4001.002"/>
    <s v="Impôt complément s/revenu PP"/>
    <n v="0"/>
    <n v="68.95"/>
    <n v="4001"/>
  </r>
  <r>
    <x v="0"/>
    <x v="0"/>
    <x v="0"/>
    <x v="9"/>
    <x v="9"/>
    <x v="9"/>
    <s v="REVENUS"/>
    <x v="3"/>
    <s v="4002.002"/>
    <s v="Impôt complémentaire s/fortune PP"/>
    <n v="0"/>
    <n v="28.75"/>
    <n v="4002"/>
  </r>
  <r>
    <x v="0"/>
    <x v="0"/>
    <x v="0"/>
    <x v="9"/>
    <x v="9"/>
    <x v="9"/>
    <s v="REVENUS"/>
    <x v="4"/>
    <s v="4051.001"/>
    <s v="Impôt sur les successions"/>
    <n v="0"/>
    <n v="3702.2"/>
    <n v="4051"/>
  </r>
  <r>
    <x v="0"/>
    <x v="0"/>
    <x v="0"/>
    <x v="9"/>
    <x v="9"/>
    <x v="9"/>
    <s v="REVENUS"/>
    <x v="6"/>
    <s v="4221.002"/>
    <s v="Intérêts compensat. sur impôts distincts"/>
    <n v="0"/>
    <n v="1.35"/>
    <n v="4221"/>
  </r>
  <r>
    <x v="0"/>
    <x v="0"/>
    <x v="0"/>
    <x v="9"/>
    <x v="9"/>
    <x v="9"/>
    <s v="REVENUS"/>
    <x v="8"/>
    <s v="4091.001"/>
    <s v="Impôt récupéré après défalcations"/>
    <n v="0"/>
    <n v="348.29"/>
    <n v="4091"/>
  </r>
  <r>
    <x v="0"/>
    <x v="0"/>
    <x v="0"/>
    <x v="9"/>
    <x v="9"/>
    <x v="9"/>
    <s v="REVENUS"/>
    <x v="10"/>
    <s v="4041.002"/>
    <s v="Complément droit de mutation"/>
    <n v="0"/>
    <n v="653.35"/>
    <n v="4041"/>
  </r>
  <r>
    <x v="0"/>
    <x v="0"/>
    <x v="0"/>
    <x v="10"/>
    <x v="10"/>
    <x v="10"/>
    <s v="CHARGES"/>
    <x v="0"/>
    <s v="3212.002"/>
    <s v="Intérêts bonifiés/trop perçu acompte C/C"/>
    <n v="38.31"/>
    <n v="0"/>
    <n v="3212"/>
  </r>
  <r>
    <x v="0"/>
    <x v="0"/>
    <x v="0"/>
    <x v="10"/>
    <x v="10"/>
    <x v="10"/>
    <s v="CHARGES"/>
    <x v="0"/>
    <s v="3212.004"/>
    <s v="Intérêts rémun./perçu trop tôt sur acomptes C/C"/>
    <n v="761.57"/>
    <n v="0"/>
    <n v="3212"/>
  </r>
  <r>
    <x v="0"/>
    <x v="0"/>
    <x v="0"/>
    <x v="10"/>
    <x v="10"/>
    <x v="10"/>
    <s v="CHARGES"/>
    <x v="0"/>
    <s v="3221.002"/>
    <s v="Intérêts compensatoires / créances en faveur ctb."/>
    <n v="315.56"/>
    <n v="0"/>
    <n v="3221"/>
  </r>
  <r>
    <x v="0"/>
    <x v="0"/>
    <x v="0"/>
    <x v="10"/>
    <x v="10"/>
    <x v="10"/>
    <s v="CHARGES"/>
    <x v="1"/>
    <s v="3301.001"/>
    <s v="Défalcations, abandons de solde PP et IS"/>
    <n v="2898.36"/>
    <n v="0"/>
    <n v="3301"/>
  </r>
  <r>
    <x v="0"/>
    <x v="0"/>
    <x v="0"/>
    <x v="10"/>
    <x v="10"/>
    <x v="10"/>
    <s v="CHARGES"/>
    <x v="0"/>
    <s v="3212.002"/>
    <s v="Intérêts bonifiés/trop perçu acompte C/C"/>
    <n v="0.17"/>
    <n v="0"/>
    <n v="3212"/>
  </r>
  <r>
    <x v="0"/>
    <x v="0"/>
    <x v="0"/>
    <x v="10"/>
    <x v="10"/>
    <x v="10"/>
    <s v="CHARGES"/>
    <x v="0"/>
    <s v="3212.004"/>
    <s v="Intérêts rémun./perçu trop tôt sur acomptes C/C"/>
    <n v="117.72"/>
    <n v="0"/>
    <n v="3212"/>
  </r>
  <r>
    <x v="0"/>
    <x v="0"/>
    <x v="0"/>
    <x v="10"/>
    <x v="10"/>
    <x v="10"/>
    <s v="CHARGES"/>
    <x v="0"/>
    <s v="3212.002"/>
    <s v="Intérêts bonifiés/trop perçu acompte C/C"/>
    <n v="1.88"/>
    <n v="0"/>
    <n v="3212"/>
  </r>
  <r>
    <x v="0"/>
    <x v="0"/>
    <x v="0"/>
    <x v="10"/>
    <x v="10"/>
    <x v="10"/>
    <s v="CHARGES"/>
    <x v="0"/>
    <s v="3212.004"/>
    <s v="Intérêts rémun./perçu trop tôt sur acomptes C/C"/>
    <n v="57.97"/>
    <n v="0"/>
    <n v="3212"/>
  </r>
  <r>
    <x v="0"/>
    <x v="0"/>
    <x v="0"/>
    <x v="10"/>
    <x v="10"/>
    <x v="10"/>
    <s v="CHARGES"/>
    <x v="0"/>
    <s v="3221.002"/>
    <s v="Intérêts compensatoires / créances en faveur ctb."/>
    <n v="19.22"/>
    <n v="0"/>
    <n v="3221"/>
  </r>
  <r>
    <x v="0"/>
    <x v="0"/>
    <x v="0"/>
    <x v="10"/>
    <x v="10"/>
    <x v="10"/>
    <s v="CHARGES"/>
    <x v="0"/>
    <s v="3212.004"/>
    <s v="Intérêts rémun./perçu trop tôt sur acomptes C/C"/>
    <n v="83.23"/>
    <n v="0"/>
    <n v="3212"/>
  </r>
  <r>
    <x v="0"/>
    <x v="0"/>
    <x v="0"/>
    <x v="10"/>
    <x v="10"/>
    <x v="10"/>
    <s v="CHARGES"/>
    <x v="1"/>
    <s v="3301.001"/>
    <s v="Défalcations, abandons de solde PP et IS"/>
    <n v="9694.23"/>
    <n v="0"/>
    <n v="3301"/>
  </r>
  <r>
    <x v="0"/>
    <x v="0"/>
    <x v="0"/>
    <x v="10"/>
    <x v="10"/>
    <x v="10"/>
    <s v="CHARGES"/>
    <x v="1"/>
    <s v="3301.001"/>
    <s v="Défalcations, abandons de solde PP et IS"/>
    <n v="82.98"/>
    <n v="0"/>
    <n v="3301"/>
  </r>
  <r>
    <x v="0"/>
    <x v="0"/>
    <x v="0"/>
    <x v="10"/>
    <x v="10"/>
    <x v="10"/>
    <s v="CHARGES"/>
    <x v="0"/>
    <s v="3221.002"/>
    <s v="Intérêts compensatoires / créances en faveur ctb."/>
    <n v="81.510000000000005"/>
    <n v="0"/>
    <n v="3221"/>
  </r>
  <r>
    <x v="0"/>
    <x v="0"/>
    <x v="0"/>
    <x v="10"/>
    <x v="10"/>
    <x v="10"/>
    <s v="CHARGES"/>
    <x v="0"/>
    <s v="3221.002"/>
    <s v="Intérêts compensatoires / créances en faveur ctb."/>
    <n v="47.63"/>
    <n v="0"/>
    <n v="3221"/>
  </r>
  <r>
    <x v="0"/>
    <x v="0"/>
    <x v="0"/>
    <x v="10"/>
    <x v="10"/>
    <x v="10"/>
    <s v="CHARGES"/>
    <x v="0"/>
    <s v="3212.004"/>
    <s v="Intérêts rémun./perçu trop tôt sur acomptes C/C"/>
    <n v="9.93"/>
    <n v="0"/>
    <n v="3212"/>
  </r>
  <r>
    <x v="0"/>
    <x v="0"/>
    <x v="0"/>
    <x v="10"/>
    <x v="10"/>
    <x v="10"/>
    <s v="CHARGES"/>
    <x v="1"/>
    <s v="3301.001"/>
    <s v="Défalcations, abandons de solde PP et IS"/>
    <n v="0.8"/>
    <n v="0"/>
    <n v="3301"/>
  </r>
  <r>
    <x v="0"/>
    <x v="0"/>
    <x v="0"/>
    <x v="10"/>
    <x v="10"/>
    <x v="10"/>
    <s v="CHARGES"/>
    <x v="1"/>
    <s v="3301.001"/>
    <s v="Défalcations, abandons de solde PP et IS"/>
    <n v="643.97"/>
    <n v="0"/>
    <n v="3301"/>
  </r>
  <r>
    <x v="0"/>
    <x v="0"/>
    <x v="0"/>
    <x v="10"/>
    <x v="10"/>
    <x v="10"/>
    <s v="CHARGES"/>
    <x v="0"/>
    <s v="3212.002"/>
    <s v="Intérêts bonifiés/trop perçu acompte C/C"/>
    <n v="1.22"/>
    <n v="0"/>
    <n v="3212"/>
  </r>
  <r>
    <x v="0"/>
    <x v="0"/>
    <x v="0"/>
    <x v="10"/>
    <x v="10"/>
    <x v="10"/>
    <s v="CHARGES"/>
    <x v="0"/>
    <s v="3212.004"/>
    <s v="Intérêts rémun./perçu trop tôt sur acomptes C/C"/>
    <n v="18.91"/>
    <n v="0"/>
    <n v="3212"/>
  </r>
  <r>
    <x v="0"/>
    <x v="0"/>
    <x v="0"/>
    <x v="10"/>
    <x v="10"/>
    <x v="10"/>
    <s v="CHARGES"/>
    <x v="0"/>
    <s v="3212.004"/>
    <s v="Intérêts rémun./perçu trop tôt sur acomptes C/C"/>
    <n v="4.01"/>
    <n v="0"/>
    <n v="3212"/>
  </r>
  <r>
    <x v="0"/>
    <x v="0"/>
    <x v="0"/>
    <x v="10"/>
    <x v="10"/>
    <x v="10"/>
    <s v="CHARGES"/>
    <x v="0"/>
    <s v="3221.002"/>
    <s v="Intérêts compensatoires / créances en faveur ctb."/>
    <n v="4.05"/>
    <n v="0"/>
    <n v="3221"/>
  </r>
  <r>
    <x v="0"/>
    <x v="0"/>
    <x v="0"/>
    <x v="10"/>
    <x v="10"/>
    <x v="10"/>
    <s v="CHARGES"/>
    <x v="1"/>
    <s v="3301.001"/>
    <s v="Défalcations, abandons de solde PP et IS"/>
    <n v="-0.01"/>
    <n v="0"/>
    <n v="3301"/>
  </r>
  <r>
    <x v="0"/>
    <x v="0"/>
    <x v="0"/>
    <x v="10"/>
    <x v="10"/>
    <x v="10"/>
    <s v="CHARGES"/>
    <x v="0"/>
    <s v="3221.002"/>
    <s v="Intérêts compensatoires / créances en faveur ctb."/>
    <n v="8.41"/>
    <n v="0"/>
    <n v="3221"/>
  </r>
  <r>
    <x v="0"/>
    <x v="0"/>
    <x v="0"/>
    <x v="10"/>
    <x v="10"/>
    <x v="10"/>
    <s v="CHARGES"/>
    <x v="1"/>
    <s v="3301.001"/>
    <s v="Défalcations, abandons de solde PP et IS"/>
    <n v="46.75"/>
    <n v="0"/>
    <n v="3301"/>
  </r>
  <r>
    <x v="0"/>
    <x v="0"/>
    <x v="0"/>
    <x v="10"/>
    <x v="10"/>
    <x v="10"/>
    <s v="CHARGES"/>
    <x v="0"/>
    <s v="3221.002"/>
    <s v="Intérêts compensatoires / créances en faveur ctb."/>
    <n v="12.14"/>
    <n v="0"/>
    <n v="3221"/>
  </r>
  <r>
    <x v="0"/>
    <x v="0"/>
    <x v="0"/>
    <x v="10"/>
    <x v="10"/>
    <x v="10"/>
    <s v="CHARGES"/>
    <x v="1"/>
    <s v="3301.003"/>
    <s v="Remises PP et IS"/>
    <n v="2864.49"/>
    <n v="0"/>
    <n v="3301"/>
  </r>
  <r>
    <x v="0"/>
    <x v="0"/>
    <x v="0"/>
    <x v="10"/>
    <x v="10"/>
    <x v="10"/>
    <s v="CHARGES"/>
    <x v="0"/>
    <s v="3212.004"/>
    <s v="Intérêts rémun./perçu trop tôt sur acomptes C/C"/>
    <n v="0.01"/>
    <n v="0"/>
    <n v="3212"/>
  </r>
  <r>
    <x v="0"/>
    <x v="0"/>
    <x v="0"/>
    <x v="10"/>
    <x v="10"/>
    <x v="10"/>
    <s v="CHARGES"/>
    <x v="0"/>
    <s v="3212.004"/>
    <s v="Intérêts rémun./perçu trop tôt sur acomptes C/C"/>
    <n v="7.0000000000000007E-2"/>
    <n v="0"/>
    <n v="3212"/>
  </r>
  <r>
    <x v="0"/>
    <x v="0"/>
    <x v="0"/>
    <x v="10"/>
    <x v="10"/>
    <x v="10"/>
    <s v="CHARGES"/>
    <x v="0"/>
    <s v="3212.004"/>
    <s v="Intérêts rémun./perçu trop tôt sur acomptes C/C"/>
    <n v="0.56999999999999995"/>
    <n v="0"/>
    <n v="3212"/>
  </r>
  <r>
    <x v="0"/>
    <x v="0"/>
    <x v="0"/>
    <x v="10"/>
    <x v="10"/>
    <x v="10"/>
    <s v="CHARGES"/>
    <x v="1"/>
    <s v="3301.001"/>
    <s v="Défalcations, abandons de solde PP et IS"/>
    <n v="0.05"/>
    <n v="0"/>
    <n v="3301"/>
  </r>
  <r>
    <x v="0"/>
    <x v="0"/>
    <x v="0"/>
    <x v="10"/>
    <x v="10"/>
    <x v="10"/>
    <s v="CHARGES"/>
    <x v="0"/>
    <s v="3212.002"/>
    <s v="Intérêts bonifiés/trop perçu acompte C/C"/>
    <n v="0.02"/>
    <n v="0"/>
    <n v="3212"/>
  </r>
  <r>
    <x v="0"/>
    <x v="0"/>
    <x v="0"/>
    <x v="10"/>
    <x v="10"/>
    <x v="10"/>
    <s v="CHARGES"/>
    <x v="1"/>
    <s v="3301.001"/>
    <s v="Défalcations, abandons de solde PP et IS"/>
    <n v="0.03"/>
    <n v="0"/>
    <n v="3301"/>
  </r>
  <r>
    <x v="0"/>
    <x v="0"/>
    <x v="0"/>
    <x v="10"/>
    <x v="10"/>
    <x v="10"/>
    <s v="CHARGES"/>
    <x v="0"/>
    <s v="3212.002"/>
    <s v="Intérêts bonifiés/trop perçu acompte C/C"/>
    <n v="1.33"/>
    <n v="0"/>
    <n v="3212"/>
  </r>
  <r>
    <x v="0"/>
    <x v="0"/>
    <x v="0"/>
    <x v="10"/>
    <x v="10"/>
    <x v="10"/>
    <s v="REVENUS"/>
    <x v="2"/>
    <s v="4001.001"/>
    <s v="Impôt revenu"/>
    <n v="0"/>
    <n v="2088962.75"/>
    <n v="4001"/>
  </r>
  <r>
    <x v="0"/>
    <x v="0"/>
    <x v="0"/>
    <x v="10"/>
    <x v="10"/>
    <x v="10"/>
    <s v="REVENUS"/>
    <x v="2"/>
    <s v="4001.007"/>
    <s v="Acompte impôt sur revenu"/>
    <n v="0"/>
    <n v="-184318.22"/>
    <n v="4001"/>
  </r>
  <r>
    <x v="0"/>
    <x v="0"/>
    <x v="0"/>
    <x v="10"/>
    <x v="10"/>
    <x v="10"/>
    <s v="REVENUS"/>
    <x v="3"/>
    <s v="4002.001"/>
    <s v="Impôt ordinaire s/fortune PP"/>
    <n v="0"/>
    <n v="760864.05"/>
    <n v="4002"/>
  </r>
  <r>
    <x v="0"/>
    <x v="0"/>
    <x v="0"/>
    <x v="10"/>
    <x v="10"/>
    <x v="10"/>
    <s v="REVENUS"/>
    <x v="3"/>
    <s v="4002.007"/>
    <s v="Acompte impôt sur fortune"/>
    <n v="0"/>
    <n v="-22564.97"/>
    <n v="4002"/>
  </r>
  <r>
    <x v="0"/>
    <x v="0"/>
    <x v="0"/>
    <x v="10"/>
    <x v="10"/>
    <x v="10"/>
    <s v="REVENUS"/>
    <x v="6"/>
    <s v="4211.001"/>
    <s v="Intérêts de retard sur factures"/>
    <n v="0"/>
    <n v="6704.15"/>
    <n v="4211"/>
  </r>
  <r>
    <x v="0"/>
    <x v="0"/>
    <x v="0"/>
    <x v="10"/>
    <x v="10"/>
    <x v="10"/>
    <s v="REVENUS"/>
    <x v="6"/>
    <s v="4211.002"/>
    <s v="Intérêts de retard sur acomptes"/>
    <n v="0"/>
    <n v="16714.55"/>
    <n v="4211"/>
  </r>
  <r>
    <x v="0"/>
    <x v="0"/>
    <x v="0"/>
    <x v="10"/>
    <x v="10"/>
    <x v="10"/>
    <s v="REVENUS"/>
    <x v="6"/>
    <s v="4221.003"/>
    <s v="Intérêts compensat. / acomptes en faveur du fisc"/>
    <n v="0"/>
    <n v="-683.81"/>
    <n v="4221"/>
  </r>
  <r>
    <x v="0"/>
    <x v="0"/>
    <x v="0"/>
    <x v="10"/>
    <x v="10"/>
    <x v="10"/>
    <s v="REVENUS"/>
    <x v="3"/>
    <s v="4002.001"/>
    <s v="Impôt ordinaire s/fortune PP"/>
    <n v="0"/>
    <n v="121992.85"/>
    <n v="4002"/>
  </r>
  <r>
    <x v="0"/>
    <x v="0"/>
    <x v="0"/>
    <x v="10"/>
    <x v="10"/>
    <x v="10"/>
    <s v="REVENUS"/>
    <x v="3"/>
    <s v="4002.002"/>
    <s v="Impôt complémentaire s/fortune PP"/>
    <n v="0"/>
    <n v="16472.599999999999"/>
    <n v="4002"/>
  </r>
  <r>
    <x v="0"/>
    <x v="0"/>
    <x v="0"/>
    <x v="10"/>
    <x v="10"/>
    <x v="10"/>
    <s v="REVENUS"/>
    <x v="3"/>
    <s v="4002.007"/>
    <s v="Acompte impôt sur fortune"/>
    <n v="0"/>
    <n v="-70384.399999999994"/>
    <n v="4002"/>
  </r>
  <r>
    <x v="0"/>
    <x v="0"/>
    <x v="0"/>
    <x v="10"/>
    <x v="10"/>
    <x v="10"/>
    <s v="REVENUS"/>
    <x v="2"/>
    <s v="4001.007"/>
    <s v="Acompte impôt sur revenu"/>
    <n v="0"/>
    <n v="-11994.7"/>
    <n v="4001"/>
  </r>
  <r>
    <x v="0"/>
    <x v="0"/>
    <x v="0"/>
    <x v="10"/>
    <x v="10"/>
    <x v="10"/>
    <s v="REVENUS"/>
    <x v="3"/>
    <s v="4002.007"/>
    <s v="Acompte impôt sur fortune"/>
    <n v="0"/>
    <n v="-18301.87"/>
    <n v="4002"/>
  </r>
  <r>
    <x v="0"/>
    <x v="0"/>
    <x v="0"/>
    <x v="10"/>
    <x v="10"/>
    <x v="10"/>
    <s v="REVENUS"/>
    <x v="3"/>
    <s v="4002.001"/>
    <s v="Impôt ordinaire s/fortune PP"/>
    <n v="0"/>
    <n v="91460.25"/>
    <n v="4002"/>
  </r>
  <r>
    <x v="0"/>
    <x v="0"/>
    <x v="0"/>
    <x v="10"/>
    <x v="10"/>
    <x v="10"/>
    <s v="REVENUS"/>
    <x v="3"/>
    <s v="4002.007"/>
    <s v="Acompte impôt sur fortune"/>
    <n v="0"/>
    <n v="14676.02"/>
    <n v="4002"/>
  </r>
  <r>
    <x v="0"/>
    <x v="0"/>
    <x v="0"/>
    <x v="10"/>
    <x v="10"/>
    <x v="10"/>
    <s v="REVENUS"/>
    <x v="6"/>
    <s v="4211.002"/>
    <s v="Intérêts de retard sur acomptes"/>
    <n v="0"/>
    <n v="879.13"/>
    <n v="4211"/>
  </r>
  <r>
    <x v="0"/>
    <x v="0"/>
    <x v="0"/>
    <x v="10"/>
    <x v="10"/>
    <x v="10"/>
    <s v="REVENUS"/>
    <x v="3"/>
    <s v="4002.001"/>
    <s v="Impôt ordinaire s/fortune PP"/>
    <n v="0"/>
    <n v="119430.5"/>
    <n v="4002"/>
  </r>
  <r>
    <x v="0"/>
    <x v="0"/>
    <x v="0"/>
    <x v="10"/>
    <x v="10"/>
    <x v="10"/>
    <s v="REVENUS"/>
    <x v="6"/>
    <s v="4211.001"/>
    <s v="Intérêts de retard sur factures"/>
    <n v="0"/>
    <n v="473.75"/>
    <n v="4211"/>
  </r>
  <r>
    <x v="0"/>
    <x v="0"/>
    <x v="0"/>
    <x v="10"/>
    <x v="10"/>
    <x v="10"/>
    <s v="REVENUS"/>
    <x v="7"/>
    <s v="4184.000"/>
    <s v="Frais de poursuite"/>
    <n v="0"/>
    <n v="1155.8800000000001"/>
    <n v="4184"/>
  </r>
  <r>
    <x v="0"/>
    <x v="0"/>
    <x v="0"/>
    <x v="10"/>
    <x v="10"/>
    <x v="10"/>
    <s v="REVENUS"/>
    <x v="2"/>
    <s v="4001.001"/>
    <s v="Impôt revenu"/>
    <n v="0"/>
    <n v="204498.25"/>
    <n v="4001"/>
  </r>
  <r>
    <x v="0"/>
    <x v="0"/>
    <x v="0"/>
    <x v="10"/>
    <x v="10"/>
    <x v="10"/>
    <s v="REVENUS"/>
    <x v="2"/>
    <s v="4001.007"/>
    <s v="Acompte impôt sur revenu"/>
    <n v="0"/>
    <n v="-34245.599999999999"/>
    <n v="4001"/>
  </r>
  <r>
    <x v="0"/>
    <x v="0"/>
    <x v="0"/>
    <x v="10"/>
    <x v="10"/>
    <x v="10"/>
    <s v="REVENUS"/>
    <x v="6"/>
    <s v="4211.002"/>
    <s v="Intérêts de retard sur acomptes"/>
    <n v="0"/>
    <n v="1175.1199999999999"/>
    <n v="4211"/>
  </r>
  <r>
    <x v="0"/>
    <x v="0"/>
    <x v="0"/>
    <x v="10"/>
    <x v="10"/>
    <x v="10"/>
    <s v="REVENUS"/>
    <x v="6"/>
    <s v="4221.003"/>
    <s v="Intérêts compensat. / acomptes en faveur du fisc"/>
    <n v="0"/>
    <n v="26.92"/>
    <n v="4221"/>
  </r>
  <r>
    <x v="0"/>
    <x v="0"/>
    <x v="0"/>
    <x v="10"/>
    <x v="10"/>
    <x v="10"/>
    <s v="REVENUS"/>
    <x v="2"/>
    <s v="4001.001"/>
    <s v="Impôt revenu"/>
    <n v="0"/>
    <n v="81472"/>
    <n v="4001"/>
  </r>
  <r>
    <x v="0"/>
    <x v="0"/>
    <x v="0"/>
    <x v="10"/>
    <x v="10"/>
    <x v="10"/>
    <s v="REVENUS"/>
    <x v="2"/>
    <s v="4001.002"/>
    <s v="Impôt complément s/revenu PP"/>
    <n v="0"/>
    <n v="7661.5"/>
    <n v="4001"/>
  </r>
  <r>
    <x v="0"/>
    <x v="0"/>
    <x v="0"/>
    <x v="10"/>
    <x v="10"/>
    <x v="10"/>
    <s v="REVENUS"/>
    <x v="2"/>
    <s v="4001.007"/>
    <s v="Acompte impôt sur revenu"/>
    <n v="0"/>
    <n v="12305.71"/>
    <n v="4001"/>
  </r>
  <r>
    <x v="0"/>
    <x v="0"/>
    <x v="0"/>
    <x v="10"/>
    <x v="10"/>
    <x v="10"/>
    <s v="REVENUS"/>
    <x v="3"/>
    <s v="4002.002"/>
    <s v="Impôt complémentaire s/fortune PP"/>
    <n v="0"/>
    <n v="16128.75"/>
    <n v="4002"/>
  </r>
  <r>
    <x v="0"/>
    <x v="0"/>
    <x v="0"/>
    <x v="10"/>
    <x v="10"/>
    <x v="10"/>
    <s v="REVENUS"/>
    <x v="6"/>
    <s v="4211.001"/>
    <s v="Intérêts de retard sur factures"/>
    <n v="0"/>
    <n v="88.15"/>
    <n v="4211"/>
  </r>
  <r>
    <x v="0"/>
    <x v="0"/>
    <x v="0"/>
    <x v="10"/>
    <x v="10"/>
    <x v="10"/>
    <s v="REVENUS"/>
    <x v="6"/>
    <s v="4221.003"/>
    <s v="Intérêts compensat. / acomptes en faveur du fisc"/>
    <n v="0"/>
    <n v="4.37"/>
    <n v="4221"/>
  </r>
  <r>
    <x v="0"/>
    <x v="0"/>
    <x v="0"/>
    <x v="10"/>
    <x v="10"/>
    <x v="10"/>
    <s v="REVENUS"/>
    <x v="2"/>
    <s v="4001.001"/>
    <s v="Impôt revenu"/>
    <n v="0"/>
    <n v="148848.54999999999"/>
    <n v="4001"/>
  </r>
  <r>
    <x v="0"/>
    <x v="0"/>
    <x v="0"/>
    <x v="10"/>
    <x v="10"/>
    <x v="10"/>
    <s v="REVENUS"/>
    <x v="2"/>
    <s v="4001.002"/>
    <s v="Impôt complément s/revenu PP"/>
    <n v="0"/>
    <n v="19133.7"/>
    <n v="4001"/>
  </r>
  <r>
    <x v="0"/>
    <x v="0"/>
    <x v="0"/>
    <x v="10"/>
    <x v="10"/>
    <x v="10"/>
    <s v="REVENUS"/>
    <x v="3"/>
    <s v="4002.002"/>
    <s v="Impôt complémentaire s/fortune PP"/>
    <n v="0"/>
    <n v="31072"/>
    <n v="4002"/>
  </r>
  <r>
    <x v="0"/>
    <x v="0"/>
    <x v="0"/>
    <x v="10"/>
    <x v="10"/>
    <x v="10"/>
    <s v="REVENUS"/>
    <x v="9"/>
    <s v="4031.001"/>
    <s v="Impôt sur les gains immobiliers"/>
    <n v="0"/>
    <n v="269111.75"/>
    <n v="4031"/>
  </r>
  <r>
    <x v="0"/>
    <x v="0"/>
    <x v="0"/>
    <x v="10"/>
    <x v="10"/>
    <x v="10"/>
    <s v="REVENUS"/>
    <x v="6"/>
    <s v="4221.003"/>
    <s v="Intérêts compensat. / acomptes en faveur du fisc"/>
    <n v="0"/>
    <n v="128.58000000000001"/>
    <n v="4221"/>
  </r>
  <r>
    <x v="0"/>
    <x v="0"/>
    <x v="0"/>
    <x v="10"/>
    <x v="10"/>
    <x v="10"/>
    <s v="REVENUS"/>
    <x v="2"/>
    <s v="4001.003"/>
    <s v="Impôt s/prest. cap. PP"/>
    <n v="0"/>
    <n v="68965.45"/>
    <n v="4001"/>
  </r>
  <r>
    <x v="0"/>
    <x v="0"/>
    <x v="0"/>
    <x v="10"/>
    <x v="10"/>
    <x v="10"/>
    <s v="REVENUS"/>
    <x v="10"/>
    <s v="4041.001"/>
    <s v="Droits de mutation"/>
    <n v="0"/>
    <n v="397507.8"/>
    <n v="4041"/>
  </r>
  <r>
    <x v="0"/>
    <x v="0"/>
    <x v="0"/>
    <x v="10"/>
    <x v="10"/>
    <x v="10"/>
    <s v="REVENUS"/>
    <x v="4"/>
    <s v="4051.001"/>
    <s v="Impôt sur les successions"/>
    <n v="0"/>
    <n v="178493.6"/>
    <n v="4051"/>
  </r>
  <r>
    <x v="0"/>
    <x v="0"/>
    <x v="0"/>
    <x v="10"/>
    <x v="10"/>
    <x v="10"/>
    <s v="REVENUS"/>
    <x v="6"/>
    <s v="4221.002"/>
    <s v="Intérêts compensat. sur impôts distincts"/>
    <n v="0"/>
    <n v="533.70000000000005"/>
    <n v="4221"/>
  </r>
  <r>
    <x v="0"/>
    <x v="0"/>
    <x v="0"/>
    <x v="10"/>
    <x v="10"/>
    <x v="10"/>
    <s v="REVENUS"/>
    <x v="3"/>
    <s v="4002.001"/>
    <s v="Impôt ordinaire s/fortune PP"/>
    <n v="0"/>
    <n v="23748.799999999999"/>
    <n v="4002"/>
  </r>
  <r>
    <x v="0"/>
    <x v="0"/>
    <x v="0"/>
    <x v="10"/>
    <x v="10"/>
    <x v="10"/>
    <s v="REVENUS"/>
    <x v="3"/>
    <s v="4002.002"/>
    <s v="Impôt complémentaire s/fortune PP"/>
    <n v="0"/>
    <n v="2014.1"/>
    <n v="4002"/>
  </r>
  <r>
    <x v="0"/>
    <x v="0"/>
    <x v="0"/>
    <x v="10"/>
    <x v="10"/>
    <x v="10"/>
    <s v="REVENUS"/>
    <x v="6"/>
    <s v="4221.003"/>
    <s v="Intérêts compensat. / acomptes en faveur du fisc"/>
    <n v="0"/>
    <n v="2.27"/>
    <n v="4221"/>
  </r>
  <r>
    <x v="0"/>
    <x v="0"/>
    <x v="0"/>
    <x v="10"/>
    <x v="10"/>
    <x v="10"/>
    <s v="REVENUS"/>
    <x v="2"/>
    <s v="4001.002"/>
    <s v="Impôt complément s/revenu PP"/>
    <n v="0"/>
    <n v="312534.84999999998"/>
    <n v="4001"/>
  </r>
  <r>
    <x v="0"/>
    <x v="0"/>
    <x v="0"/>
    <x v="10"/>
    <x v="10"/>
    <x v="10"/>
    <s v="REVENUS"/>
    <x v="6"/>
    <s v="4211.001"/>
    <s v="Intérêts de retard sur factures"/>
    <n v="0"/>
    <n v="258.10000000000002"/>
    <n v="4211"/>
  </r>
  <r>
    <x v="0"/>
    <x v="0"/>
    <x v="0"/>
    <x v="10"/>
    <x v="10"/>
    <x v="10"/>
    <s v="REVENUS"/>
    <x v="2"/>
    <s v="4001.002"/>
    <s v="Impôt complément s/revenu PP"/>
    <n v="0"/>
    <n v="19639.95"/>
    <n v="4001"/>
  </r>
  <r>
    <x v="0"/>
    <x v="0"/>
    <x v="0"/>
    <x v="10"/>
    <x v="10"/>
    <x v="10"/>
    <s v="REVENUS"/>
    <x v="2"/>
    <s v="4001.007"/>
    <s v="Acompte impôt sur revenu"/>
    <n v="0"/>
    <n v="-5038.38"/>
    <n v="4001"/>
  </r>
  <r>
    <x v="0"/>
    <x v="0"/>
    <x v="0"/>
    <x v="10"/>
    <x v="10"/>
    <x v="10"/>
    <s v="REVENUS"/>
    <x v="3"/>
    <s v="4002.007"/>
    <s v="Acompte impôt sur fortune"/>
    <n v="0"/>
    <n v="-10200.93"/>
    <n v="4002"/>
  </r>
  <r>
    <x v="0"/>
    <x v="0"/>
    <x v="0"/>
    <x v="10"/>
    <x v="10"/>
    <x v="10"/>
    <s v="REVENUS"/>
    <x v="2"/>
    <s v="4001.007"/>
    <s v="Acompte impôt sur revenu"/>
    <n v="0"/>
    <n v="-55430.94"/>
    <n v="4001"/>
  </r>
  <r>
    <x v="0"/>
    <x v="0"/>
    <x v="0"/>
    <x v="10"/>
    <x v="10"/>
    <x v="10"/>
    <s v="REVENUS"/>
    <x v="3"/>
    <s v="4002.007"/>
    <s v="Acompte impôt sur fortune"/>
    <n v="0"/>
    <n v="-5082.41"/>
    <n v="4002"/>
  </r>
  <r>
    <x v="0"/>
    <x v="0"/>
    <x v="0"/>
    <x v="10"/>
    <x v="10"/>
    <x v="10"/>
    <s v="REVENUS"/>
    <x v="2"/>
    <s v="4001.001"/>
    <s v="Impôt revenu"/>
    <n v="0"/>
    <n v="57926"/>
    <n v="4001"/>
  </r>
  <r>
    <x v="0"/>
    <x v="0"/>
    <x v="0"/>
    <x v="10"/>
    <x v="10"/>
    <x v="10"/>
    <s v="REVENUS"/>
    <x v="3"/>
    <s v="4002.001"/>
    <s v="Impôt ordinaire s/fortune PP"/>
    <n v="0"/>
    <n v="46786.2"/>
    <n v="4002"/>
  </r>
  <r>
    <x v="0"/>
    <x v="0"/>
    <x v="0"/>
    <x v="10"/>
    <x v="10"/>
    <x v="10"/>
    <s v="REVENUS"/>
    <x v="6"/>
    <s v="4211.002"/>
    <s v="Intérêts de retard sur acomptes"/>
    <n v="0"/>
    <n v="234.96"/>
    <n v="4211"/>
  </r>
  <r>
    <x v="0"/>
    <x v="0"/>
    <x v="0"/>
    <x v="10"/>
    <x v="10"/>
    <x v="10"/>
    <s v="REVENUS"/>
    <x v="6"/>
    <s v="4221.003"/>
    <s v="Intérêts compensat. / acomptes en faveur du fisc"/>
    <n v="0"/>
    <n v="12.69"/>
    <n v="4221"/>
  </r>
  <r>
    <x v="0"/>
    <x v="0"/>
    <x v="0"/>
    <x v="10"/>
    <x v="10"/>
    <x v="10"/>
    <s v="REVENUS"/>
    <x v="6"/>
    <s v="4211.002"/>
    <s v="Intérêts de retard sur acomptes"/>
    <n v="0"/>
    <n v="2477.2399999999998"/>
    <n v="4211"/>
  </r>
  <r>
    <x v="0"/>
    <x v="0"/>
    <x v="0"/>
    <x v="10"/>
    <x v="10"/>
    <x v="10"/>
    <s v="REVENUS"/>
    <x v="2"/>
    <s v="4001.001"/>
    <s v="Impôt revenu"/>
    <n v="0"/>
    <n v="26917.7"/>
    <n v="4001"/>
  </r>
  <r>
    <x v="0"/>
    <x v="0"/>
    <x v="0"/>
    <x v="10"/>
    <x v="10"/>
    <x v="10"/>
    <s v="REVENUS"/>
    <x v="2"/>
    <s v="4001.007"/>
    <s v="Acompte impôt sur revenu"/>
    <n v="0"/>
    <n v="10196.69"/>
    <n v="4001"/>
  </r>
  <r>
    <x v="0"/>
    <x v="0"/>
    <x v="0"/>
    <x v="10"/>
    <x v="10"/>
    <x v="10"/>
    <s v="REVENUS"/>
    <x v="3"/>
    <s v="4002.007"/>
    <s v="Acompte impôt sur fortune"/>
    <n v="0"/>
    <n v="8681.99"/>
    <n v="4002"/>
  </r>
  <r>
    <x v="0"/>
    <x v="0"/>
    <x v="0"/>
    <x v="10"/>
    <x v="10"/>
    <x v="10"/>
    <s v="REVENUS"/>
    <x v="7"/>
    <s v="4184.000"/>
    <s v="Frais de poursuite"/>
    <n v="0"/>
    <n v="1901.34"/>
    <n v="4184"/>
  </r>
  <r>
    <x v="0"/>
    <x v="0"/>
    <x v="0"/>
    <x v="10"/>
    <x v="10"/>
    <x v="10"/>
    <s v="REVENUS"/>
    <x v="3"/>
    <s v="4002.002"/>
    <s v="Impôt complémentaire s/fortune PP"/>
    <n v="0"/>
    <n v="2218.4"/>
    <n v="4002"/>
  </r>
  <r>
    <x v="0"/>
    <x v="0"/>
    <x v="0"/>
    <x v="10"/>
    <x v="10"/>
    <x v="10"/>
    <s v="REVENUS"/>
    <x v="3"/>
    <s v="4002.007"/>
    <s v="Acompte impôt sur fortune"/>
    <n v="0"/>
    <n v="-6980.23"/>
    <n v="4002"/>
  </r>
  <r>
    <x v="0"/>
    <x v="0"/>
    <x v="0"/>
    <x v="10"/>
    <x v="10"/>
    <x v="10"/>
    <s v="REVENUS"/>
    <x v="3"/>
    <s v="4002.002"/>
    <s v="Impôt complémentaire s/fortune PP"/>
    <n v="0"/>
    <n v="73419.8"/>
    <n v="4002"/>
  </r>
  <r>
    <x v="0"/>
    <x v="0"/>
    <x v="0"/>
    <x v="10"/>
    <x v="10"/>
    <x v="10"/>
    <s v="REVENUS"/>
    <x v="3"/>
    <s v="4002.001"/>
    <s v="Impôt ordinaire s/fortune PP"/>
    <n v="0"/>
    <n v="-159.85"/>
    <n v="4002"/>
  </r>
  <r>
    <x v="0"/>
    <x v="0"/>
    <x v="0"/>
    <x v="10"/>
    <x v="10"/>
    <x v="10"/>
    <s v="REVENUS"/>
    <x v="6"/>
    <s v="4221.003"/>
    <s v="Intérêts compensat. / acomptes en faveur du fisc"/>
    <n v="0"/>
    <n v="-0.01"/>
    <n v="4221"/>
  </r>
  <r>
    <x v="0"/>
    <x v="0"/>
    <x v="0"/>
    <x v="10"/>
    <x v="10"/>
    <x v="10"/>
    <s v="REVENUS"/>
    <x v="6"/>
    <s v="4211.002"/>
    <s v="Intérêts de retard sur acomptes"/>
    <n v="0"/>
    <n v="41.34"/>
    <n v="4211"/>
  </r>
  <r>
    <x v="0"/>
    <x v="0"/>
    <x v="0"/>
    <x v="10"/>
    <x v="10"/>
    <x v="10"/>
    <s v="REVENUS"/>
    <x v="12"/>
    <s v="4004.007"/>
    <s v="Acompte spécial étrangers"/>
    <n v="0"/>
    <n v="-24971"/>
    <n v="4004"/>
  </r>
  <r>
    <x v="0"/>
    <x v="0"/>
    <x v="0"/>
    <x v="10"/>
    <x v="10"/>
    <x v="10"/>
    <s v="REVENUS"/>
    <x v="6"/>
    <s v="4211.001"/>
    <s v="Intérêts de retard sur factures"/>
    <n v="0"/>
    <n v="8.41"/>
    <n v="4211"/>
  </r>
  <r>
    <x v="0"/>
    <x v="0"/>
    <x v="0"/>
    <x v="10"/>
    <x v="10"/>
    <x v="10"/>
    <s v="REVENUS"/>
    <x v="6"/>
    <s v="4211.001"/>
    <s v="Intérêts de retard sur factures"/>
    <n v="0"/>
    <n v="0.44"/>
    <n v="4211"/>
  </r>
  <r>
    <x v="0"/>
    <x v="0"/>
    <x v="0"/>
    <x v="10"/>
    <x v="10"/>
    <x v="10"/>
    <s v="REVENUS"/>
    <x v="2"/>
    <s v="4001.007"/>
    <s v="Acompte impôt sur revenu"/>
    <n v="0"/>
    <n v="-9671.25"/>
    <n v="4001"/>
  </r>
  <r>
    <x v="0"/>
    <x v="0"/>
    <x v="0"/>
    <x v="10"/>
    <x v="10"/>
    <x v="10"/>
    <s v="REVENUS"/>
    <x v="7"/>
    <s v="4184.000"/>
    <s v="Frais de poursuite"/>
    <n v="0"/>
    <n v="46.05"/>
    <n v="4184"/>
  </r>
  <r>
    <x v="0"/>
    <x v="0"/>
    <x v="0"/>
    <x v="10"/>
    <x v="10"/>
    <x v="10"/>
    <s v="REVENUS"/>
    <x v="2"/>
    <s v="4001.007"/>
    <s v="Acompte impôt sur revenu"/>
    <n v="0"/>
    <n v="-329.54"/>
    <n v="4001"/>
  </r>
  <r>
    <x v="0"/>
    <x v="0"/>
    <x v="0"/>
    <x v="10"/>
    <x v="10"/>
    <x v="10"/>
    <s v="REVENUS"/>
    <x v="9"/>
    <s v="4031.002"/>
    <s v="Complément impôt sur les gains immobiliers"/>
    <n v="0"/>
    <n v="16873.3"/>
    <n v="4031"/>
  </r>
  <r>
    <x v="0"/>
    <x v="0"/>
    <x v="0"/>
    <x v="10"/>
    <x v="10"/>
    <x v="10"/>
    <s v="REVENUS"/>
    <x v="5"/>
    <s v="4061.000"/>
    <s v="Impôt sur les chiens"/>
    <n v="0"/>
    <n v="11350"/>
    <n v="4061"/>
  </r>
  <r>
    <x v="0"/>
    <x v="0"/>
    <x v="0"/>
    <x v="10"/>
    <x v="10"/>
    <x v="10"/>
    <s v="REVENUS"/>
    <x v="2"/>
    <s v="4001.007"/>
    <s v="Acompte impôt sur revenu"/>
    <n v="0"/>
    <n v="111.85"/>
    <n v="4001"/>
  </r>
  <r>
    <x v="0"/>
    <x v="0"/>
    <x v="0"/>
    <x v="10"/>
    <x v="10"/>
    <x v="10"/>
    <s v="REVENUS"/>
    <x v="3"/>
    <s v="4002.007"/>
    <s v="Acompte impôt sur fortune"/>
    <n v="0"/>
    <n v="-18.600000000000001"/>
    <n v="4002"/>
  </r>
  <r>
    <x v="0"/>
    <x v="0"/>
    <x v="0"/>
    <x v="10"/>
    <x v="10"/>
    <x v="10"/>
    <s v="REVENUS"/>
    <x v="3"/>
    <s v="4002.007"/>
    <s v="Acompte impôt sur fortune"/>
    <n v="0"/>
    <n v="896.2"/>
    <n v="4002"/>
  </r>
  <r>
    <x v="0"/>
    <x v="0"/>
    <x v="0"/>
    <x v="10"/>
    <x v="10"/>
    <x v="10"/>
    <s v="REVENUS"/>
    <x v="7"/>
    <s v="4184.000"/>
    <s v="Frais de poursuite"/>
    <n v="0"/>
    <n v="4.67"/>
    <n v="4184"/>
  </r>
  <r>
    <x v="0"/>
    <x v="0"/>
    <x v="0"/>
    <x v="10"/>
    <x v="10"/>
    <x v="10"/>
    <s v="REVENUS"/>
    <x v="8"/>
    <s v="4091.001"/>
    <s v="Impôt récupéré après défalcations"/>
    <n v="0"/>
    <n v="2009.21"/>
    <n v="4091"/>
  </r>
  <r>
    <x v="0"/>
    <x v="0"/>
    <x v="0"/>
    <x v="10"/>
    <x v="10"/>
    <x v="10"/>
    <s v="REVENUS"/>
    <x v="7"/>
    <s v="4184.000"/>
    <s v="Frais de poursuite"/>
    <n v="0"/>
    <n v="84.24"/>
    <n v="4184"/>
  </r>
  <r>
    <x v="0"/>
    <x v="0"/>
    <x v="0"/>
    <x v="10"/>
    <x v="10"/>
    <x v="10"/>
    <s v="REVENUS"/>
    <x v="12"/>
    <s v="4004.000"/>
    <s v="Impôt spécial étrangers"/>
    <n v="0"/>
    <n v="140469.45000000001"/>
    <n v="4004"/>
  </r>
  <r>
    <x v="0"/>
    <x v="0"/>
    <x v="0"/>
    <x v="10"/>
    <x v="10"/>
    <x v="10"/>
    <s v="REVENUS"/>
    <x v="2"/>
    <s v="4001.002"/>
    <s v="Impôt complément s/revenu PP"/>
    <n v="0"/>
    <n v="3294.55"/>
    <n v="4001"/>
  </r>
  <r>
    <x v="0"/>
    <x v="0"/>
    <x v="0"/>
    <x v="10"/>
    <x v="10"/>
    <x v="10"/>
    <s v="REVENUS"/>
    <x v="3"/>
    <s v="4002.001"/>
    <s v="Impôt ordinaire s/fortune PP"/>
    <n v="0"/>
    <n v="-1873.45"/>
    <n v="4002"/>
  </r>
  <r>
    <x v="0"/>
    <x v="0"/>
    <x v="0"/>
    <x v="10"/>
    <x v="10"/>
    <x v="10"/>
    <s v="REVENUS"/>
    <x v="2"/>
    <s v="4001.002"/>
    <s v="Impôt complément s/revenu PP"/>
    <n v="0"/>
    <n v="1347.65"/>
    <n v="4001"/>
  </r>
  <r>
    <x v="0"/>
    <x v="0"/>
    <x v="0"/>
    <x v="10"/>
    <x v="10"/>
    <x v="10"/>
    <s v="REVENUS"/>
    <x v="2"/>
    <s v="4001.001"/>
    <s v="Impôt revenu"/>
    <n v="0"/>
    <n v="342.15"/>
    <n v="4001"/>
  </r>
  <r>
    <x v="0"/>
    <x v="0"/>
    <x v="0"/>
    <x v="10"/>
    <x v="10"/>
    <x v="10"/>
    <s v="REVENUS"/>
    <x v="3"/>
    <s v="4002.001"/>
    <s v="Impôt ordinaire s/fortune PP"/>
    <n v="0"/>
    <n v="121.85"/>
    <n v="4002"/>
  </r>
  <r>
    <x v="0"/>
    <x v="0"/>
    <x v="0"/>
    <x v="10"/>
    <x v="10"/>
    <x v="10"/>
    <s v="REVENUS"/>
    <x v="6"/>
    <s v="4221.003"/>
    <s v="Intérêts compensat. / acomptes en faveur du fisc"/>
    <n v="0"/>
    <n v="0.11"/>
    <n v="4221"/>
  </r>
  <r>
    <x v="0"/>
    <x v="0"/>
    <x v="0"/>
    <x v="10"/>
    <x v="10"/>
    <x v="10"/>
    <s v="REVENUS"/>
    <x v="2"/>
    <s v="4001.001"/>
    <s v="Impôt revenu"/>
    <n v="0"/>
    <n v="993.2"/>
    <n v="4001"/>
  </r>
  <r>
    <x v="0"/>
    <x v="0"/>
    <x v="0"/>
    <x v="10"/>
    <x v="10"/>
    <x v="10"/>
    <s v="REVENUS"/>
    <x v="4"/>
    <s v="4051.002"/>
    <s v="Impôt sur les donations"/>
    <n v="0"/>
    <n v="12629.3"/>
    <n v="4051"/>
  </r>
  <r>
    <x v="0"/>
    <x v="0"/>
    <x v="0"/>
    <x v="10"/>
    <x v="10"/>
    <x v="10"/>
    <s v="REVENUS"/>
    <x v="3"/>
    <s v="4002.001"/>
    <s v="Impôt ordinaire s/fortune PP"/>
    <n v="0"/>
    <n v="135.85"/>
    <n v="4002"/>
  </r>
  <r>
    <x v="0"/>
    <x v="0"/>
    <x v="0"/>
    <x v="10"/>
    <x v="10"/>
    <x v="10"/>
    <s v="REVENUS"/>
    <x v="6"/>
    <s v="4221.003"/>
    <s v="Intérêts compensat. / acomptes en faveur du fisc"/>
    <n v="0"/>
    <n v="0.05"/>
    <n v="4221"/>
  </r>
  <r>
    <x v="0"/>
    <x v="0"/>
    <x v="0"/>
    <x v="10"/>
    <x v="10"/>
    <x v="10"/>
    <s v="REVENUS"/>
    <x v="2"/>
    <s v="4001.001"/>
    <s v="Impôt revenu"/>
    <n v="0"/>
    <n v="-736.1"/>
    <n v="4001"/>
  </r>
  <r>
    <x v="0"/>
    <x v="0"/>
    <x v="0"/>
    <x v="10"/>
    <x v="10"/>
    <x v="10"/>
    <s v="REVENUS"/>
    <x v="6"/>
    <s v="4211.002"/>
    <s v="Intérêts de retard sur acomptes"/>
    <n v="0"/>
    <n v="0.03"/>
    <n v="4211"/>
  </r>
  <r>
    <x v="0"/>
    <x v="0"/>
    <x v="0"/>
    <x v="10"/>
    <x v="10"/>
    <x v="10"/>
    <s v="REVENUS"/>
    <x v="6"/>
    <s v="4211.002"/>
    <s v="Intérêts de retard sur acomptes"/>
    <n v="0"/>
    <n v="0.01"/>
    <n v="4211"/>
  </r>
  <r>
    <x v="0"/>
    <x v="0"/>
    <x v="0"/>
    <x v="10"/>
    <x v="10"/>
    <x v="10"/>
    <s v="REVENUS"/>
    <x v="6"/>
    <s v="4221.003"/>
    <s v="Intérêts compensat. / acomptes en faveur du fisc"/>
    <n v="0"/>
    <n v="2.4300000000000002"/>
    <n v="4221"/>
  </r>
  <r>
    <x v="0"/>
    <x v="0"/>
    <x v="0"/>
    <x v="10"/>
    <x v="10"/>
    <x v="10"/>
    <s v="REVENUS"/>
    <x v="10"/>
    <s v="4041.002"/>
    <s v="Complément droit de mutation"/>
    <n v="0"/>
    <n v="6.65"/>
    <n v="4041"/>
  </r>
  <r>
    <x v="0"/>
    <x v="0"/>
    <x v="0"/>
    <x v="11"/>
    <x v="11"/>
    <x v="11"/>
    <s v="CHARGES"/>
    <x v="0"/>
    <s v="3212.004"/>
    <s v="Intérêts rémun./perçu trop tôt sur acomptes C/C"/>
    <n v="111.14"/>
    <n v="0"/>
    <n v="3212"/>
  </r>
  <r>
    <x v="0"/>
    <x v="0"/>
    <x v="0"/>
    <x v="11"/>
    <x v="11"/>
    <x v="11"/>
    <s v="CHARGES"/>
    <x v="0"/>
    <s v="3221.002"/>
    <s v="Intérêts compensatoires / créances en faveur ctb."/>
    <n v="36.61"/>
    <n v="0"/>
    <n v="3221"/>
  </r>
  <r>
    <x v="0"/>
    <x v="0"/>
    <x v="0"/>
    <x v="11"/>
    <x v="11"/>
    <x v="11"/>
    <s v="CHARGES"/>
    <x v="1"/>
    <s v="3301.001"/>
    <s v="Défalcations, abandons de solde PP et IS"/>
    <n v="8031.95"/>
    <n v="0"/>
    <n v="3301"/>
  </r>
  <r>
    <x v="0"/>
    <x v="0"/>
    <x v="0"/>
    <x v="11"/>
    <x v="11"/>
    <x v="11"/>
    <s v="CHARGES"/>
    <x v="0"/>
    <s v="3212.002"/>
    <s v="Intérêts bonifiés/trop perçu acompte C/C"/>
    <n v="3.88"/>
    <n v="0"/>
    <n v="3212"/>
  </r>
  <r>
    <x v="0"/>
    <x v="0"/>
    <x v="0"/>
    <x v="11"/>
    <x v="11"/>
    <x v="11"/>
    <s v="CHARGES"/>
    <x v="0"/>
    <s v="3212.004"/>
    <s v="Intérêts rémun./perçu trop tôt sur acomptes C/C"/>
    <n v="2.77"/>
    <n v="0"/>
    <n v="3212"/>
  </r>
  <r>
    <x v="0"/>
    <x v="0"/>
    <x v="0"/>
    <x v="11"/>
    <x v="11"/>
    <x v="11"/>
    <s v="CHARGES"/>
    <x v="0"/>
    <s v="3221.002"/>
    <s v="Intérêts compensatoires / créances en faveur ctb."/>
    <n v="0.99"/>
    <n v="0"/>
    <n v="3221"/>
  </r>
  <r>
    <x v="0"/>
    <x v="0"/>
    <x v="0"/>
    <x v="11"/>
    <x v="11"/>
    <x v="11"/>
    <s v="CHARGES"/>
    <x v="0"/>
    <s v="3221.002"/>
    <s v="Intérêts compensatoires / créances en faveur ctb."/>
    <n v="59.76"/>
    <n v="0"/>
    <n v="3221"/>
  </r>
  <r>
    <x v="0"/>
    <x v="0"/>
    <x v="0"/>
    <x v="11"/>
    <x v="11"/>
    <x v="11"/>
    <s v="CHARGES"/>
    <x v="1"/>
    <s v="3301.001"/>
    <s v="Défalcations, abandons de solde PP et IS"/>
    <n v="5159.4799999999996"/>
    <n v="0"/>
    <n v="3301"/>
  </r>
  <r>
    <x v="0"/>
    <x v="0"/>
    <x v="0"/>
    <x v="11"/>
    <x v="11"/>
    <x v="11"/>
    <s v="CHARGES"/>
    <x v="0"/>
    <s v="3212.004"/>
    <s v="Intérêts rémun./perçu trop tôt sur acomptes C/C"/>
    <n v="17.88"/>
    <n v="0"/>
    <n v="3212"/>
  </r>
  <r>
    <x v="0"/>
    <x v="0"/>
    <x v="0"/>
    <x v="11"/>
    <x v="11"/>
    <x v="11"/>
    <s v="CHARGES"/>
    <x v="0"/>
    <s v="3212.004"/>
    <s v="Intérêts rémun./perçu trop tôt sur acomptes C/C"/>
    <n v="4.8"/>
    <n v="0"/>
    <n v="3212"/>
  </r>
  <r>
    <x v="0"/>
    <x v="0"/>
    <x v="0"/>
    <x v="11"/>
    <x v="11"/>
    <x v="11"/>
    <s v="CHARGES"/>
    <x v="0"/>
    <s v="3221.002"/>
    <s v="Intérêts compensatoires / créances en faveur ctb."/>
    <n v="1.41"/>
    <n v="0"/>
    <n v="3221"/>
  </r>
  <r>
    <x v="0"/>
    <x v="0"/>
    <x v="0"/>
    <x v="11"/>
    <x v="11"/>
    <x v="11"/>
    <s v="CHARGES"/>
    <x v="0"/>
    <s v="3212.004"/>
    <s v="Intérêts rémun./perçu trop tôt sur acomptes C/C"/>
    <n v="4.91"/>
    <n v="0"/>
    <n v="3212"/>
  </r>
  <r>
    <x v="0"/>
    <x v="0"/>
    <x v="0"/>
    <x v="11"/>
    <x v="11"/>
    <x v="11"/>
    <s v="CHARGES"/>
    <x v="1"/>
    <s v="3301.001"/>
    <s v="Défalcations, abandons de solde PP et IS"/>
    <n v="1.44"/>
    <n v="0"/>
    <n v="3301"/>
  </r>
  <r>
    <x v="0"/>
    <x v="0"/>
    <x v="0"/>
    <x v="11"/>
    <x v="11"/>
    <x v="11"/>
    <s v="CHARGES"/>
    <x v="1"/>
    <s v="3301.001"/>
    <s v="Défalcations, abandons de solde PP et IS"/>
    <n v="2.17"/>
    <n v="0"/>
    <n v="3301"/>
  </r>
  <r>
    <x v="0"/>
    <x v="0"/>
    <x v="0"/>
    <x v="11"/>
    <x v="11"/>
    <x v="11"/>
    <s v="CHARGES"/>
    <x v="1"/>
    <s v="3301.001"/>
    <s v="Défalcations, abandons de solde PP et IS"/>
    <n v="8021.23"/>
    <n v="0"/>
    <n v="3301"/>
  </r>
  <r>
    <x v="0"/>
    <x v="0"/>
    <x v="0"/>
    <x v="11"/>
    <x v="11"/>
    <x v="11"/>
    <s v="CHARGES"/>
    <x v="1"/>
    <s v="3301.001"/>
    <s v="Défalcations, abandons de solde PP et IS"/>
    <n v="0.15"/>
    <n v="0"/>
    <n v="3301"/>
  </r>
  <r>
    <x v="0"/>
    <x v="0"/>
    <x v="0"/>
    <x v="11"/>
    <x v="11"/>
    <x v="11"/>
    <s v="CHARGES"/>
    <x v="1"/>
    <s v="3301.003"/>
    <s v="Remises PP et IS"/>
    <n v="586.29999999999995"/>
    <n v="0"/>
    <n v="3301"/>
  </r>
  <r>
    <x v="0"/>
    <x v="0"/>
    <x v="0"/>
    <x v="11"/>
    <x v="11"/>
    <x v="11"/>
    <s v="REVENUS"/>
    <x v="6"/>
    <s v="4211.001"/>
    <s v="Intérêts de retard sur factures"/>
    <n v="0"/>
    <n v="168.87"/>
    <n v="4211"/>
  </r>
  <r>
    <x v="0"/>
    <x v="0"/>
    <x v="0"/>
    <x v="11"/>
    <x v="11"/>
    <x v="11"/>
    <s v="REVENUS"/>
    <x v="2"/>
    <s v="4001.007"/>
    <s v="Acompte impôt sur revenu"/>
    <n v="0"/>
    <n v="25596.63"/>
    <n v="4001"/>
  </r>
  <r>
    <x v="0"/>
    <x v="0"/>
    <x v="0"/>
    <x v="11"/>
    <x v="11"/>
    <x v="11"/>
    <s v="REVENUS"/>
    <x v="2"/>
    <s v="4001.001"/>
    <s v="Impôt revenu"/>
    <n v="0"/>
    <n v="860138.9"/>
    <n v="4001"/>
  </r>
  <r>
    <x v="0"/>
    <x v="0"/>
    <x v="0"/>
    <x v="11"/>
    <x v="11"/>
    <x v="11"/>
    <s v="REVENUS"/>
    <x v="3"/>
    <s v="4002.001"/>
    <s v="Impôt ordinaire s/fortune PP"/>
    <n v="0"/>
    <n v="94031.55"/>
    <n v="4002"/>
  </r>
  <r>
    <x v="0"/>
    <x v="0"/>
    <x v="0"/>
    <x v="11"/>
    <x v="11"/>
    <x v="11"/>
    <s v="REVENUS"/>
    <x v="3"/>
    <s v="4002.007"/>
    <s v="Acompte impôt sur fortune"/>
    <n v="0"/>
    <n v="-39261.9"/>
    <n v="4002"/>
  </r>
  <r>
    <x v="0"/>
    <x v="0"/>
    <x v="0"/>
    <x v="11"/>
    <x v="11"/>
    <x v="11"/>
    <s v="REVENUS"/>
    <x v="6"/>
    <s v="4211.002"/>
    <s v="Intérêts de retard sur acomptes"/>
    <n v="0"/>
    <n v="6781.68"/>
    <n v="4211"/>
  </r>
  <r>
    <x v="0"/>
    <x v="0"/>
    <x v="0"/>
    <x v="11"/>
    <x v="11"/>
    <x v="11"/>
    <s v="REVENUS"/>
    <x v="2"/>
    <s v="4001.003"/>
    <s v="Impôt s/prest. cap. PP"/>
    <n v="0"/>
    <n v="23721.45"/>
    <n v="4001"/>
  </r>
  <r>
    <x v="0"/>
    <x v="0"/>
    <x v="0"/>
    <x v="11"/>
    <x v="11"/>
    <x v="11"/>
    <s v="REVENUS"/>
    <x v="7"/>
    <s v="4184.000"/>
    <s v="Frais de poursuite"/>
    <n v="0"/>
    <n v="1114.6400000000001"/>
    <n v="4184"/>
  </r>
  <r>
    <x v="0"/>
    <x v="0"/>
    <x v="0"/>
    <x v="11"/>
    <x v="11"/>
    <x v="11"/>
    <s v="REVENUS"/>
    <x v="6"/>
    <s v="4221.003"/>
    <s v="Intérêts compensat. / acomptes en faveur du fisc"/>
    <n v="0"/>
    <n v="131.32"/>
    <n v="4221"/>
  </r>
  <r>
    <x v="0"/>
    <x v="0"/>
    <x v="0"/>
    <x v="11"/>
    <x v="11"/>
    <x v="11"/>
    <s v="REVENUS"/>
    <x v="6"/>
    <s v="4211.001"/>
    <s v="Intérêts de retard sur factures"/>
    <n v="0"/>
    <n v="5056.05"/>
    <n v="4211"/>
  </r>
  <r>
    <x v="0"/>
    <x v="0"/>
    <x v="0"/>
    <x v="11"/>
    <x v="11"/>
    <x v="11"/>
    <s v="REVENUS"/>
    <x v="2"/>
    <s v="4001.001"/>
    <s v="Impôt revenu"/>
    <n v="0"/>
    <n v="1049.25"/>
    <n v="4001"/>
  </r>
  <r>
    <x v="0"/>
    <x v="0"/>
    <x v="0"/>
    <x v="11"/>
    <x v="11"/>
    <x v="11"/>
    <s v="REVENUS"/>
    <x v="3"/>
    <s v="4002.001"/>
    <s v="Impôt ordinaire s/fortune PP"/>
    <n v="0"/>
    <n v="730.75"/>
    <n v="4002"/>
  </r>
  <r>
    <x v="0"/>
    <x v="0"/>
    <x v="0"/>
    <x v="11"/>
    <x v="11"/>
    <x v="11"/>
    <s v="REVENUS"/>
    <x v="3"/>
    <s v="4002.007"/>
    <s v="Acompte impôt sur fortune"/>
    <n v="0"/>
    <n v="3970.84"/>
    <n v="4002"/>
  </r>
  <r>
    <x v="0"/>
    <x v="0"/>
    <x v="0"/>
    <x v="11"/>
    <x v="11"/>
    <x v="11"/>
    <s v="REVENUS"/>
    <x v="2"/>
    <s v="4001.007"/>
    <s v="Acompte impôt sur revenu"/>
    <n v="0"/>
    <n v="-10688.7"/>
    <n v="4001"/>
  </r>
  <r>
    <x v="0"/>
    <x v="0"/>
    <x v="0"/>
    <x v="11"/>
    <x v="11"/>
    <x v="11"/>
    <s v="REVENUS"/>
    <x v="3"/>
    <s v="4002.007"/>
    <s v="Acompte impôt sur fortune"/>
    <n v="0"/>
    <n v="-343.39"/>
    <n v="4002"/>
  </r>
  <r>
    <x v="0"/>
    <x v="0"/>
    <x v="0"/>
    <x v="11"/>
    <x v="11"/>
    <x v="11"/>
    <s v="REVENUS"/>
    <x v="6"/>
    <s v="4211.001"/>
    <s v="Intérêts de retard sur factures"/>
    <n v="0"/>
    <n v="16.579999999999998"/>
    <n v="4211"/>
  </r>
  <r>
    <x v="0"/>
    <x v="0"/>
    <x v="0"/>
    <x v="11"/>
    <x v="11"/>
    <x v="11"/>
    <s v="REVENUS"/>
    <x v="2"/>
    <s v="4001.002"/>
    <s v="Impôt complément s/revenu PP"/>
    <n v="0"/>
    <n v="162909.6"/>
    <n v="4001"/>
  </r>
  <r>
    <x v="0"/>
    <x v="0"/>
    <x v="0"/>
    <x v="11"/>
    <x v="11"/>
    <x v="11"/>
    <s v="REVENUS"/>
    <x v="7"/>
    <s v="4184.000"/>
    <s v="Frais de poursuite"/>
    <n v="0"/>
    <n v="1723.79"/>
    <n v="4184"/>
  </r>
  <r>
    <x v="0"/>
    <x v="0"/>
    <x v="0"/>
    <x v="11"/>
    <x v="11"/>
    <x v="11"/>
    <s v="REVENUS"/>
    <x v="2"/>
    <s v="4001.001"/>
    <s v="Impôt revenu"/>
    <n v="0"/>
    <n v="7606.85"/>
    <n v="4001"/>
  </r>
  <r>
    <x v="0"/>
    <x v="0"/>
    <x v="0"/>
    <x v="11"/>
    <x v="11"/>
    <x v="11"/>
    <s v="REVENUS"/>
    <x v="3"/>
    <s v="4002.001"/>
    <s v="Impôt ordinaire s/fortune PP"/>
    <n v="0"/>
    <n v="2249.9499999999998"/>
    <n v="4002"/>
  </r>
  <r>
    <x v="0"/>
    <x v="0"/>
    <x v="0"/>
    <x v="11"/>
    <x v="11"/>
    <x v="11"/>
    <s v="REVENUS"/>
    <x v="2"/>
    <s v="4001.001"/>
    <s v="Impôt revenu"/>
    <n v="0"/>
    <n v="8519.5"/>
    <n v="4001"/>
  </r>
  <r>
    <x v="0"/>
    <x v="0"/>
    <x v="0"/>
    <x v="11"/>
    <x v="11"/>
    <x v="11"/>
    <s v="REVENUS"/>
    <x v="2"/>
    <s v="4001.007"/>
    <s v="Acompte impôt sur revenu"/>
    <n v="0"/>
    <n v="-972.4"/>
    <n v="4001"/>
  </r>
  <r>
    <x v="0"/>
    <x v="0"/>
    <x v="0"/>
    <x v="11"/>
    <x v="11"/>
    <x v="11"/>
    <s v="REVENUS"/>
    <x v="3"/>
    <s v="4002.001"/>
    <s v="Impôt ordinaire s/fortune PP"/>
    <n v="0"/>
    <n v="2783.65"/>
    <n v="4002"/>
  </r>
  <r>
    <x v="0"/>
    <x v="0"/>
    <x v="0"/>
    <x v="11"/>
    <x v="11"/>
    <x v="11"/>
    <s v="REVENUS"/>
    <x v="3"/>
    <s v="4002.007"/>
    <s v="Acompte impôt sur fortune"/>
    <n v="0"/>
    <n v="-662.85"/>
    <n v="4002"/>
  </r>
  <r>
    <x v="0"/>
    <x v="0"/>
    <x v="0"/>
    <x v="11"/>
    <x v="11"/>
    <x v="11"/>
    <s v="REVENUS"/>
    <x v="2"/>
    <s v="4001.001"/>
    <s v="Impôt revenu"/>
    <n v="0"/>
    <n v="35535.199999999997"/>
    <n v="4001"/>
  </r>
  <r>
    <x v="0"/>
    <x v="0"/>
    <x v="0"/>
    <x v="11"/>
    <x v="11"/>
    <x v="11"/>
    <s v="REVENUS"/>
    <x v="3"/>
    <s v="4002.001"/>
    <s v="Impôt ordinaire s/fortune PP"/>
    <n v="0"/>
    <n v="23968.400000000001"/>
    <n v="4002"/>
  </r>
  <r>
    <x v="0"/>
    <x v="0"/>
    <x v="0"/>
    <x v="11"/>
    <x v="11"/>
    <x v="11"/>
    <s v="REVENUS"/>
    <x v="6"/>
    <s v="4211.002"/>
    <s v="Intérêts de retard sur acomptes"/>
    <n v="0"/>
    <n v="250.75"/>
    <n v="4211"/>
  </r>
  <r>
    <x v="0"/>
    <x v="0"/>
    <x v="0"/>
    <x v="11"/>
    <x v="11"/>
    <x v="11"/>
    <s v="REVENUS"/>
    <x v="6"/>
    <s v="4221.003"/>
    <s v="Intérêts compensat. / acomptes en faveur du fisc"/>
    <n v="0"/>
    <n v="3.56"/>
    <n v="4221"/>
  </r>
  <r>
    <x v="0"/>
    <x v="0"/>
    <x v="0"/>
    <x v="11"/>
    <x v="11"/>
    <x v="11"/>
    <s v="REVENUS"/>
    <x v="12"/>
    <s v="4004.007"/>
    <s v="Acompte spécial étrangers"/>
    <n v="0"/>
    <n v="0"/>
    <n v="4004"/>
  </r>
  <r>
    <x v="0"/>
    <x v="0"/>
    <x v="0"/>
    <x v="11"/>
    <x v="11"/>
    <x v="11"/>
    <s v="REVENUS"/>
    <x v="2"/>
    <s v="4001.007"/>
    <s v="Acompte impôt sur revenu"/>
    <n v="0"/>
    <n v="-2829.11"/>
    <n v="4001"/>
  </r>
  <r>
    <x v="0"/>
    <x v="0"/>
    <x v="0"/>
    <x v="11"/>
    <x v="11"/>
    <x v="11"/>
    <s v="REVENUS"/>
    <x v="3"/>
    <s v="4002.007"/>
    <s v="Acompte impôt sur fortune"/>
    <n v="0"/>
    <n v="2134.8000000000002"/>
    <n v="4002"/>
  </r>
  <r>
    <x v="0"/>
    <x v="0"/>
    <x v="0"/>
    <x v="11"/>
    <x v="11"/>
    <x v="11"/>
    <s v="REVENUS"/>
    <x v="2"/>
    <s v="4001.001"/>
    <s v="Impôt revenu"/>
    <n v="0"/>
    <n v="3505.05"/>
    <n v="4001"/>
  </r>
  <r>
    <x v="0"/>
    <x v="0"/>
    <x v="0"/>
    <x v="11"/>
    <x v="11"/>
    <x v="11"/>
    <s v="REVENUS"/>
    <x v="3"/>
    <s v="4002.001"/>
    <s v="Impôt ordinaire s/fortune PP"/>
    <n v="0"/>
    <n v="288.14999999999998"/>
    <n v="4002"/>
  </r>
  <r>
    <x v="0"/>
    <x v="0"/>
    <x v="0"/>
    <x v="11"/>
    <x v="11"/>
    <x v="11"/>
    <s v="REVENUS"/>
    <x v="2"/>
    <s v="4001.007"/>
    <s v="Acompte impôt sur revenu"/>
    <n v="0"/>
    <n v="11986.65"/>
    <n v="4001"/>
  </r>
  <r>
    <x v="0"/>
    <x v="0"/>
    <x v="0"/>
    <x v="11"/>
    <x v="11"/>
    <x v="11"/>
    <s v="REVENUS"/>
    <x v="3"/>
    <s v="4002.002"/>
    <s v="Impôt complémentaire s/fortune PP"/>
    <n v="0"/>
    <n v="5776.9"/>
    <n v="4002"/>
  </r>
  <r>
    <x v="0"/>
    <x v="0"/>
    <x v="0"/>
    <x v="11"/>
    <x v="11"/>
    <x v="11"/>
    <s v="REVENUS"/>
    <x v="3"/>
    <s v="4002.002"/>
    <s v="Impôt complémentaire s/fortune PP"/>
    <n v="0"/>
    <n v="290.55"/>
    <n v="4002"/>
  </r>
  <r>
    <x v="0"/>
    <x v="0"/>
    <x v="0"/>
    <x v="11"/>
    <x v="11"/>
    <x v="11"/>
    <s v="REVENUS"/>
    <x v="6"/>
    <s v="4211.002"/>
    <s v="Intérêts de retard sur acomptes"/>
    <n v="0"/>
    <n v="19.89"/>
    <n v="4211"/>
  </r>
  <r>
    <x v="0"/>
    <x v="0"/>
    <x v="0"/>
    <x v="11"/>
    <x v="11"/>
    <x v="11"/>
    <s v="REVENUS"/>
    <x v="7"/>
    <s v="4184.000"/>
    <s v="Frais de poursuite"/>
    <n v="0"/>
    <n v="14.61"/>
    <n v="4184"/>
  </r>
  <r>
    <x v="0"/>
    <x v="0"/>
    <x v="0"/>
    <x v="11"/>
    <x v="11"/>
    <x v="11"/>
    <s v="REVENUS"/>
    <x v="2"/>
    <s v="4001.007"/>
    <s v="Acompte impôt sur revenu"/>
    <n v="0"/>
    <n v="-3065.75"/>
    <n v="4001"/>
  </r>
  <r>
    <x v="0"/>
    <x v="0"/>
    <x v="0"/>
    <x v="11"/>
    <x v="11"/>
    <x v="11"/>
    <s v="REVENUS"/>
    <x v="3"/>
    <s v="4002.007"/>
    <s v="Acompte impôt sur fortune"/>
    <n v="0"/>
    <n v="-1195.6500000000001"/>
    <n v="4002"/>
  </r>
  <r>
    <x v="0"/>
    <x v="0"/>
    <x v="0"/>
    <x v="11"/>
    <x v="11"/>
    <x v="11"/>
    <s v="REVENUS"/>
    <x v="6"/>
    <s v="4221.003"/>
    <s v="Intérêts compensat. / acomptes en faveur du fisc"/>
    <n v="0"/>
    <n v="1.44"/>
    <n v="4221"/>
  </r>
  <r>
    <x v="0"/>
    <x v="0"/>
    <x v="0"/>
    <x v="11"/>
    <x v="11"/>
    <x v="11"/>
    <s v="REVENUS"/>
    <x v="9"/>
    <s v="4031.001"/>
    <s v="Impôt sur les gains immobiliers"/>
    <n v="0"/>
    <n v="61549.05"/>
    <n v="4031"/>
  </r>
  <r>
    <x v="0"/>
    <x v="0"/>
    <x v="0"/>
    <x v="11"/>
    <x v="11"/>
    <x v="11"/>
    <s v="REVENUS"/>
    <x v="6"/>
    <s v="4221.002"/>
    <s v="Intérêts compensat. sur impôts distincts"/>
    <n v="0"/>
    <n v="78.510000000000005"/>
    <n v="4221"/>
  </r>
  <r>
    <x v="0"/>
    <x v="0"/>
    <x v="0"/>
    <x v="11"/>
    <x v="11"/>
    <x v="11"/>
    <s v="REVENUS"/>
    <x v="2"/>
    <s v="4001.002"/>
    <s v="Impôt complément s/revenu PP"/>
    <n v="0"/>
    <n v="1544.95"/>
    <n v="4001"/>
  </r>
  <r>
    <x v="0"/>
    <x v="0"/>
    <x v="0"/>
    <x v="11"/>
    <x v="11"/>
    <x v="11"/>
    <s v="REVENUS"/>
    <x v="2"/>
    <s v="4001.002"/>
    <s v="Impôt complément s/revenu PP"/>
    <n v="0"/>
    <n v="1403.95"/>
    <n v="4001"/>
  </r>
  <r>
    <x v="0"/>
    <x v="0"/>
    <x v="0"/>
    <x v="11"/>
    <x v="11"/>
    <x v="11"/>
    <s v="REVENUS"/>
    <x v="3"/>
    <s v="4002.002"/>
    <s v="Impôt complémentaire s/fortune PP"/>
    <n v="0"/>
    <n v="495.55"/>
    <n v="4002"/>
  </r>
  <r>
    <x v="0"/>
    <x v="0"/>
    <x v="0"/>
    <x v="11"/>
    <x v="11"/>
    <x v="11"/>
    <s v="REVENUS"/>
    <x v="8"/>
    <s v="4091.001"/>
    <s v="Impôt récupéré après défalcations"/>
    <n v="0"/>
    <n v="2358.34"/>
    <n v="4091"/>
  </r>
  <r>
    <x v="0"/>
    <x v="0"/>
    <x v="0"/>
    <x v="11"/>
    <x v="11"/>
    <x v="11"/>
    <s v="REVENUS"/>
    <x v="8"/>
    <s v="4091.001"/>
    <s v="Impôt récupéré après défalcations"/>
    <n v="0"/>
    <n v="8021.23"/>
    <n v="4091"/>
  </r>
  <r>
    <x v="0"/>
    <x v="0"/>
    <x v="0"/>
    <x v="11"/>
    <x v="11"/>
    <x v="11"/>
    <s v="REVENUS"/>
    <x v="10"/>
    <s v="4041.001"/>
    <s v="Droits de mutation"/>
    <n v="0"/>
    <n v="31603"/>
    <n v="4041"/>
  </r>
  <r>
    <x v="0"/>
    <x v="0"/>
    <x v="0"/>
    <x v="11"/>
    <x v="11"/>
    <x v="11"/>
    <s v="REVENUS"/>
    <x v="6"/>
    <s v="4211.002"/>
    <s v="Intérêts de retard sur acomptes"/>
    <n v="0"/>
    <n v="15.56"/>
    <n v="4211"/>
  </r>
  <r>
    <x v="0"/>
    <x v="0"/>
    <x v="0"/>
    <x v="11"/>
    <x v="11"/>
    <x v="11"/>
    <s v="REVENUS"/>
    <x v="6"/>
    <s v="4221.003"/>
    <s v="Intérêts compensat. / acomptes en faveur du fisc"/>
    <n v="0"/>
    <n v="1.23"/>
    <n v="4221"/>
  </r>
  <r>
    <x v="0"/>
    <x v="0"/>
    <x v="0"/>
    <x v="11"/>
    <x v="11"/>
    <x v="11"/>
    <s v="REVENUS"/>
    <x v="5"/>
    <s v="4061.000"/>
    <s v="Impôt sur les chiens"/>
    <n v="0"/>
    <n v="5350"/>
    <n v="4061"/>
  </r>
  <r>
    <x v="0"/>
    <x v="0"/>
    <x v="0"/>
    <x v="11"/>
    <x v="11"/>
    <x v="11"/>
    <s v="REVENUS"/>
    <x v="6"/>
    <s v="4211.001"/>
    <s v="Intérêts de retard sur factures"/>
    <n v="0"/>
    <n v="13.32"/>
    <n v="4211"/>
  </r>
  <r>
    <x v="0"/>
    <x v="0"/>
    <x v="0"/>
    <x v="11"/>
    <x v="11"/>
    <x v="11"/>
    <s v="REVENUS"/>
    <x v="2"/>
    <s v="4001.007"/>
    <s v="Acompte impôt sur revenu"/>
    <n v="0"/>
    <n v="-2011.55"/>
    <n v="4001"/>
  </r>
  <r>
    <x v="0"/>
    <x v="0"/>
    <x v="0"/>
    <x v="11"/>
    <x v="11"/>
    <x v="11"/>
    <s v="REVENUS"/>
    <x v="3"/>
    <s v="4002.007"/>
    <s v="Acompte impôt sur fortune"/>
    <n v="0"/>
    <n v="-362.85"/>
    <n v="4002"/>
  </r>
  <r>
    <x v="0"/>
    <x v="0"/>
    <x v="0"/>
    <x v="11"/>
    <x v="11"/>
    <x v="11"/>
    <s v="REVENUS"/>
    <x v="2"/>
    <s v="4001.001"/>
    <s v="Impôt revenu"/>
    <n v="0"/>
    <n v="16.25"/>
    <n v="4001"/>
  </r>
  <r>
    <x v="0"/>
    <x v="0"/>
    <x v="0"/>
    <x v="11"/>
    <x v="11"/>
    <x v="11"/>
    <s v="REVENUS"/>
    <x v="6"/>
    <s v="4211.002"/>
    <s v="Intérêts de retard sur acomptes"/>
    <n v="0"/>
    <n v="0.6"/>
    <n v="4211"/>
  </r>
  <r>
    <x v="0"/>
    <x v="0"/>
    <x v="0"/>
    <x v="11"/>
    <x v="11"/>
    <x v="11"/>
    <s v="REVENUS"/>
    <x v="6"/>
    <s v="4221.003"/>
    <s v="Intérêts compensat. / acomptes en faveur du fisc"/>
    <n v="0"/>
    <n v="0.15"/>
    <n v="4221"/>
  </r>
  <r>
    <x v="0"/>
    <x v="0"/>
    <x v="0"/>
    <x v="12"/>
    <x v="12"/>
    <x v="12"/>
    <s v="CHARGES"/>
    <x v="1"/>
    <s v="3301.001"/>
    <s v="Défalcations, abandons de solde PP et IS"/>
    <n v="9294.17"/>
    <n v="0"/>
    <n v="3301"/>
  </r>
  <r>
    <x v="0"/>
    <x v="0"/>
    <x v="0"/>
    <x v="12"/>
    <x v="12"/>
    <x v="12"/>
    <s v="CHARGES"/>
    <x v="0"/>
    <s v="3221.002"/>
    <s v="Intérêts compensatoires / créances en faveur ctb."/>
    <n v="0.03"/>
    <n v="0"/>
    <n v="3221"/>
  </r>
  <r>
    <x v="0"/>
    <x v="0"/>
    <x v="0"/>
    <x v="12"/>
    <x v="12"/>
    <x v="12"/>
    <s v="CHARGES"/>
    <x v="0"/>
    <s v="3212.002"/>
    <s v="Intérêts bonifiés/trop perçu acompte C/C"/>
    <n v="-2.3199999999999998"/>
    <n v="0"/>
    <n v="3212"/>
  </r>
  <r>
    <x v="0"/>
    <x v="0"/>
    <x v="0"/>
    <x v="12"/>
    <x v="12"/>
    <x v="12"/>
    <s v="CHARGES"/>
    <x v="0"/>
    <s v="3212.004"/>
    <s v="Intérêts rémun./perçu trop tôt sur acomptes C/C"/>
    <n v="321.36"/>
    <n v="0"/>
    <n v="3212"/>
  </r>
  <r>
    <x v="0"/>
    <x v="0"/>
    <x v="0"/>
    <x v="12"/>
    <x v="12"/>
    <x v="12"/>
    <s v="CHARGES"/>
    <x v="1"/>
    <s v="3301.003"/>
    <s v="Remises PP et IS"/>
    <n v="20054.11"/>
    <n v="0"/>
    <n v="3301"/>
  </r>
  <r>
    <x v="0"/>
    <x v="0"/>
    <x v="0"/>
    <x v="12"/>
    <x v="12"/>
    <x v="12"/>
    <s v="CHARGES"/>
    <x v="1"/>
    <s v="3301.001"/>
    <s v="Défalcations, abandons de solde PP et IS"/>
    <n v="1.74"/>
    <n v="0"/>
    <n v="3301"/>
  </r>
  <r>
    <x v="0"/>
    <x v="0"/>
    <x v="0"/>
    <x v="12"/>
    <x v="12"/>
    <x v="12"/>
    <s v="CHARGES"/>
    <x v="0"/>
    <s v="3221.002"/>
    <s v="Intérêts compensatoires / créances en faveur ctb."/>
    <n v="69.62"/>
    <n v="0"/>
    <n v="3221"/>
  </r>
  <r>
    <x v="0"/>
    <x v="0"/>
    <x v="0"/>
    <x v="12"/>
    <x v="12"/>
    <x v="12"/>
    <s v="CHARGES"/>
    <x v="0"/>
    <s v="3212.004"/>
    <s v="Intérêts rémun./perçu trop tôt sur acomptes C/C"/>
    <n v="8.4499999999999993"/>
    <n v="0"/>
    <n v="3212"/>
  </r>
  <r>
    <x v="0"/>
    <x v="0"/>
    <x v="0"/>
    <x v="12"/>
    <x v="12"/>
    <x v="12"/>
    <s v="CHARGES"/>
    <x v="0"/>
    <s v="3221.002"/>
    <s v="Intérêts compensatoires / créances en faveur ctb."/>
    <n v="3.13"/>
    <n v="0"/>
    <n v="3221"/>
  </r>
  <r>
    <x v="0"/>
    <x v="0"/>
    <x v="0"/>
    <x v="12"/>
    <x v="12"/>
    <x v="12"/>
    <s v="CHARGES"/>
    <x v="1"/>
    <s v="3301.001"/>
    <s v="Défalcations, abandons de solde PP et IS"/>
    <n v="45867.64"/>
    <n v="0"/>
    <n v="3301"/>
  </r>
  <r>
    <x v="0"/>
    <x v="0"/>
    <x v="0"/>
    <x v="12"/>
    <x v="12"/>
    <x v="12"/>
    <s v="CHARGES"/>
    <x v="1"/>
    <s v="3301.001"/>
    <s v="Défalcations, abandons de solde PP et IS"/>
    <n v="0.68"/>
    <n v="0"/>
    <n v="3301"/>
  </r>
  <r>
    <x v="0"/>
    <x v="0"/>
    <x v="0"/>
    <x v="12"/>
    <x v="12"/>
    <x v="12"/>
    <s v="CHARGES"/>
    <x v="0"/>
    <s v="3212.002"/>
    <s v="Intérêts bonifiés/trop perçu acompte C/C"/>
    <n v="0.01"/>
    <n v="0"/>
    <n v="3212"/>
  </r>
  <r>
    <x v="0"/>
    <x v="0"/>
    <x v="0"/>
    <x v="12"/>
    <x v="12"/>
    <x v="12"/>
    <s v="CHARGES"/>
    <x v="0"/>
    <s v="3212.004"/>
    <s v="Intérêts rémun./perçu trop tôt sur acomptes C/C"/>
    <n v="19.489999999999998"/>
    <n v="0"/>
    <n v="3212"/>
  </r>
  <r>
    <x v="0"/>
    <x v="0"/>
    <x v="0"/>
    <x v="12"/>
    <x v="12"/>
    <x v="12"/>
    <s v="CHARGES"/>
    <x v="0"/>
    <s v="3212.004"/>
    <s v="Intérêts rémun./perçu trop tôt sur acomptes C/C"/>
    <n v="0.01"/>
    <n v="0"/>
    <n v="3212"/>
  </r>
  <r>
    <x v="0"/>
    <x v="0"/>
    <x v="0"/>
    <x v="12"/>
    <x v="12"/>
    <x v="12"/>
    <s v="CHARGES"/>
    <x v="1"/>
    <s v="3301.001"/>
    <s v="Défalcations, abandons de solde PP et IS"/>
    <n v="28686.240000000002"/>
    <n v="0"/>
    <n v="3301"/>
  </r>
  <r>
    <x v="0"/>
    <x v="0"/>
    <x v="0"/>
    <x v="12"/>
    <x v="12"/>
    <x v="12"/>
    <s v="CHARGES"/>
    <x v="0"/>
    <s v="3212.004"/>
    <s v="Intérêts rémun./perçu trop tôt sur acomptes C/C"/>
    <n v="-7.0000000000000007E-2"/>
    <n v="0"/>
    <n v="3212"/>
  </r>
  <r>
    <x v="0"/>
    <x v="0"/>
    <x v="0"/>
    <x v="12"/>
    <x v="12"/>
    <x v="12"/>
    <s v="CHARGES"/>
    <x v="0"/>
    <s v="3221.002"/>
    <s v="Intérêts compensatoires / créances en faveur ctb."/>
    <n v="-0.02"/>
    <n v="0"/>
    <n v="3221"/>
  </r>
  <r>
    <x v="0"/>
    <x v="0"/>
    <x v="0"/>
    <x v="12"/>
    <x v="12"/>
    <x v="12"/>
    <s v="CHARGES"/>
    <x v="0"/>
    <s v="3221.002"/>
    <s v="Intérêts compensatoires / créances en faveur ctb."/>
    <n v="0.52"/>
    <n v="0"/>
    <n v="3221"/>
  </r>
  <r>
    <x v="0"/>
    <x v="0"/>
    <x v="0"/>
    <x v="12"/>
    <x v="12"/>
    <x v="12"/>
    <s v="CHARGES"/>
    <x v="0"/>
    <s v="3212.004"/>
    <s v="Intérêts rémun./perçu trop tôt sur acomptes C/C"/>
    <n v="1.95"/>
    <n v="0"/>
    <n v="3212"/>
  </r>
  <r>
    <x v="0"/>
    <x v="0"/>
    <x v="0"/>
    <x v="12"/>
    <x v="12"/>
    <x v="12"/>
    <s v="CHARGES"/>
    <x v="0"/>
    <s v="3212.004"/>
    <s v="Intérêts rémun./perçu trop tôt sur acomptes C/C"/>
    <n v="1.1100000000000001"/>
    <n v="0"/>
    <n v="3212"/>
  </r>
  <r>
    <x v="0"/>
    <x v="0"/>
    <x v="0"/>
    <x v="12"/>
    <x v="12"/>
    <x v="12"/>
    <s v="CHARGES"/>
    <x v="0"/>
    <s v="3221.002"/>
    <s v="Intérêts compensatoires / créances en faveur ctb."/>
    <n v="0.44"/>
    <n v="0"/>
    <n v="3221"/>
  </r>
  <r>
    <x v="0"/>
    <x v="0"/>
    <x v="0"/>
    <x v="12"/>
    <x v="12"/>
    <x v="12"/>
    <s v="CHARGES"/>
    <x v="0"/>
    <s v="3221.002"/>
    <s v="Intérêts compensatoires / créances en faveur ctb."/>
    <n v="0.02"/>
    <n v="0"/>
    <n v="3221"/>
  </r>
  <r>
    <x v="0"/>
    <x v="0"/>
    <x v="0"/>
    <x v="12"/>
    <x v="12"/>
    <x v="12"/>
    <s v="CHARGES"/>
    <x v="1"/>
    <s v="3301.001"/>
    <s v="Défalcations, abandons de solde PP et IS"/>
    <n v="0.15"/>
    <n v="0"/>
    <n v="3301"/>
  </r>
  <r>
    <x v="0"/>
    <x v="0"/>
    <x v="0"/>
    <x v="12"/>
    <x v="12"/>
    <x v="12"/>
    <s v="REVENUS"/>
    <x v="2"/>
    <s v="4001.007"/>
    <s v="Acompte impôt sur revenu"/>
    <n v="0"/>
    <n v="38346.76"/>
    <n v="4001"/>
  </r>
  <r>
    <x v="0"/>
    <x v="0"/>
    <x v="0"/>
    <x v="12"/>
    <x v="12"/>
    <x v="12"/>
    <s v="REVENUS"/>
    <x v="2"/>
    <s v="4001.003"/>
    <s v="Impôt s/prest. cap. PP"/>
    <n v="0"/>
    <n v="40660.85"/>
    <n v="4001"/>
  </r>
  <r>
    <x v="0"/>
    <x v="0"/>
    <x v="0"/>
    <x v="12"/>
    <x v="12"/>
    <x v="12"/>
    <s v="REVENUS"/>
    <x v="6"/>
    <s v="4211.001"/>
    <s v="Intérêts de retard sur factures"/>
    <n v="0"/>
    <n v="8477.85"/>
    <n v="4211"/>
  </r>
  <r>
    <x v="0"/>
    <x v="0"/>
    <x v="0"/>
    <x v="12"/>
    <x v="12"/>
    <x v="12"/>
    <s v="REVENUS"/>
    <x v="2"/>
    <s v="4001.001"/>
    <s v="Impôt revenu"/>
    <n v="0"/>
    <n v="963.85"/>
    <n v="4001"/>
  </r>
  <r>
    <x v="0"/>
    <x v="0"/>
    <x v="0"/>
    <x v="12"/>
    <x v="12"/>
    <x v="12"/>
    <s v="REVENUS"/>
    <x v="3"/>
    <s v="4002.001"/>
    <s v="Impôt ordinaire s/fortune PP"/>
    <n v="0"/>
    <n v="104.3"/>
    <n v="4002"/>
  </r>
  <r>
    <x v="0"/>
    <x v="0"/>
    <x v="0"/>
    <x v="12"/>
    <x v="12"/>
    <x v="12"/>
    <s v="REVENUS"/>
    <x v="2"/>
    <s v="4001.001"/>
    <s v="Impôt revenu"/>
    <n v="0"/>
    <n v="1872514.8"/>
    <n v="4001"/>
  </r>
  <r>
    <x v="0"/>
    <x v="0"/>
    <x v="0"/>
    <x v="12"/>
    <x v="12"/>
    <x v="12"/>
    <s v="REVENUS"/>
    <x v="3"/>
    <s v="4002.001"/>
    <s v="Impôt ordinaire s/fortune PP"/>
    <n v="0"/>
    <n v="167599.70000000001"/>
    <n v="4002"/>
  </r>
  <r>
    <x v="0"/>
    <x v="0"/>
    <x v="0"/>
    <x v="12"/>
    <x v="12"/>
    <x v="12"/>
    <s v="REVENUS"/>
    <x v="3"/>
    <s v="4002.007"/>
    <s v="Acompte impôt sur fortune"/>
    <n v="0"/>
    <n v="-22093.45"/>
    <n v="4002"/>
  </r>
  <r>
    <x v="0"/>
    <x v="0"/>
    <x v="0"/>
    <x v="12"/>
    <x v="12"/>
    <x v="12"/>
    <s v="REVENUS"/>
    <x v="7"/>
    <s v="4184.000"/>
    <s v="Frais de poursuite"/>
    <n v="0"/>
    <n v="5544.06"/>
    <n v="4184"/>
  </r>
  <r>
    <x v="0"/>
    <x v="0"/>
    <x v="0"/>
    <x v="12"/>
    <x v="12"/>
    <x v="12"/>
    <s v="REVENUS"/>
    <x v="6"/>
    <s v="4211.002"/>
    <s v="Intérêts de retard sur acomptes"/>
    <n v="0"/>
    <n v="11367.94"/>
    <n v="4211"/>
  </r>
  <r>
    <x v="0"/>
    <x v="0"/>
    <x v="0"/>
    <x v="12"/>
    <x v="12"/>
    <x v="12"/>
    <s v="REVENUS"/>
    <x v="7"/>
    <s v="4184.000"/>
    <s v="Frais de poursuite"/>
    <n v="0"/>
    <n v="2756.82"/>
    <n v="4184"/>
  </r>
  <r>
    <x v="0"/>
    <x v="0"/>
    <x v="0"/>
    <x v="12"/>
    <x v="12"/>
    <x v="12"/>
    <s v="REVENUS"/>
    <x v="2"/>
    <s v="4001.001"/>
    <s v="Impôt revenu"/>
    <n v="0"/>
    <n v="6913.55"/>
    <n v="4001"/>
  </r>
  <r>
    <x v="0"/>
    <x v="0"/>
    <x v="0"/>
    <x v="12"/>
    <x v="12"/>
    <x v="12"/>
    <s v="REVENUS"/>
    <x v="6"/>
    <s v="4221.003"/>
    <s v="Intérêts compensat. / acomptes en faveur du fisc"/>
    <n v="0"/>
    <n v="6.98"/>
    <n v="4221"/>
  </r>
  <r>
    <x v="0"/>
    <x v="0"/>
    <x v="0"/>
    <x v="12"/>
    <x v="12"/>
    <x v="12"/>
    <s v="REVENUS"/>
    <x v="6"/>
    <s v="4221.003"/>
    <s v="Intérêts compensat. / acomptes en faveur du fisc"/>
    <n v="0"/>
    <n v="136.22999999999999"/>
    <n v="4221"/>
  </r>
  <r>
    <x v="0"/>
    <x v="0"/>
    <x v="0"/>
    <x v="12"/>
    <x v="12"/>
    <x v="12"/>
    <s v="REVENUS"/>
    <x v="2"/>
    <s v="4001.002"/>
    <s v="Impôt complément s/revenu PP"/>
    <n v="0"/>
    <n v="237891.9"/>
    <n v="4001"/>
  </r>
  <r>
    <x v="0"/>
    <x v="0"/>
    <x v="0"/>
    <x v="12"/>
    <x v="12"/>
    <x v="12"/>
    <s v="REVENUS"/>
    <x v="2"/>
    <s v="4001.007"/>
    <s v="Acompte impôt sur revenu"/>
    <n v="0"/>
    <n v="313349.81"/>
    <n v="4001"/>
  </r>
  <r>
    <x v="0"/>
    <x v="0"/>
    <x v="0"/>
    <x v="12"/>
    <x v="12"/>
    <x v="12"/>
    <s v="REVENUS"/>
    <x v="3"/>
    <s v="4002.007"/>
    <s v="Acompte impôt sur fortune"/>
    <n v="0"/>
    <n v="-129.4"/>
    <n v="4002"/>
  </r>
  <r>
    <x v="0"/>
    <x v="0"/>
    <x v="0"/>
    <x v="12"/>
    <x v="12"/>
    <x v="12"/>
    <s v="REVENUS"/>
    <x v="8"/>
    <s v="4091.001"/>
    <s v="Impôt récupéré après défalcations"/>
    <n v="0"/>
    <n v="22252.81"/>
    <n v="4091"/>
  </r>
  <r>
    <x v="0"/>
    <x v="0"/>
    <x v="0"/>
    <x v="12"/>
    <x v="12"/>
    <x v="12"/>
    <s v="REVENUS"/>
    <x v="3"/>
    <s v="4002.002"/>
    <s v="Impôt complémentaire s/fortune PP"/>
    <n v="0"/>
    <n v="10599.4"/>
    <n v="4002"/>
  </r>
  <r>
    <x v="0"/>
    <x v="0"/>
    <x v="0"/>
    <x v="12"/>
    <x v="12"/>
    <x v="12"/>
    <s v="REVENUS"/>
    <x v="10"/>
    <s v="4041.001"/>
    <s v="Droits de mutation"/>
    <n v="0"/>
    <n v="34155.949999999997"/>
    <n v="4041"/>
  </r>
  <r>
    <x v="0"/>
    <x v="0"/>
    <x v="0"/>
    <x v="12"/>
    <x v="12"/>
    <x v="12"/>
    <s v="REVENUS"/>
    <x v="2"/>
    <s v="4001.001"/>
    <s v="Impôt revenu"/>
    <n v="0"/>
    <n v="51952.5"/>
    <n v="4001"/>
  </r>
  <r>
    <x v="0"/>
    <x v="0"/>
    <x v="0"/>
    <x v="12"/>
    <x v="12"/>
    <x v="12"/>
    <s v="REVENUS"/>
    <x v="6"/>
    <s v="4211.002"/>
    <s v="Intérêts de retard sur acomptes"/>
    <n v="0"/>
    <n v="182.24"/>
    <n v="4211"/>
  </r>
  <r>
    <x v="0"/>
    <x v="0"/>
    <x v="0"/>
    <x v="12"/>
    <x v="12"/>
    <x v="12"/>
    <s v="REVENUS"/>
    <x v="5"/>
    <s v="4061.000"/>
    <s v="Impôt sur les chiens"/>
    <n v="0"/>
    <n v="14850"/>
    <n v="4061"/>
  </r>
  <r>
    <x v="0"/>
    <x v="0"/>
    <x v="0"/>
    <x v="12"/>
    <x v="12"/>
    <x v="12"/>
    <s v="REVENUS"/>
    <x v="6"/>
    <s v="4211.001"/>
    <s v="Intérêts de retard sur factures"/>
    <n v="0"/>
    <n v="37.94"/>
    <n v="4211"/>
  </r>
  <r>
    <x v="0"/>
    <x v="0"/>
    <x v="0"/>
    <x v="12"/>
    <x v="12"/>
    <x v="12"/>
    <s v="REVENUS"/>
    <x v="3"/>
    <s v="4002.001"/>
    <s v="Impôt ordinaire s/fortune PP"/>
    <n v="0"/>
    <n v="19901.849999999999"/>
    <n v="4002"/>
  </r>
  <r>
    <x v="0"/>
    <x v="0"/>
    <x v="0"/>
    <x v="12"/>
    <x v="12"/>
    <x v="12"/>
    <s v="REVENUS"/>
    <x v="3"/>
    <s v="4002.002"/>
    <s v="Impôt complémentaire s/fortune PP"/>
    <n v="0"/>
    <n v="2747.8"/>
    <n v="4002"/>
  </r>
  <r>
    <x v="0"/>
    <x v="0"/>
    <x v="0"/>
    <x v="12"/>
    <x v="12"/>
    <x v="12"/>
    <s v="REVENUS"/>
    <x v="2"/>
    <s v="4001.001"/>
    <s v="Impôt revenu"/>
    <n v="0"/>
    <n v="36159.449999999997"/>
    <n v="4001"/>
  </r>
  <r>
    <x v="0"/>
    <x v="0"/>
    <x v="0"/>
    <x v="12"/>
    <x v="12"/>
    <x v="12"/>
    <s v="REVENUS"/>
    <x v="2"/>
    <s v="4001.007"/>
    <s v="Acompte impôt sur revenu"/>
    <n v="0"/>
    <n v="-1155.1500000000001"/>
    <n v="4001"/>
  </r>
  <r>
    <x v="0"/>
    <x v="0"/>
    <x v="0"/>
    <x v="12"/>
    <x v="12"/>
    <x v="12"/>
    <s v="REVENUS"/>
    <x v="3"/>
    <s v="4002.007"/>
    <s v="Acompte impôt sur fortune"/>
    <n v="0"/>
    <n v="-368.75"/>
    <n v="4002"/>
  </r>
  <r>
    <x v="0"/>
    <x v="0"/>
    <x v="0"/>
    <x v="12"/>
    <x v="12"/>
    <x v="12"/>
    <s v="REVENUS"/>
    <x v="3"/>
    <s v="4002.001"/>
    <s v="Impôt ordinaire s/fortune PP"/>
    <n v="0"/>
    <n v="14426.85"/>
    <n v="4002"/>
  </r>
  <r>
    <x v="0"/>
    <x v="0"/>
    <x v="0"/>
    <x v="12"/>
    <x v="12"/>
    <x v="12"/>
    <s v="REVENUS"/>
    <x v="2"/>
    <s v="4001.002"/>
    <s v="Impôt complément s/revenu PP"/>
    <n v="0"/>
    <n v="4370.75"/>
    <n v="4001"/>
  </r>
  <r>
    <x v="0"/>
    <x v="0"/>
    <x v="0"/>
    <x v="12"/>
    <x v="12"/>
    <x v="12"/>
    <s v="REVENUS"/>
    <x v="3"/>
    <s v="4002.007"/>
    <s v="Acompte impôt sur fortune"/>
    <n v="0"/>
    <n v="105.63"/>
    <n v="4002"/>
  </r>
  <r>
    <x v="0"/>
    <x v="0"/>
    <x v="0"/>
    <x v="12"/>
    <x v="12"/>
    <x v="12"/>
    <s v="REVENUS"/>
    <x v="3"/>
    <s v="4002.007"/>
    <s v="Acompte impôt sur fortune"/>
    <n v="0"/>
    <n v="1224.97"/>
    <n v="4002"/>
  </r>
  <r>
    <x v="0"/>
    <x v="0"/>
    <x v="0"/>
    <x v="12"/>
    <x v="12"/>
    <x v="12"/>
    <s v="REVENUS"/>
    <x v="2"/>
    <s v="4001.007"/>
    <s v="Acompte impôt sur revenu"/>
    <n v="0"/>
    <n v="-293.77"/>
    <n v="4001"/>
  </r>
  <r>
    <x v="0"/>
    <x v="0"/>
    <x v="0"/>
    <x v="12"/>
    <x v="12"/>
    <x v="12"/>
    <s v="REVENUS"/>
    <x v="3"/>
    <s v="4002.007"/>
    <s v="Acompte impôt sur fortune"/>
    <n v="0"/>
    <n v="-1286.8900000000001"/>
    <n v="4002"/>
  </r>
  <r>
    <x v="0"/>
    <x v="0"/>
    <x v="0"/>
    <x v="12"/>
    <x v="12"/>
    <x v="12"/>
    <s v="REVENUS"/>
    <x v="6"/>
    <s v="4221.002"/>
    <s v="Intérêts compensat. sur impôts distincts"/>
    <n v="0"/>
    <n v="2.1800000000000002"/>
    <n v="4221"/>
  </r>
  <r>
    <x v="0"/>
    <x v="0"/>
    <x v="0"/>
    <x v="12"/>
    <x v="12"/>
    <x v="12"/>
    <s v="REVENUS"/>
    <x v="2"/>
    <s v="4001.007"/>
    <s v="Acompte impôt sur revenu"/>
    <n v="0"/>
    <n v="475.9"/>
    <n v="4001"/>
  </r>
  <r>
    <x v="0"/>
    <x v="0"/>
    <x v="0"/>
    <x v="12"/>
    <x v="12"/>
    <x v="12"/>
    <s v="REVENUS"/>
    <x v="6"/>
    <s v="4221.003"/>
    <s v="Intérêts compensat. / acomptes en faveur du fisc"/>
    <n v="0"/>
    <n v="13.15"/>
    <n v="4221"/>
  </r>
  <r>
    <x v="0"/>
    <x v="0"/>
    <x v="0"/>
    <x v="12"/>
    <x v="12"/>
    <x v="12"/>
    <s v="REVENUS"/>
    <x v="7"/>
    <s v="4184.000"/>
    <s v="Frais de poursuite"/>
    <n v="0"/>
    <n v="134.35"/>
    <n v="4184"/>
  </r>
  <r>
    <x v="0"/>
    <x v="0"/>
    <x v="0"/>
    <x v="12"/>
    <x v="12"/>
    <x v="12"/>
    <s v="REVENUS"/>
    <x v="6"/>
    <s v="4211.001"/>
    <s v="Intérêts de retard sur factures"/>
    <n v="0"/>
    <n v="18.12"/>
    <n v="4211"/>
  </r>
  <r>
    <x v="0"/>
    <x v="0"/>
    <x v="0"/>
    <x v="12"/>
    <x v="12"/>
    <x v="12"/>
    <s v="REVENUS"/>
    <x v="6"/>
    <s v="4211.002"/>
    <s v="Intérêts de retard sur acomptes"/>
    <n v="0"/>
    <n v="35.119999999999997"/>
    <n v="4211"/>
  </r>
  <r>
    <x v="0"/>
    <x v="0"/>
    <x v="0"/>
    <x v="12"/>
    <x v="12"/>
    <x v="12"/>
    <s v="REVENUS"/>
    <x v="3"/>
    <s v="4002.001"/>
    <s v="Impôt ordinaire s/fortune PP"/>
    <n v="0"/>
    <n v="898.35"/>
    <n v="4002"/>
  </r>
  <r>
    <x v="0"/>
    <x v="0"/>
    <x v="0"/>
    <x v="12"/>
    <x v="12"/>
    <x v="12"/>
    <s v="REVENUS"/>
    <x v="6"/>
    <s v="4211.002"/>
    <s v="Intérêts de retard sur acomptes"/>
    <n v="0"/>
    <n v="12.51"/>
    <n v="4211"/>
  </r>
  <r>
    <x v="0"/>
    <x v="0"/>
    <x v="0"/>
    <x v="12"/>
    <x v="12"/>
    <x v="12"/>
    <s v="REVENUS"/>
    <x v="2"/>
    <s v="4001.001"/>
    <s v="Impôt revenu"/>
    <n v="0"/>
    <n v="2985.4"/>
    <n v="4001"/>
  </r>
  <r>
    <x v="0"/>
    <x v="0"/>
    <x v="0"/>
    <x v="12"/>
    <x v="12"/>
    <x v="12"/>
    <s v="REVENUS"/>
    <x v="3"/>
    <s v="4002.001"/>
    <s v="Impôt ordinaire s/fortune PP"/>
    <n v="0"/>
    <n v="1255.95"/>
    <n v="4002"/>
  </r>
  <r>
    <x v="0"/>
    <x v="0"/>
    <x v="0"/>
    <x v="12"/>
    <x v="12"/>
    <x v="12"/>
    <s v="REVENUS"/>
    <x v="2"/>
    <s v="4001.007"/>
    <s v="Acompte impôt sur revenu"/>
    <n v="0"/>
    <n v="-19113.849999999999"/>
    <n v="4001"/>
  </r>
  <r>
    <x v="0"/>
    <x v="0"/>
    <x v="0"/>
    <x v="12"/>
    <x v="12"/>
    <x v="12"/>
    <s v="REVENUS"/>
    <x v="3"/>
    <s v="4002.007"/>
    <s v="Acompte impôt sur fortune"/>
    <n v="0"/>
    <n v="-13268.45"/>
    <n v="4002"/>
  </r>
  <r>
    <x v="0"/>
    <x v="0"/>
    <x v="0"/>
    <x v="12"/>
    <x v="12"/>
    <x v="12"/>
    <s v="REVENUS"/>
    <x v="6"/>
    <s v="4221.003"/>
    <s v="Intérêts compensat. / acomptes en faveur du fisc"/>
    <n v="0"/>
    <n v="17.45"/>
    <n v="4221"/>
  </r>
  <r>
    <x v="0"/>
    <x v="0"/>
    <x v="0"/>
    <x v="12"/>
    <x v="12"/>
    <x v="12"/>
    <s v="REVENUS"/>
    <x v="8"/>
    <s v="4091.001"/>
    <s v="Impôt récupéré après défalcations"/>
    <n v="0"/>
    <n v="7031.59"/>
    <n v="4091"/>
  </r>
  <r>
    <x v="0"/>
    <x v="0"/>
    <x v="0"/>
    <x v="12"/>
    <x v="12"/>
    <x v="12"/>
    <s v="REVENUS"/>
    <x v="11"/>
    <s v="4198.000"/>
    <s v="Contributions communales"/>
    <n v="0"/>
    <n v="252391.7"/>
    <n v="4198"/>
  </r>
  <r>
    <x v="0"/>
    <x v="0"/>
    <x v="0"/>
    <x v="12"/>
    <x v="12"/>
    <x v="12"/>
    <s v="REVENUS"/>
    <x v="2"/>
    <s v="4001.002"/>
    <s v="Impôt complément s/revenu PP"/>
    <n v="0"/>
    <n v="5041.1499999999996"/>
    <n v="4001"/>
  </r>
  <r>
    <x v="0"/>
    <x v="0"/>
    <x v="0"/>
    <x v="12"/>
    <x v="12"/>
    <x v="12"/>
    <s v="REVENUS"/>
    <x v="3"/>
    <s v="4002.002"/>
    <s v="Impôt complémentaire s/fortune PP"/>
    <n v="0"/>
    <n v="3313.85"/>
    <n v="4002"/>
  </r>
  <r>
    <x v="0"/>
    <x v="0"/>
    <x v="0"/>
    <x v="12"/>
    <x v="12"/>
    <x v="12"/>
    <s v="REVENUS"/>
    <x v="2"/>
    <s v="4001.002"/>
    <s v="Impôt complément s/revenu PP"/>
    <n v="0"/>
    <n v="550.79999999999995"/>
    <n v="4001"/>
  </r>
  <r>
    <x v="0"/>
    <x v="0"/>
    <x v="0"/>
    <x v="12"/>
    <x v="12"/>
    <x v="12"/>
    <s v="REVENUS"/>
    <x v="3"/>
    <s v="4002.002"/>
    <s v="Impôt complémentaire s/fortune PP"/>
    <n v="0"/>
    <n v="414.2"/>
    <n v="4002"/>
  </r>
  <r>
    <x v="0"/>
    <x v="0"/>
    <x v="0"/>
    <x v="12"/>
    <x v="12"/>
    <x v="12"/>
    <s v="REVENUS"/>
    <x v="2"/>
    <s v="4001.007"/>
    <s v="Acompte impôt sur revenu"/>
    <n v="0"/>
    <n v="254.4"/>
    <n v="4001"/>
  </r>
  <r>
    <x v="0"/>
    <x v="0"/>
    <x v="0"/>
    <x v="12"/>
    <x v="12"/>
    <x v="12"/>
    <s v="REVENUS"/>
    <x v="6"/>
    <s v="4221.003"/>
    <s v="Intérêts compensat. / acomptes en faveur du fisc"/>
    <n v="0"/>
    <n v="0.16"/>
    <n v="4221"/>
  </r>
  <r>
    <x v="0"/>
    <x v="0"/>
    <x v="0"/>
    <x v="12"/>
    <x v="12"/>
    <x v="12"/>
    <s v="REVENUS"/>
    <x v="4"/>
    <s v="4051.002"/>
    <s v="Impôt sur les donations"/>
    <n v="0"/>
    <n v="5414"/>
    <n v="4051"/>
  </r>
  <r>
    <x v="0"/>
    <x v="0"/>
    <x v="0"/>
    <x v="12"/>
    <x v="12"/>
    <x v="12"/>
    <s v="REVENUS"/>
    <x v="6"/>
    <s v="4211.002"/>
    <s v="Intérêts de retard sur acomptes"/>
    <n v="0"/>
    <n v="26.66"/>
    <n v="4211"/>
  </r>
  <r>
    <x v="0"/>
    <x v="0"/>
    <x v="0"/>
    <x v="13"/>
    <x v="13"/>
    <x v="13"/>
    <s v="CHARGES"/>
    <x v="0"/>
    <s v="3212.002"/>
    <s v="Intérêts bonifiés/trop perçu acompte C/C"/>
    <n v="55.67"/>
    <n v="0"/>
    <n v="3212"/>
  </r>
  <r>
    <x v="0"/>
    <x v="0"/>
    <x v="0"/>
    <x v="13"/>
    <x v="13"/>
    <x v="13"/>
    <s v="CHARGES"/>
    <x v="0"/>
    <s v="3212.004"/>
    <s v="Intérêts rémun./perçu trop tôt sur acomptes C/C"/>
    <n v="1148.3499999999999"/>
    <n v="0"/>
    <n v="3212"/>
  </r>
  <r>
    <x v="0"/>
    <x v="0"/>
    <x v="0"/>
    <x v="13"/>
    <x v="13"/>
    <x v="13"/>
    <s v="CHARGES"/>
    <x v="0"/>
    <s v="3221.002"/>
    <s v="Intérêts compensatoires / créances en faveur ctb."/>
    <n v="422.63"/>
    <n v="0"/>
    <n v="3221"/>
  </r>
  <r>
    <x v="0"/>
    <x v="0"/>
    <x v="0"/>
    <x v="13"/>
    <x v="13"/>
    <x v="13"/>
    <s v="CHARGES"/>
    <x v="1"/>
    <s v="3301.001"/>
    <s v="Défalcations, abandons de solde PP et IS"/>
    <n v="83457.899999999994"/>
    <n v="0"/>
    <n v="3301"/>
  </r>
  <r>
    <x v="0"/>
    <x v="0"/>
    <x v="0"/>
    <x v="13"/>
    <x v="13"/>
    <x v="13"/>
    <s v="CHARGES"/>
    <x v="0"/>
    <s v="3212.004"/>
    <s v="Intérêts rémun./perçu trop tôt sur acomptes C/C"/>
    <n v="62.23"/>
    <n v="0"/>
    <n v="3212"/>
  </r>
  <r>
    <x v="0"/>
    <x v="0"/>
    <x v="0"/>
    <x v="13"/>
    <x v="13"/>
    <x v="13"/>
    <s v="CHARGES"/>
    <x v="0"/>
    <s v="3221.002"/>
    <s v="Intérêts compensatoires / créances en faveur ctb."/>
    <n v="32.869999999999997"/>
    <n v="0"/>
    <n v="3221"/>
  </r>
  <r>
    <x v="0"/>
    <x v="0"/>
    <x v="0"/>
    <x v="13"/>
    <x v="13"/>
    <x v="13"/>
    <s v="CHARGES"/>
    <x v="1"/>
    <s v="3301.001"/>
    <s v="Défalcations, abandons de solde PP et IS"/>
    <n v="347643.08"/>
    <n v="0"/>
    <n v="3301"/>
  </r>
  <r>
    <x v="0"/>
    <x v="0"/>
    <x v="0"/>
    <x v="13"/>
    <x v="13"/>
    <x v="13"/>
    <s v="CHARGES"/>
    <x v="0"/>
    <s v="3212.004"/>
    <s v="Intérêts rémun./perçu trop tôt sur acomptes C/C"/>
    <n v="68.92"/>
    <n v="0"/>
    <n v="3212"/>
  </r>
  <r>
    <x v="0"/>
    <x v="0"/>
    <x v="0"/>
    <x v="13"/>
    <x v="13"/>
    <x v="13"/>
    <s v="CHARGES"/>
    <x v="1"/>
    <s v="3301.003"/>
    <s v="Remises PP et IS"/>
    <n v="21583.09"/>
    <n v="0"/>
    <n v="3301"/>
  </r>
  <r>
    <x v="0"/>
    <x v="0"/>
    <x v="0"/>
    <x v="13"/>
    <x v="13"/>
    <x v="13"/>
    <s v="CHARGES"/>
    <x v="0"/>
    <s v="3221.002"/>
    <s v="Intérêts compensatoires / créances en faveur ctb."/>
    <n v="26.19"/>
    <n v="0"/>
    <n v="3221"/>
  </r>
  <r>
    <x v="0"/>
    <x v="0"/>
    <x v="0"/>
    <x v="13"/>
    <x v="13"/>
    <x v="13"/>
    <s v="CHARGES"/>
    <x v="1"/>
    <s v="3301.001"/>
    <s v="Défalcations, abandons de solde PP et IS"/>
    <n v="351.95"/>
    <n v="0"/>
    <n v="3301"/>
  </r>
  <r>
    <x v="0"/>
    <x v="0"/>
    <x v="0"/>
    <x v="13"/>
    <x v="13"/>
    <x v="13"/>
    <s v="CHARGES"/>
    <x v="0"/>
    <s v="3212.004"/>
    <s v="Intérêts rémun./perçu trop tôt sur acomptes C/C"/>
    <n v="49.02"/>
    <n v="0"/>
    <n v="3212"/>
  </r>
  <r>
    <x v="0"/>
    <x v="0"/>
    <x v="0"/>
    <x v="13"/>
    <x v="13"/>
    <x v="13"/>
    <s v="CHARGES"/>
    <x v="1"/>
    <s v="3301.001"/>
    <s v="Défalcations, abandons de solde PP et IS"/>
    <n v="-0.13"/>
    <n v="0"/>
    <n v="3301"/>
  </r>
  <r>
    <x v="0"/>
    <x v="0"/>
    <x v="0"/>
    <x v="13"/>
    <x v="13"/>
    <x v="13"/>
    <s v="CHARGES"/>
    <x v="0"/>
    <s v="3212.002"/>
    <s v="Intérêts bonifiés/trop perçu acompte C/C"/>
    <n v="0.05"/>
    <n v="0"/>
    <n v="3212"/>
  </r>
  <r>
    <x v="0"/>
    <x v="0"/>
    <x v="0"/>
    <x v="13"/>
    <x v="13"/>
    <x v="13"/>
    <s v="CHARGES"/>
    <x v="1"/>
    <s v="3301.001"/>
    <s v="Défalcations, abandons de solde PP et IS"/>
    <n v="4.79"/>
    <n v="0"/>
    <n v="3301"/>
  </r>
  <r>
    <x v="0"/>
    <x v="0"/>
    <x v="0"/>
    <x v="13"/>
    <x v="13"/>
    <x v="13"/>
    <s v="CHARGES"/>
    <x v="0"/>
    <s v="3212.002"/>
    <s v="Intérêts bonifiés/trop perçu acompte C/C"/>
    <n v="0.15"/>
    <n v="0"/>
    <n v="3212"/>
  </r>
  <r>
    <x v="0"/>
    <x v="0"/>
    <x v="0"/>
    <x v="13"/>
    <x v="13"/>
    <x v="13"/>
    <s v="CHARGES"/>
    <x v="0"/>
    <s v="3212.004"/>
    <s v="Intérêts rémun./perçu trop tôt sur acomptes C/C"/>
    <n v="0.36"/>
    <n v="0"/>
    <n v="3212"/>
  </r>
  <r>
    <x v="0"/>
    <x v="0"/>
    <x v="0"/>
    <x v="13"/>
    <x v="13"/>
    <x v="13"/>
    <s v="CHARGES"/>
    <x v="0"/>
    <s v="3212.002"/>
    <s v="Intérêts bonifiés/trop perçu acompte C/C"/>
    <n v="-0.38"/>
    <n v="0"/>
    <n v="3212"/>
  </r>
  <r>
    <x v="0"/>
    <x v="0"/>
    <x v="0"/>
    <x v="13"/>
    <x v="13"/>
    <x v="13"/>
    <s v="CHARGES"/>
    <x v="1"/>
    <s v="3301.001"/>
    <s v="Défalcations, abandons de solde PP et IS"/>
    <n v="65156.06"/>
    <n v="0"/>
    <n v="3301"/>
  </r>
  <r>
    <x v="0"/>
    <x v="0"/>
    <x v="0"/>
    <x v="13"/>
    <x v="13"/>
    <x v="13"/>
    <s v="CHARGES"/>
    <x v="0"/>
    <s v="3212.004"/>
    <s v="Intérêts rémun./perçu trop tôt sur acomptes C/C"/>
    <n v="3.32"/>
    <n v="0"/>
    <n v="3212"/>
  </r>
  <r>
    <x v="0"/>
    <x v="0"/>
    <x v="0"/>
    <x v="13"/>
    <x v="13"/>
    <x v="13"/>
    <s v="CHARGES"/>
    <x v="0"/>
    <s v="3221.002"/>
    <s v="Intérêts compensatoires / créances en faveur ctb."/>
    <n v="1.51"/>
    <n v="0"/>
    <n v="3221"/>
  </r>
  <r>
    <x v="0"/>
    <x v="0"/>
    <x v="0"/>
    <x v="13"/>
    <x v="13"/>
    <x v="13"/>
    <s v="CHARGES"/>
    <x v="0"/>
    <s v="3221.002"/>
    <s v="Intérêts compensatoires / créances en faveur ctb."/>
    <n v="12.72"/>
    <n v="0"/>
    <n v="3221"/>
  </r>
  <r>
    <x v="0"/>
    <x v="0"/>
    <x v="0"/>
    <x v="13"/>
    <x v="13"/>
    <x v="13"/>
    <s v="CHARGES"/>
    <x v="0"/>
    <s v="3221.002"/>
    <s v="Intérêts compensatoires / créances en faveur ctb."/>
    <n v="0.22"/>
    <n v="0"/>
    <n v="3221"/>
  </r>
  <r>
    <x v="0"/>
    <x v="0"/>
    <x v="0"/>
    <x v="13"/>
    <x v="13"/>
    <x v="13"/>
    <s v="CHARGES"/>
    <x v="1"/>
    <s v="3301.001"/>
    <s v="Défalcations, abandons de solde PP et IS"/>
    <n v="2.2799999999999998"/>
    <n v="0"/>
    <n v="3301"/>
  </r>
  <r>
    <x v="0"/>
    <x v="0"/>
    <x v="0"/>
    <x v="13"/>
    <x v="13"/>
    <x v="13"/>
    <s v="CHARGES"/>
    <x v="0"/>
    <s v="3212.002"/>
    <s v="Intérêts bonifiés/trop perçu acompte C/C"/>
    <n v="0.04"/>
    <n v="0"/>
    <n v="3212"/>
  </r>
  <r>
    <x v="0"/>
    <x v="0"/>
    <x v="0"/>
    <x v="13"/>
    <x v="13"/>
    <x v="13"/>
    <s v="CHARGES"/>
    <x v="0"/>
    <s v="3212.004"/>
    <s v="Intérêts rémun./perçu trop tôt sur acomptes C/C"/>
    <n v="0.45"/>
    <n v="0"/>
    <n v="3212"/>
  </r>
  <r>
    <x v="0"/>
    <x v="0"/>
    <x v="0"/>
    <x v="13"/>
    <x v="13"/>
    <x v="13"/>
    <s v="CHARGES"/>
    <x v="0"/>
    <s v="3221.002"/>
    <s v="Intérêts compensatoires / créances en faveur ctb."/>
    <n v="1.56"/>
    <n v="0"/>
    <n v="3221"/>
  </r>
  <r>
    <x v="0"/>
    <x v="0"/>
    <x v="0"/>
    <x v="13"/>
    <x v="13"/>
    <x v="13"/>
    <s v="CHARGES"/>
    <x v="1"/>
    <s v="3301.001"/>
    <s v="Défalcations, abandons de solde PP et IS"/>
    <n v="-0.11"/>
    <n v="0"/>
    <n v="3301"/>
  </r>
  <r>
    <x v="0"/>
    <x v="0"/>
    <x v="0"/>
    <x v="13"/>
    <x v="13"/>
    <x v="13"/>
    <s v="REVENUS"/>
    <x v="2"/>
    <s v="4001.007"/>
    <s v="Acompte impôt sur revenu"/>
    <n v="0"/>
    <n v="-443358.05"/>
    <n v="4001"/>
  </r>
  <r>
    <x v="0"/>
    <x v="0"/>
    <x v="0"/>
    <x v="13"/>
    <x v="13"/>
    <x v="13"/>
    <s v="REVENUS"/>
    <x v="3"/>
    <s v="4002.007"/>
    <s v="Acompte impôt sur fortune"/>
    <n v="0"/>
    <n v="-26921.11"/>
    <n v="4002"/>
  </r>
  <r>
    <x v="0"/>
    <x v="0"/>
    <x v="0"/>
    <x v="13"/>
    <x v="13"/>
    <x v="13"/>
    <s v="REVENUS"/>
    <x v="2"/>
    <s v="4001.001"/>
    <s v="Impôt revenu"/>
    <n v="0"/>
    <n v="5865693.3499999996"/>
    <n v="4001"/>
  </r>
  <r>
    <x v="0"/>
    <x v="0"/>
    <x v="0"/>
    <x v="13"/>
    <x v="13"/>
    <x v="13"/>
    <s v="REVENUS"/>
    <x v="2"/>
    <s v="4001.002"/>
    <s v="Impôt complément s/revenu PP"/>
    <n v="0"/>
    <n v="1328988"/>
    <n v="4001"/>
  </r>
  <r>
    <x v="0"/>
    <x v="0"/>
    <x v="0"/>
    <x v="13"/>
    <x v="13"/>
    <x v="13"/>
    <s v="REVENUS"/>
    <x v="3"/>
    <s v="4002.001"/>
    <s v="Impôt ordinaire s/fortune PP"/>
    <n v="0"/>
    <n v="872481.6"/>
    <n v="4002"/>
  </r>
  <r>
    <x v="0"/>
    <x v="0"/>
    <x v="0"/>
    <x v="13"/>
    <x v="13"/>
    <x v="13"/>
    <s v="REVENUS"/>
    <x v="6"/>
    <s v="4211.001"/>
    <s v="Intérêts de retard sur factures"/>
    <n v="0"/>
    <n v="59901.08"/>
    <n v="4211"/>
  </r>
  <r>
    <x v="0"/>
    <x v="0"/>
    <x v="0"/>
    <x v="13"/>
    <x v="13"/>
    <x v="13"/>
    <s v="REVENUS"/>
    <x v="6"/>
    <s v="4211.002"/>
    <s v="Intérêts de retard sur acomptes"/>
    <n v="0"/>
    <n v="54598.34"/>
    <n v="4211"/>
  </r>
  <r>
    <x v="0"/>
    <x v="0"/>
    <x v="0"/>
    <x v="13"/>
    <x v="13"/>
    <x v="13"/>
    <s v="REVENUS"/>
    <x v="6"/>
    <s v="4221.003"/>
    <s v="Intérêts compensat. / acomptes en faveur du fisc"/>
    <n v="0"/>
    <n v="996.53"/>
    <n v="4221"/>
  </r>
  <r>
    <x v="0"/>
    <x v="0"/>
    <x v="0"/>
    <x v="13"/>
    <x v="13"/>
    <x v="13"/>
    <s v="REVENUS"/>
    <x v="6"/>
    <s v="4211.001"/>
    <s v="Intérêts de retard sur factures"/>
    <n v="0"/>
    <n v="46.98"/>
    <n v="4211"/>
  </r>
  <r>
    <x v="0"/>
    <x v="0"/>
    <x v="0"/>
    <x v="13"/>
    <x v="13"/>
    <x v="13"/>
    <s v="REVENUS"/>
    <x v="2"/>
    <s v="4001.001"/>
    <s v="Impôt revenu"/>
    <n v="0"/>
    <n v="172219.6"/>
    <n v="4001"/>
  </r>
  <r>
    <x v="0"/>
    <x v="0"/>
    <x v="0"/>
    <x v="13"/>
    <x v="13"/>
    <x v="13"/>
    <s v="REVENUS"/>
    <x v="2"/>
    <s v="4001.007"/>
    <s v="Acompte impôt sur revenu"/>
    <n v="0"/>
    <n v="-40415.42"/>
    <n v="4001"/>
  </r>
  <r>
    <x v="0"/>
    <x v="0"/>
    <x v="0"/>
    <x v="13"/>
    <x v="13"/>
    <x v="13"/>
    <s v="REVENUS"/>
    <x v="3"/>
    <s v="4002.001"/>
    <s v="Impôt ordinaire s/fortune PP"/>
    <n v="0"/>
    <n v="66984.600000000006"/>
    <n v="4002"/>
  </r>
  <r>
    <x v="0"/>
    <x v="0"/>
    <x v="0"/>
    <x v="13"/>
    <x v="13"/>
    <x v="13"/>
    <s v="REVENUS"/>
    <x v="3"/>
    <s v="4002.002"/>
    <s v="Impôt complémentaire s/fortune PP"/>
    <n v="0"/>
    <n v="13761.9"/>
    <n v="4002"/>
  </r>
  <r>
    <x v="0"/>
    <x v="0"/>
    <x v="0"/>
    <x v="13"/>
    <x v="13"/>
    <x v="13"/>
    <s v="REVENUS"/>
    <x v="3"/>
    <s v="4002.007"/>
    <s v="Acompte impôt sur fortune"/>
    <n v="0"/>
    <n v="-13725.31"/>
    <n v="4002"/>
  </r>
  <r>
    <x v="0"/>
    <x v="0"/>
    <x v="0"/>
    <x v="13"/>
    <x v="13"/>
    <x v="13"/>
    <s v="REVENUS"/>
    <x v="6"/>
    <s v="4211.002"/>
    <s v="Intérêts de retard sur acomptes"/>
    <n v="0"/>
    <n v="1107.08"/>
    <n v="4211"/>
  </r>
  <r>
    <x v="0"/>
    <x v="0"/>
    <x v="0"/>
    <x v="13"/>
    <x v="13"/>
    <x v="13"/>
    <s v="REVENUS"/>
    <x v="6"/>
    <s v="4221.003"/>
    <s v="Intérêts compensat. / acomptes en faveur du fisc"/>
    <n v="0"/>
    <n v="156.09"/>
    <n v="4221"/>
  </r>
  <r>
    <x v="0"/>
    <x v="0"/>
    <x v="0"/>
    <x v="13"/>
    <x v="13"/>
    <x v="13"/>
    <s v="REVENUS"/>
    <x v="2"/>
    <s v="4001.007"/>
    <s v="Acompte impôt sur revenu"/>
    <n v="0"/>
    <n v="-38606.1"/>
    <n v="4001"/>
  </r>
  <r>
    <x v="0"/>
    <x v="0"/>
    <x v="0"/>
    <x v="13"/>
    <x v="13"/>
    <x v="13"/>
    <s v="REVENUS"/>
    <x v="3"/>
    <s v="4002.007"/>
    <s v="Acompte impôt sur fortune"/>
    <n v="0"/>
    <n v="-13430.5"/>
    <n v="4002"/>
  </r>
  <r>
    <x v="0"/>
    <x v="0"/>
    <x v="0"/>
    <x v="13"/>
    <x v="13"/>
    <x v="13"/>
    <s v="REVENUS"/>
    <x v="2"/>
    <s v="4001.001"/>
    <s v="Impôt revenu"/>
    <n v="0"/>
    <n v="116032.4"/>
    <n v="4001"/>
  </r>
  <r>
    <x v="0"/>
    <x v="0"/>
    <x v="0"/>
    <x v="13"/>
    <x v="13"/>
    <x v="13"/>
    <s v="REVENUS"/>
    <x v="3"/>
    <s v="4002.001"/>
    <s v="Impôt ordinaire s/fortune PP"/>
    <n v="0"/>
    <n v="37953"/>
    <n v="4002"/>
  </r>
  <r>
    <x v="0"/>
    <x v="0"/>
    <x v="0"/>
    <x v="13"/>
    <x v="13"/>
    <x v="13"/>
    <s v="REVENUS"/>
    <x v="6"/>
    <s v="4211.002"/>
    <s v="Intérêts de retard sur acomptes"/>
    <n v="0"/>
    <n v="217.58"/>
    <n v="4211"/>
  </r>
  <r>
    <x v="0"/>
    <x v="0"/>
    <x v="0"/>
    <x v="13"/>
    <x v="13"/>
    <x v="13"/>
    <s v="REVENUS"/>
    <x v="7"/>
    <s v="4184.000"/>
    <s v="Frais de poursuite"/>
    <n v="0"/>
    <n v="8026.29"/>
    <n v="4184"/>
  </r>
  <r>
    <x v="0"/>
    <x v="0"/>
    <x v="0"/>
    <x v="13"/>
    <x v="13"/>
    <x v="13"/>
    <s v="REVENUS"/>
    <x v="7"/>
    <s v="4184.000"/>
    <s v="Frais de poursuite"/>
    <n v="0"/>
    <n v="5154.79"/>
    <n v="4184"/>
  </r>
  <r>
    <x v="0"/>
    <x v="0"/>
    <x v="0"/>
    <x v="13"/>
    <x v="13"/>
    <x v="13"/>
    <s v="REVENUS"/>
    <x v="12"/>
    <s v="4004.000"/>
    <s v="Impôt spécial étrangers"/>
    <n v="0"/>
    <n v="127812.1"/>
    <n v="4004"/>
  </r>
  <r>
    <x v="0"/>
    <x v="0"/>
    <x v="0"/>
    <x v="13"/>
    <x v="13"/>
    <x v="13"/>
    <s v="REVENUS"/>
    <x v="12"/>
    <s v="4004.007"/>
    <s v="Acompte spécial étrangers"/>
    <n v="0"/>
    <n v="-67307.399999999994"/>
    <n v="4004"/>
  </r>
  <r>
    <x v="0"/>
    <x v="0"/>
    <x v="0"/>
    <x v="13"/>
    <x v="13"/>
    <x v="13"/>
    <s v="REVENUS"/>
    <x v="7"/>
    <s v="4184.000"/>
    <s v="Frais de poursuite"/>
    <n v="0"/>
    <n v="9240.89"/>
    <n v="4184"/>
  </r>
  <r>
    <x v="0"/>
    <x v="0"/>
    <x v="0"/>
    <x v="13"/>
    <x v="13"/>
    <x v="13"/>
    <s v="REVENUS"/>
    <x v="2"/>
    <s v="4001.001"/>
    <s v="Impôt revenu"/>
    <n v="0"/>
    <n v="49248.15"/>
    <n v="4001"/>
  </r>
  <r>
    <x v="0"/>
    <x v="0"/>
    <x v="0"/>
    <x v="13"/>
    <x v="13"/>
    <x v="13"/>
    <s v="REVENUS"/>
    <x v="3"/>
    <s v="4002.001"/>
    <s v="Impôt ordinaire s/fortune PP"/>
    <n v="0"/>
    <n v="22465.55"/>
    <n v="4002"/>
  </r>
  <r>
    <x v="0"/>
    <x v="0"/>
    <x v="0"/>
    <x v="13"/>
    <x v="13"/>
    <x v="13"/>
    <s v="REVENUS"/>
    <x v="3"/>
    <s v="4002.007"/>
    <s v="Acompte impôt sur fortune"/>
    <n v="0"/>
    <n v="-5142.6899999999996"/>
    <n v="4002"/>
  </r>
  <r>
    <x v="0"/>
    <x v="0"/>
    <x v="0"/>
    <x v="13"/>
    <x v="13"/>
    <x v="13"/>
    <s v="REVENUS"/>
    <x v="6"/>
    <s v="4221.003"/>
    <s v="Intérêts compensat. / acomptes en faveur du fisc"/>
    <n v="0"/>
    <n v="7.22"/>
    <n v="4221"/>
  </r>
  <r>
    <x v="0"/>
    <x v="0"/>
    <x v="0"/>
    <x v="13"/>
    <x v="13"/>
    <x v="13"/>
    <s v="REVENUS"/>
    <x v="6"/>
    <s v="4211.001"/>
    <s v="Intérêts de retard sur factures"/>
    <n v="0"/>
    <n v="916.63"/>
    <n v="4211"/>
  </r>
  <r>
    <x v="0"/>
    <x v="0"/>
    <x v="0"/>
    <x v="13"/>
    <x v="13"/>
    <x v="13"/>
    <s v="REVENUS"/>
    <x v="2"/>
    <s v="4001.003"/>
    <s v="Impôt s/prest. cap. PP"/>
    <n v="0"/>
    <n v="230948"/>
    <n v="4001"/>
  </r>
  <r>
    <x v="0"/>
    <x v="0"/>
    <x v="0"/>
    <x v="13"/>
    <x v="13"/>
    <x v="13"/>
    <s v="REVENUS"/>
    <x v="10"/>
    <s v="4041.001"/>
    <s v="Droits de mutation"/>
    <n v="0"/>
    <n v="288504.5"/>
    <n v="4041"/>
  </r>
  <r>
    <x v="0"/>
    <x v="0"/>
    <x v="0"/>
    <x v="13"/>
    <x v="13"/>
    <x v="13"/>
    <s v="REVENUS"/>
    <x v="2"/>
    <s v="4001.002"/>
    <s v="Impôt complément s/revenu PP"/>
    <n v="0"/>
    <n v="44911.5"/>
    <n v="4001"/>
  </r>
  <r>
    <x v="0"/>
    <x v="0"/>
    <x v="0"/>
    <x v="13"/>
    <x v="13"/>
    <x v="13"/>
    <s v="REVENUS"/>
    <x v="2"/>
    <s v="4001.007"/>
    <s v="Acompte impôt sur revenu"/>
    <n v="0"/>
    <n v="6795.63"/>
    <n v="4001"/>
  </r>
  <r>
    <x v="0"/>
    <x v="0"/>
    <x v="0"/>
    <x v="13"/>
    <x v="13"/>
    <x v="13"/>
    <s v="REVENUS"/>
    <x v="3"/>
    <s v="4002.002"/>
    <s v="Impôt complémentaire s/fortune PP"/>
    <n v="0"/>
    <n v="16918.75"/>
    <n v="4002"/>
  </r>
  <r>
    <x v="0"/>
    <x v="0"/>
    <x v="0"/>
    <x v="13"/>
    <x v="13"/>
    <x v="13"/>
    <s v="REVENUS"/>
    <x v="2"/>
    <s v="4001.002"/>
    <s v="Impôt complément s/revenu PP"/>
    <n v="0"/>
    <n v="52534.15"/>
    <n v="4001"/>
  </r>
  <r>
    <x v="0"/>
    <x v="0"/>
    <x v="0"/>
    <x v="13"/>
    <x v="13"/>
    <x v="13"/>
    <s v="REVENUS"/>
    <x v="2"/>
    <s v="4001.001"/>
    <s v="Impôt revenu"/>
    <n v="0"/>
    <n v="-839.5"/>
    <n v="4001"/>
  </r>
  <r>
    <x v="0"/>
    <x v="0"/>
    <x v="0"/>
    <x v="13"/>
    <x v="13"/>
    <x v="13"/>
    <s v="REVENUS"/>
    <x v="3"/>
    <s v="4002.001"/>
    <s v="Impôt ordinaire s/fortune PP"/>
    <n v="0"/>
    <n v="-569.79999999999995"/>
    <n v="4002"/>
  </r>
  <r>
    <x v="0"/>
    <x v="0"/>
    <x v="0"/>
    <x v="13"/>
    <x v="13"/>
    <x v="13"/>
    <s v="REVENUS"/>
    <x v="6"/>
    <s v="4211.001"/>
    <s v="Intérêts de retard sur factures"/>
    <n v="0"/>
    <n v="-0.03"/>
    <n v="4211"/>
  </r>
  <r>
    <x v="0"/>
    <x v="0"/>
    <x v="0"/>
    <x v="13"/>
    <x v="13"/>
    <x v="13"/>
    <s v="REVENUS"/>
    <x v="6"/>
    <s v="4221.003"/>
    <s v="Intérêts compensat. / acomptes en faveur du fisc"/>
    <n v="0"/>
    <n v="-0.1"/>
    <n v="4221"/>
  </r>
  <r>
    <x v="0"/>
    <x v="0"/>
    <x v="0"/>
    <x v="13"/>
    <x v="13"/>
    <x v="13"/>
    <s v="REVENUS"/>
    <x v="2"/>
    <s v="4001.002"/>
    <s v="Impôt complément s/revenu PP"/>
    <n v="0"/>
    <n v="1181.7"/>
    <n v="4001"/>
  </r>
  <r>
    <x v="0"/>
    <x v="0"/>
    <x v="0"/>
    <x v="13"/>
    <x v="13"/>
    <x v="13"/>
    <s v="REVENUS"/>
    <x v="3"/>
    <s v="4002.002"/>
    <s v="Impôt complémentaire s/fortune PP"/>
    <n v="0"/>
    <n v="3741.3"/>
    <n v="4002"/>
  </r>
  <r>
    <x v="0"/>
    <x v="0"/>
    <x v="0"/>
    <x v="13"/>
    <x v="13"/>
    <x v="13"/>
    <s v="REVENUS"/>
    <x v="6"/>
    <s v="4221.003"/>
    <s v="Intérêts compensat. / acomptes en faveur du fisc"/>
    <n v="0"/>
    <n v="3.94"/>
    <n v="4221"/>
  </r>
  <r>
    <x v="0"/>
    <x v="0"/>
    <x v="0"/>
    <x v="13"/>
    <x v="13"/>
    <x v="13"/>
    <s v="REVENUS"/>
    <x v="8"/>
    <s v="4091.001"/>
    <s v="Impôt récupéré après défalcations"/>
    <n v="0"/>
    <n v="60491.86"/>
    <n v="4091"/>
  </r>
  <r>
    <x v="0"/>
    <x v="0"/>
    <x v="0"/>
    <x v="13"/>
    <x v="13"/>
    <x v="13"/>
    <s v="REVENUS"/>
    <x v="3"/>
    <s v="4002.002"/>
    <s v="Impôt complémentaire s/fortune PP"/>
    <n v="0"/>
    <n v="269317.90000000002"/>
    <n v="4002"/>
  </r>
  <r>
    <x v="0"/>
    <x v="0"/>
    <x v="0"/>
    <x v="13"/>
    <x v="13"/>
    <x v="13"/>
    <s v="REVENUS"/>
    <x v="9"/>
    <s v="4031.001"/>
    <s v="Impôt sur les gains immobiliers"/>
    <n v="0"/>
    <n v="283376.7"/>
    <n v="4031"/>
  </r>
  <r>
    <x v="0"/>
    <x v="0"/>
    <x v="0"/>
    <x v="13"/>
    <x v="13"/>
    <x v="13"/>
    <s v="REVENUS"/>
    <x v="6"/>
    <s v="4221.002"/>
    <s v="Intérêts compensat. sur impôts distincts"/>
    <n v="0"/>
    <n v="86.66"/>
    <n v="4221"/>
  </r>
  <r>
    <x v="0"/>
    <x v="0"/>
    <x v="0"/>
    <x v="13"/>
    <x v="13"/>
    <x v="13"/>
    <s v="REVENUS"/>
    <x v="2"/>
    <s v="4001.007"/>
    <s v="Acompte impôt sur revenu"/>
    <n v="0"/>
    <n v="-18279.95"/>
    <n v="4001"/>
  </r>
  <r>
    <x v="0"/>
    <x v="0"/>
    <x v="0"/>
    <x v="13"/>
    <x v="13"/>
    <x v="13"/>
    <s v="REVENUS"/>
    <x v="3"/>
    <s v="4002.007"/>
    <s v="Acompte impôt sur fortune"/>
    <n v="0"/>
    <n v="-1737.1"/>
    <n v="4002"/>
  </r>
  <r>
    <x v="0"/>
    <x v="0"/>
    <x v="0"/>
    <x v="13"/>
    <x v="13"/>
    <x v="13"/>
    <s v="REVENUS"/>
    <x v="6"/>
    <s v="4211.001"/>
    <s v="Intérêts de retard sur factures"/>
    <n v="0"/>
    <n v="8.1199999999999992"/>
    <n v="4211"/>
  </r>
  <r>
    <x v="0"/>
    <x v="0"/>
    <x v="0"/>
    <x v="13"/>
    <x v="13"/>
    <x v="13"/>
    <s v="REVENUS"/>
    <x v="3"/>
    <s v="4002.007"/>
    <s v="Acompte impôt sur fortune"/>
    <n v="0"/>
    <n v="12077.3"/>
    <n v="4002"/>
  </r>
  <r>
    <x v="0"/>
    <x v="0"/>
    <x v="0"/>
    <x v="13"/>
    <x v="13"/>
    <x v="13"/>
    <s v="REVENUS"/>
    <x v="8"/>
    <s v="4091.001"/>
    <s v="Impôt récupéré après défalcations"/>
    <n v="0"/>
    <n v="4369.5600000000004"/>
    <n v="4091"/>
  </r>
  <r>
    <x v="0"/>
    <x v="0"/>
    <x v="0"/>
    <x v="13"/>
    <x v="13"/>
    <x v="13"/>
    <s v="REVENUS"/>
    <x v="2"/>
    <s v="4001.007"/>
    <s v="Acompte impôt sur revenu"/>
    <n v="0"/>
    <n v="29447.599999999999"/>
    <n v="4001"/>
  </r>
  <r>
    <x v="0"/>
    <x v="0"/>
    <x v="0"/>
    <x v="13"/>
    <x v="13"/>
    <x v="13"/>
    <s v="REVENUS"/>
    <x v="4"/>
    <s v="4051.001"/>
    <s v="Impôt sur les successions"/>
    <n v="0"/>
    <n v="90091.5"/>
    <n v="4051"/>
  </r>
  <r>
    <x v="0"/>
    <x v="0"/>
    <x v="0"/>
    <x v="13"/>
    <x v="13"/>
    <x v="13"/>
    <s v="REVENUS"/>
    <x v="4"/>
    <s v="4051.002"/>
    <s v="Impôt sur les donations"/>
    <n v="0"/>
    <n v="35403.5"/>
    <n v="4051"/>
  </r>
  <r>
    <x v="0"/>
    <x v="0"/>
    <x v="0"/>
    <x v="13"/>
    <x v="13"/>
    <x v="13"/>
    <s v="REVENUS"/>
    <x v="3"/>
    <s v="4002.007"/>
    <s v="Acompte impôt sur fortune"/>
    <n v="0"/>
    <n v="-257.04000000000002"/>
    <n v="4002"/>
  </r>
  <r>
    <x v="0"/>
    <x v="0"/>
    <x v="0"/>
    <x v="13"/>
    <x v="13"/>
    <x v="13"/>
    <s v="REVENUS"/>
    <x v="2"/>
    <s v="4001.001"/>
    <s v="Impôt revenu"/>
    <n v="0"/>
    <n v="8757.25"/>
    <n v="4001"/>
  </r>
  <r>
    <x v="0"/>
    <x v="0"/>
    <x v="0"/>
    <x v="13"/>
    <x v="13"/>
    <x v="13"/>
    <s v="REVENUS"/>
    <x v="3"/>
    <s v="4002.001"/>
    <s v="Impôt ordinaire s/fortune PP"/>
    <n v="0"/>
    <n v="4679.45"/>
    <n v="4002"/>
  </r>
  <r>
    <x v="0"/>
    <x v="0"/>
    <x v="0"/>
    <x v="13"/>
    <x v="13"/>
    <x v="13"/>
    <s v="REVENUS"/>
    <x v="6"/>
    <s v="4211.002"/>
    <s v="Intérêts de retard sur acomptes"/>
    <n v="0"/>
    <n v="79.069999999999993"/>
    <n v="4211"/>
  </r>
  <r>
    <x v="0"/>
    <x v="0"/>
    <x v="0"/>
    <x v="13"/>
    <x v="13"/>
    <x v="13"/>
    <s v="REVENUS"/>
    <x v="2"/>
    <s v="4001.001"/>
    <s v="Impôt revenu"/>
    <n v="0"/>
    <n v="-809.2"/>
    <n v="4001"/>
  </r>
  <r>
    <x v="0"/>
    <x v="0"/>
    <x v="0"/>
    <x v="13"/>
    <x v="13"/>
    <x v="13"/>
    <s v="REVENUS"/>
    <x v="2"/>
    <s v="4001.007"/>
    <s v="Acompte impôt sur revenu"/>
    <n v="0"/>
    <n v="-215.1"/>
    <n v="4001"/>
  </r>
  <r>
    <x v="0"/>
    <x v="0"/>
    <x v="0"/>
    <x v="13"/>
    <x v="13"/>
    <x v="13"/>
    <s v="REVENUS"/>
    <x v="3"/>
    <s v="4002.001"/>
    <s v="Impôt ordinaire s/fortune PP"/>
    <n v="0"/>
    <n v="-616"/>
    <n v="4002"/>
  </r>
  <r>
    <x v="0"/>
    <x v="0"/>
    <x v="0"/>
    <x v="13"/>
    <x v="13"/>
    <x v="13"/>
    <s v="REVENUS"/>
    <x v="3"/>
    <s v="4002.007"/>
    <s v="Acompte impôt sur fortune"/>
    <n v="0"/>
    <n v="-111.3"/>
    <n v="4002"/>
  </r>
  <r>
    <x v="0"/>
    <x v="0"/>
    <x v="0"/>
    <x v="13"/>
    <x v="13"/>
    <x v="13"/>
    <s v="REVENUS"/>
    <x v="6"/>
    <s v="4211.001"/>
    <s v="Intérêts de retard sur factures"/>
    <n v="0"/>
    <n v="-6.61"/>
    <n v="4211"/>
  </r>
  <r>
    <x v="0"/>
    <x v="0"/>
    <x v="0"/>
    <x v="13"/>
    <x v="13"/>
    <x v="13"/>
    <s v="REVENUS"/>
    <x v="6"/>
    <s v="4221.003"/>
    <s v="Intérêts compensat. / acomptes en faveur du fisc"/>
    <n v="0"/>
    <n v="-13.97"/>
    <n v="4221"/>
  </r>
  <r>
    <x v="0"/>
    <x v="0"/>
    <x v="0"/>
    <x v="13"/>
    <x v="13"/>
    <x v="13"/>
    <s v="REVENUS"/>
    <x v="2"/>
    <s v="4001.007"/>
    <s v="Acompte impôt sur revenu"/>
    <n v="0"/>
    <n v="-986.52"/>
    <n v="4001"/>
  </r>
  <r>
    <x v="0"/>
    <x v="0"/>
    <x v="0"/>
    <x v="13"/>
    <x v="13"/>
    <x v="13"/>
    <s v="REVENUS"/>
    <x v="2"/>
    <s v="4001.007"/>
    <s v="Acompte impôt sur revenu"/>
    <n v="0"/>
    <n v="-15.4"/>
    <n v="4001"/>
  </r>
  <r>
    <x v="0"/>
    <x v="0"/>
    <x v="0"/>
    <x v="13"/>
    <x v="13"/>
    <x v="13"/>
    <s v="REVENUS"/>
    <x v="3"/>
    <s v="4002.007"/>
    <s v="Acompte impôt sur fortune"/>
    <n v="0"/>
    <n v="-26.3"/>
    <n v="4002"/>
  </r>
  <r>
    <x v="0"/>
    <x v="0"/>
    <x v="0"/>
    <x v="13"/>
    <x v="13"/>
    <x v="13"/>
    <s v="REVENUS"/>
    <x v="2"/>
    <s v="4001.007"/>
    <s v="Acompte impôt sur revenu"/>
    <n v="0"/>
    <n v="20402.95"/>
    <n v="4001"/>
  </r>
  <r>
    <x v="0"/>
    <x v="0"/>
    <x v="0"/>
    <x v="13"/>
    <x v="13"/>
    <x v="13"/>
    <s v="REVENUS"/>
    <x v="3"/>
    <s v="4002.007"/>
    <s v="Acompte impôt sur fortune"/>
    <n v="0"/>
    <n v="8596.15"/>
    <n v="4002"/>
  </r>
  <r>
    <x v="0"/>
    <x v="0"/>
    <x v="0"/>
    <x v="13"/>
    <x v="13"/>
    <x v="13"/>
    <s v="REVENUS"/>
    <x v="8"/>
    <s v="4091.001"/>
    <s v="Impôt récupéré après défalcations"/>
    <n v="0"/>
    <n v="46305.68"/>
    <n v="4091"/>
  </r>
  <r>
    <x v="0"/>
    <x v="0"/>
    <x v="0"/>
    <x v="13"/>
    <x v="13"/>
    <x v="13"/>
    <s v="REVENUS"/>
    <x v="2"/>
    <s v="4001.001"/>
    <s v="Impôt revenu"/>
    <n v="0"/>
    <n v="30569.25"/>
    <n v="4001"/>
  </r>
  <r>
    <x v="0"/>
    <x v="0"/>
    <x v="0"/>
    <x v="13"/>
    <x v="13"/>
    <x v="13"/>
    <s v="REVENUS"/>
    <x v="3"/>
    <s v="4002.001"/>
    <s v="Impôt ordinaire s/fortune PP"/>
    <n v="0"/>
    <n v="4021.65"/>
    <n v="4002"/>
  </r>
  <r>
    <x v="0"/>
    <x v="0"/>
    <x v="0"/>
    <x v="13"/>
    <x v="13"/>
    <x v="13"/>
    <s v="REVENUS"/>
    <x v="2"/>
    <s v="4001.001"/>
    <s v="Impôt revenu"/>
    <n v="0"/>
    <n v="35.549999999999997"/>
    <n v="4001"/>
  </r>
  <r>
    <x v="0"/>
    <x v="0"/>
    <x v="0"/>
    <x v="13"/>
    <x v="13"/>
    <x v="13"/>
    <s v="REVENUS"/>
    <x v="3"/>
    <s v="4002.001"/>
    <s v="Impôt ordinaire s/fortune PP"/>
    <n v="0"/>
    <n v="14.6"/>
    <n v="4002"/>
  </r>
  <r>
    <x v="0"/>
    <x v="0"/>
    <x v="0"/>
    <x v="13"/>
    <x v="13"/>
    <x v="13"/>
    <s v="REVENUS"/>
    <x v="6"/>
    <s v="4211.002"/>
    <s v="Intérêts de retard sur acomptes"/>
    <n v="0"/>
    <n v="0.12"/>
    <n v="4211"/>
  </r>
  <r>
    <x v="0"/>
    <x v="0"/>
    <x v="0"/>
    <x v="13"/>
    <x v="13"/>
    <x v="13"/>
    <s v="REVENUS"/>
    <x v="5"/>
    <s v="4061.000"/>
    <s v="Impôt sur les chiens"/>
    <n v="0"/>
    <n v="23460"/>
    <n v="4061"/>
  </r>
  <r>
    <x v="0"/>
    <x v="0"/>
    <x v="0"/>
    <x v="13"/>
    <x v="13"/>
    <x v="13"/>
    <s v="REVENUS"/>
    <x v="11"/>
    <s v="4198.000"/>
    <s v="Contributions communales"/>
    <n v="0"/>
    <n v="709988.25"/>
    <n v="4198"/>
  </r>
  <r>
    <x v="0"/>
    <x v="0"/>
    <x v="0"/>
    <x v="13"/>
    <x v="13"/>
    <x v="13"/>
    <s v="REVENUS"/>
    <x v="6"/>
    <s v="4211.002"/>
    <s v="Intérêts de retard sur acomptes"/>
    <n v="0"/>
    <n v="55.91"/>
    <n v="4211"/>
  </r>
  <r>
    <x v="0"/>
    <x v="0"/>
    <x v="0"/>
    <x v="13"/>
    <x v="13"/>
    <x v="13"/>
    <s v="REVENUS"/>
    <x v="7"/>
    <s v="4184.000"/>
    <s v="Frais de poursuite"/>
    <n v="0"/>
    <n v="1.31"/>
    <n v="4184"/>
  </r>
  <r>
    <x v="0"/>
    <x v="0"/>
    <x v="0"/>
    <x v="13"/>
    <x v="13"/>
    <x v="13"/>
    <s v="REVENUS"/>
    <x v="6"/>
    <s v="4221.003"/>
    <s v="Intérêts compensat. / acomptes en faveur du fisc"/>
    <n v="0"/>
    <n v="0.23"/>
    <n v="4221"/>
  </r>
  <r>
    <x v="0"/>
    <x v="0"/>
    <x v="0"/>
    <x v="13"/>
    <x v="13"/>
    <x v="13"/>
    <s v="REVENUS"/>
    <x v="6"/>
    <s v="4211.001"/>
    <s v="Intérêts de retard sur factures"/>
    <n v="0"/>
    <n v="2.2599999999999998"/>
    <n v="4211"/>
  </r>
  <r>
    <x v="0"/>
    <x v="0"/>
    <x v="0"/>
    <x v="13"/>
    <x v="13"/>
    <x v="13"/>
    <s v="REVENUS"/>
    <x v="6"/>
    <s v="4211.002"/>
    <s v="Intérêts de retard sur acomptes"/>
    <n v="0"/>
    <n v="4.29"/>
    <n v="4211"/>
  </r>
  <r>
    <x v="0"/>
    <x v="0"/>
    <x v="0"/>
    <x v="13"/>
    <x v="13"/>
    <x v="13"/>
    <s v="REVENUS"/>
    <x v="9"/>
    <s v="4031.001"/>
    <s v="Impôt sur les gains immobiliers"/>
    <n v="0"/>
    <n v="2770.9"/>
    <n v="4031"/>
  </r>
  <r>
    <x v="0"/>
    <x v="0"/>
    <x v="0"/>
    <x v="13"/>
    <x v="13"/>
    <x v="13"/>
    <s v="REVENUS"/>
    <x v="6"/>
    <s v="4221.002"/>
    <s v="Intérêts compensat. sur impôts distincts"/>
    <n v="0"/>
    <n v="3.75"/>
    <n v="4221"/>
  </r>
  <r>
    <x v="0"/>
    <x v="0"/>
    <x v="0"/>
    <x v="13"/>
    <x v="13"/>
    <x v="13"/>
    <s v="REVENUS"/>
    <x v="6"/>
    <s v="4221.003"/>
    <s v="Intérêts compensat. / acomptes en faveur du fisc"/>
    <n v="0"/>
    <n v="112.81"/>
    <n v="4221"/>
  </r>
  <r>
    <x v="0"/>
    <x v="0"/>
    <x v="0"/>
    <x v="13"/>
    <x v="13"/>
    <x v="13"/>
    <s v="REVENUS"/>
    <x v="9"/>
    <s v="4031.002"/>
    <s v="Complément impôt sur les gains immobiliers"/>
    <n v="0"/>
    <n v="5126.6499999999996"/>
    <n v="4031"/>
  </r>
  <r>
    <x v="0"/>
    <x v="0"/>
    <x v="0"/>
    <x v="13"/>
    <x v="13"/>
    <x v="13"/>
    <s v="REVENUS"/>
    <x v="2"/>
    <s v="4001.007"/>
    <s v="Acompte impôt sur revenu"/>
    <n v="0"/>
    <n v="-19438.400000000001"/>
    <n v="4001"/>
  </r>
  <r>
    <x v="0"/>
    <x v="0"/>
    <x v="0"/>
    <x v="13"/>
    <x v="13"/>
    <x v="13"/>
    <s v="REVENUS"/>
    <x v="3"/>
    <s v="4002.007"/>
    <s v="Acompte impôt sur fortune"/>
    <n v="0"/>
    <n v="-1716.6"/>
    <n v="4002"/>
  </r>
  <r>
    <x v="0"/>
    <x v="0"/>
    <x v="0"/>
    <x v="14"/>
    <x v="14"/>
    <x v="14"/>
    <s v="CHARGES"/>
    <x v="1"/>
    <s v="3301.001"/>
    <s v="Défalcations, abandons de solde PP et IS"/>
    <n v="7052.88"/>
    <n v="0"/>
    <n v="3301"/>
  </r>
  <r>
    <x v="0"/>
    <x v="0"/>
    <x v="0"/>
    <x v="14"/>
    <x v="14"/>
    <x v="14"/>
    <s v="CHARGES"/>
    <x v="0"/>
    <s v="3212.004"/>
    <s v="Intérêts rémun./perçu trop tôt sur acomptes C/C"/>
    <n v="369.84"/>
    <n v="0"/>
    <n v="3212"/>
  </r>
  <r>
    <x v="0"/>
    <x v="0"/>
    <x v="0"/>
    <x v="14"/>
    <x v="14"/>
    <x v="14"/>
    <s v="CHARGES"/>
    <x v="1"/>
    <s v="3301.003"/>
    <s v="Remises PP et IS"/>
    <n v="418.65"/>
    <n v="0"/>
    <n v="3301"/>
  </r>
  <r>
    <x v="0"/>
    <x v="0"/>
    <x v="0"/>
    <x v="14"/>
    <x v="14"/>
    <x v="14"/>
    <s v="CHARGES"/>
    <x v="0"/>
    <s v="3212.004"/>
    <s v="Intérêts rémun./perçu trop tôt sur acomptes C/C"/>
    <n v="2.75"/>
    <n v="0"/>
    <n v="3212"/>
  </r>
  <r>
    <x v="0"/>
    <x v="0"/>
    <x v="0"/>
    <x v="14"/>
    <x v="14"/>
    <x v="14"/>
    <s v="CHARGES"/>
    <x v="0"/>
    <s v="3221.002"/>
    <s v="Intérêts compensatoires / créances en faveur ctb."/>
    <n v="221.73"/>
    <n v="0"/>
    <n v="3221"/>
  </r>
  <r>
    <x v="0"/>
    <x v="0"/>
    <x v="0"/>
    <x v="14"/>
    <x v="14"/>
    <x v="14"/>
    <s v="CHARGES"/>
    <x v="1"/>
    <s v="3301.001"/>
    <s v="Défalcations, abandons de solde PP et IS"/>
    <n v="12038.83"/>
    <n v="0"/>
    <n v="3301"/>
  </r>
  <r>
    <x v="0"/>
    <x v="0"/>
    <x v="0"/>
    <x v="14"/>
    <x v="14"/>
    <x v="14"/>
    <s v="CHARGES"/>
    <x v="0"/>
    <s v="3212.002"/>
    <s v="Intérêts bonifiés/trop perçu acompte C/C"/>
    <n v="10.39"/>
    <n v="0"/>
    <n v="3212"/>
  </r>
  <r>
    <x v="0"/>
    <x v="0"/>
    <x v="0"/>
    <x v="14"/>
    <x v="14"/>
    <x v="14"/>
    <s v="CHARGES"/>
    <x v="0"/>
    <s v="3212.004"/>
    <s v="Intérêts rémun./perçu trop tôt sur acomptes C/C"/>
    <n v="28.59"/>
    <n v="0"/>
    <n v="3212"/>
  </r>
  <r>
    <x v="0"/>
    <x v="0"/>
    <x v="0"/>
    <x v="14"/>
    <x v="14"/>
    <x v="14"/>
    <s v="CHARGES"/>
    <x v="1"/>
    <s v="3301.001"/>
    <s v="Défalcations, abandons de solde PP et IS"/>
    <n v="0.96"/>
    <n v="0"/>
    <n v="3301"/>
  </r>
  <r>
    <x v="0"/>
    <x v="0"/>
    <x v="0"/>
    <x v="14"/>
    <x v="14"/>
    <x v="14"/>
    <s v="CHARGES"/>
    <x v="0"/>
    <s v="3212.004"/>
    <s v="Intérêts rémun./perçu trop tôt sur acomptes C/C"/>
    <n v="1.9"/>
    <n v="0"/>
    <n v="3212"/>
  </r>
  <r>
    <x v="0"/>
    <x v="0"/>
    <x v="0"/>
    <x v="14"/>
    <x v="14"/>
    <x v="14"/>
    <s v="CHARGES"/>
    <x v="0"/>
    <s v="3221.002"/>
    <s v="Intérêts compensatoires / créances en faveur ctb."/>
    <n v="1.97"/>
    <n v="0"/>
    <n v="3221"/>
  </r>
  <r>
    <x v="0"/>
    <x v="0"/>
    <x v="0"/>
    <x v="14"/>
    <x v="14"/>
    <x v="14"/>
    <s v="CHARGES"/>
    <x v="0"/>
    <s v="3221.002"/>
    <s v="Intérêts compensatoires / créances en faveur ctb."/>
    <n v="0.01"/>
    <n v="0"/>
    <n v="3221"/>
  </r>
  <r>
    <x v="0"/>
    <x v="0"/>
    <x v="0"/>
    <x v="14"/>
    <x v="14"/>
    <x v="14"/>
    <s v="CHARGES"/>
    <x v="1"/>
    <s v="3301.001"/>
    <s v="Défalcations, abandons de solde PP et IS"/>
    <n v="1269.8499999999999"/>
    <n v="0"/>
    <n v="3301"/>
  </r>
  <r>
    <x v="0"/>
    <x v="0"/>
    <x v="0"/>
    <x v="14"/>
    <x v="14"/>
    <x v="14"/>
    <s v="CHARGES"/>
    <x v="0"/>
    <s v="3212.004"/>
    <s v="Intérêts rémun./perçu trop tôt sur acomptes C/C"/>
    <n v="0.22"/>
    <n v="0"/>
    <n v="3212"/>
  </r>
  <r>
    <x v="0"/>
    <x v="0"/>
    <x v="0"/>
    <x v="14"/>
    <x v="14"/>
    <x v="14"/>
    <s v="CHARGES"/>
    <x v="1"/>
    <s v="3301.001"/>
    <s v="Défalcations, abandons de solde PP et IS"/>
    <n v="0.05"/>
    <n v="0"/>
    <n v="3301"/>
  </r>
  <r>
    <x v="0"/>
    <x v="0"/>
    <x v="0"/>
    <x v="14"/>
    <x v="14"/>
    <x v="14"/>
    <s v="CHARGES"/>
    <x v="1"/>
    <s v="3301.001"/>
    <s v="Défalcations, abandons de solde PP et IS"/>
    <n v="1.71"/>
    <n v="0"/>
    <n v="3301"/>
  </r>
  <r>
    <x v="0"/>
    <x v="0"/>
    <x v="0"/>
    <x v="14"/>
    <x v="14"/>
    <x v="14"/>
    <s v="CHARGES"/>
    <x v="0"/>
    <s v="3221.002"/>
    <s v="Intérêts compensatoires / créances en faveur ctb."/>
    <n v="0.5"/>
    <n v="0"/>
    <n v="3221"/>
  </r>
  <r>
    <x v="0"/>
    <x v="0"/>
    <x v="0"/>
    <x v="14"/>
    <x v="14"/>
    <x v="14"/>
    <s v="CHARGES"/>
    <x v="1"/>
    <s v="3301.001"/>
    <s v="Défalcations, abandons de solde PP et IS"/>
    <n v="1"/>
    <n v="0"/>
    <n v="3301"/>
  </r>
  <r>
    <x v="0"/>
    <x v="0"/>
    <x v="0"/>
    <x v="14"/>
    <x v="14"/>
    <x v="14"/>
    <s v="REVENUS"/>
    <x v="2"/>
    <s v="4001.007"/>
    <s v="Acompte impôt sur revenu"/>
    <n v="0"/>
    <n v="-20676.099999999999"/>
    <n v="4001"/>
  </r>
  <r>
    <x v="0"/>
    <x v="0"/>
    <x v="0"/>
    <x v="14"/>
    <x v="14"/>
    <x v="14"/>
    <s v="REVENUS"/>
    <x v="3"/>
    <s v="4002.007"/>
    <s v="Acompte impôt sur fortune"/>
    <n v="0"/>
    <n v="-42796.1"/>
    <n v="4002"/>
  </r>
  <r>
    <x v="0"/>
    <x v="0"/>
    <x v="0"/>
    <x v="14"/>
    <x v="14"/>
    <x v="14"/>
    <s v="REVENUS"/>
    <x v="6"/>
    <s v="4211.001"/>
    <s v="Intérêts de retard sur factures"/>
    <n v="0"/>
    <n v="9200.7000000000007"/>
    <n v="4211"/>
  </r>
  <r>
    <x v="0"/>
    <x v="0"/>
    <x v="0"/>
    <x v="14"/>
    <x v="14"/>
    <x v="14"/>
    <s v="REVENUS"/>
    <x v="2"/>
    <s v="4001.001"/>
    <s v="Impôt revenu"/>
    <n v="0"/>
    <n v="1451123.3"/>
    <n v="4001"/>
  </r>
  <r>
    <x v="0"/>
    <x v="0"/>
    <x v="0"/>
    <x v="14"/>
    <x v="14"/>
    <x v="14"/>
    <s v="REVENUS"/>
    <x v="6"/>
    <s v="4211.002"/>
    <s v="Intérêts de retard sur acomptes"/>
    <n v="0"/>
    <n v="10096.33"/>
    <n v="4211"/>
  </r>
  <r>
    <x v="0"/>
    <x v="0"/>
    <x v="0"/>
    <x v="14"/>
    <x v="14"/>
    <x v="14"/>
    <s v="REVENUS"/>
    <x v="6"/>
    <s v="4221.003"/>
    <s v="Intérêts compensat. / acomptes en faveur du fisc"/>
    <n v="0"/>
    <n v="215.06"/>
    <n v="4221"/>
  </r>
  <r>
    <x v="0"/>
    <x v="0"/>
    <x v="0"/>
    <x v="14"/>
    <x v="14"/>
    <x v="14"/>
    <s v="REVENUS"/>
    <x v="7"/>
    <s v="4184.000"/>
    <s v="Frais de poursuite"/>
    <n v="0"/>
    <n v="1519.58"/>
    <n v="4184"/>
  </r>
  <r>
    <x v="0"/>
    <x v="0"/>
    <x v="0"/>
    <x v="14"/>
    <x v="14"/>
    <x v="14"/>
    <s v="REVENUS"/>
    <x v="2"/>
    <s v="4001.003"/>
    <s v="Impôt s/prest. cap. PP"/>
    <n v="0"/>
    <n v="311734.95"/>
    <n v="4001"/>
  </r>
  <r>
    <x v="0"/>
    <x v="0"/>
    <x v="0"/>
    <x v="14"/>
    <x v="14"/>
    <x v="14"/>
    <s v="REVENUS"/>
    <x v="3"/>
    <s v="4002.001"/>
    <s v="Impôt ordinaire s/fortune PP"/>
    <n v="0"/>
    <n v="229881.3"/>
    <n v="4002"/>
  </r>
  <r>
    <x v="0"/>
    <x v="0"/>
    <x v="0"/>
    <x v="14"/>
    <x v="14"/>
    <x v="14"/>
    <s v="REVENUS"/>
    <x v="2"/>
    <s v="4001.001"/>
    <s v="Impôt revenu"/>
    <n v="0"/>
    <n v="2017.15"/>
    <n v="4001"/>
  </r>
  <r>
    <x v="0"/>
    <x v="0"/>
    <x v="0"/>
    <x v="14"/>
    <x v="14"/>
    <x v="14"/>
    <s v="REVENUS"/>
    <x v="2"/>
    <s v="4001.007"/>
    <s v="Acompte impôt sur revenu"/>
    <n v="0"/>
    <n v="276.72000000000003"/>
    <n v="4001"/>
  </r>
  <r>
    <x v="0"/>
    <x v="0"/>
    <x v="0"/>
    <x v="14"/>
    <x v="14"/>
    <x v="14"/>
    <s v="REVENUS"/>
    <x v="3"/>
    <s v="4002.001"/>
    <s v="Impôt ordinaire s/fortune PP"/>
    <n v="0"/>
    <n v="280.60000000000002"/>
    <n v="4002"/>
  </r>
  <r>
    <x v="0"/>
    <x v="0"/>
    <x v="0"/>
    <x v="14"/>
    <x v="14"/>
    <x v="14"/>
    <s v="REVENUS"/>
    <x v="3"/>
    <s v="4002.007"/>
    <s v="Acompte impôt sur fortune"/>
    <n v="0"/>
    <n v="-166.72"/>
    <n v="4002"/>
  </r>
  <r>
    <x v="0"/>
    <x v="0"/>
    <x v="0"/>
    <x v="14"/>
    <x v="14"/>
    <x v="14"/>
    <s v="REVENUS"/>
    <x v="2"/>
    <s v="4001.002"/>
    <s v="Impôt complément s/revenu PP"/>
    <n v="0"/>
    <n v="286746.95"/>
    <n v="4001"/>
  </r>
  <r>
    <x v="0"/>
    <x v="0"/>
    <x v="0"/>
    <x v="14"/>
    <x v="14"/>
    <x v="14"/>
    <s v="REVENUS"/>
    <x v="3"/>
    <s v="4002.002"/>
    <s v="Impôt complémentaire s/fortune PP"/>
    <n v="0"/>
    <n v="107145.55"/>
    <n v="4002"/>
  </r>
  <r>
    <x v="0"/>
    <x v="0"/>
    <x v="0"/>
    <x v="14"/>
    <x v="14"/>
    <x v="14"/>
    <s v="REVENUS"/>
    <x v="10"/>
    <s v="4041.001"/>
    <s v="Droits de mutation"/>
    <n v="0"/>
    <n v="19122.400000000001"/>
    <n v="4041"/>
  </r>
  <r>
    <x v="0"/>
    <x v="0"/>
    <x v="0"/>
    <x v="14"/>
    <x v="14"/>
    <x v="14"/>
    <s v="REVENUS"/>
    <x v="2"/>
    <s v="4001.007"/>
    <s v="Acompte impôt sur revenu"/>
    <n v="0"/>
    <n v="625.4"/>
    <n v="4001"/>
  </r>
  <r>
    <x v="0"/>
    <x v="0"/>
    <x v="0"/>
    <x v="14"/>
    <x v="14"/>
    <x v="14"/>
    <s v="REVENUS"/>
    <x v="6"/>
    <s v="4211.002"/>
    <s v="Intérêts de retard sur acomptes"/>
    <n v="0"/>
    <n v="0.89"/>
    <n v="4211"/>
  </r>
  <r>
    <x v="0"/>
    <x v="0"/>
    <x v="0"/>
    <x v="14"/>
    <x v="14"/>
    <x v="14"/>
    <s v="REVENUS"/>
    <x v="7"/>
    <s v="4184.000"/>
    <s v="Frais de poursuite"/>
    <n v="0"/>
    <n v="1450.04"/>
    <n v="4184"/>
  </r>
  <r>
    <x v="0"/>
    <x v="0"/>
    <x v="0"/>
    <x v="14"/>
    <x v="14"/>
    <x v="14"/>
    <s v="REVENUS"/>
    <x v="2"/>
    <s v="4001.007"/>
    <s v="Acompte impôt sur revenu"/>
    <n v="0"/>
    <n v="315.58"/>
    <n v="4001"/>
  </r>
  <r>
    <x v="0"/>
    <x v="0"/>
    <x v="0"/>
    <x v="14"/>
    <x v="14"/>
    <x v="14"/>
    <s v="REVENUS"/>
    <x v="3"/>
    <s v="4002.007"/>
    <s v="Acompte impôt sur fortune"/>
    <n v="0"/>
    <n v="149.85"/>
    <n v="4002"/>
  </r>
  <r>
    <x v="0"/>
    <x v="0"/>
    <x v="0"/>
    <x v="14"/>
    <x v="14"/>
    <x v="14"/>
    <s v="REVENUS"/>
    <x v="2"/>
    <s v="4001.001"/>
    <s v="Impôt revenu"/>
    <n v="0"/>
    <n v="39592.75"/>
    <n v="4001"/>
  </r>
  <r>
    <x v="0"/>
    <x v="0"/>
    <x v="0"/>
    <x v="14"/>
    <x v="14"/>
    <x v="14"/>
    <s v="REVENUS"/>
    <x v="2"/>
    <s v="4001.007"/>
    <s v="Acompte impôt sur revenu"/>
    <n v="0"/>
    <n v="4030.82"/>
    <n v="4001"/>
  </r>
  <r>
    <x v="0"/>
    <x v="0"/>
    <x v="0"/>
    <x v="14"/>
    <x v="14"/>
    <x v="14"/>
    <s v="REVENUS"/>
    <x v="3"/>
    <s v="4002.001"/>
    <s v="Impôt ordinaire s/fortune PP"/>
    <n v="0"/>
    <n v="7371.1"/>
    <n v="4002"/>
  </r>
  <r>
    <x v="0"/>
    <x v="0"/>
    <x v="0"/>
    <x v="14"/>
    <x v="14"/>
    <x v="14"/>
    <s v="REVENUS"/>
    <x v="3"/>
    <s v="4002.007"/>
    <s v="Acompte impôt sur fortune"/>
    <n v="0"/>
    <n v="2119.25"/>
    <n v="4002"/>
  </r>
  <r>
    <x v="0"/>
    <x v="0"/>
    <x v="0"/>
    <x v="14"/>
    <x v="14"/>
    <x v="14"/>
    <s v="REVENUS"/>
    <x v="6"/>
    <s v="4221.003"/>
    <s v="Intérêts compensat. / acomptes en faveur du fisc"/>
    <n v="0"/>
    <n v="1.53"/>
    <n v="4221"/>
  </r>
  <r>
    <x v="0"/>
    <x v="0"/>
    <x v="0"/>
    <x v="14"/>
    <x v="14"/>
    <x v="14"/>
    <s v="REVENUS"/>
    <x v="5"/>
    <s v="4061.000"/>
    <s v="Impôt sur les chiens"/>
    <n v="0"/>
    <n v="7400"/>
    <n v="4061"/>
  </r>
  <r>
    <x v="0"/>
    <x v="0"/>
    <x v="0"/>
    <x v="14"/>
    <x v="14"/>
    <x v="14"/>
    <s v="REVENUS"/>
    <x v="6"/>
    <s v="4211.002"/>
    <s v="Intérêts de retard sur acomptes"/>
    <n v="0"/>
    <n v="116.47"/>
    <n v="4211"/>
  </r>
  <r>
    <x v="0"/>
    <x v="0"/>
    <x v="0"/>
    <x v="14"/>
    <x v="14"/>
    <x v="14"/>
    <s v="REVENUS"/>
    <x v="2"/>
    <s v="4001.007"/>
    <s v="Acompte impôt sur revenu"/>
    <n v="0"/>
    <n v="4649.8999999999996"/>
    <n v="4001"/>
  </r>
  <r>
    <x v="0"/>
    <x v="0"/>
    <x v="0"/>
    <x v="14"/>
    <x v="14"/>
    <x v="14"/>
    <s v="REVENUS"/>
    <x v="3"/>
    <s v="4002.007"/>
    <s v="Acompte impôt sur fortune"/>
    <n v="0"/>
    <n v="3297.96"/>
    <n v="4002"/>
  </r>
  <r>
    <x v="0"/>
    <x v="0"/>
    <x v="0"/>
    <x v="14"/>
    <x v="14"/>
    <x v="14"/>
    <s v="REVENUS"/>
    <x v="6"/>
    <s v="4211.001"/>
    <s v="Intérêts de retard sur factures"/>
    <n v="0"/>
    <n v="19.07"/>
    <n v="4211"/>
  </r>
  <r>
    <x v="0"/>
    <x v="0"/>
    <x v="0"/>
    <x v="14"/>
    <x v="14"/>
    <x v="14"/>
    <s v="REVENUS"/>
    <x v="3"/>
    <s v="4002.007"/>
    <s v="Acompte impôt sur fortune"/>
    <n v="0"/>
    <n v="-489.25"/>
    <n v="4002"/>
  </r>
  <r>
    <x v="0"/>
    <x v="0"/>
    <x v="0"/>
    <x v="14"/>
    <x v="14"/>
    <x v="14"/>
    <s v="REVENUS"/>
    <x v="4"/>
    <s v="4051.002"/>
    <s v="Impôt sur les donations"/>
    <n v="0"/>
    <n v="4015.8"/>
    <n v="4051"/>
  </r>
  <r>
    <x v="0"/>
    <x v="0"/>
    <x v="0"/>
    <x v="14"/>
    <x v="14"/>
    <x v="14"/>
    <s v="REVENUS"/>
    <x v="3"/>
    <s v="4002.007"/>
    <s v="Acompte impôt sur fortune"/>
    <n v="0"/>
    <n v="-90.65"/>
    <n v="4002"/>
  </r>
  <r>
    <x v="0"/>
    <x v="0"/>
    <x v="0"/>
    <x v="14"/>
    <x v="14"/>
    <x v="14"/>
    <s v="REVENUS"/>
    <x v="2"/>
    <s v="4001.007"/>
    <s v="Acompte impôt sur revenu"/>
    <n v="0"/>
    <n v="-2163.1999999999998"/>
    <n v="4001"/>
  </r>
  <r>
    <x v="0"/>
    <x v="0"/>
    <x v="0"/>
    <x v="14"/>
    <x v="14"/>
    <x v="14"/>
    <s v="REVENUS"/>
    <x v="3"/>
    <s v="4002.001"/>
    <s v="Impôt ordinaire s/fortune PP"/>
    <n v="0"/>
    <n v="2685.15"/>
    <n v="4002"/>
  </r>
  <r>
    <x v="0"/>
    <x v="0"/>
    <x v="0"/>
    <x v="14"/>
    <x v="14"/>
    <x v="14"/>
    <s v="REVENUS"/>
    <x v="6"/>
    <s v="4211.002"/>
    <s v="Intérêts de retard sur acomptes"/>
    <n v="0"/>
    <n v="381.33"/>
    <n v="4211"/>
  </r>
  <r>
    <x v="0"/>
    <x v="0"/>
    <x v="0"/>
    <x v="14"/>
    <x v="14"/>
    <x v="14"/>
    <s v="REVENUS"/>
    <x v="2"/>
    <s v="4001.002"/>
    <s v="Impôt complément s/revenu PP"/>
    <n v="0"/>
    <n v="2383.4499999999998"/>
    <n v="4001"/>
  </r>
  <r>
    <x v="0"/>
    <x v="0"/>
    <x v="0"/>
    <x v="14"/>
    <x v="14"/>
    <x v="14"/>
    <s v="REVENUS"/>
    <x v="3"/>
    <s v="4002.002"/>
    <s v="Impôt complémentaire s/fortune PP"/>
    <n v="0"/>
    <n v="2842.95"/>
    <n v="4002"/>
  </r>
  <r>
    <x v="0"/>
    <x v="0"/>
    <x v="0"/>
    <x v="14"/>
    <x v="14"/>
    <x v="14"/>
    <s v="REVENUS"/>
    <x v="6"/>
    <s v="4211.001"/>
    <s v="Intérêts de retard sur factures"/>
    <n v="0"/>
    <n v="5.55"/>
    <n v="4211"/>
  </r>
  <r>
    <x v="0"/>
    <x v="0"/>
    <x v="0"/>
    <x v="14"/>
    <x v="14"/>
    <x v="14"/>
    <s v="REVENUS"/>
    <x v="2"/>
    <s v="4001.001"/>
    <s v="Impôt revenu"/>
    <n v="0"/>
    <n v="9562.5"/>
    <n v="4001"/>
  </r>
  <r>
    <x v="0"/>
    <x v="0"/>
    <x v="0"/>
    <x v="14"/>
    <x v="14"/>
    <x v="14"/>
    <s v="REVENUS"/>
    <x v="6"/>
    <s v="4221.003"/>
    <s v="Intérêts compensat. / acomptes en faveur du fisc"/>
    <n v="0"/>
    <n v="-5.0199999999999996"/>
    <n v="4221"/>
  </r>
  <r>
    <x v="0"/>
    <x v="0"/>
    <x v="0"/>
    <x v="14"/>
    <x v="14"/>
    <x v="14"/>
    <s v="REVENUS"/>
    <x v="8"/>
    <s v="4091.001"/>
    <s v="Impôt récupéré après défalcations"/>
    <n v="0"/>
    <n v="995.98"/>
    <n v="4091"/>
  </r>
  <r>
    <x v="0"/>
    <x v="0"/>
    <x v="0"/>
    <x v="14"/>
    <x v="14"/>
    <x v="14"/>
    <s v="REVENUS"/>
    <x v="8"/>
    <s v="4091.001"/>
    <s v="Impôt récupéré après défalcations"/>
    <n v="0"/>
    <n v="2205.08"/>
    <n v="4091"/>
  </r>
  <r>
    <x v="0"/>
    <x v="0"/>
    <x v="0"/>
    <x v="14"/>
    <x v="14"/>
    <x v="14"/>
    <s v="REVENUS"/>
    <x v="2"/>
    <s v="4001.001"/>
    <s v="Impôt revenu"/>
    <n v="0"/>
    <n v="938.35"/>
    <n v="4001"/>
  </r>
  <r>
    <x v="0"/>
    <x v="0"/>
    <x v="0"/>
    <x v="14"/>
    <x v="14"/>
    <x v="14"/>
    <s v="REVENUS"/>
    <x v="3"/>
    <s v="4002.001"/>
    <s v="Impôt ordinaire s/fortune PP"/>
    <n v="0"/>
    <n v="586.15"/>
    <n v="4002"/>
  </r>
  <r>
    <x v="0"/>
    <x v="0"/>
    <x v="0"/>
    <x v="14"/>
    <x v="14"/>
    <x v="14"/>
    <s v="REVENUS"/>
    <x v="6"/>
    <s v="4221.003"/>
    <s v="Intérêts compensat. / acomptes en faveur du fisc"/>
    <n v="0"/>
    <n v="0.05"/>
    <n v="4221"/>
  </r>
  <r>
    <x v="0"/>
    <x v="0"/>
    <x v="0"/>
    <x v="14"/>
    <x v="14"/>
    <x v="14"/>
    <s v="REVENUS"/>
    <x v="6"/>
    <s v="4221.002"/>
    <s v="Intérêts compensat. sur impôts distincts"/>
    <n v="0"/>
    <n v="591.79999999999995"/>
    <n v="4221"/>
  </r>
  <r>
    <x v="0"/>
    <x v="0"/>
    <x v="0"/>
    <x v="14"/>
    <x v="14"/>
    <x v="14"/>
    <s v="REVENUS"/>
    <x v="2"/>
    <s v="4001.001"/>
    <s v="Impôt revenu"/>
    <n v="0"/>
    <n v="305.7"/>
    <n v="4001"/>
  </r>
  <r>
    <x v="0"/>
    <x v="0"/>
    <x v="0"/>
    <x v="14"/>
    <x v="14"/>
    <x v="14"/>
    <s v="REVENUS"/>
    <x v="3"/>
    <s v="4002.001"/>
    <s v="Impôt ordinaire s/fortune PP"/>
    <n v="0"/>
    <n v="172.5"/>
    <n v="4002"/>
  </r>
  <r>
    <x v="0"/>
    <x v="0"/>
    <x v="0"/>
    <x v="14"/>
    <x v="14"/>
    <x v="14"/>
    <s v="REVENUS"/>
    <x v="6"/>
    <s v="4211.002"/>
    <s v="Intérêts de retard sur acomptes"/>
    <n v="0"/>
    <n v="25.22"/>
    <n v="4211"/>
  </r>
  <r>
    <x v="0"/>
    <x v="0"/>
    <x v="0"/>
    <x v="14"/>
    <x v="14"/>
    <x v="14"/>
    <s v="REVENUS"/>
    <x v="2"/>
    <s v="4001.002"/>
    <s v="Impôt complément s/revenu PP"/>
    <n v="0"/>
    <n v="3342.35"/>
    <n v="4001"/>
  </r>
  <r>
    <x v="0"/>
    <x v="0"/>
    <x v="0"/>
    <x v="14"/>
    <x v="14"/>
    <x v="14"/>
    <s v="REVENUS"/>
    <x v="3"/>
    <s v="4002.002"/>
    <s v="Impôt complémentaire s/fortune PP"/>
    <n v="0"/>
    <n v="861.25"/>
    <n v="4002"/>
  </r>
  <r>
    <x v="0"/>
    <x v="0"/>
    <x v="0"/>
    <x v="14"/>
    <x v="14"/>
    <x v="14"/>
    <s v="REVENUS"/>
    <x v="6"/>
    <s v="4221.003"/>
    <s v="Intérêts compensat. / acomptes en faveur du fisc"/>
    <n v="0"/>
    <n v="0.05"/>
    <n v="4221"/>
  </r>
  <r>
    <x v="0"/>
    <x v="0"/>
    <x v="0"/>
    <x v="14"/>
    <x v="14"/>
    <x v="14"/>
    <s v="REVENUS"/>
    <x v="4"/>
    <s v="4051.001"/>
    <s v="Impôt sur les successions"/>
    <n v="0"/>
    <n v="297682.5"/>
    <n v="4051"/>
  </r>
  <r>
    <x v="0"/>
    <x v="0"/>
    <x v="0"/>
    <x v="14"/>
    <x v="14"/>
    <x v="14"/>
    <s v="REVENUS"/>
    <x v="6"/>
    <s v="4211.002"/>
    <s v="Intérêts de retard sur acomptes"/>
    <n v="0"/>
    <n v="15.55"/>
    <n v="4211"/>
  </r>
  <r>
    <x v="0"/>
    <x v="0"/>
    <x v="0"/>
    <x v="14"/>
    <x v="14"/>
    <x v="14"/>
    <s v="REVENUS"/>
    <x v="6"/>
    <s v="4211.001"/>
    <s v="Intérêts de retard sur factures"/>
    <n v="0"/>
    <n v="82.55"/>
    <n v="4211"/>
  </r>
  <r>
    <x v="0"/>
    <x v="0"/>
    <x v="0"/>
    <x v="14"/>
    <x v="14"/>
    <x v="14"/>
    <s v="REVENUS"/>
    <x v="9"/>
    <s v="4031.001"/>
    <s v="Impôt sur les gains immobiliers"/>
    <n v="0"/>
    <n v="4057.75"/>
    <n v="4031"/>
  </r>
  <r>
    <x v="0"/>
    <x v="0"/>
    <x v="0"/>
    <x v="14"/>
    <x v="14"/>
    <x v="14"/>
    <s v="REVENUS"/>
    <x v="6"/>
    <s v="4211.001"/>
    <s v="Intérêts de retard sur factures"/>
    <n v="0"/>
    <n v="1.66"/>
    <n v="4211"/>
  </r>
  <r>
    <x v="0"/>
    <x v="0"/>
    <x v="0"/>
    <x v="14"/>
    <x v="14"/>
    <x v="14"/>
    <s v="REVENUS"/>
    <x v="7"/>
    <s v="4184.000"/>
    <s v="Frais de poursuite"/>
    <n v="0"/>
    <n v="0.87"/>
    <n v="4184"/>
  </r>
  <r>
    <x v="0"/>
    <x v="0"/>
    <x v="0"/>
    <x v="14"/>
    <x v="14"/>
    <x v="14"/>
    <s v="REVENUS"/>
    <x v="2"/>
    <s v="4001.007"/>
    <s v="Acompte impôt sur revenu"/>
    <n v="0"/>
    <n v="-54.85"/>
    <n v="4001"/>
  </r>
  <r>
    <x v="0"/>
    <x v="0"/>
    <x v="0"/>
    <x v="14"/>
    <x v="14"/>
    <x v="14"/>
    <s v="REVENUS"/>
    <x v="3"/>
    <s v="4002.007"/>
    <s v="Acompte impôt sur fortune"/>
    <n v="0"/>
    <n v="-2.2999999999999998"/>
    <n v="4002"/>
  </r>
  <r>
    <x v="0"/>
    <x v="0"/>
    <x v="0"/>
    <x v="14"/>
    <x v="14"/>
    <x v="14"/>
    <s v="REVENUS"/>
    <x v="8"/>
    <s v="4091.001"/>
    <s v="Impôt récupéré après défalcations"/>
    <n v="0"/>
    <n v="792.5"/>
    <n v="4091"/>
  </r>
  <r>
    <x v="0"/>
    <x v="0"/>
    <x v="0"/>
    <x v="14"/>
    <x v="14"/>
    <x v="14"/>
    <s v="REVENUS"/>
    <x v="12"/>
    <s v="4004.007"/>
    <s v="Acompte spécial étrangers"/>
    <n v="0"/>
    <n v="-1112.8"/>
    <n v="4004"/>
  </r>
  <r>
    <x v="0"/>
    <x v="0"/>
    <x v="0"/>
    <x v="14"/>
    <x v="14"/>
    <x v="14"/>
    <s v="REVENUS"/>
    <x v="6"/>
    <s v="4211.001"/>
    <s v="Intérêts de retard sur factures"/>
    <n v="0"/>
    <n v="1"/>
    <n v="4211"/>
  </r>
  <r>
    <x v="0"/>
    <x v="0"/>
    <x v="0"/>
    <x v="14"/>
    <x v="14"/>
    <x v="14"/>
    <s v="REVENUS"/>
    <x v="11"/>
    <s v="4198.000"/>
    <s v="Contributions communales"/>
    <n v="0"/>
    <n v="274903.45"/>
    <n v="4198"/>
  </r>
  <r>
    <x v="0"/>
    <x v="0"/>
    <x v="0"/>
    <x v="14"/>
    <x v="14"/>
    <x v="14"/>
    <s v="REVENUS"/>
    <x v="10"/>
    <s v="4041.002"/>
    <s v="Complément droit de mutation"/>
    <n v="0"/>
    <n v="953.7"/>
    <n v="4041"/>
  </r>
  <r>
    <x v="0"/>
    <x v="0"/>
    <x v="0"/>
    <x v="14"/>
    <x v="14"/>
    <x v="14"/>
    <s v="REVENUS"/>
    <x v="2"/>
    <s v="4001.002"/>
    <s v="Impôt complément s/revenu PP"/>
    <n v="0"/>
    <n v="98.5"/>
    <n v="4001"/>
  </r>
  <r>
    <x v="0"/>
    <x v="0"/>
    <x v="0"/>
    <x v="14"/>
    <x v="14"/>
    <x v="14"/>
    <s v="REVENUS"/>
    <x v="3"/>
    <s v="4002.002"/>
    <s v="Impôt complémentaire s/fortune PP"/>
    <n v="0"/>
    <n v="59.4"/>
    <n v="4002"/>
  </r>
  <r>
    <x v="0"/>
    <x v="1"/>
    <x v="1"/>
    <x v="15"/>
    <x v="15"/>
    <x v="15"/>
    <s v="CHARGES"/>
    <x v="0"/>
    <s v="3212.002"/>
    <s v="Intérêts bonifiés/trop perçu acompte C/C"/>
    <n v="1.84"/>
    <n v="0"/>
    <n v="3212"/>
  </r>
  <r>
    <x v="0"/>
    <x v="1"/>
    <x v="1"/>
    <x v="15"/>
    <x v="15"/>
    <x v="15"/>
    <s v="CHARGES"/>
    <x v="0"/>
    <s v="3212.004"/>
    <s v="Intérêts rémun./perçu trop tôt sur acomptes C/C"/>
    <n v="718.48"/>
    <n v="0"/>
    <n v="3212"/>
  </r>
  <r>
    <x v="0"/>
    <x v="1"/>
    <x v="1"/>
    <x v="15"/>
    <x v="15"/>
    <x v="15"/>
    <s v="CHARGES"/>
    <x v="0"/>
    <s v="3221.002"/>
    <s v="Intérêts compensatoires / créances en faveur ctb."/>
    <n v="272.14"/>
    <n v="0"/>
    <n v="3221"/>
  </r>
  <r>
    <x v="0"/>
    <x v="1"/>
    <x v="1"/>
    <x v="15"/>
    <x v="15"/>
    <x v="15"/>
    <s v="CHARGES"/>
    <x v="1"/>
    <s v="3301.001"/>
    <s v="Défalcations, abandons de solde PP et IS"/>
    <n v="24876.35"/>
    <n v="0"/>
    <n v="3301"/>
  </r>
  <r>
    <x v="0"/>
    <x v="1"/>
    <x v="1"/>
    <x v="15"/>
    <x v="15"/>
    <x v="15"/>
    <s v="CHARGES"/>
    <x v="1"/>
    <s v="3301.001"/>
    <s v="Défalcations, abandons de solde PP et IS"/>
    <n v="2668.69"/>
    <n v="0"/>
    <n v="3301"/>
  </r>
  <r>
    <x v="0"/>
    <x v="1"/>
    <x v="1"/>
    <x v="15"/>
    <x v="15"/>
    <x v="15"/>
    <s v="CHARGES"/>
    <x v="0"/>
    <s v="3212.004"/>
    <s v="Intérêts rémun./perçu trop tôt sur acomptes C/C"/>
    <n v="3.84"/>
    <n v="0"/>
    <n v="3212"/>
  </r>
  <r>
    <x v="0"/>
    <x v="1"/>
    <x v="1"/>
    <x v="15"/>
    <x v="15"/>
    <x v="15"/>
    <s v="CHARGES"/>
    <x v="0"/>
    <s v="3221.002"/>
    <s v="Intérêts compensatoires / créances en faveur ctb."/>
    <n v="3.96"/>
    <n v="0"/>
    <n v="3221"/>
  </r>
  <r>
    <x v="0"/>
    <x v="1"/>
    <x v="1"/>
    <x v="15"/>
    <x v="15"/>
    <x v="15"/>
    <s v="CHARGES"/>
    <x v="1"/>
    <s v="3301.001"/>
    <s v="Défalcations, abandons de solde PP et IS"/>
    <n v="0.06"/>
    <n v="0"/>
    <n v="3301"/>
  </r>
  <r>
    <x v="0"/>
    <x v="1"/>
    <x v="1"/>
    <x v="15"/>
    <x v="15"/>
    <x v="15"/>
    <s v="CHARGES"/>
    <x v="0"/>
    <s v="3212.002"/>
    <s v="Intérêts bonifiés/trop perçu acompte C/C"/>
    <n v="0.31"/>
    <n v="0"/>
    <n v="3212"/>
  </r>
  <r>
    <x v="0"/>
    <x v="1"/>
    <x v="1"/>
    <x v="15"/>
    <x v="15"/>
    <x v="15"/>
    <s v="CHARGES"/>
    <x v="0"/>
    <s v="3212.004"/>
    <s v="Intérêts rémun./perçu trop tôt sur acomptes C/C"/>
    <n v="21.37"/>
    <n v="0"/>
    <n v="3212"/>
  </r>
  <r>
    <x v="0"/>
    <x v="1"/>
    <x v="1"/>
    <x v="15"/>
    <x v="15"/>
    <x v="15"/>
    <s v="CHARGES"/>
    <x v="0"/>
    <s v="3221.002"/>
    <s v="Intérêts compensatoires / créances en faveur ctb."/>
    <n v="40.69"/>
    <n v="0"/>
    <n v="3221"/>
  </r>
  <r>
    <x v="0"/>
    <x v="1"/>
    <x v="1"/>
    <x v="15"/>
    <x v="15"/>
    <x v="15"/>
    <s v="CHARGES"/>
    <x v="1"/>
    <s v="3301.001"/>
    <s v="Défalcations, abandons de solde PP et IS"/>
    <n v="-4.4400000000000004"/>
    <n v="0"/>
    <n v="3301"/>
  </r>
  <r>
    <x v="0"/>
    <x v="1"/>
    <x v="1"/>
    <x v="15"/>
    <x v="15"/>
    <x v="15"/>
    <s v="CHARGES"/>
    <x v="0"/>
    <s v="3212.004"/>
    <s v="Intérêts rémun./perçu trop tôt sur acomptes C/C"/>
    <n v="13.36"/>
    <n v="0"/>
    <n v="3212"/>
  </r>
  <r>
    <x v="0"/>
    <x v="1"/>
    <x v="1"/>
    <x v="15"/>
    <x v="15"/>
    <x v="15"/>
    <s v="CHARGES"/>
    <x v="0"/>
    <s v="3221.002"/>
    <s v="Intérêts compensatoires / créances en faveur ctb."/>
    <n v="12.49"/>
    <n v="0"/>
    <n v="3221"/>
  </r>
  <r>
    <x v="0"/>
    <x v="1"/>
    <x v="1"/>
    <x v="15"/>
    <x v="15"/>
    <x v="15"/>
    <s v="CHARGES"/>
    <x v="1"/>
    <s v="3301.001"/>
    <s v="Défalcations, abandons de solde PP et IS"/>
    <n v="3.37"/>
    <n v="0"/>
    <n v="3301"/>
  </r>
  <r>
    <x v="0"/>
    <x v="1"/>
    <x v="1"/>
    <x v="15"/>
    <x v="15"/>
    <x v="15"/>
    <s v="CHARGES"/>
    <x v="0"/>
    <s v="3212.004"/>
    <s v="Intérêts rémun./perçu trop tôt sur acomptes C/C"/>
    <n v="0.28999999999999998"/>
    <n v="0"/>
    <n v="3212"/>
  </r>
  <r>
    <x v="0"/>
    <x v="1"/>
    <x v="1"/>
    <x v="15"/>
    <x v="15"/>
    <x v="15"/>
    <s v="CHARGES"/>
    <x v="0"/>
    <s v="3212.004"/>
    <s v="Intérêts rémun./perçu trop tôt sur acomptes C/C"/>
    <n v="0.09"/>
    <n v="0"/>
    <n v="3212"/>
  </r>
  <r>
    <x v="0"/>
    <x v="1"/>
    <x v="1"/>
    <x v="15"/>
    <x v="15"/>
    <x v="15"/>
    <s v="CHARGES"/>
    <x v="1"/>
    <s v="3301.001"/>
    <s v="Défalcations, abandons de solde PP et IS"/>
    <n v="0.17"/>
    <n v="0"/>
    <n v="3301"/>
  </r>
  <r>
    <x v="0"/>
    <x v="1"/>
    <x v="1"/>
    <x v="15"/>
    <x v="15"/>
    <x v="15"/>
    <s v="CHARGES"/>
    <x v="0"/>
    <s v="3212.002"/>
    <s v="Intérêts bonifiés/trop perçu acompte C/C"/>
    <n v="0.2"/>
    <n v="0"/>
    <n v="3212"/>
  </r>
  <r>
    <x v="0"/>
    <x v="1"/>
    <x v="1"/>
    <x v="15"/>
    <x v="15"/>
    <x v="15"/>
    <s v="CHARGES"/>
    <x v="0"/>
    <s v="3212.004"/>
    <s v="Intérêts rémun./perçu trop tôt sur acomptes C/C"/>
    <n v="0.18"/>
    <n v="0"/>
    <n v="3212"/>
  </r>
  <r>
    <x v="0"/>
    <x v="1"/>
    <x v="1"/>
    <x v="15"/>
    <x v="15"/>
    <x v="15"/>
    <s v="CHARGES"/>
    <x v="0"/>
    <s v="3221.002"/>
    <s v="Intérêts compensatoires / créances en faveur ctb."/>
    <n v="0.2"/>
    <n v="0"/>
    <n v="3221"/>
  </r>
  <r>
    <x v="0"/>
    <x v="1"/>
    <x v="1"/>
    <x v="15"/>
    <x v="15"/>
    <x v="15"/>
    <s v="CHARGES"/>
    <x v="0"/>
    <s v="3212.002"/>
    <s v="Intérêts bonifiés/trop perçu acompte C/C"/>
    <n v="0.11"/>
    <n v="0"/>
    <n v="3212"/>
  </r>
  <r>
    <x v="0"/>
    <x v="1"/>
    <x v="1"/>
    <x v="15"/>
    <x v="15"/>
    <x v="15"/>
    <s v="CHARGES"/>
    <x v="1"/>
    <s v="3301.001"/>
    <s v="Défalcations, abandons de solde PP et IS"/>
    <n v="7.0000000000000007E-2"/>
    <n v="0"/>
    <n v="3301"/>
  </r>
  <r>
    <x v="0"/>
    <x v="1"/>
    <x v="1"/>
    <x v="15"/>
    <x v="15"/>
    <x v="15"/>
    <s v="REVENUS"/>
    <x v="2"/>
    <s v="4001.007"/>
    <s v="Acompte impôt sur revenu"/>
    <n v="0"/>
    <n v="434869.82"/>
    <n v="4001"/>
  </r>
  <r>
    <x v="0"/>
    <x v="1"/>
    <x v="1"/>
    <x v="15"/>
    <x v="15"/>
    <x v="15"/>
    <s v="REVENUS"/>
    <x v="2"/>
    <s v="4001.007"/>
    <s v="Acompte impôt sur revenu"/>
    <n v="0"/>
    <n v="-796737.34"/>
    <n v="4001"/>
  </r>
  <r>
    <x v="0"/>
    <x v="1"/>
    <x v="1"/>
    <x v="15"/>
    <x v="15"/>
    <x v="15"/>
    <s v="REVENUS"/>
    <x v="3"/>
    <s v="4002.007"/>
    <s v="Acompte impôt sur fortune"/>
    <n v="0"/>
    <n v="-133079.92000000001"/>
    <n v="4002"/>
  </r>
  <r>
    <x v="0"/>
    <x v="1"/>
    <x v="1"/>
    <x v="15"/>
    <x v="15"/>
    <x v="15"/>
    <s v="REVENUS"/>
    <x v="2"/>
    <s v="4001.001"/>
    <s v="Impôt revenu"/>
    <n v="0"/>
    <n v="3398955.65"/>
    <n v="4001"/>
  </r>
  <r>
    <x v="0"/>
    <x v="1"/>
    <x v="1"/>
    <x v="15"/>
    <x v="15"/>
    <x v="15"/>
    <s v="REVENUS"/>
    <x v="2"/>
    <s v="4001.002"/>
    <s v="Impôt complément s/revenu PP"/>
    <n v="0"/>
    <n v="492428"/>
    <n v="4001"/>
  </r>
  <r>
    <x v="0"/>
    <x v="1"/>
    <x v="1"/>
    <x v="15"/>
    <x v="15"/>
    <x v="15"/>
    <s v="REVENUS"/>
    <x v="3"/>
    <s v="4002.001"/>
    <s v="Impôt ordinaire s/fortune PP"/>
    <n v="0"/>
    <n v="490238.85"/>
    <n v="4002"/>
  </r>
  <r>
    <x v="0"/>
    <x v="1"/>
    <x v="1"/>
    <x v="15"/>
    <x v="15"/>
    <x v="15"/>
    <s v="REVENUS"/>
    <x v="6"/>
    <s v="4211.001"/>
    <s v="Intérêts de retard sur factures"/>
    <n v="0"/>
    <n v="7150.63"/>
    <n v="4211"/>
  </r>
  <r>
    <x v="0"/>
    <x v="1"/>
    <x v="1"/>
    <x v="15"/>
    <x v="15"/>
    <x v="15"/>
    <s v="REVENUS"/>
    <x v="6"/>
    <s v="4211.002"/>
    <s v="Intérêts de retard sur acomptes"/>
    <n v="0"/>
    <n v="14965.75"/>
    <n v="4211"/>
  </r>
  <r>
    <x v="0"/>
    <x v="1"/>
    <x v="1"/>
    <x v="15"/>
    <x v="15"/>
    <x v="15"/>
    <s v="REVENUS"/>
    <x v="6"/>
    <s v="4221.003"/>
    <s v="Intérêts compensat. / acomptes en faveur du fisc"/>
    <n v="0"/>
    <n v="394.92"/>
    <n v="4221"/>
  </r>
  <r>
    <x v="0"/>
    <x v="1"/>
    <x v="1"/>
    <x v="15"/>
    <x v="15"/>
    <x v="15"/>
    <s v="REVENUS"/>
    <x v="3"/>
    <s v="4002.007"/>
    <s v="Acompte impôt sur fortune"/>
    <n v="0"/>
    <n v="119854.58"/>
    <n v="4002"/>
  </r>
  <r>
    <x v="0"/>
    <x v="1"/>
    <x v="1"/>
    <x v="15"/>
    <x v="15"/>
    <x v="15"/>
    <s v="REVENUS"/>
    <x v="9"/>
    <s v="4031.001"/>
    <s v="Impôt sur les gains immobiliers"/>
    <n v="0"/>
    <n v="38262.75"/>
    <n v="4031"/>
  </r>
  <r>
    <x v="0"/>
    <x v="1"/>
    <x v="1"/>
    <x v="15"/>
    <x v="15"/>
    <x v="15"/>
    <s v="REVENUS"/>
    <x v="7"/>
    <s v="4184.000"/>
    <s v="Frais de poursuite"/>
    <n v="0"/>
    <n v="2234.63"/>
    <n v="4184"/>
  </r>
  <r>
    <x v="0"/>
    <x v="1"/>
    <x v="1"/>
    <x v="15"/>
    <x v="15"/>
    <x v="15"/>
    <s v="REVENUS"/>
    <x v="6"/>
    <s v="4221.002"/>
    <s v="Intérêts compensat. sur impôts distincts"/>
    <n v="0"/>
    <n v="24.02"/>
    <n v="4221"/>
  </r>
  <r>
    <x v="0"/>
    <x v="1"/>
    <x v="1"/>
    <x v="15"/>
    <x v="15"/>
    <x v="15"/>
    <s v="REVENUS"/>
    <x v="7"/>
    <s v="4184.000"/>
    <s v="Frais de poursuite"/>
    <n v="0"/>
    <n v="1.06"/>
    <n v="4184"/>
  </r>
  <r>
    <x v="0"/>
    <x v="1"/>
    <x v="1"/>
    <x v="15"/>
    <x v="15"/>
    <x v="15"/>
    <s v="REVENUS"/>
    <x v="2"/>
    <s v="4001.001"/>
    <s v="Impôt revenu"/>
    <n v="0"/>
    <n v="-92534.6"/>
    <n v="4001"/>
  </r>
  <r>
    <x v="0"/>
    <x v="1"/>
    <x v="1"/>
    <x v="15"/>
    <x v="15"/>
    <x v="15"/>
    <s v="REVENUS"/>
    <x v="3"/>
    <s v="4002.001"/>
    <s v="Impôt ordinaire s/fortune PP"/>
    <n v="0"/>
    <n v="-38367.199999999997"/>
    <n v="4002"/>
  </r>
  <r>
    <x v="0"/>
    <x v="1"/>
    <x v="1"/>
    <x v="15"/>
    <x v="15"/>
    <x v="15"/>
    <s v="REVENUS"/>
    <x v="3"/>
    <s v="4002.002"/>
    <s v="Impôt complémentaire s/fortune PP"/>
    <n v="0"/>
    <n v="103010"/>
    <n v="4002"/>
  </r>
  <r>
    <x v="0"/>
    <x v="1"/>
    <x v="1"/>
    <x v="15"/>
    <x v="15"/>
    <x v="15"/>
    <s v="REVENUS"/>
    <x v="4"/>
    <s v="4051.002"/>
    <s v="Impôt sur les donations"/>
    <n v="0"/>
    <n v="26804.3"/>
    <n v="4051"/>
  </r>
  <r>
    <x v="0"/>
    <x v="1"/>
    <x v="1"/>
    <x v="15"/>
    <x v="15"/>
    <x v="15"/>
    <s v="REVENUS"/>
    <x v="2"/>
    <s v="4001.003"/>
    <s v="Impôt s/prest. cap. PP"/>
    <n v="0"/>
    <n v="54765.65"/>
    <n v="4001"/>
  </r>
  <r>
    <x v="0"/>
    <x v="1"/>
    <x v="1"/>
    <x v="15"/>
    <x v="15"/>
    <x v="15"/>
    <s v="REVENUS"/>
    <x v="2"/>
    <s v="4001.007"/>
    <s v="Acompte impôt sur revenu"/>
    <n v="0"/>
    <n v="157.30000000000001"/>
    <n v="4001"/>
  </r>
  <r>
    <x v="0"/>
    <x v="1"/>
    <x v="1"/>
    <x v="15"/>
    <x v="15"/>
    <x v="15"/>
    <s v="REVENUS"/>
    <x v="3"/>
    <s v="4002.007"/>
    <s v="Acompte impôt sur fortune"/>
    <n v="0"/>
    <n v="28.3"/>
    <n v="4002"/>
  </r>
  <r>
    <x v="0"/>
    <x v="1"/>
    <x v="1"/>
    <x v="15"/>
    <x v="15"/>
    <x v="15"/>
    <s v="REVENUS"/>
    <x v="2"/>
    <s v="4001.007"/>
    <s v="Acompte impôt sur revenu"/>
    <n v="0"/>
    <n v="610.85"/>
    <n v="4001"/>
  </r>
  <r>
    <x v="0"/>
    <x v="1"/>
    <x v="1"/>
    <x v="15"/>
    <x v="15"/>
    <x v="15"/>
    <s v="REVENUS"/>
    <x v="3"/>
    <s v="4002.007"/>
    <s v="Acompte impôt sur fortune"/>
    <n v="0"/>
    <n v="76.3"/>
    <n v="4002"/>
  </r>
  <r>
    <x v="0"/>
    <x v="1"/>
    <x v="1"/>
    <x v="15"/>
    <x v="15"/>
    <x v="15"/>
    <s v="REVENUS"/>
    <x v="4"/>
    <s v="4051.001"/>
    <s v="Impôt sur les successions"/>
    <n v="0"/>
    <n v="17183"/>
    <n v="4051"/>
  </r>
  <r>
    <x v="0"/>
    <x v="1"/>
    <x v="1"/>
    <x v="15"/>
    <x v="15"/>
    <x v="15"/>
    <s v="REVENUS"/>
    <x v="12"/>
    <s v="4004.007"/>
    <s v="Acompte spécial étrangers"/>
    <n v="0"/>
    <n v="-1725.6"/>
    <n v="4004"/>
  </r>
  <r>
    <x v="0"/>
    <x v="1"/>
    <x v="1"/>
    <x v="15"/>
    <x v="15"/>
    <x v="15"/>
    <s v="REVENUS"/>
    <x v="2"/>
    <s v="4001.007"/>
    <s v="Acompte impôt sur revenu"/>
    <n v="0"/>
    <n v="0"/>
    <n v="4001"/>
  </r>
  <r>
    <x v="0"/>
    <x v="1"/>
    <x v="1"/>
    <x v="15"/>
    <x v="15"/>
    <x v="15"/>
    <s v="REVENUS"/>
    <x v="3"/>
    <s v="4002.007"/>
    <s v="Acompte impôt sur fortune"/>
    <n v="0"/>
    <n v="0"/>
    <n v="4002"/>
  </r>
  <r>
    <x v="0"/>
    <x v="1"/>
    <x v="1"/>
    <x v="15"/>
    <x v="15"/>
    <x v="15"/>
    <s v="REVENUS"/>
    <x v="3"/>
    <s v="4002.007"/>
    <s v="Acompte impôt sur fortune"/>
    <n v="0"/>
    <n v="-826.6"/>
    <n v="4002"/>
  </r>
  <r>
    <x v="0"/>
    <x v="1"/>
    <x v="1"/>
    <x v="15"/>
    <x v="15"/>
    <x v="15"/>
    <s v="REVENUS"/>
    <x v="3"/>
    <s v="4002.007"/>
    <s v="Acompte impôt sur fortune"/>
    <n v="0"/>
    <n v="296.75"/>
    <n v="4002"/>
  </r>
  <r>
    <x v="0"/>
    <x v="1"/>
    <x v="1"/>
    <x v="15"/>
    <x v="15"/>
    <x v="15"/>
    <s v="REVENUS"/>
    <x v="2"/>
    <s v="4001.007"/>
    <s v="Acompte impôt sur revenu"/>
    <n v="0"/>
    <n v="-1687.78"/>
    <n v="4001"/>
  </r>
  <r>
    <x v="0"/>
    <x v="1"/>
    <x v="1"/>
    <x v="15"/>
    <x v="15"/>
    <x v="15"/>
    <s v="REVENUS"/>
    <x v="2"/>
    <s v="4001.007"/>
    <s v="Acompte impôt sur revenu"/>
    <n v="0"/>
    <n v="2751.89"/>
    <n v="4001"/>
  </r>
  <r>
    <x v="0"/>
    <x v="1"/>
    <x v="1"/>
    <x v="15"/>
    <x v="15"/>
    <x v="15"/>
    <s v="REVENUS"/>
    <x v="2"/>
    <s v="4001.007"/>
    <s v="Acompte impôt sur revenu"/>
    <n v="0"/>
    <n v="-105.45"/>
    <n v="4001"/>
  </r>
  <r>
    <x v="0"/>
    <x v="1"/>
    <x v="1"/>
    <x v="15"/>
    <x v="15"/>
    <x v="15"/>
    <s v="REVENUS"/>
    <x v="3"/>
    <s v="4002.007"/>
    <s v="Acompte impôt sur fortune"/>
    <n v="0"/>
    <n v="1.55"/>
    <n v="4002"/>
  </r>
  <r>
    <x v="0"/>
    <x v="1"/>
    <x v="1"/>
    <x v="15"/>
    <x v="15"/>
    <x v="15"/>
    <s v="REVENUS"/>
    <x v="3"/>
    <s v="4002.001"/>
    <s v="Impôt ordinaire s/fortune PP"/>
    <n v="0"/>
    <n v="12623.5"/>
    <n v="4002"/>
  </r>
  <r>
    <x v="0"/>
    <x v="1"/>
    <x v="1"/>
    <x v="15"/>
    <x v="15"/>
    <x v="15"/>
    <s v="REVENUS"/>
    <x v="6"/>
    <s v="4211.002"/>
    <s v="Intérêts de retard sur acomptes"/>
    <n v="0"/>
    <n v="449.84"/>
    <n v="4211"/>
  </r>
  <r>
    <x v="0"/>
    <x v="1"/>
    <x v="1"/>
    <x v="15"/>
    <x v="15"/>
    <x v="15"/>
    <s v="REVENUS"/>
    <x v="6"/>
    <s v="4221.003"/>
    <s v="Intérêts compensat. / acomptes en faveur du fisc"/>
    <n v="0"/>
    <n v="5.17"/>
    <n v="4221"/>
  </r>
  <r>
    <x v="0"/>
    <x v="1"/>
    <x v="1"/>
    <x v="15"/>
    <x v="15"/>
    <x v="15"/>
    <s v="REVENUS"/>
    <x v="2"/>
    <s v="4001.003"/>
    <s v="Impôt s/prest. cap. PP"/>
    <n v="0"/>
    <n v="-2230.4"/>
    <n v="4001"/>
  </r>
  <r>
    <x v="0"/>
    <x v="1"/>
    <x v="1"/>
    <x v="15"/>
    <x v="15"/>
    <x v="15"/>
    <s v="REVENUS"/>
    <x v="2"/>
    <s v="4001.001"/>
    <s v="Impôt revenu"/>
    <n v="0"/>
    <n v="-9931.4"/>
    <n v="4001"/>
  </r>
  <r>
    <x v="0"/>
    <x v="1"/>
    <x v="1"/>
    <x v="15"/>
    <x v="15"/>
    <x v="15"/>
    <s v="REVENUS"/>
    <x v="10"/>
    <s v="4041.001"/>
    <s v="Droits de mutation"/>
    <n v="0"/>
    <n v="78707.399999999994"/>
    <n v="4041"/>
  </r>
  <r>
    <x v="0"/>
    <x v="1"/>
    <x v="1"/>
    <x v="15"/>
    <x v="15"/>
    <x v="15"/>
    <s v="REVENUS"/>
    <x v="8"/>
    <s v="4091.001"/>
    <s v="Impôt récupéré après défalcations"/>
    <n v="0"/>
    <n v="1868.27"/>
    <n v="4091"/>
  </r>
  <r>
    <x v="0"/>
    <x v="1"/>
    <x v="1"/>
    <x v="15"/>
    <x v="15"/>
    <x v="15"/>
    <s v="REVENUS"/>
    <x v="2"/>
    <s v="4001.001"/>
    <s v="Impôt revenu"/>
    <n v="0"/>
    <n v="39887.949999999997"/>
    <n v="4001"/>
  </r>
  <r>
    <x v="0"/>
    <x v="1"/>
    <x v="1"/>
    <x v="15"/>
    <x v="15"/>
    <x v="15"/>
    <s v="REVENUS"/>
    <x v="2"/>
    <s v="4001.001"/>
    <s v="Impôt revenu"/>
    <n v="0"/>
    <n v="192.3"/>
    <n v="4001"/>
  </r>
  <r>
    <x v="0"/>
    <x v="1"/>
    <x v="1"/>
    <x v="15"/>
    <x v="15"/>
    <x v="15"/>
    <s v="REVENUS"/>
    <x v="3"/>
    <s v="4002.001"/>
    <s v="Impôt ordinaire s/fortune PP"/>
    <n v="0"/>
    <n v="303.05"/>
    <n v="4002"/>
  </r>
  <r>
    <x v="0"/>
    <x v="1"/>
    <x v="1"/>
    <x v="15"/>
    <x v="15"/>
    <x v="15"/>
    <s v="REVENUS"/>
    <x v="2"/>
    <s v="4001.001"/>
    <s v="Impôt revenu"/>
    <n v="0"/>
    <n v="771.5"/>
    <n v="4001"/>
  </r>
  <r>
    <x v="0"/>
    <x v="1"/>
    <x v="1"/>
    <x v="15"/>
    <x v="15"/>
    <x v="15"/>
    <s v="REVENUS"/>
    <x v="3"/>
    <s v="4002.001"/>
    <s v="Impôt ordinaire s/fortune PP"/>
    <n v="0"/>
    <n v="488.95"/>
    <n v="4002"/>
  </r>
  <r>
    <x v="0"/>
    <x v="1"/>
    <x v="1"/>
    <x v="15"/>
    <x v="15"/>
    <x v="15"/>
    <s v="REVENUS"/>
    <x v="5"/>
    <s v="4061.000"/>
    <s v="Impôt sur les chiens"/>
    <n v="0"/>
    <n v="9400"/>
    <n v="4061"/>
  </r>
  <r>
    <x v="0"/>
    <x v="1"/>
    <x v="1"/>
    <x v="15"/>
    <x v="15"/>
    <x v="15"/>
    <s v="REVENUS"/>
    <x v="6"/>
    <s v="4211.002"/>
    <s v="Intérêts de retard sur acomptes"/>
    <n v="0"/>
    <n v="21"/>
    <n v="4211"/>
  </r>
  <r>
    <x v="0"/>
    <x v="1"/>
    <x v="1"/>
    <x v="15"/>
    <x v="15"/>
    <x v="15"/>
    <s v="REVENUS"/>
    <x v="6"/>
    <s v="4221.003"/>
    <s v="Intérêts compensat. / acomptes en faveur du fisc"/>
    <n v="0"/>
    <n v="0.17"/>
    <n v="4221"/>
  </r>
  <r>
    <x v="0"/>
    <x v="1"/>
    <x v="1"/>
    <x v="15"/>
    <x v="15"/>
    <x v="15"/>
    <s v="REVENUS"/>
    <x v="4"/>
    <s v="4051.001"/>
    <s v="Impôt sur les successions"/>
    <n v="0"/>
    <n v="19.100000000000001"/>
    <n v="4051"/>
  </r>
  <r>
    <x v="0"/>
    <x v="1"/>
    <x v="1"/>
    <x v="15"/>
    <x v="15"/>
    <x v="15"/>
    <s v="REVENUS"/>
    <x v="3"/>
    <s v="4002.001"/>
    <s v="Impôt ordinaire s/fortune PP"/>
    <n v="0"/>
    <n v="277.45"/>
    <n v="4002"/>
  </r>
  <r>
    <x v="0"/>
    <x v="1"/>
    <x v="1"/>
    <x v="15"/>
    <x v="15"/>
    <x v="15"/>
    <s v="REVENUS"/>
    <x v="3"/>
    <s v="4002.002"/>
    <s v="Impôt complémentaire s/fortune PP"/>
    <n v="0"/>
    <n v="89.7"/>
    <n v="4002"/>
  </r>
  <r>
    <x v="0"/>
    <x v="1"/>
    <x v="1"/>
    <x v="15"/>
    <x v="15"/>
    <x v="15"/>
    <s v="REVENUS"/>
    <x v="2"/>
    <s v="4001.007"/>
    <s v="Acompte impôt sur revenu"/>
    <n v="0"/>
    <n v="-103.2"/>
    <n v="4001"/>
  </r>
  <r>
    <x v="0"/>
    <x v="1"/>
    <x v="1"/>
    <x v="15"/>
    <x v="15"/>
    <x v="15"/>
    <s v="REVENUS"/>
    <x v="3"/>
    <s v="4002.007"/>
    <s v="Acompte impôt sur fortune"/>
    <n v="0"/>
    <n v="-719.95"/>
    <n v="4002"/>
  </r>
  <r>
    <x v="0"/>
    <x v="1"/>
    <x v="1"/>
    <x v="15"/>
    <x v="15"/>
    <x v="15"/>
    <s v="REVENUS"/>
    <x v="7"/>
    <s v="4184.000"/>
    <s v="Frais de poursuite"/>
    <n v="0"/>
    <n v="34.43"/>
    <n v="4184"/>
  </r>
  <r>
    <x v="0"/>
    <x v="1"/>
    <x v="1"/>
    <x v="15"/>
    <x v="15"/>
    <x v="15"/>
    <s v="REVENUS"/>
    <x v="6"/>
    <s v="4211.001"/>
    <s v="Intérêts de retard sur factures"/>
    <n v="0"/>
    <n v="4.38"/>
    <n v="4211"/>
  </r>
  <r>
    <x v="0"/>
    <x v="1"/>
    <x v="1"/>
    <x v="15"/>
    <x v="15"/>
    <x v="15"/>
    <s v="REVENUS"/>
    <x v="6"/>
    <s v="4211.001"/>
    <s v="Intérêts de retard sur factures"/>
    <n v="0"/>
    <n v="4.03"/>
    <n v="4211"/>
  </r>
  <r>
    <x v="0"/>
    <x v="1"/>
    <x v="1"/>
    <x v="15"/>
    <x v="15"/>
    <x v="15"/>
    <s v="REVENUS"/>
    <x v="2"/>
    <s v="4001.001"/>
    <s v="Impôt revenu"/>
    <n v="0"/>
    <n v="919.05"/>
    <n v="4001"/>
  </r>
  <r>
    <x v="0"/>
    <x v="1"/>
    <x v="1"/>
    <x v="15"/>
    <x v="15"/>
    <x v="15"/>
    <s v="REVENUS"/>
    <x v="3"/>
    <s v="4002.001"/>
    <s v="Impôt ordinaire s/fortune PP"/>
    <n v="0"/>
    <n v="17.75"/>
    <n v="4002"/>
  </r>
  <r>
    <x v="0"/>
    <x v="1"/>
    <x v="1"/>
    <x v="15"/>
    <x v="15"/>
    <x v="15"/>
    <s v="REVENUS"/>
    <x v="6"/>
    <s v="4211.002"/>
    <s v="Intérêts de retard sur acomptes"/>
    <n v="0"/>
    <n v="15.35"/>
    <n v="4211"/>
  </r>
  <r>
    <x v="0"/>
    <x v="1"/>
    <x v="1"/>
    <x v="15"/>
    <x v="15"/>
    <x v="15"/>
    <s v="REVENUS"/>
    <x v="6"/>
    <s v="4221.003"/>
    <s v="Intérêts compensat. / acomptes en faveur du fisc"/>
    <n v="0"/>
    <n v="-11.16"/>
    <n v="4221"/>
  </r>
  <r>
    <x v="0"/>
    <x v="1"/>
    <x v="1"/>
    <x v="15"/>
    <x v="15"/>
    <x v="15"/>
    <s v="REVENUS"/>
    <x v="6"/>
    <s v="4221.003"/>
    <s v="Intérêts compensat. / acomptes en faveur du fisc"/>
    <n v="0"/>
    <n v="0.01"/>
    <n v="4221"/>
  </r>
  <r>
    <x v="0"/>
    <x v="1"/>
    <x v="1"/>
    <x v="15"/>
    <x v="15"/>
    <x v="15"/>
    <s v="REVENUS"/>
    <x v="2"/>
    <s v="4001.003"/>
    <s v="Impôt s/prest. cap. PP"/>
    <n v="0"/>
    <n v="-2027.85"/>
    <n v="4001"/>
  </r>
  <r>
    <x v="0"/>
    <x v="1"/>
    <x v="1"/>
    <x v="15"/>
    <x v="15"/>
    <x v="15"/>
    <s v="REVENUS"/>
    <x v="9"/>
    <s v="4031.002"/>
    <s v="Complément impôt sur les gains immobiliers"/>
    <n v="0"/>
    <n v="22085"/>
    <n v="4031"/>
  </r>
  <r>
    <x v="0"/>
    <x v="1"/>
    <x v="1"/>
    <x v="15"/>
    <x v="15"/>
    <x v="15"/>
    <s v="REVENUS"/>
    <x v="3"/>
    <s v="4002.001"/>
    <s v="Impôt ordinaire s/fortune PP"/>
    <n v="0"/>
    <n v="266.35000000000002"/>
    <n v="4002"/>
  </r>
  <r>
    <x v="0"/>
    <x v="1"/>
    <x v="1"/>
    <x v="15"/>
    <x v="15"/>
    <x v="15"/>
    <s v="REVENUS"/>
    <x v="6"/>
    <s v="4211.002"/>
    <s v="Intérêts de retard sur acomptes"/>
    <n v="0"/>
    <n v="7.05"/>
    <n v="4211"/>
  </r>
  <r>
    <x v="0"/>
    <x v="1"/>
    <x v="1"/>
    <x v="15"/>
    <x v="15"/>
    <x v="15"/>
    <s v="REVENUS"/>
    <x v="6"/>
    <s v="4221.003"/>
    <s v="Intérêts compensat. / acomptes en faveur du fisc"/>
    <n v="0"/>
    <n v="7.0000000000000007E-2"/>
    <n v="4221"/>
  </r>
  <r>
    <x v="0"/>
    <x v="1"/>
    <x v="1"/>
    <x v="15"/>
    <x v="15"/>
    <x v="15"/>
    <s v="REVENUS"/>
    <x v="2"/>
    <s v="4001.002"/>
    <s v="Impôt complément s/revenu PP"/>
    <n v="0"/>
    <n v="-7075.6"/>
    <n v="4001"/>
  </r>
  <r>
    <x v="0"/>
    <x v="1"/>
    <x v="1"/>
    <x v="15"/>
    <x v="15"/>
    <x v="15"/>
    <s v="REVENUS"/>
    <x v="3"/>
    <s v="4002.002"/>
    <s v="Impôt complémentaire s/fortune PP"/>
    <n v="0"/>
    <n v="-34.5"/>
    <n v="4002"/>
  </r>
  <r>
    <x v="0"/>
    <x v="1"/>
    <x v="1"/>
    <x v="15"/>
    <x v="15"/>
    <x v="15"/>
    <s v="REVENUS"/>
    <x v="12"/>
    <s v="4004.000"/>
    <s v="Impôt spécial étrangers"/>
    <n v="0"/>
    <n v="69240.800000000003"/>
    <n v="4004"/>
  </r>
  <r>
    <x v="0"/>
    <x v="1"/>
    <x v="1"/>
    <x v="16"/>
    <x v="16"/>
    <x v="16"/>
    <s v="CHARGES"/>
    <x v="0"/>
    <s v="3212.002"/>
    <s v="Intérêts bonifiés/trop perçu acompte C/C"/>
    <n v="26.3"/>
    <n v="0"/>
    <n v="3212"/>
  </r>
  <r>
    <x v="0"/>
    <x v="1"/>
    <x v="1"/>
    <x v="16"/>
    <x v="16"/>
    <x v="16"/>
    <s v="CHARGES"/>
    <x v="0"/>
    <s v="3212.004"/>
    <s v="Intérêts rémun./perçu trop tôt sur acomptes C/C"/>
    <n v="1557.64"/>
    <n v="0"/>
    <n v="3212"/>
  </r>
  <r>
    <x v="0"/>
    <x v="1"/>
    <x v="1"/>
    <x v="16"/>
    <x v="16"/>
    <x v="16"/>
    <s v="CHARGES"/>
    <x v="0"/>
    <s v="3221.002"/>
    <s v="Intérêts compensatoires / créances en faveur ctb."/>
    <n v="736.68"/>
    <n v="0"/>
    <n v="3221"/>
  </r>
  <r>
    <x v="0"/>
    <x v="1"/>
    <x v="1"/>
    <x v="16"/>
    <x v="16"/>
    <x v="16"/>
    <s v="CHARGES"/>
    <x v="1"/>
    <s v="3301.001"/>
    <s v="Défalcations, abandons de solde PP et IS"/>
    <n v="88106.09"/>
    <n v="0"/>
    <n v="3301"/>
  </r>
  <r>
    <x v="0"/>
    <x v="1"/>
    <x v="1"/>
    <x v="16"/>
    <x v="16"/>
    <x v="16"/>
    <s v="CHARGES"/>
    <x v="0"/>
    <s v="3212.004"/>
    <s v="Intérêts rémun./perçu trop tôt sur acomptes C/C"/>
    <n v="20.25"/>
    <n v="0"/>
    <n v="3212"/>
  </r>
  <r>
    <x v="0"/>
    <x v="1"/>
    <x v="1"/>
    <x v="16"/>
    <x v="16"/>
    <x v="16"/>
    <s v="CHARGES"/>
    <x v="0"/>
    <s v="3221.002"/>
    <s v="Intérêts compensatoires / créances en faveur ctb."/>
    <n v="6.5"/>
    <n v="0"/>
    <n v="3221"/>
  </r>
  <r>
    <x v="0"/>
    <x v="1"/>
    <x v="1"/>
    <x v="16"/>
    <x v="16"/>
    <x v="16"/>
    <s v="CHARGES"/>
    <x v="0"/>
    <s v="3212.004"/>
    <s v="Intérêts rémun./perçu trop tôt sur acomptes C/C"/>
    <n v="4.53"/>
    <n v="0"/>
    <n v="3212"/>
  </r>
  <r>
    <x v="0"/>
    <x v="1"/>
    <x v="1"/>
    <x v="16"/>
    <x v="16"/>
    <x v="16"/>
    <s v="CHARGES"/>
    <x v="0"/>
    <s v="3221.002"/>
    <s v="Intérêts compensatoires / créances en faveur ctb."/>
    <n v="6.94"/>
    <n v="0"/>
    <n v="3221"/>
  </r>
  <r>
    <x v="0"/>
    <x v="1"/>
    <x v="1"/>
    <x v="16"/>
    <x v="16"/>
    <x v="16"/>
    <s v="CHARGES"/>
    <x v="0"/>
    <s v="3212.004"/>
    <s v="Intérêts rémun./perçu trop tôt sur acomptes C/C"/>
    <n v="11.86"/>
    <n v="0"/>
    <n v="3212"/>
  </r>
  <r>
    <x v="0"/>
    <x v="1"/>
    <x v="1"/>
    <x v="16"/>
    <x v="16"/>
    <x v="16"/>
    <s v="CHARGES"/>
    <x v="0"/>
    <s v="3221.002"/>
    <s v="Intérêts compensatoires / créances en faveur ctb."/>
    <n v="2.2799999999999998"/>
    <n v="0"/>
    <n v="3221"/>
  </r>
  <r>
    <x v="0"/>
    <x v="1"/>
    <x v="1"/>
    <x v="16"/>
    <x v="16"/>
    <x v="16"/>
    <s v="CHARGES"/>
    <x v="0"/>
    <s v="3212.004"/>
    <s v="Intérêts rémun./perçu trop tôt sur acomptes C/C"/>
    <n v="0.03"/>
    <n v="0"/>
    <n v="3212"/>
  </r>
  <r>
    <x v="0"/>
    <x v="1"/>
    <x v="1"/>
    <x v="16"/>
    <x v="16"/>
    <x v="16"/>
    <s v="CHARGES"/>
    <x v="0"/>
    <s v="3221.002"/>
    <s v="Intérêts compensatoires / créances en faveur ctb."/>
    <n v="0.05"/>
    <n v="0"/>
    <n v="3221"/>
  </r>
  <r>
    <x v="0"/>
    <x v="1"/>
    <x v="1"/>
    <x v="16"/>
    <x v="16"/>
    <x v="16"/>
    <s v="CHARGES"/>
    <x v="0"/>
    <s v="3212.002"/>
    <s v="Intérêts bonifiés/trop perçu acompte C/C"/>
    <n v="0"/>
    <n v="0"/>
    <n v="3212"/>
  </r>
  <r>
    <x v="0"/>
    <x v="1"/>
    <x v="1"/>
    <x v="16"/>
    <x v="16"/>
    <x v="16"/>
    <s v="CHARGES"/>
    <x v="0"/>
    <s v="3212.004"/>
    <s v="Intérêts rémun./perçu trop tôt sur acomptes C/C"/>
    <n v="-18.93"/>
    <n v="0"/>
    <n v="3212"/>
  </r>
  <r>
    <x v="0"/>
    <x v="1"/>
    <x v="1"/>
    <x v="16"/>
    <x v="16"/>
    <x v="16"/>
    <s v="CHARGES"/>
    <x v="0"/>
    <s v="3221.002"/>
    <s v="Intérêts compensatoires / créances en faveur ctb."/>
    <n v="41.48"/>
    <n v="0"/>
    <n v="3221"/>
  </r>
  <r>
    <x v="0"/>
    <x v="1"/>
    <x v="1"/>
    <x v="16"/>
    <x v="16"/>
    <x v="16"/>
    <s v="CHARGES"/>
    <x v="1"/>
    <s v="3301.001"/>
    <s v="Défalcations, abandons de solde PP et IS"/>
    <n v="-30.79"/>
    <n v="0"/>
    <n v="3301"/>
  </r>
  <r>
    <x v="0"/>
    <x v="1"/>
    <x v="1"/>
    <x v="16"/>
    <x v="16"/>
    <x v="16"/>
    <s v="CHARGES"/>
    <x v="1"/>
    <s v="3301.001"/>
    <s v="Défalcations, abandons de solde PP et IS"/>
    <n v="1.51"/>
    <n v="0"/>
    <n v="3301"/>
  </r>
  <r>
    <x v="0"/>
    <x v="1"/>
    <x v="1"/>
    <x v="16"/>
    <x v="16"/>
    <x v="16"/>
    <s v="CHARGES"/>
    <x v="0"/>
    <s v="3212.002"/>
    <s v="Intérêts bonifiés/trop perçu acompte C/C"/>
    <n v="-0.4"/>
    <n v="0"/>
    <n v="3212"/>
  </r>
  <r>
    <x v="0"/>
    <x v="1"/>
    <x v="1"/>
    <x v="16"/>
    <x v="16"/>
    <x v="16"/>
    <s v="CHARGES"/>
    <x v="0"/>
    <s v="3212.004"/>
    <s v="Intérêts rémun./perçu trop tôt sur acomptes C/C"/>
    <n v="2.06"/>
    <n v="0"/>
    <n v="3212"/>
  </r>
  <r>
    <x v="0"/>
    <x v="1"/>
    <x v="1"/>
    <x v="16"/>
    <x v="16"/>
    <x v="16"/>
    <s v="CHARGES"/>
    <x v="0"/>
    <s v="3221.002"/>
    <s v="Intérêts compensatoires / créances en faveur ctb."/>
    <n v="2.25"/>
    <n v="0"/>
    <n v="3221"/>
  </r>
  <r>
    <x v="0"/>
    <x v="1"/>
    <x v="1"/>
    <x v="16"/>
    <x v="16"/>
    <x v="16"/>
    <s v="CHARGES"/>
    <x v="0"/>
    <s v="3212.002"/>
    <s v="Intérêts bonifiés/trop perçu acompte C/C"/>
    <n v="0.36"/>
    <n v="0"/>
    <n v="3212"/>
  </r>
  <r>
    <x v="0"/>
    <x v="1"/>
    <x v="1"/>
    <x v="16"/>
    <x v="16"/>
    <x v="16"/>
    <s v="CHARGES"/>
    <x v="0"/>
    <s v="3212.004"/>
    <s v="Intérêts rémun./perçu trop tôt sur acomptes C/C"/>
    <n v="-0.66"/>
    <n v="0"/>
    <n v="3212"/>
  </r>
  <r>
    <x v="0"/>
    <x v="1"/>
    <x v="1"/>
    <x v="16"/>
    <x v="16"/>
    <x v="16"/>
    <s v="CHARGES"/>
    <x v="0"/>
    <s v="3221.002"/>
    <s v="Intérêts compensatoires / créances en faveur ctb."/>
    <n v="-0.8"/>
    <n v="0"/>
    <n v="3221"/>
  </r>
  <r>
    <x v="0"/>
    <x v="1"/>
    <x v="1"/>
    <x v="16"/>
    <x v="16"/>
    <x v="16"/>
    <s v="CHARGES"/>
    <x v="1"/>
    <s v="3301.001"/>
    <s v="Défalcations, abandons de solde PP et IS"/>
    <n v="0.09"/>
    <n v="0"/>
    <n v="3301"/>
  </r>
  <r>
    <x v="0"/>
    <x v="1"/>
    <x v="1"/>
    <x v="16"/>
    <x v="16"/>
    <x v="16"/>
    <s v="CHARGES"/>
    <x v="1"/>
    <s v="3301.003"/>
    <s v="Remises PP et IS"/>
    <n v="675.1"/>
    <n v="0"/>
    <n v="3301"/>
  </r>
  <r>
    <x v="0"/>
    <x v="1"/>
    <x v="1"/>
    <x v="16"/>
    <x v="16"/>
    <x v="16"/>
    <s v="CHARGES"/>
    <x v="1"/>
    <s v="3301.001"/>
    <s v="Défalcations, abandons de solde PP et IS"/>
    <n v="1.02"/>
    <n v="0"/>
    <n v="3301"/>
  </r>
  <r>
    <x v="0"/>
    <x v="1"/>
    <x v="1"/>
    <x v="16"/>
    <x v="16"/>
    <x v="16"/>
    <s v="CHARGES"/>
    <x v="1"/>
    <s v="3301.001"/>
    <s v="Défalcations, abandons de solde PP et IS"/>
    <n v="0.53"/>
    <n v="0"/>
    <n v="3301"/>
  </r>
  <r>
    <x v="0"/>
    <x v="1"/>
    <x v="1"/>
    <x v="16"/>
    <x v="16"/>
    <x v="16"/>
    <s v="CHARGES"/>
    <x v="1"/>
    <s v="3301.001"/>
    <s v="Défalcations, abandons de solde PP et IS"/>
    <n v="-0.04"/>
    <n v="0"/>
    <n v="3301"/>
  </r>
  <r>
    <x v="0"/>
    <x v="1"/>
    <x v="1"/>
    <x v="16"/>
    <x v="16"/>
    <x v="16"/>
    <s v="CHARGES"/>
    <x v="1"/>
    <s v="3301.001"/>
    <s v="Défalcations, abandons de solde PP et IS"/>
    <n v="0"/>
    <n v="0"/>
    <n v="3301"/>
  </r>
  <r>
    <x v="0"/>
    <x v="1"/>
    <x v="1"/>
    <x v="16"/>
    <x v="16"/>
    <x v="16"/>
    <s v="CHARGES"/>
    <x v="0"/>
    <s v="3212.002"/>
    <s v="Intérêts bonifiés/trop perçu acompte C/C"/>
    <n v="-0.28999999999999998"/>
    <n v="0"/>
    <n v="3212"/>
  </r>
  <r>
    <x v="0"/>
    <x v="1"/>
    <x v="1"/>
    <x v="16"/>
    <x v="16"/>
    <x v="16"/>
    <s v="CHARGES"/>
    <x v="1"/>
    <s v="3301.001"/>
    <s v="Défalcations, abandons de solde PP et IS"/>
    <n v="2.85"/>
    <n v="0"/>
    <n v="3301"/>
  </r>
  <r>
    <x v="0"/>
    <x v="1"/>
    <x v="1"/>
    <x v="16"/>
    <x v="16"/>
    <x v="16"/>
    <s v="REVENUS"/>
    <x v="7"/>
    <s v="4184.000"/>
    <s v="Frais de poursuite"/>
    <n v="0"/>
    <n v="409.67"/>
    <n v="4184"/>
  </r>
  <r>
    <x v="0"/>
    <x v="1"/>
    <x v="1"/>
    <x v="16"/>
    <x v="16"/>
    <x v="16"/>
    <s v="REVENUS"/>
    <x v="2"/>
    <s v="4001.007"/>
    <s v="Acompte impôt sur revenu"/>
    <n v="0"/>
    <n v="2169619.2599999998"/>
    <n v="4001"/>
  </r>
  <r>
    <x v="0"/>
    <x v="1"/>
    <x v="1"/>
    <x v="16"/>
    <x v="16"/>
    <x v="16"/>
    <s v="REVENUS"/>
    <x v="2"/>
    <s v="4001.007"/>
    <s v="Acompte impôt sur revenu"/>
    <n v="0"/>
    <n v="-3856200.69"/>
    <n v="4001"/>
  </r>
  <r>
    <x v="0"/>
    <x v="1"/>
    <x v="1"/>
    <x v="16"/>
    <x v="16"/>
    <x v="16"/>
    <s v="REVENUS"/>
    <x v="3"/>
    <s v="4002.007"/>
    <s v="Acompte impôt sur fortune"/>
    <n v="0"/>
    <n v="-1131740.74"/>
    <n v="4002"/>
  </r>
  <r>
    <x v="0"/>
    <x v="1"/>
    <x v="1"/>
    <x v="16"/>
    <x v="16"/>
    <x v="16"/>
    <s v="REVENUS"/>
    <x v="2"/>
    <s v="4001.001"/>
    <s v="Impôt revenu"/>
    <n v="0"/>
    <n v="6296777.2999999998"/>
    <n v="4001"/>
  </r>
  <r>
    <x v="0"/>
    <x v="1"/>
    <x v="1"/>
    <x v="16"/>
    <x v="16"/>
    <x v="16"/>
    <s v="REVENUS"/>
    <x v="2"/>
    <s v="4001.002"/>
    <s v="Impôt complément s/revenu PP"/>
    <n v="0"/>
    <n v="4018261.4"/>
    <n v="4001"/>
  </r>
  <r>
    <x v="0"/>
    <x v="1"/>
    <x v="1"/>
    <x v="16"/>
    <x v="16"/>
    <x v="16"/>
    <s v="REVENUS"/>
    <x v="3"/>
    <s v="4002.001"/>
    <s v="Impôt ordinaire s/fortune PP"/>
    <n v="0"/>
    <n v="608394.19999999995"/>
    <n v="4002"/>
  </r>
  <r>
    <x v="0"/>
    <x v="1"/>
    <x v="1"/>
    <x v="16"/>
    <x v="16"/>
    <x v="16"/>
    <s v="REVENUS"/>
    <x v="3"/>
    <s v="4002.002"/>
    <s v="Impôt complémentaire s/fortune PP"/>
    <n v="0"/>
    <n v="350859.15"/>
    <n v="4002"/>
  </r>
  <r>
    <x v="0"/>
    <x v="1"/>
    <x v="1"/>
    <x v="16"/>
    <x v="16"/>
    <x v="16"/>
    <s v="REVENUS"/>
    <x v="3"/>
    <s v="4002.007"/>
    <s v="Acompte impôt sur fortune"/>
    <n v="0"/>
    <n v="376860.09"/>
    <n v="4002"/>
  </r>
  <r>
    <x v="0"/>
    <x v="1"/>
    <x v="1"/>
    <x v="16"/>
    <x v="16"/>
    <x v="16"/>
    <s v="REVENUS"/>
    <x v="6"/>
    <s v="4211.001"/>
    <s v="Intérêts de retard sur factures"/>
    <n v="0"/>
    <n v="56380.36"/>
    <n v="4211"/>
  </r>
  <r>
    <x v="0"/>
    <x v="1"/>
    <x v="1"/>
    <x v="16"/>
    <x v="16"/>
    <x v="16"/>
    <s v="REVENUS"/>
    <x v="6"/>
    <s v="4211.002"/>
    <s v="Intérêts de retard sur acomptes"/>
    <n v="0"/>
    <n v="124975.6"/>
    <n v="4211"/>
  </r>
  <r>
    <x v="0"/>
    <x v="1"/>
    <x v="1"/>
    <x v="16"/>
    <x v="16"/>
    <x v="16"/>
    <s v="REVENUS"/>
    <x v="6"/>
    <s v="4221.003"/>
    <s v="Intérêts compensat. / acomptes en faveur du fisc"/>
    <n v="0"/>
    <n v="200.69"/>
    <n v="4221"/>
  </r>
  <r>
    <x v="0"/>
    <x v="1"/>
    <x v="1"/>
    <x v="16"/>
    <x v="16"/>
    <x v="16"/>
    <s v="REVENUS"/>
    <x v="2"/>
    <s v="4001.001"/>
    <s v="Impôt revenu"/>
    <n v="0"/>
    <n v="35757.800000000003"/>
    <n v="4001"/>
  </r>
  <r>
    <x v="0"/>
    <x v="1"/>
    <x v="1"/>
    <x v="16"/>
    <x v="16"/>
    <x v="16"/>
    <s v="REVENUS"/>
    <x v="2"/>
    <s v="4001.007"/>
    <s v="Acompte impôt sur revenu"/>
    <n v="0"/>
    <n v="-5779.4"/>
    <n v="4001"/>
  </r>
  <r>
    <x v="0"/>
    <x v="1"/>
    <x v="1"/>
    <x v="16"/>
    <x v="16"/>
    <x v="16"/>
    <s v="REVENUS"/>
    <x v="3"/>
    <s v="4002.001"/>
    <s v="Impôt ordinaire s/fortune PP"/>
    <n v="0"/>
    <n v="3830.5"/>
    <n v="4002"/>
  </r>
  <r>
    <x v="0"/>
    <x v="1"/>
    <x v="1"/>
    <x v="16"/>
    <x v="16"/>
    <x v="16"/>
    <s v="REVENUS"/>
    <x v="3"/>
    <s v="4002.007"/>
    <s v="Acompte impôt sur fortune"/>
    <n v="0"/>
    <n v="435.35"/>
    <n v="4002"/>
  </r>
  <r>
    <x v="0"/>
    <x v="1"/>
    <x v="1"/>
    <x v="16"/>
    <x v="16"/>
    <x v="16"/>
    <s v="REVENUS"/>
    <x v="2"/>
    <s v="4001.001"/>
    <s v="Impôt revenu"/>
    <n v="0"/>
    <n v="9530.5499999999993"/>
    <n v="4001"/>
  </r>
  <r>
    <x v="0"/>
    <x v="1"/>
    <x v="1"/>
    <x v="16"/>
    <x v="16"/>
    <x v="16"/>
    <s v="REVENUS"/>
    <x v="2"/>
    <s v="4001.007"/>
    <s v="Acompte impôt sur revenu"/>
    <n v="0"/>
    <n v="-1564.6"/>
    <n v="4001"/>
  </r>
  <r>
    <x v="0"/>
    <x v="1"/>
    <x v="1"/>
    <x v="16"/>
    <x v="16"/>
    <x v="16"/>
    <s v="REVENUS"/>
    <x v="3"/>
    <s v="4002.001"/>
    <s v="Impôt ordinaire s/fortune PP"/>
    <n v="0"/>
    <n v="4700.8999999999996"/>
    <n v="4002"/>
  </r>
  <r>
    <x v="0"/>
    <x v="1"/>
    <x v="1"/>
    <x v="16"/>
    <x v="16"/>
    <x v="16"/>
    <s v="REVENUS"/>
    <x v="3"/>
    <s v="4002.007"/>
    <s v="Acompte impôt sur fortune"/>
    <n v="0"/>
    <n v="-1613.4"/>
    <n v="4002"/>
  </r>
  <r>
    <x v="0"/>
    <x v="1"/>
    <x v="1"/>
    <x v="16"/>
    <x v="16"/>
    <x v="16"/>
    <s v="REVENUS"/>
    <x v="2"/>
    <s v="4001.001"/>
    <s v="Impôt revenu"/>
    <n v="0"/>
    <n v="-410989"/>
    <n v="4001"/>
  </r>
  <r>
    <x v="0"/>
    <x v="1"/>
    <x v="1"/>
    <x v="16"/>
    <x v="16"/>
    <x v="16"/>
    <s v="REVENUS"/>
    <x v="3"/>
    <s v="4002.001"/>
    <s v="Impôt ordinaire s/fortune PP"/>
    <n v="0"/>
    <n v="-26956.5"/>
    <n v="4002"/>
  </r>
  <r>
    <x v="0"/>
    <x v="1"/>
    <x v="1"/>
    <x v="16"/>
    <x v="16"/>
    <x v="16"/>
    <s v="REVENUS"/>
    <x v="2"/>
    <s v="4001.003"/>
    <s v="Impôt s/prest. cap. PP"/>
    <n v="0"/>
    <n v="379398.2"/>
    <n v="4001"/>
  </r>
  <r>
    <x v="0"/>
    <x v="1"/>
    <x v="1"/>
    <x v="16"/>
    <x v="16"/>
    <x v="16"/>
    <s v="REVENUS"/>
    <x v="3"/>
    <s v="4002.001"/>
    <s v="Impôt ordinaire s/fortune PP"/>
    <n v="0"/>
    <n v="10459"/>
    <n v="4002"/>
  </r>
  <r>
    <x v="0"/>
    <x v="1"/>
    <x v="1"/>
    <x v="16"/>
    <x v="16"/>
    <x v="16"/>
    <s v="REVENUS"/>
    <x v="2"/>
    <s v="4001.003"/>
    <s v="Impôt s/prest. cap. PP"/>
    <n v="0"/>
    <n v="-9806.6"/>
    <n v="4001"/>
  </r>
  <r>
    <x v="0"/>
    <x v="1"/>
    <x v="1"/>
    <x v="16"/>
    <x v="16"/>
    <x v="16"/>
    <s v="REVENUS"/>
    <x v="9"/>
    <s v="4031.001"/>
    <s v="Impôt sur les gains immobiliers"/>
    <n v="0"/>
    <n v="440850.9"/>
    <n v="4031"/>
  </r>
  <r>
    <x v="0"/>
    <x v="1"/>
    <x v="1"/>
    <x v="16"/>
    <x v="16"/>
    <x v="16"/>
    <s v="REVENUS"/>
    <x v="6"/>
    <s v="4221.002"/>
    <s v="Intérêts compensat. sur impôts distincts"/>
    <n v="0"/>
    <n v="176.13"/>
    <n v="4221"/>
  </r>
  <r>
    <x v="0"/>
    <x v="1"/>
    <x v="1"/>
    <x v="16"/>
    <x v="16"/>
    <x v="16"/>
    <s v="REVENUS"/>
    <x v="6"/>
    <s v="4211.002"/>
    <s v="Intérêts de retard sur acomptes"/>
    <n v="0"/>
    <n v="426.67"/>
    <n v="4211"/>
  </r>
  <r>
    <x v="0"/>
    <x v="1"/>
    <x v="1"/>
    <x v="16"/>
    <x v="16"/>
    <x v="16"/>
    <s v="REVENUS"/>
    <x v="2"/>
    <s v="4001.007"/>
    <s v="Acompte impôt sur revenu"/>
    <n v="0"/>
    <n v="-414.05"/>
    <n v="4001"/>
  </r>
  <r>
    <x v="0"/>
    <x v="1"/>
    <x v="1"/>
    <x v="16"/>
    <x v="16"/>
    <x v="16"/>
    <s v="REVENUS"/>
    <x v="3"/>
    <s v="4002.007"/>
    <s v="Acompte impôt sur fortune"/>
    <n v="0"/>
    <n v="-704.3"/>
    <n v="4002"/>
  </r>
  <r>
    <x v="0"/>
    <x v="1"/>
    <x v="1"/>
    <x v="16"/>
    <x v="16"/>
    <x v="16"/>
    <s v="REVENUS"/>
    <x v="2"/>
    <s v="4001.001"/>
    <s v="Impôt revenu"/>
    <n v="0"/>
    <n v="5990.25"/>
    <n v="4001"/>
  </r>
  <r>
    <x v="0"/>
    <x v="1"/>
    <x v="1"/>
    <x v="16"/>
    <x v="16"/>
    <x v="16"/>
    <s v="REVENUS"/>
    <x v="3"/>
    <s v="4002.001"/>
    <s v="Impôt ordinaire s/fortune PP"/>
    <n v="0"/>
    <n v="1482.1"/>
    <n v="4002"/>
  </r>
  <r>
    <x v="0"/>
    <x v="1"/>
    <x v="1"/>
    <x v="16"/>
    <x v="16"/>
    <x v="16"/>
    <s v="REVENUS"/>
    <x v="7"/>
    <s v="4184.000"/>
    <s v="Frais de poursuite"/>
    <n v="0"/>
    <n v="7048.39"/>
    <n v="4184"/>
  </r>
  <r>
    <x v="0"/>
    <x v="1"/>
    <x v="1"/>
    <x v="16"/>
    <x v="16"/>
    <x v="16"/>
    <s v="REVENUS"/>
    <x v="2"/>
    <s v="4001.001"/>
    <s v="Impôt revenu"/>
    <n v="0"/>
    <n v="16924.75"/>
    <n v="4001"/>
  </r>
  <r>
    <x v="0"/>
    <x v="1"/>
    <x v="1"/>
    <x v="16"/>
    <x v="16"/>
    <x v="16"/>
    <s v="REVENUS"/>
    <x v="3"/>
    <s v="4002.007"/>
    <s v="Acompte impôt sur fortune"/>
    <n v="0"/>
    <n v="409.45"/>
    <n v="4002"/>
  </r>
  <r>
    <x v="0"/>
    <x v="1"/>
    <x v="1"/>
    <x v="16"/>
    <x v="16"/>
    <x v="16"/>
    <s v="REVENUS"/>
    <x v="6"/>
    <s v="4211.001"/>
    <s v="Intérêts de retard sur factures"/>
    <n v="0"/>
    <n v="34.200000000000003"/>
    <n v="4211"/>
  </r>
  <r>
    <x v="0"/>
    <x v="1"/>
    <x v="1"/>
    <x v="16"/>
    <x v="16"/>
    <x v="16"/>
    <s v="REVENUS"/>
    <x v="2"/>
    <s v="4001.002"/>
    <s v="Impôt complément s/revenu PP"/>
    <n v="0"/>
    <n v="-54835.75"/>
    <n v="4001"/>
  </r>
  <r>
    <x v="0"/>
    <x v="1"/>
    <x v="1"/>
    <x v="16"/>
    <x v="16"/>
    <x v="16"/>
    <s v="REVENUS"/>
    <x v="3"/>
    <s v="4002.002"/>
    <s v="Impôt complémentaire s/fortune PP"/>
    <n v="0"/>
    <n v="-2748.85"/>
    <n v="4002"/>
  </r>
  <r>
    <x v="0"/>
    <x v="1"/>
    <x v="1"/>
    <x v="16"/>
    <x v="16"/>
    <x v="16"/>
    <s v="REVENUS"/>
    <x v="12"/>
    <s v="4004.007"/>
    <s v="Acompte spécial étrangers"/>
    <n v="0"/>
    <n v="48611.65"/>
    <n v="4004"/>
  </r>
  <r>
    <x v="0"/>
    <x v="1"/>
    <x v="1"/>
    <x v="16"/>
    <x v="16"/>
    <x v="16"/>
    <s v="REVENUS"/>
    <x v="5"/>
    <s v="4061.000"/>
    <s v="Impôt sur les chiens"/>
    <n v="0"/>
    <n v="23150"/>
    <n v="4061"/>
  </r>
  <r>
    <x v="0"/>
    <x v="1"/>
    <x v="1"/>
    <x v="16"/>
    <x v="16"/>
    <x v="16"/>
    <s v="REVENUS"/>
    <x v="2"/>
    <s v="4001.007"/>
    <s v="Acompte impôt sur revenu"/>
    <n v="0"/>
    <n v="-132.30000000000001"/>
    <n v="4001"/>
  </r>
  <r>
    <x v="0"/>
    <x v="1"/>
    <x v="1"/>
    <x v="16"/>
    <x v="16"/>
    <x v="16"/>
    <s v="REVENUS"/>
    <x v="2"/>
    <s v="4001.007"/>
    <s v="Acompte impôt sur revenu"/>
    <n v="0"/>
    <n v="2495.4499999999998"/>
    <n v="4001"/>
  </r>
  <r>
    <x v="0"/>
    <x v="1"/>
    <x v="1"/>
    <x v="16"/>
    <x v="16"/>
    <x v="16"/>
    <s v="REVENUS"/>
    <x v="3"/>
    <s v="4002.007"/>
    <s v="Acompte impôt sur fortune"/>
    <n v="0"/>
    <n v="238.02"/>
    <n v="4002"/>
  </r>
  <r>
    <x v="0"/>
    <x v="1"/>
    <x v="1"/>
    <x v="16"/>
    <x v="16"/>
    <x v="16"/>
    <s v="REVENUS"/>
    <x v="3"/>
    <s v="4002.007"/>
    <s v="Acompte impôt sur fortune"/>
    <n v="0"/>
    <n v="-2825.08"/>
    <n v="4002"/>
  </r>
  <r>
    <x v="0"/>
    <x v="1"/>
    <x v="1"/>
    <x v="16"/>
    <x v="16"/>
    <x v="16"/>
    <s v="REVENUS"/>
    <x v="2"/>
    <s v="4001.001"/>
    <s v="Impôt revenu"/>
    <n v="0"/>
    <n v="-183078.35"/>
    <n v="4001"/>
  </r>
  <r>
    <x v="0"/>
    <x v="1"/>
    <x v="1"/>
    <x v="16"/>
    <x v="16"/>
    <x v="16"/>
    <s v="REVENUS"/>
    <x v="3"/>
    <s v="4002.001"/>
    <s v="Impôt ordinaire s/fortune PP"/>
    <n v="0"/>
    <n v="-15271.95"/>
    <n v="4002"/>
  </r>
  <r>
    <x v="0"/>
    <x v="1"/>
    <x v="1"/>
    <x v="16"/>
    <x v="16"/>
    <x v="16"/>
    <s v="REVENUS"/>
    <x v="6"/>
    <s v="4211.002"/>
    <s v="Intérêts de retard sur acomptes"/>
    <n v="0"/>
    <n v="-368.52"/>
    <n v="4211"/>
  </r>
  <r>
    <x v="0"/>
    <x v="1"/>
    <x v="1"/>
    <x v="16"/>
    <x v="16"/>
    <x v="16"/>
    <s v="REVENUS"/>
    <x v="6"/>
    <s v="4221.003"/>
    <s v="Intérêts compensat. / acomptes en faveur du fisc"/>
    <n v="0"/>
    <n v="-88.34"/>
    <n v="4221"/>
  </r>
  <r>
    <x v="0"/>
    <x v="1"/>
    <x v="1"/>
    <x v="16"/>
    <x v="16"/>
    <x v="16"/>
    <s v="REVENUS"/>
    <x v="2"/>
    <s v="4001.007"/>
    <s v="Acompte impôt sur revenu"/>
    <n v="0"/>
    <n v="-1132.83"/>
    <n v="4001"/>
  </r>
  <r>
    <x v="0"/>
    <x v="1"/>
    <x v="1"/>
    <x v="16"/>
    <x v="16"/>
    <x v="16"/>
    <s v="REVENUS"/>
    <x v="2"/>
    <s v="4001.002"/>
    <s v="Impôt complément s/revenu PP"/>
    <n v="0"/>
    <n v="-24548.45"/>
    <n v="4001"/>
  </r>
  <r>
    <x v="0"/>
    <x v="1"/>
    <x v="1"/>
    <x v="16"/>
    <x v="16"/>
    <x v="16"/>
    <s v="REVENUS"/>
    <x v="12"/>
    <s v="4004.007"/>
    <s v="Acompte spécial étrangers"/>
    <n v="0"/>
    <n v="-25763.85"/>
    <n v="4004"/>
  </r>
  <r>
    <x v="0"/>
    <x v="1"/>
    <x v="1"/>
    <x v="16"/>
    <x v="16"/>
    <x v="16"/>
    <s v="REVENUS"/>
    <x v="12"/>
    <s v="4004.000"/>
    <s v="Impôt spécial étrangers"/>
    <n v="0"/>
    <n v="297060.2"/>
    <n v="4004"/>
  </r>
  <r>
    <x v="0"/>
    <x v="1"/>
    <x v="1"/>
    <x v="16"/>
    <x v="16"/>
    <x v="16"/>
    <s v="REVENUS"/>
    <x v="2"/>
    <s v="4001.003"/>
    <s v="Impôt s/prest. cap. PP"/>
    <n v="0"/>
    <n v="-3929.5"/>
    <n v="4001"/>
  </r>
  <r>
    <x v="0"/>
    <x v="1"/>
    <x v="1"/>
    <x v="16"/>
    <x v="16"/>
    <x v="16"/>
    <s v="REVENUS"/>
    <x v="6"/>
    <s v="4211.001"/>
    <s v="Intérêts de retard sur factures"/>
    <n v="0"/>
    <n v="-38.119999999999997"/>
    <n v="4211"/>
  </r>
  <r>
    <x v="0"/>
    <x v="1"/>
    <x v="1"/>
    <x v="16"/>
    <x v="16"/>
    <x v="16"/>
    <s v="REVENUS"/>
    <x v="6"/>
    <s v="4211.002"/>
    <s v="Intérêts de retard sur acomptes"/>
    <n v="0"/>
    <n v="100.35"/>
    <n v="4211"/>
  </r>
  <r>
    <x v="0"/>
    <x v="1"/>
    <x v="1"/>
    <x v="16"/>
    <x v="16"/>
    <x v="16"/>
    <s v="REVENUS"/>
    <x v="6"/>
    <s v="4221.003"/>
    <s v="Intérêts compensat. / acomptes en faveur du fisc"/>
    <n v="0"/>
    <n v="2.5099999999999998"/>
    <n v="4221"/>
  </r>
  <r>
    <x v="0"/>
    <x v="1"/>
    <x v="1"/>
    <x v="16"/>
    <x v="16"/>
    <x v="16"/>
    <s v="REVENUS"/>
    <x v="2"/>
    <s v="4001.001"/>
    <s v="Impôt revenu"/>
    <n v="0"/>
    <n v="7837.65"/>
    <n v="4001"/>
  </r>
  <r>
    <x v="0"/>
    <x v="1"/>
    <x v="1"/>
    <x v="16"/>
    <x v="16"/>
    <x v="16"/>
    <s v="REVENUS"/>
    <x v="3"/>
    <s v="4002.001"/>
    <s v="Impôt ordinaire s/fortune PP"/>
    <n v="0"/>
    <n v="685.7"/>
    <n v="4002"/>
  </r>
  <r>
    <x v="0"/>
    <x v="1"/>
    <x v="1"/>
    <x v="16"/>
    <x v="16"/>
    <x v="16"/>
    <s v="REVENUS"/>
    <x v="3"/>
    <s v="4002.002"/>
    <s v="Impôt complémentaire s/fortune PP"/>
    <n v="0"/>
    <n v="-1343.75"/>
    <n v="4002"/>
  </r>
  <r>
    <x v="0"/>
    <x v="1"/>
    <x v="1"/>
    <x v="16"/>
    <x v="16"/>
    <x v="16"/>
    <s v="REVENUS"/>
    <x v="3"/>
    <s v="4002.007"/>
    <s v="Acompte impôt sur fortune"/>
    <n v="0"/>
    <n v="-629.1"/>
    <n v="4002"/>
  </r>
  <r>
    <x v="0"/>
    <x v="1"/>
    <x v="1"/>
    <x v="16"/>
    <x v="16"/>
    <x v="16"/>
    <s v="REVENUS"/>
    <x v="6"/>
    <s v="4211.001"/>
    <s v="Intérêts de retard sur factures"/>
    <n v="0"/>
    <n v="-8.9499999999999993"/>
    <n v="4211"/>
  </r>
  <r>
    <x v="0"/>
    <x v="1"/>
    <x v="1"/>
    <x v="16"/>
    <x v="16"/>
    <x v="16"/>
    <s v="REVENUS"/>
    <x v="3"/>
    <s v="4002.007"/>
    <s v="Acompte impôt sur fortune"/>
    <n v="0"/>
    <n v="-142.80000000000001"/>
    <n v="4002"/>
  </r>
  <r>
    <x v="0"/>
    <x v="1"/>
    <x v="1"/>
    <x v="16"/>
    <x v="16"/>
    <x v="16"/>
    <s v="REVENUS"/>
    <x v="3"/>
    <s v="4002.002"/>
    <s v="Impôt complémentaire s/fortune PP"/>
    <n v="0"/>
    <n v="692.05"/>
    <n v="4002"/>
  </r>
  <r>
    <x v="0"/>
    <x v="1"/>
    <x v="1"/>
    <x v="16"/>
    <x v="16"/>
    <x v="16"/>
    <s v="REVENUS"/>
    <x v="7"/>
    <s v="4184.000"/>
    <s v="Frais de poursuite"/>
    <n v="0"/>
    <n v="-0.06"/>
    <n v="4184"/>
  </r>
  <r>
    <x v="0"/>
    <x v="1"/>
    <x v="1"/>
    <x v="16"/>
    <x v="16"/>
    <x v="16"/>
    <s v="REVENUS"/>
    <x v="6"/>
    <s v="4221.003"/>
    <s v="Intérêts compensat. / acomptes en faveur du fisc"/>
    <n v="0"/>
    <n v="109.76"/>
    <n v="4221"/>
  </r>
  <r>
    <x v="0"/>
    <x v="1"/>
    <x v="1"/>
    <x v="16"/>
    <x v="16"/>
    <x v="16"/>
    <s v="REVENUS"/>
    <x v="2"/>
    <s v="4001.001"/>
    <s v="Impôt revenu"/>
    <n v="0"/>
    <n v="23.3"/>
    <n v="4001"/>
  </r>
  <r>
    <x v="0"/>
    <x v="1"/>
    <x v="1"/>
    <x v="16"/>
    <x v="16"/>
    <x v="16"/>
    <s v="REVENUS"/>
    <x v="3"/>
    <s v="4002.001"/>
    <s v="Impôt ordinaire s/fortune PP"/>
    <n v="0"/>
    <n v="5.35"/>
    <n v="4002"/>
  </r>
  <r>
    <x v="0"/>
    <x v="1"/>
    <x v="1"/>
    <x v="16"/>
    <x v="16"/>
    <x v="16"/>
    <s v="REVENUS"/>
    <x v="6"/>
    <s v="4211.002"/>
    <s v="Intérêts de retard sur acomptes"/>
    <n v="0"/>
    <n v="0.06"/>
    <n v="4211"/>
  </r>
  <r>
    <x v="0"/>
    <x v="1"/>
    <x v="1"/>
    <x v="16"/>
    <x v="16"/>
    <x v="16"/>
    <s v="REVENUS"/>
    <x v="6"/>
    <s v="4211.002"/>
    <s v="Intérêts de retard sur acomptes"/>
    <n v="0"/>
    <n v="0.56000000000000005"/>
    <n v="4211"/>
  </r>
  <r>
    <x v="0"/>
    <x v="1"/>
    <x v="1"/>
    <x v="16"/>
    <x v="16"/>
    <x v="16"/>
    <s v="REVENUS"/>
    <x v="2"/>
    <s v="4001.002"/>
    <s v="Impôt complément s/revenu PP"/>
    <n v="0"/>
    <n v="8460.7000000000007"/>
    <n v="4001"/>
  </r>
  <r>
    <x v="0"/>
    <x v="1"/>
    <x v="1"/>
    <x v="16"/>
    <x v="16"/>
    <x v="16"/>
    <s v="REVENUS"/>
    <x v="3"/>
    <s v="4002.002"/>
    <s v="Impôt complémentaire s/fortune PP"/>
    <n v="0"/>
    <n v="6947.4"/>
    <n v="4002"/>
  </r>
  <r>
    <x v="0"/>
    <x v="1"/>
    <x v="1"/>
    <x v="16"/>
    <x v="16"/>
    <x v="16"/>
    <s v="REVENUS"/>
    <x v="6"/>
    <s v="4221.003"/>
    <s v="Intérêts compensat. / acomptes en faveur du fisc"/>
    <n v="0"/>
    <n v="1.02"/>
    <n v="4221"/>
  </r>
  <r>
    <x v="0"/>
    <x v="1"/>
    <x v="1"/>
    <x v="16"/>
    <x v="16"/>
    <x v="16"/>
    <s v="REVENUS"/>
    <x v="6"/>
    <s v="4211.001"/>
    <s v="Intérêts de retard sur factures"/>
    <n v="0"/>
    <n v="640.80999999999995"/>
    <n v="4211"/>
  </r>
  <r>
    <x v="0"/>
    <x v="1"/>
    <x v="1"/>
    <x v="16"/>
    <x v="16"/>
    <x v="16"/>
    <s v="REVENUS"/>
    <x v="3"/>
    <s v="4002.002"/>
    <s v="Impôt complémentaire s/fortune PP"/>
    <n v="0"/>
    <n v="5054.7"/>
    <n v="4002"/>
  </r>
  <r>
    <x v="0"/>
    <x v="1"/>
    <x v="1"/>
    <x v="16"/>
    <x v="16"/>
    <x v="16"/>
    <s v="REVENUS"/>
    <x v="6"/>
    <s v="4211.001"/>
    <s v="Intérêts de retard sur factures"/>
    <n v="0"/>
    <n v="32.869999999999997"/>
    <n v="4211"/>
  </r>
  <r>
    <x v="0"/>
    <x v="1"/>
    <x v="1"/>
    <x v="16"/>
    <x v="16"/>
    <x v="16"/>
    <s v="REVENUS"/>
    <x v="6"/>
    <s v="4221.003"/>
    <s v="Intérêts compensat. / acomptes en faveur du fisc"/>
    <n v="0"/>
    <n v="1.1200000000000001"/>
    <n v="4221"/>
  </r>
  <r>
    <x v="0"/>
    <x v="1"/>
    <x v="1"/>
    <x v="16"/>
    <x v="16"/>
    <x v="16"/>
    <s v="REVENUS"/>
    <x v="6"/>
    <s v="4221.003"/>
    <s v="Intérêts compensat. / acomptes en faveur du fisc"/>
    <n v="0"/>
    <n v="0.15"/>
    <n v="4221"/>
  </r>
  <r>
    <x v="0"/>
    <x v="1"/>
    <x v="1"/>
    <x v="16"/>
    <x v="16"/>
    <x v="16"/>
    <s v="REVENUS"/>
    <x v="2"/>
    <s v="4001.002"/>
    <s v="Impôt complément s/revenu PP"/>
    <n v="0"/>
    <n v="828.9"/>
    <n v="4001"/>
  </r>
  <r>
    <x v="0"/>
    <x v="1"/>
    <x v="1"/>
    <x v="16"/>
    <x v="16"/>
    <x v="16"/>
    <s v="REVENUS"/>
    <x v="6"/>
    <s v="4211.002"/>
    <s v="Intérêts de retard sur acomptes"/>
    <n v="0"/>
    <n v="25.22"/>
    <n v="4211"/>
  </r>
  <r>
    <x v="0"/>
    <x v="1"/>
    <x v="1"/>
    <x v="16"/>
    <x v="16"/>
    <x v="16"/>
    <s v="REVENUS"/>
    <x v="6"/>
    <s v="4211.002"/>
    <s v="Intérêts de retard sur acomptes"/>
    <n v="0"/>
    <n v="1.52"/>
    <n v="4211"/>
  </r>
  <r>
    <x v="0"/>
    <x v="1"/>
    <x v="1"/>
    <x v="16"/>
    <x v="16"/>
    <x v="16"/>
    <s v="REVENUS"/>
    <x v="7"/>
    <s v="4184.000"/>
    <s v="Frais de poursuite"/>
    <n v="0"/>
    <n v="8.74"/>
    <n v="4184"/>
  </r>
  <r>
    <x v="0"/>
    <x v="1"/>
    <x v="1"/>
    <x v="16"/>
    <x v="16"/>
    <x v="16"/>
    <s v="REVENUS"/>
    <x v="8"/>
    <s v="4091.003"/>
    <s v="Impôt récupéré concordat"/>
    <n v="0"/>
    <n v="26603.98"/>
    <n v="4091"/>
  </r>
  <r>
    <x v="0"/>
    <x v="1"/>
    <x v="1"/>
    <x v="16"/>
    <x v="16"/>
    <x v="16"/>
    <s v="REVENUS"/>
    <x v="8"/>
    <s v="4091.003"/>
    <s v="Impôt récupéré concordat"/>
    <n v="0"/>
    <n v="10130.84"/>
    <n v="4091"/>
  </r>
  <r>
    <x v="0"/>
    <x v="1"/>
    <x v="1"/>
    <x v="16"/>
    <x v="16"/>
    <x v="16"/>
    <s v="REVENUS"/>
    <x v="6"/>
    <s v="4211.001"/>
    <s v="Intérêts de retard sur factures"/>
    <n v="0"/>
    <n v="2.85"/>
    <n v="4211"/>
  </r>
  <r>
    <x v="0"/>
    <x v="1"/>
    <x v="1"/>
    <x v="17"/>
    <x v="17"/>
    <x v="17"/>
    <s v="CHARGES"/>
    <x v="1"/>
    <s v="3301.001"/>
    <s v="Défalcations, abandons de solde PP et IS"/>
    <n v="22503.34"/>
    <n v="0"/>
    <n v="3301"/>
  </r>
  <r>
    <x v="0"/>
    <x v="1"/>
    <x v="1"/>
    <x v="17"/>
    <x v="17"/>
    <x v="17"/>
    <s v="CHARGES"/>
    <x v="0"/>
    <s v="3212.004"/>
    <s v="Intérêts rémun./perçu trop tôt sur acomptes C/C"/>
    <n v="112.86"/>
    <n v="0"/>
    <n v="3212"/>
  </r>
  <r>
    <x v="0"/>
    <x v="1"/>
    <x v="1"/>
    <x v="17"/>
    <x v="17"/>
    <x v="17"/>
    <s v="CHARGES"/>
    <x v="0"/>
    <s v="3221.002"/>
    <s v="Intérêts compensatoires / créances en faveur ctb."/>
    <n v="24"/>
    <n v="0"/>
    <n v="3221"/>
  </r>
  <r>
    <x v="0"/>
    <x v="1"/>
    <x v="1"/>
    <x v="17"/>
    <x v="17"/>
    <x v="17"/>
    <s v="CHARGES"/>
    <x v="1"/>
    <s v="3301.001"/>
    <s v="Défalcations, abandons de solde PP et IS"/>
    <n v="0.7"/>
    <n v="0"/>
    <n v="3301"/>
  </r>
  <r>
    <x v="0"/>
    <x v="1"/>
    <x v="1"/>
    <x v="17"/>
    <x v="17"/>
    <x v="17"/>
    <s v="CHARGES"/>
    <x v="0"/>
    <s v="3212.004"/>
    <s v="Intérêts rémun./perçu trop tôt sur acomptes C/C"/>
    <n v="0.55000000000000004"/>
    <n v="0"/>
    <n v="3212"/>
  </r>
  <r>
    <x v="0"/>
    <x v="1"/>
    <x v="1"/>
    <x v="17"/>
    <x v="17"/>
    <x v="17"/>
    <s v="CHARGES"/>
    <x v="0"/>
    <s v="3221.002"/>
    <s v="Intérêts compensatoires / créances en faveur ctb."/>
    <n v="0.04"/>
    <n v="0"/>
    <n v="3221"/>
  </r>
  <r>
    <x v="0"/>
    <x v="1"/>
    <x v="1"/>
    <x v="17"/>
    <x v="17"/>
    <x v="17"/>
    <s v="CHARGES"/>
    <x v="0"/>
    <s v="3221.002"/>
    <s v="Intérêts compensatoires / créances en faveur ctb."/>
    <n v="0.2"/>
    <n v="0"/>
    <n v="3221"/>
  </r>
  <r>
    <x v="0"/>
    <x v="1"/>
    <x v="1"/>
    <x v="17"/>
    <x v="17"/>
    <x v="17"/>
    <s v="CHARGES"/>
    <x v="1"/>
    <s v="3301.001"/>
    <s v="Défalcations, abandons de solde PP et IS"/>
    <n v="-1.42"/>
    <n v="0"/>
    <n v="3301"/>
  </r>
  <r>
    <x v="0"/>
    <x v="1"/>
    <x v="1"/>
    <x v="17"/>
    <x v="17"/>
    <x v="17"/>
    <s v="CHARGES"/>
    <x v="0"/>
    <s v="3212.002"/>
    <s v="Intérêts bonifiés/trop perçu acompte C/C"/>
    <n v="-0.92"/>
    <n v="0"/>
    <n v="3212"/>
  </r>
  <r>
    <x v="0"/>
    <x v="1"/>
    <x v="1"/>
    <x v="17"/>
    <x v="17"/>
    <x v="17"/>
    <s v="CHARGES"/>
    <x v="0"/>
    <s v="3212.004"/>
    <s v="Intérêts rémun./perçu trop tôt sur acomptes C/C"/>
    <n v="0.05"/>
    <n v="0"/>
    <n v="3212"/>
  </r>
  <r>
    <x v="0"/>
    <x v="1"/>
    <x v="1"/>
    <x v="17"/>
    <x v="17"/>
    <x v="17"/>
    <s v="CHARGES"/>
    <x v="0"/>
    <s v="3221.002"/>
    <s v="Intérêts compensatoires / créances en faveur ctb."/>
    <n v="0.06"/>
    <n v="0"/>
    <n v="3221"/>
  </r>
  <r>
    <x v="0"/>
    <x v="1"/>
    <x v="1"/>
    <x v="17"/>
    <x v="17"/>
    <x v="17"/>
    <s v="CHARGES"/>
    <x v="1"/>
    <s v="3301.001"/>
    <s v="Défalcations, abandons de solde PP et IS"/>
    <n v="0.28999999999999998"/>
    <n v="0"/>
    <n v="3301"/>
  </r>
  <r>
    <x v="0"/>
    <x v="1"/>
    <x v="1"/>
    <x v="17"/>
    <x v="17"/>
    <x v="17"/>
    <s v="CHARGES"/>
    <x v="0"/>
    <s v="3212.004"/>
    <s v="Intérêts rémun./perçu trop tôt sur acomptes C/C"/>
    <n v="0.3"/>
    <n v="0"/>
    <n v="3212"/>
  </r>
  <r>
    <x v="0"/>
    <x v="1"/>
    <x v="1"/>
    <x v="17"/>
    <x v="17"/>
    <x v="17"/>
    <s v="CHARGES"/>
    <x v="0"/>
    <s v="3212.004"/>
    <s v="Intérêts rémun./perçu trop tôt sur acomptes C/C"/>
    <n v="1.45"/>
    <n v="0"/>
    <n v="3212"/>
  </r>
  <r>
    <x v="0"/>
    <x v="1"/>
    <x v="1"/>
    <x v="17"/>
    <x v="17"/>
    <x v="17"/>
    <s v="CHARGES"/>
    <x v="0"/>
    <s v="3221.002"/>
    <s v="Intérêts compensatoires / créances en faveur ctb."/>
    <n v="2.48"/>
    <n v="0"/>
    <n v="3221"/>
  </r>
  <r>
    <x v="0"/>
    <x v="1"/>
    <x v="1"/>
    <x v="17"/>
    <x v="17"/>
    <x v="17"/>
    <s v="CHARGES"/>
    <x v="1"/>
    <s v="3301.001"/>
    <s v="Défalcations, abandons de solde PP et IS"/>
    <n v="0.09"/>
    <n v="0"/>
    <n v="3301"/>
  </r>
  <r>
    <x v="0"/>
    <x v="1"/>
    <x v="1"/>
    <x v="17"/>
    <x v="17"/>
    <x v="17"/>
    <s v="REVENUS"/>
    <x v="6"/>
    <s v="4211.001"/>
    <s v="Intérêts de retard sur factures"/>
    <n v="0"/>
    <n v="2372.04"/>
    <n v="4211"/>
  </r>
  <r>
    <x v="0"/>
    <x v="1"/>
    <x v="1"/>
    <x v="17"/>
    <x v="17"/>
    <x v="17"/>
    <s v="REVENUS"/>
    <x v="2"/>
    <s v="4001.007"/>
    <s v="Acompte impôt sur revenu"/>
    <n v="0"/>
    <n v="-196588.92"/>
    <n v="4001"/>
  </r>
  <r>
    <x v="0"/>
    <x v="1"/>
    <x v="1"/>
    <x v="17"/>
    <x v="17"/>
    <x v="17"/>
    <s v="REVENUS"/>
    <x v="3"/>
    <s v="4002.007"/>
    <s v="Acompte impôt sur fortune"/>
    <n v="0"/>
    <n v="-21855.38"/>
    <n v="4002"/>
  </r>
  <r>
    <x v="0"/>
    <x v="1"/>
    <x v="1"/>
    <x v="17"/>
    <x v="17"/>
    <x v="17"/>
    <s v="REVENUS"/>
    <x v="2"/>
    <s v="4001.001"/>
    <s v="Impôt revenu"/>
    <n v="0"/>
    <n v="964284.95"/>
    <n v="4001"/>
  </r>
  <r>
    <x v="0"/>
    <x v="1"/>
    <x v="1"/>
    <x v="17"/>
    <x v="17"/>
    <x v="17"/>
    <s v="REVENUS"/>
    <x v="2"/>
    <s v="4001.007"/>
    <s v="Acompte impôt sur revenu"/>
    <n v="0"/>
    <n v="140834.63"/>
    <n v="4001"/>
  </r>
  <r>
    <x v="0"/>
    <x v="1"/>
    <x v="1"/>
    <x v="17"/>
    <x v="17"/>
    <x v="17"/>
    <s v="REVENUS"/>
    <x v="3"/>
    <s v="4002.001"/>
    <s v="Impôt ordinaire s/fortune PP"/>
    <n v="0"/>
    <n v="95946.6"/>
    <n v="4002"/>
  </r>
  <r>
    <x v="0"/>
    <x v="1"/>
    <x v="1"/>
    <x v="17"/>
    <x v="17"/>
    <x v="17"/>
    <s v="REVENUS"/>
    <x v="3"/>
    <s v="4002.007"/>
    <s v="Acompte impôt sur fortune"/>
    <n v="0"/>
    <n v="7272.35"/>
    <n v="4002"/>
  </r>
  <r>
    <x v="0"/>
    <x v="1"/>
    <x v="1"/>
    <x v="17"/>
    <x v="17"/>
    <x v="17"/>
    <s v="REVENUS"/>
    <x v="6"/>
    <s v="4211.002"/>
    <s v="Intérêts de retard sur acomptes"/>
    <n v="0"/>
    <n v="5010.2299999999996"/>
    <n v="4211"/>
  </r>
  <r>
    <x v="0"/>
    <x v="1"/>
    <x v="1"/>
    <x v="17"/>
    <x v="17"/>
    <x v="17"/>
    <s v="REVENUS"/>
    <x v="6"/>
    <s v="4221.003"/>
    <s v="Intérêts compensat. / acomptes en faveur du fisc"/>
    <n v="0"/>
    <n v="223.75"/>
    <n v="4221"/>
  </r>
  <r>
    <x v="0"/>
    <x v="1"/>
    <x v="1"/>
    <x v="17"/>
    <x v="17"/>
    <x v="17"/>
    <s v="REVENUS"/>
    <x v="2"/>
    <s v="4001.002"/>
    <s v="Impôt complément s/revenu PP"/>
    <n v="0"/>
    <n v="117206.05"/>
    <n v="4001"/>
  </r>
  <r>
    <x v="0"/>
    <x v="1"/>
    <x v="1"/>
    <x v="17"/>
    <x v="17"/>
    <x v="17"/>
    <s v="REVENUS"/>
    <x v="3"/>
    <s v="4002.002"/>
    <s v="Impôt complémentaire s/fortune PP"/>
    <n v="0"/>
    <n v="17670.400000000001"/>
    <n v="4002"/>
  </r>
  <r>
    <x v="0"/>
    <x v="1"/>
    <x v="1"/>
    <x v="17"/>
    <x v="17"/>
    <x v="17"/>
    <s v="REVENUS"/>
    <x v="3"/>
    <s v="4002.007"/>
    <s v="Acompte impôt sur fortune"/>
    <n v="0"/>
    <n v="-22.7"/>
    <n v="4002"/>
  </r>
  <r>
    <x v="0"/>
    <x v="1"/>
    <x v="1"/>
    <x v="17"/>
    <x v="17"/>
    <x v="17"/>
    <s v="REVENUS"/>
    <x v="2"/>
    <s v="4001.001"/>
    <s v="Impôt revenu"/>
    <n v="0"/>
    <n v="632.6"/>
    <n v="4001"/>
  </r>
  <r>
    <x v="0"/>
    <x v="1"/>
    <x v="1"/>
    <x v="17"/>
    <x v="17"/>
    <x v="17"/>
    <s v="REVENUS"/>
    <x v="3"/>
    <s v="4002.001"/>
    <s v="Impôt ordinaire s/fortune PP"/>
    <n v="0"/>
    <n v="22.45"/>
    <n v="4002"/>
  </r>
  <r>
    <x v="0"/>
    <x v="1"/>
    <x v="1"/>
    <x v="17"/>
    <x v="17"/>
    <x v="17"/>
    <s v="REVENUS"/>
    <x v="6"/>
    <s v="4211.002"/>
    <s v="Intérêts de retard sur acomptes"/>
    <n v="0"/>
    <n v="0.01"/>
    <n v="4211"/>
  </r>
  <r>
    <x v="0"/>
    <x v="1"/>
    <x v="1"/>
    <x v="17"/>
    <x v="17"/>
    <x v="17"/>
    <s v="REVENUS"/>
    <x v="6"/>
    <s v="4221.003"/>
    <s v="Intérêts compensat. / acomptes en faveur du fisc"/>
    <n v="0"/>
    <n v="0.12"/>
    <n v="4221"/>
  </r>
  <r>
    <x v="0"/>
    <x v="1"/>
    <x v="1"/>
    <x v="17"/>
    <x v="17"/>
    <x v="17"/>
    <s v="REVENUS"/>
    <x v="2"/>
    <s v="4001.001"/>
    <s v="Impôt revenu"/>
    <n v="0"/>
    <n v="722.75"/>
    <n v="4001"/>
  </r>
  <r>
    <x v="0"/>
    <x v="1"/>
    <x v="1"/>
    <x v="17"/>
    <x v="17"/>
    <x v="17"/>
    <s v="REVENUS"/>
    <x v="2"/>
    <s v="4001.007"/>
    <s v="Acompte impôt sur revenu"/>
    <n v="0"/>
    <n v="-345.45"/>
    <n v="4001"/>
  </r>
  <r>
    <x v="0"/>
    <x v="1"/>
    <x v="1"/>
    <x v="17"/>
    <x v="17"/>
    <x v="17"/>
    <s v="REVENUS"/>
    <x v="3"/>
    <s v="4002.001"/>
    <s v="Impôt ordinaire s/fortune PP"/>
    <n v="0"/>
    <n v="118.8"/>
    <n v="4002"/>
  </r>
  <r>
    <x v="0"/>
    <x v="1"/>
    <x v="1"/>
    <x v="17"/>
    <x v="17"/>
    <x v="17"/>
    <s v="REVENUS"/>
    <x v="3"/>
    <s v="4002.007"/>
    <s v="Acompte impôt sur fortune"/>
    <n v="0"/>
    <n v="-62.3"/>
    <n v="4002"/>
  </r>
  <r>
    <x v="0"/>
    <x v="1"/>
    <x v="1"/>
    <x v="17"/>
    <x v="17"/>
    <x v="17"/>
    <s v="REVENUS"/>
    <x v="7"/>
    <s v="4184.000"/>
    <s v="Frais de poursuite"/>
    <n v="0"/>
    <n v="1167.51"/>
    <n v="4184"/>
  </r>
  <r>
    <x v="0"/>
    <x v="1"/>
    <x v="1"/>
    <x v="17"/>
    <x v="17"/>
    <x v="17"/>
    <s v="REVENUS"/>
    <x v="2"/>
    <s v="4001.003"/>
    <s v="Impôt s/prest. cap. PP"/>
    <n v="0"/>
    <n v="44417.3"/>
    <n v="4001"/>
  </r>
  <r>
    <x v="0"/>
    <x v="1"/>
    <x v="1"/>
    <x v="17"/>
    <x v="17"/>
    <x v="17"/>
    <s v="REVENUS"/>
    <x v="2"/>
    <s v="4001.007"/>
    <s v="Acompte impôt sur revenu"/>
    <n v="0"/>
    <n v="1240.5999999999999"/>
    <n v="4001"/>
  </r>
  <r>
    <x v="0"/>
    <x v="1"/>
    <x v="1"/>
    <x v="17"/>
    <x v="17"/>
    <x v="17"/>
    <s v="REVENUS"/>
    <x v="3"/>
    <s v="4002.007"/>
    <s v="Acompte impôt sur fortune"/>
    <n v="0"/>
    <n v="404.65"/>
    <n v="4002"/>
  </r>
  <r>
    <x v="0"/>
    <x v="1"/>
    <x v="1"/>
    <x v="17"/>
    <x v="17"/>
    <x v="17"/>
    <s v="REVENUS"/>
    <x v="2"/>
    <s v="4001.007"/>
    <s v="Acompte impôt sur revenu"/>
    <n v="0"/>
    <n v="54.6"/>
    <n v="4001"/>
  </r>
  <r>
    <x v="0"/>
    <x v="1"/>
    <x v="1"/>
    <x v="17"/>
    <x v="17"/>
    <x v="17"/>
    <s v="REVENUS"/>
    <x v="3"/>
    <s v="4002.007"/>
    <s v="Acompte impôt sur fortune"/>
    <n v="0"/>
    <n v="23.2"/>
    <n v="4002"/>
  </r>
  <r>
    <x v="0"/>
    <x v="1"/>
    <x v="1"/>
    <x v="17"/>
    <x v="17"/>
    <x v="17"/>
    <s v="REVENUS"/>
    <x v="3"/>
    <s v="4002.007"/>
    <s v="Acompte impôt sur fortune"/>
    <n v="0"/>
    <n v="150.69999999999999"/>
    <n v="4002"/>
  </r>
  <r>
    <x v="0"/>
    <x v="1"/>
    <x v="1"/>
    <x v="17"/>
    <x v="17"/>
    <x v="17"/>
    <s v="REVENUS"/>
    <x v="2"/>
    <s v="4001.007"/>
    <s v="Acompte impôt sur revenu"/>
    <n v="0"/>
    <n v="808.8"/>
    <n v="4001"/>
  </r>
  <r>
    <x v="0"/>
    <x v="1"/>
    <x v="1"/>
    <x v="17"/>
    <x v="17"/>
    <x v="17"/>
    <s v="REVENUS"/>
    <x v="2"/>
    <s v="4001.001"/>
    <s v="Impôt revenu"/>
    <n v="0"/>
    <n v="-12300"/>
    <n v="4001"/>
  </r>
  <r>
    <x v="0"/>
    <x v="1"/>
    <x v="1"/>
    <x v="17"/>
    <x v="17"/>
    <x v="17"/>
    <s v="REVENUS"/>
    <x v="2"/>
    <s v="4001.001"/>
    <s v="Impôt revenu"/>
    <n v="0"/>
    <n v="-17104.849999999999"/>
    <n v="4001"/>
  </r>
  <r>
    <x v="0"/>
    <x v="1"/>
    <x v="1"/>
    <x v="17"/>
    <x v="17"/>
    <x v="17"/>
    <s v="REVENUS"/>
    <x v="2"/>
    <s v="4001.007"/>
    <s v="Acompte impôt sur revenu"/>
    <n v="0"/>
    <n v="-1507.45"/>
    <n v="4001"/>
  </r>
  <r>
    <x v="0"/>
    <x v="1"/>
    <x v="1"/>
    <x v="17"/>
    <x v="17"/>
    <x v="17"/>
    <s v="REVENUS"/>
    <x v="2"/>
    <s v="4001.003"/>
    <s v="Impôt s/prest. cap. PP"/>
    <n v="0"/>
    <n v="-1587.3"/>
    <n v="4001"/>
  </r>
  <r>
    <x v="0"/>
    <x v="1"/>
    <x v="1"/>
    <x v="17"/>
    <x v="17"/>
    <x v="17"/>
    <s v="REVENUS"/>
    <x v="6"/>
    <s v="4211.001"/>
    <s v="Intérêts de retard sur factures"/>
    <n v="0"/>
    <n v="-4.0999999999999996"/>
    <n v="4211"/>
  </r>
  <r>
    <x v="0"/>
    <x v="1"/>
    <x v="1"/>
    <x v="17"/>
    <x v="17"/>
    <x v="17"/>
    <s v="REVENUS"/>
    <x v="2"/>
    <s v="4001.002"/>
    <s v="Impôt complément s/revenu PP"/>
    <n v="0"/>
    <n v="-1232.8"/>
    <n v="4001"/>
  </r>
  <r>
    <x v="0"/>
    <x v="1"/>
    <x v="1"/>
    <x v="17"/>
    <x v="17"/>
    <x v="17"/>
    <s v="REVENUS"/>
    <x v="3"/>
    <s v="4002.001"/>
    <s v="Impôt ordinaire s/fortune PP"/>
    <n v="0"/>
    <n v="-3755.85"/>
    <n v="4002"/>
  </r>
  <r>
    <x v="0"/>
    <x v="1"/>
    <x v="1"/>
    <x v="17"/>
    <x v="17"/>
    <x v="17"/>
    <s v="REVENUS"/>
    <x v="3"/>
    <s v="4002.002"/>
    <s v="Impôt complémentaire s/fortune PP"/>
    <n v="0"/>
    <n v="-421.2"/>
    <n v="4002"/>
  </r>
  <r>
    <x v="0"/>
    <x v="1"/>
    <x v="1"/>
    <x v="17"/>
    <x v="17"/>
    <x v="17"/>
    <s v="REVENUS"/>
    <x v="6"/>
    <s v="4211.002"/>
    <s v="Intérêts de retard sur acomptes"/>
    <n v="0"/>
    <n v="0.28000000000000003"/>
    <n v="4211"/>
  </r>
  <r>
    <x v="0"/>
    <x v="1"/>
    <x v="1"/>
    <x v="17"/>
    <x v="17"/>
    <x v="17"/>
    <s v="REVENUS"/>
    <x v="6"/>
    <s v="4221.003"/>
    <s v="Intérêts compensat. / acomptes en faveur du fisc"/>
    <n v="0"/>
    <n v="-0.14000000000000001"/>
    <n v="4221"/>
  </r>
  <r>
    <x v="0"/>
    <x v="1"/>
    <x v="1"/>
    <x v="17"/>
    <x v="17"/>
    <x v="17"/>
    <s v="REVENUS"/>
    <x v="9"/>
    <s v="4031.001"/>
    <s v="Impôt sur les gains immobiliers"/>
    <n v="0"/>
    <n v="12270.9"/>
    <n v="4031"/>
  </r>
  <r>
    <x v="0"/>
    <x v="1"/>
    <x v="1"/>
    <x v="17"/>
    <x v="17"/>
    <x v="17"/>
    <s v="REVENUS"/>
    <x v="6"/>
    <s v="4221.002"/>
    <s v="Intérêts compensat. sur impôts distincts"/>
    <n v="0"/>
    <n v="7.58"/>
    <n v="4221"/>
  </r>
  <r>
    <x v="0"/>
    <x v="1"/>
    <x v="1"/>
    <x v="17"/>
    <x v="17"/>
    <x v="17"/>
    <s v="REVENUS"/>
    <x v="2"/>
    <s v="4001.001"/>
    <s v="Impôt revenu"/>
    <n v="0"/>
    <n v="17838.05"/>
    <n v="4001"/>
  </r>
  <r>
    <x v="0"/>
    <x v="1"/>
    <x v="1"/>
    <x v="17"/>
    <x v="17"/>
    <x v="17"/>
    <s v="REVENUS"/>
    <x v="6"/>
    <s v="4221.003"/>
    <s v="Intérêts compensat. / acomptes en faveur du fisc"/>
    <n v="0"/>
    <n v="16.22"/>
    <n v="4221"/>
  </r>
  <r>
    <x v="0"/>
    <x v="1"/>
    <x v="1"/>
    <x v="17"/>
    <x v="17"/>
    <x v="17"/>
    <s v="REVENUS"/>
    <x v="3"/>
    <s v="4002.001"/>
    <s v="Impôt ordinaire s/fortune PP"/>
    <n v="0"/>
    <n v="35"/>
    <n v="4002"/>
  </r>
  <r>
    <x v="0"/>
    <x v="1"/>
    <x v="1"/>
    <x v="17"/>
    <x v="17"/>
    <x v="17"/>
    <s v="REVENUS"/>
    <x v="6"/>
    <s v="4221.003"/>
    <s v="Intérêts compensat. / acomptes en faveur du fisc"/>
    <n v="0"/>
    <n v="0.2"/>
    <n v="4221"/>
  </r>
  <r>
    <x v="0"/>
    <x v="1"/>
    <x v="1"/>
    <x v="17"/>
    <x v="17"/>
    <x v="17"/>
    <s v="REVENUS"/>
    <x v="6"/>
    <s v="4211.001"/>
    <s v="Intérêts de retard sur factures"/>
    <n v="0"/>
    <n v="189.36"/>
    <n v="4211"/>
  </r>
  <r>
    <x v="0"/>
    <x v="1"/>
    <x v="1"/>
    <x v="17"/>
    <x v="17"/>
    <x v="17"/>
    <s v="REVENUS"/>
    <x v="7"/>
    <s v="4184.000"/>
    <s v="Frais de poursuite"/>
    <n v="0"/>
    <n v="94.79"/>
    <n v="4184"/>
  </r>
  <r>
    <x v="0"/>
    <x v="1"/>
    <x v="1"/>
    <x v="17"/>
    <x v="17"/>
    <x v="17"/>
    <s v="REVENUS"/>
    <x v="2"/>
    <s v="4001.003"/>
    <s v="Impôt s/prest. cap. PP"/>
    <n v="0"/>
    <n v="-255.3"/>
    <n v="4001"/>
  </r>
  <r>
    <x v="0"/>
    <x v="1"/>
    <x v="1"/>
    <x v="17"/>
    <x v="17"/>
    <x v="17"/>
    <s v="REVENUS"/>
    <x v="6"/>
    <s v="4211.001"/>
    <s v="Intérêts de retard sur factures"/>
    <n v="0"/>
    <n v="0.57999999999999996"/>
    <n v="4211"/>
  </r>
  <r>
    <x v="0"/>
    <x v="1"/>
    <x v="1"/>
    <x v="17"/>
    <x v="17"/>
    <x v="17"/>
    <s v="REVENUS"/>
    <x v="9"/>
    <s v="4031.002"/>
    <s v="Complément impôt sur les gains immobiliers"/>
    <n v="0"/>
    <n v="9203.1"/>
    <n v="4031"/>
  </r>
  <r>
    <x v="0"/>
    <x v="1"/>
    <x v="1"/>
    <x v="17"/>
    <x v="17"/>
    <x v="17"/>
    <s v="REVENUS"/>
    <x v="2"/>
    <s v="4001.001"/>
    <s v="Impôt revenu"/>
    <n v="0"/>
    <n v="860.35"/>
    <n v="4001"/>
  </r>
  <r>
    <x v="0"/>
    <x v="1"/>
    <x v="1"/>
    <x v="17"/>
    <x v="17"/>
    <x v="17"/>
    <s v="REVENUS"/>
    <x v="6"/>
    <s v="4211.002"/>
    <s v="Intérêts de retard sur acomptes"/>
    <n v="0"/>
    <n v="28.35"/>
    <n v="4211"/>
  </r>
  <r>
    <x v="0"/>
    <x v="1"/>
    <x v="1"/>
    <x v="18"/>
    <x v="18"/>
    <x v="18"/>
    <s v="CHARGES"/>
    <x v="0"/>
    <s v="3212.004"/>
    <s v="Intérêts rémun./perçu trop tôt sur acomptes C/C"/>
    <n v="75.98"/>
    <n v="0"/>
    <n v="3212"/>
  </r>
  <r>
    <x v="0"/>
    <x v="1"/>
    <x v="1"/>
    <x v="18"/>
    <x v="18"/>
    <x v="18"/>
    <s v="CHARGES"/>
    <x v="0"/>
    <s v="3221.002"/>
    <s v="Intérêts compensatoires / créances en faveur ctb."/>
    <n v="35.74"/>
    <n v="0"/>
    <n v="3221"/>
  </r>
  <r>
    <x v="0"/>
    <x v="1"/>
    <x v="1"/>
    <x v="18"/>
    <x v="18"/>
    <x v="18"/>
    <s v="CHARGES"/>
    <x v="1"/>
    <s v="3301.001"/>
    <s v="Défalcations, abandons de solde PP et IS"/>
    <n v="16745.240000000002"/>
    <n v="0"/>
    <n v="3301"/>
  </r>
  <r>
    <x v="0"/>
    <x v="1"/>
    <x v="1"/>
    <x v="18"/>
    <x v="18"/>
    <x v="18"/>
    <s v="CHARGES"/>
    <x v="1"/>
    <s v="3301.001"/>
    <s v="Défalcations, abandons de solde PP et IS"/>
    <n v="0.05"/>
    <n v="0"/>
    <n v="3301"/>
  </r>
  <r>
    <x v="0"/>
    <x v="1"/>
    <x v="1"/>
    <x v="18"/>
    <x v="18"/>
    <x v="18"/>
    <s v="CHARGES"/>
    <x v="0"/>
    <s v="3212.002"/>
    <s v="Intérêts bonifiés/trop perçu acompte C/C"/>
    <n v="1.36"/>
    <n v="0"/>
    <n v="3212"/>
  </r>
  <r>
    <x v="0"/>
    <x v="1"/>
    <x v="1"/>
    <x v="18"/>
    <x v="18"/>
    <x v="18"/>
    <s v="CHARGES"/>
    <x v="0"/>
    <s v="3212.004"/>
    <s v="Intérêts rémun./perçu trop tôt sur acomptes C/C"/>
    <n v="-5.65"/>
    <n v="0"/>
    <n v="3212"/>
  </r>
  <r>
    <x v="0"/>
    <x v="1"/>
    <x v="1"/>
    <x v="18"/>
    <x v="18"/>
    <x v="18"/>
    <s v="CHARGES"/>
    <x v="0"/>
    <s v="3221.002"/>
    <s v="Intérêts compensatoires / créances en faveur ctb."/>
    <n v="0.63"/>
    <n v="0"/>
    <n v="3221"/>
  </r>
  <r>
    <x v="0"/>
    <x v="1"/>
    <x v="1"/>
    <x v="18"/>
    <x v="18"/>
    <x v="18"/>
    <s v="CHARGES"/>
    <x v="1"/>
    <s v="3301.001"/>
    <s v="Défalcations, abandons de solde PP et IS"/>
    <n v="-11.36"/>
    <n v="0"/>
    <n v="3301"/>
  </r>
  <r>
    <x v="0"/>
    <x v="1"/>
    <x v="1"/>
    <x v="18"/>
    <x v="18"/>
    <x v="18"/>
    <s v="CHARGES"/>
    <x v="0"/>
    <s v="3212.004"/>
    <s v="Intérêts rémun./perçu trop tôt sur acomptes C/C"/>
    <n v="0.15"/>
    <n v="0"/>
    <n v="3212"/>
  </r>
  <r>
    <x v="0"/>
    <x v="1"/>
    <x v="1"/>
    <x v="18"/>
    <x v="18"/>
    <x v="18"/>
    <s v="CHARGES"/>
    <x v="1"/>
    <s v="3301.001"/>
    <s v="Défalcations, abandons de solde PP et IS"/>
    <n v="401.9"/>
    <n v="0"/>
    <n v="3301"/>
  </r>
  <r>
    <x v="0"/>
    <x v="1"/>
    <x v="1"/>
    <x v="18"/>
    <x v="18"/>
    <x v="18"/>
    <s v="REVENUS"/>
    <x v="6"/>
    <s v="4211.001"/>
    <s v="Intérêts de retard sur factures"/>
    <n v="0"/>
    <n v="4141.3999999999996"/>
    <n v="4211"/>
  </r>
  <r>
    <x v="0"/>
    <x v="1"/>
    <x v="1"/>
    <x v="18"/>
    <x v="18"/>
    <x v="18"/>
    <s v="REVENUS"/>
    <x v="2"/>
    <s v="4001.007"/>
    <s v="Acompte impôt sur revenu"/>
    <n v="0"/>
    <n v="-103732.35"/>
    <n v="4001"/>
  </r>
  <r>
    <x v="0"/>
    <x v="1"/>
    <x v="1"/>
    <x v="18"/>
    <x v="18"/>
    <x v="18"/>
    <s v="REVENUS"/>
    <x v="3"/>
    <s v="4002.007"/>
    <s v="Acompte impôt sur fortune"/>
    <n v="0"/>
    <n v="-8949.4"/>
    <n v="4002"/>
  </r>
  <r>
    <x v="0"/>
    <x v="1"/>
    <x v="1"/>
    <x v="18"/>
    <x v="18"/>
    <x v="18"/>
    <s v="REVENUS"/>
    <x v="2"/>
    <s v="4001.001"/>
    <s v="Impôt revenu"/>
    <n v="0"/>
    <n v="520134.6"/>
    <n v="4001"/>
  </r>
  <r>
    <x v="0"/>
    <x v="1"/>
    <x v="1"/>
    <x v="18"/>
    <x v="18"/>
    <x v="18"/>
    <s v="REVENUS"/>
    <x v="2"/>
    <s v="4001.007"/>
    <s v="Acompte impôt sur revenu"/>
    <n v="0"/>
    <n v="105965.85"/>
    <n v="4001"/>
  </r>
  <r>
    <x v="0"/>
    <x v="1"/>
    <x v="1"/>
    <x v="18"/>
    <x v="18"/>
    <x v="18"/>
    <s v="REVENUS"/>
    <x v="3"/>
    <s v="4002.001"/>
    <s v="Impôt ordinaire s/fortune PP"/>
    <n v="0"/>
    <n v="47326.2"/>
    <n v="4002"/>
  </r>
  <r>
    <x v="0"/>
    <x v="1"/>
    <x v="1"/>
    <x v="18"/>
    <x v="18"/>
    <x v="18"/>
    <s v="REVENUS"/>
    <x v="3"/>
    <s v="4002.007"/>
    <s v="Acompte impôt sur fortune"/>
    <n v="0"/>
    <n v="5825.92"/>
    <n v="4002"/>
  </r>
  <r>
    <x v="0"/>
    <x v="1"/>
    <x v="1"/>
    <x v="18"/>
    <x v="18"/>
    <x v="18"/>
    <s v="REVENUS"/>
    <x v="6"/>
    <s v="4211.002"/>
    <s v="Intérêts de retard sur acomptes"/>
    <n v="0"/>
    <n v="2980.27"/>
    <n v="4211"/>
  </r>
  <r>
    <x v="0"/>
    <x v="1"/>
    <x v="1"/>
    <x v="18"/>
    <x v="18"/>
    <x v="18"/>
    <s v="REVENUS"/>
    <x v="6"/>
    <s v="4221.003"/>
    <s v="Intérêts compensat. / acomptes en faveur du fisc"/>
    <n v="0"/>
    <n v="92.5"/>
    <n v="4221"/>
  </r>
  <r>
    <x v="0"/>
    <x v="1"/>
    <x v="1"/>
    <x v="18"/>
    <x v="18"/>
    <x v="18"/>
    <s v="REVENUS"/>
    <x v="3"/>
    <s v="4002.001"/>
    <s v="Impôt ordinaire s/fortune PP"/>
    <n v="0"/>
    <n v="94.15"/>
    <n v="4002"/>
  </r>
  <r>
    <x v="0"/>
    <x v="1"/>
    <x v="1"/>
    <x v="18"/>
    <x v="18"/>
    <x v="18"/>
    <s v="REVENUS"/>
    <x v="6"/>
    <s v="4221.003"/>
    <s v="Intérêts compensat. / acomptes en faveur du fisc"/>
    <n v="0"/>
    <n v="0.02"/>
    <n v="4221"/>
  </r>
  <r>
    <x v="0"/>
    <x v="1"/>
    <x v="1"/>
    <x v="18"/>
    <x v="18"/>
    <x v="18"/>
    <s v="REVENUS"/>
    <x v="7"/>
    <s v="4184.000"/>
    <s v="Frais de poursuite"/>
    <n v="0"/>
    <n v="1499.41"/>
    <n v="4184"/>
  </r>
  <r>
    <x v="0"/>
    <x v="1"/>
    <x v="1"/>
    <x v="18"/>
    <x v="18"/>
    <x v="18"/>
    <s v="REVENUS"/>
    <x v="2"/>
    <s v="4001.003"/>
    <s v="Impôt s/prest. cap. PP"/>
    <n v="0"/>
    <n v="8270.25"/>
    <n v="4001"/>
  </r>
  <r>
    <x v="0"/>
    <x v="1"/>
    <x v="1"/>
    <x v="18"/>
    <x v="18"/>
    <x v="18"/>
    <s v="REVENUS"/>
    <x v="12"/>
    <s v="4004.007"/>
    <s v="Acompte spécial étrangers"/>
    <n v="0"/>
    <n v="2363.25"/>
    <n v="4004"/>
  </r>
  <r>
    <x v="0"/>
    <x v="1"/>
    <x v="1"/>
    <x v="18"/>
    <x v="18"/>
    <x v="18"/>
    <s v="REVENUS"/>
    <x v="3"/>
    <s v="4002.007"/>
    <s v="Acompte impôt sur fortune"/>
    <n v="0"/>
    <n v="-2331.35"/>
    <n v="4002"/>
  </r>
  <r>
    <x v="0"/>
    <x v="1"/>
    <x v="1"/>
    <x v="18"/>
    <x v="18"/>
    <x v="18"/>
    <s v="REVENUS"/>
    <x v="3"/>
    <s v="4002.007"/>
    <s v="Acompte impôt sur fortune"/>
    <n v="0"/>
    <n v="84.25"/>
    <n v="4002"/>
  </r>
  <r>
    <x v="0"/>
    <x v="1"/>
    <x v="1"/>
    <x v="18"/>
    <x v="18"/>
    <x v="18"/>
    <s v="REVENUS"/>
    <x v="2"/>
    <s v="4001.007"/>
    <s v="Acompte impôt sur revenu"/>
    <n v="0"/>
    <n v="-3496.6"/>
    <n v="4001"/>
  </r>
  <r>
    <x v="0"/>
    <x v="1"/>
    <x v="1"/>
    <x v="18"/>
    <x v="18"/>
    <x v="18"/>
    <s v="REVENUS"/>
    <x v="3"/>
    <s v="4002.007"/>
    <s v="Acompte impôt sur fortune"/>
    <n v="0"/>
    <n v="-10.6"/>
    <n v="4002"/>
  </r>
  <r>
    <x v="0"/>
    <x v="1"/>
    <x v="1"/>
    <x v="18"/>
    <x v="18"/>
    <x v="18"/>
    <s v="REVENUS"/>
    <x v="2"/>
    <s v="4001.007"/>
    <s v="Acompte impôt sur revenu"/>
    <n v="0"/>
    <n v="28.05"/>
    <n v="4001"/>
  </r>
  <r>
    <x v="0"/>
    <x v="1"/>
    <x v="1"/>
    <x v="18"/>
    <x v="18"/>
    <x v="18"/>
    <s v="REVENUS"/>
    <x v="2"/>
    <s v="4001.007"/>
    <s v="Acompte impôt sur revenu"/>
    <n v="0"/>
    <n v="-4.25"/>
    <n v="4001"/>
  </r>
  <r>
    <x v="0"/>
    <x v="1"/>
    <x v="1"/>
    <x v="18"/>
    <x v="18"/>
    <x v="18"/>
    <s v="REVENUS"/>
    <x v="2"/>
    <s v="4001.002"/>
    <s v="Impôt complément s/revenu PP"/>
    <n v="0"/>
    <n v="83812.2"/>
    <n v="4001"/>
  </r>
  <r>
    <x v="0"/>
    <x v="1"/>
    <x v="1"/>
    <x v="18"/>
    <x v="18"/>
    <x v="18"/>
    <s v="REVENUS"/>
    <x v="3"/>
    <s v="4002.002"/>
    <s v="Impôt complémentaire s/fortune PP"/>
    <n v="0"/>
    <n v="2822.6"/>
    <n v="4002"/>
  </r>
  <r>
    <x v="0"/>
    <x v="1"/>
    <x v="1"/>
    <x v="18"/>
    <x v="18"/>
    <x v="18"/>
    <s v="REVENUS"/>
    <x v="2"/>
    <s v="4001.001"/>
    <s v="Impôt revenu"/>
    <n v="0"/>
    <n v="2378.1999999999998"/>
    <n v="4001"/>
  </r>
  <r>
    <x v="0"/>
    <x v="1"/>
    <x v="1"/>
    <x v="18"/>
    <x v="18"/>
    <x v="18"/>
    <s v="REVENUS"/>
    <x v="2"/>
    <s v="4001.007"/>
    <s v="Acompte impôt sur revenu"/>
    <n v="0"/>
    <n v="-521.5"/>
    <n v="4001"/>
  </r>
  <r>
    <x v="0"/>
    <x v="1"/>
    <x v="1"/>
    <x v="18"/>
    <x v="18"/>
    <x v="18"/>
    <s v="REVENUS"/>
    <x v="3"/>
    <s v="4002.001"/>
    <s v="Impôt ordinaire s/fortune PP"/>
    <n v="0"/>
    <n v="2406.0500000000002"/>
    <n v="4002"/>
  </r>
  <r>
    <x v="0"/>
    <x v="1"/>
    <x v="1"/>
    <x v="18"/>
    <x v="18"/>
    <x v="18"/>
    <s v="REVENUS"/>
    <x v="3"/>
    <s v="4002.007"/>
    <s v="Acompte impôt sur fortune"/>
    <n v="0"/>
    <n v="-744.7"/>
    <n v="4002"/>
  </r>
  <r>
    <x v="0"/>
    <x v="1"/>
    <x v="1"/>
    <x v="18"/>
    <x v="18"/>
    <x v="18"/>
    <s v="REVENUS"/>
    <x v="6"/>
    <s v="4211.002"/>
    <s v="Intérêts de retard sur acomptes"/>
    <n v="0"/>
    <n v="50.52"/>
    <n v="4211"/>
  </r>
  <r>
    <x v="0"/>
    <x v="1"/>
    <x v="1"/>
    <x v="18"/>
    <x v="18"/>
    <x v="18"/>
    <s v="REVENUS"/>
    <x v="6"/>
    <s v="4221.003"/>
    <s v="Intérêts compensat. / acomptes en faveur du fisc"/>
    <n v="0"/>
    <n v="3.4"/>
    <n v="4221"/>
  </r>
  <r>
    <x v="0"/>
    <x v="1"/>
    <x v="1"/>
    <x v="18"/>
    <x v="18"/>
    <x v="18"/>
    <s v="REVENUS"/>
    <x v="9"/>
    <s v="4031.001"/>
    <s v="Impôt sur les gains immobiliers"/>
    <n v="0"/>
    <n v="29602.85"/>
    <n v="4031"/>
  </r>
  <r>
    <x v="0"/>
    <x v="1"/>
    <x v="1"/>
    <x v="18"/>
    <x v="18"/>
    <x v="18"/>
    <s v="REVENUS"/>
    <x v="6"/>
    <s v="4221.002"/>
    <s v="Intérêts compensat. sur impôts distincts"/>
    <n v="0"/>
    <n v="3.79"/>
    <n v="4221"/>
  </r>
  <r>
    <x v="0"/>
    <x v="1"/>
    <x v="1"/>
    <x v="18"/>
    <x v="18"/>
    <x v="18"/>
    <s v="REVENUS"/>
    <x v="7"/>
    <s v="4184.000"/>
    <s v="Frais de poursuite"/>
    <n v="0"/>
    <n v="626.44000000000005"/>
    <n v="4184"/>
  </r>
  <r>
    <x v="0"/>
    <x v="1"/>
    <x v="1"/>
    <x v="18"/>
    <x v="18"/>
    <x v="18"/>
    <s v="REVENUS"/>
    <x v="6"/>
    <s v="4211.001"/>
    <s v="Intérêts de retard sur factures"/>
    <n v="0"/>
    <n v="0.03"/>
    <n v="4211"/>
  </r>
  <r>
    <x v="0"/>
    <x v="1"/>
    <x v="1"/>
    <x v="18"/>
    <x v="18"/>
    <x v="18"/>
    <s v="REVENUS"/>
    <x v="2"/>
    <s v="4001.001"/>
    <s v="Impôt revenu"/>
    <n v="0"/>
    <n v="-42895.5"/>
    <n v="4001"/>
  </r>
  <r>
    <x v="0"/>
    <x v="1"/>
    <x v="1"/>
    <x v="18"/>
    <x v="18"/>
    <x v="18"/>
    <s v="REVENUS"/>
    <x v="2"/>
    <s v="4001.002"/>
    <s v="Impôt complément s/revenu PP"/>
    <n v="0"/>
    <n v="-6567.45"/>
    <n v="4001"/>
  </r>
  <r>
    <x v="0"/>
    <x v="1"/>
    <x v="1"/>
    <x v="18"/>
    <x v="18"/>
    <x v="18"/>
    <s v="REVENUS"/>
    <x v="2"/>
    <s v="4001.001"/>
    <s v="Impôt revenu"/>
    <n v="0"/>
    <n v="-18503.650000000001"/>
    <n v="4001"/>
  </r>
  <r>
    <x v="0"/>
    <x v="1"/>
    <x v="1"/>
    <x v="18"/>
    <x v="18"/>
    <x v="18"/>
    <s v="REVENUS"/>
    <x v="3"/>
    <s v="4002.001"/>
    <s v="Impôt ordinaire s/fortune PP"/>
    <n v="0"/>
    <n v="-341.1"/>
    <n v="4002"/>
  </r>
  <r>
    <x v="0"/>
    <x v="1"/>
    <x v="1"/>
    <x v="18"/>
    <x v="18"/>
    <x v="18"/>
    <s v="REVENUS"/>
    <x v="6"/>
    <s v="4211.001"/>
    <s v="Intérêts de retard sur factures"/>
    <n v="0"/>
    <n v="-4.0599999999999996"/>
    <n v="4211"/>
  </r>
  <r>
    <x v="0"/>
    <x v="1"/>
    <x v="1"/>
    <x v="18"/>
    <x v="18"/>
    <x v="18"/>
    <s v="REVENUS"/>
    <x v="6"/>
    <s v="4211.002"/>
    <s v="Intérêts de retard sur acomptes"/>
    <n v="0"/>
    <n v="-17.38"/>
    <n v="4211"/>
  </r>
  <r>
    <x v="0"/>
    <x v="1"/>
    <x v="1"/>
    <x v="18"/>
    <x v="18"/>
    <x v="18"/>
    <s v="REVENUS"/>
    <x v="6"/>
    <s v="4221.003"/>
    <s v="Intérêts compensat. / acomptes en faveur du fisc"/>
    <n v="0"/>
    <n v="-6.67"/>
    <n v="4221"/>
  </r>
  <r>
    <x v="0"/>
    <x v="1"/>
    <x v="1"/>
    <x v="18"/>
    <x v="18"/>
    <x v="18"/>
    <s v="REVENUS"/>
    <x v="2"/>
    <s v="4001.001"/>
    <s v="Impôt revenu"/>
    <n v="0"/>
    <n v="214.95"/>
    <n v="4001"/>
  </r>
  <r>
    <x v="0"/>
    <x v="1"/>
    <x v="1"/>
    <x v="18"/>
    <x v="18"/>
    <x v="18"/>
    <s v="REVENUS"/>
    <x v="3"/>
    <s v="4002.001"/>
    <s v="Impôt ordinaire s/fortune PP"/>
    <n v="0"/>
    <n v="41.45"/>
    <n v="4002"/>
  </r>
  <r>
    <x v="0"/>
    <x v="1"/>
    <x v="1"/>
    <x v="18"/>
    <x v="18"/>
    <x v="18"/>
    <s v="REVENUS"/>
    <x v="7"/>
    <s v="4184.000"/>
    <s v="Frais de poursuite"/>
    <n v="0"/>
    <n v="38.06"/>
    <n v="4184"/>
  </r>
  <r>
    <x v="0"/>
    <x v="1"/>
    <x v="1"/>
    <x v="18"/>
    <x v="18"/>
    <x v="18"/>
    <s v="REVENUS"/>
    <x v="8"/>
    <s v="4091.001"/>
    <s v="Impôt récupéré après défalcations"/>
    <n v="0"/>
    <n v="401.9"/>
    <n v="4091"/>
  </r>
  <r>
    <x v="0"/>
    <x v="1"/>
    <x v="1"/>
    <x v="18"/>
    <x v="18"/>
    <x v="18"/>
    <s v="REVENUS"/>
    <x v="12"/>
    <s v="4004.000"/>
    <s v="Impôt spécial étrangers"/>
    <n v="0"/>
    <n v="36249.699999999997"/>
    <n v="4004"/>
  </r>
  <r>
    <x v="0"/>
    <x v="1"/>
    <x v="1"/>
    <x v="19"/>
    <x v="19"/>
    <x v="19"/>
    <s v="CHARGES"/>
    <x v="0"/>
    <s v="3212.004"/>
    <s v="Intérêts rémun./perçu trop tôt sur acomptes C/C"/>
    <n v="294.91000000000003"/>
    <n v="0"/>
    <n v="3212"/>
  </r>
  <r>
    <x v="0"/>
    <x v="1"/>
    <x v="1"/>
    <x v="19"/>
    <x v="19"/>
    <x v="19"/>
    <s v="CHARGES"/>
    <x v="0"/>
    <s v="3221.002"/>
    <s v="Intérêts compensatoires / créances en faveur ctb."/>
    <n v="50.94"/>
    <n v="0"/>
    <n v="3221"/>
  </r>
  <r>
    <x v="0"/>
    <x v="1"/>
    <x v="1"/>
    <x v="19"/>
    <x v="19"/>
    <x v="19"/>
    <s v="CHARGES"/>
    <x v="1"/>
    <s v="3301.001"/>
    <s v="Défalcations, abandons de solde PP et IS"/>
    <n v="92865.4"/>
    <n v="0"/>
    <n v="3301"/>
  </r>
  <r>
    <x v="0"/>
    <x v="1"/>
    <x v="1"/>
    <x v="19"/>
    <x v="19"/>
    <x v="19"/>
    <s v="CHARGES"/>
    <x v="0"/>
    <s v="3212.002"/>
    <s v="Intérêts bonifiés/trop perçu acompte C/C"/>
    <n v="42.16"/>
    <n v="0"/>
    <n v="3212"/>
  </r>
  <r>
    <x v="0"/>
    <x v="1"/>
    <x v="1"/>
    <x v="19"/>
    <x v="19"/>
    <x v="19"/>
    <s v="CHARGES"/>
    <x v="1"/>
    <s v="3301.001"/>
    <s v="Défalcations, abandons de solde PP et IS"/>
    <n v="7.0000000000000007E-2"/>
    <n v="0"/>
    <n v="3301"/>
  </r>
  <r>
    <x v="0"/>
    <x v="1"/>
    <x v="1"/>
    <x v="19"/>
    <x v="19"/>
    <x v="19"/>
    <s v="CHARGES"/>
    <x v="0"/>
    <s v="3212.004"/>
    <s v="Intérêts rémun./perçu trop tôt sur acomptes C/C"/>
    <n v="1.84"/>
    <n v="0"/>
    <n v="3212"/>
  </r>
  <r>
    <x v="0"/>
    <x v="1"/>
    <x v="1"/>
    <x v="19"/>
    <x v="19"/>
    <x v="19"/>
    <s v="CHARGES"/>
    <x v="0"/>
    <s v="3221.002"/>
    <s v="Intérêts compensatoires / créances en faveur ctb."/>
    <n v="1.84"/>
    <n v="0"/>
    <n v="3221"/>
  </r>
  <r>
    <x v="0"/>
    <x v="1"/>
    <x v="1"/>
    <x v="19"/>
    <x v="19"/>
    <x v="19"/>
    <s v="CHARGES"/>
    <x v="0"/>
    <s v="3212.004"/>
    <s v="Intérêts rémun./perçu trop tôt sur acomptes C/C"/>
    <n v="0.78"/>
    <n v="0"/>
    <n v="3212"/>
  </r>
  <r>
    <x v="0"/>
    <x v="1"/>
    <x v="1"/>
    <x v="19"/>
    <x v="19"/>
    <x v="19"/>
    <s v="CHARGES"/>
    <x v="1"/>
    <s v="3301.001"/>
    <s v="Défalcations, abandons de solde PP et IS"/>
    <n v="0.55000000000000004"/>
    <n v="0"/>
    <n v="3301"/>
  </r>
  <r>
    <x v="0"/>
    <x v="1"/>
    <x v="1"/>
    <x v="19"/>
    <x v="19"/>
    <x v="19"/>
    <s v="CHARGES"/>
    <x v="1"/>
    <s v="3301.001"/>
    <s v="Défalcations, abandons de solde PP et IS"/>
    <n v="-2283.4299999999998"/>
    <n v="0"/>
    <n v="3301"/>
  </r>
  <r>
    <x v="0"/>
    <x v="1"/>
    <x v="1"/>
    <x v="19"/>
    <x v="19"/>
    <x v="19"/>
    <s v="CHARGES"/>
    <x v="0"/>
    <s v="3221.002"/>
    <s v="Intérêts compensatoires / créances en faveur ctb."/>
    <n v="7.0000000000000007E-2"/>
    <n v="0"/>
    <n v="3221"/>
  </r>
  <r>
    <x v="0"/>
    <x v="1"/>
    <x v="1"/>
    <x v="19"/>
    <x v="19"/>
    <x v="19"/>
    <s v="CHARGES"/>
    <x v="0"/>
    <s v="3212.004"/>
    <s v="Intérêts rémun./perçu trop tôt sur acomptes C/C"/>
    <n v="0.12"/>
    <n v="0"/>
    <n v="3212"/>
  </r>
  <r>
    <x v="0"/>
    <x v="1"/>
    <x v="1"/>
    <x v="19"/>
    <x v="19"/>
    <x v="19"/>
    <s v="CHARGES"/>
    <x v="0"/>
    <s v="3212.004"/>
    <s v="Intérêts rémun./perçu trop tôt sur acomptes C/C"/>
    <n v="0.01"/>
    <n v="0"/>
    <n v="3212"/>
  </r>
  <r>
    <x v="0"/>
    <x v="1"/>
    <x v="1"/>
    <x v="19"/>
    <x v="19"/>
    <x v="19"/>
    <s v="CHARGES"/>
    <x v="1"/>
    <s v="3301.001"/>
    <s v="Défalcations, abandons de solde PP et IS"/>
    <n v="0.55000000000000004"/>
    <n v="0"/>
    <n v="3301"/>
  </r>
  <r>
    <x v="0"/>
    <x v="1"/>
    <x v="1"/>
    <x v="19"/>
    <x v="19"/>
    <x v="19"/>
    <s v="CHARGES"/>
    <x v="1"/>
    <s v="3301.001"/>
    <s v="Défalcations, abandons de solde PP et IS"/>
    <n v="0.06"/>
    <n v="0"/>
    <n v="3301"/>
  </r>
  <r>
    <x v="0"/>
    <x v="1"/>
    <x v="1"/>
    <x v="19"/>
    <x v="19"/>
    <x v="19"/>
    <s v="CHARGES"/>
    <x v="1"/>
    <s v="3301.001"/>
    <s v="Défalcations, abandons de solde PP et IS"/>
    <n v="73.069999999999993"/>
    <n v="0"/>
    <n v="3301"/>
  </r>
  <r>
    <x v="0"/>
    <x v="1"/>
    <x v="1"/>
    <x v="19"/>
    <x v="19"/>
    <x v="19"/>
    <s v="CHARGES"/>
    <x v="1"/>
    <s v="3301.001"/>
    <s v="Défalcations, abandons de solde PP et IS"/>
    <n v="0.36"/>
    <n v="0"/>
    <n v="3301"/>
  </r>
  <r>
    <x v="0"/>
    <x v="1"/>
    <x v="1"/>
    <x v="19"/>
    <x v="19"/>
    <x v="19"/>
    <s v="CHARGES"/>
    <x v="0"/>
    <s v="3212.004"/>
    <s v="Intérêts rémun./perçu trop tôt sur acomptes C/C"/>
    <n v="-4.6500000000000004"/>
    <n v="0"/>
    <n v="3212"/>
  </r>
  <r>
    <x v="0"/>
    <x v="1"/>
    <x v="1"/>
    <x v="19"/>
    <x v="19"/>
    <x v="19"/>
    <s v="CHARGES"/>
    <x v="0"/>
    <s v="3212.004"/>
    <s v="Intérêts rémun./perçu trop tôt sur acomptes C/C"/>
    <n v="2.06"/>
    <n v="0"/>
    <n v="3212"/>
  </r>
  <r>
    <x v="0"/>
    <x v="1"/>
    <x v="1"/>
    <x v="19"/>
    <x v="19"/>
    <x v="19"/>
    <s v="CHARGES"/>
    <x v="0"/>
    <s v="3221.002"/>
    <s v="Intérêts compensatoires / créances en faveur ctb."/>
    <n v="0.14000000000000001"/>
    <n v="0"/>
    <n v="3221"/>
  </r>
  <r>
    <x v="0"/>
    <x v="1"/>
    <x v="1"/>
    <x v="19"/>
    <x v="19"/>
    <x v="19"/>
    <s v="CHARGES"/>
    <x v="0"/>
    <s v="3221.002"/>
    <s v="Intérêts compensatoires / créances en faveur ctb."/>
    <n v="0.04"/>
    <n v="0"/>
    <n v="3221"/>
  </r>
  <r>
    <x v="0"/>
    <x v="1"/>
    <x v="1"/>
    <x v="19"/>
    <x v="19"/>
    <x v="19"/>
    <s v="CHARGES"/>
    <x v="0"/>
    <s v="3212.004"/>
    <s v="Intérêts rémun./perçu trop tôt sur acomptes C/C"/>
    <n v="1.01"/>
    <n v="0"/>
    <n v="3212"/>
  </r>
  <r>
    <x v="0"/>
    <x v="1"/>
    <x v="1"/>
    <x v="19"/>
    <x v="19"/>
    <x v="19"/>
    <s v="CHARGES"/>
    <x v="0"/>
    <s v="3221.002"/>
    <s v="Intérêts compensatoires / créances en faveur ctb."/>
    <n v="0.63"/>
    <n v="0"/>
    <n v="3221"/>
  </r>
  <r>
    <x v="0"/>
    <x v="1"/>
    <x v="1"/>
    <x v="19"/>
    <x v="19"/>
    <x v="19"/>
    <s v="CHARGES"/>
    <x v="0"/>
    <s v="3212.004"/>
    <s v="Intérêts rémun./perçu trop tôt sur acomptes C/C"/>
    <n v="0.47"/>
    <n v="0"/>
    <n v="3212"/>
  </r>
  <r>
    <x v="0"/>
    <x v="1"/>
    <x v="1"/>
    <x v="19"/>
    <x v="19"/>
    <x v="19"/>
    <s v="CHARGES"/>
    <x v="0"/>
    <s v="3221.002"/>
    <s v="Intérêts compensatoires / créances en faveur ctb."/>
    <n v="0.52"/>
    <n v="0"/>
    <n v="3221"/>
  </r>
  <r>
    <x v="0"/>
    <x v="1"/>
    <x v="1"/>
    <x v="19"/>
    <x v="19"/>
    <x v="19"/>
    <s v="CHARGES"/>
    <x v="1"/>
    <s v="3301.003"/>
    <s v="Remises PP et IS"/>
    <n v="208.6"/>
    <n v="0"/>
    <n v="3301"/>
  </r>
  <r>
    <x v="0"/>
    <x v="1"/>
    <x v="1"/>
    <x v="19"/>
    <x v="19"/>
    <x v="19"/>
    <s v="REVENUS"/>
    <x v="2"/>
    <s v="4001.007"/>
    <s v="Acompte impôt sur revenu"/>
    <n v="0"/>
    <n v="300955.90000000002"/>
    <n v="4001"/>
  </r>
  <r>
    <x v="0"/>
    <x v="1"/>
    <x v="1"/>
    <x v="19"/>
    <x v="19"/>
    <x v="19"/>
    <s v="REVENUS"/>
    <x v="3"/>
    <s v="4002.007"/>
    <s v="Acompte impôt sur fortune"/>
    <n v="0"/>
    <n v="61732.46"/>
    <n v="4002"/>
  </r>
  <r>
    <x v="0"/>
    <x v="1"/>
    <x v="1"/>
    <x v="19"/>
    <x v="19"/>
    <x v="19"/>
    <s v="REVENUS"/>
    <x v="2"/>
    <s v="4001.007"/>
    <s v="Acompte impôt sur revenu"/>
    <n v="0"/>
    <n v="-214617.26"/>
    <n v="4001"/>
  </r>
  <r>
    <x v="0"/>
    <x v="1"/>
    <x v="1"/>
    <x v="19"/>
    <x v="19"/>
    <x v="19"/>
    <s v="REVENUS"/>
    <x v="2"/>
    <s v="4001.001"/>
    <s v="Impôt revenu"/>
    <n v="0"/>
    <n v="1819228"/>
    <n v="4001"/>
  </r>
  <r>
    <x v="0"/>
    <x v="1"/>
    <x v="1"/>
    <x v="19"/>
    <x v="19"/>
    <x v="19"/>
    <s v="REVENUS"/>
    <x v="3"/>
    <s v="4002.001"/>
    <s v="Impôt ordinaire s/fortune PP"/>
    <n v="0"/>
    <n v="195909.6"/>
    <n v="4002"/>
  </r>
  <r>
    <x v="0"/>
    <x v="1"/>
    <x v="1"/>
    <x v="19"/>
    <x v="19"/>
    <x v="19"/>
    <s v="REVENUS"/>
    <x v="6"/>
    <s v="4211.001"/>
    <s v="Intérêts de retard sur factures"/>
    <n v="0"/>
    <n v="14677.46"/>
    <n v="4211"/>
  </r>
  <r>
    <x v="0"/>
    <x v="1"/>
    <x v="1"/>
    <x v="19"/>
    <x v="19"/>
    <x v="19"/>
    <s v="REVENUS"/>
    <x v="6"/>
    <s v="4211.002"/>
    <s v="Intérêts de retard sur acomptes"/>
    <n v="0"/>
    <n v="11655.23"/>
    <n v="4211"/>
  </r>
  <r>
    <x v="0"/>
    <x v="1"/>
    <x v="1"/>
    <x v="19"/>
    <x v="19"/>
    <x v="19"/>
    <s v="REVENUS"/>
    <x v="6"/>
    <s v="4221.003"/>
    <s v="Intérêts compensat. / acomptes en faveur du fisc"/>
    <n v="0"/>
    <n v="189.03"/>
    <n v="4221"/>
  </r>
  <r>
    <x v="0"/>
    <x v="1"/>
    <x v="1"/>
    <x v="19"/>
    <x v="19"/>
    <x v="19"/>
    <s v="REVENUS"/>
    <x v="3"/>
    <s v="4002.002"/>
    <s v="Impôt complémentaire s/fortune PP"/>
    <n v="0"/>
    <n v="23837.3"/>
    <n v="4002"/>
  </r>
  <r>
    <x v="0"/>
    <x v="1"/>
    <x v="1"/>
    <x v="19"/>
    <x v="19"/>
    <x v="19"/>
    <s v="REVENUS"/>
    <x v="7"/>
    <s v="4184.000"/>
    <s v="Frais de poursuite"/>
    <n v="0"/>
    <n v="6845.68"/>
    <n v="4184"/>
  </r>
  <r>
    <x v="0"/>
    <x v="1"/>
    <x v="1"/>
    <x v="19"/>
    <x v="19"/>
    <x v="19"/>
    <s v="REVENUS"/>
    <x v="3"/>
    <s v="4002.007"/>
    <s v="Acompte impôt sur fortune"/>
    <n v="0"/>
    <n v="-44389.64"/>
    <n v="4002"/>
  </r>
  <r>
    <x v="0"/>
    <x v="1"/>
    <x v="1"/>
    <x v="19"/>
    <x v="19"/>
    <x v="19"/>
    <s v="REVENUS"/>
    <x v="2"/>
    <s v="4001.003"/>
    <s v="Impôt s/prest. cap. PP"/>
    <n v="0"/>
    <n v="21981.45"/>
    <n v="4001"/>
  </r>
  <r>
    <x v="0"/>
    <x v="1"/>
    <x v="1"/>
    <x v="19"/>
    <x v="19"/>
    <x v="19"/>
    <s v="REVENUS"/>
    <x v="9"/>
    <s v="4031.001"/>
    <s v="Impôt sur les gains immobiliers"/>
    <n v="0"/>
    <n v="64793.3"/>
    <n v="4031"/>
  </r>
  <r>
    <x v="0"/>
    <x v="1"/>
    <x v="1"/>
    <x v="19"/>
    <x v="19"/>
    <x v="19"/>
    <s v="REVENUS"/>
    <x v="6"/>
    <s v="4211.001"/>
    <s v="Intérêts de retard sur factures"/>
    <n v="0"/>
    <n v="21.06"/>
    <n v="4211"/>
  </r>
  <r>
    <x v="0"/>
    <x v="1"/>
    <x v="1"/>
    <x v="19"/>
    <x v="19"/>
    <x v="19"/>
    <s v="REVENUS"/>
    <x v="2"/>
    <s v="4001.001"/>
    <s v="Impôt revenu"/>
    <n v="0"/>
    <n v="3407.25"/>
    <n v="4001"/>
  </r>
  <r>
    <x v="0"/>
    <x v="1"/>
    <x v="1"/>
    <x v="19"/>
    <x v="19"/>
    <x v="19"/>
    <s v="REVENUS"/>
    <x v="3"/>
    <s v="4002.001"/>
    <s v="Impôt ordinaire s/fortune PP"/>
    <n v="0"/>
    <n v="2893.7"/>
    <n v="4002"/>
  </r>
  <r>
    <x v="0"/>
    <x v="1"/>
    <x v="1"/>
    <x v="19"/>
    <x v="19"/>
    <x v="19"/>
    <s v="REVENUS"/>
    <x v="3"/>
    <s v="4002.007"/>
    <s v="Acompte impôt sur fortune"/>
    <n v="0"/>
    <n v="-200.32"/>
    <n v="4002"/>
  </r>
  <r>
    <x v="0"/>
    <x v="1"/>
    <x v="1"/>
    <x v="19"/>
    <x v="19"/>
    <x v="19"/>
    <s v="REVENUS"/>
    <x v="2"/>
    <s v="4001.002"/>
    <s v="Impôt complément s/revenu PP"/>
    <n v="0"/>
    <n v="241334.25"/>
    <n v="4001"/>
  </r>
  <r>
    <x v="0"/>
    <x v="1"/>
    <x v="1"/>
    <x v="19"/>
    <x v="19"/>
    <x v="19"/>
    <s v="REVENUS"/>
    <x v="6"/>
    <s v="4221.002"/>
    <s v="Intérêts compensat. sur impôts distincts"/>
    <n v="0"/>
    <n v="17.48"/>
    <n v="4221"/>
  </r>
  <r>
    <x v="0"/>
    <x v="1"/>
    <x v="1"/>
    <x v="19"/>
    <x v="19"/>
    <x v="19"/>
    <s v="REVENUS"/>
    <x v="2"/>
    <s v="4001.007"/>
    <s v="Acompte impôt sur revenu"/>
    <n v="0"/>
    <n v="2876.89"/>
    <n v="4001"/>
  </r>
  <r>
    <x v="0"/>
    <x v="1"/>
    <x v="1"/>
    <x v="19"/>
    <x v="19"/>
    <x v="19"/>
    <s v="REVENUS"/>
    <x v="2"/>
    <s v="4001.007"/>
    <s v="Acompte impôt sur revenu"/>
    <n v="0"/>
    <n v="4609.8999999999996"/>
    <n v="4001"/>
  </r>
  <r>
    <x v="0"/>
    <x v="1"/>
    <x v="1"/>
    <x v="19"/>
    <x v="19"/>
    <x v="19"/>
    <s v="REVENUS"/>
    <x v="3"/>
    <s v="4002.007"/>
    <s v="Acompte impôt sur fortune"/>
    <n v="0"/>
    <n v="1427.45"/>
    <n v="4002"/>
  </r>
  <r>
    <x v="0"/>
    <x v="1"/>
    <x v="1"/>
    <x v="19"/>
    <x v="19"/>
    <x v="19"/>
    <s v="REVENUS"/>
    <x v="2"/>
    <s v="4001.007"/>
    <s v="Acompte impôt sur revenu"/>
    <n v="0"/>
    <n v="4343.05"/>
    <n v="4001"/>
  </r>
  <r>
    <x v="0"/>
    <x v="1"/>
    <x v="1"/>
    <x v="19"/>
    <x v="19"/>
    <x v="19"/>
    <s v="REVENUS"/>
    <x v="3"/>
    <s v="4002.007"/>
    <s v="Acompte impôt sur fortune"/>
    <n v="0"/>
    <n v="1427.75"/>
    <n v="4002"/>
  </r>
  <r>
    <x v="0"/>
    <x v="1"/>
    <x v="1"/>
    <x v="19"/>
    <x v="19"/>
    <x v="19"/>
    <s v="REVENUS"/>
    <x v="3"/>
    <s v="4002.007"/>
    <s v="Acompte impôt sur fortune"/>
    <n v="0"/>
    <n v="-1235.94"/>
    <n v="4002"/>
  </r>
  <r>
    <x v="0"/>
    <x v="1"/>
    <x v="1"/>
    <x v="19"/>
    <x v="19"/>
    <x v="19"/>
    <s v="REVENUS"/>
    <x v="3"/>
    <s v="4002.007"/>
    <s v="Acompte impôt sur fortune"/>
    <n v="0"/>
    <n v="-1529.55"/>
    <n v="4002"/>
  </r>
  <r>
    <x v="0"/>
    <x v="1"/>
    <x v="1"/>
    <x v="19"/>
    <x v="19"/>
    <x v="19"/>
    <s v="REVENUS"/>
    <x v="2"/>
    <s v="4001.007"/>
    <s v="Acompte impôt sur revenu"/>
    <n v="0"/>
    <n v="-4456.3100000000004"/>
    <n v="4001"/>
  </r>
  <r>
    <x v="0"/>
    <x v="1"/>
    <x v="1"/>
    <x v="19"/>
    <x v="19"/>
    <x v="19"/>
    <s v="REVENUS"/>
    <x v="2"/>
    <s v="4001.007"/>
    <s v="Acompte impôt sur revenu"/>
    <n v="0"/>
    <n v="-4131.3500000000004"/>
    <n v="4001"/>
  </r>
  <r>
    <x v="0"/>
    <x v="1"/>
    <x v="1"/>
    <x v="19"/>
    <x v="19"/>
    <x v="19"/>
    <s v="REVENUS"/>
    <x v="2"/>
    <s v="4001.007"/>
    <s v="Acompte impôt sur revenu"/>
    <n v="0"/>
    <n v="-872.5"/>
    <n v="4001"/>
  </r>
  <r>
    <x v="0"/>
    <x v="1"/>
    <x v="1"/>
    <x v="19"/>
    <x v="19"/>
    <x v="19"/>
    <s v="REVENUS"/>
    <x v="3"/>
    <s v="4002.007"/>
    <s v="Acompte impôt sur fortune"/>
    <n v="0"/>
    <n v="-372.65"/>
    <n v="4002"/>
  </r>
  <r>
    <x v="0"/>
    <x v="1"/>
    <x v="1"/>
    <x v="19"/>
    <x v="19"/>
    <x v="19"/>
    <s v="REVENUS"/>
    <x v="2"/>
    <s v="4001.001"/>
    <s v="Impôt revenu"/>
    <n v="0"/>
    <n v="-109502.3"/>
    <n v="4001"/>
  </r>
  <r>
    <x v="0"/>
    <x v="1"/>
    <x v="1"/>
    <x v="19"/>
    <x v="19"/>
    <x v="19"/>
    <s v="REVENUS"/>
    <x v="2"/>
    <s v="4001.007"/>
    <s v="Acompte impôt sur revenu"/>
    <n v="0"/>
    <n v="0.15"/>
    <n v="4001"/>
  </r>
  <r>
    <x v="0"/>
    <x v="1"/>
    <x v="1"/>
    <x v="19"/>
    <x v="19"/>
    <x v="19"/>
    <s v="REVENUS"/>
    <x v="3"/>
    <s v="4002.007"/>
    <s v="Acompte impôt sur fortune"/>
    <n v="0"/>
    <n v="-0.05"/>
    <n v="4002"/>
  </r>
  <r>
    <x v="0"/>
    <x v="1"/>
    <x v="1"/>
    <x v="19"/>
    <x v="19"/>
    <x v="19"/>
    <s v="REVENUS"/>
    <x v="7"/>
    <s v="4184.000"/>
    <s v="Frais de poursuite"/>
    <n v="0"/>
    <n v="194.1"/>
    <n v="4184"/>
  </r>
  <r>
    <x v="0"/>
    <x v="1"/>
    <x v="1"/>
    <x v="19"/>
    <x v="19"/>
    <x v="19"/>
    <s v="REVENUS"/>
    <x v="2"/>
    <s v="4001.003"/>
    <s v="Impôt s/prest. cap. PP"/>
    <n v="0"/>
    <n v="-4206.2"/>
    <n v="4001"/>
  </r>
  <r>
    <x v="0"/>
    <x v="1"/>
    <x v="1"/>
    <x v="19"/>
    <x v="19"/>
    <x v="19"/>
    <s v="REVENUS"/>
    <x v="6"/>
    <s v="4221.003"/>
    <s v="Intérêts compensat. / acomptes en faveur du fisc"/>
    <n v="0"/>
    <n v="2.81"/>
    <n v="4221"/>
  </r>
  <r>
    <x v="0"/>
    <x v="1"/>
    <x v="1"/>
    <x v="19"/>
    <x v="19"/>
    <x v="19"/>
    <s v="REVENUS"/>
    <x v="2"/>
    <s v="4001.001"/>
    <s v="Impôt revenu"/>
    <n v="0"/>
    <n v="3912.75"/>
    <n v="4001"/>
  </r>
  <r>
    <x v="0"/>
    <x v="1"/>
    <x v="1"/>
    <x v="19"/>
    <x v="19"/>
    <x v="19"/>
    <s v="REVENUS"/>
    <x v="3"/>
    <s v="4002.001"/>
    <s v="Impôt ordinaire s/fortune PP"/>
    <n v="0"/>
    <n v="1552.7"/>
    <n v="4002"/>
  </r>
  <r>
    <x v="0"/>
    <x v="1"/>
    <x v="1"/>
    <x v="19"/>
    <x v="19"/>
    <x v="19"/>
    <s v="REVENUS"/>
    <x v="6"/>
    <s v="4211.002"/>
    <s v="Intérêts de retard sur acomptes"/>
    <n v="0"/>
    <n v="60.03"/>
    <n v="4211"/>
  </r>
  <r>
    <x v="0"/>
    <x v="1"/>
    <x v="1"/>
    <x v="19"/>
    <x v="19"/>
    <x v="19"/>
    <s v="REVENUS"/>
    <x v="6"/>
    <s v="4221.003"/>
    <s v="Intérêts compensat. / acomptes en faveur du fisc"/>
    <n v="0"/>
    <n v="3.7"/>
    <n v="4221"/>
  </r>
  <r>
    <x v="0"/>
    <x v="1"/>
    <x v="1"/>
    <x v="19"/>
    <x v="19"/>
    <x v="19"/>
    <s v="REVENUS"/>
    <x v="6"/>
    <s v="4211.002"/>
    <s v="Intérêts de retard sur acomptes"/>
    <n v="0"/>
    <n v="0.35"/>
    <n v="4211"/>
  </r>
  <r>
    <x v="0"/>
    <x v="1"/>
    <x v="1"/>
    <x v="19"/>
    <x v="19"/>
    <x v="19"/>
    <s v="REVENUS"/>
    <x v="3"/>
    <s v="4002.001"/>
    <s v="Impôt ordinaire s/fortune PP"/>
    <n v="0"/>
    <n v="1046.7"/>
    <n v="4002"/>
  </r>
  <r>
    <x v="0"/>
    <x v="1"/>
    <x v="1"/>
    <x v="19"/>
    <x v="19"/>
    <x v="19"/>
    <s v="REVENUS"/>
    <x v="2"/>
    <s v="4001.001"/>
    <s v="Impôt revenu"/>
    <n v="0"/>
    <n v="2445"/>
    <n v="4001"/>
  </r>
  <r>
    <x v="0"/>
    <x v="1"/>
    <x v="1"/>
    <x v="19"/>
    <x v="19"/>
    <x v="19"/>
    <s v="REVENUS"/>
    <x v="2"/>
    <s v="4001.001"/>
    <s v="Impôt revenu"/>
    <n v="0"/>
    <n v="-22305.85"/>
    <n v="4001"/>
  </r>
  <r>
    <x v="0"/>
    <x v="1"/>
    <x v="1"/>
    <x v="19"/>
    <x v="19"/>
    <x v="19"/>
    <s v="REVENUS"/>
    <x v="6"/>
    <s v="4211.002"/>
    <s v="Intérêts de retard sur acomptes"/>
    <n v="0"/>
    <n v="-10.73"/>
    <n v="4211"/>
  </r>
  <r>
    <x v="0"/>
    <x v="1"/>
    <x v="1"/>
    <x v="19"/>
    <x v="19"/>
    <x v="19"/>
    <s v="REVENUS"/>
    <x v="6"/>
    <s v="4221.003"/>
    <s v="Intérêts compensat. / acomptes en faveur du fisc"/>
    <n v="0"/>
    <n v="-16.57"/>
    <n v="4221"/>
  </r>
  <r>
    <x v="0"/>
    <x v="1"/>
    <x v="1"/>
    <x v="19"/>
    <x v="19"/>
    <x v="19"/>
    <s v="REVENUS"/>
    <x v="6"/>
    <s v="4211.002"/>
    <s v="Intérêts de retard sur acomptes"/>
    <n v="0"/>
    <n v="1.41"/>
    <n v="4211"/>
  </r>
  <r>
    <x v="0"/>
    <x v="1"/>
    <x v="1"/>
    <x v="19"/>
    <x v="19"/>
    <x v="19"/>
    <s v="REVENUS"/>
    <x v="6"/>
    <s v="4221.003"/>
    <s v="Intérêts compensat. / acomptes en faveur du fisc"/>
    <n v="0"/>
    <n v="0.56000000000000005"/>
    <n v="4221"/>
  </r>
  <r>
    <x v="0"/>
    <x v="1"/>
    <x v="1"/>
    <x v="19"/>
    <x v="19"/>
    <x v="19"/>
    <s v="REVENUS"/>
    <x v="2"/>
    <s v="4001.002"/>
    <s v="Impôt complément s/revenu PP"/>
    <n v="0"/>
    <n v="240.3"/>
    <n v="4001"/>
  </r>
  <r>
    <x v="0"/>
    <x v="1"/>
    <x v="1"/>
    <x v="19"/>
    <x v="19"/>
    <x v="19"/>
    <s v="REVENUS"/>
    <x v="6"/>
    <s v="4211.001"/>
    <s v="Intérêts de retard sur factures"/>
    <n v="0"/>
    <n v="5.57"/>
    <n v="4211"/>
  </r>
  <r>
    <x v="0"/>
    <x v="1"/>
    <x v="1"/>
    <x v="19"/>
    <x v="19"/>
    <x v="19"/>
    <s v="REVENUS"/>
    <x v="5"/>
    <s v="4061.000"/>
    <s v="Impôt sur les chiens"/>
    <n v="0"/>
    <n v="12300"/>
    <n v="4061"/>
  </r>
  <r>
    <x v="0"/>
    <x v="1"/>
    <x v="1"/>
    <x v="19"/>
    <x v="19"/>
    <x v="19"/>
    <s v="REVENUS"/>
    <x v="2"/>
    <s v="4001.007"/>
    <s v="Acompte impôt sur revenu"/>
    <n v="0"/>
    <n v="-39917.050000000003"/>
    <n v="4001"/>
  </r>
  <r>
    <x v="0"/>
    <x v="1"/>
    <x v="1"/>
    <x v="19"/>
    <x v="19"/>
    <x v="19"/>
    <s v="REVENUS"/>
    <x v="3"/>
    <s v="4002.007"/>
    <s v="Acompte impôt sur fortune"/>
    <n v="0"/>
    <n v="-1271.1500000000001"/>
    <n v="4002"/>
  </r>
  <r>
    <x v="0"/>
    <x v="1"/>
    <x v="1"/>
    <x v="19"/>
    <x v="19"/>
    <x v="19"/>
    <s v="REVENUS"/>
    <x v="2"/>
    <s v="4001.001"/>
    <s v="Impôt revenu"/>
    <n v="0"/>
    <n v="1002.8"/>
    <n v="4001"/>
  </r>
  <r>
    <x v="0"/>
    <x v="1"/>
    <x v="1"/>
    <x v="19"/>
    <x v="19"/>
    <x v="19"/>
    <s v="REVENUS"/>
    <x v="3"/>
    <s v="4002.001"/>
    <s v="Impôt ordinaire s/fortune PP"/>
    <n v="0"/>
    <n v="295.25"/>
    <n v="4002"/>
  </r>
  <r>
    <x v="0"/>
    <x v="1"/>
    <x v="1"/>
    <x v="19"/>
    <x v="19"/>
    <x v="19"/>
    <s v="REVENUS"/>
    <x v="2"/>
    <s v="4001.001"/>
    <s v="Impôt revenu"/>
    <n v="0"/>
    <n v="0"/>
    <n v="4001"/>
  </r>
  <r>
    <x v="0"/>
    <x v="1"/>
    <x v="1"/>
    <x v="19"/>
    <x v="19"/>
    <x v="19"/>
    <s v="REVENUS"/>
    <x v="3"/>
    <s v="4002.001"/>
    <s v="Impôt ordinaire s/fortune PP"/>
    <n v="0"/>
    <n v="0"/>
    <n v="4002"/>
  </r>
  <r>
    <x v="0"/>
    <x v="1"/>
    <x v="1"/>
    <x v="19"/>
    <x v="19"/>
    <x v="19"/>
    <s v="REVENUS"/>
    <x v="2"/>
    <s v="4001.001"/>
    <s v="Impôt revenu"/>
    <n v="0"/>
    <n v="816.35"/>
    <n v="4001"/>
  </r>
  <r>
    <x v="0"/>
    <x v="1"/>
    <x v="1"/>
    <x v="19"/>
    <x v="19"/>
    <x v="19"/>
    <s v="REVENUS"/>
    <x v="3"/>
    <s v="4002.001"/>
    <s v="Impôt ordinaire s/fortune PP"/>
    <n v="0"/>
    <n v="1409.3"/>
    <n v="4002"/>
  </r>
  <r>
    <x v="0"/>
    <x v="1"/>
    <x v="1"/>
    <x v="19"/>
    <x v="19"/>
    <x v="19"/>
    <s v="REVENUS"/>
    <x v="6"/>
    <s v="4211.002"/>
    <s v="Intérêts de retard sur acomptes"/>
    <n v="0"/>
    <n v="3.13"/>
    <n v="4211"/>
  </r>
  <r>
    <x v="0"/>
    <x v="1"/>
    <x v="1"/>
    <x v="19"/>
    <x v="19"/>
    <x v="19"/>
    <s v="REVENUS"/>
    <x v="6"/>
    <s v="4221.003"/>
    <s v="Intérêts compensat. / acomptes en faveur du fisc"/>
    <n v="0"/>
    <n v="0.02"/>
    <n v="4221"/>
  </r>
  <r>
    <x v="0"/>
    <x v="1"/>
    <x v="1"/>
    <x v="19"/>
    <x v="19"/>
    <x v="19"/>
    <s v="REVENUS"/>
    <x v="9"/>
    <s v="4031.002"/>
    <s v="Complément impôt sur les gains immobiliers"/>
    <n v="0"/>
    <n v="30376.799999999999"/>
    <n v="4031"/>
  </r>
  <r>
    <x v="0"/>
    <x v="1"/>
    <x v="1"/>
    <x v="19"/>
    <x v="19"/>
    <x v="19"/>
    <s v="REVENUS"/>
    <x v="8"/>
    <s v="4091.001"/>
    <s v="Impôt récupéré après défalcations"/>
    <n v="0"/>
    <n v="37013.599999999999"/>
    <n v="4091"/>
  </r>
  <r>
    <x v="0"/>
    <x v="1"/>
    <x v="1"/>
    <x v="19"/>
    <x v="19"/>
    <x v="19"/>
    <s v="REVENUS"/>
    <x v="6"/>
    <s v="4211.001"/>
    <s v="Intérêts de retard sur factures"/>
    <n v="0"/>
    <n v="7.49"/>
    <n v="4211"/>
  </r>
  <r>
    <x v="0"/>
    <x v="1"/>
    <x v="1"/>
    <x v="19"/>
    <x v="19"/>
    <x v="19"/>
    <s v="REVENUS"/>
    <x v="3"/>
    <s v="4002.001"/>
    <s v="Impôt ordinaire s/fortune PP"/>
    <n v="0"/>
    <n v="-3906.9"/>
    <n v="4002"/>
  </r>
  <r>
    <x v="0"/>
    <x v="1"/>
    <x v="1"/>
    <x v="19"/>
    <x v="19"/>
    <x v="19"/>
    <s v="REVENUS"/>
    <x v="2"/>
    <s v="4001.002"/>
    <s v="Impôt complément s/revenu PP"/>
    <n v="0"/>
    <n v="17.2"/>
    <n v="4001"/>
  </r>
  <r>
    <x v="0"/>
    <x v="1"/>
    <x v="1"/>
    <x v="19"/>
    <x v="19"/>
    <x v="19"/>
    <s v="REVENUS"/>
    <x v="3"/>
    <s v="4002.002"/>
    <s v="Impôt complémentaire s/fortune PP"/>
    <n v="0"/>
    <n v="2.35"/>
    <n v="4002"/>
  </r>
  <r>
    <x v="0"/>
    <x v="1"/>
    <x v="1"/>
    <x v="19"/>
    <x v="19"/>
    <x v="19"/>
    <s v="REVENUS"/>
    <x v="8"/>
    <s v="4091.001"/>
    <s v="Impôt récupéré après défalcations"/>
    <n v="0"/>
    <n v="7824.67"/>
    <n v="4091"/>
  </r>
  <r>
    <x v="0"/>
    <x v="1"/>
    <x v="1"/>
    <x v="19"/>
    <x v="19"/>
    <x v="19"/>
    <s v="REVENUS"/>
    <x v="6"/>
    <s v="4211.001"/>
    <s v="Intérêts de retard sur factures"/>
    <n v="0"/>
    <n v="27.76"/>
    <n v="4211"/>
  </r>
  <r>
    <x v="0"/>
    <x v="1"/>
    <x v="1"/>
    <x v="19"/>
    <x v="19"/>
    <x v="19"/>
    <s v="REVENUS"/>
    <x v="2"/>
    <s v="4001.001"/>
    <s v="Impôt revenu"/>
    <n v="0"/>
    <n v="648.15"/>
    <n v="4001"/>
  </r>
  <r>
    <x v="0"/>
    <x v="1"/>
    <x v="1"/>
    <x v="19"/>
    <x v="19"/>
    <x v="19"/>
    <s v="REVENUS"/>
    <x v="6"/>
    <s v="4211.001"/>
    <s v="Intérêts de retard sur factures"/>
    <n v="0"/>
    <n v="0.53"/>
    <n v="4211"/>
  </r>
  <r>
    <x v="0"/>
    <x v="1"/>
    <x v="1"/>
    <x v="19"/>
    <x v="19"/>
    <x v="19"/>
    <s v="REVENUS"/>
    <x v="3"/>
    <s v="4002.001"/>
    <s v="Impôt ordinaire s/fortune PP"/>
    <n v="0"/>
    <n v="-411.75"/>
    <n v="4002"/>
  </r>
  <r>
    <x v="0"/>
    <x v="1"/>
    <x v="1"/>
    <x v="19"/>
    <x v="19"/>
    <x v="19"/>
    <s v="REVENUS"/>
    <x v="2"/>
    <s v="4001.002"/>
    <s v="Impôt complément s/revenu PP"/>
    <n v="0"/>
    <n v="1625.7"/>
    <n v="4001"/>
  </r>
  <r>
    <x v="0"/>
    <x v="1"/>
    <x v="1"/>
    <x v="19"/>
    <x v="19"/>
    <x v="19"/>
    <s v="REVENUS"/>
    <x v="3"/>
    <s v="4002.002"/>
    <s v="Impôt complémentaire s/fortune PP"/>
    <n v="0"/>
    <n v="680.85"/>
    <n v="4002"/>
  </r>
  <r>
    <x v="0"/>
    <x v="1"/>
    <x v="1"/>
    <x v="19"/>
    <x v="19"/>
    <x v="19"/>
    <s v="REVENUS"/>
    <x v="3"/>
    <s v="4002.002"/>
    <s v="Impôt complémentaire s/fortune PP"/>
    <n v="0"/>
    <n v="18.45"/>
    <n v="4002"/>
  </r>
  <r>
    <x v="0"/>
    <x v="1"/>
    <x v="1"/>
    <x v="19"/>
    <x v="19"/>
    <x v="19"/>
    <s v="REVENUS"/>
    <x v="5"/>
    <s v="4061.000"/>
    <s v="Impôt sur les chiens"/>
    <n v="0"/>
    <n v="-100"/>
    <n v="4061"/>
  </r>
  <r>
    <x v="0"/>
    <x v="1"/>
    <x v="1"/>
    <x v="20"/>
    <x v="20"/>
    <x v="20"/>
    <s v="CHARGES"/>
    <x v="0"/>
    <s v="3212.004"/>
    <s v="Intérêts rémun./perçu trop tôt sur acomptes C/C"/>
    <n v="642.38"/>
    <n v="0"/>
    <n v="3212"/>
  </r>
  <r>
    <x v="0"/>
    <x v="1"/>
    <x v="1"/>
    <x v="20"/>
    <x v="20"/>
    <x v="20"/>
    <s v="CHARGES"/>
    <x v="0"/>
    <s v="3221.002"/>
    <s v="Intérêts compensatoires / créances en faveur ctb."/>
    <n v="157.52000000000001"/>
    <n v="0"/>
    <n v="3221"/>
  </r>
  <r>
    <x v="0"/>
    <x v="1"/>
    <x v="1"/>
    <x v="20"/>
    <x v="20"/>
    <x v="20"/>
    <s v="CHARGES"/>
    <x v="1"/>
    <s v="3301.001"/>
    <s v="Défalcations, abandons de solde PP et IS"/>
    <n v="11462.39"/>
    <n v="0"/>
    <n v="3301"/>
  </r>
  <r>
    <x v="0"/>
    <x v="1"/>
    <x v="1"/>
    <x v="20"/>
    <x v="20"/>
    <x v="20"/>
    <s v="CHARGES"/>
    <x v="0"/>
    <s v="3212.004"/>
    <s v="Intérêts rémun./perçu trop tôt sur acomptes C/C"/>
    <n v="1.27"/>
    <n v="0"/>
    <n v="3212"/>
  </r>
  <r>
    <x v="0"/>
    <x v="1"/>
    <x v="1"/>
    <x v="20"/>
    <x v="20"/>
    <x v="20"/>
    <s v="CHARGES"/>
    <x v="0"/>
    <s v="3221.002"/>
    <s v="Intérêts compensatoires / créances en faveur ctb."/>
    <n v="0.31"/>
    <n v="0"/>
    <n v="3221"/>
  </r>
  <r>
    <x v="0"/>
    <x v="1"/>
    <x v="1"/>
    <x v="20"/>
    <x v="20"/>
    <x v="20"/>
    <s v="CHARGES"/>
    <x v="1"/>
    <s v="3301.001"/>
    <s v="Défalcations, abandons de solde PP et IS"/>
    <n v="0.12"/>
    <n v="0"/>
    <n v="3301"/>
  </r>
  <r>
    <x v="0"/>
    <x v="1"/>
    <x v="1"/>
    <x v="20"/>
    <x v="20"/>
    <x v="20"/>
    <s v="CHARGES"/>
    <x v="0"/>
    <s v="3212.002"/>
    <s v="Intérêts bonifiés/trop perçu acompte C/C"/>
    <n v="1014.11"/>
    <n v="0"/>
    <n v="3212"/>
  </r>
  <r>
    <x v="0"/>
    <x v="1"/>
    <x v="1"/>
    <x v="20"/>
    <x v="20"/>
    <x v="20"/>
    <s v="CHARGES"/>
    <x v="0"/>
    <s v="3212.002"/>
    <s v="Intérêts bonifiés/trop perçu acompte C/C"/>
    <n v="-1.61"/>
    <n v="0"/>
    <n v="3212"/>
  </r>
  <r>
    <x v="0"/>
    <x v="1"/>
    <x v="1"/>
    <x v="20"/>
    <x v="20"/>
    <x v="20"/>
    <s v="CHARGES"/>
    <x v="0"/>
    <s v="3212.004"/>
    <s v="Intérêts rémun./perçu trop tôt sur acomptes C/C"/>
    <n v="9.08"/>
    <n v="0"/>
    <n v="3212"/>
  </r>
  <r>
    <x v="0"/>
    <x v="1"/>
    <x v="1"/>
    <x v="20"/>
    <x v="20"/>
    <x v="20"/>
    <s v="CHARGES"/>
    <x v="0"/>
    <s v="3221.002"/>
    <s v="Intérêts compensatoires / créances en faveur ctb."/>
    <n v="2.16"/>
    <n v="0"/>
    <n v="3221"/>
  </r>
  <r>
    <x v="0"/>
    <x v="1"/>
    <x v="1"/>
    <x v="20"/>
    <x v="20"/>
    <x v="20"/>
    <s v="CHARGES"/>
    <x v="1"/>
    <s v="3301.001"/>
    <s v="Défalcations, abandons de solde PP et IS"/>
    <n v="-0.33"/>
    <n v="0"/>
    <n v="3301"/>
  </r>
  <r>
    <x v="0"/>
    <x v="1"/>
    <x v="1"/>
    <x v="20"/>
    <x v="20"/>
    <x v="20"/>
    <s v="CHARGES"/>
    <x v="0"/>
    <s v="3212.004"/>
    <s v="Intérêts rémun./perçu trop tôt sur acomptes C/C"/>
    <n v="1.44"/>
    <n v="0"/>
    <n v="3212"/>
  </r>
  <r>
    <x v="0"/>
    <x v="1"/>
    <x v="1"/>
    <x v="20"/>
    <x v="20"/>
    <x v="20"/>
    <s v="CHARGES"/>
    <x v="0"/>
    <s v="3221.002"/>
    <s v="Intérêts compensatoires / créances en faveur ctb."/>
    <n v="0"/>
    <n v="0"/>
    <n v="3221"/>
  </r>
  <r>
    <x v="0"/>
    <x v="1"/>
    <x v="1"/>
    <x v="20"/>
    <x v="20"/>
    <x v="20"/>
    <s v="CHARGES"/>
    <x v="1"/>
    <s v="3301.001"/>
    <s v="Défalcations, abandons de solde PP et IS"/>
    <n v="0.01"/>
    <n v="0"/>
    <n v="3301"/>
  </r>
  <r>
    <x v="0"/>
    <x v="1"/>
    <x v="1"/>
    <x v="20"/>
    <x v="20"/>
    <x v="20"/>
    <s v="CHARGES"/>
    <x v="1"/>
    <s v="3301.003"/>
    <s v="Remises PP et IS"/>
    <n v="941.25"/>
    <n v="0"/>
    <n v="3301"/>
  </r>
  <r>
    <x v="0"/>
    <x v="1"/>
    <x v="1"/>
    <x v="20"/>
    <x v="20"/>
    <x v="20"/>
    <s v="CHARGES"/>
    <x v="0"/>
    <s v="3212.004"/>
    <s v="Intérêts rémun./perçu trop tôt sur acomptes C/C"/>
    <n v="0.1"/>
    <n v="0"/>
    <n v="3212"/>
  </r>
  <r>
    <x v="0"/>
    <x v="1"/>
    <x v="1"/>
    <x v="20"/>
    <x v="20"/>
    <x v="20"/>
    <s v="CHARGES"/>
    <x v="1"/>
    <s v="3301.001"/>
    <s v="Défalcations, abandons de solde PP et IS"/>
    <n v="0.04"/>
    <n v="0"/>
    <n v="3301"/>
  </r>
  <r>
    <x v="0"/>
    <x v="1"/>
    <x v="1"/>
    <x v="20"/>
    <x v="20"/>
    <x v="20"/>
    <s v="CHARGES"/>
    <x v="1"/>
    <s v="3301.001"/>
    <s v="Défalcations, abandons de solde PP et IS"/>
    <n v="0.02"/>
    <n v="0"/>
    <n v="3301"/>
  </r>
  <r>
    <x v="0"/>
    <x v="1"/>
    <x v="1"/>
    <x v="20"/>
    <x v="20"/>
    <x v="20"/>
    <s v="CHARGES"/>
    <x v="0"/>
    <s v="3212.004"/>
    <s v="Intérêts rémun./perçu trop tôt sur acomptes C/C"/>
    <n v="0.2"/>
    <n v="0"/>
    <n v="3212"/>
  </r>
  <r>
    <x v="0"/>
    <x v="1"/>
    <x v="1"/>
    <x v="20"/>
    <x v="20"/>
    <x v="20"/>
    <s v="CHARGES"/>
    <x v="0"/>
    <s v="3221.002"/>
    <s v="Intérêts compensatoires / créances en faveur ctb."/>
    <n v="0.01"/>
    <n v="0"/>
    <n v="3221"/>
  </r>
  <r>
    <x v="0"/>
    <x v="1"/>
    <x v="1"/>
    <x v="20"/>
    <x v="20"/>
    <x v="20"/>
    <s v="CHARGES"/>
    <x v="0"/>
    <s v="3212.004"/>
    <s v="Intérêts rémun./perçu trop tôt sur acomptes C/C"/>
    <n v="0.01"/>
    <n v="0"/>
    <n v="3212"/>
  </r>
  <r>
    <x v="0"/>
    <x v="1"/>
    <x v="1"/>
    <x v="20"/>
    <x v="20"/>
    <x v="20"/>
    <s v="CHARGES"/>
    <x v="1"/>
    <s v="3301.001"/>
    <s v="Défalcations, abandons de solde PP et IS"/>
    <n v="0.57999999999999996"/>
    <n v="0"/>
    <n v="3301"/>
  </r>
  <r>
    <x v="0"/>
    <x v="1"/>
    <x v="1"/>
    <x v="20"/>
    <x v="20"/>
    <x v="20"/>
    <s v="REVENUS"/>
    <x v="2"/>
    <s v="4001.007"/>
    <s v="Acompte impôt sur revenu"/>
    <n v="0"/>
    <n v="-455977.15"/>
    <n v="4001"/>
  </r>
  <r>
    <x v="0"/>
    <x v="1"/>
    <x v="1"/>
    <x v="20"/>
    <x v="20"/>
    <x v="20"/>
    <s v="REVENUS"/>
    <x v="3"/>
    <s v="4002.007"/>
    <s v="Acompte impôt sur fortune"/>
    <n v="0"/>
    <n v="-201196.43"/>
    <n v="4002"/>
  </r>
  <r>
    <x v="0"/>
    <x v="1"/>
    <x v="1"/>
    <x v="20"/>
    <x v="20"/>
    <x v="20"/>
    <s v="REVENUS"/>
    <x v="2"/>
    <s v="4001.001"/>
    <s v="Impôt revenu"/>
    <n v="0"/>
    <n v="1498543.1"/>
    <n v="4001"/>
  </r>
  <r>
    <x v="0"/>
    <x v="1"/>
    <x v="1"/>
    <x v="20"/>
    <x v="20"/>
    <x v="20"/>
    <s v="REVENUS"/>
    <x v="2"/>
    <s v="4001.007"/>
    <s v="Acompte impôt sur revenu"/>
    <n v="0"/>
    <n v="670429.53"/>
    <n v="4001"/>
  </r>
  <r>
    <x v="0"/>
    <x v="1"/>
    <x v="1"/>
    <x v="20"/>
    <x v="20"/>
    <x v="20"/>
    <s v="REVENUS"/>
    <x v="3"/>
    <s v="4002.001"/>
    <s v="Impôt ordinaire s/fortune PP"/>
    <n v="0"/>
    <n v="484212"/>
    <n v="4002"/>
  </r>
  <r>
    <x v="0"/>
    <x v="1"/>
    <x v="1"/>
    <x v="20"/>
    <x v="20"/>
    <x v="20"/>
    <s v="REVENUS"/>
    <x v="3"/>
    <s v="4002.007"/>
    <s v="Acompte impôt sur fortune"/>
    <n v="0"/>
    <n v="258033.01"/>
    <n v="4002"/>
  </r>
  <r>
    <x v="0"/>
    <x v="1"/>
    <x v="1"/>
    <x v="20"/>
    <x v="20"/>
    <x v="20"/>
    <s v="REVENUS"/>
    <x v="6"/>
    <s v="4211.001"/>
    <s v="Intérêts de retard sur factures"/>
    <n v="0"/>
    <n v="8052.85"/>
    <n v="4211"/>
  </r>
  <r>
    <x v="0"/>
    <x v="1"/>
    <x v="1"/>
    <x v="20"/>
    <x v="20"/>
    <x v="20"/>
    <s v="REVENUS"/>
    <x v="6"/>
    <s v="4221.003"/>
    <s v="Intérêts compensat. / acomptes en faveur du fisc"/>
    <n v="0"/>
    <n v="219.98"/>
    <n v="4221"/>
  </r>
  <r>
    <x v="0"/>
    <x v="1"/>
    <x v="1"/>
    <x v="20"/>
    <x v="20"/>
    <x v="20"/>
    <s v="REVENUS"/>
    <x v="3"/>
    <s v="4002.001"/>
    <s v="Impôt ordinaire s/fortune PP"/>
    <n v="0"/>
    <n v="1437.5"/>
    <n v="4002"/>
  </r>
  <r>
    <x v="0"/>
    <x v="1"/>
    <x v="1"/>
    <x v="20"/>
    <x v="20"/>
    <x v="20"/>
    <s v="REVENUS"/>
    <x v="3"/>
    <s v="4002.007"/>
    <s v="Acompte impôt sur fortune"/>
    <n v="0"/>
    <n v="-3603.93"/>
    <n v="4002"/>
  </r>
  <r>
    <x v="0"/>
    <x v="1"/>
    <x v="1"/>
    <x v="20"/>
    <x v="20"/>
    <x v="20"/>
    <s v="REVENUS"/>
    <x v="2"/>
    <s v="4001.002"/>
    <s v="Impôt complément s/revenu PP"/>
    <n v="0"/>
    <n v="558035.65"/>
    <n v="4001"/>
  </r>
  <r>
    <x v="0"/>
    <x v="1"/>
    <x v="1"/>
    <x v="20"/>
    <x v="20"/>
    <x v="20"/>
    <s v="REVENUS"/>
    <x v="3"/>
    <s v="4002.002"/>
    <s v="Impôt complémentaire s/fortune PP"/>
    <n v="0"/>
    <n v="333362.09999999998"/>
    <n v="4002"/>
  </r>
  <r>
    <x v="0"/>
    <x v="1"/>
    <x v="1"/>
    <x v="20"/>
    <x v="20"/>
    <x v="20"/>
    <s v="REVENUS"/>
    <x v="6"/>
    <s v="4211.002"/>
    <s v="Intérêts de retard sur acomptes"/>
    <n v="0"/>
    <n v="15422.38"/>
    <n v="4211"/>
  </r>
  <r>
    <x v="0"/>
    <x v="1"/>
    <x v="1"/>
    <x v="20"/>
    <x v="20"/>
    <x v="20"/>
    <s v="REVENUS"/>
    <x v="9"/>
    <s v="4031.001"/>
    <s v="Impôt sur les gains immobiliers"/>
    <n v="0"/>
    <n v="90087.7"/>
    <n v="4031"/>
  </r>
  <r>
    <x v="0"/>
    <x v="1"/>
    <x v="1"/>
    <x v="20"/>
    <x v="20"/>
    <x v="20"/>
    <s v="REVENUS"/>
    <x v="3"/>
    <s v="4002.001"/>
    <s v="Impôt ordinaire s/fortune PP"/>
    <n v="0"/>
    <n v="153.85"/>
    <n v="4002"/>
  </r>
  <r>
    <x v="0"/>
    <x v="1"/>
    <x v="1"/>
    <x v="20"/>
    <x v="20"/>
    <x v="20"/>
    <s v="REVENUS"/>
    <x v="6"/>
    <s v="4211.002"/>
    <s v="Intérêts de retard sur acomptes"/>
    <n v="0"/>
    <n v="0.01"/>
    <n v="4211"/>
  </r>
  <r>
    <x v="0"/>
    <x v="1"/>
    <x v="1"/>
    <x v="20"/>
    <x v="20"/>
    <x v="20"/>
    <s v="REVENUS"/>
    <x v="6"/>
    <s v="4221.003"/>
    <s v="Intérêts compensat. / acomptes en faveur du fisc"/>
    <n v="0"/>
    <n v="0.12"/>
    <n v="4221"/>
  </r>
  <r>
    <x v="0"/>
    <x v="1"/>
    <x v="1"/>
    <x v="20"/>
    <x v="20"/>
    <x v="20"/>
    <s v="REVENUS"/>
    <x v="2"/>
    <s v="4001.001"/>
    <s v="Impôt revenu"/>
    <n v="0"/>
    <n v="3576.75"/>
    <n v="4001"/>
  </r>
  <r>
    <x v="0"/>
    <x v="1"/>
    <x v="1"/>
    <x v="20"/>
    <x v="20"/>
    <x v="20"/>
    <s v="REVENUS"/>
    <x v="2"/>
    <s v="4001.007"/>
    <s v="Acompte impôt sur revenu"/>
    <n v="0"/>
    <n v="-3023.5"/>
    <n v="4001"/>
  </r>
  <r>
    <x v="0"/>
    <x v="1"/>
    <x v="1"/>
    <x v="20"/>
    <x v="20"/>
    <x v="20"/>
    <s v="REVENUS"/>
    <x v="3"/>
    <s v="4002.007"/>
    <s v="Acompte impôt sur fortune"/>
    <n v="0"/>
    <n v="-73.05"/>
    <n v="4002"/>
  </r>
  <r>
    <x v="0"/>
    <x v="1"/>
    <x v="1"/>
    <x v="20"/>
    <x v="20"/>
    <x v="20"/>
    <s v="REVENUS"/>
    <x v="6"/>
    <s v="4211.002"/>
    <s v="Intérêts de retard sur acomptes"/>
    <n v="0"/>
    <n v="153.16"/>
    <n v="4211"/>
  </r>
  <r>
    <x v="0"/>
    <x v="1"/>
    <x v="1"/>
    <x v="20"/>
    <x v="20"/>
    <x v="20"/>
    <s v="REVENUS"/>
    <x v="2"/>
    <s v="4001.003"/>
    <s v="Impôt s/prest. cap. PP"/>
    <n v="0"/>
    <n v="84661.7"/>
    <n v="4001"/>
  </r>
  <r>
    <x v="0"/>
    <x v="1"/>
    <x v="1"/>
    <x v="20"/>
    <x v="20"/>
    <x v="20"/>
    <s v="REVENUS"/>
    <x v="7"/>
    <s v="4184.000"/>
    <s v="Frais de poursuite"/>
    <n v="0"/>
    <n v="509.81"/>
    <n v="4184"/>
  </r>
  <r>
    <x v="0"/>
    <x v="1"/>
    <x v="1"/>
    <x v="20"/>
    <x v="20"/>
    <x v="20"/>
    <s v="REVENUS"/>
    <x v="6"/>
    <s v="4221.002"/>
    <s v="Intérêts compensat. sur impôts distincts"/>
    <n v="0"/>
    <n v="5.21"/>
    <n v="4221"/>
  </r>
  <r>
    <x v="0"/>
    <x v="1"/>
    <x v="1"/>
    <x v="20"/>
    <x v="20"/>
    <x v="20"/>
    <s v="REVENUS"/>
    <x v="2"/>
    <s v="4001.007"/>
    <s v="Acompte impôt sur revenu"/>
    <n v="0"/>
    <n v="476.9"/>
    <n v="4001"/>
  </r>
  <r>
    <x v="0"/>
    <x v="1"/>
    <x v="1"/>
    <x v="20"/>
    <x v="20"/>
    <x v="20"/>
    <s v="REVENUS"/>
    <x v="3"/>
    <s v="4002.007"/>
    <s v="Acompte impôt sur fortune"/>
    <n v="0"/>
    <n v="5373.5"/>
    <n v="4002"/>
  </r>
  <r>
    <x v="0"/>
    <x v="1"/>
    <x v="1"/>
    <x v="20"/>
    <x v="20"/>
    <x v="20"/>
    <s v="REVENUS"/>
    <x v="12"/>
    <s v="4004.007"/>
    <s v="Acompte spécial étrangers"/>
    <n v="0"/>
    <n v="75949.75"/>
    <n v="4004"/>
  </r>
  <r>
    <x v="0"/>
    <x v="1"/>
    <x v="1"/>
    <x v="20"/>
    <x v="20"/>
    <x v="20"/>
    <s v="REVENUS"/>
    <x v="3"/>
    <s v="4002.007"/>
    <s v="Acompte impôt sur fortune"/>
    <n v="0"/>
    <n v="148.19999999999999"/>
    <n v="4002"/>
  </r>
  <r>
    <x v="0"/>
    <x v="1"/>
    <x v="1"/>
    <x v="20"/>
    <x v="20"/>
    <x v="20"/>
    <s v="REVENUS"/>
    <x v="2"/>
    <s v="4001.001"/>
    <s v="Impôt revenu"/>
    <n v="0"/>
    <n v="-12030"/>
    <n v="4001"/>
  </r>
  <r>
    <x v="0"/>
    <x v="1"/>
    <x v="1"/>
    <x v="20"/>
    <x v="20"/>
    <x v="20"/>
    <s v="REVENUS"/>
    <x v="2"/>
    <s v="4001.002"/>
    <s v="Impôt complément s/revenu PP"/>
    <n v="0"/>
    <n v="7224"/>
    <n v="4001"/>
  </r>
  <r>
    <x v="0"/>
    <x v="1"/>
    <x v="1"/>
    <x v="20"/>
    <x v="20"/>
    <x v="20"/>
    <s v="REVENUS"/>
    <x v="3"/>
    <s v="4002.001"/>
    <s v="Impôt ordinaire s/fortune PP"/>
    <n v="0"/>
    <n v="-7954"/>
    <n v="4002"/>
  </r>
  <r>
    <x v="0"/>
    <x v="1"/>
    <x v="1"/>
    <x v="20"/>
    <x v="20"/>
    <x v="20"/>
    <s v="REVENUS"/>
    <x v="3"/>
    <s v="4002.002"/>
    <s v="Impôt complémentaire s/fortune PP"/>
    <n v="0"/>
    <n v="35.1"/>
    <n v="4002"/>
  </r>
  <r>
    <x v="0"/>
    <x v="1"/>
    <x v="1"/>
    <x v="20"/>
    <x v="20"/>
    <x v="20"/>
    <s v="REVENUS"/>
    <x v="3"/>
    <s v="4002.007"/>
    <s v="Acompte impôt sur fortune"/>
    <n v="0"/>
    <n v="-59.35"/>
    <n v="4002"/>
  </r>
  <r>
    <x v="0"/>
    <x v="1"/>
    <x v="1"/>
    <x v="20"/>
    <x v="20"/>
    <x v="20"/>
    <s v="REVENUS"/>
    <x v="2"/>
    <s v="4001.007"/>
    <s v="Acompte impôt sur revenu"/>
    <n v="0"/>
    <n v="-550.9"/>
    <n v="4001"/>
  </r>
  <r>
    <x v="0"/>
    <x v="1"/>
    <x v="1"/>
    <x v="20"/>
    <x v="20"/>
    <x v="20"/>
    <s v="REVENUS"/>
    <x v="2"/>
    <s v="4001.001"/>
    <s v="Impôt revenu"/>
    <n v="0"/>
    <n v="-303377.75"/>
    <n v="4001"/>
  </r>
  <r>
    <x v="0"/>
    <x v="1"/>
    <x v="1"/>
    <x v="20"/>
    <x v="20"/>
    <x v="20"/>
    <s v="REVENUS"/>
    <x v="2"/>
    <s v="4001.002"/>
    <s v="Impôt complément s/revenu PP"/>
    <n v="0"/>
    <n v="-5954.5"/>
    <n v="4001"/>
  </r>
  <r>
    <x v="0"/>
    <x v="1"/>
    <x v="1"/>
    <x v="20"/>
    <x v="20"/>
    <x v="20"/>
    <s v="REVENUS"/>
    <x v="3"/>
    <s v="4002.001"/>
    <s v="Impôt ordinaire s/fortune PP"/>
    <n v="0"/>
    <n v="-207438.2"/>
    <n v="4002"/>
  </r>
  <r>
    <x v="0"/>
    <x v="1"/>
    <x v="1"/>
    <x v="20"/>
    <x v="20"/>
    <x v="20"/>
    <s v="REVENUS"/>
    <x v="3"/>
    <s v="4002.002"/>
    <s v="Impôt complémentaire s/fortune PP"/>
    <n v="0"/>
    <n v="-2910.85"/>
    <n v="4002"/>
  </r>
  <r>
    <x v="0"/>
    <x v="1"/>
    <x v="1"/>
    <x v="20"/>
    <x v="20"/>
    <x v="20"/>
    <s v="REVENUS"/>
    <x v="6"/>
    <s v="4221.003"/>
    <s v="Intérêts compensat. / acomptes en faveur du fisc"/>
    <n v="0"/>
    <n v="0.01"/>
    <n v="4221"/>
  </r>
  <r>
    <x v="0"/>
    <x v="1"/>
    <x v="1"/>
    <x v="20"/>
    <x v="20"/>
    <x v="20"/>
    <s v="REVENUS"/>
    <x v="2"/>
    <s v="4001.007"/>
    <s v="Acompte impôt sur revenu"/>
    <n v="0"/>
    <n v="-106.9"/>
    <n v="4001"/>
  </r>
  <r>
    <x v="0"/>
    <x v="1"/>
    <x v="1"/>
    <x v="20"/>
    <x v="20"/>
    <x v="20"/>
    <s v="REVENUS"/>
    <x v="11"/>
    <s v="4198.000"/>
    <s v="Contributions communales"/>
    <n v="0"/>
    <n v="254877.45"/>
    <n v="4198"/>
  </r>
  <r>
    <x v="0"/>
    <x v="1"/>
    <x v="1"/>
    <x v="20"/>
    <x v="20"/>
    <x v="20"/>
    <s v="REVENUS"/>
    <x v="10"/>
    <s v="4041.001"/>
    <s v="Droits de mutation"/>
    <n v="0"/>
    <n v="180712.4"/>
    <n v="4041"/>
  </r>
  <r>
    <x v="0"/>
    <x v="1"/>
    <x v="1"/>
    <x v="20"/>
    <x v="20"/>
    <x v="20"/>
    <s v="REVENUS"/>
    <x v="4"/>
    <s v="4051.002"/>
    <s v="Impôt sur les donations"/>
    <n v="0"/>
    <n v="9879.1"/>
    <n v="4051"/>
  </r>
  <r>
    <x v="0"/>
    <x v="1"/>
    <x v="1"/>
    <x v="20"/>
    <x v="20"/>
    <x v="20"/>
    <s v="REVENUS"/>
    <x v="4"/>
    <s v="4051.001"/>
    <s v="Impôt sur les successions"/>
    <n v="0"/>
    <n v="194.5"/>
    <n v="4051"/>
  </r>
  <r>
    <x v="0"/>
    <x v="1"/>
    <x v="1"/>
    <x v="20"/>
    <x v="20"/>
    <x v="20"/>
    <s v="REVENUS"/>
    <x v="2"/>
    <s v="4001.003"/>
    <s v="Impôt s/prest. cap. PP"/>
    <n v="0"/>
    <n v="-34621.35"/>
    <n v="4001"/>
  </r>
  <r>
    <x v="0"/>
    <x v="1"/>
    <x v="1"/>
    <x v="20"/>
    <x v="20"/>
    <x v="20"/>
    <s v="REVENUS"/>
    <x v="2"/>
    <s v="4001.001"/>
    <s v="Impôt revenu"/>
    <n v="0"/>
    <n v="330.1"/>
    <n v="4001"/>
  </r>
  <r>
    <x v="0"/>
    <x v="1"/>
    <x v="1"/>
    <x v="20"/>
    <x v="20"/>
    <x v="20"/>
    <s v="REVENUS"/>
    <x v="3"/>
    <s v="4002.001"/>
    <s v="Impôt ordinaire s/fortune PP"/>
    <n v="0"/>
    <n v="276.45"/>
    <n v="4002"/>
  </r>
  <r>
    <x v="0"/>
    <x v="1"/>
    <x v="1"/>
    <x v="20"/>
    <x v="20"/>
    <x v="20"/>
    <s v="REVENUS"/>
    <x v="3"/>
    <s v="4002.001"/>
    <s v="Impôt ordinaire s/fortune PP"/>
    <n v="0"/>
    <n v="834.85"/>
    <n v="4002"/>
  </r>
  <r>
    <x v="0"/>
    <x v="1"/>
    <x v="1"/>
    <x v="20"/>
    <x v="20"/>
    <x v="20"/>
    <s v="REVENUS"/>
    <x v="6"/>
    <s v="4221.003"/>
    <s v="Intérêts compensat. / acomptes en faveur du fisc"/>
    <n v="0"/>
    <n v="0.04"/>
    <n v="4221"/>
  </r>
  <r>
    <x v="0"/>
    <x v="1"/>
    <x v="1"/>
    <x v="20"/>
    <x v="20"/>
    <x v="20"/>
    <s v="REVENUS"/>
    <x v="2"/>
    <s v="4001.001"/>
    <s v="Impôt revenu"/>
    <n v="0"/>
    <n v="162.94999999999999"/>
    <n v="4001"/>
  </r>
  <r>
    <x v="0"/>
    <x v="1"/>
    <x v="1"/>
    <x v="20"/>
    <x v="20"/>
    <x v="20"/>
    <s v="REVENUS"/>
    <x v="6"/>
    <s v="4221.003"/>
    <s v="Intérêts compensat. / acomptes en faveur du fisc"/>
    <n v="0"/>
    <n v="0.02"/>
    <n v="4221"/>
  </r>
  <r>
    <x v="0"/>
    <x v="1"/>
    <x v="1"/>
    <x v="20"/>
    <x v="20"/>
    <x v="20"/>
    <s v="REVENUS"/>
    <x v="12"/>
    <s v="4004.000"/>
    <s v="Impôt spécial étrangers"/>
    <n v="0"/>
    <n v="544031.05000000005"/>
    <n v="4004"/>
  </r>
  <r>
    <x v="0"/>
    <x v="1"/>
    <x v="1"/>
    <x v="20"/>
    <x v="20"/>
    <x v="20"/>
    <s v="REVENUS"/>
    <x v="3"/>
    <s v="4002.001"/>
    <s v="Impôt ordinaire s/fortune PP"/>
    <n v="0"/>
    <n v="637.4"/>
    <n v="4002"/>
  </r>
  <r>
    <x v="0"/>
    <x v="1"/>
    <x v="1"/>
    <x v="20"/>
    <x v="20"/>
    <x v="20"/>
    <s v="REVENUS"/>
    <x v="6"/>
    <s v="4221.003"/>
    <s v="Intérêts compensat. / acomptes en faveur du fisc"/>
    <n v="0"/>
    <n v="-0.11"/>
    <n v="4221"/>
  </r>
  <r>
    <x v="0"/>
    <x v="1"/>
    <x v="1"/>
    <x v="20"/>
    <x v="20"/>
    <x v="20"/>
    <s v="REVENUS"/>
    <x v="5"/>
    <s v="4061.000"/>
    <s v="Impôt sur les chiens"/>
    <n v="0"/>
    <n v="4320"/>
    <n v="4061"/>
  </r>
  <r>
    <x v="0"/>
    <x v="1"/>
    <x v="1"/>
    <x v="20"/>
    <x v="20"/>
    <x v="20"/>
    <s v="REVENUS"/>
    <x v="6"/>
    <s v="4211.001"/>
    <s v="Intérêts de retard sur factures"/>
    <n v="0"/>
    <n v="11.44"/>
    <n v="4211"/>
  </r>
  <r>
    <x v="0"/>
    <x v="1"/>
    <x v="1"/>
    <x v="20"/>
    <x v="20"/>
    <x v="20"/>
    <s v="REVENUS"/>
    <x v="6"/>
    <s v="4221.003"/>
    <s v="Intérêts compensat. / acomptes en faveur du fisc"/>
    <n v="0"/>
    <n v="0.16"/>
    <n v="4221"/>
  </r>
  <r>
    <x v="0"/>
    <x v="1"/>
    <x v="1"/>
    <x v="20"/>
    <x v="20"/>
    <x v="20"/>
    <s v="REVENUS"/>
    <x v="3"/>
    <s v="4002.001"/>
    <s v="Impôt ordinaire s/fortune PP"/>
    <n v="0"/>
    <n v="28.45"/>
    <n v="4002"/>
  </r>
  <r>
    <x v="0"/>
    <x v="1"/>
    <x v="1"/>
    <x v="20"/>
    <x v="20"/>
    <x v="20"/>
    <s v="REVENUS"/>
    <x v="2"/>
    <s v="4001.001"/>
    <s v="Impôt revenu"/>
    <n v="0"/>
    <n v="2239.6"/>
    <n v="4001"/>
  </r>
  <r>
    <x v="0"/>
    <x v="1"/>
    <x v="1"/>
    <x v="20"/>
    <x v="20"/>
    <x v="20"/>
    <s v="REVENUS"/>
    <x v="6"/>
    <s v="4211.002"/>
    <s v="Intérêts de retard sur acomptes"/>
    <n v="0"/>
    <n v="0.51"/>
    <n v="4211"/>
  </r>
  <r>
    <x v="0"/>
    <x v="1"/>
    <x v="1"/>
    <x v="20"/>
    <x v="20"/>
    <x v="20"/>
    <s v="REVENUS"/>
    <x v="6"/>
    <s v="4221.003"/>
    <s v="Intérêts compensat. / acomptes en faveur du fisc"/>
    <n v="0"/>
    <n v="1.1100000000000001"/>
    <n v="4221"/>
  </r>
  <r>
    <x v="0"/>
    <x v="1"/>
    <x v="1"/>
    <x v="20"/>
    <x v="20"/>
    <x v="20"/>
    <s v="REVENUS"/>
    <x v="6"/>
    <s v="4211.002"/>
    <s v="Intérêts de retard sur acomptes"/>
    <n v="0"/>
    <n v="0.09"/>
    <n v="4211"/>
  </r>
  <r>
    <x v="0"/>
    <x v="1"/>
    <x v="1"/>
    <x v="21"/>
    <x v="21"/>
    <x v="21"/>
    <s v="CHARGES"/>
    <x v="0"/>
    <s v="3212.002"/>
    <s v="Intérêts bonifiés/trop perçu acompte C/C"/>
    <n v="0.08"/>
    <n v="0"/>
    <n v="3212"/>
  </r>
  <r>
    <x v="0"/>
    <x v="1"/>
    <x v="1"/>
    <x v="21"/>
    <x v="21"/>
    <x v="21"/>
    <s v="CHARGES"/>
    <x v="1"/>
    <s v="3301.001"/>
    <s v="Défalcations, abandons de solde PP et IS"/>
    <n v="22.73"/>
    <n v="0"/>
    <n v="3301"/>
  </r>
  <r>
    <x v="0"/>
    <x v="1"/>
    <x v="1"/>
    <x v="21"/>
    <x v="21"/>
    <x v="21"/>
    <s v="REVENUS"/>
    <x v="9"/>
    <s v="4031.001"/>
    <s v="Impôt sur les gains immobiliers"/>
    <n v="0"/>
    <n v="78166.850000000006"/>
    <n v="4031"/>
  </r>
  <r>
    <x v="0"/>
    <x v="1"/>
    <x v="1"/>
    <x v="21"/>
    <x v="21"/>
    <x v="21"/>
    <s v="REVENUS"/>
    <x v="6"/>
    <s v="4221.002"/>
    <s v="Intérêts compensat. sur impôts distincts"/>
    <n v="0"/>
    <n v="41.27"/>
    <n v="4221"/>
  </r>
  <r>
    <x v="0"/>
    <x v="1"/>
    <x v="1"/>
    <x v="22"/>
    <x v="22"/>
    <x v="22"/>
    <s v="CHARGES"/>
    <x v="1"/>
    <s v="3301.001"/>
    <s v="Défalcations, abandons de solde PP et IS"/>
    <n v="44024.28"/>
    <n v="0"/>
    <n v="3301"/>
  </r>
  <r>
    <x v="0"/>
    <x v="1"/>
    <x v="1"/>
    <x v="22"/>
    <x v="22"/>
    <x v="22"/>
    <s v="CHARGES"/>
    <x v="0"/>
    <s v="3212.004"/>
    <s v="Intérêts rémun./perçu trop tôt sur acomptes C/C"/>
    <n v="592.69000000000005"/>
    <n v="0"/>
    <n v="3212"/>
  </r>
  <r>
    <x v="0"/>
    <x v="1"/>
    <x v="1"/>
    <x v="22"/>
    <x v="22"/>
    <x v="22"/>
    <s v="CHARGES"/>
    <x v="0"/>
    <s v="3221.002"/>
    <s v="Intérêts compensatoires / créances en faveur ctb."/>
    <n v="200.97"/>
    <n v="0"/>
    <n v="3221"/>
  </r>
  <r>
    <x v="0"/>
    <x v="1"/>
    <x v="1"/>
    <x v="22"/>
    <x v="22"/>
    <x v="22"/>
    <s v="CHARGES"/>
    <x v="1"/>
    <s v="3301.001"/>
    <s v="Défalcations, abandons de solde PP et IS"/>
    <n v="-1131.7"/>
    <n v="0"/>
    <n v="3301"/>
  </r>
  <r>
    <x v="0"/>
    <x v="1"/>
    <x v="1"/>
    <x v="22"/>
    <x v="22"/>
    <x v="22"/>
    <s v="CHARGES"/>
    <x v="0"/>
    <s v="3212.002"/>
    <s v="Intérêts bonifiés/trop perçu acompte C/C"/>
    <n v="3.04"/>
    <n v="0"/>
    <n v="3212"/>
  </r>
  <r>
    <x v="0"/>
    <x v="1"/>
    <x v="1"/>
    <x v="22"/>
    <x v="22"/>
    <x v="22"/>
    <s v="CHARGES"/>
    <x v="0"/>
    <s v="3212.004"/>
    <s v="Intérêts rémun./perçu trop tôt sur acomptes C/C"/>
    <n v="0.2"/>
    <n v="0"/>
    <n v="3212"/>
  </r>
  <r>
    <x v="0"/>
    <x v="1"/>
    <x v="1"/>
    <x v="22"/>
    <x v="22"/>
    <x v="22"/>
    <s v="CHARGES"/>
    <x v="1"/>
    <s v="3301.001"/>
    <s v="Défalcations, abandons de solde PP et IS"/>
    <n v="3.09"/>
    <n v="0"/>
    <n v="3301"/>
  </r>
  <r>
    <x v="0"/>
    <x v="1"/>
    <x v="1"/>
    <x v="22"/>
    <x v="22"/>
    <x v="22"/>
    <s v="CHARGES"/>
    <x v="1"/>
    <s v="3301.001"/>
    <s v="Défalcations, abandons de solde PP et IS"/>
    <n v="1.59"/>
    <n v="0"/>
    <n v="3301"/>
  </r>
  <r>
    <x v="0"/>
    <x v="1"/>
    <x v="1"/>
    <x v="22"/>
    <x v="22"/>
    <x v="22"/>
    <s v="CHARGES"/>
    <x v="0"/>
    <s v="3212.004"/>
    <s v="Intérêts rémun./perçu trop tôt sur acomptes C/C"/>
    <n v="9.02"/>
    <n v="0"/>
    <n v="3212"/>
  </r>
  <r>
    <x v="0"/>
    <x v="1"/>
    <x v="1"/>
    <x v="22"/>
    <x v="22"/>
    <x v="22"/>
    <s v="CHARGES"/>
    <x v="0"/>
    <s v="3221.002"/>
    <s v="Intérêts compensatoires / créances en faveur ctb."/>
    <n v="4.97"/>
    <n v="0"/>
    <n v="3221"/>
  </r>
  <r>
    <x v="0"/>
    <x v="1"/>
    <x v="1"/>
    <x v="22"/>
    <x v="22"/>
    <x v="22"/>
    <s v="CHARGES"/>
    <x v="0"/>
    <s v="3212.004"/>
    <s v="Intérêts rémun./perçu trop tôt sur acomptes C/C"/>
    <n v="-0.69"/>
    <n v="0"/>
    <n v="3212"/>
  </r>
  <r>
    <x v="0"/>
    <x v="1"/>
    <x v="1"/>
    <x v="22"/>
    <x v="22"/>
    <x v="22"/>
    <s v="CHARGES"/>
    <x v="0"/>
    <s v="3221.002"/>
    <s v="Intérêts compensatoires / créances en faveur ctb."/>
    <n v="0.02"/>
    <n v="0"/>
    <n v="3221"/>
  </r>
  <r>
    <x v="0"/>
    <x v="1"/>
    <x v="1"/>
    <x v="22"/>
    <x v="22"/>
    <x v="22"/>
    <s v="CHARGES"/>
    <x v="0"/>
    <s v="3212.004"/>
    <s v="Intérêts rémun./perçu trop tôt sur acomptes C/C"/>
    <n v="1.78"/>
    <n v="0"/>
    <n v="3212"/>
  </r>
  <r>
    <x v="0"/>
    <x v="1"/>
    <x v="1"/>
    <x v="22"/>
    <x v="22"/>
    <x v="22"/>
    <s v="CHARGES"/>
    <x v="1"/>
    <s v="3301.001"/>
    <s v="Défalcations, abandons de solde PP et IS"/>
    <n v="1087.25"/>
    <n v="0"/>
    <n v="3301"/>
  </r>
  <r>
    <x v="0"/>
    <x v="1"/>
    <x v="1"/>
    <x v="22"/>
    <x v="22"/>
    <x v="22"/>
    <s v="CHARGES"/>
    <x v="0"/>
    <s v="3212.004"/>
    <s v="Intérêts rémun./perçu trop tôt sur acomptes C/C"/>
    <n v="0.04"/>
    <n v="0"/>
    <n v="3212"/>
  </r>
  <r>
    <x v="0"/>
    <x v="1"/>
    <x v="1"/>
    <x v="22"/>
    <x v="22"/>
    <x v="22"/>
    <s v="CHARGES"/>
    <x v="0"/>
    <s v="3221.002"/>
    <s v="Intérêts compensatoires / créances en faveur ctb."/>
    <n v="0.01"/>
    <n v="0"/>
    <n v="3221"/>
  </r>
  <r>
    <x v="0"/>
    <x v="1"/>
    <x v="1"/>
    <x v="22"/>
    <x v="22"/>
    <x v="22"/>
    <s v="CHARGES"/>
    <x v="0"/>
    <s v="3212.004"/>
    <s v="Intérêts rémun./perçu trop tôt sur acomptes C/C"/>
    <n v="-2.66"/>
    <n v="0"/>
    <n v="3212"/>
  </r>
  <r>
    <x v="0"/>
    <x v="1"/>
    <x v="1"/>
    <x v="22"/>
    <x v="22"/>
    <x v="22"/>
    <s v="CHARGES"/>
    <x v="0"/>
    <s v="3212.002"/>
    <s v="Intérêts bonifiés/trop perçu acompte C/C"/>
    <n v="5.64"/>
    <n v="0"/>
    <n v="3212"/>
  </r>
  <r>
    <x v="0"/>
    <x v="1"/>
    <x v="1"/>
    <x v="22"/>
    <x v="22"/>
    <x v="22"/>
    <s v="CHARGES"/>
    <x v="0"/>
    <s v="3221.002"/>
    <s v="Intérêts compensatoires / créances en faveur ctb."/>
    <n v="0.27"/>
    <n v="0"/>
    <n v="3221"/>
  </r>
  <r>
    <x v="0"/>
    <x v="1"/>
    <x v="1"/>
    <x v="22"/>
    <x v="22"/>
    <x v="22"/>
    <s v="CHARGES"/>
    <x v="1"/>
    <s v="3301.001"/>
    <s v="Défalcations, abandons de solde PP et IS"/>
    <n v="0.01"/>
    <n v="0"/>
    <n v="3301"/>
  </r>
  <r>
    <x v="0"/>
    <x v="1"/>
    <x v="1"/>
    <x v="22"/>
    <x v="22"/>
    <x v="22"/>
    <s v="CHARGES"/>
    <x v="0"/>
    <s v="3212.002"/>
    <s v="Intérêts bonifiés/trop perçu acompte C/C"/>
    <n v="0.02"/>
    <n v="0"/>
    <n v="3212"/>
  </r>
  <r>
    <x v="0"/>
    <x v="1"/>
    <x v="1"/>
    <x v="22"/>
    <x v="22"/>
    <x v="22"/>
    <s v="CHARGES"/>
    <x v="0"/>
    <s v="3221.002"/>
    <s v="Intérêts compensatoires / créances en faveur ctb."/>
    <n v="0.24"/>
    <n v="0"/>
    <n v="3221"/>
  </r>
  <r>
    <x v="0"/>
    <x v="1"/>
    <x v="1"/>
    <x v="22"/>
    <x v="22"/>
    <x v="22"/>
    <s v="CHARGES"/>
    <x v="1"/>
    <s v="3301.001"/>
    <s v="Défalcations, abandons de solde PP et IS"/>
    <n v="10384.27"/>
    <n v="0"/>
    <n v="3301"/>
  </r>
  <r>
    <x v="0"/>
    <x v="1"/>
    <x v="1"/>
    <x v="22"/>
    <x v="22"/>
    <x v="22"/>
    <s v="CHARGES"/>
    <x v="0"/>
    <s v="3212.002"/>
    <s v="Intérêts bonifiés/trop perçu acompte C/C"/>
    <n v="8.3000000000000007"/>
    <n v="0"/>
    <n v="3212"/>
  </r>
  <r>
    <x v="0"/>
    <x v="1"/>
    <x v="1"/>
    <x v="22"/>
    <x v="22"/>
    <x v="22"/>
    <s v="CHARGES"/>
    <x v="0"/>
    <s v="3221.002"/>
    <s v="Intérêts compensatoires / créances en faveur ctb."/>
    <n v="0.13"/>
    <n v="0"/>
    <n v="3221"/>
  </r>
  <r>
    <x v="0"/>
    <x v="1"/>
    <x v="1"/>
    <x v="22"/>
    <x v="22"/>
    <x v="22"/>
    <s v="CHARGES"/>
    <x v="1"/>
    <s v="3301.003"/>
    <s v="Remises PP et IS"/>
    <n v="2117.5500000000002"/>
    <n v="0"/>
    <n v="3301"/>
  </r>
  <r>
    <x v="0"/>
    <x v="1"/>
    <x v="1"/>
    <x v="22"/>
    <x v="22"/>
    <x v="22"/>
    <s v="CHARGES"/>
    <x v="0"/>
    <s v="3221.002"/>
    <s v="Intérêts compensatoires / créances en faveur ctb."/>
    <n v="0.01"/>
    <n v="0"/>
    <n v="3221"/>
  </r>
  <r>
    <x v="0"/>
    <x v="1"/>
    <x v="1"/>
    <x v="22"/>
    <x v="22"/>
    <x v="22"/>
    <s v="CHARGES"/>
    <x v="1"/>
    <s v="3301.001"/>
    <s v="Défalcations, abandons de solde PP et IS"/>
    <n v="0.05"/>
    <n v="0"/>
    <n v="3301"/>
  </r>
  <r>
    <x v="0"/>
    <x v="1"/>
    <x v="1"/>
    <x v="22"/>
    <x v="22"/>
    <x v="22"/>
    <s v="REVENUS"/>
    <x v="2"/>
    <s v="4001.007"/>
    <s v="Acompte impôt sur revenu"/>
    <n v="0"/>
    <n v="-508469.82"/>
    <n v="4001"/>
  </r>
  <r>
    <x v="0"/>
    <x v="1"/>
    <x v="1"/>
    <x v="22"/>
    <x v="22"/>
    <x v="22"/>
    <s v="REVENUS"/>
    <x v="2"/>
    <s v="4001.001"/>
    <s v="Impôt revenu"/>
    <n v="0"/>
    <n v="3397814.35"/>
    <n v="4001"/>
  </r>
  <r>
    <x v="0"/>
    <x v="1"/>
    <x v="1"/>
    <x v="22"/>
    <x v="22"/>
    <x v="22"/>
    <s v="REVENUS"/>
    <x v="2"/>
    <s v="4001.007"/>
    <s v="Acompte impôt sur revenu"/>
    <n v="0"/>
    <n v="676819.79"/>
    <n v="4001"/>
  </r>
  <r>
    <x v="0"/>
    <x v="1"/>
    <x v="1"/>
    <x v="22"/>
    <x v="22"/>
    <x v="22"/>
    <s v="REVENUS"/>
    <x v="3"/>
    <s v="4002.001"/>
    <s v="Impôt ordinaire s/fortune PP"/>
    <n v="0"/>
    <n v="392111.9"/>
    <n v="4002"/>
  </r>
  <r>
    <x v="0"/>
    <x v="1"/>
    <x v="1"/>
    <x v="22"/>
    <x v="22"/>
    <x v="22"/>
    <s v="REVENUS"/>
    <x v="3"/>
    <s v="4002.007"/>
    <s v="Acompte impôt sur fortune"/>
    <n v="0"/>
    <n v="126955.99"/>
    <n v="4002"/>
  </r>
  <r>
    <x v="0"/>
    <x v="1"/>
    <x v="1"/>
    <x v="22"/>
    <x v="22"/>
    <x v="22"/>
    <s v="REVENUS"/>
    <x v="6"/>
    <s v="4211.001"/>
    <s v="Intérêts de retard sur factures"/>
    <n v="0"/>
    <n v="13950.48"/>
    <n v="4211"/>
  </r>
  <r>
    <x v="0"/>
    <x v="1"/>
    <x v="1"/>
    <x v="22"/>
    <x v="22"/>
    <x v="22"/>
    <s v="REVENUS"/>
    <x v="6"/>
    <s v="4221.003"/>
    <s v="Intérêts compensat. / acomptes en faveur du fisc"/>
    <n v="0"/>
    <n v="527.41"/>
    <n v="4221"/>
  </r>
  <r>
    <x v="0"/>
    <x v="1"/>
    <x v="1"/>
    <x v="22"/>
    <x v="22"/>
    <x v="22"/>
    <s v="REVENUS"/>
    <x v="8"/>
    <s v="4091.001"/>
    <s v="Impôt récupéré après défalcations"/>
    <n v="0"/>
    <n v="1628.34"/>
    <n v="4091"/>
  </r>
  <r>
    <x v="0"/>
    <x v="1"/>
    <x v="1"/>
    <x v="22"/>
    <x v="22"/>
    <x v="22"/>
    <s v="REVENUS"/>
    <x v="3"/>
    <s v="4002.007"/>
    <s v="Acompte impôt sur fortune"/>
    <n v="0"/>
    <n v="-83098.59"/>
    <n v="4002"/>
  </r>
  <r>
    <x v="0"/>
    <x v="1"/>
    <x v="1"/>
    <x v="22"/>
    <x v="22"/>
    <x v="22"/>
    <s v="REVENUS"/>
    <x v="2"/>
    <s v="4001.002"/>
    <s v="Impôt complément s/revenu PP"/>
    <n v="0"/>
    <n v="561507.55000000005"/>
    <n v="4001"/>
  </r>
  <r>
    <x v="0"/>
    <x v="1"/>
    <x v="1"/>
    <x v="22"/>
    <x v="22"/>
    <x v="22"/>
    <s v="REVENUS"/>
    <x v="7"/>
    <s v="4184.000"/>
    <s v="Frais de poursuite"/>
    <n v="0"/>
    <n v="5594.93"/>
    <n v="4184"/>
  </r>
  <r>
    <x v="0"/>
    <x v="1"/>
    <x v="1"/>
    <x v="22"/>
    <x v="22"/>
    <x v="22"/>
    <s v="REVENUS"/>
    <x v="6"/>
    <s v="4211.002"/>
    <s v="Intérêts de retard sur acomptes"/>
    <n v="0"/>
    <n v="24570.080000000002"/>
    <n v="4211"/>
  </r>
  <r>
    <x v="0"/>
    <x v="1"/>
    <x v="1"/>
    <x v="22"/>
    <x v="22"/>
    <x v="22"/>
    <s v="REVENUS"/>
    <x v="2"/>
    <s v="4001.001"/>
    <s v="Impôt revenu"/>
    <n v="0"/>
    <n v="-118975.5"/>
    <n v="4001"/>
  </r>
  <r>
    <x v="0"/>
    <x v="1"/>
    <x v="1"/>
    <x v="22"/>
    <x v="22"/>
    <x v="22"/>
    <s v="REVENUS"/>
    <x v="2"/>
    <s v="4001.005"/>
    <s v="Amende de soustract. Impôt"/>
    <n v="0"/>
    <n v="1500"/>
    <n v="4001"/>
  </r>
  <r>
    <x v="0"/>
    <x v="1"/>
    <x v="1"/>
    <x v="22"/>
    <x v="22"/>
    <x v="22"/>
    <s v="REVENUS"/>
    <x v="2"/>
    <s v="4001.001"/>
    <s v="Impôt revenu"/>
    <n v="0"/>
    <n v="-78760.05"/>
    <n v="4001"/>
  </r>
  <r>
    <x v="0"/>
    <x v="1"/>
    <x v="1"/>
    <x v="22"/>
    <x v="22"/>
    <x v="22"/>
    <s v="REVENUS"/>
    <x v="6"/>
    <s v="4211.001"/>
    <s v="Intérêts de retard sur factures"/>
    <n v="0"/>
    <n v="-6.18"/>
    <n v="4211"/>
  </r>
  <r>
    <x v="0"/>
    <x v="1"/>
    <x v="1"/>
    <x v="22"/>
    <x v="22"/>
    <x v="22"/>
    <s v="REVENUS"/>
    <x v="6"/>
    <s v="4211.002"/>
    <s v="Intérêts de retard sur acomptes"/>
    <n v="0"/>
    <n v="-44.08"/>
    <n v="4211"/>
  </r>
  <r>
    <x v="0"/>
    <x v="1"/>
    <x v="1"/>
    <x v="22"/>
    <x v="22"/>
    <x v="22"/>
    <s v="REVENUS"/>
    <x v="2"/>
    <s v="4001.003"/>
    <s v="Impôt s/prest. cap. PP"/>
    <n v="0"/>
    <n v="108121"/>
    <n v="4001"/>
  </r>
  <r>
    <x v="0"/>
    <x v="1"/>
    <x v="1"/>
    <x v="22"/>
    <x v="22"/>
    <x v="22"/>
    <s v="REVENUS"/>
    <x v="3"/>
    <s v="4002.002"/>
    <s v="Impôt complémentaire s/fortune PP"/>
    <n v="0"/>
    <n v="54762.65"/>
    <n v="4002"/>
  </r>
  <r>
    <x v="0"/>
    <x v="1"/>
    <x v="1"/>
    <x v="22"/>
    <x v="22"/>
    <x v="22"/>
    <s v="REVENUS"/>
    <x v="2"/>
    <s v="4001.001"/>
    <s v="Impôt revenu"/>
    <n v="0"/>
    <n v="2381.5"/>
    <n v="4001"/>
  </r>
  <r>
    <x v="0"/>
    <x v="1"/>
    <x v="1"/>
    <x v="22"/>
    <x v="22"/>
    <x v="22"/>
    <s v="REVENUS"/>
    <x v="3"/>
    <s v="4002.001"/>
    <s v="Impôt ordinaire s/fortune PP"/>
    <n v="0"/>
    <n v="2004.6"/>
    <n v="4002"/>
  </r>
  <r>
    <x v="0"/>
    <x v="1"/>
    <x v="1"/>
    <x v="22"/>
    <x v="22"/>
    <x v="22"/>
    <s v="REVENUS"/>
    <x v="6"/>
    <s v="4211.002"/>
    <s v="Intérêts de retard sur acomptes"/>
    <n v="0"/>
    <n v="67.02"/>
    <n v="4211"/>
  </r>
  <r>
    <x v="0"/>
    <x v="1"/>
    <x v="1"/>
    <x v="22"/>
    <x v="22"/>
    <x v="22"/>
    <s v="REVENUS"/>
    <x v="2"/>
    <s v="4001.001"/>
    <s v="Impôt revenu"/>
    <n v="0"/>
    <n v="12448.3"/>
    <n v="4001"/>
  </r>
  <r>
    <x v="0"/>
    <x v="1"/>
    <x v="1"/>
    <x v="22"/>
    <x v="22"/>
    <x v="22"/>
    <s v="REVENUS"/>
    <x v="3"/>
    <s v="4002.001"/>
    <s v="Impôt ordinaire s/fortune PP"/>
    <n v="0"/>
    <n v="2152.5500000000002"/>
    <n v="4002"/>
  </r>
  <r>
    <x v="0"/>
    <x v="1"/>
    <x v="1"/>
    <x v="22"/>
    <x v="22"/>
    <x v="22"/>
    <s v="REVENUS"/>
    <x v="6"/>
    <s v="4211.002"/>
    <s v="Intérêts de retard sur acomptes"/>
    <n v="0"/>
    <n v="74.62"/>
    <n v="4211"/>
  </r>
  <r>
    <x v="0"/>
    <x v="1"/>
    <x v="1"/>
    <x v="22"/>
    <x v="22"/>
    <x v="22"/>
    <s v="REVENUS"/>
    <x v="6"/>
    <s v="4221.003"/>
    <s v="Intérêts compensat. / acomptes en faveur du fisc"/>
    <n v="0"/>
    <n v="3.22"/>
    <n v="4221"/>
  </r>
  <r>
    <x v="0"/>
    <x v="1"/>
    <x v="1"/>
    <x v="22"/>
    <x v="22"/>
    <x v="22"/>
    <s v="REVENUS"/>
    <x v="2"/>
    <s v="4001.001"/>
    <s v="Impôt revenu"/>
    <n v="0"/>
    <n v="12069.3"/>
    <n v="4001"/>
  </r>
  <r>
    <x v="0"/>
    <x v="1"/>
    <x v="1"/>
    <x v="22"/>
    <x v="22"/>
    <x v="22"/>
    <s v="REVENUS"/>
    <x v="2"/>
    <s v="4001.007"/>
    <s v="Acompte impôt sur revenu"/>
    <n v="0"/>
    <n v="7581.11"/>
    <n v="4001"/>
  </r>
  <r>
    <x v="0"/>
    <x v="1"/>
    <x v="1"/>
    <x v="22"/>
    <x v="22"/>
    <x v="22"/>
    <s v="REVENUS"/>
    <x v="3"/>
    <s v="4002.001"/>
    <s v="Impôt ordinaire s/fortune PP"/>
    <n v="0"/>
    <n v="2994.05"/>
    <n v="4002"/>
  </r>
  <r>
    <x v="0"/>
    <x v="1"/>
    <x v="1"/>
    <x v="22"/>
    <x v="22"/>
    <x v="22"/>
    <s v="REVENUS"/>
    <x v="3"/>
    <s v="4002.007"/>
    <s v="Acompte impôt sur fortune"/>
    <n v="0"/>
    <n v="3673.91"/>
    <n v="4002"/>
  </r>
  <r>
    <x v="0"/>
    <x v="1"/>
    <x v="1"/>
    <x v="22"/>
    <x v="22"/>
    <x v="22"/>
    <s v="REVENUS"/>
    <x v="6"/>
    <s v="4221.003"/>
    <s v="Intérêts compensat. / acomptes en faveur du fisc"/>
    <n v="0"/>
    <n v="1.59"/>
    <n v="4221"/>
  </r>
  <r>
    <x v="0"/>
    <x v="1"/>
    <x v="1"/>
    <x v="22"/>
    <x v="22"/>
    <x v="22"/>
    <s v="REVENUS"/>
    <x v="9"/>
    <s v="4031.001"/>
    <s v="Impôt sur les gains immobiliers"/>
    <n v="0"/>
    <n v="68136.25"/>
    <n v="4031"/>
  </r>
  <r>
    <x v="0"/>
    <x v="1"/>
    <x v="1"/>
    <x v="22"/>
    <x v="22"/>
    <x v="22"/>
    <s v="REVENUS"/>
    <x v="2"/>
    <s v="4001.007"/>
    <s v="Acompte impôt sur revenu"/>
    <n v="0"/>
    <n v="-1065.8"/>
    <n v="4001"/>
  </r>
  <r>
    <x v="0"/>
    <x v="1"/>
    <x v="1"/>
    <x v="22"/>
    <x v="22"/>
    <x v="22"/>
    <s v="REVENUS"/>
    <x v="3"/>
    <s v="4002.007"/>
    <s v="Acompte impôt sur fortune"/>
    <n v="0"/>
    <n v="93.99"/>
    <n v="4002"/>
  </r>
  <r>
    <x v="0"/>
    <x v="1"/>
    <x v="1"/>
    <x v="22"/>
    <x v="22"/>
    <x v="22"/>
    <s v="REVENUS"/>
    <x v="2"/>
    <s v="4001.007"/>
    <s v="Acompte impôt sur revenu"/>
    <n v="0"/>
    <n v="-1624.87"/>
    <n v="4001"/>
  </r>
  <r>
    <x v="0"/>
    <x v="1"/>
    <x v="1"/>
    <x v="22"/>
    <x v="22"/>
    <x v="22"/>
    <s v="REVENUS"/>
    <x v="3"/>
    <s v="4002.007"/>
    <s v="Acompte impôt sur fortune"/>
    <n v="0"/>
    <n v="-870.42"/>
    <n v="4002"/>
  </r>
  <r>
    <x v="0"/>
    <x v="1"/>
    <x v="1"/>
    <x v="22"/>
    <x v="22"/>
    <x v="22"/>
    <s v="REVENUS"/>
    <x v="2"/>
    <s v="4001.007"/>
    <s v="Acompte impôt sur revenu"/>
    <n v="0"/>
    <n v="-657.05"/>
    <n v="4001"/>
  </r>
  <r>
    <x v="0"/>
    <x v="1"/>
    <x v="1"/>
    <x v="22"/>
    <x v="22"/>
    <x v="22"/>
    <s v="REVENUS"/>
    <x v="3"/>
    <s v="4002.007"/>
    <s v="Acompte impôt sur fortune"/>
    <n v="0"/>
    <n v="1183.95"/>
    <n v="4002"/>
  </r>
  <r>
    <x v="0"/>
    <x v="1"/>
    <x v="1"/>
    <x v="22"/>
    <x v="22"/>
    <x v="22"/>
    <s v="REVENUS"/>
    <x v="3"/>
    <s v="4002.007"/>
    <s v="Acompte impôt sur fortune"/>
    <n v="0"/>
    <n v="0"/>
    <n v="4002"/>
  </r>
  <r>
    <x v="0"/>
    <x v="1"/>
    <x v="1"/>
    <x v="22"/>
    <x v="22"/>
    <x v="22"/>
    <s v="REVENUS"/>
    <x v="6"/>
    <s v="4221.002"/>
    <s v="Intérêts compensat. sur impôts distincts"/>
    <n v="0"/>
    <n v="43.86"/>
    <n v="4221"/>
  </r>
  <r>
    <x v="0"/>
    <x v="1"/>
    <x v="1"/>
    <x v="22"/>
    <x v="22"/>
    <x v="22"/>
    <s v="REVENUS"/>
    <x v="2"/>
    <s v="4001.007"/>
    <s v="Acompte impôt sur revenu"/>
    <n v="0"/>
    <n v="0"/>
    <n v="4001"/>
  </r>
  <r>
    <x v="0"/>
    <x v="1"/>
    <x v="1"/>
    <x v="22"/>
    <x v="22"/>
    <x v="22"/>
    <s v="REVENUS"/>
    <x v="2"/>
    <s v="4001.007"/>
    <s v="Acompte impôt sur revenu"/>
    <n v="0"/>
    <n v="3760.8"/>
    <n v="4001"/>
  </r>
  <r>
    <x v="0"/>
    <x v="1"/>
    <x v="1"/>
    <x v="22"/>
    <x v="22"/>
    <x v="22"/>
    <s v="REVENUS"/>
    <x v="3"/>
    <s v="4002.007"/>
    <s v="Acompte impôt sur fortune"/>
    <n v="0"/>
    <n v="39.049999999999997"/>
    <n v="4002"/>
  </r>
  <r>
    <x v="0"/>
    <x v="1"/>
    <x v="1"/>
    <x v="22"/>
    <x v="22"/>
    <x v="22"/>
    <s v="REVENUS"/>
    <x v="7"/>
    <s v="4184.000"/>
    <s v="Frais de poursuite"/>
    <n v="0"/>
    <n v="540.48"/>
    <n v="4184"/>
  </r>
  <r>
    <x v="0"/>
    <x v="1"/>
    <x v="1"/>
    <x v="22"/>
    <x v="22"/>
    <x v="22"/>
    <s v="REVENUS"/>
    <x v="6"/>
    <s v="4211.001"/>
    <s v="Intérêts de retard sur factures"/>
    <n v="0"/>
    <n v="1.4"/>
    <n v="4211"/>
  </r>
  <r>
    <x v="0"/>
    <x v="1"/>
    <x v="1"/>
    <x v="22"/>
    <x v="22"/>
    <x v="22"/>
    <s v="REVENUS"/>
    <x v="6"/>
    <s v="4211.001"/>
    <s v="Intérêts de retard sur factures"/>
    <n v="0"/>
    <n v="3.5"/>
    <n v="4211"/>
  </r>
  <r>
    <x v="0"/>
    <x v="1"/>
    <x v="1"/>
    <x v="22"/>
    <x v="22"/>
    <x v="22"/>
    <s v="REVENUS"/>
    <x v="9"/>
    <s v="4031.002"/>
    <s v="Complément impôt sur les gains immobiliers"/>
    <n v="0"/>
    <n v="309.14999999999998"/>
    <n v="4031"/>
  </r>
  <r>
    <x v="0"/>
    <x v="1"/>
    <x v="1"/>
    <x v="22"/>
    <x v="22"/>
    <x v="22"/>
    <s v="REVENUS"/>
    <x v="6"/>
    <s v="4221.003"/>
    <s v="Intérêts compensat. / acomptes en faveur du fisc"/>
    <n v="0"/>
    <n v="0.35"/>
    <n v="4221"/>
  </r>
  <r>
    <x v="0"/>
    <x v="1"/>
    <x v="1"/>
    <x v="22"/>
    <x v="22"/>
    <x v="22"/>
    <s v="REVENUS"/>
    <x v="2"/>
    <s v="4001.001"/>
    <s v="Impôt revenu"/>
    <n v="0"/>
    <n v="2493.75"/>
    <n v="4001"/>
  </r>
  <r>
    <x v="0"/>
    <x v="1"/>
    <x v="1"/>
    <x v="22"/>
    <x v="22"/>
    <x v="22"/>
    <s v="REVENUS"/>
    <x v="3"/>
    <s v="4002.001"/>
    <s v="Impôt ordinaire s/fortune PP"/>
    <n v="0"/>
    <n v="1461.55"/>
    <n v="4002"/>
  </r>
  <r>
    <x v="0"/>
    <x v="1"/>
    <x v="1"/>
    <x v="22"/>
    <x v="22"/>
    <x v="22"/>
    <s v="REVENUS"/>
    <x v="2"/>
    <s v="4001.007"/>
    <s v="Acompte impôt sur revenu"/>
    <n v="0"/>
    <n v="-964.65"/>
    <n v="4001"/>
  </r>
  <r>
    <x v="0"/>
    <x v="1"/>
    <x v="1"/>
    <x v="22"/>
    <x v="22"/>
    <x v="22"/>
    <s v="REVENUS"/>
    <x v="3"/>
    <s v="4002.007"/>
    <s v="Acompte impôt sur fortune"/>
    <n v="0"/>
    <n v="-289.25"/>
    <n v="4002"/>
  </r>
  <r>
    <x v="0"/>
    <x v="1"/>
    <x v="1"/>
    <x v="22"/>
    <x v="22"/>
    <x v="22"/>
    <s v="REVENUS"/>
    <x v="3"/>
    <s v="4002.001"/>
    <s v="Impôt ordinaire s/fortune PP"/>
    <n v="0"/>
    <n v="-10514.35"/>
    <n v="4002"/>
  </r>
  <r>
    <x v="0"/>
    <x v="1"/>
    <x v="1"/>
    <x v="22"/>
    <x v="22"/>
    <x v="22"/>
    <s v="REVENUS"/>
    <x v="6"/>
    <s v="4221.003"/>
    <s v="Intérêts compensat. / acomptes en faveur du fisc"/>
    <n v="0"/>
    <n v="-16.87"/>
    <n v="4221"/>
  </r>
  <r>
    <x v="0"/>
    <x v="1"/>
    <x v="1"/>
    <x v="22"/>
    <x v="22"/>
    <x v="22"/>
    <s v="REVENUS"/>
    <x v="7"/>
    <s v="4184.000"/>
    <s v="Frais de poursuite"/>
    <n v="0"/>
    <n v="1.59"/>
    <n v="4184"/>
  </r>
  <r>
    <x v="0"/>
    <x v="1"/>
    <x v="1"/>
    <x v="22"/>
    <x v="22"/>
    <x v="22"/>
    <s v="REVENUS"/>
    <x v="2"/>
    <s v="4001.002"/>
    <s v="Impôt complément s/revenu PP"/>
    <n v="0"/>
    <n v="2249.6999999999998"/>
    <n v="4001"/>
  </r>
  <r>
    <x v="0"/>
    <x v="1"/>
    <x v="1"/>
    <x v="22"/>
    <x v="22"/>
    <x v="22"/>
    <s v="REVENUS"/>
    <x v="3"/>
    <s v="4002.002"/>
    <s v="Impôt complémentaire s/fortune PP"/>
    <n v="0"/>
    <n v="944.9"/>
    <n v="4002"/>
  </r>
  <r>
    <x v="0"/>
    <x v="1"/>
    <x v="1"/>
    <x v="22"/>
    <x v="22"/>
    <x v="22"/>
    <s v="REVENUS"/>
    <x v="6"/>
    <s v="4211.001"/>
    <s v="Intérêts de retard sur factures"/>
    <n v="0"/>
    <n v="17.37"/>
    <n v="4211"/>
  </r>
  <r>
    <x v="0"/>
    <x v="1"/>
    <x v="1"/>
    <x v="22"/>
    <x v="22"/>
    <x v="22"/>
    <s v="REVENUS"/>
    <x v="2"/>
    <s v="4001.002"/>
    <s v="Impôt complément s/revenu PP"/>
    <n v="0"/>
    <n v="1074.5999999999999"/>
    <n v="4001"/>
  </r>
  <r>
    <x v="0"/>
    <x v="1"/>
    <x v="1"/>
    <x v="22"/>
    <x v="22"/>
    <x v="22"/>
    <s v="REVENUS"/>
    <x v="3"/>
    <s v="4002.002"/>
    <s v="Impôt complémentaire s/fortune PP"/>
    <n v="0"/>
    <n v="948.1"/>
    <n v="4002"/>
  </r>
  <r>
    <x v="0"/>
    <x v="1"/>
    <x v="1"/>
    <x v="22"/>
    <x v="22"/>
    <x v="22"/>
    <s v="REVENUS"/>
    <x v="6"/>
    <s v="4221.003"/>
    <s v="Intérêts compensat. / acomptes en faveur du fisc"/>
    <n v="0"/>
    <n v="0.01"/>
    <n v="4221"/>
  </r>
  <r>
    <x v="0"/>
    <x v="1"/>
    <x v="1"/>
    <x v="22"/>
    <x v="22"/>
    <x v="22"/>
    <s v="REVENUS"/>
    <x v="3"/>
    <s v="4002.001"/>
    <s v="Impôt ordinaire s/fortune PP"/>
    <n v="0"/>
    <n v="49.5"/>
    <n v="4002"/>
  </r>
  <r>
    <x v="0"/>
    <x v="1"/>
    <x v="1"/>
    <x v="22"/>
    <x v="22"/>
    <x v="22"/>
    <s v="REVENUS"/>
    <x v="2"/>
    <s v="4001.002"/>
    <s v="Impôt complément s/revenu PP"/>
    <n v="0"/>
    <n v="-991"/>
    <n v="4001"/>
  </r>
  <r>
    <x v="0"/>
    <x v="1"/>
    <x v="1"/>
    <x v="22"/>
    <x v="22"/>
    <x v="22"/>
    <s v="REVENUS"/>
    <x v="6"/>
    <s v="4211.002"/>
    <s v="Intérêts de retard sur acomptes"/>
    <n v="0"/>
    <n v="25.18"/>
    <n v="4211"/>
  </r>
  <r>
    <x v="0"/>
    <x v="1"/>
    <x v="1"/>
    <x v="22"/>
    <x v="22"/>
    <x v="22"/>
    <s v="REVENUS"/>
    <x v="3"/>
    <s v="4002.001"/>
    <s v="Impôt ordinaire s/fortune PP"/>
    <n v="0"/>
    <n v="-2776.7"/>
    <n v="4002"/>
  </r>
  <r>
    <x v="0"/>
    <x v="1"/>
    <x v="1"/>
    <x v="22"/>
    <x v="22"/>
    <x v="22"/>
    <s v="REVENUS"/>
    <x v="2"/>
    <s v="4001.002"/>
    <s v="Impôt complément s/revenu PP"/>
    <n v="0"/>
    <n v="-9998"/>
    <n v="4001"/>
  </r>
  <r>
    <x v="0"/>
    <x v="1"/>
    <x v="1"/>
    <x v="22"/>
    <x v="22"/>
    <x v="22"/>
    <s v="REVENUS"/>
    <x v="8"/>
    <s v="4091.001"/>
    <s v="Impôt récupéré après défalcations"/>
    <n v="0"/>
    <n v="2097.9499999999998"/>
    <n v="4091"/>
  </r>
  <r>
    <x v="0"/>
    <x v="1"/>
    <x v="1"/>
    <x v="22"/>
    <x v="22"/>
    <x v="22"/>
    <s v="REVENUS"/>
    <x v="3"/>
    <s v="4002.002"/>
    <s v="Impôt complémentaire s/fortune PP"/>
    <n v="0"/>
    <n v="-965.05"/>
    <n v="4002"/>
  </r>
  <r>
    <x v="0"/>
    <x v="1"/>
    <x v="1"/>
    <x v="22"/>
    <x v="22"/>
    <x v="22"/>
    <s v="REVENUS"/>
    <x v="6"/>
    <s v="4211.002"/>
    <s v="Intérêts de retard sur acomptes"/>
    <n v="0"/>
    <n v="-0.03"/>
    <n v="4211"/>
  </r>
  <r>
    <x v="0"/>
    <x v="1"/>
    <x v="1"/>
    <x v="22"/>
    <x v="22"/>
    <x v="22"/>
    <s v="REVENUS"/>
    <x v="6"/>
    <s v="4221.003"/>
    <s v="Intérêts compensat. / acomptes en faveur du fisc"/>
    <n v="0"/>
    <n v="-0.02"/>
    <n v="4221"/>
  </r>
  <r>
    <x v="0"/>
    <x v="1"/>
    <x v="1"/>
    <x v="22"/>
    <x v="22"/>
    <x v="22"/>
    <s v="REVENUS"/>
    <x v="2"/>
    <s v="4001.001"/>
    <s v="Impôt revenu"/>
    <n v="0"/>
    <n v="-119.75"/>
    <n v="4001"/>
  </r>
  <r>
    <x v="0"/>
    <x v="1"/>
    <x v="1"/>
    <x v="22"/>
    <x v="22"/>
    <x v="22"/>
    <s v="REVENUS"/>
    <x v="2"/>
    <s v="4001.002"/>
    <s v="Impôt complément s/revenu PP"/>
    <n v="0"/>
    <n v="113.15"/>
    <n v="4001"/>
  </r>
  <r>
    <x v="0"/>
    <x v="1"/>
    <x v="1"/>
    <x v="22"/>
    <x v="22"/>
    <x v="22"/>
    <s v="REVENUS"/>
    <x v="3"/>
    <s v="4002.002"/>
    <s v="Impôt complémentaire s/fortune PP"/>
    <n v="0"/>
    <n v="6.45"/>
    <n v="4002"/>
  </r>
  <r>
    <x v="0"/>
    <x v="1"/>
    <x v="1"/>
    <x v="22"/>
    <x v="22"/>
    <x v="22"/>
    <s v="REVENUS"/>
    <x v="6"/>
    <s v="4221.003"/>
    <s v="Intérêts compensat. / acomptes en faveur du fisc"/>
    <n v="0"/>
    <n v="-0.01"/>
    <n v="4221"/>
  </r>
  <r>
    <x v="0"/>
    <x v="1"/>
    <x v="1"/>
    <x v="22"/>
    <x v="22"/>
    <x v="22"/>
    <s v="REVENUS"/>
    <x v="2"/>
    <s v="4001.001"/>
    <s v="Impôt revenu"/>
    <n v="0"/>
    <n v="60.35"/>
    <n v="4001"/>
  </r>
  <r>
    <x v="0"/>
    <x v="1"/>
    <x v="1"/>
    <x v="22"/>
    <x v="22"/>
    <x v="22"/>
    <s v="REVENUS"/>
    <x v="3"/>
    <s v="4002.001"/>
    <s v="Impôt ordinaire s/fortune PP"/>
    <n v="0"/>
    <n v="5.9"/>
    <n v="4002"/>
  </r>
  <r>
    <x v="0"/>
    <x v="1"/>
    <x v="1"/>
    <x v="22"/>
    <x v="22"/>
    <x v="22"/>
    <s v="REVENUS"/>
    <x v="6"/>
    <s v="4221.003"/>
    <s v="Intérêts compensat. / acomptes en faveur du fisc"/>
    <n v="0"/>
    <n v="0.05"/>
    <n v="4221"/>
  </r>
  <r>
    <x v="0"/>
    <x v="2"/>
    <x v="2"/>
    <x v="23"/>
    <x v="23"/>
    <x v="23"/>
    <s v="CHARGES"/>
    <x v="0"/>
    <s v="3212.002"/>
    <s v="Intérêts bonifiés/trop perçu acompte C/C"/>
    <n v="19.989999999999998"/>
    <n v="0"/>
    <n v="3212"/>
  </r>
  <r>
    <x v="0"/>
    <x v="2"/>
    <x v="2"/>
    <x v="23"/>
    <x v="23"/>
    <x v="23"/>
    <s v="CHARGES"/>
    <x v="0"/>
    <s v="3212.004"/>
    <s v="Intérêts rémun./perçu trop tôt sur acomptes C/C"/>
    <n v="126.18"/>
    <n v="0"/>
    <n v="3212"/>
  </r>
  <r>
    <x v="0"/>
    <x v="2"/>
    <x v="2"/>
    <x v="23"/>
    <x v="23"/>
    <x v="23"/>
    <s v="CHARGES"/>
    <x v="0"/>
    <s v="3221.002"/>
    <s v="Intérêts compensatoires / créances en faveur ctb."/>
    <n v="35.01"/>
    <n v="0"/>
    <n v="3221"/>
  </r>
  <r>
    <x v="0"/>
    <x v="2"/>
    <x v="2"/>
    <x v="23"/>
    <x v="23"/>
    <x v="23"/>
    <s v="CHARGES"/>
    <x v="1"/>
    <s v="3301.001"/>
    <s v="Défalcations, abandons de solde PP et IS"/>
    <n v="19207.29"/>
    <n v="0"/>
    <n v="3301"/>
  </r>
  <r>
    <x v="0"/>
    <x v="2"/>
    <x v="2"/>
    <x v="23"/>
    <x v="23"/>
    <x v="23"/>
    <s v="CHARGES"/>
    <x v="0"/>
    <s v="3212.004"/>
    <s v="Intérêts rémun./perçu trop tôt sur acomptes C/C"/>
    <n v="0.06"/>
    <n v="0"/>
    <n v="3212"/>
  </r>
  <r>
    <x v="0"/>
    <x v="2"/>
    <x v="2"/>
    <x v="23"/>
    <x v="23"/>
    <x v="23"/>
    <s v="CHARGES"/>
    <x v="0"/>
    <s v="3221.002"/>
    <s v="Intérêts compensatoires / créances en faveur ctb."/>
    <n v="0.03"/>
    <n v="0"/>
    <n v="3221"/>
  </r>
  <r>
    <x v="0"/>
    <x v="2"/>
    <x v="2"/>
    <x v="23"/>
    <x v="23"/>
    <x v="23"/>
    <s v="CHARGES"/>
    <x v="0"/>
    <s v="3212.004"/>
    <s v="Intérêts rémun./perçu trop tôt sur acomptes C/C"/>
    <n v="1.47"/>
    <n v="0"/>
    <n v="3212"/>
  </r>
  <r>
    <x v="0"/>
    <x v="2"/>
    <x v="2"/>
    <x v="23"/>
    <x v="23"/>
    <x v="23"/>
    <s v="CHARGES"/>
    <x v="0"/>
    <s v="3221.002"/>
    <s v="Intérêts compensatoires / créances en faveur ctb."/>
    <n v="0.66"/>
    <n v="0"/>
    <n v="3221"/>
  </r>
  <r>
    <x v="0"/>
    <x v="2"/>
    <x v="2"/>
    <x v="23"/>
    <x v="23"/>
    <x v="23"/>
    <s v="CHARGES"/>
    <x v="1"/>
    <s v="3301.001"/>
    <s v="Défalcations, abandons de solde PP et IS"/>
    <n v="0.04"/>
    <n v="0"/>
    <n v="3301"/>
  </r>
  <r>
    <x v="0"/>
    <x v="2"/>
    <x v="2"/>
    <x v="23"/>
    <x v="23"/>
    <x v="23"/>
    <s v="CHARGES"/>
    <x v="1"/>
    <s v="3301.001"/>
    <s v="Défalcations, abandons de solde PP et IS"/>
    <n v="0.05"/>
    <n v="0"/>
    <n v="3301"/>
  </r>
  <r>
    <x v="0"/>
    <x v="2"/>
    <x v="2"/>
    <x v="23"/>
    <x v="23"/>
    <x v="23"/>
    <s v="CHARGES"/>
    <x v="0"/>
    <s v="3212.004"/>
    <s v="Intérêts rémun./perçu trop tôt sur acomptes C/C"/>
    <n v="0.01"/>
    <n v="0"/>
    <n v="3212"/>
  </r>
  <r>
    <x v="0"/>
    <x v="2"/>
    <x v="2"/>
    <x v="23"/>
    <x v="23"/>
    <x v="23"/>
    <s v="CHARGES"/>
    <x v="0"/>
    <s v="3221.002"/>
    <s v="Intérêts compensatoires / créances en faveur ctb."/>
    <n v="0.01"/>
    <n v="0"/>
    <n v="3221"/>
  </r>
  <r>
    <x v="0"/>
    <x v="2"/>
    <x v="2"/>
    <x v="23"/>
    <x v="23"/>
    <x v="23"/>
    <s v="REVENUS"/>
    <x v="2"/>
    <s v="4001.007"/>
    <s v="Acompte impôt sur revenu"/>
    <n v="0"/>
    <n v="15483.14"/>
    <n v="4001"/>
  </r>
  <r>
    <x v="0"/>
    <x v="2"/>
    <x v="2"/>
    <x v="23"/>
    <x v="23"/>
    <x v="23"/>
    <s v="REVENUS"/>
    <x v="2"/>
    <s v="4001.001"/>
    <s v="Impôt revenu"/>
    <n v="0"/>
    <n v="778761.35"/>
    <n v="4001"/>
  </r>
  <r>
    <x v="0"/>
    <x v="2"/>
    <x v="2"/>
    <x v="23"/>
    <x v="23"/>
    <x v="23"/>
    <s v="REVENUS"/>
    <x v="2"/>
    <s v="4001.002"/>
    <s v="Impôt complément s/revenu PP"/>
    <n v="0"/>
    <n v="143053.9"/>
    <n v="4001"/>
  </r>
  <r>
    <x v="0"/>
    <x v="2"/>
    <x v="2"/>
    <x v="23"/>
    <x v="23"/>
    <x v="23"/>
    <s v="REVENUS"/>
    <x v="3"/>
    <s v="4002.001"/>
    <s v="Impôt ordinaire s/fortune PP"/>
    <n v="0"/>
    <n v="81440.45"/>
    <n v="4002"/>
  </r>
  <r>
    <x v="0"/>
    <x v="2"/>
    <x v="2"/>
    <x v="23"/>
    <x v="23"/>
    <x v="23"/>
    <s v="REVENUS"/>
    <x v="3"/>
    <s v="4002.002"/>
    <s v="Impôt complémentaire s/fortune PP"/>
    <n v="0"/>
    <n v="46360.95"/>
    <n v="4002"/>
  </r>
  <r>
    <x v="0"/>
    <x v="2"/>
    <x v="2"/>
    <x v="23"/>
    <x v="23"/>
    <x v="23"/>
    <s v="REVENUS"/>
    <x v="3"/>
    <s v="4002.007"/>
    <s v="Acompte impôt sur fortune"/>
    <n v="0"/>
    <n v="9656.8700000000008"/>
    <n v="4002"/>
  </r>
  <r>
    <x v="0"/>
    <x v="2"/>
    <x v="2"/>
    <x v="23"/>
    <x v="23"/>
    <x v="23"/>
    <s v="REVENUS"/>
    <x v="7"/>
    <s v="4184.000"/>
    <s v="Frais de poursuite"/>
    <n v="0"/>
    <n v="1102.1400000000001"/>
    <n v="4184"/>
  </r>
  <r>
    <x v="0"/>
    <x v="2"/>
    <x v="2"/>
    <x v="23"/>
    <x v="23"/>
    <x v="23"/>
    <s v="REVENUS"/>
    <x v="6"/>
    <s v="4211.001"/>
    <s v="Intérêts de retard sur factures"/>
    <n v="0"/>
    <n v="4821.09"/>
    <n v="4211"/>
  </r>
  <r>
    <x v="0"/>
    <x v="2"/>
    <x v="2"/>
    <x v="23"/>
    <x v="23"/>
    <x v="23"/>
    <s v="REVENUS"/>
    <x v="6"/>
    <s v="4211.002"/>
    <s v="Intérêts de retard sur acomptes"/>
    <n v="0"/>
    <n v="6475.6"/>
    <n v="4211"/>
  </r>
  <r>
    <x v="0"/>
    <x v="2"/>
    <x v="2"/>
    <x v="23"/>
    <x v="23"/>
    <x v="23"/>
    <s v="REVENUS"/>
    <x v="6"/>
    <s v="4221.003"/>
    <s v="Intérêts compensat. / acomptes en faveur du fisc"/>
    <n v="0"/>
    <n v="128.84"/>
    <n v="4221"/>
  </r>
  <r>
    <x v="0"/>
    <x v="2"/>
    <x v="2"/>
    <x v="23"/>
    <x v="23"/>
    <x v="23"/>
    <s v="REVENUS"/>
    <x v="2"/>
    <s v="4001.007"/>
    <s v="Acompte impôt sur revenu"/>
    <n v="0"/>
    <n v="-13.05"/>
    <n v="4001"/>
  </r>
  <r>
    <x v="0"/>
    <x v="2"/>
    <x v="2"/>
    <x v="23"/>
    <x v="23"/>
    <x v="23"/>
    <s v="REVENUS"/>
    <x v="3"/>
    <s v="4002.007"/>
    <s v="Acompte impôt sur fortune"/>
    <n v="0"/>
    <n v="-208.35"/>
    <n v="4002"/>
  </r>
  <r>
    <x v="0"/>
    <x v="2"/>
    <x v="2"/>
    <x v="23"/>
    <x v="23"/>
    <x v="23"/>
    <s v="REVENUS"/>
    <x v="2"/>
    <s v="4001.003"/>
    <s v="Impôt s/prest. cap. PP"/>
    <n v="0"/>
    <n v="56145.55"/>
    <n v="4001"/>
  </r>
  <r>
    <x v="0"/>
    <x v="2"/>
    <x v="2"/>
    <x v="23"/>
    <x v="23"/>
    <x v="23"/>
    <s v="REVENUS"/>
    <x v="2"/>
    <s v="4001.007"/>
    <s v="Acompte impôt sur revenu"/>
    <n v="0"/>
    <n v="7.25"/>
    <n v="4001"/>
  </r>
  <r>
    <x v="0"/>
    <x v="2"/>
    <x v="2"/>
    <x v="23"/>
    <x v="23"/>
    <x v="23"/>
    <s v="REVENUS"/>
    <x v="3"/>
    <s v="4002.007"/>
    <s v="Acompte impôt sur fortune"/>
    <n v="0"/>
    <n v="42.05"/>
    <n v="4002"/>
  </r>
  <r>
    <x v="0"/>
    <x v="2"/>
    <x v="2"/>
    <x v="23"/>
    <x v="23"/>
    <x v="23"/>
    <s v="REVENUS"/>
    <x v="3"/>
    <s v="4002.007"/>
    <s v="Acompte impôt sur fortune"/>
    <n v="0"/>
    <n v="-2171.15"/>
    <n v="4002"/>
  </r>
  <r>
    <x v="0"/>
    <x v="2"/>
    <x v="2"/>
    <x v="23"/>
    <x v="23"/>
    <x v="23"/>
    <s v="REVENUS"/>
    <x v="3"/>
    <s v="4002.007"/>
    <s v="Acompte impôt sur fortune"/>
    <n v="0"/>
    <n v="-1711.11"/>
    <n v="4002"/>
  </r>
  <r>
    <x v="0"/>
    <x v="2"/>
    <x v="2"/>
    <x v="23"/>
    <x v="23"/>
    <x v="23"/>
    <s v="REVENUS"/>
    <x v="2"/>
    <s v="4001.007"/>
    <s v="Acompte impôt sur revenu"/>
    <n v="0"/>
    <n v="-553.5"/>
    <n v="4001"/>
  </r>
  <r>
    <x v="0"/>
    <x v="2"/>
    <x v="2"/>
    <x v="23"/>
    <x v="23"/>
    <x v="23"/>
    <s v="REVENUS"/>
    <x v="2"/>
    <s v="4001.007"/>
    <s v="Acompte impôt sur revenu"/>
    <n v="0"/>
    <n v="-1706.54"/>
    <n v="4001"/>
  </r>
  <r>
    <x v="0"/>
    <x v="2"/>
    <x v="2"/>
    <x v="23"/>
    <x v="23"/>
    <x v="23"/>
    <s v="REVENUS"/>
    <x v="9"/>
    <s v="4031.001"/>
    <s v="Impôt sur les gains immobiliers"/>
    <n v="0"/>
    <n v="7985.1"/>
    <n v="4031"/>
  </r>
  <r>
    <x v="0"/>
    <x v="2"/>
    <x v="2"/>
    <x v="23"/>
    <x v="23"/>
    <x v="23"/>
    <s v="REVENUS"/>
    <x v="2"/>
    <s v="4001.001"/>
    <s v="Impôt revenu"/>
    <n v="0"/>
    <n v="841.2"/>
    <n v="4001"/>
  </r>
  <r>
    <x v="0"/>
    <x v="2"/>
    <x v="2"/>
    <x v="23"/>
    <x v="23"/>
    <x v="23"/>
    <s v="REVENUS"/>
    <x v="3"/>
    <s v="4002.001"/>
    <s v="Impôt ordinaire s/fortune PP"/>
    <n v="0"/>
    <n v="636.15"/>
    <n v="4002"/>
  </r>
  <r>
    <x v="0"/>
    <x v="2"/>
    <x v="2"/>
    <x v="23"/>
    <x v="23"/>
    <x v="23"/>
    <s v="REVENUS"/>
    <x v="6"/>
    <s v="4211.002"/>
    <s v="Intérêts de retard sur acomptes"/>
    <n v="0"/>
    <n v="5.78"/>
    <n v="4211"/>
  </r>
  <r>
    <x v="0"/>
    <x v="2"/>
    <x v="2"/>
    <x v="23"/>
    <x v="23"/>
    <x v="23"/>
    <s v="REVENUS"/>
    <x v="2"/>
    <s v="4001.007"/>
    <s v="Acompte impôt sur revenu"/>
    <n v="0"/>
    <n v="-583.1"/>
    <n v="4001"/>
  </r>
  <r>
    <x v="0"/>
    <x v="2"/>
    <x v="2"/>
    <x v="23"/>
    <x v="23"/>
    <x v="23"/>
    <s v="REVENUS"/>
    <x v="3"/>
    <s v="4002.007"/>
    <s v="Acompte impôt sur fortune"/>
    <n v="0"/>
    <n v="-65.099999999999994"/>
    <n v="4002"/>
  </r>
  <r>
    <x v="0"/>
    <x v="2"/>
    <x v="2"/>
    <x v="23"/>
    <x v="23"/>
    <x v="23"/>
    <s v="REVENUS"/>
    <x v="2"/>
    <s v="4001.001"/>
    <s v="Impôt revenu"/>
    <n v="0"/>
    <n v="38.25"/>
    <n v="4001"/>
  </r>
  <r>
    <x v="0"/>
    <x v="2"/>
    <x v="2"/>
    <x v="23"/>
    <x v="23"/>
    <x v="23"/>
    <s v="REVENUS"/>
    <x v="3"/>
    <s v="4002.001"/>
    <s v="Impôt ordinaire s/fortune PP"/>
    <n v="0"/>
    <n v="122.8"/>
    <n v="4002"/>
  </r>
  <r>
    <x v="0"/>
    <x v="2"/>
    <x v="2"/>
    <x v="23"/>
    <x v="23"/>
    <x v="23"/>
    <s v="REVENUS"/>
    <x v="6"/>
    <s v="4211.002"/>
    <s v="Intérêts de retard sur acomptes"/>
    <n v="0"/>
    <n v="0.66"/>
    <n v="4211"/>
  </r>
  <r>
    <x v="0"/>
    <x v="2"/>
    <x v="2"/>
    <x v="23"/>
    <x v="23"/>
    <x v="23"/>
    <s v="REVENUS"/>
    <x v="2"/>
    <s v="4001.001"/>
    <s v="Impôt revenu"/>
    <n v="0"/>
    <n v="-37.85"/>
    <n v="4001"/>
  </r>
  <r>
    <x v="0"/>
    <x v="2"/>
    <x v="2"/>
    <x v="23"/>
    <x v="23"/>
    <x v="23"/>
    <s v="REVENUS"/>
    <x v="3"/>
    <s v="4002.001"/>
    <s v="Impôt ordinaire s/fortune PP"/>
    <n v="0"/>
    <n v="-929.55"/>
    <n v="4002"/>
  </r>
  <r>
    <x v="0"/>
    <x v="2"/>
    <x v="2"/>
    <x v="23"/>
    <x v="23"/>
    <x v="23"/>
    <s v="REVENUS"/>
    <x v="6"/>
    <s v="4221.002"/>
    <s v="Intérêts compensat. sur impôts distincts"/>
    <n v="0"/>
    <n v="0.48"/>
    <n v="4221"/>
  </r>
  <r>
    <x v="0"/>
    <x v="2"/>
    <x v="2"/>
    <x v="23"/>
    <x v="23"/>
    <x v="23"/>
    <s v="REVENUS"/>
    <x v="2"/>
    <s v="4001.002"/>
    <s v="Impôt complément s/revenu PP"/>
    <n v="0"/>
    <n v="1576.25"/>
    <n v="4001"/>
  </r>
  <r>
    <x v="0"/>
    <x v="2"/>
    <x v="2"/>
    <x v="23"/>
    <x v="23"/>
    <x v="23"/>
    <s v="REVENUS"/>
    <x v="3"/>
    <s v="4002.002"/>
    <s v="Impôt complémentaire s/fortune PP"/>
    <n v="0"/>
    <n v="4851.6499999999996"/>
    <n v="4002"/>
  </r>
  <r>
    <x v="0"/>
    <x v="2"/>
    <x v="2"/>
    <x v="23"/>
    <x v="23"/>
    <x v="23"/>
    <s v="REVENUS"/>
    <x v="6"/>
    <s v="4211.001"/>
    <s v="Intérêts de retard sur factures"/>
    <n v="0"/>
    <n v="-0.17"/>
    <n v="4211"/>
  </r>
  <r>
    <x v="0"/>
    <x v="2"/>
    <x v="2"/>
    <x v="23"/>
    <x v="23"/>
    <x v="23"/>
    <s v="REVENUS"/>
    <x v="6"/>
    <s v="4211.001"/>
    <s v="Intérêts de retard sur factures"/>
    <n v="0"/>
    <n v="0.04"/>
    <n v="4211"/>
  </r>
  <r>
    <x v="0"/>
    <x v="2"/>
    <x v="2"/>
    <x v="23"/>
    <x v="23"/>
    <x v="23"/>
    <s v="REVENUS"/>
    <x v="6"/>
    <s v="4211.002"/>
    <s v="Intérêts de retard sur acomptes"/>
    <n v="0"/>
    <n v="0.94"/>
    <n v="4211"/>
  </r>
  <r>
    <x v="0"/>
    <x v="2"/>
    <x v="2"/>
    <x v="23"/>
    <x v="23"/>
    <x v="23"/>
    <s v="REVENUS"/>
    <x v="6"/>
    <s v="4221.003"/>
    <s v="Intérêts compensat. / acomptes en faveur du fisc"/>
    <n v="0"/>
    <n v="0.01"/>
    <n v="4221"/>
  </r>
  <r>
    <x v="0"/>
    <x v="2"/>
    <x v="2"/>
    <x v="23"/>
    <x v="23"/>
    <x v="23"/>
    <s v="REVENUS"/>
    <x v="2"/>
    <s v="4001.002"/>
    <s v="Impôt complément s/revenu PP"/>
    <n v="0"/>
    <n v="15.95"/>
    <n v="4001"/>
  </r>
  <r>
    <x v="0"/>
    <x v="2"/>
    <x v="2"/>
    <x v="23"/>
    <x v="23"/>
    <x v="23"/>
    <s v="REVENUS"/>
    <x v="3"/>
    <s v="4002.002"/>
    <s v="Impôt complémentaire s/fortune PP"/>
    <n v="0"/>
    <n v="18.5"/>
    <n v="4002"/>
  </r>
  <r>
    <x v="0"/>
    <x v="2"/>
    <x v="2"/>
    <x v="24"/>
    <x v="24"/>
    <x v="24"/>
    <s v="CHARGES"/>
    <x v="1"/>
    <s v="3301.001"/>
    <s v="Défalcations, abandons de solde PP et IS"/>
    <n v="25451.4"/>
    <n v="0"/>
    <n v="3301"/>
  </r>
  <r>
    <x v="0"/>
    <x v="2"/>
    <x v="2"/>
    <x v="24"/>
    <x v="24"/>
    <x v="24"/>
    <s v="CHARGES"/>
    <x v="0"/>
    <s v="3212.004"/>
    <s v="Intérêts rémun./perçu trop tôt sur acomptes C/C"/>
    <n v="180.35"/>
    <n v="0"/>
    <n v="3212"/>
  </r>
  <r>
    <x v="0"/>
    <x v="2"/>
    <x v="2"/>
    <x v="24"/>
    <x v="24"/>
    <x v="24"/>
    <s v="CHARGES"/>
    <x v="0"/>
    <s v="3221.002"/>
    <s v="Intérêts compensatoires / créances en faveur ctb."/>
    <n v="56.22"/>
    <n v="0"/>
    <n v="3221"/>
  </r>
  <r>
    <x v="0"/>
    <x v="2"/>
    <x v="2"/>
    <x v="24"/>
    <x v="24"/>
    <x v="24"/>
    <s v="CHARGES"/>
    <x v="0"/>
    <s v="3212.002"/>
    <s v="Intérêts bonifiés/trop perçu acompte C/C"/>
    <n v="24.3"/>
    <n v="0"/>
    <n v="3212"/>
  </r>
  <r>
    <x v="0"/>
    <x v="2"/>
    <x v="2"/>
    <x v="24"/>
    <x v="24"/>
    <x v="24"/>
    <s v="CHARGES"/>
    <x v="0"/>
    <s v="3212.004"/>
    <s v="Intérêts rémun./perçu trop tôt sur acomptes C/C"/>
    <n v="0.05"/>
    <n v="0"/>
    <n v="3212"/>
  </r>
  <r>
    <x v="0"/>
    <x v="2"/>
    <x v="2"/>
    <x v="24"/>
    <x v="24"/>
    <x v="24"/>
    <s v="CHARGES"/>
    <x v="0"/>
    <s v="3221.002"/>
    <s v="Intérêts compensatoires / créances en faveur ctb."/>
    <n v="0.03"/>
    <n v="0"/>
    <n v="3221"/>
  </r>
  <r>
    <x v="0"/>
    <x v="2"/>
    <x v="2"/>
    <x v="24"/>
    <x v="24"/>
    <x v="24"/>
    <s v="CHARGES"/>
    <x v="0"/>
    <s v="3212.004"/>
    <s v="Intérêts rémun./perçu trop tôt sur acomptes C/C"/>
    <n v="0.66"/>
    <n v="0"/>
    <n v="3212"/>
  </r>
  <r>
    <x v="0"/>
    <x v="2"/>
    <x v="2"/>
    <x v="24"/>
    <x v="24"/>
    <x v="24"/>
    <s v="CHARGES"/>
    <x v="1"/>
    <s v="3301.001"/>
    <s v="Défalcations, abandons de solde PP et IS"/>
    <n v="0.03"/>
    <n v="0"/>
    <n v="3301"/>
  </r>
  <r>
    <x v="0"/>
    <x v="2"/>
    <x v="2"/>
    <x v="24"/>
    <x v="24"/>
    <x v="24"/>
    <s v="CHARGES"/>
    <x v="0"/>
    <s v="3221.002"/>
    <s v="Intérêts compensatoires / créances en faveur ctb."/>
    <n v="0.14000000000000001"/>
    <n v="0"/>
    <n v="3221"/>
  </r>
  <r>
    <x v="0"/>
    <x v="2"/>
    <x v="2"/>
    <x v="24"/>
    <x v="24"/>
    <x v="24"/>
    <s v="REVENUS"/>
    <x v="6"/>
    <s v="4211.001"/>
    <s v="Intérêts de retard sur factures"/>
    <n v="0"/>
    <n v="1783.32"/>
    <n v="4211"/>
  </r>
  <r>
    <x v="0"/>
    <x v="2"/>
    <x v="2"/>
    <x v="24"/>
    <x v="24"/>
    <x v="24"/>
    <s v="REVENUS"/>
    <x v="2"/>
    <s v="4001.001"/>
    <s v="Impôt revenu"/>
    <n v="0"/>
    <n v="857277.3"/>
    <n v="4001"/>
  </r>
  <r>
    <x v="0"/>
    <x v="2"/>
    <x v="2"/>
    <x v="24"/>
    <x v="24"/>
    <x v="24"/>
    <s v="REVENUS"/>
    <x v="2"/>
    <s v="4001.007"/>
    <s v="Acompte impôt sur revenu"/>
    <n v="0"/>
    <n v="42361.46"/>
    <n v="4001"/>
  </r>
  <r>
    <x v="0"/>
    <x v="2"/>
    <x v="2"/>
    <x v="24"/>
    <x v="24"/>
    <x v="24"/>
    <s v="REVENUS"/>
    <x v="3"/>
    <s v="4002.001"/>
    <s v="Impôt ordinaire s/fortune PP"/>
    <n v="0"/>
    <n v="107528"/>
    <n v="4002"/>
  </r>
  <r>
    <x v="0"/>
    <x v="2"/>
    <x v="2"/>
    <x v="24"/>
    <x v="24"/>
    <x v="24"/>
    <s v="REVENUS"/>
    <x v="3"/>
    <s v="4002.007"/>
    <s v="Acompte impôt sur fortune"/>
    <n v="0"/>
    <n v="-17865.919999999998"/>
    <n v="4002"/>
  </r>
  <r>
    <x v="0"/>
    <x v="2"/>
    <x v="2"/>
    <x v="24"/>
    <x v="24"/>
    <x v="24"/>
    <s v="REVENUS"/>
    <x v="11"/>
    <s v="4198.000"/>
    <s v="Contributions communales"/>
    <n v="0"/>
    <n v="91648.1"/>
    <n v="4198"/>
  </r>
  <r>
    <x v="0"/>
    <x v="2"/>
    <x v="2"/>
    <x v="24"/>
    <x v="24"/>
    <x v="24"/>
    <s v="REVENUS"/>
    <x v="6"/>
    <s v="4211.002"/>
    <s v="Intérêts de retard sur acomptes"/>
    <n v="0"/>
    <n v="4409.38"/>
    <n v="4211"/>
  </r>
  <r>
    <x v="0"/>
    <x v="2"/>
    <x v="2"/>
    <x v="24"/>
    <x v="24"/>
    <x v="24"/>
    <s v="REVENUS"/>
    <x v="6"/>
    <s v="4221.003"/>
    <s v="Intérêts compensat. / acomptes en faveur du fisc"/>
    <n v="0"/>
    <n v="74.540000000000006"/>
    <n v="4221"/>
  </r>
  <r>
    <x v="0"/>
    <x v="2"/>
    <x v="2"/>
    <x v="24"/>
    <x v="24"/>
    <x v="24"/>
    <s v="REVENUS"/>
    <x v="2"/>
    <s v="4001.002"/>
    <s v="Impôt complément s/revenu PP"/>
    <n v="0"/>
    <n v="59104.15"/>
    <n v="4001"/>
  </r>
  <r>
    <x v="0"/>
    <x v="2"/>
    <x v="2"/>
    <x v="24"/>
    <x v="24"/>
    <x v="24"/>
    <s v="REVENUS"/>
    <x v="2"/>
    <s v="4001.003"/>
    <s v="Impôt s/prest. cap. PP"/>
    <n v="0"/>
    <n v="2959.6"/>
    <n v="4001"/>
  </r>
  <r>
    <x v="0"/>
    <x v="2"/>
    <x v="2"/>
    <x v="24"/>
    <x v="24"/>
    <x v="24"/>
    <s v="REVENUS"/>
    <x v="7"/>
    <s v="4184.000"/>
    <s v="Frais de poursuite"/>
    <n v="0"/>
    <n v="832.77"/>
    <n v="4184"/>
  </r>
  <r>
    <x v="0"/>
    <x v="2"/>
    <x v="2"/>
    <x v="24"/>
    <x v="24"/>
    <x v="24"/>
    <s v="REVENUS"/>
    <x v="10"/>
    <s v="4041.001"/>
    <s v="Droits de mutation"/>
    <n v="0"/>
    <n v="52310.5"/>
    <n v="4041"/>
  </r>
  <r>
    <x v="0"/>
    <x v="2"/>
    <x v="2"/>
    <x v="24"/>
    <x v="24"/>
    <x v="24"/>
    <s v="REVENUS"/>
    <x v="3"/>
    <s v="4002.002"/>
    <s v="Impôt complémentaire s/fortune PP"/>
    <n v="0"/>
    <n v="7005.35"/>
    <n v="4002"/>
  </r>
  <r>
    <x v="0"/>
    <x v="2"/>
    <x v="2"/>
    <x v="24"/>
    <x v="24"/>
    <x v="24"/>
    <s v="REVENUS"/>
    <x v="2"/>
    <s v="4001.007"/>
    <s v="Acompte impôt sur revenu"/>
    <n v="0"/>
    <n v="1236.4000000000001"/>
    <n v="4001"/>
  </r>
  <r>
    <x v="0"/>
    <x v="2"/>
    <x v="2"/>
    <x v="24"/>
    <x v="24"/>
    <x v="24"/>
    <s v="REVENUS"/>
    <x v="3"/>
    <s v="4002.007"/>
    <s v="Acompte impôt sur fortune"/>
    <n v="0"/>
    <n v="151.5"/>
    <n v="4002"/>
  </r>
  <r>
    <x v="0"/>
    <x v="2"/>
    <x v="2"/>
    <x v="24"/>
    <x v="24"/>
    <x v="24"/>
    <s v="REVENUS"/>
    <x v="5"/>
    <s v="4061.000"/>
    <s v="Impôt sur les chiens"/>
    <n v="0"/>
    <n v="3360"/>
    <n v="4061"/>
  </r>
  <r>
    <x v="0"/>
    <x v="2"/>
    <x v="2"/>
    <x v="24"/>
    <x v="24"/>
    <x v="24"/>
    <s v="REVENUS"/>
    <x v="2"/>
    <s v="4001.001"/>
    <s v="Impôt revenu"/>
    <n v="0"/>
    <n v="417.9"/>
    <n v="4001"/>
  </r>
  <r>
    <x v="0"/>
    <x v="2"/>
    <x v="2"/>
    <x v="24"/>
    <x v="24"/>
    <x v="24"/>
    <s v="REVENUS"/>
    <x v="3"/>
    <s v="4002.007"/>
    <s v="Acompte impôt sur fortune"/>
    <n v="0"/>
    <n v="-147.6"/>
    <n v="4002"/>
  </r>
  <r>
    <x v="0"/>
    <x v="2"/>
    <x v="2"/>
    <x v="24"/>
    <x v="24"/>
    <x v="24"/>
    <s v="REVENUS"/>
    <x v="6"/>
    <s v="4211.002"/>
    <s v="Intérêts de retard sur acomptes"/>
    <n v="0"/>
    <n v="54.27"/>
    <n v="4211"/>
  </r>
  <r>
    <x v="0"/>
    <x v="2"/>
    <x v="2"/>
    <x v="24"/>
    <x v="24"/>
    <x v="24"/>
    <s v="REVENUS"/>
    <x v="2"/>
    <s v="4001.007"/>
    <s v="Acompte impôt sur revenu"/>
    <n v="0"/>
    <n v="-1390.85"/>
    <n v="4001"/>
  </r>
  <r>
    <x v="0"/>
    <x v="2"/>
    <x v="2"/>
    <x v="24"/>
    <x v="24"/>
    <x v="24"/>
    <s v="REVENUS"/>
    <x v="3"/>
    <s v="4002.001"/>
    <s v="Impôt ordinaire s/fortune PP"/>
    <n v="0"/>
    <n v="685.9"/>
    <n v="4002"/>
  </r>
  <r>
    <x v="0"/>
    <x v="2"/>
    <x v="2"/>
    <x v="24"/>
    <x v="24"/>
    <x v="24"/>
    <s v="REVENUS"/>
    <x v="3"/>
    <s v="4002.007"/>
    <s v="Acompte impôt sur fortune"/>
    <n v="0"/>
    <n v="-363.7"/>
    <n v="4002"/>
  </r>
  <r>
    <x v="0"/>
    <x v="2"/>
    <x v="2"/>
    <x v="24"/>
    <x v="24"/>
    <x v="24"/>
    <s v="REVENUS"/>
    <x v="2"/>
    <s v="4001.007"/>
    <s v="Acompte impôt sur revenu"/>
    <n v="0"/>
    <n v="-54.65"/>
    <n v="4001"/>
  </r>
  <r>
    <x v="0"/>
    <x v="2"/>
    <x v="2"/>
    <x v="24"/>
    <x v="24"/>
    <x v="24"/>
    <s v="REVENUS"/>
    <x v="2"/>
    <s v="4001.001"/>
    <s v="Impôt revenu"/>
    <n v="0"/>
    <n v="106.8"/>
    <n v="4001"/>
  </r>
  <r>
    <x v="0"/>
    <x v="2"/>
    <x v="2"/>
    <x v="24"/>
    <x v="24"/>
    <x v="24"/>
    <s v="REVENUS"/>
    <x v="3"/>
    <s v="4002.001"/>
    <s v="Impôt ordinaire s/fortune PP"/>
    <n v="0"/>
    <n v="219.4"/>
    <n v="4002"/>
  </r>
  <r>
    <x v="0"/>
    <x v="2"/>
    <x v="2"/>
    <x v="24"/>
    <x v="24"/>
    <x v="24"/>
    <s v="REVENUS"/>
    <x v="9"/>
    <s v="4031.001"/>
    <s v="Impôt sur les gains immobiliers"/>
    <n v="0"/>
    <n v="21966.95"/>
    <n v="4031"/>
  </r>
  <r>
    <x v="0"/>
    <x v="2"/>
    <x v="2"/>
    <x v="24"/>
    <x v="24"/>
    <x v="24"/>
    <s v="REVENUS"/>
    <x v="2"/>
    <s v="4001.007"/>
    <s v="Acompte impôt sur revenu"/>
    <n v="0"/>
    <n v="-2563.1"/>
    <n v="4001"/>
  </r>
  <r>
    <x v="0"/>
    <x v="2"/>
    <x v="2"/>
    <x v="24"/>
    <x v="24"/>
    <x v="24"/>
    <s v="REVENUS"/>
    <x v="3"/>
    <s v="4002.007"/>
    <s v="Acompte impôt sur fortune"/>
    <n v="0"/>
    <n v="-701.8"/>
    <n v="4002"/>
  </r>
  <r>
    <x v="0"/>
    <x v="2"/>
    <x v="2"/>
    <x v="24"/>
    <x v="24"/>
    <x v="24"/>
    <s v="REVENUS"/>
    <x v="6"/>
    <s v="4211.001"/>
    <s v="Intérêts de retard sur factures"/>
    <n v="0"/>
    <n v="5.83"/>
    <n v="4211"/>
  </r>
  <r>
    <x v="0"/>
    <x v="2"/>
    <x v="2"/>
    <x v="24"/>
    <x v="24"/>
    <x v="24"/>
    <s v="REVENUS"/>
    <x v="6"/>
    <s v="4211.001"/>
    <s v="Intérêts de retard sur factures"/>
    <n v="0"/>
    <n v="2.09"/>
    <n v="4211"/>
  </r>
  <r>
    <x v="0"/>
    <x v="2"/>
    <x v="2"/>
    <x v="24"/>
    <x v="24"/>
    <x v="24"/>
    <s v="REVENUS"/>
    <x v="6"/>
    <s v="4221.002"/>
    <s v="Intérêts compensat. sur impôts distincts"/>
    <n v="0"/>
    <n v="0.41"/>
    <n v="4221"/>
  </r>
  <r>
    <x v="0"/>
    <x v="2"/>
    <x v="2"/>
    <x v="24"/>
    <x v="24"/>
    <x v="24"/>
    <s v="REVENUS"/>
    <x v="2"/>
    <s v="4001.001"/>
    <s v="Impôt revenu"/>
    <n v="0"/>
    <n v="1838.4"/>
    <n v="4001"/>
  </r>
  <r>
    <x v="0"/>
    <x v="2"/>
    <x v="2"/>
    <x v="24"/>
    <x v="24"/>
    <x v="24"/>
    <s v="REVENUS"/>
    <x v="3"/>
    <s v="4002.001"/>
    <s v="Impôt ordinaire s/fortune PP"/>
    <n v="0"/>
    <n v="712"/>
    <n v="4002"/>
  </r>
  <r>
    <x v="0"/>
    <x v="2"/>
    <x v="2"/>
    <x v="24"/>
    <x v="24"/>
    <x v="24"/>
    <s v="REVENUS"/>
    <x v="6"/>
    <s v="4221.003"/>
    <s v="Intérêts compensat. / acomptes en faveur du fisc"/>
    <n v="0"/>
    <n v="0.03"/>
    <n v="4221"/>
  </r>
  <r>
    <x v="0"/>
    <x v="2"/>
    <x v="2"/>
    <x v="24"/>
    <x v="24"/>
    <x v="24"/>
    <s v="REVENUS"/>
    <x v="6"/>
    <s v="4211.002"/>
    <s v="Intérêts de retard sur acomptes"/>
    <n v="0"/>
    <n v="10.79"/>
    <n v="4211"/>
  </r>
  <r>
    <x v="0"/>
    <x v="2"/>
    <x v="2"/>
    <x v="24"/>
    <x v="24"/>
    <x v="24"/>
    <s v="REVENUS"/>
    <x v="7"/>
    <s v="4184.000"/>
    <s v="Frais de poursuite"/>
    <n v="0"/>
    <n v="34.6"/>
    <n v="4184"/>
  </r>
  <r>
    <x v="0"/>
    <x v="1"/>
    <x v="1"/>
    <x v="25"/>
    <x v="25"/>
    <x v="25"/>
    <s v="CHARGES"/>
    <x v="1"/>
    <s v="3301.001"/>
    <s v="Défalcations, abandons de solde PP et IS"/>
    <n v="0.05"/>
    <n v="0"/>
    <n v="3301"/>
  </r>
  <r>
    <x v="0"/>
    <x v="1"/>
    <x v="1"/>
    <x v="25"/>
    <x v="25"/>
    <x v="25"/>
    <s v="CHARGES"/>
    <x v="1"/>
    <s v="3301.001"/>
    <s v="Défalcations, abandons de solde PP et IS"/>
    <n v="438.83"/>
    <n v="0"/>
    <n v="3301"/>
  </r>
  <r>
    <x v="0"/>
    <x v="1"/>
    <x v="1"/>
    <x v="25"/>
    <x v="25"/>
    <x v="25"/>
    <s v="CHARGES"/>
    <x v="0"/>
    <s v="3212.002"/>
    <s v="Intérêts bonifiés/trop perçu acompte C/C"/>
    <n v="1.67"/>
    <n v="0"/>
    <n v="3212"/>
  </r>
  <r>
    <x v="0"/>
    <x v="1"/>
    <x v="1"/>
    <x v="25"/>
    <x v="25"/>
    <x v="25"/>
    <s v="CHARGES"/>
    <x v="0"/>
    <s v="3212.004"/>
    <s v="Intérêts rémun./perçu trop tôt sur acomptes C/C"/>
    <n v="69.67"/>
    <n v="0"/>
    <n v="3212"/>
  </r>
  <r>
    <x v="0"/>
    <x v="1"/>
    <x v="1"/>
    <x v="25"/>
    <x v="25"/>
    <x v="25"/>
    <s v="CHARGES"/>
    <x v="0"/>
    <s v="3221.002"/>
    <s v="Intérêts compensatoires / créances en faveur ctb."/>
    <n v="22.02"/>
    <n v="0"/>
    <n v="3221"/>
  </r>
  <r>
    <x v="0"/>
    <x v="1"/>
    <x v="1"/>
    <x v="25"/>
    <x v="25"/>
    <x v="25"/>
    <s v="CHARGES"/>
    <x v="0"/>
    <s v="3212.004"/>
    <s v="Intérêts rémun./perçu trop tôt sur acomptes C/C"/>
    <n v="0.01"/>
    <n v="0"/>
    <n v="3212"/>
  </r>
  <r>
    <x v="0"/>
    <x v="1"/>
    <x v="1"/>
    <x v="25"/>
    <x v="25"/>
    <x v="25"/>
    <s v="CHARGES"/>
    <x v="0"/>
    <s v="3221.002"/>
    <s v="Intérêts compensatoires / créances en faveur ctb."/>
    <n v="0.01"/>
    <n v="0"/>
    <n v="3221"/>
  </r>
  <r>
    <x v="0"/>
    <x v="1"/>
    <x v="1"/>
    <x v="25"/>
    <x v="25"/>
    <x v="25"/>
    <s v="CHARGES"/>
    <x v="0"/>
    <s v="3212.004"/>
    <s v="Intérêts rémun./perçu trop tôt sur acomptes C/C"/>
    <n v="3.6"/>
    <n v="0"/>
    <n v="3212"/>
  </r>
  <r>
    <x v="0"/>
    <x v="1"/>
    <x v="1"/>
    <x v="25"/>
    <x v="25"/>
    <x v="25"/>
    <s v="CHARGES"/>
    <x v="0"/>
    <s v="3221.002"/>
    <s v="Intérêts compensatoires / créances en faveur ctb."/>
    <n v="3.48"/>
    <n v="0"/>
    <n v="3221"/>
  </r>
  <r>
    <x v="0"/>
    <x v="1"/>
    <x v="1"/>
    <x v="25"/>
    <x v="25"/>
    <x v="25"/>
    <s v="CHARGES"/>
    <x v="1"/>
    <s v="3301.001"/>
    <s v="Défalcations, abandons de solde PP et IS"/>
    <n v="0"/>
    <n v="0"/>
    <n v="3301"/>
  </r>
  <r>
    <x v="0"/>
    <x v="1"/>
    <x v="1"/>
    <x v="25"/>
    <x v="25"/>
    <x v="25"/>
    <s v="CHARGES"/>
    <x v="0"/>
    <s v="3212.004"/>
    <s v="Intérêts rémun./perçu trop tôt sur acomptes C/C"/>
    <n v="0.24"/>
    <n v="0"/>
    <n v="3212"/>
  </r>
  <r>
    <x v="0"/>
    <x v="1"/>
    <x v="1"/>
    <x v="25"/>
    <x v="25"/>
    <x v="25"/>
    <s v="CHARGES"/>
    <x v="0"/>
    <s v="3221.002"/>
    <s v="Intérêts compensatoires / créances en faveur ctb."/>
    <n v="0.71"/>
    <n v="0"/>
    <n v="3221"/>
  </r>
  <r>
    <x v="0"/>
    <x v="1"/>
    <x v="1"/>
    <x v="25"/>
    <x v="25"/>
    <x v="25"/>
    <s v="CHARGES"/>
    <x v="0"/>
    <s v="3212.004"/>
    <s v="Intérêts rémun./perçu trop tôt sur acomptes C/C"/>
    <n v="0.09"/>
    <n v="0"/>
    <n v="3212"/>
  </r>
  <r>
    <x v="0"/>
    <x v="1"/>
    <x v="1"/>
    <x v="25"/>
    <x v="25"/>
    <x v="25"/>
    <s v="CHARGES"/>
    <x v="1"/>
    <s v="3301.001"/>
    <s v="Défalcations, abandons de solde PP et IS"/>
    <n v="0"/>
    <n v="0"/>
    <n v="3301"/>
  </r>
  <r>
    <x v="0"/>
    <x v="1"/>
    <x v="1"/>
    <x v="25"/>
    <x v="25"/>
    <x v="25"/>
    <s v="CHARGES"/>
    <x v="0"/>
    <s v="3212.004"/>
    <s v="Intérêts rémun./perçu trop tôt sur acomptes C/C"/>
    <n v="0.34"/>
    <n v="0"/>
    <n v="3212"/>
  </r>
  <r>
    <x v="0"/>
    <x v="1"/>
    <x v="1"/>
    <x v="25"/>
    <x v="25"/>
    <x v="25"/>
    <s v="CHARGES"/>
    <x v="0"/>
    <s v="3221.002"/>
    <s v="Intérêts compensatoires / créances en faveur ctb."/>
    <n v="0.15"/>
    <n v="0"/>
    <n v="3221"/>
  </r>
  <r>
    <x v="0"/>
    <x v="1"/>
    <x v="1"/>
    <x v="25"/>
    <x v="25"/>
    <x v="25"/>
    <s v="CHARGES"/>
    <x v="0"/>
    <s v="3212.004"/>
    <s v="Intérêts rémun./perçu trop tôt sur acomptes C/C"/>
    <n v="0.01"/>
    <n v="0"/>
    <n v="3212"/>
  </r>
  <r>
    <x v="0"/>
    <x v="1"/>
    <x v="1"/>
    <x v="25"/>
    <x v="25"/>
    <x v="25"/>
    <s v="REVENUS"/>
    <x v="6"/>
    <s v="4211.001"/>
    <s v="Intérêts de retard sur factures"/>
    <n v="0"/>
    <n v="1749.71"/>
    <n v="4211"/>
  </r>
  <r>
    <x v="0"/>
    <x v="1"/>
    <x v="1"/>
    <x v="25"/>
    <x v="25"/>
    <x v="25"/>
    <s v="REVENUS"/>
    <x v="3"/>
    <s v="4002.001"/>
    <s v="Impôt ordinaire s/fortune PP"/>
    <n v="0"/>
    <n v="786.45"/>
    <n v="4002"/>
  </r>
  <r>
    <x v="0"/>
    <x v="1"/>
    <x v="1"/>
    <x v="25"/>
    <x v="25"/>
    <x v="25"/>
    <s v="REVENUS"/>
    <x v="6"/>
    <s v="4211.002"/>
    <s v="Intérêts de retard sur acomptes"/>
    <n v="0"/>
    <n v="0.03"/>
    <n v="4211"/>
  </r>
  <r>
    <x v="0"/>
    <x v="1"/>
    <x v="1"/>
    <x v="25"/>
    <x v="25"/>
    <x v="25"/>
    <s v="REVENUS"/>
    <x v="6"/>
    <s v="4221.003"/>
    <s v="Intérêts compensat. / acomptes en faveur du fisc"/>
    <n v="0"/>
    <n v="0.2"/>
    <n v="4221"/>
  </r>
  <r>
    <x v="0"/>
    <x v="1"/>
    <x v="1"/>
    <x v="25"/>
    <x v="25"/>
    <x v="25"/>
    <s v="REVENUS"/>
    <x v="2"/>
    <s v="4001.007"/>
    <s v="Acompte impôt sur revenu"/>
    <n v="0"/>
    <n v="-59976.88"/>
    <n v="4001"/>
  </r>
  <r>
    <x v="0"/>
    <x v="1"/>
    <x v="1"/>
    <x v="25"/>
    <x v="25"/>
    <x v="25"/>
    <s v="REVENUS"/>
    <x v="3"/>
    <s v="4002.007"/>
    <s v="Acompte impôt sur fortune"/>
    <n v="0"/>
    <n v="-12540.8"/>
    <n v="4002"/>
  </r>
  <r>
    <x v="0"/>
    <x v="1"/>
    <x v="1"/>
    <x v="25"/>
    <x v="25"/>
    <x v="25"/>
    <s v="REVENUS"/>
    <x v="2"/>
    <s v="4001.001"/>
    <s v="Impôt revenu"/>
    <n v="0"/>
    <n v="450618.4"/>
    <n v="4001"/>
  </r>
  <r>
    <x v="0"/>
    <x v="1"/>
    <x v="1"/>
    <x v="25"/>
    <x v="25"/>
    <x v="25"/>
    <s v="REVENUS"/>
    <x v="2"/>
    <s v="4001.007"/>
    <s v="Acompte impôt sur revenu"/>
    <n v="0"/>
    <n v="133677.23000000001"/>
    <n v="4001"/>
  </r>
  <r>
    <x v="0"/>
    <x v="1"/>
    <x v="1"/>
    <x v="25"/>
    <x v="25"/>
    <x v="25"/>
    <s v="REVENUS"/>
    <x v="3"/>
    <s v="4002.001"/>
    <s v="Impôt ordinaire s/fortune PP"/>
    <n v="0"/>
    <n v="59854.5"/>
    <n v="4002"/>
  </r>
  <r>
    <x v="0"/>
    <x v="1"/>
    <x v="1"/>
    <x v="25"/>
    <x v="25"/>
    <x v="25"/>
    <s v="REVENUS"/>
    <x v="3"/>
    <s v="4002.007"/>
    <s v="Acompte impôt sur fortune"/>
    <n v="0"/>
    <n v="-3626.74"/>
    <n v="4002"/>
  </r>
  <r>
    <x v="0"/>
    <x v="1"/>
    <x v="1"/>
    <x v="25"/>
    <x v="25"/>
    <x v="25"/>
    <s v="REVENUS"/>
    <x v="6"/>
    <s v="4211.002"/>
    <s v="Intérêts de retard sur acomptes"/>
    <n v="0"/>
    <n v="1558.59"/>
    <n v="4211"/>
  </r>
  <r>
    <x v="0"/>
    <x v="1"/>
    <x v="1"/>
    <x v="25"/>
    <x v="25"/>
    <x v="25"/>
    <s v="REVENUS"/>
    <x v="6"/>
    <s v="4221.003"/>
    <s v="Intérêts compensat. / acomptes en faveur du fisc"/>
    <n v="0"/>
    <n v="48.56"/>
    <n v="4221"/>
  </r>
  <r>
    <x v="0"/>
    <x v="1"/>
    <x v="1"/>
    <x v="25"/>
    <x v="25"/>
    <x v="25"/>
    <s v="REVENUS"/>
    <x v="10"/>
    <s v="4041.001"/>
    <s v="Droits de mutation"/>
    <n v="0"/>
    <n v="35406.449999999997"/>
    <n v="4041"/>
  </r>
  <r>
    <x v="0"/>
    <x v="1"/>
    <x v="1"/>
    <x v="25"/>
    <x v="25"/>
    <x v="25"/>
    <s v="REVENUS"/>
    <x v="2"/>
    <s v="4001.003"/>
    <s v="Impôt s/prest. cap. PP"/>
    <n v="0"/>
    <n v="9746.4500000000007"/>
    <n v="4001"/>
  </r>
  <r>
    <x v="0"/>
    <x v="1"/>
    <x v="1"/>
    <x v="25"/>
    <x v="25"/>
    <x v="25"/>
    <s v="REVENUS"/>
    <x v="6"/>
    <s v="4221.002"/>
    <s v="Intérêts compensat. sur impôts distincts"/>
    <n v="0"/>
    <n v="60.93"/>
    <n v="4221"/>
  </r>
  <r>
    <x v="0"/>
    <x v="1"/>
    <x v="1"/>
    <x v="25"/>
    <x v="25"/>
    <x v="25"/>
    <s v="REVENUS"/>
    <x v="3"/>
    <s v="4002.002"/>
    <s v="Impôt complémentaire s/fortune PP"/>
    <n v="0"/>
    <n v="6463.7"/>
    <n v="4002"/>
  </r>
  <r>
    <x v="0"/>
    <x v="1"/>
    <x v="1"/>
    <x v="25"/>
    <x v="25"/>
    <x v="25"/>
    <s v="REVENUS"/>
    <x v="7"/>
    <s v="4184.000"/>
    <s v="Frais de poursuite"/>
    <n v="0"/>
    <n v="421.93"/>
    <n v="4184"/>
  </r>
  <r>
    <x v="0"/>
    <x v="1"/>
    <x v="1"/>
    <x v="25"/>
    <x v="25"/>
    <x v="25"/>
    <s v="REVENUS"/>
    <x v="2"/>
    <s v="4001.007"/>
    <s v="Acompte impôt sur revenu"/>
    <n v="0"/>
    <n v="367.35"/>
    <n v="4001"/>
  </r>
  <r>
    <x v="0"/>
    <x v="1"/>
    <x v="1"/>
    <x v="25"/>
    <x v="25"/>
    <x v="25"/>
    <s v="REVENUS"/>
    <x v="3"/>
    <s v="4002.007"/>
    <s v="Acompte impôt sur fortune"/>
    <n v="0"/>
    <n v="480.4"/>
    <n v="4002"/>
  </r>
  <r>
    <x v="0"/>
    <x v="1"/>
    <x v="1"/>
    <x v="25"/>
    <x v="25"/>
    <x v="25"/>
    <s v="REVENUS"/>
    <x v="2"/>
    <s v="4001.007"/>
    <s v="Acompte impôt sur revenu"/>
    <n v="0"/>
    <n v="-2197.7399999999998"/>
    <n v="4001"/>
  </r>
  <r>
    <x v="0"/>
    <x v="1"/>
    <x v="1"/>
    <x v="25"/>
    <x v="25"/>
    <x v="25"/>
    <s v="REVENUS"/>
    <x v="3"/>
    <s v="4002.007"/>
    <s v="Acompte impôt sur fortune"/>
    <n v="0"/>
    <n v="-2720.57"/>
    <n v="4002"/>
  </r>
  <r>
    <x v="0"/>
    <x v="1"/>
    <x v="1"/>
    <x v="25"/>
    <x v="25"/>
    <x v="25"/>
    <s v="REVENUS"/>
    <x v="3"/>
    <s v="4002.001"/>
    <s v="Impôt ordinaire s/fortune PP"/>
    <n v="0"/>
    <n v="0"/>
    <n v="4002"/>
  </r>
  <r>
    <x v="0"/>
    <x v="1"/>
    <x v="1"/>
    <x v="25"/>
    <x v="25"/>
    <x v="25"/>
    <s v="REVENUS"/>
    <x v="6"/>
    <s v="4211.002"/>
    <s v="Intérêts de retard sur acomptes"/>
    <n v="0"/>
    <n v="0"/>
    <n v="4211"/>
  </r>
  <r>
    <x v="0"/>
    <x v="1"/>
    <x v="1"/>
    <x v="25"/>
    <x v="25"/>
    <x v="25"/>
    <s v="REVENUS"/>
    <x v="3"/>
    <s v="4002.007"/>
    <s v="Acompte impôt sur fortune"/>
    <n v="0"/>
    <n v="0.35"/>
    <n v="4002"/>
  </r>
  <r>
    <x v="0"/>
    <x v="1"/>
    <x v="1"/>
    <x v="25"/>
    <x v="25"/>
    <x v="25"/>
    <s v="REVENUS"/>
    <x v="3"/>
    <s v="4002.007"/>
    <s v="Acompte impôt sur fortune"/>
    <n v="0"/>
    <n v="-136.94"/>
    <n v="4002"/>
  </r>
  <r>
    <x v="0"/>
    <x v="1"/>
    <x v="1"/>
    <x v="25"/>
    <x v="25"/>
    <x v="25"/>
    <s v="REVENUS"/>
    <x v="3"/>
    <s v="4002.007"/>
    <s v="Acompte impôt sur fortune"/>
    <n v="0"/>
    <n v="17.75"/>
    <n v="4002"/>
  </r>
  <r>
    <x v="0"/>
    <x v="1"/>
    <x v="1"/>
    <x v="25"/>
    <x v="25"/>
    <x v="25"/>
    <s v="REVENUS"/>
    <x v="2"/>
    <s v="4001.007"/>
    <s v="Acompte impôt sur revenu"/>
    <n v="0"/>
    <n v="-576.65"/>
    <n v="4001"/>
  </r>
  <r>
    <x v="0"/>
    <x v="1"/>
    <x v="1"/>
    <x v="25"/>
    <x v="25"/>
    <x v="25"/>
    <s v="REVENUS"/>
    <x v="2"/>
    <s v="4001.007"/>
    <s v="Acompte impôt sur revenu"/>
    <n v="0"/>
    <n v="488.1"/>
    <n v="4001"/>
  </r>
  <r>
    <x v="0"/>
    <x v="1"/>
    <x v="1"/>
    <x v="25"/>
    <x v="25"/>
    <x v="25"/>
    <s v="REVENUS"/>
    <x v="2"/>
    <s v="4001.001"/>
    <s v="Impôt revenu"/>
    <n v="0"/>
    <n v="-9016.2999999999993"/>
    <n v="4001"/>
  </r>
  <r>
    <x v="0"/>
    <x v="1"/>
    <x v="1"/>
    <x v="25"/>
    <x v="25"/>
    <x v="25"/>
    <s v="REVENUS"/>
    <x v="3"/>
    <s v="4002.001"/>
    <s v="Impôt ordinaire s/fortune PP"/>
    <n v="0"/>
    <n v="-394.8"/>
    <n v="4002"/>
  </r>
  <r>
    <x v="0"/>
    <x v="1"/>
    <x v="1"/>
    <x v="25"/>
    <x v="25"/>
    <x v="25"/>
    <s v="REVENUS"/>
    <x v="2"/>
    <s v="4001.002"/>
    <s v="Impôt complément s/revenu PP"/>
    <n v="0"/>
    <n v="34448.85"/>
    <n v="4001"/>
  </r>
  <r>
    <x v="0"/>
    <x v="1"/>
    <x v="1"/>
    <x v="25"/>
    <x v="25"/>
    <x v="25"/>
    <s v="REVENUS"/>
    <x v="3"/>
    <s v="4002.002"/>
    <s v="Impôt complémentaire s/fortune PP"/>
    <n v="0"/>
    <n v="132.1"/>
    <n v="4002"/>
  </r>
  <r>
    <x v="0"/>
    <x v="1"/>
    <x v="1"/>
    <x v="25"/>
    <x v="25"/>
    <x v="25"/>
    <s v="REVENUS"/>
    <x v="2"/>
    <s v="4001.001"/>
    <s v="Impôt revenu"/>
    <n v="0"/>
    <n v="443.35"/>
    <n v="4001"/>
  </r>
  <r>
    <x v="0"/>
    <x v="1"/>
    <x v="1"/>
    <x v="25"/>
    <x v="25"/>
    <x v="25"/>
    <s v="REVENUS"/>
    <x v="3"/>
    <s v="4002.001"/>
    <s v="Impôt ordinaire s/fortune PP"/>
    <n v="0"/>
    <n v="846.9"/>
    <n v="4002"/>
  </r>
  <r>
    <x v="0"/>
    <x v="1"/>
    <x v="1"/>
    <x v="25"/>
    <x v="25"/>
    <x v="25"/>
    <s v="REVENUS"/>
    <x v="6"/>
    <s v="4211.002"/>
    <s v="Intérêts de retard sur acomptes"/>
    <n v="0"/>
    <n v="8.41"/>
    <n v="4211"/>
  </r>
  <r>
    <x v="0"/>
    <x v="1"/>
    <x v="1"/>
    <x v="25"/>
    <x v="25"/>
    <x v="25"/>
    <s v="REVENUS"/>
    <x v="6"/>
    <s v="4221.003"/>
    <s v="Intérêts compensat. / acomptes en faveur du fisc"/>
    <n v="0"/>
    <n v="0.94"/>
    <n v="4221"/>
  </r>
  <r>
    <x v="0"/>
    <x v="1"/>
    <x v="1"/>
    <x v="25"/>
    <x v="25"/>
    <x v="25"/>
    <s v="REVENUS"/>
    <x v="5"/>
    <s v="4061.000"/>
    <s v="Impôt sur les chiens"/>
    <n v="0"/>
    <n v="2200"/>
    <n v="4061"/>
  </r>
  <r>
    <x v="0"/>
    <x v="1"/>
    <x v="1"/>
    <x v="25"/>
    <x v="25"/>
    <x v="25"/>
    <s v="REVENUS"/>
    <x v="9"/>
    <s v="4031.001"/>
    <s v="Impôt sur les gains immobiliers"/>
    <n v="0"/>
    <n v="68319.649999999994"/>
    <n v="4031"/>
  </r>
  <r>
    <x v="0"/>
    <x v="1"/>
    <x v="1"/>
    <x v="25"/>
    <x v="25"/>
    <x v="25"/>
    <s v="REVENUS"/>
    <x v="2"/>
    <s v="4001.001"/>
    <s v="Impôt revenu"/>
    <n v="0"/>
    <n v="71.599999999999994"/>
    <n v="4001"/>
  </r>
  <r>
    <x v="0"/>
    <x v="1"/>
    <x v="1"/>
    <x v="25"/>
    <x v="25"/>
    <x v="25"/>
    <s v="REVENUS"/>
    <x v="3"/>
    <s v="4002.001"/>
    <s v="Impôt ordinaire s/fortune PP"/>
    <n v="0"/>
    <n v="70.2"/>
    <n v="4002"/>
  </r>
  <r>
    <x v="0"/>
    <x v="1"/>
    <x v="1"/>
    <x v="25"/>
    <x v="25"/>
    <x v="25"/>
    <s v="REVENUS"/>
    <x v="6"/>
    <s v="4221.003"/>
    <s v="Intérêts compensat. / acomptes en faveur du fisc"/>
    <n v="0"/>
    <n v="0"/>
    <n v="4221"/>
  </r>
  <r>
    <x v="0"/>
    <x v="1"/>
    <x v="1"/>
    <x v="25"/>
    <x v="25"/>
    <x v="25"/>
    <s v="REVENUS"/>
    <x v="8"/>
    <s v="4091.001"/>
    <s v="Impôt récupéré après défalcations"/>
    <n v="0"/>
    <n v="77.349999999999994"/>
    <n v="4091"/>
  </r>
  <r>
    <x v="0"/>
    <x v="1"/>
    <x v="1"/>
    <x v="25"/>
    <x v="25"/>
    <x v="25"/>
    <s v="REVENUS"/>
    <x v="3"/>
    <s v="4002.001"/>
    <s v="Impôt ordinaire s/fortune PP"/>
    <n v="0"/>
    <n v="19.2"/>
    <n v="4002"/>
  </r>
  <r>
    <x v="0"/>
    <x v="1"/>
    <x v="1"/>
    <x v="25"/>
    <x v="25"/>
    <x v="25"/>
    <s v="REVENUS"/>
    <x v="2"/>
    <s v="4001.001"/>
    <s v="Impôt revenu"/>
    <n v="0"/>
    <n v="-87.35"/>
    <n v="4001"/>
  </r>
  <r>
    <x v="0"/>
    <x v="1"/>
    <x v="1"/>
    <x v="25"/>
    <x v="25"/>
    <x v="25"/>
    <s v="REVENUS"/>
    <x v="3"/>
    <s v="4002.001"/>
    <s v="Impôt ordinaire s/fortune PP"/>
    <n v="0"/>
    <n v="-227.05"/>
    <n v="4002"/>
  </r>
  <r>
    <x v="0"/>
    <x v="1"/>
    <x v="1"/>
    <x v="25"/>
    <x v="25"/>
    <x v="25"/>
    <s v="REVENUS"/>
    <x v="2"/>
    <s v="4001.001"/>
    <s v="Impôt revenu"/>
    <n v="0"/>
    <n v="2090.75"/>
    <n v="4001"/>
  </r>
  <r>
    <x v="0"/>
    <x v="1"/>
    <x v="1"/>
    <x v="25"/>
    <x v="25"/>
    <x v="25"/>
    <s v="REVENUS"/>
    <x v="2"/>
    <s v="4001.002"/>
    <s v="Impôt complément s/revenu PP"/>
    <n v="0"/>
    <n v="808.7"/>
    <n v="4001"/>
  </r>
  <r>
    <x v="0"/>
    <x v="1"/>
    <x v="1"/>
    <x v="25"/>
    <x v="25"/>
    <x v="25"/>
    <s v="REVENUS"/>
    <x v="3"/>
    <s v="4002.002"/>
    <s v="Impôt complémentaire s/fortune PP"/>
    <n v="0"/>
    <n v="2445.1999999999998"/>
    <n v="4002"/>
  </r>
  <r>
    <x v="0"/>
    <x v="1"/>
    <x v="1"/>
    <x v="25"/>
    <x v="25"/>
    <x v="25"/>
    <s v="REVENUS"/>
    <x v="6"/>
    <s v="4211.001"/>
    <s v="Intérêts de retard sur factures"/>
    <n v="0"/>
    <n v="11.56"/>
    <n v="4211"/>
  </r>
  <r>
    <x v="0"/>
    <x v="1"/>
    <x v="1"/>
    <x v="25"/>
    <x v="25"/>
    <x v="25"/>
    <s v="REVENUS"/>
    <x v="3"/>
    <s v="4002.002"/>
    <s v="Impôt complémentaire s/fortune PP"/>
    <n v="0"/>
    <n v="-15.25"/>
    <n v="4002"/>
  </r>
  <r>
    <x v="0"/>
    <x v="1"/>
    <x v="1"/>
    <x v="25"/>
    <x v="25"/>
    <x v="25"/>
    <s v="REVENUS"/>
    <x v="3"/>
    <s v="4002.002"/>
    <s v="Impôt complémentaire s/fortune PP"/>
    <n v="0"/>
    <n v="276.2"/>
    <n v="4002"/>
  </r>
  <r>
    <x v="0"/>
    <x v="1"/>
    <x v="1"/>
    <x v="25"/>
    <x v="25"/>
    <x v="25"/>
    <s v="REVENUS"/>
    <x v="4"/>
    <s v="4051.001"/>
    <s v="Impôt sur les successions"/>
    <n v="0"/>
    <n v="66740.100000000006"/>
    <n v="4051"/>
  </r>
  <r>
    <x v="0"/>
    <x v="1"/>
    <x v="1"/>
    <x v="26"/>
    <x v="26"/>
    <x v="26"/>
    <s v="CHARGES"/>
    <x v="0"/>
    <s v="3212.004"/>
    <s v="Intérêts rémun./perçu trop tôt sur acomptes C/C"/>
    <n v="156.5"/>
    <n v="0"/>
    <n v="3212"/>
  </r>
  <r>
    <x v="0"/>
    <x v="1"/>
    <x v="1"/>
    <x v="26"/>
    <x v="26"/>
    <x v="26"/>
    <s v="CHARGES"/>
    <x v="0"/>
    <s v="3221.002"/>
    <s v="Intérêts compensatoires / créances en faveur ctb."/>
    <n v="91.67"/>
    <n v="0"/>
    <n v="3221"/>
  </r>
  <r>
    <x v="0"/>
    <x v="1"/>
    <x v="1"/>
    <x v="26"/>
    <x v="26"/>
    <x v="26"/>
    <s v="CHARGES"/>
    <x v="0"/>
    <s v="3212.002"/>
    <s v="Intérêts bonifiés/trop perçu acompte C/C"/>
    <n v="19.73"/>
    <n v="0"/>
    <n v="3212"/>
  </r>
  <r>
    <x v="0"/>
    <x v="1"/>
    <x v="1"/>
    <x v="26"/>
    <x v="26"/>
    <x v="26"/>
    <s v="CHARGES"/>
    <x v="1"/>
    <s v="3301.001"/>
    <s v="Défalcations, abandons de solde PP et IS"/>
    <n v="31049.79"/>
    <n v="0"/>
    <n v="3301"/>
  </r>
  <r>
    <x v="0"/>
    <x v="1"/>
    <x v="1"/>
    <x v="26"/>
    <x v="26"/>
    <x v="26"/>
    <s v="CHARGES"/>
    <x v="1"/>
    <s v="3301.001"/>
    <s v="Défalcations, abandons de solde PP et IS"/>
    <n v="-10.43"/>
    <n v="0"/>
    <n v="3301"/>
  </r>
  <r>
    <x v="0"/>
    <x v="1"/>
    <x v="1"/>
    <x v="26"/>
    <x v="26"/>
    <x v="26"/>
    <s v="CHARGES"/>
    <x v="0"/>
    <s v="3212.002"/>
    <s v="Intérêts bonifiés/trop perçu acompte C/C"/>
    <n v="-1.4"/>
    <n v="0"/>
    <n v="3212"/>
  </r>
  <r>
    <x v="0"/>
    <x v="1"/>
    <x v="1"/>
    <x v="26"/>
    <x v="26"/>
    <x v="26"/>
    <s v="CHARGES"/>
    <x v="0"/>
    <s v="3221.002"/>
    <s v="Intérêts compensatoires / créances en faveur ctb."/>
    <n v="0.16"/>
    <n v="0"/>
    <n v="3221"/>
  </r>
  <r>
    <x v="0"/>
    <x v="1"/>
    <x v="1"/>
    <x v="26"/>
    <x v="26"/>
    <x v="26"/>
    <s v="CHARGES"/>
    <x v="0"/>
    <s v="3212.004"/>
    <s v="Intérêts rémun./perçu trop tôt sur acomptes C/C"/>
    <n v="3.42"/>
    <n v="0"/>
    <n v="3212"/>
  </r>
  <r>
    <x v="0"/>
    <x v="1"/>
    <x v="1"/>
    <x v="26"/>
    <x v="26"/>
    <x v="26"/>
    <s v="CHARGES"/>
    <x v="0"/>
    <s v="3221.002"/>
    <s v="Intérêts compensatoires / créances en faveur ctb."/>
    <n v="5.71"/>
    <n v="0"/>
    <n v="3221"/>
  </r>
  <r>
    <x v="0"/>
    <x v="1"/>
    <x v="1"/>
    <x v="26"/>
    <x v="26"/>
    <x v="26"/>
    <s v="CHARGES"/>
    <x v="0"/>
    <s v="3212.004"/>
    <s v="Intérêts rémun./perçu trop tôt sur acomptes C/C"/>
    <n v="0.81"/>
    <n v="0"/>
    <n v="3212"/>
  </r>
  <r>
    <x v="0"/>
    <x v="1"/>
    <x v="1"/>
    <x v="26"/>
    <x v="26"/>
    <x v="26"/>
    <s v="CHARGES"/>
    <x v="0"/>
    <s v="3212.004"/>
    <s v="Intérêts rémun./perçu trop tôt sur acomptes C/C"/>
    <n v="0.03"/>
    <n v="0"/>
    <n v="3212"/>
  </r>
  <r>
    <x v="0"/>
    <x v="1"/>
    <x v="1"/>
    <x v="26"/>
    <x v="26"/>
    <x v="26"/>
    <s v="CHARGES"/>
    <x v="0"/>
    <s v="3221.002"/>
    <s v="Intérêts compensatoires / créances en faveur ctb."/>
    <n v="0.04"/>
    <n v="0"/>
    <n v="3221"/>
  </r>
  <r>
    <x v="0"/>
    <x v="1"/>
    <x v="1"/>
    <x v="26"/>
    <x v="26"/>
    <x v="26"/>
    <s v="CHARGES"/>
    <x v="0"/>
    <s v="3212.004"/>
    <s v="Intérêts rémun./perçu trop tôt sur acomptes C/C"/>
    <n v="-9.2200000000000006"/>
    <n v="0"/>
    <n v="3212"/>
  </r>
  <r>
    <x v="0"/>
    <x v="1"/>
    <x v="1"/>
    <x v="26"/>
    <x v="26"/>
    <x v="26"/>
    <s v="CHARGES"/>
    <x v="0"/>
    <s v="3221.002"/>
    <s v="Intérêts compensatoires / créances en faveur ctb."/>
    <n v="-9.9600000000000009"/>
    <n v="0"/>
    <n v="3221"/>
  </r>
  <r>
    <x v="0"/>
    <x v="1"/>
    <x v="1"/>
    <x v="26"/>
    <x v="26"/>
    <x v="26"/>
    <s v="CHARGES"/>
    <x v="0"/>
    <s v="3212.002"/>
    <s v="Intérêts bonifiés/trop perçu acompte C/C"/>
    <n v="-2.8"/>
    <n v="0"/>
    <n v="3212"/>
  </r>
  <r>
    <x v="0"/>
    <x v="1"/>
    <x v="1"/>
    <x v="26"/>
    <x v="26"/>
    <x v="26"/>
    <s v="CHARGES"/>
    <x v="0"/>
    <s v="3212.004"/>
    <s v="Intérêts rémun./perçu trop tôt sur acomptes C/C"/>
    <n v="-2.21"/>
    <n v="0"/>
    <n v="3212"/>
  </r>
  <r>
    <x v="0"/>
    <x v="1"/>
    <x v="1"/>
    <x v="26"/>
    <x v="26"/>
    <x v="26"/>
    <s v="REVENUS"/>
    <x v="6"/>
    <s v="4211.001"/>
    <s v="Intérêts de retard sur factures"/>
    <n v="0"/>
    <n v="4350.3999999999996"/>
    <n v="4211"/>
  </r>
  <r>
    <x v="0"/>
    <x v="1"/>
    <x v="1"/>
    <x v="26"/>
    <x v="26"/>
    <x v="26"/>
    <s v="REVENUS"/>
    <x v="2"/>
    <s v="4001.007"/>
    <s v="Acompte impôt sur revenu"/>
    <n v="0"/>
    <n v="201067.16"/>
    <n v="4001"/>
  </r>
  <r>
    <x v="0"/>
    <x v="1"/>
    <x v="1"/>
    <x v="26"/>
    <x v="26"/>
    <x v="26"/>
    <s v="REVENUS"/>
    <x v="2"/>
    <s v="4001.007"/>
    <s v="Acompte impôt sur revenu"/>
    <n v="0"/>
    <n v="-194126.39"/>
    <n v="4001"/>
  </r>
  <r>
    <x v="0"/>
    <x v="1"/>
    <x v="1"/>
    <x v="26"/>
    <x v="26"/>
    <x v="26"/>
    <s v="REVENUS"/>
    <x v="3"/>
    <s v="4002.007"/>
    <s v="Acompte impôt sur fortune"/>
    <n v="0"/>
    <n v="-15051.41"/>
    <n v="4002"/>
  </r>
  <r>
    <x v="0"/>
    <x v="1"/>
    <x v="1"/>
    <x v="26"/>
    <x v="26"/>
    <x v="26"/>
    <s v="REVENUS"/>
    <x v="2"/>
    <s v="4001.001"/>
    <s v="Impôt revenu"/>
    <n v="0"/>
    <n v="894426.95"/>
    <n v="4001"/>
  </r>
  <r>
    <x v="0"/>
    <x v="1"/>
    <x v="1"/>
    <x v="26"/>
    <x v="26"/>
    <x v="26"/>
    <s v="REVENUS"/>
    <x v="3"/>
    <s v="4002.001"/>
    <s v="Impôt ordinaire s/fortune PP"/>
    <n v="0"/>
    <n v="57630.45"/>
    <n v="4002"/>
  </r>
  <r>
    <x v="0"/>
    <x v="1"/>
    <x v="1"/>
    <x v="26"/>
    <x v="26"/>
    <x v="26"/>
    <s v="REVENUS"/>
    <x v="3"/>
    <s v="4002.007"/>
    <s v="Acompte impôt sur fortune"/>
    <n v="0"/>
    <n v="36041.06"/>
    <n v="4002"/>
  </r>
  <r>
    <x v="0"/>
    <x v="1"/>
    <x v="1"/>
    <x v="26"/>
    <x v="26"/>
    <x v="26"/>
    <s v="REVENUS"/>
    <x v="2"/>
    <s v="4001.001"/>
    <s v="Impôt revenu"/>
    <n v="0"/>
    <n v="-120752.6"/>
    <n v="4001"/>
  </r>
  <r>
    <x v="0"/>
    <x v="1"/>
    <x v="1"/>
    <x v="26"/>
    <x v="26"/>
    <x v="26"/>
    <s v="REVENUS"/>
    <x v="2"/>
    <s v="4001.002"/>
    <s v="Impôt complément s/revenu PP"/>
    <n v="0"/>
    <n v="-3098.9"/>
    <n v="4001"/>
  </r>
  <r>
    <x v="0"/>
    <x v="1"/>
    <x v="1"/>
    <x v="26"/>
    <x v="26"/>
    <x v="26"/>
    <s v="REVENUS"/>
    <x v="3"/>
    <s v="4002.001"/>
    <s v="Impôt ordinaire s/fortune PP"/>
    <n v="0"/>
    <n v="-1839.4"/>
    <n v="4002"/>
  </r>
  <r>
    <x v="0"/>
    <x v="1"/>
    <x v="1"/>
    <x v="26"/>
    <x v="26"/>
    <x v="26"/>
    <s v="REVENUS"/>
    <x v="3"/>
    <s v="4002.002"/>
    <s v="Impôt complémentaire s/fortune PP"/>
    <n v="0"/>
    <n v="-177.05"/>
    <n v="4002"/>
  </r>
  <r>
    <x v="0"/>
    <x v="1"/>
    <x v="1"/>
    <x v="26"/>
    <x v="26"/>
    <x v="26"/>
    <s v="REVENUS"/>
    <x v="2"/>
    <s v="4001.002"/>
    <s v="Impôt complément s/revenu PP"/>
    <n v="0"/>
    <n v="320934.05"/>
    <n v="4001"/>
  </r>
  <r>
    <x v="0"/>
    <x v="1"/>
    <x v="1"/>
    <x v="26"/>
    <x v="26"/>
    <x v="26"/>
    <s v="REVENUS"/>
    <x v="3"/>
    <s v="4002.002"/>
    <s v="Impôt complémentaire s/fortune PP"/>
    <n v="0"/>
    <n v="15335.75"/>
    <n v="4002"/>
  </r>
  <r>
    <x v="0"/>
    <x v="1"/>
    <x v="1"/>
    <x v="26"/>
    <x v="26"/>
    <x v="26"/>
    <s v="REVENUS"/>
    <x v="7"/>
    <s v="4184.000"/>
    <s v="Frais de poursuite"/>
    <n v="0"/>
    <n v="1203.49"/>
    <n v="4184"/>
  </r>
  <r>
    <x v="0"/>
    <x v="1"/>
    <x v="1"/>
    <x v="26"/>
    <x v="26"/>
    <x v="26"/>
    <s v="REVENUS"/>
    <x v="6"/>
    <s v="4211.002"/>
    <s v="Intérêts de retard sur acomptes"/>
    <n v="0"/>
    <n v="8141.68"/>
    <n v="4211"/>
  </r>
  <r>
    <x v="0"/>
    <x v="1"/>
    <x v="1"/>
    <x v="26"/>
    <x v="26"/>
    <x v="26"/>
    <s v="REVENUS"/>
    <x v="6"/>
    <s v="4221.003"/>
    <s v="Intérêts compensat. / acomptes en faveur du fisc"/>
    <n v="0"/>
    <n v="8.9600000000000009"/>
    <n v="4221"/>
  </r>
  <r>
    <x v="0"/>
    <x v="1"/>
    <x v="1"/>
    <x v="26"/>
    <x v="26"/>
    <x v="26"/>
    <s v="REVENUS"/>
    <x v="2"/>
    <s v="4001.001"/>
    <s v="Impôt revenu"/>
    <n v="0"/>
    <n v="-87467.85"/>
    <n v="4001"/>
  </r>
  <r>
    <x v="0"/>
    <x v="1"/>
    <x v="1"/>
    <x v="26"/>
    <x v="26"/>
    <x v="26"/>
    <s v="REVENUS"/>
    <x v="3"/>
    <s v="4002.001"/>
    <s v="Impôt ordinaire s/fortune PP"/>
    <n v="0"/>
    <n v="-676.55"/>
    <n v="4002"/>
  </r>
  <r>
    <x v="0"/>
    <x v="1"/>
    <x v="1"/>
    <x v="26"/>
    <x v="26"/>
    <x v="26"/>
    <s v="REVENUS"/>
    <x v="6"/>
    <s v="4211.002"/>
    <s v="Intérêts de retard sur acomptes"/>
    <n v="0"/>
    <n v="-180.65"/>
    <n v="4211"/>
  </r>
  <r>
    <x v="0"/>
    <x v="1"/>
    <x v="1"/>
    <x v="26"/>
    <x v="26"/>
    <x v="26"/>
    <s v="REVENUS"/>
    <x v="6"/>
    <s v="4221.003"/>
    <s v="Intérêts compensat. / acomptes en faveur du fisc"/>
    <n v="0"/>
    <n v="-7.34"/>
    <n v="4221"/>
  </r>
  <r>
    <x v="0"/>
    <x v="1"/>
    <x v="1"/>
    <x v="26"/>
    <x v="26"/>
    <x v="26"/>
    <s v="REVENUS"/>
    <x v="9"/>
    <s v="4031.001"/>
    <s v="Impôt sur les gains immobiliers"/>
    <n v="0"/>
    <n v="55601.4"/>
    <n v="4031"/>
  </r>
  <r>
    <x v="0"/>
    <x v="1"/>
    <x v="1"/>
    <x v="26"/>
    <x v="26"/>
    <x v="26"/>
    <s v="REVENUS"/>
    <x v="2"/>
    <s v="4001.003"/>
    <s v="Impôt s/prest. cap. PP"/>
    <n v="0"/>
    <n v="26021.85"/>
    <n v="4001"/>
  </r>
  <r>
    <x v="0"/>
    <x v="1"/>
    <x v="1"/>
    <x v="26"/>
    <x v="26"/>
    <x v="26"/>
    <s v="REVENUS"/>
    <x v="6"/>
    <s v="4221.002"/>
    <s v="Intérêts compensat. sur impôts distincts"/>
    <n v="0"/>
    <n v="23.08"/>
    <n v="4221"/>
  </r>
  <r>
    <x v="0"/>
    <x v="1"/>
    <x v="1"/>
    <x v="26"/>
    <x v="26"/>
    <x v="26"/>
    <s v="REVENUS"/>
    <x v="2"/>
    <s v="4001.007"/>
    <s v="Acompte impôt sur revenu"/>
    <n v="0"/>
    <n v="-14968.35"/>
    <n v="4001"/>
  </r>
  <r>
    <x v="0"/>
    <x v="1"/>
    <x v="1"/>
    <x v="26"/>
    <x v="26"/>
    <x v="26"/>
    <s v="REVENUS"/>
    <x v="3"/>
    <s v="4002.007"/>
    <s v="Acompte impôt sur fortune"/>
    <n v="0"/>
    <n v="-2060.65"/>
    <n v="4002"/>
  </r>
  <r>
    <x v="0"/>
    <x v="1"/>
    <x v="1"/>
    <x v="26"/>
    <x v="26"/>
    <x v="26"/>
    <s v="REVENUS"/>
    <x v="3"/>
    <s v="4002.007"/>
    <s v="Acompte impôt sur fortune"/>
    <n v="0"/>
    <n v="-310.2"/>
    <n v="4002"/>
  </r>
  <r>
    <x v="0"/>
    <x v="1"/>
    <x v="1"/>
    <x v="26"/>
    <x v="26"/>
    <x v="26"/>
    <s v="REVENUS"/>
    <x v="9"/>
    <s v="4031.002"/>
    <s v="Complément impôt sur les gains immobiliers"/>
    <n v="0"/>
    <n v="3503.9"/>
    <n v="4031"/>
  </r>
  <r>
    <x v="0"/>
    <x v="1"/>
    <x v="1"/>
    <x v="26"/>
    <x v="26"/>
    <x v="26"/>
    <s v="REVENUS"/>
    <x v="2"/>
    <s v="4001.007"/>
    <s v="Acompte impôt sur revenu"/>
    <n v="0"/>
    <n v="-1648.35"/>
    <n v="4001"/>
  </r>
  <r>
    <x v="0"/>
    <x v="1"/>
    <x v="1"/>
    <x v="26"/>
    <x v="26"/>
    <x v="26"/>
    <s v="REVENUS"/>
    <x v="9"/>
    <s v="4031.001"/>
    <s v="Impôt sur les gains immobiliers"/>
    <n v="0"/>
    <n v="-6006.65"/>
    <n v="4031"/>
  </r>
  <r>
    <x v="0"/>
    <x v="1"/>
    <x v="1"/>
    <x v="26"/>
    <x v="26"/>
    <x v="26"/>
    <s v="REVENUS"/>
    <x v="2"/>
    <s v="4001.001"/>
    <s v="Impôt revenu"/>
    <n v="0"/>
    <n v="14185.6"/>
    <n v="4001"/>
  </r>
  <r>
    <x v="0"/>
    <x v="1"/>
    <x v="1"/>
    <x v="26"/>
    <x v="26"/>
    <x v="26"/>
    <s v="REVENUS"/>
    <x v="3"/>
    <s v="4002.001"/>
    <s v="Impôt ordinaire s/fortune PP"/>
    <n v="0"/>
    <n v="6316.45"/>
    <n v="4002"/>
  </r>
  <r>
    <x v="0"/>
    <x v="1"/>
    <x v="1"/>
    <x v="26"/>
    <x v="26"/>
    <x v="26"/>
    <s v="REVENUS"/>
    <x v="6"/>
    <s v="4211.002"/>
    <s v="Intérêts de retard sur acomptes"/>
    <n v="0"/>
    <n v="3.16"/>
    <n v="4211"/>
  </r>
  <r>
    <x v="0"/>
    <x v="1"/>
    <x v="1"/>
    <x v="26"/>
    <x v="26"/>
    <x v="26"/>
    <s v="REVENUS"/>
    <x v="7"/>
    <s v="4184.000"/>
    <s v="Frais de poursuite"/>
    <n v="0"/>
    <n v="3.06"/>
    <n v="4184"/>
  </r>
  <r>
    <x v="0"/>
    <x v="1"/>
    <x v="1"/>
    <x v="26"/>
    <x v="26"/>
    <x v="26"/>
    <s v="REVENUS"/>
    <x v="2"/>
    <s v="4001.003"/>
    <s v="Impôt s/prest. cap. PP"/>
    <n v="0"/>
    <n v="-4254.3"/>
    <n v="4001"/>
  </r>
  <r>
    <x v="0"/>
    <x v="1"/>
    <x v="1"/>
    <x v="26"/>
    <x v="26"/>
    <x v="26"/>
    <s v="REVENUS"/>
    <x v="3"/>
    <s v="4002.001"/>
    <s v="Impôt ordinaire s/fortune PP"/>
    <n v="0"/>
    <n v="348.65"/>
    <n v="4002"/>
  </r>
  <r>
    <x v="0"/>
    <x v="1"/>
    <x v="1"/>
    <x v="26"/>
    <x v="26"/>
    <x v="26"/>
    <s v="REVENUS"/>
    <x v="2"/>
    <s v="4001.001"/>
    <s v="Impôt revenu"/>
    <n v="0"/>
    <n v="6157.2"/>
    <n v="4001"/>
  </r>
  <r>
    <x v="0"/>
    <x v="1"/>
    <x v="1"/>
    <x v="26"/>
    <x v="26"/>
    <x v="26"/>
    <s v="REVENUS"/>
    <x v="3"/>
    <s v="4002.001"/>
    <s v="Impôt ordinaire s/fortune PP"/>
    <n v="0"/>
    <n v="2306.25"/>
    <n v="4002"/>
  </r>
  <r>
    <x v="0"/>
    <x v="1"/>
    <x v="1"/>
    <x v="26"/>
    <x v="26"/>
    <x v="26"/>
    <s v="REVENUS"/>
    <x v="3"/>
    <s v="4002.002"/>
    <s v="Impôt complémentaire s/fortune PP"/>
    <n v="0"/>
    <n v="45.75"/>
    <n v="4002"/>
  </r>
  <r>
    <x v="0"/>
    <x v="1"/>
    <x v="1"/>
    <x v="26"/>
    <x v="26"/>
    <x v="26"/>
    <s v="REVENUS"/>
    <x v="6"/>
    <s v="4211.001"/>
    <s v="Intérêts de retard sur factures"/>
    <n v="0"/>
    <n v="0.38"/>
    <n v="4211"/>
  </r>
  <r>
    <x v="0"/>
    <x v="1"/>
    <x v="1"/>
    <x v="26"/>
    <x v="26"/>
    <x v="26"/>
    <s v="REVENUS"/>
    <x v="6"/>
    <s v="4211.002"/>
    <s v="Intérêts de retard sur acomptes"/>
    <n v="0"/>
    <n v="0.2"/>
    <n v="4211"/>
  </r>
  <r>
    <x v="0"/>
    <x v="1"/>
    <x v="1"/>
    <x v="26"/>
    <x v="26"/>
    <x v="26"/>
    <s v="REVENUS"/>
    <x v="6"/>
    <s v="4221.003"/>
    <s v="Intérêts compensat. / acomptes en faveur du fisc"/>
    <n v="0"/>
    <n v="-0.11"/>
    <n v="4221"/>
  </r>
  <r>
    <x v="0"/>
    <x v="1"/>
    <x v="1"/>
    <x v="26"/>
    <x v="26"/>
    <x v="26"/>
    <s v="REVENUS"/>
    <x v="2"/>
    <s v="4001.007"/>
    <s v="Acompte impôt sur revenu"/>
    <n v="0"/>
    <n v="-299.62"/>
    <n v="4001"/>
  </r>
  <r>
    <x v="0"/>
    <x v="1"/>
    <x v="1"/>
    <x v="26"/>
    <x v="26"/>
    <x v="26"/>
    <s v="REVENUS"/>
    <x v="3"/>
    <s v="4002.007"/>
    <s v="Acompte impôt sur fortune"/>
    <n v="0"/>
    <n v="-448.25"/>
    <n v="4002"/>
  </r>
  <r>
    <x v="0"/>
    <x v="1"/>
    <x v="1"/>
    <x v="26"/>
    <x v="26"/>
    <x v="26"/>
    <s v="REVENUS"/>
    <x v="6"/>
    <s v="4211.002"/>
    <s v="Intérêts de retard sur acomptes"/>
    <n v="0"/>
    <n v="0.2"/>
    <n v="4211"/>
  </r>
  <r>
    <x v="0"/>
    <x v="1"/>
    <x v="1"/>
    <x v="26"/>
    <x v="26"/>
    <x v="26"/>
    <s v="REVENUS"/>
    <x v="6"/>
    <s v="4211.002"/>
    <s v="Intérêts de retard sur acomptes"/>
    <n v="0"/>
    <n v="-0.05"/>
    <n v="4211"/>
  </r>
  <r>
    <x v="0"/>
    <x v="1"/>
    <x v="1"/>
    <x v="26"/>
    <x v="26"/>
    <x v="26"/>
    <s v="REVENUS"/>
    <x v="6"/>
    <s v="4211.001"/>
    <s v="Intérêts de retard sur factures"/>
    <n v="0"/>
    <n v="-0.92"/>
    <n v="4211"/>
  </r>
  <r>
    <x v="0"/>
    <x v="1"/>
    <x v="1"/>
    <x v="26"/>
    <x v="26"/>
    <x v="26"/>
    <s v="REVENUS"/>
    <x v="2"/>
    <s v="4001.007"/>
    <s v="Acompte impôt sur revenu"/>
    <n v="0"/>
    <n v="-252.75"/>
    <n v="4001"/>
  </r>
  <r>
    <x v="0"/>
    <x v="1"/>
    <x v="1"/>
    <x v="26"/>
    <x v="26"/>
    <x v="26"/>
    <s v="REVENUS"/>
    <x v="2"/>
    <s v="4001.002"/>
    <s v="Impôt complément s/revenu PP"/>
    <n v="0"/>
    <n v="-6488.8"/>
    <n v="4001"/>
  </r>
  <r>
    <x v="0"/>
    <x v="1"/>
    <x v="1"/>
    <x v="26"/>
    <x v="26"/>
    <x v="26"/>
    <s v="REVENUS"/>
    <x v="6"/>
    <s v="4211.001"/>
    <s v="Intérêts de retard sur factures"/>
    <n v="0"/>
    <n v="0.02"/>
    <n v="4211"/>
  </r>
  <r>
    <x v="0"/>
    <x v="2"/>
    <x v="2"/>
    <x v="27"/>
    <x v="27"/>
    <x v="27"/>
    <s v="CHARGES"/>
    <x v="0"/>
    <s v="3212.002"/>
    <s v="Intérêts bonifiés/trop perçu acompte C/C"/>
    <n v="14.35"/>
    <n v="0"/>
    <n v="3212"/>
  </r>
  <r>
    <x v="0"/>
    <x v="2"/>
    <x v="2"/>
    <x v="27"/>
    <x v="27"/>
    <x v="27"/>
    <s v="CHARGES"/>
    <x v="1"/>
    <s v="3301.001"/>
    <s v="Défalcations, abandons de solde PP et IS"/>
    <n v="18.489999999999998"/>
    <n v="0"/>
    <n v="3301"/>
  </r>
  <r>
    <x v="0"/>
    <x v="2"/>
    <x v="2"/>
    <x v="27"/>
    <x v="27"/>
    <x v="27"/>
    <s v="REVENUS"/>
    <x v="9"/>
    <s v="4031.001"/>
    <s v="Impôt sur les gains immobiliers"/>
    <n v="0"/>
    <n v="102197.45"/>
    <n v="4031"/>
  </r>
  <r>
    <x v="0"/>
    <x v="2"/>
    <x v="2"/>
    <x v="27"/>
    <x v="27"/>
    <x v="27"/>
    <s v="REVENUS"/>
    <x v="6"/>
    <s v="4221.002"/>
    <s v="Intérêts compensat. sur impôts distincts"/>
    <n v="0"/>
    <n v="18.47"/>
    <n v="4221"/>
  </r>
  <r>
    <x v="0"/>
    <x v="2"/>
    <x v="2"/>
    <x v="27"/>
    <x v="27"/>
    <x v="27"/>
    <s v="REVENUS"/>
    <x v="6"/>
    <s v="4211.001"/>
    <s v="Intérêts de retard sur factures"/>
    <n v="0"/>
    <n v="42.77"/>
    <n v="4211"/>
  </r>
  <r>
    <x v="0"/>
    <x v="1"/>
    <x v="1"/>
    <x v="28"/>
    <x v="28"/>
    <x v="28"/>
    <s v="CHARGES"/>
    <x v="1"/>
    <s v="3301.001"/>
    <s v="Défalcations, abandons de solde PP et IS"/>
    <n v="24379.8"/>
    <n v="0"/>
    <n v="3301"/>
  </r>
  <r>
    <x v="0"/>
    <x v="1"/>
    <x v="1"/>
    <x v="28"/>
    <x v="28"/>
    <x v="28"/>
    <s v="CHARGES"/>
    <x v="0"/>
    <s v="3212.004"/>
    <s v="Intérêts rémun./perçu trop tôt sur acomptes C/C"/>
    <n v="205.29"/>
    <n v="0"/>
    <n v="3212"/>
  </r>
  <r>
    <x v="0"/>
    <x v="1"/>
    <x v="1"/>
    <x v="28"/>
    <x v="28"/>
    <x v="28"/>
    <s v="CHARGES"/>
    <x v="0"/>
    <s v="3221.002"/>
    <s v="Intérêts compensatoires / créances en faveur ctb."/>
    <n v="13.33"/>
    <n v="0"/>
    <n v="3221"/>
  </r>
  <r>
    <x v="0"/>
    <x v="1"/>
    <x v="1"/>
    <x v="28"/>
    <x v="28"/>
    <x v="28"/>
    <s v="CHARGES"/>
    <x v="0"/>
    <s v="3212.002"/>
    <s v="Intérêts bonifiés/trop perçu acompte C/C"/>
    <n v="-10.27"/>
    <n v="0"/>
    <n v="3212"/>
  </r>
  <r>
    <x v="0"/>
    <x v="1"/>
    <x v="1"/>
    <x v="28"/>
    <x v="28"/>
    <x v="28"/>
    <s v="CHARGES"/>
    <x v="0"/>
    <s v="3212.004"/>
    <s v="Intérêts rémun./perçu trop tôt sur acomptes C/C"/>
    <n v="0.35"/>
    <n v="0"/>
    <n v="3212"/>
  </r>
  <r>
    <x v="0"/>
    <x v="1"/>
    <x v="1"/>
    <x v="28"/>
    <x v="28"/>
    <x v="28"/>
    <s v="CHARGES"/>
    <x v="0"/>
    <s v="3221.002"/>
    <s v="Intérêts compensatoires / créances en faveur ctb."/>
    <n v="0.53"/>
    <n v="0"/>
    <n v="3221"/>
  </r>
  <r>
    <x v="0"/>
    <x v="1"/>
    <x v="1"/>
    <x v="28"/>
    <x v="28"/>
    <x v="28"/>
    <s v="CHARGES"/>
    <x v="0"/>
    <s v="3212.004"/>
    <s v="Intérêts rémun./perçu trop tôt sur acomptes C/C"/>
    <n v="-1.39"/>
    <n v="0"/>
    <n v="3212"/>
  </r>
  <r>
    <x v="0"/>
    <x v="1"/>
    <x v="1"/>
    <x v="28"/>
    <x v="28"/>
    <x v="28"/>
    <s v="CHARGES"/>
    <x v="0"/>
    <s v="3221.002"/>
    <s v="Intérêts compensatoires / créances en faveur ctb."/>
    <n v="1.24"/>
    <n v="0"/>
    <n v="3221"/>
  </r>
  <r>
    <x v="0"/>
    <x v="1"/>
    <x v="1"/>
    <x v="28"/>
    <x v="28"/>
    <x v="28"/>
    <s v="CHARGES"/>
    <x v="1"/>
    <s v="3301.001"/>
    <s v="Défalcations, abandons de solde PP et IS"/>
    <n v="-10.53"/>
    <n v="0"/>
    <n v="3301"/>
  </r>
  <r>
    <x v="0"/>
    <x v="1"/>
    <x v="1"/>
    <x v="28"/>
    <x v="28"/>
    <x v="28"/>
    <s v="CHARGES"/>
    <x v="0"/>
    <s v="3212.004"/>
    <s v="Intérêts rémun./perçu trop tôt sur acomptes C/C"/>
    <n v="-0.82"/>
    <n v="0"/>
    <n v="3212"/>
  </r>
  <r>
    <x v="0"/>
    <x v="1"/>
    <x v="1"/>
    <x v="28"/>
    <x v="28"/>
    <x v="28"/>
    <s v="CHARGES"/>
    <x v="0"/>
    <s v="3221.002"/>
    <s v="Intérêts compensatoires / créances en faveur ctb."/>
    <n v="-0.21"/>
    <n v="0"/>
    <n v="3221"/>
  </r>
  <r>
    <x v="0"/>
    <x v="1"/>
    <x v="1"/>
    <x v="28"/>
    <x v="28"/>
    <x v="28"/>
    <s v="CHARGES"/>
    <x v="1"/>
    <s v="3301.001"/>
    <s v="Défalcations, abandons de solde PP et IS"/>
    <n v="-0.01"/>
    <n v="0"/>
    <n v="3301"/>
  </r>
  <r>
    <x v="0"/>
    <x v="1"/>
    <x v="1"/>
    <x v="28"/>
    <x v="28"/>
    <x v="28"/>
    <s v="CHARGES"/>
    <x v="1"/>
    <s v="3301.003"/>
    <s v="Remises PP et IS"/>
    <n v="4314.51"/>
    <n v="0"/>
    <n v="3301"/>
  </r>
  <r>
    <x v="0"/>
    <x v="1"/>
    <x v="1"/>
    <x v="28"/>
    <x v="28"/>
    <x v="28"/>
    <s v="CHARGES"/>
    <x v="1"/>
    <s v="3301.001"/>
    <s v="Défalcations, abandons de solde PP et IS"/>
    <n v="0.06"/>
    <n v="0"/>
    <n v="3301"/>
  </r>
  <r>
    <x v="0"/>
    <x v="1"/>
    <x v="1"/>
    <x v="28"/>
    <x v="28"/>
    <x v="28"/>
    <s v="CHARGES"/>
    <x v="0"/>
    <s v="3212.004"/>
    <s v="Intérêts rémun./perçu trop tôt sur acomptes C/C"/>
    <n v="0.38"/>
    <n v="0"/>
    <n v="3212"/>
  </r>
  <r>
    <x v="0"/>
    <x v="1"/>
    <x v="1"/>
    <x v="28"/>
    <x v="28"/>
    <x v="28"/>
    <s v="CHARGES"/>
    <x v="0"/>
    <s v="3212.004"/>
    <s v="Intérêts rémun./perçu trop tôt sur acomptes C/C"/>
    <n v="0.01"/>
    <n v="0"/>
    <n v="3212"/>
  </r>
  <r>
    <x v="0"/>
    <x v="1"/>
    <x v="1"/>
    <x v="28"/>
    <x v="28"/>
    <x v="28"/>
    <s v="CHARGES"/>
    <x v="0"/>
    <s v="3221.002"/>
    <s v="Intérêts compensatoires / créances en faveur ctb."/>
    <n v="0.01"/>
    <n v="0"/>
    <n v="3221"/>
  </r>
  <r>
    <x v="0"/>
    <x v="1"/>
    <x v="1"/>
    <x v="28"/>
    <x v="28"/>
    <x v="28"/>
    <s v="CHARGES"/>
    <x v="1"/>
    <s v="3301.001"/>
    <s v="Défalcations, abandons de solde PP et IS"/>
    <n v="76.12"/>
    <n v="0"/>
    <n v="3301"/>
  </r>
  <r>
    <x v="0"/>
    <x v="1"/>
    <x v="1"/>
    <x v="28"/>
    <x v="28"/>
    <x v="28"/>
    <s v="CHARGES"/>
    <x v="0"/>
    <s v="3212.002"/>
    <s v="Intérêts bonifiés/trop perçu acompte C/C"/>
    <n v="-0.03"/>
    <n v="0"/>
    <n v="3212"/>
  </r>
  <r>
    <x v="0"/>
    <x v="1"/>
    <x v="1"/>
    <x v="28"/>
    <x v="28"/>
    <x v="28"/>
    <s v="CHARGES"/>
    <x v="0"/>
    <s v="3212.002"/>
    <s v="Intérêts bonifiés/trop perçu acompte C/C"/>
    <n v="-0.76"/>
    <n v="0"/>
    <n v="3212"/>
  </r>
  <r>
    <x v="0"/>
    <x v="1"/>
    <x v="1"/>
    <x v="28"/>
    <x v="28"/>
    <x v="28"/>
    <s v="CHARGES"/>
    <x v="0"/>
    <s v="3221.002"/>
    <s v="Intérêts compensatoires / créances en faveur ctb."/>
    <n v="0.06"/>
    <n v="0"/>
    <n v="3221"/>
  </r>
  <r>
    <x v="0"/>
    <x v="1"/>
    <x v="1"/>
    <x v="28"/>
    <x v="28"/>
    <x v="28"/>
    <s v="REVENUS"/>
    <x v="2"/>
    <s v="4001.007"/>
    <s v="Acompte impôt sur revenu"/>
    <n v="0"/>
    <n v="263453.78999999998"/>
    <n v="4001"/>
  </r>
  <r>
    <x v="0"/>
    <x v="1"/>
    <x v="1"/>
    <x v="28"/>
    <x v="28"/>
    <x v="28"/>
    <s v="REVENUS"/>
    <x v="3"/>
    <s v="4002.007"/>
    <s v="Acompte impôt sur fortune"/>
    <n v="0"/>
    <n v="55995.15"/>
    <n v="4002"/>
  </r>
  <r>
    <x v="0"/>
    <x v="1"/>
    <x v="1"/>
    <x v="28"/>
    <x v="28"/>
    <x v="28"/>
    <s v="REVENUS"/>
    <x v="6"/>
    <s v="4211.001"/>
    <s v="Intérêts de retard sur factures"/>
    <n v="0"/>
    <n v="12643.4"/>
    <n v="4211"/>
  </r>
  <r>
    <x v="0"/>
    <x v="1"/>
    <x v="1"/>
    <x v="28"/>
    <x v="28"/>
    <x v="28"/>
    <s v="REVENUS"/>
    <x v="2"/>
    <s v="4001.007"/>
    <s v="Acompte impôt sur revenu"/>
    <n v="0"/>
    <n v="-208036.4"/>
    <n v="4001"/>
  </r>
  <r>
    <x v="0"/>
    <x v="1"/>
    <x v="1"/>
    <x v="28"/>
    <x v="28"/>
    <x v="28"/>
    <s v="REVENUS"/>
    <x v="3"/>
    <s v="4002.007"/>
    <s v="Acompte impôt sur fortune"/>
    <n v="0"/>
    <n v="-37714.449999999997"/>
    <n v="4002"/>
  </r>
  <r>
    <x v="0"/>
    <x v="1"/>
    <x v="1"/>
    <x v="28"/>
    <x v="28"/>
    <x v="28"/>
    <s v="REVENUS"/>
    <x v="2"/>
    <s v="4001.001"/>
    <s v="Impôt revenu"/>
    <n v="0"/>
    <n v="1272319.2"/>
    <n v="4001"/>
  </r>
  <r>
    <x v="0"/>
    <x v="1"/>
    <x v="1"/>
    <x v="28"/>
    <x v="28"/>
    <x v="28"/>
    <s v="REVENUS"/>
    <x v="3"/>
    <s v="4002.001"/>
    <s v="Impôt ordinaire s/fortune PP"/>
    <n v="0"/>
    <n v="145197.6"/>
    <n v="4002"/>
  </r>
  <r>
    <x v="0"/>
    <x v="1"/>
    <x v="1"/>
    <x v="28"/>
    <x v="28"/>
    <x v="28"/>
    <s v="REVENUS"/>
    <x v="6"/>
    <s v="4211.002"/>
    <s v="Intérêts de retard sur acomptes"/>
    <n v="0"/>
    <n v="7189.58"/>
    <n v="4211"/>
  </r>
  <r>
    <x v="0"/>
    <x v="1"/>
    <x v="1"/>
    <x v="28"/>
    <x v="28"/>
    <x v="28"/>
    <s v="REVENUS"/>
    <x v="6"/>
    <s v="4221.003"/>
    <s v="Intérêts compensat. / acomptes en faveur du fisc"/>
    <n v="0"/>
    <n v="244.57"/>
    <n v="4221"/>
  </r>
  <r>
    <x v="0"/>
    <x v="1"/>
    <x v="1"/>
    <x v="28"/>
    <x v="28"/>
    <x v="28"/>
    <s v="REVENUS"/>
    <x v="2"/>
    <s v="4001.002"/>
    <s v="Impôt complément s/revenu PP"/>
    <n v="0"/>
    <n v="314303.09999999998"/>
    <n v="4001"/>
  </r>
  <r>
    <x v="0"/>
    <x v="1"/>
    <x v="1"/>
    <x v="28"/>
    <x v="28"/>
    <x v="28"/>
    <s v="REVENUS"/>
    <x v="2"/>
    <s v="4001.003"/>
    <s v="Impôt s/prest. cap. PP"/>
    <n v="0"/>
    <n v="30929.8"/>
    <n v="4001"/>
  </r>
  <r>
    <x v="0"/>
    <x v="1"/>
    <x v="1"/>
    <x v="28"/>
    <x v="28"/>
    <x v="28"/>
    <s v="REVENUS"/>
    <x v="3"/>
    <s v="4002.002"/>
    <s v="Impôt complémentaire s/fortune PP"/>
    <n v="0"/>
    <n v="52325.7"/>
    <n v="4002"/>
  </r>
  <r>
    <x v="0"/>
    <x v="1"/>
    <x v="1"/>
    <x v="28"/>
    <x v="28"/>
    <x v="28"/>
    <s v="REVENUS"/>
    <x v="7"/>
    <s v="4184.000"/>
    <s v="Frais de poursuite"/>
    <n v="0"/>
    <n v="1675.12"/>
    <n v="4184"/>
  </r>
  <r>
    <x v="0"/>
    <x v="1"/>
    <x v="1"/>
    <x v="28"/>
    <x v="28"/>
    <x v="28"/>
    <s v="REVENUS"/>
    <x v="6"/>
    <s v="4221.002"/>
    <s v="Intérêts compensat. sur impôts distincts"/>
    <n v="0"/>
    <n v="23.02"/>
    <n v="4221"/>
  </r>
  <r>
    <x v="0"/>
    <x v="1"/>
    <x v="1"/>
    <x v="28"/>
    <x v="28"/>
    <x v="28"/>
    <s v="REVENUS"/>
    <x v="2"/>
    <s v="4001.001"/>
    <s v="Impôt revenu"/>
    <n v="0"/>
    <n v="1825.3"/>
    <n v="4001"/>
  </r>
  <r>
    <x v="0"/>
    <x v="1"/>
    <x v="1"/>
    <x v="28"/>
    <x v="28"/>
    <x v="28"/>
    <s v="REVENUS"/>
    <x v="2"/>
    <s v="4001.007"/>
    <s v="Acompte impôt sur revenu"/>
    <n v="0"/>
    <n v="-1505.75"/>
    <n v="4001"/>
  </r>
  <r>
    <x v="0"/>
    <x v="1"/>
    <x v="1"/>
    <x v="28"/>
    <x v="28"/>
    <x v="28"/>
    <s v="REVENUS"/>
    <x v="3"/>
    <s v="4002.001"/>
    <s v="Impôt ordinaire s/fortune PP"/>
    <n v="0"/>
    <n v="1547.05"/>
    <n v="4002"/>
  </r>
  <r>
    <x v="0"/>
    <x v="1"/>
    <x v="1"/>
    <x v="28"/>
    <x v="28"/>
    <x v="28"/>
    <s v="REVENUS"/>
    <x v="3"/>
    <s v="4002.007"/>
    <s v="Acompte impôt sur fortune"/>
    <n v="0"/>
    <n v="-848.9"/>
    <n v="4002"/>
  </r>
  <r>
    <x v="0"/>
    <x v="1"/>
    <x v="1"/>
    <x v="28"/>
    <x v="28"/>
    <x v="28"/>
    <s v="REVENUS"/>
    <x v="2"/>
    <s v="4001.007"/>
    <s v="Acompte impôt sur revenu"/>
    <n v="0"/>
    <n v="3421.6"/>
    <n v="4001"/>
  </r>
  <r>
    <x v="0"/>
    <x v="1"/>
    <x v="1"/>
    <x v="28"/>
    <x v="28"/>
    <x v="28"/>
    <s v="REVENUS"/>
    <x v="3"/>
    <s v="4002.007"/>
    <s v="Acompte impôt sur fortune"/>
    <n v="0"/>
    <n v="567.35"/>
    <n v="4002"/>
  </r>
  <r>
    <x v="0"/>
    <x v="1"/>
    <x v="1"/>
    <x v="28"/>
    <x v="28"/>
    <x v="28"/>
    <s v="REVENUS"/>
    <x v="6"/>
    <s v="4211.001"/>
    <s v="Intérêts de retard sur factures"/>
    <n v="0"/>
    <n v="0.13"/>
    <n v="4211"/>
  </r>
  <r>
    <x v="0"/>
    <x v="1"/>
    <x v="1"/>
    <x v="28"/>
    <x v="28"/>
    <x v="28"/>
    <s v="REVENUS"/>
    <x v="2"/>
    <s v="4001.007"/>
    <s v="Acompte impôt sur revenu"/>
    <n v="0"/>
    <n v="-26.1"/>
    <n v="4001"/>
  </r>
  <r>
    <x v="0"/>
    <x v="1"/>
    <x v="1"/>
    <x v="28"/>
    <x v="28"/>
    <x v="28"/>
    <s v="REVENUS"/>
    <x v="3"/>
    <s v="4002.007"/>
    <s v="Acompte impôt sur fortune"/>
    <n v="0"/>
    <n v="-3.95"/>
    <n v="4002"/>
  </r>
  <r>
    <x v="0"/>
    <x v="1"/>
    <x v="1"/>
    <x v="28"/>
    <x v="28"/>
    <x v="28"/>
    <s v="REVENUS"/>
    <x v="2"/>
    <s v="4001.007"/>
    <s v="Acompte impôt sur revenu"/>
    <n v="0"/>
    <n v="0"/>
    <n v="4001"/>
  </r>
  <r>
    <x v="0"/>
    <x v="1"/>
    <x v="1"/>
    <x v="28"/>
    <x v="28"/>
    <x v="28"/>
    <s v="REVENUS"/>
    <x v="2"/>
    <s v="4001.001"/>
    <s v="Impôt revenu"/>
    <n v="0"/>
    <n v="-51866.05"/>
    <n v="4001"/>
  </r>
  <r>
    <x v="0"/>
    <x v="1"/>
    <x v="1"/>
    <x v="28"/>
    <x v="28"/>
    <x v="28"/>
    <s v="REVENUS"/>
    <x v="3"/>
    <s v="4002.001"/>
    <s v="Impôt ordinaire s/fortune PP"/>
    <n v="0"/>
    <n v="-11264.5"/>
    <n v="4002"/>
  </r>
  <r>
    <x v="0"/>
    <x v="1"/>
    <x v="1"/>
    <x v="28"/>
    <x v="28"/>
    <x v="28"/>
    <s v="REVENUS"/>
    <x v="6"/>
    <s v="4221.003"/>
    <s v="Intérêts compensat. / acomptes en faveur du fisc"/>
    <n v="0"/>
    <n v="-9.39"/>
    <n v="4221"/>
  </r>
  <r>
    <x v="0"/>
    <x v="1"/>
    <x v="1"/>
    <x v="28"/>
    <x v="28"/>
    <x v="28"/>
    <s v="REVENUS"/>
    <x v="2"/>
    <s v="4001.001"/>
    <s v="Impôt revenu"/>
    <n v="0"/>
    <n v="-118678"/>
    <n v="4001"/>
  </r>
  <r>
    <x v="0"/>
    <x v="1"/>
    <x v="1"/>
    <x v="28"/>
    <x v="28"/>
    <x v="28"/>
    <s v="REVENUS"/>
    <x v="3"/>
    <s v="4002.001"/>
    <s v="Impôt ordinaire s/fortune PP"/>
    <n v="0"/>
    <n v="-8739.2999999999993"/>
    <n v="4002"/>
  </r>
  <r>
    <x v="0"/>
    <x v="1"/>
    <x v="1"/>
    <x v="28"/>
    <x v="28"/>
    <x v="28"/>
    <s v="REVENUS"/>
    <x v="6"/>
    <s v="4221.003"/>
    <s v="Intérêts compensat. / acomptes en faveur du fisc"/>
    <n v="0"/>
    <n v="-0.08"/>
    <n v="4221"/>
  </r>
  <r>
    <x v="0"/>
    <x v="1"/>
    <x v="1"/>
    <x v="28"/>
    <x v="28"/>
    <x v="28"/>
    <s v="REVENUS"/>
    <x v="2"/>
    <s v="4001.001"/>
    <s v="Impôt revenu"/>
    <n v="0"/>
    <n v="-3986"/>
    <n v="4001"/>
  </r>
  <r>
    <x v="0"/>
    <x v="1"/>
    <x v="1"/>
    <x v="28"/>
    <x v="28"/>
    <x v="28"/>
    <s v="REVENUS"/>
    <x v="2"/>
    <s v="4001.002"/>
    <s v="Impôt complément s/revenu PP"/>
    <n v="0"/>
    <n v="-13423.65"/>
    <n v="4001"/>
  </r>
  <r>
    <x v="0"/>
    <x v="1"/>
    <x v="1"/>
    <x v="28"/>
    <x v="28"/>
    <x v="28"/>
    <s v="REVENUS"/>
    <x v="6"/>
    <s v="4211.002"/>
    <s v="Intérêts de retard sur acomptes"/>
    <n v="0"/>
    <n v="1.45"/>
    <n v="4211"/>
  </r>
  <r>
    <x v="0"/>
    <x v="1"/>
    <x v="1"/>
    <x v="28"/>
    <x v="28"/>
    <x v="28"/>
    <s v="REVENUS"/>
    <x v="6"/>
    <s v="4221.003"/>
    <s v="Intérêts compensat. / acomptes en faveur du fisc"/>
    <n v="0"/>
    <n v="0.06"/>
    <n v="4221"/>
  </r>
  <r>
    <x v="0"/>
    <x v="1"/>
    <x v="1"/>
    <x v="28"/>
    <x v="28"/>
    <x v="28"/>
    <s v="REVENUS"/>
    <x v="2"/>
    <s v="4001.001"/>
    <s v="Impôt revenu"/>
    <n v="0"/>
    <n v="1555.95"/>
    <n v="4001"/>
  </r>
  <r>
    <x v="0"/>
    <x v="1"/>
    <x v="1"/>
    <x v="28"/>
    <x v="28"/>
    <x v="28"/>
    <s v="REVENUS"/>
    <x v="3"/>
    <s v="4002.001"/>
    <s v="Impôt ordinaire s/fortune PP"/>
    <n v="0"/>
    <n v="607.04999999999995"/>
    <n v="4002"/>
  </r>
  <r>
    <x v="0"/>
    <x v="1"/>
    <x v="1"/>
    <x v="28"/>
    <x v="28"/>
    <x v="28"/>
    <s v="REVENUS"/>
    <x v="9"/>
    <s v="4031.001"/>
    <s v="Impôt sur les gains immobiliers"/>
    <n v="0"/>
    <n v="40476.35"/>
    <n v="4031"/>
  </r>
  <r>
    <x v="0"/>
    <x v="1"/>
    <x v="1"/>
    <x v="28"/>
    <x v="28"/>
    <x v="28"/>
    <s v="REVENUS"/>
    <x v="3"/>
    <s v="4002.001"/>
    <s v="Impôt ordinaire s/fortune PP"/>
    <n v="0"/>
    <n v="304.14999999999998"/>
    <n v="4002"/>
  </r>
  <r>
    <x v="0"/>
    <x v="1"/>
    <x v="1"/>
    <x v="28"/>
    <x v="28"/>
    <x v="28"/>
    <s v="REVENUS"/>
    <x v="8"/>
    <s v="4091.001"/>
    <s v="Impôt récupéré après défalcations"/>
    <n v="0"/>
    <n v="76.12"/>
    <n v="4091"/>
  </r>
  <r>
    <x v="0"/>
    <x v="1"/>
    <x v="1"/>
    <x v="28"/>
    <x v="28"/>
    <x v="28"/>
    <s v="REVENUS"/>
    <x v="6"/>
    <s v="4211.001"/>
    <s v="Intérêts de retard sur factures"/>
    <n v="0"/>
    <n v="-0.84"/>
    <n v="4211"/>
  </r>
  <r>
    <x v="0"/>
    <x v="1"/>
    <x v="1"/>
    <x v="28"/>
    <x v="28"/>
    <x v="28"/>
    <s v="REVENUS"/>
    <x v="3"/>
    <s v="4002.002"/>
    <s v="Impôt complémentaire s/fortune PP"/>
    <n v="0"/>
    <n v="-2254.5"/>
    <n v="4002"/>
  </r>
  <r>
    <x v="0"/>
    <x v="1"/>
    <x v="1"/>
    <x v="28"/>
    <x v="28"/>
    <x v="28"/>
    <s v="REVENUS"/>
    <x v="6"/>
    <s v="4211.002"/>
    <s v="Intérêts de retard sur acomptes"/>
    <n v="0"/>
    <n v="-0.01"/>
    <n v="4211"/>
  </r>
  <r>
    <x v="0"/>
    <x v="1"/>
    <x v="1"/>
    <x v="28"/>
    <x v="28"/>
    <x v="28"/>
    <s v="REVENUS"/>
    <x v="3"/>
    <s v="4002.007"/>
    <s v="Acompte impôt sur fortune"/>
    <n v="0"/>
    <n v="-45.3"/>
    <n v="4002"/>
  </r>
  <r>
    <x v="0"/>
    <x v="1"/>
    <x v="1"/>
    <x v="28"/>
    <x v="28"/>
    <x v="28"/>
    <s v="REVENUS"/>
    <x v="7"/>
    <s v="4184.000"/>
    <s v="Frais de poursuite"/>
    <n v="0"/>
    <n v="55.91"/>
    <n v="4184"/>
  </r>
  <r>
    <x v="0"/>
    <x v="1"/>
    <x v="1"/>
    <x v="28"/>
    <x v="28"/>
    <x v="28"/>
    <s v="REVENUS"/>
    <x v="6"/>
    <s v="4211.002"/>
    <s v="Intérêts de retard sur acomptes"/>
    <n v="0"/>
    <n v="4.28"/>
    <n v="4211"/>
  </r>
  <r>
    <x v="0"/>
    <x v="1"/>
    <x v="1"/>
    <x v="28"/>
    <x v="28"/>
    <x v="28"/>
    <s v="REVENUS"/>
    <x v="6"/>
    <s v="4211.002"/>
    <s v="Intérêts de retard sur acomptes"/>
    <n v="0"/>
    <n v="-0.08"/>
    <n v="4211"/>
  </r>
  <r>
    <x v="0"/>
    <x v="1"/>
    <x v="1"/>
    <x v="29"/>
    <x v="29"/>
    <x v="29"/>
    <s v="CHARGES"/>
    <x v="0"/>
    <s v="3212.004"/>
    <s v="Intérêts rémun./perçu trop tôt sur acomptes C/C"/>
    <n v="109"/>
    <n v="0"/>
    <n v="3212"/>
  </r>
  <r>
    <x v="0"/>
    <x v="1"/>
    <x v="1"/>
    <x v="29"/>
    <x v="29"/>
    <x v="29"/>
    <s v="CHARGES"/>
    <x v="0"/>
    <s v="3221.002"/>
    <s v="Intérêts compensatoires / créances en faveur ctb."/>
    <n v="50.69"/>
    <n v="0"/>
    <n v="3221"/>
  </r>
  <r>
    <x v="0"/>
    <x v="1"/>
    <x v="1"/>
    <x v="29"/>
    <x v="29"/>
    <x v="29"/>
    <s v="CHARGES"/>
    <x v="1"/>
    <s v="3301.001"/>
    <s v="Défalcations, abandons de solde PP et IS"/>
    <n v="2499.25"/>
    <n v="0"/>
    <n v="3301"/>
  </r>
  <r>
    <x v="0"/>
    <x v="1"/>
    <x v="1"/>
    <x v="29"/>
    <x v="29"/>
    <x v="29"/>
    <s v="CHARGES"/>
    <x v="0"/>
    <s v="3212.002"/>
    <s v="Intérêts bonifiés/trop perçu acompte C/C"/>
    <n v="0.4"/>
    <n v="0"/>
    <n v="3212"/>
  </r>
  <r>
    <x v="0"/>
    <x v="1"/>
    <x v="1"/>
    <x v="29"/>
    <x v="29"/>
    <x v="29"/>
    <s v="CHARGES"/>
    <x v="1"/>
    <s v="3301.001"/>
    <s v="Défalcations, abandons de solde PP et IS"/>
    <n v="0.02"/>
    <n v="0"/>
    <n v="3301"/>
  </r>
  <r>
    <x v="0"/>
    <x v="1"/>
    <x v="1"/>
    <x v="29"/>
    <x v="29"/>
    <x v="29"/>
    <s v="CHARGES"/>
    <x v="1"/>
    <s v="3301.003"/>
    <s v="Remises PP et IS"/>
    <n v="-8476.9500000000007"/>
    <n v="0"/>
    <n v="3301"/>
  </r>
  <r>
    <x v="0"/>
    <x v="1"/>
    <x v="1"/>
    <x v="29"/>
    <x v="29"/>
    <x v="29"/>
    <s v="CHARGES"/>
    <x v="0"/>
    <s v="3212.004"/>
    <s v="Intérêts rémun./perçu trop tôt sur acomptes C/C"/>
    <n v="0.02"/>
    <n v="0"/>
    <n v="3212"/>
  </r>
  <r>
    <x v="0"/>
    <x v="1"/>
    <x v="1"/>
    <x v="29"/>
    <x v="29"/>
    <x v="29"/>
    <s v="CHARGES"/>
    <x v="1"/>
    <s v="3301.001"/>
    <s v="Défalcations, abandons de solde PP et IS"/>
    <n v="0.12"/>
    <n v="0"/>
    <n v="3301"/>
  </r>
  <r>
    <x v="0"/>
    <x v="1"/>
    <x v="1"/>
    <x v="29"/>
    <x v="29"/>
    <x v="29"/>
    <s v="REVENUS"/>
    <x v="2"/>
    <s v="4001.007"/>
    <s v="Acompte impôt sur revenu"/>
    <n v="0"/>
    <n v="-163030.39000000001"/>
    <n v="4001"/>
  </r>
  <r>
    <x v="0"/>
    <x v="1"/>
    <x v="1"/>
    <x v="29"/>
    <x v="29"/>
    <x v="29"/>
    <s v="REVENUS"/>
    <x v="3"/>
    <s v="4002.007"/>
    <s v="Acompte impôt sur fortune"/>
    <n v="0"/>
    <n v="-11845.52"/>
    <n v="4002"/>
  </r>
  <r>
    <x v="0"/>
    <x v="1"/>
    <x v="1"/>
    <x v="29"/>
    <x v="29"/>
    <x v="29"/>
    <s v="REVENUS"/>
    <x v="2"/>
    <s v="4001.001"/>
    <s v="Impôt revenu"/>
    <n v="0"/>
    <n v="946378.9"/>
    <n v="4001"/>
  </r>
  <r>
    <x v="0"/>
    <x v="1"/>
    <x v="1"/>
    <x v="29"/>
    <x v="29"/>
    <x v="29"/>
    <s v="REVENUS"/>
    <x v="3"/>
    <s v="4002.001"/>
    <s v="Impôt ordinaire s/fortune PP"/>
    <n v="0"/>
    <n v="66271.850000000006"/>
    <n v="4002"/>
  </r>
  <r>
    <x v="0"/>
    <x v="1"/>
    <x v="1"/>
    <x v="29"/>
    <x v="29"/>
    <x v="29"/>
    <s v="REVENUS"/>
    <x v="6"/>
    <s v="4211.002"/>
    <s v="Intérêts de retard sur acomptes"/>
    <n v="0"/>
    <n v="5988.27"/>
    <n v="4211"/>
  </r>
  <r>
    <x v="0"/>
    <x v="1"/>
    <x v="1"/>
    <x v="29"/>
    <x v="29"/>
    <x v="29"/>
    <s v="REVENUS"/>
    <x v="6"/>
    <s v="4221.003"/>
    <s v="Intérêts compensat. / acomptes en faveur du fisc"/>
    <n v="0"/>
    <n v="177.72"/>
    <n v="4221"/>
  </r>
  <r>
    <x v="0"/>
    <x v="1"/>
    <x v="1"/>
    <x v="29"/>
    <x v="29"/>
    <x v="29"/>
    <s v="REVENUS"/>
    <x v="2"/>
    <s v="4001.007"/>
    <s v="Acompte impôt sur revenu"/>
    <n v="0"/>
    <n v="131885.48000000001"/>
    <n v="4001"/>
  </r>
  <r>
    <x v="0"/>
    <x v="1"/>
    <x v="1"/>
    <x v="29"/>
    <x v="29"/>
    <x v="29"/>
    <s v="REVENUS"/>
    <x v="2"/>
    <s v="4001.001"/>
    <s v="Impôt revenu"/>
    <n v="0"/>
    <n v="-18626.75"/>
    <n v="4001"/>
  </r>
  <r>
    <x v="0"/>
    <x v="1"/>
    <x v="1"/>
    <x v="29"/>
    <x v="29"/>
    <x v="29"/>
    <s v="REVENUS"/>
    <x v="3"/>
    <s v="4002.001"/>
    <s v="Impôt ordinaire s/fortune PP"/>
    <n v="0"/>
    <n v="-194.7"/>
    <n v="4002"/>
  </r>
  <r>
    <x v="0"/>
    <x v="1"/>
    <x v="1"/>
    <x v="29"/>
    <x v="29"/>
    <x v="29"/>
    <s v="REVENUS"/>
    <x v="2"/>
    <s v="4001.002"/>
    <s v="Impôt complément s/revenu PP"/>
    <n v="0"/>
    <n v="126371.8"/>
    <n v="4001"/>
  </r>
  <r>
    <x v="0"/>
    <x v="1"/>
    <x v="1"/>
    <x v="29"/>
    <x v="29"/>
    <x v="29"/>
    <s v="REVENUS"/>
    <x v="3"/>
    <s v="4002.002"/>
    <s v="Impôt complémentaire s/fortune PP"/>
    <n v="0"/>
    <n v="6826.45"/>
    <n v="4002"/>
  </r>
  <r>
    <x v="0"/>
    <x v="1"/>
    <x v="1"/>
    <x v="29"/>
    <x v="29"/>
    <x v="29"/>
    <s v="REVENUS"/>
    <x v="6"/>
    <s v="4211.001"/>
    <s v="Intérêts de retard sur factures"/>
    <n v="0"/>
    <n v="5871.31"/>
    <n v="4211"/>
  </r>
  <r>
    <x v="0"/>
    <x v="1"/>
    <x v="1"/>
    <x v="29"/>
    <x v="29"/>
    <x v="29"/>
    <s v="REVENUS"/>
    <x v="3"/>
    <s v="4002.007"/>
    <s v="Acompte impôt sur fortune"/>
    <n v="0"/>
    <n v="10569.08"/>
    <n v="4002"/>
  </r>
  <r>
    <x v="0"/>
    <x v="1"/>
    <x v="1"/>
    <x v="29"/>
    <x v="29"/>
    <x v="29"/>
    <s v="REVENUS"/>
    <x v="10"/>
    <s v="4041.001"/>
    <s v="Droits de mutation"/>
    <n v="0"/>
    <n v="51717.1"/>
    <n v="4041"/>
  </r>
  <r>
    <x v="0"/>
    <x v="1"/>
    <x v="1"/>
    <x v="29"/>
    <x v="29"/>
    <x v="29"/>
    <s v="REVENUS"/>
    <x v="7"/>
    <s v="4184.000"/>
    <s v="Frais de poursuite"/>
    <n v="0"/>
    <n v="802.88"/>
    <n v="4184"/>
  </r>
  <r>
    <x v="0"/>
    <x v="1"/>
    <x v="1"/>
    <x v="29"/>
    <x v="29"/>
    <x v="29"/>
    <s v="REVENUS"/>
    <x v="2"/>
    <s v="4001.003"/>
    <s v="Impôt s/prest. cap. PP"/>
    <n v="0"/>
    <n v="113959.4"/>
    <n v="4001"/>
  </r>
  <r>
    <x v="0"/>
    <x v="1"/>
    <x v="1"/>
    <x v="29"/>
    <x v="29"/>
    <x v="29"/>
    <s v="REVENUS"/>
    <x v="2"/>
    <s v="4001.007"/>
    <s v="Acompte impôt sur revenu"/>
    <n v="0"/>
    <n v="114.75"/>
    <n v="4001"/>
  </r>
  <r>
    <x v="0"/>
    <x v="1"/>
    <x v="1"/>
    <x v="29"/>
    <x v="29"/>
    <x v="29"/>
    <s v="REVENUS"/>
    <x v="3"/>
    <s v="4002.007"/>
    <s v="Acompte impôt sur fortune"/>
    <n v="0"/>
    <n v="712.4"/>
    <n v="4002"/>
  </r>
  <r>
    <x v="0"/>
    <x v="1"/>
    <x v="1"/>
    <x v="29"/>
    <x v="29"/>
    <x v="29"/>
    <s v="REVENUS"/>
    <x v="3"/>
    <s v="4002.007"/>
    <s v="Acompte impôt sur fortune"/>
    <n v="0"/>
    <n v="-40.4"/>
    <n v="4002"/>
  </r>
  <r>
    <x v="0"/>
    <x v="1"/>
    <x v="1"/>
    <x v="29"/>
    <x v="29"/>
    <x v="29"/>
    <s v="REVENUS"/>
    <x v="2"/>
    <s v="4001.007"/>
    <s v="Acompte impôt sur revenu"/>
    <n v="0"/>
    <n v="-251.15"/>
    <n v="4001"/>
  </r>
  <r>
    <x v="0"/>
    <x v="1"/>
    <x v="1"/>
    <x v="29"/>
    <x v="29"/>
    <x v="29"/>
    <s v="REVENUS"/>
    <x v="3"/>
    <s v="4002.001"/>
    <s v="Impôt ordinaire s/fortune PP"/>
    <n v="0"/>
    <n v="98.05"/>
    <n v="4002"/>
  </r>
  <r>
    <x v="0"/>
    <x v="1"/>
    <x v="1"/>
    <x v="29"/>
    <x v="29"/>
    <x v="29"/>
    <s v="REVENUS"/>
    <x v="6"/>
    <s v="4221.003"/>
    <s v="Intérêts compensat. / acomptes en faveur du fisc"/>
    <n v="0"/>
    <n v="0.02"/>
    <n v="4221"/>
  </r>
  <r>
    <x v="0"/>
    <x v="1"/>
    <x v="1"/>
    <x v="29"/>
    <x v="29"/>
    <x v="29"/>
    <s v="REVENUS"/>
    <x v="3"/>
    <s v="4002.002"/>
    <s v="Impôt complémentaire s/fortune PP"/>
    <n v="0"/>
    <n v="-52"/>
    <n v="4002"/>
  </r>
  <r>
    <x v="0"/>
    <x v="1"/>
    <x v="1"/>
    <x v="29"/>
    <x v="29"/>
    <x v="29"/>
    <s v="REVENUS"/>
    <x v="2"/>
    <s v="4001.002"/>
    <s v="Impôt complément s/revenu PP"/>
    <n v="0"/>
    <n v="-1699.35"/>
    <n v="4001"/>
  </r>
  <r>
    <x v="0"/>
    <x v="1"/>
    <x v="1"/>
    <x v="29"/>
    <x v="29"/>
    <x v="29"/>
    <s v="REVENUS"/>
    <x v="2"/>
    <s v="4001.007"/>
    <s v="Acompte impôt sur revenu"/>
    <n v="0"/>
    <n v="-213.35"/>
    <n v="4001"/>
  </r>
  <r>
    <x v="0"/>
    <x v="1"/>
    <x v="1"/>
    <x v="29"/>
    <x v="29"/>
    <x v="29"/>
    <s v="REVENUS"/>
    <x v="2"/>
    <s v="4001.001"/>
    <s v="Impôt revenu"/>
    <n v="0"/>
    <n v="49.6"/>
    <n v="4001"/>
  </r>
  <r>
    <x v="0"/>
    <x v="1"/>
    <x v="1"/>
    <x v="29"/>
    <x v="29"/>
    <x v="29"/>
    <s v="REVENUS"/>
    <x v="6"/>
    <s v="4221.002"/>
    <s v="Intérêts compensat. sur impôts distincts"/>
    <n v="0"/>
    <n v="25"/>
    <n v="4221"/>
  </r>
  <r>
    <x v="0"/>
    <x v="1"/>
    <x v="1"/>
    <x v="29"/>
    <x v="29"/>
    <x v="29"/>
    <s v="REVENUS"/>
    <x v="2"/>
    <s v="4001.001"/>
    <s v="Impôt revenu"/>
    <n v="0"/>
    <n v="825.85"/>
    <n v="4001"/>
  </r>
  <r>
    <x v="0"/>
    <x v="1"/>
    <x v="1"/>
    <x v="29"/>
    <x v="29"/>
    <x v="29"/>
    <s v="REVENUS"/>
    <x v="3"/>
    <s v="4002.001"/>
    <s v="Impôt ordinaire s/fortune PP"/>
    <n v="0"/>
    <n v="87.1"/>
    <n v="4002"/>
  </r>
  <r>
    <x v="0"/>
    <x v="1"/>
    <x v="1"/>
    <x v="29"/>
    <x v="29"/>
    <x v="29"/>
    <s v="REVENUS"/>
    <x v="6"/>
    <s v="4221.003"/>
    <s v="Intérêts compensat. / acomptes en faveur du fisc"/>
    <n v="0"/>
    <n v="0.12"/>
    <n v="4221"/>
  </r>
  <r>
    <x v="0"/>
    <x v="1"/>
    <x v="1"/>
    <x v="29"/>
    <x v="29"/>
    <x v="29"/>
    <s v="REVENUS"/>
    <x v="4"/>
    <s v="4051.001"/>
    <s v="Impôt sur les successions"/>
    <n v="0"/>
    <n v="8820.4"/>
    <n v="4051"/>
  </r>
  <r>
    <x v="0"/>
    <x v="1"/>
    <x v="1"/>
    <x v="29"/>
    <x v="29"/>
    <x v="29"/>
    <s v="REVENUS"/>
    <x v="7"/>
    <s v="4184.000"/>
    <s v="Frais de poursuite"/>
    <n v="0"/>
    <n v="392.87"/>
    <n v="4184"/>
  </r>
  <r>
    <x v="0"/>
    <x v="1"/>
    <x v="1"/>
    <x v="29"/>
    <x v="29"/>
    <x v="29"/>
    <s v="REVENUS"/>
    <x v="9"/>
    <s v="4031.001"/>
    <s v="Impôt sur les gains immobiliers"/>
    <n v="0"/>
    <n v="1182.3"/>
    <n v="4031"/>
  </r>
  <r>
    <x v="0"/>
    <x v="1"/>
    <x v="1"/>
    <x v="30"/>
    <x v="30"/>
    <x v="30"/>
    <s v="CHARGES"/>
    <x v="1"/>
    <s v="3301.001"/>
    <s v="Défalcations, abandons de solde PP et IS"/>
    <n v="5.68"/>
    <n v="0"/>
    <n v="3301"/>
  </r>
  <r>
    <x v="0"/>
    <x v="1"/>
    <x v="1"/>
    <x v="30"/>
    <x v="30"/>
    <x v="30"/>
    <s v="CHARGES"/>
    <x v="0"/>
    <s v="3212.004"/>
    <s v="Intérêts rémun./perçu trop tôt sur acomptes C/C"/>
    <n v="81.180000000000007"/>
    <n v="0"/>
    <n v="3212"/>
  </r>
  <r>
    <x v="0"/>
    <x v="1"/>
    <x v="1"/>
    <x v="30"/>
    <x v="30"/>
    <x v="30"/>
    <s v="CHARGES"/>
    <x v="0"/>
    <s v="3221.002"/>
    <s v="Intérêts compensatoires / créances en faveur ctb."/>
    <n v="17.89"/>
    <n v="0"/>
    <n v="3221"/>
  </r>
  <r>
    <x v="0"/>
    <x v="1"/>
    <x v="1"/>
    <x v="30"/>
    <x v="30"/>
    <x v="30"/>
    <s v="CHARGES"/>
    <x v="1"/>
    <s v="3301.001"/>
    <s v="Défalcations, abandons de solde PP et IS"/>
    <n v="12776.11"/>
    <n v="0"/>
    <n v="3301"/>
  </r>
  <r>
    <x v="0"/>
    <x v="1"/>
    <x v="1"/>
    <x v="30"/>
    <x v="30"/>
    <x v="30"/>
    <s v="CHARGES"/>
    <x v="0"/>
    <s v="3212.004"/>
    <s v="Intérêts rémun./perçu trop tôt sur acomptes C/C"/>
    <n v="3.6"/>
    <n v="0"/>
    <n v="3212"/>
  </r>
  <r>
    <x v="0"/>
    <x v="1"/>
    <x v="1"/>
    <x v="30"/>
    <x v="30"/>
    <x v="30"/>
    <s v="CHARGES"/>
    <x v="0"/>
    <s v="3212.002"/>
    <s v="Intérêts bonifiés/trop perçu acompte C/C"/>
    <n v="0.39"/>
    <n v="0"/>
    <n v="3212"/>
  </r>
  <r>
    <x v="0"/>
    <x v="1"/>
    <x v="1"/>
    <x v="30"/>
    <x v="30"/>
    <x v="30"/>
    <s v="CHARGES"/>
    <x v="0"/>
    <s v="3221.002"/>
    <s v="Intérêts compensatoires / créances en faveur ctb."/>
    <n v="0.08"/>
    <n v="0"/>
    <n v="3221"/>
  </r>
  <r>
    <x v="0"/>
    <x v="1"/>
    <x v="1"/>
    <x v="30"/>
    <x v="30"/>
    <x v="30"/>
    <s v="CHARGES"/>
    <x v="0"/>
    <s v="3212.002"/>
    <s v="Intérêts bonifiés/trop perçu acompte C/C"/>
    <n v="-0.45"/>
    <n v="0"/>
    <n v="3212"/>
  </r>
  <r>
    <x v="0"/>
    <x v="1"/>
    <x v="1"/>
    <x v="30"/>
    <x v="30"/>
    <x v="30"/>
    <s v="CHARGES"/>
    <x v="0"/>
    <s v="3212.004"/>
    <s v="Intérêts rémun./perçu trop tôt sur acomptes C/C"/>
    <n v="0.02"/>
    <n v="0"/>
    <n v="3212"/>
  </r>
  <r>
    <x v="0"/>
    <x v="1"/>
    <x v="1"/>
    <x v="30"/>
    <x v="30"/>
    <x v="30"/>
    <s v="CHARGES"/>
    <x v="1"/>
    <s v="3301.001"/>
    <s v="Défalcations, abandons de solde PP et IS"/>
    <n v="0.01"/>
    <n v="0"/>
    <n v="3301"/>
  </r>
  <r>
    <x v="0"/>
    <x v="1"/>
    <x v="1"/>
    <x v="30"/>
    <x v="30"/>
    <x v="30"/>
    <s v="CHARGES"/>
    <x v="0"/>
    <s v="3212.002"/>
    <s v="Intérêts bonifiés/trop perçu acompte C/C"/>
    <n v="0.13"/>
    <n v="0"/>
    <n v="3212"/>
  </r>
  <r>
    <x v="0"/>
    <x v="1"/>
    <x v="1"/>
    <x v="30"/>
    <x v="30"/>
    <x v="30"/>
    <s v="CHARGES"/>
    <x v="0"/>
    <s v="3212.002"/>
    <s v="Intérêts bonifiés/trop perçu acompte C/C"/>
    <n v="0.01"/>
    <n v="0"/>
    <n v="3212"/>
  </r>
  <r>
    <x v="0"/>
    <x v="1"/>
    <x v="1"/>
    <x v="30"/>
    <x v="30"/>
    <x v="30"/>
    <s v="REVENUS"/>
    <x v="3"/>
    <s v="4002.001"/>
    <s v="Impôt ordinaire s/fortune PP"/>
    <n v="0"/>
    <n v="1999.45"/>
    <n v="4002"/>
  </r>
  <r>
    <x v="0"/>
    <x v="1"/>
    <x v="1"/>
    <x v="30"/>
    <x v="30"/>
    <x v="30"/>
    <s v="REVENUS"/>
    <x v="6"/>
    <s v="4221.003"/>
    <s v="Intérêts compensat. / acomptes en faveur du fisc"/>
    <n v="0"/>
    <n v="0.63"/>
    <n v="4221"/>
  </r>
  <r>
    <x v="0"/>
    <x v="1"/>
    <x v="1"/>
    <x v="30"/>
    <x v="30"/>
    <x v="30"/>
    <s v="REVENUS"/>
    <x v="2"/>
    <s v="4001.007"/>
    <s v="Acompte impôt sur revenu"/>
    <n v="0"/>
    <n v="-114848.26"/>
    <n v="4001"/>
  </r>
  <r>
    <x v="0"/>
    <x v="1"/>
    <x v="1"/>
    <x v="30"/>
    <x v="30"/>
    <x v="30"/>
    <s v="REVENUS"/>
    <x v="3"/>
    <s v="4002.007"/>
    <s v="Acompte impôt sur fortune"/>
    <n v="0"/>
    <n v="-13847.58"/>
    <n v="4002"/>
  </r>
  <r>
    <x v="0"/>
    <x v="1"/>
    <x v="1"/>
    <x v="30"/>
    <x v="30"/>
    <x v="30"/>
    <s v="REVENUS"/>
    <x v="2"/>
    <s v="4001.001"/>
    <s v="Impôt revenu"/>
    <n v="0"/>
    <n v="681194.1"/>
    <n v="4001"/>
  </r>
  <r>
    <x v="0"/>
    <x v="1"/>
    <x v="1"/>
    <x v="30"/>
    <x v="30"/>
    <x v="30"/>
    <s v="REVENUS"/>
    <x v="2"/>
    <s v="4001.007"/>
    <s v="Acompte impôt sur revenu"/>
    <n v="0"/>
    <n v="180560.62"/>
    <n v="4001"/>
  </r>
  <r>
    <x v="0"/>
    <x v="1"/>
    <x v="1"/>
    <x v="30"/>
    <x v="30"/>
    <x v="30"/>
    <s v="REVENUS"/>
    <x v="3"/>
    <s v="4002.001"/>
    <s v="Impôt ordinaire s/fortune PP"/>
    <n v="0"/>
    <n v="48542.1"/>
    <n v="4002"/>
  </r>
  <r>
    <x v="0"/>
    <x v="1"/>
    <x v="1"/>
    <x v="30"/>
    <x v="30"/>
    <x v="30"/>
    <s v="REVENUS"/>
    <x v="3"/>
    <s v="4002.007"/>
    <s v="Acompte impôt sur fortune"/>
    <n v="0"/>
    <n v="18647.68"/>
    <n v="4002"/>
  </r>
  <r>
    <x v="0"/>
    <x v="1"/>
    <x v="1"/>
    <x v="30"/>
    <x v="30"/>
    <x v="30"/>
    <s v="REVENUS"/>
    <x v="6"/>
    <s v="4221.003"/>
    <s v="Intérêts compensat. / acomptes en faveur du fisc"/>
    <n v="0"/>
    <n v="95.17"/>
    <n v="4221"/>
  </r>
  <r>
    <x v="0"/>
    <x v="1"/>
    <x v="1"/>
    <x v="30"/>
    <x v="30"/>
    <x v="30"/>
    <s v="REVENUS"/>
    <x v="10"/>
    <s v="4041.001"/>
    <s v="Droits de mutation"/>
    <n v="0"/>
    <n v="65452.7"/>
    <n v="4041"/>
  </r>
  <r>
    <x v="0"/>
    <x v="1"/>
    <x v="1"/>
    <x v="30"/>
    <x v="30"/>
    <x v="30"/>
    <s v="REVENUS"/>
    <x v="6"/>
    <s v="4211.002"/>
    <s v="Intérêts de retard sur acomptes"/>
    <n v="0"/>
    <n v="4294.93"/>
    <n v="4211"/>
  </r>
  <r>
    <x v="0"/>
    <x v="1"/>
    <x v="1"/>
    <x v="30"/>
    <x v="30"/>
    <x v="30"/>
    <s v="REVENUS"/>
    <x v="2"/>
    <s v="4001.001"/>
    <s v="Impôt revenu"/>
    <n v="0"/>
    <n v="3114.55"/>
    <n v="4001"/>
  </r>
  <r>
    <x v="0"/>
    <x v="1"/>
    <x v="1"/>
    <x v="30"/>
    <x v="30"/>
    <x v="30"/>
    <s v="REVENUS"/>
    <x v="2"/>
    <s v="4001.007"/>
    <s v="Acompte impôt sur revenu"/>
    <n v="0"/>
    <n v="-199.79"/>
    <n v="4001"/>
  </r>
  <r>
    <x v="0"/>
    <x v="1"/>
    <x v="1"/>
    <x v="30"/>
    <x v="30"/>
    <x v="30"/>
    <s v="REVENUS"/>
    <x v="3"/>
    <s v="4002.007"/>
    <s v="Acompte impôt sur fortune"/>
    <n v="0"/>
    <n v="-2844.95"/>
    <n v="4002"/>
  </r>
  <r>
    <x v="0"/>
    <x v="1"/>
    <x v="1"/>
    <x v="30"/>
    <x v="30"/>
    <x v="30"/>
    <s v="REVENUS"/>
    <x v="7"/>
    <s v="4184.000"/>
    <s v="Frais de poursuite"/>
    <n v="0"/>
    <n v="1278.97"/>
    <n v="4184"/>
  </r>
  <r>
    <x v="0"/>
    <x v="1"/>
    <x v="1"/>
    <x v="30"/>
    <x v="30"/>
    <x v="30"/>
    <s v="REVENUS"/>
    <x v="2"/>
    <s v="4001.001"/>
    <s v="Impôt revenu"/>
    <n v="0"/>
    <n v="-24528.3"/>
    <n v="4001"/>
  </r>
  <r>
    <x v="0"/>
    <x v="1"/>
    <x v="1"/>
    <x v="30"/>
    <x v="30"/>
    <x v="30"/>
    <s v="REVENUS"/>
    <x v="2"/>
    <s v="4001.002"/>
    <s v="Impôt complément s/revenu PP"/>
    <n v="0"/>
    <n v="24540.9"/>
    <n v="4001"/>
  </r>
  <r>
    <x v="0"/>
    <x v="1"/>
    <x v="1"/>
    <x v="30"/>
    <x v="30"/>
    <x v="30"/>
    <s v="REVENUS"/>
    <x v="3"/>
    <s v="4002.001"/>
    <s v="Impôt ordinaire s/fortune PP"/>
    <n v="0"/>
    <n v="-5458.7"/>
    <n v="4002"/>
  </r>
  <r>
    <x v="0"/>
    <x v="1"/>
    <x v="1"/>
    <x v="30"/>
    <x v="30"/>
    <x v="30"/>
    <s v="REVENUS"/>
    <x v="3"/>
    <s v="4002.002"/>
    <s v="Impôt complémentaire s/fortune PP"/>
    <n v="0"/>
    <n v="5458.7"/>
    <n v="4002"/>
  </r>
  <r>
    <x v="0"/>
    <x v="1"/>
    <x v="1"/>
    <x v="30"/>
    <x v="30"/>
    <x v="30"/>
    <s v="REVENUS"/>
    <x v="6"/>
    <s v="4221.003"/>
    <s v="Intérêts compensat. / acomptes en faveur du fisc"/>
    <n v="0"/>
    <n v="-0.14000000000000001"/>
    <n v="4221"/>
  </r>
  <r>
    <x v="0"/>
    <x v="1"/>
    <x v="1"/>
    <x v="30"/>
    <x v="30"/>
    <x v="30"/>
    <s v="REVENUS"/>
    <x v="6"/>
    <s v="4211.001"/>
    <s v="Intérêts de retard sur factures"/>
    <n v="0"/>
    <n v="3362.28"/>
    <n v="4211"/>
  </r>
  <r>
    <x v="0"/>
    <x v="1"/>
    <x v="1"/>
    <x v="30"/>
    <x v="30"/>
    <x v="30"/>
    <s v="REVENUS"/>
    <x v="9"/>
    <s v="4031.001"/>
    <s v="Impôt sur les gains immobiliers"/>
    <n v="0"/>
    <n v="35835.699999999997"/>
    <n v="4031"/>
  </r>
  <r>
    <x v="0"/>
    <x v="1"/>
    <x v="1"/>
    <x v="30"/>
    <x v="30"/>
    <x v="30"/>
    <s v="REVENUS"/>
    <x v="2"/>
    <s v="4001.007"/>
    <s v="Acompte impôt sur revenu"/>
    <n v="0"/>
    <n v="24563.85"/>
    <n v="4001"/>
  </r>
  <r>
    <x v="0"/>
    <x v="1"/>
    <x v="1"/>
    <x v="30"/>
    <x v="30"/>
    <x v="30"/>
    <s v="REVENUS"/>
    <x v="3"/>
    <s v="4002.007"/>
    <s v="Acompte impôt sur fortune"/>
    <n v="0"/>
    <n v="5985.9"/>
    <n v="4002"/>
  </r>
  <r>
    <x v="0"/>
    <x v="1"/>
    <x v="1"/>
    <x v="30"/>
    <x v="30"/>
    <x v="30"/>
    <s v="REVENUS"/>
    <x v="2"/>
    <s v="4001.003"/>
    <s v="Impôt s/prest. cap. PP"/>
    <n v="0"/>
    <n v="15917"/>
    <n v="4001"/>
  </r>
  <r>
    <x v="0"/>
    <x v="1"/>
    <x v="1"/>
    <x v="30"/>
    <x v="30"/>
    <x v="30"/>
    <s v="REVENUS"/>
    <x v="2"/>
    <s v="4001.002"/>
    <s v="Impôt complément s/revenu PP"/>
    <n v="0"/>
    <n v="1581.8"/>
    <n v="4001"/>
  </r>
  <r>
    <x v="0"/>
    <x v="1"/>
    <x v="1"/>
    <x v="30"/>
    <x v="30"/>
    <x v="30"/>
    <s v="REVENUS"/>
    <x v="3"/>
    <s v="4002.002"/>
    <s v="Impôt complémentaire s/fortune PP"/>
    <n v="0"/>
    <n v="1429.95"/>
    <n v="4002"/>
  </r>
  <r>
    <x v="0"/>
    <x v="1"/>
    <x v="1"/>
    <x v="30"/>
    <x v="30"/>
    <x v="30"/>
    <s v="REVENUS"/>
    <x v="6"/>
    <s v="4211.001"/>
    <s v="Intérêts de retard sur factures"/>
    <n v="0"/>
    <n v="33.21"/>
    <n v="4211"/>
  </r>
  <r>
    <x v="0"/>
    <x v="1"/>
    <x v="1"/>
    <x v="30"/>
    <x v="30"/>
    <x v="30"/>
    <s v="REVENUS"/>
    <x v="2"/>
    <s v="4001.002"/>
    <s v="Impôt complément s/revenu PP"/>
    <n v="0"/>
    <n v="174428.79999999999"/>
    <n v="4001"/>
  </r>
  <r>
    <x v="0"/>
    <x v="1"/>
    <x v="1"/>
    <x v="30"/>
    <x v="30"/>
    <x v="30"/>
    <s v="REVENUS"/>
    <x v="3"/>
    <s v="4002.002"/>
    <s v="Impôt complémentaire s/fortune PP"/>
    <n v="0"/>
    <n v="20011.349999999999"/>
    <n v="4002"/>
  </r>
  <r>
    <x v="0"/>
    <x v="1"/>
    <x v="1"/>
    <x v="30"/>
    <x v="30"/>
    <x v="30"/>
    <s v="REVENUS"/>
    <x v="6"/>
    <s v="4211.002"/>
    <s v="Intérêts de retard sur acomptes"/>
    <n v="0"/>
    <n v="29.88"/>
    <n v="4211"/>
  </r>
  <r>
    <x v="0"/>
    <x v="1"/>
    <x v="1"/>
    <x v="30"/>
    <x v="30"/>
    <x v="30"/>
    <s v="REVENUS"/>
    <x v="3"/>
    <s v="4002.001"/>
    <s v="Impôt ordinaire s/fortune PP"/>
    <n v="0"/>
    <n v="0"/>
    <n v="4002"/>
  </r>
  <r>
    <x v="0"/>
    <x v="1"/>
    <x v="1"/>
    <x v="30"/>
    <x v="30"/>
    <x v="30"/>
    <s v="REVENUS"/>
    <x v="6"/>
    <s v="4221.003"/>
    <s v="Intérêts compensat. / acomptes en faveur du fisc"/>
    <n v="0"/>
    <n v="0.01"/>
    <n v="4221"/>
  </r>
  <r>
    <x v="0"/>
    <x v="1"/>
    <x v="1"/>
    <x v="30"/>
    <x v="30"/>
    <x v="30"/>
    <s v="REVENUS"/>
    <x v="3"/>
    <s v="4002.002"/>
    <s v="Impôt complémentaire s/fortune PP"/>
    <n v="0"/>
    <n v="48.35"/>
    <n v="4002"/>
  </r>
  <r>
    <x v="0"/>
    <x v="1"/>
    <x v="1"/>
    <x v="30"/>
    <x v="30"/>
    <x v="30"/>
    <s v="REVENUS"/>
    <x v="3"/>
    <s v="4002.007"/>
    <s v="Acompte impôt sur fortune"/>
    <n v="0"/>
    <n v="6098.9"/>
    <n v="4002"/>
  </r>
  <r>
    <x v="0"/>
    <x v="1"/>
    <x v="1"/>
    <x v="30"/>
    <x v="30"/>
    <x v="30"/>
    <s v="REVENUS"/>
    <x v="3"/>
    <s v="4002.001"/>
    <s v="Impôt ordinaire s/fortune PP"/>
    <n v="0"/>
    <n v="183.5"/>
    <n v="4002"/>
  </r>
  <r>
    <x v="0"/>
    <x v="1"/>
    <x v="1"/>
    <x v="30"/>
    <x v="30"/>
    <x v="30"/>
    <s v="REVENUS"/>
    <x v="2"/>
    <s v="4001.001"/>
    <s v="Impôt revenu"/>
    <n v="0"/>
    <n v="-61758.8"/>
    <n v="4001"/>
  </r>
  <r>
    <x v="0"/>
    <x v="1"/>
    <x v="1"/>
    <x v="30"/>
    <x v="30"/>
    <x v="30"/>
    <s v="REVENUS"/>
    <x v="3"/>
    <s v="4002.001"/>
    <s v="Impôt ordinaire s/fortune PP"/>
    <n v="0"/>
    <n v="-842.15"/>
    <n v="4002"/>
  </r>
  <r>
    <x v="0"/>
    <x v="1"/>
    <x v="1"/>
    <x v="30"/>
    <x v="30"/>
    <x v="30"/>
    <s v="REVENUS"/>
    <x v="5"/>
    <s v="4061.000"/>
    <s v="Impôt sur les chiens"/>
    <n v="0"/>
    <n v="4125"/>
    <n v="4061"/>
  </r>
  <r>
    <x v="0"/>
    <x v="1"/>
    <x v="1"/>
    <x v="30"/>
    <x v="30"/>
    <x v="30"/>
    <s v="REVENUS"/>
    <x v="9"/>
    <s v="4031.001"/>
    <s v="Impôt sur les gains immobiliers"/>
    <n v="0"/>
    <n v="6270.2"/>
    <n v="4031"/>
  </r>
  <r>
    <x v="0"/>
    <x v="1"/>
    <x v="1"/>
    <x v="30"/>
    <x v="30"/>
    <x v="30"/>
    <s v="REVENUS"/>
    <x v="2"/>
    <s v="4001.001"/>
    <s v="Impôt revenu"/>
    <n v="0"/>
    <n v="-14950.9"/>
    <n v="4001"/>
  </r>
  <r>
    <x v="0"/>
    <x v="1"/>
    <x v="1"/>
    <x v="30"/>
    <x v="30"/>
    <x v="30"/>
    <s v="REVENUS"/>
    <x v="6"/>
    <s v="4221.002"/>
    <s v="Intérêts compensat. sur impôts distincts"/>
    <n v="0"/>
    <n v="18.93"/>
    <n v="4221"/>
  </r>
  <r>
    <x v="0"/>
    <x v="1"/>
    <x v="1"/>
    <x v="30"/>
    <x v="30"/>
    <x v="30"/>
    <s v="REVENUS"/>
    <x v="6"/>
    <s v="4211.002"/>
    <s v="Intérêts de retard sur acomptes"/>
    <n v="0"/>
    <n v="-68.58"/>
    <n v="4211"/>
  </r>
  <r>
    <x v="0"/>
    <x v="1"/>
    <x v="1"/>
    <x v="30"/>
    <x v="30"/>
    <x v="30"/>
    <s v="REVENUS"/>
    <x v="6"/>
    <s v="4221.003"/>
    <s v="Intérêts compensat. / acomptes en faveur du fisc"/>
    <n v="0"/>
    <n v="-6.71"/>
    <n v="4221"/>
  </r>
  <r>
    <x v="0"/>
    <x v="3"/>
    <x v="3"/>
    <x v="31"/>
    <x v="31"/>
    <x v="31"/>
    <s v="CHARGES"/>
    <x v="0"/>
    <s v="3212.002"/>
    <s v="Intérêts bonifiés/trop perçu acompte C/C"/>
    <n v="84.14"/>
    <n v="0"/>
    <n v="3212"/>
  </r>
  <r>
    <x v="0"/>
    <x v="3"/>
    <x v="3"/>
    <x v="31"/>
    <x v="31"/>
    <x v="31"/>
    <s v="CHARGES"/>
    <x v="0"/>
    <s v="3212.004"/>
    <s v="Intérêts rémun./perçu trop tôt sur acomptes C/C"/>
    <n v="928.67"/>
    <n v="0"/>
    <n v="3212"/>
  </r>
  <r>
    <x v="0"/>
    <x v="3"/>
    <x v="3"/>
    <x v="31"/>
    <x v="31"/>
    <x v="31"/>
    <s v="CHARGES"/>
    <x v="0"/>
    <s v="3221.002"/>
    <s v="Intérêts compensatoires / créances en faveur ctb."/>
    <n v="434.58"/>
    <n v="0"/>
    <n v="3221"/>
  </r>
  <r>
    <x v="0"/>
    <x v="3"/>
    <x v="3"/>
    <x v="31"/>
    <x v="31"/>
    <x v="31"/>
    <s v="CHARGES"/>
    <x v="1"/>
    <s v="3301.001"/>
    <s v="Défalcations, abandons de solde PP et IS"/>
    <n v="236434.86"/>
    <n v="0"/>
    <n v="3301"/>
  </r>
  <r>
    <x v="0"/>
    <x v="3"/>
    <x v="3"/>
    <x v="31"/>
    <x v="31"/>
    <x v="31"/>
    <s v="CHARGES"/>
    <x v="1"/>
    <s v="3301.001"/>
    <s v="Défalcations, abandons de solde PP et IS"/>
    <n v="6.72"/>
    <n v="0"/>
    <n v="3301"/>
  </r>
  <r>
    <x v="0"/>
    <x v="3"/>
    <x v="3"/>
    <x v="31"/>
    <x v="31"/>
    <x v="31"/>
    <s v="CHARGES"/>
    <x v="0"/>
    <s v="3212.004"/>
    <s v="Intérêts rémun./perçu trop tôt sur acomptes C/C"/>
    <n v="-1.18"/>
    <n v="0"/>
    <n v="3212"/>
  </r>
  <r>
    <x v="0"/>
    <x v="3"/>
    <x v="3"/>
    <x v="31"/>
    <x v="31"/>
    <x v="31"/>
    <s v="CHARGES"/>
    <x v="0"/>
    <s v="3221.002"/>
    <s v="Intérêts compensatoires / créances en faveur ctb."/>
    <n v="0.53"/>
    <n v="0"/>
    <n v="3221"/>
  </r>
  <r>
    <x v="0"/>
    <x v="3"/>
    <x v="3"/>
    <x v="31"/>
    <x v="31"/>
    <x v="31"/>
    <s v="CHARGES"/>
    <x v="1"/>
    <s v="3301.001"/>
    <s v="Défalcations, abandons de solde PP et IS"/>
    <n v="41902.089999999997"/>
    <n v="0"/>
    <n v="3301"/>
  </r>
  <r>
    <x v="0"/>
    <x v="3"/>
    <x v="3"/>
    <x v="31"/>
    <x v="31"/>
    <x v="31"/>
    <s v="CHARGES"/>
    <x v="1"/>
    <s v="3301.003"/>
    <s v="Remises PP et IS"/>
    <n v="13314.89"/>
    <n v="0"/>
    <n v="3301"/>
  </r>
  <r>
    <x v="0"/>
    <x v="3"/>
    <x v="3"/>
    <x v="31"/>
    <x v="31"/>
    <x v="31"/>
    <s v="CHARGES"/>
    <x v="0"/>
    <s v="3212.004"/>
    <s v="Intérêts rémun./perçu trop tôt sur acomptes C/C"/>
    <n v="5.33"/>
    <n v="0"/>
    <n v="3212"/>
  </r>
  <r>
    <x v="0"/>
    <x v="3"/>
    <x v="3"/>
    <x v="31"/>
    <x v="31"/>
    <x v="31"/>
    <s v="CHARGES"/>
    <x v="0"/>
    <s v="3221.002"/>
    <s v="Intérêts compensatoires / créances en faveur ctb."/>
    <n v="5.56"/>
    <n v="0"/>
    <n v="3221"/>
  </r>
  <r>
    <x v="0"/>
    <x v="3"/>
    <x v="3"/>
    <x v="31"/>
    <x v="31"/>
    <x v="31"/>
    <s v="CHARGES"/>
    <x v="1"/>
    <s v="3301.001"/>
    <s v="Défalcations, abandons de solde PP et IS"/>
    <n v="0.65"/>
    <n v="0"/>
    <n v="3301"/>
  </r>
  <r>
    <x v="0"/>
    <x v="3"/>
    <x v="3"/>
    <x v="31"/>
    <x v="31"/>
    <x v="31"/>
    <s v="CHARGES"/>
    <x v="0"/>
    <s v="3212.004"/>
    <s v="Intérêts rémun./perçu trop tôt sur acomptes C/C"/>
    <n v="1.01"/>
    <n v="0"/>
    <n v="3212"/>
  </r>
  <r>
    <x v="0"/>
    <x v="3"/>
    <x v="3"/>
    <x v="31"/>
    <x v="31"/>
    <x v="31"/>
    <s v="CHARGES"/>
    <x v="0"/>
    <s v="3212.004"/>
    <s v="Intérêts rémun./perçu trop tôt sur acomptes C/C"/>
    <n v="6.14"/>
    <n v="0"/>
    <n v="3212"/>
  </r>
  <r>
    <x v="0"/>
    <x v="3"/>
    <x v="3"/>
    <x v="31"/>
    <x v="31"/>
    <x v="31"/>
    <s v="CHARGES"/>
    <x v="0"/>
    <s v="3221.002"/>
    <s v="Intérêts compensatoires / créances en faveur ctb."/>
    <n v="1.94"/>
    <n v="0"/>
    <n v="3221"/>
  </r>
  <r>
    <x v="0"/>
    <x v="3"/>
    <x v="3"/>
    <x v="31"/>
    <x v="31"/>
    <x v="31"/>
    <s v="CHARGES"/>
    <x v="1"/>
    <s v="3301.001"/>
    <s v="Défalcations, abandons de solde PP et IS"/>
    <n v="0.22"/>
    <n v="0"/>
    <n v="3301"/>
  </r>
  <r>
    <x v="0"/>
    <x v="3"/>
    <x v="3"/>
    <x v="31"/>
    <x v="31"/>
    <x v="31"/>
    <s v="CHARGES"/>
    <x v="0"/>
    <s v="3212.004"/>
    <s v="Intérêts rémun./perçu trop tôt sur acomptes C/C"/>
    <n v="0.22"/>
    <n v="0"/>
    <n v="3212"/>
  </r>
  <r>
    <x v="0"/>
    <x v="3"/>
    <x v="3"/>
    <x v="31"/>
    <x v="31"/>
    <x v="31"/>
    <s v="CHARGES"/>
    <x v="0"/>
    <s v="3221.002"/>
    <s v="Intérêts compensatoires / créances en faveur ctb."/>
    <n v="0.34"/>
    <n v="0"/>
    <n v="3221"/>
  </r>
  <r>
    <x v="0"/>
    <x v="3"/>
    <x v="3"/>
    <x v="31"/>
    <x v="31"/>
    <x v="31"/>
    <s v="CHARGES"/>
    <x v="1"/>
    <s v="3301.001"/>
    <s v="Défalcations, abandons de solde PP et IS"/>
    <n v="0.06"/>
    <n v="0"/>
    <n v="3301"/>
  </r>
  <r>
    <x v="0"/>
    <x v="3"/>
    <x v="3"/>
    <x v="31"/>
    <x v="31"/>
    <x v="31"/>
    <s v="CHARGES"/>
    <x v="1"/>
    <s v="3301.001"/>
    <s v="Défalcations, abandons de solde PP et IS"/>
    <n v="6.2"/>
    <n v="0"/>
    <n v="3301"/>
  </r>
  <r>
    <x v="0"/>
    <x v="3"/>
    <x v="3"/>
    <x v="31"/>
    <x v="31"/>
    <x v="31"/>
    <s v="CHARGES"/>
    <x v="1"/>
    <s v="3301.001"/>
    <s v="Défalcations, abandons de solde PP et IS"/>
    <n v="-2.34"/>
    <n v="0"/>
    <n v="3301"/>
  </r>
  <r>
    <x v="0"/>
    <x v="3"/>
    <x v="3"/>
    <x v="31"/>
    <x v="31"/>
    <x v="31"/>
    <s v="CHARGES"/>
    <x v="0"/>
    <s v="3212.002"/>
    <s v="Intérêts bonifiés/trop perçu acompte C/C"/>
    <n v="-12.08"/>
    <n v="0"/>
    <n v="3212"/>
  </r>
  <r>
    <x v="0"/>
    <x v="3"/>
    <x v="3"/>
    <x v="31"/>
    <x v="31"/>
    <x v="31"/>
    <s v="CHARGES"/>
    <x v="0"/>
    <s v="3212.002"/>
    <s v="Intérêts bonifiés/trop perçu acompte C/C"/>
    <n v="-16.98"/>
    <n v="0"/>
    <n v="3212"/>
  </r>
  <r>
    <x v="0"/>
    <x v="3"/>
    <x v="3"/>
    <x v="31"/>
    <x v="31"/>
    <x v="31"/>
    <s v="CHARGES"/>
    <x v="0"/>
    <s v="3212.004"/>
    <s v="Intérêts rémun./perçu trop tôt sur acomptes C/C"/>
    <n v="1.28"/>
    <n v="0"/>
    <n v="3212"/>
  </r>
  <r>
    <x v="0"/>
    <x v="3"/>
    <x v="3"/>
    <x v="31"/>
    <x v="31"/>
    <x v="31"/>
    <s v="CHARGES"/>
    <x v="0"/>
    <s v="3221.002"/>
    <s v="Intérêts compensatoires / créances en faveur ctb."/>
    <n v="0.46"/>
    <n v="0"/>
    <n v="3221"/>
  </r>
  <r>
    <x v="0"/>
    <x v="3"/>
    <x v="3"/>
    <x v="31"/>
    <x v="31"/>
    <x v="31"/>
    <s v="CHARGES"/>
    <x v="1"/>
    <s v="3301.003"/>
    <s v="Remises PP et IS"/>
    <n v="120.95"/>
    <n v="0"/>
    <n v="3301"/>
  </r>
  <r>
    <x v="0"/>
    <x v="3"/>
    <x v="3"/>
    <x v="31"/>
    <x v="31"/>
    <x v="31"/>
    <s v="CHARGES"/>
    <x v="0"/>
    <s v="3212.004"/>
    <s v="Intérêts rémun./perçu trop tôt sur acomptes C/C"/>
    <n v="7.0000000000000007E-2"/>
    <n v="0"/>
    <n v="3212"/>
  </r>
  <r>
    <x v="0"/>
    <x v="3"/>
    <x v="3"/>
    <x v="31"/>
    <x v="31"/>
    <x v="31"/>
    <s v="REVENUS"/>
    <x v="8"/>
    <s v="4091.001"/>
    <s v="Impôt récupéré après défalcations"/>
    <n v="0"/>
    <n v="32139.18"/>
    <n v="4091"/>
  </r>
  <r>
    <x v="0"/>
    <x v="3"/>
    <x v="3"/>
    <x v="31"/>
    <x v="31"/>
    <x v="31"/>
    <s v="REVENUS"/>
    <x v="2"/>
    <s v="4001.007"/>
    <s v="Acompte impôt sur revenu"/>
    <n v="0"/>
    <n v="-1399611.95"/>
    <n v="4001"/>
  </r>
  <r>
    <x v="0"/>
    <x v="3"/>
    <x v="3"/>
    <x v="31"/>
    <x v="31"/>
    <x v="31"/>
    <s v="REVENUS"/>
    <x v="3"/>
    <s v="4002.007"/>
    <s v="Acompte impôt sur fortune"/>
    <n v="0"/>
    <n v="-232826.4"/>
    <n v="4002"/>
  </r>
  <r>
    <x v="0"/>
    <x v="3"/>
    <x v="3"/>
    <x v="31"/>
    <x v="31"/>
    <x v="31"/>
    <s v="REVENUS"/>
    <x v="2"/>
    <s v="4001.001"/>
    <s v="Impôt revenu"/>
    <n v="0"/>
    <n v="5060568.6500000004"/>
    <n v="4001"/>
  </r>
  <r>
    <x v="0"/>
    <x v="3"/>
    <x v="3"/>
    <x v="31"/>
    <x v="31"/>
    <x v="31"/>
    <s v="REVENUS"/>
    <x v="2"/>
    <s v="4001.003"/>
    <s v="Impôt s/prest. cap. PP"/>
    <n v="0"/>
    <n v="309103.65000000002"/>
    <n v="4001"/>
  </r>
  <r>
    <x v="0"/>
    <x v="3"/>
    <x v="3"/>
    <x v="31"/>
    <x v="31"/>
    <x v="31"/>
    <s v="REVENUS"/>
    <x v="2"/>
    <s v="4001.007"/>
    <s v="Acompte impôt sur revenu"/>
    <n v="0"/>
    <n v="618936.53"/>
    <n v="4001"/>
  </r>
  <r>
    <x v="0"/>
    <x v="3"/>
    <x v="3"/>
    <x v="31"/>
    <x v="31"/>
    <x v="31"/>
    <s v="REVENUS"/>
    <x v="3"/>
    <s v="4002.001"/>
    <s v="Impôt ordinaire s/fortune PP"/>
    <n v="0"/>
    <n v="542721.05000000005"/>
    <n v="4002"/>
  </r>
  <r>
    <x v="0"/>
    <x v="3"/>
    <x v="3"/>
    <x v="31"/>
    <x v="31"/>
    <x v="31"/>
    <s v="REVENUS"/>
    <x v="3"/>
    <s v="4002.007"/>
    <s v="Acompte impôt sur fortune"/>
    <n v="0"/>
    <n v="143359.72"/>
    <n v="4002"/>
  </r>
  <r>
    <x v="0"/>
    <x v="3"/>
    <x v="3"/>
    <x v="31"/>
    <x v="31"/>
    <x v="31"/>
    <s v="REVENUS"/>
    <x v="6"/>
    <s v="4211.001"/>
    <s v="Intérêts de retard sur factures"/>
    <n v="0"/>
    <n v="32044.54"/>
    <n v="4211"/>
  </r>
  <r>
    <x v="0"/>
    <x v="3"/>
    <x v="3"/>
    <x v="31"/>
    <x v="31"/>
    <x v="31"/>
    <s v="REVENUS"/>
    <x v="6"/>
    <s v="4211.002"/>
    <s v="Intérêts de retard sur acomptes"/>
    <n v="0"/>
    <n v="42912.29"/>
    <n v="4211"/>
  </r>
  <r>
    <x v="0"/>
    <x v="3"/>
    <x v="3"/>
    <x v="31"/>
    <x v="31"/>
    <x v="31"/>
    <s v="REVENUS"/>
    <x v="3"/>
    <s v="4002.001"/>
    <s v="Impôt ordinaire s/fortune PP"/>
    <n v="0"/>
    <n v="13822.15"/>
    <n v="4002"/>
  </r>
  <r>
    <x v="0"/>
    <x v="3"/>
    <x v="3"/>
    <x v="31"/>
    <x v="31"/>
    <x v="31"/>
    <s v="REVENUS"/>
    <x v="6"/>
    <s v="4211.002"/>
    <s v="Intérêts de retard sur acomptes"/>
    <n v="0"/>
    <n v="1051.1400000000001"/>
    <n v="4211"/>
  </r>
  <r>
    <x v="0"/>
    <x v="3"/>
    <x v="3"/>
    <x v="31"/>
    <x v="31"/>
    <x v="31"/>
    <s v="REVENUS"/>
    <x v="6"/>
    <s v="4221.003"/>
    <s v="Intérêts compensat. / acomptes en faveur du fisc"/>
    <n v="0"/>
    <n v="4.18"/>
    <n v="4221"/>
  </r>
  <r>
    <x v="0"/>
    <x v="3"/>
    <x v="3"/>
    <x v="31"/>
    <x v="31"/>
    <x v="31"/>
    <s v="REVENUS"/>
    <x v="2"/>
    <s v="4001.001"/>
    <s v="Impôt revenu"/>
    <n v="0"/>
    <n v="-379728.75"/>
    <n v="4001"/>
  </r>
  <r>
    <x v="0"/>
    <x v="3"/>
    <x v="3"/>
    <x v="31"/>
    <x v="31"/>
    <x v="31"/>
    <s v="REVENUS"/>
    <x v="2"/>
    <s v="4001.002"/>
    <s v="Impôt complément s/revenu PP"/>
    <n v="0"/>
    <n v="779682.05"/>
    <n v="4001"/>
  </r>
  <r>
    <x v="0"/>
    <x v="3"/>
    <x v="3"/>
    <x v="31"/>
    <x v="31"/>
    <x v="31"/>
    <s v="REVENUS"/>
    <x v="3"/>
    <s v="4002.002"/>
    <s v="Impôt complémentaire s/fortune PP"/>
    <n v="0"/>
    <n v="87565.95"/>
    <n v="4002"/>
  </r>
  <r>
    <x v="0"/>
    <x v="3"/>
    <x v="3"/>
    <x v="31"/>
    <x v="31"/>
    <x v="31"/>
    <s v="REVENUS"/>
    <x v="10"/>
    <s v="4041.001"/>
    <s v="Droits de mutation"/>
    <n v="0"/>
    <n v="259017.65"/>
    <n v="4041"/>
  </r>
  <r>
    <x v="0"/>
    <x v="3"/>
    <x v="3"/>
    <x v="31"/>
    <x v="31"/>
    <x v="31"/>
    <s v="REVENUS"/>
    <x v="4"/>
    <s v="4051.002"/>
    <s v="Impôt sur les donations"/>
    <n v="0"/>
    <n v="0"/>
    <n v="4051"/>
  </r>
  <r>
    <x v="0"/>
    <x v="3"/>
    <x v="3"/>
    <x v="31"/>
    <x v="31"/>
    <x v="31"/>
    <s v="REVENUS"/>
    <x v="7"/>
    <s v="4184.000"/>
    <s v="Frais de poursuite"/>
    <n v="0"/>
    <n v="18601.5"/>
    <n v="4184"/>
  </r>
  <r>
    <x v="0"/>
    <x v="3"/>
    <x v="3"/>
    <x v="31"/>
    <x v="31"/>
    <x v="31"/>
    <s v="REVENUS"/>
    <x v="6"/>
    <s v="4221.003"/>
    <s v="Intérêts compensat. / acomptes en faveur du fisc"/>
    <n v="0"/>
    <n v="499.26"/>
    <n v="4221"/>
  </r>
  <r>
    <x v="0"/>
    <x v="3"/>
    <x v="3"/>
    <x v="31"/>
    <x v="31"/>
    <x v="31"/>
    <s v="REVENUS"/>
    <x v="6"/>
    <s v="4221.002"/>
    <s v="Intérêts compensat. sur impôts distincts"/>
    <n v="0"/>
    <n v="322.18"/>
    <n v="4221"/>
  </r>
  <r>
    <x v="0"/>
    <x v="3"/>
    <x v="3"/>
    <x v="31"/>
    <x v="31"/>
    <x v="31"/>
    <s v="REVENUS"/>
    <x v="8"/>
    <s v="4091.003"/>
    <s v="Impôt récupéré concordat"/>
    <n v="0"/>
    <n v="24662.62"/>
    <n v="4091"/>
  </r>
  <r>
    <x v="0"/>
    <x v="3"/>
    <x v="3"/>
    <x v="31"/>
    <x v="31"/>
    <x v="31"/>
    <s v="REVENUS"/>
    <x v="2"/>
    <s v="4001.001"/>
    <s v="Impôt revenu"/>
    <n v="0"/>
    <n v="-28761.9"/>
    <n v="4001"/>
  </r>
  <r>
    <x v="0"/>
    <x v="3"/>
    <x v="3"/>
    <x v="31"/>
    <x v="31"/>
    <x v="31"/>
    <s v="REVENUS"/>
    <x v="2"/>
    <s v="4001.001"/>
    <s v="Impôt revenu"/>
    <n v="0"/>
    <n v="41246.6"/>
    <n v="4001"/>
  </r>
  <r>
    <x v="0"/>
    <x v="3"/>
    <x v="3"/>
    <x v="31"/>
    <x v="31"/>
    <x v="31"/>
    <s v="REVENUS"/>
    <x v="3"/>
    <s v="4002.007"/>
    <s v="Acompte impôt sur fortune"/>
    <n v="0"/>
    <n v="-6094.43"/>
    <n v="4002"/>
  </r>
  <r>
    <x v="0"/>
    <x v="3"/>
    <x v="3"/>
    <x v="31"/>
    <x v="31"/>
    <x v="31"/>
    <s v="REVENUS"/>
    <x v="2"/>
    <s v="4001.001"/>
    <s v="Impôt revenu"/>
    <n v="0"/>
    <n v="13287.55"/>
    <n v="4001"/>
  </r>
  <r>
    <x v="0"/>
    <x v="3"/>
    <x v="3"/>
    <x v="31"/>
    <x v="31"/>
    <x v="31"/>
    <s v="REVENUS"/>
    <x v="2"/>
    <s v="4001.007"/>
    <s v="Acompte impôt sur revenu"/>
    <n v="0"/>
    <n v="7106.8"/>
    <n v="4001"/>
  </r>
  <r>
    <x v="0"/>
    <x v="3"/>
    <x v="3"/>
    <x v="31"/>
    <x v="31"/>
    <x v="31"/>
    <s v="REVENUS"/>
    <x v="3"/>
    <s v="4002.001"/>
    <s v="Impôt ordinaire s/fortune PP"/>
    <n v="0"/>
    <n v="102.1"/>
    <n v="4002"/>
  </r>
  <r>
    <x v="0"/>
    <x v="3"/>
    <x v="3"/>
    <x v="31"/>
    <x v="31"/>
    <x v="31"/>
    <s v="REVENUS"/>
    <x v="6"/>
    <s v="4211.002"/>
    <s v="Intérêts de retard sur acomptes"/>
    <n v="0"/>
    <n v="99.17"/>
    <n v="4211"/>
  </r>
  <r>
    <x v="0"/>
    <x v="3"/>
    <x v="3"/>
    <x v="31"/>
    <x v="31"/>
    <x v="31"/>
    <s v="REVENUS"/>
    <x v="3"/>
    <s v="4002.002"/>
    <s v="Impôt complémentaire s/fortune PP"/>
    <n v="0"/>
    <n v="2720.25"/>
    <n v="4002"/>
  </r>
  <r>
    <x v="0"/>
    <x v="3"/>
    <x v="3"/>
    <x v="31"/>
    <x v="31"/>
    <x v="31"/>
    <s v="REVENUS"/>
    <x v="6"/>
    <s v="4211.001"/>
    <s v="Intérêts de retard sur factures"/>
    <n v="0"/>
    <n v="12.71"/>
    <n v="4211"/>
  </r>
  <r>
    <x v="0"/>
    <x v="3"/>
    <x v="3"/>
    <x v="31"/>
    <x v="31"/>
    <x v="31"/>
    <s v="REVENUS"/>
    <x v="2"/>
    <s v="4001.001"/>
    <s v="Impôt revenu"/>
    <n v="0"/>
    <n v="782.95"/>
    <n v="4001"/>
  </r>
  <r>
    <x v="0"/>
    <x v="3"/>
    <x v="3"/>
    <x v="31"/>
    <x v="31"/>
    <x v="31"/>
    <s v="REVENUS"/>
    <x v="3"/>
    <s v="4002.001"/>
    <s v="Impôt ordinaire s/fortune PP"/>
    <n v="0"/>
    <n v="310.8"/>
    <n v="4002"/>
  </r>
  <r>
    <x v="0"/>
    <x v="3"/>
    <x v="3"/>
    <x v="31"/>
    <x v="31"/>
    <x v="31"/>
    <s v="REVENUS"/>
    <x v="3"/>
    <s v="4002.007"/>
    <s v="Acompte impôt sur fortune"/>
    <n v="0"/>
    <n v="15.95"/>
    <n v="4002"/>
  </r>
  <r>
    <x v="0"/>
    <x v="3"/>
    <x v="3"/>
    <x v="31"/>
    <x v="31"/>
    <x v="31"/>
    <s v="REVENUS"/>
    <x v="6"/>
    <s v="4211.002"/>
    <s v="Intérêts de retard sur acomptes"/>
    <n v="0"/>
    <n v="4.21"/>
    <n v="4211"/>
  </r>
  <r>
    <x v="0"/>
    <x v="3"/>
    <x v="3"/>
    <x v="31"/>
    <x v="31"/>
    <x v="31"/>
    <s v="REVENUS"/>
    <x v="6"/>
    <s v="4221.003"/>
    <s v="Intérêts compensat. / acomptes en faveur du fisc"/>
    <n v="0"/>
    <n v="0.91"/>
    <n v="4221"/>
  </r>
  <r>
    <x v="0"/>
    <x v="3"/>
    <x v="3"/>
    <x v="31"/>
    <x v="31"/>
    <x v="31"/>
    <s v="REVENUS"/>
    <x v="3"/>
    <s v="4002.001"/>
    <s v="Impôt ordinaire s/fortune PP"/>
    <n v="0"/>
    <n v="2428.6999999999998"/>
    <n v="4002"/>
  </r>
  <r>
    <x v="0"/>
    <x v="3"/>
    <x v="3"/>
    <x v="31"/>
    <x v="31"/>
    <x v="31"/>
    <s v="REVENUS"/>
    <x v="2"/>
    <s v="4001.007"/>
    <s v="Acompte impôt sur revenu"/>
    <n v="0"/>
    <n v="-3969.65"/>
    <n v="4001"/>
  </r>
  <r>
    <x v="0"/>
    <x v="3"/>
    <x v="3"/>
    <x v="31"/>
    <x v="31"/>
    <x v="31"/>
    <s v="REVENUS"/>
    <x v="3"/>
    <s v="4002.007"/>
    <s v="Acompte impôt sur fortune"/>
    <n v="0"/>
    <n v="-1640.27"/>
    <n v="4002"/>
  </r>
  <r>
    <x v="0"/>
    <x v="3"/>
    <x v="3"/>
    <x v="31"/>
    <x v="31"/>
    <x v="31"/>
    <s v="REVENUS"/>
    <x v="3"/>
    <s v="4002.001"/>
    <s v="Impôt ordinaire s/fortune PP"/>
    <n v="0"/>
    <n v="5084.05"/>
    <n v="4002"/>
  </r>
  <r>
    <x v="0"/>
    <x v="3"/>
    <x v="3"/>
    <x v="31"/>
    <x v="31"/>
    <x v="31"/>
    <s v="REVENUS"/>
    <x v="2"/>
    <s v="4001.001"/>
    <s v="Impôt revenu"/>
    <n v="0"/>
    <n v="5659.9"/>
    <n v="4001"/>
  </r>
  <r>
    <x v="0"/>
    <x v="3"/>
    <x v="3"/>
    <x v="31"/>
    <x v="31"/>
    <x v="31"/>
    <s v="REVENUS"/>
    <x v="5"/>
    <s v="4061.000"/>
    <s v="Impôt sur les chiens"/>
    <n v="0"/>
    <n v="25300"/>
    <n v="4061"/>
  </r>
  <r>
    <x v="0"/>
    <x v="3"/>
    <x v="3"/>
    <x v="31"/>
    <x v="31"/>
    <x v="31"/>
    <s v="REVENUS"/>
    <x v="3"/>
    <s v="4002.002"/>
    <s v="Impôt complémentaire s/fortune PP"/>
    <n v="0"/>
    <n v="1083.25"/>
    <n v="4002"/>
  </r>
  <r>
    <x v="0"/>
    <x v="3"/>
    <x v="3"/>
    <x v="31"/>
    <x v="31"/>
    <x v="31"/>
    <s v="REVENUS"/>
    <x v="6"/>
    <s v="4211.001"/>
    <s v="Intérêts de retard sur factures"/>
    <n v="0"/>
    <n v="9.07"/>
    <n v="4211"/>
  </r>
  <r>
    <x v="0"/>
    <x v="3"/>
    <x v="3"/>
    <x v="31"/>
    <x v="31"/>
    <x v="31"/>
    <s v="REVENUS"/>
    <x v="6"/>
    <s v="4221.003"/>
    <s v="Intérêts compensat. / acomptes en faveur du fisc"/>
    <n v="0"/>
    <n v="0.65"/>
    <n v="4221"/>
  </r>
  <r>
    <x v="0"/>
    <x v="3"/>
    <x v="3"/>
    <x v="31"/>
    <x v="31"/>
    <x v="31"/>
    <s v="REVENUS"/>
    <x v="3"/>
    <s v="4002.007"/>
    <s v="Acompte impôt sur fortune"/>
    <n v="0"/>
    <n v="2400.75"/>
    <n v="4002"/>
  </r>
  <r>
    <x v="0"/>
    <x v="3"/>
    <x v="3"/>
    <x v="31"/>
    <x v="31"/>
    <x v="31"/>
    <s v="REVENUS"/>
    <x v="6"/>
    <s v="4221.003"/>
    <s v="Intérêts compensat. / acomptes en faveur du fisc"/>
    <n v="0"/>
    <n v="0.28000000000000003"/>
    <n v="4221"/>
  </r>
  <r>
    <x v="0"/>
    <x v="3"/>
    <x v="3"/>
    <x v="31"/>
    <x v="31"/>
    <x v="31"/>
    <s v="REVENUS"/>
    <x v="3"/>
    <s v="4002.007"/>
    <s v="Acompte impôt sur fortune"/>
    <n v="0"/>
    <n v="59.8"/>
    <n v="4002"/>
  </r>
  <r>
    <x v="0"/>
    <x v="3"/>
    <x v="3"/>
    <x v="31"/>
    <x v="31"/>
    <x v="31"/>
    <s v="REVENUS"/>
    <x v="2"/>
    <s v="4001.007"/>
    <s v="Acompte impôt sur revenu"/>
    <n v="0"/>
    <n v="-1323"/>
    <n v="4001"/>
  </r>
  <r>
    <x v="0"/>
    <x v="3"/>
    <x v="3"/>
    <x v="31"/>
    <x v="31"/>
    <x v="31"/>
    <s v="REVENUS"/>
    <x v="3"/>
    <s v="4002.007"/>
    <s v="Acompte impôt sur fortune"/>
    <n v="0"/>
    <n v="152"/>
    <n v="4002"/>
  </r>
  <r>
    <x v="0"/>
    <x v="3"/>
    <x v="3"/>
    <x v="31"/>
    <x v="31"/>
    <x v="31"/>
    <s v="REVENUS"/>
    <x v="2"/>
    <s v="4001.007"/>
    <s v="Acompte impôt sur revenu"/>
    <n v="0"/>
    <n v="-13432.17"/>
    <n v="4001"/>
  </r>
  <r>
    <x v="0"/>
    <x v="3"/>
    <x v="3"/>
    <x v="31"/>
    <x v="31"/>
    <x v="31"/>
    <s v="REVENUS"/>
    <x v="2"/>
    <s v="4001.007"/>
    <s v="Acompte impôt sur revenu"/>
    <n v="0"/>
    <n v="508.65"/>
    <n v="4001"/>
  </r>
  <r>
    <x v="0"/>
    <x v="3"/>
    <x v="3"/>
    <x v="31"/>
    <x v="31"/>
    <x v="31"/>
    <s v="REVENUS"/>
    <x v="3"/>
    <s v="4002.007"/>
    <s v="Acompte impôt sur fortune"/>
    <n v="0"/>
    <n v="-73.55"/>
    <n v="4002"/>
  </r>
  <r>
    <x v="0"/>
    <x v="3"/>
    <x v="3"/>
    <x v="31"/>
    <x v="31"/>
    <x v="31"/>
    <s v="REVENUS"/>
    <x v="2"/>
    <s v="4001.007"/>
    <s v="Acompte impôt sur revenu"/>
    <n v="0"/>
    <n v="85.55"/>
    <n v="4001"/>
  </r>
  <r>
    <x v="0"/>
    <x v="3"/>
    <x v="3"/>
    <x v="31"/>
    <x v="31"/>
    <x v="31"/>
    <s v="REVENUS"/>
    <x v="3"/>
    <s v="4002.007"/>
    <s v="Acompte impôt sur fortune"/>
    <n v="0"/>
    <n v="-5.9"/>
    <n v="4002"/>
  </r>
  <r>
    <x v="0"/>
    <x v="3"/>
    <x v="3"/>
    <x v="31"/>
    <x v="31"/>
    <x v="31"/>
    <s v="REVENUS"/>
    <x v="3"/>
    <s v="4002.001"/>
    <s v="Impôt ordinaire s/fortune PP"/>
    <n v="0"/>
    <n v="-22378.05"/>
    <n v="4002"/>
  </r>
  <r>
    <x v="0"/>
    <x v="3"/>
    <x v="3"/>
    <x v="31"/>
    <x v="31"/>
    <x v="31"/>
    <s v="REVENUS"/>
    <x v="7"/>
    <s v="4184.000"/>
    <s v="Frais de poursuite"/>
    <n v="0"/>
    <n v="544.4"/>
    <n v="4184"/>
  </r>
  <r>
    <x v="0"/>
    <x v="3"/>
    <x v="3"/>
    <x v="31"/>
    <x v="31"/>
    <x v="31"/>
    <s v="REVENUS"/>
    <x v="2"/>
    <s v="4001.001"/>
    <s v="Impôt revenu"/>
    <n v="0"/>
    <n v="2387.9499999999998"/>
    <n v="4001"/>
  </r>
  <r>
    <x v="0"/>
    <x v="3"/>
    <x v="3"/>
    <x v="31"/>
    <x v="31"/>
    <x v="31"/>
    <s v="REVENUS"/>
    <x v="3"/>
    <s v="4002.001"/>
    <s v="Impôt ordinaire s/fortune PP"/>
    <n v="0"/>
    <n v="527.35"/>
    <n v="4002"/>
  </r>
  <r>
    <x v="0"/>
    <x v="3"/>
    <x v="3"/>
    <x v="31"/>
    <x v="31"/>
    <x v="31"/>
    <s v="REVENUS"/>
    <x v="9"/>
    <s v="4031.001"/>
    <s v="Impôt sur les gains immobiliers"/>
    <n v="0"/>
    <n v="89075.75"/>
    <n v="4031"/>
  </r>
  <r>
    <x v="0"/>
    <x v="3"/>
    <x v="3"/>
    <x v="31"/>
    <x v="31"/>
    <x v="31"/>
    <s v="REVENUS"/>
    <x v="2"/>
    <s v="4001.001"/>
    <s v="Impôt revenu"/>
    <n v="0"/>
    <n v="1813.1"/>
    <n v="4001"/>
  </r>
  <r>
    <x v="0"/>
    <x v="3"/>
    <x v="3"/>
    <x v="31"/>
    <x v="31"/>
    <x v="31"/>
    <s v="REVENUS"/>
    <x v="2"/>
    <s v="4001.002"/>
    <s v="Impôt complément s/revenu PP"/>
    <n v="0"/>
    <n v="536.85"/>
    <n v="4001"/>
  </r>
  <r>
    <x v="0"/>
    <x v="3"/>
    <x v="3"/>
    <x v="31"/>
    <x v="31"/>
    <x v="31"/>
    <s v="REVENUS"/>
    <x v="6"/>
    <s v="4211.002"/>
    <s v="Intérêts de retard sur acomptes"/>
    <n v="0"/>
    <n v="24.96"/>
    <n v="4211"/>
  </r>
  <r>
    <x v="0"/>
    <x v="3"/>
    <x v="3"/>
    <x v="31"/>
    <x v="31"/>
    <x v="31"/>
    <s v="REVENUS"/>
    <x v="2"/>
    <s v="4001.003"/>
    <s v="Impôt s/prest. cap. PP"/>
    <n v="0"/>
    <n v="-13689.85"/>
    <n v="4001"/>
  </r>
  <r>
    <x v="0"/>
    <x v="3"/>
    <x v="3"/>
    <x v="31"/>
    <x v="31"/>
    <x v="31"/>
    <s v="REVENUS"/>
    <x v="2"/>
    <s v="4001.007"/>
    <s v="Acompte impôt sur revenu"/>
    <n v="0"/>
    <n v="652.70000000000005"/>
    <n v="4001"/>
  </r>
  <r>
    <x v="0"/>
    <x v="3"/>
    <x v="3"/>
    <x v="31"/>
    <x v="31"/>
    <x v="31"/>
    <s v="REVENUS"/>
    <x v="4"/>
    <s v="4051.001"/>
    <s v="Impôt sur les successions"/>
    <n v="0"/>
    <n v="107998.8"/>
    <n v="4051"/>
  </r>
  <r>
    <x v="0"/>
    <x v="3"/>
    <x v="3"/>
    <x v="31"/>
    <x v="31"/>
    <x v="31"/>
    <s v="REVENUS"/>
    <x v="11"/>
    <s v="4198.000"/>
    <s v="Contributions communales"/>
    <n v="0"/>
    <n v="582667.35"/>
    <n v="4198"/>
  </r>
  <r>
    <x v="0"/>
    <x v="3"/>
    <x v="3"/>
    <x v="31"/>
    <x v="31"/>
    <x v="31"/>
    <s v="REVENUS"/>
    <x v="6"/>
    <s v="4211.002"/>
    <s v="Intérêts de retard sur acomptes"/>
    <n v="0"/>
    <n v="12.54"/>
    <n v="4211"/>
  </r>
  <r>
    <x v="0"/>
    <x v="3"/>
    <x v="3"/>
    <x v="31"/>
    <x v="31"/>
    <x v="31"/>
    <s v="REVENUS"/>
    <x v="6"/>
    <s v="4221.003"/>
    <s v="Intérêts compensat. / acomptes en faveur du fisc"/>
    <n v="0"/>
    <n v="0.06"/>
    <n v="4221"/>
  </r>
  <r>
    <x v="0"/>
    <x v="3"/>
    <x v="3"/>
    <x v="31"/>
    <x v="31"/>
    <x v="31"/>
    <s v="REVENUS"/>
    <x v="11"/>
    <s v="4198.000"/>
    <s v="Contributions communales"/>
    <n v="0"/>
    <n v="-11.25"/>
    <n v="4198"/>
  </r>
  <r>
    <x v="0"/>
    <x v="3"/>
    <x v="3"/>
    <x v="31"/>
    <x v="31"/>
    <x v="31"/>
    <s v="REVENUS"/>
    <x v="2"/>
    <s v="4001.002"/>
    <s v="Impôt complément s/revenu PP"/>
    <n v="0"/>
    <n v="-38846.25"/>
    <n v="4001"/>
  </r>
  <r>
    <x v="0"/>
    <x v="3"/>
    <x v="3"/>
    <x v="31"/>
    <x v="31"/>
    <x v="31"/>
    <s v="REVENUS"/>
    <x v="3"/>
    <s v="4002.002"/>
    <s v="Impôt complémentaire s/fortune PP"/>
    <n v="0"/>
    <n v="-1284.55"/>
    <n v="4002"/>
  </r>
  <r>
    <x v="0"/>
    <x v="3"/>
    <x v="3"/>
    <x v="31"/>
    <x v="31"/>
    <x v="31"/>
    <s v="REVENUS"/>
    <x v="6"/>
    <s v="4221.003"/>
    <s v="Intérêts compensat. / acomptes en faveur du fisc"/>
    <n v="0"/>
    <n v="6.2"/>
    <n v="4221"/>
  </r>
  <r>
    <x v="0"/>
    <x v="3"/>
    <x v="3"/>
    <x v="31"/>
    <x v="31"/>
    <x v="31"/>
    <s v="REVENUS"/>
    <x v="9"/>
    <s v="4031.002"/>
    <s v="Complément impôt sur les gains immobiliers"/>
    <n v="0"/>
    <n v="45853.95"/>
    <n v="4031"/>
  </r>
  <r>
    <x v="0"/>
    <x v="3"/>
    <x v="3"/>
    <x v="31"/>
    <x v="31"/>
    <x v="31"/>
    <s v="REVENUS"/>
    <x v="6"/>
    <s v="4221.003"/>
    <s v="Intérêts compensat. / acomptes en faveur du fisc"/>
    <n v="0"/>
    <n v="-6.79"/>
    <n v="4221"/>
  </r>
  <r>
    <x v="0"/>
    <x v="3"/>
    <x v="3"/>
    <x v="31"/>
    <x v="31"/>
    <x v="31"/>
    <s v="REVENUS"/>
    <x v="2"/>
    <s v="4001.002"/>
    <s v="Impôt complément s/revenu PP"/>
    <n v="0"/>
    <n v="594.15"/>
    <n v="4001"/>
  </r>
  <r>
    <x v="0"/>
    <x v="3"/>
    <x v="3"/>
    <x v="31"/>
    <x v="31"/>
    <x v="31"/>
    <s v="REVENUS"/>
    <x v="6"/>
    <s v="4211.002"/>
    <s v="Intérêts de retard sur acomptes"/>
    <n v="0"/>
    <n v="11.19"/>
    <n v="4211"/>
  </r>
  <r>
    <x v="0"/>
    <x v="3"/>
    <x v="3"/>
    <x v="31"/>
    <x v="31"/>
    <x v="31"/>
    <s v="REVENUS"/>
    <x v="2"/>
    <s v="4001.007"/>
    <s v="Acompte impôt sur revenu"/>
    <n v="0"/>
    <n v="-577.5"/>
    <n v="4001"/>
  </r>
  <r>
    <x v="0"/>
    <x v="3"/>
    <x v="3"/>
    <x v="31"/>
    <x v="31"/>
    <x v="31"/>
    <s v="REVENUS"/>
    <x v="6"/>
    <s v="4211.002"/>
    <s v="Intérêts de retard sur acomptes"/>
    <n v="0"/>
    <n v="-32.49"/>
    <n v="4211"/>
  </r>
  <r>
    <x v="0"/>
    <x v="3"/>
    <x v="3"/>
    <x v="31"/>
    <x v="31"/>
    <x v="31"/>
    <s v="REVENUS"/>
    <x v="6"/>
    <s v="4211.001"/>
    <s v="Intérêts de retard sur factures"/>
    <n v="0"/>
    <n v="5.0999999999999996"/>
    <n v="4211"/>
  </r>
  <r>
    <x v="0"/>
    <x v="3"/>
    <x v="3"/>
    <x v="31"/>
    <x v="31"/>
    <x v="31"/>
    <s v="REVENUS"/>
    <x v="6"/>
    <s v="4211.001"/>
    <s v="Intérêts de retard sur factures"/>
    <n v="0"/>
    <n v="-0.56999999999999995"/>
    <n v="4211"/>
  </r>
  <r>
    <x v="0"/>
    <x v="3"/>
    <x v="3"/>
    <x v="31"/>
    <x v="31"/>
    <x v="31"/>
    <s v="REVENUS"/>
    <x v="8"/>
    <s v="4091.001"/>
    <s v="Impôt récupéré après défalcations"/>
    <n v="0"/>
    <n v="25372.04"/>
    <n v="4091"/>
  </r>
  <r>
    <x v="0"/>
    <x v="3"/>
    <x v="3"/>
    <x v="31"/>
    <x v="31"/>
    <x v="31"/>
    <s v="REVENUS"/>
    <x v="3"/>
    <s v="4002.002"/>
    <s v="Impôt complémentaire s/fortune PP"/>
    <n v="0"/>
    <n v="1354.65"/>
    <n v="4002"/>
  </r>
  <r>
    <x v="0"/>
    <x v="3"/>
    <x v="3"/>
    <x v="31"/>
    <x v="31"/>
    <x v="31"/>
    <s v="REVENUS"/>
    <x v="3"/>
    <s v="4002.007"/>
    <s v="Acompte impôt sur fortune"/>
    <n v="0"/>
    <n v="-64.95"/>
    <n v="4002"/>
  </r>
  <r>
    <x v="0"/>
    <x v="3"/>
    <x v="3"/>
    <x v="31"/>
    <x v="31"/>
    <x v="31"/>
    <s v="REVENUS"/>
    <x v="2"/>
    <s v="4001.003"/>
    <s v="Impôt s/prest. cap. PP"/>
    <n v="0"/>
    <n v="-8789.9"/>
    <n v="4001"/>
  </r>
  <r>
    <x v="0"/>
    <x v="3"/>
    <x v="3"/>
    <x v="31"/>
    <x v="31"/>
    <x v="31"/>
    <s v="REVENUS"/>
    <x v="7"/>
    <s v="4184.000"/>
    <s v="Frais de poursuite"/>
    <n v="0"/>
    <n v="17.18"/>
    <n v="4184"/>
  </r>
  <r>
    <x v="0"/>
    <x v="3"/>
    <x v="3"/>
    <x v="31"/>
    <x v="31"/>
    <x v="31"/>
    <s v="REVENUS"/>
    <x v="3"/>
    <s v="4002.001"/>
    <s v="Impôt ordinaire s/fortune PP"/>
    <n v="0"/>
    <n v="123.05"/>
    <n v="4002"/>
  </r>
  <r>
    <x v="0"/>
    <x v="3"/>
    <x v="3"/>
    <x v="31"/>
    <x v="31"/>
    <x v="31"/>
    <s v="REVENUS"/>
    <x v="2"/>
    <s v="4001.002"/>
    <s v="Impôt complément s/revenu PP"/>
    <n v="0"/>
    <n v="4025.05"/>
    <n v="4001"/>
  </r>
  <r>
    <x v="0"/>
    <x v="3"/>
    <x v="3"/>
    <x v="32"/>
    <x v="32"/>
    <x v="32"/>
    <s v="CHARGES"/>
    <x v="0"/>
    <s v="3212.004"/>
    <s v="Intérêts rémun./perçu trop tôt sur acomptes C/C"/>
    <n v="-0.12"/>
    <n v="0"/>
    <n v="3212"/>
  </r>
  <r>
    <x v="0"/>
    <x v="3"/>
    <x v="3"/>
    <x v="32"/>
    <x v="32"/>
    <x v="32"/>
    <s v="CHARGES"/>
    <x v="0"/>
    <s v="3212.002"/>
    <s v="Intérêts bonifiés/trop perçu acompte C/C"/>
    <n v="1.1200000000000001"/>
    <n v="0"/>
    <n v="3212"/>
  </r>
  <r>
    <x v="0"/>
    <x v="3"/>
    <x v="3"/>
    <x v="32"/>
    <x v="32"/>
    <x v="32"/>
    <s v="CHARGES"/>
    <x v="0"/>
    <s v="3212.004"/>
    <s v="Intérêts rémun./perçu trop tôt sur acomptes C/C"/>
    <n v="0.09"/>
    <n v="0"/>
    <n v="3212"/>
  </r>
  <r>
    <x v="0"/>
    <x v="3"/>
    <x v="3"/>
    <x v="32"/>
    <x v="32"/>
    <x v="32"/>
    <s v="CHARGES"/>
    <x v="1"/>
    <s v="3301.001"/>
    <s v="Défalcations, abandons de solde PP et IS"/>
    <n v="-5.25"/>
    <n v="0"/>
    <n v="3301"/>
  </r>
  <r>
    <x v="0"/>
    <x v="3"/>
    <x v="3"/>
    <x v="32"/>
    <x v="32"/>
    <x v="32"/>
    <s v="CHARGES"/>
    <x v="0"/>
    <s v="3212.002"/>
    <s v="Intérêts bonifiés/trop perçu acompte C/C"/>
    <n v="0.01"/>
    <n v="0"/>
    <n v="3212"/>
  </r>
  <r>
    <x v="0"/>
    <x v="3"/>
    <x v="3"/>
    <x v="32"/>
    <x v="32"/>
    <x v="32"/>
    <s v="CHARGES"/>
    <x v="1"/>
    <s v="3301.001"/>
    <s v="Défalcations, abandons de solde PP et IS"/>
    <n v="0.01"/>
    <n v="0"/>
    <n v="3301"/>
  </r>
  <r>
    <x v="0"/>
    <x v="3"/>
    <x v="3"/>
    <x v="32"/>
    <x v="32"/>
    <x v="32"/>
    <s v="REVENUS"/>
    <x v="2"/>
    <s v="4001.001"/>
    <s v="Impôt revenu"/>
    <n v="0"/>
    <n v="-3357.15"/>
    <n v="4001"/>
  </r>
  <r>
    <x v="0"/>
    <x v="3"/>
    <x v="3"/>
    <x v="32"/>
    <x v="32"/>
    <x v="32"/>
    <s v="REVENUS"/>
    <x v="2"/>
    <s v="4001.001"/>
    <s v="Impôt revenu"/>
    <n v="0"/>
    <n v="-6510.85"/>
    <n v="4001"/>
  </r>
  <r>
    <x v="0"/>
    <x v="3"/>
    <x v="3"/>
    <x v="32"/>
    <x v="32"/>
    <x v="32"/>
    <s v="REVENUS"/>
    <x v="6"/>
    <s v="4211.002"/>
    <s v="Intérêts de retard sur acomptes"/>
    <n v="0"/>
    <n v="-51.49"/>
    <n v="4211"/>
  </r>
  <r>
    <x v="0"/>
    <x v="3"/>
    <x v="3"/>
    <x v="32"/>
    <x v="32"/>
    <x v="32"/>
    <s v="REVENUS"/>
    <x v="2"/>
    <s v="4001.002"/>
    <s v="Impôt complément s/revenu PP"/>
    <n v="0"/>
    <n v="10395.6"/>
    <n v="4001"/>
  </r>
  <r>
    <x v="0"/>
    <x v="3"/>
    <x v="3"/>
    <x v="32"/>
    <x v="32"/>
    <x v="32"/>
    <s v="REVENUS"/>
    <x v="6"/>
    <s v="4211.001"/>
    <s v="Intérêts de retard sur factures"/>
    <n v="0"/>
    <n v="155.49"/>
    <n v="4211"/>
  </r>
  <r>
    <x v="0"/>
    <x v="3"/>
    <x v="3"/>
    <x v="32"/>
    <x v="32"/>
    <x v="32"/>
    <s v="REVENUS"/>
    <x v="6"/>
    <s v="4211.002"/>
    <s v="Intérêts de retard sur acomptes"/>
    <n v="0"/>
    <n v="73.94"/>
    <n v="4211"/>
  </r>
  <r>
    <x v="0"/>
    <x v="3"/>
    <x v="3"/>
    <x v="32"/>
    <x v="32"/>
    <x v="32"/>
    <s v="REVENUS"/>
    <x v="3"/>
    <s v="4002.001"/>
    <s v="Impôt ordinaire s/fortune PP"/>
    <n v="0"/>
    <n v="-64.2"/>
    <n v="4002"/>
  </r>
  <r>
    <x v="0"/>
    <x v="3"/>
    <x v="3"/>
    <x v="32"/>
    <x v="32"/>
    <x v="32"/>
    <s v="REVENUS"/>
    <x v="3"/>
    <s v="4002.002"/>
    <s v="Impôt complémentaire s/fortune PP"/>
    <n v="0"/>
    <n v="92.05"/>
    <n v="4002"/>
  </r>
  <r>
    <x v="0"/>
    <x v="3"/>
    <x v="3"/>
    <x v="32"/>
    <x v="32"/>
    <x v="32"/>
    <s v="REVENUS"/>
    <x v="6"/>
    <s v="4211.001"/>
    <s v="Intérêts de retard sur factures"/>
    <n v="0"/>
    <n v="1.1299999999999999"/>
    <n v="4211"/>
  </r>
  <r>
    <x v="0"/>
    <x v="3"/>
    <x v="3"/>
    <x v="32"/>
    <x v="32"/>
    <x v="32"/>
    <s v="REVENUS"/>
    <x v="6"/>
    <s v="4211.002"/>
    <s v="Intérêts de retard sur acomptes"/>
    <n v="0"/>
    <n v="1.2"/>
    <n v="4211"/>
  </r>
  <r>
    <x v="0"/>
    <x v="3"/>
    <x v="3"/>
    <x v="32"/>
    <x v="32"/>
    <x v="32"/>
    <s v="REVENUS"/>
    <x v="6"/>
    <s v="4221.003"/>
    <s v="Intérêts compensat. / acomptes en faveur du fisc"/>
    <n v="0"/>
    <n v="0.01"/>
    <n v="4221"/>
  </r>
  <r>
    <x v="0"/>
    <x v="3"/>
    <x v="3"/>
    <x v="32"/>
    <x v="32"/>
    <x v="32"/>
    <s v="REVENUS"/>
    <x v="6"/>
    <s v="4221.003"/>
    <s v="Intérêts compensat. / acomptes en faveur du fisc"/>
    <n v="0"/>
    <n v="0.26"/>
    <n v="4221"/>
  </r>
  <r>
    <x v="0"/>
    <x v="3"/>
    <x v="3"/>
    <x v="32"/>
    <x v="32"/>
    <x v="32"/>
    <s v="REVENUS"/>
    <x v="3"/>
    <s v="4002.002"/>
    <s v="Impôt complémentaire s/fortune PP"/>
    <n v="0"/>
    <n v="95.35"/>
    <n v="4002"/>
  </r>
  <r>
    <x v="0"/>
    <x v="3"/>
    <x v="3"/>
    <x v="32"/>
    <x v="32"/>
    <x v="32"/>
    <s v="REVENUS"/>
    <x v="2"/>
    <s v="4001.007"/>
    <s v="Acompte impôt sur revenu"/>
    <n v="0"/>
    <n v="-190.3"/>
    <n v="4001"/>
  </r>
  <r>
    <x v="0"/>
    <x v="3"/>
    <x v="3"/>
    <x v="32"/>
    <x v="32"/>
    <x v="32"/>
    <s v="REVENUS"/>
    <x v="3"/>
    <s v="4002.007"/>
    <s v="Acompte impôt sur fortune"/>
    <n v="0"/>
    <n v="-56.25"/>
    <n v="4002"/>
  </r>
  <r>
    <x v="0"/>
    <x v="3"/>
    <x v="3"/>
    <x v="32"/>
    <x v="32"/>
    <x v="32"/>
    <s v="REVENUS"/>
    <x v="8"/>
    <s v="4091.001"/>
    <s v="Impôt récupéré après défalcations"/>
    <n v="0"/>
    <n v="2702.22"/>
    <n v="4091"/>
  </r>
  <r>
    <x v="0"/>
    <x v="3"/>
    <x v="3"/>
    <x v="33"/>
    <x v="32"/>
    <x v="32"/>
    <s v="CHARGES"/>
    <x v="1"/>
    <s v="3301.001"/>
    <s v="Défalcations, abandons de solde PP et IS"/>
    <n v="-0.72"/>
    <n v="0"/>
    <n v="3301"/>
  </r>
  <r>
    <x v="0"/>
    <x v="3"/>
    <x v="3"/>
    <x v="33"/>
    <x v="32"/>
    <x v="32"/>
    <s v="REVENUS"/>
    <x v="2"/>
    <s v="4001.002"/>
    <s v="Impôt complément s/revenu PP"/>
    <n v="0"/>
    <n v="135.25"/>
    <n v="4001"/>
  </r>
  <r>
    <x v="0"/>
    <x v="3"/>
    <x v="3"/>
    <x v="33"/>
    <x v="32"/>
    <x v="32"/>
    <s v="REVENUS"/>
    <x v="3"/>
    <s v="4002.002"/>
    <s v="Impôt complémentaire s/fortune PP"/>
    <n v="0"/>
    <n v="61.35"/>
    <n v="4002"/>
  </r>
  <r>
    <x v="0"/>
    <x v="3"/>
    <x v="3"/>
    <x v="33"/>
    <x v="32"/>
    <x v="32"/>
    <s v="REVENUS"/>
    <x v="2"/>
    <s v="4001.001"/>
    <s v="Impôt revenu"/>
    <n v="0"/>
    <n v="-135.25"/>
    <n v="4001"/>
  </r>
  <r>
    <x v="0"/>
    <x v="3"/>
    <x v="3"/>
    <x v="33"/>
    <x v="32"/>
    <x v="32"/>
    <s v="REVENUS"/>
    <x v="3"/>
    <s v="4002.001"/>
    <s v="Impôt ordinaire s/fortune PP"/>
    <n v="0"/>
    <n v="-49.85"/>
    <n v="4002"/>
  </r>
  <r>
    <x v="0"/>
    <x v="3"/>
    <x v="3"/>
    <x v="33"/>
    <x v="32"/>
    <x v="32"/>
    <s v="REVENUS"/>
    <x v="6"/>
    <s v="4211.001"/>
    <s v="Intérêts de retard sur factures"/>
    <n v="0"/>
    <n v="219.57"/>
    <n v="4211"/>
  </r>
  <r>
    <x v="0"/>
    <x v="3"/>
    <x v="3"/>
    <x v="34"/>
    <x v="32"/>
    <x v="32"/>
    <s v="CHARGES"/>
    <x v="1"/>
    <s v="3301.001"/>
    <s v="Défalcations, abandons de solde PP et IS"/>
    <n v="0"/>
    <n v="0"/>
    <n v="3301"/>
  </r>
  <r>
    <x v="0"/>
    <x v="3"/>
    <x v="3"/>
    <x v="34"/>
    <x v="32"/>
    <x v="32"/>
    <s v="CHARGES"/>
    <x v="0"/>
    <s v="3212.002"/>
    <s v="Intérêts bonifiés/trop perçu acompte C/C"/>
    <n v="0.67"/>
    <n v="0"/>
    <n v="3212"/>
  </r>
  <r>
    <x v="0"/>
    <x v="3"/>
    <x v="3"/>
    <x v="34"/>
    <x v="32"/>
    <x v="32"/>
    <s v="CHARGES"/>
    <x v="0"/>
    <s v="3212.004"/>
    <s v="Intérêts rémun./perçu trop tôt sur acomptes C/C"/>
    <n v="25.33"/>
    <n v="0"/>
    <n v="3212"/>
  </r>
  <r>
    <x v="0"/>
    <x v="3"/>
    <x v="3"/>
    <x v="34"/>
    <x v="32"/>
    <x v="32"/>
    <s v="CHARGES"/>
    <x v="0"/>
    <s v="3221.002"/>
    <s v="Intérêts compensatoires / créances en faveur ctb."/>
    <n v="8.15"/>
    <n v="0"/>
    <n v="3221"/>
  </r>
  <r>
    <x v="0"/>
    <x v="3"/>
    <x v="3"/>
    <x v="34"/>
    <x v="32"/>
    <x v="32"/>
    <s v="CHARGES"/>
    <x v="0"/>
    <s v="3212.002"/>
    <s v="Intérêts bonifiés/trop perçu acompte C/C"/>
    <n v="-0.67"/>
    <n v="0"/>
    <n v="3212"/>
  </r>
  <r>
    <x v="0"/>
    <x v="3"/>
    <x v="3"/>
    <x v="34"/>
    <x v="32"/>
    <x v="32"/>
    <s v="CHARGES"/>
    <x v="0"/>
    <s v="3212.004"/>
    <s v="Intérêts rémun./perçu trop tôt sur acomptes C/C"/>
    <n v="-2.04"/>
    <n v="0"/>
    <n v="3212"/>
  </r>
  <r>
    <x v="0"/>
    <x v="3"/>
    <x v="3"/>
    <x v="34"/>
    <x v="32"/>
    <x v="32"/>
    <s v="CHARGES"/>
    <x v="0"/>
    <s v="3221.002"/>
    <s v="Intérêts compensatoires / créances en faveur ctb."/>
    <n v="-8.15"/>
    <n v="0"/>
    <n v="3221"/>
  </r>
  <r>
    <x v="0"/>
    <x v="3"/>
    <x v="3"/>
    <x v="34"/>
    <x v="32"/>
    <x v="32"/>
    <s v="REVENUS"/>
    <x v="3"/>
    <s v="4002.001"/>
    <s v="Impôt ordinaire s/fortune PP"/>
    <n v="0"/>
    <n v="-16.149999999999999"/>
    <n v="4002"/>
  </r>
  <r>
    <x v="0"/>
    <x v="3"/>
    <x v="3"/>
    <x v="34"/>
    <x v="32"/>
    <x v="32"/>
    <s v="REVENUS"/>
    <x v="3"/>
    <s v="4002.002"/>
    <s v="Impôt complémentaire s/fortune PP"/>
    <n v="0"/>
    <n v="59.8"/>
    <n v="4002"/>
  </r>
  <r>
    <x v="0"/>
    <x v="3"/>
    <x v="3"/>
    <x v="34"/>
    <x v="32"/>
    <x v="32"/>
    <s v="REVENUS"/>
    <x v="6"/>
    <s v="4211.001"/>
    <s v="Intérêts de retard sur factures"/>
    <n v="0"/>
    <n v="0.94"/>
    <n v="4211"/>
  </r>
  <r>
    <x v="0"/>
    <x v="3"/>
    <x v="3"/>
    <x v="34"/>
    <x v="32"/>
    <x v="32"/>
    <s v="REVENUS"/>
    <x v="6"/>
    <s v="4211.002"/>
    <s v="Intérêts de retard sur acomptes"/>
    <n v="0"/>
    <n v="1.87"/>
    <n v="4211"/>
  </r>
  <r>
    <x v="0"/>
    <x v="3"/>
    <x v="3"/>
    <x v="34"/>
    <x v="32"/>
    <x v="32"/>
    <s v="REVENUS"/>
    <x v="6"/>
    <s v="4221.003"/>
    <s v="Intérêts compensat. / acomptes en faveur du fisc"/>
    <n v="0"/>
    <n v="0.02"/>
    <n v="4221"/>
  </r>
  <r>
    <x v="0"/>
    <x v="3"/>
    <x v="3"/>
    <x v="34"/>
    <x v="32"/>
    <x v="32"/>
    <s v="REVENUS"/>
    <x v="8"/>
    <s v="4091.001"/>
    <s v="Impôt récupéré après défalcations"/>
    <n v="0"/>
    <n v="163.34"/>
    <n v="4091"/>
  </r>
  <r>
    <x v="0"/>
    <x v="3"/>
    <x v="3"/>
    <x v="34"/>
    <x v="32"/>
    <x v="32"/>
    <s v="REVENUS"/>
    <x v="7"/>
    <s v="4184.000"/>
    <s v="Frais de poursuite"/>
    <n v="0"/>
    <n v="37.729999999999997"/>
    <n v="4184"/>
  </r>
  <r>
    <x v="0"/>
    <x v="3"/>
    <x v="3"/>
    <x v="34"/>
    <x v="32"/>
    <x v="32"/>
    <s v="REVENUS"/>
    <x v="2"/>
    <s v="4001.001"/>
    <s v="Impôt revenu"/>
    <n v="0"/>
    <n v="-1892.25"/>
    <n v="4001"/>
  </r>
  <r>
    <x v="0"/>
    <x v="3"/>
    <x v="3"/>
    <x v="34"/>
    <x v="32"/>
    <x v="32"/>
    <s v="REVENUS"/>
    <x v="3"/>
    <s v="4002.001"/>
    <s v="Impôt ordinaire s/fortune PP"/>
    <n v="0"/>
    <n v="-32.1"/>
    <n v="4002"/>
  </r>
  <r>
    <x v="0"/>
    <x v="3"/>
    <x v="3"/>
    <x v="34"/>
    <x v="32"/>
    <x v="32"/>
    <s v="REVENUS"/>
    <x v="2"/>
    <s v="4001.002"/>
    <s v="Impôt complément s/revenu PP"/>
    <n v="0"/>
    <n v="6512.35"/>
    <n v="4001"/>
  </r>
  <r>
    <x v="0"/>
    <x v="3"/>
    <x v="3"/>
    <x v="34"/>
    <x v="32"/>
    <x v="32"/>
    <s v="REVENUS"/>
    <x v="3"/>
    <s v="4002.002"/>
    <s v="Impôt complémentaire s/fortune PP"/>
    <n v="0"/>
    <n v="80.349999999999994"/>
    <n v="4002"/>
  </r>
  <r>
    <x v="0"/>
    <x v="3"/>
    <x v="3"/>
    <x v="34"/>
    <x v="32"/>
    <x v="32"/>
    <s v="REVENUS"/>
    <x v="6"/>
    <s v="4211.001"/>
    <s v="Intérêts de retard sur factures"/>
    <n v="0"/>
    <n v="1183.04"/>
    <n v="4211"/>
  </r>
  <r>
    <x v="0"/>
    <x v="3"/>
    <x v="3"/>
    <x v="34"/>
    <x v="32"/>
    <x v="32"/>
    <s v="REVENUS"/>
    <x v="6"/>
    <s v="4221.003"/>
    <s v="Intérêts compensat. / acomptes en faveur du fisc"/>
    <n v="0"/>
    <n v="47.96"/>
    <n v="4221"/>
  </r>
  <r>
    <x v="0"/>
    <x v="3"/>
    <x v="3"/>
    <x v="35"/>
    <x v="33"/>
    <x v="33"/>
    <s v="CHARGES"/>
    <x v="0"/>
    <s v="3212.002"/>
    <s v="Intérêts bonifiés/trop perçu acompte C/C"/>
    <n v="32.28"/>
    <n v="0"/>
    <n v="3212"/>
  </r>
  <r>
    <x v="0"/>
    <x v="3"/>
    <x v="3"/>
    <x v="35"/>
    <x v="33"/>
    <x v="33"/>
    <s v="CHARGES"/>
    <x v="0"/>
    <s v="3212.004"/>
    <s v="Intérêts rémun./perçu trop tôt sur acomptes C/C"/>
    <n v="552.03"/>
    <n v="0"/>
    <n v="3212"/>
  </r>
  <r>
    <x v="0"/>
    <x v="3"/>
    <x v="3"/>
    <x v="35"/>
    <x v="33"/>
    <x v="33"/>
    <s v="CHARGES"/>
    <x v="0"/>
    <s v="3221.002"/>
    <s v="Intérêts compensatoires / créances en faveur ctb."/>
    <n v="284.26"/>
    <n v="0"/>
    <n v="3221"/>
  </r>
  <r>
    <x v="0"/>
    <x v="3"/>
    <x v="3"/>
    <x v="35"/>
    <x v="33"/>
    <x v="33"/>
    <s v="CHARGES"/>
    <x v="1"/>
    <s v="3301.001"/>
    <s v="Défalcations, abandons de solde PP et IS"/>
    <n v="12553.45"/>
    <n v="0"/>
    <n v="3301"/>
  </r>
  <r>
    <x v="0"/>
    <x v="3"/>
    <x v="3"/>
    <x v="35"/>
    <x v="33"/>
    <x v="33"/>
    <s v="CHARGES"/>
    <x v="0"/>
    <s v="3212.004"/>
    <s v="Intérêts rémun./perçu trop tôt sur acomptes C/C"/>
    <n v="0.78"/>
    <n v="0"/>
    <n v="3212"/>
  </r>
  <r>
    <x v="0"/>
    <x v="3"/>
    <x v="3"/>
    <x v="35"/>
    <x v="33"/>
    <x v="33"/>
    <s v="CHARGES"/>
    <x v="0"/>
    <s v="3221.002"/>
    <s v="Intérêts compensatoires / créances en faveur ctb."/>
    <n v="0.41"/>
    <n v="0"/>
    <n v="3221"/>
  </r>
  <r>
    <x v="0"/>
    <x v="3"/>
    <x v="3"/>
    <x v="35"/>
    <x v="33"/>
    <x v="33"/>
    <s v="CHARGES"/>
    <x v="1"/>
    <s v="3301.001"/>
    <s v="Défalcations, abandons de solde PP et IS"/>
    <n v="6725.28"/>
    <n v="0"/>
    <n v="3301"/>
  </r>
  <r>
    <x v="0"/>
    <x v="3"/>
    <x v="3"/>
    <x v="35"/>
    <x v="33"/>
    <x v="33"/>
    <s v="CHARGES"/>
    <x v="1"/>
    <s v="3301.001"/>
    <s v="Défalcations, abandons de solde PP et IS"/>
    <n v="0.01"/>
    <n v="0"/>
    <n v="3301"/>
  </r>
  <r>
    <x v="0"/>
    <x v="3"/>
    <x v="3"/>
    <x v="35"/>
    <x v="33"/>
    <x v="33"/>
    <s v="CHARGES"/>
    <x v="0"/>
    <s v="3212.004"/>
    <s v="Intérêts rémun./perçu trop tôt sur acomptes C/C"/>
    <n v="3.17"/>
    <n v="0"/>
    <n v="3212"/>
  </r>
  <r>
    <x v="0"/>
    <x v="3"/>
    <x v="3"/>
    <x v="35"/>
    <x v="33"/>
    <x v="33"/>
    <s v="CHARGES"/>
    <x v="0"/>
    <s v="3221.002"/>
    <s v="Intérêts compensatoires / créances en faveur ctb."/>
    <n v="0.05"/>
    <n v="0"/>
    <n v="3221"/>
  </r>
  <r>
    <x v="0"/>
    <x v="3"/>
    <x v="3"/>
    <x v="35"/>
    <x v="33"/>
    <x v="33"/>
    <s v="CHARGES"/>
    <x v="0"/>
    <s v="3212.004"/>
    <s v="Intérêts rémun./perçu trop tôt sur acomptes C/C"/>
    <n v="0.02"/>
    <n v="0"/>
    <n v="3212"/>
  </r>
  <r>
    <x v="0"/>
    <x v="3"/>
    <x v="3"/>
    <x v="35"/>
    <x v="33"/>
    <x v="33"/>
    <s v="CHARGES"/>
    <x v="1"/>
    <s v="3301.001"/>
    <s v="Défalcations, abandons de solde PP et IS"/>
    <n v="4.26"/>
    <n v="0"/>
    <n v="3301"/>
  </r>
  <r>
    <x v="0"/>
    <x v="3"/>
    <x v="3"/>
    <x v="35"/>
    <x v="33"/>
    <x v="33"/>
    <s v="CHARGES"/>
    <x v="0"/>
    <s v="3212.004"/>
    <s v="Intérêts rémun./perçu trop tôt sur acomptes C/C"/>
    <n v="0.2"/>
    <n v="0"/>
    <n v="3212"/>
  </r>
  <r>
    <x v="0"/>
    <x v="3"/>
    <x v="3"/>
    <x v="35"/>
    <x v="33"/>
    <x v="33"/>
    <s v="CHARGES"/>
    <x v="0"/>
    <s v="3212.004"/>
    <s v="Intérêts rémun./perçu trop tôt sur acomptes C/C"/>
    <n v="-0.03"/>
    <n v="0"/>
    <n v="3212"/>
  </r>
  <r>
    <x v="0"/>
    <x v="3"/>
    <x v="3"/>
    <x v="35"/>
    <x v="33"/>
    <x v="33"/>
    <s v="CHARGES"/>
    <x v="1"/>
    <s v="3301.001"/>
    <s v="Défalcations, abandons de solde PP et IS"/>
    <n v="4.03"/>
    <n v="0"/>
    <n v="3301"/>
  </r>
  <r>
    <x v="0"/>
    <x v="3"/>
    <x v="3"/>
    <x v="35"/>
    <x v="33"/>
    <x v="33"/>
    <s v="CHARGES"/>
    <x v="1"/>
    <s v="3301.001"/>
    <s v="Défalcations, abandons de solde PP et IS"/>
    <n v="0.22"/>
    <n v="0"/>
    <n v="3301"/>
  </r>
  <r>
    <x v="0"/>
    <x v="3"/>
    <x v="3"/>
    <x v="35"/>
    <x v="33"/>
    <x v="33"/>
    <s v="CHARGES"/>
    <x v="0"/>
    <s v="3212.002"/>
    <s v="Intérêts bonifiés/trop perçu acompte C/C"/>
    <n v="0.03"/>
    <n v="0"/>
    <n v="3212"/>
  </r>
  <r>
    <x v="0"/>
    <x v="3"/>
    <x v="3"/>
    <x v="35"/>
    <x v="33"/>
    <x v="33"/>
    <s v="CHARGES"/>
    <x v="0"/>
    <s v="3221.002"/>
    <s v="Intérêts compensatoires / créances en faveur ctb."/>
    <n v="7.0000000000000007E-2"/>
    <n v="0"/>
    <n v="3221"/>
  </r>
  <r>
    <x v="0"/>
    <x v="3"/>
    <x v="3"/>
    <x v="35"/>
    <x v="33"/>
    <x v="33"/>
    <s v="CHARGES"/>
    <x v="1"/>
    <s v="3301.001"/>
    <s v="Défalcations, abandons de solde PP et IS"/>
    <n v="0.02"/>
    <n v="0"/>
    <n v="3301"/>
  </r>
  <r>
    <x v="0"/>
    <x v="3"/>
    <x v="3"/>
    <x v="35"/>
    <x v="33"/>
    <x v="33"/>
    <s v="CHARGES"/>
    <x v="0"/>
    <s v="3212.004"/>
    <s v="Intérêts rémun./perçu trop tôt sur acomptes C/C"/>
    <n v="0.43"/>
    <n v="0"/>
    <n v="3212"/>
  </r>
  <r>
    <x v="0"/>
    <x v="3"/>
    <x v="3"/>
    <x v="35"/>
    <x v="33"/>
    <x v="33"/>
    <s v="CHARGES"/>
    <x v="0"/>
    <s v="3221.002"/>
    <s v="Intérêts compensatoires / créances en faveur ctb."/>
    <n v="0.92"/>
    <n v="0"/>
    <n v="3221"/>
  </r>
  <r>
    <x v="0"/>
    <x v="3"/>
    <x v="3"/>
    <x v="35"/>
    <x v="33"/>
    <x v="33"/>
    <s v="REVENUS"/>
    <x v="3"/>
    <s v="4002.007"/>
    <s v="Acompte impôt sur fortune"/>
    <n v="0"/>
    <n v="-613.04"/>
    <n v="4002"/>
  </r>
  <r>
    <x v="0"/>
    <x v="3"/>
    <x v="3"/>
    <x v="35"/>
    <x v="33"/>
    <x v="33"/>
    <s v="REVENUS"/>
    <x v="2"/>
    <s v="4001.007"/>
    <s v="Acompte impôt sur revenu"/>
    <n v="0"/>
    <n v="-862373.07"/>
    <n v="4001"/>
  </r>
  <r>
    <x v="0"/>
    <x v="3"/>
    <x v="3"/>
    <x v="35"/>
    <x v="33"/>
    <x v="33"/>
    <s v="REVENUS"/>
    <x v="3"/>
    <s v="4002.007"/>
    <s v="Acompte impôt sur fortune"/>
    <n v="0"/>
    <n v="-111157.3"/>
    <n v="4002"/>
  </r>
  <r>
    <x v="0"/>
    <x v="3"/>
    <x v="3"/>
    <x v="35"/>
    <x v="33"/>
    <x v="33"/>
    <s v="REVENUS"/>
    <x v="2"/>
    <s v="4001.001"/>
    <s v="Impôt revenu"/>
    <n v="0"/>
    <n v="3076808.3"/>
    <n v="4001"/>
  </r>
  <r>
    <x v="0"/>
    <x v="3"/>
    <x v="3"/>
    <x v="35"/>
    <x v="33"/>
    <x v="33"/>
    <s v="REVENUS"/>
    <x v="2"/>
    <s v="4001.007"/>
    <s v="Acompte impôt sur revenu"/>
    <n v="0"/>
    <n v="539996.68000000005"/>
    <n v="4001"/>
  </r>
  <r>
    <x v="0"/>
    <x v="3"/>
    <x v="3"/>
    <x v="35"/>
    <x v="33"/>
    <x v="33"/>
    <s v="REVENUS"/>
    <x v="3"/>
    <s v="4002.001"/>
    <s v="Impôt ordinaire s/fortune PP"/>
    <n v="0"/>
    <n v="305469.8"/>
    <n v="4002"/>
  </r>
  <r>
    <x v="0"/>
    <x v="3"/>
    <x v="3"/>
    <x v="35"/>
    <x v="33"/>
    <x v="33"/>
    <s v="REVENUS"/>
    <x v="3"/>
    <s v="4002.007"/>
    <s v="Acompte impôt sur fortune"/>
    <n v="0"/>
    <n v="80135.91"/>
    <n v="4002"/>
  </r>
  <r>
    <x v="0"/>
    <x v="3"/>
    <x v="3"/>
    <x v="35"/>
    <x v="33"/>
    <x v="33"/>
    <s v="REVENUS"/>
    <x v="6"/>
    <s v="4211.001"/>
    <s v="Intérêts de retard sur factures"/>
    <n v="0"/>
    <n v="19461.32"/>
    <n v="4211"/>
  </r>
  <r>
    <x v="0"/>
    <x v="3"/>
    <x v="3"/>
    <x v="35"/>
    <x v="33"/>
    <x v="33"/>
    <s v="REVENUS"/>
    <x v="6"/>
    <s v="4211.002"/>
    <s v="Intérêts de retard sur acomptes"/>
    <n v="0"/>
    <n v="17812.73"/>
    <n v="4211"/>
  </r>
  <r>
    <x v="0"/>
    <x v="3"/>
    <x v="3"/>
    <x v="35"/>
    <x v="33"/>
    <x v="33"/>
    <s v="REVENUS"/>
    <x v="2"/>
    <s v="4001.003"/>
    <s v="Impôt s/prest. cap. PP"/>
    <n v="0"/>
    <n v="65142.55"/>
    <n v="4001"/>
  </r>
  <r>
    <x v="0"/>
    <x v="3"/>
    <x v="3"/>
    <x v="35"/>
    <x v="33"/>
    <x v="33"/>
    <s v="REVENUS"/>
    <x v="7"/>
    <s v="4184.000"/>
    <s v="Frais de poursuite"/>
    <n v="0"/>
    <n v="2989.7"/>
    <n v="4184"/>
  </r>
  <r>
    <x v="0"/>
    <x v="3"/>
    <x v="3"/>
    <x v="35"/>
    <x v="33"/>
    <x v="33"/>
    <s v="REVENUS"/>
    <x v="10"/>
    <s v="4041.001"/>
    <s v="Droits de mutation"/>
    <n v="0"/>
    <n v="210127.85"/>
    <n v="4041"/>
  </r>
  <r>
    <x v="0"/>
    <x v="3"/>
    <x v="3"/>
    <x v="35"/>
    <x v="33"/>
    <x v="33"/>
    <s v="REVENUS"/>
    <x v="6"/>
    <s v="4221.003"/>
    <s v="Intérêts compensat. / acomptes en faveur du fisc"/>
    <n v="0"/>
    <n v="903.83"/>
    <n v="4221"/>
  </r>
  <r>
    <x v="0"/>
    <x v="3"/>
    <x v="3"/>
    <x v="35"/>
    <x v="33"/>
    <x v="33"/>
    <s v="REVENUS"/>
    <x v="2"/>
    <s v="4001.001"/>
    <s v="Impôt revenu"/>
    <n v="0"/>
    <n v="130.19999999999999"/>
    <n v="4001"/>
  </r>
  <r>
    <x v="0"/>
    <x v="3"/>
    <x v="3"/>
    <x v="35"/>
    <x v="33"/>
    <x v="33"/>
    <s v="REVENUS"/>
    <x v="3"/>
    <s v="4002.001"/>
    <s v="Impôt ordinaire s/fortune PP"/>
    <n v="0"/>
    <n v="103.3"/>
    <n v="4002"/>
  </r>
  <r>
    <x v="0"/>
    <x v="3"/>
    <x v="3"/>
    <x v="35"/>
    <x v="33"/>
    <x v="33"/>
    <s v="REVENUS"/>
    <x v="3"/>
    <s v="4002.007"/>
    <s v="Acompte impôt sur fortune"/>
    <n v="0"/>
    <n v="-85.4"/>
    <n v="4002"/>
  </r>
  <r>
    <x v="0"/>
    <x v="3"/>
    <x v="3"/>
    <x v="35"/>
    <x v="33"/>
    <x v="33"/>
    <s v="REVENUS"/>
    <x v="6"/>
    <s v="4211.002"/>
    <s v="Intérêts de retard sur acomptes"/>
    <n v="0"/>
    <n v="1.48"/>
    <n v="4211"/>
  </r>
  <r>
    <x v="0"/>
    <x v="3"/>
    <x v="3"/>
    <x v="35"/>
    <x v="33"/>
    <x v="33"/>
    <s v="REVENUS"/>
    <x v="2"/>
    <s v="4001.002"/>
    <s v="Impôt complément s/revenu PP"/>
    <n v="0"/>
    <n v="310746.05"/>
    <n v="4001"/>
  </r>
  <r>
    <x v="0"/>
    <x v="3"/>
    <x v="3"/>
    <x v="35"/>
    <x v="33"/>
    <x v="33"/>
    <s v="REVENUS"/>
    <x v="3"/>
    <s v="4002.002"/>
    <s v="Impôt complémentaire s/fortune PP"/>
    <n v="0"/>
    <n v="68477.45"/>
    <n v="4002"/>
  </r>
  <r>
    <x v="0"/>
    <x v="3"/>
    <x v="3"/>
    <x v="35"/>
    <x v="33"/>
    <x v="33"/>
    <s v="REVENUS"/>
    <x v="9"/>
    <s v="4031.001"/>
    <s v="Impôt sur les gains immobiliers"/>
    <n v="0"/>
    <n v="68908"/>
    <n v="4031"/>
  </r>
  <r>
    <x v="0"/>
    <x v="3"/>
    <x v="3"/>
    <x v="35"/>
    <x v="33"/>
    <x v="33"/>
    <s v="REVENUS"/>
    <x v="6"/>
    <s v="4221.002"/>
    <s v="Intérêts compensat. sur impôts distincts"/>
    <n v="0"/>
    <n v="8.75"/>
    <n v="4221"/>
  </r>
  <r>
    <x v="0"/>
    <x v="3"/>
    <x v="3"/>
    <x v="35"/>
    <x v="33"/>
    <x v="33"/>
    <s v="REVENUS"/>
    <x v="9"/>
    <s v="4031.002"/>
    <s v="Complément impôt sur les gains immobiliers"/>
    <n v="0"/>
    <n v="4531.25"/>
    <n v="4031"/>
  </r>
  <r>
    <x v="0"/>
    <x v="3"/>
    <x v="3"/>
    <x v="35"/>
    <x v="33"/>
    <x v="33"/>
    <s v="REVENUS"/>
    <x v="3"/>
    <s v="4002.007"/>
    <s v="Acompte impôt sur fortune"/>
    <n v="0"/>
    <n v="-717.67"/>
    <n v="4002"/>
  </r>
  <r>
    <x v="0"/>
    <x v="3"/>
    <x v="3"/>
    <x v="35"/>
    <x v="33"/>
    <x v="33"/>
    <s v="REVENUS"/>
    <x v="2"/>
    <s v="4001.007"/>
    <s v="Acompte impôt sur revenu"/>
    <n v="0"/>
    <n v="142.30000000000001"/>
    <n v="4001"/>
  </r>
  <r>
    <x v="0"/>
    <x v="3"/>
    <x v="3"/>
    <x v="35"/>
    <x v="33"/>
    <x v="33"/>
    <s v="REVENUS"/>
    <x v="3"/>
    <s v="4002.001"/>
    <s v="Impôt ordinaire s/fortune PP"/>
    <n v="0"/>
    <n v="1205.0999999999999"/>
    <n v="4002"/>
  </r>
  <r>
    <x v="0"/>
    <x v="3"/>
    <x v="3"/>
    <x v="35"/>
    <x v="33"/>
    <x v="33"/>
    <s v="REVENUS"/>
    <x v="3"/>
    <s v="4002.007"/>
    <s v="Acompte impôt sur fortune"/>
    <n v="0"/>
    <n v="-291.85000000000002"/>
    <n v="4002"/>
  </r>
  <r>
    <x v="0"/>
    <x v="3"/>
    <x v="3"/>
    <x v="35"/>
    <x v="33"/>
    <x v="33"/>
    <s v="REVENUS"/>
    <x v="2"/>
    <s v="4001.007"/>
    <s v="Acompte impôt sur revenu"/>
    <n v="0"/>
    <n v="-0.2"/>
    <n v="4001"/>
  </r>
  <r>
    <x v="0"/>
    <x v="3"/>
    <x v="3"/>
    <x v="35"/>
    <x v="33"/>
    <x v="33"/>
    <s v="REVENUS"/>
    <x v="3"/>
    <s v="4002.007"/>
    <s v="Acompte impôt sur fortune"/>
    <n v="0"/>
    <n v="3.55"/>
    <n v="4002"/>
  </r>
  <r>
    <x v="0"/>
    <x v="3"/>
    <x v="3"/>
    <x v="35"/>
    <x v="33"/>
    <x v="33"/>
    <s v="REVENUS"/>
    <x v="2"/>
    <s v="4001.007"/>
    <s v="Acompte impôt sur revenu"/>
    <n v="0"/>
    <n v="-445.8"/>
    <n v="4001"/>
  </r>
  <r>
    <x v="0"/>
    <x v="3"/>
    <x v="3"/>
    <x v="35"/>
    <x v="33"/>
    <x v="33"/>
    <s v="REVENUS"/>
    <x v="2"/>
    <s v="4001.001"/>
    <s v="Impôt revenu"/>
    <n v="0"/>
    <n v="1572.95"/>
    <n v="4001"/>
  </r>
  <r>
    <x v="0"/>
    <x v="3"/>
    <x v="3"/>
    <x v="35"/>
    <x v="33"/>
    <x v="33"/>
    <s v="REVENUS"/>
    <x v="6"/>
    <s v="4211.002"/>
    <s v="Intérêts de retard sur acomptes"/>
    <n v="0"/>
    <n v="0.68"/>
    <n v="4211"/>
  </r>
  <r>
    <x v="0"/>
    <x v="3"/>
    <x v="3"/>
    <x v="35"/>
    <x v="33"/>
    <x v="33"/>
    <s v="REVENUS"/>
    <x v="2"/>
    <s v="4001.007"/>
    <s v="Acompte impôt sur revenu"/>
    <n v="0"/>
    <n v="485.88"/>
    <n v="4001"/>
  </r>
  <r>
    <x v="0"/>
    <x v="3"/>
    <x v="3"/>
    <x v="35"/>
    <x v="33"/>
    <x v="33"/>
    <s v="REVENUS"/>
    <x v="2"/>
    <s v="4001.007"/>
    <s v="Acompte impôt sur revenu"/>
    <n v="0"/>
    <n v="8.0500000000000007"/>
    <n v="4001"/>
  </r>
  <r>
    <x v="0"/>
    <x v="3"/>
    <x v="3"/>
    <x v="35"/>
    <x v="33"/>
    <x v="33"/>
    <s v="REVENUS"/>
    <x v="11"/>
    <s v="4198.000"/>
    <s v="Contributions communales"/>
    <n v="0"/>
    <n v="468678.75"/>
    <n v="4198"/>
  </r>
  <r>
    <x v="0"/>
    <x v="3"/>
    <x v="3"/>
    <x v="35"/>
    <x v="33"/>
    <x v="33"/>
    <s v="REVENUS"/>
    <x v="4"/>
    <s v="4051.001"/>
    <s v="Impôt sur les successions"/>
    <n v="0"/>
    <n v="7308.4"/>
    <n v="4051"/>
  </r>
  <r>
    <x v="0"/>
    <x v="3"/>
    <x v="3"/>
    <x v="35"/>
    <x v="33"/>
    <x v="33"/>
    <s v="REVENUS"/>
    <x v="4"/>
    <s v="4051.002"/>
    <s v="Impôt sur les donations"/>
    <n v="0"/>
    <n v="27486"/>
    <n v="4051"/>
  </r>
  <r>
    <x v="0"/>
    <x v="3"/>
    <x v="3"/>
    <x v="35"/>
    <x v="33"/>
    <x v="33"/>
    <s v="REVENUS"/>
    <x v="8"/>
    <s v="4091.001"/>
    <s v="Impôt récupéré après défalcations"/>
    <n v="0"/>
    <n v="42.93"/>
    <n v="4091"/>
  </r>
  <r>
    <x v="0"/>
    <x v="3"/>
    <x v="3"/>
    <x v="35"/>
    <x v="33"/>
    <x v="33"/>
    <s v="REVENUS"/>
    <x v="2"/>
    <s v="4001.001"/>
    <s v="Impôt revenu"/>
    <n v="0"/>
    <n v="436.95"/>
    <n v="4001"/>
  </r>
  <r>
    <x v="0"/>
    <x v="3"/>
    <x v="3"/>
    <x v="35"/>
    <x v="33"/>
    <x v="33"/>
    <s v="REVENUS"/>
    <x v="3"/>
    <s v="4002.001"/>
    <s v="Impôt ordinaire s/fortune PP"/>
    <n v="0"/>
    <n v="434.9"/>
    <n v="4002"/>
  </r>
  <r>
    <x v="0"/>
    <x v="3"/>
    <x v="3"/>
    <x v="35"/>
    <x v="33"/>
    <x v="33"/>
    <s v="REVENUS"/>
    <x v="2"/>
    <s v="4001.003"/>
    <s v="Impôt s/prest. cap. PP"/>
    <n v="0"/>
    <n v="-2407.25"/>
    <n v="4001"/>
  </r>
  <r>
    <x v="0"/>
    <x v="3"/>
    <x v="3"/>
    <x v="35"/>
    <x v="33"/>
    <x v="33"/>
    <s v="REVENUS"/>
    <x v="3"/>
    <s v="4002.001"/>
    <s v="Impôt ordinaire s/fortune PP"/>
    <n v="0"/>
    <n v="8512.25"/>
    <n v="4002"/>
  </r>
  <r>
    <x v="0"/>
    <x v="3"/>
    <x v="3"/>
    <x v="35"/>
    <x v="33"/>
    <x v="33"/>
    <s v="REVENUS"/>
    <x v="6"/>
    <s v="4221.003"/>
    <s v="Intérêts compensat. / acomptes en faveur du fisc"/>
    <n v="0"/>
    <n v="13.95"/>
    <n v="4221"/>
  </r>
  <r>
    <x v="0"/>
    <x v="3"/>
    <x v="3"/>
    <x v="35"/>
    <x v="33"/>
    <x v="33"/>
    <s v="REVENUS"/>
    <x v="2"/>
    <s v="4001.001"/>
    <s v="Impôt revenu"/>
    <n v="0"/>
    <n v="3661.4"/>
    <n v="4001"/>
  </r>
  <r>
    <x v="0"/>
    <x v="3"/>
    <x v="3"/>
    <x v="35"/>
    <x v="33"/>
    <x v="33"/>
    <s v="REVENUS"/>
    <x v="2"/>
    <s v="4001.007"/>
    <s v="Acompte impôt sur revenu"/>
    <n v="0"/>
    <n v="-139.33000000000001"/>
    <n v="4001"/>
  </r>
  <r>
    <x v="0"/>
    <x v="3"/>
    <x v="3"/>
    <x v="35"/>
    <x v="33"/>
    <x v="33"/>
    <s v="REVENUS"/>
    <x v="3"/>
    <s v="4002.007"/>
    <s v="Acompte impôt sur fortune"/>
    <n v="0"/>
    <n v="-185.37"/>
    <n v="4002"/>
  </r>
  <r>
    <x v="0"/>
    <x v="3"/>
    <x v="3"/>
    <x v="35"/>
    <x v="33"/>
    <x v="33"/>
    <s v="REVENUS"/>
    <x v="2"/>
    <s v="4001.003"/>
    <s v="Impôt s/prest. cap. PP"/>
    <n v="0"/>
    <n v="-776.4"/>
    <n v="4001"/>
  </r>
  <r>
    <x v="0"/>
    <x v="3"/>
    <x v="3"/>
    <x v="35"/>
    <x v="33"/>
    <x v="33"/>
    <s v="REVENUS"/>
    <x v="6"/>
    <s v="4211.002"/>
    <s v="Intérêts de retard sur acomptes"/>
    <n v="0"/>
    <n v="9.11"/>
    <n v="4211"/>
  </r>
  <r>
    <x v="0"/>
    <x v="3"/>
    <x v="3"/>
    <x v="35"/>
    <x v="33"/>
    <x v="33"/>
    <s v="REVENUS"/>
    <x v="6"/>
    <s v="4211.002"/>
    <s v="Intérêts de retard sur acomptes"/>
    <n v="0"/>
    <n v="0.05"/>
    <n v="4211"/>
  </r>
  <r>
    <x v="0"/>
    <x v="3"/>
    <x v="3"/>
    <x v="35"/>
    <x v="33"/>
    <x v="33"/>
    <s v="REVENUS"/>
    <x v="2"/>
    <s v="4001.001"/>
    <s v="Impôt revenu"/>
    <n v="0"/>
    <n v="4.9000000000000004"/>
    <n v="4001"/>
  </r>
  <r>
    <x v="0"/>
    <x v="3"/>
    <x v="3"/>
    <x v="35"/>
    <x v="33"/>
    <x v="33"/>
    <s v="REVENUS"/>
    <x v="3"/>
    <s v="4002.001"/>
    <s v="Impôt ordinaire s/fortune PP"/>
    <n v="0"/>
    <n v="26.65"/>
    <n v="4002"/>
  </r>
  <r>
    <x v="0"/>
    <x v="3"/>
    <x v="3"/>
    <x v="35"/>
    <x v="33"/>
    <x v="33"/>
    <s v="REVENUS"/>
    <x v="2"/>
    <s v="4001.001"/>
    <s v="Impôt revenu"/>
    <n v="0"/>
    <n v="-46040.1"/>
    <n v="4001"/>
  </r>
  <r>
    <x v="0"/>
    <x v="3"/>
    <x v="3"/>
    <x v="35"/>
    <x v="33"/>
    <x v="33"/>
    <s v="REVENUS"/>
    <x v="3"/>
    <s v="4002.001"/>
    <s v="Impôt ordinaire s/fortune PP"/>
    <n v="0"/>
    <n v="-14378.8"/>
    <n v="4002"/>
  </r>
  <r>
    <x v="0"/>
    <x v="3"/>
    <x v="3"/>
    <x v="35"/>
    <x v="33"/>
    <x v="33"/>
    <s v="REVENUS"/>
    <x v="5"/>
    <s v="4061.000"/>
    <s v="Impôt sur les chiens"/>
    <n v="0"/>
    <n v="15850"/>
    <n v="4061"/>
  </r>
  <r>
    <x v="0"/>
    <x v="3"/>
    <x v="3"/>
    <x v="35"/>
    <x v="33"/>
    <x v="33"/>
    <s v="REVENUS"/>
    <x v="6"/>
    <s v="4211.002"/>
    <s v="Intérêts de retard sur acomptes"/>
    <n v="0"/>
    <n v="-39.67"/>
    <n v="4211"/>
  </r>
  <r>
    <x v="0"/>
    <x v="3"/>
    <x v="3"/>
    <x v="35"/>
    <x v="33"/>
    <x v="33"/>
    <s v="REVENUS"/>
    <x v="6"/>
    <s v="4221.003"/>
    <s v="Intérêts compensat. / acomptes en faveur du fisc"/>
    <n v="0"/>
    <n v="0.6"/>
    <n v="4221"/>
  </r>
  <r>
    <x v="0"/>
    <x v="3"/>
    <x v="3"/>
    <x v="35"/>
    <x v="33"/>
    <x v="33"/>
    <s v="REVENUS"/>
    <x v="2"/>
    <s v="4001.001"/>
    <s v="Impôt revenu"/>
    <n v="0"/>
    <n v="-524.35"/>
    <n v="4001"/>
  </r>
  <r>
    <x v="0"/>
    <x v="3"/>
    <x v="3"/>
    <x v="35"/>
    <x v="33"/>
    <x v="33"/>
    <s v="REVENUS"/>
    <x v="2"/>
    <s v="4001.002"/>
    <s v="Impôt complément s/revenu PP"/>
    <n v="0"/>
    <n v="-4854.6499999999996"/>
    <n v="4001"/>
  </r>
  <r>
    <x v="0"/>
    <x v="3"/>
    <x v="3"/>
    <x v="35"/>
    <x v="33"/>
    <x v="33"/>
    <s v="REVENUS"/>
    <x v="3"/>
    <s v="4002.002"/>
    <s v="Impôt complémentaire s/fortune PP"/>
    <n v="0"/>
    <n v="-9390.1"/>
    <n v="4002"/>
  </r>
  <r>
    <x v="0"/>
    <x v="3"/>
    <x v="3"/>
    <x v="35"/>
    <x v="33"/>
    <x v="33"/>
    <s v="REVENUS"/>
    <x v="6"/>
    <s v="4211.001"/>
    <s v="Intérêts de retard sur factures"/>
    <n v="0"/>
    <n v="5"/>
    <n v="4211"/>
  </r>
  <r>
    <x v="0"/>
    <x v="3"/>
    <x v="3"/>
    <x v="35"/>
    <x v="33"/>
    <x v="33"/>
    <s v="REVENUS"/>
    <x v="6"/>
    <s v="4221.003"/>
    <s v="Intérêts compensat. / acomptes en faveur du fisc"/>
    <n v="0"/>
    <n v="-0.01"/>
    <n v="4221"/>
  </r>
  <r>
    <x v="0"/>
    <x v="3"/>
    <x v="3"/>
    <x v="35"/>
    <x v="33"/>
    <x v="33"/>
    <s v="REVENUS"/>
    <x v="2"/>
    <s v="4001.002"/>
    <s v="Impôt complément s/revenu PP"/>
    <n v="0"/>
    <n v="-69.55"/>
    <n v="4001"/>
  </r>
  <r>
    <x v="0"/>
    <x v="3"/>
    <x v="3"/>
    <x v="35"/>
    <x v="33"/>
    <x v="33"/>
    <s v="REVENUS"/>
    <x v="3"/>
    <s v="4002.002"/>
    <s v="Impôt complémentaire s/fortune PP"/>
    <n v="0"/>
    <n v="-90.55"/>
    <n v="4002"/>
  </r>
  <r>
    <x v="0"/>
    <x v="3"/>
    <x v="3"/>
    <x v="35"/>
    <x v="33"/>
    <x v="33"/>
    <s v="REVENUS"/>
    <x v="6"/>
    <s v="4221.003"/>
    <s v="Intérêts compensat. / acomptes en faveur du fisc"/>
    <n v="0"/>
    <n v="0.02"/>
    <n v="4221"/>
  </r>
  <r>
    <x v="0"/>
    <x v="3"/>
    <x v="3"/>
    <x v="35"/>
    <x v="33"/>
    <x v="33"/>
    <s v="REVENUS"/>
    <x v="3"/>
    <s v="4002.002"/>
    <s v="Impôt complémentaire s/fortune PP"/>
    <n v="0"/>
    <n v="705.3"/>
    <n v="4002"/>
  </r>
  <r>
    <x v="0"/>
    <x v="3"/>
    <x v="3"/>
    <x v="35"/>
    <x v="33"/>
    <x v="33"/>
    <s v="REVENUS"/>
    <x v="3"/>
    <s v="4002.001"/>
    <s v="Impôt ordinaire s/fortune PP"/>
    <n v="0"/>
    <n v="-1080.8"/>
    <n v="4002"/>
  </r>
  <r>
    <x v="0"/>
    <x v="3"/>
    <x v="3"/>
    <x v="35"/>
    <x v="33"/>
    <x v="33"/>
    <s v="REVENUS"/>
    <x v="6"/>
    <s v="4211.001"/>
    <s v="Intérêts de retard sur factures"/>
    <n v="0"/>
    <n v="0.36"/>
    <n v="4211"/>
  </r>
  <r>
    <x v="0"/>
    <x v="3"/>
    <x v="3"/>
    <x v="35"/>
    <x v="33"/>
    <x v="33"/>
    <s v="REVENUS"/>
    <x v="2"/>
    <s v="4001.002"/>
    <s v="Impôt complément s/revenu PP"/>
    <n v="0"/>
    <n v="493.1"/>
    <n v="4001"/>
  </r>
  <r>
    <x v="0"/>
    <x v="3"/>
    <x v="3"/>
    <x v="35"/>
    <x v="33"/>
    <x v="33"/>
    <s v="REVENUS"/>
    <x v="3"/>
    <s v="4002.002"/>
    <s v="Impôt complémentaire s/fortune PP"/>
    <n v="0"/>
    <n v="213.75"/>
    <n v="4002"/>
  </r>
  <r>
    <x v="0"/>
    <x v="3"/>
    <x v="3"/>
    <x v="35"/>
    <x v="33"/>
    <x v="33"/>
    <s v="REVENUS"/>
    <x v="6"/>
    <s v="4211.001"/>
    <s v="Intérêts de retard sur factures"/>
    <n v="0"/>
    <n v="0.04"/>
    <n v="4211"/>
  </r>
  <r>
    <x v="0"/>
    <x v="3"/>
    <x v="3"/>
    <x v="36"/>
    <x v="34"/>
    <x v="34"/>
    <s v="CHARGES"/>
    <x v="0"/>
    <s v="3212.002"/>
    <s v="Intérêts bonifiés/trop perçu acompte C/C"/>
    <n v="24.13"/>
    <n v="0"/>
    <n v="3212"/>
  </r>
  <r>
    <x v="0"/>
    <x v="3"/>
    <x v="3"/>
    <x v="36"/>
    <x v="34"/>
    <x v="34"/>
    <s v="CHARGES"/>
    <x v="0"/>
    <s v="3212.004"/>
    <s v="Intérêts rémun./perçu trop tôt sur acomptes C/C"/>
    <n v="583.44000000000005"/>
    <n v="0"/>
    <n v="3212"/>
  </r>
  <r>
    <x v="0"/>
    <x v="3"/>
    <x v="3"/>
    <x v="36"/>
    <x v="34"/>
    <x v="34"/>
    <s v="CHARGES"/>
    <x v="0"/>
    <s v="3221.002"/>
    <s v="Intérêts compensatoires / créances en faveur ctb."/>
    <n v="318.01"/>
    <n v="0"/>
    <n v="3221"/>
  </r>
  <r>
    <x v="0"/>
    <x v="3"/>
    <x v="3"/>
    <x v="36"/>
    <x v="34"/>
    <x v="34"/>
    <s v="CHARGES"/>
    <x v="1"/>
    <s v="3301.001"/>
    <s v="Défalcations, abandons de solde PP et IS"/>
    <n v="20785.990000000002"/>
    <n v="0"/>
    <n v="3301"/>
  </r>
  <r>
    <x v="0"/>
    <x v="3"/>
    <x v="3"/>
    <x v="36"/>
    <x v="34"/>
    <x v="34"/>
    <s v="CHARGES"/>
    <x v="1"/>
    <s v="3301.001"/>
    <s v="Défalcations, abandons de solde PP et IS"/>
    <n v="35970.589999999997"/>
    <n v="0"/>
    <n v="3301"/>
  </r>
  <r>
    <x v="0"/>
    <x v="3"/>
    <x v="3"/>
    <x v="36"/>
    <x v="34"/>
    <x v="34"/>
    <s v="CHARGES"/>
    <x v="0"/>
    <s v="3212.004"/>
    <s v="Intérêts rémun./perçu trop tôt sur acomptes C/C"/>
    <n v="0.67"/>
    <n v="0"/>
    <n v="3212"/>
  </r>
  <r>
    <x v="0"/>
    <x v="3"/>
    <x v="3"/>
    <x v="36"/>
    <x v="34"/>
    <x v="34"/>
    <s v="CHARGES"/>
    <x v="0"/>
    <s v="3212.004"/>
    <s v="Intérêts rémun./perçu trop tôt sur acomptes C/C"/>
    <n v="1.89"/>
    <n v="0"/>
    <n v="3212"/>
  </r>
  <r>
    <x v="0"/>
    <x v="3"/>
    <x v="3"/>
    <x v="36"/>
    <x v="34"/>
    <x v="34"/>
    <s v="CHARGES"/>
    <x v="0"/>
    <s v="3221.002"/>
    <s v="Intérêts compensatoires / créances en faveur ctb."/>
    <n v="3.77"/>
    <n v="0"/>
    <n v="3221"/>
  </r>
  <r>
    <x v="0"/>
    <x v="3"/>
    <x v="3"/>
    <x v="36"/>
    <x v="34"/>
    <x v="34"/>
    <s v="CHARGES"/>
    <x v="1"/>
    <s v="3301.001"/>
    <s v="Défalcations, abandons de solde PP et IS"/>
    <n v="0.08"/>
    <n v="0"/>
    <n v="3301"/>
  </r>
  <r>
    <x v="0"/>
    <x v="3"/>
    <x v="3"/>
    <x v="36"/>
    <x v="34"/>
    <x v="34"/>
    <s v="CHARGES"/>
    <x v="0"/>
    <s v="3212.004"/>
    <s v="Intérêts rémun./perçu trop tôt sur acomptes C/C"/>
    <n v="0.66"/>
    <n v="0"/>
    <n v="3212"/>
  </r>
  <r>
    <x v="0"/>
    <x v="3"/>
    <x v="3"/>
    <x v="36"/>
    <x v="34"/>
    <x v="34"/>
    <s v="CHARGES"/>
    <x v="0"/>
    <s v="3212.004"/>
    <s v="Intérêts rémun./perçu trop tôt sur acomptes C/C"/>
    <n v="2.27"/>
    <n v="0"/>
    <n v="3212"/>
  </r>
  <r>
    <x v="0"/>
    <x v="3"/>
    <x v="3"/>
    <x v="36"/>
    <x v="34"/>
    <x v="34"/>
    <s v="CHARGES"/>
    <x v="0"/>
    <s v="3221.002"/>
    <s v="Intérêts compensatoires / créances en faveur ctb."/>
    <n v="0.01"/>
    <n v="0"/>
    <n v="3221"/>
  </r>
  <r>
    <x v="0"/>
    <x v="3"/>
    <x v="3"/>
    <x v="36"/>
    <x v="34"/>
    <x v="34"/>
    <s v="CHARGES"/>
    <x v="1"/>
    <s v="3301.001"/>
    <s v="Défalcations, abandons de solde PP et IS"/>
    <n v="0.09"/>
    <n v="0"/>
    <n v="3301"/>
  </r>
  <r>
    <x v="0"/>
    <x v="3"/>
    <x v="3"/>
    <x v="36"/>
    <x v="34"/>
    <x v="34"/>
    <s v="CHARGES"/>
    <x v="0"/>
    <s v="3221.002"/>
    <s v="Intérêts compensatoires / créances en faveur ctb."/>
    <n v="0.02"/>
    <n v="0"/>
    <n v="3221"/>
  </r>
  <r>
    <x v="0"/>
    <x v="3"/>
    <x v="3"/>
    <x v="36"/>
    <x v="34"/>
    <x v="34"/>
    <s v="CHARGES"/>
    <x v="1"/>
    <s v="3301.001"/>
    <s v="Défalcations, abandons de solde PP et IS"/>
    <n v="0.01"/>
    <n v="0"/>
    <n v="3301"/>
  </r>
  <r>
    <x v="0"/>
    <x v="3"/>
    <x v="3"/>
    <x v="36"/>
    <x v="34"/>
    <x v="34"/>
    <s v="CHARGES"/>
    <x v="1"/>
    <s v="3301.001"/>
    <s v="Défalcations, abandons de solde PP et IS"/>
    <n v="0.42"/>
    <n v="0"/>
    <n v="3301"/>
  </r>
  <r>
    <x v="0"/>
    <x v="3"/>
    <x v="3"/>
    <x v="36"/>
    <x v="34"/>
    <x v="34"/>
    <s v="REVENUS"/>
    <x v="2"/>
    <s v="4001.007"/>
    <s v="Acompte impôt sur revenu"/>
    <n v="0"/>
    <n v="-621344.43000000005"/>
    <n v="4001"/>
  </r>
  <r>
    <x v="0"/>
    <x v="3"/>
    <x v="3"/>
    <x v="36"/>
    <x v="34"/>
    <x v="34"/>
    <s v="REVENUS"/>
    <x v="2"/>
    <s v="4001.001"/>
    <s v="Impôt revenu"/>
    <n v="0"/>
    <n v="1705713.8"/>
    <n v="4001"/>
  </r>
  <r>
    <x v="0"/>
    <x v="3"/>
    <x v="3"/>
    <x v="36"/>
    <x v="34"/>
    <x v="34"/>
    <s v="REVENUS"/>
    <x v="2"/>
    <s v="4001.002"/>
    <s v="Impôt complément s/revenu PP"/>
    <n v="0"/>
    <n v="129194.95"/>
    <n v="4001"/>
  </r>
  <r>
    <x v="0"/>
    <x v="3"/>
    <x v="3"/>
    <x v="36"/>
    <x v="34"/>
    <x v="34"/>
    <s v="REVENUS"/>
    <x v="2"/>
    <s v="4001.003"/>
    <s v="Impôt s/prest. cap. PP"/>
    <n v="0"/>
    <n v="57691.9"/>
    <n v="4001"/>
  </r>
  <r>
    <x v="0"/>
    <x v="3"/>
    <x v="3"/>
    <x v="36"/>
    <x v="34"/>
    <x v="34"/>
    <s v="REVENUS"/>
    <x v="2"/>
    <s v="4001.007"/>
    <s v="Acompte impôt sur revenu"/>
    <n v="0"/>
    <n v="339330.67"/>
    <n v="4001"/>
  </r>
  <r>
    <x v="0"/>
    <x v="3"/>
    <x v="3"/>
    <x v="36"/>
    <x v="34"/>
    <x v="34"/>
    <s v="REVENUS"/>
    <x v="3"/>
    <s v="4002.007"/>
    <s v="Acompte impôt sur fortune"/>
    <n v="0"/>
    <n v="91059.59"/>
    <n v="4002"/>
  </r>
  <r>
    <x v="0"/>
    <x v="3"/>
    <x v="3"/>
    <x v="36"/>
    <x v="34"/>
    <x v="34"/>
    <s v="REVENUS"/>
    <x v="6"/>
    <s v="4211.001"/>
    <s v="Intérêts de retard sur factures"/>
    <n v="0"/>
    <n v="4138.13"/>
    <n v="4211"/>
  </r>
  <r>
    <x v="0"/>
    <x v="3"/>
    <x v="3"/>
    <x v="36"/>
    <x v="34"/>
    <x v="34"/>
    <s v="REVENUS"/>
    <x v="6"/>
    <s v="4221.003"/>
    <s v="Intérêts compensat. / acomptes en faveur du fisc"/>
    <n v="0"/>
    <n v="160.56"/>
    <n v="4221"/>
  </r>
  <r>
    <x v="0"/>
    <x v="3"/>
    <x v="3"/>
    <x v="36"/>
    <x v="34"/>
    <x v="34"/>
    <s v="REVENUS"/>
    <x v="3"/>
    <s v="4002.007"/>
    <s v="Acompte impôt sur fortune"/>
    <n v="0"/>
    <n v="-174118.63"/>
    <n v="4002"/>
  </r>
  <r>
    <x v="0"/>
    <x v="3"/>
    <x v="3"/>
    <x v="36"/>
    <x v="34"/>
    <x v="34"/>
    <s v="REVENUS"/>
    <x v="3"/>
    <s v="4002.001"/>
    <s v="Impôt ordinaire s/fortune PP"/>
    <n v="0"/>
    <n v="293548.3"/>
    <n v="4002"/>
  </r>
  <r>
    <x v="0"/>
    <x v="3"/>
    <x v="3"/>
    <x v="36"/>
    <x v="34"/>
    <x v="34"/>
    <s v="REVENUS"/>
    <x v="7"/>
    <s v="4184.000"/>
    <s v="Frais de poursuite"/>
    <n v="0"/>
    <n v="1910.66"/>
    <n v="4184"/>
  </r>
  <r>
    <x v="0"/>
    <x v="3"/>
    <x v="3"/>
    <x v="36"/>
    <x v="34"/>
    <x v="34"/>
    <s v="REVENUS"/>
    <x v="6"/>
    <s v="4211.002"/>
    <s v="Intérêts de retard sur acomptes"/>
    <n v="0"/>
    <n v="13088"/>
    <n v="4211"/>
  </r>
  <r>
    <x v="0"/>
    <x v="3"/>
    <x v="3"/>
    <x v="36"/>
    <x v="34"/>
    <x v="34"/>
    <s v="REVENUS"/>
    <x v="5"/>
    <s v="4061.000"/>
    <s v="Impôt sur les chiens"/>
    <n v="0"/>
    <n v="10700"/>
    <n v="4061"/>
  </r>
  <r>
    <x v="0"/>
    <x v="3"/>
    <x v="3"/>
    <x v="36"/>
    <x v="34"/>
    <x v="34"/>
    <s v="REVENUS"/>
    <x v="9"/>
    <s v="4031.001"/>
    <s v="Impôt sur les gains immobiliers"/>
    <n v="0"/>
    <n v="60517.3"/>
    <n v="4031"/>
  </r>
  <r>
    <x v="0"/>
    <x v="3"/>
    <x v="3"/>
    <x v="36"/>
    <x v="34"/>
    <x v="34"/>
    <s v="REVENUS"/>
    <x v="10"/>
    <s v="4041.001"/>
    <s v="Droits de mutation"/>
    <n v="0"/>
    <n v="89368.4"/>
    <n v="4041"/>
  </r>
  <r>
    <x v="0"/>
    <x v="3"/>
    <x v="3"/>
    <x v="36"/>
    <x v="34"/>
    <x v="34"/>
    <s v="REVENUS"/>
    <x v="8"/>
    <s v="4091.001"/>
    <s v="Impôt récupéré après défalcations"/>
    <n v="0"/>
    <n v="26797.360000000001"/>
    <n v="4091"/>
  </r>
  <r>
    <x v="0"/>
    <x v="3"/>
    <x v="3"/>
    <x v="36"/>
    <x v="34"/>
    <x v="34"/>
    <s v="REVENUS"/>
    <x v="2"/>
    <s v="4001.007"/>
    <s v="Acompte impôt sur revenu"/>
    <n v="0"/>
    <n v="1201.2"/>
    <n v="4001"/>
  </r>
  <r>
    <x v="0"/>
    <x v="3"/>
    <x v="3"/>
    <x v="36"/>
    <x v="34"/>
    <x v="34"/>
    <s v="REVENUS"/>
    <x v="3"/>
    <s v="4002.002"/>
    <s v="Impôt complémentaire s/fortune PP"/>
    <n v="0"/>
    <n v="26756.75"/>
    <n v="4002"/>
  </r>
  <r>
    <x v="0"/>
    <x v="3"/>
    <x v="3"/>
    <x v="36"/>
    <x v="34"/>
    <x v="34"/>
    <s v="REVENUS"/>
    <x v="3"/>
    <s v="4002.007"/>
    <s v="Acompte impôt sur fortune"/>
    <n v="0"/>
    <n v="-2.9"/>
    <n v="4002"/>
  </r>
  <r>
    <x v="0"/>
    <x v="3"/>
    <x v="3"/>
    <x v="36"/>
    <x v="34"/>
    <x v="34"/>
    <s v="REVENUS"/>
    <x v="3"/>
    <s v="4002.007"/>
    <s v="Acompte impôt sur fortune"/>
    <n v="0"/>
    <n v="846.41"/>
    <n v="4002"/>
  </r>
  <r>
    <x v="0"/>
    <x v="3"/>
    <x v="3"/>
    <x v="36"/>
    <x v="34"/>
    <x v="34"/>
    <s v="REVENUS"/>
    <x v="2"/>
    <s v="4001.007"/>
    <s v="Acompte impôt sur revenu"/>
    <n v="0"/>
    <n v="-543.35"/>
    <n v="4001"/>
  </r>
  <r>
    <x v="0"/>
    <x v="3"/>
    <x v="3"/>
    <x v="36"/>
    <x v="34"/>
    <x v="34"/>
    <s v="REVENUS"/>
    <x v="6"/>
    <s v="4221.002"/>
    <s v="Intérêts compensat. sur impôts distincts"/>
    <n v="0"/>
    <n v="115.01"/>
    <n v="4221"/>
  </r>
  <r>
    <x v="0"/>
    <x v="3"/>
    <x v="3"/>
    <x v="36"/>
    <x v="34"/>
    <x v="34"/>
    <s v="REVENUS"/>
    <x v="3"/>
    <s v="4002.007"/>
    <s v="Acompte impôt sur fortune"/>
    <n v="0"/>
    <n v="-1505.5"/>
    <n v="4002"/>
  </r>
  <r>
    <x v="0"/>
    <x v="3"/>
    <x v="3"/>
    <x v="36"/>
    <x v="34"/>
    <x v="34"/>
    <s v="REVENUS"/>
    <x v="2"/>
    <s v="4001.007"/>
    <s v="Acompte impôt sur revenu"/>
    <n v="0"/>
    <n v="3328.75"/>
    <n v="4001"/>
  </r>
  <r>
    <x v="0"/>
    <x v="3"/>
    <x v="3"/>
    <x v="36"/>
    <x v="34"/>
    <x v="34"/>
    <s v="REVENUS"/>
    <x v="2"/>
    <s v="4001.007"/>
    <s v="Acompte impôt sur revenu"/>
    <n v="0"/>
    <n v="-2409.0500000000002"/>
    <n v="4001"/>
  </r>
  <r>
    <x v="0"/>
    <x v="3"/>
    <x v="3"/>
    <x v="36"/>
    <x v="34"/>
    <x v="34"/>
    <s v="REVENUS"/>
    <x v="2"/>
    <s v="4001.007"/>
    <s v="Acompte impôt sur revenu"/>
    <n v="0"/>
    <n v="-3802.11"/>
    <n v="4001"/>
  </r>
  <r>
    <x v="0"/>
    <x v="3"/>
    <x v="3"/>
    <x v="36"/>
    <x v="34"/>
    <x v="34"/>
    <s v="REVENUS"/>
    <x v="3"/>
    <s v="4002.007"/>
    <s v="Acompte impôt sur fortune"/>
    <n v="0"/>
    <n v="-2874.73"/>
    <n v="4002"/>
  </r>
  <r>
    <x v="0"/>
    <x v="3"/>
    <x v="3"/>
    <x v="36"/>
    <x v="34"/>
    <x v="34"/>
    <s v="REVENUS"/>
    <x v="7"/>
    <s v="4184.000"/>
    <s v="Frais de poursuite"/>
    <n v="0"/>
    <n v="213.55"/>
    <n v="4184"/>
  </r>
  <r>
    <x v="0"/>
    <x v="3"/>
    <x v="3"/>
    <x v="36"/>
    <x v="34"/>
    <x v="34"/>
    <s v="REVENUS"/>
    <x v="4"/>
    <s v="4051.001"/>
    <s v="Impôt sur les successions"/>
    <n v="0"/>
    <n v="12968.6"/>
    <n v="4051"/>
  </r>
  <r>
    <x v="0"/>
    <x v="3"/>
    <x v="3"/>
    <x v="36"/>
    <x v="34"/>
    <x v="34"/>
    <s v="REVENUS"/>
    <x v="11"/>
    <s v="4198.000"/>
    <s v="Contributions communales"/>
    <n v="0"/>
    <n v="241093.05"/>
    <n v="4198"/>
  </r>
  <r>
    <x v="0"/>
    <x v="3"/>
    <x v="3"/>
    <x v="36"/>
    <x v="34"/>
    <x v="34"/>
    <s v="REVENUS"/>
    <x v="2"/>
    <s v="4001.001"/>
    <s v="Impôt revenu"/>
    <n v="0"/>
    <n v="2548.85"/>
    <n v="4001"/>
  </r>
  <r>
    <x v="0"/>
    <x v="3"/>
    <x v="3"/>
    <x v="36"/>
    <x v="34"/>
    <x v="34"/>
    <s v="REVENUS"/>
    <x v="3"/>
    <s v="4002.001"/>
    <s v="Impôt ordinaire s/fortune PP"/>
    <n v="0"/>
    <n v="1384.55"/>
    <n v="4002"/>
  </r>
  <r>
    <x v="0"/>
    <x v="3"/>
    <x v="3"/>
    <x v="36"/>
    <x v="34"/>
    <x v="34"/>
    <s v="REVENUS"/>
    <x v="6"/>
    <s v="4211.002"/>
    <s v="Intérêts de retard sur acomptes"/>
    <n v="0"/>
    <n v="0.17"/>
    <n v="4211"/>
  </r>
  <r>
    <x v="0"/>
    <x v="3"/>
    <x v="3"/>
    <x v="36"/>
    <x v="34"/>
    <x v="34"/>
    <s v="REVENUS"/>
    <x v="2"/>
    <s v="4001.001"/>
    <s v="Impôt revenu"/>
    <n v="0"/>
    <n v="914.9"/>
    <n v="4001"/>
  </r>
  <r>
    <x v="0"/>
    <x v="3"/>
    <x v="3"/>
    <x v="36"/>
    <x v="34"/>
    <x v="34"/>
    <s v="REVENUS"/>
    <x v="3"/>
    <s v="4002.001"/>
    <s v="Impôt ordinaire s/fortune PP"/>
    <n v="0"/>
    <n v="527.45000000000005"/>
    <n v="4002"/>
  </r>
  <r>
    <x v="0"/>
    <x v="3"/>
    <x v="3"/>
    <x v="36"/>
    <x v="34"/>
    <x v="34"/>
    <s v="REVENUS"/>
    <x v="8"/>
    <s v="4091.001"/>
    <s v="Impôt récupéré après défalcations"/>
    <n v="0"/>
    <n v="3430.42"/>
    <n v="4091"/>
  </r>
  <r>
    <x v="0"/>
    <x v="3"/>
    <x v="3"/>
    <x v="36"/>
    <x v="34"/>
    <x v="34"/>
    <s v="REVENUS"/>
    <x v="2"/>
    <s v="4001.001"/>
    <s v="Impôt revenu"/>
    <n v="0"/>
    <n v="8579.2000000000007"/>
    <n v="4001"/>
  </r>
  <r>
    <x v="0"/>
    <x v="3"/>
    <x v="3"/>
    <x v="36"/>
    <x v="34"/>
    <x v="34"/>
    <s v="REVENUS"/>
    <x v="3"/>
    <s v="4002.001"/>
    <s v="Impôt ordinaire s/fortune PP"/>
    <n v="0"/>
    <n v="579.25"/>
    <n v="4002"/>
  </r>
  <r>
    <x v="0"/>
    <x v="3"/>
    <x v="3"/>
    <x v="36"/>
    <x v="34"/>
    <x v="34"/>
    <s v="REVENUS"/>
    <x v="6"/>
    <s v="4221.003"/>
    <s v="Intérêts compensat. / acomptes en faveur du fisc"/>
    <n v="0"/>
    <n v="3.85"/>
    <n v="4221"/>
  </r>
  <r>
    <x v="0"/>
    <x v="3"/>
    <x v="3"/>
    <x v="36"/>
    <x v="34"/>
    <x v="34"/>
    <s v="REVENUS"/>
    <x v="2"/>
    <s v="4001.007"/>
    <s v="Acompte impôt sur revenu"/>
    <n v="0"/>
    <n v="-819.05"/>
    <n v="4001"/>
  </r>
  <r>
    <x v="0"/>
    <x v="3"/>
    <x v="3"/>
    <x v="36"/>
    <x v="34"/>
    <x v="34"/>
    <s v="REVENUS"/>
    <x v="3"/>
    <s v="4002.007"/>
    <s v="Acompte impôt sur fortune"/>
    <n v="0"/>
    <n v="-415"/>
    <n v="4002"/>
  </r>
  <r>
    <x v="0"/>
    <x v="3"/>
    <x v="3"/>
    <x v="36"/>
    <x v="34"/>
    <x v="34"/>
    <s v="REVENUS"/>
    <x v="2"/>
    <s v="4001.001"/>
    <s v="Impôt revenu"/>
    <n v="0"/>
    <n v="517.45000000000005"/>
    <n v="4001"/>
  </r>
  <r>
    <x v="0"/>
    <x v="3"/>
    <x v="3"/>
    <x v="36"/>
    <x v="34"/>
    <x v="34"/>
    <s v="REVENUS"/>
    <x v="3"/>
    <s v="4002.001"/>
    <s v="Impôt ordinaire s/fortune PP"/>
    <n v="0"/>
    <n v="2919.05"/>
    <n v="4002"/>
  </r>
  <r>
    <x v="0"/>
    <x v="3"/>
    <x v="3"/>
    <x v="36"/>
    <x v="34"/>
    <x v="34"/>
    <s v="REVENUS"/>
    <x v="3"/>
    <s v="4002.007"/>
    <s v="Acompte impôt sur fortune"/>
    <n v="0"/>
    <n v="-3075.92"/>
    <n v="4002"/>
  </r>
  <r>
    <x v="0"/>
    <x v="3"/>
    <x v="3"/>
    <x v="36"/>
    <x v="34"/>
    <x v="34"/>
    <s v="REVENUS"/>
    <x v="6"/>
    <s v="4221.003"/>
    <s v="Intérêts compensat. / acomptes en faveur du fisc"/>
    <n v="0"/>
    <n v="4.58"/>
    <n v="4221"/>
  </r>
  <r>
    <x v="0"/>
    <x v="3"/>
    <x v="3"/>
    <x v="36"/>
    <x v="34"/>
    <x v="34"/>
    <s v="REVENUS"/>
    <x v="2"/>
    <s v="4001.001"/>
    <s v="Impôt revenu"/>
    <n v="0"/>
    <n v="3254.9"/>
    <n v="4001"/>
  </r>
  <r>
    <x v="0"/>
    <x v="3"/>
    <x v="3"/>
    <x v="36"/>
    <x v="34"/>
    <x v="34"/>
    <s v="REVENUS"/>
    <x v="3"/>
    <s v="4002.001"/>
    <s v="Impôt ordinaire s/fortune PP"/>
    <n v="0"/>
    <n v="1913.2"/>
    <n v="4002"/>
  </r>
  <r>
    <x v="0"/>
    <x v="3"/>
    <x v="3"/>
    <x v="36"/>
    <x v="34"/>
    <x v="34"/>
    <s v="REVENUS"/>
    <x v="6"/>
    <s v="4211.002"/>
    <s v="Intérêts de retard sur acomptes"/>
    <n v="0"/>
    <n v="1.49"/>
    <n v="4211"/>
  </r>
  <r>
    <x v="0"/>
    <x v="3"/>
    <x v="3"/>
    <x v="36"/>
    <x v="34"/>
    <x v="34"/>
    <s v="REVENUS"/>
    <x v="6"/>
    <s v="4221.003"/>
    <s v="Intérêts compensat. / acomptes en faveur du fisc"/>
    <n v="0"/>
    <n v="0.09"/>
    <n v="4221"/>
  </r>
  <r>
    <x v="0"/>
    <x v="3"/>
    <x v="3"/>
    <x v="36"/>
    <x v="34"/>
    <x v="34"/>
    <s v="REVENUS"/>
    <x v="6"/>
    <s v="4211.001"/>
    <s v="Intérêts de retard sur factures"/>
    <n v="0"/>
    <n v="0.01"/>
    <n v="4211"/>
  </r>
  <r>
    <x v="0"/>
    <x v="3"/>
    <x v="3"/>
    <x v="36"/>
    <x v="34"/>
    <x v="34"/>
    <s v="REVENUS"/>
    <x v="2"/>
    <s v="4001.002"/>
    <s v="Impôt complément s/revenu PP"/>
    <n v="0"/>
    <n v="890.7"/>
    <n v="4001"/>
  </r>
  <r>
    <x v="0"/>
    <x v="3"/>
    <x v="3"/>
    <x v="36"/>
    <x v="34"/>
    <x v="34"/>
    <s v="REVENUS"/>
    <x v="2"/>
    <s v="4001.001"/>
    <s v="Impôt revenu"/>
    <n v="0"/>
    <n v="-2664.6"/>
    <n v="4001"/>
  </r>
  <r>
    <x v="0"/>
    <x v="3"/>
    <x v="3"/>
    <x v="36"/>
    <x v="34"/>
    <x v="34"/>
    <s v="REVENUS"/>
    <x v="2"/>
    <s v="4001.002"/>
    <s v="Impôt complément s/revenu PP"/>
    <n v="0"/>
    <n v="-310.3"/>
    <n v="4001"/>
  </r>
  <r>
    <x v="0"/>
    <x v="3"/>
    <x v="3"/>
    <x v="36"/>
    <x v="34"/>
    <x v="34"/>
    <s v="REVENUS"/>
    <x v="6"/>
    <s v="4221.003"/>
    <s v="Intérêts compensat. / acomptes en faveur du fisc"/>
    <n v="0"/>
    <n v="0.43"/>
    <n v="4221"/>
  </r>
  <r>
    <x v="0"/>
    <x v="3"/>
    <x v="3"/>
    <x v="37"/>
    <x v="32"/>
    <x v="32"/>
    <s v="REVENUS"/>
    <x v="2"/>
    <s v="4001.003"/>
    <s v="Impôt s/prest. cap. PP"/>
    <n v="0"/>
    <n v="-1672.45"/>
    <n v="4001"/>
  </r>
  <r>
    <x v="0"/>
    <x v="3"/>
    <x v="3"/>
    <x v="37"/>
    <x v="32"/>
    <x v="32"/>
    <s v="REVENUS"/>
    <x v="6"/>
    <s v="4221.002"/>
    <s v="Intérêts compensat. sur impôts distincts"/>
    <n v="0"/>
    <n v="-7.52"/>
    <n v="4221"/>
  </r>
  <r>
    <x v="0"/>
    <x v="3"/>
    <x v="3"/>
    <x v="38"/>
    <x v="31"/>
    <x v="31"/>
    <s v="REVENUS"/>
    <x v="4"/>
    <s v="4051.001"/>
    <s v="Impôt sur les successions"/>
    <n v="0"/>
    <n v="-6.5"/>
    <n v="4051"/>
  </r>
  <r>
    <x v="0"/>
    <x v="3"/>
    <x v="3"/>
    <x v="39"/>
    <x v="32"/>
    <x v="32"/>
    <s v="CHARGES"/>
    <x v="0"/>
    <s v="3212.002"/>
    <s v="Intérêts bonifiés/trop perçu acompte C/C"/>
    <n v="-2.78"/>
    <n v="0"/>
    <n v="3212"/>
  </r>
  <r>
    <x v="0"/>
    <x v="3"/>
    <x v="3"/>
    <x v="39"/>
    <x v="32"/>
    <x v="32"/>
    <s v="CHARGES"/>
    <x v="0"/>
    <s v="3212.004"/>
    <s v="Intérêts rémun./perçu trop tôt sur acomptes C/C"/>
    <n v="-1.1299999999999999"/>
    <n v="0"/>
    <n v="3212"/>
  </r>
  <r>
    <x v="0"/>
    <x v="3"/>
    <x v="3"/>
    <x v="39"/>
    <x v="32"/>
    <x v="32"/>
    <s v="CHARGES"/>
    <x v="0"/>
    <s v="3221.002"/>
    <s v="Intérêts compensatoires / créances en faveur ctb."/>
    <n v="-1.1399999999999999"/>
    <n v="0"/>
    <n v="3221"/>
  </r>
  <r>
    <x v="0"/>
    <x v="3"/>
    <x v="3"/>
    <x v="39"/>
    <x v="32"/>
    <x v="32"/>
    <s v="CHARGES"/>
    <x v="1"/>
    <s v="3301.001"/>
    <s v="Défalcations, abandons de solde PP et IS"/>
    <n v="-4.46"/>
    <n v="0"/>
    <n v="3301"/>
  </r>
  <r>
    <x v="0"/>
    <x v="3"/>
    <x v="3"/>
    <x v="39"/>
    <x v="32"/>
    <x v="32"/>
    <s v="REVENUS"/>
    <x v="2"/>
    <s v="4001.001"/>
    <s v="Impôt revenu"/>
    <n v="0"/>
    <n v="-1839.1"/>
    <n v="4001"/>
  </r>
  <r>
    <x v="0"/>
    <x v="3"/>
    <x v="3"/>
    <x v="39"/>
    <x v="32"/>
    <x v="32"/>
    <s v="REVENUS"/>
    <x v="2"/>
    <s v="4001.001"/>
    <s v="Impôt revenu"/>
    <n v="0"/>
    <n v="-5040.55"/>
    <n v="4001"/>
  </r>
  <r>
    <x v="0"/>
    <x v="3"/>
    <x v="3"/>
    <x v="39"/>
    <x v="32"/>
    <x v="32"/>
    <s v="REVENUS"/>
    <x v="2"/>
    <s v="4001.002"/>
    <s v="Impôt complément s/revenu PP"/>
    <n v="0"/>
    <n v="6987.1"/>
    <n v="4001"/>
  </r>
  <r>
    <x v="0"/>
    <x v="3"/>
    <x v="3"/>
    <x v="39"/>
    <x v="32"/>
    <x v="32"/>
    <s v="REVENUS"/>
    <x v="3"/>
    <s v="4002.002"/>
    <s v="Impôt complémentaire s/fortune PP"/>
    <n v="0"/>
    <n v="408.75"/>
    <n v="4002"/>
  </r>
  <r>
    <x v="0"/>
    <x v="3"/>
    <x v="3"/>
    <x v="39"/>
    <x v="32"/>
    <x v="32"/>
    <s v="REVENUS"/>
    <x v="6"/>
    <s v="4211.001"/>
    <s v="Intérêts de retard sur factures"/>
    <n v="0"/>
    <n v="172.46"/>
    <n v="4211"/>
  </r>
  <r>
    <x v="0"/>
    <x v="3"/>
    <x v="3"/>
    <x v="39"/>
    <x v="32"/>
    <x v="32"/>
    <s v="REVENUS"/>
    <x v="6"/>
    <s v="4221.003"/>
    <s v="Intérêts compensat. / acomptes en faveur du fisc"/>
    <n v="0"/>
    <n v="1.0900000000000001"/>
    <n v="4221"/>
  </r>
  <r>
    <x v="0"/>
    <x v="3"/>
    <x v="3"/>
    <x v="39"/>
    <x v="32"/>
    <x v="32"/>
    <s v="REVENUS"/>
    <x v="7"/>
    <s v="4184.000"/>
    <s v="Frais de poursuite"/>
    <n v="0"/>
    <n v="180.2"/>
    <n v="4184"/>
  </r>
  <r>
    <x v="0"/>
    <x v="3"/>
    <x v="3"/>
    <x v="39"/>
    <x v="32"/>
    <x v="32"/>
    <s v="REVENUS"/>
    <x v="2"/>
    <s v="4001.007"/>
    <s v="Acompte impôt sur revenu"/>
    <n v="0"/>
    <n v="-110.61"/>
    <n v="4001"/>
  </r>
  <r>
    <x v="0"/>
    <x v="3"/>
    <x v="3"/>
    <x v="39"/>
    <x v="32"/>
    <x v="32"/>
    <s v="REVENUS"/>
    <x v="3"/>
    <s v="4002.007"/>
    <s v="Acompte impôt sur fortune"/>
    <n v="0"/>
    <n v="-2107.11"/>
    <n v="4002"/>
  </r>
  <r>
    <x v="0"/>
    <x v="3"/>
    <x v="3"/>
    <x v="39"/>
    <x v="32"/>
    <x v="32"/>
    <s v="REVENUS"/>
    <x v="2"/>
    <s v="4001.007"/>
    <s v="Acompte impôt sur revenu"/>
    <n v="0"/>
    <n v="-308.75"/>
    <n v="4001"/>
  </r>
  <r>
    <x v="0"/>
    <x v="3"/>
    <x v="3"/>
    <x v="39"/>
    <x v="32"/>
    <x v="32"/>
    <s v="REVENUS"/>
    <x v="3"/>
    <s v="4002.007"/>
    <s v="Acompte impôt sur fortune"/>
    <n v="0"/>
    <n v="-179.25"/>
    <n v="4002"/>
  </r>
  <r>
    <x v="0"/>
    <x v="3"/>
    <x v="3"/>
    <x v="40"/>
    <x v="32"/>
    <x v="32"/>
    <s v="CHARGES"/>
    <x v="1"/>
    <s v="3301.001"/>
    <s v="Défalcations, abandons de solde PP et IS"/>
    <n v="2277.3200000000002"/>
    <n v="0"/>
    <n v="3301"/>
  </r>
  <r>
    <x v="0"/>
    <x v="3"/>
    <x v="3"/>
    <x v="41"/>
    <x v="32"/>
    <x v="32"/>
    <s v="CHARGES"/>
    <x v="0"/>
    <s v="3212.002"/>
    <s v="Intérêts bonifiés/trop perçu acompte C/C"/>
    <n v="97.24"/>
    <n v="0"/>
    <n v="3212"/>
  </r>
  <r>
    <x v="0"/>
    <x v="3"/>
    <x v="3"/>
    <x v="41"/>
    <x v="32"/>
    <x v="32"/>
    <s v="CHARGES"/>
    <x v="0"/>
    <s v="3212.004"/>
    <s v="Intérêts rémun./perçu trop tôt sur acomptes C/C"/>
    <n v="1549.99"/>
    <n v="0"/>
    <n v="3212"/>
  </r>
  <r>
    <x v="0"/>
    <x v="3"/>
    <x v="3"/>
    <x v="41"/>
    <x v="32"/>
    <x v="32"/>
    <s v="CHARGES"/>
    <x v="0"/>
    <s v="3221.002"/>
    <s v="Intérêts compensatoires / créances en faveur ctb."/>
    <n v="787.79"/>
    <n v="0"/>
    <n v="3221"/>
  </r>
  <r>
    <x v="0"/>
    <x v="3"/>
    <x v="3"/>
    <x v="41"/>
    <x v="32"/>
    <x v="32"/>
    <s v="CHARGES"/>
    <x v="1"/>
    <s v="3301.001"/>
    <s v="Défalcations, abandons de solde PP et IS"/>
    <n v="67377.649999999994"/>
    <n v="0"/>
    <n v="3301"/>
  </r>
  <r>
    <x v="0"/>
    <x v="3"/>
    <x v="3"/>
    <x v="41"/>
    <x v="32"/>
    <x v="32"/>
    <s v="CHARGES"/>
    <x v="0"/>
    <s v="3212.004"/>
    <s v="Intérêts rémun./perçu trop tôt sur acomptes C/C"/>
    <n v="1.87"/>
    <n v="0"/>
    <n v="3212"/>
  </r>
  <r>
    <x v="0"/>
    <x v="3"/>
    <x v="3"/>
    <x v="41"/>
    <x v="32"/>
    <x v="32"/>
    <s v="CHARGES"/>
    <x v="0"/>
    <s v="3212.004"/>
    <s v="Intérêts rémun./perçu trop tôt sur acomptes C/C"/>
    <n v="-0.01"/>
    <n v="0"/>
    <n v="3212"/>
  </r>
  <r>
    <x v="0"/>
    <x v="3"/>
    <x v="3"/>
    <x v="41"/>
    <x v="32"/>
    <x v="32"/>
    <s v="CHARGES"/>
    <x v="0"/>
    <s v="3221.002"/>
    <s v="Intérêts compensatoires / créances en faveur ctb."/>
    <n v="-0.01"/>
    <n v="0"/>
    <n v="3221"/>
  </r>
  <r>
    <x v="0"/>
    <x v="3"/>
    <x v="3"/>
    <x v="41"/>
    <x v="32"/>
    <x v="32"/>
    <s v="CHARGES"/>
    <x v="1"/>
    <s v="3301.001"/>
    <s v="Défalcations, abandons de solde PP et IS"/>
    <n v="100.1"/>
    <n v="0"/>
    <n v="3301"/>
  </r>
  <r>
    <x v="0"/>
    <x v="3"/>
    <x v="3"/>
    <x v="41"/>
    <x v="32"/>
    <x v="32"/>
    <s v="CHARGES"/>
    <x v="0"/>
    <s v="3221.002"/>
    <s v="Intérêts compensatoires / créances en faveur ctb."/>
    <n v="1.4"/>
    <n v="0"/>
    <n v="3221"/>
  </r>
  <r>
    <x v="0"/>
    <x v="3"/>
    <x v="3"/>
    <x v="41"/>
    <x v="32"/>
    <x v="32"/>
    <s v="CHARGES"/>
    <x v="1"/>
    <s v="3301.001"/>
    <s v="Défalcations, abandons de solde PP et IS"/>
    <n v="3997.3"/>
    <n v="0"/>
    <n v="3301"/>
  </r>
  <r>
    <x v="0"/>
    <x v="3"/>
    <x v="3"/>
    <x v="41"/>
    <x v="32"/>
    <x v="32"/>
    <s v="CHARGES"/>
    <x v="0"/>
    <s v="3221.002"/>
    <s v="Intérêts compensatoires / créances en faveur ctb."/>
    <n v="2.21"/>
    <n v="0"/>
    <n v="3221"/>
  </r>
  <r>
    <x v="0"/>
    <x v="3"/>
    <x v="3"/>
    <x v="41"/>
    <x v="32"/>
    <x v="32"/>
    <s v="CHARGES"/>
    <x v="0"/>
    <s v="3212.004"/>
    <s v="Intérêts rémun./perçu trop tôt sur acomptes C/C"/>
    <n v="2.35"/>
    <n v="0"/>
    <n v="3212"/>
  </r>
  <r>
    <x v="0"/>
    <x v="3"/>
    <x v="3"/>
    <x v="41"/>
    <x v="32"/>
    <x v="32"/>
    <s v="CHARGES"/>
    <x v="1"/>
    <s v="3301.001"/>
    <s v="Défalcations, abandons de solde PP et IS"/>
    <n v="1474.06"/>
    <n v="0"/>
    <n v="3301"/>
  </r>
  <r>
    <x v="0"/>
    <x v="3"/>
    <x v="3"/>
    <x v="41"/>
    <x v="32"/>
    <x v="32"/>
    <s v="CHARGES"/>
    <x v="0"/>
    <s v="3212.004"/>
    <s v="Intérêts rémun./perçu trop tôt sur acomptes C/C"/>
    <n v="0.17"/>
    <n v="0"/>
    <n v="3212"/>
  </r>
  <r>
    <x v="0"/>
    <x v="3"/>
    <x v="3"/>
    <x v="41"/>
    <x v="32"/>
    <x v="32"/>
    <s v="CHARGES"/>
    <x v="0"/>
    <s v="3221.002"/>
    <s v="Intérêts compensatoires / créances en faveur ctb."/>
    <n v="0.17"/>
    <n v="0"/>
    <n v="3221"/>
  </r>
  <r>
    <x v="0"/>
    <x v="3"/>
    <x v="3"/>
    <x v="41"/>
    <x v="32"/>
    <x v="32"/>
    <s v="CHARGES"/>
    <x v="0"/>
    <s v="3212.004"/>
    <s v="Intérêts rémun./perçu trop tôt sur acomptes C/C"/>
    <n v="0.15"/>
    <n v="0"/>
    <n v="3212"/>
  </r>
  <r>
    <x v="0"/>
    <x v="3"/>
    <x v="3"/>
    <x v="41"/>
    <x v="32"/>
    <x v="32"/>
    <s v="CHARGES"/>
    <x v="0"/>
    <s v="3221.002"/>
    <s v="Intérêts compensatoires / créances en faveur ctb."/>
    <n v="0.03"/>
    <n v="0"/>
    <n v="3221"/>
  </r>
  <r>
    <x v="0"/>
    <x v="3"/>
    <x v="3"/>
    <x v="41"/>
    <x v="32"/>
    <x v="32"/>
    <s v="CHARGES"/>
    <x v="0"/>
    <s v="3212.004"/>
    <s v="Intérêts rémun./perçu trop tôt sur acomptes C/C"/>
    <n v="4.24"/>
    <n v="0"/>
    <n v="3212"/>
  </r>
  <r>
    <x v="0"/>
    <x v="3"/>
    <x v="3"/>
    <x v="41"/>
    <x v="32"/>
    <x v="32"/>
    <s v="CHARGES"/>
    <x v="0"/>
    <s v="3221.002"/>
    <s v="Intérêts compensatoires / créances en faveur ctb."/>
    <n v="5.0199999999999996"/>
    <n v="0"/>
    <n v="3221"/>
  </r>
  <r>
    <x v="0"/>
    <x v="3"/>
    <x v="3"/>
    <x v="41"/>
    <x v="32"/>
    <x v="32"/>
    <s v="CHARGES"/>
    <x v="1"/>
    <s v="3301.001"/>
    <s v="Défalcations, abandons de solde PP et IS"/>
    <n v="0.39"/>
    <n v="0"/>
    <n v="3301"/>
  </r>
  <r>
    <x v="0"/>
    <x v="3"/>
    <x v="3"/>
    <x v="41"/>
    <x v="32"/>
    <x v="32"/>
    <s v="CHARGES"/>
    <x v="0"/>
    <s v="3212.004"/>
    <s v="Intérêts rémun./perçu trop tôt sur acomptes C/C"/>
    <n v="0.1"/>
    <n v="0"/>
    <n v="3212"/>
  </r>
  <r>
    <x v="0"/>
    <x v="3"/>
    <x v="3"/>
    <x v="41"/>
    <x v="32"/>
    <x v="32"/>
    <s v="CHARGES"/>
    <x v="0"/>
    <s v="3212.002"/>
    <s v="Intérêts bonifiés/trop perçu acompte C/C"/>
    <n v="-0.43"/>
    <n v="0"/>
    <n v="3212"/>
  </r>
  <r>
    <x v="0"/>
    <x v="3"/>
    <x v="3"/>
    <x v="41"/>
    <x v="32"/>
    <x v="32"/>
    <s v="CHARGES"/>
    <x v="0"/>
    <s v="3221.002"/>
    <s v="Intérêts compensatoires / créances en faveur ctb."/>
    <n v="0.23"/>
    <n v="0"/>
    <n v="3221"/>
  </r>
  <r>
    <x v="0"/>
    <x v="3"/>
    <x v="3"/>
    <x v="41"/>
    <x v="32"/>
    <x v="32"/>
    <s v="CHARGES"/>
    <x v="1"/>
    <s v="3301.001"/>
    <s v="Défalcations, abandons de solde PP et IS"/>
    <n v="0.02"/>
    <n v="0"/>
    <n v="3301"/>
  </r>
  <r>
    <x v="0"/>
    <x v="3"/>
    <x v="3"/>
    <x v="41"/>
    <x v="32"/>
    <x v="32"/>
    <s v="REVENUS"/>
    <x v="2"/>
    <s v="4001.007"/>
    <s v="Acompte impôt sur revenu"/>
    <n v="0"/>
    <n v="-2107072.6800000002"/>
    <n v="4001"/>
  </r>
  <r>
    <x v="0"/>
    <x v="3"/>
    <x v="3"/>
    <x v="41"/>
    <x v="32"/>
    <x v="32"/>
    <s v="REVENUS"/>
    <x v="3"/>
    <s v="4002.007"/>
    <s v="Acompte impôt sur fortune"/>
    <n v="0"/>
    <n v="-511975.01"/>
    <n v="4002"/>
  </r>
  <r>
    <x v="0"/>
    <x v="3"/>
    <x v="3"/>
    <x v="41"/>
    <x v="32"/>
    <x v="32"/>
    <s v="REVENUS"/>
    <x v="2"/>
    <s v="4001.001"/>
    <s v="Impôt revenu"/>
    <n v="0"/>
    <n v="5845816"/>
    <n v="4001"/>
  </r>
  <r>
    <x v="0"/>
    <x v="3"/>
    <x v="3"/>
    <x v="41"/>
    <x v="32"/>
    <x v="32"/>
    <s v="REVENUS"/>
    <x v="2"/>
    <s v="4001.007"/>
    <s v="Acompte impôt sur revenu"/>
    <n v="0"/>
    <n v="1281140.06"/>
    <n v="4001"/>
  </r>
  <r>
    <x v="0"/>
    <x v="3"/>
    <x v="3"/>
    <x v="41"/>
    <x v="32"/>
    <x v="32"/>
    <s v="REVENUS"/>
    <x v="3"/>
    <s v="4002.001"/>
    <s v="Impôt ordinaire s/fortune PP"/>
    <n v="0"/>
    <n v="1132252.7"/>
    <n v="4002"/>
  </r>
  <r>
    <x v="0"/>
    <x v="3"/>
    <x v="3"/>
    <x v="41"/>
    <x v="32"/>
    <x v="32"/>
    <s v="REVENUS"/>
    <x v="3"/>
    <s v="4002.007"/>
    <s v="Acompte impôt sur fortune"/>
    <n v="0"/>
    <n v="361361.35"/>
    <n v="4002"/>
  </r>
  <r>
    <x v="0"/>
    <x v="3"/>
    <x v="3"/>
    <x v="41"/>
    <x v="32"/>
    <x v="32"/>
    <s v="REVENUS"/>
    <x v="9"/>
    <s v="4031.001"/>
    <s v="Impôt sur les gains immobiliers"/>
    <n v="0"/>
    <n v="118614.45"/>
    <n v="4031"/>
  </r>
  <r>
    <x v="0"/>
    <x v="3"/>
    <x v="3"/>
    <x v="41"/>
    <x v="32"/>
    <x v="32"/>
    <s v="REVENUS"/>
    <x v="6"/>
    <s v="4211.001"/>
    <s v="Intérêts de retard sur factures"/>
    <n v="0"/>
    <n v="13392.17"/>
    <n v="4211"/>
  </r>
  <r>
    <x v="0"/>
    <x v="3"/>
    <x v="3"/>
    <x v="41"/>
    <x v="32"/>
    <x v="32"/>
    <s v="REVENUS"/>
    <x v="6"/>
    <s v="4221.003"/>
    <s v="Intérêts compensat. / acomptes en faveur du fisc"/>
    <n v="0"/>
    <n v="1006.64"/>
    <n v="4221"/>
  </r>
  <r>
    <x v="0"/>
    <x v="3"/>
    <x v="3"/>
    <x v="41"/>
    <x v="32"/>
    <x v="32"/>
    <s v="REVENUS"/>
    <x v="2"/>
    <s v="4001.002"/>
    <s v="Impôt complément s/revenu PP"/>
    <n v="0"/>
    <n v="500018.65"/>
    <n v="4001"/>
  </r>
  <r>
    <x v="0"/>
    <x v="3"/>
    <x v="3"/>
    <x v="41"/>
    <x v="32"/>
    <x v="32"/>
    <s v="REVENUS"/>
    <x v="2"/>
    <s v="4001.003"/>
    <s v="Impôt s/prest. cap. PP"/>
    <n v="0"/>
    <n v="180892.9"/>
    <n v="4001"/>
  </r>
  <r>
    <x v="0"/>
    <x v="3"/>
    <x v="3"/>
    <x v="41"/>
    <x v="32"/>
    <x v="32"/>
    <s v="REVENUS"/>
    <x v="3"/>
    <s v="4002.002"/>
    <s v="Impôt complémentaire s/fortune PP"/>
    <n v="0"/>
    <n v="90440.25"/>
    <n v="4002"/>
  </r>
  <r>
    <x v="0"/>
    <x v="3"/>
    <x v="3"/>
    <x v="41"/>
    <x v="32"/>
    <x v="32"/>
    <s v="REVENUS"/>
    <x v="5"/>
    <s v="4061.000"/>
    <s v="Impôt sur les chiens"/>
    <n v="0"/>
    <n v="25100"/>
    <n v="4061"/>
  </r>
  <r>
    <x v="0"/>
    <x v="3"/>
    <x v="3"/>
    <x v="41"/>
    <x v="32"/>
    <x v="32"/>
    <s v="REVENUS"/>
    <x v="6"/>
    <s v="4211.002"/>
    <s v="Intérêts de retard sur acomptes"/>
    <n v="0"/>
    <n v="39407.760000000002"/>
    <n v="4211"/>
  </r>
  <r>
    <x v="0"/>
    <x v="3"/>
    <x v="3"/>
    <x v="41"/>
    <x v="32"/>
    <x v="32"/>
    <s v="REVENUS"/>
    <x v="6"/>
    <s v="4221.002"/>
    <s v="Intérêts compensat. sur impôts distincts"/>
    <n v="0"/>
    <n v="44.69"/>
    <n v="4221"/>
  </r>
  <r>
    <x v="0"/>
    <x v="3"/>
    <x v="3"/>
    <x v="41"/>
    <x v="32"/>
    <x v="32"/>
    <s v="REVENUS"/>
    <x v="2"/>
    <s v="4001.001"/>
    <s v="Impôt revenu"/>
    <n v="0"/>
    <n v="2556.1999999999998"/>
    <n v="4001"/>
  </r>
  <r>
    <x v="0"/>
    <x v="3"/>
    <x v="3"/>
    <x v="41"/>
    <x v="32"/>
    <x v="32"/>
    <s v="REVENUS"/>
    <x v="2"/>
    <s v="4001.007"/>
    <s v="Acompte impôt sur revenu"/>
    <n v="0"/>
    <n v="-1283.18"/>
    <n v="4001"/>
  </r>
  <r>
    <x v="0"/>
    <x v="3"/>
    <x v="3"/>
    <x v="41"/>
    <x v="32"/>
    <x v="32"/>
    <s v="REVENUS"/>
    <x v="3"/>
    <s v="4002.001"/>
    <s v="Impôt ordinaire s/fortune PP"/>
    <n v="0"/>
    <n v="4522.3"/>
    <n v="4002"/>
  </r>
  <r>
    <x v="0"/>
    <x v="3"/>
    <x v="3"/>
    <x v="41"/>
    <x v="32"/>
    <x v="32"/>
    <s v="REVENUS"/>
    <x v="3"/>
    <s v="4002.007"/>
    <s v="Acompte impôt sur fortune"/>
    <n v="0"/>
    <n v="-4059.93"/>
    <n v="4002"/>
  </r>
  <r>
    <x v="0"/>
    <x v="3"/>
    <x v="3"/>
    <x v="41"/>
    <x v="32"/>
    <x v="32"/>
    <s v="REVENUS"/>
    <x v="6"/>
    <s v="4211.002"/>
    <s v="Intérêts de retard sur acomptes"/>
    <n v="0"/>
    <n v="27.08"/>
    <n v="4211"/>
  </r>
  <r>
    <x v="0"/>
    <x v="3"/>
    <x v="3"/>
    <x v="41"/>
    <x v="32"/>
    <x v="32"/>
    <s v="REVENUS"/>
    <x v="2"/>
    <s v="4001.001"/>
    <s v="Impôt revenu"/>
    <n v="0"/>
    <n v="-70228.75"/>
    <n v="4001"/>
  </r>
  <r>
    <x v="0"/>
    <x v="3"/>
    <x v="3"/>
    <x v="41"/>
    <x v="32"/>
    <x v="32"/>
    <s v="REVENUS"/>
    <x v="7"/>
    <s v="4184.000"/>
    <s v="Frais de poursuite"/>
    <n v="0"/>
    <n v="8649.4"/>
    <n v="4184"/>
  </r>
  <r>
    <x v="0"/>
    <x v="3"/>
    <x v="3"/>
    <x v="41"/>
    <x v="32"/>
    <x v="32"/>
    <s v="REVENUS"/>
    <x v="3"/>
    <s v="4002.002"/>
    <s v="Impôt complémentaire s/fortune PP"/>
    <n v="0"/>
    <n v="427.75"/>
    <n v="4002"/>
  </r>
  <r>
    <x v="0"/>
    <x v="3"/>
    <x v="3"/>
    <x v="41"/>
    <x v="32"/>
    <x v="32"/>
    <s v="REVENUS"/>
    <x v="6"/>
    <s v="4211.001"/>
    <s v="Intérêts de retard sur factures"/>
    <n v="0"/>
    <n v="6.64"/>
    <n v="4211"/>
  </r>
  <r>
    <x v="0"/>
    <x v="3"/>
    <x v="3"/>
    <x v="41"/>
    <x v="32"/>
    <x v="32"/>
    <s v="REVENUS"/>
    <x v="6"/>
    <s v="4221.003"/>
    <s v="Intérêts compensat. / acomptes en faveur du fisc"/>
    <n v="0"/>
    <n v="0.74"/>
    <n v="4221"/>
  </r>
  <r>
    <x v="0"/>
    <x v="3"/>
    <x v="3"/>
    <x v="41"/>
    <x v="32"/>
    <x v="32"/>
    <s v="REVENUS"/>
    <x v="10"/>
    <s v="4041.001"/>
    <s v="Droits de mutation"/>
    <n v="0"/>
    <n v="255371.2"/>
    <n v="4041"/>
  </r>
  <r>
    <x v="0"/>
    <x v="3"/>
    <x v="3"/>
    <x v="41"/>
    <x v="32"/>
    <x v="32"/>
    <s v="REVENUS"/>
    <x v="8"/>
    <s v="4091.001"/>
    <s v="Impôt récupéré après défalcations"/>
    <n v="0"/>
    <n v="4976.41"/>
    <n v="4091"/>
  </r>
  <r>
    <x v="0"/>
    <x v="3"/>
    <x v="3"/>
    <x v="41"/>
    <x v="32"/>
    <x v="32"/>
    <s v="REVENUS"/>
    <x v="3"/>
    <s v="4002.001"/>
    <s v="Impôt ordinaire s/fortune PP"/>
    <n v="0"/>
    <n v="2384.6"/>
    <n v="4002"/>
  </r>
  <r>
    <x v="0"/>
    <x v="3"/>
    <x v="3"/>
    <x v="41"/>
    <x v="32"/>
    <x v="32"/>
    <s v="REVENUS"/>
    <x v="2"/>
    <s v="4001.007"/>
    <s v="Acompte impôt sur revenu"/>
    <n v="0"/>
    <n v="1327.85"/>
    <n v="4001"/>
  </r>
  <r>
    <x v="0"/>
    <x v="3"/>
    <x v="3"/>
    <x v="41"/>
    <x v="32"/>
    <x v="32"/>
    <s v="REVENUS"/>
    <x v="3"/>
    <s v="4002.007"/>
    <s v="Acompte impôt sur fortune"/>
    <n v="0"/>
    <n v="-600.99"/>
    <n v="4002"/>
  </r>
  <r>
    <x v="0"/>
    <x v="3"/>
    <x v="3"/>
    <x v="41"/>
    <x v="32"/>
    <x v="32"/>
    <s v="REVENUS"/>
    <x v="6"/>
    <s v="4221.003"/>
    <s v="Intérêts compensat. / acomptes en faveur du fisc"/>
    <n v="0"/>
    <n v="1.18"/>
    <n v="4221"/>
  </r>
  <r>
    <x v="0"/>
    <x v="3"/>
    <x v="3"/>
    <x v="41"/>
    <x v="32"/>
    <x v="32"/>
    <s v="REVENUS"/>
    <x v="6"/>
    <s v="4211.002"/>
    <s v="Intérêts de retard sur acomptes"/>
    <n v="0"/>
    <n v="145.16"/>
    <n v="4211"/>
  </r>
  <r>
    <x v="0"/>
    <x v="3"/>
    <x v="3"/>
    <x v="41"/>
    <x v="32"/>
    <x v="32"/>
    <s v="REVENUS"/>
    <x v="9"/>
    <s v="4031.002"/>
    <s v="Complément impôt sur les gains immobiliers"/>
    <n v="0"/>
    <n v="8427.65"/>
    <n v="4031"/>
  </r>
  <r>
    <x v="0"/>
    <x v="3"/>
    <x v="3"/>
    <x v="41"/>
    <x v="32"/>
    <x v="32"/>
    <s v="REVENUS"/>
    <x v="2"/>
    <s v="4001.001"/>
    <s v="Impôt revenu"/>
    <n v="0"/>
    <n v="2851.8"/>
    <n v="4001"/>
  </r>
  <r>
    <x v="0"/>
    <x v="3"/>
    <x v="3"/>
    <x v="41"/>
    <x v="32"/>
    <x v="32"/>
    <s v="REVENUS"/>
    <x v="11"/>
    <s v="4198.000"/>
    <s v="Contributions communales"/>
    <n v="0"/>
    <n v="917121.9"/>
    <n v="4198"/>
  </r>
  <r>
    <x v="0"/>
    <x v="3"/>
    <x v="3"/>
    <x v="41"/>
    <x v="32"/>
    <x v="32"/>
    <s v="REVENUS"/>
    <x v="3"/>
    <s v="4002.007"/>
    <s v="Acompte impôt sur fortune"/>
    <n v="0"/>
    <n v="6618.5"/>
    <n v="4002"/>
  </r>
  <r>
    <x v="0"/>
    <x v="3"/>
    <x v="3"/>
    <x v="41"/>
    <x v="32"/>
    <x v="32"/>
    <s v="REVENUS"/>
    <x v="2"/>
    <s v="4001.007"/>
    <s v="Acompte impôt sur revenu"/>
    <n v="0"/>
    <n v="1041.55"/>
    <n v="4001"/>
  </r>
  <r>
    <x v="0"/>
    <x v="3"/>
    <x v="3"/>
    <x v="41"/>
    <x v="32"/>
    <x v="32"/>
    <s v="REVENUS"/>
    <x v="3"/>
    <s v="4002.007"/>
    <s v="Acompte impôt sur fortune"/>
    <n v="0"/>
    <n v="-288.42"/>
    <n v="4002"/>
  </r>
  <r>
    <x v="0"/>
    <x v="3"/>
    <x v="3"/>
    <x v="41"/>
    <x v="32"/>
    <x v="32"/>
    <s v="REVENUS"/>
    <x v="2"/>
    <s v="4001.007"/>
    <s v="Acompte impôt sur revenu"/>
    <n v="0"/>
    <n v="17367.810000000001"/>
    <n v="4001"/>
  </r>
  <r>
    <x v="0"/>
    <x v="3"/>
    <x v="3"/>
    <x v="41"/>
    <x v="32"/>
    <x v="32"/>
    <s v="REVENUS"/>
    <x v="2"/>
    <s v="4001.002"/>
    <s v="Impôt complément s/revenu PP"/>
    <n v="0"/>
    <n v="-6434.7"/>
    <n v="4001"/>
  </r>
  <r>
    <x v="0"/>
    <x v="3"/>
    <x v="3"/>
    <x v="41"/>
    <x v="32"/>
    <x v="32"/>
    <s v="REVENUS"/>
    <x v="3"/>
    <s v="4002.001"/>
    <s v="Impôt ordinaire s/fortune PP"/>
    <n v="0"/>
    <n v="-1291.5"/>
    <n v="4002"/>
  </r>
  <r>
    <x v="0"/>
    <x v="3"/>
    <x v="3"/>
    <x v="41"/>
    <x v="32"/>
    <x v="32"/>
    <s v="REVENUS"/>
    <x v="2"/>
    <s v="4001.007"/>
    <s v="Acompte impôt sur revenu"/>
    <n v="0"/>
    <n v="110.58"/>
    <n v="4001"/>
  </r>
  <r>
    <x v="0"/>
    <x v="3"/>
    <x v="3"/>
    <x v="41"/>
    <x v="32"/>
    <x v="32"/>
    <s v="REVENUS"/>
    <x v="3"/>
    <s v="4002.007"/>
    <s v="Acompte impôt sur fortune"/>
    <n v="0"/>
    <n v="14.11"/>
    <n v="4002"/>
  </r>
  <r>
    <x v="0"/>
    <x v="3"/>
    <x v="3"/>
    <x v="41"/>
    <x v="32"/>
    <x v="32"/>
    <s v="REVENUS"/>
    <x v="3"/>
    <s v="4002.007"/>
    <s v="Acompte impôt sur fortune"/>
    <n v="0"/>
    <n v="-2348.85"/>
    <n v="4002"/>
  </r>
  <r>
    <x v="0"/>
    <x v="3"/>
    <x v="3"/>
    <x v="41"/>
    <x v="32"/>
    <x v="32"/>
    <s v="REVENUS"/>
    <x v="7"/>
    <s v="4184.000"/>
    <s v="Frais de poursuite"/>
    <n v="0"/>
    <n v="0.21"/>
    <n v="4184"/>
  </r>
  <r>
    <x v="0"/>
    <x v="3"/>
    <x v="3"/>
    <x v="41"/>
    <x v="32"/>
    <x v="32"/>
    <s v="REVENUS"/>
    <x v="7"/>
    <s v="4184.000"/>
    <s v="Frais de poursuite"/>
    <n v="0"/>
    <n v="62.96"/>
    <n v="4184"/>
  </r>
  <r>
    <x v="0"/>
    <x v="3"/>
    <x v="3"/>
    <x v="41"/>
    <x v="32"/>
    <x v="32"/>
    <s v="REVENUS"/>
    <x v="2"/>
    <s v="4001.007"/>
    <s v="Acompte impôt sur revenu"/>
    <n v="0"/>
    <n v="-2374.0700000000002"/>
    <n v="4001"/>
  </r>
  <r>
    <x v="0"/>
    <x v="3"/>
    <x v="3"/>
    <x v="41"/>
    <x v="32"/>
    <x v="32"/>
    <s v="REVENUS"/>
    <x v="8"/>
    <s v="4091.001"/>
    <s v="Impôt récupéré après défalcations"/>
    <n v="0"/>
    <n v="1640.31"/>
    <n v="4091"/>
  </r>
  <r>
    <x v="0"/>
    <x v="3"/>
    <x v="3"/>
    <x v="41"/>
    <x v="32"/>
    <x v="32"/>
    <s v="REVENUS"/>
    <x v="2"/>
    <s v="4001.001"/>
    <s v="Impôt revenu"/>
    <n v="0"/>
    <n v="986.2"/>
    <n v="4001"/>
  </r>
  <r>
    <x v="0"/>
    <x v="3"/>
    <x v="3"/>
    <x v="41"/>
    <x v="32"/>
    <x v="32"/>
    <s v="REVENUS"/>
    <x v="3"/>
    <s v="4002.001"/>
    <s v="Impôt ordinaire s/fortune PP"/>
    <n v="0"/>
    <n v="2084.1999999999998"/>
    <n v="4002"/>
  </r>
  <r>
    <x v="0"/>
    <x v="3"/>
    <x v="3"/>
    <x v="41"/>
    <x v="32"/>
    <x v="32"/>
    <s v="REVENUS"/>
    <x v="6"/>
    <s v="4211.002"/>
    <s v="Intérêts de retard sur acomptes"/>
    <n v="0"/>
    <n v="117.1"/>
    <n v="4211"/>
  </r>
  <r>
    <x v="0"/>
    <x v="3"/>
    <x v="3"/>
    <x v="41"/>
    <x v="32"/>
    <x v="32"/>
    <s v="REVENUS"/>
    <x v="2"/>
    <s v="4001.001"/>
    <s v="Impôt revenu"/>
    <n v="0"/>
    <n v="0"/>
    <n v="4001"/>
  </r>
  <r>
    <x v="0"/>
    <x v="3"/>
    <x v="3"/>
    <x v="41"/>
    <x v="32"/>
    <x v="32"/>
    <s v="REVENUS"/>
    <x v="3"/>
    <s v="4002.001"/>
    <s v="Impôt ordinaire s/fortune PP"/>
    <n v="0"/>
    <n v="0"/>
    <n v="4002"/>
  </r>
  <r>
    <x v="0"/>
    <x v="3"/>
    <x v="3"/>
    <x v="41"/>
    <x v="32"/>
    <x v="32"/>
    <s v="REVENUS"/>
    <x v="6"/>
    <s v="4211.002"/>
    <s v="Intérêts de retard sur acomptes"/>
    <n v="0"/>
    <n v="0.96"/>
    <n v="4211"/>
  </r>
  <r>
    <x v="0"/>
    <x v="3"/>
    <x v="3"/>
    <x v="41"/>
    <x v="32"/>
    <x v="32"/>
    <s v="REVENUS"/>
    <x v="2"/>
    <s v="4001.002"/>
    <s v="Impôt complément s/revenu PP"/>
    <n v="0"/>
    <n v="1945.5"/>
    <n v="4001"/>
  </r>
  <r>
    <x v="0"/>
    <x v="3"/>
    <x v="3"/>
    <x v="41"/>
    <x v="32"/>
    <x v="32"/>
    <s v="REVENUS"/>
    <x v="3"/>
    <s v="4002.002"/>
    <s v="Impôt complémentaire s/fortune PP"/>
    <n v="0"/>
    <n v="978.85"/>
    <n v="4002"/>
  </r>
  <r>
    <x v="0"/>
    <x v="3"/>
    <x v="3"/>
    <x v="41"/>
    <x v="32"/>
    <x v="32"/>
    <s v="REVENUS"/>
    <x v="3"/>
    <s v="4002.001"/>
    <s v="Impôt ordinaire s/fortune PP"/>
    <n v="0"/>
    <n v="6428.95"/>
    <n v="4002"/>
  </r>
  <r>
    <x v="0"/>
    <x v="3"/>
    <x v="3"/>
    <x v="41"/>
    <x v="32"/>
    <x v="32"/>
    <s v="REVENUS"/>
    <x v="3"/>
    <s v="4002.001"/>
    <s v="Impôt ordinaire s/fortune PP"/>
    <n v="0"/>
    <n v="109.1"/>
    <n v="4002"/>
  </r>
  <r>
    <x v="0"/>
    <x v="3"/>
    <x v="3"/>
    <x v="41"/>
    <x v="32"/>
    <x v="32"/>
    <s v="REVENUS"/>
    <x v="7"/>
    <s v="4184.000"/>
    <s v="Frais de poursuite"/>
    <n v="0"/>
    <n v="356.61"/>
    <n v="4184"/>
  </r>
  <r>
    <x v="0"/>
    <x v="3"/>
    <x v="3"/>
    <x v="41"/>
    <x v="32"/>
    <x v="32"/>
    <s v="REVENUS"/>
    <x v="2"/>
    <s v="4001.001"/>
    <s v="Impôt revenu"/>
    <n v="0"/>
    <n v="3258.45"/>
    <n v="4001"/>
  </r>
  <r>
    <x v="0"/>
    <x v="3"/>
    <x v="3"/>
    <x v="41"/>
    <x v="32"/>
    <x v="32"/>
    <s v="REVENUS"/>
    <x v="6"/>
    <s v="4221.003"/>
    <s v="Intérêts compensat. / acomptes en faveur du fisc"/>
    <n v="0"/>
    <n v="1.55"/>
    <n v="4221"/>
  </r>
  <r>
    <x v="0"/>
    <x v="3"/>
    <x v="3"/>
    <x v="41"/>
    <x v="32"/>
    <x v="32"/>
    <s v="REVENUS"/>
    <x v="3"/>
    <s v="4002.001"/>
    <s v="Impôt ordinaire s/fortune PP"/>
    <n v="0"/>
    <n v="614.54999999999995"/>
    <n v="4002"/>
  </r>
  <r>
    <x v="0"/>
    <x v="3"/>
    <x v="3"/>
    <x v="41"/>
    <x v="32"/>
    <x v="32"/>
    <s v="REVENUS"/>
    <x v="6"/>
    <s v="4211.002"/>
    <s v="Intérêts de retard sur acomptes"/>
    <n v="0"/>
    <n v="1.35"/>
    <n v="4211"/>
  </r>
  <r>
    <x v="0"/>
    <x v="3"/>
    <x v="3"/>
    <x v="41"/>
    <x v="32"/>
    <x v="32"/>
    <s v="REVENUS"/>
    <x v="6"/>
    <s v="4221.003"/>
    <s v="Intérêts compensat. / acomptes en faveur du fisc"/>
    <n v="0"/>
    <n v="0.56000000000000005"/>
    <n v="4221"/>
  </r>
  <r>
    <x v="0"/>
    <x v="3"/>
    <x v="3"/>
    <x v="41"/>
    <x v="32"/>
    <x v="32"/>
    <s v="REVENUS"/>
    <x v="6"/>
    <s v="4211.001"/>
    <s v="Intérêts de retard sur factures"/>
    <n v="0"/>
    <n v="19.600000000000001"/>
    <n v="4211"/>
  </r>
  <r>
    <x v="0"/>
    <x v="3"/>
    <x v="3"/>
    <x v="41"/>
    <x v="32"/>
    <x v="32"/>
    <s v="REVENUS"/>
    <x v="3"/>
    <s v="4002.002"/>
    <s v="Impôt complémentaire s/fortune PP"/>
    <n v="0"/>
    <n v="-45.8"/>
    <n v="4002"/>
  </r>
  <r>
    <x v="0"/>
    <x v="3"/>
    <x v="3"/>
    <x v="41"/>
    <x v="32"/>
    <x v="32"/>
    <s v="REVENUS"/>
    <x v="6"/>
    <s v="4211.001"/>
    <s v="Intérêts de retard sur factures"/>
    <n v="0"/>
    <n v="0.56999999999999995"/>
    <n v="4211"/>
  </r>
  <r>
    <x v="0"/>
    <x v="3"/>
    <x v="3"/>
    <x v="41"/>
    <x v="32"/>
    <x v="32"/>
    <s v="REVENUS"/>
    <x v="6"/>
    <s v="4211.002"/>
    <s v="Intérêts de retard sur acomptes"/>
    <n v="0"/>
    <n v="32.130000000000003"/>
    <n v="4211"/>
  </r>
  <r>
    <x v="0"/>
    <x v="3"/>
    <x v="3"/>
    <x v="41"/>
    <x v="32"/>
    <x v="32"/>
    <s v="REVENUS"/>
    <x v="6"/>
    <s v="4221.003"/>
    <s v="Intérêts compensat. / acomptes en faveur du fisc"/>
    <n v="0"/>
    <n v="4.41"/>
    <n v="4221"/>
  </r>
  <r>
    <x v="0"/>
    <x v="3"/>
    <x v="3"/>
    <x v="41"/>
    <x v="32"/>
    <x v="32"/>
    <s v="REVENUS"/>
    <x v="4"/>
    <s v="4051.001"/>
    <s v="Impôt sur les successions"/>
    <n v="0"/>
    <n v="31224.799999999999"/>
    <n v="4051"/>
  </r>
  <r>
    <x v="0"/>
    <x v="3"/>
    <x v="3"/>
    <x v="41"/>
    <x v="32"/>
    <x v="32"/>
    <s v="REVENUS"/>
    <x v="2"/>
    <s v="4001.002"/>
    <s v="Impôt complément s/revenu PP"/>
    <n v="0"/>
    <n v="248.75"/>
    <n v="4001"/>
  </r>
  <r>
    <x v="0"/>
    <x v="3"/>
    <x v="3"/>
    <x v="41"/>
    <x v="32"/>
    <x v="32"/>
    <s v="REVENUS"/>
    <x v="3"/>
    <s v="4002.002"/>
    <s v="Impôt complémentaire s/fortune PP"/>
    <n v="0"/>
    <n v="127.5"/>
    <n v="4002"/>
  </r>
  <r>
    <x v="0"/>
    <x v="3"/>
    <x v="3"/>
    <x v="41"/>
    <x v="32"/>
    <x v="32"/>
    <s v="REVENUS"/>
    <x v="6"/>
    <s v="4211.002"/>
    <s v="Intérêts de retard sur acomptes"/>
    <n v="0"/>
    <n v="0.02"/>
    <n v="4211"/>
  </r>
  <r>
    <x v="0"/>
    <x v="3"/>
    <x v="3"/>
    <x v="41"/>
    <x v="32"/>
    <x v="32"/>
    <s v="REVENUS"/>
    <x v="6"/>
    <s v="4221.003"/>
    <s v="Intérêts compensat. / acomptes en faveur du fisc"/>
    <n v="0"/>
    <n v="0.02"/>
    <n v="4221"/>
  </r>
  <r>
    <x v="0"/>
    <x v="3"/>
    <x v="3"/>
    <x v="41"/>
    <x v="32"/>
    <x v="32"/>
    <s v="REVENUS"/>
    <x v="6"/>
    <s v="4211.001"/>
    <s v="Intérêts de retard sur factures"/>
    <n v="0"/>
    <n v="0.08"/>
    <n v="4211"/>
  </r>
  <r>
    <x v="0"/>
    <x v="3"/>
    <x v="3"/>
    <x v="41"/>
    <x v="32"/>
    <x v="32"/>
    <s v="REVENUS"/>
    <x v="2"/>
    <s v="4001.003"/>
    <s v="Impôt s/prest. cap. PP"/>
    <n v="0"/>
    <n v="-593.20000000000005"/>
    <n v="4001"/>
  </r>
  <r>
    <x v="0"/>
    <x v="4"/>
    <x v="4"/>
    <x v="42"/>
    <x v="35"/>
    <x v="35"/>
    <s v="CHARGES"/>
    <x v="0"/>
    <s v="3212.004"/>
    <s v="Intérêts rémun./perçu trop tôt sur acomptes C/C"/>
    <n v="207.75"/>
    <n v="0"/>
    <n v="3212"/>
  </r>
  <r>
    <x v="0"/>
    <x v="4"/>
    <x v="4"/>
    <x v="42"/>
    <x v="35"/>
    <x v="35"/>
    <s v="CHARGES"/>
    <x v="0"/>
    <s v="3221.002"/>
    <s v="Intérêts compensatoires / créances en faveur ctb."/>
    <n v="201.43"/>
    <n v="0"/>
    <n v="3221"/>
  </r>
  <r>
    <x v="0"/>
    <x v="4"/>
    <x v="4"/>
    <x v="42"/>
    <x v="35"/>
    <x v="35"/>
    <s v="CHARGES"/>
    <x v="1"/>
    <s v="3301.001"/>
    <s v="Défalcations, abandons de solde PP et IS"/>
    <n v="10485.209999999999"/>
    <n v="0"/>
    <n v="3301"/>
  </r>
  <r>
    <x v="0"/>
    <x v="4"/>
    <x v="4"/>
    <x v="42"/>
    <x v="35"/>
    <x v="35"/>
    <s v="CHARGES"/>
    <x v="0"/>
    <s v="3212.004"/>
    <s v="Intérêts rémun./perçu trop tôt sur acomptes C/C"/>
    <n v="1.74"/>
    <n v="0"/>
    <n v="3212"/>
  </r>
  <r>
    <x v="0"/>
    <x v="4"/>
    <x v="4"/>
    <x v="42"/>
    <x v="35"/>
    <x v="35"/>
    <s v="CHARGES"/>
    <x v="0"/>
    <s v="3221.002"/>
    <s v="Intérêts compensatoires / créances en faveur ctb."/>
    <n v="3.27"/>
    <n v="0"/>
    <n v="3221"/>
  </r>
  <r>
    <x v="0"/>
    <x v="4"/>
    <x v="4"/>
    <x v="42"/>
    <x v="35"/>
    <x v="35"/>
    <s v="CHARGES"/>
    <x v="0"/>
    <s v="3212.004"/>
    <s v="Intérêts rémun./perçu trop tôt sur acomptes C/C"/>
    <n v="0.4"/>
    <n v="0"/>
    <n v="3212"/>
  </r>
  <r>
    <x v="0"/>
    <x v="4"/>
    <x v="4"/>
    <x v="42"/>
    <x v="35"/>
    <x v="35"/>
    <s v="CHARGES"/>
    <x v="1"/>
    <s v="3301.001"/>
    <s v="Défalcations, abandons de solde PP et IS"/>
    <n v="0.12"/>
    <n v="0"/>
    <n v="3301"/>
  </r>
  <r>
    <x v="0"/>
    <x v="4"/>
    <x v="4"/>
    <x v="42"/>
    <x v="35"/>
    <x v="35"/>
    <s v="CHARGES"/>
    <x v="1"/>
    <s v="3301.001"/>
    <s v="Défalcations, abandons de solde PP et IS"/>
    <n v="0.51"/>
    <n v="0"/>
    <n v="3301"/>
  </r>
  <r>
    <x v="0"/>
    <x v="4"/>
    <x v="4"/>
    <x v="42"/>
    <x v="35"/>
    <x v="35"/>
    <s v="CHARGES"/>
    <x v="0"/>
    <s v="3212.002"/>
    <s v="Intérêts bonifiés/trop perçu acompte C/C"/>
    <n v="10.88"/>
    <n v="0"/>
    <n v="3212"/>
  </r>
  <r>
    <x v="0"/>
    <x v="4"/>
    <x v="4"/>
    <x v="42"/>
    <x v="35"/>
    <x v="35"/>
    <s v="CHARGES"/>
    <x v="0"/>
    <s v="3212.004"/>
    <s v="Intérêts rémun./perçu trop tôt sur acomptes C/C"/>
    <n v="2"/>
    <n v="0"/>
    <n v="3212"/>
  </r>
  <r>
    <x v="0"/>
    <x v="4"/>
    <x v="4"/>
    <x v="42"/>
    <x v="35"/>
    <x v="35"/>
    <s v="CHARGES"/>
    <x v="0"/>
    <s v="3221.002"/>
    <s v="Intérêts compensatoires / créances en faveur ctb."/>
    <n v="0.35"/>
    <n v="0"/>
    <n v="3221"/>
  </r>
  <r>
    <x v="0"/>
    <x v="4"/>
    <x v="4"/>
    <x v="42"/>
    <x v="35"/>
    <x v="35"/>
    <s v="CHARGES"/>
    <x v="0"/>
    <s v="3212.004"/>
    <s v="Intérêts rémun./perçu trop tôt sur acomptes C/C"/>
    <n v="0.65"/>
    <n v="0"/>
    <n v="3212"/>
  </r>
  <r>
    <x v="0"/>
    <x v="4"/>
    <x v="4"/>
    <x v="42"/>
    <x v="35"/>
    <x v="35"/>
    <s v="CHARGES"/>
    <x v="0"/>
    <s v="3221.002"/>
    <s v="Intérêts compensatoires / créances en faveur ctb."/>
    <n v="7.0000000000000007E-2"/>
    <n v="0"/>
    <n v="3221"/>
  </r>
  <r>
    <x v="0"/>
    <x v="4"/>
    <x v="4"/>
    <x v="42"/>
    <x v="35"/>
    <x v="35"/>
    <s v="CHARGES"/>
    <x v="0"/>
    <s v="3212.004"/>
    <s v="Intérêts rémun./perçu trop tôt sur acomptes C/C"/>
    <n v="3.52"/>
    <n v="0"/>
    <n v="3212"/>
  </r>
  <r>
    <x v="0"/>
    <x v="4"/>
    <x v="4"/>
    <x v="42"/>
    <x v="35"/>
    <x v="35"/>
    <s v="CHARGES"/>
    <x v="0"/>
    <s v="3221.002"/>
    <s v="Intérêts compensatoires / créances en faveur ctb."/>
    <n v="2.4300000000000002"/>
    <n v="0"/>
    <n v="3221"/>
  </r>
  <r>
    <x v="0"/>
    <x v="4"/>
    <x v="4"/>
    <x v="42"/>
    <x v="35"/>
    <x v="35"/>
    <s v="CHARGES"/>
    <x v="0"/>
    <s v="3212.004"/>
    <s v="Intérêts rémun./perçu trop tôt sur acomptes C/C"/>
    <n v="0.02"/>
    <n v="0"/>
    <n v="3212"/>
  </r>
  <r>
    <x v="0"/>
    <x v="4"/>
    <x v="4"/>
    <x v="42"/>
    <x v="35"/>
    <x v="35"/>
    <s v="CHARGES"/>
    <x v="0"/>
    <s v="3221.002"/>
    <s v="Intérêts compensatoires / créances en faveur ctb."/>
    <n v="0.01"/>
    <n v="0"/>
    <n v="3221"/>
  </r>
  <r>
    <x v="0"/>
    <x v="4"/>
    <x v="4"/>
    <x v="42"/>
    <x v="35"/>
    <x v="35"/>
    <s v="CHARGES"/>
    <x v="1"/>
    <s v="3301.001"/>
    <s v="Défalcations, abandons de solde PP et IS"/>
    <n v="4262.62"/>
    <n v="0"/>
    <n v="3301"/>
  </r>
  <r>
    <x v="0"/>
    <x v="4"/>
    <x v="4"/>
    <x v="42"/>
    <x v="35"/>
    <x v="35"/>
    <s v="CHARGES"/>
    <x v="0"/>
    <s v="3221.002"/>
    <s v="Intérêts compensatoires / créances en faveur ctb."/>
    <n v="0.1"/>
    <n v="0"/>
    <n v="3221"/>
  </r>
  <r>
    <x v="0"/>
    <x v="4"/>
    <x v="4"/>
    <x v="42"/>
    <x v="35"/>
    <x v="35"/>
    <s v="REVENUS"/>
    <x v="2"/>
    <s v="4001.001"/>
    <s v="Impôt revenu"/>
    <n v="0"/>
    <n v="1143331.6000000001"/>
    <n v="4001"/>
  </r>
  <r>
    <x v="0"/>
    <x v="4"/>
    <x v="4"/>
    <x v="42"/>
    <x v="35"/>
    <x v="35"/>
    <s v="REVENUS"/>
    <x v="2"/>
    <s v="4001.002"/>
    <s v="Impôt complément s/revenu PP"/>
    <n v="0"/>
    <n v="144968.04999999999"/>
    <n v="4001"/>
  </r>
  <r>
    <x v="0"/>
    <x v="4"/>
    <x v="4"/>
    <x v="42"/>
    <x v="35"/>
    <x v="35"/>
    <s v="REVENUS"/>
    <x v="2"/>
    <s v="4001.007"/>
    <s v="Acompte impôt sur revenu"/>
    <n v="0"/>
    <n v="-190922.65"/>
    <n v="4001"/>
  </r>
  <r>
    <x v="0"/>
    <x v="4"/>
    <x v="4"/>
    <x v="42"/>
    <x v="35"/>
    <x v="35"/>
    <s v="REVENUS"/>
    <x v="3"/>
    <s v="4002.001"/>
    <s v="Impôt ordinaire s/fortune PP"/>
    <n v="0"/>
    <n v="103754.9"/>
    <n v="4002"/>
  </r>
  <r>
    <x v="0"/>
    <x v="4"/>
    <x v="4"/>
    <x v="42"/>
    <x v="35"/>
    <x v="35"/>
    <s v="REVENUS"/>
    <x v="3"/>
    <s v="4002.002"/>
    <s v="Impôt complémentaire s/fortune PP"/>
    <n v="0"/>
    <n v="11678.55"/>
    <n v="4002"/>
  </r>
  <r>
    <x v="0"/>
    <x v="4"/>
    <x v="4"/>
    <x v="42"/>
    <x v="35"/>
    <x v="35"/>
    <s v="REVENUS"/>
    <x v="6"/>
    <s v="4211.001"/>
    <s v="Intérêts de retard sur factures"/>
    <n v="0"/>
    <n v="3810.83"/>
    <n v="4211"/>
  </r>
  <r>
    <x v="0"/>
    <x v="4"/>
    <x v="4"/>
    <x v="42"/>
    <x v="35"/>
    <x v="35"/>
    <s v="REVENUS"/>
    <x v="6"/>
    <s v="4221.003"/>
    <s v="Intérêts compensat. / acomptes en faveur du fisc"/>
    <n v="0"/>
    <n v="157.22999999999999"/>
    <n v="4221"/>
  </r>
  <r>
    <x v="0"/>
    <x v="4"/>
    <x v="4"/>
    <x v="42"/>
    <x v="35"/>
    <x v="35"/>
    <s v="REVENUS"/>
    <x v="6"/>
    <s v="4211.002"/>
    <s v="Intérêts de retard sur acomptes"/>
    <n v="0"/>
    <n v="8950.4"/>
    <n v="4211"/>
  </r>
  <r>
    <x v="0"/>
    <x v="4"/>
    <x v="4"/>
    <x v="42"/>
    <x v="35"/>
    <x v="35"/>
    <s v="REVENUS"/>
    <x v="2"/>
    <s v="4001.001"/>
    <s v="Impôt revenu"/>
    <n v="0"/>
    <n v="3322.4"/>
    <n v="4001"/>
  </r>
  <r>
    <x v="0"/>
    <x v="4"/>
    <x v="4"/>
    <x v="42"/>
    <x v="35"/>
    <x v="35"/>
    <s v="REVENUS"/>
    <x v="2"/>
    <s v="4001.001"/>
    <s v="Impôt revenu"/>
    <n v="0"/>
    <n v="2618.5"/>
    <n v="4001"/>
  </r>
  <r>
    <x v="0"/>
    <x v="4"/>
    <x v="4"/>
    <x v="42"/>
    <x v="35"/>
    <x v="35"/>
    <s v="REVENUS"/>
    <x v="2"/>
    <s v="4001.007"/>
    <s v="Acompte impôt sur revenu"/>
    <n v="0"/>
    <n v="-1063.8"/>
    <n v="4001"/>
  </r>
  <r>
    <x v="0"/>
    <x v="4"/>
    <x v="4"/>
    <x v="42"/>
    <x v="35"/>
    <x v="35"/>
    <s v="REVENUS"/>
    <x v="3"/>
    <s v="4002.001"/>
    <s v="Impôt ordinaire s/fortune PP"/>
    <n v="0"/>
    <n v="3404.3"/>
    <n v="4002"/>
  </r>
  <r>
    <x v="0"/>
    <x v="4"/>
    <x v="4"/>
    <x v="42"/>
    <x v="35"/>
    <x v="35"/>
    <s v="REVENUS"/>
    <x v="6"/>
    <s v="4221.003"/>
    <s v="Intérêts compensat. / acomptes en faveur du fisc"/>
    <n v="0"/>
    <n v="40.81"/>
    <n v="4221"/>
  </r>
  <r>
    <x v="0"/>
    <x v="4"/>
    <x v="4"/>
    <x v="42"/>
    <x v="35"/>
    <x v="35"/>
    <s v="REVENUS"/>
    <x v="6"/>
    <s v="4211.001"/>
    <s v="Intérêts de retard sur factures"/>
    <n v="0"/>
    <n v="1"/>
    <n v="4211"/>
  </r>
  <r>
    <x v="0"/>
    <x v="4"/>
    <x v="4"/>
    <x v="42"/>
    <x v="35"/>
    <x v="35"/>
    <s v="REVENUS"/>
    <x v="3"/>
    <s v="4002.007"/>
    <s v="Acompte impôt sur fortune"/>
    <n v="0"/>
    <n v="-16433.330000000002"/>
    <n v="4002"/>
  </r>
  <r>
    <x v="0"/>
    <x v="4"/>
    <x v="4"/>
    <x v="42"/>
    <x v="35"/>
    <x v="35"/>
    <s v="REVENUS"/>
    <x v="7"/>
    <s v="4184.000"/>
    <s v="Frais de poursuite"/>
    <n v="0"/>
    <n v="1224.44"/>
    <n v="4184"/>
  </r>
  <r>
    <x v="0"/>
    <x v="4"/>
    <x v="4"/>
    <x v="42"/>
    <x v="35"/>
    <x v="35"/>
    <s v="REVENUS"/>
    <x v="3"/>
    <s v="4002.001"/>
    <s v="Impôt ordinaire s/fortune PP"/>
    <n v="0"/>
    <n v="1104.1500000000001"/>
    <n v="4002"/>
  </r>
  <r>
    <x v="0"/>
    <x v="4"/>
    <x v="4"/>
    <x v="42"/>
    <x v="35"/>
    <x v="35"/>
    <s v="REVENUS"/>
    <x v="3"/>
    <s v="4002.007"/>
    <s v="Acompte impôt sur fortune"/>
    <n v="0"/>
    <n v="644.5"/>
    <n v="4002"/>
  </r>
  <r>
    <x v="0"/>
    <x v="4"/>
    <x v="4"/>
    <x v="42"/>
    <x v="35"/>
    <x v="35"/>
    <s v="REVENUS"/>
    <x v="6"/>
    <s v="4211.002"/>
    <s v="Intérêts de retard sur acomptes"/>
    <n v="0"/>
    <n v="4.34"/>
    <n v="4211"/>
  </r>
  <r>
    <x v="0"/>
    <x v="4"/>
    <x v="4"/>
    <x v="42"/>
    <x v="35"/>
    <x v="35"/>
    <s v="REVENUS"/>
    <x v="6"/>
    <s v="4221.003"/>
    <s v="Intérêts compensat. / acomptes en faveur du fisc"/>
    <n v="0"/>
    <n v="3.15"/>
    <n v="4221"/>
  </r>
  <r>
    <x v="0"/>
    <x v="4"/>
    <x v="4"/>
    <x v="42"/>
    <x v="35"/>
    <x v="35"/>
    <s v="REVENUS"/>
    <x v="2"/>
    <s v="4001.007"/>
    <s v="Acompte impôt sur revenu"/>
    <n v="0"/>
    <n v="-520.6"/>
    <n v="4001"/>
  </r>
  <r>
    <x v="0"/>
    <x v="4"/>
    <x v="4"/>
    <x v="42"/>
    <x v="35"/>
    <x v="35"/>
    <s v="REVENUS"/>
    <x v="3"/>
    <s v="4002.007"/>
    <s v="Acompte impôt sur fortune"/>
    <n v="0"/>
    <n v="-82.55"/>
    <n v="4002"/>
  </r>
  <r>
    <x v="0"/>
    <x v="4"/>
    <x v="4"/>
    <x v="42"/>
    <x v="35"/>
    <x v="35"/>
    <s v="REVENUS"/>
    <x v="2"/>
    <s v="4001.001"/>
    <s v="Impôt revenu"/>
    <n v="0"/>
    <n v="6206.4"/>
    <n v="4001"/>
  </r>
  <r>
    <x v="0"/>
    <x v="4"/>
    <x v="4"/>
    <x v="42"/>
    <x v="35"/>
    <x v="35"/>
    <s v="REVENUS"/>
    <x v="3"/>
    <s v="4002.001"/>
    <s v="Impôt ordinaire s/fortune PP"/>
    <n v="0"/>
    <n v="3690.4"/>
    <n v="4002"/>
  </r>
  <r>
    <x v="0"/>
    <x v="4"/>
    <x v="4"/>
    <x v="42"/>
    <x v="35"/>
    <x v="35"/>
    <s v="REVENUS"/>
    <x v="6"/>
    <s v="4221.003"/>
    <s v="Intérêts compensat. / acomptes en faveur du fisc"/>
    <n v="0"/>
    <n v="0.51"/>
    <n v="4221"/>
  </r>
  <r>
    <x v="0"/>
    <x v="4"/>
    <x v="4"/>
    <x v="42"/>
    <x v="35"/>
    <x v="35"/>
    <s v="REVENUS"/>
    <x v="2"/>
    <s v="4001.007"/>
    <s v="Acompte impôt sur revenu"/>
    <n v="0"/>
    <n v="0"/>
    <n v="4001"/>
  </r>
  <r>
    <x v="0"/>
    <x v="4"/>
    <x v="4"/>
    <x v="42"/>
    <x v="35"/>
    <x v="35"/>
    <s v="REVENUS"/>
    <x v="3"/>
    <s v="4002.007"/>
    <s v="Acompte impôt sur fortune"/>
    <n v="0"/>
    <n v="0"/>
    <n v="4002"/>
  </r>
  <r>
    <x v="0"/>
    <x v="4"/>
    <x v="4"/>
    <x v="42"/>
    <x v="35"/>
    <x v="35"/>
    <s v="REVENUS"/>
    <x v="2"/>
    <s v="4001.007"/>
    <s v="Acompte impôt sur revenu"/>
    <n v="0"/>
    <n v="-7297.42"/>
    <n v="4001"/>
  </r>
  <r>
    <x v="0"/>
    <x v="4"/>
    <x v="4"/>
    <x v="42"/>
    <x v="35"/>
    <x v="35"/>
    <s v="REVENUS"/>
    <x v="3"/>
    <s v="4002.007"/>
    <s v="Acompte impôt sur fortune"/>
    <n v="0"/>
    <n v="-486.87"/>
    <n v="4002"/>
  </r>
  <r>
    <x v="0"/>
    <x v="4"/>
    <x v="4"/>
    <x v="42"/>
    <x v="35"/>
    <x v="35"/>
    <s v="REVENUS"/>
    <x v="3"/>
    <s v="4002.007"/>
    <s v="Acompte impôt sur fortune"/>
    <n v="0"/>
    <n v="-1104.3499999999999"/>
    <n v="4002"/>
  </r>
  <r>
    <x v="0"/>
    <x v="4"/>
    <x v="4"/>
    <x v="42"/>
    <x v="35"/>
    <x v="35"/>
    <s v="REVENUS"/>
    <x v="3"/>
    <s v="4002.007"/>
    <s v="Acompte impôt sur fortune"/>
    <n v="0"/>
    <n v="-130.80000000000001"/>
    <n v="4002"/>
  </r>
  <r>
    <x v="0"/>
    <x v="4"/>
    <x v="4"/>
    <x v="42"/>
    <x v="35"/>
    <x v="35"/>
    <s v="REVENUS"/>
    <x v="2"/>
    <s v="4001.007"/>
    <s v="Acompte impôt sur revenu"/>
    <n v="0"/>
    <n v="-974.85"/>
    <n v="4001"/>
  </r>
  <r>
    <x v="0"/>
    <x v="4"/>
    <x v="4"/>
    <x v="42"/>
    <x v="35"/>
    <x v="35"/>
    <s v="REVENUS"/>
    <x v="2"/>
    <s v="4001.003"/>
    <s v="Impôt s/prest. cap. PP"/>
    <n v="0"/>
    <n v="17451"/>
    <n v="4001"/>
  </r>
  <r>
    <x v="0"/>
    <x v="4"/>
    <x v="4"/>
    <x v="42"/>
    <x v="35"/>
    <x v="35"/>
    <s v="REVENUS"/>
    <x v="6"/>
    <s v="4221.002"/>
    <s v="Intérêts compensat. sur impôts distincts"/>
    <n v="0"/>
    <n v="1.98"/>
    <n v="4221"/>
  </r>
  <r>
    <x v="0"/>
    <x v="4"/>
    <x v="4"/>
    <x v="42"/>
    <x v="35"/>
    <x v="35"/>
    <s v="REVENUS"/>
    <x v="10"/>
    <s v="4041.001"/>
    <s v="Droits de mutation"/>
    <n v="0"/>
    <n v="46619.8"/>
    <n v="4041"/>
  </r>
  <r>
    <x v="0"/>
    <x v="4"/>
    <x v="4"/>
    <x v="42"/>
    <x v="35"/>
    <x v="35"/>
    <s v="REVENUS"/>
    <x v="2"/>
    <s v="4001.007"/>
    <s v="Acompte impôt sur revenu"/>
    <n v="0"/>
    <n v="-59.4"/>
    <n v="4001"/>
  </r>
  <r>
    <x v="0"/>
    <x v="4"/>
    <x v="4"/>
    <x v="42"/>
    <x v="35"/>
    <x v="35"/>
    <s v="REVENUS"/>
    <x v="3"/>
    <s v="4002.001"/>
    <s v="Impôt ordinaire s/fortune PP"/>
    <n v="0"/>
    <n v="955.9"/>
    <n v="4002"/>
  </r>
  <r>
    <x v="0"/>
    <x v="4"/>
    <x v="4"/>
    <x v="42"/>
    <x v="35"/>
    <x v="35"/>
    <s v="REVENUS"/>
    <x v="3"/>
    <s v="4002.007"/>
    <s v="Acompte impôt sur fortune"/>
    <n v="0"/>
    <n v="-305.14999999999998"/>
    <n v="4002"/>
  </r>
  <r>
    <x v="0"/>
    <x v="4"/>
    <x v="4"/>
    <x v="42"/>
    <x v="35"/>
    <x v="35"/>
    <s v="REVENUS"/>
    <x v="7"/>
    <s v="4184.000"/>
    <s v="Frais de poursuite"/>
    <n v="0"/>
    <n v="343.68"/>
    <n v="4184"/>
  </r>
  <r>
    <x v="0"/>
    <x v="4"/>
    <x v="4"/>
    <x v="42"/>
    <x v="35"/>
    <x v="35"/>
    <s v="REVENUS"/>
    <x v="6"/>
    <s v="4211.002"/>
    <s v="Intérêts de retard sur acomptes"/>
    <n v="0"/>
    <n v="28.19"/>
    <n v="4211"/>
  </r>
  <r>
    <x v="0"/>
    <x v="4"/>
    <x v="4"/>
    <x v="42"/>
    <x v="35"/>
    <x v="35"/>
    <s v="REVENUS"/>
    <x v="2"/>
    <s v="4001.001"/>
    <s v="Impôt revenu"/>
    <n v="0"/>
    <n v="1571.15"/>
    <n v="4001"/>
  </r>
  <r>
    <x v="0"/>
    <x v="4"/>
    <x v="4"/>
    <x v="42"/>
    <x v="35"/>
    <x v="35"/>
    <s v="REVENUS"/>
    <x v="3"/>
    <s v="4002.001"/>
    <s v="Impôt ordinaire s/fortune PP"/>
    <n v="0"/>
    <n v="1669.55"/>
    <n v="4002"/>
  </r>
  <r>
    <x v="0"/>
    <x v="4"/>
    <x v="4"/>
    <x v="42"/>
    <x v="35"/>
    <x v="35"/>
    <s v="REVENUS"/>
    <x v="5"/>
    <s v="4061.000"/>
    <s v="Impôt sur les chiens"/>
    <n v="0"/>
    <n v="5100"/>
    <n v="4061"/>
  </r>
  <r>
    <x v="0"/>
    <x v="4"/>
    <x v="4"/>
    <x v="42"/>
    <x v="35"/>
    <x v="35"/>
    <s v="REVENUS"/>
    <x v="9"/>
    <s v="4031.001"/>
    <s v="Impôt sur les gains immobiliers"/>
    <n v="0"/>
    <n v="4257.8500000000004"/>
    <n v="4031"/>
  </r>
  <r>
    <x v="0"/>
    <x v="4"/>
    <x v="4"/>
    <x v="42"/>
    <x v="35"/>
    <x v="35"/>
    <s v="REVENUS"/>
    <x v="2"/>
    <s v="4001.001"/>
    <s v="Impôt revenu"/>
    <n v="0"/>
    <n v="44.5"/>
    <n v="4001"/>
  </r>
  <r>
    <x v="0"/>
    <x v="4"/>
    <x v="4"/>
    <x v="42"/>
    <x v="35"/>
    <x v="35"/>
    <s v="REVENUS"/>
    <x v="3"/>
    <s v="4002.001"/>
    <s v="Impôt ordinaire s/fortune PP"/>
    <n v="0"/>
    <n v="39.65"/>
    <n v="4002"/>
  </r>
  <r>
    <x v="0"/>
    <x v="4"/>
    <x v="4"/>
    <x v="42"/>
    <x v="35"/>
    <x v="35"/>
    <s v="REVENUS"/>
    <x v="6"/>
    <s v="4221.003"/>
    <s v="Intérêts compensat. / acomptes en faveur du fisc"/>
    <n v="0"/>
    <n v="0.01"/>
    <n v="4221"/>
  </r>
  <r>
    <x v="0"/>
    <x v="4"/>
    <x v="4"/>
    <x v="42"/>
    <x v="35"/>
    <x v="35"/>
    <s v="REVENUS"/>
    <x v="4"/>
    <s v="4051.002"/>
    <s v="Impôt sur les donations"/>
    <n v="0"/>
    <n v="5068.6000000000004"/>
    <n v="4051"/>
  </r>
  <r>
    <x v="0"/>
    <x v="4"/>
    <x v="4"/>
    <x v="42"/>
    <x v="35"/>
    <x v="35"/>
    <s v="REVENUS"/>
    <x v="6"/>
    <s v="4211.001"/>
    <s v="Intérêts de retard sur factures"/>
    <n v="0"/>
    <n v="14.07"/>
    <n v="4211"/>
  </r>
  <r>
    <x v="0"/>
    <x v="4"/>
    <x v="4"/>
    <x v="42"/>
    <x v="35"/>
    <x v="35"/>
    <s v="REVENUS"/>
    <x v="6"/>
    <s v="4211.002"/>
    <s v="Intérêts de retard sur acomptes"/>
    <n v="0"/>
    <n v="0.03"/>
    <n v="4211"/>
  </r>
  <r>
    <x v="0"/>
    <x v="4"/>
    <x v="4"/>
    <x v="42"/>
    <x v="35"/>
    <x v="35"/>
    <s v="REVENUS"/>
    <x v="11"/>
    <s v="4198.000"/>
    <s v="Contributions communales"/>
    <n v="0"/>
    <n v="110953.85"/>
    <n v="4198"/>
  </r>
  <r>
    <x v="0"/>
    <x v="4"/>
    <x v="4"/>
    <x v="42"/>
    <x v="35"/>
    <x v="35"/>
    <s v="REVENUS"/>
    <x v="2"/>
    <s v="4001.001"/>
    <s v="Impôt revenu"/>
    <n v="0"/>
    <n v="4.9000000000000004"/>
    <n v="4001"/>
  </r>
  <r>
    <x v="0"/>
    <x v="4"/>
    <x v="4"/>
    <x v="42"/>
    <x v="35"/>
    <x v="35"/>
    <s v="REVENUS"/>
    <x v="6"/>
    <s v="4211.001"/>
    <s v="Intérêts de retard sur factures"/>
    <n v="0"/>
    <n v="7.39"/>
    <n v="4211"/>
  </r>
  <r>
    <x v="0"/>
    <x v="4"/>
    <x v="4"/>
    <x v="42"/>
    <x v="35"/>
    <x v="35"/>
    <s v="REVENUS"/>
    <x v="7"/>
    <s v="4184.000"/>
    <s v="Frais de poursuite"/>
    <n v="0"/>
    <n v="39.119999999999997"/>
    <n v="4184"/>
  </r>
  <r>
    <x v="0"/>
    <x v="4"/>
    <x v="4"/>
    <x v="43"/>
    <x v="36"/>
    <x v="36"/>
    <s v="CHARGES"/>
    <x v="0"/>
    <s v="3212.002"/>
    <s v="Intérêts bonifiés/trop perçu acompte C/C"/>
    <n v="55.54"/>
    <n v="0"/>
    <n v="3212"/>
  </r>
  <r>
    <x v="0"/>
    <x v="4"/>
    <x v="4"/>
    <x v="43"/>
    <x v="36"/>
    <x v="36"/>
    <s v="CHARGES"/>
    <x v="1"/>
    <s v="3301.001"/>
    <s v="Défalcations, abandons de solde PP et IS"/>
    <n v="11006.42"/>
    <n v="0"/>
    <n v="3301"/>
  </r>
  <r>
    <x v="0"/>
    <x v="4"/>
    <x v="4"/>
    <x v="43"/>
    <x v="36"/>
    <x v="36"/>
    <s v="CHARGES"/>
    <x v="0"/>
    <s v="3212.004"/>
    <s v="Intérêts rémun./perçu trop tôt sur acomptes C/C"/>
    <n v="133.71"/>
    <n v="0"/>
    <n v="3212"/>
  </r>
  <r>
    <x v="0"/>
    <x v="4"/>
    <x v="4"/>
    <x v="43"/>
    <x v="36"/>
    <x v="36"/>
    <s v="CHARGES"/>
    <x v="0"/>
    <s v="3221.002"/>
    <s v="Intérêts compensatoires / créances en faveur ctb."/>
    <n v="366.35"/>
    <n v="0"/>
    <n v="3221"/>
  </r>
  <r>
    <x v="0"/>
    <x v="4"/>
    <x v="4"/>
    <x v="43"/>
    <x v="36"/>
    <x v="36"/>
    <s v="CHARGES"/>
    <x v="0"/>
    <s v="3212.004"/>
    <s v="Intérêts rémun./perçu trop tôt sur acomptes C/C"/>
    <n v="0.04"/>
    <n v="0"/>
    <n v="3212"/>
  </r>
  <r>
    <x v="0"/>
    <x v="4"/>
    <x v="4"/>
    <x v="43"/>
    <x v="36"/>
    <x v="36"/>
    <s v="CHARGES"/>
    <x v="1"/>
    <s v="3301.001"/>
    <s v="Défalcations, abandons de solde PP et IS"/>
    <n v="0.02"/>
    <n v="0"/>
    <n v="3301"/>
  </r>
  <r>
    <x v="0"/>
    <x v="4"/>
    <x v="4"/>
    <x v="43"/>
    <x v="36"/>
    <x v="36"/>
    <s v="CHARGES"/>
    <x v="0"/>
    <s v="3212.002"/>
    <s v="Intérêts bonifiés/trop perçu acompte C/C"/>
    <n v="0.03"/>
    <n v="0"/>
    <n v="3212"/>
  </r>
  <r>
    <x v="0"/>
    <x v="4"/>
    <x v="4"/>
    <x v="43"/>
    <x v="36"/>
    <x v="36"/>
    <s v="CHARGES"/>
    <x v="0"/>
    <s v="3212.004"/>
    <s v="Intérêts rémun./perçu trop tôt sur acomptes C/C"/>
    <n v="0.02"/>
    <n v="0"/>
    <n v="3212"/>
  </r>
  <r>
    <x v="0"/>
    <x v="4"/>
    <x v="4"/>
    <x v="43"/>
    <x v="36"/>
    <x v="36"/>
    <s v="CHARGES"/>
    <x v="0"/>
    <s v="3221.002"/>
    <s v="Intérêts compensatoires / créances en faveur ctb."/>
    <n v="0.06"/>
    <n v="0"/>
    <n v="3221"/>
  </r>
  <r>
    <x v="0"/>
    <x v="4"/>
    <x v="4"/>
    <x v="43"/>
    <x v="36"/>
    <x v="36"/>
    <s v="CHARGES"/>
    <x v="1"/>
    <s v="3301.001"/>
    <s v="Défalcations, abandons de solde PP et IS"/>
    <n v="0.02"/>
    <n v="0"/>
    <n v="3301"/>
  </r>
  <r>
    <x v="0"/>
    <x v="4"/>
    <x v="4"/>
    <x v="43"/>
    <x v="36"/>
    <x v="36"/>
    <s v="CHARGES"/>
    <x v="0"/>
    <s v="3212.004"/>
    <s v="Intérêts rémun./perçu trop tôt sur acomptes C/C"/>
    <n v="2.38"/>
    <n v="0"/>
    <n v="3212"/>
  </r>
  <r>
    <x v="0"/>
    <x v="4"/>
    <x v="4"/>
    <x v="43"/>
    <x v="36"/>
    <x v="36"/>
    <s v="CHARGES"/>
    <x v="0"/>
    <s v="3221.002"/>
    <s v="Intérêts compensatoires / créances en faveur ctb."/>
    <n v="2.88"/>
    <n v="0"/>
    <n v="3221"/>
  </r>
  <r>
    <x v="0"/>
    <x v="4"/>
    <x v="4"/>
    <x v="43"/>
    <x v="36"/>
    <x v="36"/>
    <s v="CHARGES"/>
    <x v="1"/>
    <s v="3301.001"/>
    <s v="Défalcations, abandons de solde PP et IS"/>
    <n v="0.42"/>
    <n v="0"/>
    <n v="3301"/>
  </r>
  <r>
    <x v="0"/>
    <x v="4"/>
    <x v="4"/>
    <x v="43"/>
    <x v="36"/>
    <x v="36"/>
    <s v="CHARGES"/>
    <x v="1"/>
    <s v="3301.001"/>
    <s v="Défalcations, abandons de solde PP et IS"/>
    <n v="0.27"/>
    <n v="0"/>
    <n v="3301"/>
  </r>
  <r>
    <x v="0"/>
    <x v="4"/>
    <x v="4"/>
    <x v="43"/>
    <x v="36"/>
    <x v="36"/>
    <s v="CHARGES"/>
    <x v="0"/>
    <s v="3212.004"/>
    <s v="Intérêts rémun./perçu trop tôt sur acomptes C/C"/>
    <n v="0.16"/>
    <n v="0"/>
    <n v="3212"/>
  </r>
  <r>
    <x v="0"/>
    <x v="4"/>
    <x v="4"/>
    <x v="43"/>
    <x v="36"/>
    <x v="36"/>
    <s v="CHARGES"/>
    <x v="1"/>
    <s v="3301.001"/>
    <s v="Défalcations, abandons de solde PP et IS"/>
    <n v="0.02"/>
    <n v="0"/>
    <n v="3301"/>
  </r>
  <r>
    <x v="0"/>
    <x v="4"/>
    <x v="4"/>
    <x v="43"/>
    <x v="36"/>
    <x v="36"/>
    <s v="CHARGES"/>
    <x v="1"/>
    <s v="3301.001"/>
    <s v="Défalcations, abandons de solde PP et IS"/>
    <n v="6019.35"/>
    <n v="0"/>
    <n v="3301"/>
  </r>
  <r>
    <x v="0"/>
    <x v="4"/>
    <x v="4"/>
    <x v="43"/>
    <x v="36"/>
    <x v="36"/>
    <s v="CHARGES"/>
    <x v="0"/>
    <s v="3212.004"/>
    <s v="Intérêts rémun./perçu trop tôt sur acomptes C/C"/>
    <n v="7.0000000000000007E-2"/>
    <n v="0"/>
    <n v="3212"/>
  </r>
  <r>
    <x v="0"/>
    <x v="4"/>
    <x v="4"/>
    <x v="43"/>
    <x v="36"/>
    <x v="36"/>
    <s v="CHARGES"/>
    <x v="1"/>
    <s v="3301.001"/>
    <s v="Défalcations, abandons de solde PP et IS"/>
    <n v="14.17"/>
    <n v="0"/>
    <n v="3301"/>
  </r>
  <r>
    <x v="0"/>
    <x v="4"/>
    <x v="4"/>
    <x v="43"/>
    <x v="36"/>
    <x v="36"/>
    <s v="CHARGES"/>
    <x v="1"/>
    <s v="3301.003"/>
    <s v="Remises PP et IS"/>
    <n v="21195.05"/>
    <n v="0"/>
    <n v="3301"/>
  </r>
  <r>
    <x v="0"/>
    <x v="4"/>
    <x v="4"/>
    <x v="43"/>
    <x v="36"/>
    <x v="36"/>
    <s v="CHARGES"/>
    <x v="0"/>
    <s v="3221.002"/>
    <s v="Intérêts compensatoires / créances en faveur ctb."/>
    <n v="0.02"/>
    <n v="0"/>
    <n v="3221"/>
  </r>
  <r>
    <x v="0"/>
    <x v="4"/>
    <x v="4"/>
    <x v="43"/>
    <x v="36"/>
    <x v="36"/>
    <s v="CHARGES"/>
    <x v="0"/>
    <s v="3221.002"/>
    <s v="Intérêts compensatoires / créances en faveur ctb."/>
    <n v="0.09"/>
    <n v="0"/>
    <n v="3221"/>
  </r>
  <r>
    <x v="0"/>
    <x v="4"/>
    <x v="4"/>
    <x v="43"/>
    <x v="36"/>
    <x v="36"/>
    <s v="REVENUS"/>
    <x v="2"/>
    <s v="4001.007"/>
    <s v="Acompte impôt sur revenu"/>
    <n v="0"/>
    <n v="-34434.21"/>
    <n v="4001"/>
  </r>
  <r>
    <x v="0"/>
    <x v="4"/>
    <x v="4"/>
    <x v="43"/>
    <x v="36"/>
    <x v="36"/>
    <s v="REVENUS"/>
    <x v="3"/>
    <s v="4002.007"/>
    <s v="Acompte impôt sur fortune"/>
    <n v="0"/>
    <n v="-43775.68"/>
    <n v="4002"/>
  </r>
  <r>
    <x v="0"/>
    <x v="4"/>
    <x v="4"/>
    <x v="43"/>
    <x v="36"/>
    <x v="36"/>
    <s v="REVENUS"/>
    <x v="2"/>
    <s v="4001.001"/>
    <s v="Impôt revenu"/>
    <n v="0"/>
    <n v="1066750.5"/>
    <n v="4001"/>
  </r>
  <r>
    <x v="0"/>
    <x v="4"/>
    <x v="4"/>
    <x v="43"/>
    <x v="36"/>
    <x v="36"/>
    <s v="REVENUS"/>
    <x v="2"/>
    <s v="4001.002"/>
    <s v="Impôt complément s/revenu PP"/>
    <n v="0"/>
    <n v="180846.35"/>
    <n v="4001"/>
  </r>
  <r>
    <x v="0"/>
    <x v="4"/>
    <x v="4"/>
    <x v="43"/>
    <x v="36"/>
    <x v="36"/>
    <s v="REVENUS"/>
    <x v="6"/>
    <s v="4211.001"/>
    <s v="Intérêts de retard sur factures"/>
    <n v="0"/>
    <n v="5768.24"/>
    <n v="4211"/>
  </r>
  <r>
    <x v="0"/>
    <x v="4"/>
    <x v="4"/>
    <x v="43"/>
    <x v="36"/>
    <x v="36"/>
    <s v="REVENUS"/>
    <x v="3"/>
    <s v="4002.001"/>
    <s v="Impôt ordinaire s/fortune PP"/>
    <n v="0"/>
    <n v="106570.95"/>
    <n v="4002"/>
  </r>
  <r>
    <x v="0"/>
    <x v="4"/>
    <x v="4"/>
    <x v="43"/>
    <x v="36"/>
    <x v="36"/>
    <s v="REVENUS"/>
    <x v="7"/>
    <s v="4184.000"/>
    <s v="Frais de poursuite"/>
    <n v="0"/>
    <n v="488.91"/>
    <n v="4184"/>
  </r>
  <r>
    <x v="0"/>
    <x v="4"/>
    <x v="4"/>
    <x v="43"/>
    <x v="36"/>
    <x v="36"/>
    <s v="REVENUS"/>
    <x v="8"/>
    <s v="4091.001"/>
    <s v="Impôt récupéré après défalcations"/>
    <n v="0"/>
    <n v="422.06"/>
    <n v="4091"/>
  </r>
  <r>
    <x v="0"/>
    <x v="4"/>
    <x v="4"/>
    <x v="43"/>
    <x v="36"/>
    <x v="36"/>
    <s v="REVENUS"/>
    <x v="6"/>
    <s v="4221.003"/>
    <s v="Intérêts compensat. / acomptes en faveur du fisc"/>
    <n v="0"/>
    <n v="0.02"/>
    <n v="4221"/>
  </r>
  <r>
    <x v="0"/>
    <x v="4"/>
    <x v="4"/>
    <x v="43"/>
    <x v="36"/>
    <x v="36"/>
    <s v="REVENUS"/>
    <x v="3"/>
    <s v="4002.002"/>
    <s v="Impôt complémentaire s/fortune PP"/>
    <n v="0"/>
    <n v="46210.55"/>
    <n v="4002"/>
  </r>
  <r>
    <x v="0"/>
    <x v="4"/>
    <x v="4"/>
    <x v="43"/>
    <x v="36"/>
    <x v="36"/>
    <s v="REVENUS"/>
    <x v="6"/>
    <s v="4221.003"/>
    <s v="Intérêts compensat. / acomptes en faveur du fisc"/>
    <n v="0"/>
    <n v="314.37"/>
    <n v="4221"/>
  </r>
  <r>
    <x v="0"/>
    <x v="4"/>
    <x v="4"/>
    <x v="43"/>
    <x v="36"/>
    <x v="36"/>
    <s v="REVENUS"/>
    <x v="2"/>
    <s v="4001.001"/>
    <s v="Impôt revenu"/>
    <n v="0"/>
    <n v="-1651.4"/>
    <n v="4001"/>
  </r>
  <r>
    <x v="0"/>
    <x v="4"/>
    <x v="4"/>
    <x v="43"/>
    <x v="36"/>
    <x v="36"/>
    <s v="REVENUS"/>
    <x v="3"/>
    <s v="4002.001"/>
    <s v="Impôt ordinaire s/fortune PP"/>
    <n v="0"/>
    <n v="-651.95000000000005"/>
    <n v="4002"/>
  </r>
  <r>
    <x v="0"/>
    <x v="4"/>
    <x v="4"/>
    <x v="43"/>
    <x v="36"/>
    <x v="36"/>
    <s v="REVENUS"/>
    <x v="3"/>
    <s v="4002.002"/>
    <s v="Impôt complémentaire s/fortune PP"/>
    <n v="0"/>
    <n v="-28.8"/>
    <n v="4002"/>
  </r>
  <r>
    <x v="0"/>
    <x v="4"/>
    <x v="4"/>
    <x v="43"/>
    <x v="36"/>
    <x v="36"/>
    <s v="REVENUS"/>
    <x v="6"/>
    <s v="4211.001"/>
    <s v="Intérêts de retard sur factures"/>
    <n v="0"/>
    <n v="0.03"/>
    <n v="4211"/>
  </r>
  <r>
    <x v="0"/>
    <x v="4"/>
    <x v="4"/>
    <x v="43"/>
    <x v="36"/>
    <x v="36"/>
    <s v="REVENUS"/>
    <x v="6"/>
    <s v="4211.002"/>
    <s v="Intérêts de retard sur acomptes"/>
    <n v="0"/>
    <n v="0.24"/>
    <n v="4211"/>
  </r>
  <r>
    <x v="0"/>
    <x v="4"/>
    <x v="4"/>
    <x v="43"/>
    <x v="36"/>
    <x v="36"/>
    <s v="REVENUS"/>
    <x v="6"/>
    <s v="4221.003"/>
    <s v="Intérêts compensat. / acomptes en faveur du fisc"/>
    <n v="0"/>
    <n v="-0.01"/>
    <n v="4221"/>
  </r>
  <r>
    <x v="0"/>
    <x v="4"/>
    <x v="4"/>
    <x v="43"/>
    <x v="36"/>
    <x v="36"/>
    <s v="REVENUS"/>
    <x v="2"/>
    <s v="4001.002"/>
    <s v="Impôt complément s/revenu PP"/>
    <n v="0"/>
    <n v="1703.05"/>
    <n v="4001"/>
  </r>
  <r>
    <x v="0"/>
    <x v="4"/>
    <x v="4"/>
    <x v="43"/>
    <x v="36"/>
    <x v="36"/>
    <s v="REVENUS"/>
    <x v="3"/>
    <s v="4002.002"/>
    <s v="Impôt complémentaire s/fortune PP"/>
    <n v="0"/>
    <n v="1032.6500000000001"/>
    <n v="4002"/>
  </r>
  <r>
    <x v="0"/>
    <x v="4"/>
    <x v="4"/>
    <x v="43"/>
    <x v="36"/>
    <x v="36"/>
    <s v="REVENUS"/>
    <x v="6"/>
    <s v="4211.001"/>
    <s v="Intérêts de retard sur factures"/>
    <n v="0"/>
    <n v="57.16"/>
    <n v="4211"/>
  </r>
  <r>
    <x v="0"/>
    <x v="4"/>
    <x v="4"/>
    <x v="43"/>
    <x v="36"/>
    <x v="36"/>
    <s v="REVENUS"/>
    <x v="6"/>
    <s v="4211.002"/>
    <s v="Intérêts de retard sur acomptes"/>
    <n v="0"/>
    <n v="37.69"/>
    <n v="4211"/>
  </r>
  <r>
    <x v="0"/>
    <x v="4"/>
    <x v="4"/>
    <x v="43"/>
    <x v="36"/>
    <x v="36"/>
    <s v="REVENUS"/>
    <x v="6"/>
    <s v="4221.003"/>
    <s v="Intérêts compensat. / acomptes en faveur du fisc"/>
    <n v="0"/>
    <n v="0.95"/>
    <n v="4221"/>
  </r>
  <r>
    <x v="0"/>
    <x v="4"/>
    <x v="4"/>
    <x v="43"/>
    <x v="36"/>
    <x v="36"/>
    <s v="REVENUS"/>
    <x v="2"/>
    <s v="4001.001"/>
    <s v="Impôt revenu"/>
    <n v="0"/>
    <n v="793.05"/>
    <n v="4001"/>
  </r>
  <r>
    <x v="0"/>
    <x v="4"/>
    <x v="4"/>
    <x v="43"/>
    <x v="36"/>
    <x v="36"/>
    <s v="REVENUS"/>
    <x v="3"/>
    <s v="4002.001"/>
    <s v="Impôt ordinaire s/fortune PP"/>
    <n v="0"/>
    <n v="467.95"/>
    <n v="4002"/>
  </r>
  <r>
    <x v="0"/>
    <x v="4"/>
    <x v="4"/>
    <x v="43"/>
    <x v="36"/>
    <x v="36"/>
    <s v="REVENUS"/>
    <x v="6"/>
    <s v="4211.002"/>
    <s v="Intérêts de retard sur acomptes"/>
    <n v="0"/>
    <n v="20.74"/>
    <n v="4211"/>
  </r>
  <r>
    <x v="0"/>
    <x v="4"/>
    <x v="4"/>
    <x v="43"/>
    <x v="36"/>
    <x v="36"/>
    <s v="REVENUS"/>
    <x v="6"/>
    <s v="4221.003"/>
    <s v="Intérêts compensat. / acomptes en faveur du fisc"/>
    <n v="0"/>
    <n v="0.27"/>
    <n v="4221"/>
  </r>
  <r>
    <x v="0"/>
    <x v="4"/>
    <x v="4"/>
    <x v="43"/>
    <x v="36"/>
    <x v="36"/>
    <s v="REVENUS"/>
    <x v="9"/>
    <s v="4031.001"/>
    <s v="Impôt sur les gains immobiliers"/>
    <n v="0"/>
    <n v="59807.4"/>
    <n v="4031"/>
  </r>
  <r>
    <x v="0"/>
    <x v="4"/>
    <x v="4"/>
    <x v="43"/>
    <x v="36"/>
    <x v="36"/>
    <s v="REVENUS"/>
    <x v="6"/>
    <s v="4221.002"/>
    <s v="Intérêts compensat. sur impôts distincts"/>
    <n v="0"/>
    <n v="0.42"/>
    <n v="4221"/>
  </r>
  <r>
    <x v="0"/>
    <x v="4"/>
    <x v="4"/>
    <x v="43"/>
    <x v="36"/>
    <x v="36"/>
    <s v="REVENUS"/>
    <x v="6"/>
    <s v="4211.002"/>
    <s v="Intérêts de retard sur acomptes"/>
    <n v="0"/>
    <n v="5886.9"/>
    <n v="4211"/>
  </r>
  <r>
    <x v="0"/>
    <x v="4"/>
    <x v="4"/>
    <x v="43"/>
    <x v="36"/>
    <x v="36"/>
    <s v="REVENUS"/>
    <x v="10"/>
    <s v="4041.001"/>
    <s v="Droits de mutation"/>
    <n v="0"/>
    <n v="78681.350000000006"/>
    <n v="4041"/>
  </r>
  <r>
    <x v="0"/>
    <x v="4"/>
    <x v="4"/>
    <x v="43"/>
    <x v="36"/>
    <x v="36"/>
    <s v="REVENUS"/>
    <x v="2"/>
    <s v="4001.003"/>
    <s v="Impôt s/prest. cap. PP"/>
    <n v="0"/>
    <n v="43392.9"/>
    <n v="4001"/>
  </r>
  <r>
    <x v="0"/>
    <x v="4"/>
    <x v="4"/>
    <x v="43"/>
    <x v="36"/>
    <x v="36"/>
    <s v="REVENUS"/>
    <x v="2"/>
    <s v="4001.001"/>
    <s v="Impôt revenu"/>
    <n v="0"/>
    <n v="6204.9"/>
    <n v="4001"/>
  </r>
  <r>
    <x v="0"/>
    <x v="4"/>
    <x v="4"/>
    <x v="43"/>
    <x v="36"/>
    <x v="36"/>
    <s v="REVENUS"/>
    <x v="2"/>
    <s v="4001.007"/>
    <s v="Acompte impôt sur revenu"/>
    <n v="0"/>
    <n v="-35.130000000000003"/>
    <n v="4001"/>
  </r>
  <r>
    <x v="0"/>
    <x v="4"/>
    <x v="4"/>
    <x v="43"/>
    <x v="36"/>
    <x v="36"/>
    <s v="REVENUS"/>
    <x v="3"/>
    <s v="4002.001"/>
    <s v="Impôt ordinaire s/fortune PP"/>
    <n v="0"/>
    <n v="368.6"/>
    <n v="4002"/>
  </r>
  <r>
    <x v="0"/>
    <x v="4"/>
    <x v="4"/>
    <x v="43"/>
    <x v="36"/>
    <x v="36"/>
    <s v="REVENUS"/>
    <x v="2"/>
    <s v="4001.007"/>
    <s v="Acompte impôt sur revenu"/>
    <n v="0"/>
    <n v="-218.52"/>
    <n v="4001"/>
  </r>
  <r>
    <x v="0"/>
    <x v="4"/>
    <x v="4"/>
    <x v="43"/>
    <x v="36"/>
    <x v="36"/>
    <s v="REVENUS"/>
    <x v="3"/>
    <s v="4002.007"/>
    <s v="Acompte impôt sur fortune"/>
    <n v="0"/>
    <n v="-132.88"/>
    <n v="4002"/>
  </r>
  <r>
    <x v="0"/>
    <x v="4"/>
    <x v="4"/>
    <x v="43"/>
    <x v="36"/>
    <x v="36"/>
    <s v="REVENUS"/>
    <x v="3"/>
    <s v="4002.007"/>
    <s v="Acompte impôt sur fortune"/>
    <n v="0"/>
    <n v="226.98"/>
    <n v="4002"/>
  </r>
  <r>
    <x v="0"/>
    <x v="4"/>
    <x v="4"/>
    <x v="43"/>
    <x v="36"/>
    <x v="36"/>
    <s v="REVENUS"/>
    <x v="3"/>
    <s v="4002.007"/>
    <s v="Acompte impôt sur fortune"/>
    <n v="0"/>
    <n v="97.05"/>
    <n v="4002"/>
  </r>
  <r>
    <x v="0"/>
    <x v="4"/>
    <x v="4"/>
    <x v="43"/>
    <x v="36"/>
    <x v="36"/>
    <s v="REVENUS"/>
    <x v="2"/>
    <s v="4001.002"/>
    <s v="Impôt complément s/revenu PP"/>
    <n v="0"/>
    <n v="19.850000000000001"/>
    <n v="4001"/>
  </r>
  <r>
    <x v="0"/>
    <x v="4"/>
    <x v="4"/>
    <x v="43"/>
    <x v="36"/>
    <x v="36"/>
    <s v="REVENUS"/>
    <x v="6"/>
    <s v="4211.001"/>
    <s v="Intérêts de retard sur factures"/>
    <n v="0"/>
    <n v="0.01"/>
    <n v="4211"/>
  </r>
  <r>
    <x v="0"/>
    <x v="4"/>
    <x v="4"/>
    <x v="43"/>
    <x v="36"/>
    <x v="36"/>
    <s v="REVENUS"/>
    <x v="6"/>
    <s v="4211.002"/>
    <s v="Intérêts de retard sur acomptes"/>
    <n v="0"/>
    <n v="0.01"/>
    <n v="4211"/>
  </r>
  <r>
    <x v="0"/>
    <x v="4"/>
    <x v="4"/>
    <x v="43"/>
    <x v="36"/>
    <x v="36"/>
    <s v="REVENUS"/>
    <x v="6"/>
    <s v="4221.003"/>
    <s v="Intérêts compensat. / acomptes en faveur du fisc"/>
    <n v="0"/>
    <n v="0.02"/>
    <n v="4221"/>
  </r>
  <r>
    <x v="0"/>
    <x v="4"/>
    <x v="4"/>
    <x v="43"/>
    <x v="36"/>
    <x v="36"/>
    <s v="REVENUS"/>
    <x v="2"/>
    <s v="4001.007"/>
    <s v="Acompte impôt sur revenu"/>
    <n v="0"/>
    <n v="164.05"/>
    <n v="4001"/>
  </r>
  <r>
    <x v="0"/>
    <x v="4"/>
    <x v="4"/>
    <x v="43"/>
    <x v="36"/>
    <x v="36"/>
    <s v="REVENUS"/>
    <x v="3"/>
    <s v="4002.007"/>
    <s v="Acompte impôt sur fortune"/>
    <n v="0"/>
    <n v="-149.44"/>
    <n v="4002"/>
  </r>
  <r>
    <x v="0"/>
    <x v="4"/>
    <x v="4"/>
    <x v="43"/>
    <x v="36"/>
    <x v="36"/>
    <s v="REVENUS"/>
    <x v="2"/>
    <s v="4001.007"/>
    <s v="Acompte impôt sur revenu"/>
    <n v="0"/>
    <n v="-9.75"/>
    <n v="4001"/>
  </r>
  <r>
    <x v="0"/>
    <x v="4"/>
    <x v="4"/>
    <x v="43"/>
    <x v="36"/>
    <x v="36"/>
    <s v="REVENUS"/>
    <x v="7"/>
    <s v="4184.000"/>
    <s v="Frais de poursuite"/>
    <n v="0"/>
    <n v="35.22"/>
    <n v="4184"/>
  </r>
  <r>
    <x v="0"/>
    <x v="4"/>
    <x v="4"/>
    <x v="43"/>
    <x v="36"/>
    <x v="36"/>
    <s v="REVENUS"/>
    <x v="7"/>
    <s v="4184.000"/>
    <s v="Frais de poursuite"/>
    <n v="0"/>
    <n v="48.1"/>
    <n v="4184"/>
  </r>
  <r>
    <x v="0"/>
    <x v="4"/>
    <x v="4"/>
    <x v="43"/>
    <x v="36"/>
    <x v="36"/>
    <s v="REVENUS"/>
    <x v="5"/>
    <s v="4061.000"/>
    <s v="Impôt sur les chiens"/>
    <n v="0"/>
    <n v="2070"/>
    <n v="4061"/>
  </r>
  <r>
    <x v="0"/>
    <x v="4"/>
    <x v="4"/>
    <x v="43"/>
    <x v="36"/>
    <x v="36"/>
    <s v="REVENUS"/>
    <x v="8"/>
    <s v="4091.001"/>
    <s v="Impôt récupéré après défalcations"/>
    <n v="0"/>
    <n v="3197.94"/>
    <n v="4091"/>
  </r>
  <r>
    <x v="0"/>
    <x v="4"/>
    <x v="4"/>
    <x v="43"/>
    <x v="36"/>
    <x v="36"/>
    <s v="REVENUS"/>
    <x v="3"/>
    <s v="4002.007"/>
    <s v="Acompte impôt sur fortune"/>
    <n v="0"/>
    <n v="-494.75"/>
    <n v="4002"/>
  </r>
  <r>
    <x v="0"/>
    <x v="4"/>
    <x v="4"/>
    <x v="43"/>
    <x v="36"/>
    <x v="36"/>
    <s v="REVENUS"/>
    <x v="2"/>
    <s v="4001.001"/>
    <s v="Impôt revenu"/>
    <n v="0"/>
    <n v="1565.85"/>
    <n v="4001"/>
  </r>
  <r>
    <x v="0"/>
    <x v="4"/>
    <x v="4"/>
    <x v="43"/>
    <x v="36"/>
    <x v="36"/>
    <s v="REVENUS"/>
    <x v="3"/>
    <s v="4002.001"/>
    <s v="Impôt ordinaire s/fortune PP"/>
    <n v="0"/>
    <n v="1184.05"/>
    <n v="4002"/>
  </r>
  <r>
    <x v="0"/>
    <x v="4"/>
    <x v="4"/>
    <x v="43"/>
    <x v="36"/>
    <x v="36"/>
    <s v="REVENUS"/>
    <x v="6"/>
    <s v="4211.002"/>
    <s v="Intérêts de retard sur acomptes"/>
    <n v="0"/>
    <n v="52.24"/>
    <n v="4211"/>
  </r>
  <r>
    <x v="0"/>
    <x v="4"/>
    <x v="4"/>
    <x v="43"/>
    <x v="36"/>
    <x v="36"/>
    <s v="REVENUS"/>
    <x v="6"/>
    <s v="4221.003"/>
    <s v="Intérêts compensat. / acomptes en faveur du fisc"/>
    <n v="0"/>
    <n v="0.85"/>
    <n v="4221"/>
  </r>
  <r>
    <x v="0"/>
    <x v="4"/>
    <x v="4"/>
    <x v="43"/>
    <x v="36"/>
    <x v="36"/>
    <s v="REVENUS"/>
    <x v="6"/>
    <s v="4211.001"/>
    <s v="Intérêts de retard sur factures"/>
    <n v="0"/>
    <n v="1.78"/>
    <n v="4211"/>
  </r>
  <r>
    <x v="0"/>
    <x v="4"/>
    <x v="4"/>
    <x v="43"/>
    <x v="36"/>
    <x v="36"/>
    <s v="REVENUS"/>
    <x v="7"/>
    <s v="4184.000"/>
    <s v="Frais de poursuite"/>
    <n v="0"/>
    <n v="227.37"/>
    <n v="4184"/>
  </r>
  <r>
    <x v="0"/>
    <x v="4"/>
    <x v="4"/>
    <x v="43"/>
    <x v="36"/>
    <x v="36"/>
    <s v="REVENUS"/>
    <x v="11"/>
    <s v="4198.000"/>
    <s v="Contributions communales"/>
    <n v="0"/>
    <n v="89664.15"/>
    <n v="4198"/>
  </r>
  <r>
    <x v="0"/>
    <x v="4"/>
    <x v="4"/>
    <x v="43"/>
    <x v="36"/>
    <x v="36"/>
    <s v="REVENUS"/>
    <x v="8"/>
    <s v="4091.001"/>
    <s v="Impôt récupéré après défalcations"/>
    <n v="0"/>
    <n v="6877.55"/>
    <n v="4091"/>
  </r>
  <r>
    <x v="0"/>
    <x v="4"/>
    <x v="4"/>
    <x v="43"/>
    <x v="36"/>
    <x v="36"/>
    <s v="REVENUS"/>
    <x v="9"/>
    <s v="4031.002"/>
    <s v="Complément impôt sur les gains immobiliers"/>
    <n v="0"/>
    <n v="1849.4"/>
    <n v="4031"/>
  </r>
  <r>
    <x v="0"/>
    <x v="4"/>
    <x v="4"/>
    <x v="43"/>
    <x v="36"/>
    <x v="36"/>
    <s v="REVENUS"/>
    <x v="2"/>
    <s v="4001.002"/>
    <s v="Impôt complément s/revenu PP"/>
    <n v="0"/>
    <n v="1324.15"/>
    <n v="4001"/>
  </r>
  <r>
    <x v="0"/>
    <x v="4"/>
    <x v="4"/>
    <x v="43"/>
    <x v="36"/>
    <x v="36"/>
    <s v="REVENUS"/>
    <x v="3"/>
    <s v="4002.002"/>
    <s v="Impôt complémentaire s/fortune PP"/>
    <n v="0"/>
    <n v="432.35"/>
    <n v="4002"/>
  </r>
  <r>
    <x v="0"/>
    <x v="4"/>
    <x v="4"/>
    <x v="43"/>
    <x v="36"/>
    <x v="36"/>
    <s v="REVENUS"/>
    <x v="6"/>
    <s v="4211.001"/>
    <s v="Intérêts de retard sur factures"/>
    <n v="0"/>
    <n v="2.11"/>
    <n v="4211"/>
  </r>
  <r>
    <x v="0"/>
    <x v="4"/>
    <x v="4"/>
    <x v="44"/>
    <x v="37"/>
    <x v="37"/>
    <s v="CHARGES"/>
    <x v="0"/>
    <s v="3212.004"/>
    <s v="Intérêts rémun./perçu trop tôt sur acomptes C/C"/>
    <n v="409.1"/>
    <n v="0"/>
    <n v="3212"/>
  </r>
  <r>
    <x v="0"/>
    <x v="4"/>
    <x v="4"/>
    <x v="44"/>
    <x v="37"/>
    <x v="37"/>
    <s v="CHARGES"/>
    <x v="0"/>
    <s v="3221.002"/>
    <s v="Intérêts compensatoires / créances en faveur ctb."/>
    <n v="404.64"/>
    <n v="0"/>
    <n v="3221"/>
  </r>
  <r>
    <x v="0"/>
    <x v="4"/>
    <x v="4"/>
    <x v="44"/>
    <x v="37"/>
    <x v="37"/>
    <s v="CHARGES"/>
    <x v="1"/>
    <s v="3301.001"/>
    <s v="Défalcations, abandons de solde PP et IS"/>
    <n v="9403.56"/>
    <n v="0"/>
    <n v="3301"/>
  </r>
  <r>
    <x v="0"/>
    <x v="4"/>
    <x v="4"/>
    <x v="44"/>
    <x v="37"/>
    <x v="37"/>
    <s v="CHARGES"/>
    <x v="1"/>
    <s v="3301.001"/>
    <s v="Défalcations, abandons de solde PP et IS"/>
    <n v="-0.32"/>
    <n v="0"/>
    <n v="3301"/>
  </r>
  <r>
    <x v="0"/>
    <x v="4"/>
    <x v="4"/>
    <x v="44"/>
    <x v="37"/>
    <x v="37"/>
    <s v="CHARGES"/>
    <x v="0"/>
    <s v="3212.002"/>
    <s v="Intérêts bonifiés/trop perçu acompte C/C"/>
    <n v="27.88"/>
    <n v="0"/>
    <n v="3212"/>
  </r>
  <r>
    <x v="0"/>
    <x v="4"/>
    <x v="4"/>
    <x v="44"/>
    <x v="37"/>
    <x v="37"/>
    <s v="CHARGES"/>
    <x v="1"/>
    <s v="3301.001"/>
    <s v="Défalcations, abandons de solde PP et IS"/>
    <n v="1.1499999999999999"/>
    <n v="0"/>
    <n v="3301"/>
  </r>
  <r>
    <x v="0"/>
    <x v="4"/>
    <x v="4"/>
    <x v="44"/>
    <x v="37"/>
    <x v="37"/>
    <s v="CHARGES"/>
    <x v="0"/>
    <s v="3212.004"/>
    <s v="Intérêts rémun./perçu trop tôt sur acomptes C/C"/>
    <n v="6.07"/>
    <n v="0"/>
    <n v="3212"/>
  </r>
  <r>
    <x v="0"/>
    <x v="4"/>
    <x v="4"/>
    <x v="44"/>
    <x v="37"/>
    <x v="37"/>
    <s v="CHARGES"/>
    <x v="0"/>
    <s v="3221.002"/>
    <s v="Intérêts compensatoires / créances en faveur ctb."/>
    <n v="0.08"/>
    <n v="0"/>
    <n v="3221"/>
  </r>
  <r>
    <x v="0"/>
    <x v="4"/>
    <x v="4"/>
    <x v="44"/>
    <x v="37"/>
    <x v="37"/>
    <s v="CHARGES"/>
    <x v="0"/>
    <s v="3221.002"/>
    <s v="Intérêts compensatoires / créances en faveur ctb."/>
    <n v="1.99"/>
    <n v="0"/>
    <n v="3221"/>
  </r>
  <r>
    <x v="0"/>
    <x v="4"/>
    <x v="4"/>
    <x v="44"/>
    <x v="37"/>
    <x v="37"/>
    <s v="CHARGES"/>
    <x v="1"/>
    <s v="3301.001"/>
    <s v="Défalcations, abandons de solde PP et IS"/>
    <n v="8461.27"/>
    <n v="0"/>
    <n v="3301"/>
  </r>
  <r>
    <x v="0"/>
    <x v="4"/>
    <x v="4"/>
    <x v="44"/>
    <x v="37"/>
    <x v="37"/>
    <s v="CHARGES"/>
    <x v="0"/>
    <s v="3212.004"/>
    <s v="Intérêts rémun./perçu trop tôt sur acomptes C/C"/>
    <n v="1.59"/>
    <n v="0"/>
    <n v="3212"/>
  </r>
  <r>
    <x v="0"/>
    <x v="4"/>
    <x v="4"/>
    <x v="44"/>
    <x v="37"/>
    <x v="37"/>
    <s v="CHARGES"/>
    <x v="1"/>
    <s v="3301.001"/>
    <s v="Défalcations, abandons de solde PP et IS"/>
    <n v="16807.98"/>
    <n v="0"/>
    <n v="3301"/>
  </r>
  <r>
    <x v="0"/>
    <x v="4"/>
    <x v="4"/>
    <x v="44"/>
    <x v="37"/>
    <x v="37"/>
    <s v="CHARGES"/>
    <x v="0"/>
    <s v="3212.004"/>
    <s v="Intérêts rémun./perçu trop tôt sur acomptes C/C"/>
    <n v="0.88"/>
    <n v="0"/>
    <n v="3212"/>
  </r>
  <r>
    <x v="0"/>
    <x v="4"/>
    <x v="4"/>
    <x v="44"/>
    <x v="37"/>
    <x v="37"/>
    <s v="CHARGES"/>
    <x v="0"/>
    <s v="3221.002"/>
    <s v="Intérêts compensatoires / créances en faveur ctb."/>
    <n v="0.05"/>
    <n v="0"/>
    <n v="3221"/>
  </r>
  <r>
    <x v="0"/>
    <x v="4"/>
    <x v="4"/>
    <x v="44"/>
    <x v="37"/>
    <x v="37"/>
    <s v="REVENUS"/>
    <x v="2"/>
    <s v="4001.001"/>
    <s v="Impôt revenu"/>
    <n v="0"/>
    <n v="2021613.25"/>
    <n v="4001"/>
  </r>
  <r>
    <x v="0"/>
    <x v="4"/>
    <x v="4"/>
    <x v="44"/>
    <x v="37"/>
    <x v="37"/>
    <s v="REVENUS"/>
    <x v="2"/>
    <s v="4001.002"/>
    <s v="Impôt complément s/revenu PP"/>
    <n v="0"/>
    <n v="287351.59999999998"/>
    <n v="4001"/>
  </r>
  <r>
    <x v="0"/>
    <x v="4"/>
    <x v="4"/>
    <x v="44"/>
    <x v="37"/>
    <x v="37"/>
    <s v="REVENUS"/>
    <x v="2"/>
    <s v="4001.007"/>
    <s v="Acompte impôt sur revenu"/>
    <n v="0"/>
    <n v="-389774.87"/>
    <n v="4001"/>
  </r>
  <r>
    <x v="0"/>
    <x v="4"/>
    <x v="4"/>
    <x v="44"/>
    <x v="37"/>
    <x v="37"/>
    <s v="REVENUS"/>
    <x v="3"/>
    <s v="4002.001"/>
    <s v="Impôt ordinaire s/fortune PP"/>
    <n v="0"/>
    <n v="262733.90000000002"/>
    <n v="4002"/>
  </r>
  <r>
    <x v="0"/>
    <x v="4"/>
    <x v="4"/>
    <x v="44"/>
    <x v="37"/>
    <x v="37"/>
    <s v="REVENUS"/>
    <x v="3"/>
    <s v="4002.002"/>
    <s v="Impôt complémentaire s/fortune PP"/>
    <n v="0"/>
    <n v="59036.35"/>
    <n v="4002"/>
  </r>
  <r>
    <x v="0"/>
    <x v="4"/>
    <x v="4"/>
    <x v="44"/>
    <x v="37"/>
    <x v="37"/>
    <s v="REVENUS"/>
    <x v="3"/>
    <s v="4002.007"/>
    <s v="Acompte impôt sur fortune"/>
    <n v="0"/>
    <n v="-85330.5"/>
    <n v="4002"/>
  </r>
  <r>
    <x v="0"/>
    <x v="4"/>
    <x v="4"/>
    <x v="44"/>
    <x v="37"/>
    <x v="37"/>
    <s v="REVENUS"/>
    <x v="6"/>
    <s v="4211.001"/>
    <s v="Intérêts de retard sur factures"/>
    <n v="0"/>
    <n v="13183"/>
    <n v="4211"/>
  </r>
  <r>
    <x v="0"/>
    <x v="4"/>
    <x v="4"/>
    <x v="44"/>
    <x v="37"/>
    <x v="37"/>
    <s v="REVENUS"/>
    <x v="6"/>
    <s v="4221.003"/>
    <s v="Intérêts compensat. / acomptes en faveur du fisc"/>
    <n v="0"/>
    <n v="431.89"/>
    <n v="4221"/>
  </r>
  <r>
    <x v="0"/>
    <x v="4"/>
    <x v="4"/>
    <x v="44"/>
    <x v="37"/>
    <x v="37"/>
    <s v="REVENUS"/>
    <x v="6"/>
    <s v="4211.002"/>
    <s v="Intérêts de retard sur acomptes"/>
    <n v="0"/>
    <n v="12016.92"/>
    <n v="4211"/>
  </r>
  <r>
    <x v="0"/>
    <x v="4"/>
    <x v="4"/>
    <x v="44"/>
    <x v="37"/>
    <x v="37"/>
    <s v="REVENUS"/>
    <x v="3"/>
    <s v="4002.002"/>
    <s v="Impôt complémentaire s/fortune PP"/>
    <n v="0"/>
    <n v="366.85"/>
    <n v="4002"/>
  </r>
  <r>
    <x v="0"/>
    <x v="4"/>
    <x v="4"/>
    <x v="44"/>
    <x v="37"/>
    <x v="37"/>
    <s v="REVENUS"/>
    <x v="3"/>
    <s v="4002.007"/>
    <s v="Acompte impôt sur fortune"/>
    <n v="0"/>
    <n v="-330.96"/>
    <n v="4002"/>
  </r>
  <r>
    <x v="0"/>
    <x v="4"/>
    <x v="4"/>
    <x v="44"/>
    <x v="37"/>
    <x v="37"/>
    <s v="REVENUS"/>
    <x v="6"/>
    <s v="4211.001"/>
    <s v="Intérêts de retard sur factures"/>
    <n v="0"/>
    <n v="6.6"/>
    <n v="4211"/>
  </r>
  <r>
    <x v="0"/>
    <x v="4"/>
    <x v="4"/>
    <x v="44"/>
    <x v="37"/>
    <x v="37"/>
    <s v="REVENUS"/>
    <x v="6"/>
    <s v="4221.003"/>
    <s v="Intérêts compensat. / acomptes en faveur du fisc"/>
    <n v="0"/>
    <n v="4.96"/>
    <n v="4221"/>
  </r>
  <r>
    <x v="0"/>
    <x v="4"/>
    <x v="4"/>
    <x v="44"/>
    <x v="37"/>
    <x v="37"/>
    <s v="REVENUS"/>
    <x v="2"/>
    <s v="4001.003"/>
    <s v="Impôt s/prest. cap. PP"/>
    <n v="0"/>
    <n v="99836.25"/>
    <n v="4001"/>
  </r>
  <r>
    <x v="0"/>
    <x v="4"/>
    <x v="4"/>
    <x v="44"/>
    <x v="37"/>
    <x v="37"/>
    <s v="REVENUS"/>
    <x v="9"/>
    <s v="4031.001"/>
    <s v="Impôt sur les gains immobiliers"/>
    <n v="0"/>
    <n v="57547.95"/>
    <n v="4031"/>
  </r>
  <r>
    <x v="0"/>
    <x v="4"/>
    <x v="4"/>
    <x v="44"/>
    <x v="37"/>
    <x v="37"/>
    <s v="REVENUS"/>
    <x v="6"/>
    <s v="4211.001"/>
    <s v="Intérêts de retard sur factures"/>
    <n v="0"/>
    <n v="4.28"/>
    <n v="4211"/>
  </r>
  <r>
    <x v="0"/>
    <x v="4"/>
    <x v="4"/>
    <x v="44"/>
    <x v="37"/>
    <x v="37"/>
    <s v="REVENUS"/>
    <x v="10"/>
    <s v="4041.001"/>
    <s v="Droits de mutation"/>
    <n v="0"/>
    <n v="36017.35"/>
    <n v="4041"/>
  </r>
  <r>
    <x v="0"/>
    <x v="4"/>
    <x v="4"/>
    <x v="44"/>
    <x v="37"/>
    <x v="37"/>
    <s v="REVENUS"/>
    <x v="7"/>
    <s v="4184.000"/>
    <s v="Frais de poursuite"/>
    <n v="0"/>
    <n v="707.24"/>
    <n v="4184"/>
  </r>
  <r>
    <x v="0"/>
    <x v="4"/>
    <x v="4"/>
    <x v="44"/>
    <x v="37"/>
    <x v="37"/>
    <s v="REVENUS"/>
    <x v="7"/>
    <s v="4184.000"/>
    <s v="Frais de poursuite"/>
    <n v="0"/>
    <n v="672.26"/>
    <n v="4184"/>
  </r>
  <r>
    <x v="0"/>
    <x v="4"/>
    <x v="4"/>
    <x v="44"/>
    <x v="37"/>
    <x v="37"/>
    <s v="REVENUS"/>
    <x v="3"/>
    <s v="4002.007"/>
    <s v="Acompte impôt sur fortune"/>
    <n v="0"/>
    <n v="-1035.08"/>
    <n v="4002"/>
  </r>
  <r>
    <x v="0"/>
    <x v="4"/>
    <x v="4"/>
    <x v="44"/>
    <x v="37"/>
    <x v="37"/>
    <s v="REVENUS"/>
    <x v="2"/>
    <s v="4001.007"/>
    <s v="Acompte impôt sur revenu"/>
    <n v="0"/>
    <n v="6520.04"/>
    <n v="4001"/>
  </r>
  <r>
    <x v="0"/>
    <x v="4"/>
    <x v="4"/>
    <x v="44"/>
    <x v="37"/>
    <x v="37"/>
    <s v="REVENUS"/>
    <x v="2"/>
    <s v="4001.007"/>
    <s v="Acompte impôt sur revenu"/>
    <n v="0"/>
    <n v="-5310.84"/>
    <n v="4001"/>
  </r>
  <r>
    <x v="0"/>
    <x v="4"/>
    <x v="4"/>
    <x v="44"/>
    <x v="37"/>
    <x v="37"/>
    <s v="REVENUS"/>
    <x v="3"/>
    <s v="4002.007"/>
    <s v="Acompte impôt sur fortune"/>
    <n v="0"/>
    <n v="-2616.4899999999998"/>
    <n v="4002"/>
  </r>
  <r>
    <x v="0"/>
    <x v="4"/>
    <x v="4"/>
    <x v="44"/>
    <x v="37"/>
    <x v="37"/>
    <s v="REVENUS"/>
    <x v="2"/>
    <s v="4001.007"/>
    <s v="Acompte impôt sur revenu"/>
    <n v="0"/>
    <n v="-943.49"/>
    <n v="4001"/>
  </r>
  <r>
    <x v="0"/>
    <x v="4"/>
    <x v="4"/>
    <x v="44"/>
    <x v="37"/>
    <x v="37"/>
    <s v="REVENUS"/>
    <x v="3"/>
    <s v="4002.007"/>
    <s v="Acompte impôt sur fortune"/>
    <n v="0"/>
    <n v="767.14"/>
    <n v="4002"/>
  </r>
  <r>
    <x v="0"/>
    <x v="4"/>
    <x v="4"/>
    <x v="44"/>
    <x v="37"/>
    <x v="37"/>
    <s v="REVENUS"/>
    <x v="6"/>
    <s v="4221.002"/>
    <s v="Intérêts compensat. sur impôts distincts"/>
    <n v="0"/>
    <n v="8.6199999999999992"/>
    <n v="4221"/>
  </r>
  <r>
    <x v="0"/>
    <x v="4"/>
    <x v="4"/>
    <x v="44"/>
    <x v="37"/>
    <x v="37"/>
    <s v="REVENUS"/>
    <x v="3"/>
    <s v="4002.007"/>
    <s v="Acompte impôt sur fortune"/>
    <n v="0"/>
    <n v="66.400000000000006"/>
    <n v="4002"/>
  </r>
  <r>
    <x v="0"/>
    <x v="4"/>
    <x v="4"/>
    <x v="44"/>
    <x v="37"/>
    <x v="37"/>
    <s v="REVENUS"/>
    <x v="3"/>
    <s v="4002.001"/>
    <s v="Impôt ordinaire s/fortune PP"/>
    <n v="0"/>
    <n v="5569.9"/>
    <n v="4002"/>
  </r>
  <r>
    <x v="0"/>
    <x v="4"/>
    <x v="4"/>
    <x v="44"/>
    <x v="37"/>
    <x v="37"/>
    <s v="REVENUS"/>
    <x v="2"/>
    <s v="4001.001"/>
    <s v="Impôt revenu"/>
    <n v="0"/>
    <n v="20658.099999999999"/>
    <n v="4001"/>
  </r>
  <r>
    <x v="0"/>
    <x v="4"/>
    <x v="4"/>
    <x v="44"/>
    <x v="37"/>
    <x v="37"/>
    <s v="REVENUS"/>
    <x v="3"/>
    <s v="4002.001"/>
    <s v="Impôt ordinaire s/fortune PP"/>
    <n v="0"/>
    <n v="4159.05"/>
    <n v="4002"/>
  </r>
  <r>
    <x v="0"/>
    <x v="4"/>
    <x v="4"/>
    <x v="44"/>
    <x v="37"/>
    <x v="37"/>
    <s v="REVENUS"/>
    <x v="2"/>
    <s v="4001.002"/>
    <s v="Impôt complément s/revenu PP"/>
    <n v="0"/>
    <n v="751.65"/>
    <n v="4001"/>
  </r>
  <r>
    <x v="0"/>
    <x v="4"/>
    <x v="4"/>
    <x v="44"/>
    <x v="37"/>
    <x v="37"/>
    <s v="REVENUS"/>
    <x v="6"/>
    <s v="4211.002"/>
    <s v="Intérêts de retard sur acomptes"/>
    <n v="0"/>
    <n v="245.38"/>
    <n v="4211"/>
  </r>
  <r>
    <x v="0"/>
    <x v="4"/>
    <x v="4"/>
    <x v="44"/>
    <x v="37"/>
    <x v="37"/>
    <s v="REVENUS"/>
    <x v="2"/>
    <s v="4001.001"/>
    <s v="Impôt revenu"/>
    <n v="0"/>
    <n v="22463.05"/>
    <n v="4001"/>
  </r>
  <r>
    <x v="0"/>
    <x v="4"/>
    <x v="4"/>
    <x v="44"/>
    <x v="37"/>
    <x v="37"/>
    <s v="REVENUS"/>
    <x v="6"/>
    <s v="4221.003"/>
    <s v="Intérêts compensat. / acomptes en faveur du fisc"/>
    <n v="0"/>
    <n v="4.76"/>
    <n v="4221"/>
  </r>
  <r>
    <x v="0"/>
    <x v="4"/>
    <x v="4"/>
    <x v="44"/>
    <x v="37"/>
    <x v="37"/>
    <s v="REVENUS"/>
    <x v="7"/>
    <s v="4184.000"/>
    <s v="Frais de poursuite"/>
    <n v="0"/>
    <n v="3.42"/>
    <n v="4184"/>
  </r>
  <r>
    <x v="0"/>
    <x v="4"/>
    <x v="4"/>
    <x v="44"/>
    <x v="37"/>
    <x v="37"/>
    <s v="REVENUS"/>
    <x v="2"/>
    <s v="4001.001"/>
    <s v="Impôt revenu"/>
    <n v="0"/>
    <n v="9804.9"/>
    <n v="4001"/>
  </r>
  <r>
    <x v="0"/>
    <x v="4"/>
    <x v="4"/>
    <x v="44"/>
    <x v="37"/>
    <x v="37"/>
    <s v="REVENUS"/>
    <x v="3"/>
    <s v="4002.001"/>
    <s v="Impôt ordinaire s/fortune PP"/>
    <n v="0"/>
    <n v="3244.75"/>
    <n v="4002"/>
  </r>
  <r>
    <x v="0"/>
    <x v="4"/>
    <x v="4"/>
    <x v="44"/>
    <x v="37"/>
    <x v="37"/>
    <s v="REVENUS"/>
    <x v="6"/>
    <s v="4211.002"/>
    <s v="Intérêts de retard sur acomptes"/>
    <n v="0"/>
    <n v="84.08"/>
    <n v="4211"/>
  </r>
  <r>
    <x v="0"/>
    <x v="4"/>
    <x v="4"/>
    <x v="44"/>
    <x v="37"/>
    <x v="37"/>
    <s v="REVENUS"/>
    <x v="7"/>
    <s v="4184.000"/>
    <s v="Frais de poursuite"/>
    <n v="0"/>
    <n v="123.46"/>
    <n v="4184"/>
  </r>
  <r>
    <x v="0"/>
    <x v="4"/>
    <x v="4"/>
    <x v="44"/>
    <x v="37"/>
    <x v="37"/>
    <s v="REVENUS"/>
    <x v="6"/>
    <s v="4221.003"/>
    <s v="Intérêts compensat. / acomptes en faveur du fisc"/>
    <n v="0"/>
    <n v="0.15"/>
    <n v="4221"/>
  </r>
  <r>
    <x v="0"/>
    <x v="4"/>
    <x v="4"/>
    <x v="44"/>
    <x v="37"/>
    <x v="37"/>
    <s v="REVENUS"/>
    <x v="6"/>
    <s v="4211.002"/>
    <s v="Intérêts de retard sur acomptes"/>
    <n v="0"/>
    <n v="578.54999999999995"/>
    <n v="4211"/>
  </r>
  <r>
    <x v="0"/>
    <x v="4"/>
    <x v="4"/>
    <x v="44"/>
    <x v="37"/>
    <x v="37"/>
    <s v="REVENUS"/>
    <x v="2"/>
    <s v="4001.001"/>
    <s v="Impôt revenu"/>
    <n v="0"/>
    <n v="908.6"/>
    <n v="4001"/>
  </r>
  <r>
    <x v="0"/>
    <x v="4"/>
    <x v="4"/>
    <x v="44"/>
    <x v="37"/>
    <x v="37"/>
    <s v="REVENUS"/>
    <x v="3"/>
    <s v="4002.001"/>
    <s v="Impôt ordinaire s/fortune PP"/>
    <n v="0"/>
    <n v="1593.25"/>
    <n v="4002"/>
  </r>
  <r>
    <x v="0"/>
    <x v="4"/>
    <x v="4"/>
    <x v="44"/>
    <x v="37"/>
    <x v="37"/>
    <s v="REVENUS"/>
    <x v="6"/>
    <s v="4211.002"/>
    <s v="Intérêts de retard sur acomptes"/>
    <n v="0"/>
    <n v="24.92"/>
    <n v="4211"/>
  </r>
  <r>
    <x v="0"/>
    <x v="4"/>
    <x v="4"/>
    <x v="44"/>
    <x v="37"/>
    <x v="37"/>
    <s v="REVENUS"/>
    <x v="2"/>
    <s v="4001.007"/>
    <s v="Acompte impôt sur revenu"/>
    <n v="0"/>
    <n v="-904.55"/>
    <n v="4001"/>
  </r>
  <r>
    <x v="0"/>
    <x v="4"/>
    <x v="4"/>
    <x v="44"/>
    <x v="37"/>
    <x v="37"/>
    <s v="REVENUS"/>
    <x v="3"/>
    <s v="4002.007"/>
    <s v="Acompte impôt sur fortune"/>
    <n v="0"/>
    <n v="-394.15"/>
    <n v="4002"/>
  </r>
  <r>
    <x v="0"/>
    <x v="4"/>
    <x v="4"/>
    <x v="44"/>
    <x v="37"/>
    <x v="37"/>
    <s v="REVENUS"/>
    <x v="5"/>
    <s v="4061.000"/>
    <s v="Impôt sur les chiens"/>
    <n v="0"/>
    <n v="4960"/>
    <n v="4061"/>
  </r>
  <r>
    <x v="0"/>
    <x v="4"/>
    <x v="4"/>
    <x v="44"/>
    <x v="37"/>
    <x v="37"/>
    <s v="REVENUS"/>
    <x v="8"/>
    <s v="4091.001"/>
    <s v="Impôt récupéré après défalcations"/>
    <n v="0"/>
    <n v="7217.98"/>
    <n v="4091"/>
  </r>
  <r>
    <x v="0"/>
    <x v="4"/>
    <x v="4"/>
    <x v="44"/>
    <x v="37"/>
    <x v="37"/>
    <s v="REVENUS"/>
    <x v="11"/>
    <s v="4198.000"/>
    <s v="Contributions communales"/>
    <n v="0"/>
    <n v="173193.3"/>
    <n v="4198"/>
  </r>
  <r>
    <x v="0"/>
    <x v="4"/>
    <x v="4"/>
    <x v="44"/>
    <x v="37"/>
    <x v="37"/>
    <s v="REVENUS"/>
    <x v="2"/>
    <s v="4001.007"/>
    <s v="Acompte impôt sur revenu"/>
    <n v="0"/>
    <n v="-5908.45"/>
    <n v="4001"/>
  </r>
  <r>
    <x v="0"/>
    <x v="4"/>
    <x v="4"/>
    <x v="44"/>
    <x v="37"/>
    <x v="37"/>
    <s v="REVENUS"/>
    <x v="3"/>
    <s v="4002.002"/>
    <s v="Impôt complémentaire s/fortune PP"/>
    <n v="0"/>
    <n v="77.349999999999994"/>
    <n v="4002"/>
  </r>
  <r>
    <x v="0"/>
    <x v="4"/>
    <x v="4"/>
    <x v="44"/>
    <x v="37"/>
    <x v="37"/>
    <s v="REVENUS"/>
    <x v="6"/>
    <s v="4211.001"/>
    <s v="Intérêts de retard sur factures"/>
    <n v="0"/>
    <n v="0.71"/>
    <n v="4211"/>
  </r>
  <r>
    <x v="0"/>
    <x v="5"/>
    <x v="1"/>
    <x v="45"/>
    <x v="38"/>
    <x v="38"/>
    <s v="CHARGES"/>
    <x v="0"/>
    <s v="3212.004"/>
    <s v="Intérêts rémun./perçu trop tôt sur acomptes C/C"/>
    <n v="104.52"/>
    <n v="0"/>
    <n v="3212"/>
  </r>
  <r>
    <x v="0"/>
    <x v="5"/>
    <x v="1"/>
    <x v="45"/>
    <x v="38"/>
    <x v="38"/>
    <s v="CHARGES"/>
    <x v="0"/>
    <s v="3221.002"/>
    <s v="Intérêts compensatoires / créances en faveur ctb."/>
    <n v="34.25"/>
    <n v="0"/>
    <n v="3221"/>
  </r>
  <r>
    <x v="0"/>
    <x v="5"/>
    <x v="1"/>
    <x v="45"/>
    <x v="38"/>
    <x v="38"/>
    <s v="CHARGES"/>
    <x v="1"/>
    <s v="3301.001"/>
    <s v="Défalcations, abandons de solde PP et IS"/>
    <n v="2245.79"/>
    <n v="0"/>
    <n v="3301"/>
  </r>
  <r>
    <x v="0"/>
    <x v="5"/>
    <x v="1"/>
    <x v="45"/>
    <x v="38"/>
    <x v="38"/>
    <s v="CHARGES"/>
    <x v="0"/>
    <s v="3212.004"/>
    <s v="Intérêts rémun./perçu trop tôt sur acomptes C/C"/>
    <n v="0.22"/>
    <n v="0"/>
    <n v="3212"/>
  </r>
  <r>
    <x v="0"/>
    <x v="5"/>
    <x v="1"/>
    <x v="45"/>
    <x v="38"/>
    <x v="38"/>
    <s v="CHARGES"/>
    <x v="0"/>
    <s v="3221.002"/>
    <s v="Intérêts compensatoires / créances en faveur ctb."/>
    <n v="0.2"/>
    <n v="0"/>
    <n v="3221"/>
  </r>
  <r>
    <x v="0"/>
    <x v="5"/>
    <x v="1"/>
    <x v="45"/>
    <x v="38"/>
    <x v="38"/>
    <s v="CHARGES"/>
    <x v="0"/>
    <s v="3221.002"/>
    <s v="Intérêts compensatoires / créances en faveur ctb."/>
    <n v="0.13"/>
    <n v="0"/>
    <n v="3221"/>
  </r>
  <r>
    <x v="0"/>
    <x v="5"/>
    <x v="1"/>
    <x v="45"/>
    <x v="38"/>
    <x v="38"/>
    <s v="CHARGES"/>
    <x v="1"/>
    <s v="3301.001"/>
    <s v="Défalcations, abandons de solde PP et IS"/>
    <n v="0.71"/>
    <n v="0"/>
    <n v="3301"/>
  </r>
  <r>
    <x v="0"/>
    <x v="5"/>
    <x v="1"/>
    <x v="45"/>
    <x v="38"/>
    <x v="38"/>
    <s v="CHARGES"/>
    <x v="0"/>
    <s v="3212.002"/>
    <s v="Intérêts bonifiés/trop perçu acompte C/C"/>
    <n v="-3.09"/>
    <n v="0"/>
    <n v="3212"/>
  </r>
  <r>
    <x v="0"/>
    <x v="5"/>
    <x v="1"/>
    <x v="45"/>
    <x v="38"/>
    <x v="38"/>
    <s v="CHARGES"/>
    <x v="0"/>
    <s v="3212.004"/>
    <s v="Intérêts rémun./perçu trop tôt sur acomptes C/C"/>
    <n v="-0.08"/>
    <n v="0"/>
    <n v="3212"/>
  </r>
  <r>
    <x v="0"/>
    <x v="5"/>
    <x v="1"/>
    <x v="45"/>
    <x v="38"/>
    <x v="38"/>
    <s v="CHARGES"/>
    <x v="0"/>
    <s v="3212.002"/>
    <s v="Intérêts bonifiés/trop perçu acompte C/C"/>
    <n v="1.73"/>
    <n v="0"/>
    <n v="3212"/>
  </r>
  <r>
    <x v="0"/>
    <x v="5"/>
    <x v="1"/>
    <x v="45"/>
    <x v="38"/>
    <x v="38"/>
    <s v="CHARGES"/>
    <x v="0"/>
    <s v="3212.004"/>
    <s v="Intérêts rémun./perçu trop tôt sur acomptes C/C"/>
    <n v="1.58"/>
    <n v="0"/>
    <n v="3212"/>
  </r>
  <r>
    <x v="0"/>
    <x v="5"/>
    <x v="1"/>
    <x v="45"/>
    <x v="38"/>
    <x v="38"/>
    <s v="CHARGES"/>
    <x v="0"/>
    <s v="3221.002"/>
    <s v="Intérêts compensatoires / créances en faveur ctb."/>
    <n v="2.35"/>
    <n v="0"/>
    <n v="3221"/>
  </r>
  <r>
    <x v="0"/>
    <x v="5"/>
    <x v="1"/>
    <x v="45"/>
    <x v="38"/>
    <x v="38"/>
    <s v="CHARGES"/>
    <x v="1"/>
    <s v="3301.001"/>
    <s v="Défalcations, abandons de solde PP et IS"/>
    <n v="0.28999999999999998"/>
    <n v="0"/>
    <n v="3301"/>
  </r>
  <r>
    <x v="0"/>
    <x v="5"/>
    <x v="1"/>
    <x v="45"/>
    <x v="38"/>
    <x v="38"/>
    <s v="CHARGES"/>
    <x v="0"/>
    <s v="3212.004"/>
    <s v="Intérêts rémun./perçu trop tôt sur acomptes C/C"/>
    <n v="0.03"/>
    <n v="0"/>
    <n v="3212"/>
  </r>
  <r>
    <x v="0"/>
    <x v="5"/>
    <x v="1"/>
    <x v="45"/>
    <x v="38"/>
    <x v="38"/>
    <s v="CHARGES"/>
    <x v="0"/>
    <s v="3212.004"/>
    <s v="Intérêts rémun./perçu trop tôt sur acomptes C/C"/>
    <n v="0.97"/>
    <n v="0"/>
    <n v="3212"/>
  </r>
  <r>
    <x v="0"/>
    <x v="5"/>
    <x v="1"/>
    <x v="45"/>
    <x v="38"/>
    <x v="38"/>
    <s v="CHARGES"/>
    <x v="0"/>
    <s v="3221.002"/>
    <s v="Intérêts compensatoires / créances en faveur ctb."/>
    <n v="0.08"/>
    <n v="0"/>
    <n v="3221"/>
  </r>
  <r>
    <x v="0"/>
    <x v="5"/>
    <x v="1"/>
    <x v="45"/>
    <x v="38"/>
    <x v="38"/>
    <s v="CHARGES"/>
    <x v="1"/>
    <s v="3301.001"/>
    <s v="Défalcations, abandons de solde PP et IS"/>
    <n v="0.03"/>
    <n v="0"/>
    <n v="3301"/>
  </r>
  <r>
    <x v="0"/>
    <x v="5"/>
    <x v="1"/>
    <x v="45"/>
    <x v="38"/>
    <x v="38"/>
    <s v="CHARGES"/>
    <x v="0"/>
    <s v="3221.002"/>
    <s v="Intérêts compensatoires / créances en faveur ctb."/>
    <n v="-0.48"/>
    <n v="0"/>
    <n v="3221"/>
  </r>
  <r>
    <x v="0"/>
    <x v="5"/>
    <x v="1"/>
    <x v="45"/>
    <x v="38"/>
    <x v="38"/>
    <s v="CHARGES"/>
    <x v="1"/>
    <s v="3301.001"/>
    <s v="Défalcations, abandons de solde PP et IS"/>
    <n v="-1.68"/>
    <n v="0"/>
    <n v="3301"/>
  </r>
  <r>
    <x v="0"/>
    <x v="5"/>
    <x v="1"/>
    <x v="45"/>
    <x v="38"/>
    <x v="38"/>
    <s v="CHARGES"/>
    <x v="1"/>
    <s v="3301.001"/>
    <s v="Défalcations, abandons de solde PP et IS"/>
    <n v="0.13"/>
    <n v="0"/>
    <n v="3301"/>
  </r>
  <r>
    <x v="0"/>
    <x v="5"/>
    <x v="1"/>
    <x v="45"/>
    <x v="38"/>
    <x v="38"/>
    <s v="REVENUS"/>
    <x v="2"/>
    <s v="4001.007"/>
    <s v="Acompte impôt sur revenu"/>
    <n v="0"/>
    <n v="-149345.45000000001"/>
    <n v="4001"/>
  </r>
  <r>
    <x v="0"/>
    <x v="5"/>
    <x v="1"/>
    <x v="45"/>
    <x v="38"/>
    <x v="38"/>
    <s v="REVENUS"/>
    <x v="3"/>
    <s v="4002.007"/>
    <s v="Acompte impôt sur fortune"/>
    <n v="0"/>
    <n v="-26189.83"/>
    <n v="4002"/>
  </r>
  <r>
    <x v="0"/>
    <x v="5"/>
    <x v="1"/>
    <x v="45"/>
    <x v="38"/>
    <x v="38"/>
    <s v="REVENUS"/>
    <x v="2"/>
    <s v="4001.001"/>
    <s v="Impôt revenu"/>
    <n v="0"/>
    <n v="751583.25"/>
    <n v="4001"/>
  </r>
  <r>
    <x v="0"/>
    <x v="5"/>
    <x v="1"/>
    <x v="45"/>
    <x v="38"/>
    <x v="38"/>
    <s v="REVENUS"/>
    <x v="2"/>
    <s v="4001.007"/>
    <s v="Acompte impôt sur revenu"/>
    <n v="0"/>
    <n v="118239.19"/>
    <n v="4001"/>
  </r>
  <r>
    <x v="0"/>
    <x v="5"/>
    <x v="1"/>
    <x v="45"/>
    <x v="38"/>
    <x v="38"/>
    <s v="REVENUS"/>
    <x v="3"/>
    <s v="4002.001"/>
    <s v="Impôt ordinaire s/fortune PP"/>
    <n v="0"/>
    <n v="78151.5"/>
    <n v="4002"/>
  </r>
  <r>
    <x v="0"/>
    <x v="5"/>
    <x v="1"/>
    <x v="45"/>
    <x v="38"/>
    <x v="38"/>
    <s v="REVENUS"/>
    <x v="3"/>
    <s v="4002.007"/>
    <s v="Acompte impôt sur fortune"/>
    <n v="0"/>
    <n v="27621.26"/>
    <n v="4002"/>
  </r>
  <r>
    <x v="0"/>
    <x v="5"/>
    <x v="1"/>
    <x v="45"/>
    <x v="38"/>
    <x v="38"/>
    <s v="REVENUS"/>
    <x v="6"/>
    <s v="4211.001"/>
    <s v="Intérêts de retard sur factures"/>
    <n v="0"/>
    <n v="2967.02"/>
    <n v="4211"/>
  </r>
  <r>
    <x v="0"/>
    <x v="5"/>
    <x v="1"/>
    <x v="45"/>
    <x v="38"/>
    <x v="38"/>
    <s v="REVENUS"/>
    <x v="6"/>
    <s v="4221.003"/>
    <s v="Intérêts compensat. / acomptes en faveur du fisc"/>
    <n v="0"/>
    <n v="93.69"/>
    <n v="4221"/>
  </r>
  <r>
    <x v="0"/>
    <x v="5"/>
    <x v="1"/>
    <x v="45"/>
    <x v="38"/>
    <x v="38"/>
    <s v="REVENUS"/>
    <x v="2"/>
    <s v="4001.001"/>
    <s v="Impôt revenu"/>
    <n v="0"/>
    <n v="11013.8"/>
    <n v="4001"/>
  </r>
  <r>
    <x v="0"/>
    <x v="5"/>
    <x v="1"/>
    <x v="45"/>
    <x v="38"/>
    <x v="38"/>
    <s v="REVENUS"/>
    <x v="2"/>
    <s v="4001.007"/>
    <s v="Acompte impôt sur revenu"/>
    <n v="0"/>
    <n v="9903.25"/>
    <n v="4001"/>
  </r>
  <r>
    <x v="0"/>
    <x v="5"/>
    <x v="1"/>
    <x v="45"/>
    <x v="38"/>
    <x v="38"/>
    <s v="REVENUS"/>
    <x v="3"/>
    <s v="4002.001"/>
    <s v="Impôt ordinaire s/fortune PP"/>
    <n v="0"/>
    <n v="283.85000000000002"/>
    <n v="4002"/>
  </r>
  <r>
    <x v="0"/>
    <x v="5"/>
    <x v="1"/>
    <x v="45"/>
    <x v="38"/>
    <x v="38"/>
    <s v="REVENUS"/>
    <x v="3"/>
    <s v="4002.007"/>
    <s v="Acompte impôt sur fortune"/>
    <n v="0"/>
    <n v="138.07"/>
    <n v="4002"/>
  </r>
  <r>
    <x v="0"/>
    <x v="5"/>
    <x v="1"/>
    <x v="45"/>
    <x v="38"/>
    <x v="38"/>
    <s v="REVENUS"/>
    <x v="2"/>
    <s v="4001.003"/>
    <s v="Impôt s/prest. cap. PP"/>
    <n v="0"/>
    <n v="25835.9"/>
    <n v="4001"/>
  </r>
  <r>
    <x v="0"/>
    <x v="5"/>
    <x v="1"/>
    <x v="45"/>
    <x v="38"/>
    <x v="38"/>
    <s v="REVENUS"/>
    <x v="6"/>
    <s v="4211.002"/>
    <s v="Intérêts de retard sur acomptes"/>
    <n v="0"/>
    <n v="4389.66"/>
    <n v="4211"/>
  </r>
  <r>
    <x v="0"/>
    <x v="5"/>
    <x v="1"/>
    <x v="45"/>
    <x v="38"/>
    <x v="38"/>
    <s v="REVENUS"/>
    <x v="7"/>
    <s v="4184.000"/>
    <s v="Frais de poursuite"/>
    <n v="0"/>
    <n v="503.72"/>
    <n v="4184"/>
  </r>
  <r>
    <x v="0"/>
    <x v="5"/>
    <x v="1"/>
    <x v="45"/>
    <x v="38"/>
    <x v="38"/>
    <s v="REVENUS"/>
    <x v="2"/>
    <s v="4001.002"/>
    <s v="Impôt complément s/revenu PP"/>
    <n v="0"/>
    <n v="87152.95"/>
    <n v="4001"/>
  </r>
  <r>
    <x v="0"/>
    <x v="5"/>
    <x v="1"/>
    <x v="45"/>
    <x v="38"/>
    <x v="38"/>
    <s v="REVENUS"/>
    <x v="3"/>
    <s v="4002.002"/>
    <s v="Impôt complémentaire s/fortune PP"/>
    <n v="0"/>
    <n v="1877.95"/>
    <n v="4002"/>
  </r>
  <r>
    <x v="0"/>
    <x v="5"/>
    <x v="1"/>
    <x v="45"/>
    <x v="38"/>
    <x v="38"/>
    <s v="REVENUS"/>
    <x v="11"/>
    <s v="4198.000"/>
    <s v="Contributions communales"/>
    <n v="0"/>
    <n v="84034.25"/>
    <n v="4198"/>
  </r>
  <r>
    <x v="0"/>
    <x v="5"/>
    <x v="1"/>
    <x v="45"/>
    <x v="38"/>
    <x v="38"/>
    <s v="REVENUS"/>
    <x v="3"/>
    <s v="4002.007"/>
    <s v="Acompte impôt sur fortune"/>
    <n v="0"/>
    <n v="-159.03"/>
    <n v="4002"/>
  </r>
  <r>
    <x v="0"/>
    <x v="5"/>
    <x v="1"/>
    <x v="45"/>
    <x v="38"/>
    <x v="38"/>
    <s v="REVENUS"/>
    <x v="10"/>
    <s v="4041.001"/>
    <s v="Droits de mutation"/>
    <n v="0"/>
    <n v="30913.15"/>
    <n v="4041"/>
  </r>
  <r>
    <x v="0"/>
    <x v="5"/>
    <x v="1"/>
    <x v="45"/>
    <x v="38"/>
    <x v="38"/>
    <s v="REVENUS"/>
    <x v="6"/>
    <s v="4211.002"/>
    <s v="Intérêts de retard sur acomptes"/>
    <n v="0"/>
    <n v="0.55000000000000004"/>
    <n v="4211"/>
  </r>
  <r>
    <x v="0"/>
    <x v="5"/>
    <x v="1"/>
    <x v="45"/>
    <x v="38"/>
    <x v="38"/>
    <s v="REVENUS"/>
    <x v="2"/>
    <s v="4001.001"/>
    <s v="Impôt revenu"/>
    <n v="0"/>
    <n v="0"/>
    <n v="4001"/>
  </r>
  <r>
    <x v="0"/>
    <x v="5"/>
    <x v="1"/>
    <x v="45"/>
    <x v="38"/>
    <x v="38"/>
    <s v="REVENUS"/>
    <x v="2"/>
    <s v="4001.007"/>
    <s v="Acompte impôt sur revenu"/>
    <n v="0"/>
    <n v="-327.22000000000003"/>
    <n v="4001"/>
  </r>
  <r>
    <x v="0"/>
    <x v="5"/>
    <x v="1"/>
    <x v="45"/>
    <x v="38"/>
    <x v="38"/>
    <s v="REVENUS"/>
    <x v="6"/>
    <s v="4221.003"/>
    <s v="Intérêts compensat. / acomptes en faveur du fisc"/>
    <n v="0"/>
    <n v="1.99"/>
    <n v="4221"/>
  </r>
  <r>
    <x v="0"/>
    <x v="5"/>
    <x v="1"/>
    <x v="45"/>
    <x v="38"/>
    <x v="38"/>
    <s v="REVENUS"/>
    <x v="12"/>
    <s v="4004.007"/>
    <s v="Acompte spécial étrangers"/>
    <n v="0"/>
    <n v="37654"/>
    <n v="4004"/>
  </r>
  <r>
    <x v="0"/>
    <x v="5"/>
    <x v="1"/>
    <x v="45"/>
    <x v="38"/>
    <x v="38"/>
    <s v="REVENUS"/>
    <x v="3"/>
    <s v="4002.007"/>
    <s v="Acompte impôt sur fortune"/>
    <n v="0"/>
    <n v="-1241.5"/>
    <n v="4002"/>
  </r>
  <r>
    <x v="0"/>
    <x v="5"/>
    <x v="1"/>
    <x v="45"/>
    <x v="38"/>
    <x v="38"/>
    <s v="REVENUS"/>
    <x v="3"/>
    <s v="4002.007"/>
    <s v="Acompte impôt sur fortune"/>
    <n v="0"/>
    <n v="-182.95"/>
    <n v="4002"/>
  </r>
  <r>
    <x v="0"/>
    <x v="5"/>
    <x v="1"/>
    <x v="45"/>
    <x v="38"/>
    <x v="38"/>
    <s v="REVENUS"/>
    <x v="5"/>
    <s v="4061.000"/>
    <s v="Impôt sur les chiens"/>
    <n v="0"/>
    <n v="1725"/>
    <n v="4061"/>
  </r>
  <r>
    <x v="0"/>
    <x v="5"/>
    <x v="1"/>
    <x v="45"/>
    <x v="38"/>
    <x v="38"/>
    <s v="REVENUS"/>
    <x v="2"/>
    <s v="4001.007"/>
    <s v="Acompte impôt sur revenu"/>
    <n v="0"/>
    <n v="-1793.6"/>
    <n v="4001"/>
  </r>
  <r>
    <x v="0"/>
    <x v="5"/>
    <x v="1"/>
    <x v="45"/>
    <x v="38"/>
    <x v="38"/>
    <s v="REVENUS"/>
    <x v="6"/>
    <s v="4221.003"/>
    <s v="Intérêts compensat. / acomptes en faveur du fisc"/>
    <n v="0"/>
    <n v="-1.62"/>
    <n v="4221"/>
  </r>
  <r>
    <x v="0"/>
    <x v="5"/>
    <x v="1"/>
    <x v="45"/>
    <x v="38"/>
    <x v="38"/>
    <s v="REVENUS"/>
    <x v="2"/>
    <s v="4001.001"/>
    <s v="Impôt revenu"/>
    <n v="0"/>
    <n v="-10393.15"/>
    <n v="4001"/>
  </r>
  <r>
    <x v="0"/>
    <x v="5"/>
    <x v="1"/>
    <x v="45"/>
    <x v="38"/>
    <x v="38"/>
    <s v="REVENUS"/>
    <x v="6"/>
    <s v="4211.002"/>
    <s v="Intérêts de retard sur acomptes"/>
    <n v="0"/>
    <n v="-2.02"/>
    <n v="4211"/>
  </r>
  <r>
    <x v="0"/>
    <x v="5"/>
    <x v="1"/>
    <x v="45"/>
    <x v="38"/>
    <x v="38"/>
    <s v="REVENUS"/>
    <x v="7"/>
    <s v="4184.000"/>
    <s v="Frais de poursuite"/>
    <n v="0"/>
    <n v="196.23"/>
    <n v="4184"/>
  </r>
  <r>
    <x v="0"/>
    <x v="5"/>
    <x v="1"/>
    <x v="45"/>
    <x v="38"/>
    <x v="38"/>
    <s v="REVENUS"/>
    <x v="6"/>
    <s v="4221.003"/>
    <s v="Intérêts compensat. / acomptes en faveur du fisc"/>
    <n v="0"/>
    <n v="3.56"/>
    <n v="4221"/>
  </r>
  <r>
    <x v="0"/>
    <x v="5"/>
    <x v="1"/>
    <x v="45"/>
    <x v="38"/>
    <x v="38"/>
    <s v="REVENUS"/>
    <x v="2"/>
    <s v="4001.001"/>
    <s v="Impôt revenu"/>
    <n v="0"/>
    <n v="2278"/>
    <n v="4001"/>
  </r>
  <r>
    <x v="0"/>
    <x v="5"/>
    <x v="1"/>
    <x v="45"/>
    <x v="38"/>
    <x v="38"/>
    <s v="REVENUS"/>
    <x v="3"/>
    <s v="4002.001"/>
    <s v="Impôt ordinaire s/fortune PP"/>
    <n v="0"/>
    <n v="1660.7"/>
    <n v="4002"/>
  </r>
  <r>
    <x v="0"/>
    <x v="5"/>
    <x v="1"/>
    <x v="45"/>
    <x v="38"/>
    <x v="38"/>
    <s v="REVENUS"/>
    <x v="6"/>
    <s v="4221.003"/>
    <s v="Intérêts compensat. / acomptes en faveur du fisc"/>
    <n v="0"/>
    <n v="0.38"/>
    <n v="4221"/>
  </r>
  <r>
    <x v="0"/>
    <x v="5"/>
    <x v="1"/>
    <x v="45"/>
    <x v="38"/>
    <x v="38"/>
    <s v="REVENUS"/>
    <x v="9"/>
    <s v="4031.001"/>
    <s v="Impôt sur les gains immobiliers"/>
    <n v="0"/>
    <n v="74635.199999999997"/>
    <n v="4031"/>
  </r>
  <r>
    <x v="0"/>
    <x v="5"/>
    <x v="1"/>
    <x v="45"/>
    <x v="38"/>
    <x v="38"/>
    <s v="REVENUS"/>
    <x v="6"/>
    <s v="4221.002"/>
    <s v="Intérêts compensat. sur impôts distincts"/>
    <n v="0"/>
    <n v="32.89"/>
    <n v="4221"/>
  </r>
  <r>
    <x v="0"/>
    <x v="5"/>
    <x v="1"/>
    <x v="45"/>
    <x v="38"/>
    <x v="38"/>
    <s v="REVENUS"/>
    <x v="2"/>
    <s v="4001.003"/>
    <s v="Impôt s/prest. cap. PP"/>
    <n v="0"/>
    <n v="-1137.75"/>
    <n v="4001"/>
  </r>
  <r>
    <x v="0"/>
    <x v="5"/>
    <x v="1"/>
    <x v="45"/>
    <x v="38"/>
    <x v="38"/>
    <s v="REVENUS"/>
    <x v="2"/>
    <s v="4001.007"/>
    <s v="Acompte impôt sur revenu"/>
    <n v="0"/>
    <n v="-182.55"/>
    <n v="4001"/>
  </r>
  <r>
    <x v="0"/>
    <x v="5"/>
    <x v="1"/>
    <x v="45"/>
    <x v="38"/>
    <x v="38"/>
    <s v="REVENUS"/>
    <x v="3"/>
    <s v="4002.001"/>
    <s v="Impôt ordinaire s/fortune PP"/>
    <n v="0"/>
    <n v="-47.95"/>
    <n v="4002"/>
  </r>
  <r>
    <x v="0"/>
    <x v="5"/>
    <x v="1"/>
    <x v="45"/>
    <x v="38"/>
    <x v="38"/>
    <s v="REVENUS"/>
    <x v="6"/>
    <s v="4211.001"/>
    <s v="Intérêts de retard sur factures"/>
    <n v="0"/>
    <n v="14"/>
    <n v="4211"/>
  </r>
  <r>
    <x v="0"/>
    <x v="5"/>
    <x v="1"/>
    <x v="45"/>
    <x v="38"/>
    <x v="38"/>
    <s v="REVENUS"/>
    <x v="6"/>
    <s v="4211.002"/>
    <s v="Intérêts de retard sur acomptes"/>
    <n v="0"/>
    <n v="18.57"/>
    <n v="4211"/>
  </r>
  <r>
    <x v="0"/>
    <x v="5"/>
    <x v="1"/>
    <x v="45"/>
    <x v="38"/>
    <x v="38"/>
    <s v="REVENUS"/>
    <x v="3"/>
    <s v="4002.001"/>
    <s v="Impôt ordinaire s/fortune PP"/>
    <n v="0"/>
    <n v="50.6"/>
    <n v="4002"/>
  </r>
  <r>
    <x v="0"/>
    <x v="5"/>
    <x v="1"/>
    <x v="45"/>
    <x v="38"/>
    <x v="38"/>
    <s v="REVENUS"/>
    <x v="2"/>
    <s v="4001.001"/>
    <s v="Impôt revenu"/>
    <n v="0"/>
    <n v="443.65"/>
    <n v="4001"/>
  </r>
  <r>
    <x v="0"/>
    <x v="5"/>
    <x v="1"/>
    <x v="45"/>
    <x v="38"/>
    <x v="38"/>
    <s v="REVENUS"/>
    <x v="3"/>
    <s v="4002.001"/>
    <s v="Impôt ordinaire s/fortune PP"/>
    <n v="0"/>
    <n v="1425.05"/>
    <n v="4002"/>
  </r>
  <r>
    <x v="0"/>
    <x v="5"/>
    <x v="1"/>
    <x v="45"/>
    <x v="38"/>
    <x v="38"/>
    <s v="REVENUS"/>
    <x v="4"/>
    <s v="4051.001"/>
    <s v="Impôt sur les successions"/>
    <n v="0"/>
    <n v="1548.3"/>
    <n v="4051"/>
  </r>
  <r>
    <x v="0"/>
    <x v="5"/>
    <x v="1"/>
    <x v="45"/>
    <x v="38"/>
    <x v="38"/>
    <s v="REVENUS"/>
    <x v="2"/>
    <s v="4001.002"/>
    <s v="Impôt complément s/revenu PP"/>
    <n v="0"/>
    <n v="3698.35"/>
    <n v="4001"/>
  </r>
  <r>
    <x v="0"/>
    <x v="5"/>
    <x v="1"/>
    <x v="45"/>
    <x v="38"/>
    <x v="38"/>
    <s v="REVENUS"/>
    <x v="6"/>
    <s v="4211.001"/>
    <s v="Intérêts de retard sur factures"/>
    <n v="0"/>
    <n v="1.1200000000000001"/>
    <n v="4211"/>
  </r>
  <r>
    <x v="0"/>
    <x v="5"/>
    <x v="1"/>
    <x v="45"/>
    <x v="38"/>
    <x v="38"/>
    <s v="REVENUS"/>
    <x v="2"/>
    <s v="4001.001"/>
    <s v="Impôt revenu"/>
    <n v="0"/>
    <n v="-16361.75"/>
    <n v="4001"/>
  </r>
  <r>
    <x v="0"/>
    <x v="5"/>
    <x v="1"/>
    <x v="45"/>
    <x v="38"/>
    <x v="38"/>
    <s v="REVENUS"/>
    <x v="6"/>
    <s v="4211.001"/>
    <s v="Intérêts de retard sur factures"/>
    <n v="0"/>
    <n v="-0.04"/>
    <n v="4211"/>
  </r>
  <r>
    <x v="0"/>
    <x v="5"/>
    <x v="1"/>
    <x v="45"/>
    <x v="38"/>
    <x v="38"/>
    <s v="REVENUS"/>
    <x v="6"/>
    <s v="4211.002"/>
    <s v="Intérêts de retard sur acomptes"/>
    <n v="0"/>
    <n v="2.48"/>
    <n v="4211"/>
  </r>
  <r>
    <x v="0"/>
    <x v="5"/>
    <x v="1"/>
    <x v="45"/>
    <x v="38"/>
    <x v="38"/>
    <s v="REVENUS"/>
    <x v="6"/>
    <s v="4221.003"/>
    <s v="Intérêts compensat. / acomptes en faveur du fisc"/>
    <n v="0"/>
    <n v="0.13"/>
    <n v="4221"/>
  </r>
  <r>
    <x v="0"/>
    <x v="5"/>
    <x v="1"/>
    <x v="46"/>
    <x v="39"/>
    <x v="39"/>
    <s v="CHARGES"/>
    <x v="1"/>
    <s v="3301.001"/>
    <s v="Défalcations, abandons de solde PP et IS"/>
    <n v="10156.42"/>
    <n v="0"/>
    <n v="3301"/>
  </r>
  <r>
    <x v="0"/>
    <x v="5"/>
    <x v="1"/>
    <x v="46"/>
    <x v="39"/>
    <x v="39"/>
    <s v="CHARGES"/>
    <x v="0"/>
    <s v="3221.002"/>
    <s v="Intérêts compensatoires / créances en faveur ctb."/>
    <n v="-19.03"/>
    <n v="0"/>
    <n v="3221"/>
  </r>
  <r>
    <x v="0"/>
    <x v="5"/>
    <x v="1"/>
    <x v="46"/>
    <x v="39"/>
    <x v="39"/>
    <s v="CHARGES"/>
    <x v="0"/>
    <s v="3212.004"/>
    <s v="Intérêts rémun./perçu trop tôt sur acomptes C/C"/>
    <n v="21.21"/>
    <n v="0"/>
    <n v="3212"/>
  </r>
  <r>
    <x v="0"/>
    <x v="5"/>
    <x v="1"/>
    <x v="46"/>
    <x v="39"/>
    <x v="39"/>
    <s v="CHARGES"/>
    <x v="0"/>
    <s v="3212.002"/>
    <s v="Intérêts bonifiés/trop perçu acompte C/C"/>
    <n v="3.11"/>
    <n v="0"/>
    <n v="3212"/>
  </r>
  <r>
    <x v="0"/>
    <x v="5"/>
    <x v="1"/>
    <x v="46"/>
    <x v="39"/>
    <x v="39"/>
    <s v="CHARGES"/>
    <x v="0"/>
    <s v="3212.004"/>
    <s v="Intérêts rémun./perçu trop tôt sur acomptes C/C"/>
    <n v="0.03"/>
    <n v="0"/>
    <n v="3212"/>
  </r>
  <r>
    <x v="0"/>
    <x v="5"/>
    <x v="1"/>
    <x v="46"/>
    <x v="39"/>
    <x v="39"/>
    <s v="CHARGES"/>
    <x v="0"/>
    <s v="3221.002"/>
    <s v="Intérêts compensatoires / créances en faveur ctb."/>
    <n v="0.12"/>
    <n v="0"/>
    <n v="3221"/>
  </r>
  <r>
    <x v="0"/>
    <x v="5"/>
    <x v="1"/>
    <x v="46"/>
    <x v="39"/>
    <x v="39"/>
    <s v="REVENUS"/>
    <x v="6"/>
    <s v="4211.001"/>
    <s v="Intérêts de retard sur factures"/>
    <n v="0"/>
    <n v="1429.26"/>
    <n v="4211"/>
  </r>
  <r>
    <x v="0"/>
    <x v="5"/>
    <x v="1"/>
    <x v="46"/>
    <x v="39"/>
    <x v="39"/>
    <s v="REVENUS"/>
    <x v="2"/>
    <s v="4001.007"/>
    <s v="Acompte impôt sur revenu"/>
    <n v="0"/>
    <n v="-55142.58"/>
    <n v="4001"/>
  </r>
  <r>
    <x v="0"/>
    <x v="5"/>
    <x v="1"/>
    <x v="46"/>
    <x v="39"/>
    <x v="39"/>
    <s v="REVENUS"/>
    <x v="3"/>
    <s v="4002.007"/>
    <s v="Acompte impôt sur fortune"/>
    <n v="0"/>
    <n v="-4495.82"/>
    <n v="4002"/>
  </r>
  <r>
    <x v="0"/>
    <x v="5"/>
    <x v="1"/>
    <x v="46"/>
    <x v="39"/>
    <x v="39"/>
    <s v="REVENUS"/>
    <x v="2"/>
    <s v="4001.001"/>
    <s v="Impôt revenu"/>
    <n v="0"/>
    <n v="237087.1"/>
    <n v="4001"/>
  </r>
  <r>
    <x v="0"/>
    <x v="5"/>
    <x v="1"/>
    <x v="46"/>
    <x v="39"/>
    <x v="39"/>
    <s v="REVENUS"/>
    <x v="3"/>
    <s v="4002.001"/>
    <s v="Impôt ordinaire s/fortune PP"/>
    <n v="0"/>
    <n v="42347.8"/>
    <n v="4002"/>
  </r>
  <r>
    <x v="0"/>
    <x v="5"/>
    <x v="1"/>
    <x v="46"/>
    <x v="39"/>
    <x v="39"/>
    <s v="REVENUS"/>
    <x v="6"/>
    <s v="4211.002"/>
    <s v="Intérêts de retard sur acomptes"/>
    <n v="0"/>
    <n v="2263.1"/>
    <n v="4211"/>
  </r>
  <r>
    <x v="0"/>
    <x v="5"/>
    <x v="1"/>
    <x v="46"/>
    <x v="39"/>
    <x v="39"/>
    <s v="REVENUS"/>
    <x v="6"/>
    <s v="4221.003"/>
    <s v="Intérêts compensat. / acomptes en faveur du fisc"/>
    <n v="0"/>
    <n v="30.49"/>
    <n v="4221"/>
  </r>
  <r>
    <x v="0"/>
    <x v="5"/>
    <x v="1"/>
    <x v="46"/>
    <x v="39"/>
    <x v="39"/>
    <s v="REVENUS"/>
    <x v="2"/>
    <s v="4001.007"/>
    <s v="Acompte impôt sur revenu"/>
    <n v="0"/>
    <n v="23490.15"/>
    <n v="4001"/>
  </r>
  <r>
    <x v="0"/>
    <x v="5"/>
    <x v="1"/>
    <x v="46"/>
    <x v="39"/>
    <x v="39"/>
    <s v="REVENUS"/>
    <x v="2"/>
    <s v="4001.003"/>
    <s v="Impôt s/prest. cap. PP"/>
    <n v="0"/>
    <n v="8489.5"/>
    <n v="4001"/>
  </r>
  <r>
    <x v="0"/>
    <x v="5"/>
    <x v="1"/>
    <x v="46"/>
    <x v="39"/>
    <x v="39"/>
    <s v="REVENUS"/>
    <x v="3"/>
    <s v="4002.007"/>
    <s v="Acompte impôt sur fortune"/>
    <n v="0"/>
    <n v="18523.3"/>
    <n v="4002"/>
  </r>
  <r>
    <x v="0"/>
    <x v="5"/>
    <x v="1"/>
    <x v="46"/>
    <x v="39"/>
    <x v="39"/>
    <s v="REVENUS"/>
    <x v="3"/>
    <s v="4002.007"/>
    <s v="Acompte impôt sur fortune"/>
    <n v="0"/>
    <n v="1.75"/>
    <n v="4002"/>
  </r>
  <r>
    <x v="0"/>
    <x v="5"/>
    <x v="1"/>
    <x v="46"/>
    <x v="39"/>
    <x v="39"/>
    <s v="REVENUS"/>
    <x v="2"/>
    <s v="4001.007"/>
    <s v="Acompte impôt sur revenu"/>
    <n v="0"/>
    <n v="80.55"/>
    <n v="4001"/>
  </r>
  <r>
    <x v="0"/>
    <x v="5"/>
    <x v="1"/>
    <x v="46"/>
    <x v="39"/>
    <x v="39"/>
    <s v="REVENUS"/>
    <x v="7"/>
    <s v="4184.000"/>
    <s v="Frais de poursuite"/>
    <n v="0"/>
    <n v="221.18"/>
    <n v="4184"/>
  </r>
  <r>
    <x v="0"/>
    <x v="5"/>
    <x v="1"/>
    <x v="46"/>
    <x v="39"/>
    <x v="39"/>
    <s v="REVENUS"/>
    <x v="2"/>
    <s v="4001.001"/>
    <s v="Impôt revenu"/>
    <n v="0"/>
    <n v="-50842.75"/>
    <n v="4001"/>
  </r>
  <r>
    <x v="0"/>
    <x v="5"/>
    <x v="1"/>
    <x v="46"/>
    <x v="39"/>
    <x v="39"/>
    <s v="REVENUS"/>
    <x v="3"/>
    <s v="4002.001"/>
    <s v="Impôt ordinaire s/fortune PP"/>
    <n v="0"/>
    <n v="-211.15"/>
    <n v="4002"/>
  </r>
  <r>
    <x v="0"/>
    <x v="5"/>
    <x v="1"/>
    <x v="46"/>
    <x v="39"/>
    <x v="39"/>
    <s v="REVENUS"/>
    <x v="2"/>
    <s v="4001.002"/>
    <s v="Impôt complément s/revenu PP"/>
    <n v="0"/>
    <n v="59098.75"/>
    <n v="4001"/>
  </r>
  <r>
    <x v="0"/>
    <x v="5"/>
    <x v="1"/>
    <x v="46"/>
    <x v="39"/>
    <x v="39"/>
    <s v="REVENUS"/>
    <x v="3"/>
    <s v="4002.002"/>
    <s v="Impôt complémentaire s/fortune PP"/>
    <n v="0"/>
    <n v="1616.1"/>
    <n v="4002"/>
  </r>
  <r>
    <x v="0"/>
    <x v="5"/>
    <x v="1"/>
    <x v="46"/>
    <x v="39"/>
    <x v="39"/>
    <s v="REVENUS"/>
    <x v="5"/>
    <s v="4061.000"/>
    <s v="Impôt sur les chiens"/>
    <n v="0"/>
    <n v="450"/>
    <n v="4061"/>
  </r>
  <r>
    <x v="0"/>
    <x v="5"/>
    <x v="1"/>
    <x v="46"/>
    <x v="39"/>
    <x v="39"/>
    <s v="REVENUS"/>
    <x v="10"/>
    <s v="4041.001"/>
    <s v="Droits de mutation"/>
    <n v="0"/>
    <n v="22431.05"/>
    <n v="4041"/>
  </r>
  <r>
    <x v="0"/>
    <x v="5"/>
    <x v="1"/>
    <x v="46"/>
    <x v="39"/>
    <x v="39"/>
    <s v="REVENUS"/>
    <x v="2"/>
    <s v="4001.001"/>
    <s v="Impôt revenu"/>
    <n v="0"/>
    <n v="195.75"/>
    <n v="4001"/>
  </r>
  <r>
    <x v="0"/>
    <x v="5"/>
    <x v="1"/>
    <x v="46"/>
    <x v="39"/>
    <x v="39"/>
    <s v="REVENUS"/>
    <x v="3"/>
    <s v="4002.001"/>
    <s v="Impôt ordinaire s/fortune PP"/>
    <n v="0"/>
    <n v="193.6"/>
    <n v="4002"/>
  </r>
  <r>
    <x v="0"/>
    <x v="5"/>
    <x v="1"/>
    <x v="46"/>
    <x v="39"/>
    <x v="39"/>
    <s v="REVENUS"/>
    <x v="2"/>
    <s v="4001.007"/>
    <s v="Acompte impôt sur revenu"/>
    <n v="0"/>
    <n v="-2595.8000000000002"/>
    <n v="4001"/>
  </r>
  <r>
    <x v="0"/>
    <x v="5"/>
    <x v="1"/>
    <x v="46"/>
    <x v="39"/>
    <x v="39"/>
    <s v="REVENUS"/>
    <x v="2"/>
    <s v="4001.002"/>
    <s v="Impôt complément s/revenu PP"/>
    <n v="0"/>
    <n v="163.15"/>
    <n v="4001"/>
  </r>
  <r>
    <x v="0"/>
    <x v="5"/>
    <x v="1"/>
    <x v="46"/>
    <x v="39"/>
    <x v="39"/>
    <s v="REVENUS"/>
    <x v="3"/>
    <s v="4002.002"/>
    <s v="Impôt complémentaire s/fortune PP"/>
    <n v="0"/>
    <n v="34.299999999999997"/>
    <n v="4002"/>
  </r>
  <r>
    <x v="0"/>
    <x v="5"/>
    <x v="1"/>
    <x v="46"/>
    <x v="39"/>
    <x v="39"/>
    <s v="REVENUS"/>
    <x v="9"/>
    <s v="4031.001"/>
    <s v="Impôt sur les gains immobiliers"/>
    <n v="0"/>
    <n v="1096.75"/>
    <n v="4031"/>
  </r>
  <r>
    <x v="0"/>
    <x v="5"/>
    <x v="1"/>
    <x v="46"/>
    <x v="39"/>
    <x v="39"/>
    <s v="REVENUS"/>
    <x v="2"/>
    <s v="4001.001"/>
    <s v="Impôt revenu"/>
    <n v="0"/>
    <n v="3370.15"/>
    <n v="4001"/>
  </r>
  <r>
    <x v="0"/>
    <x v="5"/>
    <x v="1"/>
    <x v="46"/>
    <x v="39"/>
    <x v="39"/>
    <s v="REVENUS"/>
    <x v="6"/>
    <s v="4211.002"/>
    <s v="Intérêts de retard sur acomptes"/>
    <n v="0"/>
    <n v="26.48"/>
    <n v="4211"/>
  </r>
  <r>
    <x v="0"/>
    <x v="5"/>
    <x v="1"/>
    <x v="46"/>
    <x v="39"/>
    <x v="39"/>
    <s v="REVENUS"/>
    <x v="11"/>
    <s v="4198.000"/>
    <s v="Contributions communales"/>
    <n v="0"/>
    <n v="22782.1"/>
    <n v="4198"/>
  </r>
  <r>
    <x v="0"/>
    <x v="5"/>
    <x v="1"/>
    <x v="47"/>
    <x v="40"/>
    <x v="40"/>
    <s v="CHARGES"/>
    <x v="0"/>
    <s v="3212.004"/>
    <s v="Intérêts rémun./perçu trop tôt sur acomptes C/C"/>
    <n v="184"/>
    <n v="0"/>
    <n v="3212"/>
  </r>
  <r>
    <x v="0"/>
    <x v="5"/>
    <x v="1"/>
    <x v="47"/>
    <x v="40"/>
    <x v="40"/>
    <s v="CHARGES"/>
    <x v="0"/>
    <s v="3221.002"/>
    <s v="Intérêts compensatoires / créances en faveur ctb."/>
    <n v="40.24"/>
    <n v="0"/>
    <n v="3221"/>
  </r>
  <r>
    <x v="0"/>
    <x v="5"/>
    <x v="1"/>
    <x v="47"/>
    <x v="40"/>
    <x v="40"/>
    <s v="CHARGES"/>
    <x v="1"/>
    <s v="3301.001"/>
    <s v="Défalcations, abandons de solde PP et IS"/>
    <n v="17743.36"/>
    <n v="0"/>
    <n v="3301"/>
  </r>
  <r>
    <x v="0"/>
    <x v="5"/>
    <x v="1"/>
    <x v="47"/>
    <x v="40"/>
    <x v="40"/>
    <s v="CHARGES"/>
    <x v="0"/>
    <s v="3212.004"/>
    <s v="Intérêts rémun./perçu trop tôt sur acomptes C/C"/>
    <n v="0.03"/>
    <n v="0"/>
    <n v="3212"/>
  </r>
  <r>
    <x v="0"/>
    <x v="5"/>
    <x v="1"/>
    <x v="47"/>
    <x v="40"/>
    <x v="40"/>
    <s v="CHARGES"/>
    <x v="0"/>
    <s v="3221.002"/>
    <s v="Intérêts compensatoires / créances en faveur ctb."/>
    <n v="0.03"/>
    <n v="0"/>
    <n v="3221"/>
  </r>
  <r>
    <x v="0"/>
    <x v="5"/>
    <x v="1"/>
    <x v="47"/>
    <x v="40"/>
    <x v="40"/>
    <s v="CHARGES"/>
    <x v="0"/>
    <s v="3212.002"/>
    <s v="Intérêts bonifiés/trop perçu acompte C/C"/>
    <n v="1.87"/>
    <n v="0"/>
    <n v="3212"/>
  </r>
  <r>
    <x v="0"/>
    <x v="5"/>
    <x v="1"/>
    <x v="47"/>
    <x v="40"/>
    <x v="40"/>
    <s v="CHARGES"/>
    <x v="1"/>
    <s v="3301.001"/>
    <s v="Défalcations, abandons de solde PP et IS"/>
    <n v="0.01"/>
    <n v="0"/>
    <n v="3301"/>
  </r>
  <r>
    <x v="0"/>
    <x v="5"/>
    <x v="1"/>
    <x v="47"/>
    <x v="40"/>
    <x v="40"/>
    <s v="CHARGES"/>
    <x v="0"/>
    <s v="3212.004"/>
    <s v="Intérêts rémun./perçu trop tôt sur acomptes C/C"/>
    <n v="0.01"/>
    <n v="0"/>
    <n v="3212"/>
  </r>
  <r>
    <x v="0"/>
    <x v="5"/>
    <x v="1"/>
    <x v="47"/>
    <x v="40"/>
    <x v="40"/>
    <s v="CHARGES"/>
    <x v="1"/>
    <s v="3301.001"/>
    <s v="Défalcations, abandons de solde PP et IS"/>
    <n v="0.03"/>
    <n v="0"/>
    <n v="3301"/>
  </r>
  <r>
    <x v="0"/>
    <x v="5"/>
    <x v="1"/>
    <x v="47"/>
    <x v="40"/>
    <x v="40"/>
    <s v="REVENUS"/>
    <x v="3"/>
    <s v="4002.007"/>
    <s v="Acompte impôt sur fortune"/>
    <n v="0"/>
    <n v="-323.7"/>
    <n v="4002"/>
  </r>
  <r>
    <x v="0"/>
    <x v="5"/>
    <x v="1"/>
    <x v="47"/>
    <x v="40"/>
    <x v="40"/>
    <s v="REVENUS"/>
    <x v="2"/>
    <s v="4001.007"/>
    <s v="Acompte impôt sur revenu"/>
    <n v="0"/>
    <n v="194942.2"/>
    <n v="4001"/>
  </r>
  <r>
    <x v="0"/>
    <x v="5"/>
    <x v="1"/>
    <x v="47"/>
    <x v="40"/>
    <x v="40"/>
    <s v="REVENUS"/>
    <x v="3"/>
    <s v="4002.001"/>
    <s v="Impôt ordinaire s/fortune PP"/>
    <n v="0"/>
    <n v="100017.5"/>
    <n v="4002"/>
  </r>
  <r>
    <x v="0"/>
    <x v="5"/>
    <x v="1"/>
    <x v="47"/>
    <x v="40"/>
    <x v="40"/>
    <s v="REVENUS"/>
    <x v="3"/>
    <s v="4002.007"/>
    <s v="Acompte impôt sur fortune"/>
    <n v="0"/>
    <n v="8581.77"/>
    <n v="4002"/>
  </r>
  <r>
    <x v="0"/>
    <x v="5"/>
    <x v="1"/>
    <x v="47"/>
    <x v="40"/>
    <x v="40"/>
    <s v="REVENUS"/>
    <x v="6"/>
    <s v="4211.001"/>
    <s v="Intérêts de retard sur factures"/>
    <n v="0"/>
    <n v="2461.2199999999998"/>
    <n v="4211"/>
  </r>
  <r>
    <x v="0"/>
    <x v="5"/>
    <x v="1"/>
    <x v="47"/>
    <x v="40"/>
    <x v="40"/>
    <s v="REVENUS"/>
    <x v="3"/>
    <s v="4002.007"/>
    <s v="Acompte impôt sur fortune"/>
    <n v="0"/>
    <n v="316.25"/>
    <n v="4002"/>
  </r>
  <r>
    <x v="0"/>
    <x v="5"/>
    <x v="1"/>
    <x v="47"/>
    <x v="40"/>
    <x v="40"/>
    <s v="REVENUS"/>
    <x v="2"/>
    <s v="4001.007"/>
    <s v="Acompte impôt sur revenu"/>
    <n v="0"/>
    <n v="-127273.1"/>
    <n v="4001"/>
  </r>
  <r>
    <x v="0"/>
    <x v="5"/>
    <x v="1"/>
    <x v="47"/>
    <x v="40"/>
    <x v="40"/>
    <s v="REVENUS"/>
    <x v="3"/>
    <s v="4002.007"/>
    <s v="Acompte impôt sur fortune"/>
    <n v="0"/>
    <n v="-88954.31"/>
    <n v="4002"/>
  </r>
  <r>
    <x v="0"/>
    <x v="5"/>
    <x v="1"/>
    <x v="47"/>
    <x v="40"/>
    <x v="40"/>
    <s v="REVENUS"/>
    <x v="2"/>
    <s v="4001.001"/>
    <s v="Impôt revenu"/>
    <n v="0"/>
    <n v="546079.69999999995"/>
    <n v="4001"/>
  </r>
  <r>
    <x v="0"/>
    <x v="5"/>
    <x v="1"/>
    <x v="47"/>
    <x v="40"/>
    <x v="40"/>
    <s v="REVENUS"/>
    <x v="6"/>
    <s v="4221.003"/>
    <s v="Intérêts compensat. / acomptes en faveur du fisc"/>
    <n v="0"/>
    <n v="35.61"/>
    <n v="4221"/>
  </r>
  <r>
    <x v="0"/>
    <x v="5"/>
    <x v="1"/>
    <x v="47"/>
    <x v="40"/>
    <x v="40"/>
    <s v="REVENUS"/>
    <x v="2"/>
    <s v="4001.007"/>
    <s v="Acompte impôt sur revenu"/>
    <n v="0"/>
    <n v="65.349999999999994"/>
    <n v="4001"/>
  </r>
  <r>
    <x v="0"/>
    <x v="5"/>
    <x v="1"/>
    <x v="47"/>
    <x v="40"/>
    <x v="40"/>
    <s v="REVENUS"/>
    <x v="3"/>
    <s v="4002.001"/>
    <s v="Impôt ordinaire s/fortune PP"/>
    <n v="0"/>
    <n v="235.6"/>
    <n v="4002"/>
  </r>
  <r>
    <x v="0"/>
    <x v="5"/>
    <x v="1"/>
    <x v="47"/>
    <x v="40"/>
    <x v="40"/>
    <s v="REVENUS"/>
    <x v="3"/>
    <s v="4002.007"/>
    <s v="Acompte impôt sur fortune"/>
    <n v="0"/>
    <n v="-258.8"/>
    <n v="4002"/>
  </r>
  <r>
    <x v="0"/>
    <x v="5"/>
    <x v="1"/>
    <x v="47"/>
    <x v="40"/>
    <x v="40"/>
    <s v="REVENUS"/>
    <x v="2"/>
    <s v="4001.003"/>
    <s v="Impôt s/prest. cap. PP"/>
    <n v="0"/>
    <n v="7486.7"/>
    <n v="4001"/>
  </r>
  <r>
    <x v="0"/>
    <x v="5"/>
    <x v="1"/>
    <x v="47"/>
    <x v="40"/>
    <x v="40"/>
    <s v="REVENUS"/>
    <x v="6"/>
    <s v="4211.002"/>
    <s v="Intérêts de retard sur acomptes"/>
    <n v="0"/>
    <n v="3347.49"/>
    <n v="4211"/>
  </r>
  <r>
    <x v="0"/>
    <x v="5"/>
    <x v="1"/>
    <x v="47"/>
    <x v="40"/>
    <x v="40"/>
    <s v="REVENUS"/>
    <x v="6"/>
    <s v="4221.002"/>
    <s v="Intérêts compensat. sur impôts distincts"/>
    <n v="0"/>
    <n v="0.06"/>
    <n v="4221"/>
  </r>
  <r>
    <x v="0"/>
    <x v="5"/>
    <x v="1"/>
    <x v="47"/>
    <x v="40"/>
    <x v="40"/>
    <s v="REVENUS"/>
    <x v="7"/>
    <s v="4184.000"/>
    <s v="Frais de poursuite"/>
    <n v="0"/>
    <n v="548.30999999999995"/>
    <n v="4184"/>
  </r>
  <r>
    <x v="0"/>
    <x v="5"/>
    <x v="1"/>
    <x v="47"/>
    <x v="40"/>
    <x v="40"/>
    <s v="REVENUS"/>
    <x v="2"/>
    <s v="4001.002"/>
    <s v="Impôt complément s/revenu PP"/>
    <n v="0"/>
    <n v="123292.55"/>
    <n v="4001"/>
  </r>
  <r>
    <x v="0"/>
    <x v="5"/>
    <x v="1"/>
    <x v="47"/>
    <x v="40"/>
    <x v="40"/>
    <s v="REVENUS"/>
    <x v="2"/>
    <s v="4001.001"/>
    <s v="Impôt revenu"/>
    <n v="0"/>
    <n v="-18606.150000000001"/>
    <n v="4001"/>
  </r>
  <r>
    <x v="0"/>
    <x v="5"/>
    <x v="1"/>
    <x v="47"/>
    <x v="40"/>
    <x v="40"/>
    <s v="REVENUS"/>
    <x v="6"/>
    <s v="4211.001"/>
    <s v="Intérêts de retard sur factures"/>
    <n v="0"/>
    <n v="1.96"/>
    <n v="4211"/>
  </r>
  <r>
    <x v="0"/>
    <x v="5"/>
    <x v="1"/>
    <x v="47"/>
    <x v="40"/>
    <x v="40"/>
    <s v="REVENUS"/>
    <x v="6"/>
    <s v="4211.001"/>
    <s v="Intérêts de retard sur factures"/>
    <n v="0"/>
    <n v="1.1000000000000001"/>
    <n v="4211"/>
  </r>
  <r>
    <x v="0"/>
    <x v="5"/>
    <x v="1"/>
    <x v="47"/>
    <x v="40"/>
    <x v="40"/>
    <s v="REVENUS"/>
    <x v="3"/>
    <s v="4002.002"/>
    <s v="Impôt complémentaire s/fortune PP"/>
    <n v="0"/>
    <n v="65779.55"/>
    <n v="4002"/>
  </r>
  <r>
    <x v="0"/>
    <x v="5"/>
    <x v="1"/>
    <x v="47"/>
    <x v="40"/>
    <x v="40"/>
    <s v="REVENUS"/>
    <x v="3"/>
    <s v="4002.001"/>
    <s v="Impôt ordinaire s/fortune PP"/>
    <n v="0"/>
    <n v="-1020.6"/>
    <n v="4002"/>
  </r>
  <r>
    <x v="0"/>
    <x v="5"/>
    <x v="1"/>
    <x v="47"/>
    <x v="40"/>
    <x v="40"/>
    <s v="REVENUS"/>
    <x v="4"/>
    <s v="4051.002"/>
    <s v="Impôt sur les donations"/>
    <n v="0"/>
    <n v="5367.6"/>
    <n v="4051"/>
  </r>
  <r>
    <x v="0"/>
    <x v="5"/>
    <x v="1"/>
    <x v="47"/>
    <x v="40"/>
    <x v="40"/>
    <s v="REVENUS"/>
    <x v="3"/>
    <s v="4002.007"/>
    <s v="Acompte impôt sur fortune"/>
    <n v="0"/>
    <n v="-115.2"/>
    <n v="4002"/>
  </r>
  <r>
    <x v="0"/>
    <x v="5"/>
    <x v="1"/>
    <x v="47"/>
    <x v="40"/>
    <x v="40"/>
    <s v="REVENUS"/>
    <x v="11"/>
    <s v="4198.000"/>
    <s v="Contributions communales"/>
    <n v="0"/>
    <n v="59061.45"/>
    <n v="4198"/>
  </r>
  <r>
    <x v="0"/>
    <x v="5"/>
    <x v="1"/>
    <x v="47"/>
    <x v="40"/>
    <x v="40"/>
    <s v="REVENUS"/>
    <x v="2"/>
    <s v="4001.001"/>
    <s v="Impôt revenu"/>
    <n v="0"/>
    <n v="296.8"/>
    <n v="4001"/>
  </r>
  <r>
    <x v="0"/>
    <x v="5"/>
    <x v="1"/>
    <x v="47"/>
    <x v="40"/>
    <x v="40"/>
    <s v="REVENUS"/>
    <x v="6"/>
    <s v="4211.002"/>
    <s v="Intérêts de retard sur acomptes"/>
    <n v="0"/>
    <n v="11.49"/>
    <n v="4211"/>
  </r>
  <r>
    <x v="0"/>
    <x v="5"/>
    <x v="1"/>
    <x v="47"/>
    <x v="40"/>
    <x v="40"/>
    <s v="REVENUS"/>
    <x v="6"/>
    <s v="4221.003"/>
    <s v="Intérêts compensat. / acomptes en faveur du fisc"/>
    <n v="0"/>
    <n v="0.01"/>
    <n v="4221"/>
  </r>
  <r>
    <x v="0"/>
    <x v="5"/>
    <x v="1"/>
    <x v="47"/>
    <x v="40"/>
    <x v="40"/>
    <s v="REVENUS"/>
    <x v="3"/>
    <s v="4002.001"/>
    <s v="Impôt ordinaire s/fortune PP"/>
    <n v="0"/>
    <n v="321.25"/>
    <n v="4002"/>
  </r>
  <r>
    <x v="0"/>
    <x v="5"/>
    <x v="1"/>
    <x v="47"/>
    <x v="40"/>
    <x v="40"/>
    <s v="REVENUS"/>
    <x v="6"/>
    <s v="4221.003"/>
    <s v="Intérêts compensat. / acomptes en faveur du fisc"/>
    <n v="0"/>
    <n v="0.03"/>
    <n v="4221"/>
  </r>
  <r>
    <x v="0"/>
    <x v="5"/>
    <x v="1"/>
    <x v="47"/>
    <x v="40"/>
    <x v="40"/>
    <s v="REVENUS"/>
    <x v="10"/>
    <s v="4041.001"/>
    <s v="Droits de mutation"/>
    <n v="0"/>
    <n v="2310"/>
    <n v="4041"/>
  </r>
  <r>
    <x v="0"/>
    <x v="5"/>
    <x v="1"/>
    <x v="47"/>
    <x v="40"/>
    <x v="40"/>
    <s v="REVENUS"/>
    <x v="5"/>
    <s v="4061.000"/>
    <s v="Impôt sur les chiens"/>
    <n v="0"/>
    <n v="2950"/>
    <n v="4061"/>
  </r>
  <r>
    <x v="0"/>
    <x v="5"/>
    <x v="1"/>
    <x v="47"/>
    <x v="40"/>
    <x v="40"/>
    <s v="REVENUS"/>
    <x v="8"/>
    <s v="4091.004"/>
    <s v="Impôt récupéré parts conjoints"/>
    <n v="0"/>
    <n v="15596.19"/>
    <n v="4091"/>
  </r>
  <r>
    <x v="0"/>
    <x v="5"/>
    <x v="1"/>
    <x v="47"/>
    <x v="40"/>
    <x v="40"/>
    <s v="REVENUS"/>
    <x v="7"/>
    <s v="4184.000"/>
    <s v="Frais de poursuite"/>
    <n v="0"/>
    <n v="0.27"/>
    <n v="4184"/>
  </r>
  <r>
    <x v="0"/>
    <x v="5"/>
    <x v="1"/>
    <x v="47"/>
    <x v="40"/>
    <x v="40"/>
    <s v="REVENUS"/>
    <x v="2"/>
    <s v="4001.002"/>
    <s v="Impôt complément s/revenu PP"/>
    <n v="0"/>
    <n v="-309.25"/>
    <n v="4001"/>
  </r>
  <r>
    <x v="0"/>
    <x v="5"/>
    <x v="1"/>
    <x v="47"/>
    <x v="40"/>
    <x v="40"/>
    <s v="REVENUS"/>
    <x v="3"/>
    <s v="4002.002"/>
    <s v="Impôt complémentaire s/fortune PP"/>
    <n v="0"/>
    <n v="-259.39999999999998"/>
    <n v="4002"/>
  </r>
  <r>
    <x v="0"/>
    <x v="5"/>
    <x v="1"/>
    <x v="47"/>
    <x v="40"/>
    <x v="40"/>
    <s v="REVENUS"/>
    <x v="6"/>
    <s v="4211.001"/>
    <s v="Intérêts de retard sur factures"/>
    <n v="0"/>
    <n v="3.53"/>
    <n v="4211"/>
  </r>
  <r>
    <x v="0"/>
    <x v="5"/>
    <x v="1"/>
    <x v="47"/>
    <x v="40"/>
    <x v="40"/>
    <s v="REVENUS"/>
    <x v="6"/>
    <s v="4211.002"/>
    <s v="Intérêts de retard sur acomptes"/>
    <n v="0"/>
    <n v="3.58"/>
    <n v="4211"/>
  </r>
  <r>
    <x v="0"/>
    <x v="5"/>
    <x v="1"/>
    <x v="47"/>
    <x v="40"/>
    <x v="40"/>
    <s v="REVENUS"/>
    <x v="6"/>
    <s v="4221.003"/>
    <s v="Intérêts compensat. / acomptes en faveur du fisc"/>
    <n v="0"/>
    <n v="0.05"/>
    <n v="4221"/>
  </r>
  <r>
    <x v="0"/>
    <x v="5"/>
    <x v="1"/>
    <x v="47"/>
    <x v="40"/>
    <x v="40"/>
    <s v="REVENUS"/>
    <x v="9"/>
    <s v="4031.001"/>
    <s v="Impôt sur les gains immobiliers"/>
    <n v="0"/>
    <n v="713.5"/>
    <n v="4031"/>
  </r>
  <r>
    <x v="0"/>
    <x v="5"/>
    <x v="1"/>
    <x v="48"/>
    <x v="41"/>
    <x v="41"/>
    <s v="CHARGES"/>
    <x v="0"/>
    <s v="3212.004"/>
    <s v="Intérêts rémun./perçu trop tôt sur acomptes C/C"/>
    <n v="7.53"/>
    <n v="0"/>
    <n v="3212"/>
  </r>
  <r>
    <x v="0"/>
    <x v="5"/>
    <x v="1"/>
    <x v="48"/>
    <x v="41"/>
    <x v="41"/>
    <s v="CHARGES"/>
    <x v="0"/>
    <s v="3221.002"/>
    <s v="Intérêts compensatoires / créances en faveur ctb."/>
    <n v="5.09"/>
    <n v="0"/>
    <n v="3221"/>
  </r>
  <r>
    <x v="0"/>
    <x v="5"/>
    <x v="1"/>
    <x v="48"/>
    <x v="41"/>
    <x v="41"/>
    <s v="CHARGES"/>
    <x v="0"/>
    <s v="3212.002"/>
    <s v="Intérêts bonifiés/trop perçu acompte C/C"/>
    <n v="90.44"/>
    <n v="0"/>
    <n v="3212"/>
  </r>
  <r>
    <x v="0"/>
    <x v="5"/>
    <x v="1"/>
    <x v="48"/>
    <x v="41"/>
    <x v="41"/>
    <s v="CHARGES"/>
    <x v="0"/>
    <s v="3212.004"/>
    <s v="Intérêts rémun./perçu trop tôt sur acomptes C/C"/>
    <n v="1111.04"/>
    <n v="0"/>
    <n v="3212"/>
  </r>
  <r>
    <x v="0"/>
    <x v="5"/>
    <x v="1"/>
    <x v="48"/>
    <x v="41"/>
    <x v="41"/>
    <s v="CHARGES"/>
    <x v="0"/>
    <s v="3221.002"/>
    <s v="Intérêts compensatoires / créances en faveur ctb."/>
    <n v="502.57"/>
    <n v="0"/>
    <n v="3221"/>
  </r>
  <r>
    <x v="0"/>
    <x v="5"/>
    <x v="1"/>
    <x v="48"/>
    <x v="41"/>
    <x v="41"/>
    <s v="CHARGES"/>
    <x v="1"/>
    <s v="3301.001"/>
    <s v="Défalcations, abandons de solde PP et IS"/>
    <n v="1730126.97"/>
    <n v="0"/>
    <n v="3301"/>
  </r>
  <r>
    <x v="0"/>
    <x v="5"/>
    <x v="1"/>
    <x v="48"/>
    <x v="41"/>
    <x v="41"/>
    <s v="CHARGES"/>
    <x v="0"/>
    <s v="3212.004"/>
    <s v="Intérêts rémun./perçu trop tôt sur acomptes C/C"/>
    <n v="0.12"/>
    <n v="0"/>
    <n v="3212"/>
  </r>
  <r>
    <x v="0"/>
    <x v="5"/>
    <x v="1"/>
    <x v="48"/>
    <x v="41"/>
    <x v="41"/>
    <s v="CHARGES"/>
    <x v="1"/>
    <s v="3301.001"/>
    <s v="Défalcations, abandons de solde PP et IS"/>
    <n v="0.05"/>
    <n v="0"/>
    <n v="3301"/>
  </r>
  <r>
    <x v="0"/>
    <x v="5"/>
    <x v="1"/>
    <x v="48"/>
    <x v="41"/>
    <x v="41"/>
    <s v="CHARGES"/>
    <x v="0"/>
    <s v="3212.002"/>
    <s v="Intérêts bonifiés/trop perçu acompte C/C"/>
    <n v="0.96"/>
    <n v="0"/>
    <n v="3212"/>
  </r>
  <r>
    <x v="0"/>
    <x v="5"/>
    <x v="1"/>
    <x v="48"/>
    <x v="41"/>
    <x v="41"/>
    <s v="CHARGES"/>
    <x v="0"/>
    <s v="3212.004"/>
    <s v="Intérêts rémun./perçu trop tôt sur acomptes C/C"/>
    <n v="-8.3800000000000008"/>
    <n v="0"/>
    <n v="3212"/>
  </r>
  <r>
    <x v="0"/>
    <x v="5"/>
    <x v="1"/>
    <x v="48"/>
    <x v="41"/>
    <x v="41"/>
    <s v="CHARGES"/>
    <x v="0"/>
    <s v="3221.002"/>
    <s v="Intérêts compensatoires / créances en faveur ctb."/>
    <n v="1.1000000000000001"/>
    <n v="0"/>
    <n v="3221"/>
  </r>
  <r>
    <x v="0"/>
    <x v="5"/>
    <x v="1"/>
    <x v="48"/>
    <x v="41"/>
    <x v="41"/>
    <s v="CHARGES"/>
    <x v="1"/>
    <s v="3301.001"/>
    <s v="Défalcations, abandons de solde PP et IS"/>
    <n v="-6.41"/>
    <n v="0"/>
    <n v="3301"/>
  </r>
  <r>
    <x v="0"/>
    <x v="5"/>
    <x v="1"/>
    <x v="48"/>
    <x v="41"/>
    <x v="41"/>
    <s v="CHARGES"/>
    <x v="0"/>
    <s v="3212.004"/>
    <s v="Intérêts rémun./perçu trop tôt sur acomptes C/C"/>
    <n v="62.17"/>
    <n v="0"/>
    <n v="3212"/>
  </r>
  <r>
    <x v="0"/>
    <x v="5"/>
    <x v="1"/>
    <x v="48"/>
    <x v="41"/>
    <x v="41"/>
    <s v="CHARGES"/>
    <x v="0"/>
    <s v="3221.002"/>
    <s v="Intérêts compensatoires / créances en faveur ctb."/>
    <n v="42.5"/>
    <n v="0"/>
    <n v="3221"/>
  </r>
  <r>
    <x v="0"/>
    <x v="5"/>
    <x v="1"/>
    <x v="48"/>
    <x v="41"/>
    <x v="41"/>
    <s v="CHARGES"/>
    <x v="1"/>
    <s v="3301.001"/>
    <s v="Défalcations, abandons de solde PP et IS"/>
    <n v="264.75"/>
    <n v="0"/>
    <n v="3301"/>
  </r>
  <r>
    <x v="0"/>
    <x v="5"/>
    <x v="1"/>
    <x v="48"/>
    <x v="41"/>
    <x v="41"/>
    <s v="CHARGES"/>
    <x v="0"/>
    <s v="3212.002"/>
    <s v="Intérêts bonifiés/trop perçu acompte C/C"/>
    <n v="0.01"/>
    <n v="0"/>
    <n v="3212"/>
  </r>
  <r>
    <x v="0"/>
    <x v="5"/>
    <x v="1"/>
    <x v="48"/>
    <x v="41"/>
    <x v="41"/>
    <s v="CHARGES"/>
    <x v="0"/>
    <s v="3212.004"/>
    <s v="Intérêts rémun./perçu trop tôt sur acomptes C/C"/>
    <n v="4.04"/>
    <n v="0"/>
    <n v="3212"/>
  </r>
  <r>
    <x v="0"/>
    <x v="5"/>
    <x v="1"/>
    <x v="48"/>
    <x v="41"/>
    <x v="41"/>
    <s v="CHARGES"/>
    <x v="1"/>
    <s v="3301.001"/>
    <s v="Défalcations, abandons de solde PP et IS"/>
    <n v="2169.84"/>
    <n v="0"/>
    <n v="3301"/>
  </r>
  <r>
    <x v="0"/>
    <x v="5"/>
    <x v="1"/>
    <x v="48"/>
    <x v="41"/>
    <x v="41"/>
    <s v="CHARGES"/>
    <x v="1"/>
    <s v="3301.003"/>
    <s v="Remises PP et IS"/>
    <n v="368.62"/>
    <n v="0"/>
    <n v="3301"/>
  </r>
  <r>
    <x v="0"/>
    <x v="5"/>
    <x v="1"/>
    <x v="48"/>
    <x v="41"/>
    <x v="41"/>
    <s v="CHARGES"/>
    <x v="0"/>
    <s v="3221.002"/>
    <s v="Intérêts compensatoires / créances en faveur ctb."/>
    <n v="0.7"/>
    <n v="0"/>
    <n v="3221"/>
  </r>
  <r>
    <x v="0"/>
    <x v="5"/>
    <x v="1"/>
    <x v="48"/>
    <x v="41"/>
    <x v="41"/>
    <s v="CHARGES"/>
    <x v="1"/>
    <s v="3301.001"/>
    <s v="Défalcations, abandons de solde PP et IS"/>
    <n v="1.82"/>
    <n v="0"/>
    <n v="3301"/>
  </r>
  <r>
    <x v="0"/>
    <x v="5"/>
    <x v="1"/>
    <x v="48"/>
    <x v="41"/>
    <x v="41"/>
    <s v="CHARGES"/>
    <x v="1"/>
    <s v="3301.001"/>
    <s v="Défalcations, abandons de solde PP et IS"/>
    <n v="4.97"/>
    <n v="0"/>
    <n v="3301"/>
  </r>
  <r>
    <x v="0"/>
    <x v="5"/>
    <x v="1"/>
    <x v="48"/>
    <x v="41"/>
    <x v="41"/>
    <s v="CHARGES"/>
    <x v="0"/>
    <s v="3221.002"/>
    <s v="Intérêts compensatoires / créances en faveur ctb."/>
    <n v="9.36"/>
    <n v="0"/>
    <n v="3221"/>
  </r>
  <r>
    <x v="0"/>
    <x v="5"/>
    <x v="1"/>
    <x v="48"/>
    <x v="41"/>
    <x v="41"/>
    <s v="CHARGES"/>
    <x v="0"/>
    <s v="3212.004"/>
    <s v="Intérêts rémun./perçu trop tôt sur acomptes C/C"/>
    <n v="41.42"/>
    <n v="0"/>
    <n v="3212"/>
  </r>
  <r>
    <x v="0"/>
    <x v="5"/>
    <x v="1"/>
    <x v="48"/>
    <x v="41"/>
    <x v="41"/>
    <s v="CHARGES"/>
    <x v="1"/>
    <s v="3301.001"/>
    <s v="Défalcations, abandons de solde PP et IS"/>
    <n v="2146.98"/>
    <n v="0"/>
    <n v="3301"/>
  </r>
  <r>
    <x v="0"/>
    <x v="5"/>
    <x v="1"/>
    <x v="48"/>
    <x v="41"/>
    <x v="41"/>
    <s v="CHARGES"/>
    <x v="0"/>
    <s v="3212.004"/>
    <s v="Intérêts rémun./perçu trop tôt sur acomptes C/C"/>
    <n v="8.7899999999999991"/>
    <n v="0"/>
    <n v="3212"/>
  </r>
  <r>
    <x v="0"/>
    <x v="5"/>
    <x v="1"/>
    <x v="48"/>
    <x v="41"/>
    <x v="41"/>
    <s v="CHARGES"/>
    <x v="0"/>
    <s v="3221.002"/>
    <s v="Intérêts compensatoires / créances en faveur ctb."/>
    <n v="7.33"/>
    <n v="0"/>
    <n v="3221"/>
  </r>
  <r>
    <x v="0"/>
    <x v="5"/>
    <x v="1"/>
    <x v="48"/>
    <x v="41"/>
    <x v="41"/>
    <s v="CHARGES"/>
    <x v="0"/>
    <s v="3212.004"/>
    <s v="Intérêts rémun./perçu trop tôt sur acomptes C/C"/>
    <n v="-2.14"/>
    <n v="0"/>
    <n v="3212"/>
  </r>
  <r>
    <x v="0"/>
    <x v="5"/>
    <x v="1"/>
    <x v="48"/>
    <x v="41"/>
    <x v="41"/>
    <s v="CHARGES"/>
    <x v="0"/>
    <s v="3221.002"/>
    <s v="Intérêts compensatoires / créances en faveur ctb."/>
    <n v="-7.0000000000000007E-2"/>
    <n v="0"/>
    <n v="3221"/>
  </r>
  <r>
    <x v="0"/>
    <x v="5"/>
    <x v="1"/>
    <x v="48"/>
    <x v="41"/>
    <x v="41"/>
    <s v="CHARGES"/>
    <x v="0"/>
    <s v="3221.002"/>
    <s v="Intérêts compensatoires / créances en faveur ctb."/>
    <n v="0.12"/>
    <n v="0"/>
    <n v="3221"/>
  </r>
  <r>
    <x v="0"/>
    <x v="5"/>
    <x v="1"/>
    <x v="48"/>
    <x v="41"/>
    <x v="41"/>
    <s v="CHARGES"/>
    <x v="0"/>
    <s v="3212.002"/>
    <s v="Intérêts bonifiés/trop perçu acompte C/C"/>
    <n v="-0.03"/>
    <n v="0"/>
    <n v="3212"/>
  </r>
  <r>
    <x v="0"/>
    <x v="5"/>
    <x v="1"/>
    <x v="48"/>
    <x v="41"/>
    <x v="41"/>
    <s v="CHARGES"/>
    <x v="0"/>
    <s v="3212.004"/>
    <s v="Intérêts rémun./perçu trop tôt sur acomptes C/C"/>
    <n v="0.9"/>
    <n v="0"/>
    <n v="3212"/>
  </r>
  <r>
    <x v="0"/>
    <x v="5"/>
    <x v="1"/>
    <x v="48"/>
    <x v="41"/>
    <x v="41"/>
    <s v="CHARGES"/>
    <x v="1"/>
    <s v="3301.001"/>
    <s v="Défalcations, abandons de solde PP et IS"/>
    <n v="12984.7"/>
    <n v="0"/>
    <n v="3301"/>
  </r>
  <r>
    <x v="0"/>
    <x v="5"/>
    <x v="1"/>
    <x v="48"/>
    <x v="41"/>
    <x v="41"/>
    <s v="CHARGES"/>
    <x v="0"/>
    <s v="3221.002"/>
    <s v="Intérêts compensatoires / créances en faveur ctb."/>
    <n v="2.81"/>
    <n v="0"/>
    <n v="3221"/>
  </r>
  <r>
    <x v="0"/>
    <x v="5"/>
    <x v="1"/>
    <x v="48"/>
    <x v="41"/>
    <x v="41"/>
    <s v="CHARGES"/>
    <x v="0"/>
    <s v="3221.002"/>
    <s v="Intérêts compensatoires / créances en faveur ctb."/>
    <n v="0.34"/>
    <n v="0"/>
    <n v="3221"/>
  </r>
  <r>
    <x v="0"/>
    <x v="5"/>
    <x v="1"/>
    <x v="48"/>
    <x v="41"/>
    <x v="41"/>
    <s v="CHARGES"/>
    <x v="0"/>
    <s v="3212.004"/>
    <s v="Intérêts rémun./perçu trop tôt sur acomptes C/C"/>
    <n v="0.01"/>
    <n v="0"/>
    <n v="3212"/>
  </r>
  <r>
    <x v="0"/>
    <x v="5"/>
    <x v="1"/>
    <x v="48"/>
    <x v="41"/>
    <x v="41"/>
    <s v="REVENUS"/>
    <x v="2"/>
    <s v="4001.001"/>
    <s v="Impôt revenu"/>
    <n v="0"/>
    <n v="32706.9"/>
    <n v="4001"/>
  </r>
  <r>
    <x v="0"/>
    <x v="5"/>
    <x v="1"/>
    <x v="48"/>
    <x v="41"/>
    <x v="41"/>
    <s v="REVENUS"/>
    <x v="2"/>
    <s v="4001.007"/>
    <s v="Acompte impôt sur revenu"/>
    <n v="0"/>
    <n v="140.36000000000001"/>
    <n v="4001"/>
  </r>
  <r>
    <x v="0"/>
    <x v="5"/>
    <x v="1"/>
    <x v="48"/>
    <x v="41"/>
    <x v="41"/>
    <s v="REVENUS"/>
    <x v="3"/>
    <s v="4002.001"/>
    <s v="Impôt ordinaire s/fortune PP"/>
    <n v="0"/>
    <n v="6965.9"/>
    <n v="4002"/>
  </r>
  <r>
    <x v="0"/>
    <x v="5"/>
    <x v="1"/>
    <x v="48"/>
    <x v="41"/>
    <x v="41"/>
    <s v="REVENUS"/>
    <x v="3"/>
    <s v="4002.007"/>
    <s v="Acompte impôt sur fortune"/>
    <n v="0"/>
    <n v="-1056.01"/>
    <n v="4002"/>
  </r>
  <r>
    <x v="0"/>
    <x v="5"/>
    <x v="1"/>
    <x v="48"/>
    <x v="41"/>
    <x v="41"/>
    <s v="REVENUS"/>
    <x v="2"/>
    <s v="4001.001"/>
    <s v="Impôt revenu"/>
    <n v="0"/>
    <n v="152526.39999999999"/>
    <n v="4001"/>
  </r>
  <r>
    <x v="0"/>
    <x v="5"/>
    <x v="1"/>
    <x v="48"/>
    <x v="41"/>
    <x v="41"/>
    <s v="REVENUS"/>
    <x v="3"/>
    <s v="4002.001"/>
    <s v="Impôt ordinaire s/fortune PP"/>
    <n v="0"/>
    <n v="22262.55"/>
    <n v="4002"/>
  </r>
  <r>
    <x v="0"/>
    <x v="5"/>
    <x v="1"/>
    <x v="48"/>
    <x v="41"/>
    <x v="41"/>
    <s v="REVENUS"/>
    <x v="6"/>
    <s v="4211.002"/>
    <s v="Intérêts de retard sur acomptes"/>
    <n v="0"/>
    <n v="451.33"/>
    <n v="4211"/>
  </r>
  <r>
    <x v="0"/>
    <x v="5"/>
    <x v="1"/>
    <x v="48"/>
    <x v="41"/>
    <x v="41"/>
    <s v="REVENUS"/>
    <x v="2"/>
    <s v="4001.007"/>
    <s v="Acompte impôt sur revenu"/>
    <n v="0"/>
    <n v="-1081668.51"/>
    <n v="4001"/>
  </r>
  <r>
    <x v="0"/>
    <x v="5"/>
    <x v="1"/>
    <x v="48"/>
    <x v="41"/>
    <x v="41"/>
    <s v="REVENUS"/>
    <x v="3"/>
    <s v="4002.007"/>
    <s v="Acompte impôt sur fortune"/>
    <n v="0"/>
    <n v="-244889.54"/>
    <n v="4002"/>
  </r>
  <r>
    <x v="0"/>
    <x v="5"/>
    <x v="1"/>
    <x v="48"/>
    <x v="41"/>
    <x v="41"/>
    <s v="REVENUS"/>
    <x v="2"/>
    <s v="4001.001"/>
    <s v="Impôt revenu"/>
    <n v="0"/>
    <n v="6868708.4500000002"/>
    <n v="4001"/>
  </r>
  <r>
    <x v="0"/>
    <x v="5"/>
    <x v="1"/>
    <x v="48"/>
    <x v="41"/>
    <x v="41"/>
    <s v="REVENUS"/>
    <x v="2"/>
    <s v="4001.002"/>
    <s v="Impôt complément s/revenu PP"/>
    <n v="0"/>
    <n v="1307189.1000000001"/>
    <n v="4001"/>
  </r>
  <r>
    <x v="0"/>
    <x v="5"/>
    <x v="1"/>
    <x v="48"/>
    <x v="41"/>
    <x v="41"/>
    <s v="REVENUS"/>
    <x v="2"/>
    <s v="4001.007"/>
    <s v="Acompte impôt sur revenu"/>
    <n v="0"/>
    <n v="975408.98"/>
    <n v="4001"/>
  </r>
  <r>
    <x v="0"/>
    <x v="5"/>
    <x v="1"/>
    <x v="48"/>
    <x v="41"/>
    <x v="41"/>
    <s v="REVENUS"/>
    <x v="3"/>
    <s v="4002.001"/>
    <s v="Impôt ordinaire s/fortune PP"/>
    <n v="0"/>
    <n v="512189.25"/>
    <n v="4002"/>
  </r>
  <r>
    <x v="0"/>
    <x v="5"/>
    <x v="1"/>
    <x v="48"/>
    <x v="41"/>
    <x v="41"/>
    <s v="REVENUS"/>
    <x v="3"/>
    <s v="4002.002"/>
    <s v="Impôt complémentaire s/fortune PP"/>
    <n v="0"/>
    <n v="825887.75"/>
    <n v="4002"/>
  </r>
  <r>
    <x v="0"/>
    <x v="5"/>
    <x v="1"/>
    <x v="48"/>
    <x v="41"/>
    <x v="41"/>
    <s v="REVENUS"/>
    <x v="3"/>
    <s v="4002.007"/>
    <s v="Acompte impôt sur fortune"/>
    <n v="0"/>
    <n v="315506.64"/>
    <n v="4002"/>
  </r>
  <r>
    <x v="0"/>
    <x v="5"/>
    <x v="1"/>
    <x v="48"/>
    <x v="41"/>
    <x v="41"/>
    <s v="REVENUS"/>
    <x v="6"/>
    <s v="4211.001"/>
    <s v="Intérêts de retard sur factures"/>
    <n v="0"/>
    <n v="311115.84999999998"/>
    <n v="4211"/>
  </r>
  <r>
    <x v="0"/>
    <x v="5"/>
    <x v="1"/>
    <x v="48"/>
    <x v="41"/>
    <x v="41"/>
    <s v="REVENUS"/>
    <x v="6"/>
    <s v="4211.002"/>
    <s v="Intérêts de retard sur acomptes"/>
    <n v="0"/>
    <n v="38345.17"/>
    <n v="4211"/>
  </r>
  <r>
    <x v="0"/>
    <x v="5"/>
    <x v="1"/>
    <x v="48"/>
    <x v="41"/>
    <x v="41"/>
    <s v="REVENUS"/>
    <x v="6"/>
    <s v="4221.003"/>
    <s v="Intérêts compensat. / acomptes en faveur du fisc"/>
    <n v="0"/>
    <n v="11189.34"/>
    <n v="4221"/>
  </r>
  <r>
    <x v="0"/>
    <x v="5"/>
    <x v="1"/>
    <x v="48"/>
    <x v="41"/>
    <x v="41"/>
    <s v="REVENUS"/>
    <x v="2"/>
    <s v="4001.001"/>
    <s v="Impôt revenu"/>
    <n v="0"/>
    <n v="-58805.95"/>
    <n v="4001"/>
  </r>
  <r>
    <x v="0"/>
    <x v="5"/>
    <x v="1"/>
    <x v="48"/>
    <x v="41"/>
    <x v="41"/>
    <s v="REVENUS"/>
    <x v="3"/>
    <s v="4002.001"/>
    <s v="Impôt ordinaire s/fortune PP"/>
    <n v="0"/>
    <n v="-847.95"/>
    <n v="4002"/>
  </r>
  <r>
    <x v="0"/>
    <x v="5"/>
    <x v="1"/>
    <x v="48"/>
    <x v="41"/>
    <x v="41"/>
    <s v="REVENUS"/>
    <x v="6"/>
    <s v="4221.003"/>
    <s v="Intérêts compensat. / acomptes en faveur du fisc"/>
    <n v="0"/>
    <n v="0.05"/>
    <n v="4221"/>
  </r>
  <r>
    <x v="0"/>
    <x v="5"/>
    <x v="1"/>
    <x v="48"/>
    <x v="41"/>
    <x v="41"/>
    <s v="REVENUS"/>
    <x v="2"/>
    <s v="4001.001"/>
    <s v="Impôt revenu"/>
    <n v="0"/>
    <n v="-712850.3"/>
    <n v="4001"/>
  </r>
  <r>
    <x v="0"/>
    <x v="5"/>
    <x v="1"/>
    <x v="48"/>
    <x v="41"/>
    <x v="41"/>
    <s v="REVENUS"/>
    <x v="3"/>
    <s v="4002.001"/>
    <s v="Impôt ordinaire s/fortune PP"/>
    <n v="0"/>
    <n v="-613797.05000000005"/>
    <n v="4002"/>
  </r>
  <r>
    <x v="0"/>
    <x v="5"/>
    <x v="1"/>
    <x v="48"/>
    <x v="41"/>
    <x v="41"/>
    <s v="REVENUS"/>
    <x v="3"/>
    <s v="4002.002"/>
    <s v="Impôt complémentaire s/fortune PP"/>
    <n v="0"/>
    <n v="-3696.1"/>
    <n v="4002"/>
  </r>
  <r>
    <x v="0"/>
    <x v="5"/>
    <x v="1"/>
    <x v="48"/>
    <x v="41"/>
    <x v="41"/>
    <s v="REVENUS"/>
    <x v="6"/>
    <s v="4211.001"/>
    <s v="Intérêts de retard sur factures"/>
    <n v="0"/>
    <n v="-100.47"/>
    <n v="4211"/>
  </r>
  <r>
    <x v="0"/>
    <x v="5"/>
    <x v="1"/>
    <x v="48"/>
    <x v="41"/>
    <x v="41"/>
    <s v="REVENUS"/>
    <x v="6"/>
    <s v="4211.002"/>
    <s v="Intérêts de retard sur acomptes"/>
    <n v="0"/>
    <n v="-62.4"/>
    <n v="4211"/>
  </r>
  <r>
    <x v="0"/>
    <x v="5"/>
    <x v="1"/>
    <x v="48"/>
    <x v="41"/>
    <x v="41"/>
    <s v="REVENUS"/>
    <x v="6"/>
    <s v="4221.003"/>
    <s v="Intérêts compensat. / acomptes en faveur du fisc"/>
    <n v="0"/>
    <n v="-5.98"/>
    <n v="4221"/>
  </r>
  <r>
    <x v="0"/>
    <x v="5"/>
    <x v="1"/>
    <x v="48"/>
    <x v="41"/>
    <x v="41"/>
    <s v="REVENUS"/>
    <x v="7"/>
    <s v="4184.000"/>
    <s v="Frais de poursuite"/>
    <n v="0"/>
    <n v="9188.7999999999993"/>
    <n v="4184"/>
  </r>
  <r>
    <x v="0"/>
    <x v="5"/>
    <x v="1"/>
    <x v="48"/>
    <x v="41"/>
    <x v="41"/>
    <s v="REVENUS"/>
    <x v="2"/>
    <s v="4001.003"/>
    <s v="Impôt s/prest. cap. PP"/>
    <n v="0"/>
    <n v="191443.85"/>
    <n v="4001"/>
  </r>
  <r>
    <x v="0"/>
    <x v="5"/>
    <x v="1"/>
    <x v="48"/>
    <x v="41"/>
    <x v="41"/>
    <s v="REVENUS"/>
    <x v="2"/>
    <s v="4001.002"/>
    <s v="Impôt complément s/revenu PP"/>
    <n v="0"/>
    <n v="1337.25"/>
    <n v="4001"/>
  </r>
  <r>
    <x v="0"/>
    <x v="5"/>
    <x v="1"/>
    <x v="48"/>
    <x v="41"/>
    <x v="41"/>
    <s v="REVENUS"/>
    <x v="6"/>
    <s v="4221.003"/>
    <s v="Intérêts compensat. / acomptes en faveur du fisc"/>
    <n v="0"/>
    <n v="9.4700000000000006"/>
    <n v="4221"/>
  </r>
  <r>
    <x v="0"/>
    <x v="5"/>
    <x v="1"/>
    <x v="48"/>
    <x v="41"/>
    <x v="41"/>
    <s v="REVENUS"/>
    <x v="3"/>
    <s v="4002.001"/>
    <s v="Impôt ordinaire s/fortune PP"/>
    <n v="0"/>
    <n v="2095.6"/>
    <n v="4002"/>
  </r>
  <r>
    <x v="0"/>
    <x v="5"/>
    <x v="1"/>
    <x v="48"/>
    <x v="41"/>
    <x v="41"/>
    <s v="REVENUS"/>
    <x v="3"/>
    <s v="4002.002"/>
    <s v="Impôt complémentaire s/fortune PP"/>
    <n v="0"/>
    <n v="216.6"/>
    <n v="4002"/>
  </r>
  <r>
    <x v="0"/>
    <x v="5"/>
    <x v="1"/>
    <x v="48"/>
    <x v="41"/>
    <x v="41"/>
    <s v="REVENUS"/>
    <x v="6"/>
    <s v="4211.001"/>
    <s v="Intérêts de retard sur factures"/>
    <n v="0"/>
    <n v="1.05"/>
    <n v="4211"/>
  </r>
  <r>
    <x v="0"/>
    <x v="5"/>
    <x v="1"/>
    <x v="48"/>
    <x v="41"/>
    <x v="41"/>
    <s v="REVENUS"/>
    <x v="6"/>
    <s v="4221.003"/>
    <s v="Intérêts compensat. / acomptes en faveur du fisc"/>
    <n v="0"/>
    <n v="0.13"/>
    <n v="4221"/>
  </r>
  <r>
    <x v="0"/>
    <x v="5"/>
    <x v="1"/>
    <x v="48"/>
    <x v="41"/>
    <x v="41"/>
    <s v="REVENUS"/>
    <x v="10"/>
    <s v="4041.001"/>
    <s v="Droits de mutation"/>
    <n v="0"/>
    <n v="832293.95"/>
    <n v="4041"/>
  </r>
  <r>
    <x v="0"/>
    <x v="5"/>
    <x v="1"/>
    <x v="48"/>
    <x v="41"/>
    <x v="41"/>
    <s v="REVENUS"/>
    <x v="2"/>
    <s v="4001.001"/>
    <s v="Impôt revenu"/>
    <n v="0"/>
    <n v="69935.45"/>
    <n v="4001"/>
  </r>
  <r>
    <x v="0"/>
    <x v="5"/>
    <x v="1"/>
    <x v="48"/>
    <x v="41"/>
    <x v="41"/>
    <s v="REVENUS"/>
    <x v="2"/>
    <s v="4001.007"/>
    <s v="Acompte impôt sur revenu"/>
    <n v="0"/>
    <n v="-45460.39"/>
    <n v="4001"/>
  </r>
  <r>
    <x v="0"/>
    <x v="5"/>
    <x v="1"/>
    <x v="48"/>
    <x v="41"/>
    <x v="41"/>
    <s v="REVENUS"/>
    <x v="3"/>
    <s v="4002.001"/>
    <s v="Impôt ordinaire s/fortune PP"/>
    <n v="0"/>
    <n v="24582.65"/>
    <n v="4002"/>
  </r>
  <r>
    <x v="0"/>
    <x v="5"/>
    <x v="1"/>
    <x v="48"/>
    <x v="41"/>
    <x v="41"/>
    <s v="REVENUS"/>
    <x v="3"/>
    <s v="4002.007"/>
    <s v="Acompte impôt sur fortune"/>
    <n v="0"/>
    <n v="-3839.05"/>
    <n v="4002"/>
  </r>
  <r>
    <x v="0"/>
    <x v="5"/>
    <x v="1"/>
    <x v="48"/>
    <x v="41"/>
    <x v="41"/>
    <s v="REVENUS"/>
    <x v="6"/>
    <s v="4211.001"/>
    <s v="Intérêts de retard sur factures"/>
    <n v="0"/>
    <n v="405.31"/>
    <n v="4211"/>
  </r>
  <r>
    <x v="0"/>
    <x v="5"/>
    <x v="1"/>
    <x v="48"/>
    <x v="41"/>
    <x v="41"/>
    <s v="REVENUS"/>
    <x v="4"/>
    <s v="4051.002"/>
    <s v="Impôt sur les donations"/>
    <n v="0"/>
    <n v="7781"/>
    <n v="4051"/>
  </r>
  <r>
    <x v="0"/>
    <x v="5"/>
    <x v="1"/>
    <x v="48"/>
    <x v="41"/>
    <x v="41"/>
    <s v="REVENUS"/>
    <x v="11"/>
    <s v="4198.000"/>
    <s v="Contributions communales"/>
    <n v="0"/>
    <n v="555511.6"/>
    <n v="4198"/>
  </r>
  <r>
    <x v="0"/>
    <x v="5"/>
    <x v="1"/>
    <x v="48"/>
    <x v="41"/>
    <x v="41"/>
    <s v="REVENUS"/>
    <x v="2"/>
    <s v="4001.007"/>
    <s v="Acompte impôt sur revenu"/>
    <n v="0"/>
    <n v="1775.41"/>
    <n v="4001"/>
  </r>
  <r>
    <x v="0"/>
    <x v="5"/>
    <x v="1"/>
    <x v="48"/>
    <x v="41"/>
    <x v="41"/>
    <s v="REVENUS"/>
    <x v="3"/>
    <s v="4002.007"/>
    <s v="Acompte impôt sur fortune"/>
    <n v="0"/>
    <n v="-324.23"/>
    <n v="4002"/>
  </r>
  <r>
    <x v="0"/>
    <x v="5"/>
    <x v="1"/>
    <x v="48"/>
    <x v="41"/>
    <x v="41"/>
    <s v="REVENUS"/>
    <x v="6"/>
    <s v="4221.002"/>
    <s v="Intérêts compensat. sur impôts distincts"/>
    <n v="0"/>
    <n v="80.95"/>
    <n v="4221"/>
  </r>
  <r>
    <x v="0"/>
    <x v="5"/>
    <x v="1"/>
    <x v="48"/>
    <x v="41"/>
    <x v="41"/>
    <s v="REVENUS"/>
    <x v="5"/>
    <s v="4061.000"/>
    <s v="Impôt sur les chiens"/>
    <n v="0"/>
    <n v="20600"/>
    <n v="4061"/>
  </r>
  <r>
    <x v="0"/>
    <x v="5"/>
    <x v="1"/>
    <x v="48"/>
    <x v="41"/>
    <x v="41"/>
    <s v="REVENUS"/>
    <x v="6"/>
    <s v="4211.002"/>
    <s v="Intérêts de retard sur acomptes"/>
    <n v="0"/>
    <n v="176.48"/>
    <n v="4211"/>
  </r>
  <r>
    <x v="0"/>
    <x v="5"/>
    <x v="1"/>
    <x v="48"/>
    <x v="41"/>
    <x v="41"/>
    <s v="REVENUS"/>
    <x v="2"/>
    <s v="4001.001"/>
    <s v="Impôt revenu"/>
    <n v="0"/>
    <n v="42891.45"/>
    <n v="4001"/>
  </r>
  <r>
    <x v="0"/>
    <x v="5"/>
    <x v="1"/>
    <x v="48"/>
    <x v="41"/>
    <x v="41"/>
    <s v="REVENUS"/>
    <x v="6"/>
    <s v="4211.002"/>
    <s v="Intérêts de retard sur acomptes"/>
    <n v="0"/>
    <n v="238.26"/>
    <n v="4211"/>
  </r>
  <r>
    <x v="0"/>
    <x v="5"/>
    <x v="1"/>
    <x v="48"/>
    <x v="41"/>
    <x v="41"/>
    <s v="REVENUS"/>
    <x v="6"/>
    <s v="4221.003"/>
    <s v="Intérêts compensat. / acomptes en faveur du fisc"/>
    <n v="0"/>
    <n v="95.85"/>
    <n v="4221"/>
  </r>
  <r>
    <x v="0"/>
    <x v="5"/>
    <x v="1"/>
    <x v="48"/>
    <x v="41"/>
    <x v="41"/>
    <s v="REVENUS"/>
    <x v="2"/>
    <s v="4001.007"/>
    <s v="Acompte impôt sur revenu"/>
    <n v="0"/>
    <n v="-144.69999999999999"/>
    <n v="4001"/>
  </r>
  <r>
    <x v="0"/>
    <x v="5"/>
    <x v="1"/>
    <x v="48"/>
    <x v="41"/>
    <x v="41"/>
    <s v="REVENUS"/>
    <x v="3"/>
    <s v="4002.007"/>
    <s v="Acompte impôt sur fortune"/>
    <n v="0"/>
    <n v="-9.9"/>
    <n v="4002"/>
  </r>
  <r>
    <x v="0"/>
    <x v="5"/>
    <x v="1"/>
    <x v="48"/>
    <x v="41"/>
    <x v="41"/>
    <s v="REVENUS"/>
    <x v="3"/>
    <s v="4002.007"/>
    <s v="Acompte impôt sur fortune"/>
    <n v="0"/>
    <n v="8054.13"/>
    <n v="4002"/>
  </r>
  <r>
    <x v="0"/>
    <x v="5"/>
    <x v="1"/>
    <x v="48"/>
    <x v="41"/>
    <x v="41"/>
    <s v="REVENUS"/>
    <x v="2"/>
    <s v="4001.007"/>
    <s v="Acompte impôt sur revenu"/>
    <n v="0"/>
    <n v="-16727.169999999998"/>
    <n v="4001"/>
  </r>
  <r>
    <x v="0"/>
    <x v="5"/>
    <x v="1"/>
    <x v="48"/>
    <x v="41"/>
    <x v="41"/>
    <s v="REVENUS"/>
    <x v="6"/>
    <s v="4221.003"/>
    <s v="Intérêts compensat. / acomptes en faveur du fisc"/>
    <n v="0"/>
    <n v="5.0599999999999996"/>
    <n v="4221"/>
  </r>
  <r>
    <x v="0"/>
    <x v="5"/>
    <x v="1"/>
    <x v="48"/>
    <x v="41"/>
    <x v="41"/>
    <s v="REVENUS"/>
    <x v="2"/>
    <s v="4001.003"/>
    <s v="Impôt s/prest. cap. PP"/>
    <n v="0"/>
    <n v="-9503.75"/>
    <n v="4001"/>
  </r>
  <r>
    <x v="0"/>
    <x v="5"/>
    <x v="1"/>
    <x v="48"/>
    <x v="41"/>
    <x v="41"/>
    <s v="REVENUS"/>
    <x v="2"/>
    <s v="4001.007"/>
    <s v="Acompte impôt sur revenu"/>
    <n v="0"/>
    <n v="-9482.2199999999993"/>
    <n v="4001"/>
  </r>
  <r>
    <x v="0"/>
    <x v="5"/>
    <x v="1"/>
    <x v="48"/>
    <x v="41"/>
    <x v="41"/>
    <s v="REVENUS"/>
    <x v="3"/>
    <s v="4002.007"/>
    <s v="Acompte impôt sur fortune"/>
    <n v="0"/>
    <n v="-5661.41"/>
    <n v="4002"/>
  </r>
  <r>
    <x v="0"/>
    <x v="5"/>
    <x v="1"/>
    <x v="48"/>
    <x v="41"/>
    <x v="41"/>
    <s v="REVENUS"/>
    <x v="3"/>
    <s v="4002.007"/>
    <s v="Acompte impôt sur fortune"/>
    <n v="0"/>
    <n v="-259.41000000000003"/>
    <n v="4002"/>
  </r>
  <r>
    <x v="0"/>
    <x v="5"/>
    <x v="1"/>
    <x v="48"/>
    <x v="41"/>
    <x v="41"/>
    <s v="REVENUS"/>
    <x v="6"/>
    <s v="4221.003"/>
    <s v="Intérêts compensat. / acomptes en faveur du fisc"/>
    <n v="0"/>
    <n v="30.99"/>
    <n v="4221"/>
  </r>
  <r>
    <x v="0"/>
    <x v="5"/>
    <x v="1"/>
    <x v="48"/>
    <x v="41"/>
    <x v="41"/>
    <s v="REVENUS"/>
    <x v="7"/>
    <s v="4184.000"/>
    <s v="Frais de poursuite"/>
    <n v="0"/>
    <n v="929.26"/>
    <n v="4184"/>
  </r>
  <r>
    <x v="0"/>
    <x v="5"/>
    <x v="1"/>
    <x v="48"/>
    <x v="41"/>
    <x v="41"/>
    <s v="REVENUS"/>
    <x v="2"/>
    <s v="4001.007"/>
    <s v="Acompte impôt sur revenu"/>
    <n v="0"/>
    <n v="-848.55"/>
    <n v="4001"/>
  </r>
  <r>
    <x v="0"/>
    <x v="5"/>
    <x v="1"/>
    <x v="48"/>
    <x v="41"/>
    <x v="41"/>
    <s v="REVENUS"/>
    <x v="3"/>
    <s v="4002.001"/>
    <s v="Impôt ordinaire s/fortune PP"/>
    <n v="0"/>
    <n v="3581.6"/>
    <n v="4002"/>
  </r>
  <r>
    <x v="0"/>
    <x v="5"/>
    <x v="1"/>
    <x v="48"/>
    <x v="41"/>
    <x v="41"/>
    <s v="REVENUS"/>
    <x v="2"/>
    <s v="4001.001"/>
    <s v="Impôt revenu"/>
    <n v="0"/>
    <n v="17764.849999999999"/>
    <n v="4001"/>
  </r>
  <r>
    <x v="0"/>
    <x v="5"/>
    <x v="1"/>
    <x v="48"/>
    <x v="41"/>
    <x v="41"/>
    <s v="REVENUS"/>
    <x v="3"/>
    <s v="4002.001"/>
    <s v="Impôt ordinaire s/fortune PP"/>
    <n v="0"/>
    <n v="4021.1"/>
    <n v="4002"/>
  </r>
  <r>
    <x v="0"/>
    <x v="5"/>
    <x v="1"/>
    <x v="48"/>
    <x v="41"/>
    <x v="41"/>
    <s v="REVENUS"/>
    <x v="9"/>
    <s v="4031.001"/>
    <s v="Impôt sur les gains immobiliers"/>
    <n v="0"/>
    <n v="233938.75"/>
    <n v="4031"/>
  </r>
  <r>
    <x v="0"/>
    <x v="5"/>
    <x v="1"/>
    <x v="48"/>
    <x v="41"/>
    <x v="41"/>
    <s v="REVENUS"/>
    <x v="2"/>
    <s v="4001.002"/>
    <s v="Impôt complément s/revenu PP"/>
    <n v="0"/>
    <n v="-59270"/>
    <n v="4001"/>
  </r>
  <r>
    <x v="0"/>
    <x v="5"/>
    <x v="1"/>
    <x v="48"/>
    <x v="41"/>
    <x v="41"/>
    <s v="REVENUS"/>
    <x v="2"/>
    <s v="4001.003"/>
    <s v="Impôt s/prest. cap. PP"/>
    <n v="0"/>
    <n v="-10059.049999999999"/>
    <n v="4001"/>
  </r>
  <r>
    <x v="0"/>
    <x v="5"/>
    <x v="1"/>
    <x v="48"/>
    <x v="41"/>
    <x v="41"/>
    <s v="REVENUS"/>
    <x v="7"/>
    <s v="4184.000"/>
    <s v="Frais de poursuite"/>
    <n v="0"/>
    <n v="-38.11"/>
    <n v="4184"/>
  </r>
  <r>
    <x v="0"/>
    <x v="5"/>
    <x v="1"/>
    <x v="48"/>
    <x v="41"/>
    <x v="41"/>
    <s v="REVENUS"/>
    <x v="6"/>
    <s v="4221.002"/>
    <s v="Intérêts compensat. sur impôts distincts"/>
    <n v="0"/>
    <n v="-28.69"/>
    <n v="4221"/>
  </r>
  <r>
    <x v="0"/>
    <x v="5"/>
    <x v="1"/>
    <x v="48"/>
    <x v="41"/>
    <x v="41"/>
    <s v="REVENUS"/>
    <x v="6"/>
    <s v="4211.002"/>
    <s v="Intérêts de retard sur acomptes"/>
    <n v="0"/>
    <n v="389.54"/>
    <n v="4211"/>
  </r>
  <r>
    <x v="0"/>
    <x v="5"/>
    <x v="1"/>
    <x v="48"/>
    <x v="41"/>
    <x v="41"/>
    <s v="REVENUS"/>
    <x v="8"/>
    <s v="4091.001"/>
    <s v="Impôt récupéré après défalcations"/>
    <n v="0"/>
    <n v="17136.25"/>
    <n v="4091"/>
  </r>
  <r>
    <x v="0"/>
    <x v="5"/>
    <x v="1"/>
    <x v="48"/>
    <x v="41"/>
    <x v="41"/>
    <s v="REVENUS"/>
    <x v="2"/>
    <s v="4001.001"/>
    <s v="Impôt revenu"/>
    <n v="0"/>
    <n v="790.75"/>
    <n v="4001"/>
  </r>
  <r>
    <x v="0"/>
    <x v="5"/>
    <x v="1"/>
    <x v="48"/>
    <x v="41"/>
    <x v="41"/>
    <s v="REVENUS"/>
    <x v="6"/>
    <s v="4211.002"/>
    <s v="Intérêts de retard sur acomptes"/>
    <n v="0"/>
    <n v="0.59"/>
    <n v="4211"/>
  </r>
  <r>
    <x v="0"/>
    <x v="5"/>
    <x v="1"/>
    <x v="48"/>
    <x v="41"/>
    <x v="41"/>
    <s v="REVENUS"/>
    <x v="2"/>
    <s v="4001.001"/>
    <s v="Impôt revenu"/>
    <n v="0"/>
    <n v="-38650.5"/>
    <n v="4001"/>
  </r>
  <r>
    <x v="0"/>
    <x v="5"/>
    <x v="1"/>
    <x v="48"/>
    <x v="41"/>
    <x v="41"/>
    <s v="REVENUS"/>
    <x v="3"/>
    <s v="4002.001"/>
    <s v="Impôt ordinaire s/fortune PP"/>
    <n v="0"/>
    <n v="-13147.8"/>
    <n v="4002"/>
  </r>
  <r>
    <x v="0"/>
    <x v="5"/>
    <x v="1"/>
    <x v="48"/>
    <x v="41"/>
    <x v="41"/>
    <s v="REVENUS"/>
    <x v="6"/>
    <s v="4221.003"/>
    <s v="Intérêts compensat. / acomptes en faveur du fisc"/>
    <n v="0"/>
    <n v="-0.09"/>
    <n v="4221"/>
  </r>
  <r>
    <x v="0"/>
    <x v="5"/>
    <x v="1"/>
    <x v="48"/>
    <x v="41"/>
    <x v="41"/>
    <s v="REVENUS"/>
    <x v="2"/>
    <s v="4001.002"/>
    <s v="Impôt complément s/revenu PP"/>
    <n v="0"/>
    <n v="57705.25"/>
    <n v="4001"/>
  </r>
  <r>
    <x v="0"/>
    <x v="5"/>
    <x v="1"/>
    <x v="48"/>
    <x v="41"/>
    <x v="41"/>
    <s v="REVENUS"/>
    <x v="3"/>
    <s v="4002.002"/>
    <s v="Impôt complémentaire s/fortune PP"/>
    <n v="0"/>
    <n v="21001.35"/>
    <n v="4002"/>
  </r>
  <r>
    <x v="0"/>
    <x v="5"/>
    <x v="1"/>
    <x v="48"/>
    <x v="41"/>
    <x v="41"/>
    <s v="REVENUS"/>
    <x v="2"/>
    <s v="4001.007"/>
    <s v="Acompte impôt sur revenu"/>
    <n v="0"/>
    <n v="-10252.81"/>
    <n v="4001"/>
  </r>
  <r>
    <x v="0"/>
    <x v="5"/>
    <x v="1"/>
    <x v="48"/>
    <x v="41"/>
    <x v="41"/>
    <s v="REVENUS"/>
    <x v="3"/>
    <s v="4002.007"/>
    <s v="Acompte impôt sur fortune"/>
    <n v="0"/>
    <n v="-641.28"/>
    <n v="4002"/>
  </r>
  <r>
    <x v="0"/>
    <x v="5"/>
    <x v="1"/>
    <x v="48"/>
    <x v="41"/>
    <x v="41"/>
    <s v="REVENUS"/>
    <x v="3"/>
    <s v="4002.001"/>
    <s v="Impôt ordinaire s/fortune PP"/>
    <n v="0"/>
    <n v="149.35"/>
    <n v="4002"/>
  </r>
  <r>
    <x v="0"/>
    <x v="5"/>
    <x v="1"/>
    <x v="48"/>
    <x v="41"/>
    <x v="41"/>
    <s v="REVENUS"/>
    <x v="6"/>
    <s v="4211.002"/>
    <s v="Intérêts de retard sur acomptes"/>
    <n v="0"/>
    <n v="0.76"/>
    <n v="4211"/>
  </r>
  <r>
    <x v="0"/>
    <x v="5"/>
    <x v="1"/>
    <x v="48"/>
    <x v="41"/>
    <x v="41"/>
    <s v="REVENUS"/>
    <x v="6"/>
    <s v="4211.001"/>
    <s v="Intérêts de retard sur factures"/>
    <n v="0"/>
    <n v="129.61000000000001"/>
    <n v="4211"/>
  </r>
  <r>
    <x v="0"/>
    <x v="5"/>
    <x v="1"/>
    <x v="48"/>
    <x v="41"/>
    <x v="41"/>
    <s v="REVENUS"/>
    <x v="4"/>
    <s v="4051.001"/>
    <s v="Impôt sur les successions"/>
    <n v="0"/>
    <n v="40860.400000000001"/>
    <n v="4051"/>
  </r>
  <r>
    <x v="0"/>
    <x v="5"/>
    <x v="1"/>
    <x v="48"/>
    <x v="41"/>
    <x v="41"/>
    <s v="REVENUS"/>
    <x v="6"/>
    <s v="4211.001"/>
    <s v="Intérêts de retard sur factures"/>
    <n v="0"/>
    <n v="10.210000000000001"/>
    <n v="4211"/>
  </r>
  <r>
    <x v="0"/>
    <x v="5"/>
    <x v="1"/>
    <x v="48"/>
    <x v="41"/>
    <x v="41"/>
    <s v="REVENUS"/>
    <x v="7"/>
    <s v="4184.000"/>
    <s v="Frais de poursuite"/>
    <n v="0"/>
    <n v="18.91"/>
    <n v="4184"/>
  </r>
  <r>
    <x v="0"/>
    <x v="5"/>
    <x v="1"/>
    <x v="48"/>
    <x v="41"/>
    <x v="41"/>
    <s v="REVENUS"/>
    <x v="2"/>
    <s v="4001.005"/>
    <s v="Amende de soustract. Impôt"/>
    <n v="0"/>
    <n v="70550"/>
    <n v="4001"/>
  </r>
  <r>
    <x v="0"/>
    <x v="5"/>
    <x v="1"/>
    <x v="48"/>
    <x v="41"/>
    <x v="41"/>
    <s v="REVENUS"/>
    <x v="3"/>
    <s v="4002.002"/>
    <s v="Impôt complémentaire s/fortune PP"/>
    <n v="0"/>
    <n v="242.35"/>
    <n v="4002"/>
  </r>
  <r>
    <x v="0"/>
    <x v="5"/>
    <x v="1"/>
    <x v="48"/>
    <x v="41"/>
    <x v="41"/>
    <s v="REVENUS"/>
    <x v="8"/>
    <s v="4091.001"/>
    <s v="Impôt récupéré après défalcations"/>
    <n v="0"/>
    <n v="3447.12"/>
    <n v="4091"/>
  </r>
  <r>
    <x v="0"/>
    <x v="5"/>
    <x v="1"/>
    <x v="48"/>
    <x v="41"/>
    <x v="41"/>
    <s v="REVENUS"/>
    <x v="3"/>
    <s v="4002.002"/>
    <s v="Impôt complémentaire s/fortune PP"/>
    <n v="0"/>
    <n v="7514.75"/>
    <n v="4002"/>
  </r>
  <r>
    <x v="0"/>
    <x v="5"/>
    <x v="1"/>
    <x v="48"/>
    <x v="41"/>
    <x v="41"/>
    <s v="REVENUS"/>
    <x v="2"/>
    <s v="4001.003"/>
    <s v="Impôt s/prest. cap. PP"/>
    <n v="0"/>
    <n v="62.9"/>
    <n v="4001"/>
  </r>
  <r>
    <x v="0"/>
    <x v="5"/>
    <x v="1"/>
    <x v="48"/>
    <x v="41"/>
    <x v="41"/>
    <s v="REVENUS"/>
    <x v="2"/>
    <s v="4001.002"/>
    <s v="Impôt complément s/revenu PP"/>
    <n v="0"/>
    <n v="537.20000000000005"/>
    <n v="4001"/>
  </r>
  <r>
    <x v="0"/>
    <x v="5"/>
    <x v="1"/>
    <x v="48"/>
    <x v="41"/>
    <x v="41"/>
    <s v="REVENUS"/>
    <x v="2"/>
    <s v="4001.007"/>
    <s v="Acompte impôt sur revenu"/>
    <n v="0"/>
    <n v="-348.85"/>
    <n v="4001"/>
  </r>
  <r>
    <x v="0"/>
    <x v="5"/>
    <x v="1"/>
    <x v="48"/>
    <x v="41"/>
    <x v="41"/>
    <s v="REVENUS"/>
    <x v="3"/>
    <s v="4002.007"/>
    <s v="Acompte impôt sur fortune"/>
    <n v="0"/>
    <n v="-74"/>
    <n v="4002"/>
  </r>
  <r>
    <x v="0"/>
    <x v="5"/>
    <x v="1"/>
    <x v="48"/>
    <x v="41"/>
    <x v="41"/>
    <s v="REVENUS"/>
    <x v="2"/>
    <s v="4001.002"/>
    <s v="Impôt complément s/revenu PP"/>
    <n v="0"/>
    <n v="12159.4"/>
    <n v="4001"/>
  </r>
  <r>
    <x v="0"/>
    <x v="5"/>
    <x v="1"/>
    <x v="48"/>
    <x v="41"/>
    <x v="41"/>
    <s v="REVENUS"/>
    <x v="3"/>
    <s v="4002.002"/>
    <s v="Impôt complémentaire s/fortune PP"/>
    <n v="0"/>
    <n v="471.9"/>
    <n v="4002"/>
  </r>
  <r>
    <x v="0"/>
    <x v="5"/>
    <x v="1"/>
    <x v="48"/>
    <x v="41"/>
    <x v="41"/>
    <s v="REVENUS"/>
    <x v="10"/>
    <s v="4041.002"/>
    <s v="Complément droit de mutation"/>
    <n v="0"/>
    <n v="6387.55"/>
    <n v="4041"/>
  </r>
  <r>
    <x v="0"/>
    <x v="5"/>
    <x v="1"/>
    <x v="48"/>
    <x v="41"/>
    <x v="41"/>
    <s v="REVENUS"/>
    <x v="2"/>
    <s v="4001.002"/>
    <s v="Impôt complément s/revenu PP"/>
    <n v="0"/>
    <n v="7224.1"/>
    <n v="4001"/>
  </r>
  <r>
    <x v="0"/>
    <x v="5"/>
    <x v="1"/>
    <x v="48"/>
    <x v="41"/>
    <x v="41"/>
    <s v="REVENUS"/>
    <x v="6"/>
    <s v="4211.001"/>
    <s v="Intérêts de retard sur factures"/>
    <n v="0"/>
    <n v="1.42"/>
    <n v="4211"/>
  </r>
  <r>
    <x v="0"/>
    <x v="5"/>
    <x v="1"/>
    <x v="48"/>
    <x v="41"/>
    <x v="41"/>
    <s v="REVENUS"/>
    <x v="9"/>
    <s v="4031.002"/>
    <s v="Complément impôt sur les gains immobiliers"/>
    <n v="0"/>
    <n v="769.5"/>
    <n v="4031"/>
  </r>
  <r>
    <x v="0"/>
    <x v="5"/>
    <x v="1"/>
    <x v="48"/>
    <x v="41"/>
    <x v="41"/>
    <s v="REVENUS"/>
    <x v="6"/>
    <s v="4221.003"/>
    <s v="Intérêts compensat. / acomptes en faveur du fisc"/>
    <n v="0"/>
    <n v="0.01"/>
    <n v="4221"/>
  </r>
  <r>
    <x v="0"/>
    <x v="5"/>
    <x v="1"/>
    <x v="49"/>
    <x v="42"/>
    <x v="42"/>
    <s v="CHARGES"/>
    <x v="1"/>
    <s v="3301.001"/>
    <s v="Défalcations, abandons de solde PP et IS"/>
    <n v="8185.77"/>
    <n v="0"/>
    <n v="3301"/>
  </r>
  <r>
    <x v="0"/>
    <x v="5"/>
    <x v="1"/>
    <x v="49"/>
    <x v="42"/>
    <x v="42"/>
    <s v="CHARGES"/>
    <x v="0"/>
    <s v="3212.004"/>
    <s v="Intérêts rémun./perçu trop tôt sur acomptes C/C"/>
    <n v="-6.11"/>
    <n v="0"/>
    <n v="3212"/>
  </r>
  <r>
    <x v="0"/>
    <x v="5"/>
    <x v="1"/>
    <x v="49"/>
    <x v="42"/>
    <x v="42"/>
    <s v="CHARGES"/>
    <x v="0"/>
    <s v="3221.002"/>
    <s v="Intérêts compensatoires / créances en faveur ctb."/>
    <n v="54.22"/>
    <n v="0"/>
    <n v="3221"/>
  </r>
  <r>
    <x v="0"/>
    <x v="5"/>
    <x v="1"/>
    <x v="49"/>
    <x v="42"/>
    <x v="42"/>
    <s v="CHARGES"/>
    <x v="0"/>
    <s v="3212.004"/>
    <s v="Intérêts rémun./perçu trop tôt sur acomptes C/C"/>
    <n v="191.74"/>
    <n v="0"/>
    <n v="3212"/>
  </r>
  <r>
    <x v="0"/>
    <x v="5"/>
    <x v="1"/>
    <x v="49"/>
    <x v="42"/>
    <x v="42"/>
    <s v="CHARGES"/>
    <x v="0"/>
    <s v="3212.002"/>
    <s v="Intérêts bonifiés/trop perçu acompte C/C"/>
    <n v="-5.24"/>
    <n v="0"/>
    <n v="3212"/>
  </r>
  <r>
    <x v="0"/>
    <x v="5"/>
    <x v="1"/>
    <x v="49"/>
    <x v="42"/>
    <x v="42"/>
    <s v="CHARGES"/>
    <x v="0"/>
    <s v="3212.004"/>
    <s v="Intérêts rémun./perçu trop tôt sur acomptes C/C"/>
    <n v="0.02"/>
    <n v="0"/>
    <n v="3212"/>
  </r>
  <r>
    <x v="0"/>
    <x v="5"/>
    <x v="1"/>
    <x v="49"/>
    <x v="42"/>
    <x v="42"/>
    <s v="CHARGES"/>
    <x v="0"/>
    <s v="3221.002"/>
    <s v="Intérêts compensatoires / créances en faveur ctb."/>
    <n v="0.11"/>
    <n v="0"/>
    <n v="3221"/>
  </r>
  <r>
    <x v="0"/>
    <x v="5"/>
    <x v="1"/>
    <x v="49"/>
    <x v="42"/>
    <x v="42"/>
    <s v="CHARGES"/>
    <x v="1"/>
    <s v="3301.001"/>
    <s v="Défalcations, abandons de solde PP et IS"/>
    <n v="4123.38"/>
    <n v="0"/>
    <n v="3301"/>
  </r>
  <r>
    <x v="0"/>
    <x v="5"/>
    <x v="1"/>
    <x v="49"/>
    <x v="42"/>
    <x v="42"/>
    <s v="CHARGES"/>
    <x v="1"/>
    <s v="3301.001"/>
    <s v="Défalcations, abandons de solde PP et IS"/>
    <n v="0.09"/>
    <n v="0"/>
    <n v="3301"/>
  </r>
  <r>
    <x v="0"/>
    <x v="5"/>
    <x v="1"/>
    <x v="49"/>
    <x v="42"/>
    <x v="42"/>
    <s v="CHARGES"/>
    <x v="0"/>
    <s v="3212.002"/>
    <s v="Intérêts bonifiés/trop perçu acompte C/C"/>
    <n v="0.06"/>
    <n v="0"/>
    <n v="3212"/>
  </r>
  <r>
    <x v="0"/>
    <x v="5"/>
    <x v="1"/>
    <x v="49"/>
    <x v="42"/>
    <x v="42"/>
    <s v="CHARGES"/>
    <x v="0"/>
    <s v="3212.004"/>
    <s v="Intérêts rémun./perçu trop tôt sur acomptes C/C"/>
    <n v="-0.06"/>
    <n v="0"/>
    <n v="3212"/>
  </r>
  <r>
    <x v="0"/>
    <x v="5"/>
    <x v="1"/>
    <x v="49"/>
    <x v="42"/>
    <x v="42"/>
    <s v="REVENUS"/>
    <x v="2"/>
    <s v="4001.007"/>
    <s v="Acompte impôt sur revenu"/>
    <n v="0"/>
    <n v="275931.06"/>
    <n v="4001"/>
  </r>
  <r>
    <x v="0"/>
    <x v="5"/>
    <x v="1"/>
    <x v="49"/>
    <x v="42"/>
    <x v="42"/>
    <s v="REVENUS"/>
    <x v="2"/>
    <s v="4001.007"/>
    <s v="Acompte impôt sur revenu"/>
    <n v="0"/>
    <n v="-149052.23000000001"/>
    <n v="4001"/>
  </r>
  <r>
    <x v="0"/>
    <x v="5"/>
    <x v="1"/>
    <x v="49"/>
    <x v="42"/>
    <x v="42"/>
    <s v="REVENUS"/>
    <x v="3"/>
    <s v="4002.007"/>
    <s v="Acompte impôt sur fortune"/>
    <n v="0"/>
    <n v="-33944.239999999998"/>
    <n v="4002"/>
  </r>
  <r>
    <x v="0"/>
    <x v="5"/>
    <x v="1"/>
    <x v="49"/>
    <x v="42"/>
    <x v="42"/>
    <s v="REVENUS"/>
    <x v="2"/>
    <s v="4001.001"/>
    <s v="Impôt revenu"/>
    <n v="0"/>
    <n v="743717.35"/>
    <n v="4001"/>
  </r>
  <r>
    <x v="0"/>
    <x v="5"/>
    <x v="1"/>
    <x v="49"/>
    <x v="42"/>
    <x v="42"/>
    <s v="REVENUS"/>
    <x v="6"/>
    <s v="4211.001"/>
    <s v="Intérêts de retard sur factures"/>
    <n v="0"/>
    <n v="1390.72"/>
    <n v="4211"/>
  </r>
  <r>
    <x v="0"/>
    <x v="5"/>
    <x v="1"/>
    <x v="49"/>
    <x v="42"/>
    <x v="42"/>
    <s v="REVENUS"/>
    <x v="6"/>
    <s v="4211.002"/>
    <s v="Intérêts de retard sur acomptes"/>
    <n v="0"/>
    <n v="4085.56"/>
    <n v="4211"/>
  </r>
  <r>
    <x v="0"/>
    <x v="5"/>
    <x v="1"/>
    <x v="49"/>
    <x v="42"/>
    <x v="42"/>
    <s v="REVENUS"/>
    <x v="6"/>
    <s v="4221.003"/>
    <s v="Intérêts compensat. / acomptes en faveur du fisc"/>
    <n v="0"/>
    <n v="359.5"/>
    <n v="4221"/>
  </r>
  <r>
    <x v="0"/>
    <x v="5"/>
    <x v="1"/>
    <x v="49"/>
    <x v="42"/>
    <x v="42"/>
    <s v="REVENUS"/>
    <x v="2"/>
    <s v="4001.001"/>
    <s v="Impôt revenu"/>
    <n v="0"/>
    <n v="2212.15"/>
    <n v="4001"/>
  </r>
  <r>
    <x v="0"/>
    <x v="5"/>
    <x v="1"/>
    <x v="49"/>
    <x v="42"/>
    <x v="42"/>
    <s v="REVENUS"/>
    <x v="3"/>
    <s v="4002.001"/>
    <s v="Impôt ordinaire s/fortune PP"/>
    <n v="0"/>
    <n v="658.4"/>
    <n v="4002"/>
  </r>
  <r>
    <x v="0"/>
    <x v="5"/>
    <x v="1"/>
    <x v="49"/>
    <x v="42"/>
    <x v="42"/>
    <s v="REVENUS"/>
    <x v="3"/>
    <s v="4002.001"/>
    <s v="Impôt ordinaire s/fortune PP"/>
    <n v="0"/>
    <n v="118175.8"/>
    <n v="4002"/>
  </r>
  <r>
    <x v="0"/>
    <x v="5"/>
    <x v="1"/>
    <x v="49"/>
    <x v="42"/>
    <x v="42"/>
    <s v="REVENUS"/>
    <x v="3"/>
    <s v="4002.007"/>
    <s v="Acompte impôt sur fortune"/>
    <n v="0"/>
    <n v="54173.72"/>
    <n v="4002"/>
  </r>
  <r>
    <x v="0"/>
    <x v="5"/>
    <x v="1"/>
    <x v="49"/>
    <x v="42"/>
    <x v="42"/>
    <s v="REVENUS"/>
    <x v="2"/>
    <s v="4001.002"/>
    <s v="Impôt complément s/revenu PP"/>
    <n v="0"/>
    <n v="103766.7"/>
    <n v="4001"/>
  </r>
  <r>
    <x v="0"/>
    <x v="5"/>
    <x v="1"/>
    <x v="49"/>
    <x v="42"/>
    <x v="42"/>
    <s v="REVENUS"/>
    <x v="2"/>
    <s v="4001.003"/>
    <s v="Impôt s/prest. cap. PP"/>
    <n v="0"/>
    <n v="16996.75"/>
    <n v="4001"/>
  </r>
  <r>
    <x v="0"/>
    <x v="5"/>
    <x v="1"/>
    <x v="49"/>
    <x v="42"/>
    <x v="42"/>
    <s v="REVENUS"/>
    <x v="6"/>
    <s v="4221.002"/>
    <s v="Intérêts compensat. sur impôts distincts"/>
    <n v="0"/>
    <n v="2.21"/>
    <n v="4221"/>
  </r>
  <r>
    <x v="0"/>
    <x v="5"/>
    <x v="1"/>
    <x v="49"/>
    <x v="42"/>
    <x v="42"/>
    <s v="REVENUS"/>
    <x v="2"/>
    <s v="4001.007"/>
    <s v="Acompte impôt sur revenu"/>
    <n v="0"/>
    <n v="-1180.75"/>
    <n v="4001"/>
  </r>
  <r>
    <x v="0"/>
    <x v="5"/>
    <x v="1"/>
    <x v="49"/>
    <x v="42"/>
    <x v="42"/>
    <s v="REVENUS"/>
    <x v="7"/>
    <s v="4184.000"/>
    <s v="Frais de poursuite"/>
    <n v="0"/>
    <n v="394.64"/>
    <n v="4184"/>
  </r>
  <r>
    <x v="0"/>
    <x v="5"/>
    <x v="1"/>
    <x v="49"/>
    <x v="42"/>
    <x v="42"/>
    <s v="REVENUS"/>
    <x v="9"/>
    <s v="4031.001"/>
    <s v="Impôt sur les gains immobiliers"/>
    <n v="0"/>
    <n v="9277.4500000000007"/>
    <n v="4031"/>
  </r>
  <r>
    <x v="0"/>
    <x v="5"/>
    <x v="1"/>
    <x v="49"/>
    <x v="42"/>
    <x v="42"/>
    <s v="REVENUS"/>
    <x v="3"/>
    <s v="4002.002"/>
    <s v="Impôt complémentaire s/fortune PP"/>
    <n v="0"/>
    <n v="8296.75"/>
    <n v="4002"/>
  </r>
  <r>
    <x v="0"/>
    <x v="5"/>
    <x v="1"/>
    <x v="49"/>
    <x v="42"/>
    <x v="42"/>
    <s v="REVENUS"/>
    <x v="3"/>
    <s v="4002.007"/>
    <s v="Acompte impôt sur fortune"/>
    <n v="0"/>
    <n v="362.2"/>
    <n v="4002"/>
  </r>
  <r>
    <x v="0"/>
    <x v="5"/>
    <x v="1"/>
    <x v="49"/>
    <x v="42"/>
    <x v="42"/>
    <s v="REVENUS"/>
    <x v="2"/>
    <s v="4001.007"/>
    <s v="Acompte impôt sur revenu"/>
    <n v="0"/>
    <n v="2565.5"/>
    <n v="4001"/>
  </r>
  <r>
    <x v="0"/>
    <x v="5"/>
    <x v="1"/>
    <x v="49"/>
    <x v="42"/>
    <x v="42"/>
    <s v="REVENUS"/>
    <x v="3"/>
    <s v="4002.007"/>
    <s v="Acompte impôt sur fortune"/>
    <n v="0"/>
    <n v="-297.5"/>
    <n v="4002"/>
  </r>
  <r>
    <x v="0"/>
    <x v="5"/>
    <x v="1"/>
    <x v="49"/>
    <x v="42"/>
    <x v="42"/>
    <s v="REVENUS"/>
    <x v="7"/>
    <s v="4184.000"/>
    <s v="Frais de poursuite"/>
    <n v="0"/>
    <n v="1.23"/>
    <n v="4184"/>
  </r>
  <r>
    <x v="0"/>
    <x v="5"/>
    <x v="1"/>
    <x v="49"/>
    <x v="42"/>
    <x v="42"/>
    <s v="REVENUS"/>
    <x v="2"/>
    <s v="4001.001"/>
    <s v="Impôt revenu"/>
    <n v="0"/>
    <n v="-190.8"/>
    <n v="4001"/>
  </r>
  <r>
    <x v="0"/>
    <x v="5"/>
    <x v="1"/>
    <x v="49"/>
    <x v="42"/>
    <x v="42"/>
    <s v="REVENUS"/>
    <x v="2"/>
    <s v="4001.002"/>
    <s v="Impôt complément s/revenu PP"/>
    <n v="0"/>
    <n v="-3085.2"/>
    <n v="4001"/>
  </r>
  <r>
    <x v="0"/>
    <x v="5"/>
    <x v="1"/>
    <x v="49"/>
    <x v="42"/>
    <x v="42"/>
    <s v="REVENUS"/>
    <x v="3"/>
    <s v="4002.002"/>
    <s v="Impôt complémentaire s/fortune PP"/>
    <n v="0"/>
    <n v="-22.45"/>
    <n v="4002"/>
  </r>
  <r>
    <x v="0"/>
    <x v="5"/>
    <x v="1"/>
    <x v="49"/>
    <x v="42"/>
    <x v="42"/>
    <s v="REVENUS"/>
    <x v="2"/>
    <s v="4001.001"/>
    <s v="Impôt revenu"/>
    <n v="0"/>
    <n v="1826.75"/>
    <n v="4001"/>
  </r>
  <r>
    <x v="0"/>
    <x v="5"/>
    <x v="1"/>
    <x v="49"/>
    <x v="42"/>
    <x v="42"/>
    <s v="REVENUS"/>
    <x v="3"/>
    <s v="4002.001"/>
    <s v="Impôt ordinaire s/fortune PP"/>
    <n v="0"/>
    <n v="567"/>
    <n v="4002"/>
  </r>
  <r>
    <x v="0"/>
    <x v="5"/>
    <x v="1"/>
    <x v="49"/>
    <x v="42"/>
    <x v="42"/>
    <s v="REVENUS"/>
    <x v="8"/>
    <s v="4091.001"/>
    <s v="Impôt récupéré après défalcations"/>
    <n v="0"/>
    <n v="5569.15"/>
    <n v="4091"/>
  </r>
  <r>
    <x v="0"/>
    <x v="5"/>
    <x v="1"/>
    <x v="49"/>
    <x v="42"/>
    <x v="42"/>
    <s v="REVENUS"/>
    <x v="6"/>
    <s v="4211.001"/>
    <s v="Intérêts de retard sur factures"/>
    <n v="0"/>
    <n v="1.21"/>
    <n v="4211"/>
  </r>
  <r>
    <x v="0"/>
    <x v="5"/>
    <x v="1"/>
    <x v="49"/>
    <x v="42"/>
    <x v="42"/>
    <s v="REVENUS"/>
    <x v="2"/>
    <s v="4001.001"/>
    <s v="Impôt revenu"/>
    <n v="0"/>
    <n v="-29738.5"/>
    <n v="4001"/>
  </r>
  <r>
    <x v="0"/>
    <x v="5"/>
    <x v="1"/>
    <x v="49"/>
    <x v="42"/>
    <x v="42"/>
    <s v="REVENUS"/>
    <x v="3"/>
    <s v="4002.001"/>
    <s v="Impôt ordinaire s/fortune PP"/>
    <n v="0"/>
    <n v="-157.44999999999999"/>
    <n v="4002"/>
  </r>
  <r>
    <x v="0"/>
    <x v="5"/>
    <x v="1"/>
    <x v="49"/>
    <x v="42"/>
    <x v="42"/>
    <s v="REVENUS"/>
    <x v="11"/>
    <s v="4198.000"/>
    <s v="Contributions communales"/>
    <n v="0"/>
    <n v="80029.649999999994"/>
    <n v="4198"/>
  </r>
  <r>
    <x v="0"/>
    <x v="5"/>
    <x v="1"/>
    <x v="49"/>
    <x v="42"/>
    <x v="42"/>
    <s v="REVENUS"/>
    <x v="6"/>
    <s v="4211.002"/>
    <s v="Intérêts de retard sur acomptes"/>
    <n v="0"/>
    <n v="1.68"/>
    <n v="4211"/>
  </r>
  <r>
    <x v="0"/>
    <x v="5"/>
    <x v="1"/>
    <x v="49"/>
    <x v="42"/>
    <x v="42"/>
    <s v="REVENUS"/>
    <x v="6"/>
    <s v="4221.003"/>
    <s v="Intérêts compensat. / acomptes en faveur du fisc"/>
    <n v="0"/>
    <n v="0.09"/>
    <n v="4221"/>
  </r>
  <r>
    <x v="0"/>
    <x v="5"/>
    <x v="1"/>
    <x v="49"/>
    <x v="42"/>
    <x v="42"/>
    <s v="REVENUS"/>
    <x v="6"/>
    <s v="4211.001"/>
    <s v="Intérêts de retard sur factures"/>
    <n v="0"/>
    <n v="0.43"/>
    <n v="4211"/>
  </r>
  <r>
    <x v="0"/>
    <x v="5"/>
    <x v="1"/>
    <x v="49"/>
    <x v="42"/>
    <x v="42"/>
    <s v="REVENUS"/>
    <x v="2"/>
    <s v="4001.005"/>
    <s v="Amende de soustract. Impôt"/>
    <n v="0"/>
    <n v="2300"/>
    <n v="4001"/>
  </r>
  <r>
    <x v="0"/>
    <x v="5"/>
    <x v="1"/>
    <x v="49"/>
    <x v="42"/>
    <x v="42"/>
    <s v="REVENUS"/>
    <x v="5"/>
    <s v="4061.000"/>
    <s v="Impôt sur les chiens"/>
    <n v="0"/>
    <n v="1925"/>
    <n v="4061"/>
  </r>
  <r>
    <x v="0"/>
    <x v="5"/>
    <x v="1"/>
    <x v="49"/>
    <x v="42"/>
    <x v="42"/>
    <s v="REVENUS"/>
    <x v="2"/>
    <s v="4001.002"/>
    <s v="Impôt complément s/revenu PP"/>
    <n v="0"/>
    <n v="485.25"/>
    <n v="4001"/>
  </r>
  <r>
    <x v="0"/>
    <x v="5"/>
    <x v="1"/>
    <x v="49"/>
    <x v="42"/>
    <x v="42"/>
    <s v="REVENUS"/>
    <x v="3"/>
    <s v="4002.002"/>
    <s v="Impôt complémentaire s/fortune PP"/>
    <n v="0"/>
    <n v="44.1"/>
    <n v="4002"/>
  </r>
  <r>
    <x v="0"/>
    <x v="5"/>
    <x v="1"/>
    <x v="50"/>
    <x v="43"/>
    <x v="43"/>
    <s v="CHARGES"/>
    <x v="1"/>
    <s v="3301.001"/>
    <s v="Défalcations, abandons de solde PP et IS"/>
    <n v="1100.69"/>
    <n v="0"/>
    <n v="3301"/>
  </r>
  <r>
    <x v="0"/>
    <x v="5"/>
    <x v="1"/>
    <x v="50"/>
    <x v="43"/>
    <x v="43"/>
    <s v="CHARGES"/>
    <x v="0"/>
    <s v="3212.004"/>
    <s v="Intérêts rémun./perçu trop tôt sur acomptes C/C"/>
    <n v="158.97999999999999"/>
    <n v="0"/>
    <n v="3212"/>
  </r>
  <r>
    <x v="0"/>
    <x v="5"/>
    <x v="1"/>
    <x v="50"/>
    <x v="43"/>
    <x v="43"/>
    <s v="CHARGES"/>
    <x v="0"/>
    <s v="3221.002"/>
    <s v="Intérêts compensatoires / créances en faveur ctb."/>
    <n v="41.49"/>
    <n v="0"/>
    <n v="3221"/>
  </r>
  <r>
    <x v="0"/>
    <x v="5"/>
    <x v="1"/>
    <x v="50"/>
    <x v="43"/>
    <x v="43"/>
    <s v="CHARGES"/>
    <x v="0"/>
    <s v="3212.004"/>
    <s v="Intérêts rémun./perçu trop tôt sur acomptes C/C"/>
    <n v="-0.01"/>
    <n v="0"/>
    <n v="3212"/>
  </r>
  <r>
    <x v="0"/>
    <x v="5"/>
    <x v="1"/>
    <x v="50"/>
    <x v="43"/>
    <x v="43"/>
    <s v="CHARGES"/>
    <x v="0"/>
    <s v="3212.002"/>
    <s v="Intérêts bonifiés/trop perçu acompte C/C"/>
    <n v="8.8000000000000007"/>
    <n v="0"/>
    <n v="3212"/>
  </r>
  <r>
    <x v="0"/>
    <x v="5"/>
    <x v="1"/>
    <x v="50"/>
    <x v="43"/>
    <x v="43"/>
    <s v="CHARGES"/>
    <x v="0"/>
    <s v="3212.004"/>
    <s v="Intérêts rémun./perçu trop tôt sur acomptes C/C"/>
    <n v="0.77"/>
    <n v="0"/>
    <n v="3212"/>
  </r>
  <r>
    <x v="0"/>
    <x v="5"/>
    <x v="1"/>
    <x v="50"/>
    <x v="43"/>
    <x v="43"/>
    <s v="CHARGES"/>
    <x v="0"/>
    <s v="3221.002"/>
    <s v="Intérêts compensatoires / créances en faveur ctb."/>
    <n v="1.62"/>
    <n v="0"/>
    <n v="3221"/>
  </r>
  <r>
    <x v="0"/>
    <x v="5"/>
    <x v="1"/>
    <x v="50"/>
    <x v="43"/>
    <x v="43"/>
    <s v="CHARGES"/>
    <x v="0"/>
    <s v="3212.004"/>
    <s v="Intérêts rémun./perçu trop tôt sur acomptes C/C"/>
    <n v="0.49"/>
    <n v="0"/>
    <n v="3212"/>
  </r>
  <r>
    <x v="0"/>
    <x v="5"/>
    <x v="1"/>
    <x v="50"/>
    <x v="43"/>
    <x v="43"/>
    <s v="CHARGES"/>
    <x v="1"/>
    <s v="3301.001"/>
    <s v="Défalcations, abandons de solde PP et IS"/>
    <n v="0.85"/>
    <n v="0"/>
    <n v="3301"/>
  </r>
  <r>
    <x v="0"/>
    <x v="5"/>
    <x v="1"/>
    <x v="50"/>
    <x v="43"/>
    <x v="43"/>
    <s v="CHARGES"/>
    <x v="0"/>
    <s v="3221.002"/>
    <s v="Intérêts compensatoires / créances en faveur ctb."/>
    <n v="0.08"/>
    <n v="0"/>
    <n v="3221"/>
  </r>
  <r>
    <x v="0"/>
    <x v="5"/>
    <x v="1"/>
    <x v="50"/>
    <x v="43"/>
    <x v="43"/>
    <s v="CHARGES"/>
    <x v="0"/>
    <s v="3212.004"/>
    <s v="Intérêts rémun./perçu trop tôt sur acomptes C/C"/>
    <n v="0.02"/>
    <n v="0"/>
    <n v="3212"/>
  </r>
  <r>
    <x v="0"/>
    <x v="5"/>
    <x v="1"/>
    <x v="50"/>
    <x v="43"/>
    <x v="43"/>
    <s v="CHARGES"/>
    <x v="1"/>
    <s v="3301.001"/>
    <s v="Défalcations, abandons de solde PP et IS"/>
    <n v="0.01"/>
    <n v="0"/>
    <n v="3301"/>
  </r>
  <r>
    <x v="0"/>
    <x v="5"/>
    <x v="1"/>
    <x v="50"/>
    <x v="43"/>
    <x v="43"/>
    <s v="CHARGES"/>
    <x v="1"/>
    <s v="3301.001"/>
    <s v="Défalcations, abandons de solde PP et IS"/>
    <n v="2.65"/>
    <n v="0"/>
    <n v="3301"/>
  </r>
  <r>
    <x v="0"/>
    <x v="5"/>
    <x v="1"/>
    <x v="50"/>
    <x v="43"/>
    <x v="43"/>
    <s v="CHARGES"/>
    <x v="1"/>
    <s v="3301.001"/>
    <s v="Défalcations, abandons de solde PP et IS"/>
    <n v="1821.51"/>
    <n v="0"/>
    <n v="3301"/>
  </r>
  <r>
    <x v="0"/>
    <x v="5"/>
    <x v="1"/>
    <x v="50"/>
    <x v="43"/>
    <x v="43"/>
    <s v="REVENUS"/>
    <x v="2"/>
    <s v="4001.007"/>
    <s v="Acompte impôt sur revenu"/>
    <n v="0"/>
    <n v="198989.53"/>
    <n v="4001"/>
  </r>
  <r>
    <x v="0"/>
    <x v="5"/>
    <x v="1"/>
    <x v="50"/>
    <x v="43"/>
    <x v="43"/>
    <s v="REVENUS"/>
    <x v="3"/>
    <s v="4002.007"/>
    <s v="Acompte impôt sur fortune"/>
    <n v="0"/>
    <n v="9768.64"/>
    <n v="4002"/>
  </r>
  <r>
    <x v="0"/>
    <x v="5"/>
    <x v="1"/>
    <x v="50"/>
    <x v="43"/>
    <x v="43"/>
    <s v="REVENUS"/>
    <x v="6"/>
    <s v="4211.001"/>
    <s v="Intérêts de retard sur factures"/>
    <n v="0"/>
    <n v="6355.15"/>
    <n v="4211"/>
  </r>
  <r>
    <x v="0"/>
    <x v="5"/>
    <x v="1"/>
    <x v="50"/>
    <x v="43"/>
    <x v="43"/>
    <s v="REVENUS"/>
    <x v="2"/>
    <s v="4001.001"/>
    <s v="Impôt revenu"/>
    <n v="0"/>
    <n v="845143.35"/>
    <n v="4001"/>
  </r>
  <r>
    <x v="0"/>
    <x v="5"/>
    <x v="1"/>
    <x v="50"/>
    <x v="43"/>
    <x v="43"/>
    <s v="REVENUS"/>
    <x v="3"/>
    <s v="4002.001"/>
    <s v="Impôt ordinaire s/fortune PP"/>
    <n v="0"/>
    <n v="91267.5"/>
    <n v="4002"/>
  </r>
  <r>
    <x v="0"/>
    <x v="5"/>
    <x v="1"/>
    <x v="50"/>
    <x v="43"/>
    <x v="43"/>
    <s v="REVENUS"/>
    <x v="3"/>
    <s v="4002.007"/>
    <s v="Acompte impôt sur fortune"/>
    <n v="0"/>
    <n v="-40.26"/>
    <n v="4002"/>
  </r>
  <r>
    <x v="0"/>
    <x v="5"/>
    <x v="1"/>
    <x v="50"/>
    <x v="43"/>
    <x v="43"/>
    <s v="REVENUS"/>
    <x v="2"/>
    <s v="4001.007"/>
    <s v="Acompte impôt sur revenu"/>
    <n v="0"/>
    <n v="-121803.47"/>
    <n v="4001"/>
  </r>
  <r>
    <x v="0"/>
    <x v="5"/>
    <x v="1"/>
    <x v="50"/>
    <x v="43"/>
    <x v="43"/>
    <s v="REVENUS"/>
    <x v="3"/>
    <s v="4002.007"/>
    <s v="Acompte impôt sur fortune"/>
    <n v="0"/>
    <n v="-19931.73"/>
    <n v="4002"/>
  </r>
  <r>
    <x v="0"/>
    <x v="5"/>
    <x v="1"/>
    <x v="50"/>
    <x v="43"/>
    <x v="43"/>
    <s v="REVENUS"/>
    <x v="9"/>
    <s v="4031.001"/>
    <s v="Impôt sur les gains immobiliers"/>
    <n v="0"/>
    <n v="73291"/>
    <n v="4031"/>
  </r>
  <r>
    <x v="0"/>
    <x v="5"/>
    <x v="1"/>
    <x v="50"/>
    <x v="43"/>
    <x v="43"/>
    <s v="REVENUS"/>
    <x v="6"/>
    <s v="4211.002"/>
    <s v="Intérêts de retard sur acomptes"/>
    <n v="0"/>
    <n v="6849.88"/>
    <n v="4211"/>
  </r>
  <r>
    <x v="0"/>
    <x v="5"/>
    <x v="1"/>
    <x v="50"/>
    <x v="43"/>
    <x v="43"/>
    <s v="REVENUS"/>
    <x v="6"/>
    <s v="4221.002"/>
    <s v="Intérêts compensat. sur impôts distincts"/>
    <n v="0"/>
    <n v="29.83"/>
    <n v="4221"/>
  </r>
  <r>
    <x v="0"/>
    <x v="5"/>
    <x v="1"/>
    <x v="50"/>
    <x v="43"/>
    <x v="43"/>
    <s v="REVENUS"/>
    <x v="6"/>
    <s v="4221.003"/>
    <s v="Intérêts compensat. / acomptes en faveur du fisc"/>
    <n v="0"/>
    <n v="117"/>
    <n v="4221"/>
  </r>
  <r>
    <x v="0"/>
    <x v="5"/>
    <x v="1"/>
    <x v="50"/>
    <x v="43"/>
    <x v="43"/>
    <s v="REVENUS"/>
    <x v="7"/>
    <s v="4184.000"/>
    <s v="Frais de poursuite"/>
    <n v="0"/>
    <n v="1409.91"/>
    <n v="4184"/>
  </r>
  <r>
    <x v="0"/>
    <x v="5"/>
    <x v="1"/>
    <x v="50"/>
    <x v="43"/>
    <x v="43"/>
    <s v="REVENUS"/>
    <x v="11"/>
    <s v="4198.000"/>
    <s v="Contributions communales"/>
    <n v="0"/>
    <n v="80383.75"/>
    <n v="4198"/>
  </r>
  <r>
    <x v="0"/>
    <x v="5"/>
    <x v="1"/>
    <x v="50"/>
    <x v="43"/>
    <x v="43"/>
    <s v="REVENUS"/>
    <x v="2"/>
    <s v="4001.003"/>
    <s v="Impôt s/prest. cap. PP"/>
    <n v="0"/>
    <n v="29483.200000000001"/>
    <n v="4001"/>
  </r>
  <r>
    <x v="0"/>
    <x v="5"/>
    <x v="1"/>
    <x v="50"/>
    <x v="43"/>
    <x v="43"/>
    <s v="REVENUS"/>
    <x v="12"/>
    <s v="4004.007"/>
    <s v="Acompte spécial étrangers"/>
    <n v="0"/>
    <n v="-9024.9500000000007"/>
    <n v="4004"/>
  </r>
  <r>
    <x v="0"/>
    <x v="5"/>
    <x v="1"/>
    <x v="50"/>
    <x v="43"/>
    <x v="43"/>
    <s v="REVENUS"/>
    <x v="6"/>
    <s v="4211.001"/>
    <s v="Intérêts de retard sur factures"/>
    <n v="0"/>
    <n v="1.52"/>
    <n v="4211"/>
  </r>
  <r>
    <x v="0"/>
    <x v="5"/>
    <x v="1"/>
    <x v="50"/>
    <x v="43"/>
    <x v="43"/>
    <s v="REVENUS"/>
    <x v="2"/>
    <s v="4001.002"/>
    <s v="Impôt complément s/revenu PP"/>
    <n v="0"/>
    <n v="96205.95"/>
    <n v="4001"/>
  </r>
  <r>
    <x v="0"/>
    <x v="5"/>
    <x v="1"/>
    <x v="50"/>
    <x v="43"/>
    <x v="43"/>
    <s v="REVENUS"/>
    <x v="3"/>
    <s v="4002.002"/>
    <s v="Impôt complémentaire s/fortune PP"/>
    <n v="0"/>
    <n v="6719.45"/>
    <n v="4002"/>
  </r>
  <r>
    <x v="0"/>
    <x v="5"/>
    <x v="1"/>
    <x v="50"/>
    <x v="43"/>
    <x v="43"/>
    <s v="REVENUS"/>
    <x v="10"/>
    <s v="4041.001"/>
    <s v="Droits de mutation"/>
    <n v="0"/>
    <n v="88973.3"/>
    <n v="4041"/>
  </r>
  <r>
    <x v="0"/>
    <x v="5"/>
    <x v="1"/>
    <x v="50"/>
    <x v="43"/>
    <x v="43"/>
    <s v="REVENUS"/>
    <x v="3"/>
    <s v="4002.007"/>
    <s v="Acompte impôt sur fortune"/>
    <n v="0"/>
    <n v="-2.15"/>
    <n v="4002"/>
  </r>
  <r>
    <x v="0"/>
    <x v="5"/>
    <x v="1"/>
    <x v="50"/>
    <x v="43"/>
    <x v="43"/>
    <s v="REVENUS"/>
    <x v="2"/>
    <s v="4001.007"/>
    <s v="Acompte impôt sur revenu"/>
    <n v="0"/>
    <n v="-3694.19"/>
    <n v="4001"/>
  </r>
  <r>
    <x v="0"/>
    <x v="5"/>
    <x v="1"/>
    <x v="50"/>
    <x v="43"/>
    <x v="43"/>
    <s v="REVENUS"/>
    <x v="3"/>
    <s v="4002.007"/>
    <s v="Acompte impôt sur fortune"/>
    <n v="0"/>
    <n v="-1203.79"/>
    <n v="4002"/>
  </r>
  <r>
    <x v="0"/>
    <x v="5"/>
    <x v="1"/>
    <x v="50"/>
    <x v="43"/>
    <x v="43"/>
    <s v="REVENUS"/>
    <x v="2"/>
    <s v="4001.007"/>
    <s v="Acompte impôt sur revenu"/>
    <n v="0"/>
    <n v="266.60000000000002"/>
    <n v="4001"/>
  </r>
  <r>
    <x v="0"/>
    <x v="5"/>
    <x v="1"/>
    <x v="50"/>
    <x v="43"/>
    <x v="43"/>
    <s v="REVENUS"/>
    <x v="2"/>
    <s v="4001.001"/>
    <s v="Impôt revenu"/>
    <n v="0"/>
    <n v="-18511.400000000001"/>
    <n v="4001"/>
  </r>
  <r>
    <x v="0"/>
    <x v="5"/>
    <x v="1"/>
    <x v="50"/>
    <x v="43"/>
    <x v="43"/>
    <s v="REVENUS"/>
    <x v="2"/>
    <s v="4001.007"/>
    <s v="Acompte impôt sur revenu"/>
    <n v="0"/>
    <n v="-59.25"/>
    <n v="4001"/>
  </r>
  <r>
    <x v="0"/>
    <x v="5"/>
    <x v="1"/>
    <x v="50"/>
    <x v="43"/>
    <x v="43"/>
    <s v="REVENUS"/>
    <x v="3"/>
    <s v="4002.001"/>
    <s v="Impôt ordinaire s/fortune PP"/>
    <n v="0"/>
    <n v="3199.1"/>
    <n v="4002"/>
  </r>
  <r>
    <x v="0"/>
    <x v="5"/>
    <x v="1"/>
    <x v="50"/>
    <x v="43"/>
    <x v="43"/>
    <s v="REVENUS"/>
    <x v="2"/>
    <s v="4001.002"/>
    <s v="Impôt complément s/revenu PP"/>
    <n v="0"/>
    <n v="-2834.35"/>
    <n v="4001"/>
  </r>
  <r>
    <x v="0"/>
    <x v="5"/>
    <x v="1"/>
    <x v="50"/>
    <x v="43"/>
    <x v="43"/>
    <s v="REVENUS"/>
    <x v="3"/>
    <s v="4002.001"/>
    <s v="Impôt ordinaire s/fortune PP"/>
    <n v="0"/>
    <n v="-602.20000000000005"/>
    <n v="4002"/>
  </r>
  <r>
    <x v="0"/>
    <x v="5"/>
    <x v="1"/>
    <x v="50"/>
    <x v="43"/>
    <x v="43"/>
    <s v="REVENUS"/>
    <x v="3"/>
    <s v="4002.002"/>
    <s v="Impôt complémentaire s/fortune PP"/>
    <n v="0"/>
    <n v="-31.45"/>
    <n v="4002"/>
  </r>
  <r>
    <x v="0"/>
    <x v="5"/>
    <x v="1"/>
    <x v="50"/>
    <x v="43"/>
    <x v="43"/>
    <s v="REVENUS"/>
    <x v="2"/>
    <s v="4001.001"/>
    <s v="Impôt revenu"/>
    <n v="0"/>
    <n v="9256.15"/>
    <n v="4001"/>
  </r>
  <r>
    <x v="0"/>
    <x v="5"/>
    <x v="1"/>
    <x v="50"/>
    <x v="43"/>
    <x v="43"/>
    <s v="REVENUS"/>
    <x v="6"/>
    <s v="4211.002"/>
    <s v="Intérêts de retard sur acomptes"/>
    <n v="0"/>
    <n v="212.35"/>
    <n v="4211"/>
  </r>
  <r>
    <x v="0"/>
    <x v="5"/>
    <x v="1"/>
    <x v="50"/>
    <x v="43"/>
    <x v="43"/>
    <s v="REVENUS"/>
    <x v="5"/>
    <s v="4061.000"/>
    <s v="Impôt sur les chiens"/>
    <n v="0"/>
    <n v="2040"/>
    <n v="4061"/>
  </r>
  <r>
    <x v="0"/>
    <x v="5"/>
    <x v="1"/>
    <x v="50"/>
    <x v="43"/>
    <x v="43"/>
    <s v="REVENUS"/>
    <x v="2"/>
    <s v="4001.001"/>
    <s v="Impôt revenu"/>
    <n v="0"/>
    <n v="6757.95"/>
    <n v="4001"/>
  </r>
  <r>
    <x v="0"/>
    <x v="5"/>
    <x v="1"/>
    <x v="50"/>
    <x v="43"/>
    <x v="43"/>
    <s v="REVENUS"/>
    <x v="6"/>
    <s v="4211.002"/>
    <s v="Intérêts de retard sur acomptes"/>
    <n v="0"/>
    <n v="2.99"/>
    <n v="4211"/>
  </r>
  <r>
    <x v="0"/>
    <x v="5"/>
    <x v="1"/>
    <x v="50"/>
    <x v="43"/>
    <x v="43"/>
    <s v="REVENUS"/>
    <x v="2"/>
    <s v="4001.003"/>
    <s v="Impôt s/prest. cap. PP"/>
    <n v="0"/>
    <n v="-754.4"/>
    <n v="4001"/>
  </r>
  <r>
    <x v="0"/>
    <x v="5"/>
    <x v="1"/>
    <x v="50"/>
    <x v="43"/>
    <x v="43"/>
    <s v="REVENUS"/>
    <x v="3"/>
    <s v="4002.001"/>
    <s v="Impôt ordinaire s/fortune PP"/>
    <n v="0"/>
    <n v="1329.55"/>
    <n v="4002"/>
  </r>
  <r>
    <x v="0"/>
    <x v="5"/>
    <x v="1"/>
    <x v="50"/>
    <x v="43"/>
    <x v="43"/>
    <s v="REVENUS"/>
    <x v="6"/>
    <s v="4221.003"/>
    <s v="Intérêts compensat. / acomptes en faveur du fisc"/>
    <n v="0"/>
    <n v="0.53"/>
    <n v="4221"/>
  </r>
  <r>
    <x v="0"/>
    <x v="5"/>
    <x v="1"/>
    <x v="50"/>
    <x v="43"/>
    <x v="43"/>
    <s v="REVENUS"/>
    <x v="2"/>
    <s v="4001.001"/>
    <s v="Impôt revenu"/>
    <n v="0"/>
    <n v="57.75"/>
    <n v="4001"/>
  </r>
  <r>
    <x v="0"/>
    <x v="5"/>
    <x v="1"/>
    <x v="50"/>
    <x v="43"/>
    <x v="43"/>
    <s v="REVENUS"/>
    <x v="6"/>
    <s v="4221.003"/>
    <s v="Intérêts compensat. / acomptes en faveur du fisc"/>
    <n v="0"/>
    <n v="0.04"/>
    <n v="4221"/>
  </r>
  <r>
    <x v="0"/>
    <x v="5"/>
    <x v="1"/>
    <x v="50"/>
    <x v="43"/>
    <x v="43"/>
    <s v="REVENUS"/>
    <x v="2"/>
    <s v="4001.002"/>
    <s v="Impôt complément s/revenu PP"/>
    <n v="0"/>
    <n v="503.5"/>
    <n v="4001"/>
  </r>
  <r>
    <x v="0"/>
    <x v="5"/>
    <x v="1"/>
    <x v="50"/>
    <x v="43"/>
    <x v="43"/>
    <s v="REVENUS"/>
    <x v="3"/>
    <s v="4002.002"/>
    <s v="Impôt complémentaire s/fortune PP"/>
    <n v="0"/>
    <n v="203.05"/>
    <n v="4002"/>
  </r>
  <r>
    <x v="0"/>
    <x v="5"/>
    <x v="1"/>
    <x v="50"/>
    <x v="43"/>
    <x v="43"/>
    <s v="REVENUS"/>
    <x v="3"/>
    <s v="4002.001"/>
    <s v="Impôt ordinaire s/fortune PP"/>
    <n v="0"/>
    <n v="197.7"/>
    <n v="4002"/>
  </r>
  <r>
    <x v="0"/>
    <x v="5"/>
    <x v="1"/>
    <x v="50"/>
    <x v="43"/>
    <x v="43"/>
    <s v="REVENUS"/>
    <x v="6"/>
    <s v="4211.002"/>
    <s v="Intérêts de retard sur acomptes"/>
    <n v="0"/>
    <n v="0.7"/>
    <n v="4211"/>
  </r>
  <r>
    <x v="0"/>
    <x v="5"/>
    <x v="1"/>
    <x v="50"/>
    <x v="43"/>
    <x v="43"/>
    <s v="REVENUS"/>
    <x v="6"/>
    <s v="4221.003"/>
    <s v="Intérêts compensat. / acomptes en faveur du fisc"/>
    <n v="0"/>
    <n v="3.79"/>
    <n v="4221"/>
  </r>
  <r>
    <x v="0"/>
    <x v="5"/>
    <x v="1"/>
    <x v="50"/>
    <x v="43"/>
    <x v="43"/>
    <s v="REVENUS"/>
    <x v="12"/>
    <s v="4004.000"/>
    <s v="Impôt spécial étrangers"/>
    <n v="0"/>
    <n v="145838.45000000001"/>
    <n v="4004"/>
  </r>
  <r>
    <x v="0"/>
    <x v="4"/>
    <x v="4"/>
    <x v="51"/>
    <x v="44"/>
    <x v="44"/>
    <s v="CHARGES"/>
    <x v="0"/>
    <s v="3212.002"/>
    <s v="Intérêts bonifiés/trop perçu acompte C/C"/>
    <n v="6.33"/>
    <n v="0"/>
    <n v="3212"/>
  </r>
  <r>
    <x v="0"/>
    <x v="4"/>
    <x v="4"/>
    <x v="51"/>
    <x v="44"/>
    <x v="44"/>
    <s v="CHARGES"/>
    <x v="0"/>
    <s v="3212.004"/>
    <s v="Intérêts rémun./perçu trop tôt sur acomptes C/C"/>
    <n v="347.87"/>
    <n v="0"/>
    <n v="3212"/>
  </r>
  <r>
    <x v="0"/>
    <x v="4"/>
    <x v="4"/>
    <x v="51"/>
    <x v="44"/>
    <x v="44"/>
    <s v="CHARGES"/>
    <x v="0"/>
    <s v="3221.002"/>
    <s v="Intérêts compensatoires / créances en faveur ctb."/>
    <n v="294.08999999999997"/>
    <n v="0"/>
    <n v="3221"/>
  </r>
  <r>
    <x v="0"/>
    <x v="4"/>
    <x v="4"/>
    <x v="51"/>
    <x v="44"/>
    <x v="44"/>
    <s v="CHARGES"/>
    <x v="1"/>
    <s v="3301.001"/>
    <s v="Défalcations, abandons de solde PP et IS"/>
    <n v="7587.59"/>
    <n v="0"/>
    <n v="3301"/>
  </r>
  <r>
    <x v="0"/>
    <x v="4"/>
    <x v="4"/>
    <x v="51"/>
    <x v="44"/>
    <x v="44"/>
    <s v="CHARGES"/>
    <x v="1"/>
    <s v="3301.001"/>
    <s v="Défalcations, abandons de solde PP et IS"/>
    <n v="3716.18"/>
    <n v="0"/>
    <n v="3301"/>
  </r>
  <r>
    <x v="0"/>
    <x v="4"/>
    <x v="4"/>
    <x v="51"/>
    <x v="44"/>
    <x v="44"/>
    <s v="CHARGES"/>
    <x v="1"/>
    <s v="3301.001"/>
    <s v="Défalcations, abandons de solde PP et IS"/>
    <n v="2.39"/>
    <n v="0"/>
    <n v="3301"/>
  </r>
  <r>
    <x v="0"/>
    <x v="4"/>
    <x v="4"/>
    <x v="51"/>
    <x v="44"/>
    <x v="44"/>
    <s v="CHARGES"/>
    <x v="0"/>
    <s v="3212.004"/>
    <s v="Intérêts rémun./perçu trop tôt sur acomptes C/C"/>
    <n v="2.61"/>
    <n v="0"/>
    <n v="3212"/>
  </r>
  <r>
    <x v="0"/>
    <x v="4"/>
    <x v="4"/>
    <x v="51"/>
    <x v="44"/>
    <x v="44"/>
    <s v="CHARGES"/>
    <x v="0"/>
    <s v="3221.002"/>
    <s v="Intérêts compensatoires / créances en faveur ctb."/>
    <n v="1.58"/>
    <n v="0"/>
    <n v="3221"/>
  </r>
  <r>
    <x v="0"/>
    <x v="4"/>
    <x v="4"/>
    <x v="51"/>
    <x v="44"/>
    <x v="44"/>
    <s v="CHARGES"/>
    <x v="1"/>
    <s v="3301.001"/>
    <s v="Défalcations, abandons de solde PP et IS"/>
    <n v="6635.81"/>
    <n v="0"/>
    <n v="3301"/>
  </r>
  <r>
    <x v="0"/>
    <x v="4"/>
    <x v="4"/>
    <x v="51"/>
    <x v="44"/>
    <x v="44"/>
    <s v="CHARGES"/>
    <x v="0"/>
    <s v="3221.002"/>
    <s v="Intérêts compensatoires / créances en faveur ctb."/>
    <n v="-0.02"/>
    <n v="0"/>
    <n v="3221"/>
  </r>
  <r>
    <x v="0"/>
    <x v="4"/>
    <x v="4"/>
    <x v="51"/>
    <x v="44"/>
    <x v="44"/>
    <s v="CHARGES"/>
    <x v="1"/>
    <s v="3301.001"/>
    <s v="Défalcations, abandons de solde PP et IS"/>
    <n v="0.39"/>
    <n v="0"/>
    <n v="3301"/>
  </r>
  <r>
    <x v="0"/>
    <x v="4"/>
    <x v="4"/>
    <x v="51"/>
    <x v="44"/>
    <x v="44"/>
    <s v="CHARGES"/>
    <x v="0"/>
    <s v="3212.004"/>
    <s v="Intérêts rémun./perçu trop tôt sur acomptes C/C"/>
    <n v="0.04"/>
    <n v="0"/>
    <n v="3212"/>
  </r>
  <r>
    <x v="0"/>
    <x v="4"/>
    <x v="4"/>
    <x v="51"/>
    <x v="44"/>
    <x v="44"/>
    <s v="CHARGES"/>
    <x v="0"/>
    <s v="3221.002"/>
    <s v="Intérêts compensatoires / créances en faveur ctb."/>
    <n v="0.05"/>
    <n v="0"/>
    <n v="3221"/>
  </r>
  <r>
    <x v="0"/>
    <x v="4"/>
    <x v="4"/>
    <x v="51"/>
    <x v="44"/>
    <x v="44"/>
    <s v="CHARGES"/>
    <x v="1"/>
    <s v="3301.001"/>
    <s v="Défalcations, abandons de solde PP et IS"/>
    <n v="0.01"/>
    <n v="0"/>
    <n v="3301"/>
  </r>
  <r>
    <x v="0"/>
    <x v="4"/>
    <x v="4"/>
    <x v="51"/>
    <x v="44"/>
    <x v="44"/>
    <s v="CHARGES"/>
    <x v="0"/>
    <s v="3212.002"/>
    <s v="Intérêts bonifiés/trop perçu acompte C/C"/>
    <n v="-0.01"/>
    <n v="0"/>
    <n v="3212"/>
  </r>
  <r>
    <x v="0"/>
    <x v="4"/>
    <x v="4"/>
    <x v="51"/>
    <x v="44"/>
    <x v="44"/>
    <s v="CHARGES"/>
    <x v="0"/>
    <s v="3212.004"/>
    <s v="Intérêts rémun./perçu trop tôt sur acomptes C/C"/>
    <n v="2.87"/>
    <n v="0"/>
    <n v="3212"/>
  </r>
  <r>
    <x v="0"/>
    <x v="4"/>
    <x v="4"/>
    <x v="51"/>
    <x v="44"/>
    <x v="44"/>
    <s v="CHARGES"/>
    <x v="0"/>
    <s v="3221.002"/>
    <s v="Intérêts compensatoires / créances en faveur ctb."/>
    <n v="1.49"/>
    <n v="0"/>
    <n v="3221"/>
  </r>
  <r>
    <x v="0"/>
    <x v="4"/>
    <x v="4"/>
    <x v="51"/>
    <x v="44"/>
    <x v="44"/>
    <s v="CHARGES"/>
    <x v="1"/>
    <s v="3301.003"/>
    <s v="Remises PP et IS"/>
    <n v="15184.56"/>
    <n v="0"/>
    <n v="3301"/>
  </r>
  <r>
    <x v="0"/>
    <x v="4"/>
    <x v="4"/>
    <x v="51"/>
    <x v="44"/>
    <x v="44"/>
    <s v="CHARGES"/>
    <x v="0"/>
    <s v="3212.002"/>
    <s v="Intérêts bonifiés/trop perçu acompte C/C"/>
    <n v="0.62"/>
    <n v="0"/>
    <n v="3212"/>
  </r>
  <r>
    <x v="0"/>
    <x v="4"/>
    <x v="4"/>
    <x v="51"/>
    <x v="44"/>
    <x v="44"/>
    <s v="CHARGES"/>
    <x v="1"/>
    <s v="3301.001"/>
    <s v="Défalcations, abandons de solde PP et IS"/>
    <n v="-0.52"/>
    <n v="0"/>
    <n v="3301"/>
  </r>
  <r>
    <x v="0"/>
    <x v="4"/>
    <x v="4"/>
    <x v="51"/>
    <x v="44"/>
    <x v="44"/>
    <s v="CHARGES"/>
    <x v="0"/>
    <s v="3221.002"/>
    <s v="Intérêts compensatoires / créances en faveur ctb."/>
    <n v="2.52"/>
    <n v="0"/>
    <n v="3221"/>
  </r>
  <r>
    <x v="0"/>
    <x v="4"/>
    <x v="4"/>
    <x v="51"/>
    <x v="44"/>
    <x v="44"/>
    <s v="CHARGES"/>
    <x v="1"/>
    <s v="3301.001"/>
    <s v="Défalcations, abandons de solde PP et IS"/>
    <n v="0.39"/>
    <n v="0"/>
    <n v="3301"/>
  </r>
  <r>
    <x v="0"/>
    <x v="4"/>
    <x v="4"/>
    <x v="51"/>
    <x v="44"/>
    <x v="44"/>
    <s v="CHARGES"/>
    <x v="0"/>
    <s v="3212.004"/>
    <s v="Intérêts rémun./perçu trop tôt sur acomptes C/C"/>
    <n v="0.71"/>
    <n v="0"/>
    <n v="3212"/>
  </r>
  <r>
    <x v="0"/>
    <x v="4"/>
    <x v="4"/>
    <x v="51"/>
    <x v="44"/>
    <x v="44"/>
    <s v="CHARGES"/>
    <x v="0"/>
    <s v="3221.002"/>
    <s v="Intérêts compensatoires / créances en faveur ctb."/>
    <n v="0.25"/>
    <n v="0"/>
    <n v="3221"/>
  </r>
  <r>
    <x v="0"/>
    <x v="4"/>
    <x v="4"/>
    <x v="51"/>
    <x v="44"/>
    <x v="44"/>
    <s v="CHARGES"/>
    <x v="0"/>
    <s v="3212.004"/>
    <s v="Intérêts rémun./perçu trop tôt sur acomptes C/C"/>
    <n v="0.63"/>
    <n v="0"/>
    <n v="3212"/>
  </r>
  <r>
    <x v="0"/>
    <x v="4"/>
    <x v="4"/>
    <x v="51"/>
    <x v="44"/>
    <x v="44"/>
    <s v="REVENUS"/>
    <x v="2"/>
    <s v="4001.001"/>
    <s v="Impôt revenu"/>
    <n v="0"/>
    <n v="1880735.65"/>
    <n v="4001"/>
  </r>
  <r>
    <x v="0"/>
    <x v="4"/>
    <x v="4"/>
    <x v="51"/>
    <x v="44"/>
    <x v="44"/>
    <s v="REVENUS"/>
    <x v="2"/>
    <s v="4001.002"/>
    <s v="Impôt complément s/revenu PP"/>
    <n v="0"/>
    <n v="508102.95"/>
    <n v="4001"/>
  </r>
  <r>
    <x v="0"/>
    <x v="4"/>
    <x v="4"/>
    <x v="51"/>
    <x v="44"/>
    <x v="44"/>
    <s v="REVENUS"/>
    <x v="2"/>
    <s v="4001.007"/>
    <s v="Acompte impôt sur revenu"/>
    <n v="0"/>
    <n v="-397563.2"/>
    <n v="4001"/>
  </r>
  <r>
    <x v="0"/>
    <x v="4"/>
    <x v="4"/>
    <x v="51"/>
    <x v="44"/>
    <x v="44"/>
    <s v="REVENUS"/>
    <x v="3"/>
    <s v="4002.001"/>
    <s v="Impôt ordinaire s/fortune PP"/>
    <n v="0"/>
    <n v="190622.35"/>
    <n v="4002"/>
  </r>
  <r>
    <x v="0"/>
    <x v="4"/>
    <x v="4"/>
    <x v="51"/>
    <x v="44"/>
    <x v="44"/>
    <s v="REVENUS"/>
    <x v="3"/>
    <s v="4002.002"/>
    <s v="Impôt complémentaire s/fortune PP"/>
    <n v="0"/>
    <n v="50238.15"/>
    <n v="4002"/>
  </r>
  <r>
    <x v="0"/>
    <x v="4"/>
    <x v="4"/>
    <x v="51"/>
    <x v="44"/>
    <x v="44"/>
    <s v="REVENUS"/>
    <x v="6"/>
    <s v="4211.001"/>
    <s v="Intérêts de retard sur factures"/>
    <n v="0"/>
    <n v="5581.89"/>
    <n v="4211"/>
  </r>
  <r>
    <x v="0"/>
    <x v="4"/>
    <x v="4"/>
    <x v="51"/>
    <x v="44"/>
    <x v="44"/>
    <s v="REVENUS"/>
    <x v="6"/>
    <s v="4221.003"/>
    <s v="Intérêts compensat. / acomptes en faveur du fisc"/>
    <n v="0"/>
    <n v="286.91000000000003"/>
    <n v="4221"/>
  </r>
  <r>
    <x v="0"/>
    <x v="4"/>
    <x v="4"/>
    <x v="51"/>
    <x v="44"/>
    <x v="44"/>
    <s v="REVENUS"/>
    <x v="3"/>
    <s v="4002.007"/>
    <s v="Acompte impôt sur fortune"/>
    <n v="0"/>
    <n v="-6727.87"/>
    <n v="4002"/>
  </r>
  <r>
    <x v="0"/>
    <x v="4"/>
    <x v="4"/>
    <x v="51"/>
    <x v="44"/>
    <x v="44"/>
    <s v="REVENUS"/>
    <x v="5"/>
    <s v="4061.000"/>
    <s v="Impôt sur les chiens"/>
    <n v="0"/>
    <n v="9450"/>
    <n v="4061"/>
  </r>
  <r>
    <x v="0"/>
    <x v="4"/>
    <x v="4"/>
    <x v="51"/>
    <x v="44"/>
    <x v="44"/>
    <s v="REVENUS"/>
    <x v="6"/>
    <s v="4211.002"/>
    <s v="Intérêts de retard sur acomptes"/>
    <n v="0"/>
    <n v="11258.14"/>
    <n v="4211"/>
  </r>
  <r>
    <x v="0"/>
    <x v="4"/>
    <x v="4"/>
    <x v="51"/>
    <x v="44"/>
    <x v="44"/>
    <s v="REVENUS"/>
    <x v="10"/>
    <s v="4041.001"/>
    <s v="Droits de mutation"/>
    <n v="0"/>
    <n v="146432"/>
    <n v="4041"/>
  </r>
  <r>
    <x v="0"/>
    <x v="4"/>
    <x v="4"/>
    <x v="51"/>
    <x v="44"/>
    <x v="44"/>
    <s v="REVENUS"/>
    <x v="3"/>
    <s v="4002.007"/>
    <s v="Acompte impôt sur fortune"/>
    <n v="0"/>
    <n v="-999.65"/>
    <n v="4002"/>
  </r>
  <r>
    <x v="0"/>
    <x v="4"/>
    <x v="4"/>
    <x v="51"/>
    <x v="44"/>
    <x v="44"/>
    <s v="REVENUS"/>
    <x v="3"/>
    <s v="4002.001"/>
    <s v="Impôt ordinaire s/fortune PP"/>
    <n v="0"/>
    <n v="9161.25"/>
    <n v="4002"/>
  </r>
  <r>
    <x v="0"/>
    <x v="4"/>
    <x v="4"/>
    <x v="51"/>
    <x v="44"/>
    <x v="44"/>
    <s v="REVENUS"/>
    <x v="6"/>
    <s v="4211.002"/>
    <s v="Intérêts de retard sur acomptes"/>
    <n v="0"/>
    <n v="675.32"/>
    <n v="4211"/>
  </r>
  <r>
    <x v="0"/>
    <x v="4"/>
    <x v="4"/>
    <x v="51"/>
    <x v="44"/>
    <x v="44"/>
    <s v="REVENUS"/>
    <x v="2"/>
    <s v="4001.001"/>
    <s v="Impôt revenu"/>
    <n v="0"/>
    <n v="21608.2"/>
    <n v="4001"/>
  </r>
  <r>
    <x v="0"/>
    <x v="4"/>
    <x v="4"/>
    <x v="51"/>
    <x v="44"/>
    <x v="44"/>
    <s v="REVENUS"/>
    <x v="6"/>
    <s v="4221.003"/>
    <s v="Intérêts compensat. / acomptes en faveur du fisc"/>
    <n v="0"/>
    <n v="8.92"/>
    <n v="4221"/>
  </r>
  <r>
    <x v="0"/>
    <x v="4"/>
    <x v="4"/>
    <x v="51"/>
    <x v="44"/>
    <x v="44"/>
    <s v="REVENUS"/>
    <x v="2"/>
    <s v="4001.002"/>
    <s v="Impôt complément s/revenu PP"/>
    <n v="0"/>
    <n v="7782.8"/>
    <n v="4001"/>
  </r>
  <r>
    <x v="0"/>
    <x v="4"/>
    <x v="4"/>
    <x v="51"/>
    <x v="44"/>
    <x v="44"/>
    <s v="REVENUS"/>
    <x v="3"/>
    <s v="4002.002"/>
    <s v="Impôt complémentaire s/fortune PP"/>
    <n v="0"/>
    <n v="4785.7"/>
    <n v="4002"/>
  </r>
  <r>
    <x v="0"/>
    <x v="4"/>
    <x v="4"/>
    <x v="51"/>
    <x v="44"/>
    <x v="44"/>
    <s v="REVENUS"/>
    <x v="7"/>
    <s v="4184.000"/>
    <s v="Frais de poursuite"/>
    <n v="0"/>
    <n v="1209.81"/>
    <n v="4184"/>
  </r>
  <r>
    <x v="0"/>
    <x v="4"/>
    <x v="4"/>
    <x v="51"/>
    <x v="44"/>
    <x v="44"/>
    <s v="REVENUS"/>
    <x v="2"/>
    <s v="4001.007"/>
    <s v="Acompte impôt sur revenu"/>
    <n v="0"/>
    <n v="-4282"/>
    <n v="4001"/>
  </r>
  <r>
    <x v="0"/>
    <x v="4"/>
    <x v="4"/>
    <x v="51"/>
    <x v="44"/>
    <x v="44"/>
    <s v="REVENUS"/>
    <x v="2"/>
    <s v="4001.007"/>
    <s v="Acompte impôt sur revenu"/>
    <n v="0"/>
    <n v="1889.72"/>
    <n v="4001"/>
  </r>
  <r>
    <x v="0"/>
    <x v="4"/>
    <x v="4"/>
    <x v="51"/>
    <x v="44"/>
    <x v="44"/>
    <s v="REVENUS"/>
    <x v="3"/>
    <s v="4002.007"/>
    <s v="Acompte impôt sur fortune"/>
    <n v="0"/>
    <n v="482.32"/>
    <n v="4002"/>
  </r>
  <r>
    <x v="0"/>
    <x v="4"/>
    <x v="4"/>
    <x v="51"/>
    <x v="44"/>
    <x v="44"/>
    <s v="REVENUS"/>
    <x v="3"/>
    <s v="4002.007"/>
    <s v="Acompte impôt sur fortune"/>
    <n v="0"/>
    <n v="526.42999999999995"/>
    <n v="4002"/>
  </r>
  <r>
    <x v="0"/>
    <x v="4"/>
    <x v="4"/>
    <x v="51"/>
    <x v="44"/>
    <x v="44"/>
    <s v="REVENUS"/>
    <x v="2"/>
    <s v="4001.007"/>
    <s v="Acompte impôt sur revenu"/>
    <n v="0"/>
    <n v="1154.21"/>
    <n v="4001"/>
  </r>
  <r>
    <x v="0"/>
    <x v="4"/>
    <x v="4"/>
    <x v="51"/>
    <x v="44"/>
    <x v="44"/>
    <s v="REVENUS"/>
    <x v="7"/>
    <s v="4184.000"/>
    <s v="Frais de poursuite"/>
    <n v="0"/>
    <n v="348.4"/>
    <n v="4184"/>
  </r>
  <r>
    <x v="0"/>
    <x v="4"/>
    <x v="4"/>
    <x v="51"/>
    <x v="44"/>
    <x v="44"/>
    <s v="REVENUS"/>
    <x v="2"/>
    <s v="4001.007"/>
    <s v="Acompte impôt sur revenu"/>
    <n v="0"/>
    <n v="1336.02"/>
    <n v="4001"/>
  </r>
  <r>
    <x v="0"/>
    <x v="4"/>
    <x v="4"/>
    <x v="51"/>
    <x v="44"/>
    <x v="44"/>
    <s v="REVENUS"/>
    <x v="3"/>
    <s v="4002.007"/>
    <s v="Acompte impôt sur fortune"/>
    <n v="0"/>
    <n v="766.58"/>
    <n v="4002"/>
  </r>
  <r>
    <x v="0"/>
    <x v="4"/>
    <x v="4"/>
    <x v="51"/>
    <x v="44"/>
    <x v="44"/>
    <s v="REVENUS"/>
    <x v="2"/>
    <s v="4001.001"/>
    <s v="Impôt revenu"/>
    <n v="0"/>
    <n v="7482.95"/>
    <n v="4001"/>
  </r>
  <r>
    <x v="0"/>
    <x v="4"/>
    <x v="4"/>
    <x v="51"/>
    <x v="44"/>
    <x v="44"/>
    <s v="REVENUS"/>
    <x v="2"/>
    <s v="4001.007"/>
    <s v="Acompte impôt sur revenu"/>
    <n v="0"/>
    <n v="2703.91"/>
    <n v="4001"/>
  </r>
  <r>
    <x v="0"/>
    <x v="4"/>
    <x v="4"/>
    <x v="51"/>
    <x v="44"/>
    <x v="44"/>
    <s v="REVENUS"/>
    <x v="3"/>
    <s v="4002.001"/>
    <s v="Impôt ordinaire s/fortune PP"/>
    <n v="0"/>
    <n v="4912.8999999999996"/>
    <n v="4002"/>
  </r>
  <r>
    <x v="0"/>
    <x v="4"/>
    <x v="4"/>
    <x v="51"/>
    <x v="44"/>
    <x v="44"/>
    <s v="REVENUS"/>
    <x v="3"/>
    <s v="4002.007"/>
    <s v="Acompte impôt sur fortune"/>
    <n v="0"/>
    <n v="904.95"/>
    <n v="4002"/>
  </r>
  <r>
    <x v="0"/>
    <x v="4"/>
    <x v="4"/>
    <x v="51"/>
    <x v="44"/>
    <x v="44"/>
    <s v="REVENUS"/>
    <x v="6"/>
    <s v="4211.002"/>
    <s v="Intérêts de retard sur acomptes"/>
    <n v="0"/>
    <n v="6.18"/>
    <n v="4211"/>
  </r>
  <r>
    <x v="0"/>
    <x v="4"/>
    <x v="4"/>
    <x v="51"/>
    <x v="44"/>
    <x v="44"/>
    <s v="REVENUS"/>
    <x v="2"/>
    <s v="4001.003"/>
    <s v="Impôt s/prest. cap. PP"/>
    <n v="0"/>
    <n v="55164.65"/>
    <n v="4001"/>
  </r>
  <r>
    <x v="0"/>
    <x v="4"/>
    <x v="4"/>
    <x v="51"/>
    <x v="44"/>
    <x v="44"/>
    <s v="REVENUS"/>
    <x v="2"/>
    <s v="4001.001"/>
    <s v="Impôt revenu"/>
    <n v="0"/>
    <n v="40.75"/>
    <n v="4001"/>
  </r>
  <r>
    <x v="0"/>
    <x v="4"/>
    <x v="4"/>
    <x v="51"/>
    <x v="44"/>
    <x v="44"/>
    <s v="REVENUS"/>
    <x v="2"/>
    <s v="4001.002"/>
    <s v="Impôt complément s/revenu PP"/>
    <n v="0"/>
    <n v="563.54999999999995"/>
    <n v="4001"/>
  </r>
  <r>
    <x v="0"/>
    <x v="4"/>
    <x v="4"/>
    <x v="51"/>
    <x v="44"/>
    <x v="44"/>
    <s v="REVENUS"/>
    <x v="6"/>
    <s v="4211.001"/>
    <s v="Intérêts de retard sur factures"/>
    <n v="0"/>
    <n v="1.81"/>
    <n v="4211"/>
  </r>
  <r>
    <x v="0"/>
    <x v="4"/>
    <x v="4"/>
    <x v="51"/>
    <x v="44"/>
    <x v="44"/>
    <s v="REVENUS"/>
    <x v="6"/>
    <s v="4221.003"/>
    <s v="Intérêts compensat. / acomptes en faveur du fisc"/>
    <n v="0"/>
    <n v="0.37"/>
    <n v="4221"/>
  </r>
  <r>
    <x v="0"/>
    <x v="4"/>
    <x v="4"/>
    <x v="51"/>
    <x v="44"/>
    <x v="44"/>
    <s v="REVENUS"/>
    <x v="6"/>
    <s v="4221.002"/>
    <s v="Intérêts compensat. sur impôts distincts"/>
    <n v="0"/>
    <n v="-1.25"/>
    <n v="4221"/>
  </r>
  <r>
    <x v="0"/>
    <x v="4"/>
    <x v="4"/>
    <x v="51"/>
    <x v="44"/>
    <x v="44"/>
    <s v="REVENUS"/>
    <x v="6"/>
    <s v="4211.001"/>
    <s v="Intérêts de retard sur factures"/>
    <n v="0"/>
    <n v="85.24"/>
    <n v="4211"/>
  </r>
  <r>
    <x v="0"/>
    <x v="4"/>
    <x v="4"/>
    <x v="51"/>
    <x v="44"/>
    <x v="44"/>
    <s v="REVENUS"/>
    <x v="9"/>
    <s v="4031.001"/>
    <s v="Impôt sur les gains immobiliers"/>
    <n v="0"/>
    <n v="54282.8"/>
    <n v="4031"/>
  </r>
  <r>
    <x v="0"/>
    <x v="4"/>
    <x v="4"/>
    <x v="51"/>
    <x v="44"/>
    <x v="44"/>
    <s v="REVENUS"/>
    <x v="2"/>
    <s v="4001.001"/>
    <s v="Impôt revenu"/>
    <n v="0"/>
    <n v="-7027.95"/>
    <n v="4001"/>
  </r>
  <r>
    <x v="0"/>
    <x v="4"/>
    <x v="4"/>
    <x v="51"/>
    <x v="44"/>
    <x v="44"/>
    <s v="REVENUS"/>
    <x v="3"/>
    <s v="4002.001"/>
    <s v="Impôt ordinaire s/fortune PP"/>
    <n v="0"/>
    <n v="-3894.8"/>
    <n v="4002"/>
  </r>
  <r>
    <x v="0"/>
    <x v="4"/>
    <x v="4"/>
    <x v="51"/>
    <x v="44"/>
    <x v="44"/>
    <s v="REVENUS"/>
    <x v="6"/>
    <s v="4221.003"/>
    <s v="Intérêts compensat. / acomptes en faveur du fisc"/>
    <n v="0"/>
    <n v="0.02"/>
    <n v="4221"/>
  </r>
  <r>
    <x v="0"/>
    <x v="4"/>
    <x v="4"/>
    <x v="51"/>
    <x v="44"/>
    <x v="44"/>
    <s v="REVENUS"/>
    <x v="8"/>
    <s v="4091.001"/>
    <s v="Impôt récupéré après défalcations"/>
    <n v="0"/>
    <n v="3288.87"/>
    <n v="4091"/>
  </r>
  <r>
    <x v="0"/>
    <x v="4"/>
    <x v="4"/>
    <x v="51"/>
    <x v="44"/>
    <x v="44"/>
    <s v="REVENUS"/>
    <x v="8"/>
    <s v="4091.001"/>
    <s v="Impôt récupéré après défalcations"/>
    <n v="0"/>
    <n v="7827.12"/>
    <n v="4091"/>
  </r>
  <r>
    <x v="0"/>
    <x v="4"/>
    <x v="4"/>
    <x v="51"/>
    <x v="44"/>
    <x v="44"/>
    <s v="REVENUS"/>
    <x v="8"/>
    <s v="4091.001"/>
    <s v="Impôt récupéré après défalcations"/>
    <n v="0"/>
    <n v="214.15"/>
    <n v="4091"/>
  </r>
  <r>
    <x v="0"/>
    <x v="4"/>
    <x v="4"/>
    <x v="51"/>
    <x v="44"/>
    <x v="44"/>
    <s v="REVENUS"/>
    <x v="3"/>
    <s v="4002.001"/>
    <s v="Impôt ordinaire s/fortune PP"/>
    <n v="0"/>
    <n v="-1446.45"/>
    <n v="4002"/>
  </r>
  <r>
    <x v="0"/>
    <x v="4"/>
    <x v="4"/>
    <x v="51"/>
    <x v="44"/>
    <x v="44"/>
    <s v="REVENUS"/>
    <x v="3"/>
    <s v="4002.002"/>
    <s v="Impôt complémentaire s/fortune PP"/>
    <n v="0"/>
    <n v="2179.6999999999998"/>
    <n v="4002"/>
  </r>
  <r>
    <x v="0"/>
    <x v="4"/>
    <x v="4"/>
    <x v="51"/>
    <x v="44"/>
    <x v="44"/>
    <s v="REVENUS"/>
    <x v="6"/>
    <s v="4211.001"/>
    <s v="Intérêts de retard sur factures"/>
    <n v="0"/>
    <n v="2.72"/>
    <n v="4211"/>
  </r>
  <r>
    <x v="0"/>
    <x v="4"/>
    <x v="4"/>
    <x v="51"/>
    <x v="44"/>
    <x v="44"/>
    <s v="REVENUS"/>
    <x v="6"/>
    <s v="4211.002"/>
    <s v="Intérêts de retard sur acomptes"/>
    <n v="0"/>
    <n v="4.3499999999999996"/>
    <n v="4211"/>
  </r>
  <r>
    <x v="0"/>
    <x v="4"/>
    <x v="4"/>
    <x v="51"/>
    <x v="44"/>
    <x v="44"/>
    <s v="REVENUS"/>
    <x v="6"/>
    <s v="4221.003"/>
    <s v="Intérêts compensat. / acomptes en faveur du fisc"/>
    <n v="0"/>
    <n v="0.3"/>
    <n v="4221"/>
  </r>
  <r>
    <x v="0"/>
    <x v="4"/>
    <x v="4"/>
    <x v="51"/>
    <x v="44"/>
    <x v="44"/>
    <s v="REVENUS"/>
    <x v="2"/>
    <s v="4001.001"/>
    <s v="Impôt revenu"/>
    <n v="0"/>
    <n v="-417.2"/>
    <n v="4001"/>
  </r>
  <r>
    <x v="0"/>
    <x v="4"/>
    <x v="4"/>
    <x v="51"/>
    <x v="44"/>
    <x v="44"/>
    <s v="REVENUS"/>
    <x v="2"/>
    <s v="4001.002"/>
    <s v="Impôt complément s/revenu PP"/>
    <n v="0"/>
    <n v="2179.75"/>
    <n v="4001"/>
  </r>
  <r>
    <x v="0"/>
    <x v="4"/>
    <x v="4"/>
    <x v="51"/>
    <x v="44"/>
    <x v="44"/>
    <s v="REVENUS"/>
    <x v="6"/>
    <s v="4221.003"/>
    <s v="Intérêts compensat. / acomptes en faveur du fisc"/>
    <n v="0"/>
    <n v="0.49"/>
    <n v="4221"/>
  </r>
  <r>
    <x v="0"/>
    <x v="4"/>
    <x v="4"/>
    <x v="51"/>
    <x v="44"/>
    <x v="44"/>
    <s v="REVENUS"/>
    <x v="2"/>
    <s v="4001.001"/>
    <s v="Impôt revenu"/>
    <n v="0"/>
    <n v="1498.35"/>
    <n v="4001"/>
  </r>
  <r>
    <x v="0"/>
    <x v="4"/>
    <x v="4"/>
    <x v="51"/>
    <x v="44"/>
    <x v="44"/>
    <s v="REVENUS"/>
    <x v="3"/>
    <s v="4002.001"/>
    <s v="Impôt ordinaire s/fortune PP"/>
    <n v="0"/>
    <n v="1321.6"/>
    <n v="4002"/>
  </r>
  <r>
    <x v="0"/>
    <x v="4"/>
    <x v="4"/>
    <x v="51"/>
    <x v="44"/>
    <x v="44"/>
    <s v="REVENUS"/>
    <x v="6"/>
    <s v="4211.002"/>
    <s v="Intérêts de retard sur acomptes"/>
    <n v="0"/>
    <n v="0.48"/>
    <n v="4211"/>
  </r>
  <r>
    <x v="0"/>
    <x v="4"/>
    <x v="4"/>
    <x v="51"/>
    <x v="44"/>
    <x v="44"/>
    <s v="REVENUS"/>
    <x v="6"/>
    <s v="4211.002"/>
    <s v="Intérêts de retard sur acomptes"/>
    <n v="0"/>
    <n v="12.72"/>
    <n v="4211"/>
  </r>
  <r>
    <x v="0"/>
    <x v="4"/>
    <x v="4"/>
    <x v="51"/>
    <x v="44"/>
    <x v="44"/>
    <s v="REVENUS"/>
    <x v="6"/>
    <s v="4221.003"/>
    <s v="Intérêts compensat. / acomptes en faveur du fisc"/>
    <n v="0"/>
    <n v="0.01"/>
    <n v="4221"/>
  </r>
  <r>
    <x v="0"/>
    <x v="4"/>
    <x v="4"/>
    <x v="51"/>
    <x v="44"/>
    <x v="44"/>
    <s v="REVENUS"/>
    <x v="11"/>
    <s v="4198.000"/>
    <s v="Contributions communales"/>
    <n v="0"/>
    <n v="253612.65"/>
    <n v="4198"/>
  </r>
  <r>
    <x v="0"/>
    <x v="4"/>
    <x v="4"/>
    <x v="51"/>
    <x v="44"/>
    <x v="44"/>
    <s v="REVENUS"/>
    <x v="7"/>
    <s v="4184.000"/>
    <s v="Frais de poursuite"/>
    <n v="0"/>
    <n v="1.1599999999999999"/>
    <n v="4184"/>
  </r>
  <r>
    <x v="0"/>
    <x v="4"/>
    <x v="4"/>
    <x v="51"/>
    <x v="44"/>
    <x v="44"/>
    <s v="REVENUS"/>
    <x v="6"/>
    <s v="4211.001"/>
    <s v="Intérêts de retard sur factures"/>
    <n v="0"/>
    <n v="9.98"/>
    <n v="4211"/>
  </r>
  <r>
    <x v="0"/>
    <x v="5"/>
    <x v="1"/>
    <x v="52"/>
    <x v="45"/>
    <x v="45"/>
    <s v="CHARGES"/>
    <x v="1"/>
    <s v="3301.001"/>
    <s v="Défalcations, abandons de solde PP et IS"/>
    <n v="1613.63"/>
    <n v="0"/>
    <n v="3301"/>
  </r>
  <r>
    <x v="0"/>
    <x v="5"/>
    <x v="1"/>
    <x v="52"/>
    <x v="45"/>
    <x v="45"/>
    <s v="CHARGES"/>
    <x v="0"/>
    <s v="3212.004"/>
    <s v="Intérêts rémun./perçu trop tôt sur acomptes C/C"/>
    <n v="201.89"/>
    <n v="0"/>
    <n v="3212"/>
  </r>
  <r>
    <x v="0"/>
    <x v="5"/>
    <x v="1"/>
    <x v="52"/>
    <x v="45"/>
    <x v="45"/>
    <s v="CHARGES"/>
    <x v="0"/>
    <s v="3221.002"/>
    <s v="Intérêts compensatoires / créances en faveur ctb."/>
    <n v="139.01"/>
    <n v="0"/>
    <n v="3221"/>
  </r>
  <r>
    <x v="0"/>
    <x v="5"/>
    <x v="1"/>
    <x v="52"/>
    <x v="45"/>
    <x v="45"/>
    <s v="CHARGES"/>
    <x v="0"/>
    <s v="3212.002"/>
    <s v="Intérêts bonifiés/trop perçu acompte C/C"/>
    <n v="0.1"/>
    <n v="0"/>
    <n v="3212"/>
  </r>
  <r>
    <x v="0"/>
    <x v="5"/>
    <x v="1"/>
    <x v="52"/>
    <x v="45"/>
    <x v="45"/>
    <s v="CHARGES"/>
    <x v="0"/>
    <s v="3212.004"/>
    <s v="Intérêts rémun./perçu trop tôt sur acomptes C/C"/>
    <n v="0.1"/>
    <n v="0"/>
    <n v="3212"/>
  </r>
  <r>
    <x v="0"/>
    <x v="5"/>
    <x v="1"/>
    <x v="52"/>
    <x v="45"/>
    <x v="45"/>
    <s v="CHARGES"/>
    <x v="0"/>
    <s v="3221.002"/>
    <s v="Intérêts compensatoires / créances en faveur ctb."/>
    <n v="0.09"/>
    <n v="0"/>
    <n v="3221"/>
  </r>
  <r>
    <x v="0"/>
    <x v="5"/>
    <x v="1"/>
    <x v="52"/>
    <x v="45"/>
    <x v="45"/>
    <s v="CHARGES"/>
    <x v="0"/>
    <s v="3221.002"/>
    <s v="Intérêts compensatoires / créances en faveur ctb."/>
    <n v="1.01"/>
    <n v="0"/>
    <n v="3221"/>
  </r>
  <r>
    <x v="0"/>
    <x v="5"/>
    <x v="1"/>
    <x v="52"/>
    <x v="45"/>
    <x v="45"/>
    <s v="CHARGES"/>
    <x v="0"/>
    <s v="3212.004"/>
    <s v="Intérêts rémun./perçu trop tôt sur acomptes C/C"/>
    <n v="1"/>
    <n v="0"/>
    <n v="3212"/>
  </r>
  <r>
    <x v="0"/>
    <x v="5"/>
    <x v="1"/>
    <x v="52"/>
    <x v="45"/>
    <x v="45"/>
    <s v="CHARGES"/>
    <x v="0"/>
    <s v="3221.002"/>
    <s v="Intérêts compensatoires / créances en faveur ctb."/>
    <n v="1.32"/>
    <n v="0"/>
    <n v="3221"/>
  </r>
  <r>
    <x v="0"/>
    <x v="5"/>
    <x v="1"/>
    <x v="52"/>
    <x v="45"/>
    <x v="45"/>
    <s v="CHARGES"/>
    <x v="0"/>
    <s v="3212.004"/>
    <s v="Intérêts rémun./perçu trop tôt sur acomptes C/C"/>
    <n v="0.02"/>
    <n v="0"/>
    <n v="3212"/>
  </r>
  <r>
    <x v="0"/>
    <x v="5"/>
    <x v="1"/>
    <x v="52"/>
    <x v="45"/>
    <x v="45"/>
    <s v="CHARGES"/>
    <x v="1"/>
    <s v="3301.001"/>
    <s v="Défalcations, abandons de solde PP et IS"/>
    <n v="0.08"/>
    <n v="0"/>
    <n v="3301"/>
  </r>
  <r>
    <x v="0"/>
    <x v="5"/>
    <x v="1"/>
    <x v="52"/>
    <x v="45"/>
    <x v="45"/>
    <s v="CHARGES"/>
    <x v="1"/>
    <s v="3301.001"/>
    <s v="Défalcations, abandons de solde PP et IS"/>
    <n v="0.02"/>
    <n v="0"/>
    <n v="3301"/>
  </r>
  <r>
    <x v="0"/>
    <x v="5"/>
    <x v="1"/>
    <x v="52"/>
    <x v="45"/>
    <x v="45"/>
    <s v="REVENUS"/>
    <x v="2"/>
    <s v="4001.007"/>
    <s v="Acompte impôt sur revenu"/>
    <n v="0"/>
    <n v="-193442.58"/>
    <n v="4001"/>
  </r>
  <r>
    <x v="0"/>
    <x v="5"/>
    <x v="1"/>
    <x v="52"/>
    <x v="45"/>
    <x v="45"/>
    <s v="REVENUS"/>
    <x v="3"/>
    <s v="4002.007"/>
    <s v="Acompte impôt sur fortune"/>
    <n v="0"/>
    <n v="-56548.59"/>
    <n v="4002"/>
  </r>
  <r>
    <x v="0"/>
    <x v="5"/>
    <x v="1"/>
    <x v="52"/>
    <x v="45"/>
    <x v="45"/>
    <s v="REVENUS"/>
    <x v="2"/>
    <s v="4001.001"/>
    <s v="Impôt revenu"/>
    <n v="0"/>
    <n v="456141.95"/>
    <n v="4001"/>
  </r>
  <r>
    <x v="0"/>
    <x v="5"/>
    <x v="1"/>
    <x v="52"/>
    <x v="45"/>
    <x v="45"/>
    <s v="REVENUS"/>
    <x v="3"/>
    <s v="4002.001"/>
    <s v="Impôt ordinaire s/fortune PP"/>
    <n v="0"/>
    <n v="91542.9"/>
    <n v="4002"/>
  </r>
  <r>
    <x v="0"/>
    <x v="5"/>
    <x v="1"/>
    <x v="52"/>
    <x v="45"/>
    <x v="45"/>
    <s v="REVENUS"/>
    <x v="6"/>
    <s v="4211.001"/>
    <s v="Intérêts de retard sur factures"/>
    <n v="0"/>
    <n v="424.43"/>
    <n v="4211"/>
  </r>
  <r>
    <x v="0"/>
    <x v="5"/>
    <x v="1"/>
    <x v="52"/>
    <x v="45"/>
    <x v="45"/>
    <s v="REVENUS"/>
    <x v="6"/>
    <s v="4211.002"/>
    <s v="Intérêts de retard sur acomptes"/>
    <n v="0"/>
    <n v="1397.72"/>
    <n v="4211"/>
  </r>
  <r>
    <x v="0"/>
    <x v="5"/>
    <x v="1"/>
    <x v="52"/>
    <x v="45"/>
    <x v="45"/>
    <s v="REVENUS"/>
    <x v="6"/>
    <s v="4221.003"/>
    <s v="Intérêts compensat. / acomptes en faveur du fisc"/>
    <n v="0"/>
    <n v="57.26"/>
    <n v="4221"/>
  </r>
  <r>
    <x v="0"/>
    <x v="5"/>
    <x v="1"/>
    <x v="52"/>
    <x v="45"/>
    <x v="45"/>
    <s v="REVENUS"/>
    <x v="2"/>
    <s v="4001.007"/>
    <s v="Acompte impôt sur revenu"/>
    <n v="0"/>
    <n v="20950.12"/>
    <n v="4001"/>
  </r>
  <r>
    <x v="0"/>
    <x v="5"/>
    <x v="1"/>
    <x v="52"/>
    <x v="45"/>
    <x v="45"/>
    <s v="REVENUS"/>
    <x v="3"/>
    <s v="4002.007"/>
    <s v="Acompte impôt sur fortune"/>
    <n v="0"/>
    <n v="18959.669999999998"/>
    <n v="4002"/>
  </r>
  <r>
    <x v="0"/>
    <x v="5"/>
    <x v="1"/>
    <x v="52"/>
    <x v="45"/>
    <x v="45"/>
    <s v="REVENUS"/>
    <x v="2"/>
    <s v="4001.001"/>
    <s v="Impôt revenu"/>
    <n v="0"/>
    <n v="343.05"/>
    <n v="4001"/>
  </r>
  <r>
    <x v="0"/>
    <x v="5"/>
    <x v="1"/>
    <x v="52"/>
    <x v="45"/>
    <x v="45"/>
    <s v="REVENUS"/>
    <x v="2"/>
    <s v="4001.002"/>
    <s v="Impôt complément s/revenu PP"/>
    <n v="0"/>
    <n v="402.35"/>
    <n v="4001"/>
  </r>
  <r>
    <x v="0"/>
    <x v="5"/>
    <x v="1"/>
    <x v="52"/>
    <x v="45"/>
    <x v="45"/>
    <s v="REVENUS"/>
    <x v="3"/>
    <s v="4002.001"/>
    <s v="Impôt ordinaire s/fortune PP"/>
    <n v="0"/>
    <n v="476.8"/>
    <n v="4002"/>
  </r>
  <r>
    <x v="0"/>
    <x v="5"/>
    <x v="1"/>
    <x v="52"/>
    <x v="45"/>
    <x v="45"/>
    <s v="REVENUS"/>
    <x v="3"/>
    <s v="4002.002"/>
    <s v="Impôt complémentaire s/fortune PP"/>
    <n v="0"/>
    <n v="348.95"/>
    <n v="4002"/>
  </r>
  <r>
    <x v="0"/>
    <x v="5"/>
    <x v="1"/>
    <x v="52"/>
    <x v="45"/>
    <x v="45"/>
    <s v="REVENUS"/>
    <x v="6"/>
    <s v="4211.002"/>
    <s v="Intérêts de retard sur acomptes"/>
    <n v="0"/>
    <n v="1.91"/>
    <n v="4211"/>
  </r>
  <r>
    <x v="0"/>
    <x v="5"/>
    <x v="1"/>
    <x v="52"/>
    <x v="45"/>
    <x v="45"/>
    <s v="REVENUS"/>
    <x v="7"/>
    <s v="4184.000"/>
    <s v="Frais de poursuite"/>
    <n v="0"/>
    <n v="537.07000000000005"/>
    <n v="4184"/>
  </r>
  <r>
    <x v="0"/>
    <x v="5"/>
    <x v="1"/>
    <x v="52"/>
    <x v="45"/>
    <x v="45"/>
    <s v="REVENUS"/>
    <x v="2"/>
    <s v="4001.001"/>
    <s v="Impôt revenu"/>
    <n v="0"/>
    <n v="2868.95"/>
    <n v="4001"/>
  </r>
  <r>
    <x v="0"/>
    <x v="5"/>
    <x v="1"/>
    <x v="52"/>
    <x v="45"/>
    <x v="45"/>
    <s v="REVENUS"/>
    <x v="2"/>
    <s v="4001.007"/>
    <s v="Acompte impôt sur revenu"/>
    <n v="0"/>
    <n v="-43.25"/>
    <n v="4001"/>
  </r>
  <r>
    <x v="0"/>
    <x v="5"/>
    <x v="1"/>
    <x v="52"/>
    <x v="45"/>
    <x v="45"/>
    <s v="REVENUS"/>
    <x v="3"/>
    <s v="4002.007"/>
    <s v="Acompte impôt sur fortune"/>
    <n v="0"/>
    <n v="-304.64999999999998"/>
    <n v="4002"/>
  </r>
  <r>
    <x v="0"/>
    <x v="5"/>
    <x v="1"/>
    <x v="52"/>
    <x v="45"/>
    <x v="45"/>
    <s v="REVENUS"/>
    <x v="3"/>
    <s v="4002.007"/>
    <s v="Acompte impôt sur fortune"/>
    <n v="0"/>
    <n v="13.85"/>
    <n v="4002"/>
  </r>
  <r>
    <x v="0"/>
    <x v="5"/>
    <x v="1"/>
    <x v="52"/>
    <x v="45"/>
    <x v="45"/>
    <s v="REVENUS"/>
    <x v="3"/>
    <s v="4002.007"/>
    <s v="Acompte impôt sur fortune"/>
    <n v="0"/>
    <n v="-3.05"/>
    <n v="4002"/>
  </r>
  <r>
    <x v="0"/>
    <x v="5"/>
    <x v="1"/>
    <x v="52"/>
    <x v="45"/>
    <x v="45"/>
    <s v="REVENUS"/>
    <x v="2"/>
    <s v="4001.007"/>
    <s v="Acompte impôt sur revenu"/>
    <n v="0"/>
    <n v="111.75"/>
    <n v="4001"/>
  </r>
  <r>
    <x v="0"/>
    <x v="5"/>
    <x v="1"/>
    <x v="52"/>
    <x v="45"/>
    <x v="45"/>
    <s v="REVENUS"/>
    <x v="2"/>
    <s v="4001.007"/>
    <s v="Acompte impôt sur revenu"/>
    <n v="0"/>
    <n v="-249.71"/>
    <n v="4001"/>
  </r>
  <r>
    <x v="0"/>
    <x v="5"/>
    <x v="1"/>
    <x v="52"/>
    <x v="45"/>
    <x v="45"/>
    <s v="REVENUS"/>
    <x v="6"/>
    <s v="4211.002"/>
    <s v="Intérêts de retard sur acomptes"/>
    <n v="0"/>
    <n v="70.069999999999993"/>
    <n v="4211"/>
  </r>
  <r>
    <x v="0"/>
    <x v="5"/>
    <x v="1"/>
    <x v="52"/>
    <x v="45"/>
    <x v="45"/>
    <s v="REVENUS"/>
    <x v="6"/>
    <s v="4221.003"/>
    <s v="Intérêts compensat. / acomptes en faveur du fisc"/>
    <n v="0"/>
    <n v="1.62"/>
    <n v="4221"/>
  </r>
  <r>
    <x v="0"/>
    <x v="5"/>
    <x v="1"/>
    <x v="52"/>
    <x v="45"/>
    <x v="45"/>
    <s v="REVENUS"/>
    <x v="2"/>
    <s v="4001.003"/>
    <s v="Impôt s/prest. cap. PP"/>
    <n v="0"/>
    <n v="3451"/>
    <n v="4001"/>
  </r>
  <r>
    <x v="0"/>
    <x v="5"/>
    <x v="1"/>
    <x v="52"/>
    <x v="45"/>
    <x v="45"/>
    <s v="REVENUS"/>
    <x v="11"/>
    <s v="4198.000"/>
    <s v="Contributions communales"/>
    <n v="0"/>
    <n v="38016.449999999997"/>
    <n v="4198"/>
  </r>
  <r>
    <x v="0"/>
    <x v="5"/>
    <x v="1"/>
    <x v="52"/>
    <x v="45"/>
    <x v="45"/>
    <s v="REVENUS"/>
    <x v="2"/>
    <s v="4001.002"/>
    <s v="Impôt complément s/revenu PP"/>
    <n v="0"/>
    <n v="86003.95"/>
    <n v="4001"/>
  </r>
  <r>
    <x v="0"/>
    <x v="5"/>
    <x v="1"/>
    <x v="52"/>
    <x v="45"/>
    <x v="45"/>
    <s v="REVENUS"/>
    <x v="3"/>
    <s v="4002.002"/>
    <s v="Impôt complémentaire s/fortune PP"/>
    <n v="0"/>
    <n v="60677.599999999999"/>
    <n v="4002"/>
  </r>
  <r>
    <x v="0"/>
    <x v="5"/>
    <x v="1"/>
    <x v="52"/>
    <x v="45"/>
    <x v="45"/>
    <s v="REVENUS"/>
    <x v="6"/>
    <s v="4221.002"/>
    <s v="Intérêts compensat. sur impôts distincts"/>
    <n v="0"/>
    <n v="0.03"/>
    <n v="4221"/>
  </r>
  <r>
    <x v="0"/>
    <x v="5"/>
    <x v="1"/>
    <x v="52"/>
    <x v="45"/>
    <x v="45"/>
    <s v="REVENUS"/>
    <x v="5"/>
    <s v="4061.000"/>
    <s v="Impôt sur les chiens"/>
    <n v="0"/>
    <n v="800"/>
    <n v="4061"/>
  </r>
  <r>
    <x v="0"/>
    <x v="5"/>
    <x v="1"/>
    <x v="52"/>
    <x v="45"/>
    <x v="45"/>
    <s v="REVENUS"/>
    <x v="2"/>
    <s v="4001.001"/>
    <s v="Impôt revenu"/>
    <n v="0"/>
    <n v="-92.45"/>
    <n v="4001"/>
  </r>
  <r>
    <x v="0"/>
    <x v="5"/>
    <x v="1"/>
    <x v="52"/>
    <x v="45"/>
    <x v="45"/>
    <s v="REVENUS"/>
    <x v="3"/>
    <s v="4002.001"/>
    <s v="Impôt ordinaire s/fortune PP"/>
    <n v="0"/>
    <n v="-10.5"/>
    <n v="4002"/>
  </r>
  <r>
    <x v="0"/>
    <x v="5"/>
    <x v="1"/>
    <x v="52"/>
    <x v="45"/>
    <x v="45"/>
    <s v="REVENUS"/>
    <x v="2"/>
    <s v="4001.001"/>
    <s v="Impôt revenu"/>
    <n v="0"/>
    <n v="410.55"/>
    <n v="4001"/>
  </r>
  <r>
    <x v="0"/>
    <x v="5"/>
    <x v="1"/>
    <x v="52"/>
    <x v="45"/>
    <x v="45"/>
    <s v="REVENUS"/>
    <x v="2"/>
    <s v="4001.003"/>
    <s v="Impôt s/prest. cap. PP"/>
    <n v="0"/>
    <n v="-1202.8499999999999"/>
    <n v="4001"/>
  </r>
  <r>
    <x v="0"/>
    <x v="5"/>
    <x v="1"/>
    <x v="52"/>
    <x v="45"/>
    <x v="45"/>
    <s v="REVENUS"/>
    <x v="3"/>
    <s v="4002.001"/>
    <s v="Impôt ordinaire s/fortune PP"/>
    <n v="0"/>
    <n v="88.25"/>
    <n v="4002"/>
  </r>
  <r>
    <x v="0"/>
    <x v="5"/>
    <x v="1"/>
    <x v="52"/>
    <x v="45"/>
    <x v="45"/>
    <s v="REVENUS"/>
    <x v="9"/>
    <s v="4031.001"/>
    <s v="Impôt sur les gains immobiliers"/>
    <n v="0"/>
    <n v="1182"/>
    <n v="4031"/>
  </r>
  <r>
    <x v="0"/>
    <x v="5"/>
    <x v="1"/>
    <x v="52"/>
    <x v="45"/>
    <x v="45"/>
    <s v="REVENUS"/>
    <x v="6"/>
    <s v="4221.003"/>
    <s v="Intérêts compensat. / acomptes en faveur du fisc"/>
    <n v="0"/>
    <n v="0.02"/>
    <n v="4221"/>
  </r>
  <r>
    <x v="0"/>
    <x v="5"/>
    <x v="1"/>
    <x v="52"/>
    <x v="45"/>
    <x v="45"/>
    <s v="REVENUS"/>
    <x v="2"/>
    <s v="4001.007"/>
    <s v="Acompte impôt sur revenu"/>
    <n v="0"/>
    <n v="-9.35"/>
    <n v="4001"/>
  </r>
  <r>
    <x v="0"/>
    <x v="5"/>
    <x v="1"/>
    <x v="52"/>
    <x v="45"/>
    <x v="45"/>
    <s v="REVENUS"/>
    <x v="3"/>
    <s v="4002.001"/>
    <s v="Impôt ordinaire s/fortune PP"/>
    <n v="0"/>
    <n v="2.15"/>
    <n v="4002"/>
  </r>
  <r>
    <x v="0"/>
    <x v="5"/>
    <x v="1"/>
    <x v="52"/>
    <x v="45"/>
    <x v="45"/>
    <s v="REVENUS"/>
    <x v="6"/>
    <s v="4221.003"/>
    <s v="Intérêts compensat. / acomptes en faveur du fisc"/>
    <n v="0"/>
    <n v="0.02"/>
    <n v="4221"/>
  </r>
  <r>
    <x v="0"/>
    <x v="5"/>
    <x v="1"/>
    <x v="52"/>
    <x v="45"/>
    <x v="45"/>
    <s v="REVENUS"/>
    <x v="10"/>
    <s v="4041.001"/>
    <s v="Droits de mutation"/>
    <n v="0"/>
    <n v="6491.55"/>
    <n v="4041"/>
  </r>
  <r>
    <x v="0"/>
    <x v="5"/>
    <x v="1"/>
    <x v="52"/>
    <x v="45"/>
    <x v="45"/>
    <s v="REVENUS"/>
    <x v="6"/>
    <s v="4211.001"/>
    <s v="Intérêts de retard sur factures"/>
    <n v="0"/>
    <n v="0.06"/>
    <n v="4211"/>
  </r>
  <r>
    <x v="0"/>
    <x v="5"/>
    <x v="1"/>
    <x v="52"/>
    <x v="45"/>
    <x v="45"/>
    <s v="REVENUS"/>
    <x v="8"/>
    <s v="4091.001"/>
    <s v="Impôt récupéré après défalcations"/>
    <n v="0"/>
    <n v="3326.95"/>
    <n v="4091"/>
  </r>
  <r>
    <x v="0"/>
    <x v="5"/>
    <x v="1"/>
    <x v="53"/>
    <x v="46"/>
    <x v="46"/>
    <s v="CHARGES"/>
    <x v="1"/>
    <s v="3301.001"/>
    <s v="Défalcations, abandons de solde PP et IS"/>
    <n v="24659.69"/>
    <n v="0"/>
    <n v="3301"/>
  </r>
  <r>
    <x v="0"/>
    <x v="5"/>
    <x v="1"/>
    <x v="53"/>
    <x v="46"/>
    <x v="46"/>
    <s v="CHARGES"/>
    <x v="0"/>
    <s v="3212.004"/>
    <s v="Intérêts rémun./perçu trop tôt sur acomptes C/C"/>
    <n v="274.18"/>
    <n v="0"/>
    <n v="3212"/>
  </r>
  <r>
    <x v="0"/>
    <x v="5"/>
    <x v="1"/>
    <x v="53"/>
    <x v="46"/>
    <x v="46"/>
    <s v="CHARGES"/>
    <x v="0"/>
    <s v="3212.004"/>
    <s v="Intérêts rémun./perçu trop tôt sur acomptes C/C"/>
    <n v="0.53"/>
    <n v="0"/>
    <n v="3212"/>
  </r>
  <r>
    <x v="0"/>
    <x v="5"/>
    <x v="1"/>
    <x v="53"/>
    <x v="46"/>
    <x v="46"/>
    <s v="CHARGES"/>
    <x v="1"/>
    <s v="3301.001"/>
    <s v="Défalcations, abandons de solde PP et IS"/>
    <n v="0.55000000000000004"/>
    <n v="0"/>
    <n v="3301"/>
  </r>
  <r>
    <x v="0"/>
    <x v="5"/>
    <x v="1"/>
    <x v="53"/>
    <x v="46"/>
    <x v="46"/>
    <s v="CHARGES"/>
    <x v="0"/>
    <s v="3221.002"/>
    <s v="Intérêts compensatoires / créances en faveur ctb."/>
    <n v="81.510000000000005"/>
    <n v="0"/>
    <n v="3221"/>
  </r>
  <r>
    <x v="0"/>
    <x v="5"/>
    <x v="1"/>
    <x v="53"/>
    <x v="46"/>
    <x v="46"/>
    <s v="CHARGES"/>
    <x v="0"/>
    <s v="3212.004"/>
    <s v="Intérêts rémun./perçu trop tôt sur acomptes C/C"/>
    <n v="3.06"/>
    <n v="0"/>
    <n v="3212"/>
  </r>
  <r>
    <x v="0"/>
    <x v="5"/>
    <x v="1"/>
    <x v="53"/>
    <x v="46"/>
    <x v="46"/>
    <s v="CHARGES"/>
    <x v="1"/>
    <s v="3301.001"/>
    <s v="Défalcations, abandons de solde PP et IS"/>
    <n v="0.4"/>
    <n v="0"/>
    <n v="3301"/>
  </r>
  <r>
    <x v="0"/>
    <x v="5"/>
    <x v="1"/>
    <x v="53"/>
    <x v="46"/>
    <x v="46"/>
    <s v="CHARGES"/>
    <x v="0"/>
    <s v="3212.002"/>
    <s v="Intérêts bonifiés/trop perçu acompte C/C"/>
    <n v="4.38"/>
    <n v="0"/>
    <n v="3212"/>
  </r>
  <r>
    <x v="0"/>
    <x v="5"/>
    <x v="1"/>
    <x v="53"/>
    <x v="46"/>
    <x v="46"/>
    <s v="CHARGES"/>
    <x v="0"/>
    <s v="3212.004"/>
    <s v="Intérêts rémun./perçu trop tôt sur acomptes C/C"/>
    <n v="10.119999999999999"/>
    <n v="0"/>
    <n v="3212"/>
  </r>
  <r>
    <x v="0"/>
    <x v="5"/>
    <x v="1"/>
    <x v="53"/>
    <x v="46"/>
    <x v="46"/>
    <s v="CHARGES"/>
    <x v="0"/>
    <s v="3221.002"/>
    <s v="Intérêts compensatoires / créances en faveur ctb."/>
    <n v="0.08"/>
    <n v="0"/>
    <n v="3221"/>
  </r>
  <r>
    <x v="0"/>
    <x v="5"/>
    <x v="1"/>
    <x v="53"/>
    <x v="46"/>
    <x v="46"/>
    <s v="CHARGES"/>
    <x v="0"/>
    <s v="3212.004"/>
    <s v="Intérêts rémun./perçu trop tôt sur acomptes C/C"/>
    <n v="-6.92"/>
    <n v="0"/>
    <n v="3212"/>
  </r>
  <r>
    <x v="0"/>
    <x v="5"/>
    <x v="1"/>
    <x v="53"/>
    <x v="46"/>
    <x v="46"/>
    <s v="CHARGES"/>
    <x v="1"/>
    <s v="3301.001"/>
    <s v="Défalcations, abandons de solde PP et IS"/>
    <n v="1913.26"/>
    <n v="0"/>
    <n v="3301"/>
  </r>
  <r>
    <x v="0"/>
    <x v="5"/>
    <x v="1"/>
    <x v="53"/>
    <x v="46"/>
    <x v="46"/>
    <s v="CHARGES"/>
    <x v="1"/>
    <s v="3301.001"/>
    <s v="Défalcations, abandons de solde PP et IS"/>
    <n v="-2.73"/>
    <n v="0"/>
    <n v="3301"/>
  </r>
  <r>
    <x v="0"/>
    <x v="5"/>
    <x v="1"/>
    <x v="53"/>
    <x v="46"/>
    <x v="46"/>
    <s v="CHARGES"/>
    <x v="0"/>
    <s v="3221.002"/>
    <s v="Intérêts compensatoires / créances en faveur ctb."/>
    <n v="0.56999999999999995"/>
    <n v="0"/>
    <n v="3221"/>
  </r>
  <r>
    <x v="0"/>
    <x v="5"/>
    <x v="1"/>
    <x v="53"/>
    <x v="46"/>
    <x v="46"/>
    <s v="CHARGES"/>
    <x v="1"/>
    <s v="3301.001"/>
    <s v="Défalcations, abandons de solde PP et IS"/>
    <n v="0.12"/>
    <n v="0"/>
    <n v="3301"/>
  </r>
  <r>
    <x v="0"/>
    <x v="5"/>
    <x v="1"/>
    <x v="53"/>
    <x v="46"/>
    <x v="46"/>
    <s v="CHARGES"/>
    <x v="0"/>
    <s v="3212.004"/>
    <s v="Intérêts rémun./perçu trop tôt sur acomptes C/C"/>
    <n v="0.26"/>
    <n v="0"/>
    <n v="3212"/>
  </r>
  <r>
    <x v="0"/>
    <x v="5"/>
    <x v="1"/>
    <x v="53"/>
    <x v="46"/>
    <x v="46"/>
    <s v="CHARGES"/>
    <x v="0"/>
    <s v="3221.002"/>
    <s v="Intérêts compensatoires / créances en faveur ctb."/>
    <n v="0.34"/>
    <n v="0"/>
    <n v="3221"/>
  </r>
  <r>
    <x v="0"/>
    <x v="5"/>
    <x v="1"/>
    <x v="53"/>
    <x v="46"/>
    <x v="46"/>
    <s v="CHARGES"/>
    <x v="0"/>
    <s v="3212.004"/>
    <s v="Intérêts rémun./perçu trop tôt sur acomptes C/C"/>
    <n v="0.16"/>
    <n v="0"/>
    <n v="3212"/>
  </r>
  <r>
    <x v="0"/>
    <x v="5"/>
    <x v="1"/>
    <x v="53"/>
    <x v="46"/>
    <x v="46"/>
    <s v="CHARGES"/>
    <x v="0"/>
    <s v="3221.002"/>
    <s v="Intérêts compensatoires / créances en faveur ctb."/>
    <n v="0.03"/>
    <n v="0"/>
    <n v="3221"/>
  </r>
  <r>
    <x v="0"/>
    <x v="5"/>
    <x v="1"/>
    <x v="53"/>
    <x v="46"/>
    <x v="46"/>
    <s v="CHARGES"/>
    <x v="1"/>
    <s v="3301.001"/>
    <s v="Défalcations, abandons de solde PP et IS"/>
    <n v="0.01"/>
    <n v="0"/>
    <n v="3301"/>
  </r>
  <r>
    <x v="0"/>
    <x v="5"/>
    <x v="1"/>
    <x v="53"/>
    <x v="46"/>
    <x v="46"/>
    <s v="REVENUS"/>
    <x v="2"/>
    <s v="4001.007"/>
    <s v="Acompte impôt sur revenu"/>
    <n v="0"/>
    <n v="179861.32"/>
    <n v="4001"/>
  </r>
  <r>
    <x v="0"/>
    <x v="5"/>
    <x v="1"/>
    <x v="53"/>
    <x v="46"/>
    <x v="46"/>
    <s v="REVENUS"/>
    <x v="3"/>
    <s v="4002.007"/>
    <s v="Acompte impôt sur fortune"/>
    <n v="0"/>
    <n v="47103.25"/>
    <n v="4002"/>
  </r>
  <r>
    <x v="0"/>
    <x v="5"/>
    <x v="1"/>
    <x v="53"/>
    <x v="46"/>
    <x v="46"/>
    <s v="REVENUS"/>
    <x v="6"/>
    <s v="4211.001"/>
    <s v="Intérêts de retard sur factures"/>
    <n v="0"/>
    <n v="4246.43"/>
    <n v="4211"/>
  </r>
  <r>
    <x v="0"/>
    <x v="5"/>
    <x v="1"/>
    <x v="53"/>
    <x v="46"/>
    <x v="46"/>
    <s v="REVENUS"/>
    <x v="2"/>
    <s v="4001.007"/>
    <s v="Acompte impôt sur revenu"/>
    <n v="0"/>
    <n v="-207676.49"/>
    <n v="4001"/>
  </r>
  <r>
    <x v="0"/>
    <x v="5"/>
    <x v="1"/>
    <x v="53"/>
    <x v="46"/>
    <x v="46"/>
    <s v="REVENUS"/>
    <x v="2"/>
    <s v="4001.001"/>
    <s v="Impôt revenu"/>
    <n v="0"/>
    <n v="1319637.95"/>
    <n v="4001"/>
  </r>
  <r>
    <x v="0"/>
    <x v="5"/>
    <x v="1"/>
    <x v="53"/>
    <x v="46"/>
    <x v="46"/>
    <s v="REVENUS"/>
    <x v="3"/>
    <s v="4002.001"/>
    <s v="Impôt ordinaire s/fortune PP"/>
    <n v="0"/>
    <n v="152808.29999999999"/>
    <n v="4002"/>
  </r>
  <r>
    <x v="0"/>
    <x v="5"/>
    <x v="1"/>
    <x v="53"/>
    <x v="46"/>
    <x v="46"/>
    <s v="REVENUS"/>
    <x v="6"/>
    <s v="4221.003"/>
    <s v="Intérêts compensat. / acomptes en faveur du fisc"/>
    <n v="0"/>
    <n v="240.01"/>
    <n v="4221"/>
  </r>
  <r>
    <x v="0"/>
    <x v="5"/>
    <x v="1"/>
    <x v="53"/>
    <x v="46"/>
    <x v="46"/>
    <s v="REVENUS"/>
    <x v="3"/>
    <s v="4002.007"/>
    <s v="Acompte impôt sur fortune"/>
    <n v="0"/>
    <n v="-39521.839999999997"/>
    <n v="4002"/>
  </r>
  <r>
    <x v="0"/>
    <x v="5"/>
    <x v="1"/>
    <x v="53"/>
    <x v="46"/>
    <x v="46"/>
    <s v="REVENUS"/>
    <x v="2"/>
    <s v="4001.002"/>
    <s v="Impôt complément s/revenu PP"/>
    <n v="0"/>
    <n v="178800.15"/>
    <n v="4001"/>
  </r>
  <r>
    <x v="0"/>
    <x v="5"/>
    <x v="1"/>
    <x v="53"/>
    <x v="46"/>
    <x v="46"/>
    <s v="REVENUS"/>
    <x v="6"/>
    <s v="4211.002"/>
    <s v="Intérêts de retard sur acomptes"/>
    <n v="0"/>
    <n v="7122.98"/>
    <n v="4211"/>
  </r>
  <r>
    <x v="0"/>
    <x v="5"/>
    <x v="1"/>
    <x v="53"/>
    <x v="46"/>
    <x v="46"/>
    <s v="REVENUS"/>
    <x v="2"/>
    <s v="4001.001"/>
    <s v="Impôt revenu"/>
    <n v="0"/>
    <n v="3725.15"/>
    <n v="4001"/>
  </r>
  <r>
    <x v="0"/>
    <x v="5"/>
    <x v="1"/>
    <x v="53"/>
    <x v="46"/>
    <x v="46"/>
    <s v="REVENUS"/>
    <x v="2"/>
    <s v="4001.007"/>
    <s v="Acompte impôt sur revenu"/>
    <n v="0"/>
    <n v="1931.84"/>
    <n v="4001"/>
  </r>
  <r>
    <x v="0"/>
    <x v="5"/>
    <x v="1"/>
    <x v="53"/>
    <x v="46"/>
    <x v="46"/>
    <s v="REVENUS"/>
    <x v="3"/>
    <s v="4002.001"/>
    <s v="Impôt ordinaire s/fortune PP"/>
    <n v="0"/>
    <n v="1147.8"/>
    <n v="4002"/>
  </r>
  <r>
    <x v="0"/>
    <x v="5"/>
    <x v="1"/>
    <x v="53"/>
    <x v="46"/>
    <x v="46"/>
    <s v="REVENUS"/>
    <x v="3"/>
    <s v="4002.007"/>
    <s v="Acompte impôt sur fortune"/>
    <n v="0"/>
    <n v="-437.45"/>
    <n v="4002"/>
  </r>
  <r>
    <x v="0"/>
    <x v="5"/>
    <x v="1"/>
    <x v="53"/>
    <x v="46"/>
    <x v="46"/>
    <s v="REVENUS"/>
    <x v="6"/>
    <s v="4221.003"/>
    <s v="Intérêts compensat. / acomptes en faveur du fisc"/>
    <n v="0"/>
    <n v="1.64"/>
    <n v="4221"/>
  </r>
  <r>
    <x v="0"/>
    <x v="5"/>
    <x v="1"/>
    <x v="53"/>
    <x v="46"/>
    <x v="46"/>
    <s v="REVENUS"/>
    <x v="10"/>
    <s v="4041.001"/>
    <s v="Droits de mutation"/>
    <n v="0"/>
    <n v="29733"/>
    <n v="4041"/>
  </r>
  <r>
    <x v="0"/>
    <x v="5"/>
    <x v="1"/>
    <x v="53"/>
    <x v="46"/>
    <x v="46"/>
    <s v="REVENUS"/>
    <x v="2"/>
    <s v="4001.003"/>
    <s v="Impôt s/prest. cap. PP"/>
    <n v="0"/>
    <n v="45420.5"/>
    <n v="4001"/>
  </r>
  <r>
    <x v="0"/>
    <x v="5"/>
    <x v="1"/>
    <x v="53"/>
    <x v="46"/>
    <x v="46"/>
    <s v="REVENUS"/>
    <x v="7"/>
    <s v="4184.000"/>
    <s v="Frais de poursuite"/>
    <n v="0"/>
    <n v="1714.08"/>
    <n v="4184"/>
  </r>
  <r>
    <x v="0"/>
    <x v="5"/>
    <x v="1"/>
    <x v="53"/>
    <x v="46"/>
    <x v="46"/>
    <s v="REVENUS"/>
    <x v="6"/>
    <s v="4221.002"/>
    <s v="Intérêts compensat. sur impôts distincts"/>
    <n v="0"/>
    <n v="6.37"/>
    <n v="4221"/>
  </r>
  <r>
    <x v="0"/>
    <x v="5"/>
    <x v="1"/>
    <x v="53"/>
    <x v="46"/>
    <x v="46"/>
    <s v="REVENUS"/>
    <x v="2"/>
    <s v="4001.007"/>
    <s v="Acompte impôt sur revenu"/>
    <n v="0"/>
    <n v="-1214.3599999999999"/>
    <n v="4001"/>
  </r>
  <r>
    <x v="0"/>
    <x v="5"/>
    <x v="1"/>
    <x v="53"/>
    <x v="46"/>
    <x v="46"/>
    <s v="REVENUS"/>
    <x v="3"/>
    <s v="4002.007"/>
    <s v="Acompte impôt sur fortune"/>
    <n v="0"/>
    <n v="-2097.9"/>
    <n v="4002"/>
  </r>
  <r>
    <x v="0"/>
    <x v="5"/>
    <x v="1"/>
    <x v="53"/>
    <x v="46"/>
    <x v="46"/>
    <s v="REVENUS"/>
    <x v="2"/>
    <s v="4001.001"/>
    <s v="Impôt revenu"/>
    <n v="0"/>
    <n v="42013.7"/>
    <n v="4001"/>
  </r>
  <r>
    <x v="0"/>
    <x v="5"/>
    <x v="1"/>
    <x v="53"/>
    <x v="46"/>
    <x v="46"/>
    <s v="REVENUS"/>
    <x v="3"/>
    <s v="4002.001"/>
    <s v="Impôt ordinaire s/fortune PP"/>
    <n v="0"/>
    <n v="5004"/>
    <n v="4002"/>
  </r>
  <r>
    <x v="0"/>
    <x v="5"/>
    <x v="1"/>
    <x v="53"/>
    <x v="46"/>
    <x v="46"/>
    <s v="REVENUS"/>
    <x v="6"/>
    <s v="4211.001"/>
    <s v="Intérêts de retard sur factures"/>
    <n v="0"/>
    <n v="4.1900000000000004"/>
    <n v="4211"/>
  </r>
  <r>
    <x v="0"/>
    <x v="5"/>
    <x v="1"/>
    <x v="53"/>
    <x v="46"/>
    <x v="46"/>
    <s v="REVENUS"/>
    <x v="3"/>
    <s v="4002.002"/>
    <s v="Impôt complémentaire s/fortune PP"/>
    <n v="0"/>
    <n v="15480.05"/>
    <n v="4002"/>
  </r>
  <r>
    <x v="0"/>
    <x v="5"/>
    <x v="1"/>
    <x v="53"/>
    <x v="46"/>
    <x v="46"/>
    <s v="REVENUS"/>
    <x v="2"/>
    <s v="4001.007"/>
    <s v="Acompte impôt sur revenu"/>
    <n v="0"/>
    <n v="-681.3"/>
    <n v="4001"/>
  </r>
  <r>
    <x v="0"/>
    <x v="5"/>
    <x v="1"/>
    <x v="53"/>
    <x v="46"/>
    <x v="46"/>
    <s v="REVENUS"/>
    <x v="3"/>
    <s v="4002.007"/>
    <s v="Acompte impôt sur fortune"/>
    <n v="0"/>
    <n v="19.75"/>
    <n v="4002"/>
  </r>
  <r>
    <x v="0"/>
    <x v="5"/>
    <x v="1"/>
    <x v="53"/>
    <x v="46"/>
    <x v="46"/>
    <s v="REVENUS"/>
    <x v="3"/>
    <s v="4002.007"/>
    <s v="Acompte impôt sur fortune"/>
    <n v="0"/>
    <n v="-88.62"/>
    <n v="4002"/>
  </r>
  <r>
    <x v="0"/>
    <x v="5"/>
    <x v="1"/>
    <x v="53"/>
    <x v="46"/>
    <x v="46"/>
    <s v="REVENUS"/>
    <x v="2"/>
    <s v="4001.001"/>
    <s v="Impôt revenu"/>
    <n v="0"/>
    <n v="-19700.95"/>
    <n v="4001"/>
  </r>
  <r>
    <x v="0"/>
    <x v="5"/>
    <x v="1"/>
    <x v="53"/>
    <x v="46"/>
    <x v="46"/>
    <s v="REVENUS"/>
    <x v="6"/>
    <s v="4211.002"/>
    <s v="Intérêts de retard sur acomptes"/>
    <n v="0"/>
    <n v="-0.01"/>
    <n v="4211"/>
  </r>
  <r>
    <x v="0"/>
    <x v="5"/>
    <x v="1"/>
    <x v="53"/>
    <x v="46"/>
    <x v="46"/>
    <s v="REVENUS"/>
    <x v="6"/>
    <s v="4211.002"/>
    <s v="Intérêts de retard sur acomptes"/>
    <n v="0"/>
    <n v="78.09"/>
    <n v="4211"/>
  </r>
  <r>
    <x v="0"/>
    <x v="5"/>
    <x v="1"/>
    <x v="53"/>
    <x v="46"/>
    <x v="46"/>
    <s v="REVENUS"/>
    <x v="6"/>
    <s v="4211.001"/>
    <s v="Intérêts de retard sur factures"/>
    <n v="0"/>
    <n v="7.77"/>
    <n v="4211"/>
  </r>
  <r>
    <x v="0"/>
    <x v="5"/>
    <x v="1"/>
    <x v="53"/>
    <x v="46"/>
    <x v="46"/>
    <s v="REVENUS"/>
    <x v="2"/>
    <s v="4001.001"/>
    <s v="Impôt revenu"/>
    <n v="0"/>
    <n v="9475.5"/>
    <n v="4001"/>
  </r>
  <r>
    <x v="0"/>
    <x v="5"/>
    <x v="1"/>
    <x v="53"/>
    <x v="46"/>
    <x v="46"/>
    <s v="REVENUS"/>
    <x v="2"/>
    <s v="4001.007"/>
    <s v="Acompte impôt sur revenu"/>
    <n v="0"/>
    <n v="-1043.42"/>
    <n v="4001"/>
  </r>
  <r>
    <x v="0"/>
    <x v="5"/>
    <x v="1"/>
    <x v="53"/>
    <x v="46"/>
    <x v="46"/>
    <s v="REVENUS"/>
    <x v="3"/>
    <s v="4002.001"/>
    <s v="Impôt ordinaire s/fortune PP"/>
    <n v="0"/>
    <n v="4430.7"/>
    <n v="4002"/>
  </r>
  <r>
    <x v="0"/>
    <x v="5"/>
    <x v="1"/>
    <x v="53"/>
    <x v="46"/>
    <x v="46"/>
    <s v="REVENUS"/>
    <x v="4"/>
    <s v="4051.002"/>
    <s v="Impôt sur les donations"/>
    <n v="0"/>
    <n v="11323.9"/>
    <n v="4051"/>
  </r>
  <r>
    <x v="0"/>
    <x v="5"/>
    <x v="1"/>
    <x v="53"/>
    <x v="46"/>
    <x v="46"/>
    <s v="REVENUS"/>
    <x v="2"/>
    <s v="4001.003"/>
    <s v="Impôt s/prest. cap. PP"/>
    <n v="0"/>
    <n v="-144.44999999999999"/>
    <n v="4001"/>
  </r>
  <r>
    <x v="0"/>
    <x v="5"/>
    <x v="1"/>
    <x v="53"/>
    <x v="46"/>
    <x v="46"/>
    <s v="REVENUS"/>
    <x v="2"/>
    <s v="4001.007"/>
    <s v="Acompte impôt sur revenu"/>
    <n v="0"/>
    <n v="137.85"/>
    <n v="4001"/>
  </r>
  <r>
    <x v="0"/>
    <x v="5"/>
    <x v="1"/>
    <x v="53"/>
    <x v="46"/>
    <x v="46"/>
    <s v="REVENUS"/>
    <x v="3"/>
    <s v="4002.007"/>
    <s v="Acompte impôt sur fortune"/>
    <n v="0"/>
    <n v="6.2"/>
    <n v="4002"/>
  </r>
  <r>
    <x v="0"/>
    <x v="5"/>
    <x v="1"/>
    <x v="53"/>
    <x v="46"/>
    <x v="46"/>
    <s v="REVENUS"/>
    <x v="6"/>
    <s v="4211.002"/>
    <s v="Intérêts de retard sur acomptes"/>
    <n v="0"/>
    <n v="-80.849999999999994"/>
    <n v="4211"/>
  </r>
  <r>
    <x v="0"/>
    <x v="5"/>
    <x v="1"/>
    <x v="53"/>
    <x v="46"/>
    <x v="46"/>
    <s v="REVENUS"/>
    <x v="2"/>
    <s v="4001.001"/>
    <s v="Impôt revenu"/>
    <n v="0"/>
    <n v="-89543.15"/>
    <n v="4001"/>
  </r>
  <r>
    <x v="0"/>
    <x v="5"/>
    <x v="1"/>
    <x v="53"/>
    <x v="46"/>
    <x v="46"/>
    <s v="REVENUS"/>
    <x v="6"/>
    <s v="4221.003"/>
    <s v="Intérêts compensat. / acomptes en faveur du fisc"/>
    <n v="0"/>
    <n v="-14.71"/>
    <n v="4221"/>
  </r>
  <r>
    <x v="0"/>
    <x v="5"/>
    <x v="1"/>
    <x v="53"/>
    <x v="46"/>
    <x v="46"/>
    <s v="REVENUS"/>
    <x v="3"/>
    <s v="4002.001"/>
    <s v="Impôt ordinaire s/fortune PP"/>
    <n v="0"/>
    <n v="-2834.3"/>
    <n v="4002"/>
  </r>
  <r>
    <x v="0"/>
    <x v="5"/>
    <x v="1"/>
    <x v="53"/>
    <x v="46"/>
    <x v="46"/>
    <s v="REVENUS"/>
    <x v="9"/>
    <s v="4031.001"/>
    <s v="Impôt sur les gains immobiliers"/>
    <n v="0"/>
    <n v="35836.949999999997"/>
    <n v="4031"/>
  </r>
  <r>
    <x v="0"/>
    <x v="5"/>
    <x v="1"/>
    <x v="53"/>
    <x v="46"/>
    <x v="46"/>
    <s v="REVENUS"/>
    <x v="8"/>
    <s v="4091.001"/>
    <s v="Impôt récupéré après défalcations"/>
    <n v="0"/>
    <n v="6068.48"/>
    <n v="4091"/>
  </r>
  <r>
    <x v="0"/>
    <x v="5"/>
    <x v="1"/>
    <x v="53"/>
    <x v="46"/>
    <x v="46"/>
    <s v="REVENUS"/>
    <x v="6"/>
    <s v="4221.003"/>
    <s v="Intérêts compensat. / acomptes en faveur du fisc"/>
    <n v="0"/>
    <n v="10.28"/>
    <n v="4221"/>
  </r>
  <r>
    <x v="0"/>
    <x v="5"/>
    <x v="1"/>
    <x v="53"/>
    <x v="46"/>
    <x v="46"/>
    <s v="REVENUS"/>
    <x v="2"/>
    <s v="4001.002"/>
    <s v="Impôt complément s/revenu PP"/>
    <n v="0"/>
    <n v="588.85"/>
    <n v="4001"/>
  </r>
  <r>
    <x v="0"/>
    <x v="5"/>
    <x v="1"/>
    <x v="53"/>
    <x v="46"/>
    <x v="46"/>
    <s v="REVENUS"/>
    <x v="3"/>
    <s v="4002.002"/>
    <s v="Impôt complémentaire s/fortune PP"/>
    <n v="0"/>
    <n v="242.5"/>
    <n v="4002"/>
  </r>
  <r>
    <x v="0"/>
    <x v="5"/>
    <x v="1"/>
    <x v="53"/>
    <x v="46"/>
    <x v="46"/>
    <s v="REVENUS"/>
    <x v="6"/>
    <s v="4211.001"/>
    <s v="Intérêts de retard sur factures"/>
    <n v="0"/>
    <n v="2.16"/>
    <n v="4211"/>
  </r>
  <r>
    <x v="0"/>
    <x v="5"/>
    <x v="1"/>
    <x v="53"/>
    <x v="46"/>
    <x v="46"/>
    <s v="REVENUS"/>
    <x v="6"/>
    <s v="4221.003"/>
    <s v="Intérêts compensat. / acomptes en faveur du fisc"/>
    <n v="0"/>
    <n v="0.23"/>
    <n v="4221"/>
  </r>
  <r>
    <x v="0"/>
    <x v="5"/>
    <x v="1"/>
    <x v="53"/>
    <x v="46"/>
    <x v="46"/>
    <s v="REVENUS"/>
    <x v="2"/>
    <s v="4001.002"/>
    <s v="Impôt complément s/revenu PP"/>
    <n v="0"/>
    <n v="199.15"/>
    <n v="4001"/>
  </r>
  <r>
    <x v="0"/>
    <x v="5"/>
    <x v="1"/>
    <x v="53"/>
    <x v="46"/>
    <x v="46"/>
    <s v="REVENUS"/>
    <x v="3"/>
    <s v="4002.001"/>
    <s v="Impôt ordinaire s/fortune PP"/>
    <n v="0"/>
    <n v="769.35"/>
    <n v="4002"/>
  </r>
  <r>
    <x v="0"/>
    <x v="5"/>
    <x v="1"/>
    <x v="53"/>
    <x v="46"/>
    <x v="46"/>
    <s v="REVENUS"/>
    <x v="5"/>
    <s v="4061.000"/>
    <s v="Impôt sur les chiens"/>
    <n v="0"/>
    <n v="11400"/>
    <n v="4061"/>
  </r>
  <r>
    <x v="0"/>
    <x v="5"/>
    <x v="1"/>
    <x v="53"/>
    <x v="46"/>
    <x v="46"/>
    <s v="REVENUS"/>
    <x v="11"/>
    <s v="4198.000"/>
    <s v="Contributions communales"/>
    <n v="0"/>
    <n v="173440.55"/>
    <n v="4198"/>
  </r>
  <r>
    <x v="0"/>
    <x v="5"/>
    <x v="1"/>
    <x v="53"/>
    <x v="46"/>
    <x v="46"/>
    <s v="REVENUS"/>
    <x v="2"/>
    <s v="4001.001"/>
    <s v="Impôt revenu"/>
    <n v="0"/>
    <n v="1139.05"/>
    <n v="4001"/>
  </r>
  <r>
    <x v="0"/>
    <x v="5"/>
    <x v="1"/>
    <x v="53"/>
    <x v="46"/>
    <x v="46"/>
    <s v="REVENUS"/>
    <x v="6"/>
    <s v="4211.002"/>
    <s v="Intérêts de retard sur acomptes"/>
    <n v="0"/>
    <n v="56.99"/>
    <n v="4211"/>
  </r>
  <r>
    <x v="0"/>
    <x v="5"/>
    <x v="1"/>
    <x v="53"/>
    <x v="46"/>
    <x v="46"/>
    <s v="REVENUS"/>
    <x v="6"/>
    <s v="4221.003"/>
    <s v="Intérêts compensat. / acomptes en faveur du fisc"/>
    <n v="0"/>
    <n v="7.0000000000000007E-2"/>
    <n v="4221"/>
  </r>
  <r>
    <x v="0"/>
    <x v="5"/>
    <x v="1"/>
    <x v="53"/>
    <x v="46"/>
    <x v="46"/>
    <s v="REVENUS"/>
    <x v="7"/>
    <s v="4184.000"/>
    <s v="Frais de poursuite"/>
    <n v="0"/>
    <n v="2.2400000000000002"/>
    <n v="4184"/>
  </r>
  <r>
    <x v="0"/>
    <x v="5"/>
    <x v="1"/>
    <x v="53"/>
    <x v="46"/>
    <x v="46"/>
    <s v="REVENUS"/>
    <x v="2"/>
    <s v="4001.002"/>
    <s v="Impôt complément s/revenu PP"/>
    <n v="0"/>
    <n v="-199.2"/>
    <n v="4001"/>
  </r>
  <r>
    <x v="0"/>
    <x v="5"/>
    <x v="1"/>
    <x v="53"/>
    <x v="46"/>
    <x v="46"/>
    <s v="REVENUS"/>
    <x v="3"/>
    <s v="4002.001"/>
    <s v="Impôt ordinaire s/fortune PP"/>
    <n v="0"/>
    <n v="-667.75"/>
    <n v="4002"/>
  </r>
  <r>
    <x v="0"/>
    <x v="5"/>
    <x v="1"/>
    <x v="53"/>
    <x v="46"/>
    <x v="46"/>
    <s v="REVENUS"/>
    <x v="2"/>
    <s v="4001.001"/>
    <s v="Impôt revenu"/>
    <n v="0"/>
    <n v="114.75"/>
    <n v="4001"/>
  </r>
  <r>
    <x v="0"/>
    <x v="5"/>
    <x v="1"/>
    <x v="53"/>
    <x v="46"/>
    <x v="46"/>
    <s v="REVENUS"/>
    <x v="3"/>
    <s v="4002.001"/>
    <s v="Impôt ordinaire s/fortune PP"/>
    <n v="0"/>
    <n v="74.3"/>
    <n v="4002"/>
  </r>
  <r>
    <x v="0"/>
    <x v="5"/>
    <x v="1"/>
    <x v="53"/>
    <x v="46"/>
    <x v="46"/>
    <s v="REVENUS"/>
    <x v="3"/>
    <s v="4002.002"/>
    <s v="Impôt complémentaire s/fortune PP"/>
    <n v="0"/>
    <n v="115.95"/>
    <n v="4002"/>
  </r>
  <r>
    <x v="0"/>
    <x v="5"/>
    <x v="1"/>
    <x v="54"/>
    <x v="47"/>
    <x v="47"/>
    <s v="CHARGES"/>
    <x v="0"/>
    <s v="3212.004"/>
    <s v="Intérêts rémun./perçu trop tôt sur acomptes C/C"/>
    <n v="112.86"/>
    <n v="0"/>
    <n v="3212"/>
  </r>
  <r>
    <x v="0"/>
    <x v="5"/>
    <x v="1"/>
    <x v="54"/>
    <x v="47"/>
    <x v="47"/>
    <s v="CHARGES"/>
    <x v="1"/>
    <s v="3301.001"/>
    <s v="Défalcations, abandons de solde PP et IS"/>
    <n v="231.61"/>
    <n v="0"/>
    <n v="3301"/>
  </r>
  <r>
    <x v="0"/>
    <x v="5"/>
    <x v="1"/>
    <x v="54"/>
    <x v="47"/>
    <x v="47"/>
    <s v="CHARGES"/>
    <x v="0"/>
    <s v="3221.002"/>
    <s v="Intérêts compensatoires / créances en faveur ctb."/>
    <n v="29.32"/>
    <n v="0"/>
    <n v="3221"/>
  </r>
  <r>
    <x v="0"/>
    <x v="5"/>
    <x v="1"/>
    <x v="54"/>
    <x v="47"/>
    <x v="47"/>
    <s v="CHARGES"/>
    <x v="0"/>
    <s v="3212.004"/>
    <s v="Intérêts rémun./perçu trop tôt sur acomptes C/C"/>
    <n v="0.33"/>
    <n v="0"/>
    <n v="3212"/>
  </r>
  <r>
    <x v="0"/>
    <x v="5"/>
    <x v="1"/>
    <x v="54"/>
    <x v="47"/>
    <x v="47"/>
    <s v="CHARGES"/>
    <x v="0"/>
    <s v="3221.002"/>
    <s v="Intérêts compensatoires / créances en faveur ctb."/>
    <n v="0.15"/>
    <n v="0"/>
    <n v="3221"/>
  </r>
  <r>
    <x v="0"/>
    <x v="5"/>
    <x v="1"/>
    <x v="54"/>
    <x v="47"/>
    <x v="47"/>
    <s v="CHARGES"/>
    <x v="0"/>
    <s v="3212.002"/>
    <s v="Intérêts bonifiés/trop perçu acompte C/C"/>
    <n v="6.29"/>
    <n v="0"/>
    <n v="3212"/>
  </r>
  <r>
    <x v="0"/>
    <x v="5"/>
    <x v="1"/>
    <x v="54"/>
    <x v="47"/>
    <x v="47"/>
    <s v="CHARGES"/>
    <x v="0"/>
    <s v="3212.004"/>
    <s v="Intérêts rémun./perçu trop tôt sur acomptes C/C"/>
    <n v="4.0199999999999996"/>
    <n v="0"/>
    <n v="3212"/>
  </r>
  <r>
    <x v="0"/>
    <x v="5"/>
    <x v="1"/>
    <x v="54"/>
    <x v="47"/>
    <x v="47"/>
    <s v="CHARGES"/>
    <x v="1"/>
    <s v="3301.001"/>
    <s v="Défalcations, abandons de solde PP et IS"/>
    <n v="0.2"/>
    <n v="0"/>
    <n v="3301"/>
  </r>
  <r>
    <x v="0"/>
    <x v="5"/>
    <x v="1"/>
    <x v="54"/>
    <x v="47"/>
    <x v="47"/>
    <s v="CHARGES"/>
    <x v="0"/>
    <s v="3212.004"/>
    <s v="Intérêts rémun./perçu trop tôt sur acomptes C/C"/>
    <n v="0.4"/>
    <n v="0"/>
    <n v="3212"/>
  </r>
  <r>
    <x v="0"/>
    <x v="5"/>
    <x v="1"/>
    <x v="54"/>
    <x v="47"/>
    <x v="47"/>
    <s v="CHARGES"/>
    <x v="0"/>
    <s v="3221.002"/>
    <s v="Intérêts compensatoires / créances en faveur ctb."/>
    <n v="7.0000000000000007E-2"/>
    <n v="0"/>
    <n v="3221"/>
  </r>
  <r>
    <x v="0"/>
    <x v="5"/>
    <x v="1"/>
    <x v="54"/>
    <x v="47"/>
    <x v="47"/>
    <s v="CHARGES"/>
    <x v="0"/>
    <s v="3212.004"/>
    <s v="Intérêts rémun./perçu trop tôt sur acomptes C/C"/>
    <n v="12.94"/>
    <n v="0"/>
    <n v="3212"/>
  </r>
  <r>
    <x v="0"/>
    <x v="5"/>
    <x v="1"/>
    <x v="54"/>
    <x v="47"/>
    <x v="47"/>
    <s v="CHARGES"/>
    <x v="0"/>
    <s v="3221.002"/>
    <s v="Intérêts compensatoires / créances en faveur ctb."/>
    <n v="16.170000000000002"/>
    <n v="0"/>
    <n v="3221"/>
  </r>
  <r>
    <x v="0"/>
    <x v="5"/>
    <x v="1"/>
    <x v="54"/>
    <x v="47"/>
    <x v="47"/>
    <s v="CHARGES"/>
    <x v="1"/>
    <s v="3301.001"/>
    <s v="Défalcations, abandons de solde PP et IS"/>
    <n v="0.04"/>
    <n v="0"/>
    <n v="3301"/>
  </r>
  <r>
    <x v="0"/>
    <x v="5"/>
    <x v="1"/>
    <x v="54"/>
    <x v="47"/>
    <x v="47"/>
    <s v="CHARGES"/>
    <x v="1"/>
    <s v="3301.001"/>
    <s v="Défalcations, abandons de solde PP et IS"/>
    <n v="-0.26"/>
    <n v="0"/>
    <n v="3301"/>
  </r>
  <r>
    <x v="0"/>
    <x v="5"/>
    <x v="1"/>
    <x v="54"/>
    <x v="47"/>
    <x v="47"/>
    <s v="REVENUS"/>
    <x v="3"/>
    <s v="4002.007"/>
    <s v="Acompte impôt sur fortune"/>
    <n v="0"/>
    <n v="-10056.799999999999"/>
    <n v="4002"/>
  </r>
  <r>
    <x v="0"/>
    <x v="5"/>
    <x v="1"/>
    <x v="54"/>
    <x v="47"/>
    <x v="47"/>
    <s v="REVENUS"/>
    <x v="2"/>
    <s v="4001.001"/>
    <s v="Impôt revenu"/>
    <n v="0"/>
    <n v="602616.80000000005"/>
    <n v="4001"/>
  </r>
  <r>
    <x v="0"/>
    <x v="5"/>
    <x v="1"/>
    <x v="54"/>
    <x v="47"/>
    <x v="47"/>
    <s v="REVENUS"/>
    <x v="3"/>
    <s v="4002.001"/>
    <s v="Impôt ordinaire s/fortune PP"/>
    <n v="0"/>
    <n v="60578.65"/>
    <n v="4002"/>
  </r>
  <r>
    <x v="0"/>
    <x v="5"/>
    <x v="1"/>
    <x v="54"/>
    <x v="47"/>
    <x v="47"/>
    <s v="REVENUS"/>
    <x v="6"/>
    <s v="4211.002"/>
    <s v="Intérêts de retard sur acomptes"/>
    <n v="0"/>
    <n v="3160.37"/>
    <n v="4211"/>
  </r>
  <r>
    <x v="0"/>
    <x v="5"/>
    <x v="1"/>
    <x v="54"/>
    <x v="47"/>
    <x v="47"/>
    <s v="REVENUS"/>
    <x v="6"/>
    <s v="4221.003"/>
    <s v="Intérêts compensat. / acomptes en faveur du fisc"/>
    <n v="0"/>
    <n v="67.47"/>
    <n v="4221"/>
  </r>
  <r>
    <x v="0"/>
    <x v="5"/>
    <x v="1"/>
    <x v="54"/>
    <x v="47"/>
    <x v="47"/>
    <s v="REVENUS"/>
    <x v="2"/>
    <s v="4001.007"/>
    <s v="Acompte impôt sur revenu"/>
    <n v="0"/>
    <n v="-95510.85"/>
    <n v="4001"/>
  </r>
  <r>
    <x v="0"/>
    <x v="5"/>
    <x v="1"/>
    <x v="54"/>
    <x v="47"/>
    <x v="47"/>
    <s v="REVENUS"/>
    <x v="2"/>
    <s v="4001.007"/>
    <s v="Acompte impôt sur revenu"/>
    <n v="0"/>
    <n v="71162.820000000007"/>
    <n v="4001"/>
  </r>
  <r>
    <x v="0"/>
    <x v="5"/>
    <x v="1"/>
    <x v="54"/>
    <x v="47"/>
    <x v="47"/>
    <s v="REVENUS"/>
    <x v="3"/>
    <s v="4002.007"/>
    <s v="Acompte impôt sur fortune"/>
    <n v="0"/>
    <n v="16351.95"/>
    <n v="4002"/>
  </r>
  <r>
    <x v="0"/>
    <x v="5"/>
    <x v="1"/>
    <x v="54"/>
    <x v="47"/>
    <x v="47"/>
    <s v="REVENUS"/>
    <x v="3"/>
    <s v="4002.002"/>
    <s v="Impôt complémentaire s/fortune PP"/>
    <n v="0"/>
    <n v="12142.1"/>
    <n v="4002"/>
  </r>
  <r>
    <x v="0"/>
    <x v="5"/>
    <x v="1"/>
    <x v="54"/>
    <x v="47"/>
    <x v="47"/>
    <s v="REVENUS"/>
    <x v="6"/>
    <s v="4211.001"/>
    <s v="Intérêts de retard sur factures"/>
    <n v="0"/>
    <n v="2253.39"/>
    <n v="4211"/>
  </r>
  <r>
    <x v="0"/>
    <x v="5"/>
    <x v="1"/>
    <x v="54"/>
    <x v="47"/>
    <x v="47"/>
    <s v="REVENUS"/>
    <x v="2"/>
    <s v="4001.002"/>
    <s v="Impôt complément s/revenu PP"/>
    <n v="0"/>
    <n v="103904.7"/>
    <n v="4001"/>
  </r>
  <r>
    <x v="0"/>
    <x v="5"/>
    <x v="1"/>
    <x v="54"/>
    <x v="47"/>
    <x v="47"/>
    <s v="REVENUS"/>
    <x v="2"/>
    <s v="4001.001"/>
    <s v="Impôt revenu"/>
    <n v="0"/>
    <n v="2792.15"/>
    <n v="4001"/>
  </r>
  <r>
    <x v="0"/>
    <x v="5"/>
    <x v="1"/>
    <x v="54"/>
    <x v="47"/>
    <x v="47"/>
    <s v="REVENUS"/>
    <x v="2"/>
    <s v="4001.007"/>
    <s v="Acompte impôt sur revenu"/>
    <n v="0"/>
    <n v="236.85"/>
    <n v="4001"/>
  </r>
  <r>
    <x v="0"/>
    <x v="5"/>
    <x v="1"/>
    <x v="54"/>
    <x v="47"/>
    <x v="47"/>
    <s v="REVENUS"/>
    <x v="3"/>
    <s v="4002.001"/>
    <s v="Impôt ordinaire s/fortune PP"/>
    <n v="0"/>
    <n v="2850"/>
    <n v="4002"/>
  </r>
  <r>
    <x v="0"/>
    <x v="5"/>
    <x v="1"/>
    <x v="54"/>
    <x v="47"/>
    <x v="47"/>
    <s v="REVENUS"/>
    <x v="3"/>
    <s v="4002.007"/>
    <s v="Acompte impôt sur fortune"/>
    <n v="0"/>
    <n v="-363.2"/>
    <n v="4002"/>
  </r>
  <r>
    <x v="0"/>
    <x v="5"/>
    <x v="1"/>
    <x v="54"/>
    <x v="47"/>
    <x v="47"/>
    <s v="REVENUS"/>
    <x v="3"/>
    <s v="4002.001"/>
    <s v="Impôt ordinaire s/fortune PP"/>
    <n v="0"/>
    <n v="73.05"/>
    <n v="4002"/>
  </r>
  <r>
    <x v="0"/>
    <x v="5"/>
    <x v="1"/>
    <x v="54"/>
    <x v="47"/>
    <x v="47"/>
    <s v="REVENUS"/>
    <x v="3"/>
    <s v="4002.007"/>
    <s v="Acompte impôt sur fortune"/>
    <n v="0"/>
    <n v="-42.55"/>
    <n v="4002"/>
  </r>
  <r>
    <x v="0"/>
    <x v="5"/>
    <x v="1"/>
    <x v="54"/>
    <x v="47"/>
    <x v="47"/>
    <s v="REVENUS"/>
    <x v="2"/>
    <s v="4001.003"/>
    <s v="Impôt s/prest. cap. PP"/>
    <n v="0"/>
    <n v="7870.85"/>
    <n v="4001"/>
  </r>
  <r>
    <x v="0"/>
    <x v="5"/>
    <x v="1"/>
    <x v="54"/>
    <x v="47"/>
    <x v="47"/>
    <s v="REVENUS"/>
    <x v="7"/>
    <s v="4184.000"/>
    <s v="Frais de poursuite"/>
    <n v="0"/>
    <n v="540.05999999999995"/>
    <n v="4184"/>
  </r>
  <r>
    <x v="0"/>
    <x v="5"/>
    <x v="1"/>
    <x v="54"/>
    <x v="47"/>
    <x v="47"/>
    <s v="REVENUS"/>
    <x v="2"/>
    <s v="4001.007"/>
    <s v="Acompte impôt sur revenu"/>
    <n v="0"/>
    <n v="64"/>
    <n v="4001"/>
  </r>
  <r>
    <x v="0"/>
    <x v="5"/>
    <x v="1"/>
    <x v="54"/>
    <x v="47"/>
    <x v="47"/>
    <s v="REVENUS"/>
    <x v="3"/>
    <s v="4002.007"/>
    <s v="Acompte impôt sur fortune"/>
    <n v="0"/>
    <n v="59.78"/>
    <n v="4002"/>
  </r>
  <r>
    <x v="0"/>
    <x v="5"/>
    <x v="1"/>
    <x v="54"/>
    <x v="47"/>
    <x v="47"/>
    <s v="REVENUS"/>
    <x v="2"/>
    <s v="4001.007"/>
    <s v="Acompte impôt sur revenu"/>
    <n v="0"/>
    <n v="-4663.58"/>
    <n v="4001"/>
  </r>
  <r>
    <x v="0"/>
    <x v="5"/>
    <x v="1"/>
    <x v="54"/>
    <x v="47"/>
    <x v="47"/>
    <s v="REVENUS"/>
    <x v="2"/>
    <s v="4001.001"/>
    <s v="Impôt revenu"/>
    <n v="0"/>
    <n v="8488.7999999999993"/>
    <n v="4001"/>
  </r>
  <r>
    <x v="0"/>
    <x v="5"/>
    <x v="1"/>
    <x v="54"/>
    <x v="47"/>
    <x v="47"/>
    <s v="REVENUS"/>
    <x v="3"/>
    <s v="4002.001"/>
    <s v="Impôt ordinaire s/fortune PP"/>
    <n v="0"/>
    <n v="1783.6"/>
    <n v="4002"/>
  </r>
  <r>
    <x v="0"/>
    <x v="5"/>
    <x v="1"/>
    <x v="54"/>
    <x v="47"/>
    <x v="47"/>
    <s v="REVENUS"/>
    <x v="6"/>
    <s v="4221.003"/>
    <s v="Intérêts compensat. / acomptes en faveur du fisc"/>
    <n v="0"/>
    <n v="0.23"/>
    <n v="4221"/>
  </r>
  <r>
    <x v="0"/>
    <x v="5"/>
    <x v="1"/>
    <x v="54"/>
    <x v="47"/>
    <x v="47"/>
    <s v="REVENUS"/>
    <x v="6"/>
    <s v="4221.002"/>
    <s v="Intérêts compensat. sur impôts distincts"/>
    <n v="0"/>
    <n v="0.36"/>
    <n v="4221"/>
  </r>
  <r>
    <x v="0"/>
    <x v="5"/>
    <x v="1"/>
    <x v="54"/>
    <x v="47"/>
    <x v="47"/>
    <s v="REVENUS"/>
    <x v="2"/>
    <s v="4001.001"/>
    <s v="Impôt revenu"/>
    <n v="0"/>
    <n v="142.94999999999999"/>
    <n v="4001"/>
  </r>
  <r>
    <x v="0"/>
    <x v="5"/>
    <x v="1"/>
    <x v="54"/>
    <x v="47"/>
    <x v="47"/>
    <s v="REVENUS"/>
    <x v="2"/>
    <s v="4001.001"/>
    <s v="Impôt revenu"/>
    <n v="0"/>
    <n v="-21782.05"/>
    <n v="4001"/>
  </r>
  <r>
    <x v="0"/>
    <x v="5"/>
    <x v="1"/>
    <x v="54"/>
    <x v="47"/>
    <x v="47"/>
    <s v="REVENUS"/>
    <x v="2"/>
    <s v="4001.002"/>
    <s v="Impôt complément s/revenu PP"/>
    <n v="0"/>
    <n v="429"/>
    <n v="4001"/>
  </r>
  <r>
    <x v="0"/>
    <x v="5"/>
    <x v="1"/>
    <x v="54"/>
    <x v="47"/>
    <x v="47"/>
    <s v="REVENUS"/>
    <x v="3"/>
    <s v="4002.002"/>
    <s v="Impôt complémentaire s/fortune PP"/>
    <n v="0"/>
    <n v="488.15"/>
    <n v="4002"/>
  </r>
  <r>
    <x v="0"/>
    <x v="5"/>
    <x v="1"/>
    <x v="54"/>
    <x v="47"/>
    <x v="47"/>
    <s v="REVENUS"/>
    <x v="6"/>
    <s v="4211.001"/>
    <s v="Intérêts de retard sur factures"/>
    <n v="0"/>
    <n v="0.03"/>
    <n v="4211"/>
  </r>
  <r>
    <x v="0"/>
    <x v="5"/>
    <x v="1"/>
    <x v="54"/>
    <x v="47"/>
    <x v="47"/>
    <s v="REVENUS"/>
    <x v="5"/>
    <s v="4061.000"/>
    <s v="Impôt sur les chiens"/>
    <n v="0"/>
    <n v="1410"/>
    <n v="4061"/>
  </r>
  <r>
    <x v="0"/>
    <x v="5"/>
    <x v="1"/>
    <x v="54"/>
    <x v="47"/>
    <x v="47"/>
    <s v="REVENUS"/>
    <x v="11"/>
    <s v="4198.000"/>
    <s v="Contributions communales"/>
    <n v="0"/>
    <n v="55355.05"/>
    <n v="4198"/>
  </r>
  <r>
    <x v="0"/>
    <x v="5"/>
    <x v="1"/>
    <x v="54"/>
    <x v="47"/>
    <x v="47"/>
    <s v="REVENUS"/>
    <x v="6"/>
    <s v="4211.002"/>
    <s v="Intérêts de retard sur acomptes"/>
    <n v="0"/>
    <n v="0.13"/>
    <n v="4211"/>
  </r>
  <r>
    <x v="0"/>
    <x v="5"/>
    <x v="1"/>
    <x v="54"/>
    <x v="47"/>
    <x v="47"/>
    <s v="REVENUS"/>
    <x v="6"/>
    <s v="4211.001"/>
    <s v="Intérêts de retard sur factures"/>
    <n v="0"/>
    <n v="0.03"/>
    <n v="4211"/>
  </r>
  <r>
    <x v="0"/>
    <x v="5"/>
    <x v="1"/>
    <x v="54"/>
    <x v="47"/>
    <x v="47"/>
    <s v="REVENUS"/>
    <x v="10"/>
    <s v="4041.001"/>
    <s v="Droits de mutation"/>
    <n v="0"/>
    <n v="16280"/>
    <n v="4041"/>
  </r>
  <r>
    <x v="0"/>
    <x v="5"/>
    <x v="1"/>
    <x v="54"/>
    <x v="47"/>
    <x v="47"/>
    <s v="REVENUS"/>
    <x v="9"/>
    <s v="4031.001"/>
    <s v="Impôt sur les gains immobiliers"/>
    <n v="0"/>
    <n v="2916.7"/>
    <n v="4031"/>
  </r>
  <r>
    <x v="0"/>
    <x v="5"/>
    <x v="1"/>
    <x v="54"/>
    <x v="47"/>
    <x v="47"/>
    <s v="REVENUS"/>
    <x v="6"/>
    <s v="4221.003"/>
    <s v="Intérêts compensat. / acomptes en faveur du fisc"/>
    <n v="0"/>
    <n v="0.04"/>
    <n v="4221"/>
  </r>
  <r>
    <x v="0"/>
    <x v="5"/>
    <x v="1"/>
    <x v="54"/>
    <x v="47"/>
    <x v="47"/>
    <s v="REVENUS"/>
    <x v="3"/>
    <s v="4002.001"/>
    <s v="Impôt ordinaire s/fortune PP"/>
    <n v="0"/>
    <n v="-1141.0999999999999"/>
    <n v="4002"/>
  </r>
  <r>
    <x v="0"/>
    <x v="5"/>
    <x v="1"/>
    <x v="54"/>
    <x v="47"/>
    <x v="47"/>
    <s v="REVENUS"/>
    <x v="2"/>
    <s v="4001.003"/>
    <s v="Impôt s/prest. cap. PP"/>
    <n v="0"/>
    <n v="-3219.25"/>
    <n v="4001"/>
  </r>
  <r>
    <x v="0"/>
    <x v="5"/>
    <x v="1"/>
    <x v="54"/>
    <x v="47"/>
    <x v="47"/>
    <s v="REVENUS"/>
    <x v="6"/>
    <s v="4211.001"/>
    <s v="Intérêts de retard sur factures"/>
    <n v="0"/>
    <n v="-27.37"/>
    <n v="4211"/>
  </r>
  <r>
    <x v="0"/>
    <x v="5"/>
    <x v="1"/>
    <x v="54"/>
    <x v="47"/>
    <x v="47"/>
    <s v="REVENUS"/>
    <x v="6"/>
    <s v="4221.002"/>
    <s v="Intérêts compensat. sur impôts distincts"/>
    <n v="0"/>
    <n v="-0.26"/>
    <n v="4221"/>
  </r>
  <r>
    <x v="0"/>
    <x v="5"/>
    <x v="1"/>
    <x v="55"/>
    <x v="48"/>
    <x v="48"/>
    <s v="CHARGES"/>
    <x v="0"/>
    <s v="3212.004"/>
    <s v="Intérêts rémun./perçu trop tôt sur acomptes C/C"/>
    <n v="1.52"/>
    <n v="0"/>
    <n v="3212"/>
  </r>
  <r>
    <x v="0"/>
    <x v="5"/>
    <x v="1"/>
    <x v="55"/>
    <x v="48"/>
    <x v="48"/>
    <s v="CHARGES"/>
    <x v="0"/>
    <s v="3221.002"/>
    <s v="Intérêts compensatoires / créances en faveur ctb."/>
    <n v="1.02"/>
    <n v="0"/>
    <n v="3221"/>
  </r>
  <r>
    <x v="0"/>
    <x v="5"/>
    <x v="1"/>
    <x v="55"/>
    <x v="48"/>
    <x v="48"/>
    <s v="CHARGES"/>
    <x v="0"/>
    <s v="3212.002"/>
    <s v="Intérêts bonifiés/trop perçu acompte C/C"/>
    <n v="18.63"/>
    <n v="0"/>
    <n v="3212"/>
  </r>
  <r>
    <x v="0"/>
    <x v="5"/>
    <x v="1"/>
    <x v="55"/>
    <x v="48"/>
    <x v="48"/>
    <s v="CHARGES"/>
    <x v="1"/>
    <s v="3301.001"/>
    <s v="Défalcations, abandons de solde PP et IS"/>
    <n v="7906.31"/>
    <n v="0"/>
    <n v="3301"/>
  </r>
  <r>
    <x v="0"/>
    <x v="5"/>
    <x v="1"/>
    <x v="55"/>
    <x v="48"/>
    <x v="48"/>
    <s v="CHARGES"/>
    <x v="0"/>
    <s v="3212.004"/>
    <s v="Intérêts rémun./perçu trop tôt sur acomptes C/C"/>
    <n v="312.69"/>
    <n v="0"/>
    <n v="3212"/>
  </r>
  <r>
    <x v="0"/>
    <x v="5"/>
    <x v="1"/>
    <x v="55"/>
    <x v="48"/>
    <x v="48"/>
    <s v="CHARGES"/>
    <x v="0"/>
    <s v="3221.002"/>
    <s v="Intérêts compensatoires / créances en faveur ctb."/>
    <n v="93.26"/>
    <n v="0"/>
    <n v="3221"/>
  </r>
  <r>
    <x v="0"/>
    <x v="5"/>
    <x v="1"/>
    <x v="55"/>
    <x v="48"/>
    <x v="48"/>
    <s v="CHARGES"/>
    <x v="1"/>
    <s v="3301.001"/>
    <s v="Défalcations, abandons de solde PP et IS"/>
    <n v="0.03"/>
    <n v="0"/>
    <n v="3301"/>
  </r>
  <r>
    <x v="0"/>
    <x v="5"/>
    <x v="1"/>
    <x v="55"/>
    <x v="48"/>
    <x v="48"/>
    <s v="CHARGES"/>
    <x v="0"/>
    <s v="3212.002"/>
    <s v="Intérêts bonifiés/trop perçu acompte C/C"/>
    <n v="0.01"/>
    <n v="0"/>
    <n v="3212"/>
  </r>
  <r>
    <x v="0"/>
    <x v="5"/>
    <x v="1"/>
    <x v="55"/>
    <x v="48"/>
    <x v="48"/>
    <s v="CHARGES"/>
    <x v="0"/>
    <s v="3212.004"/>
    <s v="Intérêts rémun./perçu trop tôt sur acomptes C/C"/>
    <n v="0.62"/>
    <n v="0"/>
    <n v="3212"/>
  </r>
  <r>
    <x v="0"/>
    <x v="5"/>
    <x v="1"/>
    <x v="55"/>
    <x v="48"/>
    <x v="48"/>
    <s v="CHARGES"/>
    <x v="0"/>
    <s v="3221.002"/>
    <s v="Intérêts compensatoires / créances en faveur ctb."/>
    <n v="0.16"/>
    <n v="0"/>
    <n v="3221"/>
  </r>
  <r>
    <x v="0"/>
    <x v="5"/>
    <x v="1"/>
    <x v="55"/>
    <x v="48"/>
    <x v="48"/>
    <s v="CHARGES"/>
    <x v="0"/>
    <s v="3212.004"/>
    <s v="Intérêts rémun./perçu trop tôt sur acomptes C/C"/>
    <n v="13.15"/>
    <n v="0"/>
    <n v="3212"/>
  </r>
  <r>
    <x v="0"/>
    <x v="5"/>
    <x v="1"/>
    <x v="55"/>
    <x v="48"/>
    <x v="48"/>
    <s v="CHARGES"/>
    <x v="0"/>
    <s v="3221.002"/>
    <s v="Intérêts compensatoires / créances en faveur ctb."/>
    <n v="2.95"/>
    <n v="0"/>
    <n v="3221"/>
  </r>
  <r>
    <x v="0"/>
    <x v="5"/>
    <x v="1"/>
    <x v="55"/>
    <x v="48"/>
    <x v="48"/>
    <s v="CHARGES"/>
    <x v="0"/>
    <s v="3212.004"/>
    <s v="Intérêts rémun./perçu trop tôt sur acomptes C/C"/>
    <n v="-1.83"/>
    <n v="0"/>
    <n v="3212"/>
  </r>
  <r>
    <x v="0"/>
    <x v="5"/>
    <x v="1"/>
    <x v="55"/>
    <x v="48"/>
    <x v="48"/>
    <s v="CHARGES"/>
    <x v="0"/>
    <s v="3221.002"/>
    <s v="Intérêts compensatoires / créances en faveur ctb."/>
    <n v="0.04"/>
    <n v="0"/>
    <n v="3221"/>
  </r>
  <r>
    <x v="0"/>
    <x v="5"/>
    <x v="1"/>
    <x v="55"/>
    <x v="48"/>
    <x v="48"/>
    <s v="CHARGES"/>
    <x v="1"/>
    <s v="3301.001"/>
    <s v="Défalcations, abandons de solde PP et IS"/>
    <n v="-0.62"/>
    <n v="0"/>
    <n v="3301"/>
  </r>
  <r>
    <x v="0"/>
    <x v="5"/>
    <x v="1"/>
    <x v="55"/>
    <x v="48"/>
    <x v="48"/>
    <s v="CHARGES"/>
    <x v="0"/>
    <s v="3212.004"/>
    <s v="Intérêts rémun./perçu trop tôt sur acomptes C/C"/>
    <n v="0.32"/>
    <n v="0"/>
    <n v="3212"/>
  </r>
  <r>
    <x v="0"/>
    <x v="5"/>
    <x v="1"/>
    <x v="55"/>
    <x v="48"/>
    <x v="48"/>
    <s v="CHARGES"/>
    <x v="0"/>
    <s v="3221.002"/>
    <s v="Intérêts compensatoires / créances en faveur ctb."/>
    <n v="7.0000000000000007E-2"/>
    <n v="0"/>
    <n v="3221"/>
  </r>
  <r>
    <x v="0"/>
    <x v="5"/>
    <x v="1"/>
    <x v="55"/>
    <x v="48"/>
    <x v="48"/>
    <s v="CHARGES"/>
    <x v="1"/>
    <s v="3301.001"/>
    <s v="Défalcations, abandons de solde PP et IS"/>
    <n v="0.04"/>
    <n v="0"/>
    <n v="3301"/>
  </r>
  <r>
    <x v="0"/>
    <x v="5"/>
    <x v="1"/>
    <x v="55"/>
    <x v="48"/>
    <x v="48"/>
    <s v="CHARGES"/>
    <x v="1"/>
    <s v="3301.001"/>
    <s v="Défalcations, abandons de solde PP et IS"/>
    <n v="0.15"/>
    <n v="0"/>
    <n v="3301"/>
  </r>
  <r>
    <x v="0"/>
    <x v="5"/>
    <x v="1"/>
    <x v="55"/>
    <x v="48"/>
    <x v="48"/>
    <s v="CHARGES"/>
    <x v="0"/>
    <s v="3212.004"/>
    <s v="Intérêts rémun./perçu trop tôt sur acomptes C/C"/>
    <n v="0.04"/>
    <n v="0"/>
    <n v="3212"/>
  </r>
  <r>
    <x v="0"/>
    <x v="5"/>
    <x v="1"/>
    <x v="55"/>
    <x v="48"/>
    <x v="48"/>
    <s v="CHARGES"/>
    <x v="0"/>
    <s v="3221.002"/>
    <s v="Intérêts compensatoires / créances en faveur ctb."/>
    <n v="0.01"/>
    <n v="0"/>
    <n v="3221"/>
  </r>
  <r>
    <x v="0"/>
    <x v="5"/>
    <x v="1"/>
    <x v="55"/>
    <x v="48"/>
    <x v="48"/>
    <s v="CHARGES"/>
    <x v="0"/>
    <s v="3212.002"/>
    <s v="Intérêts bonifiés/trop perçu acompte C/C"/>
    <n v="-3.8"/>
    <n v="0"/>
    <n v="3212"/>
  </r>
  <r>
    <x v="0"/>
    <x v="5"/>
    <x v="1"/>
    <x v="55"/>
    <x v="48"/>
    <x v="48"/>
    <s v="CHARGES"/>
    <x v="1"/>
    <s v="3301.001"/>
    <s v="Défalcations, abandons de solde PP et IS"/>
    <n v="3.06"/>
    <n v="0"/>
    <n v="3301"/>
  </r>
  <r>
    <x v="0"/>
    <x v="5"/>
    <x v="1"/>
    <x v="55"/>
    <x v="48"/>
    <x v="48"/>
    <s v="CHARGES"/>
    <x v="1"/>
    <s v="3301.001"/>
    <s v="Défalcations, abandons de solde PP et IS"/>
    <n v="4.84"/>
    <n v="0"/>
    <n v="3301"/>
  </r>
  <r>
    <x v="0"/>
    <x v="5"/>
    <x v="1"/>
    <x v="55"/>
    <x v="48"/>
    <x v="48"/>
    <s v="CHARGES"/>
    <x v="0"/>
    <s v="3212.002"/>
    <s v="Intérêts bonifiés/trop perçu acompte C/C"/>
    <n v="-0.04"/>
    <n v="0"/>
    <n v="3212"/>
  </r>
  <r>
    <x v="0"/>
    <x v="5"/>
    <x v="1"/>
    <x v="55"/>
    <x v="48"/>
    <x v="48"/>
    <s v="REVENUS"/>
    <x v="2"/>
    <s v="4001.001"/>
    <s v="Impôt revenu"/>
    <n v="0"/>
    <n v="4653.6499999999996"/>
    <n v="4001"/>
  </r>
  <r>
    <x v="0"/>
    <x v="5"/>
    <x v="1"/>
    <x v="55"/>
    <x v="48"/>
    <x v="48"/>
    <s v="REVENUS"/>
    <x v="3"/>
    <s v="4002.001"/>
    <s v="Impôt ordinaire s/fortune PP"/>
    <n v="0"/>
    <n v="2032.1"/>
    <n v="4002"/>
  </r>
  <r>
    <x v="0"/>
    <x v="5"/>
    <x v="1"/>
    <x v="55"/>
    <x v="48"/>
    <x v="48"/>
    <s v="REVENUS"/>
    <x v="2"/>
    <s v="4001.007"/>
    <s v="Acompte impôt sur revenu"/>
    <n v="0"/>
    <n v="-270351.09000000003"/>
    <n v="4001"/>
  </r>
  <r>
    <x v="0"/>
    <x v="5"/>
    <x v="1"/>
    <x v="55"/>
    <x v="48"/>
    <x v="48"/>
    <s v="REVENUS"/>
    <x v="2"/>
    <s v="4001.001"/>
    <s v="Impôt revenu"/>
    <n v="0"/>
    <n v="1705878"/>
    <n v="4001"/>
  </r>
  <r>
    <x v="0"/>
    <x v="5"/>
    <x v="1"/>
    <x v="55"/>
    <x v="48"/>
    <x v="48"/>
    <s v="REVENUS"/>
    <x v="2"/>
    <s v="4001.007"/>
    <s v="Acompte impôt sur revenu"/>
    <n v="0"/>
    <n v="393289.2"/>
    <n v="4001"/>
  </r>
  <r>
    <x v="0"/>
    <x v="5"/>
    <x v="1"/>
    <x v="55"/>
    <x v="48"/>
    <x v="48"/>
    <s v="REVENUS"/>
    <x v="3"/>
    <s v="4002.001"/>
    <s v="Impôt ordinaire s/fortune PP"/>
    <n v="0"/>
    <n v="189325.3"/>
    <n v="4002"/>
  </r>
  <r>
    <x v="0"/>
    <x v="5"/>
    <x v="1"/>
    <x v="55"/>
    <x v="48"/>
    <x v="48"/>
    <s v="REVENUS"/>
    <x v="3"/>
    <s v="4002.007"/>
    <s v="Acompte impôt sur fortune"/>
    <n v="0"/>
    <n v="69251.12"/>
    <n v="4002"/>
  </r>
  <r>
    <x v="0"/>
    <x v="5"/>
    <x v="1"/>
    <x v="55"/>
    <x v="48"/>
    <x v="48"/>
    <s v="REVENUS"/>
    <x v="6"/>
    <s v="4211.001"/>
    <s v="Intérêts de retard sur factures"/>
    <n v="0"/>
    <n v="4419.3900000000003"/>
    <n v="4211"/>
  </r>
  <r>
    <x v="0"/>
    <x v="5"/>
    <x v="1"/>
    <x v="55"/>
    <x v="48"/>
    <x v="48"/>
    <s v="REVENUS"/>
    <x v="6"/>
    <s v="4211.002"/>
    <s v="Intérêts de retard sur acomptes"/>
    <n v="0"/>
    <n v="11677.42"/>
    <n v="4211"/>
  </r>
  <r>
    <x v="0"/>
    <x v="5"/>
    <x v="1"/>
    <x v="55"/>
    <x v="48"/>
    <x v="48"/>
    <s v="REVENUS"/>
    <x v="6"/>
    <s v="4221.003"/>
    <s v="Intérêts compensat. / acomptes en faveur du fisc"/>
    <n v="0"/>
    <n v="103.15"/>
    <n v="4221"/>
  </r>
  <r>
    <x v="0"/>
    <x v="5"/>
    <x v="1"/>
    <x v="55"/>
    <x v="48"/>
    <x v="48"/>
    <s v="REVENUS"/>
    <x v="3"/>
    <s v="4002.001"/>
    <s v="Impôt ordinaire s/fortune PP"/>
    <n v="0"/>
    <n v="4771.8999999999996"/>
    <n v="4002"/>
  </r>
  <r>
    <x v="0"/>
    <x v="5"/>
    <x v="1"/>
    <x v="55"/>
    <x v="48"/>
    <x v="48"/>
    <s v="REVENUS"/>
    <x v="7"/>
    <s v="4184.000"/>
    <s v="Frais de poursuite"/>
    <n v="0"/>
    <n v="2815.43"/>
    <n v="4184"/>
  </r>
  <r>
    <x v="0"/>
    <x v="5"/>
    <x v="1"/>
    <x v="55"/>
    <x v="48"/>
    <x v="48"/>
    <s v="REVENUS"/>
    <x v="3"/>
    <s v="4002.007"/>
    <s v="Acompte impôt sur fortune"/>
    <n v="0"/>
    <n v="-46018.28"/>
    <n v="4002"/>
  </r>
  <r>
    <x v="0"/>
    <x v="5"/>
    <x v="1"/>
    <x v="55"/>
    <x v="48"/>
    <x v="48"/>
    <s v="REVENUS"/>
    <x v="9"/>
    <s v="4031.001"/>
    <s v="Impôt sur les gains immobiliers"/>
    <n v="0"/>
    <n v="10065.5"/>
    <n v="4031"/>
  </r>
  <r>
    <x v="0"/>
    <x v="5"/>
    <x v="1"/>
    <x v="55"/>
    <x v="48"/>
    <x v="48"/>
    <s v="REVENUS"/>
    <x v="6"/>
    <s v="4221.002"/>
    <s v="Intérêts compensat. sur impôts distincts"/>
    <n v="0"/>
    <n v="56.84"/>
    <n v="4221"/>
  </r>
  <r>
    <x v="0"/>
    <x v="5"/>
    <x v="1"/>
    <x v="55"/>
    <x v="48"/>
    <x v="48"/>
    <s v="REVENUS"/>
    <x v="2"/>
    <s v="4001.003"/>
    <s v="Impôt s/prest. cap. PP"/>
    <n v="0"/>
    <n v="31282.15"/>
    <n v="4001"/>
  </r>
  <r>
    <x v="0"/>
    <x v="5"/>
    <x v="1"/>
    <x v="55"/>
    <x v="48"/>
    <x v="48"/>
    <s v="REVENUS"/>
    <x v="5"/>
    <s v="4061.000"/>
    <s v="Impôt sur les chiens"/>
    <n v="0"/>
    <n v="6200"/>
    <n v="4061"/>
  </r>
  <r>
    <x v="0"/>
    <x v="5"/>
    <x v="1"/>
    <x v="55"/>
    <x v="48"/>
    <x v="48"/>
    <s v="REVENUS"/>
    <x v="2"/>
    <s v="4001.002"/>
    <s v="Impôt complément s/revenu PP"/>
    <n v="0"/>
    <n v="233519.2"/>
    <n v="4001"/>
  </r>
  <r>
    <x v="0"/>
    <x v="5"/>
    <x v="1"/>
    <x v="55"/>
    <x v="48"/>
    <x v="48"/>
    <s v="REVENUS"/>
    <x v="3"/>
    <s v="4002.002"/>
    <s v="Impôt complémentaire s/fortune PP"/>
    <n v="0"/>
    <n v="27056.85"/>
    <n v="4002"/>
  </r>
  <r>
    <x v="0"/>
    <x v="5"/>
    <x v="1"/>
    <x v="55"/>
    <x v="48"/>
    <x v="48"/>
    <s v="REVENUS"/>
    <x v="10"/>
    <s v="4041.001"/>
    <s v="Droits de mutation"/>
    <n v="0"/>
    <n v="112980.25"/>
    <n v="4041"/>
  </r>
  <r>
    <x v="0"/>
    <x v="5"/>
    <x v="1"/>
    <x v="55"/>
    <x v="48"/>
    <x v="48"/>
    <s v="REVENUS"/>
    <x v="9"/>
    <s v="4031.002"/>
    <s v="Complément impôt sur les gains immobiliers"/>
    <n v="0"/>
    <n v="24122.35"/>
    <n v="4031"/>
  </r>
  <r>
    <x v="0"/>
    <x v="5"/>
    <x v="1"/>
    <x v="55"/>
    <x v="48"/>
    <x v="48"/>
    <s v="REVENUS"/>
    <x v="4"/>
    <s v="4051.002"/>
    <s v="Impôt sur les donations"/>
    <n v="0"/>
    <n v="4941.5"/>
    <n v="4051"/>
  </r>
  <r>
    <x v="0"/>
    <x v="5"/>
    <x v="1"/>
    <x v="55"/>
    <x v="48"/>
    <x v="48"/>
    <s v="REVENUS"/>
    <x v="2"/>
    <s v="4001.007"/>
    <s v="Acompte impôt sur revenu"/>
    <n v="0"/>
    <n v="-111.9"/>
    <n v="4001"/>
  </r>
  <r>
    <x v="0"/>
    <x v="5"/>
    <x v="1"/>
    <x v="55"/>
    <x v="48"/>
    <x v="48"/>
    <s v="REVENUS"/>
    <x v="3"/>
    <s v="4002.007"/>
    <s v="Acompte impôt sur fortune"/>
    <n v="0"/>
    <n v="-41.15"/>
    <n v="4002"/>
  </r>
  <r>
    <x v="0"/>
    <x v="5"/>
    <x v="1"/>
    <x v="55"/>
    <x v="48"/>
    <x v="48"/>
    <s v="REVENUS"/>
    <x v="2"/>
    <s v="4001.007"/>
    <s v="Acompte impôt sur revenu"/>
    <n v="0"/>
    <n v="643.65"/>
    <n v="4001"/>
  </r>
  <r>
    <x v="0"/>
    <x v="5"/>
    <x v="1"/>
    <x v="55"/>
    <x v="48"/>
    <x v="48"/>
    <s v="REVENUS"/>
    <x v="3"/>
    <s v="4002.007"/>
    <s v="Acompte impôt sur fortune"/>
    <n v="0"/>
    <n v="105.85"/>
    <n v="4002"/>
  </r>
  <r>
    <x v="0"/>
    <x v="5"/>
    <x v="1"/>
    <x v="55"/>
    <x v="48"/>
    <x v="48"/>
    <s v="REVENUS"/>
    <x v="2"/>
    <s v="4001.007"/>
    <s v="Acompte impôt sur revenu"/>
    <n v="0"/>
    <n v="-618.65"/>
    <n v="4001"/>
  </r>
  <r>
    <x v="0"/>
    <x v="5"/>
    <x v="1"/>
    <x v="55"/>
    <x v="48"/>
    <x v="48"/>
    <s v="REVENUS"/>
    <x v="3"/>
    <s v="4002.007"/>
    <s v="Acompte impôt sur fortune"/>
    <n v="0"/>
    <n v="-1704.21"/>
    <n v="4002"/>
  </r>
  <r>
    <x v="0"/>
    <x v="5"/>
    <x v="1"/>
    <x v="55"/>
    <x v="48"/>
    <x v="48"/>
    <s v="REVENUS"/>
    <x v="3"/>
    <s v="4002.007"/>
    <s v="Acompte impôt sur fortune"/>
    <n v="0"/>
    <n v="-7592.45"/>
    <n v="4002"/>
  </r>
  <r>
    <x v="0"/>
    <x v="5"/>
    <x v="1"/>
    <x v="55"/>
    <x v="48"/>
    <x v="48"/>
    <s v="REVENUS"/>
    <x v="2"/>
    <s v="4001.001"/>
    <s v="Impôt revenu"/>
    <n v="0"/>
    <n v="1200.75"/>
    <n v="4001"/>
  </r>
  <r>
    <x v="0"/>
    <x v="5"/>
    <x v="1"/>
    <x v="55"/>
    <x v="48"/>
    <x v="48"/>
    <s v="REVENUS"/>
    <x v="2"/>
    <s v="4001.002"/>
    <s v="Impôt complément s/revenu PP"/>
    <n v="0"/>
    <n v="55.05"/>
    <n v="4001"/>
  </r>
  <r>
    <x v="0"/>
    <x v="5"/>
    <x v="1"/>
    <x v="55"/>
    <x v="48"/>
    <x v="48"/>
    <s v="REVENUS"/>
    <x v="6"/>
    <s v="4211.001"/>
    <s v="Intérêts de retard sur factures"/>
    <n v="0"/>
    <n v="0.15"/>
    <n v="4211"/>
  </r>
  <r>
    <x v="0"/>
    <x v="5"/>
    <x v="1"/>
    <x v="55"/>
    <x v="48"/>
    <x v="48"/>
    <s v="REVENUS"/>
    <x v="6"/>
    <s v="4211.002"/>
    <s v="Intérêts de retard sur acomptes"/>
    <n v="0"/>
    <n v="7.92"/>
    <n v="4211"/>
  </r>
  <r>
    <x v="0"/>
    <x v="5"/>
    <x v="1"/>
    <x v="55"/>
    <x v="48"/>
    <x v="48"/>
    <s v="REVENUS"/>
    <x v="6"/>
    <s v="4221.003"/>
    <s v="Intérêts compensat. / acomptes en faveur du fisc"/>
    <n v="0"/>
    <n v="0.03"/>
    <n v="4221"/>
  </r>
  <r>
    <x v="0"/>
    <x v="5"/>
    <x v="1"/>
    <x v="55"/>
    <x v="48"/>
    <x v="48"/>
    <s v="REVENUS"/>
    <x v="3"/>
    <s v="4002.007"/>
    <s v="Acompte impôt sur fortune"/>
    <n v="0"/>
    <n v="-419.67"/>
    <n v="4002"/>
  </r>
  <r>
    <x v="0"/>
    <x v="5"/>
    <x v="1"/>
    <x v="55"/>
    <x v="48"/>
    <x v="48"/>
    <s v="REVENUS"/>
    <x v="2"/>
    <s v="4001.007"/>
    <s v="Acompte impôt sur revenu"/>
    <n v="0"/>
    <n v="-2673.61"/>
    <n v="4001"/>
  </r>
  <r>
    <x v="0"/>
    <x v="5"/>
    <x v="1"/>
    <x v="55"/>
    <x v="48"/>
    <x v="48"/>
    <s v="REVENUS"/>
    <x v="2"/>
    <s v="4001.007"/>
    <s v="Acompte impôt sur revenu"/>
    <n v="0"/>
    <n v="-2616.84"/>
    <n v="4001"/>
  </r>
  <r>
    <x v="0"/>
    <x v="5"/>
    <x v="1"/>
    <x v="55"/>
    <x v="48"/>
    <x v="48"/>
    <s v="REVENUS"/>
    <x v="6"/>
    <s v="4211.001"/>
    <s v="Intérêts de retard sur factures"/>
    <n v="0"/>
    <n v="0.97"/>
    <n v="4211"/>
  </r>
  <r>
    <x v="0"/>
    <x v="5"/>
    <x v="1"/>
    <x v="55"/>
    <x v="48"/>
    <x v="48"/>
    <s v="REVENUS"/>
    <x v="2"/>
    <s v="4001.007"/>
    <s v="Acompte impôt sur revenu"/>
    <n v="0"/>
    <n v="100.65"/>
    <n v="4001"/>
  </r>
  <r>
    <x v="0"/>
    <x v="5"/>
    <x v="1"/>
    <x v="55"/>
    <x v="48"/>
    <x v="48"/>
    <s v="REVENUS"/>
    <x v="3"/>
    <s v="4002.007"/>
    <s v="Acompte impôt sur fortune"/>
    <n v="0"/>
    <n v="-34.549999999999997"/>
    <n v="4002"/>
  </r>
  <r>
    <x v="0"/>
    <x v="5"/>
    <x v="1"/>
    <x v="55"/>
    <x v="48"/>
    <x v="48"/>
    <s v="REVENUS"/>
    <x v="2"/>
    <s v="4001.003"/>
    <s v="Impôt s/prest. cap. PP"/>
    <n v="0"/>
    <n v="-6201.65"/>
    <n v="4001"/>
  </r>
  <r>
    <x v="0"/>
    <x v="5"/>
    <x v="1"/>
    <x v="55"/>
    <x v="48"/>
    <x v="48"/>
    <s v="REVENUS"/>
    <x v="3"/>
    <s v="4002.007"/>
    <s v="Acompte impôt sur fortune"/>
    <n v="0"/>
    <n v="-278.14999999999998"/>
    <n v="4002"/>
  </r>
  <r>
    <x v="0"/>
    <x v="5"/>
    <x v="1"/>
    <x v="55"/>
    <x v="48"/>
    <x v="48"/>
    <s v="REVENUS"/>
    <x v="2"/>
    <s v="4001.001"/>
    <s v="Impôt revenu"/>
    <n v="0"/>
    <n v="8173.9"/>
    <n v="4001"/>
  </r>
  <r>
    <x v="0"/>
    <x v="5"/>
    <x v="1"/>
    <x v="55"/>
    <x v="48"/>
    <x v="48"/>
    <s v="REVENUS"/>
    <x v="3"/>
    <s v="4002.001"/>
    <s v="Impôt ordinaire s/fortune PP"/>
    <n v="0"/>
    <n v="713.5"/>
    <n v="4002"/>
  </r>
  <r>
    <x v="0"/>
    <x v="5"/>
    <x v="1"/>
    <x v="55"/>
    <x v="48"/>
    <x v="48"/>
    <s v="REVENUS"/>
    <x v="6"/>
    <s v="4211.001"/>
    <s v="Intérêts de retard sur factures"/>
    <n v="0"/>
    <n v="0.9"/>
    <n v="4211"/>
  </r>
  <r>
    <x v="0"/>
    <x v="5"/>
    <x v="1"/>
    <x v="55"/>
    <x v="48"/>
    <x v="48"/>
    <s v="REVENUS"/>
    <x v="6"/>
    <s v="4211.001"/>
    <s v="Intérêts de retard sur factures"/>
    <n v="0"/>
    <n v="1343.15"/>
    <n v="4211"/>
  </r>
  <r>
    <x v="0"/>
    <x v="5"/>
    <x v="1"/>
    <x v="55"/>
    <x v="48"/>
    <x v="48"/>
    <s v="REVENUS"/>
    <x v="7"/>
    <s v="4184.000"/>
    <s v="Frais de poursuite"/>
    <n v="0"/>
    <n v="158.61000000000001"/>
    <n v="4184"/>
  </r>
  <r>
    <x v="0"/>
    <x v="5"/>
    <x v="1"/>
    <x v="55"/>
    <x v="48"/>
    <x v="48"/>
    <s v="REVENUS"/>
    <x v="2"/>
    <s v="4001.001"/>
    <s v="Impôt revenu"/>
    <n v="0"/>
    <n v="-7235.9"/>
    <n v="4001"/>
  </r>
  <r>
    <x v="0"/>
    <x v="5"/>
    <x v="1"/>
    <x v="55"/>
    <x v="48"/>
    <x v="48"/>
    <s v="REVENUS"/>
    <x v="6"/>
    <s v="4211.002"/>
    <s v="Intérêts de retard sur acomptes"/>
    <n v="0"/>
    <n v="215.29"/>
    <n v="4211"/>
  </r>
  <r>
    <x v="0"/>
    <x v="5"/>
    <x v="1"/>
    <x v="55"/>
    <x v="48"/>
    <x v="48"/>
    <s v="REVENUS"/>
    <x v="6"/>
    <s v="4221.003"/>
    <s v="Intérêts compensat. / acomptes en faveur du fisc"/>
    <n v="0"/>
    <n v="-26.25"/>
    <n v="4221"/>
  </r>
  <r>
    <x v="0"/>
    <x v="5"/>
    <x v="1"/>
    <x v="55"/>
    <x v="48"/>
    <x v="48"/>
    <s v="REVENUS"/>
    <x v="2"/>
    <s v="4001.001"/>
    <s v="Impôt revenu"/>
    <n v="0"/>
    <n v="-86860.9"/>
    <n v="4001"/>
  </r>
  <r>
    <x v="0"/>
    <x v="5"/>
    <x v="1"/>
    <x v="55"/>
    <x v="48"/>
    <x v="48"/>
    <s v="REVENUS"/>
    <x v="3"/>
    <s v="4002.001"/>
    <s v="Impôt ordinaire s/fortune PP"/>
    <n v="0"/>
    <n v="-5276.1"/>
    <n v="4002"/>
  </r>
  <r>
    <x v="0"/>
    <x v="5"/>
    <x v="1"/>
    <x v="55"/>
    <x v="48"/>
    <x v="48"/>
    <s v="REVENUS"/>
    <x v="6"/>
    <s v="4221.003"/>
    <s v="Intérêts compensat. / acomptes en faveur du fisc"/>
    <n v="0"/>
    <n v="-0.02"/>
    <n v="4221"/>
  </r>
  <r>
    <x v="0"/>
    <x v="5"/>
    <x v="1"/>
    <x v="55"/>
    <x v="48"/>
    <x v="48"/>
    <s v="REVENUS"/>
    <x v="2"/>
    <s v="4001.007"/>
    <s v="Acompte impôt sur revenu"/>
    <n v="0"/>
    <n v="-213.4"/>
    <n v="4001"/>
  </r>
  <r>
    <x v="0"/>
    <x v="5"/>
    <x v="1"/>
    <x v="55"/>
    <x v="48"/>
    <x v="48"/>
    <s v="REVENUS"/>
    <x v="3"/>
    <s v="4002.001"/>
    <s v="Impôt ordinaire s/fortune PP"/>
    <n v="0"/>
    <n v="668.95"/>
    <n v="4002"/>
  </r>
  <r>
    <x v="0"/>
    <x v="5"/>
    <x v="1"/>
    <x v="55"/>
    <x v="48"/>
    <x v="48"/>
    <s v="REVENUS"/>
    <x v="6"/>
    <s v="4211.002"/>
    <s v="Intérêts de retard sur acomptes"/>
    <n v="0"/>
    <n v="0.33"/>
    <n v="4211"/>
  </r>
  <r>
    <x v="0"/>
    <x v="5"/>
    <x v="1"/>
    <x v="55"/>
    <x v="48"/>
    <x v="48"/>
    <s v="REVENUS"/>
    <x v="6"/>
    <s v="4221.003"/>
    <s v="Intérêts compensat. / acomptes en faveur du fisc"/>
    <n v="0"/>
    <n v="0.04"/>
    <n v="4221"/>
  </r>
  <r>
    <x v="0"/>
    <x v="5"/>
    <x v="1"/>
    <x v="55"/>
    <x v="48"/>
    <x v="48"/>
    <s v="REVENUS"/>
    <x v="2"/>
    <s v="4001.007"/>
    <s v="Acompte impôt sur revenu"/>
    <n v="0"/>
    <n v="-470.3"/>
    <n v="4001"/>
  </r>
  <r>
    <x v="0"/>
    <x v="5"/>
    <x v="1"/>
    <x v="55"/>
    <x v="48"/>
    <x v="48"/>
    <s v="REVENUS"/>
    <x v="6"/>
    <s v="4221.003"/>
    <s v="Intérêts compensat. / acomptes en faveur du fisc"/>
    <n v="0"/>
    <n v="0.15"/>
    <n v="4221"/>
  </r>
  <r>
    <x v="0"/>
    <x v="5"/>
    <x v="1"/>
    <x v="55"/>
    <x v="48"/>
    <x v="48"/>
    <s v="REVENUS"/>
    <x v="3"/>
    <s v="4002.001"/>
    <s v="Impôt ordinaire s/fortune PP"/>
    <n v="0"/>
    <n v="259.95"/>
    <n v="4002"/>
  </r>
  <r>
    <x v="0"/>
    <x v="5"/>
    <x v="1"/>
    <x v="55"/>
    <x v="48"/>
    <x v="48"/>
    <s v="REVENUS"/>
    <x v="4"/>
    <s v="4051.001"/>
    <s v="Impôt sur les successions"/>
    <n v="0"/>
    <n v="55291.5"/>
    <n v="4051"/>
  </r>
  <r>
    <x v="0"/>
    <x v="5"/>
    <x v="1"/>
    <x v="55"/>
    <x v="48"/>
    <x v="48"/>
    <s v="REVENUS"/>
    <x v="9"/>
    <s v="4031.001"/>
    <s v="Impôt sur les gains immobiliers"/>
    <n v="0"/>
    <n v="-4805"/>
    <n v="4031"/>
  </r>
  <r>
    <x v="0"/>
    <x v="5"/>
    <x v="1"/>
    <x v="55"/>
    <x v="48"/>
    <x v="48"/>
    <s v="REVENUS"/>
    <x v="3"/>
    <s v="4002.001"/>
    <s v="Impôt ordinaire s/fortune PP"/>
    <n v="0"/>
    <n v="278.89999999999998"/>
    <n v="4002"/>
  </r>
  <r>
    <x v="0"/>
    <x v="5"/>
    <x v="1"/>
    <x v="55"/>
    <x v="48"/>
    <x v="48"/>
    <s v="REVENUS"/>
    <x v="11"/>
    <s v="4198.000"/>
    <s v="Contributions communales"/>
    <n v="0"/>
    <n v="165033.85"/>
    <n v="4198"/>
  </r>
  <r>
    <x v="0"/>
    <x v="5"/>
    <x v="1"/>
    <x v="55"/>
    <x v="48"/>
    <x v="48"/>
    <s v="REVENUS"/>
    <x v="6"/>
    <s v="4211.002"/>
    <s v="Intérêts de retard sur acomptes"/>
    <n v="0"/>
    <n v="5.16"/>
    <n v="4211"/>
  </r>
  <r>
    <x v="0"/>
    <x v="5"/>
    <x v="1"/>
    <x v="55"/>
    <x v="48"/>
    <x v="48"/>
    <s v="REVENUS"/>
    <x v="6"/>
    <s v="4221.003"/>
    <s v="Intérêts compensat. / acomptes en faveur du fisc"/>
    <n v="0"/>
    <n v="2.2000000000000002"/>
    <n v="4221"/>
  </r>
  <r>
    <x v="0"/>
    <x v="5"/>
    <x v="1"/>
    <x v="55"/>
    <x v="48"/>
    <x v="48"/>
    <s v="REVENUS"/>
    <x v="2"/>
    <s v="4001.002"/>
    <s v="Impôt complément s/revenu PP"/>
    <n v="0"/>
    <n v="22459.599999999999"/>
    <n v="4001"/>
  </r>
  <r>
    <x v="0"/>
    <x v="5"/>
    <x v="1"/>
    <x v="55"/>
    <x v="48"/>
    <x v="48"/>
    <s v="REVENUS"/>
    <x v="3"/>
    <s v="4002.002"/>
    <s v="Impôt complémentaire s/fortune PP"/>
    <n v="0"/>
    <n v="10189.25"/>
    <n v="4002"/>
  </r>
  <r>
    <x v="0"/>
    <x v="5"/>
    <x v="1"/>
    <x v="55"/>
    <x v="48"/>
    <x v="48"/>
    <s v="REVENUS"/>
    <x v="7"/>
    <s v="4184.000"/>
    <s v="Frais de poursuite"/>
    <n v="0"/>
    <n v="0.99"/>
    <n v="4184"/>
  </r>
  <r>
    <x v="0"/>
    <x v="5"/>
    <x v="1"/>
    <x v="55"/>
    <x v="48"/>
    <x v="48"/>
    <s v="REVENUS"/>
    <x v="2"/>
    <s v="4001.003"/>
    <s v="Impôt s/prest. cap. PP"/>
    <n v="0"/>
    <n v="-1495.2"/>
    <n v="4001"/>
  </r>
  <r>
    <x v="0"/>
    <x v="5"/>
    <x v="1"/>
    <x v="55"/>
    <x v="48"/>
    <x v="48"/>
    <s v="REVENUS"/>
    <x v="2"/>
    <s v="4001.002"/>
    <s v="Impôt complément s/revenu PP"/>
    <n v="0"/>
    <n v="-17489"/>
    <n v="4001"/>
  </r>
  <r>
    <x v="0"/>
    <x v="5"/>
    <x v="1"/>
    <x v="55"/>
    <x v="48"/>
    <x v="48"/>
    <s v="REVENUS"/>
    <x v="3"/>
    <s v="4002.002"/>
    <s v="Impôt complémentaire s/fortune PP"/>
    <n v="0"/>
    <n v="-2698.05"/>
    <n v="4002"/>
  </r>
  <r>
    <x v="0"/>
    <x v="5"/>
    <x v="1"/>
    <x v="55"/>
    <x v="48"/>
    <x v="48"/>
    <s v="REVENUS"/>
    <x v="11"/>
    <s v="4198.000"/>
    <s v="Contributions communales"/>
    <n v="0"/>
    <n v="-0.3"/>
    <n v="4198"/>
  </r>
  <r>
    <x v="0"/>
    <x v="5"/>
    <x v="1"/>
    <x v="55"/>
    <x v="48"/>
    <x v="48"/>
    <s v="REVENUS"/>
    <x v="6"/>
    <s v="4211.002"/>
    <s v="Intérêts de retard sur acomptes"/>
    <n v="0"/>
    <n v="-0.12"/>
    <n v="4211"/>
  </r>
  <r>
    <x v="0"/>
    <x v="5"/>
    <x v="1"/>
    <x v="55"/>
    <x v="48"/>
    <x v="48"/>
    <s v="REVENUS"/>
    <x v="2"/>
    <s v="4001.003"/>
    <s v="Impôt s/prest. cap. PP"/>
    <n v="0"/>
    <n v="1664.15"/>
    <n v="4001"/>
  </r>
  <r>
    <x v="0"/>
    <x v="5"/>
    <x v="1"/>
    <x v="55"/>
    <x v="48"/>
    <x v="48"/>
    <s v="REVENUS"/>
    <x v="6"/>
    <s v="4221.002"/>
    <s v="Intérêts compensat. sur impôts distincts"/>
    <n v="0"/>
    <n v="1.0900000000000001"/>
    <n v="4221"/>
  </r>
  <r>
    <x v="0"/>
    <x v="5"/>
    <x v="1"/>
    <x v="55"/>
    <x v="48"/>
    <x v="48"/>
    <s v="REVENUS"/>
    <x v="6"/>
    <s v="4211.002"/>
    <s v="Intérêts de retard sur acomptes"/>
    <n v="0"/>
    <n v="110.1"/>
    <n v="4211"/>
  </r>
  <r>
    <x v="0"/>
    <x v="5"/>
    <x v="1"/>
    <x v="55"/>
    <x v="48"/>
    <x v="48"/>
    <s v="REVENUS"/>
    <x v="2"/>
    <s v="4001.005"/>
    <s v="Amende de soustract. Impôt"/>
    <n v="0"/>
    <n v="300"/>
    <n v="4001"/>
  </r>
  <r>
    <x v="0"/>
    <x v="5"/>
    <x v="1"/>
    <x v="55"/>
    <x v="48"/>
    <x v="48"/>
    <s v="REVENUS"/>
    <x v="6"/>
    <s v="4221.002"/>
    <s v="Intérêts compensat. sur impôts distincts"/>
    <n v="0"/>
    <n v="-0.27"/>
    <n v="4221"/>
  </r>
  <r>
    <x v="0"/>
    <x v="5"/>
    <x v="1"/>
    <x v="56"/>
    <x v="49"/>
    <x v="49"/>
    <s v="CHARGES"/>
    <x v="1"/>
    <s v="3301.001"/>
    <s v="Défalcations, abandons de solde PP et IS"/>
    <n v="23341.27"/>
    <n v="0"/>
    <n v="3301"/>
  </r>
  <r>
    <x v="0"/>
    <x v="5"/>
    <x v="1"/>
    <x v="56"/>
    <x v="49"/>
    <x v="49"/>
    <s v="CHARGES"/>
    <x v="0"/>
    <s v="3212.004"/>
    <s v="Intérêts rémun./perçu trop tôt sur acomptes C/C"/>
    <n v="231.1"/>
    <n v="0"/>
    <n v="3212"/>
  </r>
  <r>
    <x v="0"/>
    <x v="5"/>
    <x v="1"/>
    <x v="56"/>
    <x v="49"/>
    <x v="49"/>
    <s v="CHARGES"/>
    <x v="0"/>
    <s v="3221.002"/>
    <s v="Intérêts compensatoires / créances en faveur ctb."/>
    <n v="227.78"/>
    <n v="0"/>
    <n v="3221"/>
  </r>
  <r>
    <x v="0"/>
    <x v="5"/>
    <x v="1"/>
    <x v="56"/>
    <x v="49"/>
    <x v="49"/>
    <s v="CHARGES"/>
    <x v="0"/>
    <s v="3212.002"/>
    <s v="Intérêts bonifiés/trop perçu acompte C/C"/>
    <n v="1.04"/>
    <n v="0"/>
    <n v="3212"/>
  </r>
  <r>
    <x v="0"/>
    <x v="5"/>
    <x v="1"/>
    <x v="56"/>
    <x v="49"/>
    <x v="49"/>
    <s v="CHARGES"/>
    <x v="0"/>
    <s v="3212.004"/>
    <s v="Intérêts rémun./perçu trop tôt sur acomptes C/C"/>
    <n v="1.46"/>
    <n v="0"/>
    <n v="3212"/>
  </r>
  <r>
    <x v="0"/>
    <x v="5"/>
    <x v="1"/>
    <x v="56"/>
    <x v="49"/>
    <x v="49"/>
    <s v="CHARGES"/>
    <x v="0"/>
    <s v="3221.002"/>
    <s v="Intérêts compensatoires / créances en faveur ctb."/>
    <n v="2.8"/>
    <n v="0"/>
    <n v="3221"/>
  </r>
  <r>
    <x v="0"/>
    <x v="5"/>
    <x v="1"/>
    <x v="56"/>
    <x v="49"/>
    <x v="49"/>
    <s v="CHARGES"/>
    <x v="0"/>
    <s v="3212.004"/>
    <s v="Intérêts rémun./perçu trop tôt sur acomptes C/C"/>
    <n v="6.83"/>
    <n v="0"/>
    <n v="3212"/>
  </r>
  <r>
    <x v="0"/>
    <x v="5"/>
    <x v="1"/>
    <x v="56"/>
    <x v="49"/>
    <x v="49"/>
    <s v="CHARGES"/>
    <x v="0"/>
    <s v="3221.002"/>
    <s v="Intérêts compensatoires / créances en faveur ctb."/>
    <n v="8.5500000000000007"/>
    <n v="0"/>
    <n v="3221"/>
  </r>
  <r>
    <x v="0"/>
    <x v="5"/>
    <x v="1"/>
    <x v="56"/>
    <x v="49"/>
    <x v="49"/>
    <s v="CHARGES"/>
    <x v="0"/>
    <s v="3212.002"/>
    <s v="Intérêts bonifiés/trop perçu acompte C/C"/>
    <n v="-1.3"/>
    <n v="0"/>
    <n v="3212"/>
  </r>
  <r>
    <x v="0"/>
    <x v="5"/>
    <x v="1"/>
    <x v="56"/>
    <x v="49"/>
    <x v="49"/>
    <s v="CHARGES"/>
    <x v="1"/>
    <s v="3301.001"/>
    <s v="Défalcations, abandons de solde PP et IS"/>
    <n v="-0.06"/>
    <n v="0"/>
    <n v="3301"/>
  </r>
  <r>
    <x v="0"/>
    <x v="5"/>
    <x v="1"/>
    <x v="56"/>
    <x v="49"/>
    <x v="49"/>
    <s v="CHARGES"/>
    <x v="1"/>
    <s v="3301.001"/>
    <s v="Défalcations, abandons de solde PP et IS"/>
    <n v="0.14000000000000001"/>
    <n v="0"/>
    <n v="3301"/>
  </r>
  <r>
    <x v="0"/>
    <x v="5"/>
    <x v="1"/>
    <x v="56"/>
    <x v="49"/>
    <x v="49"/>
    <s v="CHARGES"/>
    <x v="1"/>
    <s v="3301.001"/>
    <s v="Défalcations, abandons de solde PP et IS"/>
    <n v="11335"/>
    <n v="0"/>
    <n v="3301"/>
  </r>
  <r>
    <x v="0"/>
    <x v="5"/>
    <x v="1"/>
    <x v="56"/>
    <x v="49"/>
    <x v="49"/>
    <s v="CHARGES"/>
    <x v="1"/>
    <s v="3301.003"/>
    <s v="Remises PP et IS"/>
    <n v="2576.15"/>
    <n v="0"/>
    <n v="3301"/>
  </r>
  <r>
    <x v="0"/>
    <x v="5"/>
    <x v="1"/>
    <x v="56"/>
    <x v="49"/>
    <x v="49"/>
    <s v="REVENUS"/>
    <x v="2"/>
    <s v="4001.007"/>
    <s v="Acompte impôt sur revenu"/>
    <n v="0"/>
    <n v="51695.02"/>
    <n v="4001"/>
  </r>
  <r>
    <x v="0"/>
    <x v="5"/>
    <x v="1"/>
    <x v="56"/>
    <x v="49"/>
    <x v="49"/>
    <s v="REVENUS"/>
    <x v="3"/>
    <s v="4002.007"/>
    <s v="Acompte impôt sur fortune"/>
    <n v="0"/>
    <n v="41525.17"/>
    <n v="4002"/>
  </r>
  <r>
    <x v="0"/>
    <x v="5"/>
    <x v="1"/>
    <x v="56"/>
    <x v="49"/>
    <x v="49"/>
    <s v="REVENUS"/>
    <x v="6"/>
    <s v="4211.001"/>
    <s v="Intérêts de retard sur factures"/>
    <n v="0"/>
    <n v="1588.34"/>
    <n v="4211"/>
  </r>
  <r>
    <x v="0"/>
    <x v="5"/>
    <x v="1"/>
    <x v="56"/>
    <x v="49"/>
    <x v="49"/>
    <s v="REVENUS"/>
    <x v="2"/>
    <s v="4001.001"/>
    <s v="Impôt revenu"/>
    <n v="0"/>
    <n v="1066336.3"/>
    <n v="4001"/>
  </r>
  <r>
    <x v="0"/>
    <x v="5"/>
    <x v="1"/>
    <x v="56"/>
    <x v="49"/>
    <x v="49"/>
    <s v="REVENUS"/>
    <x v="2"/>
    <s v="4001.002"/>
    <s v="Impôt complément s/revenu PP"/>
    <n v="0"/>
    <n v="104080.7"/>
    <n v="4001"/>
  </r>
  <r>
    <x v="0"/>
    <x v="5"/>
    <x v="1"/>
    <x v="56"/>
    <x v="49"/>
    <x v="49"/>
    <s v="REVENUS"/>
    <x v="3"/>
    <s v="4002.001"/>
    <s v="Impôt ordinaire s/fortune PP"/>
    <n v="0"/>
    <n v="135993.04999999999"/>
    <n v="4002"/>
  </r>
  <r>
    <x v="0"/>
    <x v="5"/>
    <x v="1"/>
    <x v="56"/>
    <x v="49"/>
    <x v="49"/>
    <s v="REVENUS"/>
    <x v="3"/>
    <s v="4002.002"/>
    <s v="Impôt complémentaire s/fortune PP"/>
    <n v="0"/>
    <n v="32881.449999999997"/>
    <n v="4002"/>
  </r>
  <r>
    <x v="0"/>
    <x v="5"/>
    <x v="1"/>
    <x v="56"/>
    <x v="49"/>
    <x v="49"/>
    <s v="REVENUS"/>
    <x v="10"/>
    <s v="4041.001"/>
    <s v="Droits de mutation"/>
    <n v="0"/>
    <n v="88344.4"/>
    <n v="4041"/>
  </r>
  <r>
    <x v="0"/>
    <x v="5"/>
    <x v="1"/>
    <x v="56"/>
    <x v="49"/>
    <x v="49"/>
    <s v="REVENUS"/>
    <x v="6"/>
    <s v="4211.002"/>
    <s v="Intérêts de retard sur acomptes"/>
    <n v="0"/>
    <n v="4750.29"/>
    <n v="4211"/>
  </r>
  <r>
    <x v="0"/>
    <x v="5"/>
    <x v="1"/>
    <x v="56"/>
    <x v="49"/>
    <x v="49"/>
    <s v="REVENUS"/>
    <x v="2"/>
    <s v="4001.007"/>
    <s v="Acompte impôt sur revenu"/>
    <n v="0"/>
    <n v="-517834.88"/>
    <n v="4001"/>
  </r>
  <r>
    <x v="0"/>
    <x v="5"/>
    <x v="1"/>
    <x v="56"/>
    <x v="49"/>
    <x v="49"/>
    <s v="REVENUS"/>
    <x v="3"/>
    <s v="4002.007"/>
    <s v="Acompte impôt sur fortune"/>
    <n v="0"/>
    <n v="-48425.96"/>
    <n v="4002"/>
  </r>
  <r>
    <x v="0"/>
    <x v="5"/>
    <x v="1"/>
    <x v="56"/>
    <x v="49"/>
    <x v="49"/>
    <s v="REVENUS"/>
    <x v="6"/>
    <s v="4221.003"/>
    <s v="Intérêts compensat. / acomptes en faveur du fisc"/>
    <n v="0"/>
    <n v="99.86"/>
    <n v="4221"/>
  </r>
  <r>
    <x v="0"/>
    <x v="5"/>
    <x v="1"/>
    <x v="56"/>
    <x v="49"/>
    <x v="49"/>
    <s v="REVENUS"/>
    <x v="2"/>
    <s v="4001.003"/>
    <s v="Impôt s/prest. cap. PP"/>
    <n v="0"/>
    <n v="32295"/>
    <n v="4001"/>
  </r>
  <r>
    <x v="0"/>
    <x v="5"/>
    <x v="1"/>
    <x v="56"/>
    <x v="49"/>
    <x v="49"/>
    <s v="REVENUS"/>
    <x v="2"/>
    <s v="4001.002"/>
    <s v="Impôt complément s/revenu PP"/>
    <n v="0"/>
    <n v="5061.75"/>
    <n v="4001"/>
  </r>
  <r>
    <x v="0"/>
    <x v="5"/>
    <x v="1"/>
    <x v="56"/>
    <x v="49"/>
    <x v="49"/>
    <s v="REVENUS"/>
    <x v="2"/>
    <s v="4001.007"/>
    <s v="Acompte impôt sur revenu"/>
    <n v="0"/>
    <n v="-8089.27"/>
    <n v="4001"/>
  </r>
  <r>
    <x v="0"/>
    <x v="5"/>
    <x v="1"/>
    <x v="56"/>
    <x v="49"/>
    <x v="49"/>
    <s v="REVENUS"/>
    <x v="3"/>
    <s v="4002.007"/>
    <s v="Acompte impôt sur fortune"/>
    <n v="0"/>
    <n v="-862.34"/>
    <n v="4002"/>
  </r>
  <r>
    <x v="0"/>
    <x v="5"/>
    <x v="1"/>
    <x v="56"/>
    <x v="49"/>
    <x v="49"/>
    <s v="REVENUS"/>
    <x v="3"/>
    <s v="4002.007"/>
    <s v="Acompte impôt sur fortune"/>
    <n v="0"/>
    <n v="0"/>
    <n v="4002"/>
  </r>
  <r>
    <x v="0"/>
    <x v="5"/>
    <x v="1"/>
    <x v="56"/>
    <x v="49"/>
    <x v="49"/>
    <s v="REVENUS"/>
    <x v="3"/>
    <s v="4002.007"/>
    <s v="Acompte impôt sur fortune"/>
    <n v="0"/>
    <n v="-1041.0899999999999"/>
    <n v="4002"/>
  </r>
  <r>
    <x v="0"/>
    <x v="5"/>
    <x v="1"/>
    <x v="56"/>
    <x v="49"/>
    <x v="49"/>
    <s v="REVENUS"/>
    <x v="3"/>
    <s v="4002.007"/>
    <s v="Acompte impôt sur fortune"/>
    <n v="0"/>
    <n v="-0.8"/>
    <n v="4002"/>
  </r>
  <r>
    <x v="0"/>
    <x v="5"/>
    <x v="1"/>
    <x v="56"/>
    <x v="49"/>
    <x v="49"/>
    <s v="REVENUS"/>
    <x v="2"/>
    <s v="4001.007"/>
    <s v="Acompte impôt sur revenu"/>
    <n v="0"/>
    <n v="-427.8"/>
    <n v="4001"/>
  </r>
  <r>
    <x v="0"/>
    <x v="5"/>
    <x v="1"/>
    <x v="56"/>
    <x v="49"/>
    <x v="49"/>
    <s v="REVENUS"/>
    <x v="2"/>
    <s v="4001.007"/>
    <s v="Acompte impôt sur revenu"/>
    <n v="0"/>
    <n v="-19.5"/>
    <n v="4001"/>
  </r>
  <r>
    <x v="0"/>
    <x v="5"/>
    <x v="1"/>
    <x v="56"/>
    <x v="49"/>
    <x v="49"/>
    <s v="REVENUS"/>
    <x v="7"/>
    <s v="4184.000"/>
    <s v="Frais de poursuite"/>
    <n v="0"/>
    <n v="1527.69"/>
    <n v="4184"/>
  </r>
  <r>
    <x v="0"/>
    <x v="5"/>
    <x v="1"/>
    <x v="56"/>
    <x v="49"/>
    <x v="49"/>
    <s v="REVENUS"/>
    <x v="9"/>
    <s v="4031.001"/>
    <s v="Impôt sur les gains immobiliers"/>
    <n v="0"/>
    <n v="52274.400000000001"/>
    <n v="4031"/>
  </r>
  <r>
    <x v="0"/>
    <x v="5"/>
    <x v="1"/>
    <x v="56"/>
    <x v="49"/>
    <x v="49"/>
    <s v="REVENUS"/>
    <x v="6"/>
    <s v="4221.002"/>
    <s v="Intérêts compensat. sur impôts distincts"/>
    <n v="0"/>
    <n v="32.619999999999997"/>
    <n v="4221"/>
  </r>
  <r>
    <x v="0"/>
    <x v="5"/>
    <x v="1"/>
    <x v="56"/>
    <x v="49"/>
    <x v="49"/>
    <s v="REVENUS"/>
    <x v="2"/>
    <s v="4001.001"/>
    <s v="Impôt revenu"/>
    <n v="0"/>
    <n v="9817.7000000000007"/>
    <n v="4001"/>
  </r>
  <r>
    <x v="0"/>
    <x v="5"/>
    <x v="1"/>
    <x v="56"/>
    <x v="49"/>
    <x v="49"/>
    <s v="REVENUS"/>
    <x v="3"/>
    <s v="4002.001"/>
    <s v="Impôt ordinaire s/fortune PP"/>
    <n v="0"/>
    <n v="572.9"/>
    <n v="4002"/>
  </r>
  <r>
    <x v="0"/>
    <x v="5"/>
    <x v="1"/>
    <x v="56"/>
    <x v="49"/>
    <x v="49"/>
    <s v="REVENUS"/>
    <x v="6"/>
    <s v="4221.003"/>
    <s v="Intérêts compensat. / acomptes en faveur du fisc"/>
    <n v="0"/>
    <n v="1.67"/>
    <n v="4221"/>
  </r>
  <r>
    <x v="0"/>
    <x v="5"/>
    <x v="1"/>
    <x v="56"/>
    <x v="49"/>
    <x v="49"/>
    <s v="REVENUS"/>
    <x v="2"/>
    <s v="4001.001"/>
    <s v="Impôt revenu"/>
    <n v="0"/>
    <n v="4988.55"/>
    <n v="4001"/>
  </r>
  <r>
    <x v="0"/>
    <x v="5"/>
    <x v="1"/>
    <x v="56"/>
    <x v="49"/>
    <x v="49"/>
    <s v="REVENUS"/>
    <x v="3"/>
    <s v="4002.001"/>
    <s v="Impôt ordinaire s/fortune PP"/>
    <n v="0"/>
    <n v="3476.9"/>
    <n v="4002"/>
  </r>
  <r>
    <x v="0"/>
    <x v="5"/>
    <x v="1"/>
    <x v="56"/>
    <x v="49"/>
    <x v="49"/>
    <s v="REVENUS"/>
    <x v="2"/>
    <s v="4001.002"/>
    <s v="Impôt complément s/revenu PP"/>
    <n v="0"/>
    <n v="96.5"/>
    <n v="4001"/>
  </r>
  <r>
    <x v="0"/>
    <x v="5"/>
    <x v="1"/>
    <x v="56"/>
    <x v="49"/>
    <x v="49"/>
    <s v="REVENUS"/>
    <x v="3"/>
    <s v="4002.002"/>
    <s v="Impôt complémentaire s/fortune PP"/>
    <n v="0"/>
    <n v="75.099999999999994"/>
    <n v="4002"/>
  </r>
  <r>
    <x v="0"/>
    <x v="5"/>
    <x v="1"/>
    <x v="56"/>
    <x v="49"/>
    <x v="49"/>
    <s v="REVENUS"/>
    <x v="6"/>
    <s v="4211.002"/>
    <s v="Intérêts de retard sur acomptes"/>
    <n v="0"/>
    <n v="0.63"/>
    <n v="4211"/>
  </r>
  <r>
    <x v="0"/>
    <x v="5"/>
    <x v="1"/>
    <x v="56"/>
    <x v="49"/>
    <x v="49"/>
    <s v="REVENUS"/>
    <x v="2"/>
    <s v="4001.001"/>
    <s v="Impôt revenu"/>
    <n v="0"/>
    <n v="-3114.5"/>
    <n v="4001"/>
  </r>
  <r>
    <x v="0"/>
    <x v="5"/>
    <x v="1"/>
    <x v="56"/>
    <x v="49"/>
    <x v="49"/>
    <s v="REVENUS"/>
    <x v="2"/>
    <s v="4001.001"/>
    <s v="Impôt revenu"/>
    <n v="0"/>
    <n v="425.25"/>
    <n v="4001"/>
  </r>
  <r>
    <x v="0"/>
    <x v="5"/>
    <x v="1"/>
    <x v="56"/>
    <x v="49"/>
    <x v="49"/>
    <s v="REVENUS"/>
    <x v="3"/>
    <s v="4002.001"/>
    <s v="Impôt ordinaire s/fortune PP"/>
    <n v="0"/>
    <n v="65.25"/>
    <n v="4002"/>
  </r>
  <r>
    <x v="0"/>
    <x v="5"/>
    <x v="1"/>
    <x v="56"/>
    <x v="49"/>
    <x v="49"/>
    <s v="REVENUS"/>
    <x v="6"/>
    <s v="4211.002"/>
    <s v="Intérêts de retard sur acomptes"/>
    <n v="0"/>
    <n v="6.73"/>
    <n v="4211"/>
  </r>
  <r>
    <x v="0"/>
    <x v="5"/>
    <x v="1"/>
    <x v="56"/>
    <x v="49"/>
    <x v="49"/>
    <s v="REVENUS"/>
    <x v="11"/>
    <s v="4198.000"/>
    <s v="Contributions communales"/>
    <n v="0"/>
    <n v="74423.25"/>
    <n v="4198"/>
  </r>
  <r>
    <x v="0"/>
    <x v="5"/>
    <x v="1"/>
    <x v="56"/>
    <x v="49"/>
    <x v="49"/>
    <s v="REVENUS"/>
    <x v="6"/>
    <s v="4211.001"/>
    <s v="Intérêts de retard sur factures"/>
    <n v="0"/>
    <n v="6.77"/>
    <n v="4211"/>
  </r>
  <r>
    <x v="0"/>
    <x v="5"/>
    <x v="1"/>
    <x v="56"/>
    <x v="49"/>
    <x v="49"/>
    <s v="REVENUS"/>
    <x v="3"/>
    <s v="4002.007"/>
    <s v="Acompte impôt sur fortune"/>
    <n v="0"/>
    <n v="-177.05"/>
    <n v="4002"/>
  </r>
  <r>
    <x v="0"/>
    <x v="5"/>
    <x v="1"/>
    <x v="56"/>
    <x v="49"/>
    <x v="49"/>
    <s v="REVENUS"/>
    <x v="8"/>
    <s v="4091.001"/>
    <s v="Impôt récupéré après défalcations"/>
    <n v="0"/>
    <n v="11335"/>
    <n v="4091"/>
  </r>
  <r>
    <x v="0"/>
    <x v="5"/>
    <x v="1"/>
    <x v="56"/>
    <x v="49"/>
    <x v="49"/>
    <s v="REVENUS"/>
    <x v="8"/>
    <s v="4091.001"/>
    <s v="Impôt récupéré après défalcations"/>
    <n v="0"/>
    <n v="9110.93"/>
    <n v="4091"/>
  </r>
  <r>
    <x v="0"/>
    <x v="5"/>
    <x v="1"/>
    <x v="56"/>
    <x v="49"/>
    <x v="49"/>
    <s v="REVENUS"/>
    <x v="5"/>
    <s v="4061.000"/>
    <s v="Impôt sur les chiens"/>
    <n v="0"/>
    <n v="1340"/>
    <n v="4061"/>
  </r>
  <r>
    <x v="0"/>
    <x v="5"/>
    <x v="1"/>
    <x v="56"/>
    <x v="49"/>
    <x v="49"/>
    <s v="REVENUS"/>
    <x v="4"/>
    <s v="4051.002"/>
    <s v="Impôt sur les donations"/>
    <n v="0"/>
    <n v="2707.8"/>
    <n v="4051"/>
  </r>
  <r>
    <x v="0"/>
    <x v="5"/>
    <x v="1"/>
    <x v="56"/>
    <x v="49"/>
    <x v="49"/>
    <s v="REVENUS"/>
    <x v="3"/>
    <s v="4002.001"/>
    <s v="Impôt ordinaire s/fortune PP"/>
    <n v="0"/>
    <n v="-1275.1500000000001"/>
    <n v="4002"/>
  </r>
  <r>
    <x v="0"/>
    <x v="5"/>
    <x v="1"/>
    <x v="56"/>
    <x v="49"/>
    <x v="49"/>
    <s v="REVENUS"/>
    <x v="2"/>
    <s v="4001.003"/>
    <s v="Impôt s/prest. cap. PP"/>
    <n v="0"/>
    <n v="-307.89999999999998"/>
    <n v="4001"/>
  </r>
  <r>
    <x v="0"/>
    <x v="5"/>
    <x v="1"/>
    <x v="56"/>
    <x v="49"/>
    <x v="49"/>
    <s v="REVENUS"/>
    <x v="6"/>
    <s v="4221.002"/>
    <s v="Intérêts compensat. sur impôts distincts"/>
    <n v="0"/>
    <n v="-5.94"/>
    <n v="4221"/>
  </r>
  <r>
    <x v="0"/>
    <x v="5"/>
    <x v="1"/>
    <x v="57"/>
    <x v="50"/>
    <x v="50"/>
    <s v="CHARGES"/>
    <x v="1"/>
    <s v="3301.001"/>
    <s v="Défalcations, abandons de solde PP et IS"/>
    <n v="25877.69"/>
    <n v="0"/>
    <n v="3301"/>
  </r>
  <r>
    <x v="0"/>
    <x v="5"/>
    <x v="1"/>
    <x v="57"/>
    <x v="50"/>
    <x v="50"/>
    <s v="CHARGES"/>
    <x v="0"/>
    <s v="3212.004"/>
    <s v="Intérêts rémun./perçu trop tôt sur acomptes C/C"/>
    <n v="407.33"/>
    <n v="0"/>
    <n v="3212"/>
  </r>
  <r>
    <x v="0"/>
    <x v="5"/>
    <x v="1"/>
    <x v="57"/>
    <x v="50"/>
    <x v="50"/>
    <s v="CHARGES"/>
    <x v="0"/>
    <s v="3221.002"/>
    <s v="Intérêts compensatoires / créances en faveur ctb."/>
    <n v="125.92"/>
    <n v="0"/>
    <n v="3221"/>
  </r>
  <r>
    <x v="0"/>
    <x v="5"/>
    <x v="1"/>
    <x v="57"/>
    <x v="50"/>
    <x v="50"/>
    <s v="CHARGES"/>
    <x v="0"/>
    <s v="3212.004"/>
    <s v="Intérêts rémun./perçu trop tôt sur acomptes C/C"/>
    <n v="0.06"/>
    <n v="0"/>
    <n v="3212"/>
  </r>
  <r>
    <x v="0"/>
    <x v="5"/>
    <x v="1"/>
    <x v="57"/>
    <x v="50"/>
    <x v="50"/>
    <s v="CHARGES"/>
    <x v="0"/>
    <s v="3212.002"/>
    <s v="Intérêts bonifiés/trop perçu acompte C/C"/>
    <n v="0.45"/>
    <n v="0"/>
    <n v="3212"/>
  </r>
  <r>
    <x v="0"/>
    <x v="5"/>
    <x v="1"/>
    <x v="57"/>
    <x v="50"/>
    <x v="50"/>
    <s v="CHARGES"/>
    <x v="0"/>
    <s v="3212.002"/>
    <s v="Intérêts bonifiés/trop perçu acompte C/C"/>
    <n v="0.56999999999999995"/>
    <n v="0"/>
    <n v="3212"/>
  </r>
  <r>
    <x v="0"/>
    <x v="5"/>
    <x v="1"/>
    <x v="57"/>
    <x v="50"/>
    <x v="50"/>
    <s v="CHARGES"/>
    <x v="0"/>
    <s v="3212.002"/>
    <s v="Intérêts bonifiés/trop perçu acompte C/C"/>
    <n v="-0.2"/>
    <n v="0"/>
    <n v="3212"/>
  </r>
  <r>
    <x v="0"/>
    <x v="5"/>
    <x v="1"/>
    <x v="57"/>
    <x v="50"/>
    <x v="50"/>
    <s v="CHARGES"/>
    <x v="0"/>
    <s v="3212.004"/>
    <s v="Intérêts rémun./perçu trop tôt sur acomptes C/C"/>
    <n v="0.37"/>
    <n v="0"/>
    <n v="3212"/>
  </r>
  <r>
    <x v="0"/>
    <x v="5"/>
    <x v="1"/>
    <x v="57"/>
    <x v="50"/>
    <x v="50"/>
    <s v="CHARGES"/>
    <x v="0"/>
    <s v="3221.002"/>
    <s v="Intérêts compensatoires / créances en faveur ctb."/>
    <n v="-5.24"/>
    <n v="0"/>
    <n v="3221"/>
  </r>
  <r>
    <x v="0"/>
    <x v="5"/>
    <x v="1"/>
    <x v="57"/>
    <x v="50"/>
    <x v="50"/>
    <s v="CHARGES"/>
    <x v="1"/>
    <s v="3301.001"/>
    <s v="Défalcations, abandons de solde PP et IS"/>
    <n v="1.77"/>
    <n v="0"/>
    <n v="3301"/>
  </r>
  <r>
    <x v="0"/>
    <x v="5"/>
    <x v="1"/>
    <x v="57"/>
    <x v="50"/>
    <x v="50"/>
    <s v="CHARGES"/>
    <x v="0"/>
    <s v="3212.004"/>
    <s v="Intérêts rémun./perçu trop tôt sur acomptes C/C"/>
    <n v="5.68"/>
    <n v="0"/>
    <n v="3212"/>
  </r>
  <r>
    <x v="0"/>
    <x v="5"/>
    <x v="1"/>
    <x v="57"/>
    <x v="50"/>
    <x v="50"/>
    <s v="CHARGES"/>
    <x v="0"/>
    <s v="3221.002"/>
    <s v="Intérêts compensatoires / créances en faveur ctb."/>
    <n v="10.44"/>
    <n v="0"/>
    <n v="3221"/>
  </r>
  <r>
    <x v="0"/>
    <x v="5"/>
    <x v="1"/>
    <x v="57"/>
    <x v="50"/>
    <x v="50"/>
    <s v="CHARGES"/>
    <x v="1"/>
    <s v="3301.001"/>
    <s v="Défalcations, abandons de solde PP et IS"/>
    <n v="-7.83"/>
    <n v="0"/>
    <n v="3301"/>
  </r>
  <r>
    <x v="0"/>
    <x v="5"/>
    <x v="1"/>
    <x v="57"/>
    <x v="50"/>
    <x v="50"/>
    <s v="CHARGES"/>
    <x v="0"/>
    <s v="3212.004"/>
    <s v="Intérêts rémun./perçu trop tôt sur acomptes C/C"/>
    <n v="0.22"/>
    <n v="0"/>
    <n v="3212"/>
  </r>
  <r>
    <x v="0"/>
    <x v="5"/>
    <x v="1"/>
    <x v="57"/>
    <x v="50"/>
    <x v="50"/>
    <s v="CHARGES"/>
    <x v="0"/>
    <s v="3221.002"/>
    <s v="Intérêts compensatoires / créances en faveur ctb."/>
    <n v="0.6"/>
    <n v="0"/>
    <n v="3221"/>
  </r>
  <r>
    <x v="0"/>
    <x v="5"/>
    <x v="1"/>
    <x v="57"/>
    <x v="50"/>
    <x v="50"/>
    <s v="CHARGES"/>
    <x v="0"/>
    <s v="3212.004"/>
    <s v="Intérêts rémun./perçu trop tôt sur acomptes C/C"/>
    <n v="0.12"/>
    <n v="0"/>
    <n v="3212"/>
  </r>
  <r>
    <x v="0"/>
    <x v="5"/>
    <x v="1"/>
    <x v="57"/>
    <x v="50"/>
    <x v="50"/>
    <s v="CHARGES"/>
    <x v="1"/>
    <s v="3301.001"/>
    <s v="Défalcations, abandons de solde PP et IS"/>
    <n v="0.99"/>
    <n v="0"/>
    <n v="3301"/>
  </r>
  <r>
    <x v="0"/>
    <x v="5"/>
    <x v="1"/>
    <x v="57"/>
    <x v="50"/>
    <x v="50"/>
    <s v="CHARGES"/>
    <x v="0"/>
    <s v="3212.004"/>
    <s v="Intérêts rémun./perçu trop tôt sur acomptes C/C"/>
    <n v="1.29"/>
    <n v="0"/>
    <n v="3212"/>
  </r>
  <r>
    <x v="0"/>
    <x v="5"/>
    <x v="1"/>
    <x v="57"/>
    <x v="50"/>
    <x v="50"/>
    <s v="CHARGES"/>
    <x v="0"/>
    <s v="3221.002"/>
    <s v="Intérêts compensatoires / créances en faveur ctb."/>
    <n v="0.24"/>
    <n v="0"/>
    <n v="3221"/>
  </r>
  <r>
    <x v="0"/>
    <x v="5"/>
    <x v="1"/>
    <x v="57"/>
    <x v="50"/>
    <x v="50"/>
    <s v="CHARGES"/>
    <x v="0"/>
    <s v="3221.002"/>
    <s v="Intérêts compensatoires / créances en faveur ctb."/>
    <n v="0.03"/>
    <n v="0"/>
    <n v="3221"/>
  </r>
  <r>
    <x v="0"/>
    <x v="5"/>
    <x v="1"/>
    <x v="57"/>
    <x v="50"/>
    <x v="50"/>
    <s v="CHARGES"/>
    <x v="1"/>
    <s v="3301.001"/>
    <s v="Défalcations, abandons de solde PP et IS"/>
    <n v="1.68"/>
    <n v="0"/>
    <n v="3301"/>
  </r>
  <r>
    <x v="0"/>
    <x v="5"/>
    <x v="1"/>
    <x v="57"/>
    <x v="50"/>
    <x v="50"/>
    <s v="CHARGES"/>
    <x v="1"/>
    <s v="3301.001"/>
    <s v="Défalcations, abandons de solde PP et IS"/>
    <n v="120.76"/>
    <n v="0"/>
    <n v="3301"/>
  </r>
  <r>
    <x v="0"/>
    <x v="5"/>
    <x v="1"/>
    <x v="57"/>
    <x v="50"/>
    <x v="50"/>
    <s v="CHARGES"/>
    <x v="1"/>
    <s v="3301.001"/>
    <s v="Défalcations, abandons de solde PP et IS"/>
    <n v="7.0000000000000007E-2"/>
    <n v="0"/>
    <n v="3301"/>
  </r>
  <r>
    <x v="0"/>
    <x v="5"/>
    <x v="1"/>
    <x v="57"/>
    <x v="50"/>
    <x v="50"/>
    <s v="REVENUS"/>
    <x v="3"/>
    <s v="4002.001"/>
    <s v="Impôt ordinaire s/fortune PP"/>
    <n v="0"/>
    <n v="-1441.95"/>
    <n v="4002"/>
  </r>
  <r>
    <x v="0"/>
    <x v="5"/>
    <x v="1"/>
    <x v="57"/>
    <x v="50"/>
    <x v="50"/>
    <s v="REVENUS"/>
    <x v="2"/>
    <s v="4001.007"/>
    <s v="Acompte impôt sur revenu"/>
    <n v="0"/>
    <n v="-233578.05"/>
    <n v="4001"/>
  </r>
  <r>
    <x v="0"/>
    <x v="5"/>
    <x v="1"/>
    <x v="57"/>
    <x v="50"/>
    <x v="50"/>
    <s v="REVENUS"/>
    <x v="2"/>
    <s v="4001.001"/>
    <s v="Impôt revenu"/>
    <n v="0"/>
    <n v="1547929.85"/>
    <n v="4001"/>
  </r>
  <r>
    <x v="0"/>
    <x v="5"/>
    <x v="1"/>
    <x v="57"/>
    <x v="50"/>
    <x v="50"/>
    <s v="REVENUS"/>
    <x v="2"/>
    <s v="4001.002"/>
    <s v="Impôt complément s/revenu PP"/>
    <n v="0"/>
    <n v="194826.6"/>
    <n v="4001"/>
  </r>
  <r>
    <x v="0"/>
    <x v="5"/>
    <x v="1"/>
    <x v="57"/>
    <x v="50"/>
    <x v="50"/>
    <s v="REVENUS"/>
    <x v="3"/>
    <s v="4002.002"/>
    <s v="Impôt complémentaire s/fortune PP"/>
    <n v="0"/>
    <n v="42284.15"/>
    <n v="4002"/>
  </r>
  <r>
    <x v="0"/>
    <x v="5"/>
    <x v="1"/>
    <x v="57"/>
    <x v="50"/>
    <x v="50"/>
    <s v="REVENUS"/>
    <x v="3"/>
    <s v="4002.007"/>
    <s v="Acompte impôt sur fortune"/>
    <n v="0"/>
    <n v="107348.16"/>
    <n v="4002"/>
  </r>
  <r>
    <x v="0"/>
    <x v="5"/>
    <x v="1"/>
    <x v="57"/>
    <x v="50"/>
    <x v="50"/>
    <s v="REVENUS"/>
    <x v="6"/>
    <s v="4211.001"/>
    <s v="Intérêts de retard sur factures"/>
    <n v="0"/>
    <n v="7092.25"/>
    <n v="4211"/>
  </r>
  <r>
    <x v="0"/>
    <x v="5"/>
    <x v="1"/>
    <x v="57"/>
    <x v="50"/>
    <x v="50"/>
    <s v="REVENUS"/>
    <x v="6"/>
    <s v="4211.002"/>
    <s v="Intérêts de retard sur acomptes"/>
    <n v="0"/>
    <n v="7831.61"/>
    <n v="4211"/>
  </r>
  <r>
    <x v="0"/>
    <x v="5"/>
    <x v="1"/>
    <x v="57"/>
    <x v="50"/>
    <x v="50"/>
    <s v="REVENUS"/>
    <x v="6"/>
    <s v="4221.003"/>
    <s v="Intérêts compensat. / acomptes en faveur du fisc"/>
    <n v="0"/>
    <n v="273.88"/>
    <n v="4221"/>
  </r>
  <r>
    <x v="0"/>
    <x v="5"/>
    <x v="1"/>
    <x v="57"/>
    <x v="50"/>
    <x v="50"/>
    <s v="REVENUS"/>
    <x v="3"/>
    <s v="4002.001"/>
    <s v="Impôt ordinaire s/fortune PP"/>
    <n v="0"/>
    <n v="220616.05"/>
    <n v="4002"/>
  </r>
  <r>
    <x v="0"/>
    <x v="5"/>
    <x v="1"/>
    <x v="57"/>
    <x v="50"/>
    <x v="50"/>
    <s v="REVENUS"/>
    <x v="2"/>
    <s v="4001.007"/>
    <s v="Acompte impôt sur revenu"/>
    <n v="0"/>
    <n v="515879.76"/>
    <n v="4001"/>
  </r>
  <r>
    <x v="0"/>
    <x v="5"/>
    <x v="1"/>
    <x v="57"/>
    <x v="50"/>
    <x v="50"/>
    <s v="REVENUS"/>
    <x v="3"/>
    <s v="4002.001"/>
    <s v="Impôt ordinaire s/fortune PP"/>
    <n v="0"/>
    <n v="1080.25"/>
    <n v="4002"/>
  </r>
  <r>
    <x v="0"/>
    <x v="5"/>
    <x v="1"/>
    <x v="57"/>
    <x v="50"/>
    <x v="50"/>
    <s v="REVENUS"/>
    <x v="3"/>
    <s v="4002.007"/>
    <s v="Acompte impôt sur fortune"/>
    <n v="0"/>
    <n v="331.55"/>
    <n v="4002"/>
  </r>
  <r>
    <x v="0"/>
    <x v="5"/>
    <x v="1"/>
    <x v="57"/>
    <x v="50"/>
    <x v="50"/>
    <s v="REVENUS"/>
    <x v="6"/>
    <s v="4211.002"/>
    <s v="Intérêts de retard sur acomptes"/>
    <n v="0"/>
    <n v="0.18"/>
    <n v="4211"/>
  </r>
  <r>
    <x v="0"/>
    <x v="5"/>
    <x v="1"/>
    <x v="57"/>
    <x v="50"/>
    <x v="50"/>
    <s v="REVENUS"/>
    <x v="2"/>
    <s v="4001.001"/>
    <s v="Impôt revenu"/>
    <n v="0"/>
    <n v="-13883.1"/>
    <n v="4001"/>
  </r>
  <r>
    <x v="0"/>
    <x v="5"/>
    <x v="1"/>
    <x v="57"/>
    <x v="50"/>
    <x v="50"/>
    <s v="REVENUS"/>
    <x v="3"/>
    <s v="4002.001"/>
    <s v="Impôt ordinaire s/fortune PP"/>
    <n v="0"/>
    <n v="-674.15"/>
    <n v="4002"/>
  </r>
  <r>
    <x v="0"/>
    <x v="5"/>
    <x v="1"/>
    <x v="57"/>
    <x v="50"/>
    <x v="50"/>
    <s v="REVENUS"/>
    <x v="3"/>
    <s v="4002.007"/>
    <s v="Acompte impôt sur fortune"/>
    <n v="0"/>
    <n v="-43140.09"/>
    <n v="4002"/>
  </r>
  <r>
    <x v="0"/>
    <x v="5"/>
    <x v="1"/>
    <x v="57"/>
    <x v="50"/>
    <x v="50"/>
    <s v="REVENUS"/>
    <x v="7"/>
    <s v="4184.000"/>
    <s v="Frais de poursuite"/>
    <n v="0"/>
    <n v="4318.37"/>
    <n v="4184"/>
  </r>
  <r>
    <x v="0"/>
    <x v="5"/>
    <x v="1"/>
    <x v="57"/>
    <x v="50"/>
    <x v="50"/>
    <s v="REVENUS"/>
    <x v="6"/>
    <s v="4211.001"/>
    <s v="Intérêts de retard sur factures"/>
    <n v="0"/>
    <n v="439.67"/>
    <n v="4211"/>
  </r>
  <r>
    <x v="0"/>
    <x v="5"/>
    <x v="1"/>
    <x v="57"/>
    <x v="50"/>
    <x v="50"/>
    <s v="REVENUS"/>
    <x v="2"/>
    <s v="4001.001"/>
    <s v="Impôt revenu"/>
    <n v="0"/>
    <n v="-4049.8"/>
    <n v="4001"/>
  </r>
  <r>
    <x v="0"/>
    <x v="5"/>
    <x v="1"/>
    <x v="57"/>
    <x v="50"/>
    <x v="50"/>
    <s v="REVENUS"/>
    <x v="2"/>
    <s v="4001.002"/>
    <s v="Impôt complément s/revenu PP"/>
    <n v="0"/>
    <n v="11339.25"/>
    <n v="4001"/>
  </r>
  <r>
    <x v="0"/>
    <x v="5"/>
    <x v="1"/>
    <x v="57"/>
    <x v="50"/>
    <x v="50"/>
    <s v="REVENUS"/>
    <x v="3"/>
    <s v="4002.001"/>
    <s v="Impôt ordinaire s/fortune PP"/>
    <n v="0"/>
    <n v="-1227.2"/>
    <n v="4002"/>
  </r>
  <r>
    <x v="0"/>
    <x v="5"/>
    <x v="1"/>
    <x v="57"/>
    <x v="50"/>
    <x v="50"/>
    <s v="REVENUS"/>
    <x v="3"/>
    <s v="4002.002"/>
    <s v="Impôt complémentaire s/fortune PP"/>
    <n v="0"/>
    <n v="4507.8500000000004"/>
    <n v="4002"/>
  </r>
  <r>
    <x v="0"/>
    <x v="5"/>
    <x v="1"/>
    <x v="57"/>
    <x v="50"/>
    <x v="50"/>
    <s v="REVENUS"/>
    <x v="6"/>
    <s v="4211.002"/>
    <s v="Intérêts de retard sur acomptes"/>
    <n v="0"/>
    <n v="67.55"/>
    <n v="4211"/>
  </r>
  <r>
    <x v="0"/>
    <x v="5"/>
    <x v="1"/>
    <x v="57"/>
    <x v="50"/>
    <x v="50"/>
    <s v="REVENUS"/>
    <x v="6"/>
    <s v="4221.003"/>
    <s v="Intérêts compensat. / acomptes en faveur du fisc"/>
    <n v="0"/>
    <n v="3.1"/>
    <n v="4221"/>
  </r>
  <r>
    <x v="0"/>
    <x v="5"/>
    <x v="1"/>
    <x v="57"/>
    <x v="50"/>
    <x v="50"/>
    <s v="REVENUS"/>
    <x v="2"/>
    <s v="4001.003"/>
    <s v="Impôt s/prest. cap. PP"/>
    <n v="0"/>
    <n v="50718.05"/>
    <n v="4001"/>
  </r>
  <r>
    <x v="0"/>
    <x v="5"/>
    <x v="1"/>
    <x v="57"/>
    <x v="50"/>
    <x v="50"/>
    <s v="REVENUS"/>
    <x v="9"/>
    <s v="4031.001"/>
    <s v="Impôt sur les gains immobiliers"/>
    <n v="0"/>
    <n v="49697.45"/>
    <n v="4031"/>
  </r>
  <r>
    <x v="0"/>
    <x v="5"/>
    <x v="1"/>
    <x v="57"/>
    <x v="50"/>
    <x v="50"/>
    <s v="REVENUS"/>
    <x v="6"/>
    <s v="4221.002"/>
    <s v="Intérêts compensat. sur impôts distincts"/>
    <n v="0"/>
    <n v="33.96"/>
    <n v="4221"/>
  </r>
  <r>
    <x v="0"/>
    <x v="5"/>
    <x v="1"/>
    <x v="57"/>
    <x v="50"/>
    <x v="50"/>
    <s v="REVENUS"/>
    <x v="5"/>
    <s v="4061.000"/>
    <s v="Impôt sur les chiens"/>
    <n v="0"/>
    <n v="9750"/>
    <n v="4061"/>
  </r>
  <r>
    <x v="0"/>
    <x v="5"/>
    <x v="1"/>
    <x v="57"/>
    <x v="50"/>
    <x v="50"/>
    <s v="REVENUS"/>
    <x v="2"/>
    <s v="4001.007"/>
    <s v="Acompte impôt sur revenu"/>
    <n v="0"/>
    <n v="-66.650000000000006"/>
    <n v="4001"/>
  </r>
  <r>
    <x v="0"/>
    <x v="5"/>
    <x v="1"/>
    <x v="57"/>
    <x v="50"/>
    <x v="50"/>
    <s v="REVENUS"/>
    <x v="2"/>
    <s v="4001.007"/>
    <s v="Acompte impôt sur revenu"/>
    <n v="0"/>
    <n v="-1713.79"/>
    <n v="4001"/>
  </r>
  <r>
    <x v="0"/>
    <x v="5"/>
    <x v="1"/>
    <x v="57"/>
    <x v="50"/>
    <x v="50"/>
    <s v="REVENUS"/>
    <x v="3"/>
    <s v="4002.007"/>
    <s v="Acompte impôt sur fortune"/>
    <n v="0"/>
    <n v="-734.64"/>
    <n v="4002"/>
  </r>
  <r>
    <x v="0"/>
    <x v="5"/>
    <x v="1"/>
    <x v="57"/>
    <x v="50"/>
    <x v="50"/>
    <s v="REVENUS"/>
    <x v="12"/>
    <s v="4004.007"/>
    <s v="Acompte spécial étrangers"/>
    <n v="0"/>
    <n v="-53.85"/>
    <n v="4004"/>
  </r>
  <r>
    <x v="0"/>
    <x v="5"/>
    <x v="1"/>
    <x v="57"/>
    <x v="50"/>
    <x v="50"/>
    <s v="REVENUS"/>
    <x v="2"/>
    <s v="4001.001"/>
    <s v="Impôt revenu"/>
    <n v="0"/>
    <n v="13682.25"/>
    <n v="4001"/>
  </r>
  <r>
    <x v="0"/>
    <x v="5"/>
    <x v="1"/>
    <x v="57"/>
    <x v="50"/>
    <x v="50"/>
    <s v="REVENUS"/>
    <x v="3"/>
    <s v="4002.007"/>
    <s v="Acompte impôt sur fortune"/>
    <n v="0"/>
    <n v="310.14"/>
    <n v="4002"/>
  </r>
  <r>
    <x v="0"/>
    <x v="5"/>
    <x v="1"/>
    <x v="57"/>
    <x v="50"/>
    <x v="50"/>
    <s v="REVENUS"/>
    <x v="3"/>
    <s v="4002.007"/>
    <s v="Acompte impôt sur fortune"/>
    <n v="0"/>
    <n v="70.75"/>
    <n v="4002"/>
  </r>
  <r>
    <x v="0"/>
    <x v="5"/>
    <x v="1"/>
    <x v="57"/>
    <x v="50"/>
    <x v="50"/>
    <s v="REVENUS"/>
    <x v="11"/>
    <s v="4198.000"/>
    <s v="Contributions communales"/>
    <n v="0"/>
    <n v="165276.70000000001"/>
    <n v="4198"/>
  </r>
  <r>
    <x v="0"/>
    <x v="5"/>
    <x v="1"/>
    <x v="57"/>
    <x v="50"/>
    <x v="50"/>
    <s v="REVENUS"/>
    <x v="2"/>
    <s v="4001.007"/>
    <s v="Acompte impôt sur revenu"/>
    <n v="0"/>
    <n v="8743.9599999999991"/>
    <n v="4001"/>
  </r>
  <r>
    <x v="0"/>
    <x v="5"/>
    <x v="1"/>
    <x v="57"/>
    <x v="50"/>
    <x v="50"/>
    <s v="REVENUS"/>
    <x v="2"/>
    <s v="4001.007"/>
    <s v="Acompte impôt sur revenu"/>
    <n v="0"/>
    <n v="1114.95"/>
    <n v="4001"/>
  </r>
  <r>
    <x v="0"/>
    <x v="5"/>
    <x v="1"/>
    <x v="57"/>
    <x v="50"/>
    <x v="50"/>
    <s v="REVENUS"/>
    <x v="3"/>
    <s v="4002.007"/>
    <s v="Acompte impôt sur fortune"/>
    <n v="0"/>
    <n v="0.4"/>
    <n v="4002"/>
  </r>
  <r>
    <x v="0"/>
    <x v="5"/>
    <x v="1"/>
    <x v="57"/>
    <x v="50"/>
    <x v="50"/>
    <s v="REVENUS"/>
    <x v="3"/>
    <s v="4002.001"/>
    <s v="Impôt ordinaire s/fortune PP"/>
    <n v="0"/>
    <n v="1163.0999999999999"/>
    <n v="4002"/>
  </r>
  <r>
    <x v="0"/>
    <x v="5"/>
    <x v="1"/>
    <x v="57"/>
    <x v="50"/>
    <x v="50"/>
    <s v="REVENUS"/>
    <x v="6"/>
    <s v="4221.003"/>
    <s v="Intérêts compensat. / acomptes en faveur du fisc"/>
    <n v="0"/>
    <n v="0.15"/>
    <n v="4221"/>
  </r>
  <r>
    <x v="0"/>
    <x v="5"/>
    <x v="1"/>
    <x v="57"/>
    <x v="50"/>
    <x v="50"/>
    <s v="REVENUS"/>
    <x v="2"/>
    <s v="4001.001"/>
    <s v="Impôt revenu"/>
    <n v="0"/>
    <n v="702.85"/>
    <n v="4001"/>
  </r>
  <r>
    <x v="0"/>
    <x v="5"/>
    <x v="1"/>
    <x v="57"/>
    <x v="50"/>
    <x v="50"/>
    <s v="REVENUS"/>
    <x v="6"/>
    <s v="4221.003"/>
    <s v="Intérêts compensat. / acomptes en faveur du fisc"/>
    <n v="0"/>
    <n v="0.02"/>
    <n v="4221"/>
  </r>
  <r>
    <x v="0"/>
    <x v="5"/>
    <x v="1"/>
    <x v="57"/>
    <x v="50"/>
    <x v="50"/>
    <s v="REVENUS"/>
    <x v="10"/>
    <s v="4041.001"/>
    <s v="Droits de mutation"/>
    <n v="0"/>
    <n v="34356.1"/>
    <n v="4041"/>
  </r>
  <r>
    <x v="0"/>
    <x v="5"/>
    <x v="1"/>
    <x v="57"/>
    <x v="50"/>
    <x v="50"/>
    <s v="REVENUS"/>
    <x v="2"/>
    <s v="4001.007"/>
    <s v="Acompte impôt sur revenu"/>
    <n v="0"/>
    <n v="-5393.3"/>
    <n v="4001"/>
  </r>
  <r>
    <x v="0"/>
    <x v="5"/>
    <x v="1"/>
    <x v="57"/>
    <x v="50"/>
    <x v="50"/>
    <s v="REVENUS"/>
    <x v="3"/>
    <s v="4002.007"/>
    <s v="Acompte impôt sur fortune"/>
    <n v="0"/>
    <n v="-549.6"/>
    <n v="4002"/>
  </r>
  <r>
    <x v="0"/>
    <x v="5"/>
    <x v="1"/>
    <x v="57"/>
    <x v="50"/>
    <x v="50"/>
    <s v="REVENUS"/>
    <x v="2"/>
    <s v="4001.001"/>
    <s v="Impôt revenu"/>
    <n v="0"/>
    <n v="5019.05"/>
    <n v="4001"/>
  </r>
  <r>
    <x v="0"/>
    <x v="5"/>
    <x v="1"/>
    <x v="57"/>
    <x v="50"/>
    <x v="50"/>
    <s v="REVENUS"/>
    <x v="6"/>
    <s v="4211.002"/>
    <s v="Intérêts de retard sur acomptes"/>
    <n v="0"/>
    <n v="3.37"/>
    <n v="4211"/>
  </r>
  <r>
    <x v="0"/>
    <x v="5"/>
    <x v="1"/>
    <x v="57"/>
    <x v="50"/>
    <x v="50"/>
    <s v="REVENUS"/>
    <x v="2"/>
    <s v="4001.002"/>
    <s v="Impôt complément s/revenu PP"/>
    <n v="0"/>
    <n v="3018.8"/>
    <n v="4001"/>
  </r>
  <r>
    <x v="0"/>
    <x v="5"/>
    <x v="1"/>
    <x v="57"/>
    <x v="50"/>
    <x v="50"/>
    <s v="REVENUS"/>
    <x v="3"/>
    <s v="4002.002"/>
    <s v="Impôt complémentaire s/fortune PP"/>
    <n v="0"/>
    <n v="843.45"/>
    <n v="4002"/>
  </r>
  <r>
    <x v="0"/>
    <x v="5"/>
    <x v="1"/>
    <x v="57"/>
    <x v="50"/>
    <x v="50"/>
    <s v="REVENUS"/>
    <x v="3"/>
    <s v="4002.001"/>
    <s v="Impôt ordinaire s/fortune PP"/>
    <n v="0"/>
    <n v="6825.65"/>
    <n v="4002"/>
  </r>
  <r>
    <x v="0"/>
    <x v="5"/>
    <x v="1"/>
    <x v="57"/>
    <x v="50"/>
    <x v="50"/>
    <s v="REVENUS"/>
    <x v="2"/>
    <s v="4001.003"/>
    <s v="Impôt s/prest. cap. PP"/>
    <n v="0"/>
    <n v="-345.55"/>
    <n v="4001"/>
  </r>
  <r>
    <x v="0"/>
    <x v="5"/>
    <x v="1"/>
    <x v="57"/>
    <x v="50"/>
    <x v="50"/>
    <s v="REVENUS"/>
    <x v="6"/>
    <s v="4221.002"/>
    <s v="Intérêts compensat. sur impôts distincts"/>
    <n v="0"/>
    <n v="-0.53"/>
    <n v="4221"/>
  </r>
  <r>
    <x v="0"/>
    <x v="5"/>
    <x v="1"/>
    <x v="57"/>
    <x v="50"/>
    <x v="50"/>
    <s v="REVENUS"/>
    <x v="2"/>
    <s v="4001.002"/>
    <s v="Impôt complément s/revenu PP"/>
    <n v="0"/>
    <n v="377"/>
    <n v="4001"/>
  </r>
  <r>
    <x v="0"/>
    <x v="5"/>
    <x v="1"/>
    <x v="57"/>
    <x v="50"/>
    <x v="50"/>
    <s v="REVENUS"/>
    <x v="6"/>
    <s v="4221.003"/>
    <s v="Intérêts compensat. / acomptes en faveur du fisc"/>
    <n v="0"/>
    <n v="2.2599999999999998"/>
    <n v="4221"/>
  </r>
  <r>
    <x v="0"/>
    <x v="5"/>
    <x v="1"/>
    <x v="57"/>
    <x v="50"/>
    <x v="50"/>
    <s v="REVENUS"/>
    <x v="2"/>
    <s v="4001.001"/>
    <s v="Impôt revenu"/>
    <n v="0"/>
    <n v="-420"/>
    <n v="4001"/>
  </r>
  <r>
    <x v="0"/>
    <x v="5"/>
    <x v="1"/>
    <x v="57"/>
    <x v="50"/>
    <x v="50"/>
    <s v="REVENUS"/>
    <x v="2"/>
    <s v="4001.001"/>
    <s v="Impôt revenu"/>
    <n v="0"/>
    <n v="534.35"/>
    <n v="4001"/>
  </r>
  <r>
    <x v="0"/>
    <x v="5"/>
    <x v="1"/>
    <x v="57"/>
    <x v="50"/>
    <x v="50"/>
    <s v="REVENUS"/>
    <x v="6"/>
    <s v="4221.003"/>
    <s v="Intérêts compensat. / acomptes en faveur du fisc"/>
    <n v="0"/>
    <n v="7.0000000000000007E-2"/>
    <n v="4221"/>
  </r>
  <r>
    <x v="0"/>
    <x v="5"/>
    <x v="1"/>
    <x v="57"/>
    <x v="50"/>
    <x v="50"/>
    <s v="REVENUS"/>
    <x v="4"/>
    <s v="4051.001"/>
    <s v="Impôt sur les successions"/>
    <n v="0"/>
    <n v="15384.5"/>
    <n v="4051"/>
  </r>
  <r>
    <x v="0"/>
    <x v="5"/>
    <x v="1"/>
    <x v="57"/>
    <x v="50"/>
    <x v="50"/>
    <s v="REVENUS"/>
    <x v="3"/>
    <s v="4002.001"/>
    <s v="Impôt ordinaire s/fortune PP"/>
    <n v="0"/>
    <n v="67.45"/>
    <n v="4002"/>
  </r>
  <r>
    <x v="0"/>
    <x v="5"/>
    <x v="1"/>
    <x v="57"/>
    <x v="50"/>
    <x v="50"/>
    <s v="REVENUS"/>
    <x v="6"/>
    <s v="4211.002"/>
    <s v="Intérêts de retard sur acomptes"/>
    <n v="0"/>
    <n v="0.24"/>
    <n v="4211"/>
  </r>
  <r>
    <x v="0"/>
    <x v="5"/>
    <x v="1"/>
    <x v="57"/>
    <x v="50"/>
    <x v="50"/>
    <s v="REVENUS"/>
    <x v="4"/>
    <s v="4051.002"/>
    <s v="Impôt sur les donations"/>
    <n v="0"/>
    <n v="3432"/>
    <n v="4051"/>
  </r>
  <r>
    <x v="0"/>
    <x v="5"/>
    <x v="1"/>
    <x v="57"/>
    <x v="50"/>
    <x v="50"/>
    <s v="REVENUS"/>
    <x v="8"/>
    <s v="4091.001"/>
    <s v="Impôt récupéré après défalcations"/>
    <n v="0"/>
    <n v="771.86"/>
    <n v="4091"/>
  </r>
  <r>
    <x v="0"/>
    <x v="5"/>
    <x v="1"/>
    <x v="57"/>
    <x v="50"/>
    <x v="50"/>
    <s v="REVENUS"/>
    <x v="6"/>
    <s v="4211.001"/>
    <s v="Intérêts de retard sur factures"/>
    <n v="0"/>
    <n v="0.97"/>
    <n v="4211"/>
  </r>
  <r>
    <x v="0"/>
    <x v="5"/>
    <x v="1"/>
    <x v="57"/>
    <x v="50"/>
    <x v="50"/>
    <s v="REVENUS"/>
    <x v="12"/>
    <s v="4004.000"/>
    <s v="Impôt spécial étrangers"/>
    <n v="0"/>
    <n v="35309.85"/>
    <n v="4004"/>
  </r>
  <r>
    <x v="0"/>
    <x v="5"/>
    <x v="1"/>
    <x v="57"/>
    <x v="50"/>
    <x v="50"/>
    <s v="REVENUS"/>
    <x v="2"/>
    <s v="4001.003"/>
    <s v="Impôt s/prest. cap. PP"/>
    <n v="0"/>
    <n v="-796.65"/>
    <n v="4001"/>
  </r>
  <r>
    <x v="0"/>
    <x v="5"/>
    <x v="1"/>
    <x v="57"/>
    <x v="50"/>
    <x v="50"/>
    <s v="REVENUS"/>
    <x v="6"/>
    <s v="4211.002"/>
    <s v="Intérêts de retard sur acomptes"/>
    <n v="0"/>
    <n v="2.41"/>
    <n v="4211"/>
  </r>
  <r>
    <x v="0"/>
    <x v="5"/>
    <x v="1"/>
    <x v="57"/>
    <x v="50"/>
    <x v="50"/>
    <s v="REVENUS"/>
    <x v="8"/>
    <s v="4091.001"/>
    <s v="Impôt récupéré après défalcations"/>
    <n v="0"/>
    <n v="4834.6099999999997"/>
    <n v="4091"/>
  </r>
  <r>
    <x v="0"/>
    <x v="4"/>
    <x v="4"/>
    <x v="58"/>
    <x v="51"/>
    <x v="51"/>
    <s v="CHARGES"/>
    <x v="1"/>
    <s v="3301.001"/>
    <s v="Défalcations, abandons de solde PP et IS"/>
    <n v="6671.44"/>
    <n v="0"/>
    <n v="3301"/>
  </r>
  <r>
    <x v="0"/>
    <x v="4"/>
    <x v="4"/>
    <x v="58"/>
    <x v="51"/>
    <x v="51"/>
    <s v="CHARGES"/>
    <x v="0"/>
    <s v="3212.004"/>
    <s v="Intérêts rémun./perçu trop tôt sur acomptes C/C"/>
    <n v="177.93"/>
    <n v="0"/>
    <n v="3212"/>
  </r>
  <r>
    <x v="0"/>
    <x v="4"/>
    <x v="4"/>
    <x v="58"/>
    <x v="51"/>
    <x v="51"/>
    <s v="CHARGES"/>
    <x v="0"/>
    <s v="3221.002"/>
    <s v="Intérêts compensatoires / créances en faveur ctb."/>
    <n v="61.99"/>
    <n v="0"/>
    <n v="3221"/>
  </r>
  <r>
    <x v="0"/>
    <x v="4"/>
    <x v="4"/>
    <x v="58"/>
    <x v="51"/>
    <x v="51"/>
    <s v="CHARGES"/>
    <x v="0"/>
    <s v="3212.002"/>
    <s v="Intérêts bonifiés/trop perçu acompte C/C"/>
    <n v="2.44"/>
    <n v="0"/>
    <n v="3212"/>
  </r>
  <r>
    <x v="0"/>
    <x v="4"/>
    <x v="4"/>
    <x v="58"/>
    <x v="51"/>
    <x v="51"/>
    <s v="CHARGES"/>
    <x v="0"/>
    <s v="3212.004"/>
    <s v="Intérêts rémun./perçu trop tôt sur acomptes C/C"/>
    <n v="1.1499999999999999"/>
    <n v="0"/>
    <n v="3212"/>
  </r>
  <r>
    <x v="0"/>
    <x v="4"/>
    <x v="4"/>
    <x v="58"/>
    <x v="51"/>
    <x v="51"/>
    <s v="CHARGES"/>
    <x v="0"/>
    <s v="3221.002"/>
    <s v="Intérêts compensatoires / créances en faveur ctb."/>
    <n v="0.83"/>
    <n v="0"/>
    <n v="3221"/>
  </r>
  <r>
    <x v="0"/>
    <x v="4"/>
    <x v="4"/>
    <x v="58"/>
    <x v="51"/>
    <x v="51"/>
    <s v="CHARGES"/>
    <x v="0"/>
    <s v="3212.004"/>
    <s v="Intérêts rémun./perçu trop tôt sur acomptes C/C"/>
    <n v="0.4"/>
    <n v="0"/>
    <n v="3212"/>
  </r>
  <r>
    <x v="0"/>
    <x v="4"/>
    <x v="4"/>
    <x v="58"/>
    <x v="51"/>
    <x v="51"/>
    <s v="CHARGES"/>
    <x v="0"/>
    <s v="3221.002"/>
    <s v="Intérêts compensatoires / créances en faveur ctb."/>
    <n v="0.6"/>
    <n v="0"/>
    <n v="3221"/>
  </r>
  <r>
    <x v="0"/>
    <x v="4"/>
    <x v="4"/>
    <x v="58"/>
    <x v="51"/>
    <x v="51"/>
    <s v="CHARGES"/>
    <x v="1"/>
    <s v="3301.001"/>
    <s v="Défalcations, abandons de solde PP et IS"/>
    <n v="0.4"/>
    <n v="0"/>
    <n v="3301"/>
  </r>
  <r>
    <x v="0"/>
    <x v="4"/>
    <x v="4"/>
    <x v="58"/>
    <x v="51"/>
    <x v="51"/>
    <s v="CHARGES"/>
    <x v="1"/>
    <s v="3301.001"/>
    <s v="Défalcations, abandons de solde PP et IS"/>
    <n v="0.87"/>
    <n v="0"/>
    <n v="3301"/>
  </r>
  <r>
    <x v="0"/>
    <x v="4"/>
    <x v="4"/>
    <x v="58"/>
    <x v="51"/>
    <x v="51"/>
    <s v="CHARGES"/>
    <x v="0"/>
    <s v="3221.002"/>
    <s v="Intérêts compensatoires / créances en faveur ctb."/>
    <n v="0.05"/>
    <n v="0"/>
    <n v="3221"/>
  </r>
  <r>
    <x v="0"/>
    <x v="4"/>
    <x v="4"/>
    <x v="58"/>
    <x v="51"/>
    <x v="51"/>
    <s v="CHARGES"/>
    <x v="0"/>
    <s v="3212.004"/>
    <s v="Intérêts rémun./perçu trop tôt sur acomptes C/C"/>
    <n v="0.89"/>
    <n v="0"/>
    <n v="3212"/>
  </r>
  <r>
    <x v="0"/>
    <x v="4"/>
    <x v="4"/>
    <x v="58"/>
    <x v="51"/>
    <x v="51"/>
    <s v="CHARGES"/>
    <x v="0"/>
    <s v="3221.002"/>
    <s v="Intérêts compensatoires / créances en faveur ctb."/>
    <n v="1.46"/>
    <n v="0"/>
    <n v="3221"/>
  </r>
  <r>
    <x v="0"/>
    <x v="4"/>
    <x v="4"/>
    <x v="58"/>
    <x v="51"/>
    <x v="51"/>
    <s v="CHARGES"/>
    <x v="1"/>
    <s v="3301.001"/>
    <s v="Défalcations, abandons de solde PP et IS"/>
    <n v="0.47"/>
    <n v="0"/>
    <n v="3301"/>
  </r>
  <r>
    <x v="0"/>
    <x v="4"/>
    <x v="4"/>
    <x v="58"/>
    <x v="51"/>
    <x v="51"/>
    <s v="CHARGES"/>
    <x v="1"/>
    <s v="3301.001"/>
    <s v="Défalcations, abandons de solde PP et IS"/>
    <n v="0.51"/>
    <n v="0"/>
    <n v="3301"/>
  </r>
  <r>
    <x v="0"/>
    <x v="4"/>
    <x v="4"/>
    <x v="58"/>
    <x v="51"/>
    <x v="51"/>
    <s v="CHARGES"/>
    <x v="0"/>
    <s v="3212.004"/>
    <s v="Intérêts rémun./perçu trop tôt sur acomptes C/C"/>
    <n v="0.83"/>
    <n v="0"/>
    <n v="3212"/>
  </r>
  <r>
    <x v="0"/>
    <x v="4"/>
    <x v="4"/>
    <x v="58"/>
    <x v="51"/>
    <x v="51"/>
    <s v="CHARGES"/>
    <x v="0"/>
    <s v="3221.002"/>
    <s v="Intérêts compensatoires / créances en faveur ctb."/>
    <n v="0.2"/>
    <n v="0"/>
    <n v="3221"/>
  </r>
  <r>
    <x v="0"/>
    <x v="4"/>
    <x v="4"/>
    <x v="58"/>
    <x v="51"/>
    <x v="51"/>
    <s v="REVENUS"/>
    <x v="2"/>
    <s v="4001.007"/>
    <s v="Acompte impôt sur revenu"/>
    <n v="0"/>
    <n v="-199826.09"/>
    <n v="4001"/>
  </r>
  <r>
    <x v="0"/>
    <x v="4"/>
    <x v="4"/>
    <x v="58"/>
    <x v="51"/>
    <x v="51"/>
    <s v="REVENUS"/>
    <x v="6"/>
    <s v="4211.001"/>
    <s v="Intérêts de retard sur factures"/>
    <n v="0"/>
    <n v="3857.52"/>
    <n v="4211"/>
  </r>
  <r>
    <x v="0"/>
    <x v="4"/>
    <x v="4"/>
    <x v="58"/>
    <x v="51"/>
    <x v="51"/>
    <s v="REVENUS"/>
    <x v="2"/>
    <s v="4001.001"/>
    <s v="Impôt revenu"/>
    <n v="0"/>
    <n v="838681.45"/>
    <n v="4001"/>
  </r>
  <r>
    <x v="0"/>
    <x v="4"/>
    <x v="4"/>
    <x v="58"/>
    <x v="51"/>
    <x v="51"/>
    <s v="REVENUS"/>
    <x v="2"/>
    <s v="4001.002"/>
    <s v="Impôt complément s/revenu PP"/>
    <n v="0"/>
    <n v="118996.75"/>
    <n v="4001"/>
  </r>
  <r>
    <x v="0"/>
    <x v="4"/>
    <x v="4"/>
    <x v="58"/>
    <x v="51"/>
    <x v="51"/>
    <s v="REVENUS"/>
    <x v="3"/>
    <s v="4002.001"/>
    <s v="Impôt ordinaire s/fortune PP"/>
    <n v="0"/>
    <n v="79582.45"/>
    <n v="4002"/>
  </r>
  <r>
    <x v="0"/>
    <x v="4"/>
    <x v="4"/>
    <x v="58"/>
    <x v="51"/>
    <x v="51"/>
    <s v="REVENUS"/>
    <x v="3"/>
    <s v="4002.002"/>
    <s v="Impôt complémentaire s/fortune PP"/>
    <n v="0"/>
    <n v="5658.75"/>
    <n v="4002"/>
  </r>
  <r>
    <x v="0"/>
    <x v="4"/>
    <x v="4"/>
    <x v="58"/>
    <x v="51"/>
    <x v="51"/>
    <s v="REVENUS"/>
    <x v="3"/>
    <s v="4002.007"/>
    <s v="Acompte impôt sur fortune"/>
    <n v="0"/>
    <n v="-32058.51"/>
    <n v="4002"/>
  </r>
  <r>
    <x v="0"/>
    <x v="4"/>
    <x v="4"/>
    <x v="58"/>
    <x v="51"/>
    <x v="51"/>
    <s v="REVENUS"/>
    <x v="6"/>
    <s v="4211.002"/>
    <s v="Intérêts de retard sur acomptes"/>
    <n v="0"/>
    <n v="4236.54"/>
    <n v="4211"/>
  </r>
  <r>
    <x v="0"/>
    <x v="4"/>
    <x v="4"/>
    <x v="58"/>
    <x v="51"/>
    <x v="51"/>
    <s v="REVENUS"/>
    <x v="6"/>
    <s v="4211.001"/>
    <s v="Intérêts de retard sur factures"/>
    <n v="0"/>
    <n v="0"/>
    <n v="4211"/>
  </r>
  <r>
    <x v="0"/>
    <x v="4"/>
    <x v="4"/>
    <x v="58"/>
    <x v="51"/>
    <x v="51"/>
    <s v="REVENUS"/>
    <x v="7"/>
    <s v="4184.000"/>
    <s v="Frais de poursuite"/>
    <n v="0"/>
    <n v="493.51"/>
    <n v="4184"/>
  </r>
  <r>
    <x v="0"/>
    <x v="4"/>
    <x v="4"/>
    <x v="58"/>
    <x v="51"/>
    <x v="51"/>
    <s v="REVENUS"/>
    <x v="3"/>
    <s v="4002.001"/>
    <s v="Impôt ordinaire s/fortune PP"/>
    <n v="0"/>
    <n v="1649.6"/>
    <n v="4002"/>
  </r>
  <r>
    <x v="0"/>
    <x v="4"/>
    <x v="4"/>
    <x v="58"/>
    <x v="51"/>
    <x v="51"/>
    <s v="REVENUS"/>
    <x v="6"/>
    <s v="4211.002"/>
    <s v="Intérêts de retard sur acomptes"/>
    <n v="0"/>
    <n v="20.29"/>
    <n v="4211"/>
  </r>
  <r>
    <x v="0"/>
    <x v="4"/>
    <x v="4"/>
    <x v="58"/>
    <x v="51"/>
    <x v="51"/>
    <s v="REVENUS"/>
    <x v="3"/>
    <s v="4002.007"/>
    <s v="Acompte impôt sur fortune"/>
    <n v="0"/>
    <n v="-648.28"/>
    <n v="4002"/>
  </r>
  <r>
    <x v="0"/>
    <x v="4"/>
    <x v="4"/>
    <x v="58"/>
    <x v="51"/>
    <x v="51"/>
    <s v="REVENUS"/>
    <x v="3"/>
    <s v="4002.002"/>
    <s v="Impôt complémentaire s/fortune PP"/>
    <n v="0"/>
    <n v="55.2"/>
    <n v="4002"/>
  </r>
  <r>
    <x v="0"/>
    <x v="4"/>
    <x v="4"/>
    <x v="58"/>
    <x v="51"/>
    <x v="51"/>
    <s v="REVENUS"/>
    <x v="3"/>
    <s v="4002.007"/>
    <s v="Acompte impôt sur fortune"/>
    <n v="0"/>
    <n v="760.59"/>
    <n v="4002"/>
  </r>
  <r>
    <x v="0"/>
    <x v="4"/>
    <x v="4"/>
    <x v="58"/>
    <x v="51"/>
    <x v="51"/>
    <s v="REVENUS"/>
    <x v="2"/>
    <s v="4001.001"/>
    <s v="Impôt revenu"/>
    <n v="0"/>
    <n v="8693.5"/>
    <n v="4001"/>
  </r>
  <r>
    <x v="0"/>
    <x v="4"/>
    <x v="4"/>
    <x v="58"/>
    <x v="51"/>
    <x v="51"/>
    <s v="REVENUS"/>
    <x v="2"/>
    <s v="4001.007"/>
    <s v="Acompte impôt sur revenu"/>
    <n v="0"/>
    <n v="1542.95"/>
    <n v="4001"/>
  </r>
  <r>
    <x v="0"/>
    <x v="4"/>
    <x v="4"/>
    <x v="58"/>
    <x v="51"/>
    <x v="51"/>
    <s v="REVENUS"/>
    <x v="3"/>
    <s v="4002.001"/>
    <s v="Impôt ordinaire s/fortune PP"/>
    <n v="0"/>
    <n v="2908.45"/>
    <n v="4002"/>
  </r>
  <r>
    <x v="0"/>
    <x v="4"/>
    <x v="4"/>
    <x v="58"/>
    <x v="51"/>
    <x v="51"/>
    <s v="REVENUS"/>
    <x v="3"/>
    <s v="4002.007"/>
    <s v="Acompte impôt sur fortune"/>
    <n v="0"/>
    <n v="623.75"/>
    <n v="4002"/>
  </r>
  <r>
    <x v="0"/>
    <x v="4"/>
    <x v="4"/>
    <x v="58"/>
    <x v="51"/>
    <x v="51"/>
    <s v="REVENUS"/>
    <x v="6"/>
    <s v="4221.003"/>
    <s v="Intérêts compensat. / acomptes en faveur du fisc"/>
    <n v="0"/>
    <n v="121.31"/>
    <n v="4221"/>
  </r>
  <r>
    <x v="0"/>
    <x v="4"/>
    <x v="4"/>
    <x v="58"/>
    <x v="51"/>
    <x v="51"/>
    <s v="REVENUS"/>
    <x v="10"/>
    <s v="4041.001"/>
    <s v="Droits de mutation"/>
    <n v="0"/>
    <n v="41.3"/>
    <n v="4041"/>
  </r>
  <r>
    <x v="0"/>
    <x v="4"/>
    <x v="4"/>
    <x v="58"/>
    <x v="51"/>
    <x v="51"/>
    <s v="REVENUS"/>
    <x v="2"/>
    <s v="4001.007"/>
    <s v="Acompte impôt sur revenu"/>
    <n v="0"/>
    <n v="-321.68"/>
    <n v="4001"/>
  </r>
  <r>
    <x v="0"/>
    <x v="4"/>
    <x v="4"/>
    <x v="58"/>
    <x v="51"/>
    <x v="51"/>
    <s v="REVENUS"/>
    <x v="3"/>
    <s v="4002.007"/>
    <s v="Acompte impôt sur fortune"/>
    <n v="0"/>
    <n v="-115.39"/>
    <n v="4002"/>
  </r>
  <r>
    <x v="0"/>
    <x v="4"/>
    <x v="4"/>
    <x v="58"/>
    <x v="51"/>
    <x v="51"/>
    <s v="REVENUS"/>
    <x v="3"/>
    <s v="4002.007"/>
    <s v="Acompte impôt sur fortune"/>
    <n v="0"/>
    <n v="77.650000000000006"/>
    <n v="4002"/>
  </r>
  <r>
    <x v="0"/>
    <x v="4"/>
    <x v="4"/>
    <x v="58"/>
    <x v="51"/>
    <x v="51"/>
    <s v="REVENUS"/>
    <x v="2"/>
    <s v="4001.007"/>
    <s v="Acompte impôt sur revenu"/>
    <n v="0"/>
    <n v="3370.93"/>
    <n v="4001"/>
  </r>
  <r>
    <x v="0"/>
    <x v="4"/>
    <x v="4"/>
    <x v="58"/>
    <x v="51"/>
    <x v="51"/>
    <s v="REVENUS"/>
    <x v="2"/>
    <s v="4001.003"/>
    <s v="Impôt s/prest. cap. PP"/>
    <n v="0"/>
    <n v="36954.25"/>
    <n v="4001"/>
  </r>
  <r>
    <x v="0"/>
    <x v="4"/>
    <x v="4"/>
    <x v="58"/>
    <x v="51"/>
    <x v="51"/>
    <s v="REVENUS"/>
    <x v="2"/>
    <s v="4001.007"/>
    <s v="Acompte impôt sur revenu"/>
    <n v="0"/>
    <n v="-1352.99"/>
    <n v="4001"/>
  </r>
  <r>
    <x v="0"/>
    <x v="4"/>
    <x v="4"/>
    <x v="58"/>
    <x v="51"/>
    <x v="51"/>
    <s v="REVENUS"/>
    <x v="5"/>
    <s v="4061.000"/>
    <s v="Impôt sur les chiens"/>
    <n v="0"/>
    <n v="2910"/>
    <n v="4061"/>
  </r>
  <r>
    <x v="0"/>
    <x v="4"/>
    <x v="4"/>
    <x v="58"/>
    <x v="51"/>
    <x v="51"/>
    <s v="REVENUS"/>
    <x v="2"/>
    <s v="4001.007"/>
    <s v="Acompte impôt sur revenu"/>
    <n v="0"/>
    <n v="607.04999999999995"/>
    <n v="4001"/>
  </r>
  <r>
    <x v="0"/>
    <x v="4"/>
    <x v="4"/>
    <x v="58"/>
    <x v="51"/>
    <x v="51"/>
    <s v="REVENUS"/>
    <x v="3"/>
    <s v="4002.007"/>
    <s v="Acompte impôt sur fortune"/>
    <n v="0"/>
    <n v="430.65"/>
    <n v="4002"/>
  </r>
  <r>
    <x v="0"/>
    <x v="4"/>
    <x v="4"/>
    <x v="58"/>
    <x v="51"/>
    <x v="51"/>
    <s v="REVENUS"/>
    <x v="2"/>
    <s v="4001.001"/>
    <s v="Impôt revenu"/>
    <n v="0"/>
    <n v="5882.75"/>
    <n v="4001"/>
  </r>
  <r>
    <x v="0"/>
    <x v="4"/>
    <x v="4"/>
    <x v="58"/>
    <x v="51"/>
    <x v="51"/>
    <s v="REVENUS"/>
    <x v="7"/>
    <s v="4184.000"/>
    <s v="Frais de poursuite"/>
    <n v="0"/>
    <n v="8.5399999999999991"/>
    <n v="4184"/>
  </r>
  <r>
    <x v="0"/>
    <x v="4"/>
    <x v="4"/>
    <x v="58"/>
    <x v="51"/>
    <x v="51"/>
    <s v="REVENUS"/>
    <x v="6"/>
    <s v="4221.003"/>
    <s v="Intérêts compensat. / acomptes en faveur du fisc"/>
    <n v="0"/>
    <n v="0.9"/>
    <n v="4221"/>
  </r>
  <r>
    <x v="0"/>
    <x v="4"/>
    <x v="4"/>
    <x v="58"/>
    <x v="51"/>
    <x v="51"/>
    <s v="REVENUS"/>
    <x v="7"/>
    <s v="4184.000"/>
    <s v="Frais de poursuite"/>
    <n v="0"/>
    <n v="275.18"/>
    <n v="4184"/>
  </r>
  <r>
    <x v="0"/>
    <x v="4"/>
    <x v="4"/>
    <x v="58"/>
    <x v="51"/>
    <x v="51"/>
    <s v="REVENUS"/>
    <x v="2"/>
    <s v="4001.007"/>
    <s v="Acompte impôt sur revenu"/>
    <n v="0"/>
    <n v="-810.45"/>
    <n v="4001"/>
  </r>
  <r>
    <x v="0"/>
    <x v="4"/>
    <x v="4"/>
    <x v="58"/>
    <x v="51"/>
    <x v="51"/>
    <s v="REVENUS"/>
    <x v="6"/>
    <s v="4211.001"/>
    <s v="Intérêts de retard sur factures"/>
    <n v="0"/>
    <n v="9.76"/>
    <n v="4211"/>
  </r>
  <r>
    <x v="0"/>
    <x v="4"/>
    <x v="4"/>
    <x v="58"/>
    <x v="51"/>
    <x v="51"/>
    <s v="REVENUS"/>
    <x v="9"/>
    <s v="4031.001"/>
    <s v="Impôt sur les gains immobiliers"/>
    <n v="0"/>
    <n v="1238.05"/>
    <n v="4031"/>
  </r>
  <r>
    <x v="0"/>
    <x v="4"/>
    <x v="4"/>
    <x v="58"/>
    <x v="51"/>
    <x v="51"/>
    <s v="REVENUS"/>
    <x v="6"/>
    <s v="4221.002"/>
    <s v="Intérêts compensat. sur impôts distincts"/>
    <n v="0"/>
    <n v="0.72"/>
    <n v="4221"/>
  </r>
  <r>
    <x v="0"/>
    <x v="4"/>
    <x v="4"/>
    <x v="58"/>
    <x v="51"/>
    <x v="51"/>
    <s v="REVENUS"/>
    <x v="10"/>
    <s v="4041.001"/>
    <s v="Droits de mutation"/>
    <n v="0"/>
    <n v="29469.25"/>
    <n v="4041"/>
  </r>
  <r>
    <x v="0"/>
    <x v="4"/>
    <x v="4"/>
    <x v="58"/>
    <x v="51"/>
    <x v="51"/>
    <s v="REVENUS"/>
    <x v="3"/>
    <s v="4002.001"/>
    <s v="Impôt ordinaire s/fortune PP"/>
    <n v="0"/>
    <n v="1888.1"/>
    <n v="4002"/>
  </r>
  <r>
    <x v="0"/>
    <x v="4"/>
    <x v="4"/>
    <x v="58"/>
    <x v="51"/>
    <x v="51"/>
    <s v="REVENUS"/>
    <x v="2"/>
    <s v="4001.001"/>
    <s v="Impôt revenu"/>
    <n v="0"/>
    <n v="-185.7"/>
    <n v="4001"/>
  </r>
  <r>
    <x v="0"/>
    <x v="4"/>
    <x v="4"/>
    <x v="58"/>
    <x v="51"/>
    <x v="51"/>
    <s v="REVENUS"/>
    <x v="3"/>
    <s v="4002.001"/>
    <s v="Impôt ordinaire s/fortune PP"/>
    <n v="0"/>
    <n v="-10.55"/>
    <n v="4002"/>
  </r>
  <r>
    <x v="0"/>
    <x v="4"/>
    <x v="4"/>
    <x v="58"/>
    <x v="51"/>
    <x v="51"/>
    <s v="REVENUS"/>
    <x v="2"/>
    <s v="4001.002"/>
    <s v="Impôt complément s/revenu PP"/>
    <n v="0"/>
    <n v="185.7"/>
    <n v="4001"/>
  </r>
  <r>
    <x v="0"/>
    <x v="4"/>
    <x v="4"/>
    <x v="58"/>
    <x v="51"/>
    <x v="51"/>
    <s v="REVENUS"/>
    <x v="2"/>
    <s v="4001.001"/>
    <s v="Impôt revenu"/>
    <n v="0"/>
    <n v="995.2"/>
    <n v="4001"/>
  </r>
  <r>
    <x v="0"/>
    <x v="4"/>
    <x v="4"/>
    <x v="58"/>
    <x v="51"/>
    <x v="51"/>
    <s v="REVENUS"/>
    <x v="3"/>
    <s v="4002.001"/>
    <s v="Impôt ordinaire s/fortune PP"/>
    <n v="0"/>
    <n v="232"/>
    <n v="4002"/>
  </r>
  <r>
    <x v="0"/>
    <x v="4"/>
    <x v="4"/>
    <x v="58"/>
    <x v="51"/>
    <x v="51"/>
    <s v="REVENUS"/>
    <x v="6"/>
    <s v="4211.002"/>
    <s v="Intérêts de retard sur acomptes"/>
    <n v="0"/>
    <n v="3.19"/>
    <n v="4211"/>
  </r>
  <r>
    <x v="0"/>
    <x v="4"/>
    <x v="4"/>
    <x v="58"/>
    <x v="51"/>
    <x v="51"/>
    <s v="REVENUS"/>
    <x v="8"/>
    <s v="4091.001"/>
    <s v="Impôt récupéré après défalcations"/>
    <n v="0"/>
    <n v="384.3"/>
    <n v="4091"/>
  </r>
  <r>
    <x v="0"/>
    <x v="4"/>
    <x v="4"/>
    <x v="58"/>
    <x v="51"/>
    <x v="51"/>
    <s v="REVENUS"/>
    <x v="2"/>
    <s v="4001.001"/>
    <s v="Impôt revenu"/>
    <n v="0"/>
    <n v="0"/>
    <n v="4001"/>
  </r>
  <r>
    <x v="0"/>
    <x v="4"/>
    <x v="4"/>
    <x v="58"/>
    <x v="51"/>
    <x v="51"/>
    <s v="REVENUS"/>
    <x v="3"/>
    <s v="4002.001"/>
    <s v="Impôt ordinaire s/fortune PP"/>
    <n v="0"/>
    <n v="0"/>
    <n v="4002"/>
  </r>
  <r>
    <x v="0"/>
    <x v="4"/>
    <x v="4"/>
    <x v="58"/>
    <x v="51"/>
    <x v="51"/>
    <s v="REVENUS"/>
    <x v="6"/>
    <s v="4221.003"/>
    <s v="Intérêts compensat. / acomptes en faveur du fisc"/>
    <n v="0"/>
    <n v="0.49"/>
    <n v="4221"/>
  </r>
  <r>
    <x v="0"/>
    <x v="4"/>
    <x v="4"/>
    <x v="58"/>
    <x v="51"/>
    <x v="51"/>
    <s v="REVENUS"/>
    <x v="2"/>
    <s v="4001.001"/>
    <s v="Impôt revenu"/>
    <n v="0"/>
    <n v="2780.65"/>
    <n v="4001"/>
  </r>
  <r>
    <x v="0"/>
    <x v="4"/>
    <x v="4"/>
    <x v="58"/>
    <x v="51"/>
    <x v="51"/>
    <s v="REVENUS"/>
    <x v="6"/>
    <s v="4211.002"/>
    <s v="Intérêts de retard sur acomptes"/>
    <n v="0"/>
    <n v="116.76"/>
    <n v="4211"/>
  </r>
  <r>
    <x v="0"/>
    <x v="4"/>
    <x v="4"/>
    <x v="58"/>
    <x v="51"/>
    <x v="51"/>
    <s v="REVENUS"/>
    <x v="6"/>
    <s v="4221.003"/>
    <s v="Intérêts compensat. / acomptes en faveur du fisc"/>
    <n v="0"/>
    <n v="0.36"/>
    <n v="4221"/>
  </r>
  <r>
    <x v="0"/>
    <x v="4"/>
    <x v="4"/>
    <x v="58"/>
    <x v="51"/>
    <x v="51"/>
    <s v="REVENUS"/>
    <x v="7"/>
    <s v="4184.000"/>
    <s v="Frais de poursuite"/>
    <n v="0"/>
    <n v="3.67"/>
    <n v="4184"/>
  </r>
  <r>
    <x v="0"/>
    <x v="4"/>
    <x v="4"/>
    <x v="58"/>
    <x v="51"/>
    <x v="51"/>
    <s v="REVENUS"/>
    <x v="2"/>
    <s v="4001.002"/>
    <s v="Impôt complément s/revenu PP"/>
    <n v="0"/>
    <n v="227.6"/>
    <n v="4001"/>
  </r>
  <r>
    <x v="0"/>
    <x v="4"/>
    <x v="4"/>
    <x v="58"/>
    <x v="51"/>
    <x v="51"/>
    <s v="REVENUS"/>
    <x v="3"/>
    <s v="4002.002"/>
    <s v="Impôt complémentaire s/fortune PP"/>
    <n v="0"/>
    <n v="381.75"/>
    <n v="4002"/>
  </r>
  <r>
    <x v="0"/>
    <x v="4"/>
    <x v="4"/>
    <x v="58"/>
    <x v="51"/>
    <x v="51"/>
    <s v="REVENUS"/>
    <x v="4"/>
    <s v="4051.002"/>
    <s v="Impôt sur les donations"/>
    <n v="0"/>
    <n v="282.5"/>
    <n v="4051"/>
  </r>
  <r>
    <x v="0"/>
    <x v="4"/>
    <x v="4"/>
    <x v="58"/>
    <x v="51"/>
    <x v="51"/>
    <s v="REVENUS"/>
    <x v="11"/>
    <s v="4198.000"/>
    <s v="Contributions communales"/>
    <n v="0"/>
    <n v="77014.2"/>
    <n v="4198"/>
  </r>
  <r>
    <x v="0"/>
    <x v="4"/>
    <x v="4"/>
    <x v="58"/>
    <x v="51"/>
    <x v="51"/>
    <s v="REVENUS"/>
    <x v="6"/>
    <s v="4221.003"/>
    <s v="Intérêts compensat. / acomptes en faveur du fisc"/>
    <n v="0"/>
    <n v="0.01"/>
    <n v="4221"/>
  </r>
  <r>
    <x v="0"/>
    <x v="5"/>
    <x v="1"/>
    <x v="59"/>
    <x v="52"/>
    <x v="52"/>
    <s v="CHARGES"/>
    <x v="1"/>
    <s v="3301.001"/>
    <s v="Défalcations, abandons de solde PP et IS"/>
    <n v="13.45"/>
    <n v="0"/>
    <n v="3301"/>
  </r>
  <r>
    <x v="0"/>
    <x v="5"/>
    <x v="1"/>
    <x v="59"/>
    <x v="52"/>
    <x v="52"/>
    <s v="CHARGES"/>
    <x v="0"/>
    <s v="3212.004"/>
    <s v="Intérêts rémun./perçu trop tôt sur acomptes C/C"/>
    <n v="31.53"/>
    <n v="0"/>
    <n v="3212"/>
  </r>
  <r>
    <x v="0"/>
    <x v="5"/>
    <x v="1"/>
    <x v="59"/>
    <x v="52"/>
    <x v="52"/>
    <s v="CHARGES"/>
    <x v="0"/>
    <s v="3221.002"/>
    <s v="Intérêts compensatoires / créances en faveur ctb."/>
    <n v="8.59"/>
    <n v="0"/>
    <n v="3221"/>
  </r>
  <r>
    <x v="0"/>
    <x v="5"/>
    <x v="1"/>
    <x v="59"/>
    <x v="52"/>
    <x v="52"/>
    <s v="CHARGES"/>
    <x v="0"/>
    <s v="3212.002"/>
    <s v="Intérêts bonifiés/trop perçu acompte C/C"/>
    <n v="0.1"/>
    <n v="0"/>
    <n v="3212"/>
  </r>
  <r>
    <x v="0"/>
    <x v="5"/>
    <x v="1"/>
    <x v="59"/>
    <x v="52"/>
    <x v="52"/>
    <s v="REVENUS"/>
    <x v="6"/>
    <s v="4211.001"/>
    <s v="Intérêts de retard sur factures"/>
    <n v="0"/>
    <n v="567.94000000000005"/>
    <n v="4211"/>
  </r>
  <r>
    <x v="0"/>
    <x v="5"/>
    <x v="1"/>
    <x v="59"/>
    <x v="52"/>
    <x v="52"/>
    <s v="REVENUS"/>
    <x v="2"/>
    <s v="4001.007"/>
    <s v="Acompte impôt sur revenu"/>
    <n v="0"/>
    <n v="-19926.95"/>
    <n v="4001"/>
  </r>
  <r>
    <x v="0"/>
    <x v="5"/>
    <x v="1"/>
    <x v="59"/>
    <x v="52"/>
    <x v="52"/>
    <s v="REVENUS"/>
    <x v="3"/>
    <s v="4002.007"/>
    <s v="Acompte impôt sur fortune"/>
    <n v="0"/>
    <n v="-3671.2"/>
    <n v="4002"/>
  </r>
  <r>
    <x v="0"/>
    <x v="5"/>
    <x v="1"/>
    <x v="59"/>
    <x v="52"/>
    <x v="52"/>
    <s v="REVENUS"/>
    <x v="2"/>
    <s v="4001.001"/>
    <s v="Impôt revenu"/>
    <n v="0"/>
    <n v="88819.7"/>
    <n v="4001"/>
  </r>
  <r>
    <x v="0"/>
    <x v="5"/>
    <x v="1"/>
    <x v="59"/>
    <x v="52"/>
    <x v="52"/>
    <s v="REVENUS"/>
    <x v="2"/>
    <s v="4001.002"/>
    <s v="Impôt complément s/revenu PP"/>
    <n v="0"/>
    <n v="10640.6"/>
    <n v="4001"/>
  </r>
  <r>
    <x v="0"/>
    <x v="5"/>
    <x v="1"/>
    <x v="59"/>
    <x v="52"/>
    <x v="52"/>
    <s v="REVENUS"/>
    <x v="2"/>
    <s v="4001.007"/>
    <s v="Acompte impôt sur revenu"/>
    <n v="0"/>
    <n v="19102.41"/>
    <n v="4001"/>
  </r>
  <r>
    <x v="0"/>
    <x v="5"/>
    <x v="1"/>
    <x v="59"/>
    <x v="52"/>
    <x v="52"/>
    <s v="REVENUS"/>
    <x v="3"/>
    <s v="4002.001"/>
    <s v="Impôt ordinaire s/fortune PP"/>
    <n v="0"/>
    <n v="10759.75"/>
    <n v="4002"/>
  </r>
  <r>
    <x v="0"/>
    <x v="5"/>
    <x v="1"/>
    <x v="59"/>
    <x v="52"/>
    <x v="52"/>
    <s v="REVENUS"/>
    <x v="3"/>
    <s v="4002.002"/>
    <s v="Impôt complémentaire s/fortune PP"/>
    <n v="0"/>
    <n v="3159.8"/>
    <n v="4002"/>
  </r>
  <r>
    <x v="0"/>
    <x v="5"/>
    <x v="1"/>
    <x v="59"/>
    <x v="52"/>
    <x v="52"/>
    <s v="REVENUS"/>
    <x v="3"/>
    <s v="4002.007"/>
    <s v="Acompte impôt sur fortune"/>
    <n v="0"/>
    <n v="83.03"/>
    <n v="4002"/>
  </r>
  <r>
    <x v="0"/>
    <x v="5"/>
    <x v="1"/>
    <x v="59"/>
    <x v="52"/>
    <x v="52"/>
    <s v="REVENUS"/>
    <x v="6"/>
    <s v="4211.002"/>
    <s v="Intérêts de retard sur acomptes"/>
    <n v="0"/>
    <n v="539.87"/>
    <n v="4211"/>
  </r>
  <r>
    <x v="0"/>
    <x v="5"/>
    <x v="1"/>
    <x v="59"/>
    <x v="52"/>
    <x v="52"/>
    <s v="REVENUS"/>
    <x v="6"/>
    <s v="4221.003"/>
    <s v="Intérêts compensat. / acomptes en faveur du fisc"/>
    <n v="0"/>
    <n v="7.4"/>
    <n v="4221"/>
  </r>
  <r>
    <x v="0"/>
    <x v="5"/>
    <x v="1"/>
    <x v="59"/>
    <x v="52"/>
    <x v="52"/>
    <s v="REVENUS"/>
    <x v="7"/>
    <s v="4184.000"/>
    <s v="Frais de poursuite"/>
    <n v="0"/>
    <n v="23.93"/>
    <n v="4184"/>
  </r>
  <r>
    <x v="0"/>
    <x v="5"/>
    <x v="1"/>
    <x v="59"/>
    <x v="52"/>
    <x v="52"/>
    <s v="REVENUS"/>
    <x v="2"/>
    <s v="4001.003"/>
    <s v="Impôt s/prest. cap. PP"/>
    <n v="0"/>
    <n v="975"/>
    <n v="4001"/>
  </r>
  <r>
    <x v="0"/>
    <x v="5"/>
    <x v="1"/>
    <x v="59"/>
    <x v="52"/>
    <x v="52"/>
    <s v="REVENUS"/>
    <x v="5"/>
    <s v="4061.000"/>
    <s v="Impôt sur les chiens"/>
    <n v="0"/>
    <n v="150"/>
    <n v="4061"/>
  </r>
  <r>
    <x v="0"/>
    <x v="5"/>
    <x v="1"/>
    <x v="59"/>
    <x v="52"/>
    <x v="52"/>
    <s v="REVENUS"/>
    <x v="11"/>
    <s v="4198.000"/>
    <s v="Contributions communales"/>
    <n v="0"/>
    <n v="8419.7999999999993"/>
    <n v="4198"/>
  </r>
  <r>
    <x v="0"/>
    <x v="4"/>
    <x v="4"/>
    <x v="60"/>
    <x v="53"/>
    <x v="53"/>
    <s v="CHARGES"/>
    <x v="1"/>
    <s v="3301.001"/>
    <s v="Défalcations, abandons de solde PP et IS"/>
    <n v="34141.019999999997"/>
    <n v="0"/>
    <n v="3301"/>
  </r>
  <r>
    <x v="0"/>
    <x v="4"/>
    <x v="4"/>
    <x v="60"/>
    <x v="53"/>
    <x v="53"/>
    <s v="CHARGES"/>
    <x v="0"/>
    <s v="3212.002"/>
    <s v="Intérêts bonifiés/trop perçu acompte C/C"/>
    <n v="17.23"/>
    <n v="0"/>
    <n v="3212"/>
  </r>
  <r>
    <x v="0"/>
    <x v="4"/>
    <x v="4"/>
    <x v="60"/>
    <x v="53"/>
    <x v="53"/>
    <s v="CHARGES"/>
    <x v="0"/>
    <s v="3212.004"/>
    <s v="Intérêts rémun./perçu trop tôt sur acomptes C/C"/>
    <n v="350.02"/>
    <n v="0"/>
    <n v="3212"/>
  </r>
  <r>
    <x v="0"/>
    <x v="4"/>
    <x v="4"/>
    <x v="60"/>
    <x v="53"/>
    <x v="53"/>
    <s v="CHARGES"/>
    <x v="0"/>
    <s v="3221.002"/>
    <s v="Intérêts compensatoires / créances en faveur ctb."/>
    <n v="269.52"/>
    <n v="0"/>
    <n v="3221"/>
  </r>
  <r>
    <x v="0"/>
    <x v="4"/>
    <x v="4"/>
    <x v="60"/>
    <x v="53"/>
    <x v="53"/>
    <s v="CHARGES"/>
    <x v="1"/>
    <s v="3301.001"/>
    <s v="Défalcations, abandons de solde PP et IS"/>
    <n v="1.91"/>
    <n v="0"/>
    <n v="3301"/>
  </r>
  <r>
    <x v="0"/>
    <x v="4"/>
    <x v="4"/>
    <x v="60"/>
    <x v="53"/>
    <x v="53"/>
    <s v="CHARGES"/>
    <x v="0"/>
    <s v="3212.004"/>
    <s v="Intérêts rémun./perçu trop tôt sur acomptes C/C"/>
    <n v="4.4800000000000004"/>
    <n v="0"/>
    <n v="3212"/>
  </r>
  <r>
    <x v="0"/>
    <x v="4"/>
    <x v="4"/>
    <x v="60"/>
    <x v="53"/>
    <x v="53"/>
    <s v="CHARGES"/>
    <x v="0"/>
    <s v="3221.002"/>
    <s v="Intérêts compensatoires / créances en faveur ctb."/>
    <n v="6.27"/>
    <n v="0"/>
    <n v="3221"/>
  </r>
  <r>
    <x v="0"/>
    <x v="4"/>
    <x v="4"/>
    <x v="60"/>
    <x v="53"/>
    <x v="53"/>
    <s v="CHARGES"/>
    <x v="0"/>
    <s v="3212.002"/>
    <s v="Intérêts bonifiés/trop perçu acompte C/C"/>
    <n v="0.21"/>
    <n v="0"/>
    <n v="3212"/>
  </r>
  <r>
    <x v="0"/>
    <x v="4"/>
    <x v="4"/>
    <x v="60"/>
    <x v="53"/>
    <x v="53"/>
    <s v="CHARGES"/>
    <x v="1"/>
    <s v="3301.001"/>
    <s v="Défalcations, abandons de solde PP et IS"/>
    <n v="0.34"/>
    <n v="0"/>
    <n v="3301"/>
  </r>
  <r>
    <x v="0"/>
    <x v="4"/>
    <x v="4"/>
    <x v="60"/>
    <x v="53"/>
    <x v="53"/>
    <s v="CHARGES"/>
    <x v="0"/>
    <s v="3212.004"/>
    <s v="Intérêts rémun./perçu trop tôt sur acomptes C/C"/>
    <n v="5.97"/>
    <n v="0"/>
    <n v="3212"/>
  </r>
  <r>
    <x v="0"/>
    <x v="4"/>
    <x v="4"/>
    <x v="60"/>
    <x v="53"/>
    <x v="53"/>
    <s v="CHARGES"/>
    <x v="0"/>
    <s v="3212.004"/>
    <s v="Intérêts rémun./perçu trop tôt sur acomptes C/C"/>
    <n v="0.75"/>
    <n v="0"/>
    <n v="3212"/>
  </r>
  <r>
    <x v="0"/>
    <x v="4"/>
    <x v="4"/>
    <x v="60"/>
    <x v="53"/>
    <x v="53"/>
    <s v="CHARGES"/>
    <x v="1"/>
    <s v="3301.001"/>
    <s v="Défalcations, abandons de solde PP et IS"/>
    <n v="0.04"/>
    <n v="0"/>
    <n v="3301"/>
  </r>
  <r>
    <x v="0"/>
    <x v="4"/>
    <x v="4"/>
    <x v="60"/>
    <x v="53"/>
    <x v="53"/>
    <s v="CHARGES"/>
    <x v="0"/>
    <s v="3212.002"/>
    <s v="Intérêts bonifiés/trop perçu acompte C/C"/>
    <n v="0.22"/>
    <n v="0"/>
    <n v="3212"/>
  </r>
  <r>
    <x v="0"/>
    <x v="4"/>
    <x v="4"/>
    <x v="60"/>
    <x v="53"/>
    <x v="53"/>
    <s v="CHARGES"/>
    <x v="0"/>
    <s v="3212.004"/>
    <s v="Intérêts rémun./perçu trop tôt sur acomptes C/C"/>
    <n v="6.5"/>
    <n v="0"/>
    <n v="3212"/>
  </r>
  <r>
    <x v="0"/>
    <x v="4"/>
    <x v="4"/>
    <x v="60"/>
    <x v="53"/>
    <x v="53"/>
    <s v="CHARGES"/>
    <x v="0"/>
    <s v="3221.002"/>
    <s v="Intérêts compensatoires / créances en faveur ctb."/>
    <n v="2.2799999999999998"/>
    <n v="0"/>
    <n v="3221"/>
  </r>
  <r>
    <x v="0"/>
    <x v="4"/>
    <x v="4"/>
    <x v="60"/>
    <x v="53"/>
    <x v="53"/>
    <s v="CHARGES"/>
    <x v="1"/>
    <s v="3301.001"/>
    <s v="Défalcations, abandons de solde PP et IS"/>
    <n v="13404.9"/>
    <n v="0"/>
    <n v="3301"/>
  </r>
  <r>
    <x v="0"/>
    <x v="4"/>
    <x v="4"/>
    <x v="60"/>
    <x v="53"/>
    <x v="53"/>
    <s v="CHARGES"/>
    <x v="0"/>
    <s v="3221.002"/>
    <s v="Intérêts compensatoires / créances en faveur ctb."/>
    <n v="2.69"/>
    <n v="0"/>
    <n v="3221"/>
  </r>
  <r>
    <x v="0"/>
    <x v="4"/>
    <x v="4"/>
    <x v="60"/>
    <x v="53"/>
    <x v="53"/>
    <s v="CHARGES"/>
    <x v="0"/>
    <s v="3212.002"/>
    <s v="Intérêts bonifiés/trop perçu acompte C/C"/>
    <n v="3.44"/>
    <n v="0"/>
    <n v="3212"/>
  </r>
  <r>
    <x v="0"/>
    <x v="4"/>
    <x v="4"/>
    <x v="60"/>
    <x v="53"/>
    <x v="53"/>
    <s v="CHARGES"/>
    <x v="1"/>
    <s v="3301.001"/>
    <s v="Défalcations, abandons de solde PP et IS"/>
    <n v="1201.94"/>
    <n v="0"/>
    <n v="3301"/>
  </r>
  <r>
    <x v="0"/>
    <x v="4"/>
    <x v="4"/>
    <x v="60"/>
    <x v="53"/>
    <x v="53"/>
    <s v="CHARGES"/>
    <x v="1"/>
    <s v="3301.001"/>
    <s v="Défalcations, abandons de solde PP et IS"/>
    <n v="0.05"/>
    <n v="0"/>
    <n v="3301"/>
  </r>
  <r>
    <x v="0"/>
    <x v="4"/>
    <x v="4"/>
    <x v="60"/>
    <x v="53"/>
    <x v="53"/>
    <s v="CHARGES"/>
    <x v="0"/>
    <s v="3221.002"/>
    <s v="Intérêts compensatoires / créances en faveur ctb."/>
    <n v="0.04"/>
    <n v="0"/>
    <n v="3221"/>
  </r>
  <r>
    <x v="0"/>
    <x v="4"/>
    <x v="4"/>
    <x v="60"/>
    <x v="53"/>
    <x v="53"/>
    <s v="CHARGES"/>
    <x v="0"/>
    <s v="3212.004"/>
    <s v="Intérêts rémun./perçu trop tôt sur acomptes C/C"/>
    <n v="2.4900000000000002"/>
    <n v="0"/>
    <n v="3212"/>
  </r>
  <r>
    <x v="0"/>
    <x v="4"/>
    <x v="4"/>
    <x v="60"/>
    <x v="53"/>
    <x v="53"/>
    <s v="CHARGES"/>
    <x v="0"/>
    <s v="3221.002"/>
    <s v="Intérêts compensatoires / créances en faveur ctb."/>
    <n v="1.1000000000000001"/>
    <n v="0"/>
    <n v="3221"/>
  </r>
  <r>
    <x v="0"/>
    <x v="4"/>
    <x v="4"/>
    <x v="60"/>
    <x v="53"/>
    <x v="53"/>
    <s v="REVENUS"/>
    <x v="2"/>
    <s v="4001.007"/>
    <s v="Acompte impôt sur revenu"/>
    <n v="0"/>
    <n v="-472914.27"/>
    <n v="4001"/>
  </r>
  <r>
    <x v="0"/>
    <x v="4"/>
    <x v="4"/>
    <x v="60"/>
    <x v="53"/>
    <x v="53"/>
    <s v="REVENUS"/>
    <x v="3"/>
    <s v="4002.007"/>
    <s v="Acompte impôt sur fortune"/>
    <n v="0"/>
    <n v="321108.83"/>
    <n v="4002"/>
  </r>
  <r>
    <x v="0"/>
    <x v="4"/>
    <x v="4"/>
    <x v="60"/>
    <x v="53"/>
    <x v="53"/>
    <s v="REVENUS"/>
    <x v="2"/>
    <s v="4001.001"/>
    <s v="Impôt revenu"/>
    <n v="0"/>
    <n v="1835412.8"/>
    <n v="4001"/>
  </r>
  <r>
    <x v="0"/>
    <x v="4"/>
    <x v="4"/>
    <x v="60"/>
    <x v="53"/>
    <x v="53"/>
    <s v="REVENUS"/>
    <x v="3"/>
    <s v="4002.001"/>
    <s v="Impôt ordinaire s/fortune PP"/>
    <n v="0"/>
    <n v="301585"/>
    <n v="4002"/>
  </r>
  <r>
    <x v="0"/>
    <x v="4"/>
    <x v="4"/>
    <x v="60"/>
    <x v="53"/>
    <x v="53"/>
    <s v="REVENUS"/>
    <x v="10"/>
    <s v="4041.001"/>
    <s v="Droits de mutation"/>
    <n v="0"/>
    <n v="245386"/>
    <n v="4041"/>
  </r>
  <r>
    <x v="0"/>
    <x v="4"/>
    <x v="4"/>
    <x v="60"/>
    <x v="53"/>
    <x v="53"/>
    <s v="REVENUS"/>
    <x v="6"/>
    <s v="4211.001"/>
    <s v="Intérêts de retard sur factures"/>
    <n v="0"/>
    <n v="22111.82"/>
    <n v="4211"/>
  </r>
  <r>
    <x v="0"/>
    <x v="4"/>
    <x v="4"/>
    <x v="60"/>
    <x v="53"/>
    <x v="53"/>
    <s v="REVENUS"/>
    <x v="6"/>
    <s v="4221.003"/>
    <s v="Intérêts compensat. / acomptes en faveur du fisc"/>
    <n v="0"/>
    <n v="473.2"/>
    <n v="4221"/>
  </r>
  <r>
    <x v="0"/>
    <x v="4"/>
    <x v="4"/>
    <x v="60"/>
    <x v="53"/>
    <x v="53"/>
    <s v="REVENUS"/>
    <x v="2"/>
    <s v="4001.002"/>
    <s v="Impôt complément s/revenu PP"/>
    <n v="0"/>
    <n v="329004.5"/>
    <n v="4001"/>
  </r>
  <r>
    <x v="0"/>
    <x v="4"/>
    <x v="4"/>
    <x v="60"/>
    <x v="53"/>
    <x v="53"/>
    <s v="REVENUS"/>
    <x v="3"/>
    <s v="4002.002"/>
    <s v="Impôt complémentaire s/fortune PP"/>
    <n v="0"/>
    <n v="38457.550000000003"/>
    <n v="4002"/>
  </r>
  <r>
    <x v="0"/>
    <x v="4"/>
    <x v="4"/>
    <x v="60"/>
    <x v="53"/>
    <x v="53"/>
    <s v="REVENUS"/>
    <x v="6"/>
    <s v="4211.002"/>
    <s v="Intérêts de retard sur acomptes"/>
    <n v="0"/>
    <n v="17846.18"/>
    <n v="4211"/>
  </r>
  <r>
    <x v="0"/>
    <x v="4"/>
    <x v="4"/>
    <x v="60"/>
    <x v="53"/>
    <x v="53"/>
    <s v="REVENUS"/>
    <x v="2"/>
    <s v="4001.001"/>
    <s v="Impôt revenu"/>
    <n v="0"/>
    <n v="16769.2"/>
    <n v="4001"/>
  </r>
  <r>
    <x v="0"/>
    <x v="4"/>
    <x v="4"/>
    <x v="60"/>
    <x v="53"/>
    <x v="53"/>
    <s v="REVENUS"/>
    <x v="2"/>
    <s v="4001.007"/>
    <s v="Acompte impôt sur revenu"/>
    <n v="0"/>
    <n v="686.8"/>
    <n v="4001"/>
  </r>
  <r>
    <x v="0"/>
    <x v="4"/>
    <x v="4"/>
    <x v="60"/>
    <x v="53"/>
    <x v="53"/>
    <s v="REVENUS"/>
    <x v="3"/>
    <s v="4002.001"/>
    <s v="Impôt ordinaire s/fortune PP"/>
    <n v="0"/>
    <n v="6141.5"/>
    <n v="4002"/>
  </r>
  <r>
    <x v="0"/>
    <x v="4"/>
    <x v="4"/>
    <x v="60"/>
    <x v="53"/>
    <x v="53"/>
    <s v="REVENUS"/>
    <x v="3"/>
    <s v="4002.007"/>
    <s v="Acompte impôt sur fortune"/>
    <n v="0"/>
    <n v="-375.75"/>
    <n v="4002"/>
  </r>
  <r>
    <x v="0"/>
    <x v="4"/>
    <x v="4"/>
    <x v="60"/>
    <x v="53"/>
    <x v="53"/>
    <s v="REVENUS"/>
    <x v="2"/>
    <s v="4001.001"/>
    <s v="Impôt revenu"/>
    <n v="0"/>
    <n v="3768.2"/>
    <n v="4001"/>
  </r>
  <r>
    <x v="0"/>
    <x v="4"/>
    <x v="4"/>
    <x v="60"/>
    <x v="53"/>
    <x v="53"/>
    <s v="REVENUS"/>
    <x v="2"/>
    <s v="4001.007"/>
    <s v="Acompte impôt sur revenu"/>
    <n v="0"/>
    <n v="7660.8"/>
    <n v="4001"/>
  </r>
  <r>
    <x v="0"/>
    <x v="4"/>
    <x v="4"/>
    <x v="60"/>
    <x v="53"/>
    <x v="53"/>
    <s v="REVENUS"/>
    <x v="3"/>
    <s v="4002.001"/>
    <s v="Impôt ordinaire s/fortune PP"/>
    <n v="0"/>
    <n v="5167.6000000000004"/>
    <n v="4002"/>
  </r>
  <r>
    <x v="0"/>
    <x v="4"/>
    <x v="4"/>
    <x v="60"/>
    <x v="53"/>
    <x v="53"/>
    <s v="REVENUS"/>
    <x v="3"/>
    <s v="4002.007"/>
    <s v="Acompte impôt sur fortune"/>
    <n v="0"/>
    <n v="-772.33"/>
    <n v="4002"/>
  </r>
  <r>
    <x v="0"/>
    <x v="4"/>
    <x v="4"/>
    <x v="60"/>
    <x v="53"/>
    <x v="53"/>
    <s v="REVENUS"/>
    <x v="6"/>
    <s v="4211.002"/>
    <s v="Intérêts de retard sur acomptes"/>
    <n v="0"/>
    <n v="45.14"/>
    <n v="4211"/>
  </r>
  <r>
    <x v="0"/>
    <x v="4"/>
    <x v="4"/>
    <x v="60"/>
    <x v="53"/>
    <x v="53"/>
    <s v="REVENUS"/>
    <x v="6"/>
    <s v="4221.003"/>
    <s v="Intérêts compensat. / acomptes en faveur du fisc"/>
    <n v="0"/>
    <n v="1.74"/>
    <n v="4221"/>
  </r>
  <r>
    <x v="0"/>
    <x v="4"/>
    <x v="4"/>
    <x v="60"/>
    <x v="53"/>
    <x v="53"/>
    <s v="REVENUS"/>
    <x v="7"/>
    <s v="4184.000"/>
    <s v="Frais de poursuite"/>
    <n v="0"/>
    <n v="1048.93"/>
    <n v="4184"/>
  </r>
  <r>
    <x v="0"/>
    <x v="4"/>
    <x v="4"/>
    <x v="60"/>
    <x v="53"/>
    <x v="53"/>
    <s v="REVENUS"/>
    <x v="7"/>
    <s v="4184.000"/>
    <s v="Frais de poursuite"/>
    <n v="0"/>
    <n v="596.04"/>
    <n v="4184"/>
  </r>
  <r>
    <x v="0"/>
    <x v="4"/>
    <x v="4"/>
    <x v="60"/>
    <x v="53"/>
    <x v="53"/>
    <s v="REVENUS"/>
    <x v="9"/>
    <s v="4031.001"/>
    <s v="Impôt sur les gains immobiliers"/>
    <n v="0"/>
    <n v="276699.8"/>
    <n v="4031"/>
  </r>
  <r>
    <x v="0"/>
    <x v="4"/>
    <x v="4"/>
    <x v="60"/>
    <x v="53"/>
    <x v="53"/>
    <s v="REVENUS"/>
    <x v="6"/>
    <s v="4221.002"/>
    <s v="Intérêts compensat. sur impôts distincts"/>
    <n v="0"/>
    <n v="37.49"/>
    <n v="4221"/>
  </r>
  <r>
    <x v="0"/>
    <x v="4"/>
    <x v="4"/>
    <x v="60"/>
    <x v="53"/>
    <x v="53"/>
    <s v="REVENUS"/>
    <x v="6"/>
    <s v="4221.003"/>
    <s v="Intérêts compensat. / acomptes en faveur du fisc"/>
    <n v="0"/>
    <n v="0.09"/>
    <n v="4221"/>
  </r>
  <r>
    <x v="0"/>
    <x v="4"/>
    <x v="4"/>
    <x v="60"/>
    <x v="53"/>
    <x v="53"/>
    <s v="REVENUS"/>
    <x v="3"/>
    <s v="4002.007"/>
    <s v="Acompte impôt sur fortune"/>
    <n v="0"/>
    <n v="145.05000000000001"/>
    <n v="4002"/>
  </r>
  <r>
    <x v="0"/>
    <x v="4"/>
    <x v="4"/>
    <x v="60"/>
    <x v="53"/>
    <x v="53"/>
    <s v="REVENUS"/>
    <x v="2"/>
    <s v="4001.007"/>
    <s v="Acompte impôt sur revenu"/>
    <n v="0"/>
    <n v="339.1"/>
    <n v="4001"/>
  </r>
  <r>
    <x v="0"/>
    <x v="4"/>
    <x v="4"/>
    <x v="60"/>
    <x v="53"/>
    <x v="53"/>
    <s v="REVENUS"/>
    <x v="3"/>
    <s v="4002.007"/>
    <s v="Acompte impôt sur fortune"/>
    <n v="0"/>
    <n v="3307.65"/>
    <n v="4002"/>
  </r>
  <r>
    <x v="0"/>
    <x v="4"/>
    <x v="4"/>
    <x v="60"/>
    <x v="53"/>
    <x v="53"/>
    <s v="REVENUS"/>
    <x v="2"/>
    <s v="4001.007"/>
    <s v="Acompte impôt sur revenu"/>
    <n v="0"/>
    <n v="-32.4"/>
    <n v="4001"/>
  </r>
  <r>
    <x v="0"/>
    <x v="4"/>
    <x v="4"/>
    <x v="60"/>
    <x v="53"/>
    <x v="53"/>
    <s v="REVENUS"/>
    <x v="3"/>
    <s v="4002.007"/>
    <s v="Acompte impôt sur fortune"/>
    <n v="0"/>
    <n v="-4.7"/>
    <n v="4002"/>
  </r>
  <r>
    <x v="0"/>
    <x v="4"/>
    <x v="4"/>
    <x v="60"/>
    <x v="53"/>
    <x v="53"/>
    <s v="REVENUS"/>
    <x v="2"/>
    <s v="4001.003"/>
    <s v="Impôt s/prest. cap. PP"/>
    <n v="0"/>
    <n v="41072.699999999997"/>
    <n v="4001"/>
  </r>
  <r>
    <x v="0"/>
    <x v="4"/>
    <x v="4"/>
    <x v="60"/>
    <x v="53"/>
    <x v="53"/>
    <s v="REVENUS"/>
    <x v="3"/>
    <s v="4002.001"/>
    <s v="Impôt ordinaire s/fortune PP"/>
    <n v="0"/>
    <n v="689.55"/>
    <n v="4002"/>
  </r>
  <r>
    <x v="0"/>
    <x v="4"/>
    <x v="4"/>
    <x v="60"/>
    <x v="53"/>
    <x v="53"/>
    <s v="REVENUS"/>
    <x v="6"/>
    <s v="4221.003"/>
    <s v="Intérêts compensat. / acomptes en faveur du fisc"/>
    <n v="0"/>
    <n v="0.04"/>
    <n v="4221"/>
  </r>
  <r>
    <x v="0"/>
    <x v="4"/>
    <x v="4"/>
    <x v="60"/>
    <x v="53"/>
    <x v="53"/>
    <s v="REVENUS"/>
    <x v="6"/>
    <s v="4211.001"/>
    <s v="Intérêts de retard sur factures"/>
    <n v="0"/>
    <n v="44.52"/>
    <n v="4211"/>
  </r>
  <r>
    <x v="0"/>
    <x v="4"/>
    <x v="4"/>
    <x v="60"/>
    <x v="53"/>
    <x v="53"/>
    <s v="REVENUS"/>
    <x v="6"/>
    <s v="4211.002"/>
    <s v="Intérêts de retard sur acomptes"/>
    <n v="0"/>
    <n v="26.55"/>
    <n v="4211"/>
  </r>
  <r>
    <x v="0"/>
    <x v="4"/>
    <x v="4"/>
    <x v="60"/>
    <x v="53"/>
    <x v="53"/>
    <s v="REVENUS"/>
    <x v="6"/>
    <s v="4221.003"/>
    <s v="Intérêts compensat. / acomptes en faveur du fisc"/>
    <n v="0"/>
    <n v="0.25"/>
    <n v="4221"/>
  </r>
  <r>
    <x v="0"/>
    <x v="4"/>
    <x v="4"/>
    <x v="60"/>
    <x v="53"/>
    <x v="53"/>
    <s v="REVENUS"/>
    <x v="2"/>
    <s v="4001.002"/>
    <s v="Impôt complément s/revenu PP"/>
    <n v="0"/>
    <n v="2330.4"/>
    <n v="4001"/>
  </r>
  <r>
    <x v="0"/>
    <x v="4"/>
    <x v="4"/>
    <x v="60"/>
    <x v="53"/>
    <x v="53"/>
    <s v="REVENUS"/>
    <x v="3"/>
    <s v="4002.002"/>
    <s v="Impôt complémentaire s/fortune PP"/>
    <n v="0"/>
    <n v="810.5"/>
    <n v="4002"/>
  </r>
  <r>
    <x v="0"/>
    <x v="4"/>
    <x v="4"/>
    <x v="60"/>
    <x v="53"/>
    <x v="53"/>
    <s v="REVENUS"/>
    <x v="7"/>
    <s v="4184.000"/>
    <s v="Frais de poursuite"/>
    <n v="0"/>
    <n v="10.35"/>
    <n v="4184"/>
  </r>
  <r>
    <x v="0"/>
    <x v="4"/>
    <x v="4"/>
    <x v="60"/>
    <x v="53"/>
    <x v="53"/>
    <s v="REVENUS"/>
    <x v="6"/>
    <s v="4211.002"/>
    <s v="Intérêts de retard sur acomptes"/>
    <n v="0"/>
    <n v="454.2"/>
    <n v="4211"/>
  </r>
  <r>
    <x v="0"/>
    <x v="4"/>
    <x v="4"/>
    <x v="60"/>
    <x v="53"/>
    <x v="53"/>
    <s v="REVENUS"/>
    <x v="6"/>
    <s v="4211.001"/>
    <s v="Intérêts de retard sur factures"/>
    <n v="0"/>
    <n v="308.75"/>
    <n v="4211"/>
  </r>
  <r>
    <x v="0"/>
    <x v="4"/>
    <x v="4"/>
    <x v="60"/>
    <x v="53"/>
    <x v="53"/>
    <s v="REVENUS"/>
    <x v="2"/>
    <s v="4001.001"/>
    <s v="Impôt revenu"/>
    <n v="0"/>
    <n v="8197"/>
    <n v="4001"/>
  </r>
  <r>
    <x v="0"/>
    <x v="4"/>
    <x v="4"/>
    <x v="60"/>
    <x v="53"/>
    <x v="53"/>
    <s v="REVENUS"/>
    <x v="3"/>
    <s v="4002.001"/>
    <s v="Impôt ordinaire s/fortune PP"/>
    <n v="0"/>
    <n v="6608.45"/>
    <n v="4002"/>
  </r>
  <r>
    <x v="0"/>
    <x v="4"/>
    <x v="4"/>
    <x v="60"/>
    <x v="53"/>
    <x v="53"/>
    <s v="REVENUS"/>
    <x v="2"/>
    <s v="4001.007"/>
    <s v="Acompte impôt sur revenu"/>
    <n v="0"/>
    <n v="-1282.75"/>
    <n v="4001"/>
  </r>
  <r>
    <x v="0"/>
    <x v="4"/>
    <x v="4"/>
    <x v="60"/>
    <x v="53"/>
    <x v="53"/>
    <s v="REVENUS"/>
    <x v="3"/>
    <s v="4002.007"/>
    <s v="Acompte impôt sur fortune"/>
    <n v="0"/>
    <n v="-696.75"/>
    <n v="4002"/>
  </r>
  <r>
    <x v="0"/>
    <x v="4"/>
    <x v="4"/>
    <x v="60"/>
    <x v="53"/>
    <x v="53"/>
    <s v="REVENUS"/>
    <x v="8"/>
    <s v="4091.001"/>
    <s v="Impôt récupéré après défalcations"/>
    <n v="0"/>
    <n v="1202.4000000000001"/>
    <n v="4091"/>
  </r>
  <r>
    <x v="0"/>
    <x v="4"/>
    <x v="4"/>
    <x v="60"/>
    <x v="53"/>
    <x v="53"/>
    <s v="REVENUS"/>
    <x v="7"/>
    <s v="4184.000"/>
    <s v="Frais de poursuite"/>
    <n v="0"/>
    <n v="49.99"/>
    <n v="4184"/>
  </r>
  <r>
    <x v="0"/>
    <x v="4"/>
    <x v="4"/>
    <x v="60"/>
    <x v="53"/>
    <x v="53"/>
    <s v="REVENUS"/>
    <x v="3"/>
    <s v="4002.001"/>
    <s v="Impôt ordinaire s/fortune PP"/>
    <n v="0"/>
    <n v="516.5"/>
    <n v="4002"/>
  </r>
  <r>
    <x v="0"/>
    <x v="4"/>
    <x v="4"/>
    <x v="60"/>
    <x v="53"/>
    <x v="53"/>
    <s v="REVENUS"/>
    <x v="5"/>
    <s v="4061.000"/>
    <s v="Impôt sur les chiens"/>
    <n v="0"/>
    <n v="4590"/>
    <n v="4061"/>
  </r>
  <r>
    <x v="0"/>
    <x v="4"/>
    <x v="4"/>
    <x v="60"/>
    <x v="53"/>
    <x v="53"/>
    <s v="REVENUS"/>
    <x v="6"/>
    <s v="4211.002"/>
    <s v="Intérêts de retard sur acomptes"/>
    <n v="0"/>
    <n v="57.92"/>
    <n v="4211"/>
  </r>
  <r>
    <x v="0"/>
    <x v="4"/>
    <x v="4"/>
    <x v="60"/>
    <x v="53"/>
    <x v="53"/>
    <s v="REVENUS"/>
    <x v="2"/>
    <s v="4001.002"/>
    <s v="Impôt complément s/revenu PP"/>
    <n v="0"/>
    <n v="2536.3000000000002"/>
    <n v="4001"/>
  </r>
  <r>
    <x v="0"/>
    <x v="4"/>
    <x v="4"/>
    <x v="60"/>
    <x v="53"/>
    <x v="53"/>
    <s v="REVENUS"/>
    <x v="3"/>
    <s v="4002.002"/>
    <s v="Impôt complémentaire s/fortune PP"/>
    <n v="0"/>
    <n v="2119.9499999999998"/>
    <n v="4002"/>
  </r>
  <r>
    <x v="0"/>
    <x v="4"/>
    <x v="4"/>
    <x v="60"/>
    <x v="53"/>
    <x v="53"/>
    <s v="REVENUS"/>
    <x v="2"/>
    <s v="4001.005"/>
    <s v="Amende de soustract. Impôt"/>
    <n v="0"/>
    <n v="35450"/>
    <n v="4001"/>
  </r>
  <r>
    <x v="0"/>
    <x v="4"/>
    <x v="4"/>
    <x v="60"/>
    <x v="53"/>
    <x v="53"/>
    <s v="REVENUS"/>
    <x v="4"/>
    <s v="4051.001"/>
    <s v="Impôt sur les successions"/>
    <n v="0"/>
    <n v="458.7"/>
    <n v="4051"/>
  </r>
  <r>
    <x v="0"/>
    <x v="4"/>
    <x v="4"/>
    <x v="60"/>
    <x v="53"/>
    <x v="53"/>
    <s v="REVENUS"/>
    <x v="6"/>
    <s v="4211.001"/>
    <s v="Intérêts de retard sur factures"/>
    <n v="0"/>
    <n v="0.05"/>
    <n v="4211"/>
  </r>
  <r>
    <x v="0"/>
    <x v="4"/>
    <x v="4"/>
    <x v="60"/>
    <x v="53"/>
    <x v="53"/>
    <s v="REVENUS"/>
    <x v="2"/>
    <s v="4001.001"/>
    <s v="Impôt revenu"/>
    <n v="0"/>
    <n v="337.7"/>
    <n v="4001"/>
  </r>
  <r>
    <x v="0"/>
    <x v="4"/>
    <x v="4"/>
    <x v="60"/>
    <x v="53"/>
    <x v="53"/>
    <s v="REVENUS"/>
    <x v="2"/>
    <s v="4001.001"/>
    <s v="Impôt revenu"/>
    <n v="0"/>
    <n v="170.15"/>
    <n v="4001"/>
  </r>
  <r>
    <x v="0"/>
    <x v="4"/>
    <x v="4"/>
    <x v="60"/>
    <x v="53"/>
    <x v="53"/>
    <s v="REVENUS"/>
    <x v="11"/>
    <s v="4198.000"/>
    <s v="Contributions communales"/>
    <n v="0"/>
    <n v="187049.95"/>
    <n v="4198"/>
  </r>
  <r>
    <x v="0"/>
    <x v="4"/>
    <x v="4"/>
    <x v="60"/>
    <x v="53"/>
    <x v="53"/>
    <s v="REVENUS"/>
    <x v="6"/>
    <s v="4221.003"/>
    <s v="Intérêts compensat. / acomptes en faveur du fisc"/>
    <n v="0"/>
    <n v="1.46"/>
    <n v="4221"/>
  </r>
  <r>
    <x v="0"/>
    <x v="5"/>
    <x v="1"/>
    <x v="61"/>
    <x v="54"/>
    <x v="54"/>
    <s v="CHARGES"/>
    <x v="1"/>
    <s v="3301.001"/>
    <s v="Défalcations, abandons de solde PP et IS"/>
    <n v="13881.02"/>
    <n v="0"/>
    <n v="3301"/>
  </r>
  <r>
    <x v="0"/>
    <x v="5"/>
    <x v="1"/>
    <x v="61"/>
    <x v="54"/>
    <x v="54"/>
    <s v="CHARGES"/>
    <x v="0"/>
    <s v="3212.002"/>
    <s v="Intérêts bonifiés/trop perçu acompte C/C"/>
    <n v="0.28000000000000003"/>
    <n v="0"/>
    <n v="3212"/>
  </r>
  <r>
    <x v="0"/>
    <x v="5"/>
    <x v="1"/>
    <x v="61"/>
    <x v="54"/>
    <x v="54"/>
    <s v="CHARGES"/>
    <x v="0"/>
    <s v="3212.004"/>
    <s v="Intérêts rémun./perçu trop tôt sur acomptes C/C"/>
    <n v="76.06"/>
    <n v="0"/>
    <n v="3212"/>
  </r>
  <r>
    <x v="0"/>
    <x v="5"/>
    <x v="1"/>
    <x v="61"/>
    <x v="54"/>
    <x v="54"/>
    <s v="CHARGES"/>
    <x v="0"/>
    <s v="3212.004"/>
    <s v="Intérêts rémun./perçu trop tôt sur acomptes C/C"/>
    <n v="0.15"/>
    <n v="0"/>
    <n v="3212"/>
  </r>
  <r>
    <x v="0"/>
    <x v="5"/>
    <x v="1"/>
    <x v="61"/>
    <x v="54"/>
    <x v="54"/>
    <s v="CHARGES"/>
    <x v="0"/>
    <s v="3221.002"/>
    <s v="Intérêts compensatoires / créances en faveur ctb."/>
    <n v="0.06"/>
    <n v="0"/>
    <n v="3221"/>
  </r>
  <r>
    <x v="0"/>
    <x v="5"/>
    <x v="1"/>
    <x v="61"/>
    <x v="54"/>
    <x v="54"/>
    <s v="CHARGES"/>
    <x v="0"/>
    <s v="3221.002"/>
    <s v="Intérêts compensatoires / créances en faveur ctb."/>
    <n v="76.819999999999993"/>
    <n v="0"/>
    <n v="3221"/>
  </r>
  <r>
    <x v="0"/>
    <x v="5"/>
    <x v="1"/>
    <x v="61"/>
    <x v="54"/>
    <x v="54"/>
    <s v="CHARGES"/>
    <x v="1"/>
    <s v="3301.001"/>
    <s v="Défalcations, abandons de solde PP et IS"/>
    <n v="0.02"/>
    <n v="0"/>
    <n v="3301"/>
  </r>
  <r>
    <x v="0"/>
    <x v="5"/>
    <x v="1"/>
    <x v="61"/>
    <x v="54"/>
    <x v="54"/>
    <s v="CHARGES"/>
    <x v="0"/>
    <s v="3212.004"/>
    <s v="Intérêts rémun./perçu trop tôt sur acomptes C/C"/>
    <n v="-0.09"/>
    <n v="0"/>
    <n v="3212"/>
  </r>
  <r>
    <x v="0"/>
    <x v="5"/>
    <x v="1"/>
    <x v="61"/>
    <x v="54"/>
    <x v="54"/>
    <s v="CHARGES"/>
    <x v="1"/>
    <s v="3301.003"/>
    <s v="Remises PP et IS"/>
    <n v="3203.35"/>
    <n v="0"/>
    <n v="3301"/>
  </r>
  <r>
    <x v="0"/>
    <x v="5"/>
    <x v="1"/>
    <x v="61"/>
    <x v="54"/>
    <x v="54"/>
    <s v="CHARGES"/>
    <x v="0"/>
    <s v="3212.004"/>
    <s v="Intérêts rémun./perçu trop tôt sur acomptes C/C"/>
    <n v="0.12"/>
    <n v="0"/>
    <n v="3212"/>
  </r>
  <r>
    <x v="0"/>
    <x v="5"/>
    <x v="1"/>
    <x v="61"/>
    <x v="54"/>
    <x v="54"/>
    <s v="CHARGES"/>
    <x v="0"/>
    <s v="3212.004"/>
    <s v="Intérêts rémun./perçu trop tôt sur acomptes C/C"/>
    <n v="0.21"/>
    <n v="0"/>
    <n v="3212"/>
  </r>
  <r>
    <x v="0"/>
    <x v="5"/>
    <x v="1"/>
    <x v="61"/>
    <x v="54"/>
    <x v="54"/>
    <s v="CHARGES"/>
    <x v="0"/>
    <s v="3221.002"/>
    <s v="Intérêts compensatoires / créances en faveur ctb."/>
    <n v="0.16"/>
    <n v="0"/>
    <n v="3221"/>
  </r>
  <r>
    <x v="0"/>
    <x v="5"/>
    <x v="1"/>
    <x v="61"/>
    <x v="54"/>
    <x v="54"/>
    <s v="CHARGES"/>
    <x v="1"/>
    <s v="3301.001"/>
    <s v="Défalcations, abandons de solde PP et IS"/>
    <n v="0.08"/>
    <n v="0"/>
    <n v="3301"/>
  </r>
  <r>
    <x v="0"/>
    <x v="5"/>
    <x v="1"/>
    <x v="61"/>
    <x v="54"/>
    <x v="54"/>
    <s v="CHARGES"/>
    <x v="1"/>
    <s v="3301.001"/>
    <s v="Défalcations, abandons de solde PP et IS"/>
    <n v="0.1"/>
    <n v="0"/>
    <n v="3301"/>
  </r>
  <r>
    <x v="0"/>
    <x v="5"/>
    <x v="1"/>
    <x v="61"/>
    <x v="54"/>
    <x v="54"/>
    <s v="CHARGES"/>
    <x v="0"/>
    <s v="3221.002"/>
    <s v="Intérêts compensatoires / créances en faveur ctb."/>
    <n v="0.14000000000000001"/>
    <n v="0"/>
    <n v="3221"/>
  </r>
  <r>
    <x v="0"/>
    <x v="5"/>
    <x v="1"/>
    <x v="61"/>
    <x v="54"/>
    <x v="54"/>
    <s v="CHARGES"/>
    <x v="1"/>
    <s v="3301.001"/>
    <s v="Défalcations, abandons de solde PP et IS"/>
    <n v="0.2"/>
    <n v="0"/>
    <n v="3301"/>
  </r>
  <r>
    <x v="0"/>
    <x v="5"/>
    <x v="1"/>
    <x v="61"/>
    <x v="54"/>
    <x v="54"/>
    <s v="REVENUS"/>
    <x v="2"/>
    <s v="4001.007"/>
    <s v="Acompte impôt sur revenu"/>
    <n v="0"/>
    <n v="1768.45"/>
    <n v="4001"/>
  </r>
  <r>
    <x v="0"/>
    <x v="5"/>
    <x v="1"/>
    <x v="61"/>
    <x v="54"/>
    <x v="54"/>
    <s v="REVENUS"/>
    <x v="6"/>
    <s v="4211.001"/>
    <s v="Intérêts de retard sur factures"/>
    <n v="0"/>
    <n v="3624.94"/>
    <n v="4211"/>
  </r>
  <r>
    <x v="0"/>
    <x v="5"/>
    <x v="1"/>
    <x v="61"/>
    <x v="54"/>
    <x v="54"/>
    <s v="REVENUS"/>
    <x v="2"/>
    <s v="4001.007"/>
    <s v="Acompte impôt sur revenu"/>
    <n v="0"/>
    <n v="-52756.66"/>
    <n v="4001"/>
  </r>
  <r>
    <x v="0"/>
    <x v="5"/>
    <x v="1"/>
    <x v="61"/>
    <x v="54"/>
    <x v="54"/>
    <s v="REVENUS"/>
    <x v="3"/>
    <s v="4002.007"/>
    <s v="Acompte impôt sur fortune"/>
    <n v="0"/>
    <n v="-6656.61"/>
    <n v="4002"/>
  </r>
  <r>
    <x v="0"/>
    <x v="5"/>
    <x v="1"/>
    <x v="61"/>
    <x v="54"/>
    <x v="54"/>
    <s v="REVENUS"/>
    <x v="2"/>
    <s v="4001.007"/>
    <s v="Acompte impôt sur revenu"/>
    <n v="0"/>
    <n v="25692.73"/>
    <n v="4001"/>
  </r>
  <r>
    <x v="0"/>
    <x v="5"/>
    <x v="1"/>
    <x v="61"/>
    <x v="54"/>
    <x v="54"/>
    <s v="REVENUS"/>
    <x v="3"/>
    <s v="4002.007"/>
    <s v="Acompte impôt sur fortune"/>
    <n v="0"/>
    <n v="6318.85"/>
    <n v="4002"/>
  </r>
  <r>
    <x v="0"/>
    <x v="5"/>
    <x v="1"/>
    <x v="61"/>
    <x v="54"/>
    <x v="54"/>
    <s v="REVENUS"/>
    <x v="2"/>
    <s v="4001.001"/>
    <s v="Impôt revenu"/>
    <n v="0"/>
    <n v="518323.95"/>
    <n v="4001"/>
  </r>
  <r>
    <x v="0"/>
    <x v="5"/>
    <x v="1"/>
    <x v="61"/>
    <x v="54"/>
    <x v="54"/>
    <s v="REVENUS"/>
    <x v="6"/>
    <s v="4221.003"/>
    <s v="Intérêts compensat. / acomptes en faveur du fisc"/>
    <n v="0"/>
    <n v="29.75"/>
    <n v="4221"/>
  </r>
  <r>
    <x v="0"/>
    <x v="5"/>
    <x v="1"/>
    <x v="61"/>
    <x v="54"/>
    <x v="54"/>
    <s v="REVENUS"/>
    <x v="2"/>
    <s v="4001.002"/>
    <s v="Impôt complément s/revenu PP"/>
    <n v="0"/>
    <n v="55725.1"/>
    <n v="4001"/>
  </r>
  <r>
    <x v="0"/>
    <x v="5"/>
    <x v="1"/>
    <x v="61"/>
    <x v="54"/>
    <x v="54"/>
    <s v="REVENUS"/>
    <x v="3"/>
    <s v="4002.001"/>
    <s v="Impôt ordinaire s/fortune PP"/>
    <n v="0"/>
    <n v="74721.3"/>
    <n v="4002"/>
  </r>
  <r>
    <x v="0"/>
    <x v="5"/>
    <x v="1"/>
    <x v="61"/>
    <x v="54"/>
    <x v="54"/>
    <s v="REVENUS"/>
    <x v="3"/>
    <s v="4002.002"/>
    <s v="Impôt complémentaire s/fortune PP"/>
    <n v="0"/>
    <n v="6352.15"/>
    <n v="4002"/>
  </r>
  <r>
    <x v="0"/>
    <x v="5"/>
    <x v="1"/>
    <x v="61"/>
    <x v="54"/>
    <x v="54"/>
    <s v="REVENUS"/>
    <x v="10"/>
    <s v="4041.001"/>
    <s v="Droits de mutation"/>
    <n v="0"/>
    <n v="23760.95"/>
    <n v="4041"/>
  </r>
  <r>
    <x v="0"/>
    <x v="5"/>
    <x v="1"/>
    <x v="61"/>
    <x v="54"/>
    <x v="54"/>
    <s v="REVENUS"/>
    <x v="7"/>
    <s v="4184.000"/>
    <s v="Frais de poursuite"/>
    <n v="0"/>
    <n v="1082.3499999999999"/>
    <n v="4184"/>
  </r>
  <r>
    <x v="0"/>
    <x v="5"/>
    <x v="1"/>
    <x v="61"/>
    <x v="54"/>
    <x v="54"/>
    <s v="REVENUS"/>
    <x v="6"/>
    <s v="4211.002"/>
    <s v="Intérêts de retard sur acomptes"/>
    <n v="0"/>
    <n v="3363.41"/>
    <n v="4211"/>
  </r>
  <r>
    <x v="0"/>
    <x v="5"/>
    <x v="1"/>
    <x v="61"/>
    <x v="54"/>
    <x v="54"/>
    <s v="REVENUS"/>
    <x v="2"/>
    <s v="4001.001"/>
    <s v="Impôt revenu"/>
    <n v="0"/>
    <n v="51"/>
    <n v="4001"/>
  </r>
  <r>
    <x v="0"/>
    <x v="5"/>
    <x v="1"/>
    <x v="61"/>
    <x v="54"/>
    <x v="54"/>
    <s v="REVENUS"/>
    <x v="2"/>
    <s v="4001.007"/>
    <s v="Acompte impôt sur revenu"/>
    <n v="0"/>
    <n v="2979.47"/>
    <n v="4001"/>
  </r>
  <r>
    <x v="0"/>
    <x v="5"/>
    <x v="1"/>
    <x v="61"/>
    <x v="54"/>
    <x v="54"/>
    <s v="REVENUS"/>
    <x v="3"/>
    <s v="4002.001"/>
    <s v="Impôt ordinaire s/fortune PP"/>
    <n v="0"/>
    <n v="64.8"/>
    <n v="4002"/>
  </r>
  <r>
    <x v="0"/>
    <x v="5"/>
    <x v="1"/>
    <x v="61"/>
    <x v="54"/>
    <x v="54"/>
    <s v="REVENUS"/>
    <x v="3"/>
    <s v="4002.007"/>
    <s v="Acompte impôt sur fortune"/>
    <n v="0"/>
    <n v="104.42"/>
    <n v="4002"/>
  </r>
  <r>
    <x v="0"/>
    <x v="5"/>
    <x v="1"/>
    <x v="61"/>
    <x v="54"/>
    <x v="54"/>
    <s v="REVENUS"/>
    <x v="2"/>
    <s v="4001.003"/>
    <s v="Impôt s/prest. cap. PP"/>
    <n v="0"/>
    <n v="11916.6"/>
    <n v="4001"/>
  </r>
  <r>
    <x v="0"/>
    <x v="5"/>
    <x v="1"/>
    <x v="61"/>
    <x v="54"/>
    <x v="54"/>
    <s v="REVENUS"/>
    <x v="3"/>
    <s v="4002.007"/>
    <s v="Acompte impôt sur fortune"/>
    <n v="0"/>
    <n v="-1.2"/>
    <n v="4002"/>
  </r>
  <r>
    <x v="0"/>
    <x v="5"/>
    <x v="1"/>
    <x v="61"/>
    <x v="54"/>
    <x v="54"/>
    <s v="REVENUS"/>
    <x v="2"/>
    <s v="4001.007"/>
    <s v="Acompte impôt sur revenu"/>
    <n v="0"/>
    <n v="-130.21"/>
    <n v="4001"/>
  </r>
  <r>
    <x v="0"/>
    <x v="5"/>
    <x v="1"/>
    <x v="61"/>
    <x v="54"/>
    <x v="54"/>
    <s v="REVENUS"/>
    <x v="3"/>
    <s v="4002.007"/>
    <s v="Acompte impôt sur fortune"/>
    <n v="0"/>
    <n v="66.95"/>
    <n v="4002"/>
  </r>
  <r>
    <x v="0"/>
    <x v="5"/>
    <x v="1"/>
    <x v="61"/>
    <x v="54"/>
    <x v="54"/>
    <s v="REVENUS"/>
    <x v="2"/>
    <s v="4001.007"/>
    <s v="Acompte impôt sur revenu"/>
    <n v="0"/>
    <n v="63.8"/>
    <n v="4001"/>
  </r>
  <r>
    <x v="0"/>
    <x v="5"/>
    <x v="1"/>
    <x v="61"/>
    <x v="54"/>
    <x v="54"/>
    <s v="REVENUS"/>
    <x v="3"/>
    <s v="4002.007"/>
    <s v="Acompte impôt sur fortune"/>
    <n v="0"/>
    <n v="180.15"/>
    <n v="4002"/>
  </r>
  <r>
    <x v="0"/>
    <x v="5"/>
    <x v="1"/>
    <x v="61"/>
    <x v="54"/>
    <x v="54"/>
    <s v="REVENUS"/>
    <x v="2"/>
    <s v="4001.001"/>
    <s v="Impôt revenu"/>
    <n v="0"/>
    <n v="83.25"/>
    <n v="4001"/>
  </r>
  <r>
    <x v="0"/>
    <x v="5"/>
    <x v="1"/>
    <x v="61"/>
    <x v="54"/>
    <x v="54"/>
    <s v="REVENUS"/>
    <x v="3"/>
    <s v="4002.001"/>
    <s v="Impôt ordinaire s/fortune PP"/>
    <n v="0"/>
    <n v="27.95"/>
    <n v="4002"/>
  </r>
  <r>
    <x v="0"/>
    <x v="5"/>
    <x v="1"/>
    <x v="61"/>
    <x v="54"/>
    <x v="54"/>
    <s v="REVENUS"/>
    <x v="6"/>
    <s v="4211.002"/>
    <s v="Intérêts de retard sur acomptes"/>
    <n v="0"/>
    <n v="1.31"/>
    <n v="4211"/>
  </r>
  <r>
    <x v="0"/>
    <x v="5"/>
    <x v="1"/>
    <x v="61"/>
    <x v="54"/>
    <x v="54"/>
    <s v="REVENUS"/>
    <x v="6"/>
    <s v="4221.003"/>
    <s v="Intérêts compensat. / acomptes en faveur du fisc"/>
    <n v="0"/>
    <n v="0.02"/>
    <n v="4221"/>
  </r>
  <r>
    <x v="0"/>
    <x v="5"/>
    <x v="1"/>
    <x v="61"/>
    <x v="54"/>
    <x v="54"/>
    <s v="REVENUS"/>
    <x v="6"/>
    <s v="4221.003"/>
    <s v="Intérêts compensat. / acomptes en faveur du fisc"/>
    <n v="0"/>
    <n v="-0.2"/>
    <n v="4221"/>
  </r>
  <r>
    <x v="0"/>
    <x v="5"/>
    <x v="1"/>
    <x v="61"/>
    <x v="54"/>
    <x v="54"/>
    <s v="REVENUS"/>
    <x v="2"/>
    <s v="4001.001"/>
    <s v="Impôt revenu"/>
    <n v="0"/>
    <n v="-9025.9"/>
    <n v="4001"/>
  </r>
  <r>
    <x v="0"/>
    <x v="5"/>
    <x v="1"/>
    <x v="61"/>
    <x v="54"/>
    <x v="54"/>
    <s v="REVENUS"/>
    <x v="11"/>
    <s v="4198.000"/>
    <s v="Contributions communales"/>
    <n v="0"/>
    <n v="45894.65"/>
    <n v="4198"/>
  </r>
  <r>
    <x v="0"/>
    <x v="5"/>
    <x v="1"/>
    <x v="61"/>
    <x v="54"/>
    <x v="54"/>
    <s v="REVENUS"/>
    <x v="2"/>
    <s v="4001.001"/>
    <s v="Impôt revenu"/>
    <n v="0"/>
    <n v="2703.7"/>
    <n v="4001"/>
  </r>
  <r>
    <x v="0"/>
    <x v="5"/>
    <x v="1"/>
    <x v="61"/>
    <x v="54"/>
    <x v="54"/>
    <s v="REVENUS"/>
    <x v="3"/>
    <s v="4002.001"/>
    <s v="Impôt ordinaire s/fortune PP"/>
    <n v="0"/>
    <n v="1279.6500000000001"/>
    <n v="4002"/>
  </r>
  <r>
    <x v="0"/>
    <x v="5"/>
    <x v="1"/>
    <x v="61"/>
    <x v="54"/>
    <x v="54"/>
    <s v="REVENUS"/>
    <x v="4"/>
    <s v="4051.002"/>
    <s v="Impôt sur les donations"/>
    <n v="0"/>
    <n v="2891.8"/>
    <n v="4051"/>
  </r>
  <r>
    <x v="0"/>
    <x v="5"/>
    <x v="1"/>
    <x v="61"/>
    <x v="54"/>
    <x v="54"/>
    <s v="REVENUS"/>
    <x v="6"/>
    <s v="4221.002"/>
    <s v="Intérêts compensat. sur impôts distincts"/>
    <n v="0"/>
    <n v="15.81"/>
    <n v="4221"/>
  </r>
  <r>
    <x v="0"/>
    <x v="5"/>
    <x v="1"/>
    <x v="61"/>
    <x v="54"/>
    <x v="54"/>
    <s v="REVENUS"/>
    <x v="3"/>
    <s v="4002.001"/>
    <s v="Impôt ordinaire s/fortune PP"/>
    <n v="0"/>
    <n v="899.05"/>
    <n v="4002"/>
  </r>
  <r>
    <x v="0"/>
    <x v="5"/>
    <x v="1"/>
    <x v="61"/>
    <x v="54"/>
    <x v="54"/>
    <s v="REVENUS"/>
    <x v="2"/>
    <s v="4001.001"/>
    <s v="Impôt revenu"/>
    <n v="0"/>
    <n v="1145.7"/>
    <n v="4001"/>
  </r>
  <r>
    <x v="0"/>
    <x v="5"/>
    <x v="1"/>
    <x v="61"/>
    <x v="54"/>
    <x v="54"/>
    <s v="REVENUS"/>
    <x v="7"/>
    <s v="4184.000"/>
    <s v="Frais de poursuite"/>
    <n v="0"/>
    <n v="31.26"/>
    <n v="4184"/>
  </r>
  <r>
    <x v="0"/>
    <x v="5"/>
    <x v="1"/>
    <x v="61"/>
    <x v="54"/>
    <x v="54"/>
    <s v="REVENUS"/>
    <x v="5"/>
    <s v="4061.000"/>
    <s v="Impôt sur les chiens"/>
    <n v="0"/>
    <n v="1220"/>
    <n v="4061"/>
  </r>
  <r>
    <x v="0"/>
    <x v="5"/>
    <x v="1"/>
    <x v="61"/>
    <x v="54"/>
    <x v="54"/>
    <s v="REVENUS"/>
    <x v="6"/>
    <s v="4221.003"/>
    <s v="Intérêts compensat. / acomptes en faveur du fisc"/>
    <n v="0"/>
    <n v="0.08"/>
    <n v="4221"/>
  </r>
  <r>
    <x v="0"/>
    <x v="5"/>
    <x v="1"/>
    <x v="61"/>
    <x v="54"/>
    <x v="54"/>
    <s v="REVENUS"/>
    <x v="9"/>
    <s v="4031.001"/>
    <s v="Impôt sur les gains immobiliers"/>
    <n v="0"/>
    <n v="315"/>
    <n v="4031"/>
  </r>
  <r>
    <x v="0"/>
    <x v="5"/>
    <x v="1"/>
    <x v="61"/>
    <x v="54"/>
    <x v="54"/>
    <s v="REVENUS"/>
    <x v="2"/>
    <s v="4001.001"/>
    <s v="Impôt revenu"/>
    <n v="0"/>
    <n v="128.44999999999999"/>
    <n v="4001"/>
  </r>
  <r>
    <x v="0"/>
    <x v="5"/>
    <x v="1"/>
    <x v="61"/>
    <x v="54"/>
    <x v="54"/>
    <s v="REVENUS"/>
    <x v="3"/>
    <s v="4002.001"/>
    <s v="Impôt ordinaire s/fortune PP"/>
    <n v="0"/>
    <n v="19.649999999999999"/>
    <n v="4002"/>
  </r>
  <r>
    <x v="0"/>
    <x v="5"/>
    <x v="1"/>
    <x v="61"/>
    <x v="54"/>
    <x v="54"/>
    <s v="REVENUS"/>
    <x v="6"/>
    <s v="4221.003"/>
    <s v="Intérêts compensat. / acomptes en faveur du fisc"/>
    <n v="0"/>
    <n v="0.1"/>
    <n v="4221"/>
  </r>
  <r>
    <x v="0"/>
    <x v="5"/>
    <x v="1"/>
    <x v="61"/>
    <x v="54"/>
    <x v="54"/>
    <s v="REVENUS"/>
    <x v="6"/>
    <s v="4221.003"/>
    <s v="Intérêts compensat. / acomptes en faveur du fisc"/>
    <n v="0"/>
    <n v="0.22"/>
    <n v="4221"/>
  </r>
  <r>
    <x v="0"/>
    <x v="5"/>
    <x v="1"/>
    <x v="61"/>
    <x v="54"/>
    <x v="54"/>
    <s v="REVENUS"/>
    <x v="6"/>
    <s v="4211.002"/>
    <s v="Intérêts de retard sur acomptes"/>
    <n v="0"/>
    <n v="0.56999999999999995"/>
    <n v="4211"/>
  </r>
  <r>
    <x v="0"/>
    <x v="5"/>
    <x v="1"/>
    <x v="61"/>
    <x v="54"/>
    <x v="54"/>
    <s v="REVENUS"/>
    <x v="4"/>
    <s v="4051.001"/>
    <s v="Impôt sur les successions"/>
    <n v="0"/>
    <n v="12684.6"/>
    <n v="4051"/>
  </r>
  <r>
    <x v="0"/>
    <x v="5"/>
    <x v="1"/>
    <x v="61"/>
    <x v="54"/>
    <x v="54"/>
    <s v="REVENUS"/>
    <x v="2"/>
    <s v="4001.007"/>
    <s v="Acompte impôt sur revenu"/>
    <n v="0"/>
    <n v="-46.95"/>
    <n v="4001"/>
  </r>
  <r>
    <x v="0"/>
    <x v="5"/>
    <x v="1"/>
    <x v="61"/>
    <x v="54"/>
    <x v="54"/>
    <s v="REVENUS"/>
    <x v="3"/>
    <s v="4002.007"/>
    <s v="Acompte impôt sur fortune"/>
    <n v="0"/>
    <n v="-756.9"/>
    <n v="4002"/>
  </r>
  <r>
    <x v="0"/>
    <x v="5"/>
    <x v="1"/>
    <x v="61"/>
    <x v="54"/>
    <x v="54"/>
    <s v="REVENUS"/>
    <x v="6"/>
    <s v="4211.002"/>
    <s v="Intérêts de retard sur acomptes"/>
    <n v="0"/>
    <n v="43.49"/>
    <n v="4211"/>
  </r>
  <r>
    <x v="0"/>
    <x v="5"/>
    <x v="1"/>
    <x v="62"/>
    <x v="55"/>
    <x v="55"/>
    <s v="CHARGES"/>
    <x v="1"/>
    <s v="3301.001"/>
    <s v="Défalcations, abandons de solde PP et IS"/>
    <n v="15265.78"/>
    <n v="0"/>
    <n v="3301"/>
  </r>
  <r>
    <x v="0"/>
    <x v="5"/>
    <x v="1"/>
    <x v="62"/>
    <x v="55"/>
    <x v="55"/>
    <s v="CHARGES"/>
    <x v="0"/>
    <s v="3212.004"/>
    <s v="Intérêts rémun./perçu trop tôt sur acomptes C/C"/>
    <n v="96.03"/>
    <n v="0"/>
    <n v="3212"/>
  </r>
  <r>
    <x v="0"/>
    <x v="5"/>
    <x v="1"/>
    <x v="62"/>
    <x v="55"/>
    <x v="55"/>
    <s v="CHARGES"/>
    <x v="0"/>
    <s v="3221.002"/>
    <s v="Intérêts compensatoires / créances en faveur ctb."/>
    <n v="32.630000000000003"/>
    <n v="0"/>
    <n v="3221"/>
  </r>
  <r>
    <x v="0"/>
    <x v="5"/>
    <x v="1"/>
    <x v="62"/>
    <x v="55"/>
    <x v="55"/>
    <s v="CHARGES"/>
    <x v="0"/>
    <s v="3212.002"/>
    <s v="Intérêts bonifiés/trop perçu acompte C/C"/>
    <n v="17.32"/>
    <n v="0"/>
    <n v="3212"/>
  </r>
  <r>
    <x v="0"/>
    <x v="5"/>
    <x v="1"/>
    <x v="62"/>
    <x v="55"/>
    <x v="55"/>
    <s v="CHARGES"/>
    <x v="0"/>
    <s v="3212.004"/>
    <s v="Intérêts rémun./perçu trop tôt sur acomptes C/C"/>
    <n v="0.02"/>
    <n v="0"/>
    <n v="3212"/>
  </r>
  <r>
    <x v="0"/>
    <x v="5"/>
    <x v="1"/>
    <x v="62"/>
    <x v="55"/>
    <x v="55"/>
    <s v="CHARGES"/>
    <x v="0"/>
    <s v="3221.002"/>
    <s v="Intérêts compensatoires / créances en faveur ctb."/>
    <n v="0.06"/>
    <n v="0"/>
    <n v="3221"/>
  </r>
  <r>
    <x v="0"/>
    <x v="5"/>
    <x v="1"/>
    <x v="62"/>
    <x v="55"/>
    <x v="55"/>
    <s v="CHARGES"/>
    <x v="1"/>
    <s v="3301.001"/>
    <s v="Défalcations, abandons de solde PP et IS"/>
    <n v="0.28999999999999998"/>
    <n v="0"/>
    <n v="3301"/>
  </r>
  <r>
    <x v="0"/>
    <x v="5"/>
    <x v="1"/>
    <x v="62"/>
    <x v="55"/>
    <x v="55"/>
    <s v="CHARGES"/>
    <x v="0"/>
    <s v="3212.004"/>
    <s v="Intérêts rémun./perçu trop tôt sur acomptes C/C"/>
    <n v="0.08"/>
    <n v="0"/>
    <n v="3212"/>
  </r>
  <r>
    <x v="0"/>
    <x v="5"/>
    <x v="1"/>
    <x v="62"/>
    <x v="55"/>
    <x v="55"/>
    <s v="CHARGES"/>
    <x v="0"/>
    <s v="3221.002"/>
    <s v="Intérêts compensatoires / créances en faveur ctb."/>
    <n v="0.16"/>
    <n v="0"/>
    <n v="3221"/>
  </r>
  <r>
    <x v="0"/>
    <x v="5"/>
    <x v="1"/>
    <x v="62"/>
    <x v="55"/>
    <x v="55"/>
    <s v="CHARGES"/>
    <x v="0"/>
    <s v="3212.004"/>
    <s v="Intérêts rémun./perçu trop tôt sur acomptes C/C"/>
    <n v="0.35"/>
    <n v="0"/>
    <n v="3212"/>
  </r>
  <r>
    <x v="0"/>
    <x v="5"/>
    <x v="1"/>
    <x v="62"/>
    <x v="55"/>
    <x v="55"/>
    <s v="CHARGES"/>
    <x v="1"/>
    <s v="3301.001"/>
    <s v="Défalcations, abandons de solde PP et IS"/>
    <n v="-116.07"/>
    <n v="0"/>
    <n v="3301"/>
  </r>
  <r>
    <x v="0"/>
    <x v="5"/>
    <x v="1"/>
    <x v="62"/>
    <x v="55"/>
    <x v="55"/>
    <s v="CHARGES"/>
    <x v="0"/>
    <s v="3212.004"/>
    <s v="Intérêts rémun./perçu trop tôt sur acomptes C/C"/>
    <n v="3.63"/>
    <n v="0"/>
    <n v="3212"/>
  </r>
  <r>
    <x v="0"/>
    <x v="5"/>
    <x v="1"/>
    <x v="62"/>
    <x v="55"/>
    <x v="55"/>
    <s v="CHARGES"/>
    <x v="0"/>
    <s v="3221.002"/>
    <s v="Intérêts compensatoires / créances en faveur ctb."/>
    <n v="0.12"/>
    <n v="0"/>
    <n v="3221"/>
  </r>
  <r>
    <x v="0"/>
    <x v="5"/>
    <x v="1"/>
    <x v="62"/>
    <x v="55"/>
    <x v="55"/>
    <s v="CHARGES"/>
    <x v="0"/>
    <s v="3212.004"/>
    <s v="Intérêts rémun./perçu trop tôt sur acomptes C/C"/>
    <n v="0.02"/>
    <n v="0"/>
    <n v="3212"/>
  </r>
  <r>
    <x v="0"/>
    <x v="5"/>
    <x v="1"/>
    <x v="62"/>
    <x v="55"/>
    <x v="55"/>
    <s v="CHARGES"/>
    <x v="1"/>
    <s v="3301.001"/>
    <s v="Défalcations, abandons de solde PP et IS"/>
    <n v="0.03"/>
    <n v="0"/>
    <n v="3301"/>
  </r>
  <r>
    <x v="0"/>
    <x v="5"/>
    <x v="1"/>
    <x v="62"/>
    <x v="55"/>
    <x v="55"/>
    <s v="REVENUS"/>
    <x v="6"/>
    <s v="4211.001"/>
    <s v="Intérêts de retard sur factures"/>
    <n v="0"/>
    <n v="2353.14"/>
    <n v="4211"/>
  </r>
  <r>
    <x v="0"/>
    <x v="5"/>
    <x v="1"/>
    <x v="62"/>
    <x v="55"/>
    <x v="55"/>
    <s v="REVENUS"/>
    <x v="2"/>
    <s v="4001.007"/>
    <s v="Acompte impôt sur revenu"/>
    <n v="0"/>
    <n v="-42649.25"/>
    <n v="4001"/>
  </r>
  <r>
    <x v="0"/>
    <x v="5"/>
    <x v="1"/>
    <x v="62"/>
    <x v="55"/>
    <x v="55"/>
    <s v="REVENUS"/>
    <x v="2"/>
    <s v="4001.001"/>
    <s v="Impôt revenu"/>
    <n v="0"/>
    <n v="618438.75"/>
    <n v="4001"/>
  </r>
  <r>
    <x v="0"/>
    <x v="5"/>
    <x v="1"/>
    <x v="62"/>
    <x v="55"/>
    <x v="55"/>
    <s v="REVENUS"/>
    <x v="6"/>
    <s v="4221.003"/>
    <s v="Intérêts compensat. / acomptes en faveur du fisc"/>
    <n v="0"/>
    <n v="32.75"/>
    <n v="4221"/>
  </r>
  <r>
    <x v="0"/>
    <x v="5"/>
    <x v="1"/>
    <x v="62"/>
    <x v="55"/>
    <x v="55"/>
    <s v="REVENUS"/>
    <x v="3"/>
    <s v="4002.007"/>
    <s v="Acompte impôt sur fortune"/>
    <n v="0"/>
    <n v="-8682.76"/>
    <n v="4002"/>
  </r>
  <r>
    <x v="0"/>
    <x v="5"/>
    <x v="1"/>
    <x v="62"/>
    <x v="55"/>
    <x v="55"/>
    <s v="REVENUS"/>
    <x v="3"/>
    <s v="4002.001"/>
    <s v="Impôt ordinaire s/fortune PP"/>
    <n v="0"/>
    <n v="60214.400000000001"/>
    <n v="4002"/>
  </r>
  <r>
    <x v="0"/>
    <x v="5"/>
    <x v="1"/>
    <x v="62"/>
    <x v="55"/>
    <x v="55"/>
    <s v="REVENUS"/>
    <x v="6"/>
    <s v="4211.002"/>
    <s v="Intérêts de retard sur acomptes"/>
    <n v="0"/>
    <n v="3550.7"/>
    <n v="4211"/>
  </r>
  <r>
    <x v="0"/>
    <x v="5"/>
    <x v="1"/>
    <x v="62"/>
    <x v="55"/>
    <x v="55"/>
    <s v="REVENUS"/>
    <x v="2"/>
    <s v="4001.002"/>
    <s v="Impôt complément s/revenu PP"/>
    <n v="0"/>
    <n v="54971.199999999997"/>
    <n v="4001"/>
  </r>
  <r>
    <x v="0"/>
    <x v="5"/>
    <x v="1"/>
    <x v="62"/>
    <x v="55"/>
    <x v="55"/>
    <s v="REVENUS"/>
    <x v="3"/>
    <s v="4002.002"/>
    <s v="Impôt complémentaire s/fortune PP"/>
    <n v="0"/>
    <n v="7323.7"/>
    <n v="4002"/>
  </r>
  <r>
    <x v="0"/>
    <x v="5"/>
    <x v="1"/>
    <x v="62"/>
    <x v="55"/>
    <x v="55"/>
    <s v="REVENUS"/>
    <x v="3"/>
    <s v="4002.007"/>
    <s v="Acompte impôt sur fortune"/>
    <n v="0"/>
    <n v="22516.98"/>
    <n v="4002"/>
  </r>
  <r>
    <x v="0"/>
    <x v="5"/>
    <x v="1"/>
    <x v="62"/>
    <x v="55"/>
    <x v="55"/>
    <s v="REVENUS"/>
    <x v="7"/>
    <s v="4184.000"/>
    <s v="Frais de poursuite"/>
    <n v="0"/>
    <n v="1368.75"/>
    <n v="4184"/>
  </r>
  <r>
    <x v="0"/>
    <x v="5"/>
    <x v="1"/>
    <x v="62"/>
    <x v="55"/>
    <x v="55"/>
    <s v="REVENUS"/>
    <x v="2"/>
    <s v="4001.007"/>
    <s v="Acompte impôt sur revenu"/>
    <n v="0"/>
    <n v="258279.71"/>
    <n v="4001"/>
  </r>
  <r>
    <x v="0"/>
    <x v="5"/>
    <x v="1"/>
    <x v="62"/>
    <x v="55"/>
    <x v="55"/>
    <s v="REVENUS"/>
    <x v="10"/>
    <s v="4041.001"/>
    <s v="Droits de mutation"/>
    <n v="0"/>
    <n v="68528.649999999994"/>
    <n v="4041"/>
  </r>
  <r>
    <x v="0"/>
    <x v="5"/>
    <x v="1"/>
    <x v="62"/>
    <x v="55"/>
    <x v="55"/>
    <s v="REVENUS"/>
    <x v="2"/>
    <s v="4001.007"/>
    <s v="Acompte impôt sur revenu"/>
    <n v="0"/>
    <n v="-4738.1099999999997"/>
    <n v="4001"/>
  </r>
  <r>
    <x v="0"/>
    <x v="5"/>
    <x v="1"/>
    <x v="62"/>
    <x v="55"/>
    <x v="55"/>
    <s v="REVENUS"/>
    <x v="3"/>
    <s v="4002.007"/>
    <s v="Acompte impôt sur fortune"/>
    <n v="0"/>
    <n v="-1638.85"/>
    <n v="4002"/>
  </r>
  <r>
    <x v="0"/>
    <x v="5"/>
    <x v="1"/>
    <x v="62"/>
    <x v="55"/>
    <x v="55"/>
    <s v="REVENUS"/>
    <x v="2"/>
    <s v="4001.007"/>
    <s v="Acompte impôt sur revenu"/>
    <n v="0"/>
    <n v="140.80000000000001"/>
    <n v="4001"/>
  </r>
  <r>
    <x v="0"/>
    <x v="5"/>
    <x v="1"/>
    <x v="62"/>
    <x v="55"/>
    <x v="55"/>
    <s v="REVENUS"/>
    <x v="3"/>
    <s v="4002.007"/>
    <s v="Acompte impôt sur fortune"/>
    <n v="0"/>
    <n v="41"/>
    <n v="4002"/>
  </r>
  <r>
    <x v="0"/>
    <x v="5"/>
    <x v="1"/>
    <x v="62"/>
    <x v="55"/>
    <x v="55"/>
    <s v="REVENUS"/>
    <x v="6"/>
    <s v="4221.003"/>
    <s v="Intérêts compensat. / acomptes en faveur du fisc"/>
    <n v="0"/>
    <n v="0.52"/>
    <n v="4221"/>
  </r>
  <r>
    <x v="0"/>
    <x v="5"/>
    <x v="1"/>
    <x v="62"/>
    <x v="55"/>
    <x v="55"/>
    <s v="REVENUS"/>
    <x v="3"/>
    <s v="4002.001"/>
    <s v="Impôt ordinaire s/fortune PP"/>
    <n v="0"/>
    <n v="1062.7"/>
    <n v="4002"/>
  </r>
  <r>
    <x v="0"/>
    <x v="5"/>
    <x v="1"/>
    <x v="62"/>
    <x v="55"/>
    <x v="55"/>
    <s v="REVENUS"/>
    <x v="3"/>
    <s v="4002.007"/>
    <s v="Acompte impôt sur fortune"/>
    <n v="0"/>
    <n v="1115.97"/>
    <n v="4002"/>
  </r>
  <r>
    <x v="0"/>
    <x v="5"/>
    <x v="1"/>
    <x v="62"/>
    <x v="55"/>
    <x v="55"/>
    <s v="REVENUS"/>
    <x v="6"/>
    <s v="4211.001"/>
    <s v="Intérêts de retard sur factures"/>
    <n v="0"/>
    <n v="0.28999999999999998"/>
    <n v="4211"/>
  </r>
  <r>
    <x v="0"/>
    <x v="5"/>
    <x v="1"/>
    <x v="62"/>
    <x v="55"/>
    <x v="55"/>
    <s v="REVENUS"/>
    <x v="3"/>
    <s v="4002.007"/>
    <s v="Acompte impôt sur fortune"/>
    <n v="0"/>
    <n v="-50.7"/>
    <n v="4002"/>
  </r>
  <r>
    <x v="0"/>
    <x v="5"/>
    <x v="1"/>
    <x v="62"/>
    <x v="55"/>
    <x v="55"/>
    <s v="REVENUS"/>
    <x v="2"/>
    <s v="4001.007"/>
    <s v="Acompte impôt sur revenu"/>
    <n v="0"/>
    <n v="96.8"/>
    <n v="4001"/>
  </r>
  <r>
    <x v="0"/>
    <x v="5"/>
    <x v="1"/>
    <x v="62"/>
    <x v="55"/>
    <x v="55"/>
    <s v="REVENUS"/>
    <x v="6"/>
    <s v="4221.003"/>
    <s v="Intérêts compensat. / acomptes en faveur du fisc"/>
    <n v="0"/>
    <n v="0.18"/>
    <n v="4221"/>
  </r>
  <r>
    <x v="0"/>
    <x v="5"/>
    <x v="1"/>
    <x v="62"/>
    <x v="55"/>
    <x v="55"/>
    <s v="REVENUS"/>
    <x v="2"/>
    <s v="4001.001"/>
    <s v="Impôt revenu"/>
    <n v="0"/>
    <n v="-16436.25"/>
    <n v="4001"/>
  </r>
  <r>
    <x v="0"/>
    <x v="5"/>
    <x v="1"/>
    <x v="62"/>
    <x v="55"/>
    <x v="55"/>
    <s v="REVENUS"/>
    <x v="3"/>
    <s v="4002.001"/>
    <s v="Impôt ordinaire s/fortune PP"/>
    <n v="0"/>
    <n v="838.4"/>
    <n v="4002"/>
  </r>
  <r>
    <x v="0"/>
    <x v="5"/>
    <x v="1"/>
    <x v="62"/>
    <x v="55"/>
    <x v="55"/>
    <s v="REVENUS"/>
    <x v="6"/>
    <s v="4211.002"/>
    <s v="Intérêts de retard sur acomptes"/>
    <n v="0"/>
    <n v="10.32"/>
    <n v="4211"/>
  </r>
  <r>
    <x v="0"/>
    <x v="5"/>
    <x v="1"/>
    <x v="62"/>
    <x v="55"/>
    <x v="55"/>
    <s v="REVENUS"/>
    <x v="2"/>
    <s v="4001.007"/>
    <s v="Acompte impôt sur revenu"/>
    <n v="0"/>
    <n v="-269.8"/>
    <n v="4001"/>
  </r>
  <r>
    <x v="0"/>
    <x v="5"/>
    <x v="1"/>
    <x v="62"/>
    <x v="55"/>
    <x v="55"/>
    <s v="REVENUS"/>
    <x v="8"/>
    <s v="4091.001"/>
    <s v="Impôt récupéré après défalcations"/>
    <n v="0"/>
    <n v="700"/>
    <n v="4091"/>
  </r>
  <r>
    <x v="0"/>
    <x v="5"/>
    <x v="1"/>
    <x v="62"/>
    <x v="55"/>
    <x v="55"/>
    <s v="REVENUS"/>
    <x v="11"/>
    <s v="4198.000"/>
    <s v="Contributions communales"/>
    <n v="0"/>
    <n v="86486.2"/>
    <n v="4198"/>
  </r>
  <r>
    <x v="0"/>
    <x v="5"/>
    <x v="1"/>
    <x v="62"/>
    <x v="55"/>
    <x v="55"/>
    <s v="REVENUS"/>
    <x v="2"/>
    <s v="4001.003"/>
    <s v="Impôt s/prest. cap. PP"/>
    <n v="0"/>
    <n v="11701.25"/>
    <n v="4001"/>
  </r>
  <r>
    <x v="0"/>
    <x v="5"/>
    <x v="1"/>
    <x v="62"/>
    <x v="55"/>
    <x v="55"/>
    <s v="REVENUS"/>
    <x v="6"/>
    <s v="4211.002"/>
    <s v="Intérêts de retard sur acomptes"/>
    <n v="0"/>
    <n v="86.84"/>
    <n v="4211"/>
  </r>
  <r>
    <x v="0"/>
    <x v="5"/>
    <x v="1"/>
    <x v="62"/>
    <x v="55"/>
    <x v="55"/>
    <s v="REVENUS"/>
    <x v="2"/>
    <s v="4001.001"/>
    <s v="Impôt revenu"/>
    <n v="0"/>
    <n v="355.05"/>
    <n v="4001"/>
  </r>
  <r>
    <x v="0"/>
    <x v="5"/>
    <x v="1"/>
    <x v="62"/>
    <x v="55"/>
    <x v="55"/>
    <s v="REVENUS"/>
    <x v="2"/>
    <s v="4001.001"/>
    <s v="Impôt revenu"/>
    <n v="0"/>
    <n v="2091.9"/>
    <n v="4001"/>
  </r>
  <r>
    <x v="0"/>
    <x v="5"/>
    <x v="1"/>
    <x v="62"/>
    <x v="55"/>
    <x v="55"/>
    <s v="REVENUS"/>
    <x v="6"/>
    <s v="4221.002"/>
    <s v="Intérêts compensat. sur impôts distincts"/>
    <n v="0"/>
    <n v="15.8"/>
    <n v="4221"/>
  </r>
  <r>
    <x v="0"/>
    <x v="5"/>
    <x v="1"/>
    <x v="62"/>
    <x v="55"/>
    <x v="55"/>
    <s v="REVENUS"/>
    <x v="2"/>
    <s v="4001.001"/>
    <s v="Impôt revenu"/>
    <n v="0"/>
    <n v="301.10000000000002"/>
    <n v="4001"/>
  </r>
  <r>
    <x v="0"/>
    <x v="5"/>
    <x v="1"/>
    <x v="62"/>
    <x v="55"/>
    <x v="55"/>
    <s v="REVENUS"/>
    <x v="3"/>
    <s v="4002.001"/>
    <s v="Impôt ordinaire s/fortune PP"/>
    <n v="0"/>
    <n v="163.4"/>
    <n v="4002"/>
  </r>
  <r>
    <x v="0"/>
    <x v="5"/>
    <x v="1"/>
    <x v="62"/>
    <x v="55"/>
    <x v="55"/>
    <s v="REVENUS"/>
    <x v="9"/>
    <s v="4031.001"/>
    <s v="Impôt sur les gains immobiliers"/>
    <n v="0"/>
    <n v="24058.55"/>
    <n v="4031"/>
  </r>
  <r>
    <x v="0"/>
    <x v="5"/>
    <x v="1"/>
    <x v="62"/>
    <x v="55"/>
    <x v="55"/>
    <s v="REVENUS"/>
    <x v="3"/>
    <s v="4002.001"/>
    <s v="Impôt ordinaire s/fortune PP"/>
    <n v="0"/>
    <n v="2663.9"/>
    <n v="4002"/>
  </r>
  <r>
    <x v="0"/>
    <x v="5"/>
    <x v="1"/>
    <x v="62"/>
    <x v="55"/>
    <x v="55"/>
    <s v="REVENUS"/>
    <x v="6"/>
    <s v="4221.003"/>
    <s v="Intérêts compensat. / acomptes en faveur du fisc"/>
    <n v="0"/>
    <n v="0.08"/>
    <n v="4221"/>
  </r>
  <r>
    <x v="0"/>
    <x v="5"/>
    <x v="1"/>
    <x v="62"/>
    <x v="55"/>
    <x v="55"/>
    <s v="REVENUS"/>
    <x v="5"/>
    <s v="4061.000"/>
    <s v="Impôt sur les chiens"/>
    <n v="0"/>
    <n v="5250"/>
    <n v="4061"/>
  </r>
  <r>
    <x v="0"/>
    <x v="5"/>
    <x v="1"/>
    <x v="62"/>
    <x v="55"/>
    <x v="55"/>
    <s v="REVENUS"/>
    <x v="6"/>
    <s v="4211.001"/>
    <s v="Intérêts de retard sur factures"/>
    <n v="0"/>
    <n v="9.16"/>
    <n v="4211"/>
  </r>
  <r>
    <x v="0"/>
    <x v="5"/>
    <x v="1"/>
    <x v="62"/>
    <x v="55"/>
    <x v="55"/>
    <s v="REVENUS"/>
    <x v="6"/>
    <s v="4211.002"/>
    <s v="Intérêts de retard sur acomptes"/>
    <n v="0"/>
    <n v="7.37"/>
    <n v="4211"/>
  </r>
  <r>
    <x v="0"/>
    <x v="5"/>
    <x v="1"/>
    <x v="62"/>
    <x v="55"/>
    <x v="55"/>
    <s v="REVENUS"/>
    <x v="2"/>
    <s v="4001.001"/>
    <s v="Impôt revenu"/>
    <n v="0"/>
    <n v="1679.45"/>
    <n v="4001"/>
  </r>
  <r>
    <x v="0"/>
    <x v="5"/>
    <x v="1"/>
    <x v="63"/>
    <x v="56"/>
    <x v="56"/>
    <s v="CHARGES"/>
    <x v="1"/>
    <s v="3301.001"/>
    <s v="Défalcations, abandons de solde PP et IS"/>
    <n v="30555.42"/>
    <n v="0"/>
    <n v="3301"/>
  </r>
  <r>
    <x v="0"/>
    <x v="5"/>
    <x v="1"/>
    <x v="63"/>
    <x v="56"/>
    <x v="56"/>
    <s v="CHARGES"/>
    <x v="0"/>
    <s v="3212.004"/>
    <s v="Intérêts rémun./perçu trop tôt sur acomptes C/C"/>
    <n v="1451.83"/>
    <n v="0"/>
    <n v="3212"/>
  </r>
  <r>
    <x v="0"/>
    <x v="5"/>
    <x v="1"/>
    <x v="63"/>
    <x v="56"/>
    <x v="56"/>
    <s v="CHARGES"/>
    <x v="0"/>
    <s v="3221.002"/>
    <s v="Intérêts compensatoires / créances en faveur ctb."/>
    <n v="3457.18"/>
    <n v="0"/>
    <n v="3221"/>
  </r>
  <r>
    <x v="0"/>
    <x v="5"/>
    <x v="1"/>
    <x v="63"/>
    <x v="56"/>
    <x v="56"/>
    <s v="CHARGES"/>
    <x v="0"/>
    <s v="3221.002"/>
    <s v="Intérêts compensatoires / créances en faveur ctb."/>
    <n v="0.03"/>
    <n v="0"/>
    <n v="3221"/>
  </r>
  <r>
    <x v="0"/>
    <x v="5"/>
    <x v="1"/>
    <x v="63"/>
    <x v="56"/>
    <x v="56"/>
    <s v="CHARGES"/>
    <x v="1"/>
    <s v="3301.001"/>
    <s v="Défalcations, abandons de solde PP et IS"/>
    <n v="0"/>
    <n v="0"/>
    <n v="3301"/>
  </r>
  <r>
    <x v="0"/>
    <x v="5"/>
    <x v="1"/>
    <x v="63"/>
    <x v="56"/>
    <x v="56"/>
    <s v="CHARGES"/>
    <x v="0"/>
    <s v="3212.002"/>
    <s v="Intérêts bonifiés/trop perçu acompte C/C"/>
    <n v="786.68"/>
    <n v="0"/>
    <n v="3212"/>
  </r>
  <r>
    <x v="0"/>
    <x v="5"/>
    <x v="1"/>
    <x v="63"/>
    <x v="56"/>
    <x v="56"/>
    <s v="CHARGES"/>
    <x v="1"/>
    <s v="3301.001"/>
    <s v="Défalcations, abandons de solde PP et IS"/>
    <n v="0.46"/>
    <n v="0"/>
    <n v="3301"/>
  </r>
  <r>
    <x v="0"/>
    <x v="5"/>
    <x v="1"/>
    <x v="63"/>
    <x v="56"/>
    <x v="56"/>
    <s v="CHARGES"/>
    <x v="0"/>
    <s v="3212.004"/>
    <s v="Intérêts rémun./perçu trop tôt sur acomptes C/C"/>
    <n v="0.04"/>
    <n v="0"/>
    <n v="3212"/>
  </r>
  <r>
    <x v="0"/>
    <x v="5"/>
    <x v="1"/>
    <x v="63"/>
    <x v="56"/>
    <x v="56"/>
    <s v="CHARGES"/>
    <x v="0"/>
    <s v="3221.002"/>
    <s v="Intérêts compensatoires / créances en faveur ctb."/>
    <n v="0.03"/>
    <n v="0"/>
    <n v="3221"/>
  </r>
  <r>
    <x v="0"/>
    <x v="5"/>
    <x v="1"/>
    <x v="63"/>
    <x v="56"/>
    <x v="56"/>
    <s v="CHARGES"/>
    <x v="1"/>
    <s v="3301.001"/>
    <s v="Défalcations, abandons de solde PP et IS"/>
    <n v="-2.1800000000000002"/>
    <n v="0"/>
    <n v="3301"/>
  </r>
  <r>
    <x v="0"/>
    <x v="5"/>
    <x v="1"/>
    <x v="63"/>
    <x v="56"/>
    <x v="56"/>
    <s v="CHARGES"/>
    <x v="0"/>
    <s v="3212.004"/>
    <s v="Intérêts rémun./perçu trop tôt sur acomptes C/C"/>
    <n v="1.73"/>
    <n v="0"/>
    <n v="3212"/>
  </r>
  <r>
    <x v="0"/>
    <x v="5"/>
    <x v="1"/>
    <x v="63"/>
    <x v="56"/>
    <x v="56"/>
    <s v="CHARGES"/>
    <x v="0"/>
    <s v="3212.004"/>
    <s v="Intérêts rémun./perçu trop tôt sur acomptes C/C"/>
    <n v="0.38"/>
    <n v="0"/>
    <n v="3212"/>
  </r>
  <r>
    <x v="0"/>
    <x v="5"/>
    <x v="1"/>
    <x v="63"/>
    <x v="56"/>
    <x v="56"/>
    <s v="CHARGES"/>
    <x v="0"/>
    <s v="3212.004"/>
    <s v="Intérêts rémun./perçu trop tôt sur acomptes C/C"/>
    <n v="0.11"/>
    <n v="0"/>
    <n v="3212"/>
  </r>
  <r>
    <x v="0"/>
    <x v="5"/>
    <x v="1"/>
    <x v="63"/>
    <x v="56"/>
    <x v="56"/>
    <s v="CHARGES"/>
    <x v="1"/>
    <s v="3301.001"/>
    <s v="Défalcations, abandons de solde PP et IS"/>
    <n v="0.22"/>
    <n v="0"/>
    <n v="3301"/>
  </r>
  <r>
    <x v="0"/>
    <x v="5"/>
    <x v="1"/>
    <x v="63"/>
    <x v="56"/>
    <x v="56"/>
    <s v="CHARGES"/>
    <x v="1"/>
    <s v="3301.001"/>
    <s v="Défalcations, abandons de solde PP et IS"/>
    <n v="14214.05"/>
    <n v="0"/>
    <n v="3301"/>
  </r>
  <r>
    <x v="0"/>
    <x v="5"/>
    <x v="1"/>
    <x v="63"/>
    <x v="56"/>
    <x v="56"/>
    <s v="CHARGES"/>
    <x v="1"/>
    <s v="3301.001"/>
    <s v="Défalcations, abandons de solde PP et IS"/>
    <n v="0.33"/>
    <n v="0"/>
    <n v="3301"/>
  </r>
  <r>
    <x v="0"/>
    <x v="5"/>
    <x v="1"/>
    <x v="63"/>
    <x v="56"/>
    <x v="56"/>
    <s v="CHARGES"/>
    <x v="0"/>
    <s v="3221.002"/>
    <s v="Intérêts compensatoires / créances en faveur ctb."/>
    <n v="1.06"/>
    <n v="0"/>
    <n v="3221"/>
  </r>
  <r>
    <x v="0"/>
    <x v="5"/>
    <x v="1"/>
    <x v="63"/>
    <x v="56"/>
    <x v="56"/>
    <s v="CHARGES"/>
    <x v="1"/>
    <s v="3301.003"/>
    <s v="Remises PP et IS"/>
    <n v="17673.849999999999"/>
    <n v="0"/>
    <n v="3301"/>
  </r>
  <r>
    <x v="0"/>
    <x v="5"/>
    <x v="1"/>
    <x v="63"/>
    <x v="56"/>
    <x v="56"/>
    <s v="CHARGES"/>
    <x v="1"/>
    <s v="3301.001"/>
    <s v="Défalcations, abandons de solde PP et IS"/>
    <n v="0.01"/>
    <n v="0"/>
    <n v="3301"/>
  </r>
  <r>
    <x v="0"/>
    <x v="5"/>
    <x v="1"/>
    <x v="63"/>
    <x v="56"/>
    <x v="56"/>
    <s v="CHARGES"/>
    <x v="0"/>
    <s v="3212.002"/>
    <s v="Intérêts bonifiés/trop perçu acompte C/C"/>
    <n v="0.13"/>
    <n v="0"/>
    <n v="3212"/>
  </r>
  <r>
    <x v="0"/>
    <x v="5"/>
    <x v="1"/>
    <x v="63"/>
    <x v="56"/>
    <x v="56"/>
    <s v="CHARGES"/>
    <x v="0"/>
    <s v="3212.004"/>
    <s v="Intérêts rémun./perçu trop tôt sur acomptes C/C"/>
    <n v="0.08"/>
    <n v="0"/>
    <n v="3212"/>
  </r>
  <r>
    <x v="0"/>
    <x v="5"/>
    <x v="1"/>
    <x v="63"/>
    <x v="56"/>
    <x v="56"/>
    <s v="CHARGES"/>
    <x v="0"/>
    <s v="3221.002"/>
    <s v="Intérêts compensatoires / créances en faveur ctb."/>
    <n v="0.04"/>
    <n v="0"/>
    <n v="3221"/>
  </r>
  <r>
    <x v="0"/>
    <x v="5"/>
    <x v="1"/>
    <x v="63"/>
    <x v="56"/>
    <x v="56"/>
    <s v="CHARGES"/>
    <x v="0"/>
    <s v="3212.004"/>
    <s v="Intérêts rémun./perçu trop tôt sur acomptes C/C"/>
    <n v="0.15"/>
    <n v="0"/>
    <n v="3212"/>
  </r>
  <r>
    <x v="0"/>
    <x v="5"/>
    <x v="1"/>
    <x v="63"/>
    <x v="56"/>
    <x v="56"/>
    <s v="CHARGES"/>
    <x v="1"/>
    <s v="3301.001"/>
    <s v="Défalcations, abandons de solde PP et IS"/>
    <n v="0.73"/>
    <n v="0"/>
    <n v="3301"/>
  </r>
  <r>
    <x v="0"/>
    <x v="5"/>
    <x v="1"/>
    <x v="63"/>
    <x v="56"/>
    <x v="56"/>
    <s v="REVENUS"/>
    <x v="2"/>
    <s v="4001.007"/>
    <s v="Acompte impôt sur revenu"/>
    <n v="0"/>
    <n v="-4672345.7"/>
    <n v="4001"/>
  </r>
  <r>
    <x v="0"/>
    <x v="5"/>
    <x v="1"/>
    <x v="63"/>
    <x v="56"/>
    <x v="56"/>
    <s v="REVENUS"/>
    <x v="3"/>
    <s v="4002.007"/>
    <s v="Acompte impôt sur fortune"/>
    <n v="0"/>
    <n v="-5521325.79"/>
    <n v="4002"/>
  </r>
  <r>
    <x v="0"/>
    <x v="5"/>
    <x v="1"/>
    <x v="63"/>
    <x v="56"/>
    <x v="56"/>
    <s v="REVENUS"/>
    <x v="2"/>
    <s v="4001.001"/>
    <s v="Impôt revenu"/>
    <n v="0"/>
    <n v="1743487.4"/>
    <n v="4001"/>
  </r>
  <r>
    <x v="0"/>
    <x v="5"/>
    <x v="1"/>
    <x v="63"/>
    <x v="56"/>
    <x v="56"/>
    <s v="REVENUS"/>
    <x v="2"/>
    <s v="4001.007"/>
    <s v="Acompte impôt sur revenu"/>
    <n v="0"/>
    <n v="4678908.5999999996"/>
    <n v="4001"/>
  </r>
  <r>
    <x v="0"/>
    <x v="5"/>
    <x v="1"/>
    <x v="63"/>
    <x v="56"/>
    <x v="56"/>
    <s v="REVENUS"/>
    <x v="3"/>
    <s v="4002.001"/>
    <s v="Impôt ordinaire s/fortune PP"/>
    <n v="0"/>
    <n v="-2096541.15"/>
    <n v="4002"/>
  </r>
  <r>
    <x v="0"/>
    <x v="5"/>
    <x v="1"/>
    <x v="63"/>
    <x v="56"/>
    <x v="56"/>
    <s v="REVENUS"/>
    <x v="3"/>
    <s v="4002.007"/>
    <s v="Acompte impôt sur fortune"/>
    <n v="0"/>
    <n v="5547489.1299999999"/>
    <n v="4002"/>
  </r>
  <r>
    <x v="0"/>
    <x v="5"/>
    <x v="1"/>
    <x v="63"/>
    <x v="56"/>
    <x v="56"/>
    <s v="REVENUS"/>
    <x v="6"/>
    <s v="4211.001"/>
    <s v="Intérêts de retard sur factures"/>
    <n v="0"/>
    <n v="3644.97"/>
    <n v="4211"/>
  </r>
  <r>
    <x v="0"/>
    <x v="5"/>
    <x v="1"/>
    <x v="63"/>
    <x v="56"/>
    <x v="56"/>
    <s v="REVENUS"/>
    <x v="6"/>
    <s v="4211.002"/>
    <s v="Intérêts de retard sur acomptes"/>
    <n v="0"/>
    <n v="9494.82"/>
    <n v="4211"/>
  </r>
  <r>
    <x v="0"/>
    <x v="5"/>
    <x v="1"/>
    <x v="63"/>
    <x v="56"/>
    <x v="56"/>
    <s v="REVENUS"/>
    <x v="6"/>
    <s v="4221.003"/>
    <s v="Intérêts compensat. / acomptes en faveur du fisc"/>
    <n v="0"/>
    <n v="-152.35"/>
    <n v="4221"/>
  </r>
  <r>
    <x v="0"/>
    <x v="5"/>
    <x v="1"/>
    <x v="63"/>
    <x v="56"/>
    <x v="56"/>
    <s v="REVENUS"/>
    <x v="2"/>
    <s v="4001.001"/>
    <s v="Impôt revenu"/>
    <n v="0"/>
    <n v="3044.35"/>
    <n v="4001"/>
  </r>
  <r>
    <x v="0"/>
    <x v="5"/>
    <x v="1"/>
    <x v="63"/>
    <x v="56"/>
    <x v="56"/>
    <s v="REVENUS"/>
    <x v="3"/>
    <s v="4002.001"/>
    <s v="Impôt ordinaire s/fortune PP"/>
    <n v="0"/>
    <n v="1422.35"/>
    <n v="4002"/>
  </r>
  <r>
    <x v="0"/>
    <x v="5"/>
    <x v="1"/>
    <x v="63"/>
    <x v="56"/>
    <x v="56"/>
    <s v="REVENUS"/>
    <x v="3"/>
    <s v="4002.002"/>
    <s v="Impôt complémentaire s/fortune PP"/>
    <n v="0"/>
    <n v="37.950000000000003"/>
    <n v="4002"/>
  </r>
  <r>
    <x v="0"/>
    <x v="5"/>
    <x v="1"/>
    <x v="63"/>
    <x v="56"/>
    <x v="56"/>
    <s v="REVENUS"/>
    <x v="6"/>
    <s v="4221.003"/>
    <s v="Intérêts compensat. / acomptes en faveur du fisc"/>
    <n v="0"/>
    <n v="2.92"/>
    <n v="4221"/>
  </r>
  <r>
    <x v="0"/>
    <x v="5"/>
    <x v="1"/>
    <x v="63"/>
    <x v="56"/>
    <x v="56"/>
    <s v="REVENUS"/>
    <x v="2"/>
    <s v="4001.003"/>
    <s v="Impôt s/prest. cap. PP"/>
    <n v="0"/>
    <n v="23790.1"/>
    <n v="4001"/>
  </r>
  <r>
    <x v="0"/>
    <x v="5"/>
    <x v="1"/>
    <x v="63"/>
    <x v="56"/>
    <x v="56"/>
    <s v="REVENUS"/>
    <x v="2"/>
    <s v="4001.002"/>
    <s v="Impôt complément s/revenu PP"/>
    <n v="0"/>
    <n v="7837973.1500000004"/>
    <n v="4001"/>
  </r>
  <r>
    <x v="0"/>
    <x v="5"/>
    <x v="1"/>
    <x v="63"/>
    <x v="56"/>
    <x v="56"/>
    <s v="REVENUS"/>
    <x v="3"/>
    <s v="4002.002"/>
    <s v="Impôt complémentaire s/fortune PP"/>
    <n v="0"/>
    <n v="11706527.1"/>
    <n v="4002"/>
  </r>
  <r>
    <x v="0"/>
    <x v="5"/>
    <x v="1"/>
    <x v="63"/>
    <x v="56"/>
    <x v="56"/>
    <s v="REVENUS"/>
    <x v="7"/>
    <s v="4184.000"/>
    <s v="Frais de poursuite"/>
    <n v="0"/>
    <n v="3477.72"/>
    <n v="4184"/>
  </r>
  <r>
    <x v="0"/>
    <x v="5"/>
    <x v="1"/>
    <x v="63"/>
    <x v="56"/>
    <x v="56"/>
    <s v="REVENUS"/>
    <x v="6"/>
    <s v="4221.002"/>
    <s v="Intérêts compensat. sur impôts distincts"/>
    <n v="0"/>
    <n v="104.4"/>
    <n v="4221"/>
  </r>
  <r>
    <x v="0"/>
    <x v="5"/>
    <x v="1"/>
    <x v="63"/>
    <x v="56"/>
    <x v="56"/>
    <s v="REVENUS"/>
    <x v="5"/>
    <s v="4061.000"/>
    <s v="Impôt sur les chiens"/>
    <n v="0"/>
    <n v="7380"/>
    <n v="4061"/>
  </r>
  <r>
    <x v="0"/>
    <x v="5"/>
    <x v="1"/>
    <x v="63"/>
    <x v="56"/>
    <x v="56"/>
    <s v="REVENUS"/>
    <x v="3"/>
    <s v="4002.007"/>
    <s v="Acompte impôt sur fortune"/>
    <n v="0"/>
    <n v="-30.6"/>
    <n v="4002"/>
  </r>
  <r>
    <x v="0"/>
    <x v="5"/>
    <x v="1"/>
    <x v="63"/>
    <x v="56"/>
    <x v="56"/>
    <s v="REVENUS"/>
    <x v="2"/>
    <s v="4001.007"/>
    <s v="Acompte impôt sur revenu"/>
    <n v="0"/>
    <n v="43"/>
    <n v="4001"/>
  </r>
  <r>
    <x v="0"/>
    <x v="5"/>
    <x v="1"/>
    <x v="63"/>
    <x v="56"/>
    <x v="56"/>
    <s v="REVENUS"/>
    <x v="3"/>
    <s v="4002.007"/>
    <s v="Acompte impôt sur fortune"/>
    <n v="0"/>
    <n v="0.05"/>
    <n v="4002"/>
  </r>
  <r>
    <x v="0"/>
    <x v="5"/>
    <x v="1"/>
    <x v="63"/>
    <x v="56"/>
    <x v="56"/>
    <s v="REVENUS"/>
    <x v="6"/>
    <s v="4211.001"/>
    <s v="Intérêts de retard sur factures"/>
    <n v="0"/>
    <n v="1.23"/>
    <n v="4211"/>
  </r>
  <r>
    <x v="0"/>
    <x v="5"/>
    <x v="1"/>
    <x v="63"/>
    <x v="56"/>
    <x v="56"/>
    <s v="REVENUS"/>
    <x v="2"/>
    <s v="4001.007"/>
    <s v="Acompte impôt sur revenu"/>
    <n v="0"/>
    <n v="-127.58"/>
    <n v="4001"/>
  </r>
  <r>
    <x v="0"/>
    <x v="5"/>
    <x v="1"/>
    <x v="63"/>
    <x v="56"/>
    <x v="56"/>
    <s v="REVENUS"/>
    <x v="3"/>
    <s v="4002.007"/>
    <s v="Acompte impôt sur fortune"/>
    <n v="0"/>
    <n v="-75.569999999999993"/>
    <n v="4002"/>
  </r>
  <r>
    <x v="0"/>
    <x v="5"/>
    <x v="1"/>
    <x v="63"/>
    <x v="56"/>
    <x v="56"/>
    <s v="REVENUS"/>
    <x v="3"/>
    <s v="4002.007"/>
    <s v="Acompte impôt sur fortune"/>
    <n v="0"/>
    <n v="-266.08"/>
    <n v="4002"/>
  </r>
  <r>
    <x v="0"/>
    <x v="5"/>
    <x v="1"/>
    <x v="63"/>
    <x v="56"/>
    <x v="56"/>
    <s v="REVENUS"/>
    <x v="3"/>
    <s v="4002.007"/>
    <s v="Acompte impôt sur fortune"/>
    <n v="0"/>
    <n v="-0.35"/>
    <n v="4002"/>
  </r>
  <r>
    <x v="0"/>
    <x v="5"/>
    <x v="1"/>
    <x v="63"/>
    <x v="56"/>
    <x v="56"/>
    <s v="REVENUS"/>
    <x v="11"/>
    <s v="4198.000"/>
    <s v="Contributions communales"/>
    <n v="0"/>
    <n v="48949.35"/>
    <n v="4198"/>
  </r>
  <r>
    <x v="0"/>
    <x v="5"/>
    <x v="1"/>
    <x v="63"/>
    <x v="56"/>
    <x v="56"/>
    <s v="REVENUS"/>
    <x v="2"/>
    <s v="4001.007"/>
    <s v="Acompte impôt sur revenu"/>
    <n v="0"/>
    <n v="1171.3499999999999"/>
    <n v="4001"/>
  </r>
  <r>
    <x v="0"/>
    <x v="5"/>
    <x v="1"/>
    <x v="63"/>
    <x v="56"/>
    <x v="56"/>
    <s v="REVENUS"/>
    <x v="8"/>
    <s v="4091.001"/>
    <s v="Impôt récupéré après défalcations"/>
    <n v="0"/>
    <n v="3734.58"/>
    <n v="4091"/>
  </r>
  <r>
    <x v="0"/>
    <x v="5"/>
    <x v="1"/>
    <x v="63"/>
    <x v="56"/>
    <x v="56"/>
    <s v="REVENUS"/>
    <x v="2"/>
    <s v="4001.001"/>
    <s v="Impôt revenu"/>
    <n v="0"/>
    <n v="252.3"/>
    <n v="4001"/>
  </r>
  <r>
    <x v="0"/>
    <x v="5"/>
    <x v="1"/>
    <x v="63"/>
    <x v="56"/>
    <x v="56"/>
    <s v="REVENUS"/>
    <x v="3"/>
    <s v="4002.001"/>
    <s v="Impôt ordinaire s/fortune PP"/>
    <n v="0"/>
    <n v="16.25"/>
    <n v="4002"/>
  </r>
  <r>
    <x v="0"/>
    <x v="5"/>
    <x v="1"/>
    <x v="63"/>
    <x v="56"/>
    <x v="56"/>
    <s v="REVENUS"/>
    <x v="2"/>
    <s v="4001.007"/>
    <s v="Acompte impôt sur revenu"/>
    <n v="0"/>
    <n v="23.7"/>
    <n v="4001"/>
  </r>
  <r>
    <x v="0"/>
    <x v="5"/>
    <x v="1"/>
    <x v="63"/>
    <x v="56"/>
    <x v="56"/>
    <s v="REVENUS"/>
    <x v="2"/>
    <s v="4001.007"/>
    <s v="Acompte impôt sur revenu"/>
    <n v="0"/>
    <n v="2084.9"/>
    <n v="4001"/>
  </r>
  <r>
    <x v="0"/>
    <x v="5"/>
    <x v="1"/>
    <x v="63"/>
    <x v="56"/>
    <x v="56"/>
    <s v="REVENUS"/>
    <x v="3"/>
    <s v="4002.007"/>
    <s v="Acompte impôt sur fortune"/>
    <n v="0"/>
    <n v="77.150000000000006"/>
    <n v="4002"/>
  </r>
  <r>
    <x v="0"/>
    <x v="5"/>
    <x v="1"/>
    <x v="63"/>
    <x v="56"/>
    <x v="56"/>
    <s v="REVENUS"/>
    <x v="2"/>
    <s v="4001.003"/>
    <s v="Impôt s/prest. cap. PP"/>
    <n v="0"/>
    <n v="-3619.8"/>
    <n v="4001"/>
  </r>
  <r>
    <x v="0"/>
    <x v="5"/>
    <x v="1"/>
    <x v="63"/>
    <x v="56"/>
    <x v="56"/>
    <s v="REVENUS"/>
    <x v="6"/>
    <s v="4211.001"/>
    <s v="Intérêts de retard sur factures"/>
    <n v="0"/>
    <n v="-32.58"/>
    <n v="4211"/>
  </r>
  <r>
    <x v="0"/>
    <x v="5"/>
    <x v="1"/>
    <x v="63"/>
    <x v="56"/>
    <x v="56"/>
    <s v="REVENUS"/>
    <x v="6"/>
    <s v="4221.002"/>
    <s v="Intérêts compensat. sur impôts distincts"/>
    <n v="0"/>
    <n v="-30.05"/>
    <n v="4221"/>
  </r>
  <r>
    <x v="0"/>
    <x v="5"/>
    <x v="1"/>
    <x v="63"/>
    <x v="56"/>
    <x v="56"/>
    <s v="REVENUS"/>
    <x v="6"/>
    <s v="4211.002"/>
    <s v="Intérêts de retard sur acomptes"/>
    <n v="0"/>
    <n v="44.62"/>
    <n v="4211"/>
  </r>
  <r>
    <x v="0"/>
    <x v="5"/>
    <x v="1"/>
    <x v="63"/>
    <x v="56"/>
    <x v="56"/>
    <s v="REVENUS"/>
    <x v="9"/>
    <s v="4031.001"/>
    <s v="Impôt sur les gains immobiliers"/>
    <n v="0"/>
    <n v="69404.100000000006"/>
    <n v="4031"/>
  </r>
  <r>
    <x v="0"/>
    <x v="5"/>
    <x v="1"/>
    <x v="63"/>
    <x v="56"/>
    <x v="56"/>
    <s v="REVENUS"/>
    <x v="2"/>
    <s v="4001.001"/>
    <s v="Impôt revenu"/>
    <n v="0"/>
    <n v="2340.5"/>
    <n v="4001"/>
  </r>
  <r>
    <x v="0"/>
    <x v="5"/>
    <x v="1"/>
    <x v="63"/>
    <x v="56"/>
    <x v="56"/>
    <s v="REVENUS"/>
    <x v="3"/>
    <s v="4002.001"/>
    <s v="Impôt ordinaire s/fortune PP"/>
    <n v="0"/>
    <n v="3856.75"/>
    <n v="4002"/>
  </r>
  <r>
    <x v="0"/>
    <x v="5"/>
    <x v="1"/>
    <x v="63"/>
    <x v="56"/>
    <x v="56"/>
    <s v="REVENUS"/>
    <x v="6"/>
    <s v="4221.003"/>
    <s v="Intérêts compensat. / acomptes en faveur du fisc"/>
    <n v="0"/>
    <n v="0.26"/>
    <n v="4221"/>
  </r>
  <r>
    <x v="0"/>
    <x v="5"/>
    <x v="1"/>
    <x v="63"/>
    <x v="56"/>
    <x v="56"/>
    <s v="REVENUS"/>
    <x v="10"/>
    <s v="4041.001"/>
    <s v="Droits de mutation"/>
    <n v="0"/>
    <n v="86882.5"/>
    <n v="4041"/>
  </r>
  <r>
    <x v="0"/>
    <x v="5"/>
    <x v="1"/>
    <x v="63"/>
    <x v="56"/>
    <x v="56"/>
    <s v="REVENUS"/>
    <x v="2"/>
    <s v="4001.001"/>
    <s v="Impôt revenu"/>
    <n v="0"/>
    <n v="-3569112.35"/>
    <n v="4001"/>
  </r>
  <r>
    <x v="0"/>
    <x v="5"/>
    <x v="1"/>
    <x v="63"/>
    <x v="56"/>
    <x v="56"/>
    <s v="REVENUS"/>
    <x v="6"/>
    <s v="4221.003"/>
    <s v="Intérêts compensat. / acomptes en faveur du fisc"/>
    <n v="0"/>
    <n v="1.56"/>
    <n v="4221"/>
  </r>
  <r>
    <x v="0"/>
    <x v="5"/>
    <x v="1"/>
    <x v="63"/>
    <x v="56"/>
    <x v="56"/>
    <s v="REVENUS"/>
    <x v="2"/>
    <s v="4001.001"/>
    <s v="Impôt revenu"/>
    <n v="0"/>
    <n v="8726.1"/>
    <n v="4001"/>
  </r>
  <r>
    <x v="0"/>
    <x v="5"/>
    <x v="1"/>
    <x v="63"/>
    <x v="56"/>
    <x v="56"/>
    <s v="REVENUS"/>
    <x v="3"/>
    <s v="4002.001"/>
    <s v="Impôt ordinaire s/fortune PP"/>
    <n v="0"/>
    <n v="978.7"/>
    <n v="4002"/>
  </r>
  <r>
    <x v="0"/>
    <x v="5"/>
    <x v="1"/>
    <x v="63"/>
    <x v="56"/>
    <x v="56"/>
    <s v="REVENUS"/>
    <x v="6"/>
    <s v="4211.002"/>
    <s v="Intérêts de retard sur acomptes"/>
    <n v="0"/>
    <n v="0.96"/>
    <n v="4211"/>
  </r>
  <r>
    <x v="0"/>
    <x v="5"/>
    <x v="1"/>
    <x v="63"/>
    <x v="56"/>
    <x v="56"/>
    <s v="REVENUS"/>
    <x v="6"/>
    <s v="4221.003"/>
    <s v="Intérêts compensat. / acomptes en faveur du fisc"/>
    <n v="0"/>
    <n v="1.31"/>
    <n v="4221"/>
  </r>
  <r>
    <x v="0"/>
    <x v="5"/>
    <x v="1"/>
    <x v="63"/>
    <x v="56"/>
    <x v="56"/>
    <s v="REVENUS"/>
    <x v="3"/>
    <s v="4002.001"/>
    <s v="Impôt ordinaire s/fortune PP"/>
    <n v="0"/>
    <n v="78.2"/>
    <n v="4002"/>
  </r>
  <r>
    <x v="0"/>
    <x v="5"/>
    <x v="1"/>
    <x v="63"/>
    <x v="56"/>
    <x v="56"/>
    <s v="REVENUS"/>
    <x v="6"/>
    <s v="4221.003"/>
    <s v="Intérêts compensat. / acomptes en faveur du fisc"/>
    <n v="0"/>
    <n v="0.23"/>
    <n v="4221"/>
  </r>
  <r>
    <x v="0"/>
    <x v="5"/>
    <x v="1"/>
    <x v="63"/>
    <x v="56"/>
    <x v="56"/>
    <s v="REVENUS"/>
    <x v="4"/>
    <s v="4051.001"/>
    <s v="Impôt sur les successions"/>
    <n v="0"/>
    <n v="106629.1"/>
    <n v="4051"/>
  </r>
  <r>
    <x v="0"/>
    <x v="5"/>
    <x v="1"/>
    <x v="63"/>
    <x v="56"/>
    <x v="56"/>
    <s v="REVENUS"/>
    <x v="6"/>
    <s v="4211.002"/>
    <s v="Intérêts de retard sur acomptes"/>
    <n v="0"/>
    <n v="6.1"/>
    <n v="4211"/>
  </r>
  <r>
    <x v="0"/>
    <x v="5"/>
    <x v="1"/>
    <x v="63"/>
    <x v="56"/>
    <x v="56"/>
    <s v="REVENUS"/>
    <x v="6"/>
    <s v="4221.003"/>
    <s v="Intérêts compensat. / acomptes en faveur du fisc"/>
    <n v="0"/>
    <n v="0.01"/>
    <n v="4221"/>
  </r>
  <r>
    <x v="0"/>
    <x v="5"/>
    <x v="1"/>
    <x v="63"/>
    <x v="56"/>
    <x v="56"/>
    <s v="REVENUS"/>
    <x v="3"/>
    <s v="4002.002"/>
    <s v="Impôt complémentaire s/fortune PP"/>
    <n v="0"/>
    <n v="684.8"/>
    <n v="4002"/>
  </r>
  <r>
    <x v="0"/>
    <x v="5"/>
    <x v="1"/>
    <x v="63"/>
    <x v="56"/>
    <x v="56"/>
    <s v="REVENUS"/>
    <x v="2"/>
    <s v="4001.001"/>
    <s v="Impôt revenu"/>
    <n v="0"/>
    <n v="326.75"/>
    <n v="4001"/>
  </r>
  <r>
    <x v="0"/>
    <x v="5"/>
    <x v="1"/>
    <x v="63"/>
    <x v="56"/>
    <x v="56"/>
    <s v="REVENUS"/>
    <x v="3"/>
    <s v="4002.001"/>
    <s v="Impôt ordinaire s/fortune PP"/>
    <n v="0"/>
    <n v="-5972692.9500000002"/>
    <n v="4002"/>
  </r>
  <r>
    <x v="0"/>
    <x v="5"/>
    <x v="1"/>
    <x v="63"/>
    <x v="56"/>
    <x v="56"/>
    <s v="REVENUS"/>
    <x v="6"/>
    <s v="4211.001"/>
    <s v="Intérêts de retard sur factures"/>
    <n v="0"/>
    <n v="5.8"/>
    <n v="4211"/>
  </r>
  <r>
    <x v="0"/>
    <x v="5"/>
    <x v="1"/>
    <x v="63"/>
    <x v="56"/>
    <x v="56"/>
    <s v="REVENUS"/>
    <x v="7"/>
    <s v="4184.000"/>
    <s v="Frais de poursuite"/>
    <n v="0"/>
    <n v="34.03"/>
    <n v="4184"/>
  </r>
  <r>
    <x v="0"/>
    <x v="5"/>
    <x v="1"/>
    <x v="63"/>
    <x v="56"/>
    <x v="56"/>
    <s v="REVENUS"/>
    <x v="11"/>
    <s v="4198.000"/>
    <s v="Contributions communales"/>
    <n v="0"/>
    <n v="-0.1"/>
    <n v="4198"/>
  </r>
  <r>
    <x v="0"/>
    <x v="5"/>
    <x v="1"/>
    <x v="63"/>
    <x v="56"/>
    <x v="56"/>
    <s v="REVENUS"/>
    <x v="4"/>
    <s v="4051.002"/>
    <s v="Impôt sur les donations"/>
    <n v="0"/>
    <n v="32161.7"/>
    <n v="4051"/>
  </r>
  <r>
    <x v="0"/>
    <x v="5"/>
    <x v="1"/>
    <x v="63"/>
    <x v="56"/>
    <x v="56"/>
    <s v="REVENUS"/>
    <x v="3"/>
    <s v="4002.001"/>
    <s v="Impôt ordinaire s/fortune PP"/>
    <n v="0"/>
    <n v="533.6"/>
    <n v="4002"/>
  </r>
  <r>
    <x v="0"/>
    <x v="5"/>
    <x v="1"/>
    <x v="63"/>
    <x v="56"/>
    <x v="56"/>
    <s v="REVENUS"/>
    <x v="6"/>
    <s v="4221.003"/>
    <s v="Intérêts compensat. / acomptes en faveur du fisc"/>
    <n v="0"/>
    <n v="0.12"/>
    <n v="4221"/>
  </r>
  <r>
    <x v="0"/>
    <x v="5"/>
    <x v="1"/>
    <x v="63"/>
    <x v="56"/>
    <x v="56"/>
    <s v="REVENUS"/>
    <x v="5"/>
    <s v="4061.000"/>
    <s v="Impôt sur les chiens"/>
    <n v="0"/>
    <n v="-120"/>
    <n v="4061"/>
  </r>
  <r>
    <x v="0"/>
    <x v="5"/>
    <x v="1"/>
    <x v="63"/>
    <x v="56"/>
    <x v="56"/>
    <s v="REVENUS"/>
    <x v="8"/>
    <s v="4091.001"/>
    <s v="Impôt récupéré après défalcations"/>
    <n v="0"/>
    <n v="2982.4"/>
    <n v="4091"/>
  </r>
  <r>
    <x v="0"/>
    <x v="5"/>
    <x v="1"/>
    <x v="63"/>
    <x v="56"/>
    <x v="56"/>
    <s v="REVENUS"/>
    <x v="6"/>
    <s v="4211.001"/>
    <s v="Intérêts de retard sur factures"/>
    <n v="0"/>
    <n v="0.61"/>
    <n v="4211"/>
  </r>
  <r>
    <x v="0"/>
    <x v="5"/>
    <x v="1"/>
    <x v="64"/>
    <x v="57"/>
    <x v="57"/>
    <s v="CHARGES"/>
    <x v="1"/>
    <s v="3301.001"/>
    <s v="Défalcations, abandons de solde PP et IS"/>
    <n v="31121.48"/>
    <n v="0"/>
    <n v="3301"/>
  </r>
  <r>
    <x v="0"/>
    <x v="5"/>
    <x v="1"/>
    <x v="64"/>
    <x v="57"/>
    <x v="57"/>
    <s v="CHARGES"/>
    <x v="0"/>
    <s v="3212.004"/>
    <s v="Intérêts rémun./perçu trop tôt sur acomptes C/C"/>
    <n v="116.69"/>
    <n v="0"/>
    <n v="3212"/>
  </r>
  <r>
    <x v="0"/>
    <x v="5"/>
    <x v="1"/>
    <x v="64"/>
    <x v="57"/>
    <x v="57"/>
    <s v="CHARGES"/>
    <x v="0"/>
    <s v="3221.002"/>
    <s v="Intérêts compensatoires / créances en faveur ctb."/>
    <n v="30.5"/>
    <n v="0"/>
    <n v="3221"/>
  </r>
  <r>
    <x v="0"/>
    <x v="5"/>
    <x v="1"/>
    <x v="64"/>
    <x v="57"/>
    <x v="57"/>
    <s v="CHARGES"/>
    <x v="0"/>
    <s v="3212.002"/>
    <s v="Intérêts bonifiés/trop perçu acompte C/C"/>
    <n v="-2.99"/>
    <n v="0"/>
    <n v="3212"/>
  </r>
  <r>
    <x v="0"/>
    <x v="5"/>
    <x v="1"/>
    <x v="64"/>
    <x v="57"/>
    <x v="57"/>
    <s v="CHARGES"/>
    <x v="1"/>
    <s v="3301.001"/>
    <s v="Défalcations, abandons de solde PP et IS"/>
    <n v="-0.11"/>
    <n v="0"/>
    <n v="3301"/>
  </r>
  <r>
    <x v="0"/>
    <x v="5"/>
    <x v="1"/>
    <x v="64"/>
    <x v="57"/>
    <x v="57"/>
    <s v="CHARGES"/>
    <x v="0"/>
    <s v="3212.002"/>
    <s v="Intérêts bonifiés/trop perçu acompte C/C"/>
    <n v="-0.38"/>
    <n v="0"/>
    <n v="3212"/>
  </r>
  <r>
    <x v="0"/>
    <x v="5"/>
    <x v="1"/>
    <x v="64"/>
    <x v="57"/>
    <x v="57"/>
    <s v="CHARGES"/>
    <x v="0"/>
    <s v="3212.004"/>
    <s v="Intérêts rémun./perçu trop tôt sur acomptes C/C"/>
    <n v="-1.1200000000000001"/>
    <n v="0"/>
    <n v="3212"/>
  </r>
  <r>
    <x v="0"/>
    <x v="5"/>
    <x v="1"/>
    <x v="64"/>
    <x v="57"/>
    <x v="57"/>
    <s v="CHARGES"/>
    <x v="0"/>
    <s v="3221.002"/>
    <s v="Intérêts compensatoires / créances en faveur ctb."/>
    <n v="-1.26"/>
    <n v="0"/>
    <n v="3221"/>
  </r>
  <r>
    <x v="0"/>
    <x v="5"/>
    <x v="1"/>
    <x v="64"/>
    <x v="57"/>
    <x v="57"/>
    <s v="CHARGES"/>
    <x v="1"/>
    <s v="3301.001"/>
    <s v="Défalcations, abandons de solde PP et IS"/>
    <n v="-12.47"/>
    <n v="0"/>
    <n v="3301"/>
  </r>
  <r>
    <x v="0"/>
    <x v="5"/>
    <x v="1"/>
    <x v="64"/>
    <x v="57"/>
    <x v="57"/>
    <s v="CHARGES"/>
    <x v="0"/>
    <s v="3212.004"/>
    <s v="Intérêts rémun./perçu trop tôt sur acomptes C/C"/>
    <n v="0.28999999999999998"/>
    <n v="0"/>
    <n v="3212"/>
  </r>
  <r>
    <x v="0"/>
    <x v="5"/>
    <x v="1"/>
    <x v="64"/>
    <x v="57"/>
    <x v="57"/>
    <s v="CHARGES"/>
    <x v="1"/>
    <s v="3301.001"/>
    <s v="Défalcations, abandons de solde PP et IS"/>
    <n v="0.06"/>
    <n v="0"/>
    <n v="3301"/>
  </r>
  <r>
    <x v="0"/>
    <x v="5"/>
    <x v="1"/>
    <x v="64"/>
    <x v="57"/>
    <x v="57"/>
    <s v="CHARGES"/>
    <x v="0"/>
    <s v="3221.002"/>
    <s v="Intérêts compensatoires / créances en faveur ctb."/>
    <n v="0.16"/>
    <n v="0"/>
    <n v="3221"/>
  </r>
  <r>
    <x v="0"/>
    <x v="5"/>
    <x v="1"/>
    <x v="64"/>
    <x v="57"/>
    <x v="57"/>
    <s v="CHARGES"/>
    <x v="0"/>
    <s v="3212.004"/>
    <s v="Intérêts rémun./perçu trop tôt sur acomptes C/C"/>
    <n v="0.93"/>
    <n v="0"/>
    <n v="3212"/>
  </r>
  <r>
    <x v="0"/>
    <x v="5"/>
    <x v="1"/>
    <x v="64"/>
    <x v="57"/>
    <x v="57"/>
    <s v="CHARGES"/>
    <x v="0"/>
    <s v="3221.002"/>
    <s v="Intérêts compensatoires / créances en faveur ctb."/>
    <n v="0.12"/>
    <n v="0"/>
    <n v="3221"/>
  </r>
  <r>
    <x v="0"/>
    <x v="5"/>
    <x v="1"/>
    <x v="64"/>
    <x v="57"/>
    <x v="57"/>
    <s v="CHARGES"/>
    <x v="1"/>
    <s v="3301.001"/>
    <s v="Défalcations, abandons de solde PP et IS"/>
    <n v="0.09"/>
    <n v="0"/>
    <n v="3301"/>
  </r>
  <r>
    <x v="0"/>
    <x v="5"/>
    <x v="1"/>
    <x v="64"/>
    <x v="57"/>
    <x v="57"/>
    <s v="CHARGES"/>
    <x v="1"/>
    <s v="3301.001"/>
    <s v="Défalcations, abandons de solde PP et IS"/>
    <n v="2157.27"/>
    <n v="0"/>
    <n v="3301"/>
  </r>
  <r>
    <x v="0"/>
    <x v="5"/>
    <x v="1"/>
    <x v="64"/>
    <x v="57"/>
    <x v="57"/>
    <s v="CHARGES"/>
    <x v="0"/>
    <s v="3212.004"/>
    <s v="Intérêts rémun./perçu trop tôt sur acomptes C/C"/>
    <n v="-0.16"/>
    <n v="0"/>
    <n v="3212"/>
  </r>
  <r>
    <x v="0"/>
    <x v="5"/>
    <x v="1"/>
    <x v="64"/>
    <x v="57"/>
    <x v="57"/>
    <s v="CHARGES"/>
    <x v="0"/>
    <s v="3221.002"/>
    <s v="Intérêts compensatoires / créances en faveur ctb."/>
    <n v="-0.36"/>
    <n v="0"/>
    <n v="3221"/>
  </r>
  <r>
    <x v="0"/>
    <x v="5"/>
    <x v="1"/>
    <x v="64"/>
    <x v="57"/>
    <x v="57"/>
    <s v="CHARGES"/>
    <x v="0"/>
    <s v="3212.004"/>
    <s v="Intérêts rémun./perçu trop tôt sur acomptes C/C"/>
    <n v="7.0000000000000007E-2"/>
    <n v="0"/>
    <n v="3212"/>
  </r>
  <r>
    <x v="0"/>
    <x v="5"/>
    <x v="1"/>
    <x v="64"/>
    <x v="57"/>
    <x v="57"/>
    <s v="REVENUS"/>
    <x v="2"/>
    <s v="4001.001"/>
    <s v="Impôt revenu"/>
    <n v="0"/>
    <n v="580140.5"/>
    <n v="4001"/>
  </r>
  <r>
    <x v="0"/>
    <x v="5"/>
    <x v="1"/>
    <x v="64"/>
    <x v="57"/>
    <x v="57"/>
    <s v="REVENUS"/>
    <x v="2"/>
    <s v="4001.007"/>
    <s v="Acompte impôt sur revenu"/>
    <n v="0"/>
    <n v="194729.71"/>
    <n v="4001"/>
  </r>
  <r>
    <x v="0"/>
    <x v="5"/>
    <x v="1"/>
    <x v="64"/>
    <x v="57"/>
    <x v="57"/>
    <s v="REVENUS"/>
    <x v="3"/>
    <s v="4002.001"/>
    <s v="Impôt ordinaire s/fortune PP"/>
    <n v="0"/>
    <n v="63447.1"/>
    <n v="4002"/>
  </r>
  <r>
    <x v="0"/>
    <x v="5"/>
    <x v="1"/>
    <x v="64"/>
    <x v="57"/>
    <x v="57"/>
    <s v="REVENUS"/>
    <x v="3"/>
    <s v="4002.007"/>
    <s v="Acompte impôt sur fortune"/>
    <n v="0"/>
    <n v="28481.81"/>
    <n v="4002"/>
  </r>
  <r>
    <x v="0"/>
    <x v="5"/>
    <x v="1"/>
    <x v="64"/>
    <x v="57"/>
    <x v="57"/>
    <s v="REVENUS"/>
    <x v="10"/>
    <s v="4041.001"/>
    <s v="Droits de mutation"/>
    <n v="0"/>
    <n v="42376.3"/>
    <n v="4041"/>
  </r>
  <r>
    <x v="0"/>
    <x v="5"/>
    <x v="1"/>
    <x v="64"/>
    <x v="57"/>
    <x v="57"/>
    <s v="REVENUS"/>
    <x v="6"/>
    <s v="4211.001"/>
    <s v="Intérêts de retard sur factures"/>
    <n v="0"/>
    <n v="3565.54"/>
    <n v="4211"/>
  </r>
  <r>
    <x v="0"/>
    <x v="5"/>
    <x v="1"/>
    <x v="64"/>
    <x v="57"/>
    <x v="57"/>
    <s v="REVENUS"/>
    <x v="6"/>
    <s v="4211.002"/>
    <s v="Intérêts de retard sur acomptes"/>
    <n v="0"/>
    <n v="3961.56"/>
    <n v="4211"/>
  </r>
  <r>
    <x v="0"/>
    <x v="5"/>
    <x v="1"/>
    <x v="64"/>
    <x v="57"/>
    <x v="57"/>
    <s v="REVENUS"/>
    <x v="2"/>
    <s v="4001.007"/>
    <s v="Acompte impôt sur revenu"/>
    <n v="0"/>
    <n v="-125506.97"/>
    <n v="4001"/>
  </r>
  <r>
    <x v="0"/>
    <x v="5"/>
    <x v="1"/>
    <x v="64"/>
    <x v="57"/>
    <x v="57"/>
    <s v="REVENUS"/>
    <x v="6"/>
    <s v="4221.003"/>
    <s v="Intérêts compensat. / acomptes en faveur du fisc"/>
    <n v="0"/>
    <n v="58.33"/>
    <n v="4221"/>
  </r>
  <r>
    <x v="0"/>
    <x v="5"/>
    <x v="1"/>
    <x v="64"/>
    <x v="57"/>
    <x v="57"/>
    <s v="REVENUS"/>
    <x v="3"/>
    <s v="4002.007"/>
    <s v="Acompte impôt sur fortune"/>
    <n v="0"/>
    <n v="-26462.799999999999"/>
    <n v="4002"/>
  </r>
  <r>
    <x v="0"/>
    <x v="5"/>
    <x v="1"/>
    <x v="64"/>
    <x v="57"/>
    <x v="57"/>
    <s v="REVENUS"/>
    <x v="7"/>
    <s v="4184.000"/>
    <s v="Frais de poursuite"/>
    <n v="0"/>
    <n v="1031.18"/>
    <n v="4184"/>
  </r>
  <r>
    <x v="0"/>
    <x v="5"/>
    <x v="1"/>
    <x v="64"/>
    <x v="57"/>
    <x v="57"/>
    <s v="REVENUS"/>
    <x v="7"/>
    <s v="4184.000"/>
    <s v="Frais de poursuite"/>
    <n v="0"/>
    <n v="71.069999999999993"/>
    <n v="4184"/>
  </r>
  <r>
    <x v="0"/>
    <x v="5"/>
    <x v="1"/>
    <x v="64"/>
    <x v="57"/>
    <x v="57"/>
    <s v="REVENUS"/>
    <x v="2"/>
    <s v="4001.003"/>
    <s v="Impôt s/prest. cap. PP"/>
    <n v="0"/>
    <n v="53341.15"/>
    <n v="4001"/>
  </r>
  <r>
    <x v="0"/>
    <x v="5"/>
    <x v="1"/>
    <x v="64"/>
    <x v="57"/>
    <x v="57"/>
    <s v="REVENUS"/>
    <x v="3"/>
    <s v="4002.002"/>
    <s v="Impôt complémentaire s/fortune PP"/>
    <n v="0"/>
    <n v="6550.45"/>
    <n v="4002"/>
  </r>
  <r>
    <x v="0"/>
    <x v="5"/>
    <x v="1"/>
    <x v="64"/>
    <x v="57"/>
    <x v="57"/>
    <s v="REVENUS"/>
    <x v="2"/>
    <s v="4001.002"/>
    <s v="Impôt complément s/revenu PP"/>
    <n v="0"/>
    <n v="109530.8"/>
    <n v="4001"/>
  </r>
  <r>
    <x v="0"/>
    <x v="5"/>
    <x v="1"/>
    <x v="64"/>
    <x v="57"/>
    <x v="57"/>
    <s v="REVENUS"/>
    <x v="2"/>
    <s v="4001.007"/>
    <s v="Acompte impôt sur revenu"/>
    <n v="0"/>
    <n v="-1858.06"/>
    <n v="4001"/>
  </r>
  <r>
    <x v="0"/>
    <x v="5"/>
    <x v="1"/>
    <x v="64"/>
    <x v="57"/>
    <x v="57"/>
    <s v="REVENUS"/>
    <x v="3"/>
    <s v="4002.007"/>
    <s v="Acompte impôt sur fortune"/>
    <n v="0"/>
    <n v="-253.88"/>
    <n v="4002"/>
  </r>
  <r>
    <x v="0"/>
    <x v="5"/>
    <x v="1"/>
    <x v="64"/>
    <x v="57"/>
    <x v="57"/>
    <s v="REVENUS"/>
    <x v="3"/>
    <s v="4002.007"/>
    <s v="Acompte impôt sur fortune"/>
    <n v="0"/>
    <n v="3395.8"/>
    <n v="4002"/>
  </r>
  <r>
    <x v="0"/>
    <x v="5"/>
    <x v="1"/>
    <x v="64"/>
    <x v="57"/>
    <x v="57"/>
    <s v="REVENUS"/>
    <x v="3"/>
    <s v="4002.007"/>
    <s v="Acompte impôt sur fortune"/>
    <n v="0"/>
    <n v="412.2"/>
    <n v="4002"/>
  </r>
  <r>
    <x v="0"/>
    <x v="5"/>
    <x v="1"/>
    <x v="64"/>
    <x v="57"/>
    <x v="57"/>
    <s v="REVENUS"/>
    <x v="2"/>
    <s v="4001.007"/>
    <s v="Acompte impôt sur revenu"/>
    <n v="0"/>
    <n v="15860.7"/>
    <n v="4001"/>
  </r>
  <r>
    <x v="0"/>
    <x v="5"/>
    <x v="1"/>
    <x v="64"/>
    <x v="57"/>
    <x v="57"/>
    <s v="REVENUS"/>
    <x v="4"/>
    <s v="4051.001"/>
    <s v="Impôt sur les successions"/>
    <n v="0"/>
    <n v="26175.5"/>
    <n v="4051"/>
  </r>
  <r>
    <x v="0"/>
    <x v="5"/>
    <x v="1"/>
    <x v="64"/>
    <x v="57"/>
    <x v="57"/>
    <s v="REVENUS"/>
    <x v="2"/>
    <s v="4001.007"/>
    <s v="Acompte impôt sur revenu"/>
    <n v="0"/>
    <n v="1131.5999999999999"/>
    <n v="4001"/>
  </r>
  <r>
    <x v="0"/>
    <x v="5"/>
    <x v="1"/>
    <x v="64"/>
    <x v="57"/>
    <x v="57"/>
    <s v="REVENUS"/>
    <x v="6"/>
    <s v="4221.002"/>
    <s v="Intérêts compensat. sur impôts distincts"/>
    <n v="0"/>
    <n v="18.28"/>
    <n v="4221"/>
  </r>
  <r>
    <x v="0"/>
    <x v="5"/>
    <x v="1"/>
    <x v="64"/>
    <x v="57"/>
    <x v="57"/>
    <s v="REVENUS"/>
    <x v="6"/>
    <s v="4211.001"/>
    <s v="Intérêts de retard sur factures"/>
    <n v="0"/>
    <n v="0.35"/>
    <n v="4211"/>
  </r>
  <r>
    <x v="0"/>
    <x v="5"/>
    <x v="1"/>
    <x v="64"/>
    <x v="57"/>
    <x v="57"/>
    <s v="REVENUS"/>
    <x v="10"/>
    <s v="4041.002"/>
    <s v="Complément droit de mutation"/>
    <n v="0"/>
    <n v="2"/>
    <n v="4041"/>
  </r>
  <r>
    <x v="0"/>
    <x v="5"/>
    <x v="1"/>
    <x v="64"/>
    <x v="57"/>
    <x v="57"/>
    <s v="REVENUS"/>
    <x v="2"/>
    <s v="4001.007"/>
    <s v="Acompte impôt sur revenu"/>
    <n v="0"/>
    <n v="-460.7"/>
    <n v="4001"/>
  </r>
  <r>
    <x v="0"/>
    <x v="5"/>
    <x v="1"/>
    <x v="64"/>
    <x v="57"/>
    <x v="57"/>
    <s v="REVENUS"/>
    <x v="3"/>
    <s v="4002.007"/>
    <s v="Acompte impôt sur fortune"/>
    <n v="0"/>
    <n v="-116.45"/>
    <n v="4002"/>
  </r>
  <r>
    <x v="0"/>
    <x v="5"/>
    <x v="1"/>
    <x v="64"/>
    <x v="57"/>
    <x v="57"/>
    <s v="REVENUS"/>
    <x v="2"/>
    <s v="4001.001"/>
    <s v="Impôt revenu"/>
    <n v="0"/>
    <n v="-9319.7000000000007"/>
    <n v="4001"/>
  </r>
  <r>
    <x v="0"/>
    <x v="5"/>
    <x v="1"/>
    <x v="64"/>
    <x v="57"/>
    <x v="57"/>
    <s v="REVENUS"/>
    <x v="3"/>
    <s v="4002.001"/>
    <s v="Impôt ordinaire s/fortune PP"/>
    <n v="0"/>
    <n v="-245.45"/>
    <n v="4002"/>
  </r>
  <r>
    <x v="0"/>
    <x v="5"/>
    <x v="1"/>
    <x v="64"/>
    <x v="57"/>
    <x v="57"/>
    <s v="REVENUS"/>
    <x v="6"/>
    <s v="4211.002"/>
    <s v="Intérêts de retard sur acomptes"/>
    <n v="0"/>
    <n v="-0.92"/>
    <n v="4211"/>
  </r>
  <r>
    <x v="0"/>
    <x v="5"/>
    <x v="1"/>
    <x v="64"/>
    <x v="57"/>
    <x v="57"/>
    <s v="REVENUS"/>
    <x v="6"/>
    <s v="4221.003"/>
    <s v="Intérêts compensat. / acomptes en faveur du fisc"/>
    <n v="0"/>
    <n v="-0.11"/>
    <n v="4221"/>
  </r>
  <r>
    <x v="0"/>
    <x v="5"/>
    <x v="1"/>
    <x v="64"/>
    <x v="57"/>
    <x v="57"/>
    <s v="REVENUS"/>
    <x v="2"/>
    <s v="4001.001"/>
    <s v="Impôt revenu"/>
    <n v="0"/>
    <n v="-72435.850000000006"/>
    <n v="4001"/>
  </r>
  <r>
    <x v="0"/>
    <x v="5"/>
    <x v="1"/>
    <x v="64"/>
    <x v="57"/>
    <x v="57"/>
    <s v="REVENUS"/>
    <x v="3"/>
    <s v="4002.001"/>
    <s v="Impôt ordinaire s/fortune PP"/>
    <n v="0"/>
    <n v="-3448.5"/>
    <n v="4002"/>
  </r>
  <r>
    <x v="0"/>
    <x v="5"/>
    <x v="1"/>
    <x v="64"/>
    <x v="57"/>
    <x v="57"/>
    <s v="REVENUS"/>
    <x v="6"/>
    <s v="4211.001"/>
    <s v="Intérêts de retard sur factures"/>
    <n v="0"/>
    <n v="-0.03"/>
    <n v="4211"/>
  </r>
  <r>
    <x v="0"/>
    <x v="5"/>
    <x v="1"/>
    <x v="64"/>
    <x v="57"/>
    <x v="57"/>
    <s v="REVENUS"/>
    <x v="6"/>
    <s v="4211.002"/>
    <s v="Intérêts de retard sur acomptes"/>
    <n v="0"/>
    <n v="-7.0000000000000007E-2"/>
    <n v="4211"/>
  </r>
  <r>
    <x v="0"/>
    <x v="5"/>
    <x v="1"/>
    <x v="64"/>
    <x v="57"/>
    <x v="57"/>
    <s v="REVENUS"/>
    <x v="6"/>
    <s v="4221.003"/>
    <s v="Intérêts compensat. / acomptes en faveur du fisc"/>
    <n v="0"/>
    <n v="-0.15"/>
    <n v="4221"/>
  </r>
  <r>
    <x v="0"/>
    <x v="5"/>
    <x v="1"/>
    <x v="64"/>
    <x v="57"/>
    <x v="57"/>
    <s v="REVENUS"/>
    <x v="3"/>
    <s v="4002.001"/>
    <s v="Impôt ordinaire s/fortune PP"/>
    <n v="0"/>
    <n v="4062.85"/>
    <n v="4002"/>
  </r>
  <r>
    <x v="0"/>
    <x v="5"/>
    <x v="1"/>
    <x v="64"/>
    <x v="57"/>
    <x v="57"/>
    <s v="REVENUS"/>
    <x v="6"/>
    <s v="4211.002"/>
    <s v="Intérêts de retard sur acomptes"/>
    <n v="0"/>
    <n v="9.73"/>
    <n v="4211"/>
  </r>
  <r>
    <x v="0"/>
    <x v="5"/>
    <x v="1"/>
    <x v="64"/>
    <x v="57"/>
    <x v="57"/>
    <s v="REVENUS"/>
    <x v="3"/>
    <s v="4002.001"/>
    <s v="Impôt ordinaire s/fortune PP"/>
    <n v="0"/>
    <n v="250.25"/>
    <n v="4002"/>
  </r>
  <r>
    <x v="0"/>
    <x v="5"/>
    <x v="1"/>
    <x v="64"/>
    <x v="57"/>
    <x v="57"/>
    <s v="REVENUS"/>
    <x v="6"/>
    <s v="4211.002"/>
    <s v="Intérêts de retard sur acomptes"/>
    <n v="0"/>
    <n v="0.52"/>
    <n v="4211"/>
  </r>
  <r>
    <x v="0"/>
    <x v="5"/>
    <x v="1"/>
    <x v="64"/>
    <x v="57"/>
    <x v="57"/>
    <s v="REVENUS"/>
    <x v="2"/>
    <s v="4001.001"/>
    <s v="Impôt revenu"/>
    <n v="0"/>
    <n v="803.1"/>
    <n v="4001"/>
  </r>
  <r>
    <x v="0"/>
    <x v="5"/>
    <x v="1"/>
    <x v="64"/>
    <x v="57"/>
    <x v="57"/>
    <s v="REVENUS"/>
    <x v="6"/>
    <s v="4221.003"/>
    <s v="Intérêts compensat. / acomptes en faveur du fisc"/>
    <n v="0"/>
    <n v="0.22"/>
    <n v="4221"/>
  </r>
  <r>
    <x v="0"/>
    <x v="5"/>
    <x v="1"/>
    <x v="64"/>
    <x v="57"/>
    <x v="57"/>
    <s v="REVENUS"/>
    <x v="11"/>
    <s v="4198.000"/>
    <s v="Contributions communales"/>
    <n v="0"/>
    <n v="38221.050000000003"/>
    <n v="4198"/>
  </r>
  <r>
    <x v="0"/>
    <x v="5"/>
    <x v="1"/>
    <x v="64"/>
    <x v="57"/>
    <x v="57"/>
    <s v="REVENUS"/>
    <x v="8"/>
    <s v="4091.001"/>
    <s v="Impôt récupéré après défalcations"/>
    <n v="0"/>
    <n v="9748.7199999999993"/>
    <n v="4091"/>
  </r>
  <r>
    <x v="0"/>
    <x v="5"/>
    <x v="1"/>
    <x v="64"/>
    <x v="57"/>
    <x v="57"/>
    <s v="REVENUS"/>
    <x v="5"/>
    <s v="4061.000"/>
    <s v="Impôt sur les chiens"/>
    <n v="0"/>
    <n v="1825"/>
    <n v="4061"/>
  </r>
  <r>
    <x v="0"/>
    <x v="5"/>
    <x v="1"/>
    <x v="64"/>
    <x v="57"/>
    <x v="57"/>
    <s v="REVENUS"/>
    <x v="2"/>
    <s v="4001.003"/>
    <s v="Impôt s/prest. cap. PP"/>
    <n v="0"/>
    <n v="-4580.8999999999996"/>
    <n v="4001"/>
  </r>
  <r>
    <x v="0"/>
    <x v="5"/>
    <x v="1"/>
    <x v="64"/>
    <x v="57"/>
    <x v="57"/>
    <s v="REVENUS"/>
    <x v="6"/>
    <s v="4221.002"/>
    <s v="Intérêts compensat. sur impôts distincts"/>
    <n v="0"/>
    <n v="-6.05"/>
    <n v="4221"/>
  </r>
  <r>
    <x v="0"/>
    <x v="5"/>
    <x v="1"/>
    <x v="64"/>
    <x v="57"/>
    <x v="57"/>
    <s v="REVENUS"/>
    <x v="2"/>
    <s v="4001.001"/>
    <s v="Impôt revenu"/>
    <n v="0"/>
    <n v="686.95"/>
    <n v="4001"/>
  </r>
  <r>
    <x v="0"/>
    <x v="5"/>
    <x v="1"/>
    <x v="64"/>
    <x v="57"/>
    <x v="57"/>
    <s v="REVENUS"/>
    <x v="3"/>
    <s v="4002.001"/>
    <s v="Impôt ordinaire s/fortune PP"/>
    <n v="0"/>
    <n v="244.95"/>
    <n v="4002"/>
  </r>
  <r>
    <x v="0"/>
    <x v="5"/>
    <x v="1"/>
    <x v="64"/>
    <x v="57"/>
    <x v="57"/>
    <s v="REVENUS"/>
    <x v="6"/>
    <s v="4221.003"/>
    <s v="Intérêts compensat. / acomptes en faveur du fisc"/>
    <n v="0"/>
    <n v="0.09"/>
    <n v="4221"/>
  </r>
  <r>
    <x v="0"/>
    <x v="5"/>
    <x v="1"/>
    <x v="64"/>
    <x v="57"/>
    <x v="57"/>
    <s v="REVENUS"/>
    <x v="9"/>
    <s v="4031.001"/>
    <s v="Impôt sur les gains immobiliers"/>
    <n v="0"/>
    <n v="23013.200000000001"/>
    <n v="4031"/>
  </r>
  <r>
    <x v="0"/>
    <x v="5"/>
    <x v="1"/>
    <x v="64"/>
    <x v="57"/>
    <x v="57"/>
    <s v="REVENUS"/>
    <x v="2"/>
    <s v="4001.002"/>
    <s v="Impôt complément s/revenu PP"/>
    <n v="0"/>
    <n v="27.5"/>
    <n v="4001"/>
  </r>
  <r>
    <x v="0"/>
    <x v="5"/>
    <x v="1"/>
    <x v="64"/>
    <x v="57"/>
    <x v="57"/>
    <s v="REVENUS"/>
    <x v="3"/>
    <s v="4002.002"/>
    <s v="Impôt complémentaire s/fortune PP"/>
    <n v="0"/>
    <n v="11.15"/>
    <n v="4002"/>
  </r>
  <r>
    <x v="0"/>
    <x v="5"/>
    <x v="1"/>
    <x v="64"/>
    <x v="57"/>
    <x v="57"/>
    <s v="REVENUS"/>
    <x v="2"/>
    <s v="4001.007"/>
    <s v="Acompte impôt sur revenu"/>
    <n v="0"/>
    <n v="-58.93"/>
    <n v="4001"/>
  </r>
  <r>
    <x v="0"/>
    <x v="5"/>
    <x v="1"/>
    <x v="64"/>
    <x v="57"/>
    <x v="57"/>
    <s v="REVENUS"/>
    <x v="3"/>
    <s v="4002.007"/>
    <s v="Acompte impôt sur fortune"/>
    <n v="0"/>
    <n v="31.12"/>
    <n v="4002"/>
  </r>
  <r>
    <x v="0"/>
    <x v="5"/>
    <x v="1"/>
    <x v="64"/>
    <x v="57"/>
    <x v="57"/>
    <s v="REVENUS"/>
    <x v="2"/>
    <s v="4001.001"/>
    <s v="Impôt revenu"/>
    <n v="0"/>
    <n v="141.4"/>
    <n v="4001"/>
  </r>
  <r>
    <x v="0"/>
    <x v="5"/>
    <x v="1"/>
    <x v="64"/>
    <x v="57"/>
    <x v="57"/>
    <s v="REVENUS"/>
    <x v="2"/>
    <s v="4001.003"/>
    <s v="Impôt s/prest. cap. PP"/>
    <n v="0"/>
    <n v="-810.85"/>
    <n v="4001"/>
  </r>
  <r>
    <x v="0"/>
    <x v="5"/>
    <x v="1"/>
    <x v="65"/>
    <x v="58"/>
    <x v="58"/>
    <s v="CHARGES"/>
    <x v="0"/>
    <s v="3212.002"/>
    <s v="Intérêts bonifiés/trop perçu acompte C/C"/>
    <n v="58.11"/>
    <n v="0"/>
    <n v="3212"/>
  </r>
  <r>
    <x v="0"/>
    <x v="5"/>
    <x v="1"/>
    <x v="65"/>
    <x v="58"/>
    <x v="58"/>
    <s v="CHARGES"/>
    <x v="0"/>
    <s v="3212.004"/>
    <s v="Intérêts rémun./perçu trop tôt sur acomptes C/C"/>
    <n v="399.57"/>
    <n v="0"/>
    <n v="3212"/>
  </r>
  <r>
    <x v="0"/>
    <x v="5"/>
    <x v="1"/>
    <x v="65"/>
    <x v="58"/>
    <x v="58"/>
    <s v="CHARGES"/>
    <x v="0"/>
    <s v="3221.002"/>
    <s v="Intérêts compensatoires / créances en faveur ctb."/>
    <n v="200.96"/>
    <n v="0"/>
    <n v="3221"/>
  </r>
  <r>
    <x v="0"/>
    <x v="5"/>
    <x v="1"/>
    <x v="65"/>
    <x v="58"/>
    <x v="58"/>
    <s v="CHARGES"/>
    <x v="1"/>
    <s v="3301.001"/>
    <s v="Défalcations, abandons de solde PP et IS"/>
    <n v="58306.16"/>
    <n v="0"/>
    <n v="3301"/>
  </r>
  <r>
    <x v="0"/>
    <x v="5"/>
    <x v="1"/>
    <x v="65"/>
    <x v="58"/>
    <x v="58"/>
    <s v="CHARGES"/>
    <x v="0"/>
    <s v="3221.002"/>
    <s v="Intérêts compensatoires / créances en faveur ctb."/>
    <n v="9.81"/>
    <n v="0"/>
    <n v="3221"/>
  </r>
  <r>
    <x v="0"/>
    <x v="5"/>
    <x v="1"/>
    <x v="65"/>
    <x v="58"/>
    <x v="58"/>
    <s v="CHARGES"/>
    <x v="1"/>
    <s v="3301.001"/>
    <s v="Défalcations, abandons de solde PP et IS"/>
    <n v="1.55"/>
    <n v="0"/>
    <n v="3301"/>
  </r>
  <r>
    <x v="0"/>
    <x v="5"/>
    <x v="1"/>
    <x v="65"/>
    <x v="58"/>
    <x v="58"/>
    <s v="CHARGES"/>
    <x v="1"/>
    <s v="3301.001"/>
    <s v="Défalcations, abandons de solde PP et IS"/>
    <n v="41020.26"/>
    <n v="0"/>
    <n v="3301"/>
  </r>
  <r>
    <x v="0"/>
    <x v="5"/>
    <x v="1"/>
    <x v="65"/>
    <x v="58"/>
    <x v="58"/>
    <s v="CHARGES"/>
    <x v="1"/>
    <s v="3301.003"/>
    <s v="Remises PP et IS"/>
    <n v="342.55"/>
    <n v="0"/>
    <n v="3301"/>
  </r>
  <r>
    <x v="0"/>
    <x v="5"/>
    <x v="1"/>
    <x v="65"/>
    <x v="58"/>
    <x v="58"/>
    <s v="CHARGES"/>
    <x v="0"/>
    <s v="3212.004"/>
    <s v="Intérêts rémun./perçu trop tôt sur acomptes C/C"/>
    <n v="1.61"/>
    <n v="0"/>
    <n v="3212"/>
  </r>
  <r>
    <x v="0"/>
    <x v="5"/>
    <x v="1"/>
    <x v="65"/>
    <x v="58"/>
    <x v="58"/>
    <s v="CHARGES"/>
    <x v="0"/>
    <s v="3221.002"/>
    <s v="Intérêts compensatoires / créances en faveur ctb."/>
    <n v="0.26"/>
    <n v="0"/>
    <n v="3221"/>
  </r>
  <r>
    <x v="0"/>
    <x v="5"/>
    <x v="1"/>
    <x v="65"/>
    <x v="58"/>
    <x v="58"/>
    <s v="CHARGES"/>
    <x v="0"/>
    <s v="3212.004"/>
    <s v="Intérêts rémun./perçu trop tôt sur acomptes C/C"/>
    <n v="7.92"/>
    <n v="0"/>
    <n v="3212"/>
  </r>
  <r>
    <x v="0"/>
    <x v="5"/>
    <x v="1"/>
    <x v="65"/>
    <x v="58"/>
    <x v="58"/>
    <s v="CHARGES"/>
    <x v="1"/>
    <s v="3301.001"/>
    <s v="Défalcations, abandons de solde PP et IS"/>
    <n v="0.59"/>
    <n v="0"/>
    <n v="3301"/>
  </r>
  <r>
    <x v="0"/>
    <x v="5"/>
    <x v="1"/>
    <x v="65"/>
    <x v="58"/>
    <x v="58"/>
    <s v="CHARGES"/>
    <x v="1"/>
    <s v="3301.001"/>
    <s v="Défalcations, abandons de solde PP et IS"/>
    <n v="-0.01"/>
    <n v="0"/>
    <n v="3301"/>
  </r>
  <r>
    <x v="0"/>
    <x v="5"/>
    <x v="1"/>
    <x v="65"/>
    <x v="58"/>
    <x v="58"/>
    <s v="CHARGES"/>
    <x v="0"/>
    <s v="3221.002"/>
    <s v="Intérêts compensatoires / créances en faveur ctb."/>
    <n v="2.89"/>
    <n v="0"/>
    <n v="3221"/>
  </r>
  <r>
    <x v="0"/>
    <x v="5"/>
    <x v="1"/>
    <x v="65"/>
    <x v="58"/>
    <x v="58"/>
    <s v="CHARGES"/>
    <x v="0"/>
    <s v="3212.004"/>
    <s v="Intérêts rémun./perçu trop tôt sur acomptes C/C"/>
    <n v="0.04"/>
    <n v="0"/>
    <n v="3212"/>
  </r>
  <r>
    <x v="0"/>
    <x v="5"/>
    <x v="1"/>
    <x v="65"/>
    <x v="58"/>
    <x v="58"/>
    <s v="CHARGES"/>
    <x v="0"/>
    <s v="3212.004"/>
    <s v="Intérêts rémun./perçu trop tôt sur acomptes C/C"/>
    <n v="1.99"/>
    <n v="0"/>
    <n v="3212"/>
  </r>
  <r>
    <x v="0"/>
    <x v="5"/>
    <x v="1"/>
    <x v="65"/>
    <x v="58"/>
    <x v="58"/>
    <s v="CHARGES"/>
    <x v="1"/>
    <s v="3301.001"/>
    <s v="Défalcations, abandons de solde PP et IS"/>
    <n v="-5.23"/>
    <n v="0"/>
    <n v="3301"/>
  </r>
  <r>
    <x v="0"/>
    <x v="5"/>
    <x v="1"/>
    <x v="65"/>
    <x v="58"/>
    <x v="58"/>
    <s v="CHARGES"/>
    <x v="0"/>
    <s v="3221.002"/>
    <s v="Intérêts compensatoires / créances en faveur ctb."/>
    <n v="0.04"/>
    <n v="0"/>
    <n v="3221"/>
  </r>
  <r>
    <x v="0"/>
    <x v="5"/>
    <x v="1"/>
    <x v="65"/>
    <x v="58"/>
    <x v="58"/>
    <s v="CHARGES"/>
    <x v="1"/>
    <s v="3301.001"/>
    <s v="Défalcations, abandons de solde PP et IS"/>
    <n v="1.17"/>
    <n v="0"/>
    <n v="3301"/>
  </r>
  <r>
    <x v="0"/>
    <x v="5"/>
    <x v="1"/>
    <x v="65"/>
    <x v="58"/>
    <x v="58"/>
    <s v="CHARGES"/>
    <x v="0"/>
    <s v="3212.002"/>
    <s v="Intérêts bonifiés/trop perçu acompte C/C"/>
    <n v="0.02"/>
    <n v="0"/>
    <n v="3212"/>
  </r>
  <r>
    <x v="0"/>
    <x v="5"/>
    <x v="1"/>
    <x v="65"/>
    <x v="58"/>
    <x v="58"/>
    <s v="REVENUS"/>
    <x v="2"/>
    <s v="4001.007"/>
    <s v="Acompte impôt sur revenu"/>
    <n v="0"/>
    <n v="-365220.46"/>
    <n v="4001"/>
  </r>
  <r>
    <x v="0"/>
    <x v="5"/>
    <x v="1"/>
    <x v="65"/>
    <x v="58"/>
    <x v="58"/>
    <s v="REVENUS"/>
    <x v="3"/>
    <s v="4002.007"/>
    <s v="Acompte impôt sur fortune"/>
    <n v="0"/>
    <n v="-62645.81"/>
    <n v="4002"/>
  </r>
  <r>
    <x v="0"/>
    <x v="5"/>
    <x v="1"/>
    <x v="65"/>
    <x v="58"/>
    <x v="58"/>
    <s v="REVENUS"/>
    <x v="2"/>
    <s v="4001.001"/>
    <s v="Impôt revenu"/>
    <n v="0"/>
    <n v="2096652.05"/>
    <n v="4001"/>
  </r>
  <r>
    <x v="0"/>
    <x v="5"/>
    <x v="1"/>
    <x v="65"/>
    <x v="58"/>
    <x v="58"/>
    <s v="REVENUS"/>
    <x v="2"/>
    <s v="4001.002"/>
    <s v="Impôt complément s/revenu PP"/>
    <n v="0"/>
    <n v="261471.35"/>
    <n v="4001"/>
  </r>
  <r>
    <x v="0"/>
    <x v="5"/>
    <x v="1"/>
    <x v="65"/>
    <x v="58"/>
    <x v="58"/>
    <s v="REVENUS"/>
    <x v="2"/>
    <s v="4001.007"/>
    <s v="Acompte impôt sur revenu"/>
    <n v="0"/>
    <n v="283173.73"/>
    <n v="4001"/>
  </r>
  <r>
    <x v="0"/>
    <x v="5"/>
    <x v="1"/>
    <x v="65"/>
    <x v="58"/>
    <x v="58"/>
    <s v="REVENUS"/>
    <x v="3"/>
    <s v="4002.001"/>
    <s v="Impôt ordinaire s/fortune PP"/>
    <n v="0"/>
    <n v="189381.85"/>
    <n v="4002"/>
  </r>
  <r>
    <x v="0"/>
    <x v="5"/>
    <x v="1"/>
    <x v="65"/>
    <x v="58"/>
    <x v="58"/>
    <s v="REVENUS"/>
    <x v="3"/>
    <s v="4002.002"/>
    <s v="Impôt complémentaire s/fortune PP"/>
    <n v="0"/>
    <n v="48084.35"/>
    <n v="4002"/>
  </r>
  <r>
    <x v="0"/>
    <x v="5"/>
    <x v="1"/>
    <x v="65"/>
    <x v="58"/>
    <x v="58"/>
    <s v="REVENUS"/>
    <x v="3"/>
    <s v="4002.007"/>
    <s v="Acompte impôt sur fortune"/>
    <n v="0"/>
    <n v="75345.61"/>
    <n v="4002"/>
  </r>
  <r>
    <x v="0"/>
    <x v="5"/>
    <x v="1"/>
    <x v="65"/>
    <x v="58"/>
    <x v="58"/>
    <s v="REVENUS"/>
    <x v="6"/>
    <s v="4211.001"/>
    <s v="Intérêts de retard sur factures"/>
    <n v="0"/>
    <n v="7827.06"/>
    <n v="4211"/>
  </r>
  <r>
    <x v="0"/>
    <x v="5"/>
    <x v="1"/>
    <x v="65"/>
    <x v="58"/>
    <x v="58"/>
    <s v="REVENUS"/>
    <x v="6"/>
    <s v="4211.002"/>
    <s v="Intérêts de retard sur acomptes"/>
    <n v="0"/>
    <n v="18105.21"/>
    <n v="4211"/>
  </r>
  <r>
    <x v="0"/>
    <x v="5"/>
    <x v="1"/>
    <x v="65"/>
    <x v="58"/>
    <x v="58"/>
    <s v="REVENUS"/>
    <x v="6"/>
    <s v="4221.003"/>
    <s v="Intérêts compensat. / acomptes en faveur du fisc"/>
    <n v="0"/>
    <n v="184.85"/>
    <n v="4221"/>
  </r>
  <r>
    <x v="0"/>
    <x v="5"/>
    <x v="1"/>
    <x v="65"/>
    <x v="58"/>
    <x v="58"/>
    <s v="REVENUS"/>
    <x v="7"/>
    <s v="4184.000"/>
    <s v="Frais de poursuite"/>
    <n v="0"/>
    <n v="2956.27"/>
    <n v="4184"/>
  </r>
  <r>
    <x v="0"/>
    <x v="5"/>
    <x v="1"/>
    <x v="65"/>
    <x v="58"/>
    <x v="58"/>
    <s v="REVENUS"/>
    <x v="3"/>
    <s v="4002.007"/>
    <s v="Acompte impôt sur fortune"/>
    <n v="0"/>
    <n v="-419.4"/>
    <n v="4002"/>
  </r>
  <r>
    <x v="0"/>
    <x v="5"/>
    <x v="1"/>
    <x v="65"/>
    <x v="58"/>
    <x v="58"/>
    <s v="REVENUS"/>
    <x v="3"/>
    <s v="4002.007"/>
    <s v="Acompte impôt sur fortune"/>
    <n v="0"/>
    <n v="-420.27"/>
    <n v="4002"/>
  </r>
  <r>
    <x v="0"/>
    <x v="5"/>
    <x v="1"/>
    <x v="65"/>
    <x v="58"/>
    <x v="58"/>
    <s v="REVENUS"/>
    <x v="2"/>
    <s v="4001.003"/>
    <s v="Impôt s/prest. cap. PP"/>
    <n v="0"/>
    <n v="58458.05"/>
    <n v="4001"/>
  </r>
  <r>
    <x v="0"/>
    <x v="5"/>
    <x v="1"/>
    <x v="65"/>
    <x v="58"/>
    <x v="58"/>
    <s v="REVENUS"/>
    <x v="6"/>
    <s v="4211.001"/>
    <s v="Intérêts de retard sur factures"/>
    <n v="0"/>
    <n v="4.34"/>
    <n v="4211"/>
  </r>
  <r>
    <x v="0"/>
    <x v="5"/>
    <x v="1"/>
    <x v="65"/>
    <x v="58"/>
    <x v="58"/>
    <s v="REVENUS"/>
    <x v="6"/>
    <s v="4211.001"/>
    <s v="Intérêts de retard sur factures"/>
    <n v="0"/>
    <n v="6.81"/>
    <n v="4211"/>
  </r>
  <r>
    <x v="0"/>
    <x v="5"/>
    <x v="1"/>
    <x v="65"/>
    <x v="58"/>
    <x v="58"/>
    <s v="REVENUS"/>
    <x v="10"/>
    <s v="4041.001"/>
    <s v="Droits de mutation"/>
    <n v="0"/>
    <n v="73307.399999999994"/>
    <n v="4041"/>
  </r>
  <r>
    <x v="0"/>
    <x v="5"/>
    <x v="1"/>
    <x v="65"/>
    <x v="58"/>
    <x v="58"/>
    <s v="REVENUS"/>
    <x v="2"/>
    <s v="4001.007"/>
    <s v="Acompte impôt sur revenu"/>
    <n v="0"/>
    <n v="498.1"/>
    <n v="4001"/>
  </r>
  <r>
    <x v="0"/>
    <x v="5"/>
    <x v="1"/>
    <x v="65"/>
    <x v="58"/>
    <x v="58"/>
    <s v="REVENUS"/>
    <x v="2"/>
    <s v="4001.007"/>
    <s v="Acompte impôt sur revenu"/>
    <n v="0"/>
    <n v="-828.81"/>
    <n v="4001"/>
  </r>
  <r>
    <x v="0"/>
    <x v="5"/>
    <x v="1"/>
    <x v="65"/>
    <x v="58"/>
    <x v="58"/>
    <s v="REVENUS"/>
    <x v="3"/>
    <s v="4002.007"/>
    <s v="Acompte impôt sur fortune"/>
    <n v="0"/>
    <n v="479.32"/>
    <n v="4002"/>
  </r>
  <r>
    <x v="0"/>
    <x v="5"/>
    <x v="1"/>
    <x v="65"/>
    <x v="58"/>
    <x v="58"/>
    <s v="REVENUS"/>
    <x v="3"/>
    <s v="4002.007"/>
    <s v="Acompte impôt sur fortune"/>
    <n v="0"/>
    <n v="-1.4"/>
    <n v="4002"/>
  </r>
  <r>
    <x v="0"/>
    <x v="5"/>
    <x v="1"/>
    <x v="65"/>
    <x v="58"/>
    <x v="58"/>
    <s v="REVENUS"/>
    <x v="3"/>
    <s v="4002.007"/>
    <s v="Acompte impôt sur fortune"/>
    <n v="0"/>
    <n v="875.52"/>
    <n v="4002"/>
  </r>
  <r>
    <x v="0"/>
    <x v="5"/>
    <x v="1"/>
    <x v="65"/>
    <x v="58"/>
    <x v="58"/>
    <s v="REVENUS"/>
    <x v="2"/>
    <s v="4001.007"/>
    <s v="Acompte impôt sur revenu"/>
    <n v="0"/>
    <n v="2115.37"/>
    <n v="4001"/>
  </r>
  <r>
    <x v="0"/>
    <x v="5"/>
    <x v="1"/>
    <x v="65"/>
    <x v="58"/>
    <x v="58"/>
    <s v="REVENUS"/>
    <x v="2"/>
    <s v="4001.003"/>
    <s v="Impôt s/prest. cap. PP"/>
    <n v="0"/>
    <n v="-2752.8"/>
    <n v="4001"/>
  </r>
  <r>
    <x v="0"/>
    <x v="5"/>
    <x v="1"/>
    <x v="65"/>
    <x v="58"/>
    <x v="58"/>
    <s v="REVENUS"/>
    <x v="2"/>
    <s v="4001.007"/>
    <s v="Acompte impôt sur revenu"/>
    <n v="0"/>
    <n v="465.2"/>
    <n v="4001"/>
  </r>
  <r>
    <x v="0"/>
    <x v="5"/>
    <x v="1"/>
    <x v="65"/>
    <x v="58"/>
    <x v="58"/>
    <s v="REVENUS"/>
    <x v="6"/>
    <s v="4221.002"/>
    <s v="Intérêts compensat. sur impôts distincts"/>
    <n v="0"/>
    <n v="17.78"/>
    <n v="4221"/>
  </r>
  <r>
    <x v="0"/>
    <x v="5"/>
    <x v="1"/>
    <x v="65"/>
    <x v="58"/>
    <x v="58"/>
    <s v="REVENUS"/>
    <x v="3"/>
    <s v="4002.001"/>
    <s v="Impôt ordinaire s/fortune PP"/>
    <n v="0"/>
    <n v="1524.75"/>
    <n v="4002"/>
  </r>
  <r>
    <x v="0"/>
    <x v="5"/>
    <x v="1"/>
    <x v="65"/>
    <x v="58"/>
    <x v="58"/>
    <s v="REVENUS"/>
    <x v="6"/>
    <s v="4221.003"/>
    <s v="Intérêts compensat. / acomptes en faveur du fisc"/>
    <n v="0"/>
    <n v="0.78"/>
    <n v="4221"/>
  </r>
  <r>
    <x v="0"/>
    <x v="5"/>
    <x v="1"/>
    <x v="65"/>
    <x v="58"/>
    <x v="58"/>
    <s v="REVENUS"/>
    <x v="2"/>
    <s v="4001.001"/>
    <s v="Impôt revenu"/>
    <n v="0"/>
    <n v="11711"/>
    <n v="4001"/>
  </r>
  <r>
    <x v="0"/>
    <x v="5"/>
    <x v="1"/>
    <x v="65"/>
    <x v="58"/>
    <x v="58"/>
    <s v="REVENUS"/>
    <x v="3"/>
    <s v="4002.001"/>
    <s v="Impôt ordinaire s/fortune PP"/>
    <n v="0"/>
    <n v="5788.85"/>
    <n v="4002"/>
  </r>
  <r>
    <x v="0"/>
    <x v="5"/>
    <x v="1"/>
    <x v="65"/>
    <x v="58"/>
    <x v="58"/>
    <s v="REVENUS"/>
    <x v="6"/>
    <s v="4211.002"/>
    <s v="Intérêts de retard sur acomptes"/>
    <n v="0"/>
    <n v="15.76"/>
    <n v="4211"/>
  </r>
  <r>
    <x v="0"/>
    <x v="5"/>
    <x v="1"/>
    <x v="65"/>
    <x v="58"/>
    <x v="58"/>
    <s v="REVENUS"/>
    <x v="6"/>
    <s v="4221.003"/>
    <s v="Intérêts compensat. / acomptes en faveur du fisc"/>
    <n v="0"/>
    <n v="1.66"/>
    <n v="4221"/>
  </r>
  <r>
    <x v="0"/>
    <x v="5"/>
    <x v="1"/>
    <x v="65"/>
    <x v="58"/>
    <x v="58"/>
    <s v="REVENUS"/>
    <x v="11"/>
    <s v="4198.000"/>
    <s v="Contributions communales"/>
    <n v="0"/>
    <n v="215894.95"/>
    <n v="4198"/>
  </r>
  <r>
    <x v="0"/>
    <x v="5"/>
    <x v="1"/>
    <x v="65"/>
    <x v="58"/>
    <x v="58"/>
    <s v="REVENUS"/>
    <x v="9"/>
    <s v="4031.001"/>
    <s v="Impôt sur les gains immobiliers"/>
    <n v="0"/>
    <n v="40065.199999999997"/>
    <n v="4031"/>
  </r>
  <r>
    <x v="0"/>
    <x v="5"/>
    <x v="1"/>
    <x v="65"/>
    <x v="58"/>
    <x v="58"/>
    <s v="REVENUS"/>
    <x v="8"/>
    <s v="4091.001"/>
    <s v="Impôt récupéré après défalcations"/>
    <n v="0"/>
    <n v="26156.83"/>
    <n v="4091"/>
  </r>
  <r>
    <x v="0"/>
    <x v="5"/>
    <x v="1"/>
    <x v="65"/>
    <x v="58"/>
    <x v="58"/>
    <s v="REVENUS"/>
    <x v="2"/>
    <s v="4001.001"/>
    <s v="Impôt revenu"/>
    <n v="0"/>
    <n v="1497.95"/>
    <n v="4001"/>
  </r>
  <r>
    <x v="0"/>
    <x v="5"/>
    <x v="1"/>
    <x v="65"/>
    <x v="58"/>
    <x v="58"/>
    <s v="REVENUS"/>
    <x v="3"/>
    <s v="4002.001"/>
    <s v="Impôt ordinaire s/fortune PP"/>
    <n v="0"/>
    <n v="363.7"/>
    <n v="4002"/>
  </r>
  <r>
    <x v="0"/>
    <x v="5"/>
    <x v="1"/>
    <x v="65"/>
    <x v="58"/>
    <x v="58"/>
    <s v="REVENUS"/>
    <x v="2"/>
    <s v="4001.003"/>
    <s v="Impôt s/prest. cap. PP"/>
    <n v="0"/>
    <n v="-4858.3"/>
    <n v="4001"/>
  </r>
  <r>
    <x v="0"/>
    <x v="5"/>
    <x v="1"/>
    <x v="65"/>
    <x v="58"/>
    <x v="58"/>
    <s v="REVENUS"/>
    <x v="2"/>
    <s v="4001.007"/>
    <s v="Acompte impôt sur revenu"/>
    <n v="0"/>
    <n v="-0.2"/>
    <n v="4001"/>
  </r>
  <r>
    <x v="0"/>
    <x v="5"/>
    <x v="1"/>
    <x v="65"/>
    <x v="58"/>
    <x v="58"/>
    <s v="REVENUS"/>
    <x v="3"/>
    <s v="4002.007"/>
    <s v="Acompte impôt sur fortune"/>
    <n v="0"/>
    <n v="0.2"/>
    <n v="4002"/>
  </r>
  <r>
    <x v="0"/>
    <x v="5"/>
    <x v="1"/>
    <x v="65"/>
    <x v="58"/>
    <x v="58"/>
    <s v="REVENUS"/>
    <x v="2"/>
    <s v="4001.001"/>
    <s v="Impôt revenu"/>
    <n v="0"/>
    <n v="3052"/>
    <n v="4001"/>
  </r>
  <r>
    <x v="0"/>
    <x v="5"/>
    <x v="1"/>
    <x v="65"/>
    <x v="58"/>
    <x v="58"/>
    <s v="REVENUS"/>
    <x v="2"/>
    <s v="4001.001"/>
    <s v="Impôt revenu"/>
    <n v="0"/>
    <n v="-95081.85"/>
    <n v="4001"/>
  </r>
  <r>
    <x v="0"/>
    <x v="5"/>
    <x v="1"/>
    <x v="65"/>
    <x v="58"/>
    <x v="58"/>
    <s v="REVENUS"/>
    <x v="2"/>
    <s v="4001.002"/>
    <s v="Impôt complément s/revenu PP"/>
    <n v="0"/>
    <n v="-8960.15"/>
    <n v="4001"/>
  </r>
  <r>
    <x v="0"/>
    <x v="5"/>
    <x v="1"/>
    <x v="65"/>
    <x v="58"/>
    <x v="58"/>
    <s v="REVENUS"/>
    <x v="3"/>
    <s v="4002.001"/>
    <s v="Impôt ordinaire s/fortune PP"/>
    <n v="0"/>
    <n v="-22310.85"/>
    <n v="4002"/>
  </r>
  <r>
    <x v="0"/>
    <x v="5"/>
    <x v="1"/>
    <x v="65"/>
    <x v="58"/>
    <x v="58"/>
    <s v="REVENUS"/>
    <x v="3"/>
    <s v="4002.002"/>
    <s v="Impôt complémentaire s/fortune PP"/>
    <n v="0"/>
    <n v="-3842.95"/>
    <n v="4002"/>
  </r>
  <r>
    <x v="0"/>
    <x v="5"/>
    <x v="1"/>
    <x v="65"/>
    <x v="58"/>
    <x v="58"/>
    <s v="REVENUS"/>
    <x v="2"/>
    <s v="4001.002"/>
    <s v="Impôt complément s/revenu PP"/>
    <n v="0"/>
    <n v="371.8"/>
    <n v="4001"/>
  </r>
  <r>
    <x v="0"/>
    <x v="5"/>
    <x v="1"/>
    <x v="65"/>
    <x v="58"/>
    <x v="58"/>
    <s v="REVENUS"/>
    <x v="6"/>
    <s v="4211.002"/>
    <s v="Intérêts de retard sur acomptes"/>
    <n v="0"/>
    <n v="3.8"/>
    <n v="4211"/>
  </r>
  <r>
    <x v="0"/>
    <x v="5"/>
    <x v="1"/>
    <x v="65"/>
    <x v="58"/>
    <x v="58"/>
    <s v="REVENUS"/>
    <x v="6"/>
    <s v="4221.003"/>
    <s v="Intérêts compensat. / acomptes en faveur du fisc"/>
    <n v="0"/>
    <n v="-0.01"/>
    <n v="4221"/>
  </r>
  <r>
    <x v="0"/>
    <x v="5"/>
    <x v="1"/>
    <x v="65"/>
    <x v="58"/>
    <x v="58"/>
    <s v="REVENUS"/>
    <x v="2"/>
    <s v="4001.002"/>
    <s v="Impôt complément s/revenu PP"/>
    <n v="0"/>
    <n v="18138.3"/>
    <n v="4001"/>
  </r>
  <r>
    <x v="0"/>
    <x v="5"/>
    <x v="1"/>
    <x v="65"/>
    <x v="58"/>
    <x v="58"/>
    <s v="REVENUS"/>
    <x v="3"/>
    <s v="4002.002"/>
    <s v="Impôt complémentaire s/fortune PP"/>
    <n v="0"/>
    <n v="491.45"/>
    <n v="4002"/>
  </r>
  <r>
    <x v="0"/>
    <x v="5"/>
    <x v="1"/>
    <x v="65"/>
    <x v="58"/>
    <x v="58"/>
    <s v="REVENUS"/>
    <x v="6"/>
    <s v="4211.001"/>
    <s v="Intérêts de retard sur factures"/>
    <n v="0"/>
    <n v="1.57"/>
    <n v="4211"/>
  </r>
  <r>
    <x v="0"/>
    <x v="5"/>
    <x v="1"/>
    <x v="65"/>
    <x v="58"/>
    <x v="58"/>
    <s v="REVENUS"/>
    <x v="9"/>
    <s v="4031.001"/>
    <s v="Impôt sur les gains immobiliers"/>
    <n v="0"/>
    <n v="-3030.7"/>
    <n v="4031"/>
  </r>
  <r>
    <x v="0"/>
    <x v="5"/>
    <x v="1"/>
    <x v="65"/>
    <x v="58"/>
    <x v="58"/>
    <s v="REVENUS"/>
    <x v="6"/>
    <s v="4211.002"/>
    <s v="Intérêts de retard sur acomptes"/>
    <n v="0"/>
    <n v="36.979999999999997"/>
    <n v="4211"/>
  </r>
  <r>
    <x v="0"/>
    <x v="5"/>
    <x v="1"/>
    <x v="65"/>
    <x v="58"/>
    <x v="58"/>
    <s v="REVENUS"/>
    <x v="3"/>
    <s v="4002.001"/>
    <s v="Impôt ordinaire s/fortune PP"/>
    <n v="0"/>
    <n v="55.8"/>
    <n v="4002"/>
  </r>
  <r>
    <x v="0"/>
    <x v="5"/>
    <x v="1"/>
    <x v="65"/>
    <x v="58"/>
    <x v="58"/>
    <s v="REVENUS"/>
    <x v="2"/>
    <s v="4001.001"/>
    <s v="Impôt revenu"/>
    <n v="0"/>
    <n v="1556.05"/>
    <n v="4001"/>
  </r>
  <r>
    <x v="0"/>
    <x v="5"/>
    <x v="1"/>
    <x v="65"/>
    <x v="58"/>
    <x v="58"/>
    <s v="REVENUS"/>
    <x v="3"/>
    <s v="4002.001"/>
    <s v="Impôt ordinaire s/fortune PP"/>
    <n v="0"/>
    <n v="1366.55"/>
    <n v="4002"/>
  </r>
  <r>
    <x v="0"/>
    <x v="5"/>
    <x v="1"/>
    <x v="65"/>
    <x v="58"/>
    <x v="58"/>
    <s v="REVENUS"/>
    <x v="7"/>
    <s v="4184.000"/>
    <s v="Frais de poursuite"/>
    <n v="0"/>
    <n v="74.849999999999994"/>
    <n v="4184"/>
  </r>
  <r>
    <x v="0"/>
    <x v="5"/>
    <x v="1"/>
    <x v="65"/>
    <x v="58"/>
    <x v="58"/>
    <s v="REVENUS"/>
    <x v="5"/>
    <s v="4061.000"/>
    <s v="Impôt sur les chiens"/>
    <n v="0"/>
    <n v="6080"/>
    <n v="4061"/>
  </r>
  <r>
    <x v="0"/>
    <x v="5"/>
    <x v="1"/>
    <x v="65"/>
    <x v="58"/>
    <x v="58"/>
    <s v="REVENUS"/>
    <x v="3"/>
    <s v="4002.007"/>
    <s v="Acompte impôt sur fortune"/>
    <n v="0"/>
    <n v="-35.25"/>
    <n v="4002"/>
  </r>
  <r>
    <x v="0"/>
    <x v="5"/>
    <x v="1"/>
    <x v="65"/>
    <x v="58"/>
    <x v="58"/>
    <s v="REVENUS"/>
    <x v="2"/>
    <s v="4001.001"/>
    <s v="Impôt revenu"/>
    <n v="0"/>
    <n v="-6035.85"/>
    <n v="4001"/>
  </r>
  <r>
    <x v="0"/>
    <x v="5"/>
    <x v="1"/>
    <x v="65"/>
    <x v="58"/>
    <x v="58"/>
    <s v="REVENUS"/>
    <x v="6"/>
    <s v="4211.002"/>
    <s v="Intérêts de retard sur acomptes"/>
    <n v="0"/>
    <n v="7.34"/>
    <n v="4211"/>
  </r>
  <r>
    <x v="0"/>
    <x v="5"/>
    <x v="1"/>
    <x v="65"/>
    <x v="58"/>
    <x v="58"/>
    <s v="REVENUS"/>
    <x v="2"/>
    <s v="4001.002"/>
    <s v="Impôt complément s/revenu PP"/>
    <n v="0"/>
    <n v="499.35"/>
    <n v="4001"/>
  </r>
  <r>
    <x v="0"/>
    <x v="5"/>
    <x v="1"/>
    <x v="65"/>
    <x v="58"/>
    <x v="58"/>
    <s v="REVENUS"/>
    <x v="3"/>
    <s v="4002.002"/>
    <s v="Impôt complémentaire s/fortune PP"/>
    <n v="0"/>
    <n v="314.39999999999998"/>
    <n v="4002"/>
  </r>
  <r>
    <x v="0"/>
    <x v="5"/>
    <x v="1"/>
    <x v="65"/>
    <x v="58"/>
    <x v="58"/>
    <s v="REVENUS"/>
    <x v="7"/>
    <s v="4184.000"/>
    <s v="Frais de poursuite"/>
    <n v="0"/>
    <n v="61.59"/>
    <n v="4184"/>
  </r>
  <r>
    <x v="0"/>
    <x v="5"/>
    <x v="1"/>
    <x v="65"/>
    <x v="58"/>
    <x v="58"/>
    <s v="REVENUS"/>
    <x v="6"/>
    <s v="4211.001"/>
    <s v="Intérêts de retard sur factures"/>
    <n v="0"/>
    <n v="8.0500000000000007"/>
    <n v="4211"/>
  </r>
  <r>
    <x v="0"/>
    <x v="5"/>
    <x v="1"/>
    <x v="65"/>
    <x v="58"/>
    <x v="58"/>
    <s v="REVENUS"/>
    <x v="6"/>
    <s v="4221.003"/>
    <s v="Intérêts compensat. / acomptes en faveur du fisc"/>
    <n v="0"/>
    <n v="1.17"/>
    <n v="4221"/>
  </r>
  <r>
    <x v="0"/>
    <x v="5"/>
    <x v="1"/>
    <x v="65"/>
    <x v="58"/>
    <x v="58"/>
    <s v="REVENUS"/>
    <x v="3"/>
    <s v="4002.002"/>
    <s v="Impôt complémentaire s/fortune PP"/>
    <n v="0"/>
    <n v="18.5"/>
    <n v="4002"/>
  </r>
  <r>
    <x v="0"/>
    <x v="4"/>
    <x v="4"/>
    <x v="66"/>
    <x v="59"/>
    <x v="59"/>
    <s v="CHARGES"/>
    <x v="0"/>
    <s v="3212.002"/>
    <s v="Intérêts bonifiés/trop perçu acompte C/C"/>
    <n v="10.67"/>
    <n v="0"/>
    <n v="3212"/>
  </r>
  <r>
    <x v="0"/>
    <x v="4"/>
    <x v="4"/>
    <x v="66"/>
    <x v="59"/>
    <x v="59"/>
    <s v="CHARGES"/>
    <x v="0"/>
    <s v="3212.004"/>
    <s v="Intérêts rémun./perçu trop tôt sur acomptes C/C"/>
    <n v="1116.77"/>
    <n v="0"/>
    <n v="3212"/>
  </r>
  <r>
    <x v="0"/>
    <x v="4"/>
    <x v="4"/>
    <x v="66"/>
    <x v="59"/>
    <x v="59"/>
    <s v="CHARGES"/>
    <x v="0"/>
    <s v="3221.002"/>
    <s v="Intérêts compensatoires / créances en faveur ctb."/>
    <n v="402.49"/>
    <n v="0"/>
    <n v="3221"/>
  </r>
  <r>
    <x v="0"/>
    <x v="4"/>
    <x v="4"/>
    <x v="66"/>
    <x v="59"/>
    <x v="59"/>
    <s v="CHARGES"/>
    <x v="1"/>
    <s v="3301.001"/>
    <s v="Défalcations, abandons de solde PP et IS"/>
    <n v="69636.850000000006"/>
    <n v="0"/>
    <n v="3301"/>
  </r>
  <r>
    <x v="0"/>
    <x v="4"/>
    <x v="4"/>
    <x v="66"/>
    <x v="59"/>
    <x v="59"/>
    <s v="CHARGES"/>
    <x v="0"/>
    <s v="3212.004"/>
    <s v="Intérêts rémun./perçu trop tôt sur acomptes C/C"/>
    <n v="19.96"/>
    <n v="0"/>
    <n v="3212"/>
  </r>
  <r>
    <x v="0"/>
    <x v="4"/>
    <x v="4"/>
    <x v="66"/>
    <x v="59"/>
    <x v="59"/>
    <s v="CHARGES"/>
    <x v="0"/>
    <s v="3221.002"/>
    <s v="Intérêts compensatoires / créances en faveur ctb."/>
    <n v="18.239999999999998"/>
    <n v="0"/>
    <n v="3221"/>
  </r>
  <r>
    <x v="0"/>
    <x v="4"/>
    <x v="4"/>
    <x v="66"/>
    <x v="59"/>
    <x v="59"/>
    <s v="CHARGES"/>
    <x v="1"/>
    <s v="3301.001"/>
    <s v="Défalcations, abandons de solde PP et IS"/>
    <n v="2917.02"/>
    <n v="0"/>
    <n v="3301"/>
  </r>
  <r>
    <x v="0"/>
    <x v="4"/>
    <x v="4"/>
    <x v="66"/>
    <x v="59"/>
    <x v="59"/>
    <s v="CHARGES"/>
    <x v="0"/>
    <s v="3212.004"/>
    <s v="Intérêts rémun./perçu trop tôt sur acomptes C/C"/>
    <n v="32.03"/>
    <n v="0"/>
    <n v="3212"/>
  </r>
  <r>
    <x v="0"/>
    <x v="4"/>
    <x v="4"/>
    <x v="66"/>
    <x v="59"/>
    <x v="59"/>
    <s v="CHARGES"/>
    <x v="0"/>
    <s v="3221.002"/>
    <s v="Intérêts compensatoires / créances en faveur ctb."/>
    <n v="7.22"/>
    <n v="0"/>
    <n v="3221"/>
  </r>
  <r>
    <x v="0"/>
    <x v="4"/>
    <x v="4"/>
    <x v="66"/>
    <x v="59"/>
    <x v="59"/>
    <s v="CHARGES"/>
    <x v="0"/>
    <s v="3212.004"/>
    <s v="Intérêts rémun./perçu trop tôt sur acomptes C/C"/>
    <n v="17.47"/>
    <n v="0"/>
    <n v="3212"/>
  </r>
  <r>
    <x v="0"/>
    <x v="4"/>
    <x v="4"/>
    <x v="66"/>
    <x v="59"/>
    <x v="59"/>
    <s v="CHARGES"/>
    <x v="0"/>
    <s v="3212.004"/>
    <s v="Intérêts rémun./perçu trop tôt sur acomptes C/C"/>
    <n v="20.75"/>
    <n v="0"/>
    <n v="3212"/>
  </r>
  <r>
    <x v="0"/>
    <x v="4"/>
    <x v="4"/>
    <x v="66"/>
    <x v="59"/>
    <x v="59"/>
    <s v="CHARGES"/>
    <x v="1"/>
    <s v="3301.001"/>
    <s v="Défalcations, abandons de solde PP et IS"/>
    <n v="57288.67"/>
    <n v="0"/>
    <n v="3301"/>
  </r>
  <r>
    <x v="0"/>
    <x v="4"/>
    <x v="4"/>
    <x v="66"/>
    <x v="59"/>
    <x v="59"/>
    <s v="CHARGES"/>
    <x v="0"/>
    <s v="3221.002"/>
    <s v="Intérêts compensatoires / créances en faveur ctb."/>
    <n v="76.16"/>
    <n v="0"/>
    <n v="3221"/>
  </r>
  <r>
    <x v="0"/>
    <x v="4"/>
    <x v="4"/>
    <x v="66"/>
    <x v="59"/>
    <x v="59"/>
    <s v="CHARGES"/>
    <x v="0"/>
    <s v="3212.002"/>
    <s v="Intérêts bonifiés/trop perçu acompte C/C"/>
    <n v="2.91"/>
    <n v="0"/>
    <n v="3212"/>
  </r>
  <r>
    <x v="0"/>
    <x v="4"/>
    <x v="4"/>
    <x v="66"/>
    <x v="59"/>
    <x v="59"/>
    <s v="CHARGES"/>
    <x v="1"/>
    <s v="3301.001"/>
    <s v="Défalcations, abandons de solde PP et IS"/>
    <n v="0.35"/>
    <n v="0"/>
    <n v="3301"/>
  </r>
  <r>
    <x v="0"/>
    <x v="4"/>
    <x v="4"/>
    <x v="66"/>
    <x v="59"/>
    <x v="59"/>
    <s v="CHARGES"/>
    <x v="1"/>
    <s v="3301.001"/>
    <s v="Défalcations, abandons de solde PP et IS"/>
    <n v="8.11"/>
    <n v="0"/>
    <n v="3301"/>
  </r>
  <r>
    <x v="0"/>
    <x v="4"/>
    <x v="4"/>
    <x v="66"/>
    <x v="59"/>
    <x v="59"/>
    <s v="CHARGES"/>
    <x v="0"/>
    <s v="3212.004"/>
    <s v="Intérêts rémun./perçu trop tôt sur acomptes C/C"/>
    <n v="28.19"/>
    <n v="0"/>
    <n v="3212"/>
  </r>
  <r>
    <x v="0"/>
    <x v="4"/>
    <x v="4"/>
    <x v="66"/>
    <x v="59"/>
    <x v="59"/>
    <s v="CHARGES"/>
    <x v="0"/>
    <s v="3221.002"/>
    <s v="Intérêts compensatoires / créances en faveur ctb."/>
    <n v="45.76"/>
    <n v="0"/>
    <n v="3221"/>
  </r>
  <r>
    <x v="0"/>
    <x v="4"/>
    <x v="4"/>
    <x v="66"/>
    <x v="59"/>
    <x v="59"/>
    <s v="CHARGES"/>
    <x v="0"/>
    <s v="3212.002"/>
    <s v="Intérêts bonifiés/trop perçu acompte C/C"/>
    <n v="0.03"/>
    <n v="0"/>
    <n v="3212"/>
  </r>
  <r>
    <x v="0"/>
    <x v="4"/>
    <x v="4"/>
    <x v="66"/>
    <x v="59"/>
    <x v="59"/>
    <s v="CHARGES"/>
    <x v="1"/>
    <s v="3301.001"/>
    <s v="Défalcations, abandons de solde PP et IS"/>
    <n v="9731.19"/>
    <n v="0"/>
    <n v="3301"/>
  </r>
  <r>
    <x v="0"/>
    <x v="4"/>
    <x v="4"/>
    <x v="66"/>
    <x v="59"/>
    <x v="59"/>
    <s v="CHARGES"/>
    <x v="0"/>
    <s v="3221.002"/>
    <s v="Intérêts compensatoires / créances en faveur ctb."/>
    <n v="14.62"/>
    <n v="0"/>
    <n v="3221"/>
  </r>
  <r>
    <x v="0"/>
    <x v="4"/>
    <x v="4"/>
    <x v="66"/>
    <x v="59"/>
    <x v="59"/>
    <s v="CHARGES"/>
    <x v="0"/>
    <s v="3212.004"/>
    <s v="Intérêts rémun./perçu trop tôt sur acomptes C/C"/>
    <n v="0.14000000000000001"/>
    <n v="0"/>
    <n v="3212"/>
  </r>
  <r>
    <x v="0"/>
    <x v="4"/>
    <x v="4"/>
    <x v="66"/>
    <x v="59"/>
    <x v="59"/>
    <s v="CHARGES"/>
    <x v="0"/>
    <s v="3221.002"/>
    <s v="Intérêts compensatoires / créances en faveur ctb."/>
    <n v="0.01"/>
    <n v="0"/>
    <n v="3221"/>
  </r>
  <r>
    <x v="0"/>
    <x v="4"/>
    <x v="4"/>
    <x v="66"/>
    <x v="59"/>
    <x v="59"/>
    <s v="CHARGES"/>
    <x v="0"/>
    <s v="3212.004"/>
    <s v="Intérêts rémun./perçu trop tôt sur acomptes C/C"/>
    <n v="0.54"/>
    <n v="0"/>
    <n v="3212"/>
  </r>
  <r>
    <x v="0"/>
    <x v="4"/>
    <x v="4"/>
    <x v="66"/>
    <x v="59"/>
    <x v="59"/>
    <s v="CHARGES"/>
    <x v="0"/>
    <s v="3221.002"/>
    <s v="Intérêts compensatoires / créances en faveur ctb."/>
    <n v="0.08"/>
    <n v="0"/>
    <n v="3221"/>
  </r>
  <r>
    <x v="0"/>
    <x v="4"/>
    <x v="4"/>
    <x v="66"/>
    <x v="59"/>
    <x v="59"/>
    <s v="REVENUS"/>
    <x v="7"/>
    <s v="4184.000"/>
    <s v="Frais de poursuite"/>
    <n v="0"/>
    <n v="919.66"/>
    <n v="4184"/>
  </r>
  <r>
    <x v="0"/>
    <x v="4"/>
    <x v="4"/>
    <x v="66"/>
    <x v="59"/>
    <x v="59"/>
    <s v="REVENUS"/>
    <x v="2"/>
    <s v="4001.007"/>
    <s v="Acompte impôt sur revenu"/>
    <n v="0"/>
    <n v="-777978.87"/>
    <n v="4001"/>
  </r>
  <r>
    <x v="0"/>
    <x v="4"/>
    <x v="4"/>
    <x v="66"/>
    <x v="59"/>
    <x v="59"/>
    <s v="REVENUS"/>
    <x v="2"/>
    <s v="4001.001"/>
    <s v="Impôt revenu"/>
    <n v="0"/>
    <n v="5131609"/>
    <n v="4001"/>
  </r>
  <r>
    <x v="0"/>
    <x v="4"/>
    <x v="4"/>
    <x v="66"/>
    <x v="59"/>
    <x v="59"/>
    <s v="REVENUS"/>
    <x v="2"/>
    <s v="4001.002"/>
    <s v="Impôt complément s/revenu PP"/>
    <n v="0"/>
    <n v="771973.4"/>
    <n v="4001"/>
  </r>
  <r>
    <x v="0"/>
    <x v="4"/>
    <x v="4"/>
    <x v="66"/>
    <x v="59"/>
    <x v="59"/>
    <s v="REVENUS"/>
    <x v="3"/>
    <s v="4002.001"/>
    <s v="Impôt ordinaire s/fortune PP"/>
    <n v="0"/>
    <n v="530174.55000000005"/>
    <n v="4002"/>
  </r>
  <r>
    <x v="0"/>
    <x v="4"/>
    <x v="4"/>
    <x v="66"/>
    <x v="59"/>
    <x v="59"/>
    <s v="REVENUS"/>
    <x v="3"/>
    <s v="4002.002"/>
    <s v="Impôt complémentaire s/fortune PP"/>
    <n v="0"/>
    <n v="73816.800000000003"/>
    <n v="4002"/>
  </r>
  <r>
    <x v="0"/>
    <x v="4"/>
    <x v="4"/>
    <x v="66"/>
    <x v="59"/>
    <x v="59"/>
    <s v="REVENUS"/>
    <x v="3"/>
    <s v="4002.007"/>
    <s v="Acompte impôt sur fortune"/>
    <n v="0"/>
    <n v="-76959.28"/>
    <n v="4002"/>
  </r>
  <r>
    <x v="0"/>
    <x v="4"/>
    <x v="4"/>
    <x v="66"/>
    <x v="59"/>
    <x v="59"/>
    <s v="REVENUS"/>
    <x v="6"/>
    <s v="4211.001"/>
    <s v="Intérêts de retard sur factures"/>
    <n v="0"/>
    <n v="47478.39"/>
    <n v="4211"/>
  </r>
  <r>
    <x v="0"/>
    <x v="4"/>
    <x v="4"/>
    <x v="66"/>
    <x v="59"/>
    <x v="59"/>
    <s v="REVENUS"/>
    <x v="6"/>
    <s v="4221.003"/>
    <s v="Intérêts compensat. / acomptes en faveur du fisc"/>
    <n v="0"/>
    <n v="621.64"/>
    <n v="4221"/>
  </r>
  <r>
    <x v="0"/>
    <x v="4"/>
    <x v="4"/>
    <x v="66"/>
    <x v="59"/>
    <x v="59"/>
    <s v="REVENUS"/>
    <x v="2"/>
    <s v="4001.001"/>
    <s v="Impôt revenu"/>
    <n v="0"/>
    <n v="26006.400000000001"/>
    <n v="4001"/>
  </r>
  <r>
    <x v="0"/>
    <x v="4"/>
    <x v="4"/>
    <x v="66"/>
    <x v="59"/>
    <x v="59"/>
    <s v="REVENUS"/>
    <x v="3"/>
    <s v="4002.001"/>
    <s v="Impôt ordinaire s/fortune PP"/>
    <n v="0"/>
    <n v="6048.8"/>
    <n v="4002"/>
  </r>
  <r>
    <x v="0"/>
    <x v="4"/>
    <x v="4"/>
    <x v="66"/>
    <x v="59"/>
    <x v="59"/>
    <s v="REVENUS"/>
    <x v="3"/>
    <s v="4002.007"/>
    <s v="Acompte impôt sur fortune"/>
    <n v="0"/>
    <n v="-5067.3"/>
    <n v="4002"/>
  </r>
  <r>
    <x v="0"/>
    <x v="4"/>
    <x v="4"/>
    <x v="66"/>
    <x v="59"/>
    <x v="59"/>
    <s v="REVENUS"/>
    <x v="6"/>
    <s v="4211.002"/>
    <s v="Intérêts de retard sur acomptes"/>
    <n v="0"/>
    <n v="32588.73"/>
    <n v="4211"/>
  </r>
  <r>
    <x v="0"/>
    <x v="4"/>
    <x v="4"/>
    <x v="66"/>
    <x v="59"/>
    <x v="59"/>
    <s v="REVENUS"/>
    <x v="2"/>
    <s v="4001.003"/>
    <s v="Impôt s/prest. cap. PP"/>
    <n v="0"/>
    <n v="138319.70000000001"/>
    <n v="4001"/>
  </r>
  <r>
    <x v="0"/>
    <x v="4"/>
    <x v="4"/>
    <x v="66"/>
    <x v="59"/>
    <x v="59"/>
    <s v="REVENUS"/>
    <x v="10"/>
    <s v="4041.001"/>
    <s v="Droits de mutation"/>
    <n v="0"/>
    <n v="88066.1"/>
    <n v="4041"/>
  </r>
  <r>
    <x v="0"/>
    <x v="4"/>
    <x v="4"/>
    <x v="66"/>
    <x v="59"/>
    <x v="59"/>
    <s v="REVENUS"/>
    <x v="2"/>
    <s v="4001.001"/>
    <s v="Impôt revenu"/>
    <n v="0"/>
    <n v="119655.65"/>
    <n v="4001"/>
  </r>
  <r>
    <x v="0"/>
    <x v="4"/>
    <x v="4"/>
    <x v="66"/>
    <x v="59"/>
    <x v="59"/>
    <s v="REVENUS"/>
    <x v="6"/>
    <s v="4211.002"/>
    <s v="Intérêts de retard sur acomptes"/>
    <n v="0"/>
    <n v="722.65"/>
    <n v="4211"/>
  </r>
  <r>
    <x v="0"/>
    <x v="4"/>
    <x v="4"/>
    <x v="66"/>
    <x v="59"/>
    <x v="59"/>
    <s v="REVENUS"/>
    <x v="6"/>
    <s v="4221.003"/>
    <s v="Intérêts compensat. / acomptes en faveur du fisc"/>
    <n v="0"/>
    <n v="-0.36"/>
    <n v="4221"/>
  </r>
  <r>
    <x v="0"/>
    <x v="4"/>
    <x v="4"/>
    <x v="66"/>
    <x v="59"/>
    <x v="59"/>
    <s v="REVENUS"/>
    <x v="2"/>
    <s v="4001.007"/>
    <s v="Acompte impôt sur revenu"/>
    <n v="0"/>
    <n v="-9175.09"/>
    <n v="4001"/>
  </r>
  <r>
    <x v="0"/>
    <x v="4"/>
    <x v="4"/>
    <x v="66"/>
    <x v="59"/>
    <x v="59"/>
    <s v="REVENUS"/>
    <x v="3"/>
    <s v="4002.007"/>
    <s v="Acompte impôt sur fortune"/>
    <n v="0"/>
    <n v="-18300.150000000001"/>
    <n v="4002"/>
  </r>
  <r>
    <x v="0"/>
    <x v="4"/>
    <x v="4"/>
    <x v="66"/>
    <x v="59"/>
    <x v="59"/>
    <s v="REVENUS"/>
    <x v="2"/>
    <s v="4001.007"/>
    <s v="Acompte impôt sur revenu"/>
    <n v="0"/>
    <n v="22989.55"/>
    <n v="4001"/>
  </r>
  <r>
    <x v="0"/>
    <x v="4"/>
    <x v="4"/>
    <x v="66"/>
    <x v="59"/>
    <x v="59"/>
    <s v="REVENUS"/>
    <x v="3"/>
    <s v="4002.001"/>
    <s v="Impôt ordinaire s/fortune PP"/>
    <n v="0"/>
    <n v="24360.75"/>
    <n v="4002"/>
  </r>
  <r>
    <x v="0"/>
    <x v="4"/>
    <x v="4"/>
    <x v="66"/>
    <x v="59"/>
    <x v="59"/>
    <s v="REVENUS"/>
    <x v="3"/>
    <s v="4002.007"/>
    <s v="Acompte impôt sur fortune"/>
    <n v="0"/>
    <n v="11670.54"/>
    <n v="4002"/>
  </r>
  <r>
    <x v="0"/>
    <x v="4"/>
    <x v="4"/>
    <x v="66"/>
    <x v="59"/>
    <x v="59"/>
    <s v="REVENUS"/>
    <x v="7"/>
    <s v="4184.000"/>
    <s v="Frais de poursuite"/>
    <n v="0"/>
    <n v="5593.63"/>
    <n v="4184"/>
  </r>
  <r>
    <x v="0"/>
    <x v="4"/>
    <x v="4"/>
    <x v="66"/>
    <x v="59"/>
    <x v="59"/>
    <s v="REVENUS"/>
    <x v="2"/>
    <s v="4001.007"/>
    <s v="Acompte impôt sur revenu"/>
    <n v="0"/>
    <n v="-68697.2"/>
    <n v="4001"/>
  </r>
  <r>
    <x v="0"/>
    <x v="4"/>
    <x v="4"/>
    <x v="66"/>
    <x v="59"/>
    <x v="59"/>
    <s v="REVENUS"/>
    <x v="3"/>
    <s v="4002.007"/>
    <s v="Acompte impôt sur fortune"/>
    <n v="0"/>
    <n v="-10561.62"/>
    <n v="4002"/>
  </r>
  <r>
    <x v="0"/>
    <x v="4"/>
    <x v="4"/>
    <x v="66"/>
    <x v="59"/>
    <x v="59"/>
    <s v="REVENUS"/>
    <x v="2"/>
    <s v="4001.001"/>
    <s v="Impôt revenu"/>
    <n v="0"/>
    <n v="85279.1"/>
    <n v="4001"/>
  </r>
  <r>
    <x v="0"/>
    <x v="4"/>
    <x v="4"/>
    <x v="66"/>
    <x v="59"/>
    <x v="59"/>
    <s v="REVENUS"/>
    <x v="3"/>
    <s v="4002.001"/>
    <s v="Impôt ordinaire s/fortune PP"/>
    <n v="0"/>
    <n v="44916.05"/>
    <n v="4002"/>
  </r>
  <r>
    <x v="0"/>
    <x v="4"/>
    <x v="4"/>
    <x v="66"/>
    <x v="59"/>
    <x v="59"/>
    <s v="REVENUS"/>
    <x v="6"/>
    <s v="4211.002"/>
    <s v="Intérêts de retard sur acomptes"/>
    <n v="0"/>
    <n v="130.88999999999999"/>
    <n v="4211"/>
  </r>
  <r>
    <x v="0"/>
    <x v="4"/>
    <x v="4"/>
    <x v="66"/>
    <x v="59"/>
    <x v="59"/>
    <s v="REVENUS"/>
    <x v="7"/>
    <s v="4184.000"/>
    <s v="Frais de poursuite"/>
    <n v="0"/>
    <n v="2786.55"/>
    <n v="4184"/>
  </r>
  <r>
    <x v="0"/>
    <x v="4"/>
    <x v="4"/>
    <x v="66"/>
    <x v="59"/>
    <x v="59"/>
    <s v="REVENUS"/>
    <x v="6"/>
    <s v="4211.001"/>
    <s v="Intérêts de retard sur factures"/>
    <n v="0"/>
    <n v="690.25"/>
    <n v="4211"/>
  </r>
  <r>
    <x v="0"/>
    <x v="4"/>
    <x v="4"/>
    <x v="66"/>
    <x v="59"/>
    <x v="59"/>
    <s v="REVENUS"/>
    <x v="7"/>
    <s v="4184.000"/>
    <s v="Frais de poursuite"/>
    <n v="0"/>
    <n v="121.36"/>
    <n v="4184"/>
  </r>
  <r>
    <x v="0"/>
    <x v="4"/>
    <x v="4"/>
    <x v="66"/>
    <x v="59"/>
    <x v="59"/>
    <s v="REVENUS"/>
    <x v="2"/>
    <s v="4001.002"/>
    <s v="Impôt complément s/revenu PP"/>
    <n v="0"/>
    <n v="10372.299999999999"/>
    <n v="4001"/>
  </r>
  <r>
    <x v="0"/>
    <x v="4"/>
    <x v="4"/>
    <x v="66"/>
    <x v="59"/>
    <x v="59"/>
    <s v="REVENUS"/>
    <x v="2"/>
    <s v="4001.007"/>
    <s v="Acompte impôt sur revenu"/>
    <n v="0"/>
    <n v="3404.4"/>
    <n v="4001"/>
  </r>
  <r>
    <x v="0"/>
    <x v="4"/>
    <x v="4"/>
    <x v="66"/>
    <x v="59"/>
    <x v="59"/>
    <s v="REVENUS"/>
    <x v="2"/>
    <s v="4001.001"/>
    <s v="Impôt revenu"/>
    <n v="0"/>
    <n v="574.54999999999995"/>
    <n v="4001"/>
  </r>
  <r>
    <x v="0"/>
    <x v="4"/>
    <x v="4"/>
    <x v="66"/>
    <x v="59"/>
    <x v="59"/>
    <s v="REVENUS"/>
    <x v="2"/>
    <s v="4001.007"/>
    <s v="Acompte impôt sur revenu"/>
    <n v="0"/>
    <n v="4330.3900000000003"/>
    <n v="4001"/>
  </r>
  <r>
    <x v="0"/>
    <x v="4"/>
    <x v="4"/>
    <x v="66"/>
    <x v="59"/>
    <x v="59"/>
    <s v="REVENUS"/>
    <x v="3"/>
    <s v="4002.001"/>
    <s v="Impôt ordinaire s/fortune PP"/>
    <n v="0"/>
    <n v="-1614.35"/>
    <n v="4002"/>
  </r>
  <r>
    <x v="0"/>
    <x v="4"/>
    <x v="4"/>
    <x v="66"/>
    <x v="59"/>
    <x v="59"/>
    <s v="REVENUS"/>
    <x v="3"/>
    <s v="4002.007"/>
    <s v="Acompte impôt sur fortune"/>
    <n v="0"/>
    <n v="-995.72"/>
    <n v="4002"/>
  </r>
  <r>
    <x v="0"/>
    <x v="4"/>
    <x v="4"/>
    <x v="66"/>
    <x v="59"/>
    <x v="59"/>
    <s v="REVENUS"/>
    <x v="6"/>
    <s v="4221.003"/>
    <s v="Intérêts compensat. / acomptes en faveur du fisc"/>
    <n v="0"/>
    <n v="68.53"/>
    <n v="4221"/>
  </r>
  <r>
    <x v="0"/>
    <x v="4"/>
    <x v="4"/>
    <x v="66"/>
    <x v="59"/>
    <x v="59"/>
    <s v="REVENUS"/>
    <x v="2"/>
    <s v="4001.007"/>
    <s v="Acompte impôt sur revenu"/>
    <n v="0"/>
    <n v="-401.62"/>
    <n v="4001"/>
  </r>
  <r>
    <x v="0"/>
    <x v="4"/>
    <x v="4"/>
    <x v="66"/>
    <x v="59"/>
    <x v="59"/>
    <s v="REVENUS"/>
    <x v="3"/>
    <s v="4002.007"/>
    <s v="Acompte impôt sur fortune"/>
    <n v="0"/>
    <n v="37.450000000000003"/>
    <n v="4002"/>
  </r>
  <r>
    <x v="0"/>
    <x v="4"/>
    <x v="4"/>
    <x v="66"/>
    <x v="59"/>
    <x v="59"/>
    <s v="REVENUS"/>
    <x v="6"/>
    <s v="4221.002"/>
    <s v="Intérêts compensat. sur impôts distincts"/>
    <n v="0"/>
    <n v="59.57"/>
    <n v="4221"/>
  </r>
  <r>
    <x v="0"/>
    <x v="4"/>
    <x v="4"/>
    <x v="66"/>
    <x v="59"/>
    <x v="59"/>
    <s v="REVENUS"/>
    <x v="2"/>
    <s v="4001.001"/>
    <s v="Impôt revenu"/>
    <n v="0"/>
    <n v="28789.3"/>
    <n v="4001"/>
  </r>
  <r>
    <x v="0"/>
    <x v="4"/>
    <x v="4"/>
    <x v="66"/>
    <x v="59"/>
    <x v="59"/>
    <s v="REVENUS"/>
    <x v="2"/>
    <s v="4001.002"/>
    <s v="Impôt complément s/revenu PP"/>
    <n v="0"/>
    <n v="73.400000000000006"/>
    <n v="4001"/>
  </r>
  <r>
    <x v="0"/>
    <x v="4"/>
    <x v="4"/>
    <x v="66"/>
    <x v="59"/>
    <x v="59"/>
    <s v="REVENUS"/>
    <x v="6"/>
    <s v="4211.001"/>
    <s v="Intérêts de retard sur factures"/>
    <n v="0"/>
    <n v="9.18"/>
    <n v="4211"/>
  </r>
  <r>
    <x v="0"/>
    <x v="4"/>
    <x v="4"/>
    <x v="66"/>
    <x v="59"/>
    <x v="59"/>
    <s v="REVENUS"/>
    <x v="6"/>
    <s v="4221.003"/>
    <s v="Intérêts compensat. / acomptes en faveur du fisc"/>
    <n v="0"/>
    <n v="4.46"/>
    <n v="4221"/>
  </r>
  <r>
    <x v="0"/>
    <x v="4"/>
    <x v="4"/>
    <x v="66"/>
    <x v="59"/>
    <x v="59"/>
    <s v="REVENUS"/>
    <x v="11"/>
    <s v="4198.000"/>
    <s v="Contributions communales"/>
    <n v="0"/>
    <n v="306063.84999999998"/>
    <n v="4198"/>
  </r>
  <r>
    <x v="0"/>
    <x v="4"/>
    <x v="4"/>
    <x v="66"/>
    <x v="59"/>
    <x v="59"/>
    <s v="REVENUS"/>
    <x v="12"/>
    <s v="4004.007"/>
    <s v="Acompte spécial étrangers"/>
    <n v="0"/>
    <n v="578.21"/>
    <n v="4004"/>
  </r>
  <r>
    <x v="0"/>
    <x v="4"/>
    <x v="4"/>
    <x v="66"/>
    <x v="59"/>
    <x v="59"/>
    <s v="REVENUS"/>
    <x v="12"/>
    <s v="4004.000"/>
    <s v="Impôt spécial étrangers"/>
    <n v="0"/>
    <n v="78152.600000000006"/>
    <n v="4004"/>
  </r>
  <r>
    <x v="0"/>
    <x v="4"/>
    <x v="4"/>
    <x v="66"/>
    <x v="59"/>
    <x v="59"/>
    <s v="REVENUS"/>
    <x v="6"/>
    <s v="4211.002"/>
    <s v="Intérêts de retard sur acomptes"/>
    <n v="0"/>
    <n v="5.19"/>
    <n v="4211"/>
  </r>
  <r>
    <x v="0"/>
    <x v="4"/>
    <x v="4"/>
    <x v="66"/>
    <x v="59"/>
    <x v="59"/>
    <s v="REVENUS"/>
    <x v="4"/>
    <s v="4051.002"/>
    <s v="Impôt sur les donations"/>
    <n v="0"/>
    <n v="7079.5"/>
    <n v="4051"/>
  </r>
  <r>
    <x v="0"/>
    <x v="4"/>
    <x v="4"/>
    <x v="66"/>
    <x v="59"/>
    <x v="59"/>
    <s v="REVENUS"/>
    <x v="2"/>
    <s v="4001.001"/>
    <s v="Impôt revenu"/>
    <n v="0"/>
    <n v="-296.95"/>
    <n v="4001"/>
  </r>
  <r>
    <x v="0"/>
    <x v="4"/>
    <x v="4"/>
    <x v="66"/>
    <x v="59"/>
    <x v="59"/>
    <s v="REVENUS"/>
    <x v="6"/>
    <s v="4221.003"/>
    <s v="Intérêts compensat. / acomptes en faveur du fisc"/>
    <n v="0"/>
    <n v="4.1900000000000004"/>
    <n v="4221"/>
  </r>
  <r>
    <x v="0"/>
    <x v="4"/>
    <x v="4"/>
    <x v="66"/>
    <x v="59"/>
    <x v="59"/>
    <s v="REVENUS"/>
    <x v="2"/>
    <s v="4001.007"/>
    <s v="Acompte impôt sur revenu"/>
    <n v="0"/>
    <n v="-288.89999999999998"/>
    <n v="4001"/>
  </r>
  <r>
    <x v="0"/>
    <x v="4"/>
    <x v="4"/>
    <x v="66"/>
    <x v="59"/>
    <x v="59"/>
    <s v="REVENUS"/>
    <x v="3"/>
    <s v="4002.007"/>
    <s v="Acompte impôt sur fortune"/>
    <n v="0"/>
    <n v="52.36"/>
    <n v="4002"/>
  </r>
  <r>
    <x v="0"/>
    <x v="4"/>
    <x v="4"/>
    <x v="66"/>
    <x v="59"/>
    <x v="59"/>
    <s v="REVENUS"/>
    <x v="6"/>
    <s v="4211.002"/>
    <s v="Intérêts de retard sur acomptes"/>
    <n v="0"/>
    <n v="-0.23"/>
    <n v="4211"/>
  </r>
  <r>
    <x v="0"/>
    <x v="4"/>
    <x v="4"/>
    <x v="66"/>
    <x v="59"/>
    <x v="59"/>
    <s v="REVENUS"/>
    <x v="6"/>
    <s v="4221.003"/>
    <s v="Intérêts compensat. / acomptes en faveur du fisc"/>
    <n v="0"/>
    <n v="-0.03"/>
    <n v="4221"/>
  </r>
  <r>
    <x v="0"/>
    <x v="4"/>
    <x v="4"/>
    <x v="66"/>
    <x v="59"/>
    <x v="59"/>
    <s v="REVENUS"/>
    <x v="6"/>
    <s v="4211.001"/>
    <s v="Intérêts de retard sur factures"/>
    <n v="0"/>
    <n v="349.11"/>
    <n v="4211"/>
  </r>
  <r>
    <x v="0"/>
    <x v="4"/>
    <x v="4"/>
    <x v="66"/>
    <x v="59"/>
    <x v="59"/>
    <s v="REVENUS"/>
    <x v="8"/>
    <s v="4091.001"/>
    <s v="Impôt récupéré après défalcations"/>
    <n v="0"/>
    <n v="5519.33"/>
    <n v="4091"/>
  </r>
  <r>
    <x v="0"/>
    <x v="4"/>
    <x v="4"/>
    <x v="66"/>
    <x v="59"/>
    <x v="59"/>
    <s v="REVENUS"/>
    <x v="3"/>
    <s v="4002.002"/>
    <s v="Impôt complémentaire s/fortune PP"/>
    <n v="0"/>
    <n v="4169.05"/>
    <n v="4002"/>
  </r>
  <r>
    <x v="0"/>
    <x v="4"/>
    <x v="4"/>
    <x v="66"/>
    <x v="59"/>
    <x v="59"/>
    <s v="REVENUS"/>
    <x v="6"/>
    <s v="4211.002"/>
    <s v="Intérêts de retard sur acomptes"/>
    <n v="0"/>
    <n v="8.64"/>
    <n v="4211"/>
  </r>
  <r>
    <x v="0"/>
    <x v="4"/>
    <x v="4"/>
    <x v="66"/>
    <x v="59"/>
    <x v="59"/>
    <s v="REVENUS"/>
    <x v="5"/>
    <s v="4061.000"/>
    <s v="Impôt sur les chiens"/>
    <n v="0"/>
    <n v="12510"/>
    <n v="4061"/>
  </r>
  <r>
    <x v="0"/>
    <x v="4"/>
    <x v="4"/>
    <x v="66"/>
    <x v="59"/>
    <x v="59"/>
    <s v="REVENUS"/>
    <x v="3"/>
    <s v="4002.001"/>
    <s v="Impôt ordinaire s/fortune PP"/>
    <n v="0"/>
    <n v="16381.25"/>
    <n v="4002"/>
  </r>
  <r>
    <x v="0"/>
    <x v="4"/>
    <x v="4"/>
    <x v="66"/>
    <x v="59"/>
    <x v="59"/>
    <s v="REVENUS"/>
    <x v="2"/>
    <s v="4001.002"/>
    <s v="Impôt complément s/revenu PP"/>
    <n v="0"/>
    <n v="10378.85"/>
    <n v="4001"/>
  </r>
  <r>
    <x v="0"/>
    <x v="4"/>
    <x v="4"/>
    <x v="66"/>
    <x v="59"/>
    <x v="59"/>
    <s v="REVENUS"/>
    <x v="3"/>
    <s v="4002.002"/>
    <s v="Impôt complémentaire s/fortune PP"/>
    <n v="0"/>
    <n v="6744.65"/>
    <n v="4002"/>
  </r>
  <r>
    <x v="0"/>
    <x v="4"/>
    <x v="4"/>
    <x v="66"/>
    <x v="59"/>
    <x v="59"/>
    <s v="REVENUS"/>
    <x v="9"/>
    <s v="4031.001"/>
    <s v="Impôt sur les gains immobiliers"/>
    <n v="0"/>
    <n v="84792.05"/>
    <n v="4031"/>
  </r>
  <r>
    <x v="0"/>
    <x v="4"/>
    <x v="4"/>
    <x v="66"/>
    <x v="59"/>
    <x v="59"/>
    <s v="REVENUS"/>
    <x v="2"/>
    <s v="4001.002"/>
    <s v="Impôt complément s/revenu PP"/>
    <n v="0"/>
    <n v="50294.05"/>
    <n v="4001"/>
  </r>
  <r>
    <x v="0"/>
    <x v="4"/>
    <x v="4"/>
    <x v="66"/>
    <x v="59"/>
    <x v="59"/>
    <s v="REVENUS"/>
    <x v="3"/>
    <s v="4002.002"/>
    <s v="Impôt complémentaire s/fortune PP"/>
    <n v="0"/>
    <n v="12210.4"/>
    <n v="4002"/>
  </r>
  <r>
    <x v="0"/>
    <x v="4"/>
    <x v="4"/>
    <x v="66"/>
    <x v="59"/>
    <x v="59"/>
    <s v="REVENUS"/>
    <x v="6"/>
    <s v="4211.001"/>
    <s v="Intérêts de retard sur factures"/>
    <n v="0"/>
    <n v="146.43"/>
    <n v="4211"/>
  </r>
  <r>
    <x v="0"/>
    <x v="4"/>
    <x v="4"/>
    <x v="66"/>
    <x v="59"/>
    <x v="59"/>
    <s v="REVENUS"/>
    <x v="6"/>
    <s v="4211.002"/>
    <s v="Intérêts de retard sur acomptes"/>
    <n v="0"/>
    <n v="13.09"/>
    <n v="4211"/>
  </r>
  <r>
    <x v="0"/>
    <x v="4"/>
    <x v="4"/>
    <x v="66"/>
    <x v="59"/>
    <x v="59"/>
    <s v="REVENUS"/>
    <x v="3"/>
    <s v="4002.001"/>
    <s v="Impôt ordinaire s/fortune PP"/>
    <n v="0"/>
    <n v="-1428.25"/>
    <n v="4002"/>
  </r>
  <r>
    <x v="0"/>
    <x v="4"/>
    <x v="4"/>
    <x v="66"/>
    <x v="59"/>
    <x v="59"/>
    <s v="REVENUS"/>
    <x v="4"/>
    <s v="4051.001"/>
    <s v="Impôt sur les successions"/>
    <n v="0"/>
    <n v="32030.5"/>
    <n v="4051"/>
  </r>
  <r>
    <x v="0"/>
    <x v="4"/>
    <x v="4"/>
    <x v="66"/>
    <x v="59"/>
    <x v="59"/>
    <s v="REVENUS"/>
    <x v="7"/>
    <s v="4184.000"/>
    <s v="Frais de poursuite"/>
    <n v="0"/>
    <n v="2.5499999999999998"/>
    <n v="4184"/>
  </r>
  <r>
    <x v="0"/>
    <x v="4"/>
    <x v="4"/>
    <x v="66"/>
    <x v="59"/>
    <x v="59"/>
    <s v="REVENUS"/>
    <x v="2"/>
    <s v="4001.003"/>
    <s v="Impôt s/prest. cap. PP"/>
    <n v="0"/>
    <n v="812.5"/>
    <n v="4001"/>
  </r>
  <r>
    <x v="0"/>
    <x v="4"/>
    <x v="4"/>
    <x v="66"/>
    <x v="59"/>
    <x v="59"/>
    <s v="REVENUS"/>
    <x v="6"/>
    <s v="4221.002"/>
    <s v="Intérêts compensat. sur impôts distincts"/>
    <n v="0"/>
    <n v="0.35"/>
    <n v="4221"/>
  </r>
  <r>
    <x v="0"/>
    <x v="4"/>
    <x v="4"/>
    <x v="66"/>
    <x v="59"/>
    <x v="59"/>
    <s v="REVENUS"/>
    <x v="2"/>
    <s v="4001.001"/>
    <s v="Impôt revenu"/>
    <n v="0"/>
    <n v="745.4"/>
    <n v="4001"/>
  </r>
  <r>
    <x v="0"/>
    <x v="4"/>
    <x v="4"/>
    <x v="66"/>
    <x v="59"/>
    <x v="59"/>
    <s v="REVENUS"/>
    <x v="3"/>
    <s v="4002.001"/>
    <s v="Impôt ordinaire s/fortune PP"/>
    <n v="0"/>
    <n v="279.3"/>
    <n v="4002"/>
  </r>
  <r>
    <x v="0"/>
    <x v="4"/>
    <x v="4"/>
    <x v="66"/>
    <x v="59"/>
    <x v="59"/>
    <s v="REVENUS"/>
    <x v="6"/>
    <s v="4211.002"/>
    <s v="Intérêts de retard sur acomptes"/>
    <n v="0"/>
    <n v="0.25"/>
    <n v="4211"/>
  </r>
  <r>
    <x v="0"/>
    <x v="4"/>
    <x v="4"/>
    <x v="66"/>
    <x v="59"/>
    <x v="59"/>
    <s v="REVENUS"/>
    <x v="3"/>
    <s v="4002.002"/>
    <s v="Impôt complémentaire s/fortune PP"/>
    <n v="0"/>
    <n v="2940.05"/>
    <n v="4002"/>
  </r>
  <r>
    <x v="0"/>
    <x v="4"/>
    <x v="4"/>
    <x v="66"/>
    <x v="59"/>
    <x v="59"/>
    <s v="REVENUS"/>
    <x v="2"/>
    <s v="4001.005"/>
    <s v="Amende de soustract. Impôt"/>
    <n v="0"/>
    <n v="900"/>
    <n v="4001"/>
  </r>
  <r>
    <x v="0"/>
    <x v="4"/>
    <x v="4"/>
    <x v="66"/>
    <x v="59"/>
    <x v="59"/>
    <s v="REVENUS"/>
    <x v="2"/>
    <s v="4001.002"/>
    <s v="Impôt complément s/revenu PP"/>
    <n v="0"/>
    <n v="1673.6"/>
    <n v="4001"/>
  </r>
  <r>
    <x v="0"/>
    <x v="4"/>
    <x v="4"/>
    <x v="66"/>
    <x v="59"/>
    <x v="59"/>
    <s v="REVENUS"/>
    <x v="6"/>
    <s v="4211.001"/>
    <s v="Intérêts de retard sur factures"/>
    <n v="0"/>
    <n v="0.16"/>
    <n v="4211"/>
  </r>
  <r>
    <x v="0"/>
    <x v="4"/>
    <x v="4"/>
    <x v="67"/>
    <x v="60"/>
    <x v="60"/>
    <s v="CHARGES"/>
    <x v="0"/>
    <s v="3212.002"/>
    <s v="Intérêts bonifiés/trop perçu acompte C/C"/>
    <n v="11.74"/>
    <n v="0"/>
    <n v="3212"/>
  </r>
  <r>
    <x v="0"/>
    <x v="4"/>
    <x v="4"/>
    <x v="67"/>
    <x v="60"/>
    <x v="60"/>
    <s v="CHARGES"/>
    <x v="0"/>
    <s v="3212.004"/>
    <s v="Intérêts rémun./perçu trop tôt sur acomptes C/C"/>
    <n v="603.45000000000005"/>
    <n v="0"/>
    <n v="3212"/>
  </r>
  <r>
    <x v="0"/>
    <x v="4"/>
    <x v="4"/>
    <x v="67"/>
    <x v="60"/>
    <x v="60"/>
    <s v="CHARGES"/>
    <x v="1"/>
    <s v="3301.001"/>
    <s v="Défalcations, abandons de solde PP et IS"/>
    <n v="44412.1"/>
    <n v="0"/>
    <n v="3301"/>
  </r>
  <r>
    <x v="0"/>
    <x v="4"/>
    <x v="4"/>
    <x v="67"/>
    <x v="60"/>
    <x v="60"/>
    <s v="CHARGES"/>
    <x v="0"/>
    <s v="3221.002"/>
    <s v="Intérêts compensatoires / créances en faveur ctb."/>
    <n v="255.53"/>
    <n v="0"/>
    <n v="3221"/>
  </r>
  <r>
    <x v="0"/>
    <x v="4"/>
    <x v="4"/>
    <x v="67"/>
    <x v="60"/>
    <x v="60"/>
    <s v="CHARGES"/>
    <x v="0"/>
    <s v="3212.004"/>
    <s v="Intérêts rémun./perçu trop tôt sur acomptes C/C"/>
    <n v="2.5099999999999998"/>
    <n v="0"/>
    <n v="3212"/>
  </r>
  <r>
    <x v="0"/>
    <x v="4"/>
    <x v="4"/>
    <x v="67"/>
    <x v="60"/>
    <x v="60"/>
    <s v="CHARGES"/>
    <x v="0"/>
    <s v="3212.004"/>
    <s v="Intérêts rémun./perçu trop tôt sur acomptes C/C"/>
    <n v="13.12"/>
    <n v="0"/>
    <n v="3212"/>
  </r>
  <r>
    <x v="0"/>
    <x v="4"/>
    <x v="4"/>
    <x v="67"/>
    <x v="60"/>
    <x v="60"/>
    <s v="CHARGES"/>
    <x v="0"/>
    <s v="3221.002"/>
    <s v="Intérêts compensatoires / créances en faveur ctb."/>
    <n v="0.22"/>
    <n v="0"/>
    <n v="3221"/>
  </r>
  <r>
    <x v="0"/>
    <x v="4"/>
    <x v="4"/>
    <x v="67"/>
    <x v="60"/>
    <x v="60"/>
    <s v="CHARGES"/>
    <x v="0"/>
    <s v="3221.002"/>
    <s v="Intérêts compensatoires / créances en faveur ctb."/>
    <n v="6.54"/>
    <n v="0"/>
    <n v="3221"/>
  </r>
  <r>
    <x v="0"/>
    <x v="4"/>
    <x v="4"/>
    <x v="67"/>
    <x v="60"/>
    <x v="60"/>
    <s v="CHARGES"/>
    <x v="1"/>
    <s v="3301.001"/>
    <s v="Défalcations, abandons de solde PP et IS"/>
    <n v="29367.81"/>
    <n v="0"/>
    <n v="3301"/>
  </r>
  <r>
    <x v="0"/>
    <x v="4"/>
    <x v="4"/>
    <x v="67"/>
    <x v="60"/>
    <x v="60"/>
    <s v="CHARGES"/>
    <x v="0"/>
    <s v="3212.002"/>
    <s v="Intérêts bonifiés/trop perçu acompte C/C"/>
    <n v="3.66"/>
    <n v="0"/>
    <n v="3212"/>
  </r>
  <r>
    <x v="0"/>
    <x v="4"/>
    <x v="4"/>
    <x v="67"/>
    <x v="60"/>
    <x v="60"/>
    <s v="CHARGES"/>
    <x v="0"/>
    <s v="3212.004"/>
    <s v="Intérêts rémun./perçu trop tôt sur acomptes C/C"/>
    <n v="9.68"/>
    <n v="0"/>
    <n v="3212"/>
  </r>
  <r>
    <x v="0"/>
    <x v="4"/>
    <x v="4"/>
    <x v="67"/>
    <x v="60"/>
    <x v="60"/>
    <s v="CHARGES"/>
    <x v="0"/>
    <s v="3221.002"/>
    <s v="Intérêts compensatoires / créances en faveur ctb."/>
    <n v="6.97"/>
    <n v="0"/>
    <n v="3221"/>
  </r>
  <r>
    <x v="0"/>
    <x v="4"/>
    <x v="4"/>
    <x v="67"/>
    <x v="60"/>
    <x v="60"/>
    <s v="CHARGES"/>
    <x v="1"/>
    <s v="3301.001"/>
    <s v="Défalcations, abandons de solde PP et IS"/>
    <n v="4.63"/>
    <n v="0"/>
    <n v="3301"/>
  </r>
  <r>
    <x v="0"/>
    <x v="4"/>
    <x v="4"/>
    <x v="67"/>
    <x v="60"/>
    <x v="60"/>
    <s v="CHARGES"/>
    <x v="1"/>
    <s v="3301.001"/>
    <s v="Défalcations, abandons de solde PP et IS"/>
    <n v="87.26"/>
    <n v="0"/>
    <n v="3301"/>
  </r>
  <r>
    <x v="0"/>
    <x v="4"/>
    <x v="4"/>
    <x v="67"/>
    <x v="60"/>
    <x v="60"/>
    <s v="CHARGES"/>
    <x v="0"/>
    <s v="3212.004"/>
    <s v="Intérêts rémun./perçu trop tôt sur acomptes C/C"/>
    <n v="1.52"/>
    <n v="0"/>
    <n v="3212"/>
  </r>
  <r>
    <x v="0"/>
    <x v="4"/>
    <x v="4"/>
    <x v="67"/>
    <x v="60"/>
    <x v="60"/>
    <s v="CHARGES"/>
    <x v="0"/>
    <s v="3212.004"/>
    <s v="Intérêts rémun./perçu trop tôt sur acomptes C/C"/>
    <n v="0.27"/>
    <n v="0"/>
    <n v="3212"/>
  </r>
  <r>
    <x v="0"/>
    <x v="4"/>
    <x v="4"/>
    <x v="67"/>
    <x v="60"/>
    <x v="60"/>
    <s v="CHARGES"/>
    <x v="1"/>
    <s v="3301.001"/>
    <s v="Défalcations, abandons de solde PP et IS"/>
    <n v="0.81"/>
    <n v="0"/>
    <n v="3301"/>
  </r>
  <r>
    <x v="0"/>
    <x v="4"/>
    <x v="4"/>
    <x v="67"/>
    <x v="60"/>
    <x v="60"/>
    <s v="REVENUS"/>
    <x v="2"/>
    <s v="4001.001"/>
    <s v="Impôt revenu"/>
    <n v="0"/>
    <n v="3368718.55"/>
    <n v="4001"/>
  </r>
  <r>
    <x v="0"/>
    <x v="4"/>
    <x v="4"/>
    <x v="67"/>
    <x v="60"/>
    <x v="60"/>
    <s v="REVENUS"/>
    <x v="2"/>
    <s v="4001.003"/>
    <s v="Impôt s/prest. cap. PP"/>
    <n v="0"/>
    <n v="128693.95"/>
    <n v="4001"/>
  </r>
  <r>
    <x v="0"/>
    <x v="4"/>
    <x v="4"/>
    <x v="67"/>
    <x v="60"/>
    <x v="60"/>
    <s v="REVENUS"/>
    <x v="2"/>
    <s v="4001.007"/>
    <s v="Acompte impôt sur revenu"/>
    <n v="0"/>
    <n v="-450282.7"/>
    <n v="4001"/>
  </r>
  <r>
    <x v="0"/>
    <x v="4"/>
    <x v="4"/>
    <x v="67"/>
    <x v="60"/>
    <x v="60"/>
    <s v="REVENUS"/>
    <x v="3"/>
    <s v="4002.001"/>
    <s v="Impôt ordinaire s/fortune PP"/>
    <n v="0"/>
    <n v="301713.40000000002"/>
    <n v="4002"/>
  </r>
  <r>
    <x v="0"/>
    <x v="4"/>
    <x v="4"/>
    <x v="67"/>
    <x v="60"/>
    <x v="60"/>
    <s v="REVENUS"/>
    <x v="6"/>
    <s v="4211.001"/>
    <s v="Intérêts de retard sur factures"/>
    <n v="0"/>
    <n v="7603.87"/>
    <n v="4211"/>
  </r>
  <r>
    <x v="0"/>
    <x v="4"/>
    <x v="4"/>
    <x v="67"/>
    <x v="60"/>
    <x v="60"/>
    <s v="REVENUS"/>
    <x v="6"/>
    <s v="4221.003"/>
    <s v="Intérêts compensat. / acomptes en faveur du fisc"/>
    <n v="0"/>
    <n v="272.70999999999998"/>
    <n v="4221"/>
  </r>
  <r>
    <x v="0"/>
    <x v="4"/>
    <x v="4"/>
    <x v="67"/>
    <x v="60"/>
    <x v="60"/>
    <s v="REVENUS"/>
    <x v="3"/>
    <s v="4002.007"/>
    <s v="Acompte impôt sur fortune"/>
    <n v="0"/>
    <n v="-60521.77"/>
    <n v="4002"/>
  </r>
  <r>
    <x v="0"/>
    <x v="4"/>
    <x v="4"/>
    <x v="67"/>
    <x v="60"/>
    <x v="60"/>
    <s v="REVENUS"/>
    <x v="7"/>
    <s v="4184.000"/>
    <s v="Frais de poursuite"/>
    <n v="0"/>
    <n v="2387.4299999999998"/>
    <n v="4184"/>
  </r>
  <r>
    <x v="0"/>
    <x v="4"/>
    <x v="4"/>
    <x v="67"/>
    <x v="60"/>
    <x v="60"/>
    <s v="REVENUS"/>
    <x v="6"/>
    <s v="4211.002"/>
    <s v="Intérêts de retard sur acomptes"/>
    <n v="0"/>
    <n v="21464.639999999999"/>
    <n v="4211"/>
  </r>
  <r>
    <x v="0"/>
    <x v="4"/>
    <x v="4"/>
    <x v="67"/>
    <x v="60"/>
    <x v="60"/>
    <s v="REVENUS"/>
    <x v="2"/>
    <s v="4001.002"/>
    <s v="Impôt complément s/revenu PP"/>
    <n v="0"/>
    <n v="274352"/>
    <n v="4001"/>
  </r>
  <r>
    <x v="0"/>
    <x v="4"/>
    <x v="4"/>
    <x v="67"/>
    <x v="60"/>
    <x v="60"/>
    <s v="REVENUS"/>
    <x v="3"/>
    <s v="4002.002"/>
    <s v="Impôt complémentaire s/fortune PP"/>
    <n v="0"/>
    <n v="36936.75"/>
    <n v="4002"/>
  </r>
  <r>
    <x v="0"/>
    <x v="4"/>
    <x v="4"/>
    <x v="67"/>
    <x v="60"/>
    <x v="60"/>
    <s v="REVENUS"/>
    <x v="6"/>
    <s v="4221.002"/>
    <s v="Intérêts compensat. sur impôts distincts"/>
    <n v="0"/>
    <n v="31.14"/>
    <n v="4221"/>
  </r>
  <r>
    <x v="0"/>
    <x v="4"/>
    <x v="4"/>
    <x v="67"/>
    <x v="60"/>
    <x v="60"/>
    <s v="REVENUS"/>
    <x v="2"/>
    <s v="4001.007"/>
    <s v="Acompte impôt sur revenu"/>
    <n v="0"/>
    <n v="-247.23"/>
    <n v="4001"/>
  </r>
  <r>
    <x v="0"/>
    <x v="4"/>
    <x v="4"/>
    <x v="67"/>
    <x v="60"/>
    <x v="60"/>
    <s v="REVENUS"/>
    <x v="3"/>
    <s v="4002.007"/>
    <s v="Acompte impôt sur fortune"/>
    <n v="0"/>
    <n v="-242.63"/>
    <n v="4002"/>
  </r>
  <r>
    <x v="0"/>
    <x v="4"/>
    <x v="4"/>
    <x v="67"/>
    <x v="60"/>
    <x v="60"/>
    <s v="REVENUS"/>
    <x v="2"/>
    <s v="4001.001"/>
    <s v="Impôt revenu"/>
    <n v="0"/>
    <n v="4681.3999999999996"/>
    <n v="4001"/>
  </r>
  <r>
    <x v="0"/>
    <x v="4"/>
    <x v="4"/>
    <x v="67"/>
    <x v="60"/>
    <x v="60"/>
    <s v="REVENUS"/>
    <x v="2"/>
    <s v="4001.007"/>
    <s v="Acompte impôt sur revenu"/>
    <n v="0"/>
    <n v="-222.56"/>
    <n v="4001"/>
  </r>
  <r>
    <x v="0"/>
    <x v="4"/>
    <x v="4"/>
    <x v="67"/>
    <x v="60"/>
    <x v="60"/>
    <s v="REVENUS"/>
    <x v="3"/>
    <s v="4002.001"/>
    <s v="Impôt ordinaire s/fortune PP"/>
    <n v="0"/>
    <n v="6189.25"/>
    <n v="4002"/>
  </r>
  <r>
    <x v="0"/>
    <x v="4"/>
    <x v="4"/>
    <x v="67"/>
    <x v="60"/>
    <x v="60"/>
    <s v="REVENUS"/>
    <x v="3"/>
    <s v="4002.007"/>
    <s v="Acompte impôt sur fortune"/>
    <n v="0"/>
    <n v="1827.17"/>
    <n v="4002"/>
  </r>
  <r>
    <x v="0"/>
    <x v="4"/>
    <x v="4"/>
    <x v="67"/>
    <x v="60"/>
    <x v="60"/>
    <s v="REVENUS"/>
    <x v="10"/>
    <s v="4041.001"/>
    <s v="Droits de mutation"/>
    <n v="0"/>
    <n v="178663.8"/>
    <n v="4041"/>
  </r>
  <r>
    <x v="0"/>
    <x v="4"/>
    <x v="4"/>
    <x v="67"/>
    <x v="60"/>
    <x v="60"/>
    <s v="REVENUS"/>
    <x v="3"/>
    <s v="4002.007"/>
    <s v="Acompte impôt sur fortune"/>
    <n v="0"/>
    <n v="-4392.8999999999996"/>
    <n v="4002"/>
  </r>
  <r>
    <x v="0"/>
    <x v="4"/>
    <x v="4"/>
    <x v="67"/>
    <x v="60"/>
    <x v="60"/>
    <s v="REVENUS"/>
    <x v="7"/>
    <s v="4184.000"/>
    <s v="Frais de poursuite"/>
    <n v="0"/>
    <n v="1018.12"/>
    <n v="4184"/>
  </r>
  <r>
    <x v="0"/>
    <x v="4"/>
    <x v="4"/>
    <x v="67"/>
    <x v="60"/>
    <x v="60"/>
    <s v="REVENUS"/>
    <x v="2"/>
    <s v="4001.007"/>
    <s v="Acompte impôt sur revenu"/>
    <n v="0"/>
    <n v="-8645"/>
    <n v="4001"/>
  </r>
  <r>
    <x v="0"/>
    <x v="4"/>
    <x v="4"/>
    <x v="67"/>
    <x v="60"/>
    <x v="60"/>
    <s v="REVENUS"/>
    <x v="2"/>
    <s v="4001.001"/>
    <s v="Impôt revenu"/>
    <n v="0"/>
    <n v="11517.95"/>
    <n v="4001"/>
  </r>
  <r>
    <x v="0"/>
    <x v="4"/>
    <x v="4"/>
    <x v="67"/>
    <x v="60"/>
    <x v="60"/>
    <s v="REVENUS"/>
    <x v="3"/>
    <s v="4002.001"/>
    <s v="Impôt ordinaire s/fortune PP"/>
    <n v="0"/>
    <n v="4227.2"/>
    <n v="4002"/>
  </r>
  <r>
    <x v="0"/>
    <x v="4"/>
    <x v="4"/>
    <x v="67"/>
    <x v="60"/>
    <x v="60"/>
    <s v="REVENUS"/>
    <x v="9"/>
    <s v="4031.001"/>
    <s v="Impôt sur les gains immobiliers"/>
    <n v="0"/>
    <n v="56691"/>
    <n v="4031"/>
  </r>
  <r>
    <x v="0"/>
    <x v="4"/>
    <x v="4"/>
    <x v="67"/>
    <x v="60"/>
    <x v="60"/>
    <s v="REVENUS"/>
    <x v="4"/>
    <s v="4051.002"/>
    <s v="Impôt sur les donations"/>
    <n v="0"/>
    <n v="6887.3"/>
    <n v="4051"/>
  </r>
  <r>
    <x v="0"/>
    <x v="4"/>
    <x v="4"/>
    <x v="67"/>
    <x v="60"/>
    <x v="60"/>
    <s v="REVENUS"/>
    <x v="3"/>
    <s v="4002.002"/>
    <s v="Impôt complémentaire s/fortune PP"/>
    <n v="0"/>
    <n v="630.20000000000005"/>
    <n v="4002"/>
  </r>
  <r>
    <x v="0"/>
    <x v="4"/>
    <x v="4"/>
    <x v="67"/>
    <x v="60"/>
    <x v="60"/>
    <s v="REVENUS"/>
    <x v="6"/>
    <s v="4211.001"/>
    <s v="Intérêts de retard sur factures"/>
    <n v="0"/>
    <n v="16.95"/>
    <n v="4211"/>
  </r>
  <r>
    <x v="0"/>
    <x v="4"/>
    <x v="4"/>
    <x v="67"/>
    <x v="60"/>
    <x v="60"/>
    <s v="REVENUS"/>
    <x v="6"/>
    <s v="4211.002"/>
    <s v="Intérêts de retard sur acomptes"/>
    <n v="0"/>
    <n v="88.81"/>
    <n v="4211"/>
  </r>
  <r>
    <x v="0"/>
    <x v="4"/>
    <x v="4"/>
    <x v="67"/>
    <x v="60"/>
    <x v="60"/>
    <s v="REVENUS"/>
    <x v="2"/>
    <s v="4001.002"/>
    <s v="Impôt complément s/revenu PP"/>
    <n v="0"/>
    <n v="240.2"/>
    <n v="4001"/>
  </r>
  <r>
    <x v="0"/>
    <x v="4"/>
    <x v="4"/>
    <x v="67"/>
    <x v="60"/>
    <x v="60"/>
    <s v="REVENUS"/>
    <x v="6"/>
    <s v="4211.002"/>
    <s v="Intérêts de retard sur acomptes"/>
    <n v="0"/>
    <n v="1.71"/>
    <n v="4211"/>
  </r>
  <r>
    <x v="0"/>
    <x v="4"/>
    <x v="4"/>
    <x v="67"/>
    <x v="60"/>
    <x v="60"/>
    <s v="REVENUS"/>
    <x v="2"/>
    <s v="4001.007"/>
    <s v="Acompte impôt sur revenu"/>
    <n v="0"/>
    <n v="1394.71"/>
    <n v="4001"/>
  </r>
  <r>
    <x v="0"/>
    <x v="4"/>
    <x v="4"/>
    <x v="67"/>
    <x v="60"/>
    <x v="60"/>
    <s v="REVENUS"/>
    <x v="3"/>
    <s v="4002.007"/>
    <s v="Acompte impôt sur fortune"/>
    <n v="0"/>
    <n v="2053.8000000000002"/>
    <n v="4002"/>
  </r>
  <r>
    <x v="0"/>
    <x v="4"/>
    <x v="4"/>
    <x v="67"/>
    <x v="60"/>
    <x v="60"/>
    <s v="REVENUS"/>
    <x v="7"/>
    <s v="4184.000"/>
    <s v="Frais de poursuite"/>
    <n v="0"/>
    <n v="0.92"/>
    <n v="4184"/>
  </r>
  <r>
    <x v="0"/>
    <x v="4"/>
    <x v="4"/>
    <x v="67"/>
    <x v="60"/>
    <x v="60"/>
    <s v="REVENUS"/>
    <x v="2"/>
    <s v="4001.007"/>
    <s v="Acompte impôt sur revenu"/>
    <n v="0"/>
    <n v="100.55"/>
    <n v="4001"/>
  </r>
  <r>
    <x v="0"/>
    <x v="4"/>
    <x v="4"/>
    <x v="67"/>
    <x v="60"/>
    <x v="60"/>
    <s v="REVENUS"/>
    <x v="3"/>
    <s v="4002.007"/>
    <s v="Acompte impôt sur fortune"/>
    <n v="0"/>
    <n v="-12.9"/>
    <n v="4002"/>
  </r>
  <r>
    <x v="0"/>
    <x v="4"/>
    <x v="4"/>
    <x v="67"/>
    <x v="60"/>
    <x v="60"/>
    <s v="REVENUS"/>
    <x v="3"/>
    <s v="4002.007"/>
    <s v="Acompte impôt sur fortune"/>
    <n v="0"/>
    <n v="-2753.72"/>
    <n v="4002"/>
  </r>
  <r>
    <x v="0"/>
    <x v="4"/>
    <x v="4"/>
    <x v="67"/>
    <x v="60"/>
    <x v="60"/>
    <s v="REVENUS"/>
    <x v="11"/>
    <s v="4198.000"/>
    <s v="Contributions communales"/>
    <n v="0"/>
    <n v="276059.45"/>
    <n v="4198"/>
  </r>
  <r>
    <x v="0"/>
    <x v="4"/>
    <x v="4"/>
    <x v="67"/>
    <x v="60"/>
    <x v="60"/>
    <s v="REVENUS"/>
    <x v="2"/>
    <s v="4001.007"/>
    <s v="Acompte impôt sur revenu"/>
    <n v="0"/>
    <n v="-7345.92"/>
    <n v="4001"/>
  </r>
  <r>
    <x v="0"/>
    <x v="4"/>
    <x v="4"/>
    <x v="67"/>
    <x v="60"/>
    <x v="60"/>
    <s v="REVENUS"/>
    <x v="9"/>
    <s v="4031.002"/>
    <s v="Complément impôt sur les gains immobiliers"/>
    <n v="0"/>
    <n v="8830.2000000000007"/>
    <n v="4031"/>
  </r>
  <r>
    <x v="0"/>
    <x v="4"/>
    <x v="4"/>
    <x v="67"/>
    <x v="60"/>
    <x v="60"/>
    <s v="REVENUS"/>
    <x v="6"/>
    <s v="4221.003"/>
    <s v="Intérêts compensat. / acomptes en faveur du fisc"/>
    <n v="0"/>
    <n v="-0.52"/>
    <n v="4221"/>
  </r>
  <r>
    <x v="0"/>
    <x v="4"/>
    <x v="4"/>
    <x v="67"/>
    <x v="60"/>
    <x v="60"/>
    <s v="REVENUS"/>
    <x v="8"/>
    <s v="4091.001"/>
    <s v="Impôt récupéré après défalcations"/>
    <n v="0"/>
    <n v="6397.7"/>
    <n v="4091"/>
  </r>
  <r>
    <x v="0"/>
    <x v="4"/>
    <x v="4"/>
    <x v="67"/>
    <x v="60"/>
    <x v="60"/>
    <s v="REVENUS"/>
    <x v="2"/>
    <s v="4001.001"/>
    <s v="Impôt revenu"/>
    <n v="0"/>
    <n v="92042.8"/>
    <n v="4001"/>
  </r>
  <r>
    <x v="0"/>
    <x v="4"/>
    <x v="4"/>
    <x v="67"/>
    <x v="60"/>
    <x v="60"/>
    <s v="REVENUS"/>
    <x v="3"/>
    <s v="4002.001"/>
    <s v="Impôt ordinaire s/fortune PP"/>
    <n v="0"/>
    <n v="23892.1"/>
    <n v="4002"/>
  </r>
  <r>
    <x v="0"/>
    <x v="4"/>
    <x v="4"/>
    <x v="67"/>
    <x v="60"/>
    <x v="60"/>
    <s v="REVENUS"/>
    <x v="2"/>
    <s v="4001.002"/>
    <s v="Impôt complément s/revenu PP"/>
    <n v="0"/>
    <n v="3161.2"/>
    <n v="4001"/>
  </r>
  <r>
    <x v="0"/>
    <x v="4"/>
    <x v="4"/>
    <x v="67"/>
    <x v="60"/>
    <x v="60"/>
    <s v="REVENUS"/>
    <x v="6"/>
    <s v="4211.002"/>
    <s v="Intérêts de retard sur acomptes"/>
    <n v="0"/>
    <n v="64.010000000000005"/>
    <n v="4211"/>
  </r>
  <r>
    <x v="0"/>
    <x v="4"/>
    <x v="4"/>
    <x v="67"/>
    <x v="60"/>
    <x v="60"/>
    <s v="REVENUS"/>
    <x v="6"/>
    <s v="4221.003"/>
    <s v="Intérêts compensat. / acomptes en faveur du fisc"/>
    <n v="0"/>
    <n v="33.33"/>
    <n v="4221"/>
  </r>
  <r>
    <x v="0"/>
    <x v="4"/>
    <x v="4"/>
    <x v="67"/>
    <x v="60"/>
    <x v="60"/>
    <s v="REVENUS"/>
    <x v="2"/>
    <s v="4001.001"/>
    <s v="Impôt revenu"/>
    <n v="0"/>
    <n v="1524.85"/>
    <n v="4001"/>
  </r>
  <r>
    <x v="0"/>
    <x v="4"/>
    <x v="4"/>
    <x v="67"/>
    <x v="60"/>
    <x v="60"/>
    <s v="REVENUS"/>
    <x v="3"/>
    <s v="4002.001"/>
    <s v="Impôt ordinaire s/fortune PP"/>
    <n v="0"/>
    <n v="1386.25"/>
    <n v="4002"/>
  </r>
  <r>
    <x v="0"/>
    <x v="4"/>
    <x v="4"/>
    <x v="67"/>
    <x v="60"/>
    <x v="60"/>
    <s v="REVENUS"/>
    <x v="3"/>
    <s v="4002.001"/>
    <s v="Impôt ordinaire s/fortune PP"/>
    <n v="0"/>
    <n v="0"/>
    <n v="4002"/>
  </r>
  <r>
    <x v="0"/>
    <x v="4"/>
    <x v="4"/>
    <x v="67"/>
    <x v="60"/>
    <x v="60"/>
    <s v="REVENUS"/>
    <x v="6"/>
    <s v="4221.003"/>
    <s v="Intérêts compensat. / acomptes en faveur du fisc"/>
    <n v="0"/>
    <n v="1.06"/>
    <n v="4221"/>
  </r>
  <r>
    <x v="0"/>
    <x v="4"/>
    <x v="4"/>
    <x v="67"/>
    <x v="60"/>
    <x v="60"/>
    <s v="REVENUS"/>
    <x v="6"/>
    <s v="4221.003"/>
    <s v="Intérêts compensat. / acomptes en faveur du fisc"/>
    <n v="0"/>
    <n v="0.59"/>
    <n v="4221"/>
  </r>
  <r>
    <x v="0"/>
    <x v="4"/>
    <x v="4"/>
    <x v="67"/>
    <x v="60"/>
    <x v="60"/>
    <s v="REVENUS"/>
    <x v="5"/>
    <s v="4061.000"/>
    <s v="Impôt sur les chiens"/>
    <n v="0"/>
    <n v="13650"/>
    <n v="4061"/>
  </r>
  <r>
    <x v="0"/>
    <x v="4"/>
    <x v="4"/>
    <x v="67"/>
    <x v="60"/>
    <x v="60"/>
    <s v="REVENUS"/>
    <x v="6"/>
    <s v="4211.001"/>
    <s v="Intérêts de retard sur factures"/>
    <n v="0"/>
    <n v="0.81"/>
    <n v="4211"/>
  </r>
  <r>
    <x v="0"/>
    <x v="4"/>
    <x v="4"/>
    <x v="67"/>
    <x v="60"/>
    <x v="60"/>
    <s v="REVENUS"/>
    <x v="2"/>
    <s v="4001.002"/>
    <s v="Impôt complément s/revenu PP"/>
    <n v="0"/>
    <n v="22.35"/>
    <n v="4001"/>
  </r>
  <r>
    <x v="0"/>
    <x v="4"/>
    <x v="4"/>
    <x v="67"/>
    <x v="60"/>
    <x v="60"/>
    <s v="REVENUS"/>
    <x v="3"/>
    <s v="4002.002"/>
    <s v="Impôt complémentaire s/fortune PP"/>
    <n v="0"/>
    <n v="863.05"/>
    <n v="4002"/>
  </r>
  <r>
    <x v="0"/>
    <x v="4"/>
    <x v="4"/>
    <x v="67"/>
    <x v="60"/>
    <x v="60"/>
    <s v="REVENUS"/>
    <x v="6"/>
    <s v="4211.001"/>
    <s v="Intérêts de retard sur factures"/>
    <n v="0"/>
    <n v="1.0900000000000001"/>
    <n v="4211"/>
  </r>
  <r>
    <x v="0"/>
    <x v="4"/>
    <x v="4"/>
    <x v="67"/>
    <x v="60"/>
    <x v="60"/>
    <s v="REVENUS"/>
    <x v="10"/>
    <s v="4041.002"/>
    <s v="Complément droit de mutation"/>
    <n v="0"/>
    <n v="6733.7"/>
    <n v="4041"/>
  </r>
  <r>
    <x v="0"/>
    <x v="4"/>
    <x v="4"/>
    <x v="67"/>
    <x v="60"/>
    <x v="60"/>
    <s v="REVENUS"/>
    <x v="7"/>
    <s v="4184.000"/>
    <s v="Frais de poursuite"/>
    <n v="0"/>
    <n v="33.97"/>
    <n v="4184"/>
  </r>
  <r>
    <x v="0"/>
    <x v="4"/>
    <x v="4"/>
    <x v="67"/>
    <x v="60"/>
    <x v="60"/>
    <s v="REVENUS"/>
    <x v="6"/>
    <s v="4211.001"/>
    <s v="Intérêts de retard sur factures"/>
    <n v="0"/>
    <n v="3.97"/>
    <n v="4211"/>
  </r>
  <r>
    <x v="0"/>
    <x v="4"/>
    <x v="4"/>
    <x v="67"/>
    <x v="60"/>
    <x v="60"/>
    <s v="REVENUS"/>
    <x v="4"/>
    <s v="4051.001"/>
    <s v="Impôt sur les successions"/>
    <n v="0"/>
    <n v="30849.3"/>
    <n v="4051"/>
  </r>
  <r>
    <x v="0"/>
    <x v="4"/>
    <x v="4"/>
    <x v="67"/>
    <x v="60"/>
    <x v="60"/>
    <s v="REVENUS"/>
    <x v="8"/>
    <s v="4091.001"/>
    <s v="Impôt récupéré après défalcations"/>
    <n v="0"/>
    <n v="177.62"/>
    <n v="4091"/>
  </r>
  <r>
    <x v="0"/>
    <x v="4"/>
    <x v="4"/>
    <x v="67"/>
    <x v="60"/>
    <x v="60"/>
    <s v="REVENUS"/>
    <x v="7"/>
    <s v="4184.000"/>
    <s v="Frais de poursuite"/>
    <n v="0"/>
    <n v="20.75"/>
    <n v="4184"/>
  </r>
  <r>
    <x v="0"/>
    <x v="5"/>
    <x v="1"/>
    <x v="68"/>
    <x v="61"/>
    <x v="61"/>
    <s v="CHARGES"/>
    <x v="1"/>
    <s v="3301.001"/>
    <s v="Défalcations, abandons de solde PP et IS"/>
    <n v="21909.49"/>
    <n v="0"/>
    <n v="3301"/>
  </r>
  <r>
    <x v="0"/>
    <x v="5"/>
    <x v="1"/>
    <x v="68"/>
    <x v="61"/>
    <x v="61"/>
    <s v="CHARGES"/>
    <x v="0"/>
    <s v="3212.004"/>
    <s v="Intérêts rémun./perçu trop tôt sur acomptes C/C"/>
    <n v="180.4"/>
    <n v="0"/>
    <n v="3212"/>
  </r>
  <r>
    <x v="0"/>
    <x v="5"/>
    <x v="1"/>
    <x v="68"/>
    <x v="61"/>
    <x v="61"/>
    <s v="CHARGES"/>
    <x v="0"/>
    <s v="3221.002"/>
    <s v="Intérêts compensatoires / créances en faveur ctb."/>
    <n v="76.14"/>
    <n v="0"/>
    <n v="3221"/>
  </r>
  <r>
    <x v="0"/>
    <x v="5"/>
    <x v="1"/>
    <x v="68"/>
    <x v="61"/>
    <x v="61"/>
    <s v="CHARGES"/>
    <x v="0"/>
    <s v="3212.004"/>
    <s v="Intérêts rémun./perçu trop tôt sur acomptes C/C"/>
    <n v="-0.06"/>
    <n v="0"/>
    <n v="3212"/>
  </r>
  <r>
    <x v="0"/>
    <x v="5"/>
    <x v="1"/>
    <x v="68"/>
    <x v="61"/>
    <x v="61"/>
    <s v="CHARGES"/>
    <x v="0"/>
    <s v="3212.004"/>
    <s v="Intérêts rémun./perçu trop tôt sur acomptes C/C"/>
    <n v="-0.06"/>
    <n v="0"/>
    <n v="3212"/>
  </r>
  <r>
    <x v="0"/>
    <x v="5"/>
    <x v="1"/>
    <x v="68"/>
    <x v="61"/>
    <x v="61"/>
    <s v="CHARGES"/>
    <x v="1"/>
    <s v="3301.001"/>
    <s v="Défalcations, abandons de solde PP et IS"/>
    <n v="-830.81"/>
    <n v="0"/>
    <n v="3301"/>
  </r>
  <r>
    <x v="0"/>
    <x v="5"/>
    <x v="1"/>
    <x v="68"/>
    <x v="61"/>
    <x v="61"/>
    <s v="CHARGES"/>
    <x v="0"/>
    <s v="3212.002"/>
    <s v="Intérêts bonifiés/trop perçu acompte C/C"/>
    <n v="5.25"/>
    <n v="0"/>
    <n v="3212"/>
  </r>
  <r>
    <x v="0"/>
    <x v="5"/>
    <x v="1"/>
    <x v="68"/>
    <x v="61"/>
    <x v="61"/>
    <s v="CHARGES"/>
    <x v="1"/>
    <s v="3301.001"/>
    <s v="Défalcations, abandons de solde PP et IS"/>
    <n v="766.93"/>
    <n v="0"/>
    <n v="3301"/>
  </r>
  <r>
    <x v="0"/>
    <x v="5"/>
    <x v="1"/>
    <x v="68"/>
    <x v="61"/>
    <x v="61"/>
    <s v="CHARGES"/>
    <x v="1"/>
    <s v="3301.001"/>
    <s v="Défalcations, abandons de solde PP et IS"/>
    <n v="2.2799999999999998"/>
    <n v="0"/>
    <n v="3301"/>
  </r>
  <r>
    <x v="0"/>
    <x v="5"/>
    <x v="1"/>
    <x v="68"/>
    <x v="61"/>
    <x v="61"/>
    <s v="CHARGES"/>
    <x v="0"/>
    <s v="3212.004"/>
    <s v="Intérêts rémun./perçu trop tôt sur acomptes C/C"/>
    <n v="3.29"/>
    <n v="0"/>
    <n v="3212"/>
  </r>
  <r>
    <x v="0"/>
    <x v="5"/>
    <x v="1"/>
    <x v="68"/>
    <x v="61"/>
    <x v="61"/>
    <s v="CHARGES"/>
    <x v="0"/>
    <s v="3221.002"/>
    <s v="Intérêts compensatoires / créances en faveur ctb."/>
    <n v="0.45"/>
    <n v="0"/>
    <n v="3221"/>
  </r>
  <r>
    <x v="0"/>
    <x v="5"/>
    <x v="1"/>
    <x v="68"/>
    <x v="61"/>
    <x v="61"/>
    <s v="CHARGES"/>
    <x v="0"/>
    <s v="3221.002"/>
    <s v="Intérêts compensatoires / créances en faveur ctb."/>
    <n v="-7.38"/>
    <n v="0"/>
    <n v="3221"/>
  </r>
  <r>
    <x v="0"/>
    <x v="5"/>
    <x v="1"/>
    <x v="68"/>
    <x v="61"/>
    <x v="61"/>
    <s v="CHARGES"/>
    <x v="1"/>
    <s v="3301.001"/>
    <s v="Défalcations, abandons de solde PP et IS"/>
    <n v="4.57"/>
    <n v="0"/>
    <n v="3301"/>
  </r>
  <r>
    <x v="0"/>
    <x v="5"/>
    <x v="1"/>
    <x v="68"/>
    <x v="61"/>
    <x v="61"/>
    <s v="CHARGES"/>
    <x v="0"/>
    <s v="3212.002"/>
    <s v="Intérêts bonifiés/trop perçu acompte C/C"/>
    <n v="-2.2200000000000002"/>
    <n v="0"/>
    <n v="3212"/>
  </r>
  <r>
    <x v="0"/>
    <x v="5"/>
    <x v="1"/>
    <x v="68"/>
    <x v="61"/>
    <x v="61"/>
    <s v="CHARGES"/>
    <x v="0"/>
    <s v="3221.002"/>
    <s v="Intérêts compensatoires / créances en faveur ctb."/>
    <n v="-0.05"/>
    <n v="0"/>
    <n v="3221"/>
  </r>
  <r>
    <x v="0"/>
    <x v="5"/>
    <x v="1"/>
    <x v="68"/>
    <x v="61"/>
    <x v="61"/>
    <s v="CHARGES"/>
    <x v="0"/>
    <s v="3212.004"/>
    <s v="Intérêts rémun./perçu trop tôt sur acomptes C/C"/>
    <n v="0.06"/>
    <n v="0"/>
    <n v="3212"/>
  </r>
  <r>
    <x v="0"/>
    <x v="5"/>
    <x v="1"/>
    <x v="68"/>
    <x v="61"/>
    <x v="61"/>
    <s v="CHARGES"/>
    <x v="0"/>
    <s v="3212.002"/>
    <s v="Intérêts bonifiés/trop perçu acompte C/C"/>
    <n v="0.06"/>
    <n v="0"/>
    <n v="3212"/>
  </r>
  <r>
    <x v="0"/>
    <x v="5"/>
    <x v="1"/>
    <x v="68"/>
    <x v="61"/>
    <x v="61"/>
    <s v="CHARGES"/>
    <x v="0"/>
    <s v="3212.004"/>
    <s v="Intérêts rémun./perçu trop tôt sur acomptes C/C"/>
    <n v="-1.71"/>
    <n v="0"/>
    <n v="3212"/>
  </r>
  <r>
    <x v="0"/>
    <x v="5"/>
    <x v="1"/>
    <x v="68"/>
    <x v="61"/>
    <x v="61"/>
    <s v="CHARGES"/>
    <x v="1"/>
    <s v="3301.001"/>
    <s v="Défalcations, abandons de solde PP et IS"/>
    <n v="0.02"/>
    <n v="0"/>
    <n v="3301"/>
  </r>
  <r>
    <x v="0"/>
    <x v="5"/>
    <x v="1"/>
    <x v="68"/>
    <x v="61"/>
    <x v="61"/>
    <s v="CHARGES"/>
    <x v="0"/>
    <s v="3212.004"/>
    <s v="Intérêts rémun./perçu trop tôt sur acomptes C/C"/>
    <n v="0.04"/>
    <n v="0"/>
    <n v="3212"/>
  </r>
  <r>
    <x v="0"/>
    <x v="5"/>
    <x v="1"/>
    <x v="68"/>
    <x v="61"/>
    <x v="61"/>
    <s v="CHARGES"/>
    <x v="0"/>
    <s v="3212.004"/>
    <s v="Intérêts rémun./perçu trop tôt sur acomptes C/C"/>
    <n v="0.25"/>
    <n v="0"/>
    <n v="3212"/>
  </r>
  <r>
    <x v="0"/>
    <x v="5"/>
    <x v="1"/>
    <x v="68"/>
    <x v="61"/>
    <x v="61"/>
    <s v="CHARGES"/>
    <x v="1"/>
    <s v="3301.001"/>
    <s v="Défalcations, abandons de solde PP et IS"/>
    <n v="0.01"/>
    <n v="0"/>
    <n v="3301"/>
  </r>
  <r>
    <x v="0"/>
    <x v="5"/>
    <x v="1"/>
    <x v="68"/>
    <x v="61"/>
    <x v="61"/>
    <s v="CHARGES"/>
    <x v="0"/>
    <s v="3221.002"/>
    <s v="Intérêts compensatoires / créances en faveur ctb."/>
    <n v="0.08"/>
    <n v="0"/>
    <n v="3221"/>
  </r>
  <r>
    <x v="0"/>
    <x v="5"/>
    <x v="1"/>
    <x v="68"/>
    <x v="61"/>
    <x v="61"/>
    <s v="REVENUS"/>
    <x v="2"/>
    <s v="4001.007"/>
    <s v="Acompte impôt sur revenu"/>
    <n v="0"/>
    <n v="128606.94"/>
    <n v="4001"/>
  </r>
  <r>
    <x v="0"/>
    <x v="5"/>
    <x v="1"/>
    <x v="68"/>
    <x v="61"/>
    <x v="61"/>
    <s v="REVENUS"/>
    <x v="2"/>
    <s v="4001.007"/>
    <s v="Acompte impôt sur revenu"/>
    <n v="0"/>
    <n v="-127714.95"/>
    <n v="4001"/>
  </r>
  <r>
    <x v="0"/>
    <x v="5"/>
    <x v="1"/>
    <x v="68"/>
    <x v="61"/>
    <x v="61"/>
    <s v="REVENUS"/>
    <x v="3"/>
    <s v="4002.007"/>
    <s v="Acompte impôt sur fortune"/>
    <n v="0"/>
    <n v="-26353.74"/>
    <n v="4002"/>
  </r>
  <r>
    <x v="0"/>
    <x v="5"/>
    <x v="1"/>
    <x v="68"/>
    <x v="61"/>
    <x v="61"/>
    <s v="REVENUS"/>
    <x v="2"/>
    <s v="4001.001"/>
    <s v="Impôt revenu"/>
    <n v="0"/>
    <n v="885352.95"/>
    <n v="4001"/>
  </r>
  <r>
    <x v="0"/>
    <x v="5"/>
    <x v="1"/>
    <x v="68"/>
    <x v="61"/>
    <x v="61"/>
    <s v="REVENUS"/>
    <x v="3"/>
    <s v="4002.001"/>
    <s v="Impôt ordinaire s/fortune PP"/>
    <n v="0"/>
    <n v="101816.95"/>
    <n v="4002"/>
  </r>
  <r>
    <x v="0"/>
    <x v="5"/>
    <x v="1"/>
    <x v="68"/>
    <x v="61"/>
    <x v="61"/>
    <s v="REVENUS"/>
    <x v="6"/>
    <s v="4211.001"/>
    <s v="Intérêts de retard sur factures"/>
    <n v="0"/>
    <n v="4420.3500000000004"/>
    <n v="4211"/>
  </r>
  <r>
    <x v="0"/>
    <x v="5"/>
    <x v="1"/>
    <x v="68"/>
    <x v="61"/>
    <x v="61"/>
    <s v="REVENUS"/>
    <x v="6"/>
    <s v="4211.002"/>
    <s v="Intérêts de retard sur acomptes"/>
    <n v="0"/>
    <n v="5260.37"/>
    <n v="4211"/>
  </r>
  <r>
    <x v="0"/>
    <x v="5"/>
    <x v="1"/>
    <x v="68"/>
    <x v="61"/>
    <x v="61"/>
    <s v="REVENUS"/>
    <x v="9"/>
    <s v="4031.001"/>
    <s v="Impôt sur les gains immobiliers"/>
    <n v="0"/>
    <n v="12418.2"/>
    <n v="4031"/>
  </r>
  <r>
    <x v="0"/>
    <x v="5"/>
    <x v="1"/>
    <x v="68"/>
    <x v="61"/>
    <x v="61"/>
    <s v="REVENUS"/>
    <x v="6"/>
    <s v="4221.002"/>
    <s v="Intérêts compensat. sur impôts distincts"/>
    <n v="0"/>
    <n v="3.94"/>
    <n v="4221"/>
  </r>
  <r>
    <x v="0"/>
    <x v="5"/>
    <x v="1"/>
    <x v="68"/>
    <x v="61"/>
    <x v="61"/>
    <s v="REVENUS"/>
    <x v="6"/>
    <s v="4221.003"/>
    <s v="Intérêts compensat. / acomptes en faveur du fisc"/>
    <n v="0"/>
    <n v="68.38"/>
    <n v="4221"/>
  </r>
  <r>
    <x v="0"/>
    <x v="5"/>
    <x v="1"/>
    <x v="68"/>
    <x v="61"/>
    <x v="61"/>
    <s v="REVENUS"/>
    <x v="2"/>
    <s v="4001.001"/>
    <s v="Impôt revenu"/>
    <n v="0"/>
    <n v="-3663.95"/>
    <n v="4001"/>
  </r>
  <r>
    <x v="0"/>
    <x v="5"/>
    <x v="1"/>
    <x v="68"/>
    <x v="61"/>
    <x v="61"/>
    <s v="REVENUS"/>
    <x v="2"/>
    <s v="4001.003"/>
    <s v="Impôt s/prest. cap. PP"/>
    <n v="0"/>
    <n v="24937.5"/>
    <n v="4001"/>
  </r>
  <r>
    <x v="0"/>
    <x v="5"/>
    <x v="1"/>
    <x v="68"/>
    <x v="61"/>
    <x v="61"/>
    <s v="REVENUS"/>
    <x v="3"/>
    <s v="4002.007"/>
    <s v="Acompte impôt sur fortune"/>
    <n v="0"/>
    <n v="17696.84"/>
    <n v="4002"/>
  </r>
  <r>
    <x v="0"/>
    <x v="5"/>
    <x v="1"/>
    <x v="68"/>
    <x v="61"/>
    <x v="61"/>
    <s v="REVENUS"/>
    <x v="2"/>
    <s v="4001.001"/>
    <s v="Impôt revenu"/>
    <n v="0"/>
    <n v="-77238.649999999994"/>
    <n v="4001"/>
  </r>
  <r>
    <x v="0"/>
    <x v="5"/>
    <x v="1"/>
    <x v="68"/>
    <x v="61"/>
    <x v="61"/>
    <s v="REVENUS"/>
    <x v="2"/>
    <s v="4001.002"/>
    <s v="Impôt complément s/revenu PP"/>
    <n v="0"/>
    <n v="-380.3"/>
    <n v="4001"/>
  </r>
  <r>
    <x v="0"/>
    <x v="5"/>
    <x v="1"/>
    <x v="68"/>
    <x v="61"/>
    <x v="61"/>
    <s v="REVENUS"/>
    <x v="6"/>
    <s v="4211.001"/>
    <s v="Intérêts de retard sur factures"/>
    <n v="0"/>
    <n v="-0.18"/>
    <n v="4211"/>
  </r>
  <r>
    <x v="0"/>
    <x v="5"/>
    <x v="1"/>
    <x v="68"/>
    <x v="61"/>
    <x v="61"/>
    <s v="REVENUS"/>
    <x v="6"/>
    <s v="4211.002"/>
    <s v="Intérêts de retard sur acomptes"/>
    <n v="0"/>
    <n v="-14.01"/>
    <n v="4211"/>
  </r>
  <r>
    <x v="0"/>
    <x v="5"/>
    <x v="1"/>
    <x v="68"/>
    <x v="61"/>
    <x v="61"/>
    <s v="REVENUS"/>
    <x v="6"/>
    <s v="4221.003"/>
    <s v="Intérêts compensat. / acomptes en faveur du fisc"/>
    <n v="0"/>
    <n v="-4.46"/>
    <n v="4221"/>
  </r>
  <r>
    <x v="0"/>
    <x v="5"/>
    <x v="1"/>
    <x v="68"/>
    <x v="61"/>
    <x v="61"/>
    <s v="REVENUS"/>
    <x v="2"/>
    <s v="4001.002"/>
    <s v="Impôt complément s/revenu PP"/>
    <n v="0"/>
    <n v="128574.9"/>
    <n v="4001"/>
  </r>
  <r>
    <x v="0"/>
    <x v="5"/>
    <x v="1"/>
    <x v="68"/>
    <x v="61"/>
    <x v="61"/>
    <s v="REVENUS"/>
    <x v="3"/>
    <s v="4002.002"/>
    <s v="Impôt complémentaire s/fortune PP"/>
    <n v="0"/>
    <n v="6614.45"/>
    <n v="4002"/>
  </r>
  <r>
    <x v="0"/>
    <x v="5"/>
    <x v="1"/>
    <x v="68"/>
    <x v="61"/>
    <x v="61"/>
    <s v="REVENUS"/>
    <x v="3"/>
    <s v="4002.002"/>
    <s v="Impôt complémentaire s/fortune PP"/>
    <n v="0"/>
    <n v="184"/>
    <n v="4002"/>
  </r>
  <r>
    <x v="0"/>
    <x v="5"/>
    <x v="1"/>
    <x v="68"/>
    <x v="61"/>
    <x v="61"/>
    <s v="REVENUS"/>
    <x v="6"/>
    <s v="4211.001"/>
    <s v="Intérêts de retard sur factures"/>
    <n v="0"/>
    <n v="3.97"/>
    <n v="4211"/>
  </r>
  <r>
    <x v="0"/>
    <x v="5"/>
    <x v="1"/>
    <x v="68"/>
    <x v="61"/>
    <x v="61"/>
    <s v="REVENUS"/>
    <x v="6"/>
    <s v="4221.003"/>
    <s v="Intérêts compensat. / acomptes en faveur du fisc"/>
    <n v="0"/>
    <n v="2.44"/>
    <n v="4221"/>
  </r>
  <r>
    <x v="0"/>
    <x v="5"/>
    <x v="1"/>
    <x v="68"/>
    <x v="61"/>
    <x v="61"/>
    <s v="REVENUS"/>
    <x v="2"/>
    <s v="4001.001"/>
    <s v="Impôt revenu"/>
    <n v="0"/>
    <n v="1414"/>
    <n v="4001"/>
  </r>
  <r>
    <x v="0"/>
    <x v="5"/>
    <x v="1"/>
    <x v="68"/>
    <x v="61"/>
    <x v="61"/>
    <s v="REVENUS"/>
    <x v="3"/>
    <s v="4002.001"/>
    <s v="Impôt ordinaire s/fortune PP"/>
    <n v="0"/>
    <n v="453.85"/>
    <n v="4002"/>
  </r>
  <r>
    <x v="0"/>
    <x v="5"/>
    <x v="1"/>
    <x v="68"/>
    <x v="61"/>
    <x v="61"/>
    <s v="REVENUS"/>
    <x v="6"/>
    <s v="4211.002"/>
    <s v="Intérêts de retard sur acomptes"/>
    <n v="0"/>
    <n v="9.26"/>
    <n v="4211"/>
  </r>
  <r>
    <x v="0"/>
    <x v="5"/>
    <x v="1"/>
    <x v="68"/>
    <x v="61"/>
    <x v="61"/>
    <s v="REVENUS"/>
    <x v="6"/>
    <s v="4211.001"/>
    <s v="Intérêts de retard sur factures"/>
    <n v="0"/>
    <n v="392.88"/>
    <n v="4211"/>
  </r>
  <r>
    <x v="0"/>
    <x v="5"/>
    <x v="1"/>
    <x v="68"/>
    <x v="61"/>
    <x v="61"/>
    <s v="REVENUS"/>
    <x v="7"/>
    <s v="4184.000"/>
    <s v="Frais de poursuite"/>
    <n v="0"/>
    <n v="2366.7399999999998"/>
    <n v="4184"/>
  </r>
  <r>
    <x v="0"/>
    <x v="5"/>
    <x v="1"/>
    <x v="68"/>
    <x v="61"/>
    <x v="61"/>
    <s v="REVENUS"/>
    <x v="2"/>
    <s v="4001.007"/>
    <s v="Acompte impôt sur revenu"/>
    <n v="0"/>
    <n v="-2119.31"/>
    <n v="4001"/>
  </r>
  <r>
    <x v="0"/>
    <x v="5"/>
    <x v="1"/>
    <x v="68"/>
    <x v="61"/>
    <x v="61"/>
    <s v="REVENUS"/>
    <x v="3"/>
    <s v="4002.007"/>
    <s v="Acompte impôt sur fortune"/>
    <n v="0"/>
    <n v="-47.65"/>
    <n v="4002"/>
  </r>
  <r>
    <x v="0"/>
    <x v="5"/>
    <x v="1"/>
    <x v="68"/>
    <x v="61"/>
    <x v="61"/>
    <s v="REVENUS"/>
    <x v="2"/>
    <s v="4001.001"/>
    <s v="Impôt revenu"/>
    <n v="0"/>
    <n v="8748.2000000000007"/>
    <n v="4001"/>
  </r>
  <r>
    <x v="0"/>
    <x v="5"/>
    <x v="1"/>
    <x v="68"/>
    <x v="61"/>
    <x v="61"/>
    <s v="REVENUS"/>
    <x v="3"/>
    <s v="4002.001"/>
    <s v="Impôt ordinaire s/fortune PP"/>
    <n v="0"/>
    <n v="723.85"/>
    <n v="4002"/>
  </r>
  <r>
    <x v="0"/>
    <x v="5"/>
    <x v="1"/>
    <x v="68"/>
    <x v="61"/>
    <x v="61"/>
    <s v="REVENUS"/>
    <x v="6"/>
    <s v="4211.002"/>
    <s v="Intérêts de retard sur acomptes"/>
    <n v="0"/>
    <n v="0.52"/>
    <n v="4211"/>
  </r>
  <r>
    <x v="0"/>
    <x v="5"/>
    <x v="1"/>
    <x v="68"/>
    <x v="61"/>
    <x v="61"/>
    <s v="REVENUS"/>
    <x v="3"/>
    <s v="4002.007"/>
    <s v="Acompte impôt sur fortune"/>
    <n v="0"/>
    <n v="21.25"/>
    <n v="4002"/>
  </r>
  <r>
    <x v="0"/>
    <x v="5"/>
    <x v="1"/>
    <x v="68"/>
    <x v="61"/>
    <x v="61"/>
    <s v="REVENUS"/>
    <x v="2"/>
    <s v="4001.002"/>
    <s v="Impôt complément s/revenu PP"/>
    <n v="0"/>
    <n v="8781.7999999999993"/>
    <n v="4001"/>
  </r>
  <r>
    <x v="0"/>
    <x v="5"/>
    <x v="1"/>
    <x v="68"/>
    <x v="61"/>
    <x v="61"/>
    <s v="REVENUS"/>
    <x v="2"/>
    <s v="4001.002"/>
    <s v="Impôt complément s/revenu PP"/>
    <n v="0"/>
    <n v="34625.85"/>
    <n v="4001"/>
  </r>
  <r>
    <x v="0"/>
    <x v="5"/>
    <x v="1"/>
    <x v="68"/>
    <x v="61"/>
    <x v="61"/>
    <s v="REVENUS"/>
    <x v="6"/>
    <s v="4221.003"/>
    <s v="Intérêts compensat. / acomptes en faveur du fisc"/>
    <n v="0"/>
    <n v="5"/>
    <n v="4221"/>
  </r>
  <r>
    <x v="0"/>
    <x v="5"/>
    <x v="1"/>
    <x v="68"/>
    <x v="61"/>
    <x v="61"/>
    <s v="REVENUS"/>
    <x v="2"/>
    <s v="4001.001"/>
    <s v="Impôt revenu"/>
    <n v="0"/>
    <n v="12152.75"/>
    <n v="4001"/>
  </r>
  <r>
    <x v="0"/>
    <x v="5"/>
    <x v="1"/>
    <x v="68"/>
    <x v="61"/>
    <x v="61"/>
    <s v="REVENUS"/>
    <x v="3"/>
    <s v="4002.001"/>
    <s v="Impôt ordinaire s/fortune PP"/>
    <n v="0"/>
    <n v="2517.6"/>
    <n v="4002"/>
  </r>
  <r>
    <x v="0"/>
    <x v="5"/>
    <x v="1"/>
    <x v="68"/>
    <x v="61"/>
    <x v="61"/>
    <s v="REVENUS"/>
    <x v="3"/>
    <s v="4002.002"/>
    <s v="Impôt complémentaire s/fortune PP"/>
    <n v="0"/>
    <n v="7668.85"/>
    <n v="4002"/>
  </r>
  <r>
    <x v="0"/>
    <x v="5"/>
    <x v="1"/>
    <x v="68"/>
    <x v="61"/>
    <x v="61"/>
    <s v="REVENUS"/>
    <x v="3"/>
    <s v="4002.007"/>
    <s v="Acompte impôt sur fortune"/>
    <n v="0"/>
    <n v="385.46"/>
    <n v="4002"/>
  </r>
  <r>
    <x v="0"/>
    <x v="5"/>
    <x v="1"/>
    <x v="68"/>
    <x v="61"/>
    <x v="61"/>
    <s v="REVENUS"/>
    <x v="3"/>
    <s v="4002.007"/>
    <s v="Acompte impôt sur fortune"/>
    <n v="0"/>
    <n v="121.15"/>
    <n v="4002"/>
  </r>
  <r>
    <x v="0"/>
    <x v="5"/>
    <x v="1"/>
    <x v="68"/>
    <x v="61"/>
    <x v="61"/>
    <s v="REVENUS"/>
    <x v="2"/>
    <s v="4001.007"/>
    <s v="Acompte impôt sur revenu"/>
    <n v="0"/>
    <n v="49308.12"/>
    <n v="4001"/>
  </r>
  <r>
    <x v="0"/>
    <x v="5"/>
    <x v="1"/>
    <x v="68"/>
    <x v="61"/>
    <x v="61"/>
    <s v="REVENUS"/>
    <x v="6"/>
    <s v="4221.003"/>
    <s v="Intérêts compensat. / acomptes en faveur du fisc"/>
    <n v="0"/>
    <n v="0.34"/>
    <n v="4221"/>
  </r>
  <r>
    <x v="0"/>
    <x v="5"/>
    <x v="1"/>
    <x v="68"/>
    <x v="61"/>
    <x v="61"/>
    <s v="REVENUS"/>
    <x v="2"/>
    <s v="4001.001"/>
    <s v="Impôt revenu"/>
    <n v="0"/>
    <n v="-496.6"/>
    <n v="4001"/>
  </r>
  <r>
    <x v="0"/>
    <x v="5"/>
    <x v="1"/>
    <x v="68"/>
    <x v="61"/>
    <x v="61"/>
    <s v="REVENUS"/>
    <x v="3"/>
    <s v="4002.001"/>
    <s v="Impôt ordinaire s/fortune PP"/>
    <n v="0"/>
    <n v="-122.35"/>
    <n v="4002"/>
  </r>
  <r>
    <x v="0"/>
    <x v="5"/>
    <x v="1"/>
    <x v="68"/>
    <x v="61"/>
    <x v="61"/>
    <s v="REVENUS"/>
    <x v="6"/>
    <s v="4221.003"/>
    <s v="Intérêts compensat. / acomptes en faveur du fisc"/>
    <n v="0"/>
    <n v="-0.03"/>
    <n v="4221"/>
  </r>
  <r>
    <x v="0"/>
    <x v="5"/>
    <x v="1"/>
    <x v="68"/>
    <x v="61"/>
    <x v="61"/>
    <s v="REVENUS"/>
    <x v="2"/>
    <s v="4001.001"/>
    <s v="Impôt revenu"/>
    <n v="0"/>
    <n v="41.5"/>
    <n v="4001"/>
  </r>
  <r>
    <x v="0"/>
    <x v="5"/>
    <x v="1"/>
    <x v="68"/>
    <x v="61"/>
    <x v="61"/>
    <s v="REVENUS"/>
    <x v="3"/>
    <s v="4002.001"/>
    <s v="Impôt ordinaire s/fortune PP"/>
    <n v="0"/>
    <n v="699.75"/>
    <n v="4002"/>
  </r>
  <r>
    <x v="0"/>
    <x v="5"/>
    <x v="1"/>
    <x v="68"/>
    <x v="61"/>
    <x v="61"/>
    <s v="REVENUS"/>
    <x v="2"/>
    <s v="4001.007"/>
    <s v="Acompte impôt sur revenu"/>
    <n v="0"/>
    <n v="331.75"/>
    <n v="4001"/>
  </r>
  <r>
    <x v="0"/>
    <x v="5"/>
    <x v="1"/>
    <x v="68"/>
    <x v="61"/>
    <x v="61"/>
    <s v="REVENUS"/>
    <x v="2"/>
    <s v="4001.007"/>
    <s v="Acompte impôt sur revenu"/>
    <n v="0"/>
    <n v="99.8"/>
    <n v="4001"/>
  </r>
  <r>
    <x v="0"/>
    <x v="5"/>
    <x v="1"/>
    <x v="68"/>
    <x v="61"/>
    <x v="61"/>
    <s v="REVENUS"/>
    <x v="3"/>
    <s v="4002.007"/>
    <s v="Acompte impôt sur fortune"/>
    <n v="0"/>
    <n v="-426.9"/>
    <n v="4002"/>
  </r>
  <r>
    <x v="0"/>
    <x v="5"/>
    <x v="1"/>
    <x v="68"/>
    <x v="61"/>
    <x v="61"/>
    <s v="REVENUS"/>
    <x v="2"/>
    <s v="4001.001"/>
    <s v="Impôt revenu"/>
    <n v="0"/>
    <n v="618.25"/>
    <n v="4001"/>
  </r>
  <r>
    <x v="0"/>
    <x v="5"/>
    <x v="1"/>
    <x v="68"/>
    <x v="61"/>
    <x v="61"/>
    <s v="REVENUS"/>
    <x v="3"/>
    <s v="4002.001"/>
    <s v="Impôt ordinaire s/fortune PP"/>
    <n v="0"/>
    <n v="1483.95"/>
    <n v="4002"/>
  </r>
  <r>
    <x v="0"/>
    <x v="5"/>
    <x v="1"/>
    <x v="68"/>
    <x v="61"/>
    <x v="61"/>
    <s v="REVENUS"/>
    <x v="6"/>
    <s v="4211.002"/>
    <s v="Intérêts de retard sur acomptes"/>
    <n v="0"/>
    <n v="9.1"/>
    <n v="4211"/>
  </r>
  <r>
    <x v="0"/>
    <x v="5"/>
    <x v="1"/>
    <x v="68"/>
    <x v="61"/>
    <x v="61"/>
    <s v="REVENUS"/>
    <x v="3"/>
    <s v="4002.001"/>
    <s v="Impôt ordinaire s/fortune PP"/>
    <n v="0"/>
    <n v="-601.20000000000005"/>
    <n v="4002"/>
  </r>
  <r>
    <x v="0"/>
    <x v="5"/>
    <x v="1"/>
    <x v="68"/>
    <x v="61"/>
    <x v="61"/>
    <s v="REVENUS"/>
    <x v="2"/>
    <s v="4001.007"/>
    <s v="Acompte impôt sur revenu"/>
    <n v="0"/>
    <n v="-744.8"/>
    <n v="4001"/>
  </r>
  <r>
    <x v="0"/>
    <x v="5"/>
    <x v="1"/>
    <x v="68"/>
    <x v="61"/>
    <x v="61"/>
    <s v="REVENUS"/>
    <x v="3"/>
    <s v="4002.007"/>
    <s v="Acompte impôt sur fortune"/>
    <n v="0"/>
    <n v="-185.6"/>
    <n v="4002"/>
  </r>
  <r>
    <x v="0"/>
    <x v="5"/>
    <x v="1"/>
    <x v="68"/>
    <x v="61"/>
    <x v="61"/>
    <s v="REVENUS"/>
    <x v="6"/>
    <s v="4211.001"/>
    <s v="Intérêts de retard sur factures"/>
    <n v="0"/>
    <n v="4.3099999999999996"/>
    <n v="4211"/>
  </r>
  <r>
    <x v="0"/>
    <x v="5"/>
    <x v="1"/>
    <x v="68"/>
    <x v="61"/>
    <x v="61"/>
    <s v="REVENUS"/>
    <x v="5"/>
    <s v="4061.000"/>
    <s v="Impôt sur les chiens"/>
    <n v="0"/>
    <n v="2925"/>
    <n v="4061"/>
  </r>
  <r>
    <x v="0"/>
    <x v="5"/>
    <x v="1"/>
    <x v="68"/>
    <x v="61"/>
    <x v="61"/>
    <s v="REVENUS"/>
    <x v="6"/>
    <s v="4211.002"/>
    <s v="Intérêts de retard sur acomptes"/>
    <n v="0"/>
    <n v="0.52"/>
    <n v="4211"/>
  </r>
  <r>
    <x v="0"/>
    <x v="5"/>
    <x v="1"/>
    <x v="68"/>
    <x v="61"/>
    <x v="61"/>
    <s v="REVENUS"/>
    <x v="10"/>
    <s v="4041.001"/>
    <s v="Droits de mutation"/>
    <n v="0"/>
    <n v="15180.5"/>
    <n v="4041"/>
  </r>
  <r>
    <x v="0"/>
    <x v="5"/>
    <x v="1"/>
    <x v="68"/>
    <x v="61"/>
    <x v="61"/>
    <s v="REVENUS"/>
    <x v="6"/>
    <s v="4221.003"/>
    <s v="Intérêts compensat. / acomptes en faveur du fisc"/>
    <n v="0"/>
    <n v="0.02"/>
    <n v="4221"/>
  </r>
  <r>
    <x v="0"/>
    <x v="5"/>
    <x v="1"/>
    <x v="68"/>
    <x v="61"/>
    <x v="61"/>
    <s v="REVENUS"/>
    <x v="2"/>
    <s v="4001.002"/>
    <s v="Impôt complément s/revenu PP"/>
    <n v="0"/>
    <n v="407"/>
    <n v="4001"/>
  </r>
  <r>
    <x v="0"/>
    <x v="5"/>
    <x v="1"/>
    <x v="68"/>
    <x v="61"/>
    <x v="61"/>
    <s v="REVENUS"/>
    <x v="3"/>
    <s v="4002.002"/>
    <s v="Impôt complémentaire s/fortune PP"/>
    <n v="0"/>
    <n v="1494.9"/>
    <n v="4002"/>
  </r>
  <r>
    <x v="0"/>
    <x v="5"/>
    <x v="1"/>
    <x v="68"/>
    <x v="61"/>
    <x v="61"/>
    <s v="REVENUS"/>
    <x v="6"/>
    <s v="4211.001"/>
    <s v="Intérêts de retard sur factures"/>
    <n v="0"/>
    <n v="0.03"/>
    <n v="4211"/>
  </r>
  <r>
    <x v="0"/>
    <x v="5"/>
    <x v="1"/>
    <x v="68"/>
    <x v="61"/>
    <x v="61"/>
    <s v="REVENUS"/>
    <x v="11"/>
    <s v="4198.000"/>
    <s v="Contributions communales"/>
    <n v="0"/>
    <n v="111042.2"/>
    <n v="4198"/>
  </r>
  <r>
    <x v="0"/>
    <x v="5"/>
    <x v="1"/>
    <x v="68"/>
    <x v="61"/>
    <x v="61"/>
    <s v="REVENUS"/>
    <x v="2"/>
    <s v="4001.007"/>
    <s v="Acompte impôt sur revenu"/>
    <n v="0"/>
    <n v="-5.7"/>
    <n v="4001"/>
  </r>
  <r>
    <x v="0"/>
    <x v="5"/>
    <x v="1"/>
    <x v="68"/>
    <x v="61"/>
    <x v="61"/>
    <s v="REVENUS"/>
    <x v="6"/>
    <s v="4221.003"/>
    <s v="Intérêts compensat. / acomptes en faveur du fisc"/>
    <n v="0"/>
    <n v="0.01"/>
    <n v="4221"/>
  </r>
  <r>
    <x v="0"/>
    <x v="5"/>
    <x v="1"/>
    <x v="68"/>
    <x v="61"/>
    <x v="61"/>
    <s v="REVENUS"/>
    <x v="2"/>
    <s v="4001.002"/>
    <s v="Impôt complément s/revenu PP"/>
    <n v="0"/>
    <n v="235.1"/>
    <n v="4001"/>
  </r>
  <r>
    <x v="0"/>
    <x v="5"/>
    <x v="1"/>
    <x v="68"/>
    <x v="61"/>
    <x v="61"/>
    <s v="REVENUS"/>
    <x v="7"/>
    <s v="4184.000"/>
    <s v="Frais de poursuite"/>
    <n v="0"/>
    <n v="65.400000000000006"/>
    <n v="4184"/>
  </r>
  <r>
    <x v="0"/>
    <x v="5"/>
    <x v="1"/>
    <x v="68"/>
    <x v="61"/>
    <x v="61"/>
    <s v="REVENUS"/>
    <x v="4"/>
    <s v="4051.001"/>
    <s v="Impôt sur les successions"/>
    <n v="0"/>
    <n v="5039.8"/>
    <n v="4051"/>
  </r>
  <r>
    <x v="0"/>
    <x v="5"/>
    <x v="1"/>
    <x v="69"/>
    <x v="62"/>
    <x v="62"/>
    <s v="CHARGES"/>
    <x v="0"/>
    <s v="3212.002"/>
    <s v="Intérêts bonifiés/trop perçu acompte C/C"/>
    <n v="53"/>
    <n v="0"/>
    <n v="3212"/>
  </r>
  <r>
    <x v="0"/>
    <x v="5"/>
    <x v="1"/>
    <x v="69"/>
    <x v="62"/>
    <x v="62"/>
    <s v="CHARGES"/>
    <x v="0"/>
    <s v="3212.004"/>
    <s v="Intérêts rémun./perçu trop tôt sur acomptes C/C"/>
    <n v="711.07"/>
    <n v="0"/>
    <n v="3212"/>
  </r>
  <r>
    <x v="0"/>
    <x v="5"/>
    <x v="1"/>
    <x v="69"/>
    <x v="62"/>
    <x v="62"/>
    <s v="CHARGES"/>
    <x v="0"/>
    <s v="3221.002"/>
    <s v="Intérêts compensatoires / créances en faveur ctb."/>
    <n v="229.26"/>
    <n v="0"/>
    <n v="3221"/>
  </r>
  <r>
    <x v="0"/>
    <x v="5"/>
    <x v="1"/>
    <x v="69"/>
    <x v="62"/>
    <x v="62"/>
    <s v="CHARGES"/>
    <x v="1"/>
    <s v="3301.001"/>
    <s v="Défalcations, abandons de solde PP et IS"/>
    <n v="75069.679999999993"/>
    <n v="0"/>
    <n v="3301"/>
  </r>
  <r>
    <x v="0"/>
    <x v="5"/>
    <x v="1"/>
    <x v="69"/>
    <x v="62"/>
    <x v="62"/>
    <s v="CHARGES"/>
    <x v="1"/>
    <s v="3301.001"/>
    <s v="Défalcations, abandons de solde PP et IS"/>
    <n v="1829.28"/>
    <n v="0"/>
    <n v="3301"/>
  </r>
  <r>
    <x v="0"/>
    <x v="5"/>
    <x v="1"/>
    <x v="69"/>
    <x v="62"/>
    <x v="62"/>
    <s v="CHARGES"/>
    <x v="1"/>
    <s v="3301.001"/>
    <s v="Défalcations, abandons de solde PP et IS"/>
    <n v="18.84"/>
    <n v="0"/>
    <n v="3301"/>
  </r>
  <r>
    <x v="0"/>
    <x v="5"/>
    <x v="1"/>
    <x v="69"/>
    <x v="62"/>
    <x v="62"/>
    <s v="CHARGES"/>
    <x v="0"/>
    <s v="3212.004"/>
    <s v="Intérêts rémun./perçu trop tôt sur acomptes C/C"/>
    <n v="24.08"/>
    <n v="0"/>
    <n v="3212"/>
  </r>
  <r>
    <x v="0"/>
    <x v="5"/>
    <x v="1"/>
    <x v="69"/>
    <x v="62"/>
    <x v="62"/>
    <s v="CHARGES"/>
    <x v="0"/>
    <s v="3212.004"/>
    <s v="Intérêts rémun./perçu trop tôt sur acomptes C/C"/>
    <n v="7.2"/>
    <n v="0"/>
    <n v="3212"/>
  </r>
  <r>
    <x v="0"/>
    <x v="5"/>
    <x v="1"/>
    <x v="69"/>
    <x v="62"/>
    <x v="62"/>
    <s v="CHARGES"/>
    <x v="0"/>
    <s v="3221.002"/>
    <s v="Intérêts compensatoires / créances en faveur ctb."/>
    <n v="9.19"/>
    <n v="0"/>
    <n v="3221"/>
  </r>
  <r>
    <x v="0"/>
    <x v="5"/>
    <x v="1"/>
    <x v="69"/>
    <x v="62"/>
    <x v="62"/>
    <s v="CHARGES"/>
    <x v="0"/>
    <s v="3212.004"/>
    <s v="Intérêts rémun./perçu trop tôt sur acomptes C/C"/>
    <n v="5.73"/>
    <n v="0"/>
    <n v="3212"/>
  </r>
  <r>
    <x v="0"/>
    <x v="5"/>
    <x v="1"/>
    <x v="69"/>
    <x v="62"/>
    <x v="62"/>
    <s v="CHARGES"/>
    <x v="1"/>
    <s v="3301.001"/>
    <s v="Défalcations, abandons de solde PP et IS"/>
    <n v="-43.15"/>
    <n v="0"/>
    <n v="3301"/>
  </r>
  <r>
    <x v="0"/>
    <x v="5"/>
    <x v="1"/>
    <x v="69"/>
    <x v="62"/>
    <x v="62"/>
    <s v="CHARGES"/>
    <x v="1"/>
    <s v="3301.001"/>
    <s v="Défalcations, abandons de solde PP et IS"/>
    <n v="0.48"/>
    <n v="0"/>
    <n v="3301"/>
  </r>
  <r>
    <x v="0"/>
    <x v="5"/>
    <x v="1"/>
    <x v="69"/>
    <x v="62"/>
    <x v="62"/>
    <s v="CHARGES"/>
    <x v="0"/>
    <s v="3212.002"/>
    <s v="Intérêts bonifiés/trop perçu acompte C/C"/>
    <n v="0.01"/>
    <n v="0"/>
    <n v="3212"/>
  </r>
  <r>
    <x v="0"/>
    <x v="5"/>
    <x v="1"/>
    <x v="69"/>
    <x v="62"/>
    <x v="62"/>
    <s v="CHARGES"/>
    <x v="0"/>
    <s v="3221.002"/>
    <s v="Intérêts compensatoires / créances en faveur ctb."/>
    <n v="7.59"/>
    <n v="0"/>
    <n v="3221"/>
  </r>
  <r>
    <x v="0"/>
    <x v="5"/>
    <x v="1"/>
    <x v="69"/>
    <x v="62"/>
    <x v="62"/>
    <s v="CHARGES"/>
    <x v="0"/>
    <s v="3212.002"/>
    <s v="Intérêts bonifiés/trop perçu acompte C/C"/>
    <n v="1"/>
    <n v="0"/>
    <n v="3212"/>
  </r>
  <r>
    <x v="0"/>
    <x v="5"/>
    <x v="1"/>
    <x v="69"/>
    <x v="62"/>
    <x v="62"/>
    <s v="CHARGES"/>
    <x v="0"/>
    <s v="3212.002"/>
    <s v="Intérêts bonifiés/trop perçu acompte C/C"/>
    <n v="-0.03"/>
    <n v="0"/>
    <n v="3212"/>
  </r>
  <r>
    <x v="0"/>
    <x v="5"/>
    <x v="1"/>
    <x v="69"/>
    <x v="62"/>
    <x v="62"/>
    <s v="CHARGES"/>
    <x v="0"/>
    <s v="3212.004"/>
    <s v="Intérêts rémun./perçu trop tôt sur acomptes C/C"/>
    <n v="-2.06"/>
    <n v="0"/>
    <n v="3212"/>
  </r>
  <r>
    <x v="0"/>
    <x v="5"/>
    <x v="1"/>
    <x v="69"/>
    <x v="62"/>
    <x v="62"/>
    <s v="CHARGES"/>
    <x v="1"/>
    <s v="3301.001"/>
    <s v="Défalcations, abandons de solde PP et IS"/>
    <n v="-11.99"/>
    <n v="0"/>
    <n v="3301"/>
  </r>
  <r>
    <x v="0"/>
    <x v="5"/>
    <x v="1"/>
    <x v="69"/>
    <x v="62"/>
    <x v="62"/>
    <s v="CHARGES"/>
    <x v="1"/>
    <s v="3301.001"/>
    <s v="Défalcations, abandons de solde PP et IS"/>
    <n v="6150.02"/>
    <n v="0"/>
    <n v="3301"/>
  </r>
  <r>
    <x v="0"/>
    <x v="5"/>
    <x v="1"/>
    <x v="69"/>
    <x v="62"/>
    <x v="62"/>
    <s v="CHARGES"/>
    <x v="0"/>
    <s v="3221.002"/>
    <s v="Intérêts compensatoires / créances en faveur ctb."/>
    <n v="3.74"/>
    <n v="0"/>
    <n v="3221"/>
  </r>
  <r>
    <x v="0"/>
    <x v="5"/>
    <x v="1"/>
    <x v="69"/>
    <x v="62"/>
    <x v="62"/>
    <s v="CHARGES"/>
    <x v="0"/>
    <s v="3212.004"/>
    <s v="Intérêts rémun./perçu trop tôt sur acomptes C/C"/>
    <n v="1.67"/>
    <n v="0"/>
    <n v="3212"/>
  </r>
  <r>
    <x v="0"/>
    <x v="5"/>
    <x v="1"/>
    <x v="69"/>
    <x v="62"/>
    <x v="62"/>
    <s v="CHARGES"/>
    <x v="0"/>
    <s v="3221.002"/>
    <s v="Intérêts compensatoires / créances en faveur ctb."/>
    <n v="8.17"/>
    <n v="0"/>
    <n v="3221"/>
  </r>
  <r>
    <x v="0"/>
    <x v="5"/>
    <x v="1"/>
    <x v="69"/>
    <x v="62"/>
    <x v="62"/>
    <s v="CHARGES"/>
    <x v="0"/>
    <s v="3212.004"/>
    <s v="Intérêts rémun./perçu trop tôt sur acomptes C/C"/>
    <n v="0.42"/>
    <n v="0"/>
    <n v="3212"/>
  </r>
  <r>
    <x v="0"/>
    <x v="5"/>
    <x v="1"/>
    <x v="69"/>
    <x v="62"/>
    <x v="62"/>
    <s v="CHARGES"/>
    <x v="1"/>
    <s v="3301.001"/>
    <s v="Défalcations, abandons de solde PP et IS"/>
    <n v="0.01"/>
    <n v="0"/>
    <n v="3301"/>
  </r>
  <r>
    <x v="0"/>
    <x v="5"/>
    <x v="1"/>
    <x v="69"/>
    <x v="62"/>
    <x v="62"/>
    <s v="CHARGES"/>
    <x v="1"/>
    <s v="3301.001"/>
    <s v="Défalcations, abandons de solde PP et IS"/>
    <n v="0.06"/>
    <n v="0"/>
    <n v="3301"/>
  </r>
  <r>
    <x v="0"/>
    <x v="5"/>
    <x v="1"/>
    <x v="69"/>
    <x v="62"/>
    <x v="62"/>
    <s v="CHARGES"/>
    <x v="0"/>
    <s v="3221.002"/>
    <s v="Intérêts compensatoires / créances en faveur ctb."/>
    <n v="0.04"/>
    <n v="0"/>
    <n v="3221"/>
  </r>
  <r>
    <x v="0"/>
    <x v="5"/>
    <x v="1"/>
    <x v="69"/>
    <x v="62"/>
    <x v="62"/>
    <s v="CHARGES"/>
    <x v="0"/>
    <s v="3212.004"/>
    <s v="Intérêts rémun./perçu trop tôt sur acomptes C/C"/>
    <n v="3.08"/>
    <n v="0"/>
    <n v="3212"/>
  </r>
  <r>
    <x v="0"/>
    <x v="5"/>
    <x v="1"/>
    <x v="69"/>
    <x v="62"/>
    <x v="62"/>
    <s v="CHARGES"/>
    <x v="0"/>
    <s v="3221.002"/>
    <s v="Intérêts compensatoires / créances en faveur ctb."/>
    <n v="9.06"/>
    <n v="0"/>
    <n v="3221"/>
  </r>
  <r>
    <x v="0"/>
    <x v="5"/>
    <x v="1"/>
    <x v="69"/>
    <x v="62"/>
    <x v="62"/>
    <s v="CHARGES"/>
    <x v="0"/>
    <s v="3221.002"/>
    <s v="Intérêts compensatoires / créances en faveur ctb."/>
    <n v="-0.55000000000000004"/>
    <n v="0"/>
    <n v="3221"/>
  </r>
  <r>
    <x v="0"/>
    <x v="5"/>
    <x v="1"/>
    <x v="69"/>
    <x v="62"/>
    <x v="62"/>
    <s v="CHARGES"/>
    <x v="1"/>
    <s v="3301.003"/>
    <s v="Remises PP et IS"/>
    <n v="1529.49"/>
    <n v="0"/>
    <n v="3301"/>
  </r>
  <r>
    <x v="0"/>
    <x v="5"/>
    <x v="1"/>
    <x v="69"/>
    <x v="62"/>
    <x v="62"/>
    <s v="REVENUS"/>
    <x v="2"/>
    <s v="4001.007"/>
    <s v="Acompte impôt sur revenu"/>
    <n v="0"/>
    <n v="425107.83"/>
    <n v="4001"/>
  </r>
  <r>
    <x v="0"/>
    <x v="5"/>
    <x v="1"/>
    <x v="69"/>
    <x v="62"/>
    <x v="62"/>
    <s v="REVENUS"/>
    <x v="2"/>
    <s v="4001.007"/>
    <s v="Acompte impôt sur revenu"/>
    <n v="0"/>
    <n v="-3477.43"/>
    <n v="4001"/>
  </r>
  <r>
    <x v="0"/>
    <x v="5"/>
    <x v="1"/>
    <x v="69"/>
    <x v="62"/>
    <x v="62"/>
    <s v="REVENUS"/>
    <x v="2"/>
    <s v="4001.007"/>
    <s v="Acompte impôt sur revenu"/>
    <n v="0"/>
    <n v="-403272.18"/>
    <n v="4001"/>
  </r>
  <r>
    <x v="0"/>
    <x v="5"/>
    <x v="1"/>
    <x v="69"/>
    <x v="62"/>
    <x v="62"/>
    <s v="REVENUS"/>
    <x v="3"/>
    <s v="4002.007"/>
    <s v="Acompte impôt sur fortune"/>
    <n v="0"/>
    <n v="-69708.570000000007"/>
    <n v="4002"/>
  </r>
  <r>
    <x v="0"/>
    <x v="5"/>
    <x v="1"/>
    <x v="69"/>
    <x v="62"/>
    <x v="62"/>
    <s v="REVENUS"/>
    <x v="2"/>
    <s v="4001.001"/>
    <s v="Impôt revenu"/>
    <n v="0"/>
    <n v="3387196.6"/>
    <n v="4001"/>
  </r>
  <r>
    <x v="0"/>
    <x v="5"/>
    <x v="1"/>
    <x v="69"/>
    <x v="62"/>
    <x v="62"/>
    <s v="REVENUS"/>
    <x v="3"/>
    <s v="4002.001"/>
    <s v="Impôt ordinaire s/fortune PP"/>
    <n v="0"/>
    <n v="357723.2"/>
    <n v="4002"/>
  </r>
  <r>
    <x v="0"/>
    <x v="5"/>
    <x v="1"/>
    <x v="69"/>
    <x v="62"/>
    <x v="62"/>
    <s v="REVENUS"/>
    <x v="6"/>
    <s v="4211.001"/>
    <s v="Intérêts de retard sur factures"/>
    <n v="0"/>
    <n v="16341.35"/>
    <n v="4211"/>
  </r>
  <r>
    <x v="0"/>
    <x v="5"/>
    <x v="1"/>
    <x v="69"/>
    <x v="62"/>
    <x v="62"/>
    <s v="REVENUS"/>
    <x v="3"/>
    <s v="4002.001"/>
    <s v="Impôt ordinaire s/fortune PP"/>
    <n v="0"/>
    <n v="14016.2"/>
    <n v="4002"/>
  </r>
  <r>
    <x v="0"/>
    <x v="5"/>
    <x v="1"/>
    <x v="69"/>
    <x v="62"/>
    <x v="62"/>
    <s v="REVENUS"/>
    <x v="6"/>
    <s v="4211.002"/>
    <s v="Intérêts de retard sur acomptes"/>
    <n v="0"/>
    <n v="550.95000000000005"/>
    <n v="4211"/>
  </r>
  <r>
    <x v="0"/>
    <x v="5"/>
    <x v="1"/>
    <x v="69"/>
    <x v="62"/>
    <x v="62"/>
    <s v="REVENUS"/>
    <x v="6"/>
    <s v="4221.003"/>
    <s v="Intérêts compensat. / acomptes en faveur du fisc"/>
    <n v="0"/>
    <n v="5.5"/>
    <n v="4221"/>
  </r>
  <r>
    <x v="0"/>
    <x v="5"/>
    <x v="1"/>
    <x v="69"/>
    <x v="62"/>
    <x v="62"/>
    <s v="REVENUS"/>
    <x v="3"/>
    <s v="4002.007"/>
    <s v="Acompte impôt sur fortune"/>
    <n v="0"/>
    <n v="102728.86"/>
    <n v="4002"/>
  </r>
  <r>
    <x v="0"/>
    <x v="5"/>
    <x v="1"/>
    <x v="69"/>
    <x v="62"/>
    <x v="62"/>
    <s v="REVENUS"/>
    <x v="7"/>
    <s v="4184.000"/>
    <s v="Frais de poursuite"/>
    <n v="0"/>
    <n v="7576.64"/>
    <n v="4184"/>
  </r>
  <r>
    <x v="0"/>
    <x v="5"/>
    <x v="1"/>
    <x v="69"/>
    <x v="62"/>
    <x v="62"/>
    <s v="REVENUS"/>
    <x v="6"/>
    <s v="4221.003"/>
    <s v="Intérêts compensat. / acomptes en faveur du fisc"/>
    <n v="0"/>
    <n v="234.32"/>
    <n v="4221"/>
  </r>
  <r>
    <x v="0"/>
    <x v="5"/>
    <x v="1"/>
    <x v="69"/>
    <x v="62"/>
    <x v="62"/>
    <s v="REVENUS"/>
    <x v="2"/>
    <s v="4001.001"/>
    <s v="Impôt revenu"/>
    <n v="0"/>
    <n v="-31219.55"/>
    <n v="4001"/>
  </r>
  <r>
    <x v="0"/>
    <x v="5"/>
    <x v="1"/>
    <x v="69"/>
    <x v="62"/>
    <x v="62"/>
    <s v="REVENUS"/>
    <x v="2"/>
    <s v="4001.002"/>
    <s v="Impôt complément s/revenu PP"/>
    <n v="0"/>
    <n v="489221.35"/>
    <n v="4001"/>
  </r>
  <r>
    <x v="0"/>
    <x v="5"/>
    <x v="1"/>
    <x v="69"/>
    <x v="62"/>
    <x v="62"/>
    <s v="REVENUS"/>
    <x v="3"/>
    <s v="4002.002"/>
    <s v="Impôt complémentaire s/fortune PP"/>
    <n v="0"/>
    <n v="45090.65"/>
    <n v="4002"/>
  </r>
  <r>
    <x v="0"/>
    <x v="5"/>
    <x v="1"/>
    <x v="69"/>
    <x v="62"/>
    <x v="62"/>
    <s v="REVENUS"/>
    <x v="6"/>
    <s v="4211.002"/>
    <s v="Intérêts de retard sur acomptes"/>
    <n v="0"/>
    <n v="17377.05"/>
    <n v="4211"/>
  </r>
  <r>
    <x v="0"/>
    <x v="5"/>
    <x v="1"/>
    <x v="69"/>
    <x v="62"/>
    <x v="62"/>
    <s v="REVENUS"/>
    <x v="2"/>
    <s v="4001.007"/>
    <s v="Acompte impôt sur revenu"/>
    <n v="0"/>
    <n v="2591.33"/>
    <n v="4001"/>
  </r>
  <r>
    <x v="0"/>
    <x v="5"/>
    <x v="1"/>
    <x v="69"/>
    <x v="62"/>
    <x v="62"/>
    <s v="REVENUS"/>
    <x v="3"/>
    <s v="4002.007"/>
    <s v="Acompte impôt sur fortune"/>
    <n v="0"/>
    <n v="937.88"/>
    <n v="4002"/>
  </r>
  <r>
    <x v="0"/>
    <x v="5"/>
    <x v="1"/>
    <x v="69"/>
    <x v="62"/>
    <x v="62"/>
    <s v="REVENUS"/>
    <x v="2"/>
    <s v="4001.001"/>
    <s v="Impôt revenu"/>
    <n v="0"/>
    <n v="-202525.65"/>
    <n v="4001"/>
  </r>
  <r>
    <x v="0"/>
    <x v="5"/>
    <x v="1"/>
    <x v="69"/>
    <x v="62"/>
    <x v="62"/>
    <s v="REVENUS"/>
    <x v="3"/>
    <s v="4002.001"/>
    <s v="Impôt ordinaire s/fortune PP"/>
    <n v="0"/>
    <n v="-9757.65"/>
    <n v="4002"/>
  </r>
  <r>
    <x v="0"/>
    <x v="5"/>
    <x v="1"/>
    <x v="69"/>
    <x v="62"/>
    <x v="62"/>
    <s v="REVENUS"/>
    <x v="2"/>
    <s v="4001.003"/>
    <s v="Impôt s/prest. cap. PP"/>
    <n v="0"/>
    <n v="190270.25"/>
    <n v="4001"/>
  </r>
  <r>
    <x v="0"/>
    <x v="5"/>
    <x v="1"/>
    <x v="69"/>
    <x v="62"/>
    <x v="62"/>
    <s v="REVENUS"/>
    <x v="6"/>
    <s v="4221.002"/>
    <s v="Intérêts compensat. sur impôts distincts"/>
    <n v="0"/>
    <n v="43.25"/>
    <n v="4221"/>
  </r>
  <r>
    <x v="0"/>
    <x v="5"/>
    <x v="1"/>
    <x v="69"/>
    <x v="62"/>
    <x v="62"/>
    <s v="REVENUS"/>
    <x v="3"/>
    <s v="4002.007"/>
    <s v="Acompte impôt sur fortune"/>
    <n v="0"/>
    <n v="1452.77"/>
    <n v="4002"/>
  </r>
  <r>
    <x v="0"/>
    <x v="5"/>
    <x v="1"/>
    <x v="69"/>
    <x v="62"/>
    <x v="62"/>
    <s v="REVENUS"/>
    <x v="3"/>
    <s v="4002.007"/>
    <s v="Acompte impôt sur fortune"/>
    <n v="0"/>
    <n v="-402.12"/>
    <n v="4002"/>
  </r>
  <r>
    <x v="0"/>
    <x v="5"/>
    <x v="1"/>
    <x v="69"/>
    <x v="62"/>
    <x v="62"/>
    <s v="REVENUS"/>
    <x v="2"/>
    <s v="4001.001"/>
    <s v="Impôt revenu"/>
    <n v="0"/>
    <n v="198947.20000000001"/>
    <n v="4001"/>
  </r>
  <r>
    <x v="0"/>
    <x v="5"/>
    <x v="1"/>
    <x v="69"/>
    <x v="62"/>
    <x v="62"/>
    <s v="REVENUS"/>
    <x v="6"/>
    <s v="4221.003"/>
    <s v="Intérêts compensat. / acomptes en faveur du fisc"/>
    <n v="0"/>
    <n v="1.05"/>
    <n v="4221"/>
  </r>
  <r>
    <x v="0"/>
    <x v="5"/>
    <x v="1"/>
    <x v="69"/>
    <x v="62"/>
    <x v="62"/>
    <s v="REVENUS"/>
    <x v="2"/>
    <s v="4001.007"/>
    <s v="Acompte impôt sur revenu"/>
    <n v="0"/>
    <n v="-4525.8"/>
    <n v="4001"/>
  </r>
  <r>
    <x v="0"/>
    <x v="5"/>
    <x v="1"/>
    <x v="69"/>
    <x v="62"/>
    <x v="62"/>
    <s v="REVENUS"/>
    <x v="3"/>
    <s v="4002.007"/>
    <s v="Acompte impôt sur fortune"/>
    <n v="0"/>
    <n v="-2623.7"/>
    <n v="4002"/>
  </r>
  <r>
    <x v="0"/>
    <x v="5"/>
    <x v="1"/>
    <x v="69"/>
    <x v="62"/>
    <x v="62"/>
    <s v="REVENUS"/>
    <x v="3"/>
    <s v="4002.001"/>
    <s v="Impôt ordinaire s/fortune PP"/>
    <n v="0"/>
    <n v="19988.849999999999"/>
    <n v="4002"/>
  </r>
  <r>
    <x v="0"/>
    <x v="5"/>
    <x v="1"/>
    <x v="69"/>
    <x v="62"/>
    <x v="62"/>
    <s v="REVENUS"/>
    <x v="2"/>
    <s v="4001.001"/>
    <s v="Impôt revenu"/>
    <n v="0"/>
    <n v="28288.85"/>
    <n v="4001"/>
  </r>
  <r>
    <x v="0"/>
    <x v="5"/>
    <x v="1"/>
    <x v="69"/>
    <x v="62"/>
    <x v="62"/>
    <s v="REVENUS"/>
    <x v="2"/>
    <s v="4001.007"/>
    <s v="Acompte impôt sur revenu"/>
    <n v="0"/>
    <n v="-20643.72"/>
    <n v="4001"/>
  </r>
  <r>
    <x v="0"/>
    <x v="5"/>
    <x v="1"/>
    <x v="69"/>
    <x v="62"/>
    <x v="62"/>
    <s v="REVENUS"/>
    <x v="3"/>
    <s v="4002.007"/>
    <s v="Acompte impôt sur fortune"/>
    <n v="0"/>
    <n v="-5321.66"/>
    <n v="4002"/>
  </r>
  <r>
    <x v="0"/>
    <x v="5"/>
    <x v="1"/>
    <x v="69"/>
    <x v="62"/>
    <x v="62"/>
    <s v="REVENUS"/>
    <x v="2"/>
    <s v="4001.001"/>
    <s v="Impôt revenu"/>
    <n v="0"/>
    <n v="10533.7"/>
    <n v="4001"/>
  </r>
  <r>
    <x v="0"/>
    <x v="5"/>
    <x v="1"/>
    <x v="69"/>
    <x v="62"/>
    <x v="62"/>
    <s v="REVENUS"/>
    <x v="3"/>
    <s v="4002.001"/>
    <s v="Impôt ordinaire s/fortune PP"/>
    <n v="0"/>
    <n v="3985"/>
    <n v="4002"/>
  </r>
  <r>
    <x v="0"/>
    <x v="5"/>
    <x v="1"/>
    <x v="69"/>
    <x v="62"/>
    <x v="62"/>
    <s v="REVENUS"/>
    <x v="6"/>
    <s v="4221.003"/>
    <s v="Intérêts compensat. / acomptes en faveur du fisc"/>
    <n v="0"/>
    <n v="0.96"/>
    <n v="4221"/>
  </r>
  <r>
    <x v="0"/>
    <x v="5"/>
    <x v="1"/>
    <x v="69"/>
    <x v="62"/>
    <x v="62"/>
    <s v="REVENUS"/>
    <x v="2"/>
    <s v="4001.001"/>
    <s v="Impôt revenu"/>
    <n v="0"/>
    <n v="4563.3"/>
    <n v="4001"/>
  </r>
  <r>
    <x v="0"/>
    <x v="5"/>
    <x v="1"/>
    <x v="69"/>
    <x v="62"/>
    <x v="62"/>
    <s v="REVENUS"/>
    <x v="3"/>
    <s v="4002.001"/>
    <s v="Impôt ordinaire s/fortune PP"/>
    <n v="0"/>
    <n v="2231.85"/>
    <n v="4002"/>
  </r>
  <r>
    <x v="0"/>
    <x v="5"/>
    <x v="1"/>
    <x v="69"/>
    <x v="62"/>
    <x v="62"/>
    <s v="REVENUS"/>
    <x v="6"/>
    <s v="4221.003"/>
    <s v="Intérêts compensat. / acomptes en faveur du fisc"/>
    <n v="0"/>
    <n v="2.0699999999999998"/>
    <n v="4221"/>
  </r>
  <r>
    <x v="0"/>
    <x v="5"/>
    <x v="1"/>
    <x v="69"/>
    <x v="62"/>
    <x v="62"/>
    <s v="REVENUS"/>
    <x v="6"/>
    <s v="4211.001"/>
    <s v="Intérêts de retard sur factures"/>
    <n v="0"/>
    <n v="233.81"/>
    <n v="4211"/>
  </r>
  <r>
    <x v="0"/>
    <x v="5"/>
    <x v="1"/>
    <x v="69"/>
    <x v="62"/>
    <x v="62"/>
    <s v="REVENUS"/>
    <x v="2"/>
    <s v="4001.002"/>
    <s v="Impôt complément s/revenu PP"/>
    <n v="0"/>
    <n v="15906.2"/>
    <n v="4001"/>
  </r>
  <r>
    <x v="0"/>
    <x v="5"/>
    <x v="1"/>
    <x v="69"/>
    <x v="62"/>
    <x v="62"/>
    <s v="REVENUS"/>
    <x v="3"/>
    <s v="4002.002"/>
    <s v="Impôt complémentaire s/fortune PP"/>
    <n v="0"/>
    <n v="521.35"/>
    <n v="4002"/>
  </r>
  <r>
    <x v="0"/>
    <x v="5"/>
    <x v="1"/>
    <x v="69"/>
    <x v="62"/>
    <x v="62"/>
    <s v="REVENUS"/>
    <x v="10"/>
    <s v="4041.001"/>
    <s v="Droits de mutation"/>
    <n v="0"/>
    <n v="159668.45000000001"/>
    <n v="4041"/>
  </r>
  <r>
    <x v="0"/>
    <x v="5"/>
    <x v="1"/>
    <x v="69"/>
    <x v="62"/>
    <x v="62"/>
    <s v="REVENUS"/>
    <x v="2"/>
    <s v="4001.007"/>
    <s v="Acompte impôt sur revenu"/>
    <n v="0"/>
    <n v="-2809.8"/>
    <n v="4001"/>
  </r>
  <r>
    <x v="0"/>
    <x v="5"/>
    <x v="1"/>
    <x v="69"/>
    <x v="62"/>
    <x v="62"/>
    <s v="REVENUS"/>
    <x v="6"/>
    <s v="4211.001"/>
    <s v="Intérêts de retard sur factures"/>
    <n v="0"/>
    <n v="2.54"/>
    <n v="4211"/>
  </r>
  <r>
    <x v="0"/>
    <x v="5"/>
    <x v="1"/>
    <x v="69"/>
    <x v="62"/>
    <x v="62"/>
    <s v="REVENUS"/>
    <x v="2"/>
    <s v="4001.002"/>
    <s v="Impôt complément s/revenu PP"/>
    <n v="0"/>
    <n v="1005.2"/>
    <n v="4001"/>
  </r>
  <r>
    <x v="0"/>
    <x v="5"/>
    <x v="1"/>
    <x v="69"/>
    <x v="62"/>
    <x v="62"/>
    <s v="REVENUS"/>
    <x v="3"/>
    <s v="4002.002"/>
    <s v="Impôt complémentaire s/fortune PP"/>
    <n v="0"/>
    <n v="3662.6"/>
    <n v="4002"/>
  </r>
  <r>
    <x v="0"/>
    <x v="5"/>
    <x v="1"/>
    <x v="69"/>
    <x v="62"/>
    <x v="62"/>
    <s v="REVENUS"/>
    <x v="6"/>
    <s v="4211.001"/>
    <s v="Intérêts de retard sur factures"/>
    <n v="0"/>
    <n v="206.04"/>
    <n v="4211"/>
  </r>
  <r>
    <x v="0"/>
    <x v="5"/>
    <x v="1"/>
    <x v="69"/>
    <x v="62"/>
    <x v="62"/>
    <s v="REVENUS"/>
    <x v="2"/>
    <s v="4001.007"/>
    <s v="Acompte impôt sur revenu"/>
    <n v="0"/>
    <n v="22.7"/>
    <n v="4001"/>
  </r>
  <r>
    <x v="0"/>
    <x v="5"/>
    <x v="1"/>
    <x v="69"/>
    <x v="62"/>
    <x v="62"/>
    <s v="REVENUS"/>
    <x v="3"/>
    <s v="4002.007"/>
    <s v="Acompte impôt sur fortune"/>
    <n v="0"/>
    <n v="357.99"/>
    <n v="4002"/>
  </r>
  <r>
    <x v="0"/>
    <x v="5"/>
    <x v="1"/>
    <x v="69"/>
    <x v="62"/>
    <x v="62"/>
    <s v="REVENUS"/>
    <x v="6"/>
    <s v="4211.001"/>
    <s v="Intérêts de retard sur factures"/>
    <n v="0"/>
    <n v="6.02"/>
    <n v="4211"/>
  </r>
  <r>
    <x v="0"/>
    <x v="5"/>
    <x v="1"/>
    <x v="69"/>
    <x v="62"/>
    <x v="62"/>
    <s v="REVENUS"/>
    <x v="2"/>
    <s v="4001.007"/>
    <s v="Acompte impôt sur revenu"/>
    <n v="0"/>
    <n v="370.8"/>
    <n v="4001"/>
  </r>
  <r>
    <x v="0"/>
    <x v="5"/>
    <x v="1"/>
    <x v="69"/>
    <x v="62"/>
    <x v="62"/>
    <s v="REVENUS"/>
    <x v="3"/>
    <s v="4002.007"/>
    <s v="Acompte impôt sur fortune"/>
    <n v="0"/>
    <n v="124.75"/>
    <n v="4002"/>
  </r>
  <r>
    <x v="0"/>
    <x v="5"/>
    <x v="1"/>
    <x v="69"/>
    <x v="62"/>
    <x v="62"/>
    <s v="REVENUS"/>
    <x v="6"/>
    <s v="4211.002"/>
    <s v="Intérêts de retard sur acomptes"/>
    <n v="0"/>
    <n v="-551.51"/>
    <n v="4211"/>
  </r>
  <r>
    <x v="0"/>
    <x v="5"/>
    <x v="1"/>
    <x v="69"/>
    <x v="62"/>
    <x v="62"/>
    <s v="REVENUS"/>
    <x v="6"/>
    <s v="4221.003"/>
    <s v="Intérêts compensat. / acomptes en faveur du fisc"/>
    <n v="0"/>
    <n v="-12.4"/>
    <n v="4221"/>
  </r>
  <r>
    <x v="0"/>
    <x v="5"/>
    <x v="1"/>
    <x v="69"/>
    <x v="62"/>
    <x v="62"/>
    <s v="REVENUS"/>
    <x v="2"/>
    <s v="4001.002"/>
    <s v="Impôt complément s/revenu PP"/>
    <n v="0"/>
    <n v="-27691.55"/>
    <n v="4001"/>
  </r>
  <r>
    <x v="0"/>
    <x v="5"/>
    <x v="1"/>
    <x v="69"/>
    <x v="62"/>
    <x v="62"/>
    <s v="REVENUS"/>
    <x v="9"/>
    <s v="4031.001"/>
    <s v="Impôt sur les gains immobiliers"/>
    <n v="0"/>
    <n v="76473.399999999994"/>
    <n v="4031"/>
  </r>
  <r>
    <x v="0"/>
    <x v="5"/>
    <x v="1"/>
    <x v="69"/>
    <x v="62"/>
    <x v="62"/>
    <s v="REVENUS"/>
    <x v="6"/>
    <s v="4211.002"/>
    <s v="Intérêts de retard sur acomptes"/>
    <n v="0"/>
    <n v="787.01"/>
    <n v="4211"/>
  </r>
  <r>
    <x v="0"/>
    <x v="5"/>
    <x v="1"/>
    <x v="69"/>
    <x v="62"/>
    <x v="62"/>
    <s v="REVENUS"/>
    <x v="6"/>
    <s v="4211.002"/>
    <s v="Intérêts de retard sur acomptes"/>
    <n v="0"/>
    <n v="45.35"/>
    <n v="4211"/>
  </r>
  <r>
    <x v="0"/>
    <x v="5"/>
    <x v="1"/>
    <x v="69"/>
    <x v="62"/>
    <x v="62"/>
    <s v="REVENUS"/>
    <x v="7"/>
    <s v="4184.000"/>
    <s v="Frais de poursuite"/>
    <n v="0"/>
    <n v="141.13"/>
    <n v="4184"/>
  </r>
  <r>
    <x v="0"/>
    <x v="5"/>
    <x v="1"/>
    <x v="69"/>
    <x v="62"/>
    <x v="62"/>
    <s v="REVENUS"/>
    <x v="6"/>
    <s v="4211.001"/>
    <s v="Intérêts de retard sur factures"/>
    <n v="0"/>
    <n v="-42.72"/>
    <n v="4211"/>
  </r>
  <r>
    <x v="0"/>
    <x v="5"/>
    <x v="1"/>
    <x v="69"/>
    <x v="62"/>
    <x v="62"/>
    <s v="REVENUS"/>
    <x v="3"/>
    <s v="4002.001"/>
    <s v="Impôt ordinaire s/fortune PP"/>
    <n v="0"/>
    <n v="-220.2"/>
    <n v="4002"/>
  </r>
  <r>
    <x v="0"/>
    <x v="5"/>
    <x v="1"/>
    <x v="69"/>
    <x v="62"/>
    <x v="62"/>
    <s v="REVENUS"/>
    <x v="3"/>
    <s v="4002.001"/>
    <s v="Impôt ordinaire s/fortune PP"/>
    <n v="0"/>
    <n v="2317.35"/>
    <n v="4002"/>
  </r>
  <r>
    <x v="0"/>
    <x v="5"/>
    <x v="1"/>
    <x v="69"/>
    <x v="62"/>
    <x v="62"/>
    <s v="REVENUS"/>
    <x v="6"/>
    <s v="4211.002"/>
    <s v="Intérêts de retard sur acomptes"/>
    <n v="0"/>
    <n v="0.08"/>
    <n v="4211"/>
  </r>
  <r>
    <x v="0"/>
    <x v="5"/>
    <x v="1"/>
    <x v="69"/>
    <x v="62"/>
    <x v="62"/>
    <s v="REVENUS"/>
    <x v="3"/>
    <s v="4002.002"/>
    <s v="Impôt complémentaire s/fortune PP"/>
    <n v="0"/>
    <n v="-1659.7"/>
    <n v="4002"/>
  </r>
  <r>
    <x v="0"/>
    <x v="5"/>
    <x v="1"/>
    <x v="69"/>
    <x v="62"/>
    <x v="62"/>
    <s v="REVENUS"/>
    <x v="5"/>
    <s v="4061.000"/>
    <s v="Impôt sur les chiens"/>
    <n v="0"/>
    <n v="18000"/>
    <n v="4061"/>
  </r>
  <r>
    <x v="0"/>
    <x v="5"/>
    <x v="1"/>
    <x v="69"/>
    <x v="62"/>
    <x v="62"/>
    <s v="REVENUS"/>
    <x v="7"/>
    <s v="4184.000"/>
    <s v="Frais de poursuite"/>
    <n v="0"/>
    <n v="45.54"/>
    <n v="4184"/>
  </r>
  <r>
    <x v="0"/>
    <x v="5"/>
    <x v="1"/>
    <x v="69"/>
    <x v="62"/>
    <x v="62"/>
    <s v="REVENUS"/>
    <x v="3"/>
    <s v="4002.002"/>
    <s v="Impôt complémentaire s/fortune PP"/>
    <n v="0"/>
    <n v="17"/>
    <n v="4002"/>
  </r>
  <r>
    <x v="0"/>
    <x v="5"/>
    <x v="1"/>
    <x v="69"/>
    <x v="62"/>
    <x v="62"/>
    <s v="REVENUS"/>
    <x v="2"/>
    <s v="4001.001"/>
    <s v="Impôt revenu"/>
    <n v="0"/>
    <n v="154.25"/>
    <n v="4001"/>
  </r>
  <r>
    <x v="0"/>
    <x v="5"/>
    <x v="1"/>
    <x v="69"/>
    <x v="62"/>
    <x v="62"/>
    <s v="REVENUS"/>
    <x v="3"/>
    <s v="4002.001"/>
    <s v="Impôt ordinaire s/fortune PP"/>
    <n v="0"/>
    <n v="525.9"/>
    <n v="4002"/>
  </r>
  <r>
    <x v="0"/>
    <x v="5"/>
    <x v="1"/>
    <x v="69"/>
    <x v="62"/>
    <x v="62"/>
    <s v="REVENUS"/>
    <x v="6"/>
    <s v="4221.003"/>
    <s v="Intérêts compensat. / acomptes en faveur du fisc"/>
    <n v="0"/>
    <n v="0.01"/>
    <n v="4221"/>
  </r>
  <r>
    <x v="0"/>
    <x v="5"/>
    <x v="1"/>
    <x v="69"/>
    <x v="62"/>
    <x v="62"/>
    <s v="REVENUS"/>
    <x v="4"/>
    <s v="4051.001"/>
    <s v="Impôt sur les successions"/>
    <n v="0"/>
    <n v="3821.3"/>
    <n v="4051"/>
  </r>
  <r>
    <x v="0"/>
    <x v="5"/>
    <x v="1"/>
    <x v="69"/>
    <x v="62"/>
    <x v="62"/>
    <s v="REVENUS"/>
    <x v="2"/>
    <s v="4001.003"/>
    <s v="Impôt s/prest. cap. PP"/>
    <n v="0"/>
    <n v="-4450.3"/>
    <n v="4001"/>
  </r>
  <r>
    <x v="0"/>
    <x v="5"/>
    <x v="1"/>
    <x v="69"/>
    <x v="62"/>
    <x v="62"/>
    <s v="REVENUS"/>
    <x v="11"/>
    <s v="4198.000"/>
    <s v="Contributions communales"/>
    <n v="0"/>
    <n v="323351.84999999998"/>
    <n v="4198"/>
  </r>
  <r>
    <x v="0"/>
    <x v="5"/>
    <x v="1"/>
    <x v="69"/>
    <x v="62"/>
    <x v="62"/>
    <s v="REVENUS"/>
    <x v="8"/>
    <s v="4091.001"/>
    <s v="Impôt récupéré après défalcations"/>
    <n v="0"/>
    <n v="-2134.6999999999998"/>
    <n v="4091"/>
  </r>
  <r>
    <x v="0"/>
    <x v="5"/>
    <x v="1"/>
    <x v="69"/>
    <x v="62"/>
    <x v="62"/>
    <s v="REVENUS"/>
    <x v="2"/>
    <s v="4001.002"/>
    <s v="Impôt complément s/revenu PP"/>
    <n v="0"/>
    <n v="4496.8500000000004"/>
    <n v="4001"/>
  </r>
  <r>
    <x v="0"/>
    <x v="5"/>
    <x v="1"/>
    <x v="69"/>
    <x v="62"/>
    <x v="62"/>
    <s v="REVENUS"/>
    <x v="3"/>
    <s v="4002.002"/>
    <s v="Impôt complémentaire s/fortune PP"/>
    <n v="0"/>
    <n v="296.14999999999998"/>
    <n v="4002"/>
  </r>
  <r>
    <x v="0"/>
    <x v="5"/>
    <x v="1"/>
    <x v="69"/>
    <x v="62"/>
    <x v="62"/>
    <s v="REVENUS"/>
    <x v="3"/>
    <s v="4002.002"/>
    <s v="Impôt complémentaire s/fortune PP"/>
    <n v="0"/>
    <n v="17.05"/>
    <n v="4002"/>
  </r>
  <r>
    <x v="0"/>
    <x v="5"/>
    <x v="1"/>
    <x v="69"/>
    <x v="62"/>
    <x v="62"/>
    <s v="REVENUS"/>
    <x v="2"/>
    <s v="4001.001"/>
    <s v="Impôt revenu"/>
    <n v="0"/>
    <n v="991.05"/>
    <n v="4001"/>
  </r>
  <r>
    <x v="0"/>
    <x v="5"/>
    <x v="1"/>
    <x v="69"/>
    <x v="62"/>
    <x v="62"/>
    <s v="REVENUS"/>
    <x v="6"/>
    <s v="4221.003"/>
    <s v="Intérêts compensat. / acomptes en faveur du fisc"/>
    <n v="0"/>
    <n v="0.01"/>
    <n v="4221"/>
  </r>
  <r>
    <x v="0"/>
    <x v="5"/>
    <x v="1"/>
    <x v="69"/>
    <x v="62"/>
    <x v="62"/>
    <s v="REVENUS"/>
    <x v="7"/>
    <s v="4184.000"/>
    <s v="Frais de poursuite"/>
    <n v="0"/>
    <n v="150.26"/>
    <n v="4184"/>
  </r>
  <r>
    <x v="0"/>
    <x v="5"/>
    <x v="1"/>
    <x v="69"/>
    <x v="62"/>
    <x v="62"/>
    <s v="REVENUS"/>
    <x v="9"/>
    <s v="4031.002"/>
    <s v="Complément impôt sur les gains immobiliers"/>
    <n v="0"/>
    <n v="25600"/>
    <n v="4031"/>
  </r>
  <r>
    <x v="0"/>
    <x v="5"/>
    <x v="1"/>
    <x v="69"/>
    <x v="62"/>
    <x v="62"/>
    <s v="REVENUS"/>
    <x v="6"/>
    <s v="4211.001"/>
    <s v="Intérêts de retard sur factures"/>
    <n v="0"/>
    <n v="0.05"/>
    <n v="4211"/>
  </r>
  <r>
    <x v="0"/>
    <x v="5"/>
    <x v="1"/>
    <x v="69"/>
    <x v="62"/>
    <x v="62"/>
    <s v="REVENUS"/>
    <x v="7"/>
    <s v="4184.000"/>
    <s v="Frais de poursuite"/>
    <n v="0"/>
    <n v="4.6399999999999997"/>
    <n v="4184"/>
  </r>
  <r>
    <x v="0"/>
    <x v="5"/>
    <x v="1"/>
    <x v="69"/>
    <x v="62"/>
    <x v="62"/>
    <s v="REVENUS"/>
    <x v="2"/>
    <s v="4001.003"/>
    <s v="Impôt s/prest. cap. PP"/>
    <n v="0"/>
    <n v="-37.15"/>
    <n v="4001"/>
  </r>
  <r>
    <x v="0"/>
    <x v="5"/>
    <x v="1"/>
    <x v="69"/>
    <x v="62"/>
    <x v="62"/>
    <s v="REVENUS"/>
    <x v="6"/>
    <s v="4211.002"/>
    <s v="Intérêts de retard sur acomptes"/>
    <n v="0"/>
    <n v="4.03"/>
    <n v="4211"/>
  </r>
  <r>
    <x v="0"/>
    <x v="5"/>
    <x v="1"/>
    <x v="69"/>
    <x v="62"/>
    <x v="62"/>
    <s v="REVENUS"/>
    <x v="7"/>
    <s v="4184.000"/>
    <s v="Frais de poursuite"/>
    <n v="0"/>
    <n v="-0.87"/>
    <n v="4184"/>
  </r>
  <r>
    <x v="0"/>
    <x v="5"/>
    <x v="1"/>
    <x v="69"/>
    <x v="62"/>
    <x v="62"/>
    <s v="REVENUS"/>
    <x v="8"/>
    <s v="4091.001"/>
    <s v="Impôt récupéré après défalcations"/>
    <n v="0"/>
    <n v="269.75"/>
    <n v="4091"/>
  </r>
  <r>
    <x v="0"/>
    <x v="5"/>
    <x v="1"/>
    <x v="70"/>
    <x v="63"/>
    <x v="63"/>
    <s v="CHARGES"/>
    <x v="0"/>
    <s v="3212.002"/>
    <s v="Intérêts bonifiés/trop perçu acompte C/C"/>
    <n v="7.21"/>
    <n v="0"/>
    <n v="3212"/>
  </r>
  <r>
    <x v="0"/>
    <x v="5"/>
    <x v="1"/>
    <x v="70"/>
    <x v="63"/>
    <x v="63"/>
    <s v="CHARGES"/>
    <x v="1"/>
    <s v="3301.001"/>
    <s v="Défalcations, abandons de solde PP et IS"/>
    <n v="239.09"/>
    <n v="0"/>
    <n v="3301"/>
  </r>
  <r>
    <x v="0"/>
    <x v="5"/>
    <x v="1"/>
    <x v="70"/>
    <x v="63"/>
    <x v="63"/>
    <s v="CHARGES"/>
    <x v="0"/>
    <s v="3212.004"/>
    <s v="Intérêts rémun./perçu trop tôt sur acomptes C/C"/>
    <n v="0.63"/>
    <n v="0"/>
    <n v="3212"/>
  </r>
  <r>
    <x v="0"/>
    <x v="5"/>
    <x v="1"/>
    <x v="70"/>
    <x v="63"/>
    <x v="63"/>
    <s v="CHARGES"/>
    <x v="0"/>
    <s v="3212.004"/>
    <s v="Intérêts rémun./perçu trop tôt sur acomptes C/C"/>
    <n v="277.77"/>
    <n v="0"/>
    <n v="3212"/>
  </r>
  <r>
    <x v="0"/>
    <x v="5"/>
    <x v="1"/>
    <x v="70"/>
    <x v="63"/>
    <x v="63"/>
    <s v="CHARGES"/>
    <x v="0"/>
    <s v="3221.002"/>
    <s v="Intérêts compensatoires / créances en faveur ctb."/>
    <n v="106.93"/>
    <n v="0"/>
    <n v="3221"/>
  </r>
  <r>
    <x v="0"/>
    <x v="5"/>
    <x v="1"/>
    <x v="70"/>
    <x v="63"/>
    <x v="63"/>
    <s v="CHARGES"/>
    <x v="0"/>
    <s v="3212.004"/>
    <s v="Intérêts rémun./perçu trop tôt sur acomptes C/C"/>
    <n v="0.05"/>
    <n v="0"/>
    <n v="3212"/>
  </r>
  <r>
    <x v="0"/>
    <x v="5"/>
    <x v="1"/>
    <x v="70"/>
    <x v="63"/>
    <x v="63"/>
    <s v="CHARGES"/>
    <x v="1"/>
    <s v="3301.001"/>
    <s v="Défalcations, abandons de solde PP et IS"/>
    <n v="0.12"/>
    <n v="0"/>
    <n v="3301"/>
  </r>
  <r>
    <x v="0"/>
    <x v="5"/>
    <x v="1"/>
    <x v="70"/>
    <x v="63"/>
    <x v="63"/>
    <s v="CHARGES"/>
    <x v="0"/>
    <s v="3212.004"/>
    <s v="Intérêts rémun./perçu trop tôt sur acomptes C/C"/>
    <n v="0.1"/>
    <n v="0"/>
    <n v="3212"/>
  </r>
  <r>
    <x v="0"/>
    <x v="5"/>
    <x v="1"/>
    <x v="70"/>
    <x v="63"/>
    <x v="63"/>
    <s v="CHARGES"/>
    <x v="0"/>
    <s v="3221.002"/>
    <s v="Intérêts compensatoires / créances en faveur ctb."/>
    <n v="0.14000000000000001"/>
    <n v="0"/>
    <n v="3221"/>
  </r>
  <r>
    <x v="0"/>
    <x v="5"/>
    <x v="1"/>
    <x v="70"/>
    <x v="63"/>
    <x v="63"/>
    <s v="CHARGES"/>
    <x v="1"/>
    <s v="3301.001"/>
    <s v="Défalcations, abandons de solde PP et IS"/>
    <n v="0.13"/>
    <n v="0"/>
    <n v="3301"/>
  </r>
  <r>
    <x v="0"/>
    <x v="5"/>
    <x v="1"/>
    <x v="70"/>
    <x v="63"/>
    <x v="63"/>
    <s v="CHARGES"/>
    <x v="0"/>
    <s v="3221.002"/>
    <s v="Intérêts compensatoires / créances en faveur ctb."/>
    <n v="0.77"/>
    <n v="0"/>
    <n v="3221"/>
  </r>
  <r>
    <x v="0"/>
    <x v="5"/>
    <x v="1"/>
    <x v="70"/>
    <x v="63"/>
    <x v="63"/>
    <s v="CHARGES"/>
    <x v="1"/>
    <s v="3301.001"/>
    <s v="Défalcations, abandons de solde PP et IS"/>
    <n v="0.37"/>
    <n v="0"/>
    <n v="3301"/>
  </r>
  <r>
    <x v="0"/>
    <x v="5"/>
    <x v="1"/>
    <x v="70"/>
    <x v="63"/>
    <x v="63"/>
    <s v="CHARGES"/>
    <x v="1"/>
    <s v="3301.001"/>
    <s v="Défalcations, abandons de solde PP et IS"/>
    <n v="0.09"/>
    <n v="0"/>
    <n v="3301"/>
  </r>
  <r>
    <x v="0"/>
    <x v="5"/>
    <x v="1"/>
    <x v="70"/>
    <x v="63"/>
    <x v="63"/>
    <s v="CHARGES"/>
    <x v="0"/>
    <s v="3221.002"/>
    <s v="Intérêts compensatoires / créances en faveur ctb."/>
    <n v="-0.1"/>
    <n v="0"/>
    <n v="3221"/>
  </r>
  <r>
    <x v="0"/>
    <x v="5"/>
    <x v="1"/>
    <x v="70"/>
    <x v="63"/>
    <x v="63"/>
    <s v="CHARGES"/>
    <x v="0"/>
    <s v="3212.004"/>
    <s v="Intérêts rémun./perçu trop tôt sur acomptes C/C"/>
    <n v="-0.09"/>
    <n v="0"/>
    <n v="3212"/>
  </r>
  <r>
    <x v="0"/>
    <x v="5"/>
    <x v="1"/>
    <x v="70"/>
    <x v="63"/>
    <x v="63"/>
    <s v="REVENUS"/>
    <x v="2"/>
    <s v="4001.007"/>
    <s v="Acompte impôt sur revenu"/>
    <n v="0"/>
    <n v="113483.28"/>
    <n v="4001"/>
  </r>
  <r>
    <x v="0"/>
    <x v="5"/>
    <x v="1"/>
    <x v="70"/>
    <x v="63"/>
    <x v="63"/>
    <s v="REVENUS"/>
    <x v="3"/>
    <s v="4002.007"/>
    <s v="Acompte impôt sur fortune"/>
    <n v="0"/>
    <n v="39050.78"/>
    <n v="4002"/>
  </r>
  <r>
    <x v="0"/>
    <x v="5"/>
    <x v="1"/>
    <x v="70"/>
    <x v="63"/>
    <x v="63"/>
    <s v="REVENUS"/>
    <x v="9"/>
    <s v="4031.001"/>
    <s v="Impôt sur les gains immobiliers"/>
    <n v="0"/>
    <n v="64569"/>
    <n v="4031"/>
  </r>
  <r>
    <x v="0"/>
    <x v="5"/>
    <x v="1"/>
    <x v="70"/>
    <x v="63"/>
    <x v="63"/>
    <s v="REVENUS"/>
    <x v="6"/>
    <s v="4211.001"/>
    <s v="Intérêts de retard sur factures"/>
    <n v="0"/>
    <n v="1204.3"/>
    <n v="4211"/>
  </r>
  <r>
    <x v="0"/>
    <x v="5"/>
    <x v="1"/>
    <x v="70"/>
    <x v="63"/>
    <x v="63"/>
    <s v="REVENUS"/>
    <x v="6"/>
    <s v="4221.002"/>
    <s v="Intérêts compensat. sur impôts distincts"/>
    <n v="0"/>
    <n v="172.25"/>
    <n v="4221"/>
  </r>
  <r>
    <x v="0"/>
    <x v="5"/>
    <x v="1"/>
    <x v="70"/>
    <x v="63"/>
    <x v="63"/>
    <s v="REVENUS"/>
    <x v="2"/>
    <s v="4001.001"/>
    <s v="Impôt revenu"/>
    <n v="0"/>
    <n v="4113.25"/>
    <n v="4001"/>
  </r>
  <r>
    <x v="0"/>
    <x v="5"/>
    <x v="1"/>
    <x v="70"/>
    <x v="63"/>
    <x v="63"/>
    <s v="REVENUS"/>
    <x v="3"/>
    <s v="4002.001"/>
    <s v="Impôt ordinaire s/fortune PP"/>
    <n v="0"/>
    <n v="1245.6500000000001"/>
    <n v="4002"/>
  </r>
  <r>
    <x v="0"/>
    <x v="5"/>
    <x v="1"/>
    <x v="70"/>
    <x v="63"/>
    <x v="63"/>
    <s v="REVENUS"/>
    <x v="2"/>
    <s v="4001.007"/>
    <s v="Acompte impôt sur revenu"/>
    <n v="0"/>
    <n v="-194656.23"/>
    <n v="4001"/>
  </r>
  <r>
    <x v="0"/>
    <x v="5"/>
    <x v="1"/>
    <x v="70"/>
    <x v="63"/>
    <x v="63"/>
    <s v="REVENUS"/>
    <x v="3"/>
    <s v="4002.007"/>
    <s v="Acompte impôt sur fortune"/>
    <n v="0"/>
    <n v="-38371.39"/>
    <n v="4002"/>
  </r>
  <r>
    <x v="0"/>
    <x v="5"/>
    <x v="1"/>
    <x v="70"/>
    <x v="63"/>
    <x v="63"/>
    <s v="REVENUS"/>
    <x v="2"/>
    <s v="4001.001"/>
    <s v="Impôt revenu"/>
    <n v="0"/>
    <n v="895560"/>
    <n v="4001"/>
  </r>
  <r>
    <x v="0"/>
    <x v="5"/>
    <x v="1"/>
    <x v="70"/>
    <x v="63"/>
    <x v="63"/>
    <s v="REVENUS"/>
    <x v="3"/>
    <s v="4002.001"/>
    <s v="Impôt ordinaire s/fortune PP"/>
    <n v="0"/>
    <n v="146671.20000000001"/>
    <n v="4002"/>
  </r>
  <r>
    <x v="0"/>
    <x v="5"/>
    <x v="1"/>
    <x v="70"/>
    <x v="63"/>
    <x v="63"/>
    <s v="REVENUS"/>
    <x v="3"/>
    <s v="4002.002"/>
    <s v="Impôt complémentaire s/fortune PP"/>
    <n v="0"/>
    <n v="36500.35"/>
    <n v="4002"/>
  </r>
  <r>
    <x v="0"/>
    <x v="5"/>
    <x v="1"/>
    <x v="70"/>
    <x v="63"/>
    <x v="63"/>
    <s v="REVENUS"/>
    <x v="6"/>
    <s v="4221.003"/>
    <s v="Intérêts compensat. / acomptes en faveur du fisc"/>
    <n v="0"/>
    <n v="73.27"/>
    <n v="4221"/>
  </r>
  <r>
    <x v="0"/>
    <x v="5"/>
    <x v="1"/>
    <x v="70"/>
    <x v="63"/>
    <x v="63"/>
    <s v="REVENUS"/>
    <x v="6"/>
    <s v="4211.002"/>
    <s v="Intérêts de retard sur acomptes"/>
    <n v="0"/>
    <n v="3088.94"/>
    <n v="4211"/>
  </r>
  <r>
    <x v="0"/>
    <x v="5"/>
    <x v="1"/>
    <x v="70"/>
    <x v="63"/>
    <x v="63"/>
    <s v="REVENUS"/>
    <x v="2"/>
    <s v="4001.002"/>
    <s v="Impôt complément s/revenu PP"/>
    <n v="0"/>
    <n v="230234.95"/>
    <n v="4001"/>
  </r>
  <r>
    <x v="0"/>
    <x v="5"/>
    <x v="1"/>
    <x v="70"/>
    <x v="63"/>
    <x v="63"/>
    <s v="REVENUS"/>
    <x v="2"/>
    <s v="4001.003"/>
    <s v="Impôt s/prest. cap. PP"/>
    <n v="0"/>
    <n v="21124.799999999999"/>
    <n v="4001"/>
  </r>
  <r>
    <x v="0"/>
    <x v="5"/>
    <x v="1"/>
    <x v="70"/>
    <x v="63"/>
    <x v="63"/>
    <s v="REVENUS"/>
    <x v="7"/>
    <s v="4184.000"/>
    <s v="Frais de poursuite"/>
    <n v="0"/>
    <n v="407.01"/>
    <n v="4184"/>
  </r>
  <r>
    <x v="0"/>
    <x v="5"/>
    <x v="1"/>
    <x v="70"/>
    <x v="63"/>
    <x v="63"/>
    <s v="REVENUS"/>
    <x v="2"/>
    <s v="4001.007"/>
    <s v="Acompte impôt sur revenu"/>
    <n v="0"/>
    <n v="628.54999999999995"/>
    <n v="4001"/>
  </r>
  <r>
    <x v="0"/>
    <x v="5"/>
    <x v="1"/>
    <x v="70"/>
    <x v="63"/>
    <x v="63"/>
    <s v="REVENUS"/>
    <x v="3"/>
    <s v="4002.007"/>
    <s v="Acompte impôt sur fortune"/>
    <n v="0"/>
    <n v="76.900000000000006"/>
    <n v="4002"/>
  </r>
  <r>
    <x v="0"/>
    <x v="5"/>
    <x v="1"/>
    <x v="70"/>
    <x v="63"/>
    <x v="63"/>
    <s v="REVENUS"/>
    <x v="2"/>
    <s v="4001.007"/>
    <s v="Acompte impôt sur revenu"/>
    <n v="0"/>
    <n v="-85.99"/>
    <n v="4001"/>
  </r>
  <r>
    <x v="0"/>
    <x v="5"/>
    <x v="1"/>
    <x v="70"/>
    <x v="63"/>
    <x v="63"/>
    <s v="REVENUS"/>
    <x v="3"/>
    <s v="4002.007"/>
    <s v="Acompte impôt sur fortune"/>
    <n v="0"/>
    <n v="241.11"/>
    <n v="4002"/>
  </r>
  <r>
    <x v="0"/>
    <x v="5"/>
    <x v="1"/>
    <x v="70"/>
    <x v="63"/>
    <x v="63"/>
    <s v="REVENUS"/>
    <x v="3"/>
    <s v="4002.007"/>
    <s v="Acompte impôt sur fortune"/>
    <n v="0"/>
    <n v="164"/>
    <n v="4002"/>
  </r>
  <r>
    <x v="0"/>
    <x v="5"/>
    <x v="1"/>
    <x v="70"/>
    <x v="63"/>
    <x v="63"/>
    <s v="REVENUS"/>
    <x v="3"/>
    <s v="4002.007"/>
    <s v="Acompte impôt sur fortune"/>
    <n v="0"/>
    <n v="2765.45"/>
    <n v="4002"/>
  </r>
  <r>
    <x v="0"/>
    <x v="5"/>
    <x v="1"/>
    <x v="70"/>
    <x v="63"/>
    <x v="63"/>
    <s v="REVENUS"/>
    <x v="2"/>
    <s v="4001.007"/>
    <s v="Acompte impôt sur revenu"/>
    <n v="0"/>
    <n v="0"/>
    <n v="4001"/>
  </r>
  <r>
    <x v="0"/>
    <x v="5"/>
    <x v="1"/>
    <x v="70"/>
    <x v="63"/>
    <x v="63"/>
    <s v="REVENUS"/>
    <x v="2"/>
    <s v="4001.001"/>
    <s v="Impôt revenu"/>
    <n v="0"/>
    <n v="-65896.399999999994"/>
    <n v="4001"/>
  </r>
  <r>
    <x v="0"/>
    <x v="5"/>
    <x v="1"/>
    <x v="70"/>
    <x v="63"/>
    <x v="63"/>
    <s v="REVENUS"/>
    <x v="3"/>
    <s v="4002.001"/>
    <s v="Impôt ordinaire s/fortune PP"/>
    <n v="0"/>
    <n v="-945.25"/>
    <n v="4002"/>
  </r>
  <r>
    <x v="0"/>
    <x v="5"/>
    <x v="1"/>
    <x v="70"/>
    <x v="63"/>
    <x v="63"/>
    <s v="REVENUS"/>
    <x v="3"/>
    <s v="4002.001"/>
    <s v="Impôt ordinaire s/fortune PP"/>
    <n v="0"/>
    <n v="310.2"/>
    <n v="4002"/>
  </r>
  <r>
    <x v="0"/>
    <x v="5"/>
    <x v="1"/>
    <x v="70"/>
    <x v="63"/>
    <x v="63"/>
    <s v="REVENUS"/>
    <x v="6"/>
    <s v="4211.002"/>
    <s v="Intérêts de retard sur acomptes"/>
    <n v="0"/>
    <n v="2.84"/>
    <n v="4211"/>
  </r>
  <r>
    <x v="0"/>
    <x v="5"/>
    <x v="1"/>
    <x v="70"/>
    <x v="63"/>
    <x v="63"/>
    <s v="REVENUS"/>
    <x v="6"/>
    <s v="4221.003"/>
    <s v="Intérêts compensat. / acomptes en faveur du fisc"/>
    <n v="0"/>
    <n v="0.37"/>
    <n v="4221"/>
  </r>
  <r>
    <x v="0"/>
    <x v="5"/>
    <x v="1"/>
    <x v="70"/>
    <x v="63"/>
    <x v="63"/>
    <s v="REVENUS"/>
    <x v="10"/>
    <s v="4041.001"/>
    <s v="Droits de mutation"/>
    <n v="0"/>
    <n v="75413.8"/>
    <n v="4041"/>
  </r>
  <r>
    <x v="0"/>
    <x v="5"/>
    <x v="1"/>
    <x v="70"/>
    <x v="63"/>
    <x v="63"/>
    <s v="REVENUS"/>
    <x v="2"/>
    <s v="4001.001"/>
    <s v="Impôt revenu"/>
    <n v="0"/>
    <n v="711.75"/>
    <n v="4001"/>
  </r>
  <r>
    <x v="0"/>
    <x v="5"/>
    <x v="1"/>
    <x v="70"/>
    <x v="63"/>
    <x v="63"/>
    <s v="REVENUS"/>
    <x v="2"/>
    <s v="4001.007"/>
    <s v="Acompte impôt sur revenu"/>
    <n v="0"/>
    <n v="-1080.6500000000001"/>
    <n v="4001"/>
  </r>
  <r>
    <x v="0"/>
    <x v="5"/>
    <x v="1"/>
    <x v="70"/>
    <x v="63"/>
    <x v="63"/>
    <s v="REVENUS"/>
    <x v="3"/>
    <s v="4002.001"/>
    <s v="Impôt ordinaire s/fortune PP"/>
    <n v="0"/>
    <n v="160.44999999999999"/>
    <n v="4002"/>
  </r>
  <r>
    <x v="0"/>
    <x v="5"/>
    <x v="1"/>
    <x v="70"/>
    <x v="63"/>
    <x v="63"/>
    <s v="REVENUS"/>
    <x v="6"/>
    <s v="4211.002"/>
    <s v="Intérêts de retard sur acomptes"/>
    <n v="0"/>
    <n v="2.48"/>
    <n v="4211"/>
  </r>
  <r>
    <x v="0"/>
    <x v="5"/>
    <x v="1"/>
    <x v="70"/>
    <x v="63"/>
    <x v="63"/>
    <s v="REVENUS"/>
    <x v="6"/>
    <s v="4221.003"/>
    <s v="Intérêts compensat. / acomptes en faveur du fisc"/>
    <n v="0"/>
    <n v="0.13"/>
    <n v="4221"/>
  </r>
  <r>
    <x v="0"/>
    <x v="5"/>
    <x v="1"/>
    <x v="70"/>
    <x v="63"/>
    <x v="63"/>
    <s v="REVENUS"/>
    <x v="2"/>
    <s v="4001.001"/>
    <s v="Impôt revenu"/>
    <n v="0"/>
    <n v="-378.55"/>
    <n v="4001"/>
  </r>
  <r>
    <x v="0"/>
    <x v="5"/>
    <x v="1"/>
    <x v="70"/>
    <x v="63"/>
    <x v="63"/>
    <s v="REVENUS"/>
    <x v="2"/>
    <s v="4001.002"/>
    <s v="Impôt complément s/revenu PP"/>
    <n v="0"/>
    <n v="271.89999999999998"/>
    <n v="4001"/>
  </r>
  <r>
    <x v="0"/>
    <x v="5"/>
    <x v="1"/>
    <x v="70"/>
    <x v="63"/>
    <x v="63"/>
    <s v="REVENUS"/>
    <x v="3"/>
    <s v="4002.002"/>
    <s v="Impôt complémentaire s/fortune PP"/>
    <n v="0"/>
    <n v="96.95"/>
    <n v="4002"/>
  </r>
  <r>
    <x v="0"/>
    <x v="5"/>
    <x v="1"/>
    <x v="70"/>
    <x v="63"/>
    <x v="63"/>
    <s v="REVENUS"/>
    <x v="6"/>
    <s v="4211.001"/>
    <s v="Intérêts de retard sur factures"/>
    <n v="0"/>
    <n v="15.24"/>
    <n v="4211"/>
  </r>
  <r>
    <x v="0"/>
    <x v="5"/>
    <x v="1"/>
    <x v="70"/>
    <x v="63"/>
    <x v="63"/>
    <s v="REVENUS"/>
    <x v="5"/>
    <s v="4061.000"/>
    <s v="Impôt sur les chiens"/>
    <n v="0"/>
    <n v="1425"/>
    <n v="4061"/>
  </r>
  <r>
    <x v="0"/>
    <x v="5"/>
    <x v="1"/>
    <x v="70"/>
    <x v="63"/>
    <x v="63"/>
    <s v="REVENUS"/>
    <x v="11"/>
    <s v="4198.000"/>
    <s v="Contributions communales"/>
    <n v="0"/>
    <n v="87407.8"/>
    <n v="4198"/>
  </r>
  <r>
    <x v="0"/>
    <x v="5"/>
    <x v="1"/>
    <x v="70"/>
    <x v="63"/>
    <x v="63"/>
    <s v="REVENUS"/>
    <x v="6"/>
    <s v="4221.003"/>
    <s v="Intérêts compensat. / acomptes en faveur du fisc"/>
    <n v="0"/>
    <n v="0.96"/>
    <n v="4221"/>
  </r>
  <r>
    <x v="0"/>
    <x v="5"/>
    <x v="1"/>
    <x v="70"/>
    <x v="63"/>
    <x v="63"/>
    <s v="REVENUS"/>
    <x v="2"/>
    <s v="4001.002"/>
    <s v="Impôt complément s/revenu PP"/>
    <n v="0"/>
    <n v="3963.85"/>
    <n v="4001"/>
  </r>
  <r>
    <x v="0"/>
    <x v="5"/>
    <x v="1"/>
    <x v="70"/>
    <x v="63"/>
    <x v="63"/>
    <s v="REVENUS"/>
    <x v="3"/>
    <s v="4002.002"/>
    <s v="Impôt complémentaire s/fortune PP"/>
    <n v="0"/>
    <n v="546.29999999999995"/>
    <n v="4002"/>
  </r>
  <r>
    <x v="0"/>
    <x v="5"/>
    <x v="1"/>
    <x v="70"/>
    <x v="63"/>
    <x v="63"/>
    <s v="REVENUS"/>
    <x v="2"/>
    <s v="4001.002"/>
    <s v="Impôt complément s/revenu PP"/>
    <n v="0"/>
    <n v="150.80000000000001"/>
    <n v="4001"/>
  </r>
  <r>
    <x v="0"/>
    <x v="5"/>
    <x v="1"/>
    <x v="70"/>
    <x v="63"/>
    <x v="63"/>
    <s v="REVENUS"/>
    <x v="3"/>
    <s v="4002.002"/>
    <s v="Impôt complémentaire s/fortune PP"/>
    <n v="0"/>
    <n v="589.95000000000005"/>
    <n v="4002"/>
  </r>
  <r>
    <x v="0"/>
    <x v="5"/>
    <x v="1"/>
    <x v="70"/>
    <x v="63"/>
    <x v="63"/>
    <s v="REVENUS"/>
    <x v="2"/>
    <s v="4001.002"/>
    <s v="Impôt complément s/revenu PP"/>
    <n v="0"/>
    <n v="-5663.15"/>
    <n v="4001"/>
  </r>
  <r>
    <x v="0"/>
    <x v="5"/>
    <x v="1"/>
    <x v="70"/>
    <x v="63"/>
    <x v="63"/>
    <s v="REVENUS"/>
    <x v="3"/>
    <s v="4002.002"/>
    <s v="Impôt complémentaire s/fortune PP"/>
    <n v="0"/>
    <n v="-589.95000000000005"/>
    <n v="4002"/>
  </r>
  <r>
    <x v="0"/>
    <x v="5"/>
    <x v="1"/>
    <x v="70"/>
    <x v="63"/>
    <x v="63"/>
    <s v="REVENUS"/>
    <x v="7"/>
    <s v="4184.000"/>
    <s v="Frais de poursuite"/>
    <n v="0"/>
    <n v="147.55000000000001"/>
    <n v="4184"/>
  </r>
  <r>
    <x v="0"/>
    <x v="5"/>
    <x v="1"/>
    <x v="70"/>
    <x v="63"/>
    <x v="63"/>
    <s v="REVENUS"/>
    <x v="2"/>
    <s v="4001.002"/>
    <s v="Impôt complément s/revenu PP"/>
    <n v="0"/>
    <n v="44.4"/>
    <n v="4001"/>
  </r>
  <r>
    <x v="0"/>
    <x v="5"/>
    <x v="1"/>
    <x v="70"/>
    <x v="63"/>
    <x v="63"/>
    <s v="REVENUS"/>
    <x v="3"/>
    <s v="4002.002"/>
    <s v="Impôt complémentaire s/fortune PP"/>
    <n v="0"/>
    <n v="22.75"/>
    <n v="4002"/>
  </r>
  <r>
    <x v="0"/>
    <x v="5"/>
    <x v="1"/>
    <x v="70"/>
    <x v="63"/>
    <x v="63"/>
    <s v="REVENUS"/>
    <x v="4"/>
    <s v="4051.001"/>
    <s v="Impôt sur les successions"/>
    <n v="0"/>
    <n v="101975.7"/>
    <n v="4051"/>
  </r>
  <r>
    <x v="0"/>
    <x v="5"/>
    <x v="1"/>
    <x v="70"/>
    <x v="63"/>
    <x v="63"/>
    <s v="REVENUS"/>
    <x v="2"/>
    <s v="4001.001"/>
    <s v="Impôt revenu"/>
    <n v="0"/>
    <n v="1411.95"/>
    <n v="4001"/>
  </r>
  <r>
    <x v="0"/>
    <x v="5"/>
    <x v="1"/>
    <x v="70"/>
    <x v="63"/>
    <x v="63"/>
    <s v="REVENUS"/>
    <x v="3"/>
    <s v="4002.001"/>
    <s v="Impôt ordinaire s/fortune PP"/>
    <n v="0"/>
    <n v="349.45"/>
    <n v="4002"/>
  </r>
  <r>
    <x v="0"/>
    <x v="5"/>
    <x v="1"/>
    <x v="70"/>
    <x v="63"/>
    <x v="63"/>
    <s v="REVENUS"/>
    <x v="6"/>
    <s v="4221.003"/>
    <s v="Intérêts compensat. / acomptes en faveur du fisc"/>
    <n v="0"/>
    <n v="0.09"/>
    <n v="4221"/>
  </r>
  <r>
    <x v="0"/>
    <x v="5"/>
    <x v="1"/>
    <x v="70"/>
    <x v="63"/>
    <x v="63"/>
    <s v="REVENUS"/>
    <x v="2"/>
    <s v="4001.003"/>
    <s v="Impôt s/prest. cap. PP"/>
    <n v="0"/>
    <n v="-297.95"/>
    <n v="4001"/>
  </r>
  <r>
    <x v="0"/>
    <x v="5"/>
    <x v="1"/>
    <x v="70"/>
    <x v="63"/>
    <x v="63"/>
    <s v="REVENUS"/>
    <x v="6"/>
    <s v="4211.002"/>
    <s v="Intérêts de retard sur acomptes"/>
    <n v="0"/>
    <n v="-0.62"/>
    <n v="4211"/>
  </r>
  <r>
    <x v="0"/>
    <x v="5"/>
    <x v="1"/>
    <x v="71"/>
    <x v="64"/>
    <x v="64"/>
    <s v="CHARGES"/>
    <x v="0"/>
    <s v="3212.002"/>
    <s v="Intérêts bonifiés/trop perçu acompte C/C"/>
    <n v="0.25"/>
    <n v="0"/>
    <n v="3212"/>
  </r>
  <r>
    <x v="0"/>
    <x v="5"/>
    <x v="1"/>
    <x v="71"/>
    <x v="64"/>
    <x v="64"/>
    <s v="CHARGES"/>
    <x v="0"/>
    <s v="3212.004"/>
    <s v="Intérêts rémun./perçu trop tôt sur acomptes C/C"/>
    <n v="69.27"/>
    <n v="0"/>
    <n v="3212"/>
  </r>
  <r>
    <x v="0"/>
    <x v="5"/>
    <x v="1"/>
    <x v="71"/>
    <x v="64"/>
    <x v="64"/>
    <s v="CHARGES"/>
    <x v="1"/>
    <s v="3301.001"/>
    <s v="Défalcations, abandons de solde PP et IS"/>
    <n v="32272.36"/>
    <n v="0"/>
    <n v="3301"/>
  </r>
  <r>
    <x v="0"/>
    <x v="5"/>
    <x v="1"/>
    <x v="71"/>
    <x v="64"/>
    <x v="64"/>
    <s v="CHARGES"/>
    <x v="0"/>
    <s v="3221.002"/>
    <s v="Intérêts compensatoires / créances en faveur ctb."/>
    <n v="32.94"/>
    <n v="0"/>
    <n v="3221"/>
  </r>
  <r>
    <x v="0"/>
    <x v="5"/>
    <x v="1"/>
    <x v="71"/>
    <x v="64"/>
    <x v="64"/>
    <s v="CHARGES"/>
    <x v="0"/>
    <s v="3212.002"/>
    <s v="Intérêts bonifiés/trop perçu acompte C/C"/>
    <n v="0.05"/>
    <n v="0"/>
    <n v="3212"/>
  </r>
  <r>
    <x v="0"/>
    <x v="5"/>
    <x v="1"/>
    <x v="71"/>
    <x v="64"/>
    <x v="64"/>
    <s v="CHARGES"/>
    <x v="0"/>
    <s v="3221.002"/>
    <s v="Intérêts compensatoires / créances en faveur ctb."/>
    <n v="0.01"/>
    <n v="0"/>
    <n v="3221"/>
  </r>
  <r>
    <x v="0"/>
    <x v="5"/>
    <x v="1"/>
    <x v="71"/>
    <x v="64"/>
    <x v="64"/>
    <s v="CHARGES"/>
    <x v="0"/>
    <s v="3212.004"/>
    <s v="Intérêts rémun./perçu trop tôt sur acomptes C/C"/>
    <n v="-0.02"/>
    <n v="0"/>
    <n v="3212"/>
  </r>
  <r>
    <x v="0"/>
    <x v="5"/>
    <x v="1"/>
    <x v="71"/>
    <x v="64"/>
    <x v="64"/>
    <s v="CHARGES"/>
    <x v="1"/>
    <s v="3301.001"/>
    <s v="Défalcations, abandons de solde PP et IS"/>
    <n v="42.5"/>
    <n v="0"/>
    <n v="3301"/>
  </r>
  <r>
    <x v="0"/>
    <x v="5"/>
    <x v="1"/>
    <x v="71"/>
    <x v="64"/>
    <x v="64"/>
    <s v="REVENUS"/>
    <x v="2"/>
    <s v="4001.001"/>
    <s v="Impôt revenu"/>
    <n v="0"/>
    <n v="433207.6"/>
    <n v="4001"/>
  </r>
  <r>
    <x v="0"/>
    <x v="5"/>
    <x v="1"/>
    <x v="71"/>
    <x v="64"/>
    <x v="64"/>
    <s v="REVENUS"/>
    <x v="6"/>
    <s v="4211.002"/>
    <s v="Intérêts de retard sur acomptes"/>
    <n v="0"/>
    <n v="5042.09"/>
    <n v="4211"/>
  </r>
  <r>
    <x v="0"/>
    <x v="5"/>
    <x v="1"/>
    <x v="71"/>
    <x v="64"/>
    <x v="64"/>
    <s v="REVENUS"/>
    <x v="6"/>
    <s v="4221.003"/>
    <s v="Intérêts compensat. / acomptes en faveur du fisc"/>
    <n v="0"/>
    <n v="41.5"/>
    <n v="4221"/>
  </r>
  <r>
    <x v="0"/>
    <x v="5"/>
    <x v="1"/>
    <x v="71"/>
    <x v="64"/>
    <x v="64"/>
    <s v="REVENUS"/>
    <x v="2"/>
    <s v="4001.007"/>
    <s v="Acompte impôt sur revenu"/>
    <n v="0"/>
    <n v="-93923.93"/>
    <n v="4001"/>
  </r>
  <r>
    <x v="0"/>
    <x v="5"/>
    <x v="1"/>
    <x v="71"/>
    <x v="64"/>
    <x v="64"/>
    <s v="REVENUS"/>
    <x v="3"/>
    <s v="4002.007"/>
    <s v="Acompte impôt sur fortune"/>
    <n v="0"/>
    <n v="-31569.01"/>
    <n v="4002"/>
  </r>
  <r>
    <x v="0"/>
    <x v="5"/>
    <x v="1"/>
    <x v="71"/>
    <x v="64"/>
    <x v="64"/>
    <s v="REVENUS"/>
    <x v="2"/>
    <s v="4001.003"/>
    <s v="Impôt s/prest. cap. PP"/>
    <n v="0"/>
    <n v="58890.55"/>
    <n v="4001"/>
  </r>
  <r>
    <x v="0"/>
    <x v="5"/>
    <x v="1"/>
    <x v="71"/>
    <x v="64"/>
    <x v="64"/>
    <s v="REVENUS"/>
    <x v="2"/>
    <s v="4001.007"/>
    <s v="Acompte impôt sur revenu"/>
    <n v="0"/>
    <n v="45531.99"/>
    <n v="4001"/>
  </r>
  <r>
    <x v="0"/>
    <x v="5"/>
    <x v="1"/>
    <x v="71"/>
    <x v="64"/>
    <x v="64"/>
    <s v="REVENUS"/>
    <x v="3"/>
    <s v="4002.001"/>
    <s v="Impôt ordinaire s/fortune PP"/>
    <n v="0"/>
    <n v="71910.5"/>
    <n v="4002"/>
  </r>
  <r>
    <x v="0"/>
    <x v="5"/>
    <x v="1"/>
    <x v="71"/>
    <x v="64"/>
    <x v="64"/>
    <s v="REVENUS"/>
    <x v="3"/>
    <s v="4002.007"/>
    <s v="Acompte impôt sur fortune"/>
    <n v="0"/>
    <n v="32221.52"/>
    <n v="4002"/>
  </r>
  <r>
    <x v="0"/>
    <x v="5"/>
    <x v="1"/>
    <x v="71"/>
    <x v="64"/>
    <x v="64"/>
    <s v="REVENUS"/>
    <x v="7"/>
    <s v="4184.000"/>
    <s v="Frais de poursuite"/>
    <n v="0"/>
    <n v="468.1"/>
    <n v="4184"/>
  </r>
  <r>
    <x v="0"/>
    <x v="5"/>
    <x v="1"/>
    <x v="71"/>
    <x v="64"/>
    <x v="64"/>
    <s v="REVENUS"/>
    <x v="10"/>
    <s v="4041.001"/>
    <s v="Droits de mutation"/>
    <n v="0"/>
    <n v="14527.45"/>
    <n v="4041"/>
  </r>
  <r>
    <x v="0"/>
    <x v="5"/>
    <x v="1"/>
    <x v="71"/>
    <x v="64"/>
    <x v="64"/>
    <s v="REVENUS"/>
    <x v="6"/>
    <s v="4211.001"/>
    <s v="Intérêts de retard sur factures"/>
    <n v="0"/>
    <n v="2660.29"/>
    <n v="4211"/>
  </r>
  <r>
    <x v="0"/>
    <x v="5"/>
    <x v="1"/>
    <x v="71"/>
    <x v="64"/>
    <x v="64"/>
    <s v="REVENUS"/>
    <x v="2"/>
    <s v="4001.002"/>
    <s v="Impôt complément s/revenu PP"/>
    <n v="0"/>
    <n v="95515.75"/>
    <n v="4001"/>
  </r>
  <r>
    <x v="0"/>
    <x v="5"/>
    <x v="1"/>
    <x v="71"/>
    <x v="64"/>
    <x v="64"/>
    <s v="REVENUS"/>
    <x v="3"/>
    <s v="4002.002"/>
    <s v="Impôt complémentaire s/fortune PP"/>
    <n v="0"/>
    <n v="21682.45"/>
    <n v="4002"/>
  </r>
  <r>
    <x v="0"/>
    <x v="5"/>
    <x v="1"/>
    <x v="71"/>
    <x v="64"/>
    <x v="64"/>
    <s v="REVENUS"/>
    <x v="2"/>
    <s v="4001.001"/>
    <s v="Impôt revenu"/>
    <n v="0"/>
    <n v="126.2"/>
    <n v="4001"/>
  </r>
  <r>
    <x v="0"/>
    <x v="5"/>
    <x v="1"/>
    <x v="71"/>
    <x v="64"/>
    <x v="64"/>
    <s v="REVENUS"/>
    <x v="3"/>
    <s v="4002.001"/>
    <s v="Impôt ordinaire s/fortune PP"/>
    <n v="0"/>
    <n v="1079.8"/>
    <n v="4002"/>
  </r>
  <r>
    <x v="0"/>
    <x v="5"/>
    <x v="1"/>
    <x v="71"/>
    <x v="64"/>
    <x v="64"/>
    <s v="REVENUS"/>
    <x v="3"/>
    <s v="4002.007"/>
    <s v="Acompte impôt sur fortune"/>
    <n v="0"/>
    <n v="-2.1"/>
    <n v="4002"/>
  </r>
  <r>
    <x v="0"/>
    <x v="5"/>
    <x v="1"/>
    <x v="71"/>
    <x v="64"/>
    <x v="64"/>
    <s v="REVENUS"/>
    <x v="6"/>
    <s v="4221.002"/>
    <s v="Intérêts compensat. sur impôts distincts"/>
    <n v="0"/>
    <n v="5.73"/>
    <n v="4221"/>
  </r>
  <r>
    <x v="0"/>
    <x v="5"/>
    <x v="1"/>
    <x v="71"/>
    <x v="64"/>
    <x v="64"/>
    <s v="REVENUS"/>
    <x v="8"/>
    <s v="4091.001"/>
    <s v="Impôt récupéré après défalcations"/>
    <n v="0"/>
    <n v="2012.25"/>
    <n v="4091"/>
  </r>
  <r>
    <x v="0"/>
    <x v="5"/>
    <x v="1"/>
    <x v="71"/>
    <x v="64"/>
    <x v="64"/>
    <s v="REVENUS"/>
    <x v="2"/>
    <s v="4001.001"/>
    <s v="Impôt revenu"/>
    <n v="0"/>
    <n v="-31392.7"/>
    <n v="4001"/>
  </r>
  <r>
    <x v="0"/>
    <x v="5"/>
    <x v="1"/>
    <x v="71"/>
    <x v="64"/>
    <x v="64"/>
    <s v="REVENUS"/>
    <x v="2"/>
    <s v="4001.002"/>
    <s v="Impôt complément s/revenu PP"/>
    <n v="0"/>
    <n v="-3603"/>
    <n v="4001"/>
  </r>
  <r>
    <x v="0"/>
    <x v="5"/>
    <x v="1"/>
    <x v="71"/>
    <x v="64"/>
    <x v="64"/>
    <s v="REVENUS"/>
    <x v="3"/>
    <s v="4002.001"/>
    <s v="Impôt ordinaire s/fortune PP"/>
    <n v="0"/>
    <n v="-7639.55"/>
    <n v="4002"/>
  </r>
  <r>
    <x v="0"/>
    <x v="5"/>
    <x v="1"/>
    <x v="71"/>
    <x v="64"/>
    <x v="64"/>
    <s v="REVENUS"/>
    <x v="3"/>
    <s v="4002.002"/>
    <s v="Impôt complémentaire s/fortune PP"/>
    <n v="0"/>
    <n v="-580.29999999999995"/>
    <n v="4002"/>
  </r>
  <r>
    <x v="0"/>
    <x v="5"/>
    <x v="1"/>
    <x v="71"/>
    <x v="64"/>
    <x v="64"/>
    <s v="REVENUS"/>
    <x v="6"/>
    <s v="4211.001"/>
    <s v="Intérêts de retard sur factures"/>
    <n v="0"/>
    <n v="2.99"/>
    <n v="4211"/>
  </r>
  <r>
    <x v="0"/>
    <x v="5"/>
    <x v="1"/>
    <x v="71"/>
    <x v="64"/>
    <x v="64"/>
    <s v="REVENUS"/>
    <x v="6"/>
    <s v="4211.002"/>
    <s v="Intérêts de retard sur acomptes"/>
    <n v="0"/>
    <n v="8.66"/>
    <n v="4211"/>
  </r>
  <r>
    <x v="0"/>
    <x v="5"/>
    <x v="1"/>
    <x v="71"/>
    <x v="64"/>
    <x v="64"/>
    <s v="REVENUS"/>
    <x v="6"/>
    <s v="4221.003"/>
    <s v="Intérêts compensat. / acomptes en faveur du fisc"/>
    <n v="0"/>
    <n v="0.88"/>
    <n v="4221"/>
  </r>
  <r>
    <x v="0"/>
    <x v="5"/>
    <x v="1"/>
    <x v="71"/>
    <x v="64"/>
    <x v="64"/>
    <s v="REVENUS"/>
    <x v="2"/>
    <s v="4001.003"/>
    <s v="Impôt s/prest. cap. PP"/>
    <n v="0"/>
    <n v="-64189.4"/>
    <n v="4001"/>
  </r>
  <r>
    <x v="0"/>
    <x v="5"/>
    <x v="1"/>
    <x v="71"/>
    <x v="64"/>
    <x v="64"/>
    <s v="REVENUS"/>
    <x v="5"/>
    <s v="4061.000"/>
    <s v="Impôt sur les chiens"/>
    <n v="0"/>
    <n v="1150"/>
    <n v="4061"/>
  </r>
  <r>
    <x v="0"/>
    <x v="5"/>
    <x v="1"/>
    <x v="71"/>
    <x v="64"/>
    <x v="64"/>
    <s v="REVENUS"/>
    <x v="9"/>
    <s v="4031.001"/>
    <s v="Impôt sur les gains immobiliers"/>
    <n v="0"/>
    <n v="13159.1"/>
    <n v="4031"/>
  </r>
  <r>
    <x v="0"/>
    <x v="5"/>
    <x v="1"/>
    <x v="71"/>
    <x v="64"/>
    <x v="64"/>
    <s v="REVENUS"/>
    <x v="11"/>
    <s v="4198.000"/>
    <s v="Contributions communales"/>
    <n v="0"/>
    <n v="49027.199999999997"/>
    <n v="4198"/>
  </r>
  <r>
    <x v="0"/>
    <x v="4"/>
    <x v="4"/>
    <x v="72"/>
    <x v="65"/>
    <x v="65"/>
    <s v="CHARGES"/>
    <x v="1"/>
    <s v="3301.001"/>
    <s v="Défalcations, abandons de solde PP et IS"/>
    <n v="14516.85"/>
    <n v="0"/>
    <n v="3301"/>
  </r>
  <r>
    <x v="0"/>
    <x v="4"/>
    <x v="4"/>
    <x v="72"/>
    <x v="65"/>
    <x v="65"/>
    <s v="CHARGES"/>
    <x v="0"/>
    <s v="3212.004"/>
    <s v="Intérêts rémun./perçu trop tôt sur acomptes C/C"/>
    <n v="452.27"/>
    <n v="0"/>
    <n v="3212"/>
  </r>
  <r>
    <x v="0"/>
    <x v="4"/>
    <x v="4"/>
    <x v="72"/>
    <x v="65"/>
    <x v="65"/>
    <s v="CHARGES"/>
    <x v="0"/>
    <s v="3221.002"/>
    <s v="Intérêts compensatoires / créances en faveur ctb."/>
    <n v="254.55"/>
    <n v="0"/>
    <n v="3221"/>
  </r>
  <r>
    <x v="0"/>
    <x v="4"/>
    <x v="4"/>
    <x v="72"/>
    <x v="65"/>
    <x v="65"/>
    <s v="CHARGES"/>
    <x v="0"/>
    <s v="3212.004"/>
    <s v="Intérêts rémun./perçu trop tôt sur acomptes C/C"/>
    <n v="4.1500000000000004"/>
    <n v="0"/>
    <n v="3212"/>
  </r>
  <r>
    <x v="0"/>
    <x v="4"/>
    <x v="4"/>
    <x v="72"/>
    <x v="65"/>
    <x v="65"/>
    <s v="CHARGES"/>
    <x v="0"/>
    <s v="3221.002"/>
    <s v="Intérêts compensatoires / créances en faveur ctb."/>
    <n v="1.1599999999999999"/>
    <n v="0"/>
    <n v="3221"/>
  </r>
  <r>
    <x v="0"/>
    <x v="4"/>
    <x v="4"/>
    <x v="72"/>
    <x v="65"/>
    <x v="65"/>
    <s v="CHARGES"/>
    <x v="1"/>
    <s v="3301.001"/>
    <s v="Défalcations, abandons de solde PP et IS"/>
    <n v="0.01"/>
    <n v="0"/>
    <n v="3301"/>
  </r>
  <r>
    <x v="0"/>
    <x v="4"/>
    <x v="4"/>
    <x v="72"/>
    <x v="65"/>
    <x v="65"/>
    <s v="CHARGES"/>
    <x v="0"/>
    <s v="3212.002"/>
    <s v="Intérêts bonifiés/trop perçu acompte C/C"/>
    <n v="10.68"/>
    <n v="0"/>
    <n v="3212"/>
  </r>
  <r>
    <x v="0"/>
    <x v="4"/>
    <x v="4"/>
    <x v="72"/>
    <x v="65"/>
    <x v="65"/>
    <s v="CHARGES"/>
    <x v="0"/>
    <s v="3221.002"/>
    <s v="Intérêts compensatoires / créances en faveur ctb."/>
    <n v="0.01"/>
    <n v="0"/>
    <n v="3221"/>
  </r>
  <r>
    <x v="0"/>
    <x v="4"/>
    <x v="4"/>
    <x v="72"/>
    <x v="65"/>
    <x v="65"/>
    <s v="CHARGES"/>
    <x v="0"/>
    <s v="3212.004"/>
    <s v="Intérêts rémun./perçu trop tôt sur acomptes C/C"/>
    <n v="0.04"/>
    <n v="0"/>
    <n v="3212"/>
  </r>
  <r>
    <x v="0"/>
    <x v="4"/>
    <x v="4"/>
    <x v="72"/>
    <x v="65"/>
    <x v="65"/>
    <s v="CHARGES"/>
    <x v="0"/>
    <s v="3221.002"/>
    <s v="Intérêts compensatoires / créances en faveur ctb."/>
    <n v="0.31"/>
    <n v="0"/>
    <n v="3221"/>
  </r>
  <r>
    <x v="0"/>
    <x v="4"/>
    <x v="4"/>
    <x v="72"/>
    <x v="65"/>
    <x v="65"/>
    <s v="CHARGES"/>
    <x v="1"/>
    <s v="3301.001"/>
    <s v="Défalcations, abandons de solde PP et IS"/>
    <n v="3577.84"/>
    <n v="0"/>
    <n v="3301"/>
  </r>
  <r>
    <x v="0"/>
    <x v="4"/>
    <x v="4"/>
    <x v="72"/>
    <x v="65"/>
    <x v="65"/>
    <s v="CHARGES"/>
    <x v="1"/>
    <s v="3301.001"/>
    <s v="Défalcations, abandons de solde PP et IS"/>
    <n v="0.47"/>
    <n v="0"/>
    <n v="3301"/>
  </r>
  <r>
    <x v="0"/>
    <x v="4"/>
    <x v="4"/>
    <x v="72"/>
    <x v="65"/>
    <x v="65"/>
    <s v="CHARGES"/>
    <x v="1"/>
    <s v="3301.001"/>
    <s v="Défalcations, abandons de solde PP et IS"/>
    <n v="0.02"/>
    <n v="0"/>
    <n v="3301"/>
  </r>
  <r>
    <x v="0"/>
    <x v="4"/>
    <x v="4"/>
    <x v="72"/>
    <x v="65"/>
    <x v="65"/>
    <s v="CHARGES"/>
    <x v="1"/>
    <s v="3301.001"/>
    <s v="Défalcations, abandons de solde PP et IS"/>
    <n v="3359.25"/>
    <n v="0"/>
    <n v="3301"/>
  </r>
  <r>
    <x v="0"/>
    <x v="4"/>
    <x v="4"/>
    <x v="72"/>
    <x v="65"/>
    <x v="65"/>
    <s v="CHARGES"/>
    <x v="0"/>
    <s v="3212.004"/>
    <s v="Intérêts rémun./perçu trop tôt sur acomptes C/C"/>
    <n v="0.23"/>
    <n v="0"/>
    <n v="3212"/>
  </r>
  <r>
    <x v="0"/>
    <x v="4"/>
    <x v="4"/>
    <x v="72"/>
    <x v="65"/>
    <x v="65"/>
    <s v="CHARGES"/>
    <x v="0"/>
    <s v="3221.002"/>
    <s v="Intérêts compensatoires / créances en faveur ctb."/>
    <n v="0.02"/>
    <n v="0"/>
    <n v="3221"/>
  </r>
  <r>
    <x v="0"/>
    <x v="4"/>
    <x v="4"/>
    <x v="72"/>
    <x v="65"/>
    <x v="65"/>
    <s v="CHARGES"/>
    <x v="0"/>
    <s v="3212.004"/>
    <s v="Intérêts rémun./perçu trop tôt sur acomptes C/C"/>
    <n v="0.03"/>
    <n v="0"/>
    <n v="3212"/>
  </r>
  <r>
    <x v="0"/>
    <x v="4"/>
    <x v="4"/>
    <x v="72"/>
    <x v="65"/>
    <x v="65"/>
    <s v="REVENUS"/>
    <x v="6"/>
    <s v="4211.001"/>
    <s v="Intérêts de retard sur factures"/>
    <n v="0"/>
    <n v="5934.67"/>
    <n v="4211"/>
  </r>
  <r>
    <x v="0"/>
    <x v="4"/>
    <x v="4"/>
    <x v="72"/>
    <x v="65"/>
    <x v="65"/>
    <s v="REVENUS"/>
    <x v="3"/>
    <s v="4002.007"/>
    <s v="Acompte impôt sur fortune"/>
    <n v="0"/>
    <n v="-56.19"/>
    <n v="4002"/>
  </r>
  <r>
    <x v="0"/>
    <x v="4"/>
    <x v="4"/>
    <x v="72"/>
    <x v="65"/>
    <x v="65"/>
    <s v="REVENUS"/>
    <x v="2"/>
    <s v="4001.007"/>
    <s v="Acompte impôt sur revenu"/>
    <n v="0"/>
    <n v="-328871.52"/>
    <n v="4001"/>
  </r>
  <r>
    <x v="0"/>
    <x v="4"/>
    <x v="4"/>
    <x v="72"/>
    <x v="65"/>
    <x v="65"/>
    <s v="REVENUS"/>
    <x v="3"/>
    <s v="4002.007"/>
    <s v="Acompte impôt sur fortune"/>
    <n v="0"/>
    <n v="175887.01"/>
    <n v="4002"/>
  </r>
  <r>
    <x v="0"/>
    <x v="4"/>
    <x v="4"/>
    <x v="72"/>
    <x v="65"/>
    <x v="65"/>
    <s v="REVENUS"/>
    <x v="7"/>
    <s v="4184.000"/>
    <s v="Frais de poursuite"/>
    <n v="0"/>
    <n v="668.98"/>
    <n v="4184"/>
  </r>
  <r>
    <x v="0"/>
    <x v="4"/>
    <x v="4"/>
    <x v="72"/>
    <x v="65"/>
    <x v="65"/>
    <s v="REVENUS"/>
    <x v="2"/>
    <s v="4001.001"/>
    <s v="Impôt revenu"/>
    <n v="0"/>
    <n v="6095.6"/>
    <n v="4001"/>
  </r>
  <r>
    <x v="0"/>
    <x v="4"/>
    <x v="4"/>
    <x v="72"/>
    <x v="65"/>
    <x v="65"/>
    <s v="REVENUS"/>
    <x v="2"/>
    <s v="4001.007"/>
    <s v="Acompte impôt sur revenu"/>
    <n v="0"/>
    <n v="-1044.0899999999999"/>
    <n v="4001"/>
  </r>
  <r>
    <x v="0"/>
    <x v="4"/>
    <x v="4"/>
    <x v="72"/>
    <x v="65"/>
    <x v="65"/>
    <s v="REVENUS"/>
    <x v="3"/>
    <s v="4002.001"/>
    <s v="Impôt ordinaire s/fortune PP"/>
    <n v="0"/>
    <n v="4752.1000000000004"/>
    <n v="4002"/>
  </r>
  <r>
    <x v="0"/>
    <x v="4"/>
    <x v="4"/>
    <x v="72"/>
    <x v="65"/>
    <x v="65"/>
    <s v="REVENUS"/>
    <x v="3"/>
    <s v="4002.007"/>
    <s v="Acompte impôt sur fortune"/>
    <n v="0"/>
    <n v="-160.25"/>
    <n v="4002"/>
  </r>
  <r>
    <x v="0"/>
    <x v="4"/>
    <x v="4"/>
    <x v="72"/>
    <x v="65"/>
    <x v="65"/>
    <s v="REVENUS"/>
    <x v="2"/>
    <s v="4001.001"/>
    <s v="Impôt revenu"/>
    <n v="0"/>
    <n v="2145129.7000000002"/>
    <n v="4001"/>
  </r>
  <r>
    <x v="0"/>
    <x v="4"/>
    <x v="4"/>
    <x v="72"/>
    <x v="65"/>
    <x v="65"/>
    <s v="REVENUS"/>
    <x v="3"/>
    <s v="4002.001"/>
    <s v="Impôt ordinaire s/fortune PP"/>
    <n v="0"/>
    <n v="317744.09999999998"/>
    <n v="4002"/>
  </r>
  <r>
    <x v="0"/>
    <x v="4"/>
    <x v="4"/>
    <x v="72"/>
    <x v="65"/>
    <x v="65"/>
    <s v="REVENUS"/>
    <x v="2"/>
    <s v="4001.003"/>
    <s v="Impôt s/prest. cap. PP"/>
    <n v="0"/>
    <n v="79693.05"/>
    <n v="4001"/>
  </r>
  <r>
    <x v="0"/>
    <x v="4"/>
    <x v="4"/>
    <x v="72"/>
    <x v="65"/>
    <x v="65"/>
    <s v="REVENUS"/>
    <x v="6"/>
    <s v="4211.002"/>
    <s v="Intérêts de retard sur acomptes"/>
    <n v="0"/>
    <n v="11231.93"/>
    <n v="4211"/>
  </r>
  <r>
    <x v="0"/>
    <x v="4"/>
    <x v="4"/>
    <x v="72"/>
    <x v="65"/>
    <x v="65"/>
    <s v="REVENUS"/>
    <x v="6"/>
    <s v="4221.003"/>
    <s v="Intérêts compensat. / acomptes en faveur du fisc"/>
    <n v="0"/>
    <n v="267.87"/>
    <n v="4221"/>
  </r>
  <r>
    <x v="0"/>
    <x v="4"/>
    <x v="4"/>
    <x v="72"/>
    <x v="65"/>
    <x v="65"/>
    <s v="REVENUS"/>
    <x v="6"/>
    <s v="4211.001"/>
    <s v="Intérêts de retard sur factures"/>
    <n v="0"/>
    <n v="21.07"/>
    <n v="4211"/>
  </r>
  <r>
    <x v="0"/>
    <x v="4"/>
    <x v="4"/>
    <x v="72"/>
    <x v="65"/>
    <x v="65"/>
    <s v="REVENUS"/>
    <x v="6"/>
    <s v="4211.001"/>
    <s v="Intérêts de retard sur factures"/>
    <n v="0"/>
    <n v="35.93"/>
    <n v="4211"/>
  </r>
  <r>
    <x v="0"/>
    <x v="4"/>
    <x v="4"/>
    <x v="72"/>
    <x v="65"/>
    <x v="65"/>
    <s v="REVENUS"/>
    <x v="6"/>
    <s v="4211.001"/>
    <s v="Intérêts de retard sur factures"/>
    <n v="0"/>
    <n v="0.09"/>
    <n v="4211"/>
  </r>
  <r>
    <x v="0"/>
    <x v="4"/>
    <x v="4"/>
    <x v="72"/>
    <x v="65"/>
    <x v="65"/>
    <s v="REVENUS"/>
    <x v="2"/>
    <s v="4001.007"/>
    <s v="Acompte impôt sur revenu"/>
    <n v="0"/>
    <n v="-3401.35"/>
    <n v="4001"/>
  </r>
  <r>
    <x v="0"/>
    <x v="4"/>
    <x v="4"/>
    <x v="72"/>
    <x v="65"/>
    <x v="65"/>
    <s v="REVENUS"/>
    <x v="2"/>
    <s v="4001.002"/>
    <s v="Impôt complément s/revenu PP"/>
    <n v="0"/>
    <n v="191261.05"/>
    <n v="4001"/>
  </r>
  <r>
    <x v="0"/>
    <x v="4"/>
    <x v="4"/>
    <x v="72"/>
    <x v="65"/>
    <x v="65"/>
    <s v="REVENUS"/>
    <x v="3"/>
    <s v="4002.002"/>
    <s v="Impôt complémentaire s/fortune PP"/>
    <n v="0"/>
    <n v="22214.3"/>
    <n v="4002"/>
  </r>
  <r>
    <x v="0"/>
    <x v="4"/>
    <x v="4"/>
    <x v="72"/>
    <x v="65"/>
    <x v="65"/>
    <s v="REVENUS"/>
    <x v="2"/>
    <s v="4001.007"/>
    <s v="Acompte impôt sur revenu"/>
    <n v="0"/>
    <n v="1287.75"/>
    <n v="4001"/>
  </r>
  <r>
    <x v="0"/>
    <x v="4"/>
    <x v="4"/>
    <x v="72"/>
    <x v="65"/>
    <x v="65"/>
    <s v="REVENUS"/>
    <x v="3"/>
    <s v="4002.007"/>
    <s v="Acompte impôt sur fortune"/>
    <n v="0"/>
    <n v="-123"/>
    <n v="4002"/>
  </r>
  <r>
    <x v="0"/>
    <x v="4"/>
    <x v="4"/>
    <x v="72"/>
    <x v="65"/>
    <x v="65"/>
    <s v="REVENUS"/>
    <x v="3"/>
    <s v="4002.001"/>
    <s v="Impôt ordinaire s/fortune PP"/>
    <n v="0"/>
    <n v="215.1"/>
    <n v="4002"/>
  </r>
  <r>
    <x v="0"/>
    <x v="4"/>
    <x v="4"/>
    <x v="72"/>
    <x v="65"/>
    <x v="65"/>
    <s v="REVENUS"/>
    <x v="3"/>
    <s v="4002.007"/>
    <s v="Acompte impôt sur fortune"/>
    <n v="0"/>
    <n v="-105.85"/>
    <n v="4002"/>
  </r>
  <r>
    <x v="0"/>
    <x v="4"/>
    <x v="4"/>
    <x v="72"/>
    <x v="65"/>
    <x v="65"/>
    <s v="REVENUS"/>
    <x v="2"/>
    <s v="4001.007"/>
    <s v="Acompte impôt sur revenu"/>
    <n v="0"/>
    <n v="-33.380000000000003"/>
    <n v="4001"/>
  </r>
  <r>
    <x v="0"/>
    <x v="4"/>
    <x v="4"/>
    <x v="72"/>
    <x v="65"/>
    <x v="65"/>
    <s v="REVENUS"/>
    <x v="6"/>
    <s v="4211.002"/>
    <s v="Intérêts de retard sur acomptes"/>
    <n v="0"/>
    <n v="2.99"/>
    <n v="4211"/>
  </r>
  <r>
    <x v="0"/>
    <x v="4"/>
    <x v="4"/>
    <x v="72"/>
    <x v="65"/>
    <x v="65"/>
    <s v="REVENUS"/>
    <x v="3"/>
    <s v="4002.001"/>
    <s v="Impôt ordinaire s/fortune PP"/>
    <n v="0"/>
    <n v="209.2"/>
    <n v="4002"/>
  </r>
  <r>
    <x v="0"/>
    <x v="4"/>
    <x v="4"/>
    <x v="72"/>
    <x v="65"/>
    <x v="65"/>
    <s v="REVENUS"/>
    <x v="3"/>
    <s v="4002.007"/>
    <s v="Acompte impôt sur fortune"/>
    <n v="0"/>
    <n v="1547.75"/>
    <n v="4002"/>
  </r>
  <r>
    <x v="0"/>
    <x v="4"/>
    <x v="4"/>
    <x v="72"/>
    <x v="65"/>
    <x v="65"/>
    <s v="REVENUS"/>
    <x v="3"/>
    <s v="4002.001"/>
    <s v="Impôt ordinaire s/fortune PP"/>
    <n v="0"/>
    <n v="24.8"/>
    <n v="4002"/>
  </r>
  <r>
    <x v="0"/>
    <x v="4"/>
    <x v="4"/>
    <x v="72"/>
    <x v="65"/>
    <x v="65"/>
    <s v="REVENUS"/>
    <x v="3"/>
    <s v="4002.002"/>
    <s v="Impôt complémentaire s/fortune PP"/>
    <n v="0"/>
    <n v="23.15"/>
    <n v="4002"/>
  </r>
  <r>
    <x v="0"/>
    <x v="4"/>
    <x v="4"/>
    <x v="72"/>
    <x v="65"/>
    <x v="65"/>
    <s v="REVENUS"/>
    <x v="6"/>
    <s v="4211.002"/>
    <s v="Intérêts de retard sur acomptes"/>
    <n v="0"/>
    <n v="1.1299999999999999"/>
    <n v="4211"/>
  </r>
  <r>
    <x v="0"/>
    <x v="4"/>
    <x v="4"/>
    <x v="72"/>
    <x v="65"/>
    <x v="65"/>
    <s v="REVENUS"/>
    <x v="2"/>
    <s v="4001.007"/>
    <s v="Acompte impôt sur revenu"/>
    <n v="0"/>
    <n v="607.29999999999995"/>
    <n v="4001"/>
  </r>
  <r>
    <x v="0"/>
    <x v="4"/>
    <x v="4"/>
    <x v="72"/>
    <x v="65"/>
    <x v="65"/>
    <s v="REVENUS"/>
    <x v="9"/>
    <s v="4031.001"/>
    <s v="Impôt sur les gains immobiliers"/>
    <n v="0"/>
    <n v="215513.60000000001"/>
    <n v="4031"/>
  </r>
  <r>
    <x v="0"/>
    <x v="4"/>
    <x v="4"/>
    <x v="72"/>
    <x v="65"/>
    <x v="65"/>
    <s v="REVENUS"/>
    <x v="6"/>
    <s v="4221.002"/>
    <s v="Intérêts compensat. sur impôts distincts"/>
    <n v="0"/>
    <n v="165.46"/>
    <n v="4221"/>
  </r>
  <r>
    <x v="0"/>
    <x v="4"/>
    <x v="4"/>
    <x v="72"/>
    <x v="65"/>
    <x v="65"/>
    <s v="REVENUS"/>
    <x v="10"/>
    <s v="4041.001"/>
    <s v="Droits de mutation"/>
    <n v="0"/>
    <n v="110325.65"/>
    <n v="4041"/>
  </r>
  <r>
    <x v="0"/>
    <x v="4"/>
    <x v="4"/>
    <x v="72"/>
    <x v="65"/>
    <x v="65"/>
    <s v="REVENUS"/>
    <x v="6"/>
    <s v="4211.002"/>
    <s v="Intérêts de retard sur acomptes"/>
    <n v="0"/>
    <n v="93.49"/>
    <n v="4211"/>
  </r>
  <r>
    <x v="0"/>
    <x v="4"/>
    <x v="4"/>
    <x v="72"/>
    <x v="65"/>
    <x v="65"/>
    <s v="REVENUS"/>
    <x v="8"/>
    <s v="4091.001"/>
    <s v="Impôt récupéré après défalcations"/>
    <n v="0"/>
    <n v="13114.19"/>
    <n v="4091"/>
  </r>
  <r>
    <x v="0"/>
    <x v="4"/>
    <x v="4"/>
    <x v="72"/>
    <x v="65"/>
    <x v="65"/>
    <s v="REVENUS"/>
    <x v="7"/>
    <s v="4184.000"/>
    <s v="Frais de poursuite"/>
    <n v="0"/>
    <n v="0.59"/>
    <n v="4184"/>
  </r>
  <r>
    <x v="0"/>
    <x v="4"/>
    <x v="4"/>
    <x v="72"/>
    <x v="65"/>
    <x v="65"/>
    <s v="REVENUS"/>
    <x v="6"/>
    <s v="4221.003"/>
    <s v="Intérêts compensat. / acomptes en faveur du fisc"/>
    <n v="0"/>
    <n v="1.81"/>
    <n v="4221"/>
  </r>
  <r>
    <x v="0"/>
    <x v="4"/>
    <x v="4"/>
    <x v="72"/>
    <x v="65"/>
    <x v="65"/>
    <s v="REVENUS"/>
    <x v="7"/>
    <s v="4184.000"/>
    <s v="Frais de poursuite"/>
    <n v="0"/>
    <n v="7.73"/>
    <n v="4184"/>
  </r>
  <r>
    <x v="0"/>
    <x v="4"/>
    <x v="4"/>
    <x v="72"/>
    <x v="65"/>
    <x v="65"/>
    <s v="REVENUS"/>
    <x v="3"/>
    <s v="4002.002"/>
    <s v="Impôt complémentaire s/fortune PP"/>
    <n v="0"/>
    <n v="336.7"/>
    <n v="4002"/>
  </r>
  <r>
    <x v="0"/>
    <x v="4"/>
    <x v="4"/>
    <x v="72"/>
    <x v="65"/>
    <x v="65"/>
    <s v="REVENUS"/>
    <x v="2"/>
    <s v="4001.001"/>
    <s v="Impôt revenu"/>
    <n v="0"/>
    <n v="1407.45"/>
    <n v="4001"/>
  </r>
  <r>
    <x v="0"/>
    <x v="4"/>
    <x v="4"/>
    <x v="72"/>
    <x v="65"/>
    <x v="65"/>
    <s v="REVENUS"/>
    <x v="6"/>
    <s v="4221.003"/>
    <s v="Intérêts compensat. / acomptes en faveur du fisc"/>
    <n v="0"/>
    <n v="0.02"/>
    <n v="4221"/>
  </r>
  <r>
    <x v="0"/>
    <x v="4"/>
    <x v="4"/>
    <x v="72"/>
    <x v="65"/>
    <x v="65"/>
    <s v="REVENUS"/>
    <x v="7"/>
    <s v="4184.000"/>
    <s v="Frais de poursuite"/>
    <n v="0"/>
    <n v="462.61"/>
    <n v="4184"/>
  </r>
  <r>
    <x v="0"/>
    <x v="4"/>
    <x v="4"/>
    <x v="72"/>
    <x v="65"/>
    <x v="65"/>
    <s v="REVENUS"/>
    <x v="5"/>
    <s v="4061.000"/>
    <s v="Impôt sur les chiens"/>
    <n v="0"/>
    <n v="4125"/>
    <n v="4061"/>
  </r>
  <r>
    <x v="0"/>
    <x v="4"/>
    <x v="4"/>
    <x v="72"/>
    <x v="65"/>
    <x v="65"/>
    <s v="REVENUS"/>
    <x v="6"/>
    <s v="4211.001"/>
    <s v="Intérêts de retard sur factures"/>
    <n v="0"/>
    <n v="1.47"/>
    <n v="4211"/>
  </r>
  <r>
    <x v="0"/>
    <x v="4"/>
    <x v="4"/>
    <x v="72"/>
    <x v="65"/>
    <x v="65"/>
    <s v="REVENUS"/>
    <x v="10"/>
    <s v="4041.002"/>
    <s v="Complément droit de mutation"/>
    <n v="0"/>
    <n v="2970"/>
    <n v="4041"/>
  </r>
  <r>
    <x v="0"/>
    <x v="4"/>
    <x v="4"/>
    <x v="72"/>
    <x v="65"/>
    <x v="65"/>
    <s v="REVENUS"/>
    <x v="12"/>
    <s v="4004.007"/>
    <s v="Acompte spécial étrangers"/>
    <n v="0"/>
    <n v="-76949.3"/>
    <n v="4004"/>
  </r>
  <r>
    <x v="0"/>
    <x v="4"/>
    <x v="4"/>
    <x v="72"/>
    <x v="65"/>
    <x v="65"/>
    <s v="REVENUS"/>
    <x v="3"/>
    <s v="4002.001"/>
    <s v="Impôt ordinaire s/fortune PP"/>
    <n v="0"/>
    <n v="446.15"/>
    <n v="4002"/>
  </r>
  <r>
    <x v="0"/>
    <x v="4"/>
    <x v="4"/>
    <x v="72"/>
    <x v="65"/>
    <x v="65"/>
    <s v="REVENUS"/>
    <x v="4"/>
    <s v="4051.001"/>
    <s v="Impôt sur les successions"/>
    <n v="0"/>
    <n v="5953750.5999999996"/>
    <n v="4051"/>
  </r>
  <r>
    <x v="0"/>
    <x v="4"/>
    <x v="4"/>
    <x v="72"/>
    <x v="65"/>
    <x v="65"/>
    <s v="REVENUS"/>
    <x v="2"/>
    <s v="4001.001"/>
    <s v="Impôt revenu"/>
    <n v="0"/>
    <n v="186.15"/>
    <n v="4001"/>
  </r>
  <r>
    <x v="0"/>
    <x v="4"/>
    <x v="4"/>
    <x v="72"/>
    <x v="65"/>
    <x v="65"/>
    <s v="REVENUS"/>
    <x v="6"/>
    <s v="4221.003"/>
    <s v="Intérêts compensat. / acomptes en faveur du fisc"/>
    <n v="0"/>
    <n v="0.01"/>
    <n v="4221"/>
  </r>
  <r>
    <x v="0"/>
    <x v="4"/>
    <x v="4"/>
    <x v="72"/>
    <x v="65"/>
    <x v="65"/>
    <s v="REVENUS"/>
    <x v="3"/>
    <s v="4002.007"/>
    <s v="Acompte impôt sur fortune"/>
    <n v="0"/>
    <n v="-288.60000000000002"/>
    <n v="4002"/>
  </r>
  <r>
    <x v="0"/>
    <x v="4"/>
    <x v="4"/>
    <x v="72"/>
    <x v="65"/>
    <x v="65"/>
    <s v="REVENUS"/>
    <x v="3"/>
    <s v="4002.002"/>
    <s v="Impôt complémentaire s/fortune PP"/>
    <n v="0"/>
    <n v="1482.3"/>
    <n v="4002"/>
  </r>
  <r>
    <x v="0"/>
    <x v="4"/>
    <x v="4"/>
    <x v="72"/>
    <x v="65"/>
    <x v="65"/>
    <s v="REVENUS"/>
    <x v="3"/>
    <s v="4002.001"/>
    <s v="Impôt ordinaire s/fortune PP"/>
    <n v="0"/>
    <n v="-1201.9000000000001"/>
    <n v="4002"/>
  </r>
  <r>
    <x v="0"/>
    <x v="4"/>
    <x v="4"/>
    <x v="72"/>
    <x v="65"/>
    <x v="65"/>
    <s v="REVENUS"/>
    <x v="8"/>
    <s v="4091.001"/>
    <s v="Impôt récupéré après défalcations"/>
    <n v="0"/>
    <n v="1846"/>
    <n v="4091"/>
  </r>
  <r>
    <x v="0"/>
    <x v="4"/>
    <x v="4"/>
    <x v="72"/>
    <x v="65"/>
    <x v="65"/>
    <s v="REVENUS"/>
    <x v="2"/>
    <s v="4001.001"/>
    <s v="Impôt revenu"/>
    <n v="0"/>
    <n v="409.2"/>
    <n v="4001"/>
  </r>
  <r>
    <x v="0"/>
    <x v="4"/>
    <x v="4"/>
    <x v="72"/>
    <x v="65"/>
    <x v="65"/>
    <s v="REVENUS"/>
    <x v="8"/>
    <s v="4091.001"/>
    <s v="Impôt récupéré après défalcations"/>
    <n v="0"/>
    <n v="445"/>
    <n v="4091"/>
  </r>
  <r>
    <x v="0"/>
    <x v="4"/>
    <x v="4"/>
    <x v="72"/>
    <x v="65"/>
    <x v="65"/>
    <s v="REVENUS"/>
    <x v="11"/>
    <s v="4198.000"/>
    <s v="Contributions communales"/>
    <n v="0"/>
    <n v="218666.35"/>
    <n v="4198"/>
  </r>
  <r>
    <x v="0"/>
    <x v="4"/>
    <x v="4"/>
    <x v="72"/>
    <x v="65"/>
    <x v="65"/>
    <s v="REVENUS"/>
    <x v="6"/>
    <s v="4211.001"/>
    <s v="Intérêts de retard sur factures"/>
    <n v="0"/>
    <n v="0.08"/>
    <n v="4211"/>
  </r>
  <r>
    <x v="0"/>
    <x v="4"/>
    <x v="4"/>
    <x v="72"/>
    <x v="65"/>
    <x v="65"/>
    <s v="REVENUS"/>
    <x v="4"/>
    <s v="4051.002"/>
    <s v="Impôt sur les donations"/>
    <n v="0"/>
    <n v="2623.4"/>
    <n v="4051"/>
  </r>
  <r>
    <x v="0"/>
    <x v="4"/>
    <x v="4"/>
    <x v="72"/>
    <x v="65"/>
    <x v="65"/>
    <s v="REVENUS"/>
    <x v="2"/>
    <s v="4001.001"/>
    <s v="Impôt revenu"/>
    <n v="0"/>
    <n v="38.700000000000003"/>
    <n v="4001"/>
  </r>
  <r>
    <x v="0"/>
    <x v="4"/>
    <x v="4"/>
    <x v="72"/>
    <x v="65"/>
    <x v="65"/>
    <s v="REVENUS"/>
    <x v="2"/>
    <s v="4001.003"/>
    <s v="Impôt s/prest. cap. PP"/>
    <n v="0"/>
    <n v="817.3"/>
    <n v="4001"/>
  </r>
  <r>
    <x v="0"/>
    <x v="4"/>
    <x v="4"/>
    <x v="73"/>
    <x v="66"/>
    <x v="66"/>
    <s v="CHARGES"/>
    <x v="0"/>
    <s v="3212.002"/>
    <s v="Intérêts bonifiés/trop perçu acompte C/C"/>
    <n v="-76.430000000000007"/>
    <n v="0"/>
    <n v="3212"/>
  </r>
  <r>
    <x v="0"/>
    <x v="4"/>
    <x v="4"/>
    <x v="73"/>
    <x v="66"/>
    <x v="66"/>
    <s v="CHARGES"/>
    <x v="1"/>
    <s v="3301.001"/>
    <s v="Défalcations, abandons de solde PP et IS"/>
    <n v="13183.8"/>
    <n v="0"/>
    <n v="3301"/>
  </r>
  <r>
    <x v="0"/>
    <x v="4"/>
    <x v="4"/>
    <x v="73"/>
    <x v="66"/>
    <x v="66"/>
    <s v="CHARGES"/>
    <x v="0"/>
    <s v="3212.004"/>
    <s v="Intérêts rémun./perçu trop tôt sur acomptes C/C"/>
    <n v="32.29"/>
    <n v="0"/>
    <n v="3212"/>
  </r>
  <r>
    <x v="0"/>
    <x v="4"/>
    <x v="4"/>
    <x v="73"/>
    <x v="66"/>
    <x v="66"/>
    <s v="CHARGES"/>
    <x v="0"/>
    <s v="3221.002"/>
    <s v="Intérêts compensatoires / créances en faveur ctb."/>
    <n v="-1.32"/>
    <n v="0"/>
    <n v="3221"/>
  </r>
  <r>
    <x v="0"/>
    <x v="4"/>
    <x v="4"/>
    <x v="73"/>
    <x v="66"/>
    <x v="66"/>
    <s v="CHARGES"/>
    <x v="0"/>
    <s v="3212.004"/>
    <s v="Intérêts rémun./perçu trop tôt sur acomptes C/C"/>
    <n v="742.71"/>
    <n v="0"/>
    <n v="3212"/>
  </r>
  <r>
    <x v="0"/>
    <x v="4"/>
    <x v="4"/>
    <x v="73"/>
    <x v="66"/>
    <x v="66"/>
    <s v="CHARGES"/>
    <x v="0"/>
    <s v="3221.002"/>
    <s v="Intérêts compensatoires / créances en faveur ctb."/>
    <n v="447.22"/>
    <n v="0"/>
    <n v="3221"/>
  </r>
  <r>
    <x v="0"/>
    <x v="4"/>
    <x v="4"/>
    <x v="73"/>
    <x v="66"/>
    <x v="66"/>
    <s v="CHARGES"/>
    <x v="0"/>
    <s v="3212.004"/>
    <s v="Intérêts rémun./perçu trop tôt sur acomptes C/C"/>
    <n v="16.66"/>
    <n v="0"/>
    <n v="3212"/>
  </r>
  <r>
    <x v="0"/>
    <x v="4"/>
    <x v="4"/>
    <x v="73"/>
    <x v="66"/>
    <x v="66"/>
    <s v="CHARGES"/>
    <x v="1"/>
    <s v="3301.001"/>
    <s v="Défalcations, abandons de solde PP et IS"/>
    <n v="7.21"/>
    <n v="0"/>
    <n v="3301"/>
  </r>
  <r>
    <x v="0"/>
    <x v="4"/>
    <x v="4"/>
    <x v="73"/>
    <x v="66"/>
    <x v="66"/>
    <s v="CHARGES"/>
    <x v="0"/>
    <s v="3212.004"/>
    <s v="Intérêts rémun./perçu trop tôt sur acomptes C/C"/>
    <n v="0.2"/>
    <n v="0"/>
    <n v="3212"/>
  </r>
  <r>
    <x v="0"/>
    <x v="4"/>
    <x v="4"/>
    <x v="73"/>
    <x v="66"/>
    <x v="66"/>
    <s v="CHARGES"/>
    <x v="0"/>
    <s v="3221.002"/>
    <s v="Intérêts compensatoires / créances en faveur ctb."/>
    <n v="0.37"/>
    <n v="0"/>
    <n v="3221"/>
  </r>
  <r>
    <x v="0"/>
    <x v="4"/>
    <x v="4"/>
    <x v="73"/>
    <x v="66"/>
    <x v="66"/>
    <s v="CHARGES"/>
    <x v="0"/>
    <s v="3212.004"/>
    <s v="Intérêts rémun./perçu trop tôt sur acomptes C/C"/>
    <n v="0.66"/>
    <n v="0"/>
    <n v="3212"/>
  </r>
  <r>
    <x v="0"/>
    <x v="4"/>
    <x v="4"/>
    <x v="73"/>
    <x v="66"/>
    <x v="66"/>
    <s v="CHARGES"/>
    <x v="1"/>
    <s v="3301.001"/>
    <s v="Défalcations, abandons de solde PP et IS"/>
    <n v="31619.39"/>
    <n v="0"/>
    <n v="3301"/>
  </r>
  <r>
    <x v="0"/>
    <x v="4"/>
    <x v="4"/>
    <x v="73"/>
    <x v="66"/>
    <x v="66"/>
    <s v="CHARGES"/>
    <x v="1"/>
    <s v="3301.001"/>
    <s v="Défalcations, abandons de solde PP et IS"/>
    <n v="0.79"/>
    <n v="0"/>
    <n v="3301"/>
  </r>
  <r>
    <x v="0"/>
    <x v="4"/>
    <x v="4"/>
    <x v="73"/>
    <x v="66"/>
    <x v="66"/>
    <s v="CHARGES"/>
    <x v="1"/>
    <s v="3301.001"/>
    <s v="Défalcations, abandons de solde PP et IS"/>
    <n v="110.27"/>
    <n v="0"/>
    <n v="3301"/>
  </r>
  <r>
    <x v="0"/>
    <x v="4"/>
    <x v="4"/>
    <x v="73"/>
    <x v="66"/>
    <x v="66"/>
    <s v="CHARGES"/>
    <x v="0"/>
    <s v="3221.002"/>
    <s v="Intérêts compensatoires / créances en faveur ctb."/>
    <n v="11.62"/>
    <n v="0"/>
    <n v="3221"/>
  </r>
  <r>
    <x v="0"/>
    <x v="4"/>
    <x v="4"/>
    <x v="73"/>
    <x v="66"/>
    <x v="66"/>
    <s v="CHARGES"/>
    <x v="0"/>
    <s v="3212.002"/>
    <s v="Intérêts bonifiés/trop perçu acompte C/C"/>
    <n v="0.01"/>
    <n v="0"/>
    <n v="3212"/>
  </r>
  <r>
    <x v="0"/>
    <x v="4"/>
    <x v="4"/>
    <x v="73"/>
    <x v="66"/>
    <x v="66"/>
    <s v="CHARGES"/>
    <x v="0"/>
    <s v="3212.004"/>
    <s v="Intérêts rémun./perçu trop tôt sur acomptes C/C"/>
    <n v="55.88"/>
    <n v="0"/>
    <n v="3212"/>
  </r>
  <r>
    <x v="0"/>
    <x v="4"/>
    <x v="4"/>
    <x v="73"/>
    <x v="66"/>
    <x v="66"/>
    <s v="CHARGES"/>
    <x v="0"/>
    <s v="3212.002"/>
    <s v="Intérêts bonifiés/trop perçu acompte C/C"/>
    <n v="-0.08"/>
    <n v="0"/>
    <n v="3212"/>
  </r>
  <r>
    <x v="0"/>
    <x v="4"/>
    <x v="4"/>
    <x v="73"/>
    <x v="66"/>
    <x v="66"/>
    <s v="CHARGES"/>
    <x v="0"/>
    <s v="3221.002"/>
    <s v="Intérêts compensatoires / créances en faveur ctb."/>
    <n v="0.13"/>
    <n v="0"/>
    <n v="3221"/>
  </r>
  <r>
    <x v="0"/>
    <x v="4"/>
    <x v="4"/>
    <x v="73"/>
    <x v="66"/>
    <x v="66"/>
    <s v="CHARGES"/>
    <x v="1"/>
    <s v="3301.001"/>
    <s v="Défalcations, abandons de solde PP et IS"/>
    <n v="0.22"/>
    <n v="0"/>
    <n v="3301"/>
  </r>
  <r>
    <x v="0"/>
    <x v="4"/>
    <x v="4"/>
    <x v="73"/>
    <x v="66"/>
    <x v="66"/>
    <s v="CHARGES"/>
    <x v="1"/>
    <s v="3301.003"/>
    <s v="Remises PP et IS"/>
    <n v="1480.62"/>
    <n v="0"/>
    <n v="3301"/>
  </r>
  <r>
    <x v="0"/>
    <x v="4"/>
    <x v="4"/>
    <x v="73"/>
    <x v="66"/>
    <x v="66"/>
    <s v="CHARGES"/>
    <x v="0"/>
    <s v="3212.002"/>
    <s v="Intérêts bonifiés/trop perçu acompte C/C"/>
    <n v="0.01"/>
    <n v="0"/>
    <n v="3212"/>
  </r>
  <r>
    <x v="0"/>
    <x v="4"/>
    <x v="4"/>
    <x v="73"/>
    <x v="66"/>
    <x v="66"/>
    <s v="REVENUS"/>
    <x v="2"/>
    <s v="4001.007"/>
    <s v="Acompte impôt sur revenu"/>
    <n v="0"/>
    <n v="-931886.84"/>
    <n v="4001"/>
  </r>
  <r>
    <x v="0"/>
    <x v="4"/>
    <x v="4"/>
    <x v="73"/>
    <x v="66"/>
    <x v="66"/>
    <s v="REVENUS"/>
    <x v="3"/>
    <s v="4002.007"/>
    <s v="Acompte impôt sur fortune"/>
    <n v="0"/>
    <n v="-241843.57"/>
    <n v="4002"/>
  </r>
  <r>
    <x v="0"/>
    <x v="4"/>
    <x v="4"/>
    <x v="73"/>
    <x v="66"/>
    <x v="66"/>
    <s v="REVENUS"/>
    <x v="2"/>
    <s v="4001.001"/>
    <s v="Impôt revenu"/>
    <n v="0"/>
    <n v="2961707.65"/>
    <n v="4001"/>
  </r>
  <r>
    <x v="0"/>
    <x v="4"/>
    <x v="4"/>
    <x v="73"/>
    <x v="66"/>
    <x v="66"/>
    <s v="REVENUS"/>
    <x v="6"/>
    <s v="4211.001"/>
    <s v="Intérêts de retard sur factures"/>
    <n v="0"/>
    <n v="20752.14"/>
    <n v="4211"/>
  </r>
  <r>
    <x v="0"/>
    <x v="4"/>
    <x v="4"/>
    <x v="73"/>
    <x v="66"/>
    <x v="66"/>
    <s v="REVENUS"/>
    <x v="6"/>
    <s v="4211.002"/>
    <s v="Intérêts de retard sur acomptes"/>
    <n v="0"/>
    <n v="16622.8"/>
    <n v="4211"/>
  </r>
  <r>
    <x v="0"/>
    <x v="4"/>
    <x v="4"/>
    <x v="73"/>
    <x v="66"/>
    <x v="66"/>
    <s v="REVENUS"/>
    <x v="3"/>
    <s v="4002.001"/>
    <s v="Impôt ordinaire s/fortune PP"/>
    <n v="0"/>
    <n v="3359.3"/>
    <n v="4002"/>
  </r>
  <r>
    <x v="0"/>
    <x v="4"/>
    <x v="4"/>
    <x v="73"/>
    <x v="66"/>
    <x v="66"/>
    <s v="REVENUS"/>
    <x v="3"/>
    <s v="4002.001"/>
    <s v="Impôt ordinaire s/fortune PP"/>
    <n v="0"/>
    <n v="550392.69999999995"/>
    <n v="4002"/>
  </r>
  <r>
    <x v="0"/>
    <x v="4"/>
    <x v="4"/>
    <x v="73"/>
    <x v="66"/>
    <x v="66"/>
    <s v="REVENUS"/>
    <x v="6"/>
    <s v="4221.003"/>
    <s v="Intérêts compensat. / acomptes en faveur du fisc"/>
    <n v="0"/>
    <n v="1024.1099999999999"/>
    <n v="4221"/>
  </r>
  <r>
    <x v="0"/>
    <x v="4"/>
    <x v="4"/>
    <x v="73"/>
    <x v="66"/>
    <x v="66"/>
    <s v="REVENUS"/>
    <x v="3"/>
    <s v="4002.001"/>
    <s v="Impôt ordinaire s/fortune PP"/>
    <n v="0"/>
    <n v="14707.05"/>
    <n v="4002"/>
  </r>
  <r>
    <x v="0"/>
    <x v="4"/>
    <x v="4"/>
    <x v="73"/>
    <x v="66"/>
    <x v="66"/>
    <s v="REVENUS"/>
    <x v="3"/>
    <s v="4002.007"/>
    <s v="Acompte impôt sur fortune"/>
    <n v="0"/>
    <n v="-5316.57"/>
    <n v="4002"/>
  </r>
  <r>
    <x v="0"/>
    <x v="4"/>
    <x v="4"/>
    <x v="73"/>
    <x v="66"/>
    <x v="66"/>
    <s v="REVENUS"/>
    <x v="2"/>
    <s v="4001.002"/>
    <s v="Impôt complément s/revenu PP"/>
    <n v="0"/>
    <n v="934563.75"/>
    <n v="4001"/>
  </r>
  <r>
    <x v="0"/>
    <x v="4"/>
    <x v="4"/>
    <x v="73"/>
    <x v="66"/>
    <x v="66"/>
    <s v="REVENUS"/>
    <x v="10"/>
    <s v="4041.001"/>
    <s v="Droits de mutation"/>
    <n v="0"/>
    <n v="51741.3"/>
    <n v="4041"/>
  </r>
  <r>
    <x v="0"/>
    <x v="4"/>
    <x v="4"/>
    <x v="73"/>
    <x v="66"/>
    <x v="66"/>
    <s v="REVENUS"/>
    <x v="7"/>
    <s v="4184.000"/>
    <s v="Frais de poursuite"/>
    <n v="0"/>
    <n v="1199.9100000000001"/>
    <n v="4184"/>
  </r>
  <r>
    <x v="0"/>
    <x v="4"/>
    <x v="4"/>
    <x v="73"/>
    <x v="66"/>
    <x v="66"/>
    <s v="REVENUS"/>
    <x v="2"/>
    <s v="4001.001"/>
    <s v="Impôt revenu"/>
    <n v="0"/>
    <n v="29095.85"/>
    <n v="4001"/>
  </r>
  <r>
    <x v="0"/>
    <x v="4"/>
    <x v="4"/>
    <x v="73"/>
    <x v="66"/>
    <x v="66"/>
    <s v="REVENUS"/>
    <x v="2"/>
    <s v="4001.002"/>
    <s v="Impôt complément s/revenu PP"/>
    <n v="0"/>
    <n v="6564.05"/>
    <n v="4001"/>
  </r>
  <r>
    <x v="0"/>
    <x v="4"/>
    <x v="4"/>
    <x v="73"/>
    <x v="66"/>
    <x v="66"/>
    <s v="REVENUS"/>
    <x v="3"/>
    <s v="4002.002"/>
    <s v="Impôt complémentaire s/fortune PP"/>
    <n v="0"/>
    <n v="3569.1"/>
    <n v="4002"/>
  </r>
  <r>
    <x v="0"/>
    <x v="4"/>
    <x v="4"/>
    <x v="73"/>
    <x v="66"/>
    <x v="66"/>
    <s v="REVENUS"/>
    <x v="6"/>
    <s v="4221.003"/>
    <s v="Intérêts compensat. / acomptes en faveur du fisc"/>
    <n v="0"/>
    <n v="4.97"/>
    <n v="4221"/>
  </r>
  <r>
    <x v="0"/>
    <x v="4"/>
    <x v="4"/>
    <x v="73"/>
    <x v="66"/>
    <x v="66"/>
    <s v="REVENUS"/>
    <x v="2"/>
    <s v="4001.007"/>
    <s v="Acompte impôt sur revenu"/>
    <n v="0"/>
    <n v="-1118.5"/>
    <n v="4001"/>
  </r>
  <r>
    <x v="0"/>
    <x v="4"/>
    <x v="4"/>
    <x v="73"/>
    <x v="66"/>
    <x v="66"/>
    <s v="REVENUS"/>
    <x v="3"/>
    <s v="4002.007"/>
    <s v="Acompte impôt sur fortune"/>
    <n v="0"/>
    <n v="-594.6"/>
    <n v="4002"/>
  </r>
  <r>
    <x v="0"/>
    <x v="4"/>
    <x v="4"/>
    <x v="73"/>
    <x v="66"/>
    <x v="66"/>
    <s v="REVENUS"/>
    <x v="2"/>
    <s v="4001.001"/>
    <s v="Impôt revenu"/>
    <n v="0"/>
    <n v="5823.8"/>
    <n v="4001"/>
  </r>
  <r>
    <x v="0"/>
    <x v="4"/>
    <x v="4"/>
    <x v="73"/>
    <x v="66"/>
    <x v="66"/>
    <s v="REVENUS"/>
    <x v="3"/>
    <s v="4002.001"/>
    <s v="Impôt ordinaire s/fortune PP"/>
    <n v="0"/>
    <n v="2623.9"/>
    <n v="4002"/>
  </r>
  <r>
    <x v="0"/>
    <x v="4"/>
    <x v="4"/>
    <x v="73"/>
    <x v="66"/>
    <x v="66"/>
    <s v="REVENUS"/>
    <x v="6"/>
    <s v="4211.002"/>
    <s v="Intérêts de retard sur acomptes"/>
    <n v="0"/>
    <n v="72.87"/>
    <n v="4211"/>
  </r>
  <r>
    <x v="0"/>
    <x v="4"/>
    <x v="4"/>
    <x v="73"/>
    <x v="66"/>
    <x v="66"/>
    <s v="REVENUS"/>
    <x v="2"/>
    <s v="4001.007"/>
    <s v="Acompte impôt sur revenu"/>
    <n v="0"/>
    <n v="-16649.990000000002"/>
    <n v="4001"/>
  </r>
  <r>
    <x v="0"/>
    <x v="4"/>
    <x v="4"/>
    <x v="73"/>
    <x v="66"/>
    <x v="66"/>
    <s v="REVENUS"/>
    <x v="6"/>
    <s v="4211.001"/>
    <s v="Intérêts de retard sur factures"/>
    <n v="0"/>
    <n v="1515.8"/>
    <n v="4211"/>
  </r>
  <r>
    <x v="0"/>
    <x v="4"/>
    <x v="4"/>
    <x v="73"/>
    <x v="66"/>
    <x v="66"/>
    <s v="REVENUS"/>
    <x v="2"/>
    <s v="4001.007"/>
    <s v="Acompte impôt sur revenu"/>
    <n v="0"/>
    <n v="1000.99"/>
    <n v="4001"/>
  </r>
  <r>
    <x v="0"/>
    <x v="4"/>
    <x v="4"/>
    <x v="73"/>
    <x v="66"/>
    <x v="66"/>
    <s v="REVENUS"/>
    <x v="3"/>
    <s v="4002.001"/>
    <s v="Impôt ordinaire s/fortune PP"/>
    <n v="0"/>
    <n v="746.35"/>
    <n v="4002"/>
  </r>
  <r>
    <x v="0"/>
    <x v="4"/>
    <x v="4"/>
    <x v="73"/>
    <x v="66"/>
    <x v="66"/>
    <s v="REVENUS"/>
    <x v="3"/>
    <s v="4002.007"/>
    <s v="Acompte impôt sur fortune"/>
    <n v="0"/>
    <n v="-294.57"/>
    <n v="4002"/>
  </r>
  <r>
    <x v="0"/>
    <x v="4"/>
    <x v="4"/>
    <x v="73"/>
    <x v="66"/>
    <x v="66"/>
    <s v="REVENUS"/>
    <x v="7"/>
    <s v="4184.000"/>
    <s v="Frais de poursuite"/>
    <n v="0"/>
    <n v="93.08"/>
    <n v="4184"/>
  </r>
  <r>
    <x v="0"/>
    <x v="4"/>
    <x v="4"/>
    <x v="73"/>
    <x v="66"/>
    <x v="66"/>
    <s v="REVENUS"/>
    <x v="3"/>
    <s v="4002.002"/>
    <s v="Impôt complémentaire s/fortune PP"/>
    <n v="0"/>
    <n v="24489.5"/>
    <n v="4002"/>
  </r>
  <r>
    <x v="0"/>
    <x v="4"/>
    <x v="4"/>
    <x v="73"/>
    <x v="66"/>
    <x v="66"/>
    <s v="REVENUS"/>
    <x v="8"/>
    <s v="4091.001"/>
    <s v="Impôt récupéré après défalcations"/>
    <n v="0"/>
    <n v="1599.13"/>
    <n v="4091"/>
  </r>
  <r>
    <x v="0"/>
    <x v="4"/>
    <x v="4"/>
    <x v="73"/>
    <x v="66"/>
    <x v="66"/>
    <s v="REVENUS"/>
    <x v="2"/>
    <s v="4001.007"/>
    <s v="Acompte impôt sur revenu"/>
    <n v="0"/>
    <n v="3405.01"/>
    <n v="4001"/>
  </r>
  <r>
    <x v="0"/>
    <x v="4"/>
    <x v="4"/>
    <x v="73"/>
    <x v="66"/>
    <x v="66"/>
    <s v="REVENUS"/>
    <x v="3"/>
    <s v="4002.007"/>
    <s v="Acompte impôt sur fortune"/>
    <n v="0"/>
    <n v="-586.08000000000004"/>
    <n v="4002"/>
  </r>
  <r>
    <x v="0"/>
    <x v="4"/>
    <x v="4"/>
    <x v="73"/>
    <x v="66"/>
    <x v="66"/>
    <s v="REVENUS"/>
    <x v="3"/>
    <s v="4002.002"/>
    <s v="Impôt complémentaire s/fortune PP"/>
    <n v="0"/>
    <n v="131640.6"/>
    <n v="4002"/>
  </r>
  <r>
    <x v="0"/>
    <x v="4"/>
    <x v="4"/>
    <x v="73"/>
    <x v="66"/>
    <x v="66"/>
    <s v="REVENUS"/>
    <x v="6"/>
    <s v="4211.001"/>
    <s v="Intérêts de retard sur factures"/>
    <n v="0"/>
    <n v="0.5"/>
    <n v="4211"/>
  </r>
  <r>
    <x v="0"/>
    <x v="4"/>
    <x v="4"/>
    <x v="73"/>
    <x v="66"/>
    <x v="66"/>
    <s v="REVENUS"/>
    <x v="2"/>
    <s v="4001.001"/>
    <s v="Impôt revenu"/>
    <n v="0"/>
    <n v="6689.7"/>
    <n v="4001"/>
  </r>
  <r>
    <x v="0"/>
    <x v="4"/>
    <x v="4"/>
    <x v="73"/>
    <x v="66"/>
    <x v="66"/>
    <s v="REVENUS"/>
    <x v="6"/>
    <s v="4211.002"/>
    <s v="Intérêts de retard sur acomptes"/>
    <n v="0"/>
    <n v="563.75"/>
    <n v="4211"/>
  </r>
  <r>
    <x v="0"/>
    <x v="4"/>
    <x v="4"/>
    <x v="73"/>
    <x v="66"/>
    <x v="66"/>
    <s v="REVENUS"/>
    <x v="6"/>
    <s v="4221.003"/>
    <s v="Intérêts compensat. / acomptes en faveur du fisc"/>
    <n v="0"/>
    <n v="-220.68"/>
    <n v="4221"/>
  </r>
  <r>
    <x v="0"/>
    <x v="4"/>
    <x v="4"/>
    <x v="73"/>
    <x v="66"/>
    <x v="66"/>
    <s v="REVENUS"/>
    <x v="2"/>
    <s v="4001.007"/>
    <s v="Acompte impôt sur revenu"/>
    <n v="0"/>
    <n v="6551.2"/>
    <n v="4001"/>
  </r>
  <r>
    <x v="0"/>
    <x v="4"/>
    <x v="4"/>
    <x v="73"/>
    <x v="66"/>
    <x v="66"/>
    <s v="REVENUS"/>
    <x v="3"/>
    <s v="4002.007"/>
    <s v="Acompte impôt sur fortune"/>
    <n v="0"/>
    <n v="-1.75"/>
    <n v="4002"/>
  </r>
  <r>
    <x v="0"/>
    <x v="4"/>
    <x v="4"/>
    <x v="73"/>
    <x v="66"/>
    <x v="66"/>
    <s v="REVENUS"/>
    <x v="7"/>
    <s v="4184.000"/>
    <s v="Frais de poursuite"/>
    <n v="0"/>
    <n v="835.79"/>
    <n v="4184"/>
  </r>
  <r>
    <x v="0"/>
    <x v="4"/>
    <x v="4"/>
    <x v="73"/>
    <x v="66"/>
    <x v="66"/>
    <s v="REVENUS"/>
    <x v="9"/>
    <s v="4031.001"/>
    <s v="Impôt sur les gains immobiliers"/>
    <n v="0"/>
    <n v="28902.25"/>
    <n v="4031"/>
  </r>
  <r>
    <x v="0"/>
    <x v="4"/>
    <x v="4"/>
    <x v="73"/>
    <x v="66"/>
    <x v="66"/>
    <s v="REVENUS"/>
    <x v="2"/>
    <s v="4001.003"/>
    <s v="Impôt s/prest. cap. PP"/>
    <n v="0"/>
    <n v="69595.850000000006"/>
    <n v="4001"/>
  </r>
  <r>
    <x v="0"/>
    <x v="4"/>
    <x v="4"/>
    <x v="73"/>
    <x v="66"/>
    <x v="66"/>
    <s v="REVENUS"/>
    <x v="2"/>
    <s v="4001.007"/>
    <s v="Acompte impôt sur revenu"/>
    <n v="0"/>
    <n v="126.7"/>
    <n v="4001"/>
  </r>
  <r>
    <x v="0"/>
    <x v="4"/>
    <x v="4"/>
    <x v="73"/>
    <x v="66"/>
    <x v="66"/>
    <s v="REVENUS"/>
    <x v="3"/>
    <s v="4002.007"/>
    <s v="Acompte impôt sur fortune"/>
    <n v="0"/>
    <n v="-159.5"/>
    <n v="4002"/>
  </r>
  <r>
    <x v="0"/>
    <x v="4"/>
    <x v="4"/>
    <x v="73"/>
    <x v="66"/>
    <x v="66"/>
    <s v="REVENUS"/>
    <x v="2"/>
    <s v="4001.002"/>
    <s v="Impôt complément s/revenu PP"/>
    <n v="0"/>
    <n v="32009.95"/>
    <n v="4001"/>
  </r>
  <r>
    <x v="0"/>
    <x v="4"/>
    <x v="4"/>
    <x v="73"/>
    <x v="66"/>
    <x v="66"/>
    <s v="REVENUS"/>
    <x v="6"/>
    <s v="4211.002"/>
    <s v="Intérêts de retard sur acomptes"/>
    <n v="0"/>
    <n v="414.7"/>
    <n v="4211"/>
  </r>
  <r>
    <x v="0"/>
    <x v="4"/>
    <x v="4"/>
    <x v="73"/>
    <x v="66"/>
    <x v="66"/>
    <s v="REVENUS"/>
    <x v="6"/>
    <s v="4211.001"/>
    <s v="Intérêts de retard sur factures"/>
    <n v="0"/>
    <n v="175.55"/>
    <n v="4211"/>
  </r>
  <r>
    <x v="0"/>
    <x v="4"/>
    <x v="4"/>
    <x v="73"/>
    <x v="66"/>
    <x v="66"/>
    <s v="REVENUS"/>
    <x v="4"/>
    <s v="4051.002"/>
    <s v="Impôt sur les donations"/>
    <n v="0"/>
    <n v="5234"/>
    <n v="4051"/>
  </r>
  <r>
    <x v="0"/>
    <x v="4"/>
    <x v="4"/>
    <x v="73"/>
    <x v="66"/>
    <x v="66"/>
    <s v="REVENUS"/>
    <x v="6"/>
    <s v="4221.002"/>
    <s v="Intérêts compensat. sur impôts distincts"/>
    <n v="0"/>
    <n v="95.85"/>
    <n v="4221"/>
  </r>
  <r>
    <x v="0"/>
    <x v="4"/>
    <x v="4"/>
    <x v="73"/>
    <x v="66"/>
    <x v="66"/>
    <s v="REVENUS"/>
    <x v="3"/>
    <s v="4002.007"/>
    <s v="Acompte impôt sur fortune"/>
    <n v="0"/>
    <n v="-1816.4"/>
    <n v="4002"/>
  </r>
  <r>
    <x v="0"/>
    <x v="4"/>
    <x v="4"/>
    <x v="73"/>
    <x v="66"/>
    <x v="66"/>
    <s v="REVENUS"/>
    <x v="2"/>
    <s v="4001.001"/>
    <s v="Impôt revenu"/>
    <n v="0"/>
    <n v="2705.2"/>
    <n v="4001"/>
  </r>
  <r>
    <x v="0"/>
    <x v="4"/>
    <x v="4"/>
    <x v="73"/>
    <x v="66"/>
    <x v="66"/>
    <s v="REVENUS"/>
    <x v="2"/>
    <s v="4001.007"/>
    <s v="Acompte impôt sur revenu"/>
    <n v="0"/>
    <n v="-1425.95"/>
    <n v="4001"/>
  </r>
  <r>
    <x v="0"/>
    <x v="4"/>
    <x v="4"/>
    <x v="73"/>
    <x v="66"/>
    <x v="66"/>
    <s v="REVENUS"/>
    <x v="3"/>
    <s v="4002.002"/>
    <s v="Impôt complémentaire s/fortune PP"/>
    <n v="0"/>
    <n v="-497.2"/>
    <n v="4002"/>
  </r>
  <r>
    <x v="0"/>
    <x v="4"/>
    <x v="4"/>
    <x v="73"/>
    <x v="66"/>
    <x v="66"/>
    <s v="REVENUS"/>
    <x v="2"/>
    <s v="4001.001"/>
    <s v="Impôt revenu"/>
    <n v="0"/>
    <n v="2512.85"/>
    <n v="4001"/>
  </r>
  <r>
    <x v="0"/>
    <x v="4"/>
    <x v="4"/>
    <x v="73"/>
    <x v="66"/>
    <x v="66"/>
    <s v="REVENUS"/>
    <x v="3"/>
    <s v="4002.001"/>
    <s v="Impôt ordinaire s/fortune PP"/>
    <n v="0"/>
    <n v="1441.7"/>
    <n v="4002"/>
  </r>
  <r>
    <x v="0"/>
    <x v="4"/>
    <x v="4"/>
    <x v="73"/>
    <x v="66"/>
    <x v="66"/>
    <s v="REVENUS"/>
    <x v="5"/>
    <s v="4061.000"/>
    <s v="Impôt sur les chiens"/>
    <n v="0"/>
    <n v="6760"/>
    <n v="4061"/>
  </r>
  <r>
    <x v="0"/>
    <x v="4"/>
    <x v="4"/>
    <x v="73"/>
    <x v="66"/>
    <x v="66"/>
    <s v="REVENUS"/>
    <x v="6"/>
    <s v="4221.003"/>
    <s v="Intérêts compensat. / acomptes en faveur du fisc"/>
    <n v="0"/>
    <n v="0.78"/>
    <n v="4221"/>
  </r>
  <r>
    <x v="0"/>
    <x v="4"/>
    <x v="4"/>
    <x v="73"/>
    <x v="66"/>
    <x v="66"/>
    <s v="REVENUS"/>
    <x v="6"/>
    <s v="4221.003"/>
    <s v="Intérêts compensat. / acomptes en faveur du fisc"/>
    <n v="0"/>
    <n v="0.36"/>
    <n v="4221"/>
  </r>
  <r>
    <x v="0"/>
    <x v="4"/>
    <x v="4"/>
    <x v="73"/>
    <x v="66"/>
    <x v="66"/>
    <s v="REVENUS"/>
    <x v="2"/>
    <s v="4001.002"/>
    <s v="Impôt complément s/revenu PP"/>
    <n v="0"/>
    <n v="318.5"/>
    <n v="4001"/>
  </r>
  <r>
    <x v="0"/>
    <x v="4"/>
    <x v="4"/>
    <x v="73"/>
    <x v="66"/>
    <x v="66"/>
    <s v="REVENUS"/>
    <x v="3"/>
    <s v="4002.002"/>
    <s v="Impôt complémentaire s/fortune PP"/>
    <n v="0"/>
    <n v="137.9"/>
    <n v="4002"/>
  </r>
  <r>
    <x v="0"/>
    <x v="4"/>
    <x v="4"/>
    <x v="73"/>
    <x v="66"/>
    <x v="66"/>
    <s v="REVENUS"/>
    <x v="2"/>
    <s v="4001.001"/>
    <s v="Impôt revenu"/>
    <n v="0"/>
    <n v="-885.85"/>
    <n v="4001"/>
  </r>
  <r>
    <x v="0"/>
    <x v="4"/>
    <x v="4"/>
    <x v="73"/>
    <x v="66"/>
    <x v="66"/>
    <s v="REVENUS"/>
    <x v="3"/>
    <s v="4002.001"/>
    <s v="Impôt ordinaire s/fortune PP"/>
    <n v="0"/>
    <n v="-458.45"/>
    <n v="4002"/>
  </r>
  <r>
    <x v="0"/>
    <x v="4"/>
    <x v="4"/>
    <x v="73"/>
    <x v="66"/>
    <x v="66"/>
    <s v="REVENUS"/>
    <x v="2"/>
    <s v="4001.001"/>
    <s v="Impôt revenu"/>
    <n v="0"/>
    <n v="-31181.599999999999"/>
    <n v="4001"/>
  </r>
  <r>
    <x v="0"/>
    <x v="4"/>
    <x v="4"/>
    <x v="73"/>
    <x v="66"/>
    <x v="66"/>
    <s v="REVENUS"/>
    <x v="3"/>
    <s v="4002.001"/>
    <s v="Impôt ordinaire s/fortune PP"/>
    <n v="0"/>
    <n v="-4496.7"/>
    <n v="4002"/>
  </r>
  <r>
    <x v="0"/>
    <x v="4"/>
    <x v="4"/>
    <x v="73"/>
    <x v="66"/>
    <x v="66"/>
    <s v="REVENUS"/>
    <x v="6"/>
    <s v="4221.003"/>
    <s v="Intérêts compensat. / acomptes en faveur du fisc"/>
    <n v="0"/>
    <n v="7.11"/>
    <n v="4221"/>
  </r>
  <r>
    <x v="0"/>
    <x v="4"/>
    <x v="4"/>
    <x v="73"/>
    <x v="66"/>
    <x v="66"/>
    <s v="REVENUS"/>
    <x v="4"/>
    <s v="4051.001"/>
    <s v="Impôt sur les successions"/>
    <n v="0"/>
    <n v="152500.20000000001"/>
    <n v="4051"/>
  </r>
  <r>
    <x v="0"/>
    <x v="4"/>
    <x v="4"/>
    <x v="73"/>
    <x v="66"/>
    <x v="66"/>
    <s v="REVENUS"/>
    <x v="11"/>
    <s v="4198.000"/>
    <s v="Contributions communales"/>
    <n v="0"/>
    <n v="320386.75"/>
    <n v="4198"/>
  </r>
  <r>
    <x v="0"/>
    <x v="4"/>
    <x v="4"/>
    <x v="74"/>
    <x v="67"/>
    <x v="67"/>
    <s v="CHARGES"/>
    <x v="0"/>
    <s v="3212.002"/>
    <s v="Intérêts bonifiés/trop perçu acompte C/C"/>
    <n v="15.58"/>
    <n v="0"/>
    <n v="3212"/>
  </r>
  <r>
    <x v="0"/>
    <x v="4"/>
    <x v="4"/>
    <x v="74"/>
    <x v="67"/>
    <x v="67"/>
    <s v="CHARGES"/>
    <x v="0"/>
    <s v="3212.004"/>
    <s v="Intérêts rémun./perçu trop tôt sur acomptes C/C"/>
    <n v="454.49"/>
    <n v="0"/>
    <n v="3212"/>
  </r>
  <r>
    <x v="0"/>
    <x v="4"/>
    <x v="4"/>
    <x v="74"/>
    <x v="67"/>
    <x v="67"/>
    <s v="CHARGES"/>
    <x v="1"/>
    <s v="3301.001"/>
    <s v="Défalcations, abandons de solde PP et IS"/>
    <n v="21607.23"/>
    <n v="0"/>
    <n v="3301"/>
  </r>
  <r>
    <x v="0"/>
    <x v="4"/>
    <x v="4"/>
    <x v="74"/>
    <x v="67"/>
    <x v="67"/>
    <s v="CHARGES"/>
    <x v="0"/>
    <s v="3221.002"/>
    <s v="Intérêts compensatoires / créances en faveur ctb."/>
    <n v="396.24"/>
    <n v="0"/>
    <n v="3221"/>
  </r>
  <r>
    <x v="0"/>
    <x v="4"/>
    <x v="4"/>
    <x v="74"/>
    <x v="67"/>
    <x v="67"/>
    <s v="CHARGES"/>
    <x v="1"/>
    <s v="3301.001"/>
    <s v="Défalcations, abandons de solde PP et IS"/>
    <n v="28.41"/>
    <n v="0"/>
    <n v="3301"/>
  </r>
  <r>
    <x v="0"/>
    <x v="4"/>
    <x v="4"/>
    <x v="74"/>
    <x v="67"/>
    <x v="67"/>
    <s v="CHARGES"/>
    <x v="0"/>
    <s v="3212.004"/>
    <s v="Intérêts rémun./perçu trop tôt sur acomptes C/C"/>
    <n v="0.53"/>
    <n v="0"/>
    <n v="3212"/>
  </r>
  <r>
    <x v="0"/>
    <x v="4"/>
    <x v="4"/>
    <x v="74"/>
    <x v="67"/>
    <x v="67"/>
    <s v="CHARGES"/>
    <x v="0"/>
    <s v="3221.002"/>
    <s v="Intérêts compensatoires / créances en faveur ctb."/>
    <n v="0.18"/>
    <n v="0"/>
    <n v="3221"/>
  </r>
  <r>
    <x v="0"/>
    <x v="4"/>
    <x v="4"/>
    <x v="74"/>
    <x v="67"/>
    <x v="67"/>
    <s v="CHARGES"/>
    <x v="1"/>
    <s v="3301.001"/>
    <s v="Défalcations, abandons de solde PP et IS"/>
    <n v="1741.25"/>
    <n v="0"/>
    <n v="3301"/>
  </r>
  <r>
    <x v="0"/>
    <x v="4"/>
    <x v="4"/>
    <x v="74"/>
    <x v="67"/>
    <x v="67"/>
    <s v="CHARGES"/>
    <x v="0"/>
    <s v="3212.004"/>
    <s v="Intérêts rémun./perçu trop tôt sur acomptes C/C"/>
    <n v="5.38"/>
    <n v="0"/>
    <n v="3212"/>
  </r>
  <r>
    <x v="0"/>
    <x v="4"/>
    <x v="4"/>
    <x v="74"/>
    <x v="67"/>
    <x v="67"/>
    <s v="CHARGES"/>
    <x v="0"/>
    <s v="3221.002"/>
    <s v="Intérêts compensatoires / créances en faveur ctb."/>
    <n v="0.08"/>
    <n v="0"/>
    <n v="3221"/>
  </r>
  <r>
    <x v="0"/>
    <x v="4"/>
    <x v="4"/>
    <x v="74"/>
    <x v="67"/>
    <x v="67"/>
    <s v="CHARGES"/>
    <x v="1"/>
    <s v="3301.001"/>
    <s v="Défalcations, abandons de solde PP et IS"/>
    <n v="2.9"/>
    <n v="0"/>
    <n v="3301"/>
  </r>
  <r>
    <x v="0"/>
    <x v="4"/>
    <x v="4"/>
    <x v="74"/>
    <x v="67"/>
    <x v="67"/>
    <s v="CHARGES"/>
    <x v="0"/>
    <s v="3212.004"/>
    <s v="Intérêts rémun./perçu trop tôt sur acomptes C/C"/>
    <n v="0.51"/>
    <n v="0"/>
    <n v="3212"/>
  </r>
  <r>
    <x v="0"/>
    <x v="4"/>
    <x v="4"/>
    <x v="74"/>
    <x v="67"/>
    <x v="67"/>
    <s v="CHARGES"/>
    <x v="0"/>
    <s v="3212.004"/>
    <s v="Intérêts rémun./perçu trop tôt sur acomptes C/C"/>
    <n v="0.03"/>
    <n v="0"/>
    <n v="3212"/>
  </r>
  <r>
    <x v="0"/>
    <x v="4"/>
    <x v="4"/>
    <x v="74"/>
    <x v="67"/>
    <x v="67"/>
    <s v="CHARGES"/>
    <x v="0"/>
    <s v="3221.002"/>
    <s v="Intérêts compensatoires / créances en faveur ctb."/>
    <n v="0.26"/>
    <n v="0"/>
    <n v="3221"/>
  </r>
  <r>
    <x v="0"/>
    <x v="4"/>
    <x v="4"/>
    <x v="74"/>
    <x v="67"/>
    <x v="67"/>
    <s v="CHARGES"/>
    <x v="1"/>
    <s v="3301.001"/>
    <s v="Défalcations, abandons de solde PP et IS"/>
    <n v="0.67"/>
    <n v="0"/>
    <n v="3301"/>
  </r>
  <r>
    <x v="0"/>
    <x v="4"/>
    <x v="4"/>
    <x v="74"/>
    <x v="67"/>
    <x v="67"/>
    <s v="CHARGES"/>
    <x v="1"/>
    <s v="3301.001"/>
    <s v="Défalcations, abandons de solde PP et IS"/>
    <n v="0.05"/>
    <n v="0"/>
    <n v="3301"/>
  </r>
  <r>
    <x v="0"/>
    <x v="4"/>
    <x v="4"/>
    <x v="74"/>
    <x v="67"/>
    <x v="67"/>
    <s v="REVENUS"/>
    <x v="2"/>
    <s v="4001.001"/>
    <s v="Impôt revenu"/>
    <n v="0"/>
    <n v="2309182.85"/>
    <n v="4001"/>
  </r>
  <r>
    <x v="0"/>
    <x v="4"/>
    <x v="4"/>
    <x v="74"/>
    <x v="67"/>
    <x v="67"/>
    <s v="REVENUS"/>
    <x v="2"/>
    <s v="4001.002"/>
    <s v="Impôt complément s/revenu PP"/>
    <n v="0"/>
    <n v="248484.7"/>
    <n v="4001"/>
  </r>
  <r>
    <x v="0"/>
    <x v="4"/>
    <x v="4"/>
    <x v="74"/>
    <x v="67"/>
    <x v="67"/>
    <s v="REVENUS"/>
    <x v="2"/>
    <s v="4001.007"/>
    <s v="Acompte impôt sur revenu"/>
    <n v="0"/>
    <n v="-324424.55"/>
    <n v="4001"/>
  </r>
  <r>
    <x v="0"/>
    <x v="4"/>
    <x v="4"/>
    <x v="74"/>
    <x v="67"/>
    <x v="67"/>
    <s v="REVENUS"/>
    <x v="3"/>
    <s v="4002.001"/>
    <s v="Impôt ordinaire s/fortune PP"/>
    <n v="0"/>
    <n v="313145.45"/>
    <n v="4002"/>
  </r>
  <r>
    <x v="0"/>
    <x v="4"/>
    <x v="4"/>
    <x v="74"/>
    <x v="67"/>
    <x v="67"/>
    <s v="REVENUS"/>
    <x v="3"/>
    <s v="4002.002"/>
    <s v="Impôt complémentaire s/fortune PP"/>
    <n v="0"/>
    <n v="15776.7"/>
    <n v="4002"/>
  </r>
  <r>
    <x v="0"/>
    <x v="4"/>
    <x v="4"/>
    <x v="74"/>
    <x v="67"/>
    <x v="67"/>
    <s v="REVENUS"/>
    <x v="3"/>
    <s v="4002.007"/>
    <s v="Acompte impôt sur fortune"/>
    <n v="0"/>
    <n v="-46187.01"/>
    <n v="4002"/>
  </r>
  <r>
    <x v="0"/>
    <x v="4"/>
    <x v="4"/>
    <x v="74"/>
    <x v="67"/>
    <x v="67"/>
    <s v="REVENUS"/>
    <x v="6"/>
    <s v="4211.001"/>
    <s v="Intérêts de retard sur factures"/>
    <n v="0"/>
    <n v="7034.91"/>
    <n v="4211"/>
  </r>
  <r>
    <x v="0"/>
    <x v="4"/>
    <x v="4"/>
    <x v="74"/>
    <x v="67"/>
    <x v="67"/>
    <s v="REVENUS"/>
    <x v="6"/>
    <s v="4211.002"/>
    <s v="Intérêts de retard sur acomptes"/>
    <n v="0"/>
    <n v="17873.03"/>
    <n v="4211"/>
  </r>
  <r>
    <x v="0"/>
    <x v="4"/>
    <x v="4"/>
    <x v="74"/>
    <x v="67"/>
    <x v="67"/>
    <s v="REVENUS"/>
    <x v="6"/>
    <s v="4221.003"/>
    <s v="Intérêts compensat. / acomptes en faveur du fisc"/>
    <n v="0"/>
    <n v="388.15"/>
    <n v="4221"/>
  </r>
  <r>
    <x v="0"/>
    <x v="4"/>
    <x v="4"/>
    <x v="74"/>
    <x v="67"/>
    <x v="67"/>
    <s v="REVENUS"/>
    <x v="3"/>
    <s v="4002.007"/>
    <s v="Acompte impôt sur fortune"/>
    <n v="0"/>
    <n v="416.84"/>
    <n v="4002"/>
  </r>
  <r>
    <x v="0"/>
    <x v="4"/>
    <x v="4"/>
    <x v="74"/>
    <x v="67"/>
    <x v="67"/>
    <s v="REVENUS"/>
    <x v="2"/>
    <s v="4001.003"/>
    <s v="Impôt s/prest. cap. PP"/>
    <n v="0"/>
    <n v="67615.3"/>
    <n v="4001"/>
  </r>
  <r>
    <x v="0"/>
    <x v="4"/>
    <x v="4"/>
    <x v="74"/>
    <x v="67"/>
    <x v="67"/>
    <s v="REVENUS"/>
    <x v="7"/>
    <s v="4184.000"/>
    <s v="Frais de poursuite"/>
    <n v="0"/>
    <n v="443.93"/>
    <n v="4184"/>
  </r>
  <r>
    <x v="0"/>
    <x v="4"/>
    <x v="4"/>
    <x v="74"/>
    <x v="67"/>
    <x v="67"/>
    <s v="REVENUS"/>
    <x v="7"/>
    <s v="4184.000"/>
    <s v="Frais de poursuite"/>
    <n v="0"/>
    <n v="1613.83"/>
    <n v="4184"/>
  </r>
  <r>
    <x v="0"/>
    <x v="4"/>
    <x v="4"/>
    <x v="74"/>
    <x v="67"/>
    <x v="67"/>
    <s v="REVENUS"/>
    <x v="9"/>
    <s v="4031.001"/>
    <s v="Impôt sur les gains immobiliers"/>
    <n v="0"/>
    <n v="53718.5"/>
    <n v="4031"/>
  </r>
  <r>
    <x v="0"/>
    <x v="4"/>
    <x v="4"/>
    <x v="74"/>
    <x v="67"/>
    <x v="67"/>
    <s v="REVENUS"/>
    <x v="6"/>
    <s v="4221.002"/>
    <s v="Intérêts compensat. sur impôts distincts"/>
    <n v="0"/>
    <n v="25.99"/>
    <n v="4221"/>
  </r>
  <r>
    <x v="0"/>
    <x v="4"/>
    <x v="4"/>
    <x v="74"/>
    <x v="67"/>
    <x v="67"/>
    <s v="REVENUS"/>
    <x v="3"/>
    <s v="4002.007"/>
    <s v="Acompte impôt sur fortune"/>
    <n v="0"/>
    <n v="-3981.13"/>
    <n v="4002"/>
  </r>
  <r>
    <x v="0"/>
    <x v="4"/>
    <x v="4"/>
    <x v="74"/>
    <x v="67"/>
    <x v="67"/>
    <s v="REVENUS"/>
    <x v="10"/>
    <s v="4041.001"/>
    <s v="Droits de mutation"/>
    <n v="0"/>
    <n v="43765.7"/>
    <n v="4041"/>
  </r>
  <r>
    <x v="0"/>
    <x v="4"/>
    <x v="4"/>
    <x v="74"/>
    <x v="67"/>
    <x v="67"/>
    <s v="REVENUS"/>
    <x v="2"/>
    <s v="4001.007"/>
    <s v="Acompte impôt sur revenu"/>
    <n v="0"/>
    <n v="-647.85"/>
    <n v="4001"/>
  </r>
  <r>
    <x v="0"/>
    <x v="4"/>
    <x v="4"/>
    <x v="74"/>
    <x v="67"/>
    <x v="67"/>
    <s v="REVENUS"/>
    <x v="3"/>
    <s v="4002.001"/>
    <s v="Impôt ordinaire s/fortune PP"/>
    <n v="0"/>
    <n v="1611.1"/>
    <n v="4002"/>
  </r>
  <r>
    <x v="0"/>
    <x v="4"/>
    <x v="4"/>
    <x v="74"/>
    <x v="67"/>
    <x v="67"/>
    <s v="REVENUS"/>
    <x v="6"/>
    <s v="4211.002"/>
    <s v="Intérêts de retard sur acomptes"/>
    <n v="0"/>
    <n v="5.13"/>
    <n v="4211"/>
  </r>
  <r>
    <x v="0"/>
    <x v="4"/>
    <x v="4"/>
    <x v="74"/>
    <x v="67"/>
    <x v="67"/>
    <s v="REVENUS"/>
    <x v="2"/>
    <s v="4001.007"/>
    <s v="Acompte impôt sur revenu"/>
    <n v="0"/>
    <n v="345.4"/>
    <n v="4001"/>
  </r>
  <r>
    <x v="0"/>
    <x v="4"/>
    <x v="4"/>
    <x v="74"/>
    <x v="67"/>
    <x v="67"/>
    <s v="REVENUS"/>
    <x v="3"/>
    <s v="4002.007"/>
    <s v="Acompte impôt sur fortune"/>
    <n v="0"/>
    <n v="-55.35"/>
    <n v="4002"/>
  </r>
  <r>
    <x v="0"/>
    <x v="4"/>
    <x v="4"/>
    <x v="74"/>
    <x v="67"/>
    <x v="67"/>
    <s v="REVENUS"/>
    <x v="3"/>
    <s v="4002.007"/>
    <s v="Acompte impôt sur fortune"/>
    <n v="0"/>
    <n v="780.97"/>
    <n v="4002"/>
  </r>
  <r>
    <x v="0"/>
    <x v="4"/>
    <x v="4"/>
    <x v="74"/>
    <x v="67"/>
    <x v="67"/>
    <s v="REVENUS"/>
    <x v="2"/>
    <s v="4001.007"/>
    <s v="Acompte impôt sur revenu"/>
    <n v="0"/>
    <n v="-2308.8000000000002"/>
    <n v="4001"/>
  </r>
  <r>
    <x v="0"/>
    <x v="4"/>
    <x v="4"/>
    <x v="74"/>
    <x v="67"/>
    <x v="67"/>
    <s v="REVENUS"/>
    <x v="5"/>
    <s v="4061.000"/>
    <s v="Impôt sur les chiens"/>
    <n v="0"/>
    <n v="13875"/>
    <n v="4061"/>
  </r>
  <r>
    <x v="0"/>
    <x v="4"/>
    <x v="4"/>
    <x v="74"/>
    <x v="67"/>
    <x v="67"/>
    <s v="REVENUS"/>
    <x v="2"/>
    <s v="4001.007"/>
    <s v="Acompte impôt sur revenu"/>
    <n v="0"/>
    <n v="-9663.07"/>
    <n v="4001"/>
  </r>
  <r>
    <x v="0"/>
    <x v="4"/>
    <x v="4"/>
    <x v="74"/>
    <x v="67"/>
    <x v="67"/>
    <s v="REVENUS"/>
    <x v="2"/>
    <s v="4001.001"/>
    <s v="Impôt revenu"/>
    <n v="0"/>
    <n v="1133.95"/>
    <n v="4001"/>
  </r>
  <r>
    <x v="0"/>
    <x v="4"/>
    <x v="4"/>
    <x v="74"/>
    <x v="67"/>
    <x v="67"/>
    <s v="REVENUS"/>
    <x v="3"/>
    <s v="4002.001"/>
    <s v="Impôt ordinaire s/fortune PP"/>
    <n v="0"/>
    <n v="483.35"/>
    <n v="4002"/>
  </r>
  <r>
    <x v="0"/>
    <x v="4"/>
    <x v="4"/>
    <x v="74"/>
    <x v="67"/>
    <x v="67"/>
    <s v="REVENUS"/>
    <x v="8"/>
    <s v="4091.001"/>
    <s v="Impôt récupéré après défalcations"/>
    <n v="0"/>
    <n v="22377.64"/>
    <n v="4091"/>
  </r>
  <r>
    <x v="0"/>
    <x v="4"/>
    <x v="4"/>
    <x v="74"/>
    <x v="67"/>
    <x v="67"/>
    <s v="REVENUS"/>
    <x v="2"/>
    <s v="4001.001"/>
    <s v="Impôt revenu"/>
    <n v="0"/>
    <n v="26790.45"/>
    <n v="4001"/>
  </r>
  <r>
    <x v="0"/>
    <x v="4"/>
    <x v="4"/>
    <x v="74"/>
    <x v="67"/>
    <x v="67"/>
    <s v="REVENUS"/>
    <x v="3"/>
    <s v="4002.001"/>
    <s v="Impôt ordinaire s/fortune PP"/>
    <n v="0"/>
    <n v="10346.35"/>
    <n v="4002"/>
  </r>
  <r>
    <x v="0"/>
    <x v="4"/>
    <x v="4"/>
    <x v="74"/>
    <x v="67"/>
    <x v="67"/>
    <s v="REVENUS"/>
    <x v="6"/>
    <s v="4211.002"/>
    <s v="Intérêts de retard sur acomptes"/>
    <n v="0"/>
    <n v="12.61"/>
    <n v="4211"/>
  </r>
  <r>
    <x v="0"/>
    <x v="4"/>
    <x v="4"/>
    <x v="74"/>
    <x v="67"/>
    <x v="67"/>
    <s v="REVENUS"/>
    <x v="6"/>
    <s v="4221.003"/>
    <s v="Intérêts compensat. / acomptes en faveur du fisc"/>
    <n v="0"/>
    <n v="2.77"/>
    <n v="4221"/>
  </r>
  <r>
    <x v="0"/>
    <x v="4"/>
    <x v="4"/>
    <x v="74"/>
    <x v="67"/>
    <x v="67"/>
    <s v="REVENUS"/>
    <x v="2"/>
    <s v="4001.001"/>
    <s v="Impôt revenu"/>
    <n v="0"/>
    <n v="702.85"/>
    <n v="4001"/>
  </r>
  <r>
    <x v="0"/>
    <x v="4"/>
    <x v="4"/>
    <x v="74"/>
    <x v="67"/>
    <x v="67"/>
    <s v="REVENUS"/>
    <x v="2"/>
    <s v="4001.001"/>
    <s v="Impôt revenu"/>
    <n v="0"/>
    <n v="5631.65"/>
    <n v="4001"/>
  </r>
  <r>
    <x v="0"/>
    <x v="4"/>
    <x v="4"/>
    <x v="74"/>
    <x v="67"/>
    <x v="67"/>
    <s v="REVENUS"/>
    <x v="3"/>
    <s v="4002.001"/>
    <s v="Impôt ordinaire s/fortune PP"/>
    <n v="0"/>
    <n v="2520.5500000000002"/>
    <n v="4002"/>
  </r>
  <r>
    <x v="0"/>
    <x v="4"/>
    <x v="4"/>
    <x v="74"/>
    <x v="67"/>
    <x v="67"/>
    <s v="REVENUS"/>
    <x v="2"/>
    <s v="4001.002"/>
    <s v="Impôt complément s/revenu PP"/>
    <n v="0"/>
    <n v="9.4"/>
    <n v="4001"/>
  </r>
  <r>
    <x v="0"/>
    <x v="4"/>
    <x v="4"/>
    <x v="74"/>
    <x v="67"/>
    <x v="67"/>
    <s v="REVENUS"/>
    <x v="3"/>
    <s v="4002.002"/>
    <s v="Impôt complémentaire s/fortune PP"/>
    <n v="0"/>
    <n v="42.7"/>
    <n v="4002"/>
  </r>
  <r>
    <x v="0"/>
    <x v="4"/>
    <x v="4"/>
    <x v="74"/>
    <x v="67"/>
    <x v="67"/>
    <s v="REVENUS"/>
    <x v="7"/>
    <s v="4184.000"/>
    <s v="Frais de poursuite"/>
    <n v="0"/>
    <n v="235.47"/>
    <n v="4184"/>
  </r>
  <r>
    <x v="0"/>
    <x v="4"/>
    <x v="4"/>
    <x v="74"/>
    <x v="67"/>
    <x v="67"/>
    <s v="REVENUS"/>
    <x v="2"/>
    <s v="4001.002"/>
    <s v="Impôt complément s/revenu PP"/>
    <n v="0"/>
    <n v="227.45"/>
    <n v="4001"/>
  </r>
  <r>
    <x v="0"/>
    <x v="4"/>
    <x v="4"/>
    <x v="74"/>
    <x v="67"/>
    <x v="67"/>
    <s v="REVENUS"/>
    <x v="6"/>
    <s v="4211.001"/>
    <s v="Intérêts de retard sur factures"/>
    <n v="0"/>
    <n v="0.1"/>
    <n v="4211"/>
  </r>
  <r>
    <x v="0"/>
    <x v="4"/>
    <x v="4"/>
    <x v="74"/>
    <x v="67"/>
    <x v="67"/>
    <s v="REVENUS"/>
    <x v="6"/>
    <s v="4221.003"/>
    <s v="Intérêts compensat. / acomptes en faveur du fisc"/>
    <n v="0"/>
    <n v="0.13"/>
    <n v="4221"/>
  </r>
  <r>
    <x v="0"/>
    <x v="4"/>
    <x v="4"/>
    <x v="74"/>
    <x v="67"/>
    <x v="67"/>
    <s v="REVENUS"/>
    <x v="3"/>
    <s v="4002.002"/>
    <s v="Impôt complémentaire s/fortune PP"/>
    <n v="0"/>
    <n v="72.400000000000006"/>
    <n v="4002"/>
  </r>
  <r>
    <x v="0"/>
    <x v="4"/>
    <x v="4"/>
    <x v="74"/>
    <x v="67"/>
    <x v="67"/>
    <s v="REVENUS"/>
    <x v="6"/>
    <s v="4211.001"/>
    <s v="Intérêts de retard sur factures"/>
    <n v="0"/>
    <n v="1.93"/>
    <n v="4211"/>
  </r>
  <r>
    <x v="0"/>
    <x v="4"/>
    <x v="4"/>
    <x v="74"/>
    <x v="67"/>
    <x v="67"/>
    <s v="REVENUS"/>
    <x v="6"/>
    <s v="4211.002"/>
    <s v="Intérêts de retard sur acomptes"/>
    <n v="0"/>
    <n v="3.71"/>
    <n v="4211"/>
  </r>
  <r>
    <x v="0"/>
    <x v="4"/>
    <x v="4"/>
    <x v="74"/>
    <x v="67"/>
    <x v="67"/>
    <s v="REVENUS"/>
    <x v="6"/>
    <s v="4221.003"/>
    <s v="Intérêts compensat. / acomptes en faveur du fisc"/>
    <n v="0"/>
    <n v="0.67"/>
    <n v="4221"/>
  </r>
  <r>
    <x v="0"/>
    <x v="4"/>
    <x v="4"/>
    <x v="74"/>
    <x v="67"/>
    <x v="67"/>
    <s v="REVENUS"/>
    <x v="6"/>
    <s v="4221.003"/>
    <s v="Intérêts compensat. / acomptes en faveur du fisc"/>
    <n v="0"/>
    <n v="0.05"/>
    <n v="4221"/>
  </r>
  <r>
    <x v="0"/>
    <x v="4"/>
    <x v="4"/>
    <x v="74"/>
    <x v="67"/>
    <x v="67"/>
    <s v="REVENUS"/>
    <x v="6"/>
    <s v="4211.002"/>
    <s v="Intérêts de retard sur acomptes"/>
    <n v="0"/>
    <n v="49.94"/>
    <n v="4211"/>
  </r>
  <r>
    <x v="0"/>
    <x v="4"/>
    <x v="4"/>
    <x v="75"/>
    <x v="68"/>
    <x v="68"/>
    <s v="CHARGES"/>
    <x v="0"/>
    <s v="3212.004"/>
    <s v="Intérêts rémun./perçu trop tôt sur acomptes C/C"/>
    <n v="565"/>
    <n v="0"/>
    <n v="3212"/>
  </r>
  <r>
    <x v="0"/>
    <x v="4"/>
    <x v="4"/>
    <x v="75"/>
    <x v="68"/>
    <x v="68"/>
    <s v="CHARGES"/>
    <x v="0"/>
    <s v="3221.002"/>
    <s v="Intérêts compensatoires / créances en faveur ctb."/>
    <n v="267.26"/>
    <n v="0"/>
    <n v="3221"/>
  </r>
  <r>
    <x v="0"/>
    <x v="4"/>
    <x v="4"/>
    <x v="75"/>
    <x v="68"/>
    <x v="68"/>
    <s v="CHARGES"/>
    <x v="1"/>
    <s v="3301.001"/>
    <s v="Défalcations, abandons de solde PP et IS"/>
    <n v="29242.58"/>
    <n v="0"/>
    <n v="3301"/>
  </r>
  <r>
    <x v="0"/>
    <x v="4"/>
    <x v="4"/>
    <x v="75"/>
    <x v="68"/>
    <x v="68"/>
    <s v="CHARGES"/>
    <x v="0"/>
    <s v="3212.002"/>
    <s v="Intérêts bonifiés/trop perçu acompte C/C"/>
    <n v="48.6"/>
    <n v="0"/>
    <n v="3212"/>
  </r>
  <r>
    <x v="0"/>
    <x v="4"/>
    <x v="4"/>
    <x v="75"/>
    <x v="68"/>
    <x v="68"/>
    <s v="CHARGES"/>
    <x v="0"/>
    <s v="3212.004"/>
    <s v="Intérêts rémun./perçu trop tôt sur acomptes C/C"/>
    <n v="0.28999999999999998"/>
    <n v="0"/>
    <n v="3212"/>
  </r>
  <r>
    <x v="0"/>
    <x v="4"/>
    <x v="4"/>
    <x v="75"/>
    <x v="68"/>
    <x v="68"/>
    <s v="CHARGES"/>
    <x v="0"/>
    <s v="3221.002"/>
    <s v="Intérêts compensatoires / créances en faveur ctb."/>
    <n v="0.4"/>
    <n v="0"/>
    <n v="3221"/>
  </r>
  <r>
    <x v="0"/>
    <x v="4"/>
    <x v="4"/>
    <x v="75"/>
    <x v="68"/>
    <x v="68"/>
    <s v="CHARGES"/>
    <x v="0"/>
    <s v="3212.002"/>
    <s v="Intérêts bonifiés/trop perçu acompte C/C"/>
    <n v="-0.25"/>
    <n v="0"/>
    <n v="3212"/>
  </r>
  <r>
    <x v="0"/>
    <x v="4"/>
    <x v="4"/>
    <x v="75"/>
    <x v="68"/>
    <x v="68"/>
    <s v="CHARGES"/>
    <x v="0"/>
    <s v="3212.004"/>
    <s v="Intérêts rémun./perçu trop tôt sur acomptes C/C"/>
    <n v="-29.36"/>
    <n v="0"/>
    <n v="3212"/>
  </r>
  <r>
    <x v="0"/>
    <x v="4"/>
    <x v="4"/>
    <x v="75"/>
    <x v="68"/>
    <x v="68"/>
    <s v="CHARGES"/>
    <x v="0"/>
    <s v="3221.002"/>
    <s v="Intérêts compensatoires / créances en faveur ctb."/>
    <n v="-37.9"/>
    <n v="0"/>
    <n v="3221"/>
  </r>
  <r>
    <x v="0"/>
    <x v="4"/>
    <x v="4"/>
    <x v="75"/>
    <x v="68"/>
    <x v="68"/>
    <s v="CHARGES"/>
    <x v="0"/>
    <s v="3212.004"/>
    <s v="Intérêts rémun./perçu trop tôt sur acomptes C/C"/>
    <n v="16.48"/>
    <n v="0"/>
    <n v="3212"/>
  </r>
  <r>
    <x v="0"/>
    <x v="4"/>
    <x v="4"/>
    <x v="75"/>
    <x v="68"/>
    <x v="68"/>
    <s v="CHARGES"/>
    <x v="0"/>
    <s v="3212.002"/>
    <s v="Intérêts bonifiés/trop perçu acompte C/C"/>
    <n v="0.08"/>
    <n v="0"/>
    <n v="3212"/>
  </r>
  <r>
    <x v="0"/>
    <x v="4"/>
    <x v="4"/>
    <x v="75"/>
    <x v="68"/>
    <x v="68"/>
    <s v="CHARGES"/>
    <x v="1"/>
    <s v="3301.001"/>
    <s v="Défalcations, abandons de solde PP et IS"/>
    <n v="5378.2"/>
    <n v="0"/>
    <n v="3301"/>
  </r>
  <r>
    <x v="0"/>
    <x v="4"/>
    <x v="4"/>
    <x v="75"/>
    <x v="68"/>
    <x v="68"/>
    <s v="CHARGES"/>
    <x v="0"/>
    <s v="3212.004"/>
    <s v="Intérêts rémun./perçu trop tôt sur acomptes C/C"/>
    <n v="3.37"/>
    <n v="0"/>
    <n v="3212"/>
  </r>
  <r>
    <x v="0"/>
    <x v="4"/>
    <x v="4"/>
    <x v="75"/>
    <x v="68"/>
    <x v="68"/>
    <s v="CHARGES"/>
    <x v="0"/>
    <s v="3221.002"/>
    <s v="Intérêts compensatoires / créances en faveur ctb."/>
    <n v="0.19"/>
    <n v="0"/>
    <n v="3221"/>
  </r>
  <r>
    <x v="0"/>
    <x v="4"/>
    <x v="4"/>
    <x v="75"/>
    <x v="68"/>
    <x v="68"/>
    <s v="CHARGES"/>
    <x v="1"/>
    <s v="3301.001"/>
    <s v="Défalcations, abandons de solde PP et IS"/>
    <n v="0.2"/>
    <n v="0"/>
    <n v="3301"/>
  </r>
  <r>
    <x v="0"/>
    <x v="4"/>
    <x v="4"/>
    <x v="75"/>
    <x v="68"/>
    <x v="68"/>
    <s v="CHARGES"/>
    <x v="0"/>
    <s v="3221.002"/>
    <s v="Intérêts compensatoires / créances en faveur ctb."/>
    <n v="37.43"/>
    <n v="0"/>
    <n v="3221"/>
  </r>
  <r>
    <x v="0"/>
    <x v="4"/>
    <x v="4"/>
    <x v="75"/>
    <x v="68"/>
    <x v="68"/>
    <s v="CHARGES"/>
    <x v="0"/>
    <s v="3212.002"/>
    <s v="Intérêts bonifiés/trop perçu acompte C/C"/>
    <n v="-0.04"/>
    <n v="0"/>
    <n v="3212"/>
  </r>
  <r>
    <x v="0"/>
    <x v="4"/>
    <x v="4"/>
    <x v="75"/>
    <x v="68"/>
    <x v="68"/>
    <s v="CHARGES"/>
    <x v="0"/>
    <s v="3212.004"/>
    <s v="Intérêts rémun./perçu trop tôt sur acomptes C/C"/>
    <n v="-33.22"/>
    <n v="0"/>
    <n v="3212"/>
  </r>
  <r>
    <x v="0"/>
    <x v="4"/>
    <x v="4"/>
    <x v="75"/>
    <x v="68"/>
    <x v="68"/>
    <s v="CHARGES"/>
    <x v="0"/>
    <s v="3221.002"/>
    <s v="Intérêts compensatoires / créances en faveur ctb."/>
    <n v="-4.0199999999999996"/>
    <n v="0"/>
    <n v="3221"/>
  </r>
  <r>
    <x v="0"/>
    <x v="4"/>
    <x v="4"/>
    <x v="75"/>
    <x v="68"/>
    <x v="68"/>
    <s v="CHARGES"/>
    <x v="1"/>
    <s v="3301.001"/>
    <s v="Défalcations, abandons de solde PP et IS"/>
    <n v="-0.11"/>
    <n v="0"/>
    <n v="3301"/>
  </r>
  <r>
    <x v="0"/>
    <x v="4"/>
    <x v="4"/>
    <x v="75"/>
    <x v="68"/>
    <x v="68"/>
    <s v="CHARGES"/>
    <x v="1"/>
    <s v="3301.001"/>
    <s v="Défalcations, abandons de solde PP et IS"/>
    <n v="0.12"/>
    <n v="0"/>
    <n v="3301"/>
  </r>
  <r>
    <x v="0"/>
    <x v="4"/>
    <x v="4"/>
    <x v="75"/>
    <x v="68"/>
    <x v="68"/>
    <s v="REVENUS"/>
    <x v="2"/>
    <s v="4001.001"/>
    <s v="Impôt revenu"/>
    <n v="0"/>
    <n v="2210595.0499999998"/>
    <n v="4001"/>
  </r>
  <r>
    <x v="0"/>
    <x v="4"/>
    <x v="4"/>
    <x v="75"/>
    <x v="68"/>
    <x v="68"/>
    <s v="REVENUS"/>
    <x v="2"/>
    <s v="4001.007"/>
    <s v="Acompte impôt sur revenu"/>
    <n v="0"/>
    <n v="-252913.65"/>
    <n v="4001"/>
  </r>
  <r>
    <x v="0"/>
    <x v="4"/>
    <x v="4"/>
    <x v="75"/>
    <x v="68"/>
    <x v="68"/>
    <s v="REVENUS"/>
    <x v="3"/>
    <s v="4002.001"/>
    <s v="Impôt ordinaire s/fortune PP"/>
    <n v="0"/>
    <n v="386111.5"/>
    <n v="4002"/>
  </r>
  <r>
    <x v="0"/>
    <x v="4"/>
    <x v="4"/>
    <x v="75"/>
    <x v="68"/>
    <x v="68"/>
    <s v="REVENUS"/>
    <x v="3"/>
    <s v="4002.007"/>
    <s v="Acompte impôt sur fortune"/>
    <n v="0"/>
    <n v="-71996.11"/>
    <n v="4002"/>
  </r>
  <r>
    <x v="0"/>
    <x v="4"/>
    <x v="4"/>
    <x v="75"/>
    <x v="68"/>
    <x v="68"/>
    <s v="REVENUS"/>
    <x v="6"/>
    <s v="4211.001"/>
    <s v="Intérêts de retard sur factures"/>
    <n v="0"/>
    <n v="9862.83"/>
    <n v="4211"/>
  </r>
  <r>
    <x v="0"/>
    <x v="4"/>
    <x v="4"/>
    <x v="75"/>
    <x v="68"/>
    <x v="68"/>
    <s v="REVENUS"/>
    <x v="6"/>
    <s v="4221.003"/>
    <s v="Intérêts compensat. / acomptes en faveur du fisc"/>
    <n v="0"/>
    <n v="258.14999999999998"/>
    <n v="4221"/>
  </r>
  <r>
    <x v="0"/>
    <x v="4"/>
    <x v="4"/>
    <x v="75"/>
    <x v="68"/>
    <x v="68"/>
    <s v="REVENUS"/>
    <x v="7"/>
    <s v="4184.000"/>
    <s v="Frais de poursuite"/>
    <n v="0"/>
    <n v="1700.42"/>
    <n v="4184"/>
  </r>
  <r>
    <x v="0"/>
    <x v="4"/>
    <x v="4"/>
    <x v="75"/>
    <x v="68"/>
    <x v="68"/>
    <s v="REVENUS"/>
    <x v="6"/>
    <s v="4211.002"/>
    <s v="Intérêts de retard sur acomptes"/>
    <n v="0"/>
    <n v="13560.48"/>
    <n v="4211"/>
  </r>
  <r>
    <x v="0"/>
    <x v="4"/>
    <x v="4"/>
    <x v="75"/>
    <x v="68"/>
    <x v="68"/>
    <s v="REVENUS"/>
    <x v="7"/>
    <s v="4184.000"/>
    <s v="Frais de poursuite"/>
    <n v="0"/>
    <n v="900.76"/>
    <n v="4184"/>
  </r>
  <r>
    <x v="0"/>
    <x v="4"/>
    <x v="4"/>
    <x v="75"/>
    <x v="68"/>
    <x v="68"/>
    <s v="REVENUS"/>
    <x v="2"/>
    <s v="4001.003"/>
    <s v="Impôt s/prest. cap. PP"/>
    <n v="0"/>
    <n v="20373.900000000001"/>
    <n v="4001"/>
  </r>
  <r>
    <x v="0"/>
    <x v="4"/>
    <x v="4"/>
    <x v="75"/>
    <x v="68"/>
    <x v="68"/>
    <s v="REVENUS"/>
    <x v="2"/>
    <s v="4001.002"/>
    <s v="Impôt complément s/revenu PP"/>
    <n v="0"/>
    <n v="431544"/>
    <n v="4001"/>
  </r>
  <r>
    <x v="0"/>
    <x v="4"/>
    <x v="4"/>
    <x v="75"/>
    <x v="68"/>
    <x v="68"/>
    <s v="REVENUS"/>
    <x v="3"/>
    <s v="4002.002"/>
    <s v="Impôt complémentaire s/fortune PP"/>
    <n v="0"/>
    <n v="53067.55"/>
    <n v="4002"/>
  </r>
  <r>
    <x v="0"/>
    <x v="4"/>
    <x v="4"/>
    <x v="75"/>
    <x v="68"/>
    <x v="68"/>
    <s v="REVENUS"/>
    <x v="9"/>
    <s v="4031.001"/>
    <s v="Impôt sur les gains immobiliers"/>
    <n v="0"/>
    <n v="44301.1"/>
    <n v="4031"/>
  </r>
  <r>
    <x v="0"/>
    <x v="4"/>
    <x v="4"/>
    <x v="75"/>
    <x v="68"/>
    <x v="68"/>
    <s v="REVENUS"/>
    <x v="2"/>
    <s v="4001.007"/>
    <s v="Acompte impôt sur revenu"/>
    <n v="0"/>
    <n v="334.45"/>
    <n v="4001"/>
  </r>
  <r>
    <x v="0"/>
    <x v="4"/>
    <x v="4"/>
    <x v="75"/>
    <x v="68"/>
    <x v="68"/>
    <s v="REVENUS"/>
    <x v="2"/>
    <s v="4001.007"/>
    <s v="Acompte impôt sur revenu"/>
    <n v="0"/>
    <n v="-20772.259999999998"/>
    <n v="4001"/>
  </r>
  <r>
    <x v="0"/>
    <x v="4"/>
    <x v="4"/>
    <x v="75"/>
    <x v="68"/>
    <x v="68"/>
    <s v="REVENUS"/>
    <x v="3"/>
    <s v="4002.007"/>
    <s v="Acompte impôt sur fortune"/>
    <n v="0"/>
    <n v="-2725.06"/>
    <n v="4002"/>
  </r>
  <r>
    <x v="0"/>
    <x v="4"/>
    <x v="4"/>
    <x v="75"/>
    <x v="68"/>
    <x v="68"/>
    <s v="REVENUS"/>
    <x v="2"/>
    <s v="4001.001"/>
    <s v="Impôt revenu"/>
    <n v="0"/>
    <n v="946.65"/>
    <n v="4001"/>
  </r>
  <r>
    <x v="0"/>
    <x v="4"/>
    <x v="4"/>
    <x v="75"/>
    <x v="68"/>
    <x v="68"/>
    <s v="REVENUS"/>
    <x v="3"/>
    <s v="4002.001"/>
    <s v="Impôt ordinaire s/fortune PP"/>
    <n v="0"/>
    <n v="-1004.8"/>
    <n v="4002"/>
  </r>
  <r>
    <x v="0"/>
    <x v="4"/>
    <x v="4"/>
    <x v="75"/>
    <x v="68"/>
    <x v="68"/>
    <s v="REVENUS"/>
    <x v="2"/>
    <s v="4001.007"/>
    <s v="Acompte impôt sur revenu"/>
    <n v="0"/>
    <n v="1608.75"/>
    <n v="4001"/>
  </r>
  <r>
    <x v="0"/>
    <x v="4"/>
    <x v="4"/>
    <x v="75"/>
    <x v="68"/>
    <x v="68"/>
    <s v="REVENUS"/>
    <x v="3"/>
    <s v="4002.007"/>
    <s v="Acompte impôt sur fortune"/>
    <n v="0"/>
    <n v="865.95"/>
    <n v="4002"/>
  </r>
  <r>
    <x v="0"/>
    <x v="4"/>
    <x v="4"/>
    <x v="75"/>
    <x v="68"/>
    <x v="68"/>
    <s v="REVENUS"/>
    <x v="2"/>
    <s v="4001.001"/>
    <s v="Impôt revenu"/>
    <n v="0"/>
    <n v="8554.5499999999993"/>
    <n v="4001"/>
  </r>
  <r>
    <x v="0"/>
    <x v="4"/>
    <x v="4"/>
    <x v="75"/>
    <x v="68"/>
    <x v="68"/>
    <s v="REVENUS"/>
    <x v="2"/>
    <s v="4001.002"/>
    <s v="Impôt complément s/revenu PP"/>
    <n v="0"/>
    <n v="71465.8"/>
    <n v="4001"/>
  </r>
  <r>
    <x v="0"/>
    <x v="4"/>
    <x v="4"/>
    <x v="75"/>
    <x v="68"/>
    <x v="68"/>
    <s v="REVENUS"/>
    <x v="3"/>
    <s v="4002.001"/>
    <s v="Impôt ordinaire s/fortune PP"/>
    <n v="0"/>
    <n v="8322.25"/>
    <n v="4002"/>
  </r>
  <r>
    <x v="0"/>
    <x v="4"/>
    <x v="4"/>
    <x v="75"/>
    <x v="68"/>
    <x v="68"/>
    <s v="REVENUS"/>
    <x v="3"/>
    <s v="4002.002"/>
    <s v="Impôt complémentaire s/fortune PP"/>
    <n v="0"/>
    <n v="3741.4"/>
    <n v="4002"/>
  </r>
  <r>
    <x v="0"/>
    <x v="4"/>
    <x v="4"/>
    <x v="75"/>
    <x v="68"/>
    <x v="68"/>
    <s v="REVENUS"/>
    <x v="2"/>
    <s v="4001.001"/>
    <s v="Impôt revenu"/>
    <n v="0"/>
    <n v="8511.5499999999993"/>
    <n v="4001"/>
  </r>
  <r>
    <x v="0"/>
    <x v="4"/>
    <x v="4"/>
    <x v="75"/>
    <x v="68"/>
    <x v="68"/>
    <s v="REVENUS"/>
    <x v="2"/>
    <s v="4001.007"/>
    <s v="Acompte impôt sur revenu"/>
    <n v="0"/>
    <n v="-1210.05"/>
    <n v="4001"/>
  </r>
  <r>
    <x v="0"/>
    <x v="4"/>
    <x v="4"/>
    <x v="75"/>
    <x v="68"/>
    <x v="68"/>
    <s v="REVENUS"/>
    <x v="3"/>
    <s v="4002.001"/>
    <s v="Impôt ordinaire s/fortune PP"/>
    <n v="0"/>
    <n v="11895.45"/>
    <n v="4002"/>
  </r>
  <r>
    <x v="0"/>
    <x v="4"/>
    <x v="4"/>
    <x v="75"/>
    <x v="68"/>
    <x v="68"/>
    <s v="REVENUS"/>
    <x v="3"/>
    <s v="4002.007"/>
    <s v="Acompte impôt sur fortune"/>
    <n v="0"/>
    <n v="247.4"/>
    <n v="4002"/>
  </r>
  <r>
    <x v="0"/>
    <x v="4"/>
    <x v="4"/>
    <x v="75"/>
    <x v="68"/>
    <x v="68"/>
    <s v="REVENUS"/>
    <x v="6"/>
    <s v="4211.002"/>
    <s v="Intérêts de retard sur acomptes"/>
    <n v="0"/>
    <n v="1.02"/>
    <n v="4211"/>
  </r>
  <r>
    <x v="0"/>
    <x v="4"/>
    <x v="4"/>
    <x v="75"/>
    <x v="68"/>
    <x v="68"/>
    <s v="REVENUS"/>
    <x v="3"/>
    <s v="4002.007"/>
    <s v="Acompte impôt sur fortune"/>
    <n v="0"/>
    <n v="4757.6400000000003"/>
    <n v="4002"/>
  </r>
  <r>
    <x v="0"/>
    <x v="4"/>
    <x v="4"/>
    <x v="75"/>
    <x v="68"/>
    <x v="68"/>
    <s v="REVENUS"/>
    <x v="2"/>
    <s v="4001.007"/>
    <s v="Acompte impôt sur revenu"/>
    <n v="0"/>
    <n v="-114.3"/>
    <n v="4001"/>
  </r>
  <r>
    <x v="0"/>
    <x v="4"/>
    <x v="4"/>
    <x v="75"/>
    <x v="68"/>
    <x v="68"/>
    <s v="REVENUS"/>
    <x v="3"/>
    <s v="4002.007"/>
    <s v="Acompte impôt sur fortune"/>
    <n v="0"/>
    <n v="-40.6"/>
    <n v="4002"/>
  </r>
  <r>
    <x v="0"/>
    <x v="4"/>
    <x v="4"/>
    <x v="75"/>
    <x v="68"/>
    <x v="68"/>
    <s v="REVENUS"/>
    <x v="6"/>
    <s v="4221.002"/>
    <s v="Intérêts compensat. sur impôts distincts"/>
    <n v="0"/>
    <n v="15.3"/>
    <n v="4221"/>
  </r>
  <r>
    <x v="0"/>
    <x v="4"/>
    <x v="4"/>
    <x v="75"/>
    <x v="68"/>
    <x v="68"/>
    <s v="REVENUS"/>
    <x v="6"/>
    <s v="4211.001"/>
    <s v="Intérêts de retard sur factures"/>
    <n v="0"/>
    <n v="3250.11"/>
    <n v="4211"/>
  </r>
  <r>
    <x v="0"/>
    <x v="4"/>
    <x v="4"/>
    <x v="75"/>
    <x v="68"/>
    <x v="68"/>
    <s v="REVENUS"/>
    <x v="6"/>
    <s v="4221.003"/>
    <s v="Intérêts compensat. / acomptes en faveur du fisc"/>
    <n v="0"/>
    <n v="77.98"/>
    <n v="4221"/>
  </r>
  <r>
    <x v="0"/>
    <x v="4"/>
    <x v="4"/>
    <x v="75"/>
    <x v="68"/>
    <x v="68"/>
    <s v="REVENUS"/>
    <x v="6"/>
    <s v="4211.001"/>
    <s v="Intérêts de retard sur factures"/>
    <n v="0"/>
    <n v="1.68"/>
    <n v="4211"/>
  </r>
  <r>
    <x v="0"/>
    <x v="4"/>
    <x v="4"/>
    <x v="75"/>
    <x v="68"/>
    <x v="68"/>
    <s v="REVENUS"/>
    <x v="2"/>
    <s v="4001.001"/>
    <s v="Impôt revenu"/>
    <n v="0"/>
    <n v="2130.85"/>
    <n v="4001"/>
  </r>
  <r>
    <x v="0"/>
    <x v="4"/>
    <x v="4"/>
    <x v="75"/>
    <x v="68"/>
    <x v="68"/>
    <s v="REVENUS"/>
    <x v="3"/>
    <s v="4002.001"/>
    <s v="Impôt ordinaire s/fortune PP"/>
    <n v="0"/>
    <n v="2396.35"/>
    <n v="4002"/>
  </r>
  <r>
    <x v="0"/>
    <x v="4"/>
    <x v="4"/>
    <x v="75"/>
    <x v="68"/>
    <x v="68"/>
    <s v="REVENUS"/>
    <x v="7"/>
    <s v="4184.000"/>
    <s v="Frais de poursuite"/>
    <n v="0"/>
    <n v="80.290000000000006"/>
    <n v="4184"/>
  </r>
  <r>
    <x v="0"/>
    <x v="4"/>
    <x v="4"/>
    <x v="75"/>
    <x v="68"/>
    <x v="68"/>
    <s v="REVENUS"/>
    <x v="6"/>
    <s v="4211.001"/>
    <s v="Intérêts de retard sur factures"/>
    <n v="0"/>
    <n v="0.17"/>
    <n v="4211"/>
  </r>
  <r>
    <x v="0"/>
    <x v="4"/>
    <x v="4"/>
    <x v="75"/>
    <x v="68"/>
    <x v="68"/>
    <s v="REVENUS"/>
    <x v="6"/>
    <s v="4211.002"/>
    <s v="Intérêts de retard sur acomptes"/>
    <n v="0"/>
    <n v="1.21"/>
    <n v="4211"/>
  </r>
  <r>
    <x v="0"/>
    <x v="4"/>
    <x v="4"/>
    <x v="75"/>
    <x v="68"/>
    <x v="68"/>
    <s v="REVENUS"/>
    <x v="2"/>
    <s v="4001.001"/>
    <s v="Impôt revenu"/>
    <n v="0"/>
    <n v="-30275.8"/>
    <n v="4001"/>
  </r>
  <r>
    <x v="0"/>
    <x v="4"/>
    <x v="4"/>
    <x v="75"/>
    <x v="68"/>
    <x v="68"/>
    <s v="REVENUS"/>
    <x v="2"/>
    <s v="4001.002"/>
    <s v="Impôt complément s/revenu PP"/>
    <n v="0"/>
    <n v="-8399.85"/>
    <n v="4001"/>
  </r>
  <r>
    <x v="0"/>
    <x v="4"/>
    <x v="4"/>
    <x v="75"/>
    <x v="68"/>
    <x v="68"/>
    <s v="REVENUS"/>
    <x v="3"/>
    <s v="4002.001"/>
    <s v="Impôt ordinaire s/fortune PP"/>
    <n v="0"/>
    <n v="-979.15"/>
    <n v="4002"/>
  </r>
  <r>
    <x v="0"/>
    <x v="4"/>
    <x v="4"/>
    <x v="75"/>
    <x v="68"/>
    <x v="68"/>
    <s v="REVENUS"/>
    <x v="3"/>
    <s v="4002.002"/>
    <s v="Impôt complémentaire s/fortune PP"/>
    <n v="0"/>
    <n v="-222.15"/>
    <n v="4002"/>
  </r>
  <r>
    <x v="0"/>
    <x v="4"/>
    <x v="4"/>
    <x v="75"/>
    <x v="68"/>
    <x v="68"/>
    <s v="REVENUS"/>
    <x v="6"/>
    <s v="4221.003"/>
    <s v="Intérêts compensat. / acomptes en faveur du fisc"/>
    <n v="0"/>
    <n v="-1.2"/>
    <n v="4221"/>
  </r>
  <r>
    <x v="0"/>
    <x v="4"/>
    <x v="4"/>
    <x v="75"/>
    <x v="68"/>
    <x v="68"/>
    <s v="REVENUS"/>
    <x v="2"/>
    <s v="4001.002"/>
    <s v="Impôt complément s/revenu PP"/>
    <n v="0"/>
    <n v="1542.95"/>
    <n v="4001"/>
  </r>
  <r>
    <x v="0"/>
    <x v="4"/>
    <x v="4"/>
    <x v="75"/>
    <x v="68"/>
    <x v="68"/>
    <s v="REVENUS"/>
    <x v="3"/>
    <s v="4002.002"/>
    <s v="Impôt complémentaire s/fortune PP"/>
    <n v="0"/>
    <n v="2493.3000000000002"/>
    <n v="4002"/>
  </r>
  <r>
    <x v="0"/>
    <x v="4"/>
    <x v="4"/>
    <x v="75"/>
    <x v="68"/>
    <x v="68"/>
    <s v="REVENUS"/>
    <x v="6"/>
    <s v="4221.003"/>
    <s v="Intérêts compensat. / acomptes en faveur du fisc"/>
    <n v="0"/>
    <n v="0.03"/>
    <n v="4221"/>
  </r>
  <r>
    <x v="0"/>
    <x v="4"/>
    <x v="4"/>
    <x v="75"/>
    <x v="68"/>
    <x v="68"/>
    <s v="REVENUS"/>
    <x v="8"/>
    <s v="4091.001"/>
    <s v="Impôt récupéré après défalcations"/>
    <n v="0"/>
    <n v="604.61"/>
    <n v="4091"/>
  </r>
  <r>
    <x v="0"/>
    <x v="4"/>
    <x v="4"/>
    <x v="75"/>
    <x v="68"/>
    <x v="68"/>
    <s v="REVENUS"/>
    <x v="8"/>
    <s v="4091.001"/>
    <s v="Impôt récupéré après défalcations"/>
    <n v="0"/>
    <n v="1225.3699999999999"/>
    <n v="4091"/>
  </r>
  <r>
    <x v="0"/>
    <x v="4"/>
    <x v="4"/>
    <x v="75"/>
    <x v="68"/>
    <x v="68"/>
    <s v="REVENUS"/>
    <x v="6"/>
    <s v="4211.002"/>
    <s v="Intérêts de retard sur acomptes"/>
    <n v="0"/>
    <n v="19.62"/>
    <n v="4211"/>
  </r>
  <r>
    <x v="0"/>
    <x v="4"/>
    <x v="4"/>
    <x v="75"/>
    <x v="68"/>
    <x v="68"/>
    <s v="REVENUS"/>
    <x v="6"/>
    <s v="4221.003"/>
    <s v="Intérêts compensat. / acomptes en faveur du fisc"/>
    <n v="0"/>
    <n v="0.12"/>
    <n v="4221"/>
  </r>
  <r>
    <x v="0"/>
    <x v="4"/>
    <x v="4"/>
    <x v="76"/>
    <x v="69"/>
    <x v="69"/>
    <s v="CHARGES"/>
    <x v="1"/>
    <s v="3301.001"/>
    <s v="Défalcations, abandons de solde PP et IS"/>
    <n v="527.69000000000005"/>
    <n v="0"/>
    <n v="3301"/>
  </r>
  <r>
    <x v="0"/>
    <x v="4"/>
    <x v="4"/>
    <x v="76"/>
    <x v="69"/>
    <x v="69"/>
    <s v="CHARGES"/>
    <x v="0"/>
    <s v="3212.004"/>
    <s v="Intérêts rémun./perçu trop tôt sur acomptes C/C"/>
    <n v="129.09"/>
    <n v="0"/>
    <n v="3212"/>
  </r>
  <r>
    <x v="0"/>
    <x v="4"/>
    <x v="4"/>
    <x v="76"/>
    <x v="69"/>
    <x v="69"/>
    <s v="CHARGES"/>
    <x v="0"/>
    <s v="3221.002"/>
    <s v="Intérêts compensatoires / créances en faveur ctb."/>
    <n v="48.75"/>
    <n v="0"/>
    <n v="3221"/>
  </r>
  <r>
    <x v="0"/>
    <x v="4"/>
    <x v="4"/>
    <x v="76"/>
    <x v="69"/>
    <x v="69"/>
    <s v="CHARGES"/>
    <x v="0"/>
    <s v="3212.004"/>
    <s v="Intérêts rémun./perçu trop tôt sur acomptes C/C"/>
    <n v="2.04"/>
    <n v="0"/>
    <n v="3212"/>
  </r>
  <r>
    <x v="0"/>
    <x v="4"/>
    <x v="4"/>
    <x v="76"/>
    <x v="69"/>
    <x v="69"/>
    <s v="CHARGES"/>
    <x v="0"/>
    <s v="3221.002"/>
    <s v="Intérêts compensatoires / créances en faveur ctb."/>
    <n v="4.76"/>
    <n v="0"/>
    <n v="3221"/>
  </r>
  <r>
    <x v="0"/>
    <x v="4"/>
    <x v="4"/>
    <x v="76"/>
    <x v="69"/>
    <x v="69"/>
    <s v="CHARGES"/>
    <x v="0"/>
    <s v="3212.004"/>
    <s v="Intérêts rémun./perçu trop tôt sur acomptes C/C"/>
    <n v="1.79"/>
    <n v="0"/>
    <n v="3212"/>
  </r>
  <r>
    <x v="0"/>
    <x v="4"/>
    <x v="4"/>
    <x v="76"/>
    <x v="69"/>
    <x v="69"/>
    <s v="CHARGES"/>
    <x v="0"/>
    <s v="3221.002"/>
    <s v="Intérêts compensatoires / créances en faveur ctb."/>
    <n v="0.53"/>
    <n v="0"/>
    <n v="3221"/>
  </r>
  <r>
    <x v="0"/>
    <x v="4"/>
    <x v="4"/>
    <x v="76"/>
    <x v="69"/>
    <x v="69"/>
    <s v="CHARGES"/>
    <x v="0"/>
    <s v="3212.002"/>
    <s v="Intérêts bonifiés/trop perçu acompte C/C"/>
    <n v="6.13"/>
    <n v="0"/>
    <n v="3212"/>
  </r>
  <r>
    <x v="0"/>
    <x v="4"/>
    <x v="4"/>
    <x v="76"/>
    <x v="69"/>
    <x v="69"/>
    <s v="CHARGES"/>
    <x v="0"/>
    <s v="3212.004"/>
    <s v="Intérêts rémun./perçu trop tôt sur acomptes C/C"/>
    <n v="10.72"/>
    <n v="0"/>
    <n v="3212"/>
  </r>
  <r>
    <x v="0"/>
    <x v="4"/>
    <x v="4"/>
    <x v="76"/>
    <x v="69"/>
    <x v="69"/>
    <s v="CHARGES"/>
    <x v="0"/>
    <s v="3221.002"/>
    <s v="Intérêts compensatoires / créances en faveur ctb."/>
    <n v="17.3"/>
    <n v="0"/>
    <n v="3221"/>
  </r>
  <r>
    <x v="0"/>
    <x v="4"/>
    <x v="4"/>
    <x v="76"/>
    <x v="69"/>
    <x v="69"/>
    <s v="CHARGES"/>
    <x v="1"/>
    <s v="3301.001"/>
    <s v="Défalcations, abandons de solde PP et IS"/>
    <n v="9794.7099999999991"/>
    <n v="0"/>
    <n v="3301"/>
  </r>
  <r>
    <x v="0"/>
    <x v="4"/>
    <x v="4"/>
    <x v="76"/>
    <x v="69"/>
    <x v="69"/>
    <s v="CHARGES"/>
    <x v="1"/>
    <s v="3301.001"/>
    <s v="Défalcations, abandons de solde PP et IS"/>
    <n v="0.13"/>
    <n v="0"/>
    <n v="3301"/>
  </r>
  <r>
    <x v="0"/>
    <x v="4"/>
    <x v="4"/>
    <x v="76"/>
    <x v="69"/>
    <x v="69"/>
    <s v="CHARGES"/>
    <x v="0"/>
    <s v="3212.004"/>
    <s v="Intérêts rémun./perçu trop tôt sur acomptes C/C"/>
    <n v="0.02"/>
    <n v="0"/>
    <n v="3212"/>
  </r>
  <r>
    <x v="0"/>
    <x v="4"/>
    <x v="4"/>
    <x v="76"/>
    <x v="69"/>
    <x v="69"/>
    <s v="CHARGES"/>
    <x v="0"/>
    <s v="3221.002"/>
    <s v="Intérêts compensatoires / créances en faveur ctb."/>
    <n v="0.02"/>
    <n v="0"/>
    <n v="3221"/>
  </r>
  <r>
    <x v="0"/>
    <x v="4"/>
    <x v="4"/>
    <x v="76"/>
    <x v="69"/>
    <x v="69"/>
    <s v="CHARGES"/>
    <x v="1"/>
    <s v="3301.001"/>
    <s v="Défalcations, abandons de solde PP et IS"/>
    <n v="0.87"/>
    <n v="0"/>
    <n v="3301"/>
  </r>
  <r>
    <x v="0"/>
    <x v="4"/>
    <x v="4"/>
    <x v="76"/>
    <x v="69"/>
    <x v="69"/>
    <s v="CHARGES"/>
    <x v="1"/>
    <s v="3301.001"/>
    <s v="Défalcations, abandons de solde PP et IS"/>
    <n v="153.44999999999999"/>
    <n v="0"/>
    <n v="3301"/>
  </r>
  <r>
    <x v="0"/>
    <x v="4"/>
    <x v="4"/>
    <x v="76"/>
    <x v="69"/>
    <x v="69"/>
    <s v="REVENUS"/>
    <x v="6"/>
    <s v="4211.001"/>
    <s v="Intérêts de retard sur factures"/>
    <n v="0"/>
    <n v="1929.64"/>
    <n v="4211"/>
  </r>
  <r>
    <x v="0"/>
    <x v="4"/>
    <x v="4"/>
    <x v="76"/>
    <x v="69"/>
    <x v="69"/>
    <s v="REVENUS"/>
    <x v="2"/>
    <s v="4001.001"/>
    <s v="Impôt revenu"/>
    <n v="0"/>
    <n v="1005863.3"/>
    <n v="4001"/>
  </r>
  <r>
    <x v="0"/>
    <x v="4"/>
    <x v="4"/>
    <x v="76"/>
    <x v="69"/>
    <x v="69"/>
    <s v="REVENUS"/>
    <x v="2"/>
    <s v="4001.002"/>
    <s v="Impôt complément s/revenu PP"/>
    <n v="0"/>
    <n v="79935.850000000006"/>
    <n v="4001"/>
  </r>
  <r>
    <x v="0"/>
    <x v="4"/>
    <x v="4"/>
    <x v="76"/>
    <x v="69"/>
    <x v="69"/>
    <s v="REVENUS"/>
    <x v="2"/>
    <s v="4001.003"/>
    <s v="Impôt s/prest. cap. PP"/>
    <n v="0"/>
    <n v="10168.6"/>
    <n v="4001"/>
  </r>
  <r>
    <x v="0"/>
    <x v="4"/>
    <x v="4"/>
    <x v="76"/>
    <x v="69"/>
    <x v="69"/>
    <s v="REVENUS"/>
    <x v="2"/>
    <s v="4001.007"/>
    <s v="Acompte impôt sur revenu"/>
    <n v="0"/>
    <n v="-118829.21"/>
    <n v="4001"/>
  </r>
  <r>
    <x v="0"/>
    <x v="4"/>
    <x v="4"/>
    <x v="76"/>
    <x v="69"/>
    <x v="69"/>
    <s v="REVENUS"/>
    <x v="3"/>
    <s v="4002.001"/>
    <s v="Impôt ordinaire s/fortune PP"/>
    <n v="0"/>
    <n v="71557"/>
    <n v="4002"/>
  </r>
  <r>
    <x v="0"/>
    <x v="4"/>
    <x v="4"/>
    <x v="76"/>
    <x v="69"/>
    <x v="69"/>
    <s v="REVENUS"/>
    <x v="3"/>
    <s v="4002.002"/>
    <s v="Impôt complémentaire s/fortune PP"/>
    <n v="0"/>
    <n v="7559.35"/>
    <n v="4002"/>
  </r>
  <r>
    <x v="0"/>
    <x v="4"/>
    <x v="4"/>
    <x v="76"/>
    <x v="69"/>
    <x v="69"/>
    <s v="REVENUS"/>
    <x v="6"/>
    <s v="4221.002"/>
    <s v="Intérêts compensat. sur impôts distincts"/>
    <n v="0"/>
    <n v="3.65"/>
    <n v="4221"/>
  </r>
  <r>
    <x v="0"/>
    <x v="4"/>
    <x v="4"/>
    <x v="76"/>
    <x v="69"/>
    <x v="69"/>
    <s v="REVENUS"/>
    <x v="6"/>
    <s v="4211.002"/>
    <s v="Intérêts de retard sur acomptes"/>
    <n v="0"/>
    <n v="6071.03"/>
    <n v="4211"/>
  </r>
  <r>
    <x v="0"/>
    <x v="4"/>
    <x v="4"/>
    <x v="76"/>
    <x v="69"/>
    <x v="69"/>
    <s v="REVENUS"/>
    <x v="3"/>
    <s v="4002.007"/>
    <s v="Acompte impôt sur fortune"/>
    <n v="0"/>
    <n v="9608.64"/>
    <n v="4002"/>
  </r>
  <r>
    <x v="0"/>
    <x v="4"/>
    <x v="4"/>
    <x v="76"/>
    <x v="69"/>
    <x v="69"/>
    <s v="REVENUS"/>
    <x v="6"/>
    <s v="4221.003"/>
    <s v="Intérêts compensat. / acomptes en faveur du fisc"/>
    <n v="0"/>
    <n v="85.74"/>
    <n v="4221"/>
  </r>
  <r>
    <x v="0"/>
    <x v="4"/>
    <x v="4"/>
    <x v="76"/>
    <x v="69"/>
    <x v="69"/>
    <s v="REVENUS"/>
    <x v="2"/>
    <s v="4001.007"/>
    <s v="Acompte impôt sur revenu"/>
    <n v="0"/>
    <n v="-552.46"/>
    <n v="4001"/>
  </r>
  <r>
    <x v="0"/>
    <x v="4"/>
    <x v="4"/>
    <x v="76"/>
    <x v="69"/>
    <x v="69"/>
    <s v="REVENUS"/>
    <x v="3"/>
    <s v="4002.007"/>
    <s v="Acompte impôt sur fortune"/>
    <n v="0"/>
    <n v="-913.66"/>
    <n v="4002"/>
  </r>
  <r>
    <x v="0"/>
    <x v="4"/>
    <x v="4"/>
    <x v="76"/>
    <x v="69"/>
    <x v="69"/>
    <s v="REVENUS"/>
    <x v="2"/>
    <s v="4001.001"/>
    <s v="Impôt revenu"/>
    <n v="0"/>
    <n v="5582.3"/>
    <n v="4001"/>
  </r>
  <r>
    <x v="0"/>
    <x v="4"/>
    <x v="4"/>
    <x v="76"/>
    <x v="69"/>
    <x v="69"/>
    <s v="REVENUS"/>
    <x v="3"/>
    <s v="4002.001"/>
    <s v="Impôt ordinaire s/fortune PP"/>
    <n v="0"/>
    <n v="2600.6"/>
    <n v="4002"/>
  </r>
  <r>
    <x v="0"/>
    <x v="4"/>
    <x v="4"/>
    <x v="76"/>
    <x v="69"/>
    <x v="69"/>
    <s v="REVENUS"/>
    <x v="6"/>
    <s v="4211.002"/>
    <s v="Intérêts de retard sur acomptes"/>
    <n v="0"/>
    <n v="3.69"/>
    <n v="4211"/>
  </r>
  <r>
    <x v="0"/>
    <x v="4"/>
    <x v="4"/>
    <x v="76"/>
    <x v="69"/>
    <x v="69"/>
    <s v="REVENUS"/>
    <x v="6"/>
    <s v="4221.003"/>
    <s v="Intérêts compensat. / acomptes en faveur du fisc"/>
    <n v="0"/>
    <n v="1.03"/>
    <n v="4221"/>
  </r>
  <r>
    <x v="0"/>
    <x v="4"/>
    <x v="4"/>
    <x v="76"/>
    <x v="69"/>
    <x v="69"/>
    <s v="REVENUS"/>
    <x v="2"/>
    <s v="4001.007"/>
    <s v="Acompte impôt sur revenu"/>
    <n v="0"/>
    <n v="-1762.22"/>
    <n v="4001"/>
  </r>
  <r>
    <x v="0"/>
    <x v="4"/>
    <x v="4"/>
    <x v="76"/>
    <x v="69"/>
    <x v="69"/>
    <s v="REVENUS"/>
    <x v="3"/>
    <s v="4002.007"/>
    <s v="Acompte impôt sur fortune"/>
    <n v="0"/>
    <n v="2008.15"/>
    <n v="4002"/>
  </r>
  <r>
    <x v="0"/>
    <x v="4"/>
    <x v="4"/>
    <x v="76"/>
    <x v="69"/>
    <x v="69"/>
    <s v="REVENUS"/>
    <x v="3"/>
    <s v="4002.007"/>
    <s v="Acompte impôt sur fortune"/>
    <n v="0"/>
    <n v="186.56"/>
    <n v="4002"/>
  </r>
  <r>
    <x v="0"/>
    <x v="4"/>
    <x v="4"/>
    <x v="76"/>
    <x v="69"/>
    <x v="69"/>
    <s v="REVENUS"/>
    <x v="2"/>
    <s v="4001.001"/>
    <s v="Impôt revenu"/>
    <n v="0"/>
    <n v="1465.45"/>
    <n v="4001"/>
  </r>
  <r>
    <x v="0"/>
    <x v="4"/>
    <x v="4"/>
    <x v="76"/>
    <x v="69"/>
    <x v="69"/>
    <s v="REVENUS"/>
    <x v="3"/>
    <s v="4002.001"/>
    <s v="Impôt ordinaire s/fortune PP"/>
    <n v="0"/>
    <n v="1769.85"/>
    <n v="4002"/>
  </r>
  <r>
    <x v="0"/>
    <x v="4"/>
    <x v="4"/>
    <x v="76"/>
    <x v="69"/>
    <x v="69"/>
    <s v="REVENUS"/>
    <x v="2"/>
    <s v="4001.007"/>
    <s v="Acompte impôt sur revenu"/>
    <n v="0"/>
    <n v="432.05"/>
    <n v="4001"/>
  </r>
  <r>
    <x v="0"/>
    <x v="4"/>
    <x v="4"/>
    <x v="76"/>
    <x v="69"/>
    <x v="69"/>
    <s v="REVENUS"/>
    <x v="3"/>
    <s v="4002.007"/>
    <s v="Acompte impôt sur fortune"/>
    <n v="0"/>
    <n v="60.22"/>
    <n v="4002"/>
  </r>
  <r>
    <x v="0"/>
    <x v="4"/>
    <x v="4"/>
    <x v="76"/>
    <x v="69"/>
    <x v="69"/>
    <s v="REVENUS"/>
    <x v="7"/>
    <s v="4184.000"/>
    <s v="Frais de poursuite"/>
    <n v="0"/>
    <n v="475.85"/>
    <n v="4184"/>
  </r>
  <r>
    <x v="0"/>
    <x v="4"/>
    <x v="4"/>
    <x v="76"/>
    <x v="69"/>
    <x v="69"/>
    <s v="REVENUS"/>
    <x v="2"/>
    <s v="4001.007"/>
    <s v="Acompte impôt sur revenu"/>
    <n v="0"/>
    <n v="918.75"/>
    <n v="4001"/>
  </r>
  <r>
    <x v="0"/>
    <x v="4"/>
    <x v="4"/>
    <x v="76"/>
    <x v="69"/>
    <x v="69"/>
    <s v="REVENUS"/>
    <x v="10"/>
    <s v="4041.001"/>
    <s v="Droits de mutation"/>
    <n v="0"/>
    <n v="31592"/>
    <n v="4041"/>
  </r>
  <r>
    <x v="0"/>
    <x v="4"/>
    <x v="4"/>
    <x v="76"/>
    <x v="69"/>
    <x v="69"/>
    <s v="REVENUS"/>
    <x v="9"/>
    <s v="4031.001"/>
    <s v="Impôt sur les gains immobiliers"/>
    <n v="0"/>
    <n v="35181.300000000003"/>
    <n v="4031"/>
  </r>
  <r>
    <x v="0"/>
    <x v="4"/>
    <x v="4"/>
    <x v="76"/>
    <x v="69"/>
    <x v="69"/>
    <s v="REVENUS"/>
    <x v="3"/>
    <s v="4002.007"/>
    <s v="Acompte impôt sur fortune"/>
    <n v="0"/>
    <n v="-14.25"/>
    <n v="4002"/>
  </r>
  <r>
    <x v="0"/>
    <x v="4"/>
    <x v="4"/>
    <x v="76"/>
    <x v="69"/>
    <x v="69"/>
    <s v="REVENUS"/>
    <x v="2"/>
    <s v="4001.007"/>
    <s v="Acompte impôt sur revenu"/>
    <n v="0"/>
    <n v="2463.75"/>
    <n v="4001"/>
  </r>
  <r>
    <x v="0"/>
    <x v="4"/>
    <x v="4"/>
    <x v="76"/>
    <x v="69"/>
    <x v="69"/>
    <s v="REVENUS"/>
    <x v="3"/>
    <s v="4002.007"/>
    <s v="Acompte impôt sur fortune"/>
    <n v="0"/>
    <n v="4660.25"/>
    <n v="4002"/>
  </r>
  <r>
    <x v="0"/>
    <x v="4"/>
    <x v="4"/>
    <x v="76"/>
    <x v="69"/>
    <x v="69"/>
    <s v="REVENUS"/>
    <x v="3"/>
    <s v="4002.001"/>
    <s v="Impôt ordinaire s/fortune PP"/>
    <n v="0"/>
    <n v="1489.95"/>
    <n v="4002"/>
  </r>
  <r>
    <x v="0"/>
    <x v="4"/>
    <x v="4"/>
    <x v="76"/>
    <x v="69"/>
    <x v="69"/>
    <s v="REVENUS"/>
    <x v="4"/>
    <s v="4051.002"/>
    <s v="Impôt sur les donations"/>
    <n v="0"/>
    <n v="2932.9"/>
    <n v="4051"/>
  </r>
  <r>
    <x v="0"/>
    <x v="4"/>
    <x v="4"/>
    <x v="76"/>
    <x v="69"/>
    <x v="69"/>
    <s v="REVENUS"/>
    <x v="7"/>
    <s v="4184.000"/>
    <s v="Frais de poursuite"/>
    <n v="0"/>
    <n v="506.75"/>
    <n v="4184"/>
  </r>
  <r>
    <x v="0"/>
    <x v="4"/>
    <x v="4"/>
    <x v="76"/>
    <x v="69"/>
    <x v="69"/>
    <s v="REVENUS"/>
    <x v="2"/>
    <s v="4001.001"/>
    <s v="Impôt revenu"/>
    <n v="0"/>
    <n v="2339"/>
    <n v="4001"/>
  </r>
  <r>
    <x v="0"/>
    <x v="4"/>
    <x v="4"/>
    <x v="76"/>
    <x v="69"/>
    <x v="69"/>
    <s v="REVENUS"/>
    <x v="6"/>
    <s v="4211.002"/>
    <s v="Intérêts de retard sur acomptes"/>
    <n v="0"/>
    <n v="21.05"/>
    <n v="4211"/>
  </r>
  <r>
    <x v="0"/>
    <x v="4"/>
    <x v="4"/>
    <x v="76"/>
    <x v="69"/>
    <x v="69"/>
    <s v="REVENUS"/>
    <x v="6"/>
    <s v="4221.003"/>
    <s v="Intérêts compensat. / acomptes en faveur du fisc"/>
    <n v="0"/>
    <n v="0.14000000000000001"/>
    <n v="4221"/>
  </r>
  <r>
    <x v="0"/>
    <x v="4"/>
    <x v="4"/>
    <x v="76"/>
    <x v="69"/>
    <x v="69"/>
    <s v="REVENUS"/>
    <x v="3"/>
    <s v="4002.007"/>
    <s v="Acompte impôt sur fortune"/>
    <n v="0"/>
    <n v="-344.3"/>
    <n v="4002"/>
  </r>
  <r>
    <x v="0"/>
    <x v="4"/>
    <x v="4"/>
    <x v="76"/>
    <x v="69"/>
    <x v="69"/>
    <s v="REVENUS"/>
    <x v="6"/>
    <s v="4221.003"/>
    <s v="Intérêts compensat. / acomptes en faveur du fisc"/>
    <n v="0"/>
    <n v="0.37"/>
    <n v="4221"/>
  </r>
  <r>
    <x v="0"/>
    <x v="4"/>
    <x v="4"/>
    <x v="76"/>
    <x v="69"/>
    <x v="69"/>
    <s v="REVENUS"/>
    <x v="2"/>
    <s v="4001.001"/>
    <s v="Impôt revenu"/>
    <n v="0"/>
    <n v="443.95"/>
    <n v="4001"/>
  </r>
  <r>
    <x v="0"/>
    <x v="4"/>
    <x v="4"/>
    <x v="76"/>
    <x v="69"/>
    <x v="69"/>
    <s v="REVENUS"/>
    <x v="3"/>
    <s v="4002.001"/>
    <s v="Impôt ordinaire s/fortune PP"/>
    <n v="0"/>
    <n v="199.85"/>
    <n v="4002"/>
  </r>
  <r>
    <x v="0"/>
    <x v="4"/>
    <x v="4"/>
    <x v="76"/>
    <x v="69"/>
    <x v="69"/>
    <s v="REVENUS"/>
    <x v="6"/>
    <s v="4211.002"/>
    <s v="Intérêts de retard sur acomptes"/>
    <n v="0"/>
    <n v="10.85"/>
    <n v="4211"/>
  </r>
  <r>
    <x v="0"/>
    <x v="4"/>
    <x v="4"/>
    <x v="76"/>
    <x v="69"/>
    <x v="69"/>
    <s v="REVENUS"/>
    <x v="11"/>
    <s v="4198.000"/>
    <s v="Contributions communales"/>
    <n v="0"/>
    <n v="47506.3"/>
    <n v="4198"/>
  </r>
  <r>
    <x v="0"/>
    <x v="4"/>
    <x v="4"/>
    <x v="76"/>
    <x v="69"/>
    <x v="69"/>
    <s v="REVENUS"/>
    <x v="5"/>
    <s v="4061.000"/>
    <s v="Impôt sur les chiens"/>
    <n v="0"/>
    <n v="6825"/>
    <n v="4061"/>
  </r>
  <r>
    <x v="0"/>
    <x v="4"/>
    <x v="4"/>
    <x v="76"/>
    <x v="69"/>
    <x v="69"/>
    <s v="REVENUS"/>
    <x v="2"/>
    <s v="4001.002"/>
    <s v="Impôt complément s/revenu PP"/>
    <n v="0"/>
    <n v="1135.75"/>
    <n v="4001"/>
  </r>
  <r>
    <x v="0"/>
    <x v="4"/>
    <x v="4"/>
    <x v="76"/>
    <x v="69"/>
    <x v="69"/>
    <s v="REVENUS"/>
    <x v="3"/>
    <s v="4002.002"/>
    <s v="Impôt complémentaire s/fortune PP"/>
    <n v="0"/>
    <n v="793.95"/>
    <n v="4002"/>
  </r>
  <r>
    <x v="0"/>
    <x v="4"/>
    <x v="4"/>
    <x v="76"/>
    <x v="69"/>
    <x v="69"/>
    <s v="REVENUS"/>
    <x v="6"/>
    <s v="4211.001"/>
    <s v="Intérêts de retard sur factures"/>
    <n v="0"/>
    <n v="0.02"/>
    <n v="4211"/>
  </r>
  <r>
    <x v="0"/>
    <x v="4"/>
    <x v="4"/>
    <x v="76"/>
    <x v="69"/>
    <x v="69"/>
    <s v="REVENUS"/>
    <x v="2"/>
    <s v="4001.001"/>
    <s v="Impôt revenu"/>
    <n v="0"/>
    <n v="-5355.5"/>
    <n v="4001"/>
  </r>
  <r>
    <x v="0"/>
    <x v="4"/>
    <x v="4"/>
    <x v="76"/>
    <x v="69"/>
    <x v="69"/>
    <s v="REVENUS"/>
    <x v="3"/>
    <s v="4002.001"/>
    <s v="Impôt ordinaire s/fortune PP"/>
    <n v="0"/>
    <n v="-114.5"/>
    <n v="4002"/>
  </r>
  <r>
    <x v="0"/>
    <x v="4"/>
    <x v="4"/>
    <x v="76"/>
    <x v="69"/>
    <x v="69"/>
    <s v="REVENUS"/>
    <x v="6"/>
    <s v="4211.001"/>
    <s v="Intérêts de retard sur factures"/>
    <n v="0"/>
    <n v="3.1"/>
    <n v="4211"/>
  </r>
  <r>
    <x v="0"/>
    <x v="4"/>
    <x v="4"/>
    <x v="77"/>
    <x v="70"/>
    <x v="70"/>
    <s v="CHARGES"/>
    <x v="0"/>
    <s v="3212.002"/>
    <s v="Intérêts bonifiés/trop perçu acompte C/C"/>
    <n v="3.53"/>
    <n v="0"/>
    <n v="3212"/>
  </r>
  <r>
    <x v="0"/>
    <x v="4"/>
    <x v="4"/>
    <x v="77"/>
    <x v="70"/>
    <x v="70"/>
    <s v="CHARGES"/>
    <x v="0"/>
    <s v="3212.004"/>
    <s v="Intérêts rémun./perçu trop tôt sur acomptes C/C"/>
    <n v="466.69"/>
    <n v="0"/>
    <n v="3212"/>
  </r>
  <r>
    <x v="0"/>
    <x v="4"/>
    <x v="4"/>
    <x v="77"/>
    <x v="70"/>
    <x v="70"/>
    <s v="CHARGES"/>
    <x v="0"/>
    <s v="3221.002"/>
    <s v="Intérêts compensatoires / créances en faveur ctb."/>
    <n v="185.36"/>
    <n v="0"/>
    <n v="3221"/>
  </r>
  <r>
    <x v="0"/>
    <x v="4"/>
    <x v="4"/>
    <x v="77"/>
    <x v="70"/>
    <x v="70"/>
    <s v="CHARGES"/>
    <x v="1"/>
    <s v="3301.001"/>
    <s v="Défalcations, abandons de solde PP et IS"/>
    <n v="33057.82"/>
    <n v="0"/>
    <n v="3301"/>
  </r>
  <r>
    <x v="0"/>
    <x v="4"/>
    <x v="4"/>
    <x v="77"/>
    <x v="70"/>
    <x v="70"/>
    <s v="CHARGES"/>
    <x v="0"/>
    <s v="3212.004"/>
    <s v="Intérêts rémun./perçu trop tôt sur acomptes C/C"/>
    <n v="0.61"/>
    <n v="0"/>
    <n v="3212"/>
  </r>
  <r>
    <x v="0"/>
    <x v="4"/>
    <x v="4"/>
    <x v="77"/>
    <x v="70"/>
    <x v="70"/>
    <s v="CHARGES"/>
    <x v="0"/>
    <s v="3221.002"/>
    <s v="Intérêts compensatoires / créances en faveur ctb."/>
    <n v="2.81"/>
    <n v="0"/>
    <n v="3221"/>
  </r>
  <r>
    <x v="0"/>
    <x v="4"/>
    <x v="4"/>
    <x v="77"/>
    <x v="70"/>
    <x v="70"/>
    <s v="CHARGES"/>
    <x v="1"/>
    <s v="3301.001"/>
    <s v="Défalcations, abandons de solde PP et IS"/>
    <n v="1.55"/>
    <n v="0"/>
    <n v="3301"/>
  </r>
  <r>
    <x v="0"/>
    <x v="4"/>
    <x v="4"/>
    <x v="77"/>
    <x v="70"/>
    <x v="70"/>
    <s v="CHARGES"/>
    <x v="1"/>
    <s v="3301.001"/>
    <s v="Défalcations, abandons de solde PP et IS"/>
    <n v="5143.63"/>
    <n v="0"/>
    <n v="3301"/>
  </r>
  <r>
    <x v="0"/>
    <x v="4"/>
    <x v="4"/>
    <x v="77"/>
    <x v="70"/>
    <x v="70"/>
    <s v="CHARGES"/>
    <x v="0"/>
    <s v="3212.004"/>
    <s v="Intérêts rémun./perçu trop tôt sur acomptes C/C"/>
    <n v="5.99"/>
    <n v="0"/>
    <n v="3212"/>
  </r>
  <r>
    <x v="0"/>
    <x v="4"/>
    <x v="4"/>
    <x v="77"/>
    <x v="70"/>
    <x v="70"/>
    <s v="CHARGES"/>
    <x v="0"/>
    <s v="3221.002"/>
    <s v="Intérêts compensatoires / créances en faveur ctb."/>
    <n v="6.3"/>
    <n v="0"/>
    <n v="3221"/>
  </r>
  <r>
    <x v="0"/>
    <x v="4"/>
    <x v="4"/>
    <x v="77"/>
    <x v="70"/>
    <x v="70"/>
    <s v="CHARGES"/>
    <x v="1"/>
    <s v="3301.001"/>
    <s v="Défalcations, abandons de solde PP et IS"/>
    <n v="-377.16"/>
    <n v="0"/>
    <n v="3301"/>
  </r>
  <r>
    <x v="0"/>
    <x v="4"/>
    <x v="4"/>
    <x v="77"/>
    <x v="70"/>
    <x v="70"/>
    <s v="CHARGES"/>
    <x v="0"/>
    <s v="3212.004"/>
    <s v="Intérêts rémun./perçu trop tôt sur acomptes C/C"/>
    <n v="1.64"/>
    <n v="0"/>
    <n v="3212"/>
  </r>
  <r>
    <x v="0"/>
    <x v="4"/>
    <x v="4"/>
    <x v="77"/>
    <x v="70"/>
    <x v="70"/>
    <s v="CHARGES"/>
    <x v="0"/>
    <s v="3221.002"/>
    <s v="Intérêts compensatoires / créances en faveur ctb."/>
    <n v="0.3"/>
    <n v="0"/>
    <n v="3221"/>
  </r>
  <r>
    <x v="0"/>
    <x v="4"/>
    <x v="4"/>
    <x v="77"/>
    <x v="70"/>
    <x v="70"/>
    <s v="CHARGES"/>
    <x v="1"/>
    <s v="3301.001"/>
    <s v="Défalcations, abandons de solde PP et IS"/>
    <n v="23255.09"/>
    <n v="0"/>
    <n v="3301"/>
  </r>
  <r>
    <x v="0"/>
    <x v="4"/>
    <x v="4"/>
    <x v="77"/>
    <x v="70"/>
    <x v="70"/>
    <s v="CHARGES"/>
    <x v="0"/>
    <s v="3212.004"/>
    <s v="Intérêts rémun./perçu trop tôt sur acomptes C/C"/>
    <n v="0.05"/>
    <n v="0"/>
    <n v="3212"/>
  </r>
  <r>
    <x v="0"/>
    <x v="4"/>
    <x v="4"/>
    <x v="77"/>
    <x v="70"/>
    <x v="70"/>
    <s v="CHARGES"/>
    <x v="0"/>
    <s v="3221.002"/>
    <s v="Intérêts compensatoires / créances en faveur ctb."/>
    <n v="0.03"/>
    <n v="0"/>
    <n v="3221"/>
  </r>
  <r>
    <x v="0"/>
    <x v="4"/>
    <x v="4"/>
    <x v="77"/>
    <x v="70"/>
    <x v="70"/>
    <s v="CHARGES"/>
    <x v="1"/>
    <s v="3301.001"/>
    <s v="Défalcations, abandons de solde PP et IS"/>
    <n v="0.03"/>
    <n v="0"/>
    <n v="3301"/>
  </r>
  <r>
    <x v="0"/>
    <x v="4"/>
    <x v="4"/>
    <x v="77"/>
    <x v="70"/>
    <x v="70"/>
    <s v="CHARGES"/>
    <x v="0"/>
    <s v="3212.004"/>
    <s v="Intérêts rémun./perçu trop tôt sur acomptes C/C"/>
    <n v="0.01"/>
    <n v="0"/>
    <n v="3212"/>
  </r>
  <r>
    <x v="0"/>
    <x v="4"/>
    <x v="4"/>
    <x v="77"/>
    <x v="70"/>
    <x v="70"/>
    <s v="CHARGES"/>
    <x v="1"/>
    <s v="3301.003"/>
    <s v="Remises PP et IS"/>
    <n v="5169.91"/>
    <n v="0"/>
    <n v="3301"/>
  </r>
  <r>
    <x v="0"/>
    <x v="4"/>
    <x v="4"/>
    <x v="77"/>
    <x v="70"/>
    <x v="70"/>
    <s v="CHARGES"/>
    <x v="0"/>
    <s v="3212.002"/>
    <s v="Intérêts bonifiés/trop perçu acompte C/C"/>
    <n v="-0.05"/>
    <n v="0"/>
    <n v="3212"/>
  </r>
  <r>
    <x v="0"/>
    <x v="4"/>
    <x v="4"/>
    <x v="77"/>
    <x v="70"/>
    <x v="70"/>
    <s v="CHARGES"/>
    <x v="1"/>
    <s v="3301.001"/>
    <s v="Défalcations, abandons de solde PP et IS"/>
    <n v="0.09"/>
    <n v="0"/>
    <n v="3301"/>
  </r>
  <r>
    <x v="0"/>
    <x v="4"/>
    <x v="4"/>
    <x v="77"/>
    <x v="70"/>
    <x v="70"/>
    <s v="CHARGES"/>
    <x v="1"/>
    <s v="3301.003"/>
    <s v="Remises PP et IS"/>
    <n v="52.81"/>
    <n v="0"/>
    <n v="3301"/>
  </r>
  <r>
    <x v="0"/>
    <x v="4"/>
    <x v="4"/>
    <x v="77"/>
    <x v="70"/>
    <x v="70"/>
    <s v="REVENUS"/>
    <x v="2"/>
    <s v="4001.001"/>
    <s v="Impôt revenu"/>
    <n v="0"/>
    <n v="96.6"/>
    <n v="4001"/>
  </r>
  <r>
    <x v="0"/>
    <x v="4"/>
    <x v="4"/>
    <x v="77"/>
    <x v="70"/>
    <x v="70"/>
    <s v="REVENUS"/>
    <x v="3"/>
    <s v="4002.001"/>
    <s v="Impôt ordinaire s/fortune PP"/>
    <n v="0"/>
    <n v="92.7"/>
    <n v="4002"/>
  </r>
  <r>
    <x v="0"/>
    <x v="4"/>
    <x v="4"/>
    <x v="77"/>
    <x v="70"/>
    <x v="70"/>
    <s v="REVENUS"/>
    <x v="6"/>
    <s v="4211.002"/>
    <s v="Intérêts de retard sur acomptes"/>
    <n v="0"/>
    <n v="0.16"/>
    <n v="4211"/>
  </r>
  <r>
    <x v="0"/>
    <x v="4"/>
    <x v="4"/>
    <x v="77"/>
    <x v="70"/>
    <x v="70"/>
    <s v="REVENUS"/>
    <x v="2"/>
    <s v="4001.001"/>
    <s v="Impôt revenu"/>
    <n v="0"/>
    <n v="2329585.7000000002"/>
    <n v="4001"/>
  </r>
  <r>
    <x v="0"/>
    <x v="4"/>
    <x v="4"/>
    <x v="77"/>
    <x v="70"/>
    <x v="70"/>
    <s v="REVENUS"/>
    <x v="2"/>
    <s v="4001.002"/>
    <s v="Impôt complément s/revenu PP"/>
    <n v="0"/>
    <n v="295257.65000000002"/>
    <n v="4001"/>
  </r>
  <r>
    <x v="0"/>
    <x v="4"/>
    <x v="4"/>
    <x v="77"/>
    <x v="70"/>
    <x v="70"/>
    <s v="REVENUS"/>
    <x v="2"/>
    <s v="4001.003"/>
    <s v="Impôt s/prest. cap. PP"/>
    <n v="0"/>
    <n v="106211.65"/>
    <n v="4001"/>
  </r>
  <r>
    <x v="0"/>
    <x v="4"/>
    <x v="4"/>
    <x v="77"/>
    <x v="70"/>
    <x v="70"/>
    <s v="REVENUS"/>
    <x v="2"/>
    <s v="4001.007"/>
    <s v="Acompte impôt sur revenu"/>
    <n v="0"/>
    <n v="-157843.04999999999"/>
    <n v="4001"/>
  </r>
  <r>
    <x v="0"/>
    <x v="4"/>
    <x v="4"/>
    <x v="77"/>
    <x v="70"/>
    <x v="70"/>
    <s v="REVENUS"/>
    <x v="3"/>
    <s v="4002.001"/>
    <s v="Impôt ordinaire s/fortune PP"/>
    <n v="0"/>
    <n v="226446.75"/>
    <n v="4002"/>
  </r>
  <r>
    <x v="0"/>
    <x v="4"/>
    <x v="4"/>
    <x v="77"/>
    <x v="70"/>
    <x v="70"/>
    <s v="REVENUS"/>
    <x v="3"/>
    <s v="4002.007"/>
    <s v="Acompte impôt sur fortune"/>
    <n v="0"/>
    <n v="34143.31"/>
    <n v="4002"/>
  </r>
  <r>
    <x v="0"/>
    <x v="4"/>
    <x v="4"/>
    <x v="77"/>
    <x v="70"/>
    <x v="70"/>
    <s v="REVENUS"/>
    <x v="6"/>
    <s v="4211.001"/>
    <s v="Intérêts de retard sur factures"/>
    <n v="0"/>
    <n v="11915.23"/>
    <n v="4211"/>
  </r>
  <r>
    <x v="0"/>
    <x v="4"/>
    <x v="4"/>
    <x v="77"/>
    <x v="70"/>
    <x v="70"/>
    <s v="REVENUS"/>
    <x v="6"/>
    <s v="4221.003"/>
    <s v="Intérêts compensat. / acomptes en faveur du fisc"/>
    <n v="0"/>
    <n v="353.41"/>
    <n v="4221"/>
  </r>
  <r>
    <x v="0"/>
    <x v="4"/>
    <x v="4"/>
    <x v="77"/>
    <x v="70"/>
    <x v="70"/>
    <s v="REVENUS"/>
    <x v="2"/>
    <s v="4001.001"/>
    <s v="Impôt revenu"/>
    <n v="0"/>
    <n v="4413.3500000000004"/>
    <n v="4001"/>
  </r>
  <r>
    <x v="0"/>
    <x v="4"/>
    <x v="4"/>
    <x v="77"/>
    <x v="70"/>
    <x v="70"/>
    <s v="REVENUS"/>
    <x v="2"/>
    <s v="4001.007"/>
    <s v="Acompte impôt sur revenu"/>
    <n v="0"/>
    <n v="-3963.85"/>
    <n v="4001"/>
  </r>
  <r>
    <x v="0"/>
    <x v="4"/>
    <x v="4"/>
    <x v="77"/>
    <x v="70"/>
    <x v="70"/>
    <s v="REVENUS"/>
    <x v="3"/>
    <s v="4002.001"/>
    <s v="Impôt ordinaire s/fortune PP"/>
    <n v="0"/>
    <n v="3388.65"/>
    <n v="4002"/>
  </r>
  <r>
    <x v="0"/>
    <x v="4"/>
    <x v="4"/>
    <x v="77"/>
    <x v="70"/>
    <x v="70"/>
    <s v="REVENUS"/>
    <x v="3"/>
    <s v="4002.007"/>
    <s v="Acompte impôt sur fortune"/>
    <n v="0"/>
    <n v="-1428.95"/>
    <n v="4002"/>
  </r>
  <r>
    <x v="0"/>
    <x v="4"/>
    <x v="4"/>
    <x v="77"/>
    <x v="70"/>
    <x v="70"/>
    <s v="REVENUS"/>
    <x v="10"/>
    <s v="4041.001"/>
    <s v="Droits de mutation"/>
    <n v="0"/>
    <n v="102051.3"/>
    <n v="4041"/>
  </r>
  <r>
    <x v="0"/>
    <x v="4"/>
    <x v="4"/>
    <x v="77"/>
    <x v="70"/>
    <x v="70"/>
    <s v="REVENUS"/>
    <x v="6"/>
    <s v="4211.002"/>
    <s v="Intérêts de retard sur acomptes"/>
    <n v="0"/>
    <n v="14539.76"/>
    <n v="4211"/>
  </r>
  <r>
    <x v="0"/>
    <x v="4"/>
    <x v="4"/>
    <x v="77"/>
    <x v="70"/>
    <x v="70"/>
    <s v="REVENUS"/>
    <x v="2"/>
    <s v="4001.001"/>
    <s v="Impôt revenu"/>
    <n v="0"/>
    <n v="3690.75"/>
    <n v="4001"/>
  </r>
  <r>
    <x v="0"/>
    <x v="4"/>
    <x v="4"/>
    <x v="77"/>
    <x v="70"/>
    <x v="70"/>
    <s v="REVENUS"/>
    <x v="3"/>
    <s v="4002.001"/>
    <s v="Impôt ordinaire s/fortune PP"/>
    <n v="0"/>
    <n v="111.85"/>
    <n v="4002"/>
  </r>
  <r>
    <x v="0"/>
    <x v="4"/>
    <x v="4"/>
    <x v="77"/>
    <x v="70"/>
    <x v="70"/>
    <s v="REVENUS"/>
    <x v="6"/>
    <s v="4211.002"/>
    <s v="Intérêts de retard sur acomptes"/>
    <n v="0"/>
    <n v="213.23"/>
    <n v="4211"/>
  </r>
  <r>
    <x v="0"/>
    <x v="4"/>
    <x v="4"/>
    <x v="77"/>
    <x v="70"/>
    <x v="70"/>
    <s v="REVENUS"/>
    <x v="6"/>
    <s v="4221.003"/>
    <s v="Intérêts compensat. / acomptes en faveur du fisc"/>
    <n v="0"/>
    <n v="1.55"/>
    <n v="4221"/>
  </r>
  <r>
    <x v="0"/>
    <x v="4"/>
    <x v="4"/>
    <x v="77"/>
    <x v="70"/>
    <x v="70"/>
    <s v="REVENUS"/>
    <x v="7"/>
    <s v="4184.000"/>
    <s v="Frais de poursuite"/>
    <n v="0"/>
    <n v="737.97"/>
    <n v="4184"/>
  </r>
  <r>
    <x v="0"/>
    <x v="4"/>
    <x v="4"/>
    <x v="77"/>
    <x v="70"/>
    <x v="70"/>
    <s v="REVENUS"/>
    <x v="8"/>
    <s v="4091.001"/>
    <s v="Impôt récupéré après défalcations"/>
    <n v="0"/>
    <n v="2242.35"/>
    <n v="4091"/>
  </r>
  <r>
    <x v="0"/>
    <x v="4"/>
    <x v="4"/>
    <x v="77"/>
    <x v="70"/>
    <x v="70"/>
    <s v="REVENUS"/>
    <x v="2"/>
    <s v="4001.001"/>
    <s v="Impôt revenu"/>
    <n v="0"/>
    <n v="16222.9"/>
    <n v="4001"/>
  </r>
  <r>
    <x v="0"/>
    <x v="4"/>
    <x v="4"/>
    <x v="77"/>
    <x v="70"/>
    <x v="70"/>
    <s v="REVENUS"/>
    <x v="3"/>
    <s v="4002.001"/>
    <s v="Impôt ordinaire s/fortune PP"/>
    <n v="0"/>
    <n v="7286.45"/>
    <n v="4002"/>
  </r>
  <r>
    <x v="0"/>
    <x v="4"/>
    <x v="4"/>
    <x v="77"/>
    <x v="70"/>
    <x v="70"/>
    <s v="REVENUS"/>
    <x v="7"/>
    <s v="4184.000"/>
    <s v="Frais de poursuite"/>
    <n v="0"/>
    <n v="1827.32"/>
    <n v="4184"/>
  </r>
  <r>
    <x v="0"/>
    <x v="4"/>
    <x v="4"/>
    <x v="77"/>
    <x v="70"/>
    <x v="70"/>
    <s v="REVENUS"/>
    <x v="3"/>
    <s v="4002.007"/>
    <s v="Acompte impôt sur fortune"/>
    <n v="0"/>
    <n v="-17.149999999999999"/>
    <n v="4002"/>
  </r>
  <r>
    <x v="0"/>
    <x v="4"/>
    <x v="4"/>
    <x v="77"/>
    <x v="70"/>
    <x v="70"/>
    <s v="REVENUS"/>
    <x v="9"/>
    <s v="4031.001"/>
    <s v="Impôt sur les gains immobiliers"/>
    <n v="0"/>
    <n v="54818.2"/>
    <n v="4031"/>
  </r>
  <r>
    <x v="0"/>
    <x v="4"/>
    <x v="4"/>
    <x v="77"/>
    <x v="70"/>
    <x v="70"/>
    <s v="REVENUS"/>
    <x v="2"/>
    <s v="4001.007"/>
    <s v="Acompte impôt sur revenu"/>
    <n v="0"/>
    <n v="147.57"/>
    <n v="4001"/>
  </r>
  <r>
    <x v="0"/>
    <x v="4"/>
    <x v="4"/>
    <x v="77"/>
    <x v="70"/>
    <x v="70"/>
    <s v="REVENUS"/>
    <x v="3"/>
    <s v="4002.007"/>
    <s v="Acompte impôt sur fortune"/>
    <n v="0"/>
    <n v="326.93"/>
    <n v="4002"/>
  </r>
  <r>
    <x v="0"/>
    <x v="4"/>
    <x v="4"/>
    <x v="77"/>
    <x v="70"/>
    <x v="70"/>
    <s v="REVENUS"/>
    <x v="6"/>
    <s v="4211.001"/>
    <s v="Intérêts de retard sur factures"/>
    <n v="0"/>
    <n v="28.4"/>
    <n v="4211"/>
  </r>
  <r>
    <x v="0"/>
    <x v="4"/>
    <x v="4"/>
    <x v="77"/>
    <x v="70"/>
    <x v="70"/>
    <s v="REVENUS"/>
    <x v="3"/>
    <s v="4002.007"/>
    <s v="Acompte impôt sur fortune"/>
    <n v="0"/>
    <n v="-783.86"/>
    <n v="4002"/>
  </r>
  <r>
    <x v="0"/>
    <x v="4"/>
    <x v="4"/>
    <x v="77"/>
    <x v="70"/>
    <x v="70"/>
    <s v="REVENUS"/>
    <x v="3"/>
    <s v="4002.007"/>
    <s v="Acompte impôt sur fortune"/>
    <n v="0"/>
    <n v="184.43"/>
    <n v="4002"/>
  </r>
  <r>
    <x v="0"/>
    <x v="4"/>
    <x v="4"/>
    <x v="77"/>
    <x v="70"/>
    <x v="70"/>
    <s v="REVENUS"/>
    <x v="6"/>
    <s v="4211.002"/>
    <s v="Intérêts de retard sur acomptes"/>
    <n v="0"/>
    <n v="2.14"/>
    <n v="4211"/>
  </r>
  <r>
    <x v="0"/>
    <x v="4"/>
    <x v="4"/>
    <x v="77"/>
    <x v="70"/>
    <x v="70"/>
    <s v="REVENUS"/>
    <x v="2"/>
    <s v="4001.007"/>
    <s v="Acompte impôt sur revenu"/>
    <n v="0"/>
    <n v="444.55"/>
    <n v="4001"/>
  </r>
  <r>
    <x v="0"/>
    <x v="4"/>
    <x v="4"/>
    <x v="77"/>
    <x v="70"/>
    <x v="70"/>
    <s v="REVENUS"/>
    <x v="2"/>
    <s v="4001.001"/>
    <s v="Impôt revenu"/>
    <n v="0"/>
    <n v="8349.5499999999993"/>
    <n v="4001"/>
  </r>
  <r>
    <x v="0"/>
    <x v="4"/>
    <x v="4"/>
    <x v="77"/>
    <x v="70"/>
    <x v="70"/>
    <s v="REVENUS"/>
    <x v="3"/>
    <s v="4002.001"/>
    <s v="Impôt ordinaire s/fortune PP"/>
    <n v="0"/>
    <n v="3083.35"/>
    <n v="4002"/>
  </r>
  <r>
    <x v="0"/>
    <x v="4"/>
    <x v="4"/>
    <x v="77"/>
    <x v="70"/>
    <x v="70"/>
    <s v="REVENUS"/>
    <x v="12"/>
    <s v="4004.007"/>
    <s v="Acompte spécial étrangers"/>
    <n v="0"/>
    <n v="4354.8999999999996"/>
    <n v="4004"/>
  </r>
  <r>
    <x v="0"/>
    <x v="4"/>
    <x v="4"/>
    <x v="77"/>
    <x v="70"/>
    <x v="70"/>
    <s v="REVENUS"/>
    <x v="12"/>
    <s v="4004.000"/>
    <s v="Impôt spécial étrangers"/>
    <n v="0"/>
    <n v="34014.25"/>
    <n v="4004"/>
  </r>
  <r>
    <x v="0"/>
    <x v="4"/>
    <x v="4"/>
    <x v="77"/>
    <x v="70"/>
    <x v="70"/>
    <s v="REVENUS"/>
    <x v="2"/>
    <s v="4001.007"/>
    <s v="Acompte impôt sur revenu"/>
    <n v="0"/>
    <n v="-1384.52"/>
    <n v="4001"/>
  </r>
  <r>
    <x v="0"/>
    <x v="4"/>
    <x v="4"/>
    <x v="77"/>
    <x v="70"/>
    <x v="70"/>
    <s v="REVENUS"/>
    <x v="3"/>
    <s v="4002.002"/>
    <s v="Impôt complémentaire s/fortune PP"/>
    <n v="0"/>
    <n v="23553.7"/>
    <n v="4002"/>
  </r>
  <r>
    <x v="0"/>
    <x v="4"/>
    <x v="4"/>
    <x v="77"/>
    <x v="70"/>
    <x v="70"/>
    <s v="REVENUS"/>
    <x v="3"/>
    <s v="4002.001"/>
    <s v="Impôt ordinaire s/fortune PP"/>
    <n v="0"/>
    <n v="16.75"/>
    <n v="4002"/>
  </r>
  <r>
    <x v="0"/>
    <x v="4"/>
    <x v="4"/>
    <x v="77"/>
    <x v="70"/>
    <x v="70"/>
    <s v="REVENUS"/>
    <x v="6"/>
    <s v="4221.002"/>
    <s v="Intérêts compensat. sur impôts distincts"/>
    <n v="0"/>
    <n v="45.52"/>
    <n v="4221"/>
  </r>
  <r>
    <x v="0"/>
    <x v="4"/>
    <x v="4"/>
    <x v="77"/>
    <x v="70"/>
    <x v="70"/>
    <s v="REVENUS"/>
    <x v="5"/>
    <s v="4061.000"/>
    <s v="Impôt sur les chiens"/>
    <n v="0"/>
    <n v="14020"/>
    <n v="4061"/>
  </r>
  <r>
    <x v="0"/>
    <x v="4"/>
    <x v="4"/>
    <x v="77"/>
    <x v="70"/>
    <x v="70"/>
    <s v="REVENUS"/>
    <x v="4"/>
    <s v="4051.001"/>
    <s v="Impôt sur les successions"/>
    <n v="0"/>
    <n v="3168"/>
    <n v="4051"/>
  </r>
  <r>
    <x v="0"/>
    <x v="4"/>
    <x v="4"/>
    <x v="77"/>
    <x v="70"/>
    <x v="70"/>
    <s v="REVENUS"/>
    <x v="6"/>
    <s v="4221.003"/>
    <s v="Intérêts compensat. / acomptes en faveur du fisc"/>
    <n v="0"/>
    <n v="2.04"/>
    <n v="4221"/>
  </r>
  <r>
    <x v="0"/>
    <x v="4"/>
    <x v="4"/>
    <x v="77"/>
    <x v="70"/>
    <x v="70"/>
    <s v="REVENUS"/>
    <x v="6"/>
    <s v="4211.002"/>
    <s v="Intérêts de retard sur acomptes"/>
    <n v="0"/>
    <n v="7"/>
    <n v="4211"/>
  </r>
  <r>
    <x v="0"/>
    <x v="4"/>
    <x v="4"/>
    <x v="77"/>
    <x v="70"/>
    <x v="70"/>
    <s v="REVENUS"/>
    <x v="6"/>
    <s v="4221.003"/>
    <s v="Intérêts compensat. / acomptes en faveur du fisc"/>
    <n v="0"/>
    <n v="0.04"/>
    <n v="4221"/>
  </r>
  <r>
    <x v="0"/>
    <x v="4"/>
    <x v="4"/>
    <x v="77"/>
    <x v="70"/>
    <x v="70"/>
    <s v="REVENUS"/>
    <x v="6"/>
    <s v="4211.002"/>
    <s v="Intérêts de retard sur acomptes"/>
    <n v="0"/>
    <n v="159.88"/>
    <n v="4211"/>
  </r>
  <r>
    <x v="0"/>
    <x v="4"/>
    <x v="4"/>
    <x v="77"/>
    <x v="70"/>
    <x v="70"/>
    <s v="REVENUS"/>
    <x v="8"/>
    <s v="4091.001"/>
    <s v="Impôt récupéré après défalcations"/>
    <n v="0"/>
    <n v="9669.4699999999993"/>
    <n v="4091"/>
  </r>
  <r>
    <x v="0"/>
    <x v="4"/>
    <x v="4"/>
    <x v="77"/>
    <x v="70"/>
    <x v="70"/>
    <s v="REVENUS"/>
    <x v="6"/>
    <s v="4211.001"/>
    <s v="Intérêts de retard sur factures"/>
    <n v="0"/>
    <n v="0.26"/>
    <n v="4211"/>
  </r>
  <r>
    <x v="0"/>
    <x v="4"/>
    <x v="4"/>
    <x v="77"/>
    <x v="70"/>
    <x v="70"/>
    <s v="REVENUS"/>
    <x v="3"/>
    <s v="4002.002"/>
    <s v="Impôt complémentaire s/fortune PP"/>
    <n v="0"/>
    <n v="422.95"/>
    <n v="4002"/>
  </r>
  <r>
    <x v="0"/>
    <x v="4"/>
    <x v="4"/>
    <x v="77"/>
    <x v="70"/>
    <x v="70"/>
    <s v="REVENUS"/>
    <x v="2"/>
    <s v="4001.002"/>
    <s v="Impôt complément s/revenu PP"/>
    <n v="0"/>
    <n v="173.8"/>
    <n v="4001"/>
  </r>
  <r>
    <x v="0"/>
    <x v="4"/>
    <x v="4"/>
    <x v="77"/>
    <x v="70"/>
    <x v="70"/>
    <s v="REVENUS"/>
    <x v="7"/>
    <s v="4184.000"/>
    <s v="Frais de poursuite"/>
    <n v="0"/>
    <n v="114.78"/>
    <n v="4184"/>
  </r>
  <r>
    <x v="0"/>
    <x v="4"/>
    <x v="4"/>
    <x v="77"/>
    <x v="70"/>
    <x v="70"/>
    <s v="REVENUS"/>
    <x v="8"/>
    <s v="4091.001"/>
    <s v="Impôt récupéré après défalcations"/>
    <n v="0"/>
    <n v="955.21"/>
    <n v="4091"/>
  </r>
  <r>
    <x v="0"/>
    <x v="4"/>
    <x v="4"/>
    <x v="77"/>
    <x v="70"/>
    <x v="70"/>
    <s v="REVENUS"/>
    <x v="2"/>
    <s v="4001.002"/>
    <s v="Impôt complément s/revenu PP"/>
    <n v="0"/>
    <n v="2513.5500000000002"/>
    <n v="4001"/>
  </r>
  <r>
    <x v="0"/>
    <x v="4"/>
    <x v="4"/>
    <x v="77"/>
    <x v="70"/>
    <x v="70"/>
    <s v="REVENUS"/>
    <x v="6"/>
    <s v="4211.001"/>
    <s v="Intérêts de retard sur factures"/>
    <n v="0"/>
    <n v="52.52"/>
    <n v="4211"/>
  </r>
  <r>
    <x v="0"/>
    <x v="4"/>
    <x v="4"/>
    <x v="77"/>
    <x v="70"/>
    <x v="70"/>
    <s v="REVENUS"/>
    <x v="6"/>
    <s v="4221.003"/>
    <s v="Intérêts compensat. / acomptes en faveur du fisc"/>
    <n v="0"/>
    <n v="0.56999999999999995"/>
    <n v="4221"/>
  </r>
  <r>
    <x v="0"/>
    <x v="4"/>
    <x v="4"/>
    <x v="77"/>
    <x v="70"/>
    <x v="70"/>
    <s v="REVENUS"/>
    <x v="11"/>
    <s v="4198.000"/>
    <s v="Contributions communales"/>
    <n v="0"/>
    <n v="216111"/>
    <n v="4198"/>
  </r>
  <r>
    <x v="0"/>
    <x v="4"/>
    <x v="4"/>
    <x v="77"/>
    <x v="70"/>
    <x v="70"/>
    <s v="REVENUS"/>
    <x v="3"/>
    <s v="4002.002"/>
    <s v="Impôt complémentaire s/fortune PP"/>
    <n v="0"/>
    <n v="1175.1500000000001"/>
    <n v="4002"/>
  </r>
  <r>
    <x v="0"/>
    <x v="4"/>
    <x v="4"/>
    <x v="77"/>
    <x v="70"/>
    <x v="70"/>
    <s v="REVENUS"/>
    <x v="6"/>
    <s v="4221.003"/>
    <s v="Intérêts compensat. / acomptes en faveur du fisc"/>
    <n v="0"/>
    <n v="0.09"/>
    <n v="4221"/>
  </r>
  <r>
    <x v="0"/>
    <x v="4"/>
    <x v="4"/>
    <x v="77"/>
    <x v="70"/>
    <x v="70"/>
    <s v="REVENUS"/>
    <x v="2"/>
    <s v="4001.005"/>
    <s v="Amende de soustract. Impôt"/>
    <n v="0"/>
    <n v="9000"/>
    <n v="4001"/>
  </r>
  <r>
    <x v="0"/>
    <x v="4"/>
    <x v="4"/>
    <x v="77"/>
    <x v="70"/>
    <x v="70"/>
    <s v="REVENUS"/>
    <x v="2"/>
    <s v="4001.007"/>
    <s v="Acompte impôt sur revenu"/>
    <n v="0"/>
    <n v="164.6"/>
    <n v="4001"/>
  </r>
  <r>
    <x v="0"/>
    <x v="4"/>
    <x v="4"/>
    <x v="77"/>
    <x v="70"/>
    <x v="70"/>
    <s v="REVENUS"/>
    <x v="3"/>
    <s v="4002.007"/>
    <s v="Acompte impôt sur fortune"/>
    <n v="0"/>
    <n v="79.05"/>
    <n v="4002"/>
  </r>
  <r>
    <x v="0"/>
    <x v="4"/>
    <x v="4"/>
    <x v="77"/>
    <x v="70"/>
    <x v="70"/>
    <s v="REVENUS"/>
    <x v="4"/>
    <s v="4051.002"/>
    <s v="Impôt sur les donations"/>
    <n v="0"/>
    <n v="2230.6999999999998"/>
    <n v="4051"/>
  </r>
  <r>
    <x v="0"/>
    <x v="4"/>
    <x v="4"/>
    <x v="78"/>
    <x v="71"/>
    <x v="71"/>
    <s v="CHARGES"/>
    <x v="0"/>
    <s v="3212.004"/>
    <s v="Intérêts rémun./perçu trop tôt sur acomptes C/C"/>
    <n v="295.51"/>
    <n v="0"/>
    <n v="3212"/>
  </r>
  <r>
    <x v="0"/>
    <x v="4"/>
    <x v="4"/>
    <x v="78"/>
    <x v="71"/>
    <x v="71"/>
    <s v="CHARGES"/>
    <x v="1"/>
    <s v="3301.001"/>
    <s v="Défalcations, abandons de solde PP et IS"/>
    <n v="49328.14"/>
    <n v="0"/>
    <n v="3301"/>
  </r>
  <r>
    <x v="0"/>
    <x v="4"/>
    <x v="4"/>
    <x v="78"/>
    <x v="71"/>
    <x v="71"/>
    <s v="CHARGES"/>
    <x v="1"/>
    <s v="3301.001"/>
    <s v="Défalcations, abandons de solde PP et IS"/>
    <n v="0.83"/>
    <n v="0"/>
    <n v="3301"/>
  </r>
  <r>
    <x v="0"/>
    <x v="4"/>
    <x v="4"/>
    <x v="78"/>
    <x v="71"/>
    <x v="71"/>
    <s v="CHARGES"/>
    <x v="0"/>
    <s v="3221.002"/>
    <s v="Intérêts compensatoires / créances en faveur ctb."/>
    <n v="140.56"/>
    <n v="0"/>
    <n v="3221"/>
  </r>
  <r>
    <x v="0"/>
    <x v="4"/>
    <x v="4"/>
    <x v="78"/>
    <x v="71"/>
    <x v="71"/>
    <s v="CHARGES"/>
    <x v="1"/>
    <s v="3301.001"/>
    <s v="Défalcations, abandons de solde PP et IS"/>
    <n v="1.81"/>
    <n v="0"/>
    <n v="3301"/>
  </r>
  <r>
    <x v="0"/>
    <x v="4"/>
    <x v="4"/>
    <x v="78"/>
    <x v="71"/>
    <x v="71"/>
    <s v="CHARGES"/>
    <x v="0"/>
    <s v="3212.002"/>
    <s v="Intérêts bonifiés/trop perçu acompte C/C"/>
    <n v="67.38"/>
    <n v="0"/>
    <n v="3212"/>
  </r>
  <r>
    <x v="0"/>
    <x v="4"/>
    <x v="4"/>
    <x v="78"/>
    <x v="71"/>
    <x v="71"/>
    <s v="CHARGES"/>
    <x v="0"/>
    <s v="3212.004"/>
    <s v="Intérêts rémun./perçu trop tôt sur acomptes C/C"/>
    <n v="9.6300000000000008"/>
    <n v="0"/>
    <n v="3212"/>
  </r>
  <r>
    <x v="0"/>
    <x v="4"/>
    <x v="4"/>
    <x v="78"/>
    <x v="71"/>
    <x v="71"/>
    <s v="CHARGES"/>
    <x v="0"/>
    <s v="3212.004"/>
    <s v="Intérêts rémun./perçu trop tôt sur acomptes C/C"/>
    <n v="0.34"/>
    <n v="0"/>
    <n v="3212"/>
  </r>
  <r>
    <x v="0"/>
    <x v="4"/>
    <x v="4"/>
    <x v="78"/>
    <x v="71"/>
    <x v="71"/>
    <s v="CHARGES"/>
    <x v="1"/>
    <s v="3301.001"/>
    <s v="Défalcations, abandons de solde PP et IS"/>
    <n v="2368.96"/>
    <n v="0"/>
    <n v="3301"/>
  </r>
  <r>
    <x v="0"/>
    <x v="4"/>
    <x v="4"/>
    <x v="78"/>
    <x v="71"/>
    <x v="71"/>
    <s v="CHARGES"/>
    <x v="0"/>
    <s v="3221.002"/>
    <s v="Intérêts compensatoires / créances en faveur ctb."/>
    <n v="0.46"/>
    <n v="0"/>
    <n v="3221"/>
  </r>
  <r>
    <x v="0"/>
    <x v="4"/>
    <x v="4"/>
    <x v="78"/>
    <x v="71"/>
    <x v="71"/>
    <s v="CHARGES"/>
    <x v="0"/>
    <s v="3212.004"/>
    <s v="Intérêts rémun./perçu trop tôt sur acomptes C/C"/>
    <n v="1.67"/>
    <n v="0"/>
    <n v="3212"/>
  </r>
  <r>
    <x v="0"/>
    <x v="4"/>
    <x v="4"/>
    <x v="78"/>
    <x v="71"/>
    <x v="71"/>
    <s v="CHARGES"/>
    <x v="1"/>
    <s v="3301.001"/>
    <s v="Défalcations, abandons de solde PP et IS"/>
    <n v="15784.31"/>
    <n v="0"/>
    <n v="3301"/>
  </r>
  <r>
    <x v="0"/>
    <x v="4"/>
    <x v="4"/>
    <x v="78"/>
    <x v="71"/>
    <x v="71"/>
    <s v="CHARGES"/>
    <x v="0"/>
    <s v="3221.002"/>
    <s v="Intérêts compensatoires / créances en faveur ctb."/>
    <n v="8.02"/>
    <n v="0"/>
    <n v="3221"/>
  </r>
  <r>
    <x v="0"/>
    <x v="4"/>
    <x v="4"/>
    <x v="78"/>
    <x v="71"/>
    <x v="71"/>
    <s v="CHARGES"/>
    <x v="1"/>
    <s v="3301.001"/>
    <s v="Défalcations, abandons de solde PP et IS"/>
    <n v="0.09"/>
    <n v="0"/>
    <n v="3301"/>
  </r>
  <r>
    <x v="0"/>
    <x v="4"/>
    <x v="4"/>
    <x v="78"/>
    <x v="71"/>
    <x v="71"/>
    <s v="CHARGES"/>
    <x v="0"/>
    <s v="3212.004"/>
    <s v="Intérêts rémun./perçu trop tôt sur acomptes C/C"/>
    <n v="0.96"/>
    <n v="0"/>
    <n v="3212"/>
  </r>
  <r>
    <x v="0"/>
    <x v="4"/>
    <x v="4"/>
    <x v="78"/>
    <x v="71"/>
    <x v="71"/>
    <s v="CHARGES"/>
    <x v="1"/>
    <s v="3301.001"/>
    <s v="Défalcations, abandons de solde PP et IS"/>
    <n v="0.57999999999999996"/>
    <n v="0"/>
    <n v="3301"/>
  </r>
  <r>
    <x v="0"/>
    <x v="4"/>
    <x v="4"/>
    <x v="78"/>
    <x v="71"/>
    <x v="71"/>
    <s v="CHARGES"/>
    <x v="0"/>
    <s v="3212.004"/>
    <s v="Intérêts rémun./perçu trop tôt sur acomptes C/C"/>
    <n v="0.06"/>
    <n v="0"/>
    <n v="3212"/>
  </r>
  <r>
    <x v="0"/>
    <x v="4"/>
    <x v="4"/>
    <x v="78"/>
    <x v="71"/>
    <x v="71"/>
    <s v="CHARGES"/>
    <x v="0"/>
    <s v="3221.002"/>
    <s v="Intérêts compensatoires / créances en faveur ctb."/>
    <n v="0.02"/>
    <n v="0"/>
    <n v="3221"/>
  </r>
  <r>
    <x v="0"/>
    <x v="4"/>
    <x v="4"/>
    <x v="78"/>
    <x v="71"/>
    <x v="71"/>
    <s v="CHARGES"/>
    <x v="0"/>
    <s v="3221.002"/>
    <s v="Intérêts compensatoires / créances en faveur ctb."/>
    <n v="0.16"/>
    <n v="0"/>
    <n v="3221"/>
  </r>
  <r>
    <x v="0"/>
    <x v="4"/>
    <x v="4"/>
    <x v="78"/>
    <x v="71"/>
    <x v="71"/>
    <s v="REVENUS"/>
    <x v="2"/>
    <s v="4001.001"/>
    <s v="Impôt revenu"/>
    <n v="0"/>
    <n v="2017996.85"/>
    <n v="4001"/>
  </r>
  <r>
    <x v="0"/>
    <x v="4"/>
    <x v="4"/>
    <x v="78"/>
    <x v="71"/>
    <x v="71"/>
    <s v="REVENUS"/>
    <x v="2"/>
    <s v="4001.007"/>
    <s v="Acompte impôt sur revenu"/>
    <n v="0"/>
    <n v="-121954.2"/>
    <n v="4001"/>
  </r>
  <r>
    <x v="0"/>
    <x v="4"/>
    <x v="4"/>
    <x v="78"/>
    <x v="71"/>
    <x v="71"/>
    <s v="REVENUS"/>
    <x v="6"/>
    <s v="4211.001"/>
    <s v="Intérêts de retard sur factures"/>
    <n v="0"/>
    <n v="3081.26"/>
    <n v="4211"/>
  </r>
  <r>
    <x v="0"/>
    <x v="4"/>
    <x v="4"/>
    <x v="78"/>
    <x v="71"/>
    <x v="71"/>
    <s v="REVENUS"/>
    <x v="6"/>
    <s v="4211.002"/>
    <s v="Intérêts de retard sur acomptes"/>
    <n v="0"/>
    <n v="13015.3"/>
    <n v="4211"/>
  </r>
  <r>
    <x v="0"/>
    <x v="4"/>
    <x v="4"/>
    <x v="78"/>
    <x v="71"/>
    <x v="71"/>
    <s v="REVENUS"/>
    <x v="6"/>
    <s v="4221.003"/>
    <s v="Intérêts compensat. / acomptes en faveur du fisc"/>
    <n v="0"/>
    <n v="249.04"/>
    <n v="4221"/>
  </r>
  <r>
    <x v="0"/>
    <x v="4"/>
    <x v="4"/>
    <x v="78"/>
    <x v="71"/>
    <x v="71"/>
    <s v="REVENUS"/>
    <x v="3"/>
    <s v="4002.001"/>
    <s v="Impôt ordinaire s/fortune PP"/>
    <n v="0"/>
    <n v="191140.75"/>
    <n v="4002"/>
  </r>
  <r>
    <x v="0"/>
    <x v="4"/>
    <x v="4"/>
    <x v="78"/>
    <x v="71"/>
    <x v="71"/>
    <s v="REVENUS"/>
    <x v="3"/>
    <s v="4002.007"/>
    <s v="Acompte impôt sur fortune"/>
    <n v="0"/>
    <n v="-42857.83"/>
    <n v="4002"/>
  </r>
  <r>
    <x v="0"/>
    <x v="4"/>
    <x v="4"/>
    <x v="78"/>
    <x v="71"/>
    <x v="71"/>
    <s v="REVENUS"/>
    <x v="7"/>
    <s v="4184.000"/>
    <s v="Frais de poursuite"/>
    <n v="0"/>
    <n v="864.78"/>
    <n v="4184"/>
  </r>
  <r>
    <x v="0"/>
    <x v="4"/>
    <x v="4"/>
    <x v="78"/>
    <x v="71"/>
    <x v="71"/>
    <s v="REVENUS"/>
    <x v="2"/>
    <s v="4001.002"/>
    <s v="Impôt complément s/revenu PP"/>
    <n v="0"/>
    <n v="117600.3"/>
    <n v="4001"/>
  </r>
  <r>
    <x v="0"/>
    <x v="4"/>
    <x v="4"/>
    <x v="78"/>
    <x v="71"/>
    <x v="71"/>
    <s v="REVENUS"/>
    <x v="6"/>
    <s v="4211.001"/>
    <s v="Intérêts de retard sur factures"/>
    <n v="0"/>
    <n v="0.56000000000000005"/>
    <n v="4211"/>
  </r>
  <r>
    <x v="0"/>
    <x v="4"/>
    <x v="4"/>
    <x v="78"/>
    <x v="71"/>
    <x v="71"/>
    <s v="REVENUS"/>
    <x v="3"/>
    <s v="4002.002"/>
    <s v="Impôt complémentaire s/fortune PP"/>
    <n v="0"/>
    <n v="12192.35"/>
    <n v="4002"/>
  </r>
  <r>
    <x v="0"/>
    <x v="4"/>
    <x v="4"/>
    <x v="78"/>
    <x v="71"/>
    <x v="71"/>
    <s v="REVENUS"/>
    <x v="2"/>
    <s v="4001.001"/>
    <s v="Impôt revenu"/>
    <n v="0"/>
    <n v="6133.65"/>
    <n v="4001"/>
  </r>
  <r>
    <x v="0"/>
    <x v="4"/>
    <x v="4"/>
    <x v="78"/>
    <x v="71"/>
    <x v="71"/>
    <s v="REVENUS"/>
    <x v="2"/>
    <s v="4001.002"/>
    <s v="Impôt complément s/revenu PP"/>
    <n v="0"/>
    <n v="2138.15"/>
    <n v="4001"/>
  </r>
  <r>
    <x v="0"/>
    <x v="4"/>
    <x v="4"/>
    <x v="78"/>
    <x v="71"/>
    <x v="71"/>
    <s v="REVENUS"/>
    <x v="3"/>
    <s v="4002.001"/>
    <s v="Impôt ordinaire s/fortune PP"/>
    <n v="0"/>
    <n v="2593.1999999999998"/>
    <n v="4002"/>
  </r>
  <r>
    <x v="0"/>
    <x v="4"/>
    <x v="4"/>
    <x v="78"/>
    <x v="71"/>
    <x v="71"/>
    <s v="REVENUS"/>
    <x v="3"/>
    <s v="4002.002"/>
    <s v="Impôt complémentaire s/fortune PP"/>
    <n v="0"/>
    <n v="1156.3"/>
    <n v="4002"/>
  </r>
  <r>
    <x v="0"/>
    <x v="4"/>
    <x v="4"/>
    <x v="78"/>
    <x v="71"/>
    <x v="71"/>
    <s v="REVENUS"/>
    <x v="6"/>
    <s v="4221.003"/>
    <s v="Intérêts compensat. / acomptes en faveur du fisc"/>
    <n v="0"/>
    <n v="0.5"/>
    <n v="4221"/>
  </r>
  <r>
    <x v="0"/>
    <x v="4"/>
    <x v="4"/>
    <x v="78"/>
    <x v="71"/>
    <x v="71"/>
    <s v="REVENUS"/>
    <x v="2"/>
    <s v="4001.003"/>
    <s v="Impôt s/prest. cap. PP"/>
    <n v="0"/>
    <n v="80226.350000000006"/>
    <n v="4001"/>
  </r>
  <r>
    <x v="0"/>
    <x v="4"/>
    <x v="4"/>
    <x v="78"/>
    <x v="71"/>
    <x v="71"/>
    <s v="REVENUS"/>
    <x v="2"/>
    <s v="4001.001"/>
    <s v="Impôt revenu"/>
    <n v="0"/>
    <n v="10176.200000000001"/>
    <n v="4001"/>
  </r>
  <r>
    <x v="0"/>
    <x v="4"/>
    <x v="4"/>
    <x v="78"/>
    <x v="71"/>
    <x v="71"/>
    <s v="REVENUS"/>
    <x v="3"/>
    <s v="4002.001"/>
    <s v="Impôt ordinaire s/fortune PP"/>
    <n v="0"/>
    <n v="5239.8"/>
    <n v="4002"/>
  </r>
  <r>
    <x v="0"/>
    <x v="4"/>
    <x v="4"/>
    <x v="78"/>
    <x v="71"/>
    <x v="71"/>
    <s v="REVENUS"/>
    <x v="6"/>
    <s v="4221.003"/>
    <s v="Intérêts compensat. / acomptes en faveur du fisc"/>
    <n v="0"/>
    <n v="1.01"/>
    <n v="4221"/>
  </r>
  <r>
    <x v="0"/>
    <x v="4"/>
    <x v="4"/>
    <x v="78"/>
    <x v="71"/>
    <x v="71"/>
    <s v="REVENUS"/>
    <x v="7"/>
    <s v="4184.000"/>
    <s v="Frais de poursuite"/>
    <n v="0"/>
    <n v="814.38"/>
    <n v="4184"/>
  </r>
  <r>
    <x v="0"/>
    <x v="4"/>
    <x v="4"/>
    <x v="78"/>
    <x v="71"/>
    <x v="71"/>
    <s v="REVENUS"/>
    <x v="6"/>
    <s v="4211.001"/>
    <s v="Intérêts de retard sur factures"/>
    <n v="0"/>
    <n v="2.64"/>
    <n v="4211"/>
  </r>
  <r>
    <x v="0"/>
    <x v="4"/>
    <x v="4"/>
    <x v="78"/>
    <x v="71"/>
    <x v="71"/>
    <s v="REVENUS"/>
    <x v="2"/>
    <s v="4001.007"/>
    <s v="Acompte impôt sur revenu"/>
    <n v="0"/>
    <n v="3100.65"/>
    <n v="4001"/>
  </r>
  <r>
    <x v="0"/>
    <x v="4"/>
    <x v="4"/>
    <x v="78"/>
    <x v="71"/>
    <x v="71"/>
    <s v="REVENUS"/>
    <x v="3"/>
    <s v="4002.007"/>
    <s v="Acompte impôt sur fortune"/>
    <n v="0"/>
    <n v="1025.6500000000001"/>
    <n v="4002"/>
  </r>
  <r>
    <x v="0"/>
    <x v="4"/>
    <x v="4"/>
    <x v="78"/>
    <x v="71"/>
    <x v="71"/>
    <s v="REVENUS"/>
    <x v="2"/>
    <s v="4001.007"/>
    <s v="Acompte impôt sur revenu"/>
    <n v="0"/>
    <n v="-484.13"/>
    <n v="4001"/>
  </r>
  <r>
    <x v="0"/>
    <x v="4"/>
    <x v="4"/>
    <x v="78"/>
    <x v="71"/>
    <x v="71"/>
    <s v="REVENUS"/>
    <x v="3"/>
    <s v="4002.007"/>
    <s v="Acompte impôt sur fortune"/>
    <n v="0"/>
    <n v="-638.88"/>
    <n v="4002"/>
  </r>
  <r>
    <x v="0"/>
    <x v="4"/>
    <x v="4"/>
    <x v="78"/>
    <x v="71"/>
    <x v="71"/>
    <s v="REVENUS"/>
    <x v="2"/>
    <s v="4001.007"/>
    <s v="Acompte impôt sur revenu"/>
    <n v="0"/>
    <n v="-3799.81"/>
    <n v="4001"/>
  </r>
  <r>
    <x v="0"/>
    <x v="4"/>
    <x v="4"/>
    <x v="78"/>
    <x v="71"/>
    <x v="71"/>
    <s v="REVENUS"/>
    <x v="3"/>
    <s v="4002.007"/>
    <s v="Acompte impôt sur fortune"/>
    <n v="0"/>
    <n v="-411.28"/>
    <n v="4002"/>
  </r>
  <r>
    <x v="0"/>
    <x v="4"/>
    <x v="4"/>
    <x v="78"/>
    <x v="71"/>
    <x v="71"/>
    <s v="REVENUS"/>
    <x v="6"/>
    <s v="4211.002"/>
    <s v="Intérêts de retard sur acomptes"/>
    <n v="0"/>
    <n v="4.28"/>
    <n v="4211"/>
  </r>
  <r>
    <x v="0"/>
    <x v="4"/>
    <x v="4"/>
    <x v="78"/>
    <x v="71"/>
    <x v="71"/>
    <s v="REVENUS"/>
    <x v="3"/>
    <s v="4002.002"/>
    <s v="Impôt complémentaire s/fortune PP"/>
    <n v="0"/>
    <n v="882.35"/>
    <n v="4002"/>
  </r>
  <r>
    <x v="0"/>
    <x v="4"/>
    <x v="4"/>
    <x v="78"/>
    <x v="71"/>
    <x v="71"/>
    <s v="REVENUS"/>
    <x v="3"/>
    <s v="4002.007"/>
    <s v="Acompte impôt sur fortune"/>
    <n v="0"/>
    <n v="-36.299999999999997"/>
    <n v="4002"/>
  </r>
  <r>
    <x v="0"/>
    <x v="4"/>
    <x v="4"/>
    <x v="78"/>
    <x v="71"/>
    <x v="71"/>
    <s v="REVENUS"/>
    <x v="2"/>
    <s v="4001.007"/>
    <s v="Acompte impôt sur revenu"/>
    <n v="0"/>
    <n v="-2299.8000000000002"/>
    <n v="4001"/>
  </r>
  <r>
    <x v="0"/>
    <x v="4"/>
    <x v="4"/>
    <x v="78"/>
    <x v="71"/>
    <x v="71"/>
    <s v="REVENUS"/>
    <x v="3"/>
    <s v="4002.007"/>
    <s v="Acompte impôt sur fortune"/>
    <n v="0"/>
    <n v="-2198.6"/>
    <n v="4002"/>
  </r>
  <r>
    <x v="0"/>
    <x v="4"/>
    <x v="4"/>
    <x v="78"/>
    <x v="71"/>
    <x v="71"/>
    <s v="REVENUS"/>
    <x v="9"/>
    <s v="4031.001"/>
    <s v="Impôt sur les gains immobiliers"/>
    <n v="0"/>
    <n v="46696.2"/>
    <n v="4031"/>
  </r>
  <r>
    <x v="0"/>
    <x v="4"/>
    <x v="4"/>
    <x v="78"/>
    <x v="71"/>
    <x v="71"/>
    <s v="REVENUS"/>
    <x v="6"/>
    <s v="4221.002"/>
    <s v="Intérêts compensat. sur impôts distincts"/>
    <n v="0"/>
    <n v="1.69"/>
    <n v="4221"/>
  </r>
  <r>
    <x v="0"/>
    <x v="4"/>
    <x v="4"/>
    <x v="78"/>
    <x v="71"/>
    <x v="71"/>
    <s v="REVENUS"/>
    <x v="2"/>
    <s v="4001.007"/>
    <s v="Acompte impôt sur revenu"/>
    <n v="0"/>
    <n v="1387.3"/>
    <n v="4001"/>
  </r>
  <r>
    <x v="0"/>
    <x v="4"/>
    <x v="4"/>
    <x v="78"/>
    <x v="71"/>
    <x v="71"/>
    <s v="REVENUS"/>
    <x v="10"/>
    <s v="4041.001"/>
    <s v="Droits de mutation"/>
    <n v="0"/>
    <n v="88383.9"/>
    <n v="4041"/>
  </r>
  <r>
    <x v="0"/>
    <x v="4"/>
    <x v="4"/>
    <x v="78"/>
    <x v="71"/>
    <x v="71"/>
    <s v="REVENUS"/>
    <x v="3"/>
    <s v="4002.001"/>
    <s v="Impôt ordinaire s/fortune PP"/>
    <n v="0"/>
    <n v="1129.6500000000001"/>
    <n v="4002"/>
  </r>
  <r>
    <x v="0"/>
    <x v="4"/>
    <x v="4"/>
    <x v="78"/>
    <x v="71"/>
    <x v="71"/>
    <s v="REVENUS"/>
    <x v="6"/>
    <s v="4211.002"/>
    <s v="Intérêts de retard sur acomptes"/>
    <n v="0"/>
    <n v="9.26"/>
    <n v="4211"/>
  </r>
  <r>
    <x v="0"/>
    <x v="4"/>
    <x v="4"/>
    <x v="78"/>
    <x v="71"/>
    <x v="71"/>
    <s v="REVENUS"/>
    <x v="2"/>
    <s v="4001.007"/>
    <s v="Acompte impôt sur revenu"/>
    <n v="0"/>
    <n v="-1438.5"/>
    <n v="4001"/>
  </r>
  <r>
    <x v="0"/>
    <x v="4"/>
    <x v="4"/>
    <x v="78"/>
    <x v="71"/>
    <x v="71"/>
    <s v="REVENUS"/>
    <x v="3"/>
    <s v="4002.007"/>
    <s v="Acompte impôt sur fortune"/>
    <n v="0"/>
    <n v="-1207.75"/>
    <n v="4002"/>
  </r>
  <r>
    <x v="0"/>
    <x v="4"/>
    <x v="4"/>
    <x v="78"/>
    <x v="71"/>
    <x v="71"/>
    <s v="REVENUS"/>
    <x v="2"/>
    <s v="4001.001"/>
    <s v="Impôt revenu"/>
    <n v="0"/>
    <n v="7730.95"/>
    <n v="4001"/>
  </r>
  <r>
    <x v="0"/>
    <x v="4"/>
    <x v="4"/>
    <x v="78"/>
    <x v="71"/>
    <x v="71"/>
    <s v="REVENUS"/>
    <x v="3"/>
    <s v="4002.001"/>
    <s v="Impôt ordinaire s/fortune PP"/>
    <n v="0"/>
    <n v="4722.3"/>
    <n v="4002"/>
  </r>
  <r>
    <x v="0"/>
    <x v="4"/>
    <x v="4"/>
    <x v="78"/>
    <x v="71"/>
    <x v="71"/>
    <s v="REVENUS"/>
    <x v="6"/>
    <s v="4211.002"/>
    <s v="Intérêts de retard sur acomptes"/>
    <n v="0"/>
    <n v="34.76"/>
    <n v="4211"/>
  </r>
  <r>
    <x v="0"/>
    <x v="4"/>
    <x v="4"/>
    <x v="78"/>
    <x v="71"/>
    <x v="71"/>
    <s v="REVENUS"/>
    <x v="9"/>
    <s v="4031.002"/>
    <s v="Complément impôt sur les gains immobiliers"/>
    <n v="0"/>
    <n v="21298.05"/>
    <n v="4031"/>
  </r>
  <r>
    <x v="0"/>
    <x v="4"/>
    <x v="4"/>
    <x v="78"/>
    <x v="71"/>
    <x v="71"/>
    <s v="REVENUS"/>
    <x v="2"/>
    <s v="4001.007"/>
    <s v="Acompte impôt sur revenu"/>
    <n v="0"/>
    <n v="-619.9"/>
    <n v="4001"/>
  </r>
  <r>
    <x v="0"/>
    <x v="4"/>
    <x v="4"/>
    <x v="78"/>
    <x v="71"/>
    <x v="71"/>
    <s v="REVENUS"/>
    <x v="3"/>
    <s v="4002.007"/>
    <s v="Acompte impôt sur fortune"/>
    <n v="0"/>
    <n v="-452.6"/>
    <n v="4002"/>
  </r>
  <r>
    <x v="0"/>
    <x v="4"/>
    <x v="4"/>
    <x v="78"/>
    <x v="71"/>
    <x v="71"/>
    <s v="REVENUS"/>
    <x v="5"/>
    <s v="4061.000"/>
    <s v="Impôt sur les chiens"/>
    <n v="0"/>
    <n v="6350"/>
    <n v="4061"/>
  </r>
  <r>
    <x v="0"/>
    <x v="4"/>
    <x v="4"/>
    <x v="78"/>
    <x v="71"/>
    <x v="71"/>
    <s v="REVENUS"/>
    <x v="2"/>
    <s v="4001.002"/>
    <s v="Impôt complément s/revenu PP"/>
    <n v="0"/>
    <n v="1681.25"/>
    <n v="4001"/>
  </r>
  <r>
    <x v="0"/>
    <x v="4"/>
    <x v="4"/>
    <x v="78"/>
    <x v="71"/>
    <x v="71"/>
    <s v="REVENUS"/>
    <x v="2"/>
    <s v="4001.001"/>
    <s v="Impôt revenu"/>
    <n v="0"/>
    <n v="2082.6999999999998"/>
    <n v="4001"/>
  </r>
  <r>
    <x v="0"/>
    <x v="4"/>
    <x v="4"/>
    <x v="78"/>
    <x v="71"/>
    <x v="71"/>
    <s v="REVENUS"/>
    <x v="3"/>
    <s v="4002.001"/>
    <s v="Impôt ordinaire s/fortune PP"/>
    <n v="0"/>
    <n v="1260.55"/>
    <n v="4002"/>
  </r>
  <r>
    <x v="0"/>
    <x v="4"/>
    <x v="4"/>
    <x v="78"/>
    <x v="71"/>
    <x v="71"/>
    <s v="REVENUS"/>
    <x v="6"/>
    <s v="4211.001"/>
    <s v="Intérêts de retard sur factures"/>
    <n v="0"/>
    <n v="0.06"/>
    <n v="4211"/>
  </r>
  <r>
    <x v="0"/>
    <x v="4"/>
    <x v="4"/>
    <x v="78"/>
    <x v="71"/>
    <x v="71"/>
    <s v="REVENUS"/>
    <x v="6"/>
    <s v="4221.003"/>
    <s v="Intérêts compensat. / acomptes en faveur du fisc"/>
    <n v="0"/>
    <n v="0.57999999999999996"/>
    <n v="4221"/>
  </r>
  <r>
    <x v="0"/>
    <x v="4"/>
    <x v="4"/>
    <x v="78"/>
    <x v="71"/>
    <x v="71"/>
    <s v="REVENUS"/>
    <x v="6"/>
    <s v="4221.003"/>
    <s v="Intérêts compensat. / acomptes en faveur du fisc"/>
    <n v="0"/>
    <n v="2.68"/>
    <n v="4221"/>
  </r>
  <r>
    <x v="0"/>
    <x v="4"/>
    <x v="4"/>
    <x v="78"/>
    <x v="71"/>
    <x v="71"/>
    <s v="REVENUS"/>
    <x v="2"/>
    <s v="4001.001"/>
    <s v="Impôt revenu"/>
    <n v="0"/>
    <n v="798.55"/>
    <n v="4001"/>
  </r>
  <r>
    <x v="0"/>
    <x v="4"/>
    <x v="4"/>
    <x v="78"/>
    <x v="71"/>
    <x v="71"/>
    <s v="REVENUS"/>
    <x v="6"/>
    <s v="4221.003"/>
    <s v="Intérêts compensat. / acomptes en faveur du fisc"/>
    <n v="0"/>
    <n v="0.03"/>
    <n v="4221"/>
  </r>
  <r>
    <x v="0"/>
    <x v="4"/>
    <x v="4"/>
    <x v="78"/>
    <x v="71"/>
    <x v="71"/>
    <s v="REVENUS"/>
    <x v="2"/>
    <s v="4001.002"/>
    <s v="Impôt complément s/revenu PP"/>
    <n v="0"/>
    <n v="445.75"/>
    <n v="4001"/>
  </r>
  <r>
    <x v="0"/>
    <x v="4"/>
    <x v="4"/>
    <x v="78"/>
    <x v="71"/>
    <x v="71"/>
    <s v="REVENUS"/>
    <x v="3"/>
    <s v="4002.002"/>
    <s v="Impôt complémentaire s/fortune PP"/>
    <n v="0"/>
    <n v="187.8"/>
    <n v="4002"/>
  </r>
  <r>
    <x v="0"/>
    <x v="4"/>
    <x v="4"/>
    <x v="78"/>
    <x v="71"/>
    <x v="71"/>
    <s v="REVENUS"/>
    <x v="7"/>
    <s v="4184.000"/>
    <s v="Frais de poursuite"/>
    <n v="0"/>
    <n v="0.27"/>
    <n v="4184"/>
  </r>
  <r>
    <x v="0"/>
    <x v="4"/>
    <x v="4"/>
    <x v="78"/>
    <x v="71"/>
    <x v="71"/>
    <s v="REVENUS"/>
    <x v="8"/>
    <s v="4091.001"/>
    <s v="Impôt récupéré après défalcations"/>
    <n v="0"/>
    <n v="1686.75"/>
    <n v="4091"/>
  </r>
  <r>
    <x v="0"/>
    <x v="4"/>
    <x v="4"/>
    <x v="78"/>
    <x v="71"/>
    <x v="71"/>
    <s v="REVENUS"/>
    <x v="11"/>
    <s v="4198.000"/>
    <s v="Contributions communales"/>
    <n v="0"/>
    <n v="154162.79999999999"/>
    <n v="4198"/>
  </r>
  <r>
    <x v="0"/>
    <x v="4"/>
    <x v="4"/>
    <x v="78"/>
    <x v="71"/>
    <x v="71"/>
    <s v="REVENUS"/>
    <x v="8"/>
    <s v="4091.001"/>
    <s v="Impôt récupéré après défalcations"/>
    <n v="0"/>
    <n v="2338.02"/>
    <n v="4091"/>
  </r>
  <r>
    <x v="0"/>
    <x v="4"/>
    <x v="4"/>
    <x v="78"/>
    <x v="71"/>
    <x v="71"/>
    <s v="REVENUS"/>
    <x v="2"/>
    <s v="4001.002"/>
    <s v="Impôt complément s/revenu PP"/>
    <n v="0"/>
    <n v="1193.1500000000001"/>
    <n v="4001"/>
  </r>
  <r>
    <x v="0"/>
    <x v="4"/>
    <x v="4"/>
    <x v="78"/>
    <x v="71"/>
    <x v="71"/>
    <s v="REVENUS"/>
    <x v="3"/>
    <s v="4002.002"/>
    <s v="Impôt complémentaire s/fortune PP"/>
    <n v="0"/>
    <n v="162.94999999999999"/>
    <n v="4002"/>
  </r>
  <r>
    <x v="0"/>
    <x v="4"/>
    <x v="4"/>
    <x v="78"/>
    <x v="71"/>
    <x v="71"/>
    <s v="REVENUS"/>
    <x v="6"/>
    <s v="4211.001"/>
    <s v="Intérêts de retard sur factures"/>
    <n v="0"/>
    <n v="2.16"/>
    <n v="4211"/>
  </r>
  <r>
    <x v="0"/>
    <x v="4"/>
    <x v="4"/>
    <x v="78"/>
    <x v="71"/>
    <x v="71"/>
    <s v="REVENUS"/>
    <x v="6"/>
    <s v="4211.002"/>
    <s v="Intérêts de retard sur acomptes"/>
    <n v="0"/>
    <n v="7.0000000000000007E-2"/>
    <n v="4211"/>
  </r>
  <r>
    <x v="0"/>
    <x v="4"/>
    <x v="4"/>
    <x v="78"/>
    <x v="71"/>
    <x v="71"/>
    <s v="REVENUS"/>
    <x v="2"/>
    <s v="4001.002"/>
    <s v="Impôt complément s/revenu PP"/>
    <n v="0"/>
    <n v="28"/>
    <n v="4001"/>
  </r>
  <r>
    <x v="0"/>
    <x v="4"/>
    <x v="4"/>
    <x v="78"/>
    <x v="71"/>
    <x v="71"/>
    <s v="REVENUS"/>
    <x v="3"/>
    <s v="4002.002"/>
    <s v="Impôt complémentaire s/fortune PP"/>
    <n v="0"/>
    <n v="44.3"/>
    <n v="4002"/>
  </r>
  <r>
    <x v="0"/>
    <x v="4"/>
    <x v="4"/>
    <x v="79"/>
    <x v="72"/>
    <x v="72"/>
    <s v="CHARGES"/>
    <x v="0"/>
    <s v="3212.002"/>
    <s v="Intérêts bonifiés/trop perçu acompte C/C"/>
    <n v="22.85"/>
    <n v="0"/>
    <n v="3212"/>
  </r>
  <r>
    <x v="0"/>
    <x v="4"/>
    <x v="4"/>
    <x v="79"/>
    <x v="72"/>
    <x v="72"/>
    <s v="CHARGES"/>
    <x v="0"/>
    <s v="3212.004"/>
    <s v="Intérêts rémun./perçu trop tôt sur acomptes C/C"/>
    <n v="1597.32"/>
    <n v="0"/>
    <n v="3212"/>
  </r>
  <r>
    <x v="0"/>
    <x v="4"/>
    <x v="4"/>
    <x v="79"/>
    <x v="72"/>
    <x v="72"/>
    <s v="CHARGES"/>
    <x v="0"/>
    <s v="3221.002"/>
    <s v="Intérêts compensatoires / créances en faveur ctb."/>
    <n v="561.41"/>
    <n v="0"/>
    <n v="3221"/>
  </r>
  <r>
    <x v="0"/>
    <x v="4"/>
    <x v="4"/>
    <x v="79"/>
    <x v="72"/>
    <x v="72"/>
    <s v="CHARGES"/>
    <x v="1"/>
    <s v="3301.001"/>
    <s v="Défalcations, abandons de solde PP et IS"/>
    <n v="46409.06"/>
    <n v="0"/>
    <n v="3301"/>
  </r>
  <r>
    <x v="0"/>
    <x v="4"/>
    <x v="4"/>
    <x v="79"/>
    <x v="72"/>
    <x v="72"/>
    <s v="CHARGES"/>
    <x v="0"/>
    <s v="3221.002"/>
    <s v="Intérêts compensatoires / créances en faveur ctb."/>
    <n v="0.35"/>
    <n v="0"/>
    <n v="3221"/>
  </r>
  <r>
    <x v="0"/>
    <x v="4"/>
    <x v="4"/>
    <x v="79"/>
    <x v="72"/>
    <x v="72"/>
    <s v="CHARGES"/>
    <x v="1"/>
    <s v="3301.001"/>
    <s v="Défalcations, abandons de solde PP et IS"/>
    <n v="20070.080000000002"/>
    <n v="0"/>
    <n v="3301"/>
  </r>
  <r>
    <x v="0"/>
    <x v="4"/>
    <x v="4"/>
    <x v="79"/>
    <x v="72"/>
    <x v="72"/>
    <s v="CHARGES"/>
    <x v="1"/>
    <s v="3301.001"/>
    <s v="Défalcations, abandons de solde PP et IS"/>
    <n v="-55.65"/>
    <n v="0"/>
    <n v="3301"/>
  </r>
  <r>
    <x v="0"/>
    <x v="4"/>
    <x v="4"/>
    <x v="79"/>
    <x v="72"/>
    <x v="72"/>
    <s v="CHARGES"/>
    <x v="0"/>
    <s v="3212.004"/>
    <s v="Intérêts rémun./perçu trop tôt sur acomptes C/C"/>
    <n v="18.489999999999998"/>
    <n v="0"/>
    <n v="3212"/>
  </r>
  <r>
    <x v="0"/>
    <x v="4"/>
    <x v="4"/>
    <x v="79"/>
    <x v="72"/>
    <x v="72"/>
    <s v="CHARGES"/>
    <x v="0"/>
    <s v="3221.002"/>
    <s v="Intérêts compensatoires / créances en faveur ctb."/>
    <n v="4.97"/>
    <n v="0"/>
    <n v="3221"/>
  </r>
  <r>
    <x v="0"/>
    <x v="4"/>
    <x v="4"/>
    <x v="79"/>
    <x v="72"/>
    <x v="72"/>
    <s v="CHARGES"/>
    <x v="0"/>
    <s v="3212.004"/>
    <s v="Intérêts rémun./perçu trop tôt sur acomptes C/C"/>
    <n v="15.95"/>
    <n v="0"/>
    <n v="3212"/>
  </r>
  <r>
    <x v="0"/>
    <x v="4"/>
    <x v="4"/>
    <x v="79"/>
    <x v="72"/>
    <x v="72"/>
    <s v="CHARGES"/>
    <x v="0"/>
    <s v="3221.002"/>
    <s v="Intérêts compensatoires / créances en faveur ctb."/>
    <n v="6.16"/>
    <n v="0"/>
    <n v="3221"/>
  </r>
  <r>
    <x v="0"/>
    <x v="4"/>
    <x v="4"/>
    <x v="79"/>
    <x v="72"/>
    <x v="72"/>
    <s v="CHARGES"/>
    <x v="0"/>
    <s v="3212.004"/>
    <s v="Intérêts rémun./perçu trop tôt sur acomptes C/C"/>
    <n v="0.86"/>
    <n v="0"/>
    <n v="3212"/>
  </r>
  <r>
    <x v="0"/>
    <x v="4"/>
    <x v="4"/>
    <x v="79"/>
    <x v="72"/>
    <x v="72"/>
    <s v="CHARGES"/>
    <x v="0"/>
    <s v="3212.004"/>
    <s v="Intérêts rémun./perçu trop tôt sur acomptes C/C"/>
    <n v="8.3000000000000007"/>
    <n v="0"/>
    <n v="3212"/>
  </r>
  <r>
    <x v="0"/>
    <x v="4"/>
    <x v="4"/>
    <x v="79"/>
    <x v="72"/>
    <x v="72"/>
    <s v="CHARGES"/>
    <x v="0"/>
    <s v="3221.002"/>
    <s v="Intérêts compensatoires / créances en faveur ctb."/>
    <n v="3.19"/>
    <n v="0"/>
    <n v="3221"/>
  </r>
  <r>
    <x v="0"/>
    <x v="4"/>
    <x v="4"/>
    <x v="79"/>
    <x v="72"/>
    <x v="72"/>
    <s v="CHARGES"/>
    <x v="1"/>
    <s v="3301.001"/>
    <s v="Défalcations, abandons de solde PP et IS"/>
    <n v="-0.02"/>
    <n v="0"/>
    <n v="3301"/>
  </r>
  <r>
    <x v="0"/>
    <x v="4"/>
    <x v="4"/>
    <x v="79"/>
    <x v="72"/>
    <x v="72"/>
    <s v="CHARGES"/>
    <x v="0"/>
    <s v="3212.004"/>
    <s v="Intérêts rémun./perçu trop tôt sur acomptes C/C"/>
    <n v="0.11"/>
    <n v="0"/>
    <n v="3212"/>
  </r>
  <r>
    <x v="0"/>
    <x v="4"/>
    <x v="4"/>
    <x v="79"/>
    <x v="72"/>
    <x v="72"/>
    <s v="CHARGES"/>
    <x v="1"/>
    <s v="3301.001"/>
    <s v="Défalcations, abandons de solde PP et IS"/>
    <n v="1.07"/>
    <n v="0"/>
    <n v="3301"/>
  </r>
  <r>
    <x v="0"/>
    <x v="4"/>
    <x v="4"/>
    <x v="79"/>
    <x v="72"/>
    <x v="72"/>
    <s v="CHARGES"/>
    <x v="1"/>
    <s v="3301.001"/>
    <s v="Défalcations, abandons de solde PP et IS"/>
    <n v="3.77"/>
    <n v="0"/>
    <n v="3301"/>
  </r>
  <r>
    <x v="0"/>
    <x v="4"/>
    <x v="4"/>
    <x v="79"/>
    <x v="72"/>
    <x v="72"/>
    <s v="CHARGES"/>
    <x v="0"/>
    <s v="3221.002"/>
    <s v="Intérêts compensatoires / créances en faveur ctb."/>
    <n v="0.01"/>
    <n v="0"/>
    <n v="3221"/>
  </r>
  <r>
    <x v="0"/>
    <x v="4"/>
    <x v="4"/>
    <x v="79"/>
    <x v="72"/>
    <x v="72"/>
    <s v="CHARGES"/>
    <x v="0"/>
    <s v="3212.002"/>
    <s v="Intérêts bonifiés/trop perçu acompte C/C"/>
    <n v="1.69"/>
    <n v="0"/>
    <n v="3212"/>
  </r>
  <r>
    <x v="0"/>
    <x v="4"/>
    <x v="4"/>
    <x v="79"/>
    <x v="72"/>
    <x v="72"/>
    <s v="CHARGES"/>
    <x v="1"/>
    <s v="3301.001"/>
    <s v="Défalcations, abandons de solde PP et IS"/>
    <n v="0.05"/>
    <n v="0"/>
    <n v="3301"/>
  </r>
  <r>
    <x v="0"/>
    <x v="4"/>
    <x v="4"/>
    <x v="79"/>
    <x v="72"/>
    <x v="72"/>
    <s v="CHARGES"/>
    <x v="1"/>
    <s v="3301.003"/>
    <s v="Remises PP et IS"/>
    <n v="287.75"/>
    <n v="0"/>
    <n v="3301"/>
  </r>
  <r>
    <x v="0"/>
    <x v="4"/>
    <x v="4"/>
    <x v="79"/>
    <x v="72"/>
    <x v="72"/>
    <s v="CHARGES"/>
    <x v="0"/>
    <s v="3221.002"/>
    <s v="Intérêts compensatoires / créances en faveur ctb."/>
    <n v="1.61"/>
    <n v="0"/>
    <n v="3221"/>
  </r>
  <r>
    <x v="0"/>
    <x v="4"/>
    <x v="4"/>
    <x v="79"/>
    <x v="72"/>
    <x v="72"/>
    <s v="CHARGES"/>
    <x v="1"/>
    <s v="3301.001"/>
    <s v="Défalcations, abandons de solde PP et IS"/>
    <n v="1553.1"/>
    <n v="0"/>
    <n v="3301"/>
  </r>
  <r>
    <x v="0"/>
    <x v="4"/>
    <x v="4"/>
    <x v="79"/>
    <x v="72"/>
    <x v="72"/>
    <s v="REVENUS"/>
    <x v="2"/>
    <s v="4001.007"/>
    <s v="Acompte impôt sur revenu"/>
    <n v="0"/>
    <n v="-1037285.32"/>
    <n v="4001"/>
  </r>
  <r>
    <x v="0"/>
    <x v="4"/>
    <x v="4"/>
    <x v="79"/>
    <x v="72"/>
    <x v="72"/>
    <s v="REVENUS"/>
    <x v="3"/>
    <s v="4002.007"/>
    <s v="Acompte impôt sur fortune"/>
    <n v="0"/>
    <n v="-314279.34000000003"/>
    <n v="4002"/>
  </r>
  <r>
    <x v="0"/>
    <x v="4"/>
    <x v="4"/>
    <x v="79"/>
    <x v="72"/>
    <x v="72"/>
    <s v="REVENUS"/>
    <x v="2"/>
    <s v="4001.001"/>
    <s v="Impôt revenu"/>
    <n v="0"/>
    <n v="6193944"/>
    <n v="4001"/>
  </r>
  <r>
    <x v="0"/>
    <x v="4"/>
    <x v="4"/>
    <x v="79"/>
    <x v="72"/>
    <x v="72"/>
    <s v="REVENUS"/>
    <x v="2"/>
    <s v="4001.003"/>
    <s v="Impôt s/prest. cap. PP"/>
    <n v="0"/>
    <n v="158684.79999999999"/>
    <n v="4001"/>
  </r>
  <r>
    <x v="0"/>
    <x v="4"/>
    <x v="4"/>
    <x v="79"/>
    <x v="72"/>
    <x v="72"/>
    <s v="REVENUS"/>
    <x v="3"/>
    <s v="4002.001"/>
    <s v="Impôt ordinaire s/fortune PP"/>
    <n v="0"/>
    <n v="1002714.05"/>
    <n v="4002"/>
  </r>
  <r>
    <x v="0"/>
    <x v="4"/>
    <x v="4"/>
    <x v="79"/>
    <x v="72"/>
    <x v="72"/>
    <s v="REVENUS"/>
    <x v="9"/>
    <s v="4031.001"/>
    <s v="Impôt sur les gains immobiliers"/>
    <n v="0"/>
    <n v="243497.65"/>
    <n v="4031"/>
  </r>
  <r>
    <x v="0"/>
    <x v="4"/>
    <x v="4"/>
    <x v="79"/>
    <x v="72"/>
    <x v="72"/>
    <s v="REVENUS"/>
    <x v="6"/>
    <s v="4211.001"/>
    <s v="Intérêts de retard sur factures"/>
    <n v="0"/>
    <n v="18811.11"/>
    <n v="4211"/>
  </r>
  <r>
    <x v="0"/>
    <x v="4"/>
    <x v="4"/>
    <x v="79"/>
    <x v="72"/>
    <x v="72"/>
    <s v="REVENUS"/>
    <x v="6"/>
    <s v="4211.002"/>
    <s v="Intérêts de retard sur acomptes"/>
    <n v="0"/>
    <n v="34143.440000000002"/>
    <n v="4211"/>
  </r>
  <r>
    <x v="0"/>
    <x v="4"/>
    <x v="4"/>
    <x v="79"/>
    <x v="72"/>
    <x v="72"/>
    <s v="REVENUS"/>
    <x v="6"/>
    <s v="4221.003"/>
    <s v="Intérêts compensat. / acomptes en faveur du fisc"/>
    <n v="0"/>
    <n v="1510.92"/>
    <n v="4221"/>
  </r>
  <r>
    <x v="0"/>
    <x v="4"/>
    <x v="4"/>
    <x v="79"/>
    <x v="72"/>
    <x v="72"/>
    <s v="REVENUS"/>
    <x v="2"/>
    <s v="4001.007"/>
    <s v="Acompte impôt sur revenu"/>
    <n v="0"/>
    <n v="3262.5"/>
    <n v="4001"/>
  </r>
  <r>
    <x v="0"/>
    <x v="4"/>
    <x v="4"/>
    <x v="79"/>
    <x v="72"/>
    <x v="72"/>
    <s v="REVENUS"/>
    <x v="3"/>
    <s v="4002.001"/>
    <s v="Impôt ordinaire s/fortune PP"/>
    <n v="0"/>
    <n v="2264.1"/>
    <n v="4002"/>
  </r>
  <r>
    <x v="0"/>
    <x v="4"/>
    <x v="4"/>
    <x v="79"/>
    <x v="72"/>
    <x v="72"/>
    <s v="REVENUS"/>
    <x v="3"/>
    <s v="4002.007"/>
    <s v="Acompte impôt sur fortune"/>
    <n v="0"/>
    <n v="2662.94"/>
    <n v="4002"/>
  </r>
  <r>
    <x v="0"/>
    <x v="4"/>
    <x v="4"/>
    <x v="79"/>
    <x v="72"/>
    <x v="72"/>
    <s v="REVENUS"/>
    <x v="2"/>
    <s v="4001.002"/>
    <s v="Impôt complément s/revenu PP"/>
    <n v="0"/>
    <n v="953142.7"/>
    <n v="4001"/>
  </r>
  <r>
    <x v="0"/>
    <x v="4"/>
    <x v="4"/>
    <x v="79"/>
    <x v="72"/>
    <x v="72"/>
    <s v="REVENUS"/>
    <x v="3"/>
    <s v="4002.002"/>
    <s v="Impôt complémentaire s/fortune PP"/>
    <n v="0"/>
    <n v="192483.20000000001"/>
    <n v="4002"/>
  </r>
  <r>
    <x v="0"/>
    <x v="4"/>
    <x v="4"/>
    <x v="79"/>
    <x v="72"/>
    <x v="72"/>
    <s v="REVENUS"/>
    <x v="7"/>
    <s v="4184.000"/>
    <s v="Frais de poursuite"/>
    <n v="0"/>
    <n v="3285.48"/>
    <n v="4184"/>
  </r>
  <r>
    <x v="0"/>
    <x v="4"/>
    <x v="4"/>
    <x v="79"/>
    <x v="72"/>
    <x v="72"/>
    <s v="REVENUS"/>
    <x v="10"/>
    <s v="4041.001"/>
    <s v="Droits de mutation"/>
    <n v="0"/>
    <n v="286745.90000000002"/>
    <n v="4041"/>
  </r>
  <r>
    <x v="0"/>
    <x v="4"/>
    <x v="4"/>
    <x v="79"/>
    <x v="72"/>
    <x v="72"/>
    <s v="REVENUS"/>
    <x v="6"/>
    <s v="4221.002"/>
    <s v="Intérêts compensat. sur impôts distincts"/>
    <n v="0"/>
    <n v="31.51"/>
    <n v="4221"/>
  </r>
  <r>
    <x v="0"/>
    <x v="4"/>
    <x v="4"/>
    <x v="79"/>
    <x v="72"/>
    <x v="72"/>
    <s v="REVENUS"/>
    <x v="2"/>
    <s v="4001.001"/>
    <s v="Impôt revenu"/>
    <n v="0"/>
    <n v="7065.4"/>
    <n v="4001"/>
  </r>
  <r>
    <x v="0"/>
    <x v="4"/>
    <x v="4"/>
    <x v="79"/>
    <x v="72"/>
    <x v="72"/>
    <s v="REVENUS"/>
    <x v="6"/>
    <s v="4211.002"/>
    <s v="Intérêts de retard sur acomptes"/>
    <n v="0"/>
    <n v="39.5"/>
    <n v="4211"/>
  </r>
  <r>
    <x v="0"/>
    <x v="4"/>
    <x v="4"/>
    <x v="79"/>
    <x v="72"/>
    <x v="72"/>
    <s v="REVENUS"/>
    <x v="6"/>
    <s v="4211.001"/>
    <s v="Intérêts de retard sur factures"/>
    <n v="0"/>
    <n v="1023.54"/>
    <n v="4211"/>
  </r>
  <r>
    <x v="0"/>
    <x v="4"/>
    <x v="4"/>
    <x v="79"/>
    <x v="72"/>
    <x v="72"/>
    <s v="REVENUS"/>
    <x v="2"/>
    <s v="4001.001"/>
    <s v="Impôt revenu"/>
    <n v="0"/>
    <n v="50575.85"/>
    <n v="4001"/>
  </r>
  <r>
    <x v="0"/>
    <x v="4"/>
    <x v="4"/>
    <x v="79"/>
    <x v="72"/>
    <x v="72"/>
    <s v="REVENUS"/>
    <x v="2"/>
    <s v="4001.002"/>
    <s v="Impôt complément s/revenu PP"/>
    <n v="0"/>
    <n v="11047.75"/>
    <n v="4001"/>
  </r>
  <r>
    <x v="0"/>
    <x v="4"/>
    <x v="4"/>
    <x v="79"/>
    <x v="72"/>
    <x v="72"/>
    <s v="REVENUS"/>
    <x v="3"/>
    <s v="4002.001"/>
    <s v="Impôt ordinaire s/fortune PP"/>
    <n v="0"/>
    <n v="20152.25"/>
    <n v="4002"/>
  </r>
  <r>
    <x v="0"/>
    <x v="4"/>
    <x v="4"/>
    <x v="79"/>
    <x v="72"/>
    <x v="72"/>
    <s v="REVENUS"/>
    <x v="3"/>
    <s v="4002.002"/>
    <s v="Impôt complémentaire s/fortune PP"/>
    <n v="0"/>
    <n v="3140.35"/>
    <n v="4002"/>
  </r>
  <r>
    <x v="0"/>
    <x v="4"/>
    <x v="4"/>
    <x v="79"/>
    <x v="72"/>
    <x v="72"/>
    <s v="REVENUS"/>
    <x v="3"/>
    <s v="4002.007"/>
    <s v="Acompte impôt sur fortune"/>
    <n v="0"/>
    <n v="-1158.8499999999999"/>
    <n v="4002"/>
  </r>
  <r>
    <x v="0"/>
    <x v="4"/>
    <x v="4"/>
    <x v="79"/>
    <x v="72"/>
    <x v="72"/>
    <s v="REVENUS"/>
    <x v="2"/>
    <s v="4001.001"/>
    <s v="Impôt revenu"/>
    <n v="0"/>
    <n v="41136.75"/>
    <n v="4001"/>
  </r>
  <r>
    <x v="0"/>
    <x v="4"/>
    <x v="4"/>
    <x v="79"/>
    <x v="72"/>
    <x v="72"/>
    <s v="REVENUS"/>
    <x v="3"/>
    <s v="4002.001"/>
    <s v="Impôt ordinaire s/fortune PP"/>
    <n v="0"/>
    <n v="10582.9"/>
    <n v="4002"/>
  </r>
  <r>
    <x v="0"/>
    <x v="4"/>
    <x v="4"/>
    <x v="79"/>
    <x v="72"/>
    <x v="72"/>
    <s v="REVENUS"/>
    <x v="6"/>
    <s v="4211.002"/>
    <s v="Intérêts de retard sur acomptes"/>
    <n v="0"/>
    <n v="118.71"/>
    <n v="4211"/>
  </r>
  <r>
    <x v="0"/>
    <x v="4"/>
    <x v="4"/>
    <x v="79"/>
    <x v="72"/>
    <x v="72"/>
    <s v="REVENUS"/>
    <x v="7"/>
    <s v="4184.000"/>
    <s v="Frais de poursuite"/>
    <n v="0"/>
    <n v="2270.9299999999998"/>
    <n v="4184"/>
  </r>
  <r>
    <x v="0"/>
    <x v="4"/>
    <x v="4"/>
    <x v="79"/>
    <x v="72"/>
    <x v="72"/>
    <s v="REVENUS"/>
    <x v="6"/>
    <s v="4221.003"/>
    <s v="Intérêts compensat. / acomptes en faveur du fisc"/>
    <n v="0"/>
    <n v="3.4"/>
    <n v="4221"/>
  </r>
  <r>
    <x v="0"/>
    <x v="4"/>
    <x v="4"/>
    <x v="79"/>
    <x v="72"/>
    <x v="72"/>
    <s v="REVENUS"/>
    <x v="7"/>
    <s v="4184.000"/>
    <s v="Frais de poursuite"/>
    <n v="0"/>
    <n v="368.81"/>
    <n v="4184"/>
  </r>
  <r>
    <x v="0"/>
    <x v="4"/>
    <x v="4"/>
    <x v="79"/>
    <x v="72"/>
    <x v="72"/>
    <s v="REVENUS"/>
    <x v="2"/>
    <s v="4001.007"/>
    <s v="Acompte impôt sur revenu"/>
    <n v="0"/>
    <n v="90888.4"/>
    <n v="4001"/>
  </r>
  <r>
    <x v="0"/>
    <x v="4"/>
    <x v="4"/>
    <x v="79"/>
    <x v="72"/>
    <x v="72"/>
    <s v="REVENUS"/>
    <x v="3"/>
    <s v="4002.007"/>
    <s v="Acompte impôt sur fortune"/>
    <n v="0"/>
    <n v="14692.81"/>
    <n v="4002"/>
  </r>
  <r>
    <x v="0"/>
    <x v="4"/>
    <x v="4"/>
    <x v="79"/>
    <x v="72"/>
    <x v="72"/>
    <s v="REVENUS"/>
    <x v="6"/>
    <s v="4221.003"/>
    <s v="Intérêts compensat. / acomptes en faveur du fisc"/>
    <n v="0"/>
    <n v="234.6"/>
    <n v="4221"/>
  </r>
  <r>
    <x v="0"/>
    <x v="4"/>
    <x v="4"/>
    <x v="79"/>
    <x v="72"/>
    <x v="72"/>
    <s v="REVENUS"/>
    <x v="3"/>
    <s v="4002.007"/>
    <s v="Acompte impôt sur fortune"/>
    <n v="0"/>
    <n v="-1070.55"/>
    <n v="4002"/>
  </r>
  <r>
    <x v="0"/>
    <x v="4"/>
    <x v="4"/>
    <x v="79"/>
    <x v="72"/>
    <x v="72"/>
    <s v="REVENUS"/>
    <x v="2"/>
    <s v="4001.001"/>
    <s v="Impôt revenu"/>
    <n v="0"/>
    <n v="11378.65"/>
    <n v="4001"/>
  </r>
  <r>
    <x v="0"/>
    <x v="4"/>
    <x v="4"/>
    <x v="79"/>
    <x v="72"/>
    <x v="72"/>
    <s v="REVENUS"/>
    <x v="3"/>
    <s v="4002.001"/>
    <s v="Impôt ordinaire s/fortune PP"/>
    <n v="0"/>
    <n v="8286.2000000000007"/>
    <n v="4002"/>
  </r>
  <r>
    <x v="0"/>
    <x v="4"/>
    <x v="4"/>
    <x v="79"/>
    <x v="72"/>
    <x v="72"/>
    <s v="REVENUS"/>
    <x v="5"/>
    <s v="4061.000"/>
    <s v="Impôt sur les chiens"/>
    <n v="0"/>
    <n v="15600"/>
    <n v="4061"/>
  </r>
  <r>
    <x v="0"/>
    <x v="4"/>
    <x v="4"/>
    <x v="79"/>
    <x v="72"/>
    <x v="72"/>
    <s v="REVENUS"/>
    <x v="2"/>
    <s v="4001.007"/>
    <s v="Acompte impôt sur revenu"/>
    <n v="0"/>
    <n v="20885.21"/>
    <n v="4001"/>
  </r>
  <r>
    <x v="0"/>
    <x v="4"/>
    <x v="4"/>
    <x v="79"/>
    <x v="72"/>
    <x v="72"/>
    <s v="REVENUS"/>
    <x v="3"/>
    <s v="4002.007"/>
    <s v="Acompte impôt sur fortune"/>
    <n v="0"/>
    <n v="10001.75"/>
    <n v="4002"/>
  </r>
  <r>
    <x v="0"/>
    <x v="4"/>
    <x v="4"/>
    <x v="79"/>
    <x v="72"/>
    <x v="72"/>
    <s v="REVENUS"/>
    <x v="2"/>
    <s v="4001.007"/>
    <s v="Acompte impôt sur revenu"/>
    <n v="0"/>
    <n v="15567.07"/>
    <n v="4001"/>
  </r>
  <r>
    <x v="0"/>
    <x v="4"/>
    <x v="4"/>
    <x v="79"/>
    <x v="72"/>
    <x v="72"/>
    <s v="REVENUS"/>
    <x v="3"/>
    <s v="4002.007"/>
    <s v="Acompte impôt sur fortune"/>
    <n v="0"/>
    <n v="5296.82"/>
    <n v="4002"/>
  </r>
  <r>
    <x v="0"/>
    <x v="4"/>
    <x v="4"/>
    <x v="79"/>
    <x v="72"/>
    <x v="72"/>
    <s v="REVENUS"/>
    <x v="6"/>
    <s v="4211.001"/>
    <s v="Intérêts de retard sur factures"/>
    <n v="0"/>
    <n v="53.64"/>
    <n v="4211"/>
  </r>
  <r>
    <x v="0"/>
    <x v="4"/>
    <x v="4"/>
    <x v="79"/>
    <x v="72"/>
    <x v="72"/>
    <s v="REVENUS"/>
    <x v="2"/>
    <s v="4001.005"/>
    <s v="Amende de soustract. Impôt"/>
    <n v="0"/>
    <n v="2450"/>
    <n v="4001"/>
  </r>
  <r>
    <x v="0"/>
    <x v="4"/>
    <x v="4"/>
    <x v="79"/>
    <x v="72"/>
    <x v="72"/>
    <s v="REVENUS"/>
    <x v="6"/>
    <s v="4211.002"/>
    <s v="Intérêts de retard sur acomptes"/>
    <n v="0"/>
    <n v="1655.49"/>
    <n v="4211"/>
  </r>
  <r>
    <x v="0"/>
    <x v="4"/>
    <x v="4"/>
    <x v="79"/>
    <x v="72"/>
    <x v="72"/>
    <s v="REVENUS"/>
    <x v="7"/>
    <s v="4184.000"/>
    <s v="Frais de poursuite"/>
    <n v="0"/>
    <n v="0.93"/>
    <n v="4184"/>
  </r>
  <r>
    <x v="0"/>
    <x v="4"/>
    <x v="4"/>
    <x v="79"/>
    <x v="72"/>
    <x v="72"/>
    <s v="REVENUS"/>
    <x v="6"/>
    <s v="4221.003"/>
    <s v="Intérêts compensat. / acomptes en faveur du fisc"/>
    <n v="0"/>
    <n v="7.24"/>
    <n v="4221"/>
  </r>
  <r>
    <x v="0"/>
    <x v="4"/>
    <x v="4"/>
    <x v="79"/>
    <x v="72"/>
    <x v="72"/>
    <s v="REVENUS"/>
    <x v="3"/>
    <s v="4002.007"/>
    <s v="Acompte impôt sur fortune"/>
    <n v="0"/>
    <n v="0"/>
    <n v="4002"/>
  </r>
  <r>
    <x v="0"/>
    <x v="4"/>
    <x v="4"/>
    <x v="79"/>
    <x v="72"/>
    <x v="72"/>
    <s v="REVENUS"/>
    <x v="2"/>
    <s v="4001.001"/>
    <s v="Impôt revenu"/>
    <n v="0"/>
    <n v="467.65"/>
    <n v="4001"/>
  </r>
  <r>
    <x v="0"/>
    <x v="4"/>
    <x v="4"/>
    <x v="79"/>
    <x v="72"/>
    <x v="72"/>
    <s v="REVENUS"/>
    <x v="2"/>
    <s v="4001.002"/>
    <s v="Impôt complément s/revenu PP"/>
    <n v="0"/>
    <n v="68.45"/>
    <n v="4001"/>
  </r>
  <r>
    <x v="0"/>
    <x v="4"/>
    <x v="4"/>
    <x v="79"/>
    <x v="72"/>
    <x v="72"/>
    <s v="REVENUS"/>
    <x v="3"/>
    <s v="4002.001"/>
    <s v="Impôt ordinaire s/fortune PP"/>
    <n v="0"/>
    <n v="-77.05"/>
    <n v="4002"/>
  </r>
  <r>
    <x v="0"/>
    <x v="4"/>
    <x v="4"/>
    <x v="79"/>
    <x v="72"/>
    <x v="72"/>
    <s v="REVENUS"/>
    <x v="3"/>
    <s v="4002.002"/>
    <s v="Impôt complémentaire s/fortune PP"/>
    <n v="0"/>
    <n v="158.4"/>
    <n v="4002"/>
  </r>
  <r>
    <x v="0"/>
    <x v="4"/>
    <x v="4"/>
    <x v="79"/>
    <x v="72"/>
    <x v="72"/>
    <s v="REVENUS"/>
    <x v="6"/>
    <s v="4211.002"/>
    <s v="Intérêts de retard sur acomptes"/>
    <n v="0"/>
    <n v="1.37"/>
    <n v="4211"/>
  </r>
  <r>
    <x v="0"/>
    <x v="4"/>
    <x v="4"/>
    <x v="79"/>
    <x v="72"/>
    <x v="72"/>
    <s v="REVENUS"/>
    <x v="6"/>
    <s v="4221.003"/>
    <s v="Intérêts compensat. / acomptes en faveur du fisc"/>
    <n v="0"/>
    <n v="-0.01"/>
    <n v="4221"/>
  </r>
  <r>
    <x v="0"/>
    <x v="4"/>
    <x v="4"/>
    <x v="79"/>
    <x v="72"/>
    <x v="72"/>
    <s v="REVENUS"/>
    <x v="2"/>
    <s v="4001.001"/>
    <s v="Impôt revenu"/>
    <n v="0"/>
    <n v="5184.75"/>
    <n v="4001"/>
  </r>
  <r>
    <x v="0"/>
    <x v="4"/>
    <x v="4"/>
    <x v="79"/>
    <x v="72"/>
    <x v="72"/>
    <s v="REVENUS"/>
    <x v="2"/>
    <s v="4001.007"/>
    <s v="Acompte impôt sur revenu"/>
    <n v="0"/>
    <n v="-1929.59"/>
    <n v="4001"/>
  </r>
  <r>
    <x v="0"/>
    <x v="4"/>
    <x v="4"/>
    <x v="79"/>
    <x v="72"/>
    <x v="72"/>
    <s v="REVENUS"/>
    <x v="3"/>
    <s v="4002.001"/>
    <s v="Impôt ordinaire s/fortune PP"/>
    <n v="0"/>
    <n v="3056.2"/>
    <n v="4002"/>
  </r>
  <r>
    <x v="0"/>
    <x v="4"/>
    <x v="4"/>
    <x v="79"/>
    <x v="72"/>
    <x v="72"/>
    <s v="REVENUS"/>
    <x v="3"/>
    <s v="4002.007"/>
    <s v="Acompte impôt sur fortune"/>
    <n v="0"/>
    <n v="-1567.93"/>
    <n v="4002"/>
  </r>
  <r>
    <x v="0"/>
    <x v="4"/>
    <x v="4"/>
    <x v="79"/>
    <x v="72"/>
    <x v="72"/>
    <s v="REVENUS"/>
    <x v="6"/>
    <s v="4221.003"/>
    <s v="Intérêts compensat. / acomptes en faveur du fisc"/>
    <n v="0"/>
    <n v="1.07"/>
    <n v="4221"/>
  </r>
  <r>
    <x v="0"/>
    <x v="4"/>
    <x v="4"/>
    <x v="79"/>
    <x v="72"/>
    <x v="72"/>
    <s v="REVENUS"/>
    <x v="2"/>
    <s v="4001.007"/>
    <s v="Acompte impôt sur revenu"/>
    <n v="0"/>
    <n v="-7.3"/>
    <n v="4001"/>
  </r>
  <r>
    <x v="0"/>
    <x v="4"/>
    <x v="4"/>
    <x v="79"/>
    <x v="72"/>
    <x v="72"/>
    <s v="REVENUS"/>
    <x v="6"/>
    <s v="4211.001"/>
    <s v="Intérêts de retard sur factures"/>
    <n v="0"/>
    <n v="0.78"/>
    <n v="4211"/>
  </r>
  <r>
    <x v="0"/>
    <x v="4"/>
    <x v="4"/>
    <x v="79"/>
    <x v="72"/>
    <x v="72"/>
    <s v="REVENUS"/>
    <x v="2"/>
    <s v="4001.002"/>
    <s v="Impôt complément s/revenu PP"/>
    <n v="0"/>
    <n v="446.4"/>
    <n v="4001"/>
  </r>
  <r>
    <x v="0"/>
    <x v="4"/>
    <x v="4"/>
    <x v="79"/>
    <x v="72"/>
    <x v="72"/>
    <s v="REVENUS"/>
    <x v="3"/>
    <s v="4002.002"/>
    <s v="Impôt complémentaire s/fortune PP"/>
    <n v="0"/>
    <n v="161.4"/>
    <n v="4002"/>
  </r>
  <r>
    <x v="0"/>
    <x v="4"/>
    <x v="4"/>
    <x v="79"/>
    <x v="72"/>
    <x v="72"/>
    <s v="REVENUS"/>
    <x v="6"/>
    <s v="4211.001"/>
    <s v="Intérêts de retard sur factures"/>
    <n v="0"/>
    <n v="5.2"/>
    <n v="4211"/>
  </r>
  <r>
    <x v="0"/>
    <x v="4"/>
    <x v="4"/>
    <x v="79"/>
    <x v="72"/>
    <x v="72"/>
    <s v="REVENUS"/>
    <x v="7"/>
    <s v="4184.000"/>
    <s v="Frais de poursuite"/>
    <n v="0"/>
    <n v="12.67"/>
    <n v="4184"/>
  </r>
  <r>
    <x v="0"/>
    <x v="4"/>
    <x v="4"/>
    <x v="79"/>
    <x v="72"/>
    <x v="72"/>
    <s v="REVENUS"/>
    <x v="6"/>
    <s v="4211.001"/>
    <s v="Intérêts de retard sur factures"/>
    <n v="0"/>
    <n v="30.69"/>
    <n v="4211"/>
  </r>
  <r>
    <x v="0"/>
    <x v="4"/>
    <x v="4"/>
    <x v="79"/>
    <x v="72"/>
    <x v="72"/>
    <s v="REVENUS"/>
    <x v="6"/>
    <s v="4221.003"/>
    <s v="Intérêts compensat. / acomptes en faveur du fisc"/>
    <n v="0"/>
    <n v="0.09"/>
    <n v="4221"/>
  </r>
  <r>
    <x v="0"/>
    <x v="4"/>
    <x v="4"/>
    <x v="79"/>
    <x v="72"/>
    <x v="72"/>
    <s v="REVENUS"/>
    <x v="8"/>
    <s v="4091.001"/>
    <s v="Impôt récupéré après défalcations"/>
    <n v="0"/>
    <n v="5571.09"/>
    <n v="4091"/>
  </r>
  <r>
    <x v="0"/>
    <x v="4"/>
    <x v="4"/>
    <x v="79"/>
    <x v="72"/>
    <x v="72"/>
    <s v="REVENUS"/>
    <x v="2"/>
    <s v="4001.002"/>
    <s v="Impôt complément s/revenu PP"/>
    <n v="0"/>
    <n v="1756.25"/>
    <n v="4001"/>
  </r>
  <r>
    <x v="0"/>
    <x v="4"/>
    <x v="4"/>
    <x v="79"/>
    <x v="72"/>
    <x v="72"/>
    <s v="REVENUS"/>
    <x v="3"/>
    <s v="4002.002"/>
    <s v="Impôt complémentaire s/fortune PP"/>
    <n v="0"/>
    <n v="491"/>
    <n v="4002"/>
  </r>
  <r>
    <x v="0"/>
    <x v="4"/>
    <x v="4"/>
    <x v="79"/>
    <x v="72"/>
    <x v="72"/>
    <s v="REVENUS"/>
    <x v="9"/>
    <s v="4031.002"/>
    <s v="Complément impôt sur les gains immobiliers"/>
    <n v="0"/>
    <n v="7708"/>
    <n v="4031"/>
  </r>
  <r>
    <x v="0"/>
    <x v="4"/>
    <x v="4"/>
    <x v="79"/>
    <x v="72"/>
    <x v="72"/>
    <s v="REVENUS"/>
    <x v="6"/>
    <s v="4211.002"/>
    <s v="Intérêts de retard sur acomptes"/>
    <n v="0"/>
    <n v="303.69"/>
    <n v="4211"/>
  </r>
  <r>
    <x v="0"/>
    <x v="4"/>
    <x v="4"/>
    <x v="79"/>
    <x v="72"/>
    <x v="72"/>
    <s v="REVENUS"/>
    <x v="8"/>
    <s v="4091.001"/>
    <s v="Impôt récupéré après défalcations"/>
    <n v="0"/>
    <n v="1890.59"/>
    <n v="4091"/>
  </r>
  <r>
    <x v="0"/>
    <x v="4"/>
    <x v="4"/>
    <x v="80"/>
    <x v="73"/>
    <x v="73"/>
    <s v="CHARGES"/>
    <x v="1"/>
    <s v="3301.001"/>
    <s v="Défalcations, abandons de solde PP et IS"/>
    <n v="24418.57"/>
    <n v="0"/>
    <n v="3301"/>
  </r>
  <r>
    <x v="0"/>
    <x v="4"/>
    <x v="4"/>
    <x v="80"/>
    <x v="73"/>
    <x v="73"/>
    <s v="CHARGES"/>
    <x v="1"/>
    <s v="3301.001"/>
    <s v="Défalcations, abandons de solde PP et IS"/>
    <n v="2.96"/>
    <n v="0"/>
    <n v="3301"/>
  </r>
  <r>
    <x v="0"/>
    <x v="4"/>
    <x v="4"/>
    <x v="80"/>
    <x v="73"/>
    <x v="73"/>
    <s v="CHARGES"/>
    <x v="0"/>
    <s v="3212.004"/>
    <s v="Intérêts rémun./perçu trop tôt sur acomptes C/C"/>
    <n v="-2.59"/>
    <n v="0"/>
    <n v="3212"/>
  </r>
  <r>
    <x v="0"/>
    <x v="4"/>
    <x v="4"/>
    <x v="80"/>
    <x v="73"/>
    <x v="73"/>
    <s v="CHARGES"/>
    <x v="0"/>
    <s v="3221.002"/>
    <s v="Intérêts compensatoires / créances en faveur ctb."/>
    <n v="-3.45"/>
    <n v="0"/>
    <n v="3221"/>
  </r>
  <r>
    <x v="0"/>
    <x v="4"/>
    <x v="4"/>
    <x v="80"/>
    <x v="73"/>
    <x v="73"/>
    <s v="REVENUS"/>
    <x v="8"/>
    <s v="4091.001"/>
    <s v="Impôt récupéré après défalcations"/>
    <n v="0"/>
    <n v="1814.83"/>
    <n v="4091"/>
  </r>
  <r>
    <x v="0"/>
    <x v="4"/>
    <x v="4"/>
    <x v="80"/>
    <x v="73"/>
    <x v="73"/>
    <s v="REVENUS"/>
    <x v="2"/>
    <s v="4001.001"/>
    <s v="Impôt revenu"/>
    <n v="0"/>
    <n v="-23803.7"/>
    <n v="4001"/>
  </r>
  <r>
    <x v="0"/>
    <x v="4"/>
    <x v="4"/>
    <x v="80"/>
    <x v="73"/>
    <x v="73"/>
    <s v="REVENUS"/>
    <x v="2"/>
    <s v="4001.002"/>
    <s v="Impôt complément s/revenu PP"/>
    <n v="0"/>
    <n v="24924.1"/>
    <n v="4001"/>
  </r>
  <r>
    <x v="0"/>
    <x v="4"/>
    <x v="4"/>
    <x v="80"/>
    <x v="73"/>
    <x v="73"/>
    <s v="REVENUS"/>
    <x v="3"/>
    <s v="4002.002"/>
    <s v="Impôt complémentaire s/fortune PP"/>
    <n v="0"/>
    <n v="607.1"/>
    <n v="4002"/>
  </r>
  <r>
    <x v="0"/>
    <x v="4"/>
    <x v="4"/>
    <x v="80"/>
    <x v="73"/>
    <x v="73"/>
    <s v="REVENUS"/>
    <x v="6"/>
    <s v="4211.001"/>
    <s v="Intérêts de retard sur factures"/>
    <n v="0"/>
    <n v="514.54999999999995"/>
    <n v="4211"/>
  </r>
  <r>
    <x v="0"/>
    <x v="4"/>
    <x v="4"/>
    <x v="80"/>
    <x v="73"/>
    <x v="73"/>
    <s v="REVENUS"/>
    <x v="6"/>
    <s v="4221.003"/>
    <s v="Intérêts compensat. / acomptes en faveur du fisc"/>
    <n v="0"/>
    <n v="16.05"/>
    <n v="4221"/>
  </r>
  <r>
    <x v="0"/>
    <x v="4"/>
    <x v="4"/>
    <x v="80"/>
    <x v="73"/>
    <x v="73"/>
    <s v="REVENUS"/>
    <x v="7"/>
    <s v="4184.000"/>
    <s v="Frais de poursuite"/>
    <n v="0"/>
    <n v="46.63"/>
    <n v="4184"/>
  </r>
  <r>
    <x v="0"/>
    <x v="4"/>
    <x v="4"/>
    <x v="80"/>
    <x v="73"/>
    <x v="73"/>
    <s v="REVENUS"/>
    <x v="6"/>
    <s v="4211.002"/>
    <s v="Intérêts de retard sur acomptes"/>
    <n v="0"/>
    <n v="0.59"/>
    <n v="4211"/>
  </r>
  <r>
    <x v="0"/>
    <x v="4"/>
    <x v="4"/>
    <x v="81"/>
    <x v="74"/>
    <x v="74"/>
    <s v="CHARGES"/>
    <x v="0"/>
    <s v="3212.002"/>
    <s v="Intérêts bonifiés/trop perçu acompte C/C"/>
    <n v="94.92"/>
    <n v="0"/>
    <n v="3212"/>
  </r>
  <r>
    <x v="0"/>
    <x v="4"/>
    <x v="4"/>
    <x v="81"/>
    <x v="74"/>
    <x v="74"/>
    <s v="CHARGES"/>
    <x v="0"/>
    <s v="3212.004"/>
    <s v="Intérêts rémun./perçu trop tôt sur acomptes C/C"/>
    <n v="2464.4699999999998"/>
    <n v="0"/>
    <n v="3212"/>
  </r>
  <r>
    <x v="0"/>
    <x v="4"/>
    <x v="4"/>
    <x v="81"/>
    <x v="74"/>
    <x v="74"/>
    <s v="CHARGES"/>
    <x v="0"/>
    <s v="3221.002"/>
    <s v="Intérêts compensatoires / créances en faveur ctb."/>
    <n v="1104.1300000000001"/>
    <n v="0"/>
    <n v="3221"/>
  </r>
  <r>
    <x v="0"/>
    <x v="4"/>
    <x v="4"/>
    <x v="81"/>
    <x v="74"/>
    <x v="74"/>
    <s v="CHARGES"/>
    <x v="1"/>
    <s v="3301.001"/>
    <s v="Défalcations, abandons de solde PP et IS"/>
    <n v="167819.98"/>
    <n v="0"/>
    <n v="3301"/>
  </r>
  <r>
    <x v="0"/>
    <x v="4"/>
    <x v="4"/>
    <x v="81"/>
    <x v="74"/>
    <x v="74"/>
    <s v="CHARGES"/>
    <x v="0"/>
    <s v="3212.002"/>
    <s v="Intérêts bonifiés/trop perçu acompte C/C"/>
    <n v="1.69"/>
    <n v="0"/>
    <n v="3212"/>
  </r>
  <r>
    <x v="0"/>
    <x v="4"/>
    <x v="4"/>
    <x v="81"/>
    <x v="74"/>
    <x v="74"/>
    <s v="CHARGES"/>
    <x v="0"/>
    <s v="3212.004"/>
    <s v="Intérêts rémun./perçu trop tôt sur acomptes C/C"/>
    <n v="45.71"/>
    <n v="0"/>
    <n v="3212"/>
  </r>
  <r>
    <x v="0"/>
    <x v="4"/>
    <x v="4"/>
    <x v="81"/>
    <x v="74"/>
    <x v="74"/>
    <s v="CHARGES"/>
    <x v="0"/>
    <s v="3221.002"/>
    <s v="Intérêts compensatoires / créances en faveur ctb."/>
    <n v="60.79"/>
    <n v="0"/>
    <n v="3221"/>
  </r>
  <r>
    <x v="0"/>
    <x v="4"/>
    <x v="4"/>
    <x v="81"/>
    <x v="74"/>
    <x v="74"/>
    <s v="CHARGES"/>
    <x v="1"/>
    <s v="3301.001"/>
    <s v="Défalcations, abandons de solde PP et IS"/>
    <n v="2992.98"/>
    <n v="0"/>
    <n v="3301"/>
  </r>
  <r>
    <x v="0"/>
    <x v="4"/>
    <x v="4"/>
    <x v="81"/>
    <x v="74"/>
    <x v="74"/>
    <s v="CHARGES"/>
    <x v="0"/>
    <s v="3212.004"/>
    <s v="Intérêts rémun./perçu trop tôt sur acomptes C/C"/>
    <n v="21.65"/>
    <n v="0"/>
    <n v="3212"/>
  </r>
  <r>
    <x v="0"/>
    <x v="4"/>
    <x v="4"/>
    <x v="81"/>
    <x v="74"/>
    <x v="74"/>
    <s v="CHARGES"/>
    <x v="0"/>
    <s v="3221.002"/>
    <s v="Intérêts compensatoires / créances en faveur ctb."/>
    <n v="8.0500000000000007"/>
    <n v="0"/>
    <n v="3221"/>
  </r>
  <r>
    <x v="0"/>
    <x v="4"/>
    <x v="4"/>
    <x v="81"/>
    <x v="74"/>
    <x v="74"/>
    <s v="CHARGES"/>
    <x v="1"/>
    <s v="3301.001"/>
    <s v="Défalcations, abandons de solde PP et IS"/>
    <n v="3.18"/>
    <n v="0"/>
    <n v="3301"/>
  </r>
  <r>
    <x v="0"/>
    <x v="4"/>
    <x v="4"/>
    <x v="81"/>
    <x v="74"/>
    <x v="74"/>
    <s v="CHARGES"/>
    <x v="0"/>
    <s v="3212.004"/>
    <s v="Intérêts rémun./perçu trop tôt sur acomptes C/C"/>
    <n v="0.39"/>
    <n v="0"/>
    <n v="3212"/>
  </r>
  <r>
    <x v="0"/>
    <x v="4"/>
    <x v="4"/>
    <x v="81"/>
    <x v="74"/>
    <x v="74"/>
    <s v="CHARGES"/>
    <x v="0"/>
    <s v="3221.002"/>
    <s v="Intérêts compensatoires / créances en faveur ctb."/>
    <n v="-4.8600000000000003"/>
    <n v="0"/>
    <n v="3221"/>
  </r>
  <r>
    <x v="0"/>
    <x v="4"/>
    <x v="4"/>
    <x v="81"/>
    <x v="74"/>
    <x v="74"/>
    <s v="CHARGES"/>
    <x v="1"/>
    <s v="3301.001"/>
    <s v="Défalcations, abandons de solde PP et IS"/>
    <n v="74329.259999999995"/>
    <n v="0"/>
    <n v="3301"/>
  </r>
  <r>
    <x v="0"/>
    <x v="4"/>
    <x v="4"/>
    <x v="81"/>
    <x v="74"/>
    <x v="74"/>
    <s v="CHARGES"/>
    <x v="1"/>
    <s v="3301.001"/>
    <s v="Défalcations, abandons de solde PP et IS"/>
    <n v="14642.12"/>
    <n v="0"/>
    <n v="3301"/>
  </r>
  <r>
    <x v="0"/>
    <x v="4"/>
    <x v="4"/>
    <x v="81"/>
    <x v="74"/>
    <x v="74"/>
    <s v="CHARGES"/>
    <x v="0"/>
    <s v="3212.002"/>
    <s v="Intérêts bonifiés/trop perçu acompte C/C"/>
    <n v="0.84"/>
    <n v="0"/>
    <n v="3212"/>
  </r>
  <r>
    <x v="0"/>
    <x v="4"/>
    <x v="4"/>
    <x v="81"/>
    <x v="74"/>
    <x v="74"/>
    <s v="CHARGES"/>
    <x v="0"/>
    <s v="3212.004"/>
    <s v="Intérêts rémun./perçu trop tôt sur acomptes C/C"/>
    <n v="12.92"/>
    <n v="0"/>
    <n v="3212"/>
  </r>
  <r>
    <x v="0"/>
    <x v="4"/>
    <x v="4"/>
    <x v="81"/>
    <x v="74"/>
    <x v="74"/>
    <s v="CHARGES"/>
    <x v="0"/>
    <s v="3221.002"/>
    <s v="Intérêts compensatoires / créances en faveur ctb."/>
    <n v="5.41"/>
    <n v="0"/>
    <n v="3221"/>
  </r>
  <r>
    <x v="0"/>
    <x v="4"/>
    <x v="4"/>
    <x v="81"/>
    <x v="74"/>
    <x v="74"/>
    <s v="CHARGES"/>
    <x v="1"/>
    <s v="3301.001"/>
    <s v="Défalcations, abandons de solde PP et IS"/>
    <n v="3.96"/>
    <n v="0"/>
    <n v="3301"/>
  </r>
  <r>
    <x v="0"/>
    <x v="4"/>
    <x v="4"/>
    <x v="81"/>
    <x v="74"/>
    <x v="74"/>
    <s v="CHARGES"/>
    <x v="0"/>
    <s v="3212.004"/>
    <s v="Intérêts rémun./perçu trop tôt sur acomptes C/C"/>
    <n v="3.55"/>
    <n v="0"/>
    <n v="3212"/>
  </r>
  <r>
    <x v="0"/>
    <x v="4"/>
    <x v="4"/>
    <x v="81"/>
    <x v="74"/>
    <x v="74"/>
    <s v="CHARGES"/>
    <x v="0"/>
    <s v="3221.002"/>
    <s v="Intérêts compensatoires / créances en faveur ctb."/>
    <n v="0.13"/>
    <n v="0"/>
    <n v="3221"/>
  </r>
  <r>
    <x v="0"/>
    <x v="4"/>
    <x v="4"/>
    <x v="81"/>
    <x v="74"/>
    <x v="74"/>
    <s v="CHARGES"/>
    <x v="0"/>
    <s v="3212.002"/>
    <s v="Intérêts bonifiés/trop perçu acompte C/C"/>
    <n v="-0.33"/>
    <n v="0"/>
    <n v="3212"/>
  </r>
  <r>
    <x v="0"/>
    <x v="4"/>
    <x v="4"/>
    <x v="81"/>
    <x v="74"/>
    <x v="74"/>
    <s v="CHARGES"/>
    <x v="0"/>
    <s v="3212.004"/>
    <s v="Intérêts rémun./perçu trop tôt sur acomptes C/C"/>
    <n v="-0.5"/>
    <n v="0"/>
    <n v="3212"/>
  </r>
  <r>
    <x v="0"/>
    <x v="4"/>
    <x v="4"/>
    <x v="81"/>
    <x v="74"/>
    <x v="74"/>
    <s v="CHARGES"/>
    <x v="0"/>
    <s v="3221.002"/>
    <s v="Intérêts compensatoires / créances en faveur ctb."/>
    <n v="-0.18"/>
    <n v="0"/>
    <n v="3221"/>
  </r>
  <r>
    <x v="0"/>
    <x v="4"/>
    <x v="4"/>
    <x v="81"/>
    <x v="74"/>
    <x v="74"/>
    <s v="CHARGES"/>
    <x v="1"/>
    <s v="3301.001"/>
    <s v="Défalcations, abandons de solde PP et IS"/>
    <n v="-0.03"/>
    <n v="0"/>
    <n v="3301"/>
  </r>
  <r>
    <x v="0"/>
    <x v="4"/>
    <x v="4"/>
    <x v="81"/>
    <x v="74"/>
    <x v="74"/>
    <s v="CHARGES"/>
    <x v="0"/>
    <s v="3212.002"/>
    <s v="Intérêts bonifiés/trop perçu acompte C/C"/>
    <n v="0.05"/>
    <n v="0"/>
    <n v="3212"/>
  </r>
  <r>
    <x v="0"/>
    <x v="4"/>
    <x v="4"/>
    <x v="81"/>
    <x v="74"/>
    <x v="74"/>
    <s v="CHARGES"/>
    <x v="1"/>
    <s v="3301.001"/>
    <s v="Défalcations, abandons de solde PP et IS"/>
    <n v="4.08"/>
    <n v="0"/>
    <n v="3301"/>
  </r>
  <r>
    <x v="0"/>
    <x v="4"/>
    <x v="4"/>
    <x v="81"/>
    <x v="74"/>
    <x v="74"/>
    <s v="CHARGES"/>
    <x v="0"/>
    <s v="3212.004"/>
    <s v="Intérêts rémun./perçu trop tôt sur acomptes C/C"/>
    <n v="2.85"/>
    <n v="0"/>
    <n v="3212"/>
  </r>
  <r>
    <x v="0"/>
    <x v="4"/>
    <x v="4"/>
    <x v="81"/>
    <x v="74"/>
    <x v="74"/>
    <s v="CHARGES"/>
    <x v="0"/>
    <s v="3221.002"/>
    <s v="Intérêts compensatoires / créances en faveur ctb."/>
    <n v="0.08"/>
    <n v="0"/>
    <n v="3221"/>
  </r>
  <r>
    <x v="0"/>
    <x v="4"/>
    <x v="4"/>
    <x v="81"/>
    <x v="74"/>
    <x v="74"/>
    <s v="CHARGES"/>
    <x v="1"/>
    <s v="3301.003"/>
    <s v="Remises PP et IS"/>
    <n v="5129.2299999999996"/>
    <n v="0"/>
    <n v="3301"/>
  </r>
  <r>
    <x v="0"/>
    <x v="4"/>
    <x v="4"/>
    <x v="81"/>
    <x v="74"/>
    <x v="74"/>
    <s v="REVENUS"/>
    <x v="2"/>
    <s v="4001.007"/>
    <s v="Acompte impôt sur revenu"/>
    <n v="0"/>
    <n v="-2176529.77"/>
    <n v="4001"/>
  </r>
  <r>
    <x v="0"/>
    <x v="4"/>
    <x v="4"/>
    <x v="81"/>
    <x v="74"/>
    <x v="74"/>
    <s v="REVENUS"/>
    <x v="3"/>
    <s v="4002.007"/>
    <s v="Acompte impôt sur fortune"/>
    <n v="0"/>
    <n v="-419756.94"/>
    <n v="4002"/>
  </r>
  <r>
    <x v="0"/>
    <x v="4"/>
    <x v="4"/>
    <x v="81"/>
    <x v="74"/>
    <x v="74"/>
    <s v="REVENUS"/>
    <x v="6"/>
    <s v="4211.001"/>
    <s v="Intérêts de retard sur factures"/>
    <n v="0"/>
    <n v="44422.41"/>
    <n v="4211"/>
  </r>
  <r>
    <x v="0"/>
    <x v="4"/>
    <x v="4"/>
    <x v="81"/>
    <x v="74"/>
    <x v="74"/>
    <s v="REVENUS"/>
    <x v="2"/>
    <s v="4001.001"/>
    <s v="Impôt revenu"/>
    <n v="0"/>
    <n v="10057171.25"/>
    <n v="4001"/>
  </r>
  <r>
    <x v="0"/>
    <x v="4"/>
    <x v="4"/>
    <x v="81"/>
    <x v="74"/>
    <x v="74"/>
    <s v="REVENUS"/>
    <x v="2"/>
    <s v="4001.002"/>
    <s v="Impôt complément s/revenu PP"/>
    <n v="0"/>
    <n v="1442834.55"/>
    <n v="4001"/>
  </r>
  <r>
    <x v="0"/>
    <x v="4"/>
    <x v="4"/>
    <x v="81"/>
    <x v="74"/>
    <x v="74"/>
    <s v="REVENUS"/>
    <x v="2"/>
    <s v="4001.003"/>
    <s v="Impôt s/prest. cap. PP"/>
    <n v="0"/>
    <n v="280108.65000000002"/>
    <n v="4001"/>
  </r>
  <r>
    <x v="0"/>
    <x v="4"/>
    <x v="4"/>
    <x v="81"/>
    <x v="74"/>
    <x v="74"/>
    <s v="REVENUS"/>
    <x v="3"/>
    <s v="4002.001"/>
    <s v="Impôt ordinaire s/fortune PP"/>
    <n v="0"/>
    <n v="1245595.7"/>
    <n v="4002"/>
  </r>
  <r>
    <x v="0"/>
    <x v="4"/>
    <x v="4"/>
    <x v="81"/>
    <x v="74"/>
    <x v="74"/>
    <s v="REVENUS"/>
    <x v="3"/>
    <s v="4002.002"/>
    <s v="Impôt complémentaire s/fortune PP"/>
    <n v="0"/>
    <n v="228055.4"/>
    <n v="4002"/>
  </r>
  <r>
    <x v="0"/>
    <x v="4"/>
    <x v="4"/>
    <x v="81"/>
    <x v="74"/>
    <x v="74"/>
    <s v="REVENUS"/>
    <x v="10"/>
    <s v="4041.001"/>
    <s v="Droits de mutation"/>
    <n v="0"/>
    <n v="269176.55"/>
    <n v="4041"/>
  </r>
  <r>
    <x v="0"/>
    <x v="4"/>
    <x v="4"/>
    <x v="81"/>
    <x v="74"/>
    <x v="74"/>
    <s v="REVENUS"/>
    <x v="6"/>
    <s v="4211.002"/>
    <s v="Intérêts de retard sur acomptes"/>
    <n v="0"/>
    <n v="53087.93"/>
    <n v="4211"/>
  </r>
  <r>
    <x v="0"/>
    <x v="4"/>
    <x v="4"/>
    <x v="81"/>
    <x v="74"/>
    <x v="74"/>
    <s v="REVENUS"/>
    <x v="6"/>
    <s v="4221.003"/>
    <s v="Intérêts compensat. / acomptes en faveur du fisc"/>
    <n v="0"/>
    <n v="1204.1300000000001"/>
    <n v="4221"/>
  </r>
  <r>
    <x v="0"/>
    <x v="4"/>
    <x v="4"/>
    <x v="81"/>
    <x v="74"/>
    <x v="74"/>
    <s v="REVENUS"/>
    <x v="2"/>
    <s v="4001.001"/>
    <s v="Impôt revenu"/>
    <n v="0"/>
    <n v="7481.5"/>
    <n v="4001"/>
  </r>
  <r>
    <x v="0"/>
    <x v="4"/>
    <x v="4"/>
    <x v="81"/>
    <x v="74"/>
    <x v="74"/>
    <s v="REVENUS"/>
    <x v="3"/>
    <s v="4002.001"/>
    <s v="Impôt ordinaire s/fortune PP"/>
    <n v="0"/>
    <n v="2506.6"/>
    <n v="4002"/>
  </r>
  <r>
    <x v="0"/>
    <x v="4"/>
    <x v="4"/>
    <x v="81"/>
    <x v="74"/>
    <x v="74"/>
    <s v="REVENUS"/>
    <x v="3"/>
    <s v="4002.007"/>
    <s v="Acompte impôt sur fortune"/>
    <n v="0"/>
    <n v="-87.3"/>
    <n v="4002"/>
  </r>
  <r>
    <x v="0"/>
    <x v="4"/>
    <x v="4"/>
    <x v="81"/>
    <x v="74"/>
    <x v="74"/>
    <s v="REVENUS"/>
    <x v="6"/>
    <s v="4211.002"/>
    <s v="Intérêts de retard sur acomptes"/>
    <n v="0"/>
    <n v="18.7"/>
    <n v="4211"/>
  </r>
  <r>
    <x v="0"/>
    <x v="4"/>
    <x v="4"/>
    <x v="81"/>
    <x v="74"/>
    <x v="74"/>
    <s v="REVENUS"/>
    <x v="2"/>
    <s v="4001.001"/>
    <s v="Impôt revenu"/>
    <n v="0"/>
    <n v="186720.3"/>
    <n v="4001"/>
  </r>
  <r>
    <x v="0"/>
    <x v="4"/>
    <x v="4"/>
    <x v="81"/>
    <x v="74"/>
    <x v="74"/>
    <s v="REVENUS"/>
    <x v="2"/>
    <s v="4001.007"/>
    <s v="Acompte impôt sur revenu"/>
    <n v="0"/>
    <n v="-18101.02"/>
    <n v="4001"/>
  </r>
  <r>
    <x v="0"/>
    <x v="4"/>
    <x v="4"/>
    <x v="81"/>
    <x v="74"/>
    <x v="74"/>
    <s v="REVENUS"/>
    <x v="3"/>
    <s v="4002.001"/>
    <s v="Impôt ordinaire s/fortune PP"/>
    <n v="0"/>
    <n v="50403.1"/>
    <n v="4002"/>
  </r>
  <r>
    <x v="0"/>
    <x v="4"/>
    <x v="4"/>
    <x v="81"/>
    <x v="74"/>
    <x v="74"/>
    <s v="REVENUS"/>
    <x v="3"/>
    <s v="4002.002"/>
    <s v="Impôt complémentaire s/fortune PP"/>
    <n v="0"/>
    <n v="6112.65"/>
    <n v="4002"/>
  </r>
  <r>
    <x v="0"/>
    <x v="4"/>
    <x v="4"/>
    <x v="81"/>
    <x v="74"/>
    <x v="74"/>
    <s v="REVENUS"/>
    <x v="6"/>
    <s v="4211.001"/>
    <s v="Intérêts de retard sur factures"/>
    <n v="0"/>
    <n v="589.30999999999995"/>
    <n v="4211"/>
  </r>
  <r>
    <x v="0"/>
    <x v="4"/>
    <x v="4"/>
    <x v="81"/>
    <x v="74"/>
    <x v="74"/>
    <s v="REVENUS"/>
    <x v="6"/>
    <s v="4211.002"/>
    <s v="Intérêts de retard sur acomptes"/>
    <n v="0"/>
    <n v="1460.52"/>
    <n v="4211"/>
  </r>
  <r>
    <x v="0"/>
    <x v="4"/>
    <x v="4"/>
    <x v="81"/>
    <x v="74"/>
    <x v="74"/>
    <s v="REVENUS"/>
    <x v="6"/>
    <s v="4221.003"/>
    <s v="Intérêts compensat. / acomptes en faveur du fisc"/>
    <n v="0"/>
    <n v="32.89"/>
    <n v="4221"/>
  </r>
  <r>
    <x v="0"/>
    <x v="4"/>
    <x v="4"/>
    <x v="81"/>
    <x v="74"/>
    <x v="74"/>
    <s v="REVENUS"/>
    <x v="4"/>
    <s v="4051.001"/>
    <s v="Impôt sur les successions"/>
    <n v="0"/>
    <n v="407811.2"/>
    <n v="4051"/>
  </r>
  <r>
    <x v="0"/>
    <x v="4"/>
    <x v="4"/>
    <x v="81"/>
    <x v="74"/>
    <x v="74"/>
    <s v="REVENUS"/>
    <x v="5"/>
    <s v="4061.000"/>
    <s v="Impôt sur les chiens"/>
    <n v="0"/>
    <n v="21420"/>
    <n v="4061"/>
  </r>
  <r>
    <x v="0"/>
    <x v="4"/>
    <x v="4"/>
    <x v="81"/>
    <x v="74"/>
    <x v="74"/>
    <s v="REVENUS"/>
    <x v="6"/>
    <s v="4221.002"/>
    <s v="Intérêts compensat. sur impôts distincts"/>
    <n v="0"/>
    <n v="424.85"/>
    <n v="4221"/>
  </r>
  <r>
    <x v="0"/>
    <x v="4"/>
    <x v="4"/>
    <x v="81"/>
    <x v="74"/>
    <x v="74"/>
    <s v="REVENUS"/>
    <x v="3"/>
    <s v="4002.007"/>
    <s v="Acompte impôt sur fortune"/>
    <n v="0"/>
    <n v="-4268.96"/>
    <n v="4002"/>
  </r>
  <r>
    <x v="0"/>
    <x v="4"/>
    <x v="4"/>
    <x v="81"/>
    <x v="74"/>
    <x v="74"/>
    <s v="REVENUS"/>
    <x v="2"/>
    <s v="4001.007"/>
    <s v="Acompte impôt sur revenu"/>
    <n v="0"/>
    <n v="-23818.93"/>
    <n v="4001"/>
  </r>
  <r>
    <x v="0"/>
    <x v="4"/>
    <x v="4"/>
    <x v="81"/>
    <x v="74"/>
    <x v="74"/>
    <s v="REVENUS"/>
    <x v="2"/>
    <s v="4001.001"/>
    <s v="Impôt revenu"/>
    <n v="0"/>
    <n v="54141.599999999999"/>
    <n v="4001"/>
  </r>
  <r>
    <x v="0"/>
    <x v="4"/>
    <x v="4"/>
    <x v="81"/>
    <x v="74"/>
    <x v="74"/>
    <s v="REVENUS"/>
    <x v="2"/>
    <s v="4001.007"/>
    <s v="Acompte impôt sur revenu"/>
    <n v="0"/>
    <n v="29889.13"/>
    <n v="4001"/>
  </r>
  <r>
    <x v="0"/>
    <x v="4"/>
    <x v="4"/>
    <x v="81"/>
    <x v="74"/>
    <x v="74"/>
    <s v="REVENUS"/>
    <x v="3"/>
    <s v="4002.001"/>
    <s v="Impôt ordinaire s/fortune PP"/>
    <n v="0"/>
    <n v="16383.95"/>
    <n v="4002"/>
  </r>
  <r>
    <x v="0"/>
    <x v="4"/>
    <x v="4"/>
    <x v="81"/>
    <x v="74"/>
    <x v="74"/>
    <s v="REVENUS"/>
    <x v="6"/>
    <s v="4221.003"/>
    <s v="Intérêts compensat. / acomptes en faveur du fisc"/>
    <n v="0"/>
    <n v="8.1"/>
    <n v="4221"/>
  </r>
  <r>
    <x v="0"/>
    <x v="4"/>
    <x v="4"/>
    <x v="81"/>
    <x v="74"/>
    <x v="74"/>
    <s v="REVENUS"/>
    <x v="2"/>
    <s v="4001.002"/>
    <s v="Impôt complément s/revenu PP"/>
    <n v="0"/>
    <n v="8391.0499999999993"/>
    <n v="4001"/>
  </r>
  <r>
    <x v="0"/>
    <x v="4"/>
    <x v="4"/>
    <x v="81"/>
    <x v="74"/>
    <x v="74"/>
    <s v="REVENUS"/>
    <x v="2"/>
    <s v="4001.001"/>
    <s v="Impôt revenu"/>
    <n v="0"/>
    <n v="113366.6"/>
    <n v="4001"/>
  </r>
  <r>
    <x v="0"/>
    <x v="4"/>
    <x v="4"/>
    <x v="81"/>
    <x v="74"/>
    <x v="74"/>
    <s v="REVENUS"/>
    <x v="7"/>
    <s v="4184.000"/>
    <s v="Frais de poursuite"/>
    <n v="0"/>
    <n v="8180.16"/>
    <n v="4184"/>
  </r>
  <r>
    <x v="0"/>
    <x v="4"/>
    <x v="4"/>
    <x v="81"/>
    <x v="74"/>
    <x v="74"/>
    <s v="REVENUS"/>
    <x v="8"/>
    <s v="4091.001"/>
    <s v="Impôt récupéré après défalcations"/>
    <n v="0"/>
    <n v="20813.439999999999"/>
    <n v="4091"/>
  </r>
  <r>
    <x v="0"/>
    <x v="4"/>
    <x v="4"/>
    <x v="81"/>
    <x v="74"/>
    <x v="74"/>
    <s v="REVENUS"/>
    <x v="7"/>
    <s v="4184.000"/>
    <s v="Frais de poursuite"/>
    <n v="0"/>
    <n v="3503.25"/>
    <n v="4184"/>
  </r>
  <r>
    <x v="0"/>
    <x v="4"/>
    <x v="4"/>
    <x v="81"/>
    <x v="74"/>
    <x v="74"/>
    <s v="REVENUS"/>
    <x v="3"/>
    <s v="4002.001"/>
    <s v="Impôt ordinaire s/fortune PP"/>
    <n v="0"/>
    <n v="9779.9"/>
    <n v="4002"/>
  </r>
  <r>
    <x v="0"/>
    <x v="4"/>
    <x v="4"/>
    <x v="81"/>
    <x v="74"/>
    <x v="74"/>
    <s v="REVENUS"/>
    <x v="6"/>
    <s v="4221.003"/>
    <s v="Intérêts compensat. / acomptes en faveur du fisc"/>
    <n v="0"/>
    <n v="20.32"/>
    <n v="4221"/>
  </r>
  <r>
    <x v="0"/>
    <x v="4"/>
    <x v="4"/>
    <x v="81"/>
    <x v="74"/>
    <x v="74"/>
    <s v="REVENUS"/>
    <x v="7"/>
    <s v="4184.000"/>
    <s v="Frais de poursuite"/>
    <n v="0"/>
    <n v="1457.99"/>
    <n v="4184"/>
  </r>
  <r>
    <x v="0"/>
    <x v="4"/>
    <x v="4"/>
    <x v="81"/>
    <x v="74"/>
    <x v="74"/>
    <s v="REVENUS"/>
    <x v="2"/>
    <s v="4001.007"/>
    <s v="Acompte impôt sur revenu"/>
    <n v="0"/>
    <n v="-25246.93"/>
    <n v="4001"/>
  </r>
  <r>
    <x v="0"/>
    <x v="4"/>
    <x v="4"/>
    <x v="81"/>
    <x v="74"/>
    <x v="74"/>
    <s v="REVENUS"/>
    <x v="6"/>
    <s v="4211.002"/>
    <s v="Intérêts de retard sur acomptes"/>
    <n v="0"/>
    <n v="502.84"/>
    <n v="4211"/>
  </r>
  <r>
    <x v="0"/>
    <x v="4"/>
    <x v="4"/>
    <x v="81"/>
    <x v="74"/>
    <x v="74"/>
    <s v="REVENUS"/>
    <x v="2"/>
    <s v="4001.002"/>
    <s v="Impôt complément s/revenu PP"/>
    <n v="0"/>
    <n v="21513.200000000001"/>
    <n v="4001"/>
  </r>
  <r>
    <x v="0"/>
    <x v="4"/>
    <x v="4"/>
    <x v="81"/>
    <x v="74"/>
    <x v="74"/>
    <s v="REVENUS"/>
    <x v="3"/>
    <s v="4002.007"/>
    <s v="Acompte impôt sur fortune"/>
    <n v="0"/>
    <n v="-852.86"/>
    <n v="4002"/>
  </r>
  <r>
    <x v="0"/>
    <x v="4"/>
    <x v="4"/>
    <x v="81"/>
    <x v="74"/>
    <x v="74"/>
    <s v="REVENUS"/>
    <x v="2"/>
    <s v="4001.007"/>
    <s v="Acompte impôt sur revenu"/>
    <n v="0"/>
    <n v="-5669.69"/>
    <n v="4001"/>
  </r>
  <r>
    <x v="0"/>
    <x v="4"/>
    <x v="4"/>
    <x v="81"/>
    <x v="74"/>
    <x v="74"/>
    <s v="REVENUS"/>
    <x v="3"/>
    <s v="4002.007"/>
    <s v="Acompte impôt sur fortune"/>
    <n v="0"/>
    <n v="-4635.63"/>
    <n v="4002"/>
  </r>
  <r>
    <x v="0"/>
    <x v="4"/>
    <x v="4"/>
    <x v="81"/>
    <x v="74"/>
    <x v="74"/>
    <s v="REVENUS"/>
    <x v="2"/>
    <s v="4001.001"/>
    <s v="Impôt revenu"/>
    <n v="0"/>
    <n v="83619.199999999997"/>
    <n v="4001"/>
  </r>
  <r>
    <x v="0"/>
    <x v="4"/>
    <x v="4"/>
    <x v="81"/>
    <x v="74"/>
    <x v="74"/>
    <s v="REVENUS"/>
    <x v="2"/>
    <s v="4001.002"/>
    <s v="Impôt complément s/revenu PP"/>
    <n v="0"/>
    <n v="1069.4000000000001"/>
    <n v="4001"/>
  </r>
  <r>
    <x v="0"/>
    <x v="4"/>
    <x v="4"/>
    <x v="81"/>
    <x v="74"/>
    <x v="74"/>
    <s v="REVENUS"/>
    <x v="3"/>
    <s v="4002.001"/>
    <s v="Impôt ordinaire s/fortune PP"/>
    <n v="0"/>
    <n v="5253.25"/>
    <n v="4002"/>
  </r>
  <r>
    <x v="0"/>
    <x v="4"/>
    <x v="4"/>
    <x v="81"/>
    <x v="74"/>
    <x v="74"/>
    <s v="REVENUS"/>
    <x v="3"/>
    <s v="4002.002"/>
    <s v="Impôt complémentaire s/fortune PP"/>
    <n v="0"/>
    <n v="369.35"/>
    <n v="4002"/>
  </r>
  <r>
    <x v="0"/>
    <x v="4"/>
    <x v="4"/>
    <x v="81"/>
    <x v="74"/>
    <x v="74"/>
    <s v="REVENUS"/>
    <x v="6"/>
    <s v="4211.002"/>
    <s v="Intérêts de retard sur acomptes"/>
    <n v="0"/>
    <n v="45.27"/>
    <n v="4211"/>
  </r>
  <r>
    <x v="0"/>
    <x v="4"/>
    <x v="4"/>
    <x v="81"/>
    <x v="74"/>
    <x v="74"/>
    <s v="REVENUS"/>
    <x v="6"/>
    <s v="4221.003"/>
    <s v="Intérêts compensat. / acomptes en faveur du fisc"/>
    <n v="0"/>
    <n v="-0.91"/>
    <n v="4221"/>
  </r>
  <r>
    <x v="0"/>
    <x v="4"/>
    <x v="4"/>
    <x v="81"/>
    <x v="74"/>
    <x v="74"/>
    <s v="REVENUS"/>
    <x v="3"/>
    <s v="4002.002"/>
    <s v="Impôt complémentaire s/fortune PP"/>
    <n v="0"/>
    <n v="13388.7"/>
    <n v="4002"/>
  </r>
  <r>
    <x v="0"/>
    <x v="4"/>
    <x v="4"/>
    <x v="81"/>
    <x v="74"/>
    <x v="74"/>
    <s v="REVENUS"/>
    <x v="3"/>
    <s v="4002.007"/>
    <s v="Acompte impôt sur fortune"/>
    <n v="0"/>
    <n v="11848.43"/>
    <n v="4002"/>
  </r>
  <r>
    <x v="0"/>
    <x v="4"/>
    <x v="4"/>
    <x v="81"/>
    <x v="74"/>
    <x v="74"/>
    <s v="REVENUS"/>
    <x v="2"/>
    <s v="4001.007"/>
    <s v="Acompte impôt sur revenu"/>
    <n v="0"/>
    <n v="481.49"/>
    <n v="4001"/>
  </r>
  <r>
    <x v="0"/>
    <x v="4"/>
    <x v="4"/>
    <x v="81"/>
    <x v="74"/>
    <x v="74"/>
    <s v="REVENUS"/>
    <x v="9"/>
    <s v="4031.001"/>
    <s v="Impôt sur les gains immobiliers"/>
    <n v="0"/>
    <n v="347212"/>
    <n v="4031"/>
  </r>
  <r>
    <x v="0"/>
    <x v="4"/>
    <x v="4"/>
    <x v="81"/>
    <x v="74"/>
    <x v="74"/>
    <s v="REVENUS"/>
    <x v="2"/>
    <s v="4001.007"/>
    <s v="Acompte impôt sur revenu"/>
    <n v="0"/>
    <n v="955.55"/>
    <n v="4001"/>
  </r>
  <r>
    <x v="0"/>
    <x v="4"/>
    <x v="4"/>
    <x v="81"/>
    <x v="74"/>
    <x v="74"/>
    <s v="REVENUS"/>
    <x v="3"/>
    <s v="4002.007"/>
    <s v="Acompte impôt sur fortune"/>
    <n v="0"/>
    <n v="-50.05"/>
    <n v="4002"/>
  </r>
  <r>
    <x v="0"/>
    <x v="4"/>
    <x v="4"/>
    <x v="81"/>
    <x v="74"/>
    <x v="74"/>
    <s v="REVENUS"/>
    <x v="3"/>
    <s v="4002.007"/>
    <s v="Acompte impôt sur fortune"/>
    <n v="0"/>
    <n v="-6795.36"/>
    <n v="4002"/>
  </r>
  <r>
    <x v="0"/>
    <x v="4"/>
    <x v="4"/>
    <x v="81"/>
    <x v="74"/>
    <x v="74"/>
    <s v="REVENUS"/>
    <x v="6"/>
    <s v="4211.001"/>
    <s v="Intérêts de retard sur factures"/>
    <n v="0"/>
    <n v="912.04"/>
    <n v="4211"/>
  </r>
  <r>
    <x v="0"/>
    <x v="4"/>
    <x v="4"/>
    <x v="81"/>
    <x v="74"/>
    <x v="74"/>
    <s v="REVENUS"/>
    <x v="8"/>
    <s v="4091.001"/>
    <s v="Impôt récupéré après défalcations"/>
    <n v="0"/>
    <n v="61963.14"/>
    <n v="4091"/>
  </r>
  <r>
    <x v="0"/>
    <x v="4"/>
    <x v="4"/>
    <x v="81"/>
    <x v="74"/>
    <x v="74"/>
    <s v="REVENUS"/>
    <x v="7"/>
    <s v="4184.000"/>
    <s v="Frais de poursuite"/>
    <n v="0"/>
    <n v="140.15"/>
    <n v="4184"/>
  </r>
  <r>
    <x v="0"/>
    <x v="4"/>
    <x v="4"/>
    <x v="81"/>
    <x v="74"/>
    <x v="74"/>
    <s v="REVENUS"/>
    <x v="6"/>
    <s v="4211.001"/>
    <s v="Intérêts de retard sur factures"/>
    <n v="0"/>
    <n v="483.96"/>
    <n v="4211"/>
  </r>
  <r>
    <x v="0"/>
    <x v="4"/>
    <x v="4"/>
    <x v="81"/>
    <x v="74"/>
    <x v="74"/>
    <s v="REVENUS"/>
    <x v="6"/>
    <s v="4211.001"/>
    <s v="Intérêts de retard sur factures"/>
    <n v="0"/>
    <n v="6.96"/>
    <n v="4211"/>
  </r>
  <r>
    <x v="0"/>
    <x v="4"/>
    <x v="4"/>
    <x v="81"/>
    <x v="74"/>
    <x v="74"/>
    <s v="REVENUS"/>
    <x v="8"/>
    <s v="4091.001"/>
    <s v="Impôt récupéré après défalcations"/>
    <n v="0"/>
    <n v="107.85"/>
    <n v="4091"/>
  </r>
  <r>
    <x v="0"/>
    <x v="4"/>
    <x v="4"/>
    <x v="81"/>
    <x v="74"/>
    <x v="74"/>
    <s v="REVENUS"/>
    <x v="2"/>
    <s v="4001.001"/>
    <s v="Impôt revenu"/>
    <n v="0"/>
    <n v="-21322.65"/>
    <n v="4001"/>
  </r>
  <r>
    <x v="0"/>
    <x v="4"/>
    <x v="4"/>
    <x v="81"/>
    <x v="74"/>
    <x v="74"/>
    <s v="REVENUS"/>
    <x v="6"/>
    <s v="4221.003"/>
    <s v="Intérêts compensat. / acomptes en faveur du fisc"/>
    <n v="0"/>
    <n v="-0.11"/>
    <n v="4221"/>
  </r>
  <r>
    <x v="0"/>
    <x v="4"/>
    <x v="4"/>
    <x v="81"/>
    <x v="74"/>
    <x v="74"/>
    <s v="REVENUS"/>
    <x v="2"/>
    <s v="4001.002"/>
    <s v="Impôt complément s/revenu PP"/>
    <n v="0"/>
    <n v="64408.05"/>
    <n v="4001"/>
  </r>
  <r>
    <x v="0"/>
    <x v="4"/>
    <x v="4"/>
    <x v="81"/>
    <x v="74"/>
    <x v="74"/>
    <s v="REVENUS"/>
    <x v="3"/>
    <s v="4002.002"/>
    <s v="Impôt complémentaire s/fortune PP"/>
    <n v="0"/>
    <n v="14146.4"/>
    <n v="4002"/>
  </r>
  <r>
    <x v="0"/>
    <x v="4"/>
    <x v="4"/>
    <x v="81"/>
    <x v="74"/>
    <x v="74"/>
    <s v="REVENUS"/>
    <x v="3"/>
    <s v="4002.002"/>
    <s v="Impôt complémentaire s/fortune PP"/>
    <n v="0"/>
    <n v="1645.8"/>
    <n v="4002"/>
  </r>
  <r>
    <x v="0"/>
    <x v="4"/>
    <x v="4"/>
    <x v="81"/>
    <x v="74"/>
    <x v="74"/>
    <s v="REVENUS"/>
    <x v="6"/>
    <s v="4211.001"/>
    <s v="Intérêts de retard sur factures"/>
    <n v="0"/>
    <n v="11.34"/>
    <n v="4211"/>
  </r>
  <r>
    <x v="0"/>
    <x v="4"/>
    <x v="4"/>
    <x v="81"/>
    <x v="74"/>
    <x v="74"/>
    <s v="REVENUS"/>
    <x v="6"/>
    <s v="4211.002"/>
    <s v="Intérêts de retard sur acomptes"/>
    <n v="0"/>
    <n v="276.58999999999997"/>
    <n v="4211"/>
  </r>
  <r>
    <x v="0"/>
    <x v="4"/>
    <x v="4"/>
    <x v="81"/>
    <x v="74"/>
    <x v="74"/>
    <s v="REVENUS"/>
    <x v="7"/>
    <s v="4184.000"/>
    <s v="Frais de poursuite"/>
    <n v="0"/>
    <n v="13.43"/>
    <n v="4184"/>
  </r>
  <r>
    <x v="0"/>
    <x v="4"/>
    <x v="4"/>
    <x v="81"/>
    <x v="74"/>
    <x v="74"/>
    <s v="REVENUS"/>
    <x v="4"/>
    <s v="4051.002"/>
    <s v="Impôt sur les donations"/>
    <n v="0"/>
    <n v="145.19999999999999"/>
    <n v="4051"/>
  </r>
  <r>
    <x v="0"/>
    <x v="4"/>
    <x v="4"/>
    <x v="81"/>
    <x v="74"/>
    <x v="74"/>
    <s v="REVENUS"/>
    <x v="6"/>
    <s v="4221.003"/>
    <s v="Intérêts compensat. / acomptes en faveur du fisc"/>
    <n v="0"/>
    <n v="0.88"/>
    <n v="4221"/>
  </r>
  <r>
    <x v="0"/>
    <x v="4"/>
    <x v="4"/>
    <x v="81"/>
    <x v="74"/>
    <x v="74"/>
    <s v="REVENUS"/>
    <x v="2"/>
    <s v="4001.007"/>
    <s v="Acompte impôt sur revenu"/>
    <n v="0"/>
    <n v="-43.75"/>
    <n v="4001"/>
  </r>
  <r>
    <x v="0"/>
    <x v="4"/>
    <x v="4"/>
    <x v="81"/>
    <x v="74"/>
    <x v="74"/>
    <s v="REVENUS"/>
    <x v="2"/>
    <s v="4001.001"/>
    <s v="Impôt revenu"/>
    <n v="0"/>
    <n v="2698.05"/>
    <n v="4001"/>
  </r>
  <r>
    <x v="0"/>
    <x v="4"/>
    <x v="4"/>
    <x v="81"/>
    <x v="74"/>
    <x v="74"/>
    <s v="REVENUS"/>
    <x v="3"/>
    <s v="4002.001"/>
    <s v="Impôt ordinaire s/fortune PP"/>
    <n v="0"/>
    <n v="1548.15"/>
    <n v="4002"/>
  </r>
  <r>
    <x v="0"/>
    <x v="4"/>
    <x v="4"/>
    <x v="81"/>
    <x v="74"/>
    <x v="74"/>
    <s v="REVENUS"/>
    <x v="7"/>
    <s v="4184.000"/>
    <s v="Frais de poursuite"/>
    <n v="0"/>
    <n v="17.89"/>
    <n v="4184"/>
  </r>
  <r>
    <x v="0"/>
    <x v="4"/>
    <x v="4"/>
    <x v="81"/>
    <x v="74"/>
    <x v="74"/>
    <s v="REVENUS"/>
    <x v="2"/>
    <s v="4001.003"/>
    <s v="Impôt s/prest. cap. PP"/>
    <n v="0"/>
    <n v="1934.85"/>
    <n v="4001"/>
  </r>
  <r>
    <x v="0"/>
    <x v="4"/>
    <x v="4"/>
    <x v="81"/>
    <x v="74"/>
    <x v="74"/>
    <s v="REVENUS"/>
    <x v="2"/>
    <s v="4001.007"/>
    <s v="Acompte impôt sur revenu"/>
    <n v="0"/>
    <n v="-52.58"/>
    <n v="4001"/>
  </r>
  <r>
    <x v="0"/>
    <x v="4"/>
    <x v="4"/>
    <x v="81"/>
    <x v="74"/>
    <x v="74"/>
    <s v="REVENUS"/>
    <x v="3"/>
    <s v="4002.001"/>
    <s v="Impôt ordinaire s/fortune PP"/>
    <n v="0"/>
    <n v="-5461.25"/>
    <n v="4002"/>
  </r>
  <r>
    <x v="0"/>
    <x v="4"/>
    <x v="4"/>
    <x v="81"/>
    <x v="74"/>
    <x v="74"/>
    <s v="REVENUS"/>
    <x v="3"/>
    <s v="4002.007"/>
    <s v="Acompte impôt sur fortune"/>
    <n v="0"/>
    <n v="19.05"/>
    <n v="4002"/>
  </r>
  <r>
    <x v="0"/>
    <x v="4"/>
    <x v="4"/>
    <x v="81"/>
    <x v="74"/>
    <x v="74"/>
    <s v="REVENUS"/>
    <x v="2"/>
    <s v="4001.002"/>
    <s v="Impôt complément s/revenu PP"/>
    <n v="0"/>
    <n v="1419.35"/>
    <n v="4001"/>
  </r>
  <r>
    <x v="0"/>
    <x v="4"/>
    <x v="4"/>
    <x v="82"/>
    <x v="75"/>
    <x v="75"/>
    <s v="CHARGES"/>
    <x v="1"/>
    <s v="3301.001"/>
    <s v="Défalcations, abandons de solde PP et IS"/>
    <n v="22402.43"/>
    <n v="0"/>
    <n v="3301"/>
  </r>
  <r>
    <x v="0"/>
    <x v="4"/>
    <x v="4"/>
    <x v="82"/>
    <x v="75"/>
    <x v="75"/>
    <s v="CHARGES"/>
    <x v="0"/>
    <s v="3212.004"/>
    <s v="Intérêts rémun./perçu trop tôt sur acomptes C/C"/>
    <n v="402.72"/>
    <n v="0"/>
    <n v="3212"/>
  </r>
  <r>
    <x v="0"/>
    <x v="4"/>
    <x v="4"/>
    <x v="82"/>
    <x v="75"/>
    <x v="75"/>
    <s v="CHARGES"/>
    <x v="0"/>
    <s v="3221.002"/>
    <s v="Intérêts compensatoires / créances en faveur ctb."/>
    <n v="249.87"/>
    <n v="0"/>
    <n v="3221"/>
  </r>
  <r>
    <x v="0"/>
    <x v="4"/>
    <x v="4"/>
    <x v="82"/>
    <x v="75"/>
    <x v="75"/>
    <s v="CHARGES"/>
    <x v="0"/>
    <s v="3212.002"/>
    <s v="Intérêts bonifiés/trop perçu acompte C/C"/>
    <n v="26.63"/>
    <n v="0"/>
    <n v="3212"/>
  </r>
  <r>
    <x v="0"/>
    <x v="4"/>
    <x v="4"/>
    <x v="82"/>
    <x v="75"/>
    <x v="75"/>
    <s v="CHARGES"/>
    <x v="0"/>
    <s v="3212.004"/>
    <s v="Intérêts rémun./perçu trop tôt sur acomptes C/C"/>
    <n v="27.24"/>
    <n v="0"/>
    <n v="3212"/>
  </r>
  <r>
    <x v="0"/>
    <x v="4"/>
    <x v="4"/>
    <x v="82"/>
    <x v="75"/>
    <x v="75"/>
    <s v="CHARGES"/>
    <x v="0"/>
    <s v="3221.002"/>
    <s v="Intérêts compensatoires / créances en faveur ctb."/>
    <n v="3.87"/>
    <n v="0"/>
    <n v="3221"/>
  </r>
  <r>
    <x v="0"/>
    <x v="4"/>
    <x v="4"/>
    <x v="82"/>
    <x v="75"/>
    <x v="75"/>
    <s v="CHARGES"/>
    <x v="1"/>
    <s v="3301.001"/>
    <s v="Défalcations, abandons de solde PP et IS"/>
    <n v="31006.77"/>
    <n v="0"/>
    <n v="3301"/>
  </r>
  <r>
    <x v="0"/>
    <x v="4"/>
    <x v="4"/>
    <x v="82"/>
    <x v="75"/>
    <x v="75"/>
    <s v="CHARGES"/>
    <x v="0"/>
    <s v="3212.004"/>
    <s v="Intérêts rémun./perçu trop tôt sur acomptes C/C"/>
    <n v="0.56000000000000005"/>
    <n v="0"/>
    <n v="3212"/>
  </r>
  <r>
    <x v="0"/>
    <x v="4"/>
    <x v="4"/>
    <x v="82"/>
    <x v="75"/>
    <x v="75"/>
    <s v="CHARGES"/>
    <x v="1"/>
    <s v="3301.001"/>
    <s v="Défalcations, abandons de solde PP et IS"/>
    <n v="0.79"/>
    <n v="0"/>
    <n v="3301"/>
  </r>
  <r>
    <x v="0"/>
    <x v="4"/>
    <x v="4"/>
    <x v="82"/>
    <x v="75"/>
    <x v="75"/>
    <s v="CHARGES"/>
    <x v="0"/>
    <s v="3212.004"/>
    <s v="Intérêts rémun./perçu trop tôt sur acomptes C/C"/>
    <n v="0.11"/>
    <n v="0"/>
    <n v="3212"/>
  </r>
  <r>
    <x v="0"/>
    <x v="4"/>
    <x v="4"/>
    <x v="82"/>
    <x v="75"/>
    <x v="75"/>
    <s v="CHARGES"/>
    <x v="0"/>
    <s v="3212.004"/>
    <s v="Intérêts rémun./perçu trop tôt sur acomptes C/C"/>
    <n v="3.53"/>
    <n v="0"/>
    <n v="3212"/>
  </r>
  <r>
    <x v="0"/>
    <x v="4"/>
    <x v="4"/>
    <x v="82"/>
    <x v="75"/>
    <x v="75"/>
    <s v="CHARGES"/>
    <x v="1"/>
    <s v="3301.001"/>
    <s v="Défalcations, abandons de solde PP et IS"/>
    <n v="977.77"/>
    <n v="0"/>
    <n v="3301"/>
  </r>
  <r>
    <x v="0"/>
    <x v="4"/>
    <x v="4"/>
    <x v="82"/>
    <x v="75"/>
    <x v="75"/>
    <s v="CHARGES"/>
    <x v="0"/>
    <s v="3212.004"/>
    <s v="Intérêts rémun./perçu trop tôt sur acomptes C/C"/>
    <n v="0.01"/>
    <n v="0"/>
    <n v="3212"/>
  </r>
  <r>
    <x v="0"/>
    <x v="4"/>
    <x v="4"/>
    <x v="82"/>
    <x v="75"/>
    <x v="75"/>
    <s v="CHARGES"/>
    <x v="0"/>
    <s v="3221.002"/>
    <s v="Intérêts compensatoires / créances en faveur ctb."/>
    <n v="0.02"/>
    <n v="0"/>
    <n v="3221"/>
  </r>
  <r>
    <x v="0"/>
    <x v="4"/>
    <x v="4"/>
    <x v="82"/>
    <x v="75"/>
    <x v="75"/>
    <s v="CHARGES"/>
    <x v="1"/>
    <s v="3301.001"/>
    <s v="Défalcations, abandons de solde PP et IS"/>
    <n v="0.03"/>
    <n v="0"/>
    <n v="3301"/>
  </r>
  <r>
    <x v="0"/>
    <x v="4"/>
    <x v="4"/>
    <x v="82"/>
    <x v="75"/>
    <x v="75"/>
    <s v="CHARGES"/>
    <x v="0"/>
    <s v="3212.002"/>
    <s v="Intérêts bonifiés/trop perçu acompte C/C"/>
    <n v="0.38"/>
    <n v="0"/>
    <n v="3212"/>
  </r>
  <r>
    <x v="0"/>
    <x v="4"/>
    <x v="4"/>
    <x v="82"/>
    <x v="75"/>
    <x v="75"/>
    <s v="CHARGES"/>
    <x v="0"/>
    <s v="3221.002"/>
    <s v="Intérêts compensatoires / créances en faveur ctb."/>
    <n v="5.66"/>
    <n v="0"/>
    <n v="3221"/>
  </r>
  <r>
    <x v="0"/>
    <x v="4"/>
    <x v="4"/>
    <x v="82"/>
    <x v="75"/>
    <x v="75"/>
    <s v="CHARGES"/>
    <x v="0"/>
    <s v="3221.002"/>
    <s v="Intérêts compensatoires / créances en faveur ctb."/>
    <n v="0.43"/>
    <n v="0"/>
    <n v="3221"/>
  </r>
  <r>
    <x v="0"/>
    <x v="4"/>
    <x v="4"/>
    <x v="82"/>
    <x v="75"/>
    <x v="75"/>
    <s v="REVENUS"/>
    <x v="2"/>
    <s v="4001.001"/>
    <s v="Impôt revenu"/>
    <n v="0"/>
    <n v="1777247.6"/>
    <n v="4001"/>
  </r>
  <r>
    <x v="0"/>
    <x v="4"/>
    <x v="4"/>
    <x v="82"/>
    <x v="75"/>
    <x v="75"/>
    <s v="REVENUS"/>
    <x v="2"/>
    <s v="4001.007"/>
    <s v="Acompte impôt sur revenu"/>
    <n v="0"/>
    <n v="-395475.92"/>
    <n v="4001"/>
  </r>
  <r>
    <x v="0"/>
    <x v="4"/>
    <x v="4"/>
    <x v="82"/>
    <x v="75"/>
    <x v="75"/>
    <s v="REVENUS"/>
    <x v="3"/>
    <s v="4002.001"/>
    <s v="Impôt ordinaire s/fortune PP"/>
    <n v="0"/>
    <n v="230955.45"/>
    <n v="4002"/>
  </r>
  <r>
    <x v="0"/>
    <x v="4"/>
    <x v="4"/>
    <x v="82"/>
    <x v="75"/>
    <x v="75"/>
    <s v="REVENUS"/>
    <x v="3"/>
    <s v="4002.007"/>
    <s v="Acompte impôt sur fortune"/>
    <n v="0"/>
    <n v="-51201.55"/>
    <n v="4002"/>
  </r>
  <r>
    <x v="0"/>
    <x v="4"/>
    <x v="4"/>
    <x v="82"/>
    <x v="75"/>
    <x v="75"/>
    <s v="REVENUS"/>
    <x v="6"/>
    <s v="4211.002"/>
    <s v="Intérêts de retard sur acomptes"/>
    <n v="0"/>
    <n v="12105.57"/>
    <n v="4211"/>
  </r>
  <r>
    <x v="0"/>
    <x v="4"/>
    <x v="4"/>
    <x v="82"/>
    <x v="75"/>
    <x v="75"/>
    <s v="REVENUS"/>
    <x v="6"/>
    <s v="4221.003"/>
    <s v="Intérêts compensat. / acomptes en faveur du fisc"/>
    <n v="0"/>
    <n v="314.55"/>
    <n v="4221"/>
  </r>
  <r>
    <x v="0"/>
    <x v="4"/>
    <x v="4"/>
    <x v="82"/>
    <x v="75"/>
    <x v="75"/>
    <s v="REVENUS"/>
    <x v="2"/>
    <s v="4001.002"/>
    <s v="Impôt complément s/revenu PP"/>
    <n v="0"/>
    <n v="266502.7"/>
    <n v="4001"/>
  </r>
  <r>
    <x v="0"/>
    <x v="4"/>
    <x v="4"/>
    <x v="82"/>
    <x v="75"/>
    <x v="75"/>
    <s v="REVENUS"/>
    <x v="2"/>
    <s v="4001.003"/>
    <s v="Impôt s/prest. cap. PP"/>
    <n v="0"/>
    <n v="38547.300000000003"/>
    <n v="4001"/>
  </r>
  <r>
    <x v="0"/>
    <x v="4"/>
    <x v="4"/>
    <x v="82"/>
    <x v="75"/>
    <x v="75"/>
    <s v="REVENUS"/>
    <x v="3"/>
    <s v="4002.002"/>
    <s v="Impôt complémentaire s/fortune PP"/>
    <n v="0"/>
    <n v="56725.8"/>
    <n v="4002"/>
  </r>
  <r>
    <x v="0"/>
    <x v="4"/>
    <x v="4"/>
    <x v="82"/>
    <x v="75"/>
    <x v="75"/>
    <s v="REVENUS"/>
    <x v="6"/>
    <s v="4221.002"/>
    <s v="Intérêts compensat. sur impôts distincts"/>
    <n v="0"/>
    <n v="49.6"/>
    <n v="4221"/>
  </r>
  <r>
    <x v="0"/>
    <x v="4"/>
    <x v="4"/>
    <x v="82"/>
    <x v="75"/>
    <x v="75"/>
    <s v="REVENUS"/>
    <x v="7"/>
    <s v="4184.000"/>
    <s v="Frais de poursuite"/>
    <n v="0"/>
    <n v="332.22"/>
    <n v="4184"/>
  </r>
  <r>
    <x v="0"/>
    <x v="4"/>
    <x v="4"/>
    <x v="82"/>
    <x v="75"/>
    <x v="75"/>
    <s v="REVENUS"/>
    <x v="2"/>
    <s v="4001.001"/>
    <s v="Impôt revenu"/>
    <n v="0"/>
    <n v="12952.85"/>
    <n v="4001"/>
  </r>
  <r>
    <x v="0"/>
    <x v="4"/>
    <x v="4"/>
    <x v="82"/>
    <x v="75"/>
    <x v="75"/>
    <s v="REVENUS"/>
    <x v="2"/>
    <s v="4001.007"/>
    <s v="Acompte impôt sur revenu"/>
    <n v="0"/>
    <n v="5467.1"/>
    <n v="4001"/>
  </r>
  <r>
    <x v="0"/>
    <x v="4"/>
    <x v="4"/>
    <x v="82"/>
    <x v="75"/>
    <x v="75"/>
    <s v="REVENUS"/>
    <x v="3"/>
    <s v="4002.001"/>
    <s v="Impôt ordinaire s/fortune PP"/>
    <n v="0"/>
    <n v="5658.3"/>
    <n v="4002"/>
  </r>
  <r>
    <x v="0"/>
    <x v="4"/>
    <x v="4"/>
    <x v="82"/>
    <x v="75"/>
    <x v="75"/>
    <s v="REVENUS"/>
    <x v="3"/>
    <s v="4002.007"/>
    <s v="Acompte impôt sur fortune"/>
    <n v="0"/>
    <n v="997.5"/>
    <n v="4002"/>
  </r>
  <r>
    <x v="0"/>
    <x v="4"/>
    <x v="4"/>
    <x v="82"/>
    <x v="75"/>
    <x v="75"/>
    <s v="REVENUS"/>
    <x v="6"/>
    <s v="4211.001"/>
    <s v="Intérêts de retard sur factures"/>
    <n v="0"/>
    <n v="7305.32"/>
    <n v="4211"/>
  </r>
  <r>
    <x v="0"/>
    <x v="4"/>
    <x v="4"/>
    <x v="82"/>
    <x v="75"/>
    <x v="75"/>
    <s v="REVENUS"/>
    <x v="2"/>
    <s v="4001.007"/>
    <s v="Acompte impôt sur revenu"/>
    <n v="0"/>
    <n v="1434.03"/>
    <n v="4001"/>
  </r>
  <r>
    <x v="0"/>
    <x v="4"/>
    <x v="4"/>
    <x v="82"/>
    <x v="75"/>
    <x v="75"/>
    <s v="REVENUS"/>
    <x v="3"/>
    <s v="4002.007"/>
    <s v="Acompte impôt sur fortune"/>
    <n v="0"/>
    <n v="-1300.28"/>
    <n v="4002"/>
  </r>
  <r>
    <x v="0"/>
    <x v="4"/>
    <x v="4"/>
    <x v="82"/>
    <x v="75"/>
    <x v="75"/>
    <s v="REVENUS"/>
    <x v="7"/>
    <s v="4184.000"/>
    <s v="Frais de poursuite"/>
    <n v="0"/>
    <n v="33.96"/>
    <n v="4184"/>
  </r>
  <r>
    <x v="0"/>
    <x v="4"/>
    <x v="4"/>
    <x v="82"/>
    <x v="75"/>
    <x v="75"/>
    <s v="REVENUS"/>
    <x v="3"/>
    <s v="4002.007"/>
    <s v="Acompte impôt sur fortune"/>
    <n v="0"/>
    <n v="690.19"/>
    <n v="4002"/>
  </r>
  <r>
    <x v="0"/>
    <x v="4"/>
    <x v="4"/>
    <x v="82"/>
    <x v="75"/>
    <x v="75"/>
    <s v="REVENUS"/>
    <x v="2"/>
    <s v="4001.007"/>
    <s v="Acompte impôt sur revenu"/>
    <n v="0"/>
    <n v="2.2000000000000002"/>
    <n v="4001"/>
  </r>
  <r>
    <x v="0"/>
    <x v="4"/>
    <x v="4"/>
    <x v="82"/>
    <x v="75"/>
    <x v="75"/>
    <s v="REVENUS"/>
    <x v="3"/>
    <s v="4002.007"/>
    <s v="Acompte impôt sur fortune"/>
    <n v="0"/>
    <n v="-59.5"/>
    <n v="4002"/>
  </r>
  <r>
    <x v="0"/>
    <x v="4"/>
    <x v="4"/>
    <x v="82"/>
    <x v="75"/>
    <x v="75"/>
    <s v="REVENUS"/>
    <x v="2"/>
    <s v="4001.007"/>
    <s v="Acompte impôt sur revenu"/>
    <n v="0"/>
    <n v="366.45"/>
    <n v="4001"/>
  </r>
  <r>
    <x v="0"/>
    <x v="4"/>
    <x v="4"/>
    <x v="82"/>
    <x v="75"/>
    <x v="75"/>
    <s v="REVENUS"/>
    <x v="7"/>
    <s v="4184.000"/>
    <s v="Frais de poursuite"/>
    <n v="0"/>
    <n v="604.78"/>
    <n v="4184"/>
  </r>
  <r>
    <x v="0"/>
    <x v="4"/>
    <x v="4"/>
    <x v="82"/>
    <x v="75"/>
    <x v="75"/>
    <s v="REVENUS"/>
    <x v="2"/>
    <s v="4001.007"/>
    <s v="Acompte impôt sur revenu"/>
    <n v="0"/>
    <n v="55.55"/>
    <n v="4001"/>
  </r>
  <r>
    <x v="0"/>
    <x v="4"/>
    <x v="4"/>
    <x v="82"/>
    <x v="75"/>
    <x v="75"/>
    <s v="REVENUS"/>
    <x v="3"/>
    <s v="4002.007"/>
    <s v="Acompte impôt sur fortune"/>
    <n v="0"/>
    <n v="-0.15"/>
    <n v="4002"/>
  </r>
  <r>
    <x v="0"/>
    <x v="4"/>
    <x v="4"/>
    <x v="82"/>
    <x v="75"/>
    <x v="75"/>
    <s v="REVENUS"/>
    <x v="6"/>
    <s v="4211.002"/>
    <s v="Intérêts de retard sur acomptes"/>
    <n v="0"/>
    <n v="50.54"/>
    <n v="4211"/>
  </r>
  <r>
    <x v="0"/>
    <x v="4"/>
    <x v="4"/>
    <x v="82"/>
    <x v="75"/>
    <x v="75"/>
    <s v="REVENUS"/>
    <x v="9"/>
    <s v="4031.001"/>
    <s v="Impôt sur les gains immobiliers"/>
    <n v="0"/>
    <n v="114026.35"/>
    <n v="4031"/>
  </r>
  <r>
    <x v="0"/>
    <x v="4"/>
    <x v="4"/>
    <x v="82"/>
    <x v="75"/>
    <x v="75"/>
    <s v="REVENUS"/>
    <x v="7"/>
    <s v="4184.000"/>
    <s v="Frais de poursuite"/>
    <n v="0"/>
    <n v="12.73"/>
    <n v="4184"/>
  </r>
  <r>
    <x v="0"/>
    <x v="4"/>
    <x v="4"/>
    <x v="82"/>
    <x v="75"/>
    <x v="75"/>
    <s v="REVENUS"/>
    <x v="2"/>
    <s v="4001.001"/>
    <s v="Impôt revenu"/>
    <n v="0"/>
    <n v="2453.0500000000002"/>
    <n v="4001"/>
  </r>
  <r>
    <x v="0"/>
    <x v="4"/>
    <x v="4"/>
    <x v="82"/>
    <x v="75"/>
    <x v="75"/>
    <s v="REVENUS"/>
    <x v="3"/>
    <s v="4002.001"/>
    <s v="Impôt ordinaire s/fortune PP"/>
    <n v="0"/>
    <n v="1679.5"/>
    <n v="4002"/>
  </r>
  <r>
    <x v="0"/>
    <x v="4"/>
    <x v="4"/>
    <x v="82"/>
    <x v="75"/>
    <x v="75"/>
    <s v="REVENUS"/>
    <x v="6"/>
    <s v="4221.003"/>
    <s v="Intérêts compensat. / acomptes en faveur du fisc"/>
    <n v="0"/>
    <n v="0.79"/>
    <n v="4221"/>
  </r>
  <r>
    <x v="0"/>
    <x v="4"/>
    <x v="4"/>
    <x v="82"/>
    <x v="75"/>
    <x v="75"/>
    <s v="REVENUS"/>
    <x v="2"/>
    <s v="4001.001"/>
    <s v="Impôt revenu"/>
    <n v="0"/>
    <n v="207.3"/>
    <n v="4001"/>
  </r>
  <r>
    <x v="0"/>
    <x v="4"/>
    <x v="4"/>
    <x v="82"/>
    <x v="75"/>
    <x v="75"/>
    <s v="REVENUS"/>
    <x v="3"/>
    <s v="4002.001"/>
    <s v="Impôt ordinaire s/fortune PP"/>
    <n v="0"/>
    <n v="24.45"/>
    <n v="4002"/>
  </r>
  <r>
    <x v="0"/>
    <x v="4"/>
    <x v="4"/>
    <x v="82"/>
    <x v="75"/>
    <x v="75"/>
    <s v="REVENUS"/>
    <x v="6"/>
    <s v="4211.001"/>
    <s v="Intérêts de retard sur factures"/>
    <n v="0"/>
    <n v="34.65"/>
    <n v="4211"/>
  </r>
  <r>
    <x v="0"/>
    <x v="4"/>
    <x v="4"/>
    <x v="82"/>
    <x v="75"/>
    <x v="75"/>
    <s v="REVENUS"/>
    <x v="2"/>
    <s v="4001.001"/>
    <s v="Impôt revenu"/>
    <n v="0"/>
    <n v="846.55"/>
    <n v="4001"/>
  </r>
  <r>
    <x v="0"/>
    <x v="4"/>
    <x v="4"/>
    <x v="82"/>
    <x v="75"/>
    <x v="75"/>
    <s v="REVENUS"/>
    <x v="3"/>
    <s v="4002.001"/>
    <s v="Impôt ordinaire s/fortune PP"/>
    <n v="0"/>
    <n v="943.2"/>
    <n v="4002"/>
  </r>
  <r>
    <x v="0"/>
    <x v="4"/>
    <x v="4"/>
    <x v="82"/>
    <x v="75"/>
    <x v="75"/>
    <s v="REVENUS"/>
    <x v="6"/>
    <s v="4221.003"/>
    <s v="Intérêts compensat. / acomptes en faveur du fisc"/>
    <n v="0"/>
    <n v="1.66"/>
    <n v="4221"/>
  </r>
  <r>
    <x v="0"/>
    <x v="4"/>
    <x v="4"/>
    <x v="82"/>
    <x v="75"/>
    <x v="75"/>
    <s v="REVENUS"/>
    <x v="3"/>
    <s v="4002.001"/>
    <s v="Impôt ordinaire s/fortune PP"/>
    <n v="0"/>
    <n v="935.45"/>
    <n v="4002"/>
  </r>
  <r>
    <x v="0"/>
    <x v="4"/>
    <x v="4"/>
    <x v="82"/>
    <x v="75"/>
    <x v="75"/>
    <s v="REVENUS"/>
    <x v="6"/>
    <s v="4211.002"/>
    <s v="Intérêts de retard sur acomptes"/>
    <n v="0"/>
    <n v="1.9"/>
    <n v="4211"/>
  </r>
  <r>
    <x v="0"/>
    <x v="4"/>
    <x v="4"/>
    <x v="82"/>
    <x v="75"/>
    <x v="75"/>
    <s v="REVENUS"/>
    <x v="2"/>
    <s v="4001.001"/>
    <s v="Impôt revenu"/>
    <n v="0"/>
    <n v="560.95000000000005"/>
    <n v="4001"/>
  </r>
  <r>
    <x v="0"/>
    <x v="4"/>
    <x v="4"/>
    <x v="82"/>
    <x v="75"/>
    <x v="75"/>
    <s v="REVENUS"/>
    <x v="6"/>
    <s v="4221.003"/>
    <s v="Intérêts compensat. / acomptes en faveur du fisc"/>
    <n v="0"/>
    <n v="-0.94"/>
    <n v="4221"/>
  </r>
  <r>
    <x v="0"/>
    <x v="4"/>
    <x v="4"/>
    <x v="82"/>
    <x v="75"/>
    <x v="75"/>
    <s v="REVENUS"/>
    <x v="6"/>
    <s v="4211.001"/>
    <s v="Intérêts de retard sur factures"/>
    <n v="0"/>
    <n v="144.9"/>
    <n v="4211"/>
  </r>
  <r>
    <x v="0"/>
    <x v="4"/>
    <x v="4"/>
    <x v="82"/>
    <x v="75"/>
    <x v="75"/>
    <s v="REVENUS"/>
    <x v="8"/>
    <s v="4091.001"/>
    <s v="Impôt récupéré après défalcations"/>
    <n v="0"/>
    <n v="4361.04"/>
    <n v="4091"/>
  </r>
  <r>
    <x v="0"/>
    <x v="4"/>
    <x v="4"/>
    <x v="82"/>
    <x v="75"/>
    <x v="75"/>
    <s v="REVENUS"/>
    <x v="2"/>
    <s v="4001.002"/>
    <s v="Impôt complément s/revenu PP"/>
    <n v="0"/>
    <n v="416.7"/>
    <n v="4001"/>
  </r>
  <r>
    <x v="0"/>
    <x v="4"/>
    <x v="4"/>
    <x v="82"/>
    <x v="75"/>
    <x v="75"/>
    <s v="REVENUS"/>
    <x v="6"/>
    <s v="4211.002"/>
    <s v="Intérêts de retard sur acomptes"/>
    <n v="0"/>
    <n v="20.9"/>
    <n v="4211"/>
  </r>
  <r>
    <x v="0"/>
    <x v="4"/>
    <x v="4"/>
    <x v="82"/>
    <x v="75"/>
    <x v="75"/>
    <s v="REVENUS"/>
    <x v="9"/>
    <s v="4031.002"/>
    <s v="Complément impôt sur les gains immobiliers"/>
    <n v="0"/>
    <n v="3442.2"/>
    <n v="4031"/>
  </r>
  <r>
    <x v="0"/>
    <x v="4"/>
    <x v="4"/>
    <x v="82"/>
    <x v="75"/>
    <x v="75"/>
    <s v="REVENUS"/>
    <x v="6"/>
    <s v="4211.002"/>
    <s v="Intérêts de retard sur acomptes"/>
    <n v="0"/>
    <n v="0.49"/>
    <n v="4211"/>
  </r>
  <r>
    <x v="0"/>
    <x v="4"/>
    <x v="4"/>
    <x v="82"/>
    <x v="75"/>
    <x v="75"/>
    <s v="REVENUS"/>
    <x v="2"/>
    <s v="4001.002"/>
    <s v="Impôt complément s/revenu PP"/>
    <n v="0"/>
    <n v="-50.15"/>
    <n v="4001"/>
  </r>
  <r>
    <x v="0"/>
    <x v="4"/>
    <x v="4"/>
    <x v="82"/>
    <x v="75"/>
    <x v="75"/>
    <s v="REVENUS"/>
    <x v="3"/>
    <s v="4002.002"/>
    <s v="Impôt complémentaire s/fortune PP"/>
    <n v="0"/>
    <n v="-119.5"/>
    <n v="4002"/>
  </r>
  <r>
    <x v="0"/>
    <x v="4"/>
    <x v="4"/>
    <x v="83"/>
    <x v="76"/>
    <x v="76"/>
    <s v="CHARGES"/>
    <x v="0"/>
    <s v="3212.004"/>
    <s v="Intérêts rémun./perçu trop tôt sur acomptes C/C"/>
    <n v="444.47"/>
    <n v="0"/>
    <n v="3212"/>
  </r>
  <r>
    <x v="0"/>
    <x v="4"/>
    <x v="4"/>
    <x v="83"/>
    <x v="76"/>
    <x v="76"/>
    <s v="CHARGES"/>
    <x v="1"/>
    <s v="3301.001"/>
    <s v="Défalcations, abandons de solde PP et IS"/>
    <n v="23468.86"/>
    <n v="0"/>
    <n v="3301"/>
  </r>
  <r>
    <x v="0"/>
    <x v="4"/>
    <x v="4"/>
    <x v="83"/>
    <x v="76"/>
    <x v="76"/>
    <s v="CHARGES"/>
    <x v="0"/>
    <s v="3212.004"/>
    <s v="Intérêts rémun./perçu trop tôt sur acomptes C/C"/>
    <n v="18.12"/>
    <n v="0"/>
    <n v="3212"/>
  </r>
  <r>
    <x v="0"/>
    <x v="4"/>
    <x v="4"/>
    <x v="83"/>
    <x v="76"/>
    <x v="76"/>
    <s v="CHARGES"/>
    <x v="1"/>
    <s v="3301.001"/>
    <s v="Défalcations, abandons de solde PP et IS"/>
    <n v="1.61"/>
    <n v="0"/>
    <n v="3301"/>
  </r>
  <r>
    <x v="0"/>
    <x v="4"/>
    <x v="4"/>
    <x v="83"/>
    <x v="76"/>
    <x v="76"/>
    <s v="CHARGES"/>
    <x v="0"/>
    <s v="3221.002"/>
    <s v="Intérêts compensatoires / créances en faveur ctb."/>
    <n v="175.53"/>
    <n v="0"/>
    <n v="3221"/>
  </r>
  <r>
    <x v="0"/>
    <x v="4"/>
    <x v="4"/>
    <x v="83"/>
    <x v="76"/>
    <x v="76"/>
    <s v="CHARGES"/>
    <x v="0"/>
    <s v="3221.002"/>
    <s v="Intérêts compensatoires / créances en faveur ctb."/>
    <n v="1.35"/>
    <n v="0"/>
    <n v="3221"/>
  </r>
  <r>
    <x v="0"/>
    <x v="4"/>
    <x v="4"/>
    <x v="83"/>
    <x v="76"/>
    <x v="76"/>
    <s v="CHARGES"/>
    <x v="0"/>
    <s v="3212.002"/>
    <s v="Intérêts bonifiés/trop perçu acompte C/C"/>
    <n v="0.01"/>
    <n v="0"/>
    <n v="3212"/>
  </r>
  <r>
    <x v="0"/>
    <x v="4"/>
    <x v="4"/>
    <x v="83"/>
    <x v="76"/>
    <x v="76"/>
    <s v="CHARGES"/>
    <x v="0"/>
    <s v="3212.002"/>
    <s v="Intérêts bonifiés/trop perçu acompte C/C"/>
    <n v="6.4"/>
    <n v="0"/>
    <n v="3212"/>
  </r>
  <r>
    <x v="0"/>
    <x v="4"/>
    <x v="4"/>
    <x v="83"/>
    <x v="76"/>
    <x v="76"/>
    <s v="CHARGES"/>
    <x v="0"/>
    <s v="3212.004"/>
    <s v="Intérêts rémun./perçu trop tôt sur acomptes C/C"/>
    <n v="3.06"/>
    <n v="0"/>
    <n v="3212"/>
  </r>
  <r>
    <x v="0"/>
    <x v="4"/>
    <x v="4"/>
    <x v="83"/>
    <x v="76"/>
    <x v="76"/>
    <s v="CHARGES"/>
    <x v="0"/>
    <s v="3221.002"/>
    <s v="Intérêts compensatoires / créances en faveur ctb."/>
    <n v="3.42"/>
    <n v="0"/>
    <n v="3221"/>
  </r>
  <r>
    <x v="0"/>
    <x v="4"/>
    <x v="4"/>
    <x v="83"/>
    <x v="76"/>
    <x v="76"/>
    <s v="CHARGES"/>
    <x v="0"/>
    <s v="3212.004"/>
    <s v="Intérêts rémun./perçu trop tôt sur acomptes C/C"/>
    <n v="7.31"/>
    <n v="0"/>
    <n v="3212"/>
  </r>
  <r>
    <x v="0"/>
    <x v="4"/>
    <x v="4"/>
    <x v="83"/>
    <x v="76"/>
    <x v="76"/>
    <s v="CHARGES"/>
    <x v="1"/>
    <s v="3301.001"/>
    <s v="Défalcations, abandons de solde PP et IS"/>
    <n v="13141.92"/>
    <n v="0"/>
    <n v="3301"/>
  </r>
  <r>
    <x v="0"/>
    <x v="4"/>
    <x v="4"/>
    <x v="83"/>
    <x v="76"/>
    <x v="76"/>
    <s v="CHARGES"/>
    <x v="0"/>
    <s v="3221.002"/>
    <s v="Intérêts compensatoires / créances en faveur ctb."/>
    <n v="7.14"/>
    <n v="0"/>
    <n v="3221"/>
  </r>
  <r>
    <x v="0"/>
    <x v="4"/>
    <x v="4"/>
    <x v="83"/>
    <x v="76"/>
    <x v="76"/>
    <s v="CHARGES"/>
    <x v="0"/>
    <s v="3212.004"/>
    <s v="Intérêts rémun./perçu trop tôt sur acomptes C/C"/>
    <n v="0.9"/>
    <n v="0"/>
    <n v="3212"/>
  </r>
  <r>
    <x v="0"/>
    <x v="4"/>
    <x v="4"/>
    <x v="83"/>
    <x v="76"/>
    <x v="76"/>
    <s v="CHARGES"/>
    <x v="1"/>
    <s v="3301.001"/>
    <s v="Défalcations, abandons de solde PP et IS"/>
    <n v="0.55000000000000004"/>
    <n v="0"/>
    <n v="3301"/>
  </r>
  <r>
    <x v="0"/>
    <x v="4"/>
    <x v="4"/>
    <x v="83"/>
    <x v="76"/>
    <x v="76"/>
    <s v="CHARGES"/>
    <x v="0"/>
    <s v="3221.002"/>
    <s v="Intérêts compensatoires / créances en faveur ctb."/>
    <n v="0.14000000000000001"/>
    <n v="0"/>
    <n v="3221"/>
  </r>
  <r>
    <x v="0"/>
    <x v="4"/>
    <x v="4"/>
    <x v="83"/>
    <x v="76"/>
    <x v="76"/>
    <s v="CHARGES"/>
    <x v="1"/>
    <s v="3301.001"/>
    <s v="Défalcations, abandons de solde PP et IS"/>
    <n v="2975.29"/>
    <n v="0"/>
    <n v="3301"/>
  </r>
  <r>
    <x v="0"/>
    <x v="4"/>
    <x v="4"/>
    <x v="83"/>
    <x v="76"/>
    <x v="76"/>
    <s v="CHARGES"/>
    <x v="0"/>
    <s v="3212.002"/>
    <s v="Intérêts bonifiés/trop perçu acompte C/C"/>
    <n v="0.03"/>
    <n v="0"/>
    <n v="3212"/>
  </r>
  <r>
    <x v="0"/>
    <x v="4"/>
    <x v="4"/>
    <x v="83"/>
    <x v="76"/>
    <x v="76"/>
    <s v="CHARGES"/>
    <x v="1"/>
    <s v="3301.001"/>
    <s v="Défalcations, abandons de solde PP et IS"/>
    <n v="0.02"/>
    <n v="0"/>
    <n v="3301"/>
  </r>
  <r>
    <x v="0"/>
    <x v="4"/>
    <x v="4"/>
    <x v="83"/>
    <x v="76"/>
    <x v="76"/>
    <s v="REVENUS"/>
    <x v="2"/>
    <s v="4001.007"/>
    <s v="Acompte impôt sur revenu"/>
    <n v="0"/>
    <n v="-258789.41"/>
    <n v="4001"/>
  </r>
  <r>
    <x v="0"/>
    <x v="4"/>
    <x v="4"/>
    <x v="83"/>
    <x v="76"/>
    <x v="76"/>
    <s v="REVENUS"/>
    <x v="2"/>
    <s v="4001.001"/>
    <s v="Impôt revenu"/>
    <n v="0"/>
    <n v="2462065.35"/>
    <n v="4001"/>
  </r>
  <r>
    <x v="0"/>
    <x v="4"/>
    <x v="4"/>
    <x v="83"/>
    <x v="76"/>
    <x v="76"/>
    <s v="REVENUS"/>
    <x v="6"/>
    <s v="4211.001"/>
    <s v="Intérêts de retard sur factures"/>
    <n v="0"/>
    <n v="6383.12"/>
    <n v="4211"/>
  </r>
  <r>
    <x v="0"/>
    <x v="4"/>
    <x v="4"/>
    <x v="83"/>
    <x v="76"/>
    <x v="76"/>
    <s v="REVENUS"/>
    <x v="6"/>
    <s v="4221.003"/>
    <s v="Intérêts compensat. / acomptes en faveur du fisc"/>
    <n v="0"/>
    <n v="365.79"/>
    <n v="4221"/>
  </r>
  <r>
    <x v="0"/>
    <x v="4"/>
    <x v="4"/>
    <x v="83"/>
    <x v="76"/>
    <x v="76"/>
    <s v="REVENUS"/>
    <x v="2"/>
    <s v="4001.001"/>
    <s v="Impôt revenu"/>
    <n v="0"/>
    <n v="14482.95"/>
    <n v="4001"/>
  </r>
  <r>
    <x v="0"/>
    <x v="4"/>
    <x v="4"/>
    <x v="83"/>
    <x v="76"/>
    <x v="76"/>
    <s v="REVENUS"/>
    <x v="2"/>
    <s v="4001.007"/>
    <s v="Acompte impôt sur revenu"/>
    <n v="0"/>
    <n v="12920.33"/>
    <n v="4001"/>
  </r>
  <r>
    <x v="0"/>
    <x v="4"/>
    <x v="4"/>
    <x v="83"/>
    <x v="76"/>
    <x v="76"/>
    <s v="REVENUS"/>
    <x v="3"/>
    <s v="4002.001"/>
    <s v="Impôt ordinaire s/fortune PP"/>
    <n v="0"/>
    <n v="11119.05"/>
    <n v="4002"/>
  </r>
  <r>
    <x v="0"/>
    <x v="4"/>
    <x v="4"/>
    <x v="83"/>
    <x v="76"/>
    <x v="76"/>
    <s v="REVENUS"/>
    <x v="3"/>
    <s v="4002.007"/>
    <s v="Acompte impôt sur fortune"/>
    <n v="0"/>
    <n v="4187.97"/>
    <n v="4002"/>
  </r>
  <r>
    <x v="0"/>
    <x v="4"/>
    <x v="4"/>
    <x v="83"/>
    <x v="76"/>
    <x v="76"/>
    <s v="REVENUS"/>
    <x v="6"/>
    <s v="4221.003"/>
    <s v="Intérêts compensat. / acomptes en faveur du fisc"/>
    <n v="0"/>
    <n v="1.36"/>
    <n v="4221"/>
  </r>
  <r>
    <x v="0"/>
    <x v="4"/>
    <x v="4"/>
    <x v="83"/>
    <x v="76"/>
    <x v="76"/>
    <s v="REVENUS"/>
    <x v="2"/>
    <s v="4001.002"/>
    <s v="Impôt complément s/revenu PP"/>
    <n v="0"/>
    <n v="295997.40000000002"/>
    <n v="4001"/>
  </r>
  <r>
    <x v="0"/>
    <x v="4"/>
    <x v="4"/>
    <x v="83"/>
    <x v="76"/>
    <x v="76"/>
    <s v="REVENUS"/>
    <x v="3"/>
    <s v="4002.001"/>
    <s v="Impôt ordinaire s/fortune PP"/>
    <n v="0"/>
    <n v="257878.15"/>
    <n v="4002"/>
  </r>
  <r>
    <x v="0"/>
    <x v="4"/>
    <x v="4"/>
    <x v="83"/>
    <x v="76"/>
    <x v="76"/>
    <s v="REVENUS"/>
    <x v="3"/>
    <s v="4002.002"/>
    <s v="Impôt complémentaire s/fortune PP"/>
    <n v="0"/>
    <n v="37547.25"/>
    <n v="4002"/>
  </r>
  <r>
    <x v="0"/>
    <x v="4"/>
    <x v="4"/>
    <x v="83"/>
    <x v="76"/>
    <x v="76"/>
    <s v="REVENUS"/>
    <x v="3"/>
    <s v="4002.007"/>
    <s v="Acompte impôt sur fortune"/>
    <n v="0"/>
    <n v="-96756.42"/>
    <n v="4002"/>
  </r>
  <r>
    <x v="0"/>
    <x v="4"/>
    <x v="4"/>
    <x v="83"/>
    <x v="76"/>
    <x v="76"/>
    <s v="REVENUS"/>
    <x v="10"/>
    <s v="4041.001"/>
    <s v="Droits de mutation"/>
    <n v="0"/>
    <n v="79915"/>
    <n v="4041"/>
  </r>
  <r>
    <x v="0"/>
    <x v="4"/>
    <x v="4"/>
    <x v="83"/>
    <x v="76"/>
    <x v="76"/>
    <s v="REVENUS"/>
    <x v="6"/>
    <s v="4211.002"/>
    <s v="Intérêts de retard sur acomptes"/>
    <n v="0"/>
    <n v="14798.76"/>
    <n v="4211"/>
  </r>
  <r>
    <x v="0"/>
    <x v="4"/>
    <x v="4"/>
    <x v="83"/>
    <x v="76"/>
    <x v="76"/>
    <s v="REVENUS"/>
    <x v="9"/>
    <s v="4031.001"/>
    <s v="Impôt sur les gains immobiliers"/>
    <n v="0"/>
    <n v="67499.75"/>
    <n v="4031"/>
  </r>
  <r>
    <x v="0"/>
    <x v="4"/>
    <x v="4"/>
    <x v="83"/>
    <x v="76"/>
    <x v="76"/>
    <s v="REVENUS"/>
    <x v="6"/>
    <s v="4221.002"/>
    <s v="Intérêts compensat. sur impôts distincts"/>
    <n v="0"/>
    <n v="9.6"/>
    <n v="4221"/>
  </r>
  <r>
    <x v="0"/>
    <x v="4"/>
    <x v="4"/>
    <x v="83"/>
    <x v="76"/>
    <x v="76"/>
    <s v="REVENUS"/>
    <x v="2"/>
    <s v="4001.007"/>
    <s v="Acompte impôt sur revenu"/>
    <n v="0"/>
    <n v="-439"/>
    <n v="4001"/>
  </r>
  <r>
    <x v="0"/>
    <x v="4"/>
    <x v="4"/>
    <x v="83"/>
    <x v="76"/>
    <x v="76"/>
    <s v="REVENUS"/>
    <x v="3"/>
    <s v="4002.007"/>
    <s v="Acompte impôt sur fortune"/>
    <n v="0"/>
    <n v="-248.15"/>
    <n v="4002"/>
  </r>
  <r>
    <x v="0"/>
    <x v="4"/>
    <x v="4"/>
    <x v="83"/>
    <x v="76"/>
    <x v="76"/>
    <s v="REVENUS"/>
    <x v="6"/>
    <s v="4211.002"/>
    <s v="Intérêts de retard sur acomptes"/>
    <n v="0"/>
    <n v="37.97"/>
    <n v="4211"/>
  </r>
  <r>
    <x v="0"/>
    <x v="4"/>
    <x v="4"/>
    <x v="83"/>
    <x v="76"/>
    <x v="76"/>
    <s v="REVENUS"/>
    <x v="7"/>
    <s v="4184.000"/>
    <s v="Frais de poursuite"/>
    <n v="0"/>
    <n v="1036.55"/>
    <n v="4184"/>
  </r>
  <r>
    <x v="0"/>
    <x v="4"/>
    <x v="4"/>
    <x v="83"/>
    <x v="76"/>
    <x v="76"/>
    <s v="REVENUS"/>
    <x v="7"/>
    <s v="4184.000"/>
    <s v="Frais de poursuite"/>
    <n v="0"/>
    <n v="865.01"/>
    <n v="4184"/>
  </r>
  <r>
    <x v="0"/>
    <x v="4"/>
    <x v="4"/>
    <x v="83"/>
    <x v="76"/>
    <x v="76"/>
    <s v="REVENUS"/>
    <x v="2"/>
    <s v="4001.003"/>
    <s v="Impôt s/prest. cap. PP"/>
    <n v="0"/>
    <n v="70518.100000000006"/>
    <n v="4001"/>
  </r>
  <r>
    <x v="0"/>
    <x v="4"/>
    <x v="4"/>
    <x v="83"/>
    <x v="76"/>
    <x v="76"/>
    <s v="REVENUS"/>
    <x v="3"/>
    <s v="4002.007"/>
    <s v="Acompte impôt sur fortune"/>
    <n v="0"/>
    <n v="-62.45"/>
    <n v="4002"/>
  </r>
  <r>
    <x v="0"/>
    <x v="4"/>
    <x v="4"/>
    <x v="83"/>
    <x v="76"/>
    <x v="76"/>
    <s v="REVENUS"/>
    <x v="2"/>
    <s v="4001.007"/>
    <s v="Acompte impôt sur revenu"/>
    <n v="0"/>
    <n v="-3043.33"/>
    <n v="4001"/>
  </r>
  <r>
    <x v="0"/>
    <x v="4"/>
    <x v="4"/>
    <x v="83"/>
    <x v="76"/>
    <x v="76"/>
    <s v="REVENUS"/>
    <x v="3"/>
    <s v="4002.007"/>
    <s v="Acompte impôt sur fortune"/>
    <n v="0"/>
    <n v="-1373.96"/>
    <n v="4002"/>
  </r>
  <r>
    <x v="0"/>
    <x v="4"/>
    <x v="4"/>
    <x v="83"/>
    <x v="76"/>
    <x v="76"/>
    <s v="REVENUS"/>
    <x v="3"/>
    <s v="4002.007"/>
    <s v="Acompte impôt sur fortune"/>
    <n v="0"/>
    <n v="23.2"/>
    <n v="4002"/>
  </r>
  <r>
    <x v="0"/>
    <x v="4"/>
    <x v="4"/>
    <x v="83"/>
    <x v="76"/>
    <x v="76"/>
    <s v="REVENUS"/>
    <x v="3"/>
    <s v="4002.001"/>
    <s v="Impôt ordinaire s/fortune PP"/>
    <n v="0"/>
    <n v="3027.55"/>
    <n v="4002"/>
  </r>
  <r>
    <x v="0"/>
    <x v="4"/>
    <x v="4"/>
    <x v="83"/>
    <x v="76"/>
    <x v="76"/>
    <s v="REVENUS"/>
    <x v="2"/>
    <s v="4001.007"/>
    <s v="Acompte impôt sur revenu"/>
    <n v="0"/>
    <n v="3480.85"/>
    <n v="4001"/>
  </r>
  <r>
    <x v="0"/>
    <x v="4"/>
    <x v="4"/>
    <x v="83"/>
    <x v="76"/>
    <x v="76"/>
    <s v="REVENUS"/>
    <x v="3"/>
    <s v="4002.001"/>
    <s v="Impôt ordinaire s/fortune PP"/>
    <n v="0"/>
    <n v="6388.3"/>
    <n v="4002"/>
  </r>
  <r>
    <x v="0"/>
    <x v="4"/>
    <x v="4"/>
    <x v="83"/>
    <x v="76"/>
    <x v="76"/>
    <s v="REVENUS"/>
    <x v="2"/>
    <s v="4001.007"/>
    <s v="Acompte impôt sur revenu"/>
    <n v="0"/>
    <n v="-4762.7"/>
    <n v="4001"/>
  </r>
  <r>
    <x v="0"/>
    <x v="4"/>
    <x v="4"/>
    <x v="83"/>
    <x v="76"/>
    <x v="76"/>
    <s v="REVENUS"/>
    <x v="3"/>
    <s v="4002.007"/>
    <s v="Acompte impôt sur fortune"/>
    <n v="0"/>
    <n v="-5.7"/>
    <n v="4002"/>
  </r>
  <r>
    <x v="0"/>
    <x v="4"/>
    <x v="4"/>
    <x v="83"/>
    <x v="76"/>
    <x v="76"/>
    <s v="REVENUS"/>
    <x v="2"/>
    <s v="4001.001"/>
    <s v="Impôt revenu"/>
    <n v="0"/>
    <n v="27897.25"/>
    <n v="4001"/>
  </r>
  <r>
    <x v="0"/>
    <x v="4"/>
    <x v="4"/>
    <x v="83"/>
    <x v="76"/>
    <x v="76"/>
    <s v="REVENUS"/>
    <x v="2"/>
    <s v="4001.002"/>
    <s v="Impôt complément s/revenu PP"/>
    <n v="0"/>
    <n v="174.95"/>
    <n v="4001"/>
  </r>
  <r>
    <x v="0"/>
    <x v="4"/>
    <x v="4"/>
    <x v="83"/>
    <x v="76"/>
    <x v="76"/>
    <s v="REVENUS"/>
    <x v="3"/>
    <s v="4002.002"/>
    <s v="Impôt complémentaire s/fortune PP"/>
    <n v="0"/>
    <n v="144.80000000000001"/>
    <n v="4002"/>
  </r>
  <r>
    <x v="0"/>
    <x v="4"/>
    <x v="4"/>
    <x v="83"/>
    <x v="76"/>
    <x v="76"/>
    <s v="REVENUS"/>
    <x v="6"/>
    <s v="4211.001"/>
    <s v="Intérêts de retard sur factures"/>
    <n v="0"/>
    <n v="3.45"/>
    <n v="4211"/>
  </r>
  <r>
    <x v="0"/>
    <x v="4"/>
    <x v="4"/>
    <x v="83"/>
    <x v="76"/>
    <x v="76"/>
    <s v="REVENUS"/>
    <x v="6"/>
    <s v="4211.002"/>
    <s v="Intérêts de retard sur acomptes"/>
    <n v="0"/>
    <n v="386.59"/>
    <n v="4211"/>
  </r>
  <r>
    <x v="0"/>
    <x v="4"/>
    <x v="4"/>
    <x v="83"/>
    <x v="76"/>
    <x v="76"/>
    <s v="REVENUS"/>
    <x v="6"/>
    <s v="4221.003"/>
    <s v="Intérêts compensat. / acomptes en faveur du fisc"/>
    <n v="0"/>
    <n v="1.74"/>
    <n v="4221"/>
  </r>
  <r>
    <x v="0"/>
    <x v="4"/>
    <x v="4"/>
    <x v="83"/>
    <x v="76"/>
    <x v="76"/>
    <s v="REVENUS"/>
    <x v="8"/>
    <s v="4091.001"/>
    <s v="Impôt récupéré après défalcations"/>
    <n v="0"/>
    <n v="4949.3500000000004"/>
    <n v="4091"/>
  </r>
  <r>
    <x v="0"/>
    <x v="4"/>
    <x v="4"/>
    <x v="83"/>
    <x v="76"/>
    <x v="76"/>
    <s v="REVENUS"/>
    <x v="6"/>
    <s v="4211.001"/>
    <s v="Intérêts de retard sur factures"/>
    <n v="0"/>
    <n v="18.38"/>
    <n v="4211"/>
  </r>
  <r>
    <x v="0"/>
    <x v="4"/>
    <x v="4"/>
    <x v="83"/>
    <x v="76"/>
    <x v="76"/>
    <s v="REVENUS"/>
    <x v="2"/>
    <s v="4001.007"/>
    <s v="Acompte impôt sur revenu"/>
    <n v="0"/>
    <n v="-5.0999999999999996"/>
    <n v="4001"/>
  </r>
  <r>
    <x v="0"/>
    <x v="4"/>
    <x v="4"/>
    <x v="83"/>
    <x v="76"/>
    <x v="76"/>
    <s v="REVENUS"/>
    <x v="7"/>
    <s v="4184.000"/>
    <s v="Frais de poursuite"/>
    <n v="0"/>
    <n v="108.19"/>
    <n v="4184"/>
  </r>
  <r>
    <x v="0"/>
    <x v="4"/>
    <x v="4"/>
    <x v="83"/>
    <x v="76"/>
    <x v="76"/>
    <s v="REVENUS"/>
    <x v="2"/>
    <s v="4001.001"/>
    <s v="Impôt revenu"/>
    <n v="0"/>
    <n v="-3349.8"/>
    <n v="4001"/>
  </r>
  <r>
    <x v="0"/>
    <x v="4"/>
    <x v="4"/>
    <x v="83"/>
    <x v="76"/>
    <x v="76"/>
    <s v="REVENUS"/>
    <x v="3"/>
    <s v="4002.001"/>
    <s v="Impôt ordinaire s/fortune PP"/>
    <n v="0"/>
    <n v="1823.8"/>
    <n v="4002"/>
  </r>
  <r>
    <x v="0"/>
    <x v="4"/>
    <x v="4"/>
    <x v="83"/>
    <x v="76"/>
    <x v="76"/>
    <s v="REVENUS"/>
    <x v="6"/>
    <s v="4211.001"/>
    <s v="Intérêts de retard sur factures"/>
    <n v="0"/>
    <n v="0.12"/>
    <n v="4211"/>
  </r>
  <r>
    <x v="0"/>
    <x v="4"/>
    <x v="4"/>
    <x v="83"/>
    <x v="76"/>
    <x v="76"/>
    <s v="REVENUS"/>
    <x v="6"/>
    <s v="4221.003"/>
    <s v="Intérêts compensat. / acomptes en faveur du fisc"/>
    <n v="0"/>
    <n v="0.84"/>
    <n v="4221"/>
  </r>
  <r>
    <x v="0"/>
    <x v="4"/>
    <x v="4"/>
    <x v="83"/>
    <x v="76"/>
    <x v="76"/>
    <s v="REVENUS"/>
    <x v="6"/>
    <s v="4211.002"/>
    <s v="Intérêts de retard sur acomptes"/>
    <n v="0"/>
    <n v="-2.23"/>
    <n v="4211"/>
  </r>
  <r>
    <x v="0"/>
    <x v="4"/>
    <x v="4"/>
    <x v="83"/>
    <x v="76"/>
    <x v="76"/>
    <s v="REVENUS"/>
    <x v="2"/>
    <s v="4001.001"/>
    <s v="Impôt revenu"/>
    <n v="0"/>
    <n v="-32.35"/>
    <n v="4001"/>
  </r>
  <r>
    <x v="0"/>
    <x v="4"/>
    <x v="4"/>
    <x v="83"/>
    <x v="76"/>
    <x v="76"/>
    <s v="REVENUS"/>
    <x v="6"/>
    <s v="4211.002"/>
    <s v="Intérêts de retard sur acomptes"/>
    <n v="0"/>
    <n v="23.99"/>
    <n v="4211"/>
  </r>
  <r>
    <x v="0"/>
    <x v="4"/>
    <x v="4"/>
    <x v="83"/>
    <x v="76"/>
    <x v="76"/>
    <s v="REVENUS"/>
    <x v="3"/>
    <s v="4002.002"/>
    <s v="Impôt complémentaire s/fortune PP"/>
    <n v="0"/>
    <n v="136.9"/>
    <n v="4002"/>
  </r>
  <r>
    <x v="0"/>
    <x v="4"/>
    <x v="4"/>
    <x v="83"/>
    <x v="76"/>
    <x v="76"/>
    <s v="REVENUS"/>
    <x v="2"/>
    <s v="4001.002"/>
    <s v="Impôt complément s/revenu PP"/>
    <n v="0"/>
    <n v="450.95"/>
    <n v="4001"/>
  </r>
  <r>
    <x v="0"/>
    <x v="4"/>
    <x v="4"/>
    <x v="83"/>
    <x v="76"/>
    <x v="76"/>
    <s v="REVENUS"/>
    <x v="3"/>
    <s v="4002.002"/>
    <s v="Impôt complémentaire s/fortune PP"/>
    <n v="0"/>
    <n v="562.04999999999995"/>
    <n v="4002"/>
  </r>
  <r>
    <x v="0"/>
    <x v="4"/>
    <x v="4"/>
    <x v="83"/>
    <x v="76"/>
    <x v="76"/>
    <s v="REVENUS"/>
    <x v="6"/>
    <s v="4221.003"/>
    <s v="Intérêts compensat. / acomptes en faveur du fisc"/>
    <n v="0"/>
    <n v="0.02"/>
    <n v="4221"/>
  </r>
  <r>
    <x v="0"/>
    <x v="4"/>
    <x v="4"/>
    <x v="83"/>
    <x v="76"/>
    <x v="76"/>
    <s v="REVENUS"/>
    <x v="2"/>
    <s v="4001.002"/>
    <s v="Impôt complément s/revenu PP"/>
    <n v="0"/>
    <n v="7109.9"/>
    <n v="4001"/>
  </r>
  <r>
    <x v="0"/>
    <x v="4"/>
    <x v="4"/>
    <x v="83"/>
    <x v="76"/>
    <x v="76"/>
    <s v="REVENUS"/>
    <x v="6"/>
    <s v="4211.001"/>
    <s v="Intérêts de retard sur factures"/>
    <n v="0"/>
    <n v="60.47"/>
    <n v="4211"/>
  </r>
  <r>
    <x v="0"/>
    <x v="4"/>
    <x v="4"/>
    <x v="84"/>
    <x v="77"/>
    <x v="77"/>
    <s v="CHARGES"/>
    <x v="1"/>
    <s v="3301.001"/>
    <s v="Défalcations, abandons de solde PP et IS"/>
    <n v="1314.69"/>
    <n v="0"/>
    <n v="3301"/>
  </r>
  <r>
    <x v="0"/>
    <x v="4"/>
    <x v="4"/>
    <x v="84"/>
    <x v="77"/>
    <x v="77"/>
    <s v="CHARGES"/>
    <x v="0"/>
    <s v="3212.004"/>
    <s v="Intérêts rémun./perçu trop tôt sur acomptes C/C"/>
    <n v="285"/>
    <n v="0"/>
    <n v="3212"/>
  </r>
  <r>
    <x v="0"/>
    <x v="4"/>
    <x v="4"/>
    <x v="84"/>
    <x v="77"/>
    <x v="77"/>
    <s v="CHARGES"/>
    <x v="0"/>
    <s v="3221.002"/>
    <s v="Intérêts compensatoires / créances en faveur ctb."/>
    <n v="201.8"/>
    <n v="0"/>
    <n v="3221"/>
  </r>
  <r>
    <x v="0"/>
    <x v="4"/>
    <x v="4"/>
    <x v="84"/>
    <x v="77"/>
    <x v="77"/>
    <s v="CHARGES"/>
    <x v="1"/>
    <s v="3301.001"/>
    <s v="Défalcations, abandons de solde PP et IS"/>
    <n v="3246.29"/>
    <n v="0"/>
    <n v="3301"/>
  </r>
  <r>
    <x v="0"/>
    <x v="4"/>
    <x v="4"/>
    <x v="84"/>
    <x v="77"/>
    <x v="77"/>
    <s v="CHARGES"/>
    <x v="0"/>
    <s v="3212.002"/>
    <s v="Intérêts bonifiés/trop perçu acompte C/C"/>
    <n v="-3.06"/>
    <n v="0"/>
    <n v="3212"/>
  </r>
  <r>
    <x v="0"/>
    <x v="4"/>
    <x v="4"/>
    <x v="84"/>
    <x v="77"/>
    <x v="77"/>
    <s v="CHARGES"/>
    <x v="0"/>
    <s v="3212.004"/>
    <s v="Intérêts rémun./perçu trop tôt sur acomptes C/C"/>
    <n v="0.47"/>
    <n v="0"/>
    <n v="3212"/>
  </r>
  <r>
    <x v="0"/>
    <x v="4"/>
    <x v="4"/>
    <x v="84"/>
    <x v="77"/>
    <x v="77"/>
    <s v="CHARGES"/>
    <x v="1"/>
    <s v="3301.001"/>
    <s v="Défalcations, abandons de solde PP et IS"/>
    <n v="20.09"/>
    <n v="0"/>
    <n v="3301"/>
  </r>
  <r>
    <x v="0"/>
    <x v="4"/>
    <x v="4"/>
    <x v="84"/>
    <x v="77"/>
    <x v="77"/>
    <s v="CHARGES"/>
    <x v="0"/>
    <s v="3212.004"/>
    <s v="Intérêts rémun./perçu trop tôt sur acomptes C/C"/>
    <n v="0.41"/>
    <n v="0"/>
    <n v="3212"/>
  </r>
  <r>
    <x v="0"/>
    <x v="4"/>
    <x v="4"/>
    <x v="84"/>
    <x v="77"/>
    <x v="77"/>
    <s v="CHARGES"/>
    <x v="0"/>
    <s v="3221.002"/>
    <s v="Intérêts compensatoires / créances en faveur ctb."/>
    <n v="7.0000000000000007E-2"/>
    <n v="0"/>
    <n v="3221"/>
  </r>
  <r>
    <x v="0"/>
    <x v="4"/>
    <x v="4"/>
    <x v="84"/>
    <x v="77"/>
    <x v="77"/>
    <s v="CHARGES"/>
    <x v="0"/>
    <s v="3212.004"/>
    <s v="Intérêts rémun./perçu trop tôt sur acomptes C/C"/>
    <n v="0.84"/>
    <n v="0"/>
    <n v="3212"/>
  </r>
  <r>
    <x v="0"/>
    <x v="4"/>
    <x v="4"/>
    <x v="84"/>
    <x v="77"/>
    <x v="77"/>
    <s v="CHARGES"/>
    <x v="0"/>
    <s v="3221.002"/>
    <s v="Intérêts compensatoires / créances en faveur ctb."/>
    <n v="0.96"/>
    <n v="0"/>
    <n v="3221"/>
  </r>
  <r>
    <x v="0"/>
    <x v="4"/>
    <x v="4"/>
    <x v="84"/>
    <x v="77"/>
    <x v="77"/>
    <s v="CHARGES"/>
    <x v="0"/>
    <s v="3221.002"/>
    <s v="Intérêts compensatoires / créances en faveur ctb."/>
    <n v="0.33"/>
    <n v="0"/>
    <n v="3221"/>
  </r>
  <r>
    <x v="0"/>
    <x v="4"/>
    <x v="4"/>
    <x v="84"/>
    <x v="77"/>
    <x v="77"/>
    <s v="CHARGES"/>
    <x v="0"/>
    <s v="3212.004"/>
    <s v="Intérêts rémun./perçu trop tôt sur acomptes C/C"/>
    <n v="0.11"/>
    <n v="0"/>
    <n v="3212"/>
  </r>
  <r>
    <x v="0"/>
    <x v="4"/>
    <x v="4"/>
    <x v="84"/>
    <x v="77"/>
    <x v="77"/>
    <s v="CHARGES"/>
    <x v="0"/>
    <s v="3221.002"/>
    <s v="Intérêts compensatoires / créances en faveur ctb."/>
    <n v="0.1"/>
    <n v="0"/>
    <n v="3221"/>
  </r>
  <r>
    <x v="0"/>
    <x v="4"/>
    <x v="4"/>
    <x v="84"/>
    <x v="77"/>
    <x v="77"/>
    <s v="CHARGES"/>
    <x v="1"/>
    <s v="3301.001"/>
    <s v="Défalcations, abandons de solde PP et IS"/>
    <n v="0.16"/>
    <n v="0"/>
    <n v="3301"/>
  </r>
  <r>
    <x v="0"/>
    <x v="4"/>
    <x v="4"/>
    <x v="84"/>
    <x v="77"/>
    <x v="77"/>
    <s v="REVENUS"/>
    <x v="9"/>
    <s v="4031.001"/>
    <s v="Impôt sur les gains immobiliers"/>
    <n v="0"/>
    <n v="5523.45"/>
    <n v="4031"/>
  </r>
  <r>
    <x v="0"/>
    <x v="4"/>
    <x v="4"/>
    <x v="84"/>
    <x v="77"/>
    <x v="77"/>
    <s v="REVENUS"/>
    <x v="2"/>
    <s v="4001.007"/>
    <s v="Acompte impôt sur revenu"/>
    <n v="0"/>
    <n v="-140005.32"/>
    <n v="4001"/>
  </r>
  <r>
    <x v="0"/>
    <x v="4"/>
    <x v="4"/>
    <x v="84"/>
    <x v="77"/>
    <x v="77"/>
    <s v="REVENUS"/>
    <x v="3"/>
    <s v="4002.007"/>
    <s v="Acompte impôt sur fortune"/>
    <n v="0"/>
    <n v="-39828.129999999997"/>
    <n v="4002"/>
  </r>
  <r>
    <x v="0"/>
    <x v="4"/>
    <x v="4"/>
    <x v="84"/>
    <x v="77"/>
    <x v="77"/>
    <s v="REVENUS"/>
    <x v="2"/>
    <s v="4001.007"/>
    <s v="Acompte impôt sur revenu"/>
    <n v="0"/>
    <n v="-942.83"/>
    <n v="4001"/>
  </r>
  <r>
    <x v="0"/>
    <x v="4"/>
    <x v="4"/>
    <x v="84"/>
    <x v="77"/>
    <x v="77"/>
    <s v="REVENUS"/>
    <x v="3"/>
    <s v="4002.007"/>
    <s v="Acompte impôt sur fortune"/>
    <n v="0"/>
    <n v="-272.14999999999998"/>
    <n v="4002"/>
  </r>
  <r>
    <x v="0"/>
    <x v="4"/>
    <x v="4"/>
    <x v="84"/>
    <x v="77"/>
    <x v="77"/>
    <s v="REVENUS"/>
    <x v="2"/>
    <s v="4001.003"/>
    <s v="Impôt s/prest. cap. PP"/>
    <n v="0"/>
    <n v="142580.79999999999"/>
    <n v="4001"/>
  </r>
  <r>
    <x v="0"/>
    <x v="4"/>
    <x v="4"/>
    <x v="84"/>
    <x v="77"/>
    <x v="77"/>
    <s v="REVENUS"/>
    <x v="2"/>
    <s v="4001.001"/>
    <s v="Impôt revenu"/>
    <n v="0"/>
    <n v="1355328.15"/>
    <n v="4001"/>
  </r>
  <r>
    <x v="0"/>
    <x v="4"/>
    <x v="4"/>
    <x v="84"/>
    <x v="77"/>
    <x v="77"/>
    <s v="REVENUS"/>
    <x v="2"/>
    <s v="4001.002"/>
    <s v="Impôt complément s/revenu PP"/>
    <n v="0"/>
    <n v="95798.5"/>
    <n v="4001"/>
  </r>
  <r>
    <x v="0"/>
    <x v="4"/>
    <x v="4"/>
    <x v="84"/>
    <x v="77"/>
    <x v="77"/>
    <s v="REVENUS"/>
    <x v="6"/>
    <s v="4211.001"/>
    <s v="Intérêts de retard sur factures"/>
    <n v="0"/>
    <n v="2805.14"/>
    <n v="4211"/>
  </r>
  <r>
    <x v="0"/>
    <x v="4"/>
    <x v="4"/>
    <x v="84"/>
    <x v="77"/>
    <x v="77"/>
    <s v="REVENUS"/>
    <x v="6"/>
    <s v="4211.002"/>
    <s v="Intérêts de retard sur acomptes"/>
    <n v="0"/>
    <n v="8159.93"/>
    <n v="4211"/>
  </r>
  <r>
    <x v="0"/>
    <x v="4"/>
    <x v="4"/>
    <x v="84"/>
    <x v="77"/>
    <x v="77"/>
    <s v="REVENUS"/>
    <x v="6"/>
    <s v="4221.003"/>
    <s v="Intérêts compensat. / acomptes en faveur du fisc"/>
    <n v="0"/>
    <n v="129.38999999999999"/>
    <n v="4221"/>
  </r>
  <r>
    <x v="0"/>
    <x v="4"/>
    <x v="4"/>
    <x v="84"/>
    <x v="77"/>
    <x v="77"/>
    <s v="REVENUS"/>
    <x v="3"/>
    <s v="4002.001"/>
    <s v="Impôt ordinaire s/fortune PP"/>
    <n v="0"/>
    <n v="189057.05"/>
    <n v="4002"/>
  </r>
  <r>
    <x v="0"/>
    <x v="4"/>
    <x v="4"/>
    <x v="84"/>
    <x v="77"/>
    <x v="77"/>
    <s v="REVENUS"/>
    <x v="7"/>
    <s v="4184.000"/>
    <s v="Frais de poursuite"/>
    <n v="0"/>
    <n v="1021.72"/>
    <n v="4184"/>
  </r>
  <r>
    <x v="0"/>
    <x v="4"/>
    <x v="4"/>
    <x v="84"/>
    <x v="77"/>
    <x v="77"/>
    <s v="REVENUS"/>
    <x v="10"/>
    <s v="4041.001"/>
    <s v="Droits de mutation"/>
    <n v="0"/>
    <n v="41181.75"/>
    <n v="4041"/>
  </r>
  <r>
    <x v="0"/>
    <x v="4"/>
    <x v="4"/>
    <x v="84"/>
    <x v="77"/>
    <x v="77"/>
    <s v="REVENUS"/>
    <x v="3"/>
    <s v="4002.001"/>
    <s v="Impôt ordinaire s/fortune PP"/>
    <n v="0"/>
    <n v="599.70000000000005"/>
    <n v="4002"/>
  </r>
  <r>
    <x v="0"/>
    <x v="4"/>
    <x v="4"/>
    <x v="84"/>
    <x v="77"/>
    <x v="77"/>
    <s v="REVENUS"/>
    <x v="7"/>
    <s v="4184.000"/>
    <s v="Frais de poursuite"/>
    <n v="0"/>
    <n v="413.31"/>
    <n v="4184"/>
  </r>
  <r>
    <x v="0"/>
    <x v="4"/>
    <x v="4"/>
    <x v="84"/>
    <x v="77"/>
    <x v="77"/>
    <s v="REVENUS"/>
    <x v="2"/>
    <s v="4001.007"/>
    <s v="Acompte impôt sur revenu"/>
    <n v="0"/>
    <n v="1508.45"/>
    <n v="4001"/>
  </r>
  <r>
    <x v="0"/>
    <x v="4"/>
    <x v="4"/>
    <x v="84"/>
    <x v="77"/>
    <x v="77"/>
    <s v="REVENUS"/>
    <x v="3"/>
    <s v="4002.007"/>
    <s v="Acompte impôt sur fortune"/>
    <n v="0"/>
    <n v="115.95"/>
    <n v="4002"/>
  </r>
  <r>
    <x v="0"/>
    <x v="4"/>
    <x v="4"/>
    <x v="84"/>
    <x v="77"/>
    <x v="77"/>
    <s v="REVENUS"/>
    <x v="3"/>
    <s v="4002.001"/>
    <s v="Impôt ordinaire s/fortune PP"/>
    <n v="0"/>
    <n v="539.4"/>
    <n v="4002"/>
  </r>
  <r>
    <x v="0"/>
    <x v="4"/>
    <x v="4"/>
    <x v="84"/>
    <x v="77"/>
    <x v="77"/>
    <s v="REVENUS"/>
    <x v="6"/>
    <s v="4211.002"/>
    <s v="Intérêts de retard sur acomptes"/>
    <n v="0"/>
    <n v="0.06"/>
    <n v="4211"/>
  </r>
  <r>
    <x v="0"/>
    <x v="4"/>
    <x v="4"/>
    <x v="84"/>
    <x v="77"/>
    <x v="77"/>
    <s v="REVENUS"/>
    <x v="2"/>
    <s v="4001.001"/>
    <s v="Impôt revenu"/>
    <n v="0"/>
    <n v="259.95"/>
    <n v="4001"/>
  </r>
  <r>
    <x v="0"/>
    <x v="4"/>
    <x v="4"/>
    <x v="84"/>
    <x v="77"/>
    <x v="77"/>
    <s v="REVENUS"/>
    <x v="2"/>
    <s v="4001.007"/>
    <s v="Acompte impôt sur revenu"/>
    <n v="0"/>
    <n v="-35.950000000000003"/>
    <n v="4001"/>
  </r>
  <r>
    <x v="0"/>
    <x v="4"/>
    <x v="4"/>
    <x v="84"/>
    <x v="77"/>
    <x v="77"/>
    <s v="REVENUS"/>
    <x v="3"/>
    <s v="4002.007"/>
    <s v="Acompte impôt sur fortune"/>
    <n v="0"/>
    <n v="118.91"/>
    <n v="4002"/>
  </r>
  <r>
    <x v="0"/>
    <x v="4"/>
    <x v="4"/>
    <x v="84"/>
    <x v="77"/>
    <x v="77"/>
    <s v="REVENUS"/>
    <x v="7"/>
    <s v="4184.000"/>
    <s v="Frais de poursuite"/>
    <n v="0"/>
    <n v="87.78"/>
    <n v="4184"/>
  </r>
  <r>
    <x v="0"/>
    <x v="4"/>
    <x v="4"/>
    <x v="84"/>
    <x v="77"/>
    <x v="77"/>
    <s v="REVENUS"/>
    <x v="6"/>
    <s v="4221.003"/>
    <s v="Intérêts compensat. / acomptes en faveur du fisc"/>
    <n v="0"/>
    <n v="0.01"/>
    <n v="4221"/>
  </r>
  <r>
    <x v="0"/>
    <x v="4"/>
    <x v="4"/>
    <x v="84"/>
    <x v="77"/>
    <x v="77"/>
    <s v="REVENUS"/>
    <x v="3"/>
    <s v="4002.007"/>
    <s v="Acompte impôt sur fortune"/>
    <n v="0"/>
    <n v="3.85"/>
    <n v="4002"/>
  </r>
  <r>
    <x v="0"/>
    <x v="4"/>
    <x v="4"/>
    <x v="84"/>
    <x v="77"/>
    <x v="77"/>
    <s v="REVENUS"/>
    <x v="2"/>
    <s v="4001.007"/>
    <s v="Acompte impôt sur revenu"/>
    <n v="0"/>
    <n v="702"/>
    <n v="4001"/>
  </r>
  <r>
    <x v="0"/>
    <x v="4"/>
    <x v="4"/>
    <x v="84"/>
    <x v="77"/>
    <x v="77"/>
    <s v="REVENUS"/>
    <x v="3"/>
    <s v="4002.007"/>
    <s v="Acompte impôt sur fortune"/>
    <n v="0"/>
    <n v="463.05"/>
    <n v="4002"/>
  </r>
  <r>
    <x v="0"/>
    <x v="4"/>
    <x v="4"/>
    <x v="84"/>
    <x v="77"/>
    <x v="77"/>
    <s v="REVENUS"/>
    <x v="3"/>
    <s v="4002.002"/>
    <s v="Impôt complémentaire s/fortune PP"/>
    <n v="0"/>
    <n v="9480"/>
    <n v="4002"/>
  </r>
  <r>
    <x v="0"/>
    <x v="4"/>
    <x v="4"/>
    <x v="84"/>
    <x v="77"/>
    <x v="77"/>
    <s v="REVENUS"/>
    <x v="2"/>
    <s v="4001.007"/>
    <s v="Acompte impôt sur revenu"/>
    <n v="0"/>
    <n v="-5.0999999999999996"/>
    <n v="4001"/>
  </r>
  <r>
    <x v="0"/>
    <x v="4"/>
    <x v="4"/>
    <x v="84"/>
    <x v="77"/>
    <x v="77"/>
    <s v="REVENUS"/>
    <x v="2"/>
    <s v="4001.001"/>
    <s v="Impôt revenu"/>
    <n v="0"/>
    <n v="150.9"/>
    <n v="4001"/>
  </r>
  <r>
    <x v="0"/>
    <x v="4"/>
    <x v="4"/>
    <x v="84"/>
    <x v="77"/>
    <x v="77"/>
    <s v="REVENUS"/>
    <x v="6"/>
    <s v="4221.002"/>
    <s v="Intérêts compensat. sur impôts distincts"/>
    <n v="0"/>
    <n v="3.48"/>
    <n v="4221"/>
  </r>
  <r>
    <x v="0"/>
    <x v="4"/>
    <x v="4"/>
    <x v="84"/>
    <x v="77"/>
    <x v="77"/>
    <s v="REVENUS"/>
    <x v="2"/>
    <s v="4001.007"/>
    <s v="Acompte impôt sur revenu"/>
    <n v="0"/>
    <n v="-74.55"/>
    <n v="4001"/>
  </r>
  <r>
    <x v="0"/>
    <x v="4"/>
    <x v="4"/>
    <x v="84"/>
    <x v="77"/>
    <x v="77"/>
    <s v="REVENUS"/>
    <x v="3"/>
    <s v="4002.007"/>
    <s v="Acompte impôt sur fortune"/>
    <n v="0"/>
    <n v="-20.95"/>
    <n v="4002"/>
  </r>
  <r>
    <x v="0"/>
    <x v="4"/>
    <x v="4"/>
    <x v="84"/>
    <x v="77"/>
    <x v="77"/>
    <s v="REVENUS"/>
    <x v="3"/>
    <s v="4002.001"/>
    <s v="Impôt ordinaire s/fortune PP"/>
    <n v="0"/>
    <n v="388.7"/>
    <n v="4002"/>
  </r>
  <r>
    <x v="0"/>
    <x v="4"/>
    <x v="4"/>
    <x v="84"/>
    <x v="77"/>
    <x v="77"/>
    <s v="REVENUS"/>
    <x v="2"/>
    <s v="4001.001"/>
    <s v="Impôt revenu"/>
    <n v="0"/>
    <n v="3694"/>
    <n v="4001"/>
  </r>
  <r>
    <x v="0"/>
    <x v="4"/>
    <x v="4"/>
    <x v="84"/>
    <x v="77"/>
    <x v="77"/>
    <s v="REVENUS"/>
    <x v="3"/>
    <s v="4002.001"/>
    <s v="Impôt ordinaire s/fortune PP"/>
    <n v="0"/>
    <n v="1707.8"/>
    <n v="4002"/>
  </r>
  <r>
    <x v="0"/>
    <x v="4"/>
    <x v="4"/>
    <x v="84"/>
    <x v="77"/>
    <x v="77"/>
    <s v="REVENUS"/>
    <x v="6"/>
    <s v="4221.003"/>
    <s v="Intérêts compensat. / acomptes en faveur du fisc"/>
    <n v="0"/>
    <n v="0.47"/>
    <n v="4221"/>
  </r>
  <r>
    <x v="0"/>
    <x v="4"/>
    <x v="4"/>
    <x v="84"/>
    <x v="77"/>
    <x v="77"/>
    <s v="REVENUS"/>
    <x v="6"/>
    <s v="4211.001"/>
    <s v="Intérêts de retard sur factures"/>
    <n v="0"/>
    <n v="0.27"/>
    <n v="4211"/>
  </r>
  <r>
    <x v="0"/>
    <x v="4"/>
    <x v="4"/>
    <x v="84"/>
    <x v="77"/>
    <x v="77"/>
    <s v="REVENUS"/>
    <x v="6"/>
    <s v="4211.002"/>
    <s v="Intérêts de retard sur acomptes"/>
    <n v="0"/>
    <n v="40.49"/>
    <n v="4211"/>
  </r>
  <r>
    <x v="0"/>
    <x v="4"/>
    <x v="4"/>
    <x v="84"/>
    <x v="77"/>
    <x v="77"/>
    <s v="REVENUS"/>
    <x v="8"/>
    <s v="4091.001"/>
    <s v="Impôt récupéré après défalcations"/>
    <n v="0"/>
    <n v="2483.42"/>
    <n v="4091"/>
  </r>
  <r>
    <x v="0"/>
    <x v="4"/>
    <x v="4"/>
    <x v="84"/>
    <x v="77"/>
    <x v="77"/>
    <s v="REVENUS"/>
    <x v="8"/>
    <s v="4091.001"/>
    <s v="Impôt récupéré après défalcations"/>
    <n v="0"/>
    <n v="4887.0600000000004"/>
    <n v="4091"/>
  </r>
  <r>
    <x v="0"/>
    <x v="4"/>
    <x v="4"/>
    <x v="84"/>
    <x v="77"/>
    <x v="77"/>
    <s v="REVENUS"/>
    <x v="7"/>
    <s v="4184.000"/>
    <s v="Frais de poursuite"/>
    <n v="0"/>
    <n v="42.84"/>
    <n v="4184"/>
  </r>
  <r>
    <x v="0"/>
    <x v="4"/>
    <x v="4"/>
    <x v="84"/>
    <x v="77"/>
    <x v="77"/>
    <s v="REVENUS"/>
    <x v="6"/>
    <s v="4211.002"/>
    <s v="Intérêts de retard sur acomptes"/>
    <n v="0"/>
    <n v="0.52"/>
    <n v="4211"/>
  </r>
  <r>
    <x v="0"/>
    <x v="4"/>
    <x v="4"/>
    <x v="84"/>
    <x v="77"/>
    <x v="77"/>
    <s v="REVENUS"/>
    <x v="2"/>
    <s v="4001.001"/>
    <s v="Impôt revenu"/>
    <n v="0"/>
    <n v="857.6"/>
    <n v="4001"/>
  </r>
  <r>
    <x v="0"/>
    <x v="4"/>
    <x v="4"/>
    <x v="84"/>
    <x v="77"/>
    <x v="77"/>
    <s v="REVENUS"/>
    <x v="6"/>
    <s v="4211.002"/>
    <s v="Intérêts de retard sur acomptes"/>
    <n v="0"/>
    <n v="0.34"/>
    <n v="4211"/>
  </r>
  <r>
    <x v="0"/>
    <x v="4"/>
    <x v="4"/>
    <x v="84"/>
    <x v="77"/>
    <x v="77"/>
    <s v="REVENUS"/>
    <x v="6"/>
    <s v="4221.003"/>
    <s v="Intérêts compensat. / acomptes en faveur du fisc"/>
    <n v="0"/>
    <n v="0.16"/>
    <n v="4221"/>
  </r>
  <r>
    <x v="0"/>
    <x v="4"/>
    <x v="4"/>
    <x v="85"/>
    <x v="78"/>
    <x v="78"/>
    <s v="CHARGES"/>
    <x v="0"/>
    <s v="3212.004"/>
    <s v="Intérêts rémun./perçu trop tôt sur acomptes C/C"/>
    <n v="1019.8"/>
    <n v="0"/>
    <n v="3212"/>
  </r>
  <r>
    <x v="0"/>
    <x v="4"/>
    <x v="4"/>
    <x v="85"/>
    <x v="78"/>
    <x v="78"/>
    <s v="CHARGES"/>
    <x v="0"/>
    <s v="3221.002"/>
    <s v="Intérêts compensatoires / créances en faveur ctb."/>
    <n v="412.73"/>
    <n v="0"/>
    <n v="3221"/>
  </r>
  <r>
    <x v="0"/>
    <x v="4"/>
    <x v="4"/>
    <x v="85"/>
    <x v="78"/>
    <x v="78"/>
    <s v="CHARGES"/>
    <x v="1"/>
    <s v="3301.001"/>
    <s v="Défalcations, abandons de solde PP et IS"/>
    <n v="41795.58"/>
    <n v="0"/>
    <n v="3301"/>
  </r>
  <r>
    <x v="0"/>
    <x v="4"/>
    <x v="4"/>
    <x v="85"/>
    <x v="78"/>
    <x v="78"/>
    <s v="CHARGES"/>
    <x v="1"/>
    <s v="3301.003"/>
    <s v="Remises PP et IS"/>
    <n v="973.82"/>
    <n v="0"/>
    <n v="3301"/>
  </r>
  <r>
    <x v="0"/>
    <x v="4"/>
    <x v="4"/>
    <x v="85"/>
    <x v="78"/>
    <x v="78"/>
    <s v="CHARGES"/>
    <x v="0"/>
    <s v="3212.002"/>
    <s v="Intérêts bonifiés/trop perçu acompte C/C"/>
    <n v="0.11"/>
    <n v="0"/>
    <n v="3212"/>
  </r>
  <r>
    <x v="0"/>
    <x v="4"/>
    <x v="4"/>
    <x v="85"/>
    <x v="78"/>
    <x v="78"/>
    <s v="CHARGES"/>
    <x v="1"/>
    <s v="3301.001"/>
    <s v="Défalcations, abandons de solde PP et IS"/>
    <n v="9209.49"/>
    <n v="0"/>
    <n v="3301"/>
  </r>
  <r>
    <x v="0"/>
    <x v="4"/>
    <x v="4"/>
    <x v="85"/>
    <x v="78"/>
    <x v="78"/>
    <s v="CHARGES"/>
    <x v="1"/>
    <s v="3301.003"/>
    <s v="Remises PP et IS"/>
    <n v="5316.21"/>
    <n v="0"/>
    <n v="3301"/>
  </r>
  <r>
    <x v="0"/>
    <x v="4"/>
    <x v="4"/>
    <x v="85"/>
    <x v="78"/>
    <x v="78"/>
    <s v="CHARGES"/>
    <x v="0"/>
    <s v="3221.002"/>
    <s v="Intérêts compensatoires / créances en faveur ctb."/>
    <n v="0.66"/>
    <n v="0"/>
    <n v="3221"/>
  </r>
  <r>
    <x v="0"/>
    <x v="4"/>
    <x v="4"/>
    <x v="85"/>
    <x v="78"/>
    <x v="78"/>
    <s v="CHARGES"/>
    <x v="1"/>
    <s v="3301.001"/>
    <s v="Défalcations, abandons de solde PP et IS"/>
    <n v="7.0000000000000007E-2"/>
    <n v="0"/>
    <n v="3301"/>
  </r>
  <r>
    <x v="0"/>
    <x v="4"/>
    <x v="4"/>
    <x v="85"/>
    <x v="78"/>
    <x v="78"/>
    <s v="CHARGES"/>
    <x v="0"/>
    <s v="3212.002"/>
    <s v="Intérêts bonifiés/trop perçu acompte C/C"/>
    <n v="102.68"/>
    <n v="0"/>
    <n v="3212"/>
  </r>
  <r>
    <x v="0"/>
    <x v="4"/>
    <x v="4"/>
    <x v="85"/>
    <x v="78"/>
    <x v="78"/>
    <s v="CHARGES"/>
    <x v="0"/>
    <s v="3212.004"/>
    <s v="Intérêts rémun./perçu trop tôt sur acomptes C/C"/>
    <n v="8.8699999999999992"/>
    <n v="0"/>
    <n v="3212"/>
  </r>
  <r>
    <x v="0"/>
    <x v="4"/>
    <x v="4"/>
    <x v="85"/>
    <x v="78"/>
    <x v="78"/>
    <s v="CHARGES"/>
    <x v="0"/>
    <s v="3221.002"/>
    <s v="Intérêts compensatoires / créances en faveur ctb."/>
    <n v="2.74"/>
    <n v="0"/>
    <n v="3221"/>
  </r>
  <r>
    <x v="0"/>
    <x v="4"/>
    <x v="4"/>
    <x v="85"/>
    <x v="78"/>
    <x v="78"/>
    <s v="CHARGES"/>
    <x v="0"/>
    <s v="3212.004"/>
    <s v="Intérêts rémun./perçu trop tôt sur acomptes C/C"/>
    <n v="3.48"/>
    <n v="0"/>
    <n v="3212"/>
  </r>
  <r>
    <x v="0"/>
    <x v="4"/>
    <x v="4"/>
    <x v="85"/>
    <x v="78"/>
    <x v="78"/>
    <s v="CHARGES"/>
    <x v="0"/>
    <s v="3221.002"/>
    <s v="Intérêts compensatoires / créances en faveur ctb."/>
    <n v="2.31"/>
    <n v="0"/>
    <n v="3221"/>
  </r>
  <r>
    <x v="0"/>
    <x v="4"/>
    <x v="4"/>
    <x v="85"/>
    <x v="78"/>
    <x v="78"/>
    <s v="CHARGES"/>
    <x v="1"/>
    <s v="3301.001"/>
    <s v="Défalcations, abandons de solde PP et IS"/>
    <n v="0.37"/>
    <n v="0"/>
    <n v="3301"/>
  </r>
  <r>
    <x v="0"/>
    <x v="4"/>
    <x v="4"/>
    <x v="85"/>
    <x v="78"/>
    <x v="78"/>
    <s v="CHARGES"/>
    <x v="1"/>
    <s v="3301.001"/>
    <s v="Défalcations, abandons de solde PP et IS"/>
    <n v="6.63"/>
    <n v="0"/>
    <n v="3301"/>
  </r>
  <r>
    <x v="0"/>
    <x v="4"/>
    <x v="4"/>
    <x v="85"/>
    <x v="78"/>
    <x v="78"/>
    <s v="CHARGES"/>
    <x v="1"/>
    <s v="3301.001"/>
    <s v="Défalcations, abandons de solde PP et IS"/>
    <n v="9637.14"/>
    <n v="0"/>
    <n v="3301"/>
  </r>
  <r>
    <x v="0"/>
    <x v="4"/>
    <x v="4"/>
    <x v="85"/>
    <x v="78"/>
    <x v="78"/>
    <s v="CHARGES"/>
    <x v="0"/>
    <s v="3212.004"/>
    <s v="Intérêts rémun./perçu trop tôt sur acomptes C/C"/>
    <n v="0.88"/>
    <n v="0"/>
    <n v="3212"/>
  </r>
  <r>
    <x v="0"/>
    <x v="4"/>
    <x v="4"/>
    <x v="85"/>
    <x v="78"/>
    <x v="78"/>
    <s v="CHARGES"/>
    <x v="0"/>
    <s v="3212.004"/>
    <s v="Intérêts rémun./perçu trop tôt sur acomptes C/C"/>
    <n v="0.57999999999999996"/>
    <n v="0"/>
    <n v="3212"/>
  </r>
  <r>
    <x v="0"/>
    <x v="4"/>
    <x v="4"/>
    <x v="85"/>
    <x v="78"/>
    <x v="78"/>
    <s v="CHARGES"/>
    <x v="0"/>
    <s v="3221.002"/>
    <s v="Intérêts compensatoires / créances en faveur ctb."/>
    <n v="0.03"/>
    <n v="0"/>
    <n v="3221"/>
  </r>
  <r>
    <x v="0"/>
    <x v="4"/>
    <x v="4"/>
    <x v="85"/>
    <x v="78"/>
    <x v="78"/>
    <s v="REVENUS"/>
    <x v="2"/>
    <s v="4001.007"/>
    <s v="Acompte impôt sur revenu"/>
    <n v="0"/>
    <n v="-1205583.04"/>
    <n v="4001"/>
  </r>
  <r>
    <x v="0"/>
    <x v="4"/>
    <x v="4"/>
    <x v="85"/>
    <x v="78"/>
    <x v="78"/>
    <s v="REVENUS"/>
    <x v="2"/>
    <s v="4001.001"/>
    <s v="Impôt revenu"/>
    <n v="0"/>
    <n v="5535113.4000000004"/>
    <n v="4001"/>
  </r>
  <r>
    <x v="0"/>
    <x v="4"/>
    <x v="4"/>
    <x v="85"/>
    <x v="78"/>
    <x v="78"/>
    <s v="REVENUS"/>
    <x v="2"/>
    <s v="4001.003"/>
    <s v="Impôt s/prest. cap. PP"/>
    <n v="0"/>
    <n v="140611.70000000001"/>
    <n v="4001"/>
  </r>
  <r>
    <x v="0"/>
    <x v="4"/>
    <x v="4"/>
    <x v="85"/>
    <x v="78"/>
    <x v="78"/>
    <s v="REVENUS"/>
    <x v="3"/>
    <s v="4002.001"/>
    <s v="Impôt ordinaire s/fortune PP"/>
    <n v="0"/>
    <n v="695793.65"/>
    <n v="4002"/>
  </r>
  <r>
    <x v="0"/>
    <x v="4"/>
    <x v="4"/>
    <x v="85"/>
    <x v="78"/>
    <x v="78"/>
    <s v="REVENUS"/>
    <x v="3"/>
    <s v="4002.007"/>
    <s v="Acompte impôt sur fortune"/>
    <n v="0"/>
    <n v="-83305.95"/>
    <n v="4002"/>
  </r>
  <r>
    <x v="0"/>
    <x v="4"/>
    <x v="4"/>
    <x v="85"/>
    <x v="78"/>
    <x v="78"/>
    <s v="REVENUS"/>
    <x v="6"/>
    <s v="4211.001"/>
    <s v="Intérêts de retard sur factures"/>
    <n v="0"/>
    <n v="13648.94"/>
    <n v="4211"/>
  </r>
  <r>
    <x v="0"/>
    <x v="4"/>
    <x v="4"/>
    <x v="85"/>
    <x v="78"/>
    <x v="78"/>
    <s v="REVENUS"/>
    <x v="6"/>
    <s v="4211.002"/>
    <s v="Intérêts de retard sur acomptes"/>
    <n v="0"/>
    <n v="37237.39"/>
    <n v="4211"/>
  </r>
  <r>
    <x v="0"/>
    <x v="4"/>
    <x v="4"/>
    <x v="85"/>
    <x v="78"/>
    <x v="78"/>
    <s v="REVENUS"/>
    <x v="6"/>
    <s v="4221.003"/>
    <s v="Intérêts compensat. / acomptes en faveur du fisc"/>
    <n v="0"/>
    <n v="570.61"/>
    <n v="4221"/>
  </r>
  <r>
    <x v="0"/>
    <x v="4"/>
    <x v="4"/>
    <x v="85"/>
    <x v="78"/>
    <x v="78"/>
    <s v="REVENUS"/>
    <x v="8"/>
    <s v="4091.003"/>
    <s v="Impôt récupéré concordat"/>
    <n v="0"/>
    <n v="12566.55"/>
    <n v="4091"/>
  </r>
  <r>
    <x v="0"/>
    <x v="4"/>
    <x v="4"/>
    <x v="85"/>
    <x v="78"/>
    <x v="78"/>
    <s v="REVENUS"/>
    <x v="2"/>
    <s v="4001.007"/>
    <s v="Acompte impôt sur revenu"/>
    <n v="0"/>
    <n v="-702.72"/>
    <n v="4001"/>
  </r>
  <r>
    <x v="0"/>
    <x v="4"/>
    <x v="4"/>
    <x v="85"/>
    <x v="78"/>
    <x v="78"/>
    <s v="REVENUS"/>
    <x v="3"/>
    <s v="4002.007"/>
    <s v="Acompte impôt sur fortune"/>
    <n v="0"/>
    <n v="1307.27"/>
    <n v="4002"/>
  </r>
  <r>
    <x v="0"/>
    <x v="4"/>
    <x v="4"/>
    <x v="85"/>
    <x v="78"/>
    <x v="78"/>
    <s v="REVENUS"/>
    <x v="6"/>
    <s v="4221.002"/>
    <s v="Intérêts compensat. sur impôts distincts"/>
    <n v="0"/>
    <n v="21.85"/>
    <n v="4221"/>
  </r>
  <r>
    <x v="0"/>
    <x v="4"/>
    <x v="4"/>
    <x v="85"/>
    <x v="78"/>
    <x v="78"/>
    <s v="REVENUS"/>
    <x v="3"/>
    <s v="4002.007"/>
    <s v="Acompte impôt sur fortune"/>
    <n v="0"/>
    <n v="-197.1"/>
    <n v="4002"/>
  </r>
  <r>
    <x v="0"/>
    <x v="4"/>
    <x v="4"/>
    <x v="85"/>
    <x v="78"/>
    <x v="78"/>
    <s v="REVENUS"/>
    <x v="2"/>
    <s v="4001.001"/>
    <s v="Impôt revenu"/>
    <n v="0"/>
    <n v="15660.7"/>
    <n v="4001"/>
  </r>
  <r>
    <x v="0"/>
    <x v="4"/>
    <x v="4"/>
    <x v="85"/>
    <x v="78"/>
    <x v="78"/>
    <s v="REVENUS"/>
    <x v="3"/>
    <s v="4002.001"/>
    <s v="Impôt ordinaire s/fortune PP"/>
    <n v="0"/>
    <n v="4557.3999999999996"/>
    <n v="4002"/>
  </r>
  <r>
    <x v="0"/>
    <x v="4"/>
    <x v="4"/>
    <x v="85"/>
    <x v="78"/>
    <x v="78"/>
    <s v="REVENUS"/>
    <x v="3"/>
    <s v="4002.007"/>
    <s v="Acompte impôt sur fortune"/>
    <n v="0"/>
    <n v="1257.9100000000001"/>
    <n v="4002"/>
  </r>
  <r>
    <x v="0"/>
    <x v="4"/>
    <x v="4"/>
    <x v="85"/>
    <x v="78"/>
    <x v="78"/>
    <s v="REVENUS"/>
    <x v="6"/>
    <s v="4211.002"/>
    <s v="Intérêts de retard sur acomptes"/>
    <n v="0"/>
    <n v="58.45"/>
    <n v="4211"/>
  </r>
  <r>
    <x v="0"/>
    <x v="4"/>
    <x v="4"/>
    <x v="85"/>
    <x v="78"/>
    <x v="78"/>
    <s v="REVENUS"/>
    <x v="6"/>
    <s v="4221.003"/>
    <s v="Intérêts compensat. / acomptes en faveur du fisc"/>
    <n v="0"/>
    <n v="8.3699999999999992"/>
    <n v="4221"/>
  </r>
  <r>
    <x v="0"/>
    <x v="4"/>
    <x v="4"/>
    <x v="85"/>
    <x v="78"/>
    <x v="78"/>
    <s v="REVENUS"/>
    <x v="9"/>
    <s v="4031.001"/>
    <s v="Impôt sur les gains immobiliers"/>
    <n v="0"/>
    <n v="119698.55"/>
    <n v="4031"/>
  </r>
  <r>
    <x v="0"/>
    <x v="4"/>
    <x v="4"/>
    <x v="85"/>
    <x v="78"/>
    <x v="78"/>
    <s v="REVENUS"/>
    <x v="2"/>
    <s v="4001.002"/>
    <s v="Impôt complément s/revenu PP"/>
    <n v="0"/>
    <n v="425929.85"/>
    <n v="4001"/>
  </r>
  <r>
    <x v="0"/>
    <x v="4"/>
    <x v="4"/>
    <x v="85"/>
    <x v="78"/>
    <x v="78"/>
    <s v="REVENUS"/>
    <x v="3"/>
    <s v="4002.002"/>
    <s v="Impôt complémentaire s/fortune PP"/>
    <n v="0"/>
    <n v="60059.6"/>
    <n v="4002"/>
  </r>
  <r>
    <x v="0"/>
    <x v="4"/>
    <x v="4"/>
    <x v="85"/>
    <x v="78"/>
    <x v="78"/>
    <s v="REVENUS"/>
    <x v="7"/>
    <s v="4184.000"/>
    <s v="Frais de poursuite"/>
    <n v="0"/>
    <n v="2647.4"/>
    <n v="4184"/>
  </r>
  <r>
    <x v="0"/>
    <x v="4"/>
    <x v="4"/>
    <x v="85"/>
    <x v="78"/>
    <x v="78"/>
    <s v="REVENUS"/>
    <x v="7"/>
    <s v="4184.000"/>
    <s v="Frais de poursuite"/>
    <n v="0"/>
    <n v="1594.94"/>
    <n v="4184"/>
  </r>
  <r>
    <x v="0"/>
    <x v="4"/>
    <x v="4"/>
    <x v="85"/>
    <x v="78"/>
    <x v="78"/>
    <s v="REVENUS"/>
    <x v="2"/>
    <s v="4001.001"/>
    <s v="Impôt revenu"/>
    <n v="0"/>
    <n v="30717.95"/>
    <n v="4001"/>
  </r>
  <r>
    <x v="0"/>
    <x v="4"/>
    <x v="4"/>
    <x v="85"/>
    <x v="78"/>
    <x v="78"/>
    <s v="REVENUS"/>
    <x v="2"/>
    <s v="4001.007"/>
    <s v="Acompte impôt sur revenu"/>
    <n v="0"/>
    <n v="-6864.42"/>
    <n v="4001"/>
  </r>
  <r>
    <x v="0"/>
    <x v="4"/>
    <x v="4"/>
    <x v="85"/>
    <x v="78"/>
    <x v="78"/>
    <s v="REVENUS"/>
    <x v="3"/>
    <s v="4002.001"/>
    <s v="Impôt ordinaire s/fortune PP"/>
    <n v="0"/>
    <n v="18235.55"/>
    <n v="4002"/>
  </r>
  <r>
    <x v="0"/>
    <x v="4"/>
    <x v="4"/>
    <x v="85"/>
    <x v="78"/>
    <x v="78"/>
    <s v="REVENUS"/>
    <x v="3"/>
    <s v="4002.007"/>
    <s v="Acompte impôt sur fortune"/>
    <n v="0"/>
    <n v="-4195.28"/>
    <n v="4002"/>
  </r>
  <r>
    <x v="0"/>
    <x v="4"/>
    <x v="4"/>
    <x v="85"/>
    <x v="78"/>
    <x v="78"/>
    <s v="REVENUS"/>
    <x v="2"/>
    <s v="4001.007"/>
    <s v="Acompte impôt sur revenu"/>
    <n v="0"/>
    <n v="294.95"/>
    <n v="4001"/>
  </r>
  <r>
    <x v="0"/>
    <x v="4"/>
    <x v="4"/>
    <x v="85"/>
    <x v="78"/>
    <x v="78"/>
    <s v="REVENUS"/>
    <x v="3"/>
    <s v="4002.007"/>
    <s v="Acompte impôt sur fortune"/>
    <n v="0"/>
    <n v="430.45"/>
    <n v="4002"/>
  </r>
  <r>
    <x v="0"/>
    <x v="4"/>
    <x v="4"/>
    <x v="85"/>
    <x v="78"/>
    <x v="78"/>
    <s v="REVENUS"/>
    <x v="6"/>
    <s v="4221.003"/>
    <s v="Intérêts compensat. / acomptes en faveur du fisc"/>
    <n v="0"/>
    <n v="0.6"/>
    <n v="4221"/>
  </r>
  <r>
    <x v="0"/>
    <x v="4"/>
    <x v="4"/>
    <x v="85"/>
    <x v="78"/>
    <x v="78"/>
    <s v="REVENUS"/>
    <x v="2"/>
    <s v="4001.001"/>
    <s v="Impôt revenu"/>
    <n v="0"/>
    <n v="4211.1000000000004"/>
    <n v="4001"/>
  </r>
  <r>
    <x v="0"/>
    <x v="4"/>
    <x v="4"/>
    <x v="85"/>
    <x v="78"/>
    <x v="78"/>
    <s v="REVENUS"/>
    <x v="3"/>
    <s v="4002.001"/>
    <s v="Impôt ordinaire s/fortune PP"/>
    <n v="0"/>
    <n v="2320.4"/>
    <n v="4002"/>
  </r>
  <r>
    <x v="0"/>
    <x v="4"/>
    <x v="4"/>
    <x v="85"/>
    <x v="78"/>
    <x v="78"/>
    <s v="REVENUS"/>
    <x v="6"/>
    <s v="4221.003"/>
    <s v="Intérêts compensat. / acomptes en faveur du fisc"/>
    <n v="0"/>
    <n v="5.76"/>
    <n v="4221"/>
  </r>
  <r>
    <x v="0"/>
    <x v="4"/>
    <x v="4"/>
    <x v="85"/>
    <x v="78"/>
    <x v="78"/>
    <s v="REVENUS"/>
    <x v="6"/>
    <s v="4211.001"/>
    <s v="Intérêts de retard sur factures"/>
    <n v="0"/>
    <n v="198.42"/>
    <n v="4211"/>
  </r>
  <r>
    <x v="0"/>
    <x v="4"/>
    <x v="4"/>
    <x v="85"/>
    <x v="78"/>
    <x v="78"/>
    <s v="REVENUS"/>
    <x v="2"/>
    <s v="4001.007"/>
    <s v="Acompte impôt sur revenu"/>
    <n v="0"/>
    <n v="321.05"/>
    <n v="4001"/>
  </r>
  <r>
    <x v="0"/>
    <x v="4"/>
    <x v="4"/>
    <x v="85"/>
    <x v="78"/>
    <x v="78"/>
    <s v="REVENUS"/>
    <x v="6"/>
    <s v="4211.002"/>
    <s v="Intérêts de retard sur acomptes"/>
    <n v="0"/>
    <n v="386.34"/>
    <n v="4211"/>
  </r>
  <r>
    <x v="0"/>
    <x v="4"/>
    <x v="4"/>
    <x v="85"/>
    <x v="78"/>
    <x v="78"/>
    <s v="REVENUS"/>
    <x v="6"/>
    <s v="4211.002"/>
    <s v="Intérêts de retard sur acomptes"/>
    <n v="0"/>
    <n v="22.1"/>
    <n v="4211"/>
  </r>
  <r>
    <x v="0"/>
    <x v="4"/>
    <x v="4"/>
    <x v="85"/>
    <x v="78"/>
    <x v="78"/>
    <s v="REVENUS"/>
    <x v="7"/>
    <s v="4184.000"/>
    <s v="Frais de poursuite"/>
    <n v="0"/>
    <n v="263.77999999999997"/>
    <n v="4184"/>
  </r>
  <r>
    <x v="0"/>
    <x v="4"/>
    <x v="4"/>
    <x v="85"/>
    <x v="78"/>
    <x v="78"/>
    <s v="REVENUS"/>
    <x v="2"/>
    <s v="4001.001"/>
    <s v="Impôt revenu"/>
    <n v="0"/>
    <n v="3468.5"/>
    <n v="4001"/>
  </r>
  <r>
    <x v="0"/>
    <x v="4"/>
    <x v="4"/>
    <x v="85"/>
    <x v="78"/>
    <x v="78"/>
    <s v="REVENUS"/>
    <x v="2"/>
    <s v="4001.002"/>
    <s v="Impôt complément s/revenu PP"/>
    <n v="0"/>
    <n v="517.75"/>
    <n v="4001"/>
  </r>
  <r>
    <x v="0"/>
    <x v="4"/>
    <x v="4"/>
    <x v="85"/>
    <x v="78"/>
    <x v="78"/>
    <s v="REVENUS"/>
    <x v="3"/>
    <s v="4002.002"/>
    <s v="Impôt complémentaire s/fortune PP"/>
    <n v="0"/>
    <n v="409.95"/>
    <n v="4002"/>
  </r>
  <r>
    <x v="0"/>
    <x v="4"/>
    <x v="4"/>
    <x v="85"/>
    <x v="78"/>
    <x v="78"/>
    <s v="REVENUS"/>
    <x v="2"/>
    <s v="4001.002"/>
    <s v="Impôt complément s/revenu PP"/>
    <n v="0"/>
    <n v="468"/>
    <n v="4001"/>
  </r>
  <r>
    <x v="0"/>
    <x v="4"/>
    <x v="4"/>
    <x v="85"/>
    <x v="78"/>
    <x v="78"/>
    <s v="REVENUS"/>
    <x v="3"/>
    <s v="4002.002"/>
    <s v="Impôt complémentaire s/fortune PP"/>
    <n v="0"/>
    <n v="172.75"/>
    <n v="4002"/>
  </r>
  <r>
    <x v="0"/>
    <x v="4"/>
    <x v="4"/>
    <x v="85"/>
    <x v="78"/>
    <x v="78"/>
    <s v="REVENUS"/>
    <x v="8"/>
    <s v="4091.001"/>
    <s v="Impôt récupéré après défalcations"/>
    <n v="0"/>
    <n v="248.35"/>
    <n v="4091"/>
  </r>
  <r>
    <x v="0"/>
    <x v="4"/>
    <x v="4"/>
    <x v="85"/>
    <x v="78"/>
    <x v="78"/>
    <s v="REVENUS"/>
    <x v="3"/>
    <s v="4002.007"/>
    <s v="Acompte impôt sur fortune"/>
    <n v="0"/>
    <n v="-57.65"/>
    <n v="4002"/>
  </r>
  <r>
    <x v="0"/>
    <x v="4"/>
    <x v="4"/>
    <x v="85"/>
    <x v="78"/>
    <x v="78"/>
    <s v="REVENUS"/>
    <x v="3"/>
    <s v="4002.001"/>
    <s v="Impôt ordinaire s/fortune PP"/>
    <n v="0"/>
    <n v="1540.5"/>
    <n v="4002"/>
  </r>
  <r>
    <x v="0"/>
    <x v="4"/>
    <x v="4"/>
    <x v="85"/>
    <x v="78"/>
    <x v="78"/>
    <s v="REVENUS"/>
    <x v="6"/>
    <s v="4211.002"/>
    <s v="Intérêts de retard sur acomptes"/>
    <n v="0"/>
    <n v="5.4"/>
    <n v="4211"/>
  </r>
  <r>
    <x v="0"/>
    <x v="4"/>
    <x v="4"/>
    <x v="85"/>
    <x v="78"/>
    <x v="78"/>
    <s v="REVENUS"/>
    <x v="6"/>
    <s v="4221.003"/>
    <s v="Intérêts compensat. / acomptes en faveur du fisc"/>
    <n v="0"/>
    <n v="0.78"/>
    <n v="4221"/>
  </r>
  <r>
    <x v="0"/>
    <x v="4"/>
    <x v="4"/>
    <x v="85"/>
    <x v="78"/>
    <x v="78"/>
    <s v="REVENUS"/>
    <x v="12"/>
    <s v="4004.007"/>
    <s v="Acompte spécial étrangers"/>
    <n v="0"/>
    <n v="-54197.1"/>
    <n v="4004"/>
  </r>
  <r>
    <x v="0"/>
    <x v="4"/>
    <x v="4"/>
    <x v="85"/>
    <x v="78"/>
    <x v="78"/>
    <s v="REVENUS"/>
    <x v="6"/>
    <s v="4211.001"/>
    <s v="Intérêts de retard sur factures"/>
    <n v="0"/>
    <n v="0.2"/>
    <n v="4211"/>
  </r>
  <r>
    <x v="0"/>
    <x v="4"/>
    <x v="4"/>
    <x v="85"/>
    <x v="78"/>
    <x v="78"/>
    <s v="REVENUS"/>
    <x v="8"/>
    <s v="4091.001"/>
    <s v="Impôt récupéré après défalcations"/>
    <n v="0"/>
    <n v="3575.95"/>
    <n v="4091"/>
  </r>
  <r>
    <x v="0"/>
    <x v="4"/>
    <x v="4"/>
    <x v="85"/>
    <x v="78"/>
    <x v="78"/>
    <s v="REVENUS"/>
    <x v="2"/>
    <s v="4001.002"/>
    <s v="Impôt complément s/revenu PP"/>
    <n v="0"/>
    <n v="337.75"/>
    <n v="4001"/>
  </r>
  <r>
    <x v="0"/>
    <x v="4"/>
    <x v="4"/>
    <x v="85"/>
    <x v="78"/>
    <x v="78"/>
    <s v="REVENUS"/>
    <x v="3"/>
    <s v="4002.002"/>
    <s v="Impôt complémentaire s/fortune PP"/>
    <n v="0"/>
    <n v="49.25"/>
    <n v="4002"/>
  </r>
  <r>
    <x v="0"/>
    <x v="4"/>
    <x v="4"/>
    <x v="86"/>
    <x v="79"/>
    <x v="79"/>
    <s v="CHARGES"/>
    <x v="0"/>
    <s v="3212.002"/>
    <s v="Intérêts bonifiés/trop perçu acompte C/C"/>
    <n v="55.98"/>
    <n v="0"/>
    <n v="3212"/>
  </r>
  <r>
    <x v="0"/>
    <x v="4"/>
    <x v="4"/>
    <x v="86"/>
    <x v="79"/>
    <x v="79"/>
    <s v="CHARGES"/>
    <x v="0"/>
    <s v="3212.004"/>
    <s v="Intérêts rémun./perçu trop tôt sur acomptes C/C"/>
    <n v="-2.04"/>
    <n v="0"/>
    <n v="3212"/>
  </r>
  <r>
    <x v="0"/>
    <x v="4"/>
    <x v="4"/>
    <x v="86"/>
    <x v="79"/>
    <x v="79"/>
    <s v="CHARGES"/>
    <x v="0"/>
    <s v="3221.002"/>
    <s v="Intérêts compensatoires / créances en faveur ctb."/>
    <n v="-1.44"/>
    <n v="0"/>
    <n v="3221"/>
  </r>
  <r>
    <x v="0"/>
    <x v="4"/>
    <x v="4"/>
    <x v="86"/>
    <x v="79"/>
    <x v="79"/>
    <s v="CHARGES"/>
    <x v="1"/>
    <s v="3301.001"/>
    <s v="Défalcations, abandons de solde PP et IS"/>
    <n v="-9.15"/>
    <n v="0"/>
    <n v="3301"/>
  </r>
  <r>
    <x v="0"/>
    <x v="4"/>
    <x v="4"/>
    <x v="86"/>
    <x v="79"/>
    <x v="79"/>
    <s v="REVENUS"/>
    <x v="2"/>
    <s v="4001.001"/>
    <s v="Impôt revenu"/>
    <n v="0"/>
    <n v="-28248.05"/>
    <n v="4001"/>
  </r>
  <r>
    <x v="0"/>
    <x v="4"/>
    <x v="4"/>
    <x v="86"/>
    <x v="79"/>
    <x v="79"/>
    <s v="REVENUS"/>
    <x v="2"/>
    <s v="4001.002"/>
    <s v="Impôt complément s/revenu PP"/>
    <n v="0"/>
    <n v="33851.050000000003"/>
    <n v="4001"/>
  </r>
  <r>
    <x v="0"/>
    <x v="4"/>
    <x v="4"/>
    <x v="86"/>
    <x v="79"/>
    <x v="79"/>
    <s v="REVENUS"/>
    <x v="3"/>
    <s v="4002.001"/>
    <s v="Impôt ordinaire s/fortune PP"/>
    <n v="0"/>
    <n v="-14606.95"/>
    <n v="4002"/>
  </r>
  <r>
    <x v="0"/>
    <x v="4"/>
    <x v="4"/>
    <x v="86"/>
    <x v="79"/>
    <x v="79"/>
    <s v="REVENUS"/>
    <x v="3"/>
    <s v="4002.002"/>
    <s v="Impôt complémentaire s/fortune PP"/>
    <n v="0"/>
    <n v="28339.15"/>
    <n v="4002"/>
  </r>
  <r>
    <x v="0"/>
    <x v="4"/>
    <x v="4"/>
    <x v="86"/>
    <x v="79"/>
    <x v="79"/>
    <s v="REVENUS"/>
    <x v="6"/>
    <s v="4211.001"/>
    <s v="Intérêts de retard sur factures"/>
    <n v="0"/>
    <n v="4089.42"/>
    <n v="4211"/>
  </r>
  <r>
    <x v="0"/>
    <x v="4"/>
    <x v="4"/>
    <x v="86"/>
    <x v="79"/>
    <x v="79"/>
    <s v="REVENUS"/>
    <x v="6"/>
    <s v="4211.002"/>
    <s v="Intérêts de retard sur acomptes"/>
    <n v="0"/>
    <n v="467.64"/>
    <n v="4211"/>
  </r>
  <r>
    <x v="0"/>
    <x v="4"/>
    <x v="4"/>
    <x v="86"/>
    <x v="79"/>
    <x v="79"/>
    <s v="REVENUS"/>
    <x v="6"/>
    <s v="4221.003"/>
    <s v="Intérêts compensat. / acomptes en faveur du fisc"/>
    <n v="0"/>
    <n v="73.930000000000007"/>
    <n v="4221"/>
  </r>
  <r>
    <x v="0"/>
    <x v="4"/>
    <x v="4"/>
    <x v="86"/>
    <x v="79"/>
    <x v="79"/>
    <s v="REVENUS"/>
    <x v="2"/>
    <s v="4001.003"/>
    <s v="Impôt s/prest. cap. PP"/>
    <n v="0"/>
    <n v="-6692.6"/>
    <n v="4001"/>
  </r>
  <r>
    <x v="0"/>
    <x v="4"/>
    <x v="4"/>
    <x v="86"/>
    <x v="79"/>
    <x v="79"/>
    <s v="REVENUS"/>
    <x v="3"/>
    <s v="4002.007"/>
    <s v="Acompte impôt sur fortune"/>
    <n v="0"/>
    <n v="-58.05"/>
    <n v="4002"/>
  </r>
  <r>
    <x v="0"/>
    <x v="4"/>
    <x v="4"/>
    <x v="86"/>
    <x v="79"/>
    <x v="79"/>
    <s v="REVENUS"/>
    <x v="6"/>
    <s v="4211.001"/>
    <s v="Intérêts de retard sur factures"/>
    <n v="0"/>
    <n v="0.44"/>
    <n v="4211"/>
  </r>
  <r>
    <x v="0"/>
    <x v="4"/>
    <x v="4"/>
    <x v="87"/>
    <x v="67"/>
    <x v="67"/>
    <s v="CHARGES"/>
    <x v="1"/>
    <s v="3301.001"/>
    <s v="Défalcations, abandons de solde PP et IS"/>
    <n v="-0.02"/>
    <n v="0"/>
    <n v="3301"/>
  </r>
  <r>
    <x v="0"/>
    <x v="4"/>
    <x v="4"/>
    <x v="87"/>
    <x v="67"/>
    <x v="67"/>
    <s v="REVENUS"/>
    <x v="2"/>
    <s v="4001.001"/>
    <s v="Impôt revenu"/>
    <n v="0"/>
    <n v="-63.4"/>
    <n v="4001"/>
  </r>
  <r>
    <x v="0"/>
    <x v="4"/>
    <x v="4"/>
    <x v="87"/>
    <x v="67"/>
    <x v="67"/>
    <s v="REVENUS"/>
    <x v="2"/>
    <s v="4001.002"/>
    <s v="Impôt complément s/revenu PP"/>
    <n v="0"/>
    <n v="241.6"/>
    <n v="4001"/>
  </r>
  <r>
    <x v="0"/>
    <x v="4"/>
    <x v="4"/>
    <x v="87"/>
    <x v="67"/>
    <x v="67"/>
    <s v="REVENUS"/>
    <x v="6"/>
    <s v="4211.001"/>
    <s v="Intérêts de retard sur factures"/>
    <n v="0"/>
    <n v="57.17"/>
    <n v="4211"/>
  </r>
  <r>
    <x v="0"/>
    <x v="4"/>
    <x v="4"/>
    <x v="87"/>
    <x v="67"/>
    <x v="67"/>
    <s v="REVENUS"/>
    <x v="6"/>
    <s v="4221.003"/>
    <s v="Intérêts compensat. / acomptes en faveur du fisc"/>
    <n v="0"/>
    <n v="2.79"/>
    <n v="4221"/>
  </r>
  <r>
    <x v="0"/>
    <x v="4"/>
    <x v="4"/>
    <x v="88"/>
    <x v="80"/>
    <x v="80"/>
    <s v="CHARGES"/>
    <x v="0"/>
    <s v="3212.002"/>
    <s v="Intérêts bonifiés/trop perçu acompte C/C"/>
    <n v="6.32"/>
    <n v="0"/>
    <n v="3212"/>
  </r>
  <r>
    <x v="0"/>
    <x v="4"/>
    <x v="4"/>
    <x v="88"/>
    <x v="80"/>
    <x v="80"/>
    <s v="CHARGES"/>
    <x v="1"/>
    <s v="3301.001"/>
    <s v="Défalcations, abandons de solde PP et IS"/>
    <n v="16449.68"/>
    <n v="0"/>
    <n v="3301"/>
  </r>
  <r>
    <x v="0"/>
    <x v="4"/>
    <x v="4"/>
    <x v="88"/>
    <x v="80"/>
    <x v="80"/>
    <s v="CHARGES"/>
    <x v="0"/>
    <s v="3212.004"/>
    <s v="Intérêts rémun./perçu trop tôt sur acomptes C/C"/>
    <n v="517.1"/>
    <n v="0"/>
    <n v="3212"/>
  </r>
  <r>
    <x v="0"/>
    <x v="4"/>
    <x v="4"/>
    <x v="88"/>
    <x v="80"/>
    <x v="80"/>
    <s v="CHARGES"/>
    <x v="0"/>
    <s v="3221.002"/>
    <s v="Intérêts compensatoires / créances en faveur ctb."/>
    <n v="247.63"/>
    <n v="0"/>
    <n v="3221"/>
  </r>
  <r>
    <x v="0"/>
    <x v="4"/>
    <x v="4"/>
    <x v="88"/>
    <x v="80"/>
    <x v="80"/>
    <s v="CHARGES"/>
    <x v="1"/>
    <s v="3301.001"/>
    <s v="Défalcations, abandons de solde PP et IS"/>
    <n v="13439.22"/>
    <n v="0"/>
    <n v="3301"/>
  </r>
  <r>
    <x v="0"/>
    <x v="4"/>
    <x v="4"/>
    <x v="88"/>
    <x v="80"/>
    <x v="80"/>
    <s v="CHARGES"/>
    <x v="0"/>
    <s v="3212.004"/>
    <s v="Intérêts rémun./perçu trop tôt sur acomptes C/C"/>
    <n v="10.3"/>
    <n v="0"/>
    <n v="3212"/>
  </r>
  <r>
    <x v="0"/>
    <x v="4"/>
    <x v="4"/>
    <x v="88"/>
    <x v="80"/>
    <x v="80"/>
    <s v="CHARGES"/>
    <x v="0"/>
    <s v="3221.002"/>
    <s v="Intérêts compensatoires / créances en faveur ctb."/>
    <n v="5.38"/>
    <n v="0"/>
    <n v="3221"/>
  </r>
  <r>
    <x v="0"/>
    <x v="4"/>
    <x v="4"/>
    <x v="88"/>
    <x v="80"/>
    <x v="80"/>
    <s v="CHARGES"/>
    <x v="1"/>
    <s v="3301.001"/>
    <s v="Défalcations, abandons de solde PP et IS"/>
    <n v="2.98"/>
    <n v="0"/>
    <n v="3301"/>
  </r>
  <r>
    <x v="0"/>
    <x v="4"/>
    <x v="4"/>
    <x v="88"/>
    <x v="80"/>
    <x v="80"/>
    <s v="CHARGES"/>
    <x v="0"/>
    <s v="3212.002"/>
    <s v="Intérêts bonifiés/trop perçu acompte C/C"/>
    <n v="0.02"/>
    <n v="0"/>
    <n v="3212"/>
  </r>
  <r>
    <x v="0"/>
    <x v="4"/>
    <x v="4"/>
    <x v="88"/>
    <x v="80"/>
    <x v="80"/>
    <s v="CHARGES"/>
    <x v="0"/>
    <s v="3212.004"/>
    <s v="Intérêts rémun./perçu trop tôt sur acomptes C/C"/>
    <n v="0.03"/>
    <n v="0"/>
    <n v="3212"/>
  </r>
  <r>
    <x v="0"/>
    <x v="4"/>
    <x v="4"/>
    <x v="88"/>
    <x v="80"/>
    <x v="80"/>
    <s v="CHARGES"/>
    <x v="0"/>
    <s v="3212.004"/>
    <s v="Intérêts rémun./perçu trop tôt sur acomptes C/C"/>
    <n v="0.63"/>
    <n v="0"/>
    <n v="3212"/>
  </r>
  <r>
    <x v="0"/>
    <x v="4"/>
    <x v="4"/>
    <x v="88"/>
    <x v="80"/>
    <x v="80"/>
    <s v="CHARGES"/>
    <x v="0"/>
    <s v="3221.002"/>
    <s v="Intérêts compensatoires / créances en faveur ctb."/>
    <n v="0.92"/>
    <n v="0"/>
    <n v="3221"/>
  </r>
  <r>
    <x v="0"/>
    <x v="4"/>
    <x v="4"/>
    <x v="88"/>
    <x v="80"/>
    <x v="80"/>
    <s v="CHARGES"/>
    <x v="1"/>
    <s v="3301.001"/>
    <s v="Défalcations, abandons de solde PP et IS"/>
    <n v="0.62"/>
    <n v="0"/>
    <n v="3301"/>
  </r>
  <r>
    <x v="0"/>
    <x v="4"/>
    <x v="4"/>
    <x v="88"/>
    <x v="80"/>
    <x v="80"/>
    <s v="CHARGES"/>
    <x v="0"/>
    <s v="3212.004"/>
    <s v="Intérêts rémun./perçu trop tôt sur acomptes C/C"/>
    <n v="0.15"/>
    <n v="0"/>
    <n v="3212"/>
  </r>
  <r>
    <x v="0"/>
    <x v="4"/>
    <x v="4"/>
    <x v="88"/>
    <x v="80"/>
    <x v="80"/>
    <s v="CHARGES"/>
    <x v="0"/>
    <s v="3221.002"/>
    <s v="Intérêts compensatoires / créances en faveur ctb."/>
    <n v="0.21"/>
    <n v="0"/>
    <n v="3221"/>
  </r>
  <r>
    <x v="0"/>
    <x v="4"/>
    <x v="4"/>
    <x v="88"/>
    <x v="80"/>
    <x v="80"/>
    <s v="CHARGES"/>
    <x v="1"/>
    <s v="3301.001"/>
    <s v="Défalcations, abandons de solde PP et IS"/>
    <n v="0.89"/>
    <n v="0"/>
    <n v="3301"/>
  </r>
  <r>
    <x v="0"/>
    <x v="4"/>
    <x v="4"/>
    <x v="88"/>
    <x v="80"/>
    <x v="80"/>
    <s v="CHARGES"/>
    <x v="1"/>
    <s v="3301.001"/>
    <s v="Défalcations, abandons de solde PP et IS"/>
    <n v="0.15"/>
    <n v="0"/>
    <n v="3301"/>
  </r>
  <r>
    <x v="0"/>
    <x v="4"/>
    <x v="4"/>
    <x v="88"/>
    <x v="80"/>
    <x v="80"/>
    <s v="CHARGES"/>
    <x v="0"/>
    <s v="3212.002"/>
    <s v="Intérêts bonifiés/trop perçu acompte C/C"/>
    <n v="1.1599999999999999"/>
    <n v="0"/>
    <n v="3212"/>
  </r>
  <r>
    <x v="0"/>
    <x v="4"/>
    <x v="4"/>
    <x v="88"/>
    <x v="80"/>
    <x v="80"/>
    <s v="REVENUS"/>
    <x v="6"/>
    <s v="4211.001"/>
    <s v="Intérêts de retard sur factures"/>
    <n v="0"/>
    <n v="7235.98"/>
    <n v="4211"/>
  </r>
  <r>
    <x v="0"/>
    <x v="4"/>
    <x v="4"/>
    <x v="88"/>
    <x v="80"/>
    <x v="80"/>
    <s v="REVENUS"/>
    <x v="2"/>
    <s v="4001.001"/>
    <s v="Impôt revenu"/>
    <n v="0"/>
    <n v="2384645.2000000002"/>
    <n v="4001"/>
  </r>
  <r>
    <x v="0"/>
    <x v="4"/>
    <x v="4"/>
    <x v="88"/>
    <x v="80"/>
    <x v="80"/>
    <s v="REVENUS"/>
    <x v="2"/>
    <s v="4001.007"/>
    <s v="Acompte impôt sur revenu"/>
    <n v="0"/>
    <n v="-445923.43"/>
    <n v="4001"/>
  </r>
  <r>
    <x v="0"/>
    <x v="4"/>
    <x v="4"/>
    <x v="88"/>
    <x v="80"/>
    <x v="80"/>
    <s v="REVENUS"/>
    <x v="3"/>
    <s v="4002.001"/>
    <s v="Impôt ordinaire s/fortune PP"/>
    <n v="0"/>
    <n v="346976.2"/>
    <n v="4002"/>
  </r>
  <r>
    <x v="0"/>
    <x v="4"/>
    <x v="4"/>
    <x v="88"/>
    <x v="80"/>
    <x v="80"/>
    <s v="REVENUS"/>
    <x v="3"/>
    <s v="4002.007"/>
    <s v="Acompte impôt sur fortune"/>
    <n v="0"/>
    <n v="-112289.09"/>
    <n v="4002"/>
  </r>
  <r>
    <x v="0"/>
    <x v="4"/>
    <x v="4"/>
    <x v="88"/>
    <x v="80"/>
    <x v="80"/>
    <s v="REVENUS"/>
    <x v="2"/>
    <s v="4001.001"/>
    <s v="Impôt revenu"/>
    <n v="0"/>
    <n v="504.8"/>
    <n v="4001"/>
  </r>
  <r>
    <x v="0"/>
    <x v="4"/>
    <x v="4"/>
    <x v="88"/>
    <x v="80"/>
    <x v="80"/>
    <s v="REVENUS"/>
    <x v="3"/>
    <s v="4002.001"/>
    <s v="Impôt ordinaire s/fortune PP"/>
    <n v="0"/>
    <n v="1701.2"/>
    <n v="4002"/>
  </r>
  <r>
    <x v="0"/>
    <x v="4"/>
    <x v="4"/>
    <x v="88"/>
    <x v="80"/>
    <x v="80"/>
    <s v="REVENUS"/>
    <x v="6"/>
    <s v="4211.002"/>
    <s v="Intérêts de retard sur acomptes"/>
    <n v="0"/>
    <n v="15.15"/>
    <n v="4211"/>
  </r>
  <r>
    <x v="0"/>
    <x v="4"/>
    <x v="4"/>
    <x v="88"/>
    <x v="80"/>
    <x v="80"/>
    <s v="REVENUS"/>
    <x v="6"/>
    <s v="4221.003"/>
    <s v="Intérêts compensat. / acomptes en faveur du fisc"/>
    <n v="0"/>
    <n v="0.27"/>
    <n v="4221"/>
  </r>
  <r>
    <x v="0"/>
    <x v="4"/>
    <x v="4"/>
    <x v="88"/>
    <x v="80"/>
    <x v="80"/>
    <s v="REVENUS"/>
    <x v="6"/>
    <s v="4211.002"/>
    <s v="Intérêts de retard sur acomptes"/>
    <n v="0"/>
    <n v="15849.67"/>
    <n v="4211"/>
  </r>
  <r>
    <x v="0"/>
    <x v="4"/>
    <x v="4"/>
    <x v="88"/>
    <x v="80"/>
    <x v="80"/>
    <s v="REVENUS"/>
    <x v="6"/>
    <s v="4221.003"/>
    <s v="Intérêts compensat. / acomptes en faveur du fisc"/>
    <n v="0"/>
    <n v="296.99"/>
    <n v="4221"/>
  </r>
  <r>
    <x v="0"/>
    <x v="4"/>
    <x v="4"/>
    <x v="88"/>
    <x v="80"/>
    <x v="80"/>
    <s v="REVENUS"/>
    <x v="8"/>
    <s v="4091.001"/>
    <s v="Impôt récupéré après défalcations"/>
    <n v="0"/>
    <n v="-499.96"/>
    <n v="4091"/>
  </r>
  <r>
    <x v="0"/>
    <x v="4"/>
    <x v="4"/>
    <x v="88"/>
    <x v="80"/>
    <x v="80"/>
    <s v="REVENUS"/>
    <x v="2"/>
    <s v="4001.003"/>
    <s v="Impôt s/prest. cap. PP"/>
    <n v="0"/>
    <n v="135583.65"/>
    <n v="4001"/>
  </r>
  <r>
    <x v="0"/>
    <x v="4"/>
    <x v="4"/>
    <x v="88"/>
    <x v="80"/>
    <x v="80"/>
    <s v="REVENUS"/>
    <x v="2"/>
    <s v="4001.001"/>
    <s v="Impôt revenu"/>
    <n v="0"/>
    <n v="30829.75"/>
    <n v="4001"/>
  </r>
  <r>
    <x v="0"/>
    <x v="4"/>
    <x v="4"/>
    <x v="88"/>
    <x v="80"/>
    <x v="80"/>
    <s v="REVENUS"/>
    <x v="3"/>
    <s v="4002.001"/>
    <s v="Impôt ordinaire s/fortune PP"/>
    <n v="0"/>
    <n v="12861.7"/>
    <n v="4002"/>
  </r>
  <r>
    <x v="0"/>
    <x v="4"/>
    <x v="4"/>
    <x v="88"/>
    <x v="80"/>
    <x v="80"/>
    <s v="REVENUS"/>
    <x v="6"/>
    <s v="4211.002"/>
    <s v="Intérêts de retard sur acomptes"/>
    <n v="0"/>
    <n v="100.52"/>
    <n v="4211"/>
  </r>
  <r>
    <x v="0"/>
    <x v="4"/>
    <x v="4"/>
    <x v="88"/>
    <x v="80"/>
    <x v="80"/>
    <s v="REVENUS"/>
    <x v="2"/>
    <s v="4001.002"/>
    <s v="Impôt complément s/revenu PP"/>
    <n v="0"/>
    <n v="294975.75"/>
    <n v="4001"/>
  </r>
  <r>
    <x v="0"/>
    <x v="4"/>
    <x v="4"/>
    <x v="88"/>
    <x v="80"/>
    <x v="80"/>
    <s v="REVENUS"/>
    <x v="3"/>
    <s v="4002.002"/>
    <s v="Impôt complémentaire s/fortune PP"/>
    <n v="0"/>
    <n v="39896.400000000001"/>
    <n v="4002"/>
  </r>
  <r>
    <x v="0"/>
    <x v="4"/>
    <x v="4"/>
    <x v="88"/>
    <x v="80"/>
    <x v="80"/>
    <s v="REVENUS"/>
    <x v="7"/>
    <s v="4184.000"/>
    <s v="Frais de poursuite"/>
    <n v="0"/>
    <n v="958.93"/>
    <n v="4184"/>
  </r>
  <r>
    <x v="0"/>
    <x v="4"/>
    <x v="4"/>
    <x v="88"/>
    <x v="80"/>
    <x v="80"/>
    <s v="REVENUS"/>
    <x v="2"/>
    <s v="4001.001"/>
    <s v="Impôt revenu"/>
    <n v="0"/>
    <n v="2281.0500000000002"/>
    <n v="4001"/>
  </r>
  <r>
    <x v="0"/>
    <x v="4"/>
    <x v="4"/>
    <x v="88"/>
    <x v="80"/>
    <x v="80"/>
    <s v="REVENUS"/>
    <x v="3"/>
    <s v="4002.001"/>
    <s v="Impôt ordinaire s/fortune PP"/>
    <n v="0"/>
    <n v="3151.75"/>
    <n v="4002"/>
  </r>
  <r>
    <x v="0"/>
    <x v="4"/>
    <x v="4"/>
    <x v="88"/>
    <x v="80"/>
    <x v="80"/>
    <s v="REVENUS"/>
    <x v="6"/>
    <s v="4211.002"/>
    <s v="Intérêts de retard sur acomptes"/>
    <n v="0"/>
    <n v="45.72"/>
    <n v="4211"/>
  </r>
  <r>
    <x v="0"/>
    <x v="4"/>
    <x v="4"/>
    <x v="88"/>
    <x v="80"/>
    <x v="80"/>
    <s v="REVENUS"/>
    <x v="6"/>
    <s v="4221.003"/>
    <s v="Intérêts compensat. / acomptes en faveur du fisc"/>
    <n v="0"/>
    <n v="2.09"/>
    <n v="4221"/>
  </r>
  <r>
    <x v="0"/>
    <x v="4"/>
    <x v="4"/>
    <x v="88"/>
    <x v="80"/>
    <x v="80"/>
    <s v="REVENUS"/>
    <x v="2"/>
    <s v="4001.007"/>
    <s v="Acompte impôt sur revenu"/>
    <n v="0"/>
    <n v="-11115.44"/>
    <n v="4001"/>
  </r>
  <r>
    <x v="0"/>
    <x v="4"/>
    <x v="4"/>
    <x v="88"/>
    <x v="80"/>
    <x v="80"/>
    <s v="REVENUS"/>
    <x v="3"/>
    <s v="4002.007"/>
    <s v="Acompte impôt sur fortune"/>
    <n v="0"/>
    <n v="-370.02"/>
    <n v="4002"/>
  </r>
  <r>
    <x v="0"/>
    <x v="4"/>
    <x v="4"/>
    <x v="88"/>
    <x v="80"/>
    <x v="80"/>
    <s v="REVENUS"/>
    <x v="2"/>
    <s v="4001.007"/>
    <s v="Acompte impôt sur revenu"/>
    <n v="0"/>
    <n v="1999.85"/>
    <n v="4001"/>
  </r>
  <r>
    <x v="0"/>
    <x v="4"/>
    <x v="4"/>
    <x v="88"/>
    <x v="80"/>
    <x v="80"/>
    <s v="REVENUS"/>
    <x v="3"/>
    <s v="4002.007"/>
    <s v="Acompte impôt sur fortune"/>
    <n v="0"/>
    <n v="1281.3"/>
    <n v="4002"/>
  </r>
  <r>
    <x v="0"/>
    <x v="4"/>
    <x v="4"/>
    <x v="88"/>
    <x v="80"/>
    <x v="80"/>
    <s v="REVENUS"/>
    <x v="2"/>
    <s v="4001.007"/>
    <s v="Acompte impôt sur revenu"/>
    <n v="0"/>
    <n v="-32.1"/>
    <n v="4001"/>
  </r>
  <r>
    <x v="0"/>
    <x v="4"/>
    <x v="4"/>
    <x v="88"/>
    <x v="80"/>
    <x v="80"/>
    <s v="REVENUS"/>
    <x v="3"/>
    <s v="4002.007"/>
    <s v="Acompte impôt sur fortune"/>
    <n v="0"/>
    <n v="-406.45"/>
    <n v="4002"/>
  </r>
  <r>
    <x v="0"/>
    <x v="4"/>
    <x v="4"/>
    <x v="88"/>
    <x v="80"/>
    <x v="80"/>
    <s v="REVENUS"/>
    <x v="6"/>
    <s v="4221.003"/>
    <s v="Intérêts compensat. / acomptes en faveur du fisc"/>
    <n v="0"/>
    <n v="2.1800000000000002"/>
    <n v="4221"/>
  </r>
  <r>
    <x v="0"/>
    <x v="4"/>
    <x v="4"/>
    <x v="88"/>
    <x v="80"/>
    <x v="80"/>
    <s v="REVENUS"/>
    <x v="6"/>
    <s v="4211.001"/>
    <s v="Intérêts de retard sur factures"/>
    <n v="0"/>
    <n v="36.28"/>
    <n v="4211"/>
  </r>
  <r>
    <x v="0"/>
    <x v="4"/>
    <x v="4"/>
    <x v="88"/>
    <x v="80"/>
    <x v="80"/>
    <s v="REVENUS"/>
    <x v="7"/>
    <s v="4184.000"/>
    <s v="Frais de poursuite"/>
    <n v="0"/>
    <n v="7.13"/>
    <n v="4184"/>
  </r>
  <r>
    <x v="0"/>
    <x v="4"/>
    <x v="4"/>
    <x v="88"/>
    <x v="80"/>
    <x v="80"/>
    <s v="REVENUS"/>
    <x v="3"/>
    <s v="4002.007"/>
    <s v="Acompte impôt sur fortune"/>
    <n v="0"/>
    <n v="1823.9"/>
    <n v="4002"/>
  </r>
  <r>
    <x v="0"/>
    <x v="4"/>
    <x v="4"/>
    <x v="88"/>
    <x v="80"/>
    <x v="80"/>
    <s v="REVENUS"/>
    <x v="2"/>
    <s v="4001.007"/>
    <s v="Acompte impôt sur revenu"/>
    <n v="0"/>
    <n v="75.95"/>
    <n v="4001"/>
  </r>
  <r>
    <x v="0"/>
    <x v="4"/>
    <x v="4"/>
    <x v="88"/>
    <x v="80"/>
    <x v="80"/>
    <s v="REVENUS"/>
    <x v="7"/>
    <s v="4184.000"/>
    <s v="Frais de poursuite"/>
    <n v="0"/>
    <n v="674.15"/>
    <n v="4184"/>
  </r>
  <r>
    <x v="0"/>
    <x v="4"/>
    <x v="4"/>
    <x v="88"/>
    <x v="80"/>
    <x v="80"/>
    <s v="REVENUS"/>
    <x v="7"/>
    <s v="4184.000"/>
    <s v="Frais de poursuite"/>
    <n v="0"/>
    <n v="0.5"/>
    <n v="4184"/>
  </r>
  <r>
    <x v="0"/>
    <x v="4"/>
    <x v="4"/>
    <x v="88"/>
    <x v="80"/>
    <x v="80"/>
    <s v="REVENUS"/>
    <x v="2"/>
    <s v="4001.002"/>
    <s v="Impôt complément s/revenu PP"/>
    <n v="0"/>
    <n v="1618.65"/>
    <n v="4001"/>
  </r>
  <r>
    <x v="0"/>
    <x v="4"/>
    <x v="4"/>
    <x v="88"/>
    <x v="80"/>
    <x v="80"/>
    <s v="REVENUS"/>
    <x v="3"/>
    <s v="4002.002"/>
    <s v="Impôt complémentaire s/fortune PP"/>
    <n v="0"/>
    <n v="1083.0999999999999"/>
    <n v="4002"/>
  </r>
  <r>
    <x v="0"/>
    <x v="4"/>
    <x v="4"/>
    <x v="88"/>
    <x v="80"/>
    <x v="80"/>
    <s v="REVENUS"/>
    <x v="6"/>
    <s v="4221.002"/>
    <s v="Intérêts compensat. sur impôts distincts"/>
    <n v="0"/>
    <n v="16.89"/>
    <n v="4221"/>
  </r>
  <r>
    <x v="0"/>
    <x v="4"/>
    <x v="4"/>
    <x v="88"/>
    <x v="80"/>
    <x v="80"/>
    <s v="REVENUS"/>
    <x v="6"/>
    <s v="4211.001"/>
    <s v="Intérêts de retard sur factures"/>
    <n v="0"/>
    <n v="3.7"/>
    <n v="4211"/>
  </r>
  <r>
    <x v="0"/>
    <x v="4"/>
    <x v="4"/>
    <x v="88"/>
    <x v="80"/>
    <x v="80"/>
    <s v="REVENUS"/>
    <x v="3"/>
    <s v="4002.001"/>
    <s v="Impôt ordinaire s/fortune PP"/>
    <n v="0"/>
    <n v="1386.75"/>
    <n v="4002"/>
  </r>
  <r>
    <x v="0"/>
    <x v="4"/>
    <x v="4"/>
    <x v="88"/>
    <x v="80"/>
    <x v="80"/>
    <s v="REVENUS"/>
    <x v="3"/>
    <s v="4002.007"/>
    <s v="Acompte impôt sur fortune"/>
    <n v="0"/>
    <n v="-972.85"/>
    <n v="4002"/>
  </r>
  <r>
    <x v="0"/>
    <x v="4"/>
    <x v="4"/>
    <x v="88"/>
    <x v="80"/>
    <x v="80"/>
    <s v="REVENUS"/>
    <x v="2"/>
    <s v="4001.001"/>
    <s v="Impôt revenu"/>
    <n v="0"/>
    <n v="64.599999999999994"/>
    <n v="4001"/>
  </r>
  <r>
    <x v="0"/>
    <x v="4"/>
    <x v="4"/>
    <x v="88"/>
    <x v="80"/>
    <x v="80"/>
    <s v="REVENUS"/>
    <x v="9"/>
    <s v="4031.001"/>
    <s v="Impôt sur les gains immobiliers"/>
    <n v="0"/>
    <n v="52459.55"/>
    <n v="4031"/>
  </r>
  <r>
    <x v="0"/>
    <x v="4"/>
    <x v="4"/>
    <x v="88"/>
    <x v="80"/>
    <x v="80"/>
    <s v="REVENUS"/>
    <x v="6"/>
    <s v="4221.003"/>
    <s v="Intérêts compensat. / acomptes en faveur du fisc"/>
    <n v="0"/>
    <n v="0"/>
    <n v="4221"/>
  </r>
  <r>
    <x v="0"/>
    <x v="4"/>
    <x v="4"/>
    <x v="88"/>
    <x v="80"/>
    <x v="80"/>
    <s v="REVENUS"/>
    <x v="2"/>
    <s v="4001.002"/>
    <s v="Impôt complément s/revenu PP"/>
    <n v="0"/>
    <n v="58.5"/>
    <n v="4001"/>
  </r>
  <r>
    <x v="0"/>
    <x v="4"/>
    <x v="4"/>
    <x v="88"/>
    <x v="80"/>
    <x v="80"/>
    <s v="REVENUS"/>
    <x v="3"/>
    <s v="4002.002"/>
    <s v="Impôt complémentaire s/fortune PP"/>
    <n v="0"/>
    <n v="72.95"/>
    <n v="4002"/>
  </r>
  <r>
    <x v="0"/>
    <x v="4"/>
    <x v="4"/>
    <x v="88"/>
    <x v="80"/>
    <x v="80"/>
    <s v="REVENUS"/>
    <x v="6"/>
    <s v="4211.001"/>
    <s v="Intérêts de retard sur factures"/>
    <n v="0"/>
    <n v="0.63"/>
    <n v="4211"/>
  </r>
  <r>
    <x v="0"/>
    <x v="4"/>
    <x v="4"/>
    <x v="88"/>
    <x v="80"/>
    <x v="80"/>
    <s v="REVENUS"/>
    <x v="8"/>
    <s v="4091.001"/>
    <s v="Impôt récupéré après défalcations"/>
    <n v="0"/>
    <n v="11225.49"/>
    <n v="4091"/>
  </r>
  <r>
    <x v="0"/>
    <x v="4"/>
    <x v="4"/>
    <x v="88"/>
    <x v="80"/>
    <x v="80"/>
    <s v="REVENUS"/>
    <x v="6"/>
    <s v="4211.001"/>
    <s v="Intérêts de retard sur factures"/>
    <n v="0"/>
    <n v="8.4600000000000009"/>
    <n v="4211"/>
  </r>
  <r>
    <x v="0"/>
    <x v="4"/>
    <x v="4"/>
    <x v="89"/>
    <x v="73"/>
    <x v="73"/>
    <s v="CHARGES"/>
    <x v="0"/>
    <s v="3212.002"/>
    <s v="Intérêts bonifiés/trop perçu acompte C/C"/>
    <n v="5.59"/>
    <n v="0"/>
    <n v="3212"/>
  </r>
  <r>
    <x v="0"/>
    <x v="4"/>
    <x v="4"/>
    <x v="89"/>
    <x v="73"/>
    <x v="73"/>
    <s v="CHARGES"/>
    <x v="0"/>
    <s v="3221.002"/>
    <s v="Intérêts compensatoires / créances en faveur ctb."/>
    <n v="-0.6"/>
    <n v="0"/>
    <n v="3221"/>
  </r>
  <r>
    <x v="0"/>
    <x v="4"/>
    <x v="4"/>
    <x v="89"/>
    <x v="73"/>
    <x v="73"/>
    <s v="CHARGES"/>
    <x v="1"/>
    <s v="3301.001"/>
    <s v="Défalcations, abandons de solde PP et IS"/>
    <n v="0.35"/>
    <n v="0"/>
    <n v="3301"/>
  </r>
  <r>
    <x v="0"/>
    <x v="4"/>
    <x v="4"/>
    <x v="89"/>
    <x v="73"/>
    <x v="73"/>
    <s v="REVENUS"/>
    <x v="2"/>
    <s v="4001.001"/>
    <s v="Impôt revenu"/>
    <n v="0"/>
    <n v="-22488.3"/>
    <n v="4001"/>
  </r>
  <r>
    <x v="0"/>
    <x v="4"/>
    <x v="4"/>
    <x v="89"/>
    <x v="73"/>
    <x v="73"/>
    <s v="REVENUS"/>
    <x v="2"/>
    <s v="4001.002"/>
    <s v="Impôt complément s/revenu PP"/>
    <n v="0"/>
    <n v="22854.400000000001"/>
    <n v="4001"/>
  </r>
  <r>
    <x v="0"/>
    <x v="4"/>
    <x v="4"/>
    <x v="89"/>
    <x v="73"/>
    <x v="73"/>
    <s v="REVENUS"/>
    <x v="3"/>
    <s v="4002.001"/>
    <s v="Impôt ordinaire s/fortune PP"/>
    <n v="0"/>
    <n v="-27.3"/>
    <n v="4002"/>
  </r>
  <r>
    <x v="0"/>
    <x v="4"/>
    <x v="4"/>
    <x v="89"/>
    <x v="73"/>
    <x v="73"/>
    <s v="REVENUS"/>
    <x v="3"/>
    <s v="4002.002"/>
    <s v="Impôt complémentaire s/fortune PP"/>
    <n v="0"/>
    <n v="103.75"/>
    <n v="4002"/>
  </r>
  <r>
    <x v="0"/>
    <x v="4"/>
    <x v="4"/>
    <x v="89"/>
    <x v="73"/>
    <x v="73"/>
    <s v="REVENUS"/>
    <x v="6"/>
    <s v="4211.001"/>
    <s v="Intérêts de retard sur factures"/>
    <n v="0"/>
    <n v="113.47"/>
    <n v="4211"/>
  </r>
  <r>
    <x v="0"/>
    <x v="4"/>
    <x v="4"/>
    <x v="89"/>
    <x v="73"/>
    <x v="73"/>
    <s v="REVENUS"/>
    <x v="6"/>
    <s v="4221.003"/>
    <s v="Intérêts compensat. / acomptes en faveur du fisc"/>
    <n v="0"/>
    <n v="8.25"/>
    <n v="4221"/>
  </r>
  <r>
    <x v="0"/>
    <x v="4"/>
    <x v="4"/>
    <x v="90"/>
    <x v="81"/>
    <x v="81"/>
    <s v="CHARGES"/>
    <x v="0"/>
    <s v="3212.004"/>
    <s v="Intérêts rémun./perçu trop tôt sur acomptes C/C"/>
    <n v="272.51"/>
    <n v="0"/>
    <n v="3212"/>
  </r>
  <r>
    <x v="0"/>
    <x v="4"/>
    <x v="4"/>
    <x v="90"/>
    <x v="81"/>
    <x v="81"/>
    <s v="CHARGES"/>
    <x v="0"/>
    <s v="3221.002"/>
    <s v="Intérêts compensatoires / créances en faveur ctb."/>
    <n v="171.12"/>
    <n v="0"/>
    <n v="3221"/>
  </r>
  <r>
    <x v="0"/>
    <x v="4"/>
    <x v="4"/>
    <x v="90"/>
    <x v="81"/>
    <x v="81"/>
    <s v="CHARGES"/>
    <x v="1"/>
    <s v="3301.001"/>
    <s v="Défalcations, abandons de solde PP et IS"/>
    <n v="8545.4500000000007"/>
    <n v="0"/>
    <n v="3301"/>
  </r>
  <r>
    <x v="0"/>
    <x v="4"/>
    <x v="4"/>
    <x v="90"/>
    <x v="81"/>
    <x v="81"/>
    <s v="CHARGES"/>
    <x v="0"/>
    <s v="3212.002"/>
    <s v="Intérêts bonifiés/trop perçu acompte C/C"/>
    <n v="0.5"/>
    <n v="0"/>
    <n v="3212"/>
  </r>
  <r>
    <x v="0"/>
    <x v="4"/>
    <x v="4"/>
    <x v="90"/>
    <x v="81"/>
    <x v="81"/>
    <s v="CHARGES"/>
    <x v="1"/>
    <s v="3301.001"/>
    <s v="Défalcations, abandons de solde PP et IS"/>
    <n v="561.83000000000004"/>
    <n v="0"/>
    <n v="3301"/>
  </r>
  <r>
    <x v="0"/>
    <x v="4"/>
    <x v="4"/>
    <x v="90"/>
    <x v="81"/>
    <x v="81"/>
    <s v="CHARGES"/>
    <x v="1"/>
    <s v="3301.001"/>
    <s v="Défalcations, abandons de solde PP et IS"/>
    <n v="0.35"/>
    <n v="0"/>
    <n v="3301"/>
  </r>
  <r>
    <x v="0"/>
    <x v="4"/>
    <x v="4"/>
    <x v="90"/>
    <x v="81"/>
    <x v="81"/>
    <s v="CHARGES"/>
    <x v="1"/>
    <s v="3301.001"/>
    <s v="Défalcations, abandons de solde PP et IS"/>
    <n v="7125.26"/>
    <n v="0"/>
    <n v="3301"/>
  </r>
  <r>
    <x v="0"/>
    <x v="4"/>
    <x v="4"/>
    <x v="90"/>
    <x v="81"/>
    <x v="81"/>
    <s v="CHARGES"/>
    <x v="0"/>
    <s v="3212.004"/>
    <s v="Intérêts rémun./perçu trop tôt sur acomptes C/C"/>
    <n v="0.16"/>
    <n v="0"/>
    <n v="3212"/>
  </r>
  <r>
    <x v="0"/>
    <x v="4"/>
    <x v="4"/>
    <x v="90"/>
    <x v="81"/>
    <x v="81"/>
    <s v="CHARGES"/>
    <x v="0"/>
    <s v="3221.002"/>
    <s v="Intérêts compensatoires / créances en faveur ctb."/>
    <n v="0.1"/>
    <n v="0"/>
    <n v="3221"/>
  </r>
  <r>
    <x v="0"/>
    <x v="4"/>
    <x v="4"/>
    <x v="90"/>
    <x v="81"/>
    <x v="81"/>
    <s v="CHARGES"/>
    <x v="0"/>
    <s v="3212.004"/>
    <s v="Intérêts rémun./perçu trop tôt sur acomptes C/C"/>
    <n v="1.51"/>
    <n v="0"/>
    <n v="3212"/>
  </r>
  <r>
    <x v="0"/>
    <x v="4"/>
    <x v="4"/>
    <x v="90"/>
    <x v="81"/>
    <x v="81"/>
    <s v="CHARGES"/>
    <x v="0"/>
    <s v="3221.002"/>
    <s v="Intérêts compensatoires / créances en faveur ctb."/>
    <n v="0.39"/>
    <n v="0"/>
    <n v="3221"/>
  </r>
  <r>
    <x v="0"/>
    <x v="4"/>
    <x v="4"/>
    <x v="90"/>
    <x v="81"/>
    <x v="81"/>
    <s v="CHARGES"/>
    <x v="0"/>
    <s v="3212.004"/>
    <s v="Intérêts rémun./perçu trop tôt sur acomptes C/C"/>
    <n v="0.11"/>
    <n v="0"/>
    <n v="3212"/>
  </r>
  <r>
    <x v="0"/>
    <x v="4"/>
    <x v="4"/>
    <x v="90"/>
    <x v="81"/>
    <x v="81"/>
    <s v="CHARGES"/>
    <x v="1"/>
    <s v="3301.001"/>
    <s v="Défalcations, abandons de solde PP et IS"/>
    <n v="2.69"/>
    <n v="0"/>
    <n v="3301"/>
  </r>
  <r>
    <x v="0"/>
    <x v="4"/>
    <x v="4"/>
    <x v="90"/>
    <x v="81"/>
    <x v="81"/>
    <s v="CHARGES"/>
    <x v="1"/>
    <s v="3301.001"/>
    <s v="Défalcations, abandons de solde PP et IS"/>
    <n v="0.02"/>
    <n v="0"/>
    <n v="3301"/>
  </r>
  <r>
    <x v="0"/>
    <x v="4"/>
    <x v="4"/>
    <x v="90"/>
    <x v="81"/>
    <x v="81"/>
    <s v="REVENUS"/>
    <x v="2"/>
    <s v="4001.001"/>
    <s v="Impôt revenu"/>
    <n v="0"/>
    <n v="1313449.6000000001"/>
    <n v="4001"/>
  </r>
  <r>
    <x v="0"/>
    <x v="4"/>
    <x v="4"/>
    <x v="90"/>
    <x v="81"/>
    <x v="81"/>
    <s v="REVENUS"/>
    <x v="3"/>
    <s v="4002.001"/>
    <s v="Impôt ordinaire s/fortune PP"/>
    <n v="0"/>
    <n v="145754.95000000001"/>
    <n v="4002"/>
  </r>
  <r>
    <x v="0"/>
    <x v="4"/>
    <x v="4"/>
    <x v="90"/>
    <x v="81"/>
    <x v="81"/>
    <s v="REVENUS"/>
    <x v="6"/>
    <s v="4211.001"/>
    <s v="Intérêts de retard sur factures"/>
    <n v="0"/>
    <n v="2949.96"/>
    <n v="4211"/>
  </r>
  <r>
    <x v="0"/>
    <x v="4"/>
    <x v="4"/>
    <x v="90"/>
    <x v="81"/>
    <x v="81"/>
    <s v="REVENUS"/>
    <x v="6"/>
    <s v="4211.002"/>
    <s v="Intérêts de retard sur acomptes"/>
    <n v="0"/>
    <n v="7445.3"/>
    <n v="4211"/>
  </r>
  <r>
    <x v="0"/>
    <x v="4"/>
    <x v="4"/>
    <x v="90"/>
    <x v="81"/>
    <x v="81"/>
    <s v="REVENUS"/>
    <x v="2"/>
    <s v="4001.002"/>
    <s v="Impôt complément s/revenu PP"/>
    <n v="0"/>
    <n v="134505.15"/>
    <n v="4001"/>
  </r>
  <r>
    <x v="0"/>
    <x v="4"/>
    <x v="4"/>
    <x v="90"/>
    <x v="81"/>
    <x v="81"/>
    <s v="REVENUS"/>
    <x v="2"/>
    <s v="4001.007"/>
    <s v="Acompte impôt sur revenu"/>
    <n v="0"/>
    <n v="-364777.26"/>
    <n v="4001"/>
  </r>
  <r>
    <x v="0"/>
    <x v="4"/>
    <x v="4"/>
    <x v="90"/>
    <x v="81"/>
    <x v="81"/>
    <s v="REVENUS"/>
    <x v="3"/>
    <s v="4002.002"/>
    <s v="Impôt complémentaire s/fortune PP"/>
    <n v="0"/>
    <n v="11582.1"/>
    <n v="4002"/>
  </r>
  <r>
    <x v="0"/>
    <x v="4"/>
    <x v="4"/>
    <x v="90"/>
    <x v="81"/>
    <x v="81"/>
    <s v="REVENUS"/>
    <x v="3"/>
    <s v="4002.007"/>
    <s v="Acompte impôt sur fortune"/>
    <n v="0"/>
    <n v="-51241.82"/>
    <n v="4002"/>
  </r>
  <r>
    <x v="0"/>
    <x v="4"/>
    <x v="4"/>
    <x v="90"/>
    <x v="81"/>
    <x v="81"/>
    <s v="REVENUS"/>
    <x v="6"/>
    <s v="4221.003"/>
    <s v="Intérêts compensat. / acomptes en faveur du fisc"/>
    <n v="0"/>
    <n v="170.7"/>
    <n v="4221"/>
  </r>
  <r>
    <x v="0"/>
    <x v="4"/>
    <x v="4"/>
    <x v="90"/>
    <x v="81"/>
    <x v="81"/>
    <s v="REVENUS"/>
    <x v="2"/>
    <s v="4001.003"/>
    <s v="Impôt s/prest. cap. PP"/>
    <n v="0"/>
    <n v="51125.9"/>
    <n v="4001"/>
  </r>
  <r>
    <x v="0"/>
    <x v="4"/>
    <x v="4"/>
    <x v="90"/>
    <x v="81"/>
    <x v="81"/>
    <s v="REVENUS"/>
    <x v="7"/>
    <s v="4184.000"/>
    <s v="Frais de poursuite"/>
    <n v="0"/>
    <n v="1044.24"/>
    <n v="4184"/>
  </r>
  <r>
    <x v="0"/>
    <x v="4"/>
    <x v="4"/>
    <x v="90"/>
    <x v="81"/>
    <x v="81"/>
    <s v="REVENUS"/>
    <x v="7"/>
    <s v="4184.000"/>
    <s v="Frais de poursuite"/>
    <n v="0"/>
    <n v="120.58"/>
    <n v="4184"/>
  </r>
  <r>
    <x v="0"/>
    <x v="4"/>
    <x v="4"/>
    <x v="90"/>
    <x v="81"/>
    <x v="81"/>
    <s v="REVENUS"/>
    <x v="2"/>
    <s v="4001.007"/>
    <s v="Acompte impôt sur revenu"/>
    <n v="0"/>
    <n v="128.25"/>
    <n v="4001"/>
  </r>
  <r>
    <x v="0"/>
    <x v="4"/>
    <x v="4"/>
    <x v="90"/>
    <x v="81"/>
    <x v="81"/>
    <s v="REVENUS"/>
    <x v="3"/>
    <s v="4002.007"/>
    <s v="Acompte impôt sur fortune"/>
    <n v="0"/>
    <n v="185.25"/>
    <n v="4002"/>
  </r>
  <r>
    <x v="0"/>
    <x v="4"/>
    <x v="4"/>
    <x v="90"/>
    <x v="81"/>
    <x v="81"/>
    <s v="REVENUS"/>
    <x v="3"/>
    <s v="4002.007"/>
    <s v="Acompte impôt sur fortune"/>
    <n v="0"/>
    <n v="-1964.09"/>
    <n v="4002"/>
  </r>
  <r>
    <x v="0"/>
    <x v="4"/>
    <x v="4"/>
    <x v="90"/>
    <x v="81"/>
    <x v="81"/>
    <s v="REVENUS"/>
    <x v="3"/>
    <s v="4002.007"/>
    <s v="Acompte impôt sur fortune"/>
    <n v="0"/>
    <n v="1104.55"/>
    <n v="4002"/>
  </r>
  <r>
    <x v="0"/>
    <x v="4"/>
    <x v="4"/>
    <x v="90"/>
    <x v="81"/>
    <x v="81"/>
    <s v="REVENUS"/>
    <x v="2"/>
    <s v="4001.007"/>
    <s v="Acompte impôt sur revenu"/>
    <n v="0"/>
    <n v="-97.93"/>
    <n v="4001"/>
  </r>
  <r>
    <x v="0"/>
    <x v="4"/>
    <x v="4"/>
    <x v="90"/>
    <x v="81"/>
    <x v="81"/>
    <s v="REVENUS"/>
    <x v="10"/>
    <s v="4041.001"/>
    <s v="Droits de mutation"/>
    <n v="0"/>
    <n v="38134.400000000001"/>
    <n v="4041"/>
  </r>
  <r>
    <x v="0"/>
    <x v="4"/>
    <x v="4"/>
    <x v="90"/>
    <x v="81"/>
    <x v="81"/>
    <s v="REVENUS"/>
    <x v="2"/>
    <s v="4001.007"/>
    <s v="Acompte impôt sur revenu"/>
    <n v="0"/>
    <n v="908.45"/>
    <n v="4001"/>
  </r>
  <r>
    <x v="0"/>
    <x v="4"/>
    <x v="4"/>
    <x v="90"/>
    <x v="81"/>
    <x v="81"/>
    <s v="REVENUS"/>
    <x v="2"/>
    <s v="4001.001"/>
    <s v="Impôt revenu"/>
    <n v="0"/>
    <n v="42.3"/>
    <n v="4001"/>
  </r>
  <r>
    <x v="0"/>
    <x v="4"/>
    <x v="4"/>
    <x v="90"/>
    <x v="81"/>
    <x v="81"/>
    <s v="REVENUS"/>
    <x v="6"/>
    <s v="4221.003"/>
    <s v="Intérêts compensat. / acomptes en faveur du fisc"/>
    <n v="0"/>
    <n v="0.02"/>
    <n v="4221"/>
  </r>
  <r>
    <x v="0"/>
    <x v="4"/>
    <x v="4"/>
    <x v="90"/>
    <x v="81"/>
    <x v="81"/>
    <s v="REVENUS"/>
    <x v="9"/>
    <s v="4031.001"/>
    <s v="Impôt sur les gains immobiliers"/>
    <n v="0"/>
    <n v="4689.6000000000004"/>
    <n v="4031"/>
  </r>
  <r>
    <x v="0"/>
    <x v="4"/>
    <x v="4"/>
    <x v="90"/>
    <x v="81"/>
    <x v="81"/>
    <s v="REVENUS"/>
    <x v="2"/>
    <s v="4001.001"/>
    <s v="Impôt revenu"/>
    <n v="0"/>
    <n v="1023.8"/>
    <n v="4001"/>
  </r>
  <r>
    <x v="0"/>
    <x v="4"/>
    <x v="4"/>
    <x v="90"/>
    <x v="81"/>
    <x v="81"/>
    <s v="REVENUS"/>
    <x v="3"/>
    <s v="4002.001"/>
    <s v="Impôt ordinaire s/fortune PP"/>
    <n v="0"/>
    <n v="74"/>
    <n v="4002"/>
  </r>
  <r>
    <x v="0"/>
    <x v="4"/>
    <x v="4"/>
    <x v="90"/>
    <x v="81"/>
    <x v="81"/>
    <s v="REVENUS"/>
    <x v="3"/>
    <s v="4002.001"/>
    <s v="Impôt ordinaire s/fortune PP"/>
    <n v="0"/>
    <n v="348.45"/>
    <n v="4002"/>
  </r>
  <r>
    <x v="0"/>
    <x v="4"/>
    <x v="4"/>
    <x v="90"/>
    <x v="81"/>
    <x v="81"/>
    <s v="REVENUS"/>
    <x v="6"/>
    <s v="4211.002"/>
    <s v="Intérêts de retard sur acomptes"/>
    <n v="0"/>
    <n v="0.06"/>
    <n v="4211"/>
  </r>
  <r>
    <x v="0"/>
    <x v="4"/>
    <x v="4"/>
    <x v="90"/>
    <x v="81"/>
    <x v="81"/>
    <s v="REVENUS"/>
    <x v="6"/>
    <s v="4221.002"/>
    <s v="Intérêts compensat. sur impôts distincts"/>
    <n v="0"/>
    <n v="0.23"/>
    <n v="4221"/>
  </r>
  <r>
    <x v="0"/>
    <x v="4"/>
    <x v="4"/>
    <x v="90"/>
    <x v="81"/>
    <x v="81"/>
    <s v="REVENUS"/>
    <x v="2"/>
    <s v="4001.002"/>
    <s v="Impôt complément s/revenu PP"/>
    <n v="0"/>
    <n v="235.65"/>
    <n v="4001"/>
  </r>
  <r>
    <x v="0"/>
    <x v="4"/>
    <x v="4"/>
    <x v="90"/>
    <x v="81"/>
    <x v="81"/>
    <s v="REVENUS"/>
    <x v="3"/>
    <s v="4002.002"/>
    <s v="Impôt complémentaire s/fortune PP"/>
    <n v="0"/>
    <n v="320.75"/>
    <n v="4002"/>
  </r>
  <r>
    <x v="0"/>
    <x v="4"/>
    <x v="4"/>
    <x v="90"/>
    <x v="81"/>
    <x v="81"/>
    <s v="REVENUS"/>
    <x v="6"/>
    <s v="4211.001"/>
    <s v="Intérêts de retard sur factures"/>
    <n v="0"/>
    <n v="8.77"/>
    <n v="4211"/>
  </r>
  <r>
    <x v="0"/>
    <x v="4"/>
    <x v="4"/>
    <x v="90"/>
    <x v="81"/>
    <x v="81"/>
    <s v="REVENUS"/>
    <x v="3"/>
    <s v="4002.001"/>
    <s v="Impôt ordinaire s/fortune PP"/>
    <n v="0"/>
    <n v="3333.6"/>
    <n v="4002"/>
  </r>
  <r>
    <x v="0"/>
    <x v="4"/>
    <x v="4"/>
    <x v="90"/>
    <x v="81"/>
    <x v="81"/>
    <s v="REVENUS"/>
    <x v="6"/>
    <s v="4211.002"/>
    <s v="Intérêts de retard sur acomptes"/>
    <n v="0"/>
    <n v="28.21"/>
    <n v="4211"/>
  </r>
  <r>
    <x v="0"/>
    <x v="4"/>
    <x v="4"/>
    <x v="90"/>
    <x v="81"/>
    <x v="81"/>
    <s v="REVENUS"/>
    <x v="6"/>
    <s v="4211.002"/>
    <s v="Intérêts de retard sur acomptes"/>
    <n v="0"/>
    <n v="0.26"/>
    <n v="4211"/>
  </r>
  <r>
    <x v="0"/>
    <x v="4"/>
    <x v="4"/>
    <x v="90"/>
    <x v="81"/>
    <x v="81"/>
    <s v="REVENUS"/>
    <x v="3"/>
    <s v="4002.007"/>
    <s v="Acompte impôt sur fortune"/>
    <n v="0"/>
    <n v="-3305.06"/>
    <n v="4002"/>
  </r>
  <r>
    <x v="0"/>
    <x v="4"/>
    <x v="4"/>
    <x v="90"/>
    <x v="81"/>
    <x v="81"/>
    <s v="REVENUS"/>
    <x v="2"/>
    <s v="4001.001"/>
    <s v="Impôt revenu"/>
    <n v="0"/>
    <n v="2154.15"/>
    <n v="4001"/>
  </r>
  <r>
    <x v="0"/>
    <x v="4"/>
    <x v="4"/>
    <x v="90"/>
    <x v="81"/>
    <x v="81"/>
    <s v="REVENUS"/>
    <x v="6"/>
    <s v="4221.003"/>
    <s v="Intérêts compensat. / acomptes en faveur du fisc"/>
    <n v="0"/>
    <n v="2.2599999999999998"/>
    <n v="4221"/>
  </r>
  <r>
    <x v="0"/>
    <x v="4"/>
    <x v="4"/>
    <x v="90"/>
    <x v="81"/>
    <x v="81"/>
    <s v="REVENUS"/>
    <x v="5"/>
    <s v="4061.000"/>
    <s v="Impôt sur les chiens"/>
    <n v="0"/>
    <n v="3400"/>
    <n v="4061"/>
  </r>
  <r>
    <x v="0"/>
    <x v="4"/>
    <x v="4"/>
    <x v="90"/>
    <x v="81"/>
    <x v="81"/>
    <s v="REVENUS"/>
    <x v="2"/>
    <s v="4001.002"/>
    <s v="Impôt complément s/revenu PP"/>
    <n v="0"/>
    <n v="3040.15"/>
    <n v="4001"/>
  </r>
  <r>
    <x v="0"/>
    <x v="4"/>
    <x v="4"/>
    <x v="90"/>
    <x v="81"/>
    <x v="81"/>
    <s v="REVENUS"/>
    <x v="3"/>
    <s v="4002.002"/>
    <s v="Impôt complémentaire s/fortune PP"/>
    <n v="0"/>
    <n v="1421.9"/>
    <n v="4002"/>
  </r>
  <r>
    <x v="0"/>
    <x v="4"/>
    <x v="4"/>
    <x v="90"/>
    <x v="81"/>
    <x v="81"/>
    <s v="REVENUS"/>
    <x v="2"/>
    <s v="4001.001"/>
    <s v="Impôt revenu"/>
    <n v="0"/>
    <n v="293.8"/>
    <n v="4001"/>
  </r>
  <r>
    <x v="0"/>
    <x v="4"/>
    <x v="4"/>
    <x v="90"/>
    <x v="81"/>
    <x v="81"/>
    <s v="REVENUS"/>
    <x v="3"/>
    <s v="4002.001"/>
    <s v="Impôt ordinaire s/fortune PP"/>
    <n v="0"/>
    <n v="218.4"/>
    <n v="4002"/>
  </r>
  <r>
    <x v="0"/>
    <x v="4"/>
    <x v="4"/>
    <x v="90"/>
    <x v="81"/>
    <x v="81"/>
    <s v="REVENUS"/>
    <x v="6"/>
    <s v="4211.002"/>
    <s v="Intérêts de retard sur acomptes"/>
    <n v="0"/>
    <n v="1.54"/>
    <n v="4211"/>
  </r>
  <r>
    <x v="0"/>
    <x v="4"/>
    <x v="4"/>
    <x v="90"/>
    <x v="81"/>
    <x v="81"/>
    <s v="REVENUS"/>
    <x v="6"/>
    <s v="4221.003"/>
    <s v="Intérêts compensat. / acomptes en faveur du fisc"/>
    <n v="0"/>
    <n v="0.02"/>
    <n v="4221"/>
  </r>
  <r>
    <x v="0"/>
    <x v="4"/>
    <x v="4"/>
    <x v="90"/>
    <x v="81"/>
    <x v="81"/>
    <s v="REVENUS"/>
    <x v="6"/>
    <s v="4211.001"/>
    <s v="Intérêts de retard sur factures"/>
    <n v="0"/>
    <n v="0.01"/>
    <n v="4211"/>
  </r>
  <r>
    <x v="0"/>
    <x v="4"/>
    <x v="4"/>
    <x v="90"/>
    <x v="81"/>
    <x v="81"/>
    <s v="REVENUS"/>
    <x v="11"/>
    <s v="4198.000"/>
    <s v="Contributions communales"/>
    <n v="0"/>
    <n v="112535.05"/>
    <n v="4198"/>
  </r>
  <r>
    <x v="0"/>
    <x v="4"/>
    <x v="4"/>
    <x v="90"/>
    <x v="81"/>
    <x v="81"/>
    <s v="REVENUS"/>
    <x v="2"/>
    <s v="4001.003"/>
    <s v="Impôt s/prest. cap. PP"/>
    <n v="0"/>
    <n v="936.8"/>
    <n v="4001"/>
  </r>
  <r>
    <x v="0"/>
    <x v="4"/>
    <x v="4"/>
    <x v="90"/>
    <x v="81"/>
    <x v="81"/>
    <s v="REVENUS"/>
    <x v="6"/>
    <s v="4221.002"/>
    <s v="Intérêts compensat. sur impôts distincts"/>
    <n v="0"/>
    <n v="0.8"/>
    <n v="4221"/>
  </r>
  <r>
    <x v="0"/>
    <x v="4"/>
    <x v="4"/>
    <x v="91"/>
    <x v="82"/>
    <x v="82"/>
    <s v="CHARGES"/>
    <x v="0"/>
    <s v="3212.002"/>
    <s v="Intérêts bonifiés/trop perçu acompte C/C"/>
    <n v="2.5099999999999998"/>
    <n v="0"/>
    <n v="3212"/>
  </r>
  <r>
    <x v="0"/>
    <x v="4"/>
    <x v="4"/>
    <x v="91"/>
    <x v="82"/>
    <x v="82"/>
    <s v="CHARGES"/>
    <x v="0"/>
    <s v="3212.004"/>
    <s v="Intérêts rémun./perçu trop tôt sur acomptes C/C"/>
    <n v="233.5"/>
    <n v="0"/>
    <n v="3212"/>
  </r>
  <r>
    <x v="0"/>
    <x v="4"/>
    <x v="4"/>
    <x v="91"/>
    <x v="82"/>
    <x v="82"/>
    <s v="CHARGES"/>
    <x v="1"/>
    <s v="3301.001"/>
    <s v="Défalcations, abandons de solde PP et IS"/>
    <n v="2664.85"/>
    <n v="0"/>
    <n v="3301"/>
  </r>
  <r>
    <x v="0"/>
    <x v="4"/>
    <x v="4"/>
    <x v="91"/>
    <x v="82"/>
    <x v="82"/>
    <s v="CHARGES"/>
    <x v="0"/>
    <s v="3221.002"/>
    <s v="Intérêts compensatoires / créances en faveur ctb."/>
    <n v="226.99"/>
    <n v="0"/>
    <n v="3221"/>
  </r>
  <r>
    <x v="0"/>
    <x v="4"/>
    <x v="4"/>
    <x v="91"/>
    <x v="82"/>
    <x v="82"/>
    <s v="CHARGES"/>
    <x v="0"/>
    <s v="3212.004"/>
    <s v="Intérêts rémun./perçu trop tôt sur acomptes C/C"/>
    <n v="0.99"/>
    <n v="0"/>
    <n v="3212"/>
  </r>
  <r>
    <x v="0"/>
    <x v="4"/>
    <x v="4"/>
    <x v="91"/>
    <x v="82"/>
    <x v="82"/>
    <s v="CHARGES"/>
    <x v="0"/>
    <s v="3212.004"/>
    <s v="Intérêts rémun./perçu trop tôt sur acomptes C/C"/>
    <n v="2.4900000000000002"/>
    <n v="0"/>
    <n v="3212"/>
  </r>
  <r>
    <x v="0"/>
    <x v="4"/>
    <x v="4"/>
    <x v="91"/>
    <x v="82"/>
    <x v="82"/>
    <s v="CHARGES"/>
    <x v="0"/>
    <s v="3212.004"/>
    <s v="Intérêts rémun./perçu trop tôt sur acomptes C/C"/>
    <n v="1.17"/>
    <n v="0"/>
    <n v="3212"/>
  </r>
  <r>
    <x v="0"/>
    <x v="4"/>
    <x v="4"/>
    <x v="91"/>
    <x v="82"/>
    <x v="82"/>
    <s v="CHARGES"/>
    <x v="1"/>
    <s v="3301.001"/>
    <s v="Défalcations, abandons de solde PP et IS"/>
    <n v="602.66"/>
    <n v="0"/>
    <n v="3301"/>
  </r>
  <r>
    <x v="0"/>
    <x v="4"/>
    <x v="4"/>
    <x v="91"/>
    <x v="82"/>
    <x v="82"/>
    <s v="CHARGES"/>
    <x v="0"/>
    <s v="3221.002"/>
    <s v="Intérêts compensatoires / créances en faveur ctb."/>
    <n v="2.31"/>
    <n v="0"/>
    <n v="3221"/>
  </r>
  <r>
    <x v="0"/>
    <x v="4"/>
    <x v="4"/>
    <x v="91"/>
    <x v="82"/>
    <x v="82"/>
    <s v="CHARGES"/>
    <x v="1"/>
    <s v="3301.001"/>
    <s v="Défalcations, abandons de solde PP et IS"/>
    <n v="2.5"/>
    <n v="0"/>
    <n v="3301"/>
  </r>
  <r>
    <x v="0"/>
    <x v="4"/>
    <x v="4"/>
    <x v="91"/>
    <x v="82"/>
    <x v="82"/>
    <s v="CHARGES"/>
    <x v="1"/>
    <s v="3301.001"/>
    <s v="Défalcations, abandons de solde PP et IS"/>
    <n v="7.74"/>
    <n v="0"/>
    <n v="3301"/>
  </r>
  <r>
    <x v="0"/>
    <x v="4"/>
    <x v="4"/>
    <x v="91"/>
    <x v="82"/>
    <x v="82"/>
    <s v="CHARGES"/>
    <x v="1"/>
    <s v="3301.001"/>
    <s v="Défalcations, abandons de solde PP et IS"/>
    <n v="0.37"/>
    <n v="0"/>
    <n v="3301"/>
  </r>
  <r>
    <x v="0"/>
    <x v="4"/>
    <x v="4"/>
    <x v="91"/>
    <x v="82"/>
    <x v="82"/>
    <s v="CHARGES"/>
    <x v="0"/>
    <s v="3212.002"/>
    <s v="Intérêts bonifiés/trop perçu acompte C/C"/>
    <n v="0.75"/>
    <n v="0"/>
    <n v="3212"/>
  </r>
  <r>
    <x v="0"/>
    <x v="4"/>
    <x v="4"/>
    <x v="91"/>
    <x v="82"/>
    <x v="82"/>
    <s v="CHARGES"/>
    <x v="0"/>
    <s v="3221.002"/>
    <s v="Intérêts compensatoires / créances en faveur ctb."/>
    <n v="2.1800000000000002"/>
    <n v="0"/>
    <n v="3221"/>
  </r>
  <r>
    <x v="0"/>
    <x v="4"/>
    <x v="4"/>
    <x v="91"/>
    <x v="82"/>
    <x v="82"/>
    <s v="CHARGES"/>
    <x v="0"/>
    <s v="3212.004"/>
    <s v="Intérêts rémun./perçu trop tôt sur acomptes C/C"/>
    <n v="0.01"/>
    <n v="0"/>
    <n v="3212"/>
  </r>
  <r>
    <x v="0"/>
    <x v="4"/>
    <x v="4"/>
    <x v="91"/>
    <x v="82"/>
    <x v="82"/>
    <s v="CHARGES"/>
    <x v="0"/>
    <s v="3221.002"/>
    <s v="Intérêts compensatoires / créances en faveur ctb."/>
    <n v="0.01"/>
    <n v="0"/>
    <n v="3221"/>
  </r>
  <r>
    <x v="0"/>
    <x v="4"/>
    <x v="4"/>
    <x v="91"/>
    <x v="82"/>
    <x v="82"/>
    <s v="CHARGES"/>
    <x v="1"/>
    <s v="3301.001"/>
    <s v="Défalcations, abandons de solde PP et IS"/>
    <n v="0.02"/>
    <n v="0"/>
    <n v="3301"/>
  </r>
  <r>
    <x v="0"/>
    <x v="4"/>
    <x v="4"/>
    <x v="91"/>
    <x v="82"/>
    <x v="82"/>
    <s v="CHARGES"/>
    <x v="0"/>
    <s v="3221.002"/>
    <s v="Intérêts compensatoires / créances en faveur ctb."/>
    <n v="0.34"/>
    <n v="0"/>
    <n v="3221"/>
  </r>
  <r>
    <x v="0"/>
    <x v="4"/>
    <x v="4"/>
    <x v="91"/>
    <x v="82"/>
    <x v="82"/>
    <s v="REVENUS"/>
    <x v="2"/>
    <s v="4001.001"/>
    <s v="Impôt revenu"/>
    <n v="0"/>
    <n v="1067039.8500000001"/>
    <n v="4001"/>
  </r>
  <r>
    <x v="0"/>
    <x v="4"/>
    <x v="4"/>
    <x v="91"/>
    <x v="82"/>
    <x v="82"/>
    <s v="REVENUS"/>
    <x v="2"/>
    <s v="4001.003"/>
    <s v="Impôt s/prest. cap. PP"/>
    <n v="0"/>
    <n v="18577"/>
    <n v="4001"/>
  </r>
  <r>
    <x v="0"/>
    <x v="4"/>
    <x v="4"/>
    <x v="91"/>
    <x v="82"/>
    <x v="82"/>
    <s v="REVENUS"/>
    <x v="2"/>
    <s v="4001.007"/>
    <s v="Acompte impôt sur revenu"/>
    <n v="0"/>
    <n v="-139742.35"/>
    <n v="4001"/>
  </r>
  <r>
    <x v="0"/>
    <x v="4"/>
    <x v="4"/>
    <x v="91"/>
    <x v="82"/>
    <x v="82"/>
    <s v="REVENUS"/>
    <x v="6"/>
    <s v="4211.001"/>
    <s v="Intérêts de retard sur factures"/>
    <n v="0"/>
    <n v="4190.17"/>
    <n v="4211"/>
  </r>
  <r>
    <x v="0"/>
    <x v="4"/>
    <x v="4"/>
    <x v="91"/>
    <x v="82"/>
    <x v="82"/>
    <s v="REVENUS"/>
    <x v="6"/>
    <s v="4221.003"/>
    <s v="Intérêts compensat. / acomptes en faveur du fisc"/>
    <n v="0"/>
    <n v="176.13"/>
    <n v="4221"/>
  </r>
  <r>
    <x v="0"/>
    <x v="4"/>
    <x v="4"/>
    <x v="91"/>
    <x v="82"/>
    <x v="82"/>
    <s v="REVENUS"/>
    <x v="3"/>
    <s v="4002.001"/>
    <s v="Impôt ordinaire s/fortune PP"/>
    <n v="0"/>
    <n v="198429.85"/>
    <n v="4002"/>
  </r>
  <r>
    <x v="0"/>
    <x v="4"/>
    <x v="4"/>
    <x v="91"/>
    <x v="82"/>
    <x v="82"/>
    <s v="REVENUS"/>
    <x v="6"/>
    <s v="4211.002"/>
    <s v="Intérêts de retard sur acomptes"/>
    <n v="0"/>
    <n v="6474.81"/>
    <n v="4211"/>
  </r>
  <r>
    <x v="0"/>
    <x v="4"/>
    <x v="4"/>
    <x v="91"/>
    <x v="82"/>
    <x v="82"/>
    <s v="REVENUS"/>
    <x v="3"/>
    <s v="4002.007"/>
    <s v="Acompte impôt sur fortune"/>
    <n v="0"/>
    <n v="-30009.14"/>
    <n v="4002"/>
  </r>
  <r>
    <x v="0"/>
    <x v="4"/>
    <x v="4"/>
    <x v="91"/>
    <x v="82"/>
    <x v="82"/>
    <s v="REVENUS"/>
    <x v="6"/>
    <s v="4221.002"/>
    <s v="Intérêts compensat. sur impôts distincts"/>
    <n v="0"/>
    <n v="0.77"/>
    <n v="4221"/>
  </r>
  <r>
    <x v="0"/>
    <x v="4"/>
    <x v="4"/>
    <x v="91"/>
    <x v="82"/>
    <x v="82"/>
    <s v="REVENUS"/>
    <x v="7"/>
    <s v="4184.000"/>
    <s v="Frais de poursuite"/>
    <n v="0"/>
    <n v="259.2"/>
    <n v="4184"/>
  </r>
  <r>
    <x v="0"/>
    <x v="4"/>
    <x v="4"/>
    <x v="91"/>
    <x v="82"/>
    <x v="82"/>
    <s v="REVENUS"/>
    <x v="2"/>
    <s v="4001.007"/>
    <s v="Acompte impôt sur revenu"/>
    <n v="0"/>
    <n v="-1160"/>
    <n v="4001"/>
  </r>
  <r>
    <x v="0"/>
    <x v="4"/>
    <x v="4"/>
    <x v="91"/>
    <x v="82"/>
    <x v="82"/>
    <s v="REVENUS"/>
    <x v="3"/>
    <s v="4002.007"/>
    <s v="Acompte impôt sur fortune"/>
    <n v="0"/>
    <n v="-1675.2"/>
    <n v="4002"/>
  </r>
  <r>
    <x v="0"/>
    <x v="4"/>
    <x v="4"/>
    <x v="91"/>
    <x v="82"/>
    <x v="82"/>
    <s v="REVENUS"/>
    <x v="2"/>
    <s v="4001.001"/>
    <s v="Impôt revenu"/>
    <n v="0"/>
    <n v="3029.35"/>
    <n v="4001"/>
  </r>
  <r>
    <x v="0"/>
    <x v="4"/>
    <x v="4"/>
    <x v="91"/>
    <x v="82"/>
    <x v="82"/>
    <s v="REVENUS"/>
    <x v="3"/>
    <s v="4002.001"/>
    <s v="Impôt ordinaire s/fortune PP"/>
    <n v="0"/>
    <n v="257.85000000000002"/>
    <n v="4002"/>
  </r>
  <r>
    <x v="0"/>
    <x v="4"/>
    <x v="4"/>
    <x v="91"/>
    <x v="82"/>
    <x v="82"/>
    <s v="REVENUS"/>
    <x v="3"/>
    <s v="4002.007"/>
    <s v="Acompte impôt sur fortune"/>
    <n v="0"/>
    <n v="-145.6"/>
    <n v="4002"/>
  </r>
  <r>
    <x v="0"/>
    <x v="4"/>
    <x v="4"/>
    <x v="91"/>
    <x v="82"/>
    <x v="82"/>
    <s v="REVENUS"/>
    <x v="6"/>
    <s v="4211.002"/>
    <s v="Intérêts de retard sur acomptes"/>
    <n v="0"/>
    <n v="1.39"/>
    <n v="4211"/>
  </r>
  <r>
    <x v="0"/>
    <x v="4"/>
    <x v="4"/>
    <x v="91"/>
    <x v="82"/>
    <x v="82"/>
    <s v="REVENUS"/>
    <x v="6"/>
    <s v="4221.003"/>
    <s v="Intérêts compensat. / acomptes en faveur du fisc"/>
    <n v="0"/>
    <n v="0.37"/>
    <n v="4221"/>
  </r>
  <r>
    <x v="0"/>
    <x v="4"/>
    <x v="4"/>
    <x v="91"/>
    <x v="82"/>
    <x v="82"/>
    <s v="REVENUS"/>
    <x v="3"/>
    <s v="4002.007"/>
    <s v="Acompte impôt sur fortune"/>
    <n v="0"/>
    <n v="-1"/>
    <n v="4002"/>
  </r>
  <r>
    <x v="0"/>
    <x v="4"/>
    <x v="4"/>
    <x v="91"/>
    <x v="82"/>
    <x v="82"/>
    <s v="REVENUS"/>
    <x v="2"/>
    <s v="4001.007"/>
    <s v="Acompte impôt sur revenu"/>
    <n v="0"/>
    <n v="-4066.55"/>
    <n v="4001"/>
  </r>
  <r>
    <x v="0"/>
    <x v="4"/>
    <x v="4"/>
    <x v="91"/>
    <x v="82"/>
    <x v="82"/>
    <s v="REVENUS"/>
    <x v="3"/>
    <s v="4002.007"/>
    <s v="Acompte impôt sur fortune"/>
    <n v="0"/>
    <n v="-1683.45"/>
    <n v="4002"/>
  </r>
  <r>
    <x v="0"/>
    <x v="4"/>
    <x v="4"/>
    <x v="91"/>
    <x v="82"/>
    <x v="82"/>
    <s v="REVENUS"/>
    <x v="2"/>
    <s v="4001.002"/>
    <s v="Impôt complément s/revenu PP"/>
    <n v="0"/>
    <n v="110600.05"/>
    <n v="4001"/>
  </r>
  <r>
    <x v="0"/>
    <x v="4"/>
    <x v="4"/>
    <x v="91"/>
    <x v="82"/>
    <x v="82"/>
    <s v="REVENUS"/>
    <x v="2"/>
    <s v="4001.007"/>
    <s v="Acompte impôt sur revenu"/>
    <n v="0"/>
    <n v="-30.9"/>
    <n v="4001"/>
  </r>
  <r>
    <x v="0"/>
    <x v="4"/>
    <x v="4"/>
    <x v="91"/>
    <x v="82"/>
    <x v="82"/>
    <s v="REVENUS"/>
    <x v="3"/>
    <s v="4002.007"/>
    <s v="Acompte impôt sur fortune"/>
    <n v="0"/>
    <n v="-3.9"/>
    <n v="4002"/>
  </r>
  <r>
    <x v="0"/>
    <x v="4"/>
    <x v="4"/>
    <x v="91"/>
    <x v="82"/>
    <x v="82"/>
    <s v="REVENUS"/>
    <x v="3"/>
    <s v="4002.002"/>
    <s v="Impôt complémentaire s/fortune PP"/>
    <n v="0"/>
    <n v="7346.8"/>
    <n v="4002"/>
  </r>
  <r>
    <x v="0"/>
    <x v="4"/>
    <x v="4"/>
    <x v="91"/>
    <x v="82"/>
    <x v="82"/>
    <s v="REVENUS"/>
    <x v="7"/>
    <s v="4184.000"/>
    <s v="Frais de poursuite"/>
    <n v="0"/>
    <n v="587.58000000000004"/>
    <n v="4184"/>
  </r>
  <r>
    <x v="0"/>
    <x v="4"/>
    <x v="4"/>
    <x v="91"/>
    <x v="82"/>
    <x v="82"/>
    <s v="REVENUS"/>
    <x v="2"/>
    <s v="4001.007"/>
    <s v="Acompte impôt sur revenu"/>
    <n v="0"/>
    <n v="2.8"/>
    <n v="4001"/>
  </r>
  <r>
    <x v="0"/>
    <x v="4"/>
    <x v="4"/>
    <x v="91"/>
    <x v="82"/>
    <x v="82"/>
    <s v="REVENUS"/>
    <x v="6"/>
    <s v="4211.001"/>
    <s v="Intérêts de retard sur factures"/>
    <n v="0"/>
    <n v="7.46"/>
    <n v="4211"/>
  </r>
  <r>
    <x v="0"/>
    <x v="4"/>
    <x v="4"/>
    <x v="91"/>
    <x v="82"/>
    <x v="82"/>
    <s v="REVENUS"/>
    <x v="2"/>
    <s v="4001.001"/>
    <s v="Impôt revenu"/>
    <n v="0"/>
    <n v="2877.95"/>
    <n v="4001"/>
  </r>
  <r>
    <x v="0"/>
    <x v="4"/>
    <x v="4"/>
    <x v="91"/>
    <x v="82"/>
    <x v="82"/>
    <s v="REVENUS"/>
    <x v="3"/>
    <s v="4002.001"/>
    <s v="Impôt ordinaire s/fortune PP"/>
    <n v="0"/>
    <n v="1546.65"/>
    <n v="4002"/>
  </r>
  <r>
    <x v="0"/>
    <x v="4"/>
    <x v="4"/>
    <x v="91"/>
    <x v="82"/>
    <x v="82"/>
    <s v="REVENUS"/>
    <x v="2"/>
    <s v="4001.001"/>
    <s v="Impôt revenu"/>
    <n v="0"/>
    <n v="13712.9"/>
    <n v="4001"/>
  </r>
  <r>
    <x v="0"/>
    <x v="4"/>
    <x v="4"/>
    <x v="91"/>
    <x v="82"/>
    <x v="82"/>
    <s v="REVENUS"/>
    <x v="3"/>
    <s v="4002.001"/>
    <s v="Impôt ordinaire s/fortune PP"/>
    <n v="0"/>
    <n v="1296.25"/>
    <n v="4002"/>
  </r>
  <r>
    <x v="0"/>
    <x v="4"/>
    <x v="4"/>
    <x v="91"/>
    <x v="82"/>
    <x v="82"/>
    <s v="REVENUS"/>
    <x v="6"/>
    <s v="4211.002"/>
    <s v="Intérêts de retard sur acomptes"/>
    <n v="0"/>
    <n v="77.84"/>
    <n v="4211"/>
  </r>
  <r>
    <x v="0"/>
    <x v="4"/>
    <x v="4"/>
    <x v="91"/>
    <x v="82"/>
    <x v="82"/>
    <s v="REVENUS"/>
    <x v="6"/>
    <s v="4221.003"/>
    <s v="Intérêts compensat. / acomptes en faveur du fisc"/>
    <n v="0"/>
    <n v="1.38"/>
    <n v="4221"/>
  </r>
  <r>
    <x v="0"/>
    <x v="4"/>
    <x v="4"/>
    <x v="91"/>
    <x v="82"/>
    <x v="82"/>
    <s v="REVENUS"/>
    <x v="6"/>
    <s v="4211.002"/>
    <s v="Intérêts de retard sur acomptes"/>
    <n v="0"/>
    <n v="17.829999999999998"/>
    <n v="4211"/>
  </r>
  <r>
    <x v="0"/>
    <x v="4"/>
    <x v="4"/>
    <x v="91"/>
    <x v="82"/>
    <x v="82"/>
    <s v="REVENUS"/>
    <x v="6"/>
    <s v="4221.003"/>
    <s v="Intérêts compensat. / acomptes en faveur du fisc"/>
    <n v="0"/>
    <n v="0.2"/>
    <n v="4221"/>
  </r>
  <r>
    <x v="0"/>
    <x v="4"/>
    <x v="4"/>
    <x v="91"/>
    <x v="82"/>
    <x v="82"/>
    <s v="REVENUS"/>
    <x v="2"/>
    <s v="4001.002"/>
    <s v="Impôt complément s/revenu PP"/>
    <n v="0"/>
    <n v="1739.75"/>
    <n v="4001"/>
  </r>
  <r>
    <x v="0"/>
    <x v="4"/>
    <x v="4"/>
    <x v="91"/>
    <x v="82"/>
    <x v="82"/>
    <s v="REVENUS"/>
    <x v="3"/>
    <s v="4002.002"/>
    <s v="Impôt complémentaire s/fortune PP"/>
    <n v="0"/>
    <n v="127.5"/>
    <n v="4002"/>
  </r>
  <r>
    <x v="0"/>
    <x v="4"/>
    <x v="4"/>
    <x v="91"/>
    <x v="82"/>
    <x v="82"/>
    <s v="REVENUS"/>
    <x v="6"/>
    <s v="4211.001"/>
    <s v="Intérêts de retard sur factures"/>
    <n v="0"/>
    <n v="1.32"/>
    <n v="4211"/>
  </r>
  <r>
    <x v="0"/>
    <x v="4"/>
    <x v="4"/>
    <x v="91"/>
    <x v="82"/>
    <x v="82"/>
    <s v="REVENUS"/>
    <x v="2"/>
    <s v="4001.002"/>
    <s v="Impôt complément s/revenu PP"/>
    <n v="0"/>
    <n v="3018.8"/>
    <n v="4001"/>
  </r>
  <r>
    <x v="0"/>
    <x v="4"/>
    <x v="4"/>
    <x v="91"/>
    <x v="82"/>
    <x v="82"/>
    <s v="REVENUS"/>
    <x v="3"/>
    <s v="4002.002"/>
    <s v="Impôt complémentaire s/fortune PP"/>
    <n v="0"/>
    <n v="1106.1500000000001"/>
    <n v="4002"/>
  </r>
  <r>
    <x v="0"/>
    <x v="4"/>
    <x v="4"/>
    <x v="91"/>
    <x v="82"/>
    <x v="82"/>
    <s v="REVENUS"/>
    <x v="3"/>
    <s v="4002.001"/>
    <s v="Impôt ordinaire s/fortune PP"/>
    <n v="0"/>
    <n v="233.5"/>
    <n v="4002"/>
  </r>
  <r>
    <x v="0"/>
    <x v="4"/>
    <x v="4"/>
    <x v="91"/>
    <x v="82"/>
    <x v="82"/>
    <s v="REVENUS"/>
    <x v="7"/>
    <s v="4184.000"/>
    <s v="Frais de poursuite"/>
    <n v="0"/>
    <n v="187.49"/>
    <n v="4184"/>
  </r>
  <r>
    <x v="0"/>
    <x v="4"/>
    <x v="4"/>
    <x v="91"/>
    <x v="82"/>
    <x v="82"/>
    <s v="REVENUS"/>
    <x v="5"/>
    <s v="4061.000"/>
    <s v="Impôt sur les chiens"/>
    <n v="0"/>
    <n v="2610"/>
    <n v="4061"/>
  </r>
  <r>
    <x v="0"/>
    <x v="4"/>
    <x v="4"/>
    <x v="91"/>
    <x v="82"/>
    <x v="82"/>
    <s v="REVENUS"/>
    <x v="2"/>
    <s v="4001.001"/>
    <s v="Impôt revenu"/>
    <n v="0"/>
    <n v="353.1"/>
    <n v="4001"/>
  </r>
  <r>
    <x v="0"/>
    <x v="4"/>
    <x v="4"/>
    <x v="91"/>
    <x v="82"/>
    <x v="82"/>
    <s v="REVENUS"/>
    <x v="3"/>
    <s v="4002.001"/>
    <s v="Impôt ordinaire s/fortune PP"/>
    <n v="0"/>
    <n v="11.9"/>
    <n v="4002"/>
  </r>
  <r>
    <x v="0"/>
    <x v="4"/>
    <x v="4"/>
    <x v="91"/>
    <x v="82"/>
    <x v="82"/>
    <s v="REVENUS"/>
    <x v="6"/>
    <s v="4211.001"/>
    <s v="Intérêts de retard sur factures"/>
    <n v="0"/>
    <n v="16.47"/>
    <n v="4211"/>
  </r>
  <r>
    <x v="0"/>
    <x v="4"/>
    <x v="4"/>
    <x v="91"/>
    <x v="82"/>
    <x v="82"/>
    <s v="REVENUS"/>
    <x v="10"/>
    <s v="4041.001"/>
    <s v="Droits de mutation"/>
    <n v="0"/>
    <n v="13194.15"/>
    <n v="4041"/>
  </r>
  <r>
    <x v="0"/>
    <x v="4"/>
    <x v="4"/>
    <x v="91"/>
    <x v="82"/>
    <x v="82"/>
    <s v="REVENUS"/>
    <x v="6"/>
    <s v="4211.001"/>
    <s v="Intérêts de retard sur factures"/>
    <n v="0"/>
    <n v="0.02"/>
    <n v="4211"/>
  </r>
  <r>
    <x v="0"/>
    <x v="4"/>
    <x v="4"/>
    <x v="91"/>
    <x v="82"/>
    <x v="82"/>
    <s v="REVENUS"/>
    <x v="4"/>
    <s v="4051.001"/>
    <s v="Impôt sur les successions"/>
    <n v="0"/>
    <n v="708.4"/>
    <n v="4051"/>
  </r>
  <r>
    <x v="0"/>
    <x v="4"/>
    <x v="4"/>
    <x v="91"/>
    <x v="82"/>
    <x v="82"/>
    <s v="REVENUS"/>
    <x v="6"/>
    <s v="4221.002"/>
    <s v="Intérêts compensat. sur impôts distincts"/>
    <n v="0"/>
    <n v="3.19"/>
    <n v="4221"/>
  </r>
  <r>
    <x v="0"/>
    <x v="4"/>
    <x v="4"/>
    <x v="91"/>
    <x v="82"/>
    <x v="82"/>
    <s v="REVENUS"/>
    <x v="2"/>
    <s v="4001.001"/>
    <s v="Impôt revenu"/>
    <n v="0"/>
    <n v="3733.55"/>
    <n v="4001"/>
  </r>
  <r>
    <x v="0"/>
    <x v="4"/>
    <x v="4"/>
    <x v="91"/>
    <x v="82"/>
    <x v="82"/>
    <s v="REVENUS"/>
    <x v="6"/>
    <s v="4211.002"/>
    <s v="Intérêts de retard sur acomptes"/>
    <n v="0"/>
    <n v="25.08"/>
    <n v="4211"/>
  </r>
  <r>
    <x v="0"/>
    <x v="4"/>
    <x v="4"/>
    <x v="92"/>
    <x v="83"/>
    <x v="83"/>
    <s v="CHARGES"/>
    <x v="1"/>
    <s v="3301.001"/>
    <s v="Défalcations, abandons de solde PP et IS"/>
    <n v="2116.86"/>
    <n v="0"/>
    <n v="3301"/>
  </r>
  <r>
    <x v="0"/>
    <x v="4"/>
    <x v="4"/>
    <x v="92"/>
    <x v="83"/>
    <x v="83"/>
    <s v="CHARGES"/>
    <x v="0"/>
    <s v="3212.004"/>
    <s v="Intérêts rémun./perçu trop tôt sur acomptes C/C"/>
    <n v="295.32"/>
    <n v="0"/>
    <n v="3212"/>
  </r>
  <r>
    <x v="0"/>
    <x v="4"/>
    <x v="4"/>
    <x v="92"/>
    <x v="83"/>
    <x v="83"/>
    <s v="CHARGES"/>
    <x v="0"/>
    <s v="3221.002"/>
    <s v="Intérêts compensatoires / créances en faveur ctb."/>
    <n v="219.52"/>
    <n v="0"/>
    <n v="3221"/>
  </r>
  <r>
    <x v="0"/>
    <x v="4"/>
    <x v="4"/>
    <x v="92"/>
    <x v="83"/>
    <x v="83"/>
    <s v="CHARGES"/>
    <x v="0"/>
    <s v="3212.004"/>
    <s v="Intérêts rémun./perçu trop tôt sur acomptes C/C"/>
    <n v="0.81"/>
    <n v="0"/>
    <n v="3212"/>
  </r>
  <r>
    <x v="0"/>
    <x v="4"/>
    <x v="4"/>
    <x v="92"/>
    <x v="83"/>
    <x v="83"/>
    <s v="CHARGES"/>
    <x v="0"/>
    <s v="3221.002"/>
    <s v="Intérêts compensatoires / créances en faveur ctb."/>
    <n v="0.62"/>
    <n v="0"/>
    <n v="3221"/>
  </r>
  <r>
    <x v="0"/>
    <x v="4"/>
    <x v="4"/>
    <x v="92"/>
    <x v="83"/>
    <x v="83"/>
    <s v="CHARGES"/>
    <x v="1"/>
    <s v="3301.001"/>
    <s v="Défalcations, abandons de solde PP et IS"/>
    <n v="0.63"/>
    <n v="0"/>
    <n v="3301"/>
  </r>
  <r>
    <x v="0"/>
    <x v="4"/>
    <x v="4"/>
    <x v="92"/>
    <x v="83"/>
    <x v="83"/>
    <s v="CHARGES"/>
    <x v="0"/>
    <s v="3212.004"/>
    <s v="Intérêts rémun./perçu trop tôt sur acomptes C/C"/>
    <n v="4.28"/>
    <n v="0"/>
    <n v="3212"/>
  </r>
  <r>
    <x v="0"/>
    <x v="4"/>
    <x v="4"/>
    <x v="92"/>
    <x v="83"/>
    <x v="83"/>
    <s v="CHARGES"/>
    <x v="1"/>
    <s v="3301.001"/>
    <s v="Défalcations, abandons de solde PP et IS"/>
    <n v="0.75"/>
    <n v="0"/>
    <n v="3301"/>
  </r>
  <r>
    <x v="0"/>
    <x v="4"/>
    <x v="4"/>
    <x v="92"/>
    <x v="83"/>
    <x v="83"/>
    <s v="CHARGES"/>
    <x v="0"/>
    <s v="3212.002"/>
    <s v="Intérêts bonifiés/trop perçu acompte C/C"/>
    <n v="1.96"/>
    <n v="0"/>
    <n v="3212"/>
  </r>
  <r>
    <x v="0"/>
    <x v="4"/>
    <x v="4"/>
    <x v="92"/>
    <x v="83"/>
    <x v="83"/>
    <s v="CHARGES"/>
    <x v="0"/>
    <s v="3212.004"/>
    <s v="Intérêts rémun./perçu trop tôt sur acomptes C/C"/>
    <n v="4.5"/>
    <n v="0"/>
    <n v="3212"/>
  </r>
  <r>
    <x v="0"/>
    <x v="4"/>
    <x v="4"/>
    <x v="92"/>
    <x v="83"/>
    <x v="83"/>
    <s v="CHARGES"/>
    <x v="1"/>
    <s v="3301.001"/>
    <s v="Défalcations, abandons de solde PP et IS"/>
    <n v="0.5"/>
    <n v="0"/>
    <n v="3301"/>
  </r>
  <r>
    <x v="0"/>
    <x v="4"/>
    <x v="4"/>
    <x v="92"/>
    <x v="83"/>
    <x v="83"/>
    <s v="CHARGES"/>
    <x v="0"/>
    <s v="3221.002"/>
    <s v="Intérêts compensatoires / créances en faveur ctb."/>
    <n v="6.16"/>
    <n v="0"/>
    <n v="3221"/>
  </r>
  <r>
    <x v="0"/>
    <x v="4"/>
    <x v="4"/>
    <x v="92"/>
    <x v="83"/>
    <x v="83"/>
    <s v="CHARGES"/>
    <x v="0"/>
    <s v="3212.002"/>
    <s v="Intérêts bonifiés/trop perçu acompte C/C"/>
    <n v="0.02"/>
    <n v="0"/>
    <n v="3212"/>
  </r>
  <r>
    <x v="0"/>
    <x v="4"/>
    <x v="4"/>
    <x v="92"/>
    <x v="83"/>
    <x v="83"/>
    <s v="CHARGES"/>
    <x v="1"/>
    <s v="3301.001"/>
    <s v="Défalcations, abandons de solde PP et IS"/>
    <n v="128.91999999999999"/>
    <n v="0"/>
    <n v="3301"/>
  </r>
  <r>
    <x v="0"/>
    <x v="4"/>
    <x v="4"/>
    <x v="92"/>
    <x v="83"/>
    <x v="83"/>
    <s v="CHARGES"/>
    <x v="0"/>
    <s v="3212.004"/>
    <s v="Intérêts rémun./perçu trop tôt sur acomptes C/C"/>
    <n v="0.01"/>
    <n v="0"/>
    <n v="3212"/>
  </r>
  <r>
    <x v="0"/>
    <x v="4"/>
    <x v="4"/>
    <x v="92"/>
    <x v="83"/>
    <x v="83"/>
    <s v="CHARGES"/>
    <x v="0"/>
    <s v="3221.002"/>
    <s v="Intérêts compensatoires / créances en faveur ctb."/>
    <n v="0.08"/>
    <n v="0"/>
    <n v="3221"/>
  </r>
  <r>
    <x v="0"/>
    <x v="4"/>
    <x v="4"/>
    <x v="92"/>
    <x v="83"/>
    <x v="83"/>
    <s v="REVENUS"/>
    <x v="2"/>
    <s v="4001.001"/>
    <s v="Impôt revenu"/>
    <n v="0"/>
    <n v="1040980"/>
    <n v="4001"/>
  </r>
  <r>
    <x v="0"/>
    <x v="4"/>
    <x v="4"/>
    <x v="92"/>
    <x v="83"/>
    <x v="83"/>
    <s v="REVENUS"/>
    <x v="2"/>
    <s v="4001.007"/>
    <s v="Acompte impôt sur revenu"/>
    <n v="0"/>
    <n v="-327605.53000000003"/>
    <n v="4001"/>
  </r>
  <r>
    <x v="0"/>
    <x v="4"/>
    <x v="4"/>
    <x v="92"/>
    <x v="83"/>
    <x v="83"/>
    <s v="REVENUS"/>
    <x v="3"/>
    <s v="4002.001"/>
    <s v="Impôt ordinaire s/fortune PP"/>
    <n v="0"/>
    <n v="151815.79999999999"/>
    <n v="4002"/>
  </r>
  <r>
    <x v="0"/>
    <x v="4"/>
    <x v="4"/>
    <x v="92"/>
    <x v="83"/>
    <x v="83"/>
    <s v="REVENUS"/>
    <x v="3"/>
    <s v="4002.007"/>
    <s v="Acompte impôt sur fortune"/>
    <n v="0"/>
    <n v="-119026.82"/>
    <n v="4002"/>
  </r>
  <r>
    <x v="0"/>
    <x v="4"/>
    <x v="4"/>
    <x v="92"/>
    <x v="83"/>
    <x v="83"/>
    <s v="REVENUS"/>
    <x v="6"/>
    <s v="4221.003"/>
    <s v="Intérêts compensat. / acomptes en faveur du fisc"/>
    <n v="0"/>
    <n v="144.28"/>
    <n v="4221"/>
  </r>
  <r>
    <x v="0"/>
    <x v="4"/>
    <x v="4"/>
    <x v="92"/>
    <x v="83"/>
    <x v="83"/>
    <s v="REVENUS"/>
    <x v="2"/>
    <s v="4001.002"/>
    <s v="Impôt complément s/revenu PP"/>
    <n v="0"/>
    <n v="92797.45"/>
    <n v="4001"/>
  </r>
  <r>
    <x v="0"/>
    <x v="4"/>
    <x v="4"/>
    <x v="92"/>
    <x v="83"/>
    <x v="83"/>
    <s v="REVENUS"/>
    <x v="6"/>
    <s v="4211.002"/>
    <s v="Intérêts de retard sur acomptes"/>
    <n v="0"/>
    <n v="3417.61"/>
    <n v="4211"/>
  </r>
  <r>
    <x v="0"/>
    <x v="4"/>
    <x v="4"/>
    <x v="92"/>
    <x v="83"/>
    <x v="83"/>
    <s v="REVENUS"/>
    <x v="3"/>
    <s v="4002.002"/>
    <s v="Impôt complémentaire s/fortune PP"/>
    <n v="0"/>
    <n v="33428"/>
    <n v="4002"/>
  </r>
  <r>
    <x v="0"/>
    <x v="4"/>
    <x v="4"/>
    <x v="92"/>
    <x v="83"/>
    <x v="83"/>
    <s v="REVENUS"/>
    <x v="6"/>
    <s v="4211.001"/>
    <s v="Intérêts de retard sur factures"/>
    <n v="0"/>
    <n v="1052.8499999999999"/>
    <n v="4211"/>
  </r>
  <r>
    <x v="0"/>
    <x v="4"/>
    <x v="4"/>
    <x v="92"/>
    <x v="83"/>
    <x v="83"/>
    <s v="REVENUS"/>
    <x v="2"/>
    <s v="4001.001"/>
    <s v="Impôt revenu"/>
    <n v="0"/>
    <n v="4130.25"/>
    <n v="4001"/>
  </r>
  <r>
    <x v="0"/>
    <x v="4"/>
    <x v="4"/>
    <x v="92"/>
    <x v="83"/>
    <x v="83"/>
    <s v="REVENUS"/>
    <x v="6"/>
    <s v="4211.002"/>
    <s v="Intérêts de retard sur acomptes"/>
    <n v="0"/>
    <n v="33.75"/>
    <n v="4211"/>
  </r>
  <r>
    <x v="0"/>
    <x v="4"/>
    <x v="4"/>
    <x v="92"/>
    <x v="83"/>
    <x v="83"/>
    <s v="REVENUS"/>
    <x v="6"/>
    <s v="4221.003"/>
    <s v="Intérêts compensat. / acomptes en faveur du fisc"/>
    <n v="0"/>
    <n v="1.1499999999999999"/>
    <n v="4221"/>
  </r>
  <r>
    <x v="0"/>
    <x v="4"/>
    <x v="4"/>
    <x v="92"/>
    <x v="83"/>
    <x v="83"/>
    <s v="REVENUS"/>
    <x v="9"/>
    <s v="4031.001"/>
    <s v="Impôt sur les gains immobiliers"/>
    <n v="0"/>
    <n v="22071.25"/>
    <n v="4031"/>
  </r>
  <r>
    <x v="0"/>
    <x v="4"/>
    <x v="4"/>
    <x v="92"/>
    <x v="83"/>
    <x v="83"/>
    <s v="REVENUS"/>
    <x v="6"/>
    <s v="4221.002"/>
    <s v="Intérêts compensat. sur impôts distincts"/>
    <n v="0"/>
    <n v="2.0699999999999998"/>
    <n v="4221"/>
  </r>
  <r>
    <x v="0"/>
    <x v="4"/>
    <x v="4"/>
    <x v="92"/>
    <x v="83"/>
    <x v="83"/>
    <s v="REVENUS"/>
    <x v="2"/>
    <s v="4001.007"/>
    <s v="Acompte impôt sur revenu"/>
    <n v="0"/>
    <n v="-527.24"/>
    <n v="4001"/>
  </r>
  <r>
    <x v="0"/>
    <x v="4"/>
    <x v="4"/>
    <x v="92"/>
    <x v="83"/>
    <x v="83"/>
    <s v="REVENUS"/>
    <x v="2"/>
    <s v="4001.007"/>
    <s v="Acompte impôt sur revenu"/>
    <n v="0"/>
    <n v="-110.96"/>
    <n v="4001"/>
  </r>
  <r>
    <x v="0"/>
    <x v="4"/>
    <x v="4"/>
    <x v="92"/>
    <x v="83"/>
    <x v="83"/>
    <s v="REVENUS"/>
    <x v="3"/>
    <s v="4002.007"/>
    <s v="Acompte impôt sur fortune"/>
    <n v="0"/>
    <n v="-445.33"/>
    <n v="4002"/>
  </r>
  <r>
    <x v="0"/>
    <x v="4"/>
    <x v="4"/>
    <x v="92"/>
    <x v="83"/>
    <x v="83"/>
    <s v="REVENUS"/>
    <x v="2"/>
    <s v="4001.001"/>
    <s v="Impôt revenu"/>
    <n v="0"/>
    <n v="7561.4"/>
    <n v="4001"/>
  </r>
  <r>
    <x v="0"/>
    <x v="4"/>
    <x v="4"/>
    <x v="92"/>
    <x v="83"/>
    <x v="83"/>
    <s v="REVENUS"/>
    <x v="2"/>
    <s v="4001.007"/>
    <s v="Acompte impôt sur revenu"/>
    <n v="0"/>
    <n v="-2509.5100000000002"/>
    <n v="4001"/>
  </r>
  <r>
    <x v="0"/>
    <x v="4"/>
    <x v="4"/>
    <x v="92"/>
    <x v="83"/>
    <x v="83"/>
    <s v="REVENUS"/>
    <x v="3"/>
    <s v="4002.001"/>
    <s v="Impôt ordinaire s/fortune PP"/>
    <n v="0"/>
    <n v="3213"/>
    <n v="4002"/>
  </r>
  <r>
    <x v="0"/>
    <x v="4"/>
    <x v="4"/>
    <x v="92"/>
    <x v="83"/>
    <x v="83"/>
    <s v="REVENUS"/>
    <x v="3"/>
    <s v="4002.007"/>
    <s v="Acompte impôt sur fortune"/>
    <n v="0"/>
    <n v="-939.37"/>
    <n v="4002"/>
  </r>
  <r>
    <x v="0"/>
    <x v="4"/>
    <x v="4"/>
    <x v="92"/>
    <x v="83"/>
    <x v="83"/>
    <s v="REVENUS"/>
    <x v="6"/>
    <s v="4221.003"/>
    <s v="Intérêts compensat. / acomptes en faveur du fisc"/>
    <n v="0"/>
    <n v="1.21"/>
    <n v="4221"/>
  </r>
  <r>
    <x v="0"/>
    <x v="4"/>
    <x v="4"/>
    <x v="92"/>
    <x v="83"/>
    <x v="83"/>
    <s v="REVENUS"/>
    <x v="3"/>
    <s v="4002.007"/>
    <s v="Acompte impôt sur fortune"/>
    <n v="0"/>
    <n v="398.95"/>
    <n v="4002"/>
  </r>
  <r>
    <x v="0"/>
    <x v="4"/>
    <x v="4"/>
    <x v="92"/>
    <x v="83"/>
    <x v="83"/>
    <s v="REVENUS"/>
    <x v="2"/>
    <s v="4001.007"/>
    <s v="Acompte impôt sur revenu"/>
    <n v="0"/>
    <n v="-1586.67"/>
    <n v="4001"/>
  </r>
  <r>
    <x v="0"/>
    <x v="4"/>
    <x v="4"/>
    <x v="92"/>
    <x v="83"/>
    <x v="83"/>
    <s v="REVENUS"/>
    <x v="7"/>
    <s v="4184.000"/>
    <s v="Frais de poursuite"/>
    <n v="0"/>
    <n v="106.21"/>
    <n v="4184"/>
  </r>
  <r>
    <x v="0"/>
    <x v="4"/>
    <x v="4"/>
    <x v="92"/>
    <x v="83"/>
    <x v="83"/>
    <s v="REVENUS"/>
    <x v="2"/>
    <s v="4001.007"/>
    <s v="Acompte impôt sur revenu"/>
    <n v="0"/>
    <n v="1.82"/>
    <n v="4001"/>
  </r>
  <r>
    <x v="0"/>
    <x v="4"/>
    <x v="4"/>
    <x v="92"/>
    <x v="83"/>
    <x v="83"/>
    <s v="REVENUS"/>
    <x v="3"/>
    <s v="4002.007"/>
    <s v="Acompte impôt sur fortune"/>
    <n v="0"/>
    <n v="0.1"/>
    <n v="4002"/>
  </r>
  <r>
    <x v="0"/>
    <x v="4"/>
    <x v="4"/>
    <x v="92"/>
    <x v="83"/>
    <x v="83"/>
    <s v="REVENUS"/>
    <x v="3"/>
    <s v="4002.001"/>
    <s v="Impôt ordinaire s/fortune PP"/>
    <n v="0"/>
    <n v="1512.3"/>
    <n v="4002"/>
  </r>
  <r>
    <x v="0"/>
    <x v="4"/>
    <x v="4"/>
    <x v="92"/>
    <x v="83"/>
    <x v="83"/>
    <s v="REVENUS"/>
    <x v="6"/>
    <s v="4211.002"/>
    <s v="Intérêts de retard sur acomptes"/>
    <n v="0"/>
    <n v="0"/>
    <n v="4211"/>
  </r>
  <r>
    <x v="0"/>
    <x v="4"/>
    <x v="4"/>
    <x v="92"/>
    <x v="83"/>
    <x v="83"/>
    <s v="REVENUS"/>
    <x v="2"/>
    <s v="4001.003"/>
    <s v="Impôt s/prest. cap. PP"/>
    <n v="0"/>
    <n v="5421.25"/>
    <n v="4001"/>
  </r>
  <r>
    <x v="0"/>
    <x v="4"/>
    <x v="4"/>
    <x v="92"/>
    <x v="83"/>
    <x v="83"/>
    <s v="REVENUS"/>
    <x v="2"/>
    <s v="4001.001"/>
    <s v="Impôt revenu"/>
    <n v="0"/>
    <n v="-7034.95"/>
    <n v="4001"/>
  </r>
  <r>
    <x v="0"/>
    <x v="4"/>
    <x v="4"/>
    <x v="92"/>
    <x v="83"/>
    <x v="83"/>
    <s v="REVENUS"/>
    <x v="3"/>
    <s v="4002.001"/>
    <s v="Impôt ordinaire s/fortune PP"/>
    <n v="0"/>
    <n v="-1531.15"/>
    <n v="4002"/>
  </r>
  <r>
    <x v="0"/>
    <x v="4"/>
    <x v="4"/>
    <x v="92"/>
    <x v="83"/>
    <x v="83"/>
    <s v="REVENUS"/>
    <x v="6"/>
    <s v="4221.003"/>
    <s v="Intérêts compensat. / acomptes en faveur du fisc"/>
    <n v="0"/>
    <n v="2.16"/>
    <n v="4221"/>
  </r>
  <r>
    <x v="0"/>
    <x v="4"/>
    <x v="4"/>
    <x v="92"/>
    <x v="83"/>
    <x v="83"/>
    <s v="REVENUS"/>
    <x v="8"/>
    <s v="4091.001"/>
    <s v="Impôt récupéré après défalcations"/>
    <n v="0"/>
    <n v="1945.2"/>
    <n v="4091"/>
  </r>
  <r>
    <x v="0"/>
    <x v="4"/>
    <x v="4"/>
    <x v="92"/>
    <x v="83"/>
    <x v="83"/>
    <s v="REVENUS"/>
    <x v="6"/>
    <s v="4211.001"/>
    <s v="Intérêts de retard sur factures"/>
    <n v="0"/>
    <n v="3.92"/>
    <n v="4211"/>
  </r>
  <r>
    <x v="0"/>
    <x v="4"/>
    <x v="4"/>
    <x v="92"/>
    <x v="83"/>
    <x v="83"/>
    <s v="REVENUS"/>
    <x v="8"/>
    <s v="4091.001"/>
    <s v="Impôt récupéré après défalcations"/>
    <n v="0"/>
    <n v="128.91999999999999"/>
    <n v="4091"/>
  </r>
  <r>
    <x v="0"/>
    <x v="4"/>
    <x v="4"/>
    <x v="92"/>
    <x v="83"/>
    <x v="83"/>
    <s v="REVENUS"/>
    <x v="3"/>
    <s v="4002.001"/>
    <s v="Impôt ordinaire s/fortune PP"/>
    <n v="0"/>
    <n v="71.8"/>
    <n v="4002"/>
  </r>
  <r>
    <x v="0"/>
    <x v="4"/>
    <x v="4"/>
    <x v="92"/>
    <x v="83"/>
    <x v="83"/>
    <s v="REVENUS"/>
    <x v="6"/>
    <s v="4211.002"/>
    <s v="Intérêts de retard sur acomptes"/>
    <n v="0"/>
    <n v="2.27"/>
    <n v="4211"/>
  </r>
  <r>
    <x v="0"/>
    <x v="4"/>
    <x v="4"/>
    <x v="92"/>
    <x v="83"/>
    <x v="83"/>
    <s v="REVENUS"/>
    <x v="2"/>
    <s v="4001.002"/>
    <s v="Impôt complément s/revenu PP"/>
    <n v="0"/>
    <n v="20099.55"/>
    <n v="4001"/>
  </r>
  <r>
    <x v="0"/>
    <x v="4"/>
    <x v="4"/>
    <x v="92"/>
    <x v="83"/>
    <x v="83"/>
    <s v="REVENUS"/>
    <x v="3"/>
    <s v="4002.002"/>
    <s v="Impôt complémentaire s/fortune PP"/>
    <n v="0"/>
    <n v="10604.65"/>
    <n v="4002"/>
  </r>
  <r>
    <x v="0"/>
    <x v="4"/>
    <x v="4"/>
    <x v="92"/>
    <x v="83"/>
    <x v="83"/>
    <s v="REVENUS"/>
    <x v="2"/>
    <s v="4001.007"/>
    <s v="Acompte impôt sur revenu"/>
    <n v="0"/>
    <n v="-203.7"/>
    <n v="4001"/>
  </r>
  <r>
    <x v="0"/>
    <x v="4"/>
    <x v="4"/>
    <x v="92"/>
    <x v="83"/>
    <x v="83"/>
    <s v="REVENUS"/>
    <x v="3"/>
    <s v="4002.007"/>
    <s v="Acompte impôt sur fortune"/>
    <n v="0"/>
    <n v="-31.25"/>
    <n v="4002"/>
  </r>
  <r>
    <x v="0"/>
    <x v="4"/>
    <x v="4"/>
    <x v="92"/>
    <x v="83"/>
    <x v="83"/>
    <s v="REVENUS"/>
    <x v="6"/>
    <s v="4211.001"/>
    <s v="Intérêts de retard sur factures"/>
    <n v="0"/>
    <n v="4.9800000000000004"/>
    <n v="4211"/>
  </r>
  <r>
    <x v="0"/>
    <x v="4"/>
    <x v="4"/>
    <x v="92"/>
    <x v="83"/>
    <x v="83"/>
    <s v="REVENUS"/>
    <x v="7"/>
    <s v="4184.000"/>
    <s v="Frais de poursuite"/>
    <n v="0"/>
    <n v="51.08"/>
    <n v="4184"/>
  </r>
  <r>
    <x v="0"/>
    <x v="4"/>
    <x v="4"/>
    <x v="92"/>
    <x v="83"/>
    <x v="83"/>
    <s v="REVENUS"/>
    <x v="2"/>
    <s v="4001.001"/>
    <s v="Impôt revenu"/>
    <n v="0"/>
    <n v="25"/>
    <n v="4001"/>
  </r>
  <r>
    <x v="0"/>
    <x v="4"/>
    <x v="4"/>
    <x v="92"/>
    <x v="83"/>
    <x v="83"/>
    <s v="REVENUS"/>
    <x v="6"/>
    <s v="4211.001"/>
    <s v="Intérêts de retard sur factures"/>
    <n v="0"/>
    <n v="207.52"/>
    <n v="4211"/>
  </r>
  <r>
    <x v="0"/>
    <x v="4"/>
    <x v="4"/>
    <x v="92"/>
    <x v="83"/>
    <x v="83"/>
    <s v="REVENUS"/>
    <x v="6"/>
    <s v="4211.002"/>
    <s v="Intérêts de retard sur acomptes"/>
    <n v="0"/>
    <n v="28.28"/>
    <n v="4211"/>
  </r>
  <r>
    <x v="0"/>
    <x v="4"/>
    <x v="4"/>
    <x v="93"/>
    <x v="73"/>
    <x v="73"/>
    <s v="CHARGES"/>
    <x v="1"/>
    <s v="3301.001"/>
    <s v="Défalcations, abandons de solde PP et IS"/>
    <n v="2.69"/>
    <n v="0"/>
    <n v="3301"/>
  </r>
  <r>
    <x v="0"/>
    <x v="4"/>
    <x v="4"/>
    <x v="93"/>
    <x v="73"/>
    <x v="73"/>
    <s v="CHARGES"/>
    <x v="0"/>
    <s v="3221.002"/>
    <s v="Intérêts compensatoires / créances en faveur ctb."/>
    <n v="-0.38"/>
    <n v="0"/>
    <n v="3221"/>
  </r>
  <r>
    <x v="0"/>
    <x v="4"/>
    <x v="4"/>
    <x v="93"/>
    <x v="73"/>
    <x v="73"/>
    <s v="REVENUS"/>
    <x v="2"/>
    <s v="4001.002"/>
    <s v="Impôt complément s/revenu PP"/>
    <n v="0"/>
    <n v="16372.45"/>
    <n v="4001"/>
  </r>
  <r>
    <x v="0"/>
    <x v="4"/>
    <x v="4"/>
    <x v="93"/>
    <x v="73"/>
    <x v="73"/>
    <s v="REVENUS"/>
    <x v="3"/>
    <s v="4002.002"/>
    <s v="Impôt complémentaire s/fortune PP"/>
    <n v="0"/>
    <n v="281.45"/>
    <n v="4002"/>
  </r>
  <r>
    <x v="0"/>
    <x v="4"/>
    <x v="4"/>
    <x v="93"/>
    <x v="73"/>
    <x v="73"/>
    <s v="REVENUS"/>
    <x v="6"/>
    <s v="4211.001"/>
    <s v="Intérêts de retard sur factures"/>
    <n v="0"/>
    <n v="137.77000000000001"/>
    <n v="4211"/>
  </r>
  <r>
    <x v="0"/>
    <x v="4"/>
    <x v="4"/>
    <x v="93"/>
    <x v="73"/>
    <x v="73"/>
    <s v="REVENUS"/>
    <x v="6"/>
    <s v="4211.002"/>
    <s v="Intérêts de retard sur acomptes"/>
    <n v="0"/>
    <n v="15.1"/>
    <n v="4211"/>
  </r>
  <r>
    <x v="0"/>
    <x v="4"/>
    <x v="4"/>
    <x v="93"/>
    <x v="73"/>
    <x v="73"/>
    <s v="REVENUS"/>
    <x v="7"/>
    <s v="4184.000"/>
    <s v="Frais de poursuite"/>
    <n v="0"/>
    <n v="-2.33"/>
    <n v="4184"/>
  </r>
  <r>
    <x v="0"/>
    <x v="4"/>
    <x v="4"/>
    <x v="93"/>
    <x v="73"/>
    <x v="73"/>
    <s v="REVENUS"/>
    <x v="2"/>
    <s v="4001.001"/>
    <s v="Impôt revenu"/>
    <n v="0"/>
    <n v="-16217.4"/>
    <n v="4001"/>
  </r>
  <r>
    <x v="0"/>
    <x v="4"/>
    <x v="4"/>
    <x v="93"/>
    <x v="73"/>
    <x v="73"/>
    <s v="REVENUS"/>
    <x v="3"/>
    <s v="4002.001"/>
    <s v="Impôt ordinaire s/fortune PP"/>
    <n v="0"/>
    <n v="-31.75"/>
    <n v="4002"/>
  </r>
  <r>
    <x v="0"/>
    <x v="4"/>
    <x v="4"/>
    <x v="93"/>
    <x v="73"/>
    <x v="73"/>
    <s v="REVENUS"/>
    <x v="6"/>
    <s v="4221.003"/>
    <s v="Intérêts compensat. / acomptes en faveur du fisc"/>
    <n v="0"/>
    <n v="0.54"/>
    <n v="4221"/>
  </r>
  <r>
    <x v="0"/>
    <x v="4"/>
    <x v="4"/>
    <x v="93"/>
    <x v="73"/>
    <x v="73"/>
    <s v="REVENUS"/>
    <x v="7"/>
    <s v="4184.000"/>
    <s v="Frais de poursuite"/>
    <n v="0"/>
    <n v="40.729999999999997"/>
    <n v="4184"/>
  </r>
  <r>
    <x v="0"/>
    <x v="4"/>
    <x v="4"/>
    <x v="94"/>
    <x v="84"/>
    <x v="84"/>
    <s v="CHARGES"/>
    <x v="0"/>
    <s v="3212.002"/>
    <s v="Intérêts bonifiés/trop perçu acompte C/C"/>
    <n v="34.72"/>
    <n v="0"/>
    <n v="3212"/>
  </r>
  <r>
    <x v="0"/>
    <x v="4"/>
    <x v="4"/>
    <x v="94"/>
    <x v="84"/>
    <x v="84"/>
    <s v="CHARGES"/>
    <x v="0"/>
    <s v="3221.002"/>
    <s v="Intérêts compensatoires / créances en faveur ctb."/>
    <n v="126.91"/>
    <n v="0"/>
    <n v="3221"/>
  </r>
  <r>
    <x v="0"/>
    <x v="4"/>
    <x v="4"/>
    <x v="94"/>
    <x v="84"/>
    <x v="84"/>
    <s v="CHARGES"/>
    <x v="1"/>
    <s v="3301.001"/>
    <s v="Défalcations, abandons de solde PP et IS"/>
    <n v="10633.73"/>
    <n v="0"/>
    <n v="3301"/>
  </r>
  <r>
    <x v="0"/>
    <x v="4"/>
    <x v="4"/>
    <x v="94"/>
    <x v="84"/>
    <x v="84"/>
    <s v="CHARGES"/>
    <x v="0"/>
    <s v="3212.004"/>
    <s v="Intérêts rémun./perçu trop tôt sur acomptes C/C"/>
    <n v="253.88"/>
    <n v="0"/>
    <n v="3212"/>
  </r>
  <r>
    <x v="0"/>
    <x v="4"/>
    <x v="4"/>
    <x v="94"/>
    <x v="84"/>
    <x v="84"/>
    <s v="CHARGES"/>
    <x v="0"/>
    <s v="3212.004"/>
    <s v="Intérêts rémun./perçu trop tôt sur acomptes C/C"/>
    <n v="0.98"/>
    <n v="0"/>
    <n v="3212"/>
  </r>
  <r>
    <x v="0"/>
    <x v="4"/>
    <x v="4"/>
    <x v="94"/>
    <x v="84"/>
    <x v="84"/>
    <s v="CHARGES"/>
    <x v="0"/>
    <s v="3221.002"/>
    <s v="Intérêts compensatoires / créances en faveur ctb."/>
    <n v="1.29"/>
    <n v="0"/>
    <n v="3221"/>
  </r>
  <r>
    <x v="0"/>
    <x v="4"/>
    <x v="4"/>
    <x v="94"/>
    <x v="84"/>
    <x v="84"/>
    <s v="CHARGES"/>
    <x v="1"/>
    <s v="3301.001"/>
    <s v="Défalcations, abandons de solde PP et IS"/>
    <n v="1.91"/>
    <n v="0"/>
    <n v="3301"/>
  </r>
  <r>
    <x v="0"/>
    <x v="4"/>
    <x v="4"/>
    <x v="94"/>
    <x v="84"/>
    <x v="84"/>
    <s v="CHARGES"/>
    <x v="0"/>
    <s v="3212.004"/>
    <s v="Intérêts rémun./perçu trop tôt sur acomptes C/C"/>
    <n v="0.1"/>
    <n v="0"/>
    <n v="3212"/>
  </r>
  <r>
    <x v="0"/>
    <x v="4"/>
    <x v="4"/>
    <x v="94"/>
    <x v="84"/>
    <x v="84"/>
    <s v="CHARGES"/>
    <x v="0"/>
    <s v="3221.002"/>
    <s v="Intérêts compensatoires / créances en faveur ctb."/>
    <n v="0.53"/>
    <n v="0"/>
    <n v="3221"/>
  </r>
  <r>
    <x v="0"/>
    <x v="4"/>
    <x v="4"/>
    <x v="94"/>
    <x v="84"/>
    <x v="84"/>
    <s v="CHARGES"/>
    <x v="1"/>
    <s v="3301.001"/>
    <s v="Défalcations, abandons de solde PP et IS"/>
    <n v="0.01"/>
    <n v="0"/>
    <n v="3301"/>
  </r>
  <r>
    <x v="0"/>
    <x v="4"/>
    <x v="4"/>
    <x v="94"/>
    <x v="84"/>
    <x v="84"/>
    <s v="CHARGES"/>
    <x v="1"/>
    <s v="3301.001"/>
    <s v="Défalcations, abandons de solde PP et IS"/>
    <n v="6951.85"/>
    <n v="0"/>
    <n v="3301"/>
  </r>
  <r>
    <x v="0"/>
    <x v="4"/>
    <x v="4"/>
    <x v="94"/>
    <x v="84"/>
    <x v="84"/>
    <s v="CHARGES"/>
    <x v="0"/>
    <s v="3212.004"/>
    <s v="Intérêts rémun./perçu trop tôt sur acomptes C/C"/>
    <n v="1.38"/>
    <n v="0"/>
    <n v="3212"/>
  </r>
  <r>
    <x v="0"/>
    <x v="4"/>
    <x v="4"/>
    <x v="94"/>
    <x v="84"/>
    <x v="84"/>
    <s v="CHARGES"/>
    <x v="0"/>
    <s v="3221.002"/>
    <s v="Intérêts compensatoires / créances en faveur ctb."/>
    <n v="0.83"/>
    <n v="0"/>
    <n v="3221"/>
  </r>
  <r>
    <x v="0"/>
    <x v="4"/>
    <x v="4"/>
    <x v="94"/>
    <x v="84"/>
    <x v="84"/>
    <s v="CHARGES"/>
    <x v="0"/>
    <s v="3212.004"/>
    <s v="Intérêts rémun./perçu trop tôt sur acomptes C/C"/>
    <n v="0.01"/>
    <n v="0"/>
    <n v="3212"/>
  </r>
  <r>
    <x v="0"/>
    <x v="4"/>
    <x v="4"/>
    <x v="94"/>
    <x v="84"/>
    <x v="84"/>
    <s v="CHARGES"/>
    <x v="1"/>
    <s v="3301.001"/>
    <s v="Défalcations, abandons de solde PP et IS"/>
    <n v="0.14000000000000001"/>
    <n v="0"/>
    <n v="3301"/>
  </r>
  <r>
    <x v="0"/>
    <x v="4"/>
    <x v="4"/>
    <x v="94"/>
    <x v="84"/>
    <x v="84"/>
    <s v="CHARGES"/>
    <x v="0"/>
    <s v="3212.002"/>
    <s v="Intérêts bonifiés/trop perçu acompte C/C"/>
    <n v="0.03"/>
    <n v="0"/>
    <n v="3212"/>
  </r>
  <r>
    <x v="0"/>
    <x v="4"/>
    <x v="4"/>
    <x v="94"/>
    <x v="84"/>
    <x v="84"/>
    <s v="REVENUS"/>
    <x v="2"/>
    <s v="4001.007"/>
    <s v="Acompte impôt sur revenu"/>
    <n v="0"/>
    <n v="-84018.22"/>
    <n v="4001"/>
  </r>
  <r>
    <x v="0"/>
    <x v="4"/>
    <x v="4"/>
    <x v="94"/>
    <x v="84"/>
    <x v="84"/>
    <s v="REVENUS"/>
    <x v="2"/>
    <s v="4001.001"/>
    <s v="Impôt revenu"/>
    <n v="0"/>
    <n v="1392905.55"/>
    <n v="4001"/>
  </r>
  <r>
    <x v="0"/>
    <x v="4"/>
    <x v="4"/>
    <x v="94"/>
    <x v="84"/>
    <x v="84"/>
    <s v="REVENUS"/>
    <x v="2"/>
    <s v="4001.002"/>
    <s v="Impôt complément s/revenu PP"/>
    <n v="0"/>
    <n v="111601.15"/>
    <n v="4001"/>
  </r>
  <r>
    <x v="0"/>
    <x v="4"/>
    <x v="4"/>
    <x v="94"/>
    <x v="84"/>
    <x v="84"/>
    <s v="REVENUS"/>
    <x v="6"/>
    <s v="4211.001"/>
    <s v="Intérêts de retard sur factures"/>
    <n v="0"/>
    <n v="-331.55"/>
    <n v="4211"/>
  </r>
  <r>
    <x v="0"/>
    <x v="4"/>
    <x v="4"/>
    <x v="94"/>
    <x v="84"/>
    <x v="84"/>
    <s v="REVENUS"/>
    <x v="6"/>
    <s v="4221.003"/>
    <s v="Intérêts compensat. / acomptes en faveur du fisc"/>
    <n v="0"/>
    <n v="195.13"/>
    <n v="4221"/>
  </r>
  <r>
    <x v="0"/>
    <x v="4"/>
    <x v="4"/>
    <x v="94"/>
    <x v="84"/>
    <x v="84"/>
    <s v="REVENUS"/>
    <x v="7"/>
    <s v="4184.000"/>
    <s v="Frais de poursuite"/>
    <n v="0"/>
    <n v="1468.81"/>
    <n v="4184"/>
  </r>
  <r>
    <x v="0"/>
    <x v="4"/>
    <x v="4"/>
    <x v="94"/>
    <x v="84"/>
    <x v="84"/>
    <s v="REVENUS"/>
    <x v="7"/>
    <s v="4184.000"/>
    <s v="Frais de poursuite"/>
    <n v="0"/>
    <n v="253.37"/>
    <n v="4184"/>
  </r>
  <r>
    <x v="0"/>
    <x v="4"/>
    <x v="4"/>
    <x v="94"/>
    <x v="84"/>
    <x v="84"/>
    <s v="REVENUS"/>
    <x v="2"/>
    <s v="4001.003"/>
    <s v="Impôt s/prest. cap. PP"/>
    <n v="0"/>
    <n v="24849.95"/>
    <n v="4001"/>
  </r>
  <r>
    <x v="0"/>
    <x v="4"/>
    <x v="4"/>
    <x v="94"/>
    <x v="84"/>
    <x v="84"/>
    <s v="REVENUS"/>
    <x v="3"/>
    <s v="4002.001"/>
    <s v="Impôt ordinaire s/fortune PP"/>
    <n v="0"/>
    <n v="155915.35"/>
    <n v="4002"/>
  </r>
  <r>
    <x v="0"/>
    <x v="4"/>
    <x v="4"/>
    <x v="94"/>
    <x v="84"/>
    <x v="84"/>
    <s v="REVENUS"/>
    <x v="3"/>
    <s v="4002.007"/>
    <s v="Acompte impôt sur fortune"/>
    <n v="0"/>
    <n v="42193.59"/>
    <n v="4002"/>
  </r>
  <r>
    <x v="0"/>
    <x v="4"/>
    <x v="4"/>
    <x v="94"/>
    <x v="84"/>
    <x v="84"/>
    <s v="REVENUS"/>
    <x v="6"/>
    <s v="4211.002"/>
    <s v="Intérêts de retard sur acomptes"/>
    <n v="0"/>
    <n v="9188.26"/>
    <n v="4211"/>
  </r>
  <r>
    <x v="0"/>
    <x v="4"/>
    <x v="4"/>
    <x v="94"/>
    <x v="84"/>
    <x v="84"/>
    <s v="REVENUS"/>
    <x v="3"/>
    <s v="4002.002"/>
    <s v="Impôt complémentaire s/fortune PP"/>
    <n v="0"/>
    <n v="10220.25"/>
    <n v="4002"/>
  </r>
  <r>
    <x v="0"/>
    <x v="4"/>
    <x v="4"/>
    <x v="94"/>
    <x v="84"/>
    <x v="84"/>
    <s v="REVENUS"/>
    <x v="2"/>
    <s v="4001.007"/>
    <s v="Acompte impôt sur revenu"/>
    <n v="0"/>
    <n v="1397.75"/>
    <n v="4001"/>
  </r>
  <r>
    <x v="0"/>
    <x v="4"/>
    <x v="4"/>
    <x v="94"/>
    <x v="84"/>
    <x v="84"/>
    <s v="REVENUS"/>
    <x v="2"/>
    <s v="4001.001"/>
    <s v="Impôt revenu"/>
    <n v="0"/>
    <n v="8474.2999999999993"/>
    <n v="4001"/>
  </r>
  <r>
    <x v="0"/>
    <x v="4"/>
    <x v="4"/>
    <x v="94"/>
    <x v="84"/>
    <x v="84"/>
    <s v="REVENUS"/>
    <x v="3"/>
    <s v="4002.001"/>
    <s v="Impôt ordinaire s/fortune PP"/>
    <n v="0"/>
    <n v="3885.8"/>
    <n v="4002"/>
  </r>
  <r>
    <x v="0"/>
    <x v="4"/>
    <x v="4"/>
    <x v="94"/>
    <x v="84"/>
    <x v="84"/>
    <s v="REVENUS"/>
    <x v="6"/>
    <s v="4211.002"/>
    <s v="Intérêts de retard sur acomptes"/>
    <n v="0"/>
    <n v="120.46"/>
    <n v="4211"/>
  </r>
  <r>
    <x v="0"/>
    <x v="4"/>
    <x v="4"/>
    <x v="94"/>
    <x v="84"/>
    <x v="84"/>
    <s v="REVENUS"/>
    <x v="3"/>
    <s v="4002.001"/>
    <s v="Impôt ordinaire s/fortune PP"/>
    <n v="0"/>
    <n v="1663.2"/>
    <n v="4002"/>
  </r>
  <r>
    <x v="0"/>
    <x v="4"/>
    <x v="4"/>
    <x v="94"/>
    <x v="84"/>
    <x v="84"/>
    <s v="REVENUS"/>
    <x v="6"/>
    <s v="4211.002"/>
    <s v="Intérêts de retard sur acomptes"/>
    <n v="0"/>
    <n v="15.76"/>
    <n v="4211"/>
  </r>
  <r>
    <x v="0"/>
    <x v="4"/>
    <x v="4"/>
    <x v="94"/>
    <x v="84"/>
    <x v="84"/>
    <s v="REVENUS"/>
    <x v="2"/>
    <s v="4001.007"/>
    <s v="Acompte impôt sur revenu"/>
    <n v="0"/>
    <n v="548.65"/>
    <n v="4001"/>
  </r>
  <r>
    <x v="0"/>
    <x v="4"/>
    <x v="4"/>
    <x v="94"/>
    <x v="84"/>
    <x v="84"/>
    <s v="REVENUS"/>
    <x v="3"/>
    <s v="4002.007"/>
    <s v="Acompte impôt sur fortune"/>
    <n v="0"/>
    <n v="39.25"/>
    <n v="4002"/>
  </r>
  <r>
    <x v="0"/>
    <x v="4"/>
    <x v="4"/>
    <x v="94"/>
    <x v="84"/>
    <x v="84"/>
    <s v="REVENUS"/>
    <x v="3"/>
    <s v="4002.007"/>
    <s v="Acompte impôt sur fortune"/>
    <n v="0"/>
    <n v="684.05"/>
    <n v="4002"/>
  </r>
  <r>
    <x v="0"/>
    <x v="4"/>
    <x v="4"/>
    <x v="94"/>
    <x v="84"/>
    <x v="84"/>
    <s v="REVENUS"/>
    <x v="6"/>
    <s v="4221.003"/>
    <s v="Intérêts compensat. / acomptes en faveur du fisc"/>
    <n v="0"/>
    <n v="1.94"/>
    <n v="4221"/>
  </r>
  <r>
    <x v="0"/>
    <x v="4"/>
    <x v="4"/>
    <x v="94"/>
    <x v="84"/>
    <x v="84"/>
    <s v="REVENUS"/>
    <x v="3"/>
    <s v="4002.007"/>
    <s v="Acompte impôt sur fortune"/>
    <n v="0"/>
    <n v="-412.22"/>
    <n v="4002"/>
  </r>
  <r>
    <x v="0"/>
    <x v="4"/>
    <x v="4"/>
    <x v="94"/>
    <x v="84"/>
    <x v="84"/>
    <s v="REVENUS"/>
    <x v="3"/>
    <s v="4002.007"/>
    <s v="Acompte impôt sur fortune"/>
    <n v="0"/>
    <n v="-196.45"/>
    <n v="4002"/>
  </r>
  <r>
    <x v="0"/>
    <x v="4"/>
    <x v="4"/>
    <x v="94"/>
    <x v="84"/>
    <x v="84"/>
    <s v="REVENUS"/>
    <x v="2"/>
    <s v="4001.007"/>
    <s v="Acompte impôt sur revenu"/>
    <n v="0"/>
    <n v="-577.79"/>
    <n v="4001"/>
  </r>
  <r>
    <x v="0"/>
    <x v="4"/>
    <x v="4"/>
    <x v="94"/>
    <x v="84"/>
    <x v="84"/>
    <s v="REVENUS"/>
    <x v="12"/>
    <s v="4004.000"/>
    <s v="Impôt spécial étrangers"/>
    <n v="0"/>
    <n v="47228.4"/>
    <n v="4004"/>
  </r>
  <r>
    <x v="0"/>
    <x v="4"/>
    <x v="4"/>
    <x v="94"/>
    <x v="84"/>
    <x v="84"/>
    <s v="REVENUS"/>
    <x v="2"/>
    <s v="4001.007"/>
    <s v="Acompte impôt sur revenu"/>
    <n v="0"/>
    <n v="783.01"/>
    <n v="4001"/>
  </r>
  <r>
    <x v="0"/>
    <x v="4"/>
    <x v="4"/>
    <x v="94"/>
    <x v="84"/>
    <x v="84"/>
    <s v="REVENUS"/>
    <x v="3"/>
    <s v="4002.007"/>
    <s v="Acompte impôt sur fortune"/>
    <n v="0"/>
    <n v="-115.45"/>
    <n v="4002"/>
  </r>
  <r>
    <x v="0"/>
    <x v="4"/>
    <x v="4"/>
    <x v="94"/>
    <x v="84"/>
    <x v="84"/>
    <s v="REVENUS"/>
    <x v="6"/>
    <s v="4211.001"/>
    <s v="Intérêts de retard sur factures"/>
    <n v="0"/>
    <n v="7.83"/>
    <n v="4211"/>
  </r>
  <r>
    <x v="0"/>
    <x v="4"/>
    <x v="4"/>
    <x v="94"/>
    <x v="84"/>
    <x v="84"/>
    <s v="REVENUS"/>
    <x v="6"/>
    <s v="4221.002"/>
    <s v="Intérêts compensat. sur impôts distincts"/>
    <n v="0"/>
    <n v="273.10000000000002"/>
    <n v="4221"/>
  </r>
  <r>
    <x v="0"/>
    <x v="4"/>
    <x v="4"/>
    <x v="94"/>
    <x v="84"/>
    <x v="84"/>
    <s v="REVENUS"/>
    <x v="2"/>
    <s v="4001.001"/>
    <s v="Impôt revenu"/>
    <n v="0"/>
    <n v="1470.45"/>
    <n v="4001"/>
  </r>
  <r>
    <x v="0"/>
    <x v="4"/>
    <x v="4"/>
    <x v="94"/>
    <x v="84"/>
    <x v="84"/>
    <s v="REVENUS"/>
    <x v="5"/>
    <s v="4061.000"/>
    <s v="Impôt sur les chiens"/>
    <n v="0"/>
    <n v="6150"/>
    <n v="4061"/>
  </r>
  <r>
    <x v="0"/>
    <x v="4"/>
    <x v="4"/>
    <x v="94"/>
    <x v="84"/>
    <x v="84"/>
    <s v="REVENUS"/>
    <x v="2"/>
    <s v="4001.001"/>
    <s v="Impôt revenu"/>
    <n v="0"/>
    <n v="602.20000000000005"/>
    <n v="4001"/>
  </r>
  <r>
    <x v="0"/>
    <x v="4"/>
    <x v="4"/>
    <x v="94"/>
    <x v="84"/>
    <x v="84"/>
    <s v="REVENUS"/>
    <x v="3"/>
    <s v="4002.001"/>
    <s v="Impôt ordinaire s/fortune PP"/>
    <n v="0"/>
    <n v="204.65"/>
    <n v="4002"/>
  </r>
  <r>
    <x v="0"/>
    <x v="4"/>
    <x v="4"/>
    <x v="94"/>
    <x v="84"/>
    <x v="84"/>
    <s v="REVENUS"/>
    <x v="6"/>
    <s v="4211.002"/>
    <s v="Intérêts de retard sur acomptes"/>
    <n v="0"/>
    <n v="2.75"/>
    <n v="4211"/>
  </r>
  <r>
    <x v="0"/>
    <x v="4"/>
    <x v="4"/>
    <x v="94"/>
    <x v="84"/>
    <x v="84"/>
    <s v="REVENUS"/>
    <x v="6"/>
    <s v="4221.003"/>
    <s v="Intérêts compensat. / acomptes en faveur du fisc"/>
    <n v="0"/>
    <n v="0.01"/>
    <n v="4221"/>
  </r>
  <r>
    <x v="0"/>
    <x v="4"/>
    <x v="4"/>
    <x v="94"/>
    <x v="84"/>
    <x v="84"/>
    <s v="REVENUS"/>
    <x v="3"/>
    <s v="4002.001"/>
    <s v="Impôt ordinaire s/fortune PP"/>
    <n v="0"/>
    <n v="91.5"/>
    <n v="4002"/>
  </r>
  <r>
    <x v="0"/>
    <x v="4"/>
    <x v="4"/>
    <x v="94"/>
    <x v="84"/>
    <x v="84"/>
    <s v="REVENUS"/>
    <x v="2"/>
    <s v="4001.007"/>
    <s v="Acompte impôt sur revenu"/>
    <n v="0"/>
    <n v="-458.75"/>
    <n v="4001"/>
  </r>
  <r>
    <x v="0"/>
    <x v="4"/>
    <x v="4"/>
    <x v="94"/>
    <x v="84"/>
    <x v="84"/>
    <s v="REVENUS"/>
    <x v="2"/>
    <s v="4001.001"/>
    <s v="Impôt revenu"/>
    <n v="0"/>
    <n v="1036.45"/>
    <n v="4001"/>
  </r>
  <r>
    <x v="0"/>
    <x v="4"/>
    <x v="4"/>
    <x v="94"/>
    <x v="84"/>
    <x v="84"/>
    <s v="REVENUS"/>
    <x v="6"/>
    <s v="4211.002"/>
    <s v="Intérêts de retard sur acomptes"/>
    <n v="0"/>
    <n v="1.46"/>
    <n v="4211"/>
  </r>
  <r>
    <x v="0"/>
    <x v="4"/>
    <x v="4"/>
    <x v="94"/>
    <x v="84"/>
    <x v="84"/>
    <s v="REVENUS"/>
    <x v="9"/>
    <s v="4031.001"/>
    <s v="Impôt sur les gains immobiliers"/>
    <n v="0"/>
    <n v="282922.34999999998"/>
    <n v="4031"/>
  </r>
  <r>
    <x v="0"/>
    <x v="4"/>
    <x v="4"/>
    <x v="94"/>
    <x v="84"/>
    <x v="84"/>
    <s v="REVENUS"/>
    <x v="6"/>
    <s v="4211.001"/>
    <s v="Intérêts de retard sur factures"/>
    <n v="0"/>
    <n v="1.63"/>
    <n v="4211"/>
  </r>
  <r>
    <x v="0"/>
    <x v="4"/>
    <x v="4"/>
    <x v="94"/>
    <x v="84"/>
    <x v="84"/>
    <s v="REVENUS"/>
    <x v="6"/>
    <s v="4221.003"/>
    <s v="Intérêts compensat. / acomptes en faveur du fisc"/>
    <n v="0"/>
    <n v="0.14000000000000001"/>
    <n v="4221"/>
  </r>
  <r>
    <x v="0"/>
    <x v="4"/>
    <x v="4"/>
    <x v="94"/>
    <x v="84"/>
    <x v="84"/>
    <s v="REVENUS"/>
    <x v="9"/>
    <s v="4031.002"/>
    <s v="Complément impôt sur les gains immobiliers"/>
    <n v="0"/>
    <n v="5625"/>
    <n v="4031"/>
  </r>
  <r>
    <x v="0"/>
    <x v="4"/>
    <x v="4"/>
    <x v="95"/>
    <x v="85"/>
    <x v="85"/>
    <s v="CHARGES"/>
    <x v="1"/>
    <s v="3301.001"/>
    <s v="Défalcations, abandons de solde PP et IS"/>
    <n v="58.1"/>
    <n v="0"/>
    <n v="3301"/>
  </r>
  <r>
    <x v="0"/>
    <x v="4"/>
    <x v="4"/>
    <x v="95"/>
    <x v="85"/>
    <x v="85"/>
    <s v="CHARGES"/>
    <x v="0"/>
    <s v="3212.004"/>
    <s v="Intérêts rémun./perçu trop tôt sur acomptes C/C"/>
    <n v="123.02"/>
    <n v="0"/>
    <n v="3212"/>
  </r>
  <r>
    <x v="0"/>
    <x v="4"/>
    <x v="4"/>
    <x v="95"/>
    <x v="85"/>
    <x v="85"/>
    <s v="CHARGES"/>
    <x v="0"/>
    <s v="3221.002"/>
    <s v="Intérêts compensatoires / créances en faveur ctb."/>
    <n v="106.17"/>
    <n v="0"/>
    <n v="3221"/>
  </r>
  <r>
    <x v="0"/>
    <x v="4"/>
    <x v="4"/>
    <x v="95"/>
    <x v="85"/>
    <x v="85"/>
    <s v="CHARGES"/>
    <x v="1"/>
    <s v="3301.001"/>
    <s v="Défalcations, abandons de solde PP et IS"/>
    <n v="0.28999999999999998"/>
    <n v="0"/>
    <n v="3301"/>
  </r>
  <r>
    <x v="0"/>
    <x v="4"/>
    <x v="4"/>
    <x v="95"/>
    <x v="85"/>
    <x v="85"/>
    <s v="CHARGES"/>
    <x v="0"/>
    <s v="3212.002"/>
    <s v="Intérêts bonifiés/trop perçu acompte C/C"/>
    <n v="10.66"/>
    <n v="0"/>
    <n v="3212"/>
  </r>
  <r>
    <x v="0"/>
    <x v="4"/>
    <x v="4"/>
    <x v="95"/>
    <x v="85"/>
    <x v="85"/>
    <s v="CHARGES"/>
    <x v="0"/>
    <s v="3212.004"/>
    <s v="Intérêts rémun./perçu trop tôt sur acomptes C/C"/>
    <n v="0.54"/>
    <n v="0"/>
    <n v="3212"/>
  </r>
  <r>
    <x v="0"/>
    <x v="4"/>
    <x v="4"/>
    <x v="95"/>
    <x v="85"/>
    <x v="85"/>
    <s v="CHARGES"/>
    <x v="0"/>
    <s v="3221.002"/>
    <s v="Intérêts compensatoires / créances en faveur ctb."/>
    <n v="0.47"/>
    <n v="0"/>
    <n v="3221"/>
  </r>
  <r>
    <x v="0"/>
    <x v="4"/>
    <x v="4"/>
    <x v="95"/>
    <x v="85"/>
    <x v="85"/>
    <s v="CHARGES"/>
    <x v="1"/>
    <s v="3301.001"/>
    <s v="Défalcations, abandons de solde PP et IS"/>
    <n v="0.23"/>
    <n v="0"/>
    <n v="3301"/>
  </r>
  <r>
    <x v="0"/>
    <x v="4"/>
    <x v="4"/>
    <x v="95"/>
    <x v="85"/>
    <x v="85"/>
    <s v="REVENUS"/>
    <x v="2"/>
    <s v="4001.003"/>
    <s v="Impôt s/prest. cap. PP"/>
    <n v="0"/>
    <n v="6493.4"/>
    <n v="4001"/>
  </r>
  <r>
    <x v="0"/>
    <x v="4"/>
    <x v="4"/>
    <x v="95"/>
    <x v="85"/>
    <x v="85"/>
    <s v="REVENUS"/>
    <x v="6"/>
    <s v="4211.001"/>
    <s v="Intérêts de retard sur factures"/>
    <n v="0"/>
    <n v="1136.8699999999999"/>
    <n v="4211"/>
  </r>
  <r>
    <x v="0"/>
    <x v="4"/>
    <x v="4"/>
    <x v="95"/>
    <x v="85"/>
    <x v="85"/>
    <s v="REVENUS"/>
    <x v="2"/>
    <s v="4001.001"/>
    <s v="Impôt revenu"/>
    <n v="0"/>
    <n v="478400.1"/>
    <n v="4001"/>
  </r>
  <r>
    <x v="0"/>
    <x v="4"/>
    <x v="4"/>
    <x v="95"/>
    <x v="85"/>
    <x v="85"/>
    <s v="REVENUS"/>
    <x v="2"/>
    <s v="4001.007"/>
    <s v="Acompte impôt sur revenu"/>
    <n v="0"/>
    <n v="-78634.960000000006"/>
    <n v="4001"/>
  </r>
  <r>
    <x v="0"/>
    <x v="4"/>
    <x v="4"/>
    <x v="95"/>
    <x v="85"/>
    <x v="85"/>
    <s v="REVENUS"/>
    <x v="3"/>
    <s v="4002.001"/>
    <s v="Impôt ordinaire s/fortune PP"/>
    <n v="0"/>
    <n v="89668.4"/>
    <n v="4002"/>
  </r>
  <r>
    <x v="0"/>
    <x v="4"/>
    <x v="4"/>
    <x v="95"/>
    <x v="85"/>
    <x v="85"/>
    <s v="REVENUS"/>
    <x v="3"/>
    <s v="4002.007"/>
    <s v="Acompte impôt sur fortune"/>
    <n v="0"/>
    <n v="-29887.9"/>
    <n v="4002"/>
  </r>
  <r>
    <x v="0"/>
    <x v="4"/>
    <x v="4"/>
    <x v="95"/>
    <x v="85"/>
    <x v="85"/>
    <s v="REVENUS"/>
    <x v="2"/>
    <s v="4001.002"/>
    <s v="Impôt complément s/revenu PP"/>
    <n v="0"/>
    <n v="73018.350000000006"/>
    <n v="4001"/>
  </r>
  <r>
    <x v="0"/>
    <x v="4"/>
    <x v="4"/>
    <x v="95"/>
    <x v="85"/>
    <x v="85"/>
    <s v="REVENUS"/>
    <x v="3"/>
    <s v="4002.002"/>
    <s v="Impôt complémentaire s/fortune PP"/>
    <n v="0"/>
    <n v="21133.200000000001"/>
    <n v="4002"/>
  </r>
  <r>
    <x v="0"/>
    <x v="4"/>
    <x v="4"/>
    <x v="95"/>
    <x v="85"/>
    <x v="85"/>
    <s v="REVENUS"/>
    <x v="6"/>
    <s v="4211.002"/>
    <s v="Intérêts de retard sur acomptes"/>
    <n v="0"/>
    <n v="1634.95"/>
    <n v="4211"/>
  </r>
  <r>
    <x v="0"/>
    <x v="4"/>
    <x v="4"/>
    <x v="95"/>
    <x v="85"/>
    <x v="85"/>
    <s v="REVENUS"/>
    <x v="6"/>
    <s v="4221.003"/>
    <s v="Intérêts compensat. / acomptes en faveur du fisc"/>
    <n v="0"/>
    <n v="229.24"/>
    <n v="4221"/>
  </r>
  <r>
    <x v="0"/>
    <x v="4"/>
    <x v="4"/>
    <x v="95"/>
    <x v="85"/>
    <x v="85"/>
    <s v="REVENUS"/>
    <x v="6"/>
    <s v="4211.001"/>
    <s v="Intérêts de retard sur factures"/>
    <n v="0"/>
    <n v="0.06"/>
    <n v="4211"/>
  </r>
  <r>
    <x v="0"/>
    <x v="4"/>
    <x v="4"/>
    <x v="95"/>
    <x v="85"/>
    <x v="85"/>
    <s v="REVENUS"/>
    <x v="6"/>
    <s v="4221.002"/>
    <s v="Intérêts compensat. sur impôts distincts"/>
    <n v="0"/>
    <n v="5.56"/>
    <n v="4221"/>
  </r>
  <r>
    <x v="0"/>
    <x v="4"/>
    <x v="4"/>
    <x v="95"/>
    <x v="85"/>
    <x v="85"/>
    <s v="REVENUS"/>
    <x v="2"/>
    <s v="4001.007"/>
    <s v="Acompte impôt sur revenu"/>
    <n v="0"/>
    <n v="-1530.99"/>
    <n v="4001"/>
  </r>
  <r>
    <x v="0"/>
    <x v="4"/>
    <x v="4"/>
    <x v="95"/>
    <x v="85"/>
    <x v="85"/>
    <s v="REVENUS"/>
    <x v="3"/>
    <s v="4002.007"/>
    <s v="Acompte impôt sur fortune"/>
    <n v="0"/>
    <n v="-71.56"/>
    <n v="4002"/>
  </r>
  <r>
    <x v="0"/>
    <x v="4"/>
    <x v="4"/>
    <x v="95"/>
    <x v="85"/>
    <x v="85"/>
    <s v="REVENUS"/>
    <x v="3"/>
    <s v="4002.007"/>
    <s v="Acompte impôt sur fortune"/>
    <n v="0"/>
    <n v="-396.24"/>
    <n v="4002"/>
  </r>
  <r>
    <x v="0"/>
    <x v="4"/>
    <x v="4"/>
    <x v="95"/>
    <x v="85"/>
    <x v="85"/>
    <s v="REVENUS"/>
    <x v="2"/>
    <s v="4001.007"/>
    <s v="Acompte impôt sur revenu"/>
    <n v="0"/>
    <n v="-591.4"/>
    <n v="4001"/>
  </r>
  <r>
    <x v="0"/>
    <x v="4"/>
    <x v="4"/>
    <x v="95"/>
    <x v="85"/>
    <x v="85"/>
    <s v="REVENUS"/>
    <x v="10"/>
    <s v="4041.001"/>
    <s v="Droits de mutation"/>
    <n v="0"/>
    <n v="12393.4"/>
    <n v="4041"/>
  </r>
  <r>
    <x v="0"/>
    <x v="4"/>
    <x v="4"/>
    <x v="95"/>
    <x v="85"/>
    <x v="85"/>
    <s v="REVENUS"/>
    <x v="2"/>
    <s v="4001.001"/>
    <s v="Impôt revenu"/>
    <n v="0"/>
    <n v="11.4"/>
    <n v="4001"/>
  </r>
  <r>
    <x v="0"/>
    <x v="4"/>
    <x v="4"/>
    <x v="95"/>
    <x v="85"/>
    <x v="85"/>
    <s v="REVENUS"/>
    <x v="3"/>
    <s v="4002.001"/>
    <s v="Impôt ordinaire s/fortune PP"/>
    <n v="0"/>
    <n v="3.4"/>
    <n v="4002"/>
  </r>
  <r>
    <x v="0"/>
    <x v="4"/>
    <x v="4"/>
    <x v="95"/>
    <x v="85"/>
    <x v="85"/>
    <s v="REVENUS"/>
    <x v="2"/>
    <s v="4001.001"/>
    <s v="Impôt revenu"/>
    <n v="0"/>
    <n v="2778.6"/>
    <n v="4001"/>
  </r>
  <r>
    <x v="0"/>
    <x v="4"/>
    <x v="4"/>
    <x v="95"/>
    <x v="85"/>
    <x v="85"/>
    <s v="REVENUS"/>
    <x v="3"/>
    <s v="4002.001"/>
    <s v="Impôt ordinaire s/fortune PP"/>
    <n v="0"/>
    <n v="3491.3"/>
    <n v="4002"/>
  </r>
  <r>
    <x v="0"/>
    <x v="4"/>
    <x v="4"/>
    <x v="95"/>
    <x v="85"/>
    <x v="85"/>
    <s v="REVENUS"/>
    <x v="7"/>
    <s v="4184.000"/>
    <s v="Frais de poursuite"/>
    <n v="0"/>
    <n v="163.37"/>
    <n v="4184"/>
  </r>
  <r>
    <x v="0"/>
    <x v="4"/>
    <x v="4"/>
    <x v="95"/>
    <x v="85"/>
    <x v="85"/>
    <s v="REVENUS"/>
    <x v="2"/>
    <s v="4001.001"/>
    <s v="Impôt revenu"/>
    <n v="0"/>
    <n v="250.05"/>
    <n v="4001"/>
  </r>
  <r>
    <x v="0"/>
    <x v="4"/>
    <x v="4"/>
    <x v="95"/>
    <x v="85"/>
    <x v="85"/>
    <s v="REVENUS"/>
    <x v="3"/>
    <s v="4002.001"/>
    <s v="Impôt ordinaire s/fortune PP"/>
    <n v="0"/>
    <n v="62.65"/>
    <n v="4002"/>
  </r>
  <r>
    <x v="0"/>
    <x v="4"/>
    <x v="4"/>
    <x v="95"/>
    <x v="85"/>
    <x v="85"/>
    <s v="REVENUS"/>
    <x v="6"/>
    <s v="4211.002"/>
    <s v="Intérêts de retard sur acomptes"/>
    <n v="0"/>
    <n v="6.58"/>
    <n v="4211"/>
  </r>
  <r>
    <x v="0"/>
    <x v="4"/>
    <x v="4"/>
    <x v="95"/>
    <x v="85"/>
    <x v="85"/>
    <s v="REVENUS"/>
    <x v="9"/>
    <s v="4031.001"/>
    <s v="Impôt sur les gains immobiliers"/>
    <n v="0"/>
    <n v="13270.8"/>
    <n v="4031"/>
  </r>
  <r>
    <x v="0"/>
    <x v="4"/>
    <x v="4"/>
    <x v="95"/>
    <x v="85"/>
    <x v="85"/>
    <s v="REVENUS"/>
    <x v="6"/>
    <s v="4211.002"/>
    <s v="Intérêts de retard sur acomptes"/>
    <n v="0"/>
    <n v="0.26"/>
    <n v="4211"/>
  </r>
  <r>
    <x v="0"/>
    <x v="4"/>
    <x v="4"/>
    <x v="95"/>
    <x v="85"/>
    <x v="85"/>
    <s v="REVENUS"/>
    <x v="6"/>
    <s v="4221.003"/>
    <s v="Intérêts compensat. / acomptes en faveur du fisc"/>
    <n v="0"/>
    <n v="0.72"/>
    <n v="4221"/>
  </r>
  <r>
    <x v="0"/>
    <x v="4"/>
    <x v="4"/>
    <x v="95"/>
    <x v="85"/>
    <x v="85"/>
    <s v="REVENUS"/>
    <x v="10"/>
    <s v="4041.002"/>
    <s v="Complément droit de mutation"/>
    <n v="0"/>
    <n v="1528.1"/>
    <n v="4041"/>
  </r>
  <r>
    <x v="0"/>
    <x v="4"/>
    <x v="4"/>
    <x v="95"/>
    <x v="85"/>
    <x v="85"/>
    <s v="REVENUS"/>
    <x v="6"/>
    <s v="4221.003"/>
    <s v="Intérêts compensat. / acomptes en faveur du fisc"/>
    <n v="0"/>
    <n v="0.23"/>
    <n v="4221"/>
  </r>
  <r>
    <x v="0"/>
    <x v="4"/>
    <x v="4"/>
    <x v="96"/>
    <x v="86"/>
    <x v="86"/>
    <s v="CHARGES"/>
    <x v="0"/>
    <s v="3212.004"/>
    <s v="Intérêts rémun./perçu trop tôt sur acomptes C/C"/>
    <n v="352.21"/>
    <n v="0"/>
    <n v="3212"/>
  </r>
  <r>
    <x v="0"/>
    <x v="4"/>
    <x v="4"/>
    <x v="96"/>
    <x v="86"/>
    <x v="86"/>
    <s v="CHARGES"/>
    <x v="1"/>
    <s v="3301.001"/>
    <s v="Défalcations, abandons de solde PP et IS"/>
    <n v="23637.13"/>
    <n v="0"/>
    <n v="3301"/>
  </r>
  <r>
    <x v="0"/>
    <x v="4"/>
    <x v="4"/>
    <x v="96"/>
    <x v="86"/>
    <x v="86"/>
    <s v="CHARGES"/>
    <x v="0"/>
    <s v="3221.002"/>
    <s v="Intérêts compensatoires / créances en faveur ctb."/>
    <n v="123.61"/>
    <n v="0"/>
    <n v="3221"/>
  </r>
  <r>
    <x v="0"/>
    <x v="4"/>
    <x v="4"/>
    <x v="96"/>
    <x v="86"/>
    <x v="86"/>
    <s v="CHARGES"/>
    <x v="1"/>
    <s v="3301.001"/>
    <s v="Défalcations, abandons de solde PP et IS"/>
    <n v="1.1000000000000001"/>
    <n v="0"/>
    <n v="3301"/>
  </r>
  <r>
    <x v="0"/>
    <x v="4"/>
    <x v="4"/>
    <x v="96"/>
    <x v="86"/>
    <x v="86"/>
    <s v="CHARGES"/>
    <x v="1"/>
    <s v="3301.001"/>
    <s v="Défalcations, abandons de solde PP et IS"/>
    <n v="16.13"/>
    <n v="0"/>
    <n v="3301"/>
  </r>
  <r>
    <x v="0"/>
    <x v="4"/>
    <x v="4"/>
    <x v="96"/>
    <x v="86"/>
    <x v="86"/>
    <s v="CHARGES"/>
    <x v="1"/>
    <s v="3301.001"/>
    <s v="Défalcations, abandons de solde PP et IS"/>
    <n v="7612.98"/>
    <n v="0"/>
    <n v="3301"/>
  </r>
  <r>
    <x v="0"/>
    <x v="4"/>
    <x v="4"/>
    <x v="96"/>
    <x v="86"/>
    <x v="86"/>
    <s v="CHARGES"/>
    <x v="0"/>
    <s v="3212.004"/>
    <s v="Intérêts rémun./perçu trop tôt sur acomptes C/C"/>
    <n v="1.94"/>
    <n v="0"/>
    <n v="3212"/>
  </r>
  <r>
    <x v="0"/>
    <x v="4"/>
    <x v="4"/>
    <x v="96"/>
    <x v="86"/>
    <x v="86"/>
    <s v="CHARGES"/>
    <x v="0"/>
    <s v="3212.002"/>
    <s v="Intérêts bonifiés/trop perçu acompte C/C"/>
    <n v="0.13"/>
    <n v="0"/>
    <n v="3212"/>
  </r>
  <r>
    <x v="0"/>
    <x v="4"/>
    <x v="4"/>
    <x v="96"/>
    <x v="86"/>
    <x v="86"/>
    <s v="CHARGES"/>
    <x v="0"/>
    <s v="3212.004"/>
    <s v="Intérêts rémun./perçu trop tôt sur acomptes C/C"/>
    <n v="0.05"/>
    <n v="0"/>
    <n v="3212"/>
  </r>
  <r>
    <x v="0"/>
    <x v="4"/>
    <x v="4"/>
    <x v="96"/>
    <x v="86"/>
    <x v="86"/>
    <s v="CHARGES"/>
    <x v="0"/>
    <s v="3221.002"/>
    <s v="Intérêts compensatoires / créances en faveur ctb."/>
    <n v="0.2"/>
    <n v="0"/>
    <n v="3221"/>
  </r>
  <r>
    <x v="0"/>
    <x v="4"/>
    <x v="4"/>
    <x v="96"/>
    <x v="86"/>
    <x v="86"/>
    <s v="CHARGES"/>
    <x v="1"/>
    <s v="3301.001"/>
    <s v="Défalcations, abandons de solde PP et IS"/>
    <n v="-0.17"/>
    <n v="0"/>
    <n v="3301"/>
  </r>
  <r>
    <x v="0"/>
    <x v="4"/>
    <x v="4"/>
    <x v="96"/>
    <x v="86"/>
    <x v="86"/>
    <s v="CHARGES"/>
    <x v="0"/>
    <s v="3212.002"/>
    <s v="Intérêts bonifiés/trop perçu acompte C/C"/>
    <n v="50.4"/>
    <n v="0"/>
    <n v="3212"/>
  </r>
  <r>
    <x v="0"/>
    <x v="4"/>
    <x v="4"/>
    <x v="96"/>
    <x v="86"/>
    <x v="86"/>
    <s v="CHARGES"/>
    <x v="1"/>
    <s v="3301.001"/>
    <s v="Défalcations, abandons de solde PP et IS"/>
    <n v="0.25"/>
    <n v="0"/>
    <n v="3301"/>
  </r>
  <r>
    <x v="0"/>
    <x v="4"/>
    <x v="4"/>
    <x v="96"/>
    <x v="86"/>
    <x v="86"/>
    <s v="CHARGES"/>
    <x v="0"/>
    <s v="3221.002"/>
    <s v="Intérêts compensatoires / créances en faveur ctb."/>
    <n v="0.05"/>
    <n v="0"/>
    <n v="3221"/>
  </r>
  <r>
    <x v="0"/>
    <x v="4"/>
    <x v="4"/>
    <x v="96"/>
    <x v="86"/>
    <x v="86"/>
    <s v="CHARGES"/>
    <x v="0"/>
    <s v="3212.004"/>
    <s v="Intérêts rémun./perçu trop tôt sur acomptes C/C"/>
    <n v="0.17"/>
    <n v="0"/>
    <n v="3212"/>
  </r>
  <r>
    <x v="0"/>
    <x v="4"/>
    <x v="4"/>
    <x v="96"/>
    <x v="86"/>
    <x v="86"/>
    <s v="CHARGES"/>
    <x v="0"/>
    <s v="3212.004"/>
    <s v="Intérêts rémun./perçu trop tôt sur acomptes C/C"/>
    <n v="0.05"/>
    <n v="0"/>
    <n v="3212"/>
  </r>
  <r>
    <x v="0"/>
    <x v="4"/>
    <x v="4"/>
    <x v="96"/>
    <x v="86"/>
    <x v="86"/>
    <s v="CHARGES"/>
    <x v="0"/>
    <s v="3221.002"/>
    <s v="Intérêts compensatoires / créances en faveur ctb."/>
    <n v="0.04"/>
    <n v="0"/>
    <n v="3221"/>
  </r>
  <r>
    <x v="0"/>
    <x v="4"/>
    <x v="4"/>
    <x v="96"/>
    <x v="86"/>
    <x v="86"/>
    <s v="REVENUS"/>
    <x v="2"/>
    <s v="4001.001"/>
    <s v="Impôt revenu"/>
    <n v="0"/>
    <n v="1460989.8"/>
    <n v="4001"/>
  </r>
  <r>
    <x v="0"/>
    <x v="4"/>
    <x v="4"/>
    <x v="96"/>
    <x v="86"/>
    <x v="86"/>
    <s v="REVENUS"/>
    <x v="2"/>
    <s v="4001.007"/>
    <s v="Acompte impôt sur revenu"/>
    <n v="0"/>
    <n v="-271150.01"/>
    <n v="4001"/>
  </r>
  <r>
    <x v="0"/>
    <x v="4"/>
    <x v="4"/>
    <x v="96"/>
    <x v="86"/>
    <x v="86"/>
    <s v="REVENUS"/>
    <x v="3"/>
    <s v="4002.001"/>
    <s v="Impôt ordinaire s/fortune PP"/>
    <n v="0"/>
    <n v="175318.7"/>
    <n v="4002"/>
  </r>
  <r>
    <x v="0"/>
    <x v="4"/>
    <x v="4"/>
    <x v="96"/>
    <x v="86"/>
    <x v="86"/>
    <s v="REVENUS"/>
    <x v="3"/>
    <s v="4002.007"/>
    <s v="Acompte impôt sur fortune"/>
    <n v="0"/>
    <n v="-60495.3"/>
    <n v="4002"/>
  </r>
  <r>
    <x v="0"/>
    <x v="4"/>
    <x v="4"/>
    <x v="96"/>
    <x v="86"/>
    <x v="86"/>
    <s v="REVENUS"/>
    <x v="6"/>
    <s v="4211.002"/>
    <s v="Intérêts de retard sur acomptes"/>
    <n v="0"/>
    <n v="11224.67"/>
    <n v="4211"/>
  </r>
  <r>
    <x v="0"/>
    <x v="4"/>
    <x v="4"/>
    <x v="96"/>
    <x v="86"/>
    <x v="86"/>
    <s v="REVENUS"/>
    <x v="6"/>
    <s v="4221.003"/>
    <s v="Intérêts compensat. / acomptes en faveur du fisc"/>
    <n v="0"/>
    <n v="173.02"/>
    <n v="4221"/>
  </r>
  <r>
    <x v="0"/>
    <x v="4"/>
    <x v="4"/>
    <x v="96"/>
    <x v="86"/>
    <x v="86"/>
    <s v="REVENUS"/>
    <x v="6"/>
    <s v="4211.001"/>
    <s v="Intérêts de retard sur factures"/>
    <n v="0"/>
    <n v="3862.99"/>
    <n v="4211"/>
  </r>
  <r>
    <x v="0"/>
    <x v="4"/>
    <x v="4"/>
    <x v="96"/>
    <x v="86"/>
    <x v="86"/>
    <s v="REVENUS"/>
    <x v="9"/>
    <s v="4031.001"/>
    <s v="Impôt sur les gains immobiliers"/>
    <n v="0"/>
    <n v="-518.95000000000005"/>
    <n v="4031"/>
  </r>
  <r>
    <x v="0"/>
    <x v="4"/>
    <x v="4"/>
    <x v="96"/>
    <x v="86"/>
    <x v="86"/>
    <s v="REVENUS"/>
    <x v="2"/>
    <s v="4001.001"/>
    <s v="Impôt revenu"/>
    <n v="0"/>
    <n v="2624.1"/>
    <n v="4001"/>
  </r>
  <r>
    <x v="0"/>
    <x v="4"/>
    <x v="4"/>
    <x v="96"/>
    <x v="86"/>
    <x v="86"/>
    <s v="REVENUS"/>
    <x v="2"/>
    <s v="4001.007"/>
    <s v="Acompte impôt sur revenu"/>
    <n v="0"/>
    <n v="-733.35"/>
    <n v="4001"/>
  </r>
  <r>
    <x v="0"/>
    <x v="4"/>
    <x v="4"/>
    <x v="96"/>
    <x v="86"/>
    <x v="86"/>
    <s v="REVENUS"/>
    <x v="3"/>
    <s v="4002.001"/>
    <s v="Impôt ordinaire s/fortune PP"/>
    <n v="0"/>
    <n v="1854.55"/>
    <n v="4002"/>
  </r>
  <r>
    <x v="0"/>
    <x v="4"/>
    <x v="4"/>
    <x v="96"/>
    <x v="86"/>
    <x v="86"/>
    <s v="REVENUS"/>
    <x v="3"/>
    <s v="4002.007"/>
    <s v="Acompte impôt sur fortune"/>
    <n v="0"/>
    <n v="-428.1"/>
    <n v="4002"/>
  </r>
  <r>
    <x v="0"/>
    <x v="4"/>
    <x v="4"/>
    <x v="96"/>
    <x v="86"/>
    <x v="86"/>
    <s v="REVENUS"/>
    <x v="6"/>
    <s v="4221.003"/>
    <s v="Intérêts compensat. / acomptes en faveur du fisc"/>
    <n v="0"/>
    <n v="0.76"/>
    <n v="4221"/>
  </r>
  <r>
    <x v="0"/>
    <x v="4"/>
    <x v="4"/>
    <x v="96"/>
    <x v="86"/>
    <x v="86"/>
    <s v="REVENUS"/>
    <x v="2"/>
    <s v="4001.007"/>
    <s v="Acompte impôt sur revenu"/>
    <n v="0"/>
    <n v="-182.95"/>
    <n v="4001"/>
  </r>
  <r>
    <x v="0"/>
    <x v="4"/>
    <x v="4"/>
    <x v="96"/>
    <x v="86"/>
    <x v="86"/>
    <s v="REVENUS"/>
    <x v="3"/>
    <s v="4002.007"/>
    <s v="Acompte impôt sur fortune"/>
    <n v="0"/>
    <n v="-41.7"/>
    <n v="4002"/>
  </r>
  <r>
    <x v="0"/>
    <x v="4"/>
    <x v="4"/>
    <x v="96"/>
    <x v="86"/>
    <x v="86"/>
    <s v="REVENUS"/>
    <x v="2"/>
    <s v="4001.001"/>
    <s v="Impôt revenu"/>
    <n v="0"/>
    <n v="4648.1000000000004"/>
    <n v="4001"/>
  </r>
  <r>
    <x v="0"/>
    <x v="4"/>
    <x v="4"/>
    <x v="96"/>
    <x v="86"/>
    <x v="86"/>
    <s v="REVENUS"/>
    <x v="3"/>
    <s v="4002.001"/>
    <s v="Impôt ordinaire s/fortune PP"/>
    <n v="0"/>
    <n v="4018.45"/>
    <n v="4002"/>
  </r>
  <r>
    <x v="0"/>
    <x v="4"/>
    <x v="4"/>
    <x v="96"/>
    <x v="86"/>
    <x v="86"/>
    <s v="REVENUS"/>
    <x v="6"/>
    <s v="4221.003"/>
    <s v="Intérêts compensat. / acomptes en faveur du fisc"/>
    <n v="0"/>
    <n v="4.1500000000000004"/>
    <n v="4221"/>
  </r>
  <r>
    <x v="0"/>
    <x v="4"/>
    <x v="4"/>
    <x v="96"/>
    <x v="86"/>
    <x v="86"/>
    <s v="REVENUS"/>
    <x v="2"/>
    <s v="4001.002"/>
    <s v="Impôt complément s/revenu PP"/>
    <n v="0"/>
    <n v="178448.6"/>
    <n v="4001"/>
  </r>
  <r>
    <x v="0"/>
    <x v="4"/>
    <x v="4"/>
    <x v="96"/>
    <x v="86"/>
    <x v="86"/>
    <s v="REVENUS"/>
    <x v="3"/>
    <s v="4002.002"/>
    <s v="Impôt complémentaire s/fortune PP"/>
    <n v="0"/>
    <n v="23262.15"/>
    <n v="4002"/>
  </r>
  <r>
    <x v="0"/>
    <x v="4"/>
    <x v="4"/>
    <x v="96"/>
    <x v="86"/>
    <x v="86"/>
    <s v="REVENUS"/>
    <x v="6"/>
    <s v="4221.002"/>
    <s v="Intérêts compensat. sur impôts distincts"/>
    <n v="0"/>
    <n v="-0.83"/>
    <n v="4221"/>
  </r>
  <r>
    <x v="0"/>
    <x v="4"/>
    <x v="4"/>
    <x v="96"/>
    <x v="86"/>
    <x v="86"/>
    <s v="REVENUS"/>
    <x v="2"/>
    <s v="4001.003"/>
    <s v="Impôt s/prest. cap. PP"/>
    <n v="0"/>
    <n v="30398.95"/>
    <n v="4001"/>
  </r>
  <r>
    <x v="0"/>
    <x v="4"/>
    <x v="4"/>
    <x v="96"/>
    <x v="86"/>
    <x v="86"/>
    <s v="REVENUS"/>
    <x v="2"/>
    <s v="4001.007"/>
    <s v="Acompte impôt sur revenu"/>
    <n v="0"/>
    <n v="-527.85"/>
    <n v="4001"/>
  </r>
  <r>
    <x v="0"/>
    <x v="4"/>
    <x v="4"/>
    <x v="96"/>
    <x v="86"/>
    <x v="86"/>
    <s v="REVENUS"/>
    <x v="3"/>
    <s v="4002.007"/>
    <s v="Acompte impôt sur fortune"/>
    <n v="0"/>
    <n v="390.9"/>
    <n v="4002"/>
  </r>
  <r>
    <x v="0"/>
    <x v="4"/>
    <x v="4"/>
    <x v="96"/>
    <x v="86"/>
    <x v="86"/>
    <s v="REVENUS"/>
    <x v="2"/>
    <s v="4001.007"/>
    <s v="Acompte impôt sur revenu"/>
    <n v="0"/>
    <n v="2774.4"/>
    <n v="4001"/>
  </r>
  <r>
    <x v="0"/>
    <x v="4"/>
    <x v="4"/>
    <x v="96"/>
    <x v="86"/>
    <x v="86"/>
    <s v="REVENUS"/>
    <x v="3"/>
    <s v="4002.007"/>
    <s v="Acompte impôt sur fortune"/>
    <n v="0"/>
    <n v="-0.2"/>
    <n v="4002"/>
  </r>
  <r>
    <x v="0"/>
    <x v="4"/>
    <x v="4"/>
    <x v="96"/>
    <x v="86"/>
    <x v="86"/>
    <s v="REVENUS"/>
    <x v="3"/>
    <s v="4002.001"/>
    <s v="Impôt ordinaire s/fortune PP"/>
    <n v="0"/>
    <n v="-301.05"/>
    <n v="4002"/>
  </r>
  <r>
    <x v="0"/>
    <x v="4"/>
    <x v="4"/>
    <x v="96"/>
    <x v="86"/>
    <x v="86"/>
    <s v="REVENUS"/>
    <x v="3"/>
    <s v="4002.002"/>
    <s v="Impôt complémentaire s/fortune PP"/>
    <n v="0"/>
    <n v="179.15"/>
    <n v="4002"/>
  </r>
  <r>
    <x v="0"/>
    <x v="4"/>
    <x v="4"/>
    <x v="96"/>
    <x v="86"/>
    <x v="86"/>
    <s v="REVENUS"/>
    <x v="6"/>
    <s v="4211.002"/>
    <s v="Intérêts de retard sur acomptes"/>
    <n v="0"/>
    <n v="-1.1499999999999999"/>
    <n v="4211"/>
  </r>
  <r>
    <x v="0"/>
    <x v="4"/>
    <x v="4"/>
    <x v="96"/>
    <x v="86"/>
    <x v="86"/>
    <s v="REVENUS"/>
    <x v="6"/>
    <s v="4221.003"/>
    <s v="Intérêts compensat. / acomptes en faveur du fisc"/>
    <n v="0"/>
    <n v="-0.16"/>
    <n v="4221"/>
  </r>
  <r>
    <x v="0"/>
    <x v="4"/>
    <x v="4"/>
    <x v="96"/>
    <x v="86"/>
    <x v="86"/>
    <s v="REVENUS"/>
    <x v="3"/>
    <s v="4002.007"/>
    <s v="Acompte impôt sur fortune"/>
    <n v="0"/>
    <n v="3175.4"/>
    <n v="4002"/>
  </r>
  <r>
    <x v="0"/>
    <x v="4"/>
    <x v="4"/>
    <x v="96"/>
    <x v="86"/>
    <x v="86"/>
    <s v="REVENUS"/>
    <x v="2"/>
    <s v="4001.007"/>
    <s v="Acompte impôt sur revenu"/>
    <n v="0"/>
    <n v="5404.25"/>
    <n v="4001"/>
  </r>
  <r>
    <x v="0"/>
    <x v="4"/>
    <x v="4"/>
    <x v="96"/>
    <x v="86"/>
    <x v="86"/>
    <s v="REVENUS"/>
    <x v="2"/>
    <s v="4001.007"/>
    <s v="Acompte impôt sur revenu"/>
    <n v="0"/>
    <n v="2337.6"/>
    <n v="4001"/>
  </r>
  <r>
    <x v="0"/>
    <x v="4"/>
    <x v="4"/>
    <x v="96"/>
    <x v="86"/>
    <x v="86"/>
    <s v="REVENUS"/>
    <x v="3"/>
    <s v="4002.007"/>
    <s v="Acompte impôt sur fortune"/>
    <n v="0"/>
    <n v="1115.75"/>
    <n v="4002"/>
  </r>
  <r>
    <x v="0"/>
    <x v="4"/>
    <x v="4"/>
    <x v="96"/>
    <x v="86"/>
    <x v="86"/>
    <s v="REVENUS"/>
    <x v="7"/>
    <s v="4184.000"/>
    <s v="Frais de poursuite"/>
    <n v="0"/>
    <n v="380.67"/>
    <n v="4184"/>
  </r>
  <r>
    <x v="0"/>
    <x v="4"/>
    <x v="4"/>
    <x v="96"/>
    <x v="86"/>
    <x v="86"/>
    <s v="REVENUS"/>
    <x v="7"/>
    <s v="4184.000"/>
    <s v="Frais de poursuite"/>
    <n v="0"/>
    <n v="772.07"/>
    <n v="4184"/>
  </r>
  <r>
    <x v="0"/>
    <x v="4"/>
    <x v="4"/>
    <x v="96"/>
    <x v="86"/>
    <x v="86"/>
    <s v="REVENUS"/>
    <x v="2"/>
    <s v="4001.001"/>
    <s v="Impôt revenu"/>
    <n v="0"/>
    <n v="1833.7"/>
    <n v="4001"/>
  </r>
  <r>
    <x v="0"/>
    <x v="4"/>
    <x v="4"/>
    <x v="96"/>
    <x v="86"/>
    <x v="86"/>
    <s v="REVENUS"/>
    <x v="6"/>
    <s v="4211.001"/>
    <s v="Intérêts de retard sur factures"/>
    <n v="0"/>
    <n v="0.77"/>
    <n v="4211"/>
  </r>
  <r>
    <x v="0"/>
    <x v="4"/>
    <x v="4"/>
    <x v="96"/>
    <x v="86"/>
    <x v="86"/>
    <s v="REVENUS"/>
    <x v="6"/>
    <s v="4211.001"/>
    <s v="Intérêts de retard sur factures"/>
    <n v="0"/>
    <n v="3.82"/>
    <n v="4211"/>
  </r>
  <r>
    <x v="0"/>
    <x v="4"/>
    <x v="4"/>
    <x v="96"/>
    <x v="86"/>
    <x v="86"/>
    <s v="REVENUS"/>
    <x v="6"/>
    <s v="4211.001"/>
    <s v="Intérêts de retard sur factures"/>
    <n v="0"/>
    <n v="0.15"/>
    <n v="4211"/>
  </r>
  <r>
    <x v="0"/>
    <x v="4"/>
    <x v="4"/>
    <x v="96"/>
    <x v="86"/>
    <x v="86"/>
    <s v="REVENUS"/>
    <x v="7"/>
    <s v="4184.000"/>
    <s v="Frais de poursuite"/>
    <n v="0"/>
    <n v="4.26"/>
    <n v="4184"/>
  </r>
  <r>
    <x v="0"/>
    <x v="4"/>
    <x v="4"/>
    <x v="96"/>
    <x v="86"/>
    <x v="86"/>
    <s v="REVENUS"/>
    <x v="8"/>
    <s v="4091.001"/>
    <s v="Impôt récupéré après défalcations"/>
    <n v="0"/>
    <n v="378.51"/>
    <n v="4091"/>
  </r>
  <r>
    <x v="0"/>
    <x v="4"/>
    <x v="4"/>
    <x v="96"/>
    <x v="86"/>
    <x v="86"/>
    <s v="REVENUS"/>
    <x v="2"/>
    <s v="4001.001"/>
    <s v="Impôt revenu"/>
    <n v="0"/>
    <n v="523.79999999999995"/>
    <n v="4001"/>
  </r>
  <r>
    <x v="0"/>
    <x v="4"/>
    <x v="4"/>
    <x v="96"/>
    <x v="86"/>
    <x v="86"/>
    <s v="REVENUS"/>
    <x v="6"/>
    <s v="4221.003"/>
    <s v="Intérêts compensat. / acomptes en faveur du fisc"/>
    <n v="0"/>
    <n v="0.1"/>
    <n v="4221"/>
  </r>
  <r>
    <x v="0"/>
    <x v="4"/>
    <x v="4"/>
    <x v="96"/>
    <x v="86"/>
    <x v="86"/>
    <s v="REVENUS"/>
    <x v="6"/>
    <s v="4211.002"/>
    <s v="Intérêts de retard sur acomptes"/>
    <n v="0"/>
    <n v="3.38"/>
    <n v="4211"/>
  </r>
  <r>
    <x v="0"/>
    <x v="4"/>
    <x v="4"/>
    <x v="96"/>
    <x v="86"/>
    <x v="86"/>
    <s v="REVENUS"/>
    <x v="8"/>
    <s v="4091.001"/>
    <s v="Impôt récupéré après défalcations"/>
    <n v="0"/>
    <n v="32.35"/>
    <n v="4091"/>
  </r>
  <r>
    <x v="0"/>
    <x v="4"/>
    <x v="4"/>
    <x v="96"/>
    <x v="86"/>
    <x v="86"/>
    <s v="REVENUS"/>
    <x v="3"/>
    <s v="4002.001"/>
    <s v="Impôt ordinaire s/fortune PP"/>
    <n v="0"/>
    <n v="31.3"/>
    <n v="4002"/>
  </r>
  <r>
    <x v="0"/>
    <x v="4"/>
    <x v="4"/>
    <x v="96"/>
    <x v="86"/>
    <x v="86"/>
    <s v="REVENUS"/>
    <x v="6"/>
    <s v="4211.002"/>
    <s v="Intérêts de retard sur acomptes"/>
    <n v="0"/>
    <n v="1.1100000000000001"/>
    <n v="4211"/>
  </r>
  <r>
    <x v="0"/>
    <x v="4"/>
    <x v="4"/>
    <x v="97"/>
    <x v="73"/>
    <x v="73"/>
    <s v="CHARGES"/>
    <x v="1"/>
    <s v="3301.001"/>
    <s v="Défalcations, abandons de solde PP et IS"/>
    <n v="2217.9"/>
    <n v="0"/>
    <n v="3301"/>
  </r>
  <r>
    <x v="0"/>
    <x v="4"/>
    <x v="4"/>
    <x v="97"/>
    <x v="73"/>
    <x v="73"/>
    <s v="CHARGES"/>
    <x v="1"/>
    <s v="3301.001"/>
    <s v="Défalcations, abandons de solde PP et IS"/>
    <n v="10.37"/>
    <n v="0"/>
    <n v="3301"/>
  </r>
  <r>
    <x v="0"/>
    <x v="4"/>
    <x v="4"/>
    <x v="97"/>
    <x v="73"/>
    <x v="73"/>
    <s v="CHARGES"/>
    <x v="0"/>
    <s v="3212.004"/>
    <s v="Intérêts rémun./perçu trop tôt sur acomptes C/C"/>
    <n v="0.09"/>
    <n v="0"/>
    <n v="3212"/>
  </r>
  <r>
    <x v="0"/>
    <x v="4"/>
    <x v="4"/>
    <x v="97"/>
    <x v="73"/>
    <x v="73"/>
    <s v="CHARGES"/>
    <x v="0"/>
    <s v="3221.002"/>
    <s v="Intérêts compensatoires / créances en faveur ctb."/>
    <n v="0.01"/>
    <n v="0"/>
    <n v="3221"/>
  </r>
  <r>
    <x v="0"/>
    <x v="4"/>
    <x v="4"/>
    <x v="97"/>
    <x v="73"/>
    <x v="73"/>
    <s v="CHARGES"/>
    <x v="0"/>
    <s v="3212.002"/>
    <s v="Intérêts bonifiés/trop perçu acompte C/C"/>
    <n v="-0.7"/>
    <n v="0"/>
    <n v="3212"/>
  </r>
  <r>
    <x v="0"/>
    <x v="4"/>
    <x v="4"/>
    <x v="97"/>
    <x v="73"/>
    <x v="73"/>
    <s v="CHARGES"/>
    <x v="0"/>
    <s v="3212.004"/>
    <s v="Intérêts rémun./perçu trop tôt sur acomptes C/C"/>
    <n v="-1.24"/>
    <n v="0"/>
    <n v="3212"/>
  </r>
  <r>
    <x v="0"/>
    <x v="4"/>
    <x v="4"/>
    <x v="97"/>
    <x v="73"/>
    <x v="73"/>
    <s v="CHARGES"/>
    <x v="0"/>
    <s v="3221.002"/>
    <s v="Intérêts compensatoires / créances en faveur ctb."/>
    <n v="-1.04"/>
    <n v="0"/>
    <n v="3221"/>
  </r>
  <r>
    <x v="0"/>
    <x v="4"/>
    <x v="4"/>
    <x v="97"/>
    <x v="73"/>
    <x v="73"/>
    <s v="REVENUS"/>
    <x v="6"/>
    <s v="4211.001"/>
    <s v="Intérêts de retard sur factures"/>
    <n v="0"/>
    <n v="1351.92"/>
    <n v="4211"/>
  </r>
  <r>
    <x v="0"/>
    <x v="4"/>
    <x v="4"/>
    <x v="97"/>
    <x v="73"/>
    <x v="73"/>
    <s v="REVENUS"/>
    <x v="2"/>
    <s v="4001.001"/>
    <s v="Impôt revenu"/>
    <n v="0"/>
    <n v="6176.25"/>
    <n v="4001"/>
  </r>
  <r>
    <x v="0"/>
    <x v="4"/>
    <x v="4"/>
    <x v="97"/>
    <x v="73"/>
    <x v="73"/>
    <s v="REVENUS"/>
    <x v="2"/>
    <s v="4001.005"/>
    <s v="Amende de soustract. Impôt"/>
    <n v="0"/>
    <n v="300"/>
    <n v="4001"/>
  </r>
  <r>
    <x v="0"/>
    <x v="4"/>
    <x v="4"/>
    <x v="97"/>
    <x v="73"/>
    <x v="73"/>
    <s v="REVENUS"/>
    <x v="2"/>
    <s v="4001.007"/>
    <s v="Acompte impôt sur revenu"/>
    <n v="0"/>
    <n v="-76.87"/>
    <n v="4001"/>
  </r>
  <r>
    <x v="0"/>
    <x v="4"/>
    <x v="4"/>
    <x v="97"/>
    <x v="73"/>
    <x v="73"/>
    <s v="REVENUS"/>
    <x v="3"/>
    <s v="4002.001"/>
    <s v="Impôt ordinaire s/fortune PP"/>
    <n v="0"/>
    <n v="213.45"/>
    <n v="4002"/>
  </r>
  <r>
    <x v="0"/>
    <x v="4"/>
    <x v="4"/>
    <x v="97"/>
    <x v="73"/>
    <x v="73"/>
    <s v="REVENUS"/>
    <x v="3"/>
    <s v="4002.007"/>
    <s v="Acompte impôt sur fortune"/>
    <n v="0"/>
    <n v="-397.71"/>
    <n v="4002"/>
  </r>
  <r>
    <x v="0"/>
    <x v="4"/>
    <x v="4"/>
    <x v="97"/>
    <x v="73"/>
    <x v="73"/>
    <s v="REVENUS"/>
    <x v="6"/>
    <s v="4211.002"/>
    <s v="Intérêts de retard sur acomptes"/>
    <n v="0"/>
    <n v="365.61"/>
    <n v="4211"/>
  </r>
  <r>
    <x v="0"/>
    <x v="4"/>
    <x v="4"/>
    <x v="97"/>
    <x v="73"/>
    <x v="73"/>
    <s v="REVENUS"/>
    <x v="6"/>
    <s v="4221.003"/>
    <s v="Intérêts compensat. / acomptes en faveur du fisc"/>
    <n v="0"/>
    <n v="261.20999999999998"/>
    <n v="4221"/>
  </r>
  <r>
    <x v="0"/>
    <x v="4"/>
    <x v="4"/>
    <x v="97"/>
    <x v="73"/>
    <x v="73"/>
    <s v="REVENUS"/>
    <x v="7"/>
    <s v="4184.000"/>
    <s v="Frais de poursuite"/>
    <n v="0"/>
    <n v="0.18"/>
    <n v="4184"/>
  </r>
  <r>
    <x v="0"/>
    <x v="4"/>
    <x v="4"/>
    <x v="97"/>
    <x v="73"/>
    <x v="73"/>
    <s v="REVENUS"/>
    <x v="2"/>
    <s v="4001.003"/>
    <s v="Impôt s/prest. cap. PP"/>
    <n v="0"/>
    <n v="-2649.4"/>
    <n v="4001"/>
  </r>
  <r>
    <x v="0"/>
    <x v="4"/>
    <x v="4"/>
    <x v="97"/>
    <x v="73"/>
    <x v="73"/>
    <s v="REVENUS"/>
    <x v="3"/>
    <s v="4002.002"/>
    <s v="Impôt complémentaire s/fortune PP"/>
    <n v="0"/>
    <n v="43.7"/>
    <n v="4002"/>
  </r>
  <r>
    <x v="0"/>
    <x v="4"/>
    <x v="4"/>
    <x v="97"/>
    <x v="73"/>
    <x v="73"/>
    <s v="REVENUS"/>
    <x v="6"/>
    <s v="4211.001"/>
    <s v="Intérêts de retard sur factures"/>
    <n v="0"/>
    <n v="3.86"/>
    <n v="4211"/>
  </r>
  <r>
    <x v="0"/>
    <x v="4"/>
    <x v="4"/>
    <x v="97"/>
    <x v="73"/>
    <x v="73"/>
    <s v="REVENUS"/>
    <x v="2"/>
    <s v="4001.002"/>
    <s v="Impôt complément s/revenu PP"/>
    <n v="0"/>
    <n v="2539.6999999999998"/>
    <n v="4001"/>
  </r>
  <r>
    <x v="0"/>
    <x v="4"/>
    <x v="4"/>
    <x v="98"/>
    <x v="87"/>
    <x v="87"/>
    <s v="CHARGES"/>
    <x v="0"/>
    <s v="3212.004"/>
    <s v="Intérêts rémun./perçu trop tôt sur acomptes C/C"/>
    <n v="426.55"/>
    <n v="0"/>
    <n v="3212"/>
  </r>
  <r>
    <x v="0"/>
    <x v="4"/>
    <x v="4"/>
    <x v="98"/>
    <x v="87"/>
    <x v="87"/>
    <s v="CHARGES"/>
    <x v="0"/>
    <s v="3221.002"/>
    <s v="Intérêts compensatoires / créances en faveur ctb."/>
    <n v="282.56"/>
    <n v="0"/>
    <n v="3221"/>
  </r>
  <r>
    <x v="0"/>
    <x v="4"/>
    <x v="4"/>
    <x v="98"/>
    <x v="87"/>
    <x v="87"/>
    <s v="CHARGES"/>
    <x v="1"/>
    <s v="3301.001"/>
    <s v="Défalcations, abandons de solde PP et IS"/>
    <n v="18756.2"/>
    <n v="0"/>
    <n v="3301"/>
  </r>
  <r>
    <x v="0"/>
    <x v="4"/>
    <x v="4"/>
    <x v="98"/>
    <x v="87"/>
    <x v="87"/>
    <s v="CHARGES"/>
    <x v="1"/>
    <s v="3301.001"/>
    <s v="Défalcations, abandons de solde PP et IS"/>
    <n v="10211.030000000001"/>
    <n v="0"/>
    <n v="3301"/>
  </r>
  <r>
    <x v="0"/>
    <x v="4"/>
    <x v="4"/>
    <x v="98"/>
    <x v="87"/>
    <x v="87"/>
    <s v="CHARGES"/>
    <x v="0"/>
    <s v="3212.002"/>
    <s v="Intérêts bonifiés/trop perçu acompte C/C"/>
    <n v="10.68"/>
    <n v="0"/>
    <n v="3212"/>
  </r>
  <r>
    <x v="0"/>
    <x v="4"/>
    <x v="4"/>
    <x v="98"/>
    <x v="87"/>
    <x v="87"/>
    <s v="CHARGES"/>
    <x v="0"/>
    <s v="3212.004"/>
    <s v="Intérêts rémun./perçu trop tôt sur acomptes C/C"/>
    <n v="1.24"/>
    <n v="0"/>
    <n v="3212"/>
  </r>
  <r>
    <x v="0"/>
    <x v="4"/>
    <x v="4"/>
    <x v="98"/>
    <x v="87"/>
    <x v="87"/>
    <s v="CHARGES"/>
    <x v="0"/>
    <s v="3221.002"/>
    <s v="Intérêts compensatoires / créances en faveur ctb."/>
    <n v="0.24"/>
    <n v="0"/>
    <n v="3221"/>
  </r>
  <r>
    <x v="0"/>
    <x v="4"/>
    <x v="4"/>
    <x v="98"/>
    <x v="87"/>
    <x v="87"/>
    <s v="CHARGES"/>
    <x v="1"/>
    <s v="3301.001"/>
    <s v="Défalcations, abandons de solde PP et IS"/>
    <n v="1.49"/>
    <n v="0"/>
    <n v="3301"/>
  </r>
  <r>
    <x v="0"/>
    <x v="4"/>
    <x v="4"/>
    <x v="98"/>
    <x v="87"/>
    <x v="87"/>
    <s v="CHARGES"/>
    <x v="0"/>
    <s v="3221.002"/>
    <s v="Intérêts compensatoires / créances en faveur ctb."/>
    <n v="0.27"/>
    <n v="0"/>
    <n v="3221"/>
  </r>
  <r>
    <x v="0"/>
    <x v="4"/>
    <x v="4"/>
    <x v="98"/>
    <x v="87"/>
    <x v="87"/>
    <s v="CHARGES"/>
    <x v="0"/>
    <s v="3212.004"/>
    <s v="Intérêts rémun./perçu trop tôt sur acomptes C/C"/>
    <n v="3.35"/>
    <n v="0"/>
    <n v="3212"/>
  </r>
  <r>
    <x v="0"/>
    <x v="4"/>
    <x v="4"/>
    <x v="98"/>
    <x v="87"/>
    <x v="87"/>
    <s v="CHARGES"/>
    <x v="0"/>
    <s v="3221.002"/>
    <s v="Intérêts compensatoires / créances en faveur ctb."/>
    <n v="0.74"/>
    <n v="0"/>
    <n v="3221"/>
  </r>
  <r>
    <x v="0"/>
    <x v="4"/>
    <x v="4"/>
    <x v="98"/>
    <x v="87"/>
    <x v="87"/>
    <s v="CHARGES"/>
    <x v="0"/>
    <s v="3212.004"/>
    <s v="Intérêts rémun./perçu trop tôt sur acomptes C/C"/>
    <n v="0.42"/>
    <n v="0"/>
    <n v="3212"/>
  </r>
  <r>
    <x v="0"/>
    <x v="4"/>
    <x v="4"/>
    <x v="98"/>
    <x v="87"/>
    <x v="87"/>
    <s v="CHARGES"/>
    <x v="0"/>
    <s v="3221.002"/>
    <s v="Intérêts compensatoires / créances en faveur ctb."/>
    <n v="0.01"/>
    <n v="0"/>
    <n v="3221"/>
  </r>
  <r>
    <x v="0"/>
    <x v="4"/>
    <x v="4"/>
    <x v="98"/>
    <x v="87"/>
    <x v="87"/>
    <s v="CHARGES"/>
    <x v="1"/>
    <s v="3301.001"/>
    <s v="Défalcations, abandons de solde PP et IS"/>
    <n v="0.51"/>
    <n v="0"/>
    <n v="3301"/>
  </r>
  <r>
    <x v="0"/>
    <x v="4"/>
    <x v="4"/>
    <x v="98"/>
    <x v="87"/>
    <x v="87"/>
    <s v="CHARGES"/>
    <x v="0"/>
    <s v="3212.004"/>
    <s v="Intérêts rémun./perçu trop tôt sur acomptes C/C"/>
    <n v="3.97"/>
    <n v="0"/>
    <n v="3212"/>
  </r>
  <r>
    <x v="0"/>
    <x v="4"/>
    <x v="4"/>
    <x v="98"/>
    <x v="87"/>
    <x v="87"/>
    <s v="CHARGES"/>
    <x v="0"/>
    <s v="3212.004"/>
    <s v="Intérêts rémun./perçu trop tôt sur acomptes C/C"/>
    <n v="10.93"/>
    <n v="0"/>
    <n v="3212"/>
  </r>
  <r>
    <x v="0"/>
    <x v="4"/>
    <x v="4"/>
    <x v="98"/>
    <x v="87"/>
    <x v="87"/>
    <s v="CHARGES"/>
    <x v="0"/>
    <s v="3221.002"/>
    <s v="Intérêts compensatoires / créances en faveur ctb."/>
    <n v="25.58"/>
    <n v="0"/>
    <n v="3221"/>
  </r>
  <r>
    <x v="0"/>
    <x v="4"/>
    <x v="4"/>
    <x v="98"/>
    <x v="87"/>
    <x v="87"/>
    <s v="CHARGES"/>
    <x v="1"/>
    <s v="3301.001"/>
    <s v="Défalcations, abandons de solde PP et IS"/>
    <n v="2577.5100000000002"/>
    <n v="0"/>
    <n v="3301"/>
  </r>
  <r>
    <x v="0"/>
    <x v="4"/>
    <x v="4"/>
    <x v="98"/>
    <x v="87"/>
    <x v="87"/>
    <s v="REVENUS"/>
    <x v="2"/>
    <s v="4001.001"/>
    <s v="Impôt revenu"/>
    <n v="0"/>
    <n v="1996957.4"/>
    <n v="4001"/>
  </r>
  <r>
    <x v="0"/>
    <x v="4"/>
    <x v="4"/>
    <x v="98"/>
    <x v="87"/>
    <x v="87"/>
    <s v="REVENUS"/>
    <x v="2"/>
    <s v="4001.007"/>
    <s v="Acompte impôt sur revenu"/>
    <n v="0"/>
    <n v="-377942.91"/>
    <n v="4001"/>
  </r>
  <r>
    <x v="0"/>
    <x v="4"/>
    <x v="4"/>
    <x v="98"/>
    <x v="87"/>
    <x v="87"/>
    <s v="REVENUS"/>
    <x v="6"/>
    <s v="4211.001"/>
    <s v="Intérêts de retard sur factures"/>
    <n v="0"/>
    <n v="23164.01"/>
    <n v="4211"/>
  </r>
  <r>
    <x v="0"/>
    <x v="4"/>
    <x v="4"/>
    <x v="98"/>
    <x v="87"/>
    <x v="87"/>
    <s v="REVENUS"/>
    <x v="2"/>
    <s v="4001.007"/>
    <s v="Acompte impôt sur revenu"/>
    <n v="0"/>
    <n v="2885.9"/>
    <n v="4001"/>
  </r>
  <r>
    <x v="0"/>
    <x v="4"/>
    <x v="4"/>
    <x v="98"/>
    <x v="87"/>
    <x v="87"/>
    <s v="REVENUS"/>
    <x v="3"/>
    <s v="4002.007"/>
    <s v="Acompte impôt sur fortune"/>
    <n v="0"/>
    <n v="2299.0700000000002"/>
    <n v="4002"/>
  </r>
  <r>
    <x v="0"/>
    <x v="4"/>
    <x v="4"/>
    <x v="98"/>
    <x v="87"/>
    <x v="87"/>
    <s v="REVENUS"/>
    <x v="3"/>
    <s v="4002.001"/>
    <s v="Impôt ordinaire s/fortune PP"/>
    <n v="0"/>
    <n v="194535.3"/>
    <n v="4002"/>
  </r>
  <r>
    <x v="0"/>
    <x v="4"/>
    <x v="4"/>
    <x v="98"/>
    <x v="87"/>
    <x v="87"/>
    <s v="REVENUS"/>
    <x v="3"/>
    <s v="4002.007"/>
    <s v="Acompte impôt sur fortune"/>
    <n v="0"/>
    <n v="-43331.15"/>
    <n v="4002"/>
  </r>
  <r>
    <x v="0"/>
    <x v="4"/>
    <x v="4"/>
    <x v="98"/>
    <x v="87"/>
    <x v="87"/>
    <s v="REVENUS"/>
    <x v="6"/>
    <s v="4221.003"/>
    <s v="Intérêts compensat. / acomptes en faveur du fisc"/>
    <n v="0"/>
    <n v="875.33"/>
    <n v="4221"/>
  </r>
  <r>
    <x v="0"/>
    <x v="4"/>
    <x v="4"/>
    <x v="98"/>
    <x v="87"/>
    <x v="87"/>
    <s v="REVENUS"/>
    <x v="2"/>
    <s v="4001.002"/>
    <s v="Impôt complément s/revenu PP"/>
    <n v="0"/>
    <n v="3281.05"/>
    <n v="4001"/>
  </r>
  <r>
    <x v="0"/>
    <x v="4"/>
    <x v="4"/>
    <x v="98"/>
    <x v="87"/>
    <x v="87"/>
    <s v="REVENUS"/>
    <x v="3"/>
    <s v="4002.001"/>
    <s v="Impôt ordinaire s/fortune PP"/>
    <n v="0"/>
    <n v="2123.3000000000002"/>
    <n v="4002"/>
  </r>
  <r>
    <x v="0"/>
    <x v="4"/>
    <x v="4"/>
    <x v="98"/>
    <x v="87"/>
    <x v="87"/>
    <s v="REVENUS"/>
    <x v="3"/>
    <s v="4002.002"/>
    <s v="Impôt complémentaire s/fortune PP"/>
    <n v="0"/>
    <n v="756.6"/>
    <n v="4002"/>
  </r>
  <r>
    <x v="0"/>
    <x v="4"/>
    <x v="4"/>
    <x v="98"/>
    <x v="87"/>
    <x v="87"/>
    <s v="REVENUS"/>
    <x v="6"/>
    <s v="4221.003"/>
    <s v="Intérêts compensat. / acomptes en faveur du fisc"/>
    <n v="0"/>
    <n v="0.6"/>
    <n v="4221"/>
  </r>
  <r>
    <x v="0"/>
    <x v="4"/>
    <x v="4"/>
    <x v="98"/>
    <x v="87"/>
    <x v="87"/>
    <s v="REVENUS"/>
    <x v="6"/>
    <s v="4211.002"/>
    <s v="Intérêts de retard sur acomptes"/>
    <n v="0"/>
    <n v="20000.93"/>
    <n v="4211"/>
  </r>
  <r>
    <x v="0"/>
    <x v="4"/>
    <x v="4"/>
    <x v="98"/>
    <x v="87"/>
    <x v="87"/>
    <s v="REVENUS"/>
    <x v="2"/>
    <s v="4001.002"/>
    <s v="Impôt complément s/revenu PP"/>
    <n v="0"/>
    <n v="507540.55"/>
    <n v="4001"/>
  </r>
  <r>
    <x v="0"/>
    <x v="4"/>
    <x v="4"/>
    <x v="98"/>
    <x v="87"/>
    <x v="87"/>
    <s v="REVENUS"/>
    <x v="3"/>
    <s v="4002.002"/>
    <s v="Impôt complémentaire s/fortune PP"/>
    <n v="0"/>
    <n v="114720"/>
    <n v="4002"/>
  </r>
  <r>
    <x v="0"/>
    <x v="4"/>
    <x v="4"/>
    <x v="98"/>
    <x v="87"/>
    <x v="87"/>
    <s v="REVENUS"/>
    <x v="7"/>
    <s v="4184.000"/>
    <s v="Frais de poursuite"/>
    <n v="0"/>
    <n v="688.6"/>
    <n v="4184"/>
  </r>
  <r>
    <x v="0"/>
    <x v="4"/>
    <x v="4"/>
    <x v="98"/>
    <x v="87"/>
    <x v="87"/>
    <s v="REVENUS"/>
    <x v="7"/>
    <s v="4184.000"/>
    <s v="Frais de poursuite"/>
    <n v="0"/>
    <n v="1836.2"/>
    <n v="4184"/>
  </r>
  <r>
    <x v="0"/>
    <x v="4"/>
    <x v="4"/>
    <x v="98"/>
    <x v="87"/>
    <x v="87"/>
    <s v="REVENUS"/>
    <x v="2"/>
    <s v="4001.001"/>
    <s v="Impôt revenu"/>
    <n v="0"/>
    <n v="2223.15"/>
    <n v="4001"/>
  </r>
  <r>
    <x v="0"/>
    <x v="4"/>
    <x v="4"/>
    <x v="98"/>
    <x v="87"/>
    <x v="87"/>
    <s v="REVENUS"/>
    <x v="3"/>
    <s v="4002.001"/>
    <s v="Impôt ordinaire s/fortune PP"/>
    <n v="0"/>
    <n v="2788.7"/>
    <n v="4002"/>
  </r>
  <r>
    <x v="0"/>
    <x v="4"/>
    <x v="4"/>
    <x v="98"/>
    <x v="87"/>
    <x v="87"/>
    <s v="REVENUS"/>
    <x v="6"/>
    <s v="4211.002"/>
    <s v="Intérêts de retard sur acomptes"/>
    <n v="0"/>
    <n v="39.74"/>
    <n v="4211"/>
  </r>
  <r>
    <x v="0"/>
    <x v="4"/>
    <x v="4"/>
    <x v="98"/>
    <x v="87"/>
    <x v="87"/>
    <s v="REVENUS"/>
    <x v="6"/>
    <s v="4221.003"/>
    <s v="Intérêts compensat. / acomptes en faveur du fisc"/>
    <n v="0"/>
    <n v="1.45"/>
    <n v="4221"/>
  </r>
  <r>
    <x v="0"/>
    <x v="4"/>
    <x v="4"/>
    <x v="98"/>
    <x v="87"/>
    <x v="87"/>
    <s v="REVENUS"/>
    <x v="2"/>
    <s v="4001.007"/>
    <s v="Acompte impôt sur revenu"/>
    <n v="0"/>
    <n v="-537.54999999999995"/>
    <n v="4001"/>
  </r>
  <r>
    <x v="0"/>
    <x v="4"/>
    <x v="4"/>
    <x v="98"/>
    <x v="87"/>
    <x v="87"/>
    <s v="REVENUS"/>
    <x v="3"/>
    <s v="4002.007"/>
    <s v="Acompte impôt sur fortune"/>
    <n v="0"/>
    <n v="-434.45"/>
    <n v="4002"/>
  </r>
  <r>
    <x v="0"/>
    <x v="4"/>
    <x v="4"/>
    <x v="98"/>
    <x v="87"/>
    <x v="87"/>
    <s v="REVENUS"/>
    <x v="2"/>
    <s v="4001.001"/>
    <s v="Impôt revenu"/>
    <n v="0"/>
    <n v="9353.4500000000007"/>
    <n v="4001"/>
  </r>
  <r>
    <x v="0"/>
    <x v="4"/>
    <x v="4"/>
    <x v="98"/>
    <x v="87"/>
    <x v="87"/>
    <s v="REVENUS"/>
    <x v="2"/>
    <s v="4001.007"/>
    <s v="Acompte impôt sur revenu"/>
    <n v="0"/>
    <n v="1956.94"/>
    <n v="4001"/>
  </r>
  <r>
    <x v="0"/>
    <x v="4"/>
    <x v="4"/>
    <x v="98"/>
    <x v="87"/>
    <x v="87"/>
    <s v="REVENUS"/>
    <x v="3"/>
    <s v="4002.001"/>
    <s v="Impôt ordinaire s/fortune PP"/>
    <n v="0"/>
    <n v="2627"/>
    <n v="4002"/>
  </r>
  <r>
    <x v="0"/>
    <x v="4"/>
    <x v="4"/>
    <x v="98"/>
    <x v="87"/>
    <x v="87"/>
    <s v="REVENUS"/>
    <x v="3"/>
    <s v="4002.007"/>
    <s v="Acompte impôt sur fortune"/>
    <n v="0"/>
    <n v="105.22"/>
    <n v="4002"/>
  </r>
  <r>
    <x v="0"/>
    <x v="4"/>
    <x v="4"/>
    <x v="98"/>
    <x v="87"/>
    <x v="87"/>
    <s v="REVENUS"/>
    <x v="6"/>
    <s v="4211.002"/>
    <s v="Intérêts de retard sur acomptes"/>
    <n v="0"/>
    <n v="40.93"/>
    <n v="4211"/>
  </r>
  <r>
    <x v="0"/>
    <x v="4"/>
    <x v="4"/>
    <x v="98"/>
    <x v="87"/>
    <x v="87"/>
    <s v="REVENUS"/>
    <x v="2"/>
    <s v="4001.007"/>
    <s v="Acompte impôt sur revenu"/>
    <n v="0"/>
    <n v="541.85"/>
    <n v="4001"/>
  </r>
  <r>
    <x v="0"/>
    <x v="4"/>
    <x v="4"/>
    <x v="98"/>
    <x v="87"/>
    <x v="87"/>
    <s v="REVENUS"/>
    <x v="3"/>
    <s v="4002.007"/>
    <s v="Acompte impôt sur fortune"/>
    <n v="0"/>
    <n v="354.75"/>
    <n v="4002"/>
  </r>
  <r>
    <x v="0"/>
    <x v="4"/>
    <x v="4"/>
    <x v="98"/>
    <x v="87"/>
    <x v="87"/>
    <s v="REVENUS"/>
    <x v="2"/>
    <s v="4001.007"/>
    <s v="Acompte impôt sur revenu"/>
    <n v="0"/>
    <n v="4426.1099999999997"/>
    <n v="4001"/>
  </r>
  <r>
    <x v="0"/>
    <x v="4"/>
    <x v="4"/>
    <x v="98"/>
    <x v="87"/>
    <x v="87"/>
    <s v="REVENUS"/>
    <x v="3"/>
    <s v="4002.007"/>
    <s v="Acompte impôt sur fortune"/>
    <n v="0"/>
    <n v="542.82000000000005"/>
    <n v="4002"/>
  </r>
  <r>
    <x v="0"/>
    <x v="4"/>
    <x v="4"/>
    <x v="98"/>
    <x v="87"/>
    <x v="87"/>
    <s v="REVENUS"/>
    <x v="2"/>
    <s v="4001.001"/>
    <s v="Impôt revenu"/>
    <n v="0"/>
    <n v="7087.8"/>
    <n v="4001"/>
  </r>
  <r>
    <x v="0"/>
    <x v="4"/>
    <x v="4"/>
    <x v="98"/>
    <x v="87"/>
    <x v="87"/>
    <s v="REVENUS"/>
    <x v="2"/>
    <s v="4001.007"/>
    <s v="Acompte impôt sur revenu"/>
    <n v="0"/>
    <n v="-36.5"/>
    <n v="4001"/>
  </r>
  <r>
    <x v="0"/>
    <x v="4"/>
    <x v="4"/>
    <x v="98"/>
    <x v="87"/>
    <x v="87"/>
    <s v="REVENUS"/>
    <x v="3"/>
    <s v="4002.007"/>
    <s v="Acompte impôt sur fortune"/>
    <n v="0"/>
    <n v="0.7"/>
    <n v="4002"/>
  </r>
  <r>
    <x v="0"/>
    <x v="4"/>
    <x v="4"/>
    <x v="98"/>
    <x v="87"/>
    <x v="87"/>
    <s v="REVENUS"/>
    <x v="2"/>
    <s v="4001.003"/>
    <s v="Impôt s/prest. cap. PP"/>
    <n v="0"/>
    <n v="97703.1"/>
    <n v="4001"/>
  </r>
  <r>
    <x v="0"/>
    <x v="4"/>
    <x v="4"/>
    <x v="98"/>
    <x v="87"/>
    <x v="87"/>
    <s v="REVENUS"/>
    <x v="6"/>
    <s v="4221.002"/>
    <s v="Intérêts compensat. sur impôts distincts"/>
    <n v="0"/>
    <n v="137.02000000000001"/>
    <n v="4221"/>
  </r>
  <r>
    <x v="0"/>
    <x v="4"/>
    <x v="4"/>
    <x v="98"/>
    <x v="87"/>
    <x v="87"/>
    <s v="REVENUS"/>
    <x v="9"/>
    <s v="4031.001"/>
    <s v="Impôt sur les gains immobiliers"/>
    <n v="0"/>
    <n v="90389.5"/>
    <n v="4031"/>
  </r>
  <r>
    <x v="0"/>
    <x v="4"/>
    <x v="4"/>
    <x v="98"/>
    <x v="87"/>
    <x v="87"/>
    <s v="REVENUS"/>
    <x v="7"/>
    <s v="4184.000"/>
    <s v="Frais de poursuite"/>
    <n v="0"/>
    <n v="455.21"/>
    <n v="4184"/>
  </r>
  <r>
    <x v="0"/>
    <x v="4"/>
    <x v="4"/>
    <x v="98"/>
    <x v="87"/>
    <x v="87"/>
    <s v="REVENUS"/>
    <x v="2"/>
    <s v="4001.001"/>
    <s v="Impôt revenu"/>
    <n v="0"/>
    <n v="177.2"/>
    <n v="4001"/>
  </r>
  <r>
    <x v="0"/>
    <x v="4"/>
    <x v="4"/>
    <x v="98"/>
    <x v="87"/>
    <x v="87"/>
    <s v="REVENUS"/>
    <x v="3"/>
    <s v="4002.001"/>
    <s v="Impôt ordinaire s/fortune PP"/>
    <n v="0"/>
    <n v="171.4"/>
    <n v="4002"/>
  </r>
  <r>
    <x v="0"/>
    <x v="4"/>
    <x v="4"/>
    <x v="98"/>
    <x v="87"/>
    <x v="87"/>
    <s v="REVENUS"/>
    <x v="6"/>
    <s v="4221.003"/>
    <s v="Intérêts compensat. / acomptes en faveur du fisc"/>
    <n v="0"/>
    <n v="0.45"/>
    <n v="4221"/>
  </r>
  <r>
    <x v="0"/>
    <x v="4"/>
    <x v="4"/>
    <x v="98"/>
    <x v="87"/>
    <x v="87"/>
    <s v="REVENUS"/>
    <x v="2"/>
    <s v="4001.001"/>
    <s v="Impôt revenu"/>
    <n v="0"/>
    <n v="10932.1"/>
    <n v="4001"/>
  </r>
  <r>
    <x v="0"/>
    <x v="4"/>
    <x v="4"/>
    <x v="98"/>
    <x v="87"/>
    <x v="87"/>
    <s v="REVENUS"/>
    <x v="6"/>
    <s v="4211.001"/>
    <s v="Intérêts de retard sur factures"/>
    <n v="0"/>
    <n v="31.57"/>
    <n v="4211"/>
  </r>
  <r>
    <x v="0"/>
    <x v="4"/>
    <x v="4"/>
    <x v="98"/>
    <x v="87"/>
    <x v="87"/>
    <s v="REVENUS"/>
    <x v="3"/>
    <s v="4002.001"/>
    <s v="Impôt ordinaire s/fortune PP"/>
    <n v="0"/>
    <n v="748.55"/>
    <n v="4002"/>
  </r>
  <r>
    <x v="0"/>
    <x v="4"/>
    <x v="4"/>
    <x v="98"/>
    <x v="87"/>
    <x v="87"/>
    <s v="REVENUS"/>
    <x v="6"/>
    <s v="4211.002"/>
    <s v="Intérêts de retard sur acomptes"/>
    <n v="0"/>
    <n v="1.6"/>
    <n v="4211"/>
  </r>
  <r>
    <x v="0"/>
    <x v="4"/>
    <x v="4"/>
    <x v="98"/>
    <x v="87"/>
    <x v="87"/>
    <s v="REVENUS"/>
    <x v="6"/>
    <s v="4211.001"/>
    <s v="Intérêts de retard sur factures"/>
    <n v="0"/>
    <n v="1.83"/>
    <n v="4211"/>
  </r>
  <r>
    <x v="0"/>
    <x v="4"/>
    <x v="4"/>
    <x v="98"/>
    <x v="87"/>
    <x v="87"/>
    <s v="REVENUS"/>
    <x v="6"/>
    <s v="4211.002"/>
    <s v="Intérêts de retard sur acomptes"/>
    <n v="0"/>
    <n v="1.96"/>
    <n v="4211"/>
  </r>
  <r>
    <x v="0"/>
    <x v="4"/>
    <x v="4"/>
    <x v="98"/>
    <x v="87"/>
    <x v="87"/>
    <s v="REVENUS"/>
    <x v="8"/>
    <s v="4091.001"/>
    <s v="Impôt récupéré après défalcations"/>
    <n v="0"/>
    <n v="4069.59"/>
    <n v="4091"/>
  </r>
  <r>
    <x v="0"/>
    <x v="4"/>
    <x v="4"/>
    <x v="98"/>
    <x v="87"/>
    <x v="87"/>
    <s v="REVENUS"/>
    <x v="6"/>
    <s v="4211.001"/>
    <s v="Intérêts de retard sur factures"/>
    <n v="0"/>
    <n v="0.28999999999999998"/>
    <n v="4211"/>
  </r>
  <r>
    <x v="0"/>
    <x v="4"/>
    <x v="4"/>
    <x v="98"/>
    <x v="87"/>
    <x v="87"/>
    <s v="REVENUS"/>
    <x v="8"/>
    <s v="4091.001"/>
    <s v="Impôt récupéré après défalcations"/>
    <n v="0"/>
    <n v="2563.5700000000002"/>
    <n v="4091"/>
  </r>
  <r>
    <x v="0"/>
    <x v="4"/>
    <x v="4"/>
    <x v="98"/>
    <x v="87"/>
    <x v="87"/>
    <s v="REVENUS"/>
    <x v="2"/>
    <s v="4001.002"/>
    <s v="Impôt complément s/revenu PP"/>
    <n v="0"/>
    <n v="3626.45"/>
    <n v="4001"/>
  </r>
  <r>
    <x v="0"/>
    <x v="4"/>
    <x v="4"/>
    <x v="98"/>
    <x v="87"/>
    <x v="87"/>
    <s v="REVENUS"/>
    <x v="3"/>
    <s v="4002.002"/>
    <s v="Impôt complémentaire s/fortune PP"/>
    <n v="0"/>
    <n v="1499.45"/>
    <n v="4002"/>
  </r>
  <r>
    <x v="0"/>
    <x v="4"/>
    <x v="4"/>
    <x v="98"/>
    <x v="87"/>
    <x v="87"/>
    <s v="REVENUS"/>
    <x v="7"/>
    <s v="4184.000"/>
    <s v="Frais de poursuite"/>
    <n v="0"/>
    <n v="24.13"/>
    <n v="4184"/>
  </r>
  <r>
    <x v="0"/>
    <x v="4"/>
    <x v="4"/>
    <x v="99"/>
    <x v="88"/>
    <x v="88"/>
    <s v="CHARGES"/>
    <x v="1"/>
    <s v="3301.001"/>
    <s v="Défalcations, abandons de solde PP et IS"/>
    <n v="-277.26"/>
    <n v="0"/>
    <n v="3301"/>
  </r>
  <r>
    <x v="0"/>
    <x v="4"/>
    <x v="4"/>
    <x v="99"/>
    <x v="88"/>
    <x v="88"/>
    <s v="CHARGES"/>
    <x v="0"/>
    <s v="3212.002"/>
    <s v="Intérêts bonifiés/trop perçu acompte C/C"/>
    <n v="-0.94"/>
    <n v="0"/>
    <n v="3212"/>
  </r>
  <r>
    <x v="0"/>
    <x v="4"/>
    <x v="4"/>
    <x v="99"/>
    <x v="88"/>
    <x v="88"/>
    <s v="CHARGES"/>
    <x v="0"/>
    <s v="3212.004"/>
    <s v="Intérêts rémun./perçu trop tôt sur acomptes C/C"/>
    <n v="-12.45"/>
    <n v="0"/>
    <n v="3212"/>
  </r>
  <r>
    <x v="0"/>
    <x v="4"/>
    <x v="4"/>
    <x v="99"/>
    <x v="88"/>
    <x v="88"/>
    <s v="CHARGES"/>
    <x v="0"/>
    <s v="3221.002"/>
    <s v="Intérêts compensatoires / créances en faveur ctb."/>
    <n v="-19.59"/>
    <n v="0"/>
    <n v="3221"/>
  </r>
  <r>
    <x v="0"/>
    <x v="4"/>
    <x v="4"/>
    <x v="99"/>
    <x v="88"/>
    <x v="88"/>
    <s v="CHARGES"/>
    <x v="1"/>
    <s v="3301.001"/>
    <s v="Défalcations, abandons de solde PP et IS"/>
    <n v="-0.31"/>
    <n v="0"/>
    <n v="3301"/>
  </r>
  <r>
    <x v="0"/>
    <x v="4"/>
    <x v="4"/>
    <x v="99"/>
    <x v="88"/>
    <x v="88"/>
    <s v="REVENUS"/>
    <x v="2"/>
    <s v="4001.003"/>
    <s v="Impôt s/prest. cap. PP"/>
    <n v="0"/>
    <n v="-6033.9"/>
    <n v="4001"/>
  </r>
  <r>
    <x v="0"/>
    <x v="4"/>
    <x v="4"/>
    <x v="99"/>
    <x v="88"/>
    <x v="88"/>
    <s v="REVENUS"/>
    <x v="6"/>
    <s v="4221.002"/>
    <s v="Intérêts compensat. sur impôts distincts"/>
    <n v="0"/>
    <n v="-46"/>
    <n v="4221"/>
  </r>
  <r>
    <x v="0"/>
    <x v="4"/>
    <x v="4"/>
    <x v="99"/>
    <x v="88"/>
    <x v="88"/>
    <s v="REVENUS"/>
    <x v="2"/>
    <s v="4001.001"/>
    <s v="Impôt revenu"/>
    <n v="0"/>
    <n v="-30138.35"/>
    <n v="4001"/>
  </r>
  <r>
    <x v="0"/>
    <x v="4"/>
    <x v="4"/>
    <x v="99"/>
    <x v="88"/>
    <x v="88"/>
    <s v="REVENUS"/>
    <x v="2"/>
    <s v="4001.002"/>
    <s v="Impôt complément s/revenu PP"/>
    <n v="0"/>
    <n v="30353.45"/>
    <n v="4001"/>
  </r>
  <r>
    <x v="0"/>
    <x v="4"/>
    <x v="4"/>
    <x v="99"/>
    <x v="88"/>
    <x v="88"/>
    <s v="REVENUS"/>
    <x v="3"/>
    <s v="4002.001"/>
    <s v="Impôt ordinaire s/fortune PP"/>
    <n v="0"/>
    <n v="-5330"/>
    <n v="4002"/>
  </r>
  <r>
    <x v="0"/>
    <x v="4"/>
    <x v="4"/>
    <x v="99"/>
    <x v="88"/>
    <x v="88"/>
    <s v="REVENUS"/>
    <x v="3"/>
    <s v="4002.002"/>
    <s v="Impôt complémentaire s/fortune PP"/>
    <n v="0"/>
    <n v="7438.85"/>
    <n v="4002"/>
  </r>
  <r>
    <x v="0"/>
    <x v="4"/>
    <x v="4"/>
    <x v="99"/>
    <x v="88"/>
    <x v="88"/>
    <s v="REVENUS"/>
    <x v="6"/>
    <s v="4211.001"/>
    <s v="Intérêts de retard sur factures"/>
    <n v="0"/>
    <n v="755.62"/>
    <n v="4211"/>
  </r>
  <r>
    <x v="0"/>
    <x v="4"/>
    <x v="4"/>
    <x v="99"/>
    <x v="88"/>
    <x v="88"/>
    <s v="REVENUS"/>
    <x v="6"/>
    <s v="4211.002"/>
    <s v="Intérêts de retard sur acomptes"/>
    <n v="0"/>
    <n v="3.09"/>
    <n v="4211"/>
  </r>
  <r>
    <x v="0"/>
    <x v="4"/>
    <x v="4"/>
    <x v="100"/>
    <x v="89"/>
    <x v="89"/>
    <s v="CHARGES"/>
    <x v="0"/>
    <s v="3212.002"/>
    <s v="Intérêts bonifiés/trop perçu acompte C/C"/>
    <n v="-5.43"/>
    <n v="0"/>
    <n v="3212"/>
  </r>
  <r>
    <x v="0"/>
    <x v="4"/>
    <x v="4"/>
    <x v="100"/>
    <x v="89"/>
    <x v="89"/>
    <s v="CHARGES"/>
    <x v="1"/>
    <s v="3301.001"/>
    <s v="Défalcations, abandons de solde PP et IS"/>
    <n v="14137.49"/>
    <n v="0"/>
    <n v="3301"/>
  </r>
  <r>
    <x v="0"/>
    <x v="4"/>
    <x v="4"/>
    <x v="100"/>
    <x v="89"/>
    <x v="89"/>
    <s v="CHARGES"/>
    <x v="1"/>
    <s v="3301.001"/>
    <s v="Défalcations, abandons de solde PP et IS"/>
    <n v="8077.52"/>
    <n v="0"/>
    <n v="3301"/>
  </r>
  <r>
    <x v="0"/>
    <x v="4"/>
    <x v="4"/>
    <x v="100"/>
    <x v="89"/>
    <x v="89"/>
    <s v="CHARGES"/>
    <x v="0"/>
    <s v="3212.004"/>
    <s v="Intérêts rémun./perçu trop tôt sur acomptes C/C"/>
    <n v="263.58999999999997"/>
    <n v="0"/>
    <n v="3212"/>
  </r>
  <r>
    <x v="0"/>
    <x v="4"/>
    <x v="4"/>
    <x v="100"/>
    <x v="89"/>
    <x v="89"/>
    <s v="CHARGES"/>
    <x v="0"/>
    <s v="3221.002"/>
    <s v="Intérêts compensatoires / créances en faveur ctb."/>
    <n v="104.77"/>
    <n v="0"/>
    <n v="3221"/>
  </r>
  <r>
    <x v="0"/>
    <x v="4"/>
    <x v="4"/>
    <x v="100"/>
    <x v="89"/>
    <x v="89"/>
    <s v="CHARGES"/>
    <x v="0"/>
    <s v="3212.004"/>
    <s v="Intérêts rémun./perçu trop tôt sur acomptes C/C"/>
    <n v="7.64"/>
    <n v="0"/>
    <n v="3212"/>
  </r>
  <r>
    <x v="0"/>
    <x v="4"/>
    <x v="4"/>
    <x v="100"/>
    <x v="89"/>
    <x v="89"/>
    <s v="CHARGES"/>
    <x v="0"/>
    <s v="3221.002"/>
    <s v="Intérêts compensatoires / créances en faveur ctb."/>
    <n v="5.59"/>
    <n v="0"/>
    <n v="3221"/>
  </r>
  <r>
    <x v="0"/>
    <x v="4"/>
    <x v="4"/>
    <x v="100"/>
    <x v="89"/>
    <x v="89"/>
    <s v="CHARGES"/>
    <x v="0"/>
    <s v="3212.002"/>
    <s v="Intérêts bonifiés/trop perçu acompte C/C"/>
    <n v="0.05"/>
    <n v="0"/>
    <n v="3212"/>
  </r>
  <r>
    <x v="0"/>
    <x v="4"/>
    <x v="4"/>
    <x v="100"/>
    <x v="89"/>
    <x v="89"/>
    <s v="CHARGES"/>
    <x v="1"/>
    <s v="3301.001"/>
    <s v="Défalcations, abandons de solde PP et IS"/>
    <n v="3.06"/>
    <n v="0"/>
    <n v="3301"/>
  </r>
  <r>
    <x v="0"/>
    <x v="4"/>
    <x v="4"/>
    <x v="100"/>
    <x v="89"/>
    <x v="89"/>
    <s v="CHARGES"/>
    <x v="0"/>
    <s v="3212.004"/>
    <s v="Intérêts rémun./perçu trop tôt sur acomptes C/C"/>
    <n v="10.96"/>
    <n v="0"/>
    <n v="3212"/>
  </r>
  <r>
    <x v="0"/>
    <x v="4"/>
    <x v="4"/>
    <x v="100"/>
    <x v="89"/>
    <x v="89"/>
    <s v="CHARGES"/>
    <x v="0"/>
    <s v="3221.002"/>
    <s v="Intérêts compensatoires / créances en faveur ctb."/>
    <n v="2.0699999999999998"/>
    <n v="0"/>
    <n v="3221"/>
  </r>
  <r>
    <x v="0"/>
    <x v="4"/>
    <x v="4"/>
    <x v="100"/>
    <x v="89"/>
    <x v="89"/>
    <s v="CHARGES"/>
    <x v="0"/>
    <s v="3212.002"/>
    <s v="Intérêts bonifiés/trop perçu acompte C/C"/>
    <n v="-0.03"/>
    <n v="0"/>
    <n v="3212"/>
  </r>
  <r>
    <x v="0"/>
    <x v="4"/>
    <x v="4"/>
    <x v="100"/>
    <x v="89"/>
    <x v="89"/>
    <s v="CHARGES"/>
    <x v="0"/>
    <s v="3212.004"/>
    <s v="Intérêts rémun./perçu trop tôt sur acomptes C/C"/>
    <n v="0.01"/>
    <n v="0"/>
    <n v="3212"/>
  </r>
  <r>
    <x v="0"/>
    <x v="4"/>
    <x v="4"/>
    <x v="100"/>
    <x v="89"/>
    <x v="89"/>
    <s v="CHARGES"/>
    <x v="0"/>
    <s v="3212.002"/>
    <s v="Intérêts bonifiés/trop perçu acompte C/C"/>
    <n v="0.03"/>
    <n v="0"/>
    <n v="3212"/>
  </r>
  <r>
    <x v="0"/>
    <x v="4"/>
    <x v="4"/>
    <x v="100"/>
    <x v="89"/>
    <x v="89"/>
    <s v="CHARGES"/>
    <x v="0"/>
    <s v="3212.004"/>
    <s v="Intérêts rémun./perçu trop tôt sur acomptes C/C"/>
    <n v="-0.04"/>
    <n v="0"/>
    <n v="3212"/>
  </r>
  <r>
    <x v="0"/>
    <x v="4"/>
    <x v="4"/>
    <x v="100"/>
    <x v="89"/>
    <x v="89"/>
    <s v="CHARGES"/>
    <x v="0"/>
    <s v="3221.002"/>
    <s v="Intérêts compensatoires / créances en faveur ctb."/>
    <n v="-0.04"/>
    <n v="0"/>
    <n v="3221"/>
  </r>
  <r>
    <x v="0"/>
    <x v="4"/>
    <x v="4"/>
    <x v="100"/>
    <x v="89"/>
    <x v="89"/>
    <s v="CHARGES"/>
    <x v="0"/>
    <s v="3212.004"/>
    <s v="Intérêts rémun./perçu trop tôt sur acomptes C/C"/>
    <n v="0.1"/>
    <n v="0"/>
    <n v="3212"/>
  </r>
  <r>
    <x v="0"/>
    <x v="4"/>
    <x v="4"/>
    <x v="100"/>
    <x v="89"/>
    <x v="89"/>
    <s v="CHARGES"/>
    <x v="0"/>
    <s v="3221.002"/>
    <s v="Intérêts compensatoires / créances en faveur ctb."/>
    <n v="0.01"/>
    <n v="0"/>
    <n v="3221"/>
  </r>
  <r>
    <x v="0"/>
    <x v="4"/>
    <x v="4"/>
    <x v="100"/>
    <x v="89"/>
    <x v="89"/>
    <s v="REVENUS"/>
    <x v="2"/>
    <s v="4001.001"/>
    <s v="Impôt revenu"/>
    <n v="0"/>
    <n v="1829527.8"/>
    <n v="4001"/>
  </r>
  <r>
    <x v="0"/>
    <x v="4"/>
    <x v="4"/>
    <x v="100"/>
    <x v="89"/>
    <x v="89"/>
    <s v="REVENUS"/>
    <x v="2"/>
    <s v="4001.002"/>
    <s v="Impôt complément s/revenu PP"/>
    <n v="0"/>
    <n v="169902.85"/>
    <n v="4001"/>
  </r>
  <r>
    <x v="0"/>
    <x v="4"/>
    <x v="4"/>
    <x v="100"/>
    <x v="89"/>
    <x v="89"/>
    <s v="REVENUS"/>
    <x v="2"/>
    <s v="4001.007"/>
    <s v="Acompte impôt sur revenu"/>
    <n v="0"/>
    <n v="-73350.679999999993"/>
    <n v="4001"/>
  </r>
  <r>
    <x v="0"/>
    <x v="4"/>
    <x v="4"/>
    <x v="100"/>
    <x v="89"/>
    <x v="89"/>
    <s v="REVENUS"/>
    <x v="3"/>
    <s v="4002.001"/>
    <s v="Impôt ordinaire s/fortune PP"/>
    <n v="0"/>
    <n v="212031.7"/>
    <n v="4002"/>
  </r>
  <r>
    <x v="0"/>
    <x v="4"/>
    <x v="4"/>
    <x v="100"/>
    <x v="89"/>
    <x v="89"/>
    <s v="REVENUS"/>
    <x v="3"/>
    <s v="4002.002"/>
    <s v="Impôt complémentaire s/fortune PP"/>
    <n v="0"/>
    <n v="37466.15"/>
    <n v="4002"/>
  </r>
  <r>
    <x v="0"/>
    <x v="4"/>
    <x v="4"/>
    <x v="100"/>
    <x v="89"/>
    <x v="89"/>
    <s v="REVENUS"/>
    <x v="6"/>
    <s v="4211.001"/>
    <s v="Intérêts de retard sur factures"/>
    <n v="0"/>
    <n v="5110.5600000000004"/>
    <n v="4211"/>
  </r>
  <r>
    <x v="0"/>
    <x v="4"/>
    <x v="4"/>
    <x v="100"/>
    <x v="89"/>
    <x v="89"/>
    <s v="REVENUS"/>
    <x v="6"/>
    <s v="4211.002"/>
    <s v="Intérêts de retard sur acomptes"/>
    <n v="0"/>
    <n v="14551.22"/>
    <n v="4211"/>
  </r>
  <r>
    <x v="0"/>
    <x v="4"/>
    <x v="4"/>
    <x v="100"/>
    <x v="89"/>
    <x v="89"/>
    <s v="REVENUS"/>
    <x v="6"/>
    <s v="4221.003"/>
    <s v="Intérêts compensat. / acomptes en faveur du fisc"/>
    <n v="0"/>
    <n v="331.75"/>
    <n v="4221"/>
  </r>
  <r>
    <x v="0"/>
    <x v="4"/>
    <x v="4"/>
    <x v="100"/>
    <x v="89"/>
    <x v="89"/>
    <s v="REVENUS"/>
    <x v="3"/>
    <s v="4002.007"/>
    <s v="Acompte impôt sur fortune"/>
    <n v="0"/>
    <n v="-47500.24"/>
    <n v="4002"/>
  </r>
  <r>
    <x v="0"/>
    <x v="4"/>
    <x v="4"/>
    <x v="100"/>
    <x v="89"/>
    <x v="89"/>
    <s v="REVENUS"/>
    <x v="7"/>
    <s v="4184.000"/>
    <s v="Frais de poursuite"/>
    <n v="0"/>
    <n v="573.79999999999995"/>
    <n v="4184"/>
  </r>
  <r>
    <x v="0"/>
    <x v="4"/>
    <x v="4"/>
    <x v="100"/>
    <x v="89"/>
    <x v="89"/>
    <s v="REVENUS"/>
    <x v="2"/>
    <s v="4001.003"/>
    <s v="Impôt s/prest. cap. PP"/>
    <n v="0"/>
    <n v="153704.25"/>
    <n v="4001"/>
  </r>
  <r>
    <x v="0"/>
    <x v="4"/>
    <x v="4"/>
    <x v="100"/>
    <x v="89"/>
    <x v="89"/>
    <s v="REVENUS"/>
    <x v="6"/>
    <s v="4221.002"/>
    <s v="Intérêts compensat. sur impôts distincts"/>
    <n v="0"/>
    <n v="92.05"/>
    <n v="4221"/>
  </r>
  <r>
    <x v="0"/>
    <x v="4"/>
    <x v="4"/>
    <x v="100"/>
    <x v="89"/>
    <x v="89"/>
    <s v="REVENUS"/>
    <x v="9"/>
    <s v="4031.001"/>
    <s v="Impôt sur les gains immobiliers"/>
    <n v="0"/>
    <n v="51038.65"/>
    <n v="4031"/>
  </r>
  <r>
    <x v="0"/>
    <x v="4"/>
    <x v="4"/>
    <x v="100"/>
    <x v="89"/>
    <x v="89"/>
    <s v="REVENUS"/>
    <x v="10"/>
    <s v="4041.001"/>
    <s v="Droits de mutation"/>
    <n v="0"/>
    <n v="98232.3"/>
    <n v="4041"/>
  </r>
  <r>
    <x v="0"/>
    <x v="4"/>
    <x v="4"/>
    <x v="100"/>
    <x v="89"/>
    <x v="89"/>
    <s v="REVENUS"/>
    <x v="7"/>
    <s v="4184.000"/>
    <s v="Frais de poursuite"/>
    <n v="0"/>
    <n v="1479.6"/>
    <n v="4184"/>
  </r>
  <r>
    <x v="0"/>
    <x v="4"/>
    <x v="4"/>
    <x v="100"/>
    <x v="89"/>
    <x v="89"/>
    <s v="REVENUS"/>
    <x v="3"/>
    <s v="4002.001"/>
    <s v="Impôt ordinaire s/fortune PP"/>
    <n v="0"/>
    <n v="14"/>
    <n v="4002"/>
  </r>
  <r>
    <x v="0"/>
    <x v="4"/>
    <x v="4"/>
    <x v="100"/>
    <x v="89"/>
    <x v="89"/>
    <s v="REVENUS"/>
    <x v="2"/>
    <s v="4001.007"/>
    <s v="Acompte impôt sur revenu"/>
    <n v="0"/>
    <n v="-6255.62"/>
    <n v="4001"/>
  </r>
  <r>
    <x v="0"/>
    <x v="4"/>
    <x v="4"/>
    <x v="100"/>
    <x v="89"/>
    <x v="89"/>
    <s v="REVENUS"/>
    <x v="3"/>
    <s v="4002.007"/>
    <s v="Acompte impôt sur fortune"/>
    <n v="0"/>
    <n v="-1959.05"/>
    <n v="4002"/>
  </r>
  <r>
    <x v="0"/>
    <x v="4"/>
    <x v="4"/>
    <x v="100"/>
    <x v="89"/>
    <x v="89"/>
    <s v="REVENUS"/>
    <x v="2"/>
    <s v="4001.001"/>
    <s v="Impôt revenu"/>
    <n v="0"/>
    <n v="45735.7"/>
    <n v="4001"/>
  </r>
  <r>
    <x v="0"/>
    <x v="4"/>
    <x v="4"/>
    <x v="100"/>
    <x v="89"/>
    <x v="89"/>
    <s v="REVENUS"/>
    <x v="3"/>
    <s v="4002.001"/>
    <s v="Impôt ordinaire s/fortune PP"/>
    <n v="0"/>
    <n v="5140.75"/>
    <n v="4002"/>
  </r>
  <r>
    <x v="0"/>
    <x v="4"/>
    <x v="4"/>
    <x v="100"/>
    <x v="89"/>
    <x v="89"/>
    <s v="REVENUS"/>
    <x v="3"/>
    <s v="4002.001"/>
    <s v="Impôt ordinaire s/fortune PP"/>
    <n v="0"/>
    <n v="5569.35"/>
    <n v="4002"/>
  </r>
  <r>
    <x v="0"/>
    <x v="4"/>
    <x v="4"/>
    <x v="100"/>
    <x v="89"/>
    <x v="89"/>
    <s v="REVENUS"/>
    <x v="6"/>
    <s v="4211.002"/>
    <s v="Intérêts de retard sur acomptes"/>
    <n v="0"/>
    <n v="12.5"/>
    <n v="4211"/>
  </r>
  <r>
    <x v="0"/>
    <x v="4"/>
    <x v="4"/>
    <x v="100"/>
    <x v="89"/>
    <x v="89"/>
    <s v="REVENUS"/>
    <x v="3"/>
    <s v="4002.007"/>
    <s v="Acompte impôt sur fortune"/>
    <n v="0"/>
    <n v="-3.1"/>
    <n v="4002"/>
  </r>
  <r>
    <x v="0"/>
    <x v="4"/>
    <x v="4"/>
    <x v="100"/>
    <x v="89"/>
    <x v="89"/>
    <s v="REVENUS"/>
    <x v="3"/>
    <s v="4002.007"/>
    <s v="Acompte impôt sur fortune"/>
    <n v="0"/>
    <n v="-1800.8"/>
    <n v="4002"/>
  </r>
  <r>
    <x v="0"/>
    <x v="4"/>
    <x v="4"/>
    <x v="100"/>
    <x v="89"/>
    <x v="89"/>
    <s v="REVENUS"/>
    <x v="2"/>
    <s v="4001.007"/>
    <s v="Acompte impôt sur revenu"/>
    <n v="0"/>
    <n v="-10.75"/>
    <n v="4001"/>
  </r>
  <r>
    <x v="0"/>
    <x v="4"/>
    <x v="4"/>
    <x v="100"/>
    <x v="89"/>
    <x v="89"/>
    <s v="REVENUS"/>
    <x v="4"/>
    <s v="4051.002"/>
    <s v="Impôt sur les donations"/>
    <n v="0"/>
    <n v="6662.4"/>
    <n v="4051"/>
  </r>
  <r>
    <x v="0"/>
    <x v="4"/>
    <x v="4"/>
    <x v="100"/>
    <x v="89"/>
    <x v="89"/>
    <s v="REVENUS"/>
    <x v="2"/>
    <s v="4001.007"/>
    <s v="Acompte impôt sur revenu"/>
    <n v="0"/>
    <n v="-6777.56"/>
    <n v="4001"/>
  </r>
  <r>
    <x v="0"/>
    <x v="4"/>
    <x v="4"/>
    <x v="100"/>
    <x v="89"/>
    <x v="89"/>
    <s v="REVENUS"/>
    <x v="3"/>
    <s v="4002.007"/>
    <s v="Acompte impôt sur fortune"/>
    <n v="0"/>
    <n v="17.7"/>
    <n v="4002"/>
  </r>
  <r>
    <x v="0"/>
    <x v="4"/>
    <x v="4"/>
    <x v="100"/>
    <x v="89"/>
    <x v="89"/>
    <s v="REVENUS"/>
    <x v="2"/>
    <s v="4001.007"/>
    <s v="Acompte impôt sur revenu"/>
    <n v="0"/>
    <n v="-1593.25"/>
    <n v="4001"/>
  </r>
  <r>
    <x v="0"/>
    <x v="4"/>
    <x v="4"/>
    <x v="100"/>
    <x v="89"/>
    <x v="89"/>
    <s v="REVENUS"/>
    <x v="3"/>
    <s v="4002.007"/>
    <s v="Acompte impôt sur fortune"/>
    <n v="0"/>
    <n v="-532.1"/>
    <n v="4002"/>
  </r>
  <r>
    <x v="0"/>
    <x v="4"/>
    <x v="4"/>
    <x v="100"/>
    <x v="89"/>
    <x v="89"/>
    <s v="REVENUS"/>
    <x v="6"/>
    <s v="4211.002"/>
    <s v="Intérêts de retard sur acomptes"/>
    <n v="0"/>
    <n v="1421.65"/>
    <n v="4211"/>
  </r>
  <r>
    <x v="0"/>
    <x v="4"/>
    <x v="4"/>
    <x v="100"/>
    <x v="89"/>
    <x v="89"/>
    <s v="REVENUS"/>
    <x v="6"/>
    <s v="4221.003"/>
    <s v="Intérêts compensat. / acomptes en faveur du fisc"/>
    <n v="0"/>
    <n v="1.44"/>
    <n v="4221"/>
  </r>
  <r>
    <x v="0"/>
    <x v="4"/>
    <x v="4"/>
    <x v="100"/>
    <x v="89"/>
    <x v="89"/>
    <s v="REVENUS"/>
    <x v="2"/>
    <s v="4001.002"/>
    <s v="Impôt complément s/revenu PP"/>
    <n v="0"/>
    <n v="3824.6"/>
    <n v="4001"/>
  </r>
  <r>
    <x v="0"/>
    <x v="4"/>
    <x v="4"/>
    <x v="100"/>
    <x v="89"/>
    <x v="89"/>
    <s v="REVENUS"/>
    <x v="3"/>
    <s v="4002.002"/>
    <s v="Impôt complémentaire s/fortune PP"/>
    <n v="0"/>
    <n v="1476.55"/>
    <n v="4002"/>
  </r>
  <r>
    <x v="0"/>
    <x v="4"/>
    <x v="4"/>
    <x v="100"/>
    <x v="89"/>
    <x v="89"/>
    <s v="REVENUS"/>
    <x v="6"/>
    <s v="4211.001"/>
    <s v="Intérêts de retard sur factures"/>
    <n v="0"/>
    <n v="4.2300000000000004"/>
    <n v="4211"/>
  </r>
  <r>
    <x v="0"/>
    <x v="4"/>
    <x v="4"/>
    <x v="100"/>
    <x v="89"/>
    <x v="89"/>
    <s v="REVENUS"/>
    <x v="4"/>
    <s v="4051.001"/>
    <s v="Impôt sur les successions"/>
    <n v="0"/>
    <n v="122932.2"/>
    <n v="4051"/>
  </r>
  <r>
    <x v="0"/>
    <x v="4"/>
    <x v="4"/>
    <x v="100"/>
    <x v="89"/>
    <x v="89"/>
    <s v="REVENUS"/>
    <x v="6"/>
    <s v="4211.001"/>
    <s v="Intérêts de retard sur factures"/>
    <n v="0"/>
    <n v="9.99"/>
    <n v="4211"/>
  </r>
  <r>
    <x v="0"/>
    <x v="4"/>
    <x v="4"/>
    <x v="100"/>
    <x v="89"/>
    <x v="89"/>
    <s v="REVENUS"/>
    <x v="2"/>
    <s v="4001.001"/>
    <s v="Impôt revenu"/>
    <n v="0"/>
    <n v="73971.199999999997"/>
    <n v="4001"/>
  </r>
  <r>
    <x v="0"/>
    <x v="4"/>
    <x v="4"/>
    <x v="100"/>
    <x v="89"/>
    <x v="89"/>
    <s v="REVENUS"/>
    <x v="6"/>
    <s v="4221.003"/>
    <s v="Intérêts compensat. / acomptes en faveur du fisc"/>
    <n v="0"/>
    <n v="345.59"/>
    <n v="4221"/>
  </r>
  <r>
    <x v="0"/>
    <x v="4"/>
    <x v="4"/>
    <x v="100"/>
    <x v="89"/>
    <x v="89"/>
    <s v="REVENUS"/>
    <x v="2"/>
    <s v="4001.001"/>
    <s v="Impôt revenu"/>
    <n v="0"/>
    <n v="-273.39999999999998"/>
    <n v="4001"/>
  </r>
  <r>
    <x v="0"/>
    <x v="4"/>
    <x v="4"/>
    <x v="100"/>
    <x v="89"/>
    <x v="89"/>
    <s v="REVENUS"/>
    <x v="3"/>
    <s v="4002.001"/>
    <s v="Impôt ordinaire s/fortune PP"/>
    <n v="0"/>
    <n v="-76.95"/>
    <n v="4002"/>
  </r>
  <r>
    <x v="0"/>
    <x v="4"/>
    <x v="4"/>
    <x v="100"/>
    <x v="89"/>
    <x v="89"/>
    <s v="REVENUS"/>
    <x v="2"/>
    <s v="4001.002"/>
    <s v="Impôt complément s/revenu PP"/>
    <n v="0"/>
    <n v="274.60000000000002"/>
    <n v="4001"/>
  </r>
  <r>
    <x v="0"/>
    <x v="4"/>
    <x v="4"/>
    <x v="100"/>
    <x v="89"/>
    <x v="89"/>
    <s v="REVENUS"/>
    <x v="3"/>
    <s v="4002.002"/>
    <s v="Impôt complémentaire s/fortune PP"/>
    <n v="0"/>
    <n v="81.349999999999994"/>
    <n v="4002"/>
  </r>
  <r>
    <x v="0"/>
    <x v="4"/>
    <x v="4"/>
    <x v="100"/>
    <x v="89"/>
    <x v="89"/>
    <s v="REVENUS"/>
    <x v="6"/>
    <s v="4211.001"/>
    <s v="Intérêts de retard sur factures"/>
    <n v="0"/>
    <n v="2.0699999999999998"/>
    <n v="4211"/>
  </r>
  <r>
    <x v="0"/>
    <x v="4"/>
    <x v="4"/>
    <x v="100"/>
    <x v="89"/>
    <x v="89"/>
    <s v="REVENUS"/>
    <x v="10"/>
    <s v="4041.002"/>
    <s v="Complément droit de mutation"/>
    <n v="0"/>
    <n v="12485"/>
    <n v="4041"/>
  </r>
  <r>
    <x v="0"/>
    <x v="4"/>
    <x v="4"/>
    <x v="100"/>
    <x v="89"/>
    <x v="89"/>
    <s v="REVENUS"/>
    <x v="2"/>
    <s v="4001.002"/>
    <s v="Impôt complément s/revenu PP"/>
    <n v="0"/>
    <n v="70.8"/>
    <n v="4001"/>
  </r>
  <r>
    <x v="0"/>
    <x v="4"/>
    <x v="4"/>
    <x v="100"/>
    <x v="89"/>
    <x v="89"/>
    <s v="REVENUS"/>
    <x v="3"/>
    <s v="4002.002"/>
    <s v="Impôt complémentaire s/fortune PP"/>
    <n v="0"/>
    <n v="21.8"/>
    <n v="4002"/>
  </r>
  <r>
    <x v="0"/>
    <x v="4"/>
    <x v="4"/>
    <x v="100"/>
    <x v="89"/>
    <x v="89"/>
    <s v="REVENUS"/>
    <x v="7"/>
    <s v="4184.000"/>
    <s v="Frais de poursuite"/>
    <n v="0"/>
    <n v="272.89"/>
    <n v="4184"/>
  </r>
  <r>
    <x v="0"/>
    <x v="4"/>
    <x v="4"/>
    <x v="100"/>
    <x v="89"/>
    <x v="89"/>
    <s v="REVENUS"/>
    <x v="8"/>
    <s v="4091.001"/>
    <s v="Impôt récupéré après défalcations"/>
    <n v="0"/>
    <n v="24565.61"/>
    <n v="4091"/>
  </r>
  <r>
    <x v="0"/>
    <x v="4"/>
    <x v="4"/>
    <x v="100"/>
    <x v="89"/>
    <x v="89"/>
    <s v="REVENUS"/>
    <x v="2"/>
    <s v="4001.001"/>
    <s v="Impôt revenu"/>
    <n v="0"/>
    <n v="138.85"/>
    <n v="4001"/>
  </r>
  <r>
    <x v="0"/>
    <x v="4"/>
    <x v="4"/>
    <x v="100"/>
    <x v="89"/>
    <x v="89"/>
    <s v="REVENUS"/>
    <x v="7"/>
    <s v="4184.000"/>
    <s v="Frais de poursuite"/>
    <n v="0"/>
    <n v="3.92"/>
    <n v="4184"/>
  </r>
  <r>
    <x v="0"/>
    <x v="4"/>
    <x v="4"/>
    <x v="101"/>
    <x v="73"/>
    <x v="73"/>
    <s v="CHARGES"/>
    <x v="0"/>
    <s v="3212.002"/>
    <s v="Intérêts bonifiés/trop perçu acompte C/C"/>
    <n v="17.23"/>
    <n v="0"/>
    <n v="3212"/>
  </r>
  <r>
    <x v="0"/>
    <x v="4"/>
    <x v="4"/>
    <x v="101"/>
    <x v="73"/>
    <x v="73"/>
    <s v="CHARGES"/>
    <x v="0"/>
    <s v="3212.004"/>
    <s v="Intérêts rémun./perçu trop tôt sur acomptes C/C"/>
    <n v="573.25"/>
    <n v="0"/>
    <n v="3212"/>
  </r>
  <r>
    <x v="0"/>
    <x v="4"/>
    <x v="4"/>
    <x v="101"/>
    <x v="73"/>
    <x v="73"/>
    <s v="CHARGES"/>
    <x v="0"/>
    <s v="3221.002"/>
    <s v="Intérêts compensatoires / créances en faveur ctb."/>
    <n v="304.83"/>
    <n v="0"/>
    <n v="3221"/>
  </r>
  <r>
    <x v="0"/>
    <x v="4"/>
    <x v="4"/>
    <x v="101"/>
    <x v="73"/>
    <x v="73"/>
    <s v="CHARGES"/>
    <x v="1"/>
    <s v="3301.001"/>
    <s v="Défalcations, abandons de solde PP et IS"/>
    <n v="33842.32"/>
    <n v="0"/>
    <n v="3301"/>
  </r>
  <r>
    <x v="0"/>
    <x v="4"/>
    <x v="4"/>
    <x v="101"/>
    <x v="73"/>
    <x v="73"/>
    <s v="CHARGES"/>
    <x v="0"/>
    <s v="3212.004"/>
    <s v="Intérêts rémun./perçu trop tôt sur acomptes C/C"/>
    <n v="9.2100000000000009"/>
    <n v="0"/>
    <n v="3212"/>
  </r>
  <r>
    <x v="0"/>
    <x v="4"/>
    <x v="4"/>
    <x v="101"/>
    <x v="73"/>
    <x v="73"/>
    <s v="CHARGES"/>
    <x v="0"/>
    <s v="3221.002"/>
    <s v="Intérêts compensatoires / créances en faveur ctb."/>
    <n v="5.22"/>
    <n v="0"/>
    <n v="3221"/>
  </r>
  <r>
    <x v="0"/>
    <x v="4"/>
    <x v="4"/>
    <x v="101"/>
    <x v="73"/>
    <x v="73"/>
    <s v="CHARGES"/>
    <x v="1"/>
    <s v="3301.001"/>
    <s v="Défalcations, abandons de solde PP et IS"/>
    <n v="0.77"/>
    <n v="0"/>
    <n v="3301"/>
  </r>
  <r>
    <x v="0"/>
    <x v="4"/>
    <x v="4"/>
    <x v="101"/>
    <x v="73"/>
    <x v="73"/>
    <s v="CHARGES"/>
    <x v="0"/>
    <s v="3212.002"/>
    <s v="Intérêts bonifiés/trop perçu acompte C/C"/>
    <n v="0.21"/>
    <n v="0"/>
    <n v="3212"/>
  </r>
  <r>
    <x v="0"/>
    <x v="4"/>
    <x v="4"/>
    <x v="101"/>
    <x v="73"/>
    <x v="73"/>
    <s v="CHARGES"/>
    <x v="1"/>
    <s v="3301.001"/>
    <s v="Défalcations, abandons de solde PP et IS"/>
    <n v="10800.01"/>
    <n v="0"/>
    <n v="3301"/>
  </r>
  <r>
    <x v="0"/>
    <x v="4"/>
    <x v="4"/>
    <x v="101"/>
    <x v="73"/>
    <x v="73"/>
    <s v="CHARGES"/>
    <x v="0"/>
    <s v="3221.002"/>
    <s v="Intérêts compensatoires / créances en faveur ctb."/>
    <n v="0.77"/>
    <n v="0"/>
    <n v="3221"/>
  </r>
  <r>
    <x v="0"/>
    <x v="4"/>
    <x v="4"/>
    <x v="101"/>
    <x v="73"/>
    <x v="73"/>
    <s v="CHARGES"/>
    <x v="0"/>
    <s v="3212.004"/>
    <s v="Intérêts rémun./perçu trop tôt sur acomptes C/C"/>
    <n v="5.69"/>
    <n v="0"/>
    <n v="3212"/>
  </r>
  <r>
    <x v="0"/>
    <x v="4"/>
    <x v="4"/>
    <x v="101"/>
    <x v="73"/>
    <x v="73"/>
    <s v="CHARGES"/>
    <x v="0"/>
    <s v="3221.002"/>
    <s v="Intérêts compensatoires / créances en faveur ctb."/>
    <n v="1.41"/>
    <n v="0"/>
    <n v="3221"/>
  </r>
  <r>
    <x v="0"/>
    <x v="4"/>
    <x v="4"/>
    <x v="101"/>
    <x v="73"/>
    <x v="73"/>
    <s v="CHARGES"/>
    <x v="0"/>
    <s v="3212.004"/>
    <s v="Intérêts rémun./perçu trop tôt sur acomptes C/C"/>
    <n v="1.62"/>
    <n v="0"/>
    <n v="3212"/>
  </r>
  <r>
    <x v="0"/>
    <x v="4"/>
    <x v="4"/>
    <x v="101"/>
    <x v="73"/>
    <x v="73"/>
    <s v="CHARGES"/>
    <x v="1"/>
    <s v="3301.001"/>
    <s v="Défalcations, abandons de solde PP et IS"/>
    <n v="-1878.36"/>
    <n v="0"/>
    <n v="3301"/>
  </r>
  <r>
    <x v="0"/>
    <x v="4"/>
    <x v="4"/>
    <x v="101"/>
    <x v="73"/>
    <x v="73"/>
    <s v="CHARGES"/>
    <x v="0"/>
    <s v="3212.004"/>
    <s v="Intérêts rémun./perçu trop tôt sur acomptes C/C"/>
    <n v="2.1"/>
    <n v="0"/>
    <n v="3212"/>
  </r>
  <r>
    <x v="0"/>
    <x v="4"/>
    <x v="4"/>
    <x v="101"/>
    <x v="73"/>
    <x v="73"/>
    <s v="CHARGES"/>
    <x v="0"/>
    <s v="3221.002"/>
    <s v="Intérêts compensatoires / créances en faveur ctb."/>
    <n v="0.02"/>
    <n v="0"/>
    <n v="3221"/>
  </r>
  <r>
    <x v="0"/>
    <x v="4"/>
    <x v="4"/>
    <x v="101"/>
    <x v="73"/>
    <x v="73"/>
    <s v="CHARGES"/>
    <x v="0"/>
    <s v="3212.004"/>
    <s v="Intérêts rémun./perçu trop tôt sur acomptes C/C"/>
    <n v="7.0000000000000007E-2"/>
    <n v="0"/>
    <n v="3212"/>
  </r>
  <r>
    <x v="0"/>
    <x v="4"/>
    <x v="4"/>
    <x v="101"/>
    <x v="73"/>
    <x v="73"/>
    <s v="CHARGES"/>
    <x v="0"/>
    <s v="3221.002"/>
    <s v="Intérêts compensatoires / créances en faveur ctb."/>
    <n v="0.01"/>
    <n v="0"/>
    <n v="3221"/>
  </r>
  <r>
    <x v="0"/>
    <x v="4"/>
    <x v="4"/>
    <x v="101"/>
    <x v="73"/>
    <x v="73"/>
    <s v="CHARGES"/>
    <x v="1"/>
    <s v="3301.001"/>
    <s v="Défalcations, abandons de solde PP et IS"/>
    <n v="24.9"/>
    <n v="0"/>
    <n v="3301"/>
  </r>
  <r>
    <x v="0"/>
    <x v="4"/>
    <x v="4"/>
    <x v="101"/>
    <x v="73"/>
    <x v="73"/>
    <s v="CHARGES"/>
    <x v="1"/>
    <s v="3301.001"/>
    <s v="Défalcations, abandons de solde PP et IS"/>
    <n v="0.14000000000000001"/>
    <n v="0"/>
    <n v="3301"/>
  </r>
  <r>
    <x v="0"/>
    <x v="4"/>
    <x v="4"/>
    <x v="101"/>
    <x v="73"/>
    <x v="73"/>
    <s v="REVENUS"/>
    <x v="2"/>
    <s v="4001.001"/>
    <s v="Impôt revenu"/>
    <n v="0"/>
    <n v="3417871.75"/>
    <n v="4001"/>
  </r>
  <r>
    <x v="0"/>
    <x v="4"/>
    <x v="4"/>
    <x v="101"/>
    <x v="73"/>
    <x v="73"/>
    <s v="REVENUS"/>
    <x v="2"/>
    <s v="4001.003"/>
    <s v="Impôt s/prest. cap. PP"/>
    <n v="0"/>
    <n v="97894.45"/>
    <n v="4001"/>
  </r>
  <r>
    <x v="0"/>
    <x v="4"/>
    <x v="4"/>
    <x v="101"/>
    <x v="73"/>
    <x v="73"/>
    <s v="REVENUS"/>
    <x v="2"/>
    <s v="4001.007"/>
    <s v="Acompte impôt sur revenu"/>
    <n v="0"/>
    <n v="-220340.25"/>
    <n v="4001"/>
  </r>
  <r>
    <x v="0"/>
    <x v="4"/>
    <x v="4"/>
    <x v="101"/>
    <x v="73"/>
    <x v="73"/>
    <s v="REVENUS"/>
    <x v="3"/>
    <s v="4002.001"/>
    <s v="Impôt ordinaire s/fortune PP"/>
    <n v="0"/>
    <n v="391679.05"/>
    <n v="4002"/>
  </r>
  <r>
    <x v="0"/>
    <x v="4"/>
    <x v="4"/>
    <x v="101"/>
    <x v="73"/>
    <x v="73"/>
    <s v="REVENUS"/>
    <x v="3"/>
    <s v="4002.007"/>
    <s v="Acompte impôt sur fortune"/>
    <n v="0"/>
    <n v="64096.13"/>
    <n v="4002"/>
  </r>
  <r>
    <x v="0"/>
    <x v="4"/>
    <x v="4"/>
    <x v="101"/>
    <x v="73"/>
    <x v="73"/>
    <s v="REVENUS"/>
    <x v="6"/>
    <s v="4211.001"/>
    <s v="Intérêts de retard sur factures"/>
    <n v="0"/>
    <n v="7384.82"/>
    <n v="4211"/>
  </r>
  <r>
    <x v="0"/>
    <x v="4"/>
    <x v="4"/>
    <x v="101"/>
    <x v="73"/>
    <x v="73"/>
    <s v="REVENUS"/>
    <x v="6"/>
    <s v="4211.002"/>
    <s v="Intérêts de retard sur acomptes"/>
    <n v="0"/>
    <n v="26200.58"/>
    <n v="4211"/>
  </r>
  <r>
    <x v="0"/>
    <x v="4"/>
    <x v="4"/>
    <x v="101"/>
    <x v="73"/>
    <x v="73"/>
    <s v="REVENUS"/>
    <x v="6"/>
    <s v="4221.003"/>
    <s v="Intérêts compensat. / acomptes en faveur du fisc"/>
    <n v="0"/>
    <n v="346.57"/>
    <n v="4221"/>
  </r>
  <r>
    <x v="0"/>
    <x v="4"/>
    <x v="4"/>
    <x v="101"/>
    <x v="73"/>
    <x v="73"/>
    <s v="REVENUS"/>
    <x v="2"/>
    <s v="4001.001"/>
    <s v="Impôt revenu"/>
    <n v="0"/>
    <n v="15909.95"/>
    <n v="4001"/>
  </r>
  <r>
    <x v="0"/>
    <x v="4"/>
    <x v="4"/>
    <x v="101"/>
    <x v="73"/>
    <x v="73"/>
    <s v="REVENUS"/>
    <x v="3"/>
    <s v="4002.001"/>
    <s v="Impôt ordinaire s/fortune PP"/>
    <n v="0"/>
    <n v="10976.2"/>
    <n v="4002"/>
  </r>
  <r>
    <x v="0"/>
    <x v="4"/>
    <x v="4"/>
    <x v="101"/>
    <x v="73"/>
    <x v="73"/>
    <s v="REVENUS"/>
    <x v="6"/>
    <s v="4221.003"/>
    <s v="Intérêts compensat. / acomptes en faveur du fisc"/>
    <n v="0"/>
    <n v="18.98"/>
    <n v="4221"/>
  </r>
  <r>
    <x v="0"/>
    <x v="4"/>
    <x v="4"/>
    <x v="101"/>
    <x v="73"/>
    <x v="73"/>
    <s v="REVENUS"/>
    <x v="2"/>
    <s v="4001.002"/>
    <s v="Impôt complément s/revenu PP"/>
    <n v="0"/>
    <n v="419883.55"/>
    <n v="4001"/>
  </r>
  <r>
    <x v="0"/>
    <x v="4"/>
    <x v="4"/>
    <x v="101"/>
    <x v="73"/>
    <x v="73"/>
    <s v="REVENUS"/>
    <x v="7"/>
    <s v="4184.000"/>
    <s v="Frais de poursuite"/>
    <n v="0"/>
    <n v="1423.59"/>
    <n v="4184"/>
  </r>
  <r>
    <x v="0"/>
    <x v="4"/>
    <x v="4"/>
    <x v="101"/>
    <x v="73"/>
    <x v="73"/>
    <s v="REVENUS"/>
    <x v="7"/>
    <s v="4184.000"/>
    <s v="Frais de poursuite"/>
    <n v="0"/>
    <n v="2408.69"/>
    <n v="4184"/>
  </r>
  <r>
    <x v="0"/>
    <x v="4"/>
    <x v="4"/>
    <x v="101"/>
    <x v="73"/>
    <x v="73"/>
    <s v="REVENUS"/>
    <x v="7"/>
    <s v="4184.000"/>
    <s v="Frais de poursuite"/>
    <n v="0"/>
    <n v="194.52"/>
    <n v="4184"/>
  </r>
  <r>
    <x v="0"/>
    <x v="4"/>
    <x v="4"/>
    <x v="101"/>
    <x v="73"/>
    <x v="73"/>
    <s v="REVENUS"/>
    <x v="9"/>
    <s v="4031.001"/>
    <s v="Impôt sur les gains immobiliers"/>
    <n v="0"/>
    <n v="83871.649999999994"/>
    <n v="4031"/>
  </r>
  <r>
    <x v="0"/>
    <x v="4"/>
    <x v="4"/>
    <x v="101"/>
    <x v="73"/>
    <x v="73"/>
    <s v="REVENUS"/>
    <x v="6"/>
    <s v="4221.002"/>
    <s v="Intérêts compensat. sur impôts distincts"/>
    <n v="0"/>
    <n v="18.72"/>
    <n v="4221"/>
  </r>
  <r>
    <x v="0"/>
    <x v="4"/>
    <x v="4"/>
    <x v="101"/>
    <x v="73"/>
    <x v="73"/>
    <s v="REVENUS"/>
    <x v="3"/>
    <s v="4002.001"/>
    <s v="Impôt ordinaire s/fortune PP"/>
    <n v="0"/>
    <n v="36.5"/>
    <n v="4002"/>
  </r>
  <r>
    <x v="0"/>
    <x v="4"/>
    <x v="4"/>
    <x v="101"/>
    <x v="73"/>
    <x v="73"/>
    <s v="REVENUS"/>
    <x v="8"/>
    <s v="4091.001"/>
    <s v="Impôt récupéré après défalcations"/>
    <n v="0"/>
    <n v="4909.37"/>
    <n v="4091"/>
  </r>
  <r>
    <x v="0"/>
    <x v="4"/>
    <x v="4"/>
    <x v="101"/>
    <x v="73"/>
    <x v="73"/>
    <s v="REVENUS"/>
    <x v="2"/>
    <s v="4001.001"/>
    <s v="Impôt revenu"/>
    <n v="0"/>
    <n v="7145.75"/>
    <n v="4001"/>
  </r>
  <r>
    <x v="0"/>
    <x v="4"/>
    <x v="4"/>
    <x v="101"/>
    <x v="73"/>
    <x v="73"/>
    <s v="REVENUS"/>
    <x v="3"/>
    <s v="4002.001"/>
    <s v="Impôt ordinaire s/fortune PP"/>
    <n v="0"/>
    <n v="3292.2"/>
    <n v="4002"/>
  </r>
  <r>
    <x v="0"/>
    <x v="4"/>
    <x v="4"/>
    <x v="101"/>
    <x v="73"/>
    <x v="73"/>
    <s v="REVENUS"/>
    <x v="2"/>
    <s v="4001.007"/>
    <s v="Acompte impôt sur revenu"/>
    <n v="0"/>
    <n v="733.05"/>
    <n v="4001"/>
  </r>
  <r>
    <x v="0"/>
    <x v="4"/>
    <x v="4"/>
    <x v="101"/>
    <x v="73"/>
    <x v="73"/>
    <s v="REVENUS"/>
    <x v="3"/>
    <s v="4002.007"/>
    <s v="Acompte impôt sur fortune"/>
    <n v="0"/>
    <n v="-2087.3000000000002"/>
    <n v="4002"/>
  </r>
  <r>
    <x v="0"/>
    <x v="4"/>
    <x v="4"/>
    <x v="101"/>
    <x v="73"/>
    <x v="73"/>
    <s v="REVENUS"/>
    <x v="2"/>
    <s v="4001.007"/>
    <s v="Acompte impôt sur revenu"/>
    <n v="0"/>
    <n v="-2388.6"/>
    <n v="4001"/>
  </r>
  <r>
    <x v="0"/>
    <x v="4"/>
    <x v="4"/>
    <x v="101"/>
    <x v="73"/>
    <x v="73"/>
    <s v="REVENUS"/>
    <x v="3"/>
    <s v="4002.007"/>
    <s v="Acompte impôt sur fortune"/>
    <n v="0"/>
    <n v="-490.94"/>
    <n v="4002"/>
  </r>
  <r>
    <x v="0"/>
    <x v="4"/>
    <x v="4"/>
    <x v="101"/>
    <x v="73"/>
    <x v="73"/>
    <s v="REVENUS"/>
    <x v="3"/>
    <s v="4002.007"/>
    <s v="Acompte impôt sur fortune"/>
    <n v="0"/>
    <n v="-4141.01"/>
    <n v="4002"/>
  </r>
  <r>
    <x v="0"/>
    <x v="4"/>
    <x v="4"/>
    <x v="101"/>
    <x v="73"/>
    <x v="73"/>
    <s v="REVENUS"/>
    <x v="6"/>
    <s v="4211.002"/>
    <s v="Intérêts de retard sur acomptes"/>
    <n v="0"/>
    <n v="41.18"/>
    <n v="4211"/>
  </r>
  <r>
    <x v="0"/>
    <x v="4"/>
    <x v="4"/>
    <x v="101"/>
    <x v="73"/>
    <x v="73"/>
    <s v="REVENUS"/>
    <x v="3"/>
    <s v="4002.007"/>
    <s v="Acompte impôt sur fortune"/>
    <n v="0"/>
    <n v="-10002.77"/>
    <n v="4002"/>
  </r>
  <r>
    <x v="0"/>
    <x v="4"/>
    <x v="4"/>
    <x v="101"/>
    <x v="73"/>
    <x v="73"/>
    <s v="REVENUS"/>
    <x v="2"/>
    <s v="4001.007"/>
    <s v="Acompte impôt sur revenu"/>
    <n v="0"/>
    <n v="1014.8"/>
    <n v="4001"/>
  </r>
  <r>
    <x v="0"/>
    <x v="4"/>
    <x v="4"/>
    <x v="101"/>
    <x v="73"/>
    <x v="73"/>
    <s v="REVENUS"/>
    <x v="3"/>
    <s v="4002.002"/>
    <s v="Impôt complémentaire s/fortune PP"/>
    <n v="0"/>
    <n v="40088.5"/>
    <n v="4002"/>
  </r>
  <r>
    <x v="0"/>
    <x v="4"/>
    <x v="4"/>
    <x v="101"/>
    <x v="73"/>
    <x v="73"/>
    <s v="REVENUS"/>
    <x v="2"/>
    <s v="4001.007"/>
    <s v="Acompte impôt sur revenu"/>
    <n v="0"/>
    <n v="-5994.23"/>
    <n v="4001"/>
  </r>
  <r>
    <x v="0"/>
    <x v="4"/>
    <x v="4"/>
    <x v="101"/>
    <x v="73"/>
    <x v="73"/>
    <s v="REVENUS"/>
    <x v="6"/>
    <s v="4211.002"/>
    <s v="Intérêts de retard sur acomptes"/>
    <n v="0"/>
    <n v="27.27"/>
    <n v="4211"/>
  </r>
  <r>
    <x v="0"/>
    <x v="4"/>
    <x v="4"/>
    <x v="101"/>
    <x v="73"/>
    <x v="73"/>
    <s v="REVENUS"/>
    <x v="2"/>
    <s v="4001.007"/>
    <s v="Acompte impôt sur revenu"/>
    <n v="0"/>
    <n v="-20.7"/>
    <n v="4001"/>
  </r>
  <r>
    <x v="0"/>
    <x v="4"/>
    <x v="4"/>
    <x v="101"/>
    <x v="73"/>
    <x v="73"/>
    <s v="REVENUS"/>
    <x v="3"/>
    <s v="4002.007"/>
    <s v="Acompte impôt sur fortune"/>
    <n v="0"/>
    <n v="-4"/>
    <n v="4002"/>
  </r>
  <r>
    <x v="0"/>
    <x v="4"/>
    <x v="4"/>
    <x v="101"/>
    <x v="73"/>
    <x v="73"/>
    <s v="REVENUS"/>
    <x v="6"/>
    <s v="4221.003"/>
    <s v="Intérêts compensat. / acomptes en faveur du fisc"/>
    <n v="0"/>
    <n v="2"/>
    <n v="4221"/>
  </r>
  <r>
    <x v="0"/>
    <x v="4"/>
    <x v="4"/>
    <x v="101"/>
    <x v="73"/>
    <x v="73"/>
    <s v="REVENUS"/>
    <x v="3"/>
    <s v="4002.007"/>
    <s v="Acompte impôt sur fortune"/>
    <n v="0"/>
    <n v="-940.9"/>
    <n v="4002"/>
  </r>
  <r>
    <x v="0"/>
    <x v="4"/>
    <x v="4"/>
    <x v="101"/>
    <x v="73"/>
    <x v="73"/>
    <s v="REVENUS"/>
    <x v="2"/>
    <s v="4001.001"/>
    <s v="Impôt revenu"/>
    <n v="0"/>
    <n v="4697.5"/>
    <n v="4001"/>
  </r>
  <r>
    <x v="0"/>
    <x v="4"/>
    <x v="4"/>
    <x v="101"/>
    <x v="73"/>
    <x v="73"/>
    <s v="REVENUS"/>
    <x v="3"/>
    <s v="4002.001"/>
    <s v="Impôt ordinaire s/fortune PP"/>
    <n v="0"/>
    <n v="4187.45"/>
    <n v="4002"/>
  </r>
  <r>
    <x v="0"/>
    <x v="4"/>
    <x v="4"/>
    <x v="101"/>
    <x v="73"/>
    <x v="73"/>
    <s v="REVENUS"/>
    <x v="6"/>
    <s v="4221.003"/>
    <s v="Intérêts compensat. / acomptes en faveur du fisc"/>
    <n v="0"/>
    <n v="0.12"/>
    <n v="4221"/>
  </r>
  <r>
    <x v="0"/>
    <x v="4"/>
    <x v="4"/>
    <x v="101"/>
    <x v="73"/>
    <x v="73"/>
    <s v="REVENUS"/>
    <x v="2"/>
    <s v="4001.001"/>
    <s v="Impôt revenu"/>
    <n v="0"/>
    <n v="17672.05"/>
    <n v="4001"/>
  </r>
  <r>
    <x v="0"/>
    <x v="4"/>
    <x v="4"/>
    <x v="101"/>
    <x v="73"/>
    <x v="73"/>
    <s v="REVENUS"/>
    <x v="3"/>
    <s v="4002.001"/>
    <s v="Impôt ordinaire s/fortune PP"/>
    <n v="0"/>
    <n v="6484.9"/>
    <n v="4002"/>
  </r>
  <r>
    <x v="0"/>
    <x v="4"/>
    <x v="4"/>
    <x v="101"/>
    <x v="73"/>
    <x v="73"/>
    <s v="REVENUS"/>
    <x v="6"/>
    <s v="4211.002"/>
    <s v="Intérêts de retard sur acomptes"/>
    <n v="0"/>
    <n v="5.37"/>
    <n v="4211"/>
  </r>
  <r>
    <x v="0"/>
    <x v="4"/>
    <x v="4"/>
    <x v="101"/>
    <x v="73"/>
    <x v="73"/>
    <s v="REVENUS"/>
    <x v="7"/>
    <s v="4184.000"/>
    <s v="Frais de poursuite"/>
    <n v="0"/>
    <n v="2.25"/>
    <n v="4184"/>
  </r>
  <r>
    <x v="0"/>
    <x v="4"/>
    <x v="4"/>
    <x v="101"/>
    <x v="73"/>
    <x v="73"/>
    <s v="REVENUS"/>
    <x v="2"/>
    <s v="4001.002"/>
    <s v="Impôt complément s/revenu PP"/>
    <n v="0"/>
    <n v="2097.0500000000002"/>
    <n v="4001"/>
  </r>
  <r>
    <x v="0"/>
    <x v="4"/>
    <x v="4"/>
    <x v="101"/>
    <x v="73"/>
    <x v="73"/>
    <s v="REVENUS"/>
    <x v="6"/>
    <s v="4211.001"/>
    <s v="Intérêts de retard sur factures"/>
    <n v="0"/>
    <n v="17.079999999999998"/>
    <n v="4211"/>
  </r>
  <r>
    <x v="0"/>
    <x v="4"/>
    <x v="4"/>
    <x v="101"/>
    <x v="73"/>
    <x v="73"/>
    <s v="REVENUS"/>
    <x v="7"/>
    <s v="4184.000"/>
    <s v="Frais de poursuite"/>
    <n v="0"/>
    <n v="68.14"/>
    <n v="4184"/>
  </r>
  <r>
    <x v="0"/>
    <x v="4"/>
    <x v="4"/>
    <x v="101"/>
    <x v="73"/>
    <x v="73"/>
    <s v="REVENUS"/>
    <x v="3"/>
    <s v="4002.002"/>
    <s v="Impôt complémentaire s/fortune PP"/>
    <n v="0"/>
    <n v="2580"/>
    <n v="4002"/>
  </r>
  <r>
    <x v="0"/>
    <x v="4"/>
    <x v="4"/>
    <x v="101"/>
    <x v="73"/>
    <x v="73"/>
    <s v="REVENUS"/>
    <x v="2"/>
    <s v="4001.002"/>
    <s v="Impôt complément s/revenu PP"/>
    <n v="0"/>
    <n v="1840.25"/>
    <n v="4001"/>
  </r>
  <r>
    <x v="0"/>
    <x v="4"/>
    <x v="4"/>
    <x v="101"/>
    <x v="73"/>
    <x v="73"/>
    <s v="REVENUS"/>
    <x v="3"/>
    <s v="4002.002"/>
    <s v="Impôt complémentaire s/fortune PP"/>
    <n v="0"/>
    <n v="1072.0999999999999"/>
    <n v="4002"/>
  </r>
  <r>
    <x v="0"/>
    <x v="4"/>
    <x v="4"/>
    <x v="101"/>
    <x v="73"/>
    <x v="73"/>
    <s v="REVENUS"/>
    <x v="6"/>
    <s v="4221.003"/>
    <s v="Intérêts compensat. / acomptes en faveur du fisc"/>
    <n v="0"/>
    <n v="0.52"/>
    <n v="4221"/>
  </r>
  <r>
    <x v="0"/>
    <x v="4"/>
    <x v="4"/>
    <x v="101"/>
    <x v="73"/>
    <x v="73"/>
    <s v="REVENUS"/>
    <x v="6"/>
    <s v="4211.001"/>
    <s v="Intérêts de retard sur factures"/>
    <n v="0"/>
    <n v="127.44"/>
    <n v="4211"/>
  </r>
  <r>
    <x v="0"/>
    <x v="4"/>
    <x v="4"/>
    <x v="101"/>
    <x v="73"/>
    <x v="73"/>
    <s v="REVENUS"/>
    <x v="6"/>
    <s v="4211.001"/>
    <s v="Intérêts de retard sur factures"/>
    <n v="0"/>
    <n v="0.5"/>
    <n v="4211"/>
  </r>
  <r>
    <x v="0"/>
    <x v="4"/>
    <x v="4"/>
    <x v="101"/>
    <x v="73"/>
    <x v="73"/>
    <s v="REVENUS"/>
    <x v="6"/>
    <s v="4211.001"/>
    <s v="Intérêts de retard sur factures"/>
    <n v="0"/>
    <n v="0.03"/>
    <n v="4211"/>
  </r>
  <r>
    <x v="0"/>
    <x v="4"/>
    <x v="4"/>
    <x v="101"/>
    <x v="73"/>
    <x v="73"/>
    <s v="REVENUS"/>
    <x v="6"/>
    <s v="4211.002"/>
    <s v="Intérêts de retard sur acomptes"/>
    <n v="0"/>
    <n v="7.34"/>
    <n v="4211"/>
  </r>
  <r>
    <x v="0"/>
    <x v="4"/>
    <x v="4"/>
    <x v="101"/>
    <x v="73"/>
    <x v="73"/>
    <s v="REVENUS"/>
    <x v="2"/>
    <s v="4001.003"/>
    <s v="Impôt s/prest. cap. PP"/>
    <n v="0"/>
    <n v="329"/>
    <n v="4001"/>
  </r>
  <r>
    <x v="0"/>
    <x v="4"/>
    <x v="4"/>
    <x v="101"/>
    <x v="73"/>
    <x v="73"/>
    <s v="REVENUS"/>
    <x v="2"/>
    <s v="4001.002"/>
    <s v="Impôt complément s/revenu PP"/>
    <n v="0"/>
    <n v="373.75"/>
    <n v="4001"/>
  </r>
  <r>
    <x v="0"/>
    <x v="4"/>
    <x v="4"/>
    <x v="101"/>
    <x v="73"/>
    <x v="73"/>
    <s v="REVENUS"/>
    <x v="3"/>
    <s v="4002.002"/>
    <s v="Impôt complémentaire s/fortune PP"/>
    <n v="0"/>
    <n v="42.75"/>
    <n v="4002"/>
  </r>
  <r>
    <x v="0"/>
    <x v="4"/>
    <x v="4"/>
    <x v="101"/>
    <x v="73"/>
    <x v="73"/>
    <s v="REVENUS"/>
    <x v="8"/>
    <s v="4091.001"/>
    <s v="Impôt récupéré après défalcations"/>
    <n v="0"/>
    <n v="1523.44"/>
    <n v="4091"/>
  </r>
  <r>
    <x v="0"/>
    <x v="4"/>
    <x v="4"/>
    <x v="101"/>
    <x v="73"/>
    <x v="73"/>
    <s v="REVENUS"/>
    <x v="8"/>
    <s v="4091.001"/>
    <s v="Impôt récupéré après défalcations"/>
    <n v="0"/>
    <n v="1262.27"/>
    <n v="4091"/>
  </r>
  <r>
    <x v="0"/>
    <x v="4"/>
    <x v="4"/>
    <x v="101"/>
    <x v="73"/>
    <x v="73"/>
    <s v="REVENUS"/>
    <x v="2"/>
    <s v="4001.007"/>
    <s v="Acompte impôt sur revenu"/>
    <n v="0"/>
    <n v="875.9"/>
    <n v="4001"/>
  </r>
  <r>
    <x v="0"/>
    <x v="4"/>
    <x v="4"/>
    <x v="101"/>
    <x v="73"/>
    <x v="73"/>
    <s v="REVENUS"/>
    <x v="3"/>
    <s v="4002.007"/>
    <s v="Acompte impôt sur fortune"/>
    <n v="0"/>
    <n v="32.35"/>
    <n v="4002"/>
  </r>
  <r>
    <x v="0"/>
    <x v="4"/>
    <x v="4"/>
    <x v="102"/>
    <x v="79"/>
    <x v="79"/>
    <s v="CHARGES"/>
    <x v="1"/>
    <s v="3301.001"/>
    <s v="Défalcations, abandons de solde PP et IS"/>
    <n v="42716.3"/>
    <n v="0"/>
    <n v="3301"/>
  </r>
  <r>
    <x v="0"/>
    <x v="4"/>
    <x v="4"/>
    <x v="102"/>
    <x v="79"/>
    <x v="79"/>
    <s v="CHARGES"/>
    <x v="1"/>
    <s v="3301.001"/>
    <s v="Défalcations, abandons de solde PP et IS"/>
    <n v="19273.46"/>
    <n v="0"/>
    <n v="3301"/>
  </r>
  <r>
    <x v="0"/>
    <x v="4"/>
    <x v="4"/>
    <x v="102"/>
    <x v="79"/>
    <x v="79"/>
    <s v="CHARGES"/>
    <x v="0"/>
    <s v="3212.004"/>
    <s v="Intérêts rémun./perçu trop tôt sur acomptes C/C"/>
    <n v="8.74"/>
    <n v="0"/>
    <n v="3212"/>
  </r>
  <r>
    <x v="0"/>
    <x v="4"/>
    <x v="4"/>
    <x v="102"/>
    <x v="79"/>
    <x v="79"/>
    <s v="CHARGES"/>
    <x v="0"/>
    <s v="3221.002"/>
    <s v="Intérêts compensatoires / créances en faveur ctb."/>
    <n v="0.73"/>
    <n v="0"/>
    <n v="3221"/>
  </r>
  <r>
    <x v="0"/>
    <x v="4"/>
    <x v="4"/>
    <x v="102"/>
    <x v="79"/>
    <x v="79"/>
    <s v="CHARGES"/>
    <x v="0"/>
    <s v="3212.002"/>
    <s v="Intérêts bonifiés/trop perçu acompte C/C"/>
    <n v="18.53"/>
    <n v="0"/>
    <n v="3212"/>
  </r>
  <r>
    <x v="0"/>
    <x v="4"/>
    <x v="4"/>
    <x v="102"/>
    <x v="79"/>
    <x v="79"/>
    <s v="CHARGES"/>
    <x v="0"/>
    <s v="3212.004"/>
    <s v="Intérêts rémun./perçu trop tôt sur acomptes C/C"/>
    <n v="507.07"/>
    <n v="0"/>
    <n v="3212"/>
  </r>
  <r>
    <x v="0"/>
    <x v="4"/>
    <x v="4"/>
    <x v="102"/>
    <x v="79"/>
    <x v="79"/>
    <s v="CHARGES"/>
    <x v="0"/>
    <s v="3221.002"/>
    <s v="Intérêts compensatoires / créances en faveur ctb."/>
    <n v="305.02999999999997"/>
    <n v="0"/>
    <n v="3221"/>
  </r>
  <r>
    <x v="0"/>
    <x v="4"/>
    <x v="4"/>
    <x v="102"/>
    <x v="79"/>
    <x v="79"/>
    <s v="CHARGES"/>
    <x v="0"/>
    <s v="3212.002"/>
    <s v="Intérêts bonifiés/trop perçu acompte C/C"/>
    <n v="0.03"/>
    <n v="0"/>
    <n v="3212"/>
  </r>
  <r>
    <x v="0"/>
    <x v="4"/>
    <x v="4"/>
    <x v="102"/>
    <x v="79"/>
    <x v="79"/>
    <s v="CHARGES"/>
    <x v="1"/>
    <s v="3301.001"/>
    <s v="Défalcations, abandons de solde PP et IS"/>
    <n v="1.9"/>
    <n v="0"/>
    <n v="3301"/>
  </r>
  <r>
    <x v="0"/>
    <x v="4"/>
    <x v="4"/>
    <x v="102"/>
    <x v="79"/>
    <x v="79"/>
    <s v="CHARGES"/>
    <x v="0"/>
    <s v="3212.004"/>
    <s v="Intérêts rémun./perçu trop tôt sur acomptes C/C"/>
    <n v="1.27"/>
    <n v="0"/>
    <n v="3212"/>
  </r>
  <r>
    <x v="0"/>
    <x v="4"/>
    <x v="4"/>
    <x v="102"/>
    <x v="79"/>
    <x v="79"/>
    <s v="CHARGES"/>
    <x v="0"/>
    <s v="3212.002"/>
    <s v="Intérêts bonifiés/trop perçu acompte C/C"/>
    <n v="0.2"/>
    <n v="0"/>
    <n v="3212"/>
  </r>
  <r>
    <x v="0"/>
    <x v="4"/>
    <x v="4"/>
    <x v="102"/>
    <x v="79"/>
    <x v="79"/>
    <s v="CHARGES"/>
    <x v="1"/>
    <s v="3301.001"/>
    <s v="Défalcations, abandons de solde PP et IS"/>
    <n v="0.03"/>
    <n v="0"/>
    <n v="3301"/>
  </r>
  <r>
    <x v="0"/>
    <x v="4"/>
    <x v="4"/>
    <x v="102"/>
    <x v="79"/>
    <x v="79"/>
    <s v="CHARGES"/>
    <x v="0"/>
    <s v="3212.004"/>
    <s v="Intérêts rémun./perçu trop tôt sur acomptes C/C"/>
    <n v="1.49"/>
    <n v="0"/>
    <n v="3212"/>
  </r>
  <r>
    <x v="0"/>
    <x v="4"/>
    <x v="4"/>
    <x v="102"/>
    <x v="79"/>
    <x v="79"/>
    <s v="CHARGES"/>
    <x v="0"/>
    <s v="3221.002"/>
    <s v="Intérêts compensatoires / créances en faveur ctb."/>
    <n v="0.5"/>
    <n v="0"/>
    <n v="3221"/>
  </r>
  <r>
    <x v="0"/>
    <x v="4"/>
    <x v="4"/>
    <x v="102"/>
    <x v="79"/>
    <x v="79"/>
    <s v="CHARGES"/>
    <x v="1"/>
    <s v="3301.001"/>
    <s v="Défalcations, abandons de solde PP et IS"/>
    <n v="0.67"/>
    <n v="0"/>
    <n v="3301"/>
  </r>
  <r>
    <x v="0"/>
    <x v="4"/>
    <x v="4"/>
    <x v="102"/>
    <x v="79"/>
    <x v="79"/>
    <s v="CHARGES"/>
    <x v="0"/>
    <s v="3212.004"/>
    <s v="Intérêts rémun./perçu trop tôt sur acomptes C/C"/>
    <n v="0.28000000000000003"/>
    <n v="0"/>
    <n v="3212"/>
  </r>
  <r>
    <x v="0"/>
    <x v="4"/>
    <x v="4"/>
    <x v="102"/>
    <x v="79"/>
    <x v="79"/>
    <s v="CHARGES"/>
    <x v="0"/>
    <s v="3221.002"/>
    <s v="Intérêts compensatoires / créances en faveur ctb."/>
    <n v="0.21"/>
    <n v="0"/>
    <n v="3221"/>
  </r>
  <r>
    <x v="0"/>
    <x v="4"/>
    <x v="4"/>
    <x v="102"/>
    <x v="79"/>
    <x v="79"/>
    <s v="CHARGES"/>
    <x v="0"/>
    <s v="3221.002"/>
    <s v="Intérêts compensatoires / créances en faveur ctb."/>
    <n v="1.22"/>
    <n v="0"/>
    <n v="3221"/>
  </r>
  <r>
    <x v="0"/>
    <x v="4"/>
    <x v="4"/>
    <x v="102"/>
    <x v="79"/>
    <x v="79"/>
    <s v="CHARGES"/>
    <x v="1"/>
    <s v="3301.001"/>
    <s v="Défalcations, abandons de solde PP et IS"/>
    <n v="448.13"/>
    <n v="0"/>
    <n v="3301"/>
  </r>
  <r>
    <x v="0"/>
    <x v="4"/>
    <x v="4"/>
    <x v="102"/>
    <x v="79"/>
    <x v="79"/>
    <s v="REVENUS"/>
    <x v="6"/>
    <s v="4211.001"/>
    <s v="Intérêts de retard sur factures"/>
    <n v="0"/>
    <n v="8737.34"/>
    <n v="4211"/>
  </r>
  <r>
    <x v="0"/>
    <x v="4"/>
    <x v="4"/>
    <x v="102"/>
    <x v="79"/>
    <x v="79"/>
    <s v="REVENUS"/>
    <x v="2"/>
    <s v="4001.001"/>
    <s v="Impôt revenu"/>
    <n v="0"/>
    <n v="7260.5"/>
    <n v="4001"/>
  </r>
  <r>
    <x v="0"/>
    <x v="4"/>
    <x v="4"/>
    <x v="102"/>
    <x v="79"/>
    <x v="79"/>
    <s v="REVENUS"/>
    <x v="2"/>
    <s v="4001.007"/>
    <s v="Acompte impôt sur revenu"/>
    <n v="0"/>
    <n v="-5246.05"/>
    <n v="4001"/>
  </r>
  <r>
    <x v="0"/>
    <x v="4"/>
    <x v="4"/>
    <x v="102"/>
    <x v="79"/>
    <x v="79"/>
    <s v="REVENUS"/>
    <x v="3"/>
    <s v="4002.001"/>
    <s v="Impôt ordinaire s/fortune PP"/>
    <n v="0"/>
    <n v="3994.05"/>
    <n v="4002"/>
  </r>
  <r>
    <x v="0"/>
    <x v="4"/>
    <x v="4"/>
    <x v="102"/>
    <x v="79"/>
    <x v="79"/>
    <s v="REVENUS"/>
    <x v="3"/>
    <s v="4002.007"/>
    <s v="Acompte impôt sur fortune"/>
    <n v="0"/>
    <n v="-2709.15"/>
    <n v="4002"/>
  </r>
  <r>
    <x v="0"/>
    <x v="4"/>
    <x v="4"/>
    <x v="102"/>
    <x v="79"/>
    <x v="79"/>
    <s v="REVENUS"/>
    <x v="2"/>
    <s v="4001.001"/>
    <s v="Impôt revenu"/>
    <n v="0"/>
    <n v="2308330.25"/>
    <n v="4001"/>
  </r>
  <r>
    <x v="0"/>
    <x v="4"/>
    <x v="4"/>
    <x v="102"/>
    <x v="79"/>
    <x v="79"/>
    <s v="REVENUS"/>
    <x v="2"/>
    <s v="4001.002"/>
    <s v="Impôt complément s/revenu PP"/>
    <n v="0"/>
    <n v="166504.65"/>
    <n v="4001"/>
  </r>
  <r>
    <x v="0"/>
    <x v="4"/>
    <x v="4"/>
    <x v="102"/>
    <x v="79"/>
    <x v="79"/>
    <s v="REVENUS"/>
    <x v="6"/>
    <s v="4221.003"/>
    <s v="Intérêts compensat. / acomptes en faveur du fisc"/>
    <n v="0"/>
    <n v="251.68"/>
    <n v="4221"/>
  </r>
  <r>
    <x v="0"/>
    <x v="4"/>
    <x v="4"/>
    <x v="102"/>
    <x v="79"/>
    <x v="79"/>
    <s v="REVENUS"/>
    <x v="2"/>
    <s v="4001.007"/>
    <s v="Acompte impôt sur revenu"/>
    <n v="0"/>
    <n v="-356276.51"/>
    <n v="4001"/>
  </r>
  <r>
    <x v="0"/>
    <x v="4"/>
    <x v="4"/>
    <x v="102"/>
    <x v="79"/>
    <x v="79"/>
    <s v="REVENUS"/>
    <x v="3"/>
    <s v="4002.001"/>
    <s v="Impôt ordinaire s/fortune PP"/>
    <n v="0"/>
    <n v="282950.59999999998"/>
    <n v="4002"/>
  </r>
  <r>
    <x v="0"/>
    <x v="4"/>
    <x v="4"/>
    <x v="102"/>
    <x v="79"/>
    <x v="79"/>
    <s v="REVENUS"/>
    <x v="3"/>
    <s v="4002.007"/>
    <s v="Acompte impôt sur fortune"/>
    <n v="0"/>
    <n v="-41000.94"/>
    <n v="4002"/>
  </r>
  <r>
    <x v="0"/>
    <x v="4"/>
    <x v="4"/>
    <x v="102"/>
    <x v="79"/>
    <x v="79"/>
    <s v="REVENUS"/>
    <x v="4"/>
    <s v="4051.001"/>
    <s v="Impôt sur les successions"/>
    <n v="0"/>
    <n v="107194.8"/>
    <n v="4051"/>
  </r>
  <r>
    <x v="0"/>
    <x v="4"/>
    <x v="4"/>
    <x v="102"/>
    <x v="79"/>
    <x v="79"/>
    <s v="REVENUS"/>
    <x v="6"/>
    <s v="4221.002"/>
    <s v="Intérêts compensat. sur impôts distincts"/>
    <n v="0"/>
    <n v="244.98"/>
    <n v="4221"/>
  </r>
  <r>
    <x v="0"/>
    <x v="4"/>
    <x v="4"/>
    <x v="102"/>
    <x v="79"/>
    <x v="79"/>
    <s v="REVENUS"/>
    <x v="4"/>
    <s v="4051.001"/>
    <s v="Impôt sur les successions"/>
    <n v="0"/>
    <n v="1745.4"/>
    <n v="4051"/>
  </r>
  <r>
    <x v="0"/>
    <x v="4"/>
    <x v="4"/>
    <x v="102"/>
    <x v="79"/>
    <x v="79"/>
    <s v="REVENUS"/>
    <x v="6"/>
    <s v="4221.002"/>
    <s v="Intérêts compensat. sur impôts distincts"/>
    <n v="0"/>
    <n v="1.03"/>
    <n v="4221"/>
  </r>
  <r>
    <x v="0"/>
    <x v="4"/>
    <x v="4"/>
    <x v="102"/>
    <x v="79"/>
    <x v="79"/>
    <s v="REVENUS"/>
    <x v="10"/>
    <s v="4041.001"/>
    <s v="Droits de mutation"/>
    <n v="0"/>
    <n v="83742.850000000006"/>
    <n v="4041"/>
  </r>
  <r>
    <x v="0"/>
    <x v="4"/>
    <x v="4"/>
    <x v="102"/>
    <x v="79"/>
    <x v="79"/>
    <s v="REVENUS"/>
    <x v="6"/>
    <s v="4211.002"/>
    <s v="Intérêts de retard sur acomptes"/>
    <n v="0"/>
    <n v="13419.77"/>
    <n v="4211"/>
  </r>
  <r>
    <x v="0"/>
    <x v="4"/>
    <x v="4"/>
    <x v="102"/>
    <x v="79"/>
    <x v="79"/>
    <s v="REVENUS"/>
    <x v="7"/>
    <s v="4184.000"/>
    <s v="Frais de poursuite"/>
    <n v="0"/>
    <n v="1226.74"/>
    <n v="4184"/>
  </r>
  <r>
    <x v="0"/>
    <x v="4"/>
    <x v="4"/>
    <x v="102"/>
    <x v="79"/>
    <x v="79"/>
    <s v="REVENUS"/>
    <x v="2"/>
    <s v="4001.001"/>
    <s v="Impôt revenu"/>
    <n v="0"/>
    <n v="4910.1000000000004"/>
    <n v="4001"/>
  </r>
  <r>
    <x v="0"/>
    <x v="4"/>
    <x v="4"/>
    <x v="102"/>
    <x v="79"/>
    <x v="79"/>
    <s v="REVENUS"/>
    <x v="3"/>
    <s v="4002.001"/>
    <s v="Impôt ordinaire s/fortune PP"/>
    <n v="0"/>
    <n v="2250.4499999999998"/>
    <n v="4002"/>
  </r>
  <r>
    <x v="0"/>
    <x v="4"/>
    <x v="4"/>
    <x v="102"/>
    <x v="79"/>
    <x v="79"/>
    <s v="REVENUS"/>
    <x v="6"/>
    <s v="4211.002"/>
    <s v="Intérêts de retard sur acomptes"/>
    <n v="0"/>
    <n v="18.38"/>
    <n v="4211"/>
  </r>
  <r>
    <x v="0"/>
    <x v="4"/>
    <x v="4"/>
    <x v="102"/>
    <x v="79"/>
    <x v="79"/>
    <s v="REVENUS"/>
    <x v="6"/>
    <s v="4221.003"/>
    <s v="Intérêts compensat. / acomptes en faveur du fisc"/>
    <n v="0"/>
    <n v="3.87"/>
    <n v="4221"/>
  </r>
  <r>
    <x v="0"/>
    <x v="4"/>
    <x v="4"/>
    <x v="102"/>
    <x v="79"/>
    <x v="79"/>
    <s v="REVENUS"/>
    <x v="7"/>
    <s v="4184.000"/>
    <s v="Frais de poursuite"/>
    <n v="0"/>
    <n v="1147.76"/>
    <n v="4184"/>
  </r>
  <r>
    <x v="0"/>
    <x v="4"/>
    <x v="4"/>
    <x v="102"/>
    <x v="79"/>
    <x v="79"/>
    <s v="REVENUS"/>
    <x v="2"/>
    <s v="4001.003"/>
    <s v="Impôt s/prest. cap. PP"/>
    <n v="0"/>
    <n v="81456.5"/>
    <n v="4001"/>
  </r>
  <r>
    <x v="0"/>
    <x v="4"/>
    <x v="4"/>
    <x v="102"/>
    <x v="79"/>
    <x v="79"/>
    <s v="REVENUS"/>
    <x v="2"/>
    <s v="4001.001"/>
    <s v="Impôt revenu"/>
    <n v="0"/>
    <n v="3198.75"/>
    <n v="4001"/>
  </r>
  <r>
    <x v="0"/>
    <x v="4"/>
    <x v="4"/>
    <x v="102"/>
    <x v="79"/>
    <x v="79"/>
    <s v="REVENUS"/>
    <x v="2"/>
    <s v="4001.007"/>
    <s v="Acompte impôt sur revenu"/>
    <n v="0"/>
    <n v="1316.34"/>
    <n v="4001"/>
  </r>
  <r>
    <x v="0"/>
    <x v="4"/>
    <x v="4"/>
    <x v="102"/>
    <x v="79"/>
    <x v="79"/>
    <s v="REVENUS"/>
    <x v="3"/>
    <s v="4002.001"/>
    <s v="Impôt ordinaire s/fortune PP"/>
    <n v="0"/>
    <n v="1277.8499999999999"/>
    <n v="4002"/>
  </r>
  <r>
    <x v="0"/>
    <x v="4"/>
    <x v="4"/>
    <x v="102"/>
    <x v="79"/>
    <x v="79"/>
    <s v="REVENUS"/>
    <x v="3"/>
    <s v="4002.007"/>
    <s v="Acompte impôt sur fortune"/>
    <n v="0"/>
    <n v="11.2"/>
    <n v="4002"/>
  </r>
  <r>
    <x v="0"/>
    <x v="4"/>
    <x v="4"/>
    <x v="102"/>
    <x v="79"/>
    <x v="79"/>
    <s v="REVENUS"/>
    <x v="6"/>
    <s v="4211.002"/>
    <s v="Intérêts de retard sur acomptes"/>
    <n v="0"/>
    <n v="92.47"/>
    <n v="4211"/>
  </r>
  <r>
    <x v="0"/>
    <x v="4"/>
    <x v="4"/>
    <x v="102"/>
    <x v="79"/>
    <x v="79"/>
    <s v="REVENUS"/>
    <x v="2"/>
    <s v="4001.007"/>
    <s v="Acompte impôt sur revenu"/>
    <n v="0"/>
    <n v="6755.75"/>
    <n v="4001"/>
  </r>
  <r>
    <x v="0"/>
    <x v="4"/>
    <x v="4"/>
    <x v="102"/>
    <x v="79"/>
    <x v="79"/>
    <s v="REVENUS"/>
    <x v="3"/>
    <s v="4002.007"/>
    <s v="Acompte impôt sur fortune"/>
    <n v="0"/>
    <n v="333.35"/>
    <n v="4002"/>
  </r>
  <r>
    <x v="0"/>
    <x v="4"/>
    <x v="4"/>
    <x v="102"/>
    <x v="79"/>
    <x v="79"/>
    <s v="REVENUS"/>
    <x v="3"/>
    <s v="4002.007"/>
    <s v="Acompte impôt sur fortune"/>
    <n v="0"/>
    <n v="498.05"/>
    <n v="4002"/>
  </r>
  <r>
    <x v="0"/>
    <x v="4"/>
    <x v="4"/>
    <x v="102"/>
    <x v="79"/>
    <x v="79"/>
    <s v="REVENUS"/>
    <x v="2"/>
    <s v="4001.007"/>
    <s v="Acompte impôt sur revenu"/>
    <n v="0"/>
    <n v="87.55"/>
    <n v="4001"/>
  </r>
  <r>
    <x v="0"/>
    <x v="4"/>
    <x v="4"/>
    <x v="102"/>
    <x v="79"/>
    <x v="79"/>
    <s v="REVENUS"/>
    <x v="3"/>
    <s v="4002.007"/>
    <s v="Acompte impôt sur fortune"/>
    <n v="0"/>
    <n v="-142.69999999999999"/>
    <n v="4002"/>
  </r>
  <r>
    <x v="0"/>
    <x v="4"/>
    <x v="4"/>
    <x v="102"/>
    <x v="79"/>
    <x v="79"/>
    <s v="REVENUS"/>
    <x v="2"/>
    <s v="4001.007"/>
    <s v="Acompte impôt sur revenu"/>
    <n v="0"/>
    <n v="1334.5"/>
    <n v="4001"/>
  </r>
  <r>
    <x v="0"/>
    <x v="4"/>
    <x v="4"/>
    <x v="102"/>
    <x v="79"/>
    <x v="79"/>
    <s v="REVENUS"/>
    <x v="3"/>
    <s v="4002.002"/>
    <s v="Impôt complémentaire s/fortune PP"/>
    <n v="0"/>
    <n v="39425.050000000003"/>
    <n v="4002"/>
  </r>
  <r>
    <x v="0"/>
    <x v="4"/>
    <x v="4"/>
    <x v="102"/>
    <x v="79"/>
    <x v="79"/>
    <s v="REVENUS"/>
    <x v="2"/>
    <s v="4001.007"/>
    <s v="Acompte impôt sur revenu"/>
    <n v="0"/>
    <n v="-33.65"/>
    <n v="4001"/>
  </r>
  <r>
    <x v="0"/>
    <x v="4"/>
    <x v="4"/>
    <x v="102"/>
    <x v="79"/>
    <x v="79"/>
    <s v="REVENUS"/>
    <x v="3"/>
    <s v="4002.007"/>
    <s v="Acompte impôt sur fortune"/>
    <n v="0"/>
    <n v="-25.7"/>
    <n v="4002"/>
  </r>
  <r>
    <x v="0"/>
    <x v="4"/>
    <x v="4"/>
    <x v="102"/>
    <x v="79"/>
    <x v="79"/>
    <s v="REVENUS"/>
    <x v="6"/>
    <s v="4221.003"/>
    <s v="Intérêts compensat. / acomptes en faveur du fisc"/>
    <n v="0"/>
    <n v="0.03"/>
    <n v="4221"/>
  </r>
  <r>
    <x v="0"/>
    <x v="4"/>
    <x v="4"/>
    <x v="102"/>
    <x v="79"/>
    <x v="79"/>
    <s v="REVENUS"/>
    <x v="7"/>
    <s v="4184.000"/>
    <s v="Frais de poursuite"/>
    <n v="0"/>
    <n v="108.94"/>
    <n v="4184"/>
  </r>
  <r>
    <x v="0"/>
    <x v="4"/>
    <x v="4"/>
    <x v="102"/>
    <x v="79"/>
    <x v="79"/>
    <s v="REVENUS"/>
    <x v="4"/>
    <s v="4051.002"/>
    <s v="Impôt sur les donations"/>
    <n v="0"/>
    <n v="800.3"/>
    <n v="4051"/>
  </r>
  <r>
    <x v="0"/>
    <x v="4"/>
    <x v="4"/>
    <x v="102"/>
    <x v="79"/>
    <x v="79"/>
    <s v="REVENUS"/>
    <x v="5"/>
    <s v="4061.000"/>
    <s v="Impôt sur les chiens"/>
    <n v="0"/>
    <n v="7700"/>
    <n v="4061"/>
  </r>
  <r>
    <x v="0"/>
    <x v="4"/>
    <x v="4"/>
    <x v="102"/>
    <x v="79"/>
    <x v="79"/>
    <s v="REVENUS"/>
    <x v="9"/>
    <s v="4031.001"/>
    <s v="Impôt sur les gains immobiliers"/>
    <n v="0"/>
    <n v="46579.8"/>
    <n v="4031"/>
  </r>
  <r>
    <x v="0"/>
    <x v="4"/>
    <x v="4"/>
    <x v="102"/>
    <x v="79"/>
    <x v="79"/>
    <s v="REVENUS"/>
    <x v="2"/>
    <s v="4001.002"/>
    <s v="Impôt complément s/revenu PP"/>
    <n v="0"/>
    <n v="283.25"/>
    <n v="4001"/>
  </r>
  <r>
    <x v="0"/>
    <x v="4"/>
    <x v="4"/>
    <x v="102"/>
    <x v="79"/>
    <x v="79"/>
    <s v="REVENUS"/>
    <x v="2"/>
    <s v="4001.001"/>
    <s v="Impôt revenu"/>
    <n v="0"/>
    <n v="566.1"/>
    <n v="4001"/>
  </r>
  <r>
    <x v="0"/>
    <x v="4"/>
    <x v="4"/>
    <x v="102"/>
    <x v="79"/>
    <x v="79"/>
    <s v="REVENUS"/>
    <x v="3"/>
    <s v="4002.001"/>
    <s v="Impôt ordinaire s/fortune PP"/>
    <n v="0"/>
    <n v="90.45"/>
    <n v="4002"/>
  </r>
  <r>
    <x v="0"/>
    <x v="4"/>
    <x v="4"/>
    <x v="102"/>
    <x v="79"/>
    <x v="79"/>
    <s v="REVENUS"/>
    <x v="6"/>
    <s v="4211.002"/>
    <s v="Intérêts de retard sur acomptes"/>
    <n v="0"/>
    <n v="0.55000000000000004"/>
    <n v="4211"/>
  </r>
  <r>
    <x v="0"/>
    <x v="4"/>
    <x v="4"/>
    <x v="102"/>
    <x v="79"/>
    <x v="79"/>
    <s v="REVENUS"/>
    <x v="6"/>
    <s v="4221.003"/>
    <s v="Intérêts compensat. / acomptes en faveur du fisc"/>
    <n v="0"/>
    <n v="0.03"/>
    <n v="4221"/>
  </r>
  <r>
    <x v="0"/>
    <x v="4"/>
    <x v="4"/>
    <x v="102"/>
    <x v="79"/>
    <x v="79"/>
    <s v="REVENUS"/>
    <x v="6"/>
    <s v="4211.001"/>
    <s v="Intérêts de retard sur factures"/>
    <n v="0"/>
    <n v="10.41"/>
    <n v="4211"/>
  </r>
  <r>
    <x v="0"/>
    <x v="4"/>
    <x v="4"/>
    <x v="102"/>
    <x v="79"/>
    <x v="79"/>
    <s v="REVENUS"/>
    <x v="6"/>
    <s v="4221.003"/>
    <s v="Intérêts compensat. / acomptes en faveur du fisc"/>
    <n v="0"/>
    <n v="1.1499999999999999"/>
    <n v="4221"/>
  </r>
  <r>
    <x v="0"/>
    <x v="4"/>
    <x v="4"/>
    <x v="102"/>
    <x v="79"/>
    <x v="79"/>
    <s v="REVENUS"/>
    <x v="2"/>
    <s v="4001.001"/>
    <s v="Impôt revenu"/>
    <n v="0"/>
    <n v="779.45"/>
    <n v="4001"/>
  </r>
  <r>
    <x v="0"/>
    <x v="4"/>
    <x v="4"/>
    <x v="102"/>
    <x v="79"/>
    <x v="79"/>
    <s v="REVENUS"/>
    <x v="3"/>
    <s v="4002.001"/>
    <s v="Impôt ordinaire s/fortune PP"/>
    <n v="0"/>
    <n v="1014.45"/>
    <n v="4002"/>
  </r>
  <r>
    <x v="0"/>
    <x v="4"/>
    <x v="4"/>
    <x v="102"/>
    <x v="79"/>
    <x v="79"/>
    <s v="REVENUS"/>
    <x v="11"/>
    <s v="4198.000"/>
    <s v="Contributions communales"/>
    <n v="0"/>
    <n v="197849.55"/>
    <n v="4198"/>
  </r>
  <r>
    <x v="0"/>
    <x v="4"/>
    <x v="4"/>
    <x v="102"/>
    <x v="79"/>
    <x v="79"/>
    <s v="REVENUS"/>
    <x v="6"/>
    <s v="4211.001"/>
    <s v="Intérêts de retard sur factures"/>
    <n v="0"/>
    <n v="0.02"/>
    <n v="4211"/>
  </r>
  <r>
    <x v="0"/>
    <x v="4"/>
    <x v="4"/>
    <x v="102"/>
    <x v="79"/>
    <x v="79"/>
    <s v="REVENUS"/>
    <x v="6"/>
    <s v="4211.002"/>
    <s v="Intérêts de retard sur acomptes"/>
    <n v="0"/>
    <n v="7.0000000000000007E-2"/>
    <n v="4211"/>
  </r>
  <r>
    <x v="0"/>
    <x v="6"/>
    <x v="5"/>
    <x v="103"/>
    <x v="90"/>
    <x v="90"/>
    <s v="CHARGES"/>
    <x v="0"/>
    <s v="3212.004"/>
    <s v="Intérêts rémun./perçu trop tôt sur acomptes C/C"/>
    <n v="246.09"/>
    <n v="0"/>
    <n v="3212"/>
  </r>
  <r>
    <x v="0"/>
    <x v="6"/>
    <x v="5"/>
    <x v="103"/>
    <x v="90"/>
    <x v="90"/>
    <s v="CHARGES"/>
    <x v="0"/>
    <s v="3221.002"/>
    <s v="Intérêts compensatoires / créances en faveur ctb."/>
    <n v="86.9"/>
    <n v="0"/>
    <n v="3221"/>
  </r>
  <r>
    <x v="0"/>
    <x v="6"/>
    <x v="5"/>
    <x v="103"/>
    <x v="90"/>
    <x v="90"/>
    <s v="CHARGES"/>
    <x v="1"/>
    <s v="3301.001"/>
    <s v="Défalcations, abandons de solde PP et IS"/>
    <n v="5206.92"/>
    <n v="0"/>
    <n v="3301"/>
  </r>
  <r>
    <x v="0"/>
    <x v="6"/>
    <x v="5"/>
    <x v="103"/>
    <x v="90"/>
    <x v="90"/>
    <s v="CHARGES"/>
    <x v="1"/>
    <s v="3301.001"/>
    <s v="Défalcations, abandons de solde PP et IS"/>
    <n v="0.65"/>
    <n v="0"/>
    <n v="3301"/>
  </r>
  <r>
    <x v="0"/>
    <x v="6"/>
    <x v="5"/>
    <x v="103"/>
    <x v="90"/>
    <x v="90"/>
    <s v="CHARGES"/>
    <x v="1"/>
    <s v="3301.001"/>
    <s v="Défalcations, abandons de solde PP et IS"/>
    <n v="0.02"/>
    <n v="0"/>
    <n v="3301"/>
  </r>
  <r>
    <x v="0"/>
    <x v="6"/>
    <x v="5"/>
    <x v="103"/>
    <x v="90"/>
    <x v="90"/>
    <s v="CHARGES"/>
    <x v="0"/>
    <s v="3212.004"/>
    <s v="Intérêts rémun./perçu trop tôt sur acomptes C/C"/>
    <n v="0.01"/>
    <n v="0"/>
    <n v="3212"/>
  </r>
  <r>
    <x v="0"/>
    <x v="6"/>
    <x v="5"/>
    <x v="103"/>
    <x v="90"/>
    <x v="90"/>
    <s v="CHARGES"/>
    <x v="0"/>
    <s v="3212.004"/>
    <s v="Intérêts rémun./perçu trop tôt sur acomptes C/C"/>
    <n v="0.06"/>
    <n v="0"/>
    <n v="3212"/>
  </r>
  <r>
    <x v="0"/>
    <x v="6"/>
    <x v="5"/>
    <x v="103"/>
    <x v="90"/>
    <x v="90"/>
    <s v="CHARGES"/>
    <x v="0"/>
    <s v="3221.002"/>
    <s v="Intérêts compensatoires / créances en faveur ctb."/>
    <n v="0.12"/>
    <n v="0"/>
    <n v="3221"/>
  </r>
  <r>
    <x v="0"/>
    <x v="6"/>
    <x v="5"/>
    <x v="103"/>
    <x v="90"/>
    <x v="90"/>
    <s v="CHARGES"/>
    <x v="0"/>
    <s v="3212.002"/>
    <s v="Intérêts bonifiés/trop perçu acompte C/C"/>
    <n v="13.96"/>
    <n v="0"/>
    <n v="3212"/>
  </r>
  <r>
    <x v="0"/>
    <x v="6"/>
    <x v="5"/>
    <x v="103"/>
    <x v="90"/>
    <x v="90"/>
    <s v="CHARGES"/>
    <x v="0"/>
    <s v="3212.004"/>
    <s v="Intérêts rémun./perçu trop tôt sur acomptes C/C"/>
    <n v="0.04"/>
    <n v="0"/>
    <n v="3212"/>
  </r>
  <r>
    <x v="0"/>
    <x v="6"/>
    <x v="5"/>
    <x v="103"/>
    <x v="90"/>
    <x v="90"/>
    <s v="CHARGES"/>
    <x v="1"/>
    <s v="3301.001"/>
    <s v="Défalcations, abandons de solde PP et IS"/>
    <n v="0.23"/>
    <n v="0"/>
    <n v="3301"/>
  </r>
  <r>
    <x v="0"/>
    <x v="6"/>
    <x v="5"/>
    <x v="103"/>
    <x v="90"/>
    <x v="90"/>
    <s v="CHARGES"/>
    <x v="0"/>
    <s v="3212.004"/>
    <s v="Intérêts rémun./perçu trop tôt sur acomptes C/C"/>
    <n v="7.0000000000000007E-2"/>
    <n v="0"/>
    <n v="3212"/>
  </r>
  <r>
    <x v="0"/>
    <x v="6"/>
    <x v="5"/>
    <x v="103"/>
    <x v="90"/>
    <x v="90"/>
    <s v="CHARGES"/>
    <x v="0"/>
    <s v="3212.002"/>
    <s v="Intérêts bonifiés/trop perçu acompte C/C"/>
    <n v="7.0000000000000007E-2"/>
    <n v="0"/>
    <n v="3212"/>
  </r>
  <r>
    <x v="0"/>
    <x v="6"/>
    <x v="5"/>
    <x v="103"/>
    <x v="90"/>
    <x v="90"/>
    <s v="REVENUS"/>
    <x v="2"/>
    <s v="4001.001"/>
    <s v="Impôt revenu"/>
    <n v="0"/>
    <n v="877268.95"/>
    <n v="4001"/>
  </r>
  <r>
    <x v="0"/>
    <x v="6"/>
    <x v="5"/>
    <x v="103"/>
    <x v="90"/>
    <x v="90"/>
    <s v="REVENUS"/>
    <x v="2"/>
    <s v="4001.007"/>
    <s v="Acompte impôt sur revenu"/>
    <n v="0"/>
    <n v="-173205.51"/>
    <n v="4001"/>
  </r>
  <r>
    <x v="0"/>
    <x v="6"/>
    <x v="5"/>
    <x v="103"/>
    <x v="90"/>
    <x v="90"/>
    <s v="REVENUS"/>
    <x v="3"/>
    <s v="4002.001"/>
    <s v="Impôt ordinaire s/fortune PP"/>
    <n v="0"/>
    <n v="159034.29999999999"/>
    <n v="4002"/>
  </r>
  <r>
    <x v="0"/>
    <x v="6"/>
    <x v="5"/>
    <x v="103"/>
    <x v="90"/>
    <x v="90"/>
    <s v="REVENUS"/>
    <x v="3"/>
    <s v="4002.007"/>
    <s v="Acompte impôt sur fortune"/>
    <n v="0"/>
    <n v="-47436.39"/>
    <n v="4002"/>
  </r>
  <r>
    <x v="0"/>
    <x v="6"/>
    <x v="5"/>
    <x v="103"/>
    <x v="90"/>
    <x v="90"/>
    <s v="REVENUS"/>
    <x v="6"/>
    <s v="4211.001"/>
    <s v="Intérêts de retard sur factures"/>
    <n v="0"/>
    <n v="2752.41"/>
    <n v="4211"/>
  </r>
  <r>
    <x v="0"/>
    <x v="6"/>
    <x v="5"/>
    <x v="103"/>
    <x v="90"/>
    <x v="90"/>
    <s v="REVENUS"/>
    <x v="2"/>
    <s v="4001.003"/>
    <s v="Impôt s/prest. cap. PP"/>
    <n v="0"/>
    <n v="15721.4"/>
    <n v="4001"/>
  </r>
  <r>
    <x v="0"/>
    <x v="6"/>
    <x v="5"/>
    <x v="103"/>
    <x v="90"/>
    <x v="90"/>
    <s v="REVENUS"/>
    <x v="6"/>
    <s v="4211.002"/>
    <s v="Intérêts de retard sur acomptes"/>
    <n v="0"/>
    <n v="4358.6000000000004"/>
    <n v="4211"/>
  </r>
  <r>
    <x v="0"/>
    <x v="6"/>
    <x v="5"/>
    <x v="103"/>
    <x v="90"/>
    <x v="90"/>
    <s v="REVENUS"/>
    <x v="7"/>
    <s v="4184.000"/>
    <s v="Frais de poursuite"/>
    <n v="0"/>
    <n v="322.06"/>
    <n v="4184"/>
  </r>
  <r>
    <x v="0"/>
    <x v="6"/>
    <x v="5"/>
    <x v="103"/>
    <x v="90"/>
    <x v="90"/>
    <s v="REVENUS"/>
    <x v="2"/>
    <s v="4001.002"/>
    <s v="Impôt complément s/revenu PP"/>
    <n v="0"/>
    <n v="98229.8"/>
    <n v="4001"/>
  </r>
  <r>
    <x v="0"/>
    <x v="6"/>
    <x v="5"/>
    <x v="103"/>
    <x v="90"/>
    <x v="90"/>
    <s v="REVENUS"/>
    <x v="3"/>
    <s v="4002.002"/>
    <s v="Impôt complémentaire s/fortune PP"/>
    <n v="0"/>
    <n v="25752.45"/>
    <n v="4002"/>
  </r>
  <r>
    <x v="0"/>
    <x v="6"/>
    <x v="5"/>
    <x v="103"/>
    <x v="90"/>
    <x v="90"/>
    <s v="REVENUS"/>
    <x v="2"/>
    <s v="4001.007"/>
    <s v="Acompte impôt sur revenu"/>
    <n v="0"/>
    <n v="1013.35"/>
    <n v="4001"/>
  </r>
  <r>
    <x v="0"/>
    <x v="6"/>
    <x v="5"/>
    <x v="103"/>
    <x v="90"/>
    <x v="90"/>
    <s v="REVENUS"/>
    <x v="3"/>
    <s v="4002.007"/>
    <s v="Acompte impôt sur fortune"/>
    <n v="0"/>
    <n v="-84.38"/>
    <n v="4002"/>
  </r>
  <r>
    <x v="0"/>
    <x v="6"/>
    <x v="5"/>
    <x v="103"/>
    <x v="90"/>
    <x v="90"/>
    <s v="REVENUS"/>
    <x v="6"/>
    <s v="4211.001"/>
    <s v="Intérêts de retard sur factures"/>
    <n v="0"/>
    <n v="0.61"/>
    <n v="4211"/>
  </r>
  <r>
    <x v="0"/>
    <x v="6"/>
    <x v="5"/>
    <x v="103"/>
    <x v="90"/>
    <x v="90"/>
    <s v="REVENUS"/>
    <x v="3"/>
    <s v="4002.007"/>
    <s v="Acompte impôt sur fortune"/>
    <n v="0"/>
    <n v="-4.5999999999999996"/>
    <n v="4002"/>
  </r>
  <r>
    <x v="0"/>
    <x v="6"/>
    <x v="5"/>
    <x v="103"/>
    <x v="90"/>
    <x v="90"/>
    <s v="REVENUS"/>
    <x v="2"/>
    <s v="4001.007"/>
    <s v="Acompte impôt sur revenu"/>
    <n v="0"/>
    <n v="83.1"/>
    <n v="4001"/>
  </r>
  <r>
    <x v="0"/>
    <x v="6"/>
    <x v="5"/>
    <x v="103"/>
    <x v="90"/>
    <x v="90"/>
    <s v="REVENUS"/>
    <x v="3"/>
    <s v="4002.007"/>
    <s v="Acompte impôt sur fortune"/>
    <n v="0"/>
    <n v="0"/>
    <n v="4002"/>
  </r>
  <r>
    <x v="0"/>
    <x v="6"/>
    <x v="5"/>
    <x v="103"/>
    <x v="90"/>
    <x v="90"/>
    <s v="REVENUS"/>
    <x v="3"/>
    <s v="4002.007"/>
    <s v="Acompte impôt sur fortune"/>
    <n v="0"/>
    <n v="-5.95"/>
    <n v="4002"/>
  </r>
  <r>
    <x v="0"/>
    <x v="6"/>
    <x v="5"/>
    <x v="103"/>
    <x v="90"/>
    <x v="90"/>
    <s v="REVENUS"/>
    <x v="2"/>
    <s v="4001.007"/>
    <s v="Acompte impôt sur revenu"/>
    <n v="0"/>
    <n v="-13.8"/>
    <n v="4001"/>
  </r>
  <r>
    <x v="0"/>
    <x v="6"/>
    <x v="5"/>
    <x v="103"/>
    <x v="90"/>
    <x v="90"/>
    <s v="REVENUS"/>
    <x v="2"/>
    <s v="4001.001"/>
    <s v="Impôt revenu"/>
    <n v="0"/>
    <n v="76.5"/>
    <n v="4001"/>
  </r>
  <r>
    <x v="0"/>
    <x v="6"/>
    <x v="5"/>
    <x v="103"/>
    <x v="90"/>
    <x v="90"/>
    <s v="REVENUS"/>
    <x v="3"/>
    <s v="4002.001"/>
    <s v="Impôt ordinaire s/fortune PP"/>
    <n v="0"/>
    <n v="119.4"/>
    <n v="4002"/>
  </r>
  <r>
    <x v="0"/>
    <x v="6"/>
    <x v="5"/>
    <x v="103"/>
    <x v="90"/>
    <x v="90"/>
    <s v="REVENUS"/>
    <x v="6"/>
    <s v="4221.003"/>
    <s v="Intérêts compensat. / acomptes en faveur du fisc"/>
    <n v="0"/>
    <n v="0.02"/>
    <n v="4221"/>
  </r>
  <r>
    <x v="0"/>
    <x v="6"/>
    <x v="5"/>
    <x v="103"/>
    <x v="90"/>
    <x v="90"/>
    <s v="REVENUS"/>
    <x v="2"/>
    <s v="4001.007"/>
    <s v="Acompte impôt sur revenu"/>
    <n v="0"/>
    <n v="-660"/>
    <n v="4001"/>
  </r>
  <r>
    <x v="0"/>
    <x v="6"/>
    <x v="5"/>
    <x v="103"/>
    <x v="90"/>
    <x v="90"/>
    <s v="REVENUS"/>
    <x v="6"/>
    <s v="4221.003"/>
    <s v="Intérêts compensat. / acomptes en faveur du fisc"/>
    <n v="0"/>
    <n v="119.58"/>
    <n v="4221"/>
  </r>
  <r>
    <x v="0"/>
    <x v="6"/>
    <x v="5"/>
    <x v="103"/>
    <x v="90"/>
    <x v="90"/>
    <s v="REVENUS"/>
    <x v="2"/>
    <s v="4001.001"/>
    <s v="Impôt revenu"/>
    <n v="0"/>
    <n v="-37107.1"/>
    <n v="4001"/>
  </r>
  <r>
    <x v="0"/>
    <x v="6"/>
    <x v="5"/>
    <x v="103"/>
    <x v="90"/>
    <x v="90"/>
    <s v="REVENUS"/>
    <x v="3"/>
    <s v="4002.001"/>
    <s v="Impôt ordinaire s/fortune PP"/>
    <n v="0"/>
    <n v="-4590.8500000000004"/>
    <n v="4002"/>
  </r>
  <r>
    <x v="0"/>
    <x v="6"/>
    <x v="5"/>
    <x v="103"/>
    <x v="90"/>
    <x v="90"/>
    <s v="REVENUS"/>
    <x v="2"/>
    <s v="4001.007"/>
    <s v="Acompte impôt sur revenu"/>
    <n v="0"/>
    <n v="-44.5"/>
    <n v="4001"/>
  </r>
  <r>
    <x v="0"/>
    <x v="6"/>
    <x v="5"/>
    <x v="103"/>
    <x v="90"/>
    <x v="90"/>
    <s v="REVENUS"/>
    <x v="3"/>
    <s v="4002.007"/>
    <s v="Acompte impôt sur fortune"/>
    <n v="0"/>
    <n v="-11.7"/>
    <n v="4002"/>
  </r>
  <r>
    <x v="0"/>
    <x v="6"/>
    <x v="5"/>
    <x v="103"/>
    <x v="90"/>
    <x v="90"/>
    <s v="REVENUS"/>
    <x v="6"/>
    <s v="4221.002"/>
    <s v="Intérêts compensat. sur impôts distincts"/>
    <n v="0"/>
    <n v="12.19"/>
    <n v="4221"/>
  </r>
  <r>
    <x v="0"/>
    <x v="6"/>
    <x v="5"/>
    <x v="103"/>
    <x v="90"/>
    <x v="90"/>
    <s v="REVENUS"/>
    <x v="10"/>
    <s v="4041.001"/>
    <s v="Droits de mutation"/>
    <n v="0"/>
    <n v="15785"/>
    <n v="4041"/>
  </r>
  <r>
    <x v="0"/>
    <x v="6"/>
    <x v="5"/>
    <x v="103"/>
    <x v="90"/>
    <x v="90"/>
    <s v="REVENUS"/>
    <x v="2"/>
    <s v="4001.001"/>
    <s v="Impôt revenu"/>
    <n v="0"/>
    <n v="1412.25"/>
    <n v="4001"/>
  </r>
  <r>
    <x v="0"/>
    <x v="6"/>
    <x v="5"/>
    <x v="103"/>
    <x v="90"/>
    <x v="90"/>
    <s v="REVENUS"/>
    <x v="3"/>
    <s v="4002.001"/>
    <s v="Impôt ordinaire s/fortune PP"/>
    <n v="0"/>
    <n v="721.95"/>
    <n v="4002"/>
  </r>
  <r>
    <x v="0"/>
    <x v="6"/>
    <x v="5"/>
    <x v="103"/>
    <x v="90"/>
    <x v="90"/>
    <s v="REVENUS"/>
    <x v="2"/>
    <s v="4001.001"/>
    <s v="Impôt revenu"/>
    <n v="0"/>
    <n v="57.05"/>
    <n v="4001"/>
  </r>
  <r>
    <x v="0"/>
    <x v="6"/>
    <x v="5"/>
    <x v="103"/>
    <x v="90"/>
    <x v="90"/>
    <s v="REVENUS"/>
    <x v="3"/>
    <s v="4002.001"/>
    <s v="Impôt ordinaire s/fortune PP"/>
    <n v="0"/>
    <n v="152.65"/>
    <n v="4002"/>
  </r>
  <r>
    <x v="0"/>
    <x v="6"/>
    <x v="5"/>
    <x v="103"/>
    <x v="90"/>
    <x v="90"/>
    <s v="REVENUS"/>
    <x v="6"/>
    <s v="4211.002"/>
    <s v="Intérêts de retard sur acomptes"/>
    <n v="0"/>
    <n v="0"/>
    <n v="4211"/>
  </r>
  <r>
    <x v="0"/>
    <x v="6"/>
    <x v="5"/>
    <x v="103"/>
    <x v="90"/>
    <x v="90"/>
    <s v="REVENUS"/>
    <x v="4"/>
    <s v="4051.001"/>
    <s v="Impôt sur les successions"/>
    <n v="0"/>
    <n v="120.5"/>
    <n v="4051"/>
  </r>
  <r>
    <x v="0"/>
    <x v="6"/>
    <x v="5"/>
    <x v="103"/>
    <x v="90"/>
    <x v="90"/>
    <s v="REVENUS"/>
    <x v="6"/>
    <s v="4221.003"/>
    <s v="Intérêts compensat. / acomptes en faveur du fisc"/>
    <n v="0"/>
    <n v="0.09"/>
    <n v="4221"/>
  </r>
  <r>
    <x v="0"/>
    <x v="6"/>
    <x v="5"/>
    <x v="103"/>
    <x v="90"/>
    <x v="90"/>
    <s v="REVENUS"/>
    <x v="6"/>
    <s v="4211.002"/>
    <s v="Intérêts de retard sur acomptes"/>
    <n v="0"/>
    <n v="0.02"/>
    <n v="4211"/>
  </r>
  <r>
    <x v="0"/>
    <x v="6"/>
    <x v="5"/>
    <x v="103"/>
    <x v="90"/>
    <x v="90"/>
    <s v="REVENUS"/>
    <x v="6"/>
    <s v="4211.001"/>
    <s v="Intérêts de retard sur factures"/>
    <n v="0"/>
    <n v="0.82"/>
    <n v="4211"/>
  </r>
  <r>
    <x v="0"/>
    <x v="6"/>
    <x v="5"/>
    <x v="103"/>
    <x v="90"/>
    <x v="90"/>
    <s v="REVENUS"/>
    <x v="2"/>
    <s v="4001.001"/>
    <s v="Impôt revenu"/>
    <n v="0"/>
    <n v="59.25"/>
    <n v="4001"/>
  </r>
  <r>
    <x v="0"/>
    <x v="6"/>
    <x v="5"/>
    <x v="103"/>
    <x v="90"/>
    <x v="90"/>
    <s v="REVENUS"/>
    <x v="3"/>
    <s v="4002.001"/>
    <s v="Impôt ordinaire s/fortune PP"/>
    <n v="0"/>
    <n v="36.049999999999997"/>
    <n v="4002"/>
  </r>
  <r>
    <x v="0"/>
    <x v="6"/>
    <x v="5"/>
    <x v="103"/>
    <x v="90"/>
    <x v="90"/>
    <s v="REVENUS"/>
    <x v="2"/>
    <s v="4001.002"/>
    <s v="Impôt complément s/revenu PP"/>
    <n v="0"/>
    <n v="14.05"/>
    <n v="4001"/>
  </r>
  <r>
    <x v="0"/>
    <x v="6"/>
    <x v="5"/>
    <x v="103"/>
    <x v="90"/>
    <x v="90"/>
    <s v="REVENUS"/>
    <x v="3"/>
    <s v="4002.002"/>
    <s v="Impôt complémentaire s/fortune PP"/>
    <n v="0"/>
    <n v="14.85"/>
    <n v="4002"/>
  </r>
  <r>
    <x v="0"/>
    <x v="6"/>
    <x v="5"/>
    <x v="103"/>
    <x v="90"/>
    <x v="90"/>
    <s v="REVENUS"/>
    <x v="2"/>
    <s v="4001.001"/>
    <s v="Impôt revenu"/>
    <n v="0"/>
    <n v="454.1"/>
    <n v="4001"/>
  </r>
  <r>
    <x v="0"/>
    <x v="6"/>
    <x v="5"/>
    <x v="103"/>
    <x v="90"/>
    <x v="90"/>
    <s v="REVENUS"/>
    <x v="6"/>
    <s v="4221.003"/>
    <s v="Intérêts compensat. / acomptes en faveur du fisc"/>
    <n v="0"/>
    <n v="0.02"/>
    <n v="4221"/>
  </r>
  <r>
    <x v="0"/>
    <x v="6"/>
    <x v="5"/>
    <x v="103"/>
    <x v="90"/>
    <x v="90"/>
    <s v="REVENUS"/>
    <x v="3"/>
    <s v="4002.001"/>
    <s v="Impôt ordinaire s/fortune PP"/>
    <n v="0"/>
    <n v="292.95"/>
    <n v="4002"/>
  </r>
  <r>
    <x v="0"/>
    <x v="6"/>
    <x v="5"/>
    <x v="103"/>
    <x v="90"/>
    <x v="90"/>
    <s v="REVENUS"/>
    <x v="9"/>
    <s v="4031.001"/>
    <s v="Impôt sur les gains immobiliers"/>
    <n v="0"/>
    <n v="15577.45"/>
    <n v="4031"/>
  </r>
  <r>
    <x v="0"/>
    <x v="6"/>
    <x v="5"/>
    <x v="104"/>
    <x v="91"/>
    <x v="91"/>
    <s v="CHARGES"/>
    <x v="0"/>
    <s v="3212.004"/>
    <s v="Intérêts rémun./perçu trop tôt sur acomptes C/C"/>
    <n v="313.93"/>
    <n v="0"/>
    <n v="3212"/>
  </r>
  <r>
    <x v="0"/>
    <x v="6"/>
    <x v="5"/>
    <x v="104"/>
    <x v="91"/>
    <x v="91"/>
    <s v="CHARGES"/>
    <x v="0"/>
    <s v="3221.002"/>
    <s v="Intérêts compensatoires / créances en faveur ctb."/>
    <n v="126.86"/>
    <n v="0"/>
    <n v="3221"/>
  </r>
  <r>
    <x v="0"/>
    <x v="6"/>
    <x v="5"/>
    <x v="104"/>
    <x v="91"/>
    <x v="91"/>
    <s v="CHARGES"/>
    <x v="1"/>
    <s v="3301.001"/>
    <s v="Défalcations, abandons de solde PP et IS"/>
    <n v="6150.34"/>
    <n v="0"/>
    <n v="3301"/>
  </r>
  <r>
    <x v="0"/>
    <x v="6"/>
    <x v="5"/>
    <x v="104"/>
    <x v="91"/>
    <x v="91"/>
    <s v="CHARGES"/>
    <x v="0"/>
    <s v="3212.002"/>
    <s v="Intérêts bonifiés/trop perçu acompte C/C"/>
    <n v="0.95"/>
    <n v="0"/>
    <n v="3212"/>
  </r>
  <r>
    <x v="0"/>
    <x v="6"/>
    <x v="5"/>
    <x v="104"/>
    <x v="91"/>
    <x v="91"/>
    <s v="CHARGES"/>
    <x v="0"/>
    <s v="3212.004"/>
    <s v="Intérêts rémun./perçu trop tôt sur acomptes C/C"/>
    <n v="0.47"/>
    <n v="0"/>
    <n v="3212"/>
  </r>
  <r>
    <x v="0"/>
    <x v="6"/>
    <x v="5"/>
    <x v="104"/>
    <x v="91"/>
    <x v="91"/>
    <s v="CHARGES"/>
    <x v="0"/>
    <s v="3221.002"/>
    <s v="Intérêts compensatoires / créances en faveur ctb."/>
    <n v="0.57999999999999996"/>
    <n v="0"/>
    <n v="3221"/>
  </r>
  <r>
    <x v="0"/>
    <x v="6"/>
    <x v="5"/>
    <x v="104"/>
    <x v="91"/>
    <x v="91"/>
    <s v="CHARGES"/>
    <x v="0"/>
    <s v="3221.002"/>
    <s v="Intérêts compensatoires / créances en faveur ctb."/>
    <n v="1.1200000000000001"/>
    <n v="0"/>
    <n v="3221"/>
  </r>
  <r>
    <x v="0"/>
    <x v="6"/>
    <x v="5"/>
    <x v="104"/>
    <x v="91"/>
    <x v="91"/>
    <s v="CHARGES"/>
    <x v="1"/>
    <s v="3301.001"/>
    <s v="Défalcations, abandons de solde PP et IS"/>
    <n v="0.45"/>
    <n v="0"/>
    <n v="3301"/>
  </r>
  <r>
    <x v="0"/>
    <x v="6"/>
    <x v="5"/>
    <x v="104"/>
    <x v="91"/>
    <x v="91"/>
    <s v="CHARGES"/>
    <x v="1"/>
    <s v="3301.003"/>
    <s v="Remises PP et IS"/>
    <n v="509.49"/>
    <n v="0"/>
    <n v="3301"/>
  </r>
  <r>
    <x v="0"/>
    <x v="6"/>
    <x v="5"/>
    <x v="104"/>
    <x v="91"/>
    <x v="91"/>
    <s v="CHARGES"/>
    <x v="1"/>
    <s v="3301.001"/>
    <s v="Défalcations, abandons de solde PP et IS"/>
    <n v="0.55000000000000004"/>
    <n v="0"/>
    <n v="3301"/>
  </r>
  <r>
    <x v="0"/>
    <x v="6"/>
    <x v="5"/>
    <x v="104"/>
    <x v="91"/>
    <x v="91"/>
    <s v="CHARGES"/>
    <x v="0"/>
    <s v="3212.004"/>
    <s v="Intérêts rémun./perçu trop tôt sur acomptes C/C"/>
    <n v="0.37"/>
    <n v="0"/>
    <n v="3212"/>
  </r>
  <r>
    <x v="0"/>
    <x v="6"/>
    <x v="5"/>
    <x v="104"/>
    <x v="91"/>
    <x v="91"/>
    <s v="CHARGES"/>
    <x v="0"/>
    <s v="3221.002"/>
    <s v="Intérêts compensatoires / créances en faveur ctb."/>
    <n v="0.49"/>
    <n v="0"/>
    <n v="3221"/>
  </r>
  <r>
    <x v="0"/>
    <x v="6"/>
    <x v="5"/>
    <x v="104"/>
    <x v="91"/>
    <x v="91"/>
    <s v="CHARGES"/>
    <x v="0"/>
    <s v="3212.004"/>
    <s v="Intérêts rémun./perçu trop tôt sur acomptes C/C"/>
    <n v="5.28"/>
    <n v="0"/>
    <n v="3212"/>
  </r>
  <r>
    <x v="0"/>
    <x v="6"/>
    <x v="5"/>
    <x v="104"/>
    <x v="91"/>
    <x v="91"/>
    <s v="CHARGES"/>
    <x v="0"/>
    <s v="3212.004"/>
    <s v="Intérêts rémun./perçu trop tôt sur acomptes C/C"/>
    <n v="0.44"/>
    <n v="0"/>
    <n v="3212"/>
  </r>
  <r>
    <x v="0"/>
    <x v="6"/>
    <x v="5"/>
    <x v="104"/>
    <x v="91"/>
    <x v="91"/>
    <s v="CHARGES"/>
    <x v="1"/>
    <s v="3301.001"/>
    <s v="Défalcations, abandons de solde PP et IS"/>
    <n v="0.13"/>
    <n v="0"/>
    <n v="3301"/>
  </r>
  <r>
    <x v="0"/>
    <x v="6"/>
    <x v="5"/>
    <x v="104"/>
    <x v="91"/>
    <x v="91"/>
    <s v="CHARGES"/>
    <x v="0"/>
    <s v="3221.002"/>
    <s v="Intérêts compensatoires / créances en faveur ctb."/>
    <n v="0.06"/>
    <n v="0"/>
    <n v="3221"/>
  </r>
  <r>
    <x v="0"/>
    <x v="6"/>
    <x v="5"/>
    <x v="104"/>
    <x v="91"/>
    <x v="91"/>
    <s v="CHARGES"/>
    <x v="0"/>
    <s v="3212.004"/>
    <s v="Intérêts rémun./perçu trop tôt sur acomptes C/C"/>
    <n v="0.21"/>
    <n v="0"/>
    <n v="3212"/>
  </r>
  <r>
    <x v="0"/>
    <x v="6"/>
    <x v="5"/>
    <x v="104"/>
    <x v="91"/>
    <x v="91"/>
    <s v="CHARGES"/>
    <x v="1"/>
    <s v="3301.001"/>
    <s v="Défalcations, abandons de solde PP et IS"/>
    <n v="0.49"/>
    <n v="0"/>
    <n v="3301"/>
  </r>
  <r>
    <x v="0"/>
    <x v="6"/>
    <x v="5"/>
    <x v="104"/>
    <x v="91"/>
    <x v="91"/>
    <s v="CHARGES"/>
    <x v="0"/>
    <s v="3221.002"/>
    <s v="Intérêts compensatoires / créances en faveur ctb."/>
    <n v="0.02"/>
    <n v="0"/>
    <n v="3221"/>
  </r>
  <r>
    <x v="0"/>
    <x v="6"/>
    <x v="5"/>
    <x v="104"/>
    <x v="91"/>
    <x v="91"/>
    <s v="CHARGES"/>
    <x v="1"/>
    <s v="3301.001"/>
    <s v="Défalcations, abandons de solde PP et IS"/>
    <n v="0.01"/>
    <n v="0"/>
    <n v="3301"/>
  </r>
  <r>
    <x v="0"/>
    <x v="6"/>
    <x v="5"/>
    <x v="104"/>
    <x v="91"/>
    <x v="91"/>
    <s v="REVENUS"/>
    <x v="3"/>
    <s v="4002.007"/>
    <s v="Acompte impôt sur fortune"/>
    <n v="0"/>
    <n v="804.22"/>
    <n v="4002"/>
  </r>
  <r>
    <x v="0"/>
    <x v="6"/>
    <x v="5"/>
    <x v="104"/>
    <x v="91"/>
    <x v="91"/>
    <s v="REVENUS"/>
    <x v="2"/>
    <s v="4001.001"/>
    <s v="Impôt revenu"/>
    <n v="0"/>
    <n v="1047502.3"/>
    <n v="4001"/>
  </r>
  <r>
    <x v="0"/>
    <x v="6"/>
    <x v="5"/>
    <x v="104"/>
    <x v="91"/>
    <x v="91"/>
    <s v="REVENUS"/>
    <x v="2"/>
    <s v="4001.007"/>
    <s v="Acompte impôt sur revenu"/>
    <n v="0"/>
    <n v="-194984.45"/>
    <n v="4001"/>
  </r>
  <r>
    <x v="0"/>
    <x v="6"/>
    <x v="5"/>
    <x v="104"/>
    <x v="91"/>
    <x v="91"/>
    <s v="REVENUS"/>
    <x v="3"/>
    <s v="4002.001"/>
    <s v="Impôt ordinaire s/fortune PP"/>
    <n v="0"/>
    <n v="209451.75"/>
    <n v="4002"/>
  </r>
  <r>
    <x v="0"/>
    <x v="6"/>
    <x v="5"/>
    <x v="104"/>
    <x v="91"/>
    <x v="91"/>
    <s v="REVENUS"/>
    <x v="9"/>
    <s v="4031.001"/>
    <s v="Impôt sur les gains immobiliers"/>
    <n v="0"/>
    <n v="51954.95"/>
    <n v="4031"/>
  </r>
  <r>
    <x v="0"/>
    <x v="6"/>
    <x v="5"/>
    <x v="104"/>
    <x v="91"/>
    <x v="91"/>
    <s v="REVENUS"/>
    <x v="6"/>
    <s v="4211.001"/>
    <s v="Intérêts de retard sur factures"/>
    <n v="0"/>
    <n v="2169.8200000000002"/>
    <n v="4211"/>
  </r>
  <r>
    <x v="0"/>
    <x v="6"/>
    <x v="5"/>
    <x v="104"/>
    <x v="91"/>
    <x v="91"/>
    <s v="REVENUS"/>
    <x v="6"/>
    <s v="4211.002"/>
    <s v="Intérêts de retard sur acomptes"/>
    <n v="0"/>
    <n v="5457.79"/>
    <n v="4211"/>
  </r>
  <r>
    <x v="0"/>
    <x v="6"/>
    <x v="5"/>
    <x v="104"/>
    <x v="91"/>
    <x v="91"/>
    <s v="REVENUS"/>
    <x v="2"/>
    <s v="4001.002"/>
    <s v="Impôt complément s/revenu PP"/>
    <n v="0"/>
    <n v="86435.85"/>
    <n v="4001"/>
  </r>
  <r>
    <x v="0"/>
    <x v="6"/>
    <x v="5"/>
    <x v="104"/>
    <x v="91"/>
    <x v="91"/>
    <s v="REVENUS"/>
    <x v="3"/>
    <s v="4002.007"/>
    <s v="Acompte impôt sur fortune"/>
    <n v="0"/>
    <n v="-72480.38"/>
    <n v="4002"/>
  </r>
  <r>
    <x v="0"/>
    <x v="6"/>
    <x v="5"/>
    <x v="104"/>
    <x v="91"/>
    <x v="91"/>
    <s v="REVENUS"/>
    <x v="6"/>
    <s v="4221.003"/>
    <s v="Intérêts compensat. / acomptes en faveur du fisc"/>
    <n v="0"/>
    <n v="127.51"/>
    <n v="4221"/>
  </r>
  <r>
    <x v="0"/>
    <x v="6"/>
    <x v="5"/>
    <x v="104"/>
    <x v="91"/>
    <x v="91"/>
    <s v="REVENUS"/>
    <x v="3"/>
    <s v="4002.007"/>
    <s v="Acompte impôt sur fortune"/>
    <n v="0"/>
    <n v="-1638.55"/>
    <n v="4002"/>
  </r>
  <r>
    <x v="0"/>
    <x v="6"/>
    <x v="5"/>
    <x v="104"/>
    <x v="91"/>
    <x v="91"/>
    <s v="REVENUS"/>
    <x v="6"/>
    <s v="4211.001"/>
    <s v="Intérêts de retard sur factures"/>
    <n v="0"/>
    <n v="2.97"/>
    <n v="4211"/>
  </r>
  <r>
    <x v="0"/>
    <x v="6"/>
    <x v="5"/>
    <x v="104"/>
    <x v="91"/>
    <x v="91"/>
    <s v="REVENUS"/>
    <x v="2"/>
    <s v="4001.007"/>
    <s v="Acompte impôt sur revenu"/>
    <n v="0"/>
    <n v="361.85"/>
    <n v="4001"/>
  </r>
  <r>
    <x v="0"/>
    <x v="6"/>
    <x v="5"/>
    <x v="104"/>
    <x v="91"/>
    <x v="91"/>
    <s v="REVENUS"/>
    <x v="3"/>
    <s v="4002.007"/>
    <s v="Acompte impôt sur fortune"/>
    <n v="0"/>
    <n v="436.33"/>
    <n v="4002"/>
  </r>
  <r>
    <x v="0"/>
    <x v="6"/>
    <x v="5"/>
    <x v="104"/>
    <x v="91"/>
    <x v="91"/>
    <s v="REVENUS"/>
    <x v="7"/>
    <s v="4184.000"/>
    <s v="Frais de poursuite"/>
    <n v="0"/>
    <n v="0.56000000000000005"/>
    <n v="4184"/>
  </r>
  <r>
    <x v="0"/>
    <x v="6"/>
    <x v="5"/>
    <x v="104"/>
    <x v="91"/>
    <x v="91"/>
    <s v="REVENUS"/>
    <x v="3"/>
    <s v="4002.002"/>
    <s v="Impôt complémentaire s/fortune PP"/>
    <n v="0"/>
    <n v="33400.25"/>
    <n v="4002"/>
  </r>
  <r>
    <x v="0"/>
    <x v="6"/>
    <x v="5"/>
    <x v="104"/>
    <x v="91"/>
    <x v="91"/>
    <s v="REVENUS"/>
    <x v="2"/>
    <s v="4001.007"/>
    <s v="Acompte impôt sur revenu"/>
    <n v="0"/>
    <n v="1763.62"/>
    <n v="4001"/>
  </r>
  <r>
    <x v="0"/>
    <x v="6"/>
    <x v="5"/>
    <x v="104"/>
    <x v="91"/>
    <x v="91"/>
    <s v="REVENUS"/>
    <x v="7"/>
    <s v="4184.000"/>
    <s v="Frais de poursuite"/>
    <n v="0"/>
    <n v="1192.75"/>
    <n v="4184"/>
  </r>
  <r>
    <x v="0"/>
    <x v="6"/>
    <x v="5"/>
    <x v="104"/>
    <x v="91"/>
    <x v="91"/>
    <s v="REVENUS"/>
    <x v="2"/>
    <s v="4001.001"/>
    <s v="Impôt revenu"/>
    <n v="0"/>
    <n v="745.15"/>
    <n v="4001"/>
  </r>
  <r>
    <x v="0"/>
    <x v="6"/>
    <x v="5"/>
    <x v="104"/>
    <x v="91"/>
    <x v="91"/>
    <s v="REVENUS"/>
    <x v="3"/>
    <s v="4002.001"/>
    <s v="Impôt ordinaire s/fortune PP"/>
    <n v="0"/>
    <n v="171.55"/>
    <n v="4002"/>
  </r>
  <r>
    <x v="0"/>
    <x v="6"/>
    <x v="5"/>
    <x v="104"/>
    <x v="91"/>
    <x v="91"/>
    <s v="REVENUS"/>
    <x v="2"/>
    <s v="4001.001"/>
    <s v="Impôt revenu"/>
    <n v="0"/>
    <n v="13899.25"/>
    <n v="4001"/>
  </r>
  <r>
    <x v="0"/>
    <x v="6"/>
    <x v="5"/>
    <x v="104"/>
    <x v="91"/>
    <x v="91"/>
    <s v="REVENUS"/>
    <x v="3"/>
    <s v="4002.001"/>
    <s v="Impôt ordinaire s/fortune PP"/>
    <n v="0"/>
    <n v="6662.85"/>
    <n v="4002"/>
  </r>
  <r>
    <x v="0"/>
    <x v="6"/>
    <x v="5"/>
    <x v="104"/>
    <x v="91"/>
    <x v="91"/>
    <s v="REVENUS"/>
    <x v="2"/>
    <s v="4001.001"/>
    <s v="Impôt revenu"/>
    <n v="0"/>
    <n v="2184.5500000000002"/>
    <n v="4001"/>
  </r>
  <r>
    <x v="0"/>
    <x v="6"/>
    <x v="5"/>
    <x v="104"/>
    <x v="91"/>
    <x v="91"/>
    <s v="REVENUS"/>
    <x v="3"/>
    <s v="4002.001"/>
    <s v="Impôt ordinaire s/fortune PP"/>
    <n v="0"/>
    <n v="3459.65"/>
    <n v="4002"/>
  </r>
  <r>
    <x v="0"/>
    <x v="6"/>
    <x v="5"/>
    <x v="104"/>
    <x v="91"/>
    <x v="91"/>
    <s v="REVENUS"/>
    <x v="2"/>
    <s v="4001.003"/>
    <s v="Impôt s/prest. cap. PP"/>
    <n v="0"/>
    <n v="9440.65"/>
    <n v="4001"/>
  </r>
  <r>
    <x v="0"/>
    <x v="6"/>
    <x v="5"/>
    <x v="104"/>
    <x v="91"/>
    <x v="91"/>
    <s v="REVENUS"/>
    <x v="6"/>
    <s v="4211.002"/>
    <s v="Intérêts de retard sur acomptes"/>
    <n v="0"/>
    <n v="0.01"/>
    <n v="4211"/>
  </r>
  <r>
    <x v="0"/>
    <x v="6"/>
    <x v="5"/>
    <x v="104"/>
    <x v="91"/>
    <x v="91"/>
    <s v="REVENUS"/>
    <x v="6"/>
    <s v="4221.003"/>
    <s v="Intérêts compensat. / acomptes en faveur du fisc"/>
    <n v="0"/>
    <n v="0.45"/>
    <n v="4221"/>
  </r>
  <r>
    <x v="0"/>
    <x v="6"/>
    <x v="5"/>
    <x v="104"/>
    <x v="91"/>
    <x v="91"/>
    <s v="REVENUS"/>
    <x v="2"/>
    <s v="4001.007"/>
    <s v="Acompte impôt sur revenu"/>
    <n v="0"/>
    <n v="408.2"/>
    <n v="4001"/>
  </r>
  <r>
    <x v="0"/>
    <x v="6"/>
    <x v="5"/>
    <x v="104"/>
    <x v="91"/>
    <x v="91"/>
    <s v="REVENUS"/>
    <x v="3"/>
    <s v="4002.007"/>
    <s v="Acompte impôt sur fortune"/>
    <n v="0"/>
    <n v="449.34"/>
    <n v="4002"/>
  </r>
  <r>
    <x v="0"/>
    <x v="6"/>
    <x v="5"/>
    <x v="104"/>
    <x v="91"/>
    <x v="91"/>
    <s v="REVENUS"/>
    <x v="10"/>
    <s v="4041.001"/>
    <s v="Droits de mutation"/>
    <n v="0"/>
    <n v="44396"/>
    <n v="4041"/>
  </r>
  <r>
    <x v="0"/>
    <x v="6"/>
    <x v="5"/>
    <x v="104"/>
    <x v="91"/>
    <x v="91"/>
    <s v="REVENUS"/>
    <x v="3"/>
    <s v="4002.007"/>
    <s v="Acompte impôt sur fortune"/>
    <n v="0"/>
    <n v="-168.75"/>
    <n v="4002"/>
  </r>
  <r>
    <x v="0"/>
    <x v="6"/>
    <x v="5"/>
    <x v="104"/>
    <x v="91"/>
    <x v="91"/>
    <s v="REVENUS"/>
    <x v="2"/>
    <s v="4001.007"/>
    <s v="Acompte impôt sur revenu"/>
    <n v="0"/>
    <n v="-157.1"/>
    <n v="4001"/>
  </r>
  <r>
    <x v="0"/>
    <x v="6"/>
    <x v="5"/>
    <x v="104"/>
    <x v="91"/>
    <x v="91"/>
    <s v="REVENUS"/>
    <x v="3"/>
    <s v="4002.007"/>
    <s v="Acompte impôt sur fortune"/>
    <n v="0"/>
    <n v="-43.6"/>
    <n v="4002"/>
  </r>
  <r>
    <x v="0"/>
    <x v="6"/>
    <x v="5"/>
    <x v="104"/>
    <x v="91"/>
    <x v="91"/>
    <s v="REVENUS"/>
    <x v="2"/>
    <s v="4001.007"/>
    <s v="Acompte impôt sur revenu"/>
    <n v="0"/>
    <n v="430.35"/>
    <n v="4001"/>
  </r>
  <r>
    <x v="0"/>
    <x v="6"/>
    <x v="5"/>
    <x v="104"/>
    <x v="91"/>
    <x v="91"/>
    <s v="REVENUS"/>
    <x v="2"/>
    <s v="4001.007"/>
    <s v="Acompte impôt sur revenu"/>
    <n v="0"/>
    <n v="-35.799999999999997"/>
    <n v="4001"/>
  </r>
  <r>
    <x v="0"/>
    <x v="6"/>
    <x v="5"/>
    <x v="104"/>
    <x v="91"/>
    <x v="91"/>
    <s v="REVENUS"/>
    <x v="3"/>
    <s v="4002.007"/>
    <s v="Acompte impôt sur fortune"/>
    <n v="0"/>
    <n v="-3.3"/>
    <n v="4002"/>
  </r>
  <r>
    <x v="0"/>
    <x v="6"/>
    <x v="5"/>
    <x v="104"/>
    <x v="91"/>
    <x v="91"/>
    <s v="REVENUS"/>
    <x v="6"/>
    <s v="4221.002"/>
    <s v="Intérêts compensat. sur impôts distincts"/>
    <n v="0"/>
    <n v="9.7899999999999991"/>
    <n v="4221"/>
  </r>
  <r>
    <x v="0"/>
    <x v="6"/>
    <x v="5"/>
    <x v="104"/>
    <x v="91"/>
    <x v="91"/>
    <s v="REVENUS"/>
    <x v="6"/>
    <s v="4211.002"/>
    <s v="Intérêts de retard sur acomptes"/>
    <n v="0"/>
    <n v="30.15"/>
    <n v="4211"/>
  </r>
  <r>
    <x v="0"/>
    <x v="6"/>
    <x v="5"/>
    <x v="104"/>
    <x v="91"/>
    <x v="91"/>
    <s v="REVENUS"/>
    <x v="2"/>
    <s v="4001.001"/>
    <s v="Impôt revenu"/>
    <n v="0"/>
    <n v="2460.85"/>
    <n v="4001"/>
  </r>
  <r>
    <x v="0"/>
    <x v="6"/>
    <x v="5"/>
    <x v="104"/>
    <x v="91"/>
    <x v="91"/>
    <s v="REVENUS"/>
    <x v="2"/>
    <s v="4001.002"/>
    <s v="Impôt complément s/revenu PP"/>
    <n v="0"/>
    <n v="49.45"/>
    <n v="4001"/>
  </r>
  <r>
    <x v="0"/>
    <x v="6"/>
    <x v="5"/>
    <x v="104"/>
    <x v="91"/>
    <x v="91"/>
    <s v="REVENUS"/>
    <x v="3"/>
    <s v="4002.001"/>
    <s v="Impôt ordinaire s/fortune PP"/>
    <n v="0"/>
    <n v="1117.3499999999999"/>
    <n v="4002"/>
  </r>
  <r>
    <x v="0"/>
    <x v="6"/>
    <x v="5"/>
    <x v="104"/>
    <x v="91"/>
    <x v="91"/>
    <s v="REVENUS"/>
    <x v="3"/>
    <s v="4002.002"/>
    <s v="Impôt complémentaire s/fortune PP"/>
    <n v="0"/>
    <n v="22.5"/>
    <n v="4002"/>
  </r>
  <r>
    <x v="0"/>
    <x v="6"/>
    <x v="5"/>
    <x v="104"/>
    <x v="91"/>
    <x v="91"/>
    <s v="REVENUS"/>
    <x v="6"/>
    <s v="4211.001"/>
    <s v="Intérêts de retard sur factures"/>
    <n v="0"/>
    <n v="0.79"/>
    <n v="4211"/>
  </r>
  <r>
    <x v="0"/>
    <x v="6"/>
    <x v="5"/>
    <x v="104"/>
    <x v="91"/>
    <x v="91"/>
    <s v="REVENUS"/>
    <x v="6"/>
    <s v="4211.002"/>
    <s v="Intérêts de retard sur acomptes"/>
    <n v="0"/>
    <n v="84.28"/>
    <n v="4211"/>
  </r>
  <r>
    <x v="0"/>
    <x v="6"/>
    <x v="5"/>
    <x v="104"/>
    <x v="91"/>
    <x v="91"/>
    <s v="REVENUS"/>
    <x v="7"/>
    <s v="4184.000"/>
    <s v="Frais de poursuite"/>
    <n v="0"/>
    <n v="0.35"/>
    <n v="4184"/>
  </r>
  <r>
    <x v="0"/>
    <x v="6"/>
    <x v="5"/>
    <x v="104"/>
    <x v="91"/>
    <x v="91"/>
    <s v="REVENUS"/>
    <x v="6"/>
    <s v="4221.003"/>
    <s v="Intérêts compensat. / acomptes en faveur du fisc"/>
    <n v="0"/>
    <n v="6.99"/>
    <n v="4221"/>
  </r>
  <r>
    <x v="0"/>
    <x v="6"/>
    <x v="5"/>
    <x v="104"/>
    <x v="91"/>
    <x v="91"/>
    <s v="REVENUS"/>
    <x v="2"/>
    <s v="4001.001"/>
    <s v="Impôt revenu"/>
    <n v="0"/>
    <n v="309.10000000000002"/>
    <n v="4001"/>
  </r>
  <r>
    <x v="0"/>
    <x v="6"/>
    <x v="5"/>
    <x v="104"/>
    <x v="91"/>
    <x v="91"/>
    <s v="REVENUS"/>
    <x v="2"/>
    <s v="4001.002"/>
    <s v="Impôt complément s/revenu PP"/>
    <n v="0"/>
    <n v="7.5"/>
    <n v="4001"/>
  </r>
  <r>
    <x v="0"/>
    <x v="6"/>
    <x v="5"/>
    <x v="104"/>
    <x v="91"/>
    <x v="91"/>
    <s v="REVENUS"/>
    <x v="3"/>
    <s v="4002.001"/>
    <s v="Impôt ordinaire s/fortune PP"/>
    <n v="0"/>
    <n v="422.2"/>
    <n v="4002"/>
  </r>
  <r>
    <x v="0"/>
    <x v="6"/>
    <x v="5"/>
    <x v="104"/>
    <x v="91"/>
    <x v="91"/>
    <s v="REVENUS"/>
    <x v="3"/>
    <s v="4002.002"/>
    <s v="Impôt complémentaire s/fortune PP"/>
    <n v="0"/>
    <n v="31.65"/>
    <n v="4002"/>
  </r>
  <r>
    <x v="0"/>
    <x v="6"/>
    <x v="5"/>
    <x v="104"/>
    <x v="91"/>
    <x v="91"/>
    <s v="REVENUS"/>
    <x v="4"/>
    <s v="4051.001"/>
    <s v="Impôt sur les successions"/>
    <n v="0"/>
    <n v="3095.3"/>
    <n v="4051"/>
  </r>
  <r>
    <x v="0"/>
    <x v="6"/>
    <x v="5"/>
    <x v="104"/>
    <x v="91"/>
    <x v="91"/>
    <s v="REVENUS"/>
    <x v="6"/>
    <s v="4211.001"/>
    <s v="Intérêts de retard sur factures"/>
    <n v="0"/>
    <n v="7.0000000000000007E-2"/>
    <n v="4211"/>
  </r>
  <r>
    <x v="0"/>
    <x v="6"/>
    <x v="5"/>
    <x v="104"/>
    <x v="91"/>
    <x v="91"/>
    <s v="REVENUS"/>
    <x v="6"/>
    <s v="4221.003"/>
    <s v="Intérêts compensat. / acomptes en faveur du fisc"/>
    <n v="0"/>
    <n v="0.02"/>
    <n v="4221"/>
  </r>
  <r>
    <x v="0"/>
    <x v="6"/>
    <x v="5"/>
    <x v="104"/>
    <x v="91"/>
    <x v="91"/>
    <s v="REVENUS"/>
    <x v="6"/>
    <s v="4221.003"/>
    <s v="Intérêts compensat. / acomptes en faveur du fisc"/>
    <n v="0"/>
    <n v="0.31"/>
    <n v="4221"/>
  </r>
  <r>
    <x v="0"/>
    <x v="6"/>
    <x v="5"/>
    <x v="104"/>
    <x v="91"/>
    <x v="91"/>
    <s v="REVENUS"/>
    <x v="2"/>
    <s v="4001.002"/>
    <s v="Impôt complément s/revenu PP"/>
    <n v="0"/>
    <n v="69.400000000000006"/>
    <n v="4001"/>
  </r>
  <r>
    <x v="0"/>
    <x v="6"/>
    <x v="5"/>
    <x v="104"/>
    <x v="91"/>
    <x v="91"/>
    <s v="REVENUS"/>
    <x v="3"/>
    <s v="4002.002"/>
    <s v="Impôt complémentaire s/fortune PP"/>
    <n v="0"/>
    <n v="1387.25"/>
    <n v="4002"/>
  </r>
  <r>
    <x v="0"/>
    <x v="6"/>
    <x v="5"/>
    <x v="104"/>
    <x v="91"/>
    <x v="91"/>
    <s v="REVENUS"/>
    <x v="6"/>
    <s v="4211.001"/>
    <s v="Intérêts de retard sur factures"/>
    <n v="0"/>
    <n v="6.85"/>
    <n v="4211"/>
  </r>
  <r>
    <x v="0"/>
    <x v="6"/>
    <x v="5"/>
    <x v="104"/>
    <x v="91"/>
    <x v="91"/>
    <s v="REVENUS"/>
    <x v="6"/>
    <s v="4211.002"/>
    <s v="Intérêts de retard sur acomptes"/>
    <n v="0"/>
    <n v="0.06"/>
    <n v="4211"/>
  </r>
  <r>
    <x v="0"/>
    <x v="6"/>
    <x v="5"/>
    <x v="104"/>
    <x v="91"/>
    <x v="91"/>
    <s v="REVENUS"/>
    <x v="2"/>
    <s v="4001.001"/>
    <s v="Impôt revenu"/>
    <n v="0"/>
    <n v="-4983.45"/>
    <n v="4001"/>
  </r>
  <r>
    <x v="0"/>
    <x v="6"/>
    <x v="5"/>
    <x v="104"/>
    <x v="91"/>
    <x v="91"/>
    <s v="REVENUS"/>
    <x v="3"/>
    <s v="4002.001"/>
    <s v="Impôt ordinaire s/fortune PP"/>
    <n v="0"/>
    <n v="-8959.2999999999993"/>
    <n v="4002"/>
  </r>
  <r>
    <x v="0"/>
    <x v="6"/>
    <x v="5"/>
    <x v="104"/>
    <x v="91"/>
    <x v="91"/>
    <s v="REVENUS"/>
    <x v="2"/>
    <s v="4001.007"/>
    <s v="Acompte impôt sur revenu"/>
    <n v="0"/>
    <n v="-271.14999999999998"/>
    <n v="4001"/>
  </r>
  <r>
    <x v="0"/>
    <x v="6"/>
    <x v="5"/>
    <x v="104"/>
    <x v="91"/>
    <x v="91"/>
    <s v="REVENUS"/>
    <x v="6"/>
    <s v="4221.003"/>
    <s v="Intérêts compensat. / acomptes en faveur du fisc"/>
    <n v="0"/>
    <n v="0.04"/>
    <n v="4221"/>
  </r>
  <r>
    <x v="0"/>
    <x v="6"/>
    <x v="5"/>
    <x v="104"/>
    <x v="91"/>
    <x v="91"/>
    <s v="REVENUS"/>
    <x v="8"/>
    <s v="4091.001"/>
    <s v="Impôt récupéré après défalcations"/>
    <n v="0"/>
    <n v="1394.42"/>
    <n v="4091"/>
  </r>
  <r>
    <x v="0"/>
    <x v="6"/>
    <x v="5"/>
    <x v="104"/>
    <x v="91"/>
    <x v="91"/>
    <s v="REVENUS"/>
    <x v="3"/>
    <s v="4002.002"/>
    <s v="Impôt complémentaire s/fortune PP"/>
    <n v="0"/>
    <n v="1900.95"/>
    <n v="4002"/>
  </r>
  <r>
    <x v="0"/>
    <x v="6"/>
    <x v="5"/>
    <x v="104"/>
    <x v="91"/>
    <x v="91"/>
    <s v="REVENUS"/>
    <x v="7"/>
    <s v="4184.000"/>
    <s v="Frais de poursuite"/>
    <n v="0"/>
    <n v="8.9600000000000009"/>
    <n v="4184"/>
  </r>
  <r>
    <x v="0"/>
    <x v="6"/>
    <x v="5"/>
    <x v="104"/>
    <x v="91"/>
    <x v="91"/>
    <s v="REVENUS"/>
    <x v="2"/>
    <s v="4001.002"/>
    <s v="Impôt complément s/revenu PP"/>
    <n v="0"/>
    <n v="300.75"/>
    <n v="4001"/>
  </r>
  <r>
    <x v="0"/>
    <x v="6"/>
    <x v="5"/>
    <x v="104"/>
    <x v="91"/>
    <x v="91"/>
    <s v="REVENUS"/>
    <x v="6"/>
    <s v="4211.001"/>
    <s v="Intérêts de retard sur factures"/>
    <n v="0"/>
    <n v="152.43"/>
    <n v="4211"/>
  </r>
  <r>
    <x v="0"/>
    <x v="6"/>
    <x v="5"/>
    <x v="104"/>
    <x v="91"/>
    <x v="91"/>
    <s v="REVENUS"/>
    <x v="2"/>
    <s v="4001.007"/>
    <s v="Acompte impôt sur revenu"/>
    <n v="0"/>
    <n v="-1856.25"/>
    <n v="4001"/>
  </r>
  <r>
    <x v="0"/>
    <x v="6"/>
    <x v="5"/>
    <x v="104"/>
    <x v="91"/>
    <x v="91"/>
    <s v="REVENUS"/>
    <x v="6"/>
    <s v="4211.002"/>
    <s v="Intérêts de retard sur acomptes"/>
    <n v="0"/>
    <n v="1.88"/>
    <n v="4211"/>
  </r>
  <r>
    <x v="0"/>
    <x v="6"/>
    <x v="5"/>
    <x v="104"/>
    <x v="91"/>
    <x v="91"/>
    <s v="REVENUS"/>
    <x v="4"/>
    <s v="4051.001"/>
    <s v="Impôt sur les successions"/>
    <n v="0"/>
    <n v="152.30000000000001"/>
    <n v="4051"/>
  </r>
  <r>
    <x v="0"/>
    <x v="6"/>
    <x v="5"/>
    <x v="104"/>
    <x v="91"/>
    <x v="91"/>
    <s v="REVENUS"/>
    <x v="6"/>
    <s v="4221.002"/>
    <s v="Intérêts compensat. sur impôts distincts"/>
    <n v="0"/>
    <n v="0.14000000000000001"/>
    <n v="4221"/>
  </r>
  <r>
    <x v="0"/>
    <x v="6"/>
    <x v="5"/>
    <x v="105"/>
    <x v="92"/>
    <x v="92"/>
    <s v="CHARGES"/>
    <x v="0"/>
    <s v="3212.004"/>
    <s v="Intérêts rémun./perçu trop tôt sur acomptes C/C"/>
    <n v="403.04"/>
    <n v="0"/>
    <n v="3212"/>
  </r>
  <r>
    <x v="0"/>
    <x v="6"/>
    <x v="5"/>
    <x v="105"/>
    <x v="92"/>
    <x v="92"/>
    <s v="CHARGES"/>
    <x v="0"/>
    <s v="3221.002"/>
    <s v="Intérêts compensatoires / créances en faveur ctb."/>
    <n v="256.26"/>
    <n v="0"/>
    <n v="3221"/>
  </r>
  <r>
    <x v="0"/>
    <x v="6"/>
    <x v="5"/>
    <x v="105"/>
    <x v="92"/>
    <x v="92"/>
    <s v="CHARGES"/>
    <x v="1"/>
    <s v="3301.001"/>
    <s v="Défalcations, abandons de solde PP et IS"/>
    <n v="8758.7800000000007"/>
    <n v="0"/>
    <n v="3301"/>
  </r>
  <r>
    <x v="0"/>
    <x v="6"/>
    <x v="5"/>
    <x v="105"/>
    <x v="92"/>
    <x v="92"/>
    <s v="CHARGES"/>
    <x v="0"/>
    <s v="3212.002"/>
    <s v="Intérêts bonifiés/trop perçu acompte C/C"/>
    <n v="14.71"/>
    <n v="0"/>
    <n v="3212"/>
  </r>
  <r>
    <x v="0"/>
    <x v="6"/>
    <x v="5"/>
    <x v="105"/>
    <x v="92"/>
    <x v="92"/>
    <s v="CHARGES"/>
    <x v="0"/>
    <s v="3212.004"/>
    <s v="Intérêts rémun./perçu trop tôt sur acomptes C/C"/>
    <n v="0.09"/>
    <n v="0"/>
    <n v="3212"/>
  </r>
  <r>
    <x v="0"/>
    <x v="6"/>
    <x v="5"/>
    <x v="105"/>
    <x v="92"/>
    <x v="92"/>
    <s v="CHARGES"/>
    <x v="0"/>
    <s v="3221.002"/>
    <s v="Intérêts compensatoires / créances en faveur ctb."/>
    <n v="0.02"/>
    <n v="0"/>
    <n v="3221"/>
  </r>
  <r>
    <x v="0"/>
    <x v="6"/>
    <x v="5"/>
    <x v="105"/>
    <x v="92"/>
    <x v="92"/>
    <s v="CHARGES"/>
    <x v="1"/>
    <s v="3301.001"/>
    <s v="Défalcations, abandons de solde PP et IS"/>
    <n v="-2.62"/>
    <n v="0"/>
    <n v="3301"/>
  </r>
  <r>
    <x v="0"/>
    <x v="6"/>
    <x v="5"/>
    <x v="105"/>
    <x v="92"/>
    <x v="92"/>
    <s v="CHARGES"/>
    <x v="0"/>
    <s v="3212.004"/>
    <s v="Intérêts rémun./perçu trop tôt sur acomptes C/C"/>
    <n v="0.27"/>
    <n v="0"/>
    <n v="3212"/>
  </r>
  <r>
    <x v="0"/>
    <x v="6"/>
    <x v="5"/>
    <x v="105"/>
    <x v="92"/>
    <x v="92"/>
    <s v="CHARGES"/>
    <x v="0"/>
    <s v="3221.002"/>
    <s v="Intérêts compensatoires / créances en faveur ctb."/>
    <n v="0.01"/>
    <n v="0"/>
    <n v="3221"/>
  </r>
  <r>
    <x v="0"/>
    <x v="6"/>
    <x v="5"/>
    <x v="105"/>
    <x v="92"/>
    <x v="92"/>
    <s v="CHARGES"/>
    <x v="0"/>
    <s v="3212.004"/>
    <s v="Intérêts rémun./perçu trop tôt sur acomptes C/C"/>
    <n v="0.52"/>
    <n v="0"/>
    <n v="3212"/>
  </r>
  <r>
    <x v="0"/>
    <x v="6"/>
    <x v="5"/>
    <x v="105"/>
    <x v="92"/>
    <x v="92"/>
    <s v="CHARGES"/>
    <x v="0"/>
    <s v="3221.002"/>
    <s v="Intérêts compensatoires / créances en faveur ctb."/>
    <n v="0.03"/>
    <n v="0"/>
    <n v="3221"/>
  </r>
  <r>
    <x v="0"/>
    <x v="6"/>
    <x v="5"/>
    <x v="105"/>
    <x v="92"/>
    <x v="92"/>
    <s v="CHARGES"/>
    <x v="0"/>
    <s v="3212.004"/>
    <s v="Intérêts rémun./perçu trop tôt sur acomptes C/C"/>
    <n v="0.62"/>
    <n v="0"/>
    <n v="3212"/>
  </r>
  <r>
    <x v="0"/>
    <x v="6"/>
    <x v="5"/>
    <x v="105"/>
    <x v="92"/>
    <x v="92"/>
    <s v="CHARGES"/>
    <x v="0"/>
    <s v="3221.002"/>
    <s v="Intérêts compensatoires / créances en faveur ctb."/>
    <n v="0.54"/>
    <n v="0"/>
    <n v="3221"/>
  </r>
  <r>
    <x v="0"/>
    <x v="6"/>
    <x v="5"/>
    <x v="105"/>
    <x v="92"/>
    <x v="92"/>
    <s v="CHARGES"/>
    <x v="1"/>
    <s v="3301.001"/>
    <s v="Défalcations, abandons de solde PP et IS"/>
    <n v="0.01"/>
    <n v="0"/>
    <n v="3301"/>
  </r>
  <r>
    <x v="0"/>
    <x v="6"/>
    <x v="5"/>
    <x v="105"/>
    <x v="92"/>
    <x v="92"/>
    <s v="REVENUS"/>
    <x v="2"/>
    <s v="4001.001"/>
    <s v="Impôt revenu"/>
    <n v="0"/>
    <n v="1807620.35"/>
    <n v="4001"/>
  </r>
  <r>
    <x v="0"/>
    <x v="6"/>
    <x v="5"/>
    <x v="105"/>
    <x v="92"/>
    <x v="92"/>
    <s v="REVENUS"/>
    <x v="2"/>
    <s v="4001.003"/>
    <s v="Impôt s/prest. cap. PP"/>
    <n v="0"/>
    <n v="33919.25"/>
    <n v="4001"/>
  </r>
  <r>
    <x v="0"/>
    <x v="6"/>
    <x v="5"/>
    <x v="105"/>
    <x v="92"/>
    <x v="92"/>
    <s v="REVENUS"/>
    <x v="2"/>
    <s v="4001.007"/>
    <s v="Acompte impôt sur revenu"/>
    <n v="0"/>
    <n v="-275365.58"/>
    <n v="4001"/>
  </r>
  <r>
    <x v="0"/>
    <x v="6"/>
    <x v="5"/>
    <x v="105"/>
    <x v="92"/>
    <x v="92"/>
    <s v="REVENUS"/>
    <x v="3"/>
    <s v="4002.001"/>
    <s v="Impôt ordinaire s/fortune PP"/>
    <n v="0"/>
    <n v="153339.75"/>
    <n v="4002"/>
  </r>
  <r>
    <x v="0"/>
    <x v="6"/>
    <x v="5"/>
    <x v="105"/>
    <x v="92"/>
    <x v="92"/>
    <s v="REVENUS"/>
    <x v="3"/>
    <s v="4002.007"/>
    <s v="Acompte impôt sur fortune"/>
    <n v="0"/>
    <n v="73061.84"/>
    <n v="4002"/>
  </r>
  <r>
    <x v="0"/>
    <x v="6"/>
    <x v="5"/>
    <x v="105"/>
    <x v="92"/>
    <x v="92"/>
    <s v="REVENUS"/>
    <x v="6"/>
    <s v="4211.001"/>
    <s v="Intérêts de retard sur factures"/>
    <n v="0"/>
    <n v="4505.41"/>
    <n v="4211"/>
  </r>
  <r>
    <x v="0"/>
    <x v="6"/>
    <x v="5"/>
    <x v="105"/>
    <x v="92"/>
    <x v="92"/>
    <s v="REVENUS"/>
    <x v="6"/>
    <s v="4211.002"/>
    <s v="Intérêts de retard sur acomptes"/>
    <n v="0"/>
    <n v="12163.54"/>
    <n v="4211"/>
  </r>
  <r>
    <x v="0"/>
    <x v="6"/>
    <x v="5"/>
    <x v="105"/>
    <x v="92"/>
    <x v="92"/>
    <s v="REVENUS"/>
    <x v="6"/>
    <s v="4221.003"/>
    <s v="Intérêts compensat. / acomptes en faveur du fisc"/>
    <n v="0"/>
    <n v="261.7"/>
    <n v="4221"/>
  </r>
  <r>
    <x v="0"/>
    <x v="6"/>
    <x v="5"/>
    <x v="105"/>
    <x v="92"/>
    <x v="92"/>
    <s v="REVENUS"/>
    <x v="7"/>
    <s v="4184.000"/>
    <s v="Frais de poursuite"/>
    <n v="0"/>
    <n v="2447.4"/>
    <n v="4184"/>
  </r>
  <r>
    <x v="0"/>
    <x v="6"/>
    <x v="5"/>
    <x v="105"/>
    <x v="92"/>
    <x v="92"/>
    <s v="REVENUS"/>
    <x v="10"/>
    <s v="4041.001"/>
    <s v="Droits de mutation"/>
    <n v="0"/>
    <n v="34246.300000000003"/>
    <n v="4041"/>
  </r>
  <r>
    <x v="0"/>
    <x v="6"/>
    <x v="5"/>
    <x v="105"/>
    <x v="92"/>
    <x v="92"/>
    <s v="REVENUS"/>
    <x v="2"/>
    <s v="4001.002"/>
    <s v="Impôt complément s/revenu PP"/>
    <n v="0"/>
    <n v="173187.75"/>
    <n v="4001"/>
  </r>
  <r>
    <x v="0"/>
    <x v="6"/>
    <x v="5"/>
    <x v="105"/>
    <x v="92"/>
    <x v="92"/>
    <s v="REVENUS"/>
    <x v="6"/>
    <s v="4211.002"/>
    <s v="Intérêts de retard sur acomptes"/>
    <n v="0"/>
    <n v="0.05"/>
    <n v="4211"/>
  </r>
  <r>
    <x v="0"/>
    <x v="6"/>
    <x v="5"/>
    <x v="105"/>
    <x v="92"/>
    <x v="92"/>
    <s v="REVENUS"/>
    <x v="3"/>
    <s v="4002.001"/>
    <s v="Impôt ordinaire s/fortune PP"/>
    <n v="0"/>
    <n v="523.29999999999995"/>
    <n v="4002"/>
  </r>
  <r>
    <x v="0"/>
    <x v="6"/>
    <x v="5"/>
    <x v="105"/>
    <x v="92"/>
    <x v="92"/>
    <s v="REVENUS"/>
    <x v="2"/>
    <s v="4001.007"/>
    <s v="Acompte impôt sur revenu"/>
    <n v="0"/>
    <n v="4.95"/>
    <n v="4001"/>
  </r>
  <r>
    <x v="0"/>
    <x v="6"/>
    <x v="5"/>
    <x v="105"/>
    <x v="92"/>
    <x v="92"/>
    <s v="REVENUS"/>
    <x v="3"/>
    <s v="4002.007"/>
    <s v="Acompte impôt sur fortune"/>
    <n v="0"/>
    <n v="-11.25"/>
    <n v="4002"/>
  </r>
  <r>
    <x v="0"/>
    <x v="6"/>
    <x v="5"/>
    <x v="105"/>
    <x v="92"/>
    <x v="92"/>
    <s v="REVENUS"/>
    <x v="2"/>
    <s v="4001.001"/>
    <s v="Impôt revenu"/>
    <n v="0"/>
    <n v="379.9"/>
    <n v="4001"/>
  </r>
  <r>
    <x v="0"/>
    <x v="6"/>
    <x v="5"/>
    <x v="105"/>
    <x v="92"/>
    <x v="92"/>
    <s v="REVENUS"/>
    <x v="9"/>
    <s v="4031.001"/>
    <s v="Impôt sur les gains immobiliers"/>
    <n v="0"/>
    <n v="14319.45"/>
    <n v="4031"/>
  </r>
  <r>
    <x v="0"/>
    <x v="6"/>
    <x v="5"/>
    <x v="105"/>
    <x v="92"/>
    <x v="92"/>
    <s v="REVENUS"/>
    <x v="9"/>
    <s v="4031.002"/>
    <s v="Complément impôt sur les gains immobiliers"/>
    <n v="0"/>
    <n v="4710.25"/>
    <n v="4031"/>
  </r>
  <r>
    <x v="0"/>
    <x v="6"/>
    <x v="5"/>
    <x v="105"/>
    <x v="92"/>
    <x v="92"/>
    <s v="REVENUS"/>
    <x v="3"/>
    <s v="4002.007"/>
    <s v="Acompte impôt sur fortune"/>
    <n v="0"/>
    <n v="-160.30000000000001"/>
    <n v="4002"/>
  </r>
  <r>
    <x v="0"/>
    <x v="6"/>
    <x v="5"/>
    <x v="105"/>
    <x v="92"/>
    <x v="92"/>
    <s v="REVENUS"/>
    <x v="2"/>
    <s v="4001.007"/>
    <s v="Acompte impôt sur revenu"/>
    <n v="0"/>
    <n v="-10.25"/>
    <n v="4001"/>
  </r>
  <r>
    <x v="0"/>
    <x v="6"/>
    <x v="5"/>
    <x v="105"/>
    <x v="92"/>
    <x v="92"/>
    <s v="REVENUS"/>
    <x v="3"/>
    <s v="4002.007"/>
    <s v="Acompte impôt sur fortune"/>
    <n v="0"/>
    <n v="1459.9"/>
    <n v="4002"/>
  </r>
  <r>
    <x v="0"/>
    <x v="6"/>
    <x v="5"/>
    <x v="105"/>
    <x v="92"/>
    <x v="92"/>
    <s v="REVENUS"/>
    <x v="2"/>
    <s v="4001.007"/>
    <s v="Acompte impôt sur revenu"/>
    <n v="0"/>
    <n v="2626.7"/>
    <n v="4001"/>
  </r>
  <r>
    <x v="0"/>
    <x v="6"/>
    <x v="5"/>
    <x v="105"/>
    <x v="92"/>
    <x v="92"/>
    <s v="REVENUS"/>
    <x v="2"/>
    <s v="4001.007"/>
    <s v="Acompte impôt sur revenu"/>
    <n v="0"/>
    <n v="-150.85"/>
    <n v="4001"/>
  </r>
  <r>
    <x v="0"/>
    <x v="6"/>
    <x v="5"/>
    <x v="105"/>
    <x v="92"/>
    <x v="92"/>
    <s v="REVENUS"/>
    <x v="3"/>
    <s v="4002.007"/>
    <s v="Acompte impôt sur fortune"/>
    <n v="0"/>
    <n v="-12"/>
    <n v="4002"/>
  </r>
  <r>
    <x v="0"/>
    <x v="6"/>
    <x v="5"/>
    <x v="105"/>
    <x v="92"/>
    <x v="92"/>
    <s v="REVENUS"/>
    <x v="2"/>
    <s v="4001.001"/>
    <s v="Impôt revenu"/>
    <n v="0"/>
    <n v="-12982.5"/>
    <n v="4001"/>
  </r>
  <r>
    <x v="0"/>
    <x v="6"/>
    <x v="5"/>
    <x v="105"/>
    <x v="92"/>
    <x v="92"/>
    <s v="REVENUS"/>
    <x v="3"/>
    <s v="4002.001"/>
    <s v="Impôt ordinaire s/fortune PP"/>
    <n v="0"/>
    <n v="-773.25"/>
    <n v="4002"/>
  </r>
  <r>
    <x v="0"/>
    <x v="6"/>
    <x v="5"/>
    <x v="105"/>
    <x v="92"/>
    <x v="92"/>
    <s v="REVENUS"/>
    <x v="6"/>
    <s v="4211.001"/>
    <s v="Intérêts de retard sur factures"/>
    <n v="0"/>
    <n v="-0.52"/>
    <n v="4211"/>
  </r>
  <r>
    <x v="0"/>
    <x v="6"/>
    <x v="5"/>
    <x v="105"/>
    <x v="92"/>
    <x v="92"/>
    <s v="REVENUS"/>
    <x v="6"/>
    <s v="4211.002"/>
    <s v="Intérêts de retard sur acomptes"/>
    <n v="0"/>
    <n v="0.12"/>
    <n v="4211"/>
  </r>
  <r>
    <x v="0"/>
    <x v="6"/>
    <x v="5"/>
    <x v="105"/>
    <x v="92"/>
    <x v="92"/>
    <s v="REVENUS"/>
    <x v="6"/>
    <s v="4221.003"/>
    <s v="Intérêts compensat. / acomptes en faveur du fisc"/>
    <n v="0"/>
    <n v="-1.98"/>
    <n v="4221"/>
  </r>
  <r>
    <x v="0"/>
    <x v="6"/>
    <x v="5"/>
    <x v="105"/>
    <x v="92"/>
    <x v="92"/>
    <s v="REVENUS"/>
    <x v="3"/>
    <s v="4002.002"/>
    <s v="Impôt complémentaire s/fortune PP"/>
    <n v="0"/>
    <n v="17303.7"/>
    <n v="4002"/>
  </r>
  <r>
    <x v="0"/>
    <x v="6"/>
    <x v="5"/>
    <x v="105"/>
    <x v="92"/>
    <x v="92"/>
    <s v="REVENUS"/>
    <x v="4"/>
    <s v="4051.001"/>
    <s v="Impôt sur les successions"/>
    <n v="0"/>
    <n v="145435.20000000001"/>
    <n v="4051"/>
  </r>
  <r>
    <x v="0"/>
    <x v="6"/>
    <x v="5"/>
    <x v="105"/>
    <x v="92"/>
    <x v="92"/>
    <s v="REVENUS"/>
    <x v="6"/>
    <s v="4221.002"/>
    <s v="Intérêts compensat. sur impôts distincts"/>
    <n v="0"/>
    <n v="70.11"/>
    <n v="4221"/>
  </r>
  <r>
    <x v="0"/>
    <x v="6"/>
    <x v="5"/>
    <x v="105"/>
    <x v="92"/>
    <x v="92"/>
    <s v="REVENUS"/>
    <x v="2"/>
    <s v="4001.001"/>
    <s v="Impôt revenu"/>
    <n v="0"/>
    <n v="984.2"/>
    <n v="4001"/>
  </r>
  <r>
    <x v="0"/>
    <x v="6"/>
    <x v="5"/>
    <x v="105"/>
    <x v="92"/>
    <x v="92"/>
    <s v="REVENUS"/>
    <x v="3"/>
    <s v="4002.001"/>
    <s v="Impôt ordinaire s/fortune PP"/>
    <n v="0"/>
    <n v="285.35000000000002"/>
    <n v="4002"/>
  </r>
  <r>
    <x v="0"/>
    <x v="6"/>
    <x v="5"/>
    <x v="105"/>
    <x v="92"/>
    <x v="92"/>
    <s v="REVENUS"/>
    <x v="6"/>
    <s v="4211.002"/>
    <s v="Intérêts de retard sur acomptes"/>
    <n v="0"/>
    <n v="11.98"/>
    <n v="4211"/>
  </r>
  <r>
    <x v="0"/>
    <x v="6"/>
    <x v="5"/>
    <x v="105"/>
    <x v="92"/>
    <x v="92"/>
    <s v="REVENUS"/>
    <x v="6"/>
    <s v="4221.003"/>
    <s v="Intérêts compensat. / acomptes en faveur du fisc"/>
    <n v="0"/>
    <n v="0.61"/>
    <n v="4221"/>
  </r>
  <r>
    <x v="0"/>
    <x v="6"/>
    <x v="5"/>
    <x v="105"/>
    <x v="92"/>
    <x v="92"/>
    <s v="REVENUS"/>
    <x v="2"/>
    <s v="4001.003"/>
    <s v="Impôt s/prest. cap. PP"/>
    <n v="0"/>
    <n v="-1524.95"/>
    <n v="4001"/>
  </r>
  <r>
    <x v="0"/>
    <x v="6"/>
    <x v="5"/>
    <x v="105"/>
    <x v="92"/>
    <x v="92"/>
    <s v="REVENUS"/>
    <x v="2"/>
    <s v="4001.001"/>
    <s v="Impôt revenu"/>
    <n v="0"/>
    <n v="466.05"/>
    <n v="4001"/>
  </r>
  <r>
    <x v="0"/>
    <x v="6"/>
    <x v="5"/>
    <x v="105"/>
    <x v="92"/>
    <x v="92"/>
    <s v="REVENUS"/>
    <x v="3"/>
    <s v="4002.001"/>
    <s v="Impôt ordinaire s/fortune PP"/>
    <n v="0"/>
    <n v="351.05"/>
    <n v="4002"/>
  </r>
  <r>
    <x v="0"/>
    <x v="6"/>
    <x v="5"/>
    <x v="105"/>
    <x v="92"/>
    <x v="92"/>
    <s v="REVENUS"/>
    <x v="3"/>
    <s v="4002.001"/>
    <s v="Impôt ordinaire s/fortune PP"/>
    <n v="0"/>
    <n v="128.80000000000001"/>
    <n v="4002"/>
  </r>
  <r>
    <x v="0"/>
    <x v="6"/>
    <x v="5"/>
    <x v="105"/>
    <x v="92"/>
    <x v="92"/>
    <s v="REVENUS"/>
    <x v="2"/>
    <s v="4001.001"/>
    <s v="Impôt revenu"/>
    <n v="0"/>
    <n v="0"/>
    <n v="4001"/>
  </r>
  <r>
    <x v="0"/>
    <x v="6"/>
    <x v="5"/>
    <x v="105"/>
    <x v="92"/>
    <x v="92"/>
    <s v="REVENUS"/>
    <x v="3"/>
    <s v="4002.001"/>
    <s v="Impôt ordinaire s/fortune PP"/>
    <n v="0"/>
    <n v="1423.2"/>
    <n v="4002"/>
  </r>
  <r>
    <x v="0"/>
    <x v="6"/>
    <x v="5"/>
    <x v="105"/>
    <x v="92"/>
    <x v="92"/>
    <s v="REVENUS"/>
    <x v="4"/>
    <s v="4051.002"/>
    <s v="Impôt sur les donations"/>
    <n v="0"/>
    <n v="11576.2"/>
    <n v="4051"/>
  </r>
  <r>
    <x v="0"/>
    <x v="6"/>
    <x v="5"/>
    <x v="105"/>
    <x v="92"/>
    <x v="92"/>
    <s v="REVENUS"/>
    <x v="3"/>
    <s v="4002.007"/>
    <s v="Acompte impôt sur fortune"/>
    <n v="0"/>
    <n v="-1522.6"/>
    <n v="4002"/>
  </r>
  <r>
    <x v="0"/>
    <x v="6"/>
    <x v="5"/>
    <x v="105"/>
    <x v="92"/>
    <x v="92"/>
    <s v="REVENUS"/>
    <x v="7"/>
    <s v="4184.000"/>
    <s v="Frais de poursuite"/>
    <n v="0"/>
    <n v="138.41"/>
    <n v="4184"/>
  </r>
  <r>
    <x v="0"/>
    <x v="6"/>
    <x v="5"/>
    <x v="105"/>
    <x v="92"/>
    <x v="92"/>
    <s v="REVENUS"/>
    <x v="2"/>
    <s v="4001.001"/>
    <s v="Impôt revenu"/>
    <n v="0"/>
    <n v="17.600000000000001"/>
    <n v="4001"/>
  </r>
  <r>
    <x v="0"/>
    <x v="6"/>
    <x v="5"/>
    <x v="105"/>
    <x v="92"/>
    <x v="92"/>
    <s v="REVENUS"/>
    <x v="6"/>
    <s v="4211.001"/>
    <s v="Intérêts de retard sur factures"/>
    <n v="0"/>
    <n v="4.3499999999999996"/>
    <n v="4211"/>
  </r>
  <r>
    <x v="0"/>
    <x v="6"/>
    <x v="5"/>
    <x v="105"/>
    <x v="92"/>
    <x v="92"/>
    <s v="REVENUS"/>
    <x v="8"/>
    <s v="4091.001"/>
    <s v="Impôt récupéré après défalcations"/>
    <n v="0"/>
    <n v="1474.94"/>
    <n v="4091"/>
  </r>
  <r>
    <x v="0"/>
    <x v="6"/>
    <x v="5"/>
    <x v="106"/>
    <x v="93"/>
    <x v="93"/>
    <s v="CHARGES"/>
    <x v="0"/>
    <s v="3212.004"/>
    <s v="Intérêts rémun./perçu trop tôt sur acomptes C/C"/>
    <n v="469.55"/>
    <n v="0"/>
    <n v="3212"/>
  </r>
  <r>
    <x v="0"/>
    <x v="6"/>
    <x v="5"/>
    <x v="106"/>
    <x v="93"/>
    <x v="93"/>
    <s v="CHARGES"/>
    <x v="1"/>
    <s v="3301.001"/>
    <s v="Défalcations, abandons de solde PP et IS"/>
    <n v="19650.61"/>
    <n v="0"/>
    <n v="3301"/>
  </r>
  <r>
    <x v="0"/>
    <x v="6"/>
    <x v="5"/>
    <x v="106"/>
    <x v="93"/>
    <x v="93"/>
    <s v="CHARGES"/>
    <x v="0"/>
    <s v="3221.002"/>
    <s v="Intérêts compensatoires / créances en faveur ctb."/>
    <n v="198.87"/>
    <n v="0"/>
    <n v="3221"/>
  </r>
  <r>
    <x v="0"/>
    <x v="6"/>
    <x v="5"/>
    <x v="106"/>
    <x v="93"/>
    <x v="93"/>
    <s v="CHARGES"/>
    <x v="0"/>
    <s v="3212.002"/>
    <s v="Intérêts bonifiés/trop perçu acompte C/C"/>
    <n v="2.95"/>
    <n v="0"/>
    <n v="3212"/>
  </r>
  <r>
    <x v="0"/>
    <x v="6"/>
    <x v="5"/>
    <x v="106"/>
    <x v="93"/>
    <x v="93"/>
    <s v="CHARGES"/>
    <x v="0"/>
    <s v="3212.002"/>
    <s v="Intérêts bonifiés/trop perçu acompte C/C"/>
    <n v="0.25"/>
    <n v="0"/>
    <n v="3212"/>
  </r>
  <r>
    <x v="0"/>
    <x v="6"/>
    <x v="5"/>
    <x v="106"/>
    <x v="93"/>
    <x v="93"/>
    <s v="CHARGES"/>
    <x v="0"/>
    <s v="3221.002"/>
    <s v="Intérêts compensatoires / créances en faveur ctb."/>
    <n v="1.1399999999999999"/>
    <n v="0"/>
    <n v="3221"/>
  </r>
  <r>
    <x v="0"/>
    <x v="6"/>
    <x v="5"/>
    <x v="106"/>
    <x v="93"/>
    <x v="93"/>
    <s v="CHARGES"/>
    <x v="0"/>
    <s v="3212.004"/>
    <s v="Intérêts rémun./perçu trop tôt sur acomptes C/C"/>
    <n v="1.91"/>
    <n v="0"/>
    <n v="3212"/>
  </r>
  <r>
    <x v="0"/>
    <x v="6"/>
    <x v="5"/>
    <x v="106"/>
    <x v="93"/>
    <x v="93"/>
    <s v="CHARGES"/>
    <x v="0"/>
    <s v="3221.002"/>
    <s v="Intérêts compensatoires / créances en faveur ctb."/>
    <n v="1.0900000000000001"/>
    <n v="0"/>
    <n v="3221"/>
  </r>
  <r>
    <x v="0"/>
    <x v="6"/>
    <x v="5"/>
    <x v="106"/>
    <x v="93"/>
    <x v="93"/>
    <s v="CHARGES"/>
    <x v="1"/>
    <s v="3301.001"/>
    <s v="Défalcations, abandons de solde PP et IS"/>
    <n v="0.12"/>
    <n v="0"/>
    <n v="3301"/>
  </r>
  <r>
    <x v="0"/>
    <x v="6"/>
    <x v="5"/>
    <x v="106"/>
    <x v="93"/>
    <x v="93"/>
    <s v="CHARGES"/>
    <x v="1"/>
    <s v="3301.001"/>
    <s v="Défalcations, abandons de solde PP et IS"/>
    <n v="0.82"/>
    <n v="0"/>
    <n v="3301"/>
  </r>
  <r>
    <x v="0"/>
    <x v="6"/>
    <x v="5"/>
    <x v="106"/>
    <x v="93"/>
    <x v="93"/>
    <s v="CHARGES"/>
    <x v="1"/>
    <s v="3301.001"/>
    <s v="Défalcations, abandons de solde PP et IS"/>
    <n v="0.09"/>
    <n v="0"/>
    <n v="3301"/>
  </r>
  <r>
    <x v="0"/>
    <x v="6"/>
    <x v="5"/>
    <x v="106"/>
    <x v="93"/>
    <x v="93"/>
    <s v="CHARGES"/>
    <x v="0"/>
    <s v="3212.004"/>
    <s v="Intérêts rémun./perçu trop tôt sur acomptes C/C"/>
    <n v="1"/>
    <n v="0"/>
    <n v="3212"/>
  </r>
  <r>
    <x v="0"/>
    <x v="6"/>
    <x v="5"/>
    <x v="106"/>
    <x v="93"/>
    <x v="93"/>
    <s v="CHARGES"/>
    <x v="1"/>
    <s v="3301.001"/>
    <s v="Défalcations, abandons de solde PP et IS"/>
    <n v="3.61"/>
    <n v="0"/>
    <n v="3301"/>
  </r>
  <r>
    <x v="0"/>
    <x v="6"/>
    <x v="5"/>
    <x v="106"/>
    <x v="93"/>
    <x v="93"/>
    <s v="CHARGES"/>
    <x v="0"/>
    <s v="3212.004"/>
    <s v="Intérêts rémun./perçu trop tôt sur acomptes C/C"/>
    <n v="0.18"/>
    <n v="0"/>
    <n v="3212"/>
  </r>
  <r>
    <x v="0"/>
    <x v="6"/>
    <x v="5"/>
    <x v="106"/>
    <x v="93"/>
    <x v="93"/>
    <s v="CHARGES"/>
    <x v="0"/>
    <s v="3221.002"/>
    <s v="Intérêts compensatoires / créances en faveur ctb."/>
    <n v="0.2"/>
    <n v="0"/>
    <n v="3221"/>
  </r>
  <r>
    <x v="0"/>
    <x v="6"/>
    <x v="5"/>
    <x v="106"/>
    <x v="93"/>
    <x v="93"/>
    <s v="CHARGES"/>
    <x v="0"/>
    <s v="3212.004"/>
    <s v="Intérêts rémun./perçu trop tôt sur acomptes C/C"/>
    <n v="0.79"/>
    <n v="0"/>
    <n v="3212"/>
  </r>
  <r>
    <x v="0"/>
    <x v="6"/>
    <x v="5"/>
    <x v="106"/>
    <x v="93"/>
    <x v="93"/>
    <s v="CHARGES"/>
    <x v="0"/>
    <s v="3212.004"/>
    <s v="Intérêts rémun./perçu trop tôt sur acomptes C/C"/>
    <n v="-4.04"/>
    <n v="0"/>
    <n v="3212"/>
  </r>
  <r>
    <x v="0"/>
    <x v="6"/>
    <x v="5"/>
    <x v="106"/>
    <x v="93"/>
    <x v="93"/>
    <s v="CHARGES"/>
    <x v="0"/>
    <s v="3221.002"/>
    <s v="Intérêts compensatoires / créances en faveur ctb."/>
    <n v="-0.92"/>
    <n v="0"/>
    <n v="3221"/>
  </r>
  <r>
    <x v="0"/>
    <x v="6"/>
    <x v="5"/>
    <x v="106"/>
    <x v="93"/>
    <x v="93"/>
    <s v="CHARGES"/>
    <x v="0"/>
    <s v="3221.002"/>
    <s v="Intérêts compensatoires / créances en faveur ctb."/>
    <n v="0.02"/>
    <n v="0"/>
    <n v="3221"/>
  </r>
  <r>
    <x v="0"/>
    <x v="6"/>
    <x v="5"/>
    <x v="106"/>
    <x v="93"/>
    <x v="93"/>
    <s v="CHARGES"/>
    <x v="1"/>
    <s v="3301.001"/>
    <s v="Défalcations, abandons de solde PP et IS"/>
    <n v="-3.22"/>
    <n v="0"/>
    <n v="3301"/>
  </r>
  <r>
    <x v="0"/>
    <x v="6"/>
    <x v="5"/>
    <x v="106"/>
    <x v="93"/>
    <x v="93"/>
    <s v="CHARGES"/>
    <x v="1"/>
    <s v="3301.001"/>
    <s v="Défalcations, abandons de solde PP et IS"/>
    <n v="5520.03"/>
    <n v="0"/>
    <n v="3301"/>
  </r>
  <r>
    <x v="0"/>
    <x v="6"/>
    <x v="5"/>
    <x v="106"/>
    <x v="93"/>
    <x v="93"/>
    <s v="CHARGES"/>
    <x v="0"/>
    <s v="3212.004"/>
    <s v="Intérêts rémun./perçu trop tôt sur acomptes C/C"/>
    <n v="0.01"/>
    <n v="0"/>
    <n v="3212"/>
  </r>
  <r>
    <x v="0"/>
    <x v="6"/>
    <x v="5"/>
    <x v="106"/>
    <x v="93"/>
    <x v="93"/>
    <s v="CHARGES"/>
    <x v="1"/>
    <s v="3301.001"/>
    <s v="Défalcations, abandons de solde PP et IS"/>
    <n v="0.03"/>
    <n v="0"/>
    <n v="3301"/>
  </r>
  <r>
    <x v="0"/>
    <x v="6"/>
    <x v="5"/>
    <x v="106"/>
    <x v="93"/>
    <x v="93"/>
    <s v="CHARGES"/>
    <x v="1"/>
    <s v="3301.001"/>
    <s v="Défalcations, abandons de solde PP et IS"/>
    <n v="0"/>
    <n v="0"/>
    <n v="3301"/>
  </r>
  <r>
    <x v="0"/>
    <x v="6"/>
    <x v="5"/>
    <x v="106"/>
    <x v="93"/>
    <x v="93"/>
    <s v="CHARGES"/>
    <x v="0"/>
    <s v="3212.004"/>
    <s v="Intérêts rémun./perçu trop tôt sur acomptes C/C"/>
    <n v="-0.02"/>
    <n v="0"/>
    <n v="3212"/>
  </r>
  <r>
    <x v="0"/>
    <x v="6"/>
    <x v="5"/>
    <x v="106"/>
    <x v="93"/>
    <x v="93"/>
    <s v="CHARGES"/>
    <x v="0"/>
    <s v="3212.002"/>
    <s v="Intérêts bonifiés/trop perçu acompte C/C"/>
    <n v="-0.21"/>
    <n v="0"/>
    <n v="3212"/>
  </r>
  <r>
    <x v="0"/>
    <x v="6"/>
    <x v="5"/>
    <x v="106"/>
    <x v="93"/>
    <x v="93"/>
    <s v="REVENUS"/>
    <x v="2"/>
    <s v="4001.001"/>
    <s v="Impôt revenu"/>
    <n v="0"/>
    <n v="1832241.2"/>
    <n v="4001"/>
  </r>
  <r>
    <x v="0"/>
    <x v="6"/>
    <x v="5"/>
    <x v="106"/>
    <x v="93"/>
    <x v="93"/>
    <s v="REVENUS"/>
    <x v="2"/>
    <s v="4001.007"/>
    <s v="Acompte impôt sur revenu"/>
    <n v="0"/>
    <n v="-437072.58"/>
    <n v="4001"/>
  </r>
  <r>
    <x v="0"/>
    <x v="6"/>
    <x v="5"/>
    <x v="106"/>
    <x v="93"/>
    <x v="93"/>
    <s v="REVENUS"/>
    <x v="3"/>
    <s v="4002.007"/>
    <s v="Acompte impôt sur fortune"/>
    <n v="0"/>
    <n v="-197048.34"/>
    <n v="4002"/>
  </r>
  <r>
    <x v="0"/>
    <x v="6"/>
    <x v="5"/>
    <x v="106"/>
    <x v="93"/>
    <x v="93"/>
    <s v="REVENUS"/>
    <x v="6"/>
    <s v="4211.001"/>
    <s v="Intérêts de retard sur factures"/>
    <n v="0"/>
    <n v="36018.06"/>
    <n v="4211"/>
  </r>
  <r>
    <x v="0"/>
    <x v="6"/>
    <x v="5"/>
    <x v="106"/>
    <x v="93"/>
    <x v="93"/>
    <s v="REVENUS"/>
    <x v="6"/>
    <s v="4211.002"/>
    <s v="Intérêts de retard sur acomptes"/>
    <n v="0"/>
    <n v="15222.31"/>
    <n v="4211"/>
  </r>
  <r>
    <x v="0"/>
    <x v="6"/>
    <x v="5"/>
    <x v="106"/>
    <x v="93"/>
    <x v="93"/>
    <s v="REVENUS"/>
    <x v="3"/>
    <s v="4002.001"/>
    <s v="Impôt ordinaire s/fortune PP"/>
    <n v="0"/>
    <n v="380628.9"/>
    <n v="4002"/>
  </r>
  <r>
    <x v="0"/>
    <x v="6"/>
    <x v="5"/>
    <x v="106"/>
    <x v="93"/>
    <x v="93"/>
    <s v="REVENUS"/>
    <x v="7"/>
    <s v="4184.000"/>
    <s v="Frais de poursuite"/>
    <n v="0"/>
    <n v="4020.12"/>
    <n v="4184"/>
  </r>
  <r>
    <x v="0"/>
    <x v="6"/>
    <x v="5"/>
    <x v="106"/>
    <x v="93"/>
    <x v="93"/>
    <s v="REVENUS"/>
    <x v="6"/>
    <s v="4221.003"/>
    <s v="Intérêts compensat. / acomptes en faveur du fisc"/>
    <n v="0"/>
    <n v="440.51"/>
    <n v="4221"/>
  </r>
  <r>
    <x v="0"/>
    <x v="6"/>
    <x v="5"/>
    <x v="106"/>
    <x v="93"/>
    <x v="93"/>
    <s v="REVENUS"/>
    <x v="2"/>
    <s v="4001.002"/>
    <s v="Impôt complément s/revenu PP"/>
    <n v="0"/>
    <n v="398984.55"/>
    <n v="4001"/>
  </r>
  <r>
    <x v="0"/>
    <x v="6"/>
    <x v="5"/>
    <x v="106"/>
    <x v="93"/>
    <x v="93"/>
    <s v="REVENUS"/>
    <x v="10"/>
    <s v="4041.001"/>
    <s v="Droits de mutation"/>
    <n v="0"/>
    <n v="54935.05"/>
    <n v="4041"/>
  </r>
  <r>
    <x v="0"/>
    <x v="6"/>
    <x v="5"/>
    <x v="106"/>
    <x v="93"/>
    <x v="93"/>
    <s v="REVENUS"/>
    <x v="3"/>
    <s v="4002.002"/>
    <s v="Impôt complémentaire s/fortune PP"/>
    <n v="0"/>
    <n v="302030.75"/>
    <n v="4002"/>
  </r>
  <r>
    <x v="0"/>
    <x v="6"/>
    <x v="5"/>
    <x v="106"/>
    <x v="93"/>
    <x v="93"/>
    <s v="REVENUS"/>
    <x v="5"/>
    <s v="4061.000"/>
    <s v="Impôt sur les chiens"/>
    <n v="0"/>
    <n v="5812.5"/>
    <n v="4061"/>
  </r>
  <r>
    <x v="0"/>
    <x v="6"/>
    <x v="5"/>
    <x v="106"/>
    <x v="93"/>
    <x v="93"/>
    <s v="REVENUS"/>
    <x v="2"/>
    <s v="4001.003"/>
    <s v="Impôt s/prest. cap. PP"/>
    <n v="0"/>
    <n v="37781.75"/>
    <n v="4001"/>
  </r>
  <r>
    <x v="0"/>
    <x v="6"/>
    <x v="5"/>
    <x v="106"/>
    <x v="93"/>
    <x v="93"/>
    <s v="REVENUS"/>
    <x v="2"/>
    <s v="4001.007"/>
    <s v="Acompte impôt sur revenu"/>
    <n v="0"/>
    <n v="-659.74"/>
    <n v="4001"/>
  </r>
  <r>
    <x v="0"/>
    <x v="6"/>
    <x v="5"/>
    <x v="106"/>
    <x v="93"/>
    <x v="93"/>
    <s v="REVENUS"/>
    <x v="3"/>
    <s v="4002.007"/>
    <s v="Acompte impôt sur fortune"/>
    <n v="0"/>
    <n v="-188.77"/>
    <n v="4002"/>
  </r>
  <r>
    <x v="0"/>
    <x v="6"/>
    <x v="5"/>
    <x v="106"/>
    <x v="93"/>
    <x v="93"/>
    <s v="REVENUS"/>
    <x v="3"/>
    <s v="4002.007"/>
    <s v="Acompte impôt sur fortune"/>
    <n v="0"/>
    <n v="1212.74"/>
    <n v="4002"/>
  </r>
  <r>
    <x v="0"/>
    <x v="6"/>
    <x v="5"/>
    <x v="106"/>
    <x v="93"/>
    <x v="93"/>
    <s v="REVENUS"/>
    <x v="3"/>
    <s v="4002.007"/>
    <s v="Acompte impôt sur fortune"/>
    <n v="0"/>
    <n v="-815.65"/>
    <n v="4002"/>
  </r>
  <r>
    <x v="0"/>
    <x v="6"/>
    <x v="5"/>
    <x v="106"/>
    <x v="93"/>
    <x v="93"/>
    <s v="REVENUS"/>
    <x v="3"/>
    <s v="4002.007"/>
    <s v="Acompte impôt sur fortune"/>
    <n v="0"/>
    <n v="-374.29"/>
    <n v="4002"/>
  </r>
  <r>
    <x v="0"/>
    <x v="6"/>
    <x v="5"/>
    <x v="106"/>
    <x v="93"/>
    <x v="93"/>
    <s v="REVENUS"/>
    <x v="2"/>
    <s v="4001.007"/>
    <s v="Acompte impôt sur revenu"/>
    <n v="0"/>
    <n v="639.35"/>
    <n v="4001"/>
  </r>
  <r>
    <x v="0"/>
    <x v="6"/>
    <x v="5"/>
    <x v="106"/>
    <x v="93"/>
    <x v="93"/>
    <s v="REVENUS"/>
    <x v="3"/>
    <s v="4002.001"/>
    <s v="Impôt ordinaire s/fortune PP"/>
    <n v="0"/>
    <n v="2377.1"/>
    <n v="4002"/>
  </r>
  <r>
    <x v="0"/>
    <x v="6"/>
    <x v="5"/>
    <x v="106"/>
    <x v="93"/>
    <x v="93"/>
    <s v="REVENUS"/>
    <x v="2"/>
    <s v="4001.007"/>
    <s v="Acompte impôt sur revenu"/>
    <n v="0"/>
    <n v="666.35"/>
    <n v="4001"/>
  </r>
  <r>
    <x v="0"/>
    <x v="6"/>
    <x v="5"/>
    <x v="106"/>
    <x v="93"/>
    <x v="93"/>
    <s v="REVENUS"/>
    <x v="2"/>
    <s v="4001.001"/>
    <s v="Impôt revenu"/>
    <n v="0"/>
    <n v="2403.6999999999998"/>
    <n v="4001"/>
  </r>
  <r>
    <x v="0"/>
    <x v="6"/>
    <x v="5"/>
    <x v="106"/>
    <x v="93"/>
    <x v="93"/>
    <s v="REVENUS"/>
    <x v="2"/>
    <s v="4001.002"/>
    <s v="Impôt complément s/revenu PP"/>
    <n v="0"/>
    <n v="1893.6"/>
    <n v="4001"/>
  </r>
  <r>
    <x v="0"/>
    <x v="6"/>
    <x v="5"/>
    <x v="106"/>
    <x v="93"/>
    <x v="93"/>
    <s v="REVENUS"/>
    <x v="3"/>
    <s v="4002.007"/>
    <s v="Acompte impôt sur fortune"/>
    <n v="0"/>
    <n v="-522.65"/>
    <n v="4002"/>
  </r>
  <r>
    <x v="0"/>
    <x v="6"/>
    <x v="5"/>
    <x v="106"/>
    <x v="93"/>
    <x v="93"/>
    <s v="REVENUS"/>
    <x v="6"/>
    <s v="4211.001"/>
    <s v="Intérêts de retard sur factures"/>
    <n v="0"/>
    <n v="22.78"/>
    <n v="4211"/>
  </r>
  <r>
    <x v="0"/>
    <x v="6"/>
    <x v="5"/>
    <x v="106"/>
    <x v="93"/>
    <x v="93"/>
    <s v="REVENUS"/>
    <x v="6"/>
    <s v="4211.002"/>
    <s v="Intérêts de retard sur acomptes"/>
    <n v="0"/>
    <n v="44.61"/>
    <n v="4211"/>
  </r>
  <r>
    <x v="0"/>
    <x v="6"/>
    <x v="5"/>
    <x v="106"/>
    <x v="93"/>
    <x v="93"/>
    <s v="REVENUS"/>
    <x v="2"/>
    <s v="4001.007"/>
    <s v="Acompte impôt sur revenu"/>
    <n v="0"/>
    <n v="726.77"/>
    <n v="4001"/>
  </r>
  <r>
    <x v="0"/>
    <x v="6"/>
    <x v="5"/>
    <x v="106"/>
    <x v="93"/>
    <x v="93"/>
    <s v="REVENUS"/>
    <x v="2"/>
    <s v="4001.007"/>
    <s v="Acompte impôt sur revenu"/>
    <n v="0"/>
    <n v="-594.5"/>
    <n v="4001"/>
  </r>
  <r>
    <x v="0"/>
    <x v="6"/>
    <x v="5"/>
    <x v="106"/>
    <x v="93"/>
    <x v="93"/>
    <s v="REVENUS"/>
    <x v="3"/>
    <s v="4002.007"/>
    <s v="Acompte impôt sur fortune"/>
    <n v="0"/>
    <n v="7"/>
    <n v="4002"/>
  </r>
  <r>
    <x v="0"/>
    <x v="6"/>
    <x v="5"/>
    <x v="106"/>
    <x v="93"/>
    <x v="93"/>
    <s v="REVENUS"/>
    <x v="9"/>
    <s v="4031.001"/>
    <s v="Impôt sur les gains immobiliers"/>
    <n v="0"/>
    <n v="48676.7"/>
    <n v="4031"/>
  </r>
  <r>
    <x v="0"/>
    <x v="6"/>
    <x v="5"/>
    <x v="106"/>
    <x v="93"/>
    <x v="93"/>
    <s v="REVENUS"/>
    <x v="2"/>
    <s v="4001.001"/>
    <s v="Impôt revenu"/>
    <n v="0"/>
    <n v="1041.05"/>
    <n v="4001"/>
  </r>
  <r>
    <x v="0"/>
    <x v="6"/>
    <x v="5"/>
    <x v="106"/>
    <x v="93"/>
    <x v="93"/>
    <s v="REVENUS"/>
    <x v="3"/>
    <s v="4002.001"/>
    <s v="Impôt ordinaire s/fortune PP"/>
    <n v="0"/>
    <n v="551.85"/>
    <n v="4002"/>
  </r>
  <r>
    <x v="0"/>
    <x v="6"/>
    <x v="5"/>
    <x v="106"/>
    <x v="93"/>
    <x v="93"/>
    <s v="REVENUS"/>
    <x v="3"/>
    <s v="4002.001"/>
    <s v="Impôt ordinaire s/fortune PP"/>
    <n v="0"/>
    <n v="-5858.7"/>
    <n v="4002"/>
  </r>
  <r>
    <x v="0"/>
    <x v="6"/>
    <x v="5"/>
    <x v="106"/>
    <x v="93"/>
    <x v="93"/>
    <s v="REVENUS"/>
    <x v="6"/>
    <s v="4211.002"/>
    <s v="Intérêts de retard sur acomptes"/>
    <n v="0"/>
    <n v="113.71"/>
    <n v="4211"/>
  </r>
  <r>
    <x v="0"/>
    <x v="6"/>
    <x v="5"/>
    <x v="106"/>
    <x v="93"/>
    <x v="93"/>
    <s v="REVENUS"/>
    <x v="6"/>
    <s v="4221.003"/>
    <s v="Intérêts compensat. / acomptes en faveur du fisc"/>
    <n v="0"/>
    <n v="6.05"/>
    <n v="4221"/>
  </r>
  <r>
    <x v="0"/>
    <x v="6"/>
    <x v="5"/>
    <x v="106"/>
    <x v="93"/>
    <x v="93"/>
    <s v="REVENUS"/>
    <x v="6"/>
    <s v="4221.002"/>
    <s v="Intérêts compensat. sur impôts distincts"/>
    <n v="0"/>
    <n v="4275.1000000000004"/>
    <n v="4221"/>
  </r>
  <r>
    <x v="0"/>
    <x v="6"/>
    <x v="5"/>
    <x v="106"/>
    <x v="93"/>
    <x v="93"/>
    <s v="REVENUS"/>
    <x v="6"/>
    <s v="4221.003"/>
    <s v="Intérêts compensat. / acomptes en faveur du fisc"/>
    <n v="0"/>
    <n v="0.5"/>
    <n v="4221"/>
  </r>
  <r>
    <x v="0"/>
    <x v="6"/>
    <x v="5"/>
    <x v="106"/>
    <x v="93"/>
    <x v="93"/>
    <s v="REVENUS"/>
    <x v="6"/>
    <s v="4221.003"/>
    <s v="Intérêts compensat. / acomptes en faveur du fisc"/>
    <n v="0"/>
    <n v="0.09"/>
    <n v="4221"/>
  </r>
  <r>
    <x v="0"/>
    <x v="6"/>
    <x v="5"/>
    <x v="106"/>
    <x v="93"/>
    <x v="93"/>
    <s v="REVENUS"/>
    <x v="2"/>
    <s v="4001.001"/>
    <s v="Impôt revenu"/>
    <n v="0"/>
    <n v="3717.05"/>
    <n v="4001"/>
  </r>
  <r>
    <x v="0"/>
    <x v="6"/>
    <x v="5"/>
    <x v="106"/>
    <x v="93"/>
    <x v="93"/>
    <s v="REVENUS"/>
    <x v="3"/>
    <s v="4002.001"/>
    <s v="Impôt ordinaire s/fortune PP"/>
    <n v="0"/>
    <n v="1116.1500000000001"/>
    <n v="4002"/>
  </r>
  <r>
    <x v="0"/>
    <x v="6"/>
    <x v="5"/>
    <x v="106"/>
    <x v="93"/>
    <x v="93"/>
    <s v="REVENUS"/>
    <x v="6"/>
    <s v="4221.003"/>
    <s v="Intérêts compensat. / acomptes en faveur du fisc"/>
    <n v="0"/>
    <n v="1.47"/>
    <n v="4221"/>
  </r>
  <r>
    <x v="0"/>
    <x v="6"/>
    <x v="5"/>
    <x v="106"/>
    <x v="93"/>
    <x v="93"/>
    <s v="REVENUS"/>
    <x v="2"/>
    <s v="4001.001"/>
    <s v="Impôt revenu"/>
    <n v="0"/>
    <n v="188.5"/>
    <n v="4001"/>
  </r>
  <r>
    <x v="0"/>
    <x v="6"/>
    <x v="5"/>
    <x v="106"/>
    <x v="93"/>
    <x v="93"/>
    <s v="REVENUS"/>
    <x v="3"/>
    <s v="4002.001"/>
    <s v="Impôt ordinaire s/fortune PP"/>
    <n v="0"/>
    <n v="0"/>
    <n v="4002"/>
  </r>
  <r>
    <x v="0"/>
    <x v="6"/>
    <x v="5"/>
    <x v="106"/>
    <x v="93"/>
    <x v="93"/>
    <s v="REVENUS"/>
    <x v="6"/>
    <s v="4211.002"/>
    <s v="Intérêts de retard sur acomptes"/>
    <n v="0"/>
    <n v="2.5299999999999998"/>
    <n v="4211"/>
  </r>
  <r>
    <x v="0"/>
    <x v="6"/>
    <x v="5"/>
    <x v="106"/>
    <x v="93"/>
    <x v="93"/>
    <s v="REVENUS"/>
    <x v="8"/>
    <s v="4091.001"/>
    <s v="Impôt récupéré après défalcations"/>
    <n v="0"/>
    <n v="6203.74"/>
    <n v="4091"/>
  </r>
  <r>
    <x v="0"/>
    <x v="6"/>
    <x v="5"/>
    <x v="106"/>
    <x v="93"/>
    <x v="93"/>
    <s v="REVENUS"/>
    <x v="6"/>
    <s v="4211.001"/>
    <s v="Intérêts de retard sur factures"/>
    <n v="0"/>
    <n v="664.39"/>
    <n v="4211"/>
  </r>
  <r>
    <x v="0"/>
    <x v="6"/>
    <x v="5"/>
    <x v="106"/>
    <x v="93"/>
    <x v="93"/>
    <s v="REVENUS"/>
    <x v="3"/>
    <s v="4002.002"/>
    <s v="Impôt complémentaire s/fortune PP"/>
    <n v="0"/>
    <n v="2446.85"/>
    <n v="4002"/>
  </r>
  <r>
    <x v="0"/>
    <x v="6"/>
    <x v="5"/>
    <x v="106"/>
    <x v="93"/>
    <x v="93"/>
    <s v="REVENUS"/>
    <x v="4"/>
    <s v="4051.001"/>
    <s v="Impôt sur les successions"/>
    <n v="0"/>
    <n v="100913.9"/>
    <n v="4051"/>
  </r>
  <r>
    <x v="0"/>
    <x v="6"/>
    <x v="5"/>
    <x v="106"/>
    <x v="93"/>
    <x v="93"/>
    <s v="REVENUS"/>
    <x v="2"/>
    <s v="4001.001"/>
    <s v="Impôt revenu"/>
    <n v="0"/>
    <n v="1605.9"/>
    <n v="4001"/>
  </r>
  <r>
    <x v="0"/>
    <x v="6"/>
    <x v="5"/>
    <x v="106"/>
    <x v="93"/>
    <x v="93"/>
    <s v="REVENUS"/>
    <x v="2"/>
    <s v="4001.002"/>
    <s v="Impôt complément s/revenu PP"/>
    <n v="0"/>
    <n v="340.15"/>
    <n v="4001"/>
  </r>
  <r>
    <x v="0"/>
    <x v="6"/>
    <x v="5"/>
    <x v="106"/>
    <x v="93"/>
    <x v="93"/>
    <s v="REVENUS"/>
    <x v="3"/>
    <s v="4002.002"/>
    <s v="Impôt complémentaire s/fortune PP"/>
    <n v="0"/>
    <n v="291.5"/>
    <n v="4002"/>
  </r>
  <r>
    <x v="0"/>
    <x v="6"/>
    <x v="5"/>
    <x v="106"/>
    <x v="93"/>
    <x v="93"/>
    <s v="REVENUS"/>
    <x v="6"/>
    <s v="4211.001"/>
    <s v="Intérêts de retard sur factures"/>
    <n v="0"/>
    <n v="2.27"/>
    <n v="4211"/>
  </r>
  <r>
    <x v="0"/>
    <x v="6"/>
    <x v="5"/>
    <x v="106"/>
    <x v="93"/>
    <x v="93"/>
    <s v="REVENUS"/>
    <x v="6"/>
    <s v="4211.001"/>
    <s v="Intérêts de retard sur factures"/>
    <n v="0"/>
    <n v="0.28999999999999998"/>
    <n v="4211"/>
  </r>
  <r>
    <x v="0"/>
    <x v="6"/>
    <x v="5"/>
    <x v="106"/>
    <x v="93"/>
    <x v="93"/>
    <s v="REVENUS"/>
    <x v="2"/>
    <s v="4001.003"/>
    <s v="Impôt s/prest. cap. PP"/>
    <n v="0"/>
    <n v="144.1"/>
    <n v="4001"/>
  </r>
  <r>
    <x v="0"/>
    <x v="6"/>
    <x v="5"/>
    <x v="106"/>
    <x v="93"/>
    <x v="93"/>
    <s v="REVENUS"/>
    <x v="2"/>
    <s v="4001.001"/>
    <s v="Impôt revenu"/>
    <n v="0"/>
    <n v="-81282.45"/>
    <n v="4001"/>
  </r>
  <r>
    <x v="0"/>
    <x v="6"/>
    <x v="5"/>
    <x v="106"/>
    <x v="93"/>
    <x v="93"/>
    <s v="REVENUS"/>
    <x v="3"/>
    <s v="4002.001"/>
    <s v="Impôt ordinaire s/fortune PP"/>
    <n v="0"/>
    <n v="-48368.7"/>
    <n v="4002"/>
  </r>
  <r>
    <x v="0"/>
    <x v="6"/>
    <x v="5"/>
    <x v="106"/>
    <x v="93"/>
    <x v="93"/>
    <s v="REVENUS"/>
    <x v="6"/>
    <s v="4211.002"/>
    <s v="Intérêts de retard sur acomptes"/>
    <n v="0"/>
    <n v="11.88"/>
    <n v="4211"/>
  </r>
  <r>
    <x v="0"/>
    <x v="6"/>
    <x v="5"/>
    <x v="106"/>
    <x v="93"/>
    <x v="93"/>
    <s v="REVENUS"/>
    <x v="2"/>
    <s v="4001.003"/>
    <s v="Impôt s/prest. cap. PP"/>
    <n v="0"/>
    <n v="-506.3"/>
    <n v="4001"/>
  </r>
  <r>
    <x v="0"/>
    <x v="6"/>
    <x v="5"/>
    <x v="106"/>
    <x v="93"/>
    <x v="93"/>
    <s v="REVENUS"/>
    <x v="6"/>
    <s v="4221.002"/>
    <s v="Intérêts compensat. sur impôts distincts"/>
    <n v="0"/>
    <n v="-3.19"/>
    <n v="4221"/>
  </r>
  <r>
    <x v="0"/>
    <x v="6"/>
    <x v="5"/>
    <x v="106"/>
    <x v="93"/>
    <x v="93"/>
    <s v="REVENUS"/>
    <x v="9"/>
    <s v="4031.002"/>
    <s v="Complément impôt sur les gains immobiliers"/>
    <n v="0"/>
    <n v="6450.25"/>
    <n v="4031"/>
  </r>
  <r>
    <x v="0"/>
    <x v="6"/>
    <x v="5"/>
    <x v="106"/>
    <x v="93"/>
    <x v="93"/>
    <s v="REVENUS"/>
    <x v="2"/>
    <s v="4001.001"/>
    <s v="Impôt revenu"/>
    <n v="0"/>
    <n v="3337.75"/>
    <n v="4001"/>
  </r>
  <r>
    <x v="0"/>
    <x v="6"/>
    <x v="5"/>
    <x v="106"/>
    <x v="93"/>
    <x v="93"/>
    <s v="REVENUS"/>
    <x v="3"/>
    <s v="4002.001"/>
    <s v="Impôt ordinaire s/fortune PP"/>
    <n v="0"/>
    <n v="512.70000000000005"/>
    <n v="4002"/>
  </r>
  <r>
    <x v="0"/>
    <x v="6"/>
    <x v="5"/>
    <x v="106"/>
    <x v="93"/>
    <x v="93"/>
    <s v="REVENUS"/>
    <x v="6"/>
    <s v="4221.003"/>
    <s v="Intérêts compensat. / acomptes en faveur du fisc"/>
    <n v="0"/>
    <n v="3.36"/>
    <n v="4221"/>
  </r>
  <r>
    <x v="0"/>
    <x v="6"/>
    <x v="5"/>
    <x v="106"/>
    <x v="93"/>
    <x v="93"/>
    <s v="REVENUS"/>
    <x v="13"/>
    <s v="4371.013"/>
    <s v="Amende soustraction LMSD"/>
    <n v="0"/>
    <n v="33040"/>
    <n v="4371"/>
  </r>
  <r>
    <x v="0"/>
    <x v="6"/>
    <x v="5"/>
    <x v="106"/>
    <x v="93"/>
    <x v="93"/>
    <s v="REVENUS"/>
    <x v="6"/>
    <s v="4211.001"/>
    <s v="Intérêts de retard sur factures"/>
    <n v="0"/>
    <n v="-459.72"/>
    <n v="4211"/>
  </r>
  <r>
    <x v="0"/>
    <x v="6"/>
    <x v="5"/>
    <x v="106"/>
    <x v="93"/>
    <x v="93"/>
    <s v="REVENUS"/>
    <x v="6"/>
    <s v="4221.002"/>
    <s v="Intérêts compensat. sur impôts distincts"/>
    <n v="0"/>
    <n v="-429.87"/>
    <n v="4221"/>
  </r>
  <r>
    <x v="0"/>
    <x v="6"/>
    <x v="5"/>
    <x v="106"/>
    <x v="93"/>
    <x v="93"/>
    <s v="REVENUS"/>
    <x v="6"/>
    <s v="4221.003"/>
    <s v="Intérêts compensat. / acomptes en faveur du fisc"/>
    <n v="0"/>
    <n v="0.03"/>
    <n v="4221"/>
  </r>
  <r>
    <x v="0"/>
    <x v="6"/>
    <x v="5"/>
    <x v="106"/>
    <x v="93"/>
    <x v="93"/>
    <s v="REVENUS"/>
    <x v="4"/>
    <s v="4051.002"/>
    <s v="Impôt sur les donations"/>
    <n v="0"/>
    <n v="5705.6"/>
    <n v="4051"/>
  </r>
  <r>
    <x v="0"/>
    <x v="6"/>
    <x v="5"/>
    <x v="106"/>
    <x v="93"/>
    <x v="93"/>
    <s v="REVENUS"/>
    <x v="6"/>
    <s v="4221.003"/>
    <s v="Intérêts compensat. / acomptes en faveur du fisc"/>
    <n v="0"/>
    <n v="-0.03"/>
    <n v="4221"/>
  </r>
  <r>
    <x v="0"/>
    <x v="6"/>
    <x v="5"/>
    <x v="106"/>
    <x v="93"/>
    <x v="93"/>
    <s v="REVENUS"/>
    <x v="2"/>
    <s v="4001.002"/>
    <s v="Impôt complément s/revenu PP"/>
    <n v="0"/>
    <n v="1005.1"/>
    <n v="4001"/>
  </r>
  <r>
    <x v="0"/>
    <x v="6"/>
    <x v="5"/>
    <x v="106"/>
    <x v="93"/>
    <x v="93"/>
    <s v="REVENUS"/>
    <x v="3"/>
    <s v="4002.002"/>
    <s v="Impôt complémentaire s/fortune PP"/>
    <n v="0"/>
    <n v="8441.9500000000007"/>
    <n v="4002"/>
  </r>
  <r>
    <x v="0"/>
    <x v="6"/>
    <x v="5"/>
    <x v="106"/>
    <x v="93"/>
    <x v="93"/>
    <s v="REVENUS"/>
    <x v="7"/>
    <s v="4184.000"/>
    <s v="Frais de poursuite"/>
    <n v="0"/>
    <n v="73.3"/>
    <n v="4184"/>
  </r>
  <r>
    <x v="0"/>
    <x v="6"/>
    <x v="5"/>
    <x v="106"/>
    <x v="93"/>
    <x v="93"/>
    <s v="REVENUS"/>
    <x v="11"/>
    <s v="4198.000"/>
    <s v="Contributions communales"/>
    <n v="0"/>
    <n v="161840.70000000001"/>
    <n v="4198"/>
  </r>
  <r>
    <x v="0"/>
    <x v="6"/>
    <x v="5"/>
    <x v="106"/>
    <x v="93"/>
    <x v="93"/>
    <s v="REVENUS"/>
    <x v="6"/>
    <s v="4211.002"/>
    <s v="Intérêts de retard sur acomptes"/>
    <n v="0"/>
    <n v="7.47"/>
    <n v="4211"/>
  </r>
  <r>
    <x v="0"/>
    <x v="6"/>
    <x v="5"/>
    <x v="106"/>
    <x v="93"/>
    <x v="93"/>
    <s v="REVENUS"/>
    <x v="6"/>
    <s v="4211.002"/>
    <s v="Intérêts de retard sur acomptes"/>
    <n v="0"/>
    <n v="1.95"/>
    <n v="4211"/>
  </r>
  <r>
    <x v="0"/>
    <x v="6"/>
    <x v="5"/>
    <x v="107"/>
    <x v="94"/>
    <x v="94"/>
    <s v="CHARGES"/>
    <x v="1"/>
    <s v="3301.001"/>
    <s v="Défalcations, abandons de solde PP et IS"/>
    <n v="3572.03"/>
    <n v="0"/>
    <n v="3301"/>
  </r>
  <r>
    <x v="0"/>
    <x v="6"/>
    <x v="5"/>
    <x v="107"/>
    <x v="94"/>
    <x v="94"/>
    <s v="CHARGES"/>
    <x v="0"/>
    <s v="3212.004"/>
    <s v="Intérêts rémun./perçu trop tôt sur acomptes C/C"/>
    <n v="292.94"/>
    <n v="0"/>
    <n v="3212"/>
  </r>
  <r>
    <x v="0"/>
    <x v="6"/>
    <x v="5"/>
    <x v="107"/>
    <x v="94"/>
    <x v="94"/>
    <s v="CHARGES"/>
    <x v="0"/>
    <s v="3221.002"/>
    <s v="Intérêts compensatoires / créances en faveur ctb."/>
    <n v="125.04"/>
    <n v="0"/>
    <n v="3221"/>
  </r>
  <r>
    <x v="0"/>
    <x v="6"/>
    <x v="5"/>
    <x v="107"/>
    <x v="94"/>
    <x v="94"/>
    <s v="CHARGES"/>
    <x v="1"/>
    <s v="3301.001"/>
    <s v="Défalcations, abandons de solde PP et IS"/>
    <n v="1.1299999999999999"/>
    <n v="0"/>
    <n v="3301"/>
  </r>
  <r>
    <x v="0"/>
    <x v="6"/>
    <x v="5"/>
    <x v="107"/>
    <x v="94"/>
    <x v="94"/>
    <s v="CHARGES"/>
    <x v="0"/>
    <s v="3212.002"/>
    <s v="Intérêts bonifiés/trop perçu acompte C/C"/>
    <n v="4.47"/>
    <n v="0"/>
    <n v="3212"/>
  </r>
  <r>
    <x v="0"/>
    <x v="6"/>
    <x v="5"/>
    <x v="107"/>
    <x v="94"/>
    <x v="94"/>
    <s v="CHARGES"/>
    <x v="0"/>
    <s v="3212.004"/>
    <s v="Intérêts rémun./perçu trop tôt sur acomptes C/C"/>
    <n v="7.0000000000000007E-2"/>
    <n v="0"/>
    <n v="3212"/>
  </r>
  <r>
    <x v="0"/>
    <x v="6"/>
    <x v="5"/>
    <x v="107"/>
    <x v="94"/>
    <x v="94"/>
    <s v="CHARGES"/>
    <x v="0"/>
    <s v="3212.004"/>
    <s v="Intérêts rémun./perçu trop tôt sur acomptes C/C"/>
    <n v="0.06"/>
    <n v="0"/>
    <n v="3212"/>
  </r>
  <r>
    <x v="0"/>
    <x v="6"/>
    <x v="5"/>
    <x v="107"/>
    <x v="94"/>
    <x v="94"/>
    <s v="CHARGES"/>
    <x v="0"/>
    <s v="3221.002"/>
    <s v="Intérêts compensatoires / créances en faveur ctb."/>
    <n v="1.1599999999999999"/>
    <n v="0"/>
    <n v="3221"/>
  </r>
  <r>
    <x v="0"/>
    <x v="6"/>
    <x v="5"/>
    <x v="107"/>
    <x v="94"/>
    <x v="94"/>
    <s v="CHARGES"/>
    <x v="1"/>
    <s v="3301.001"/>
    <s v="Défalcations, abandons de solde PP et IS"/>
    <n v="0.38"/>
    <n v="0"/>
    <n v="3301"/>
  </r>
  <r>
    <x v="0"/>
    <x v="6"/>
    <x v="5"/>
    <x v="107"/>
    <x v="94"/>
    <x v="94"/>
    <s v="CHARGES"/>
    <x v="0"/>
    <s v="3221.002"/>
    <s v="Intérêts compensatoires / créances en faveur ctb."/>
    <n v="0.1"/>
    <n v="0"/>
    <n v="3221"/>
  </r>
  <r>
    <x v="0"/>
    <x v="6"/>
    <x v="5"/>
    <x v="107"/>
    <x v="94"/>
    <x v="94"/>
    <s v="CHARGES"/>
    <x v="0"/>
    <s v="3221.002"/>
    <s v="Intérêts compensatoires / créances en faveur ctb."/>
    <n v="0.04"/>
    <n v="0"/>
    <n v="3221"/>
  </r>
  <r>
    <x v="0"/>
    <x v="6"/>
    <x v="5"/>
    <x v="107"/>
    <x v="94"/>
    <x v="94"/>
    <s v="CHARGES"/>
    <x v="0"/>
    <s v="3212.004"/>
    <s v="Intérêts rémun./perçu trop tôt sur acomptes C/C"/>
    <n v="6.09"/>
    <n v="0"/>
    <n v="3212"/>
  </r>
  <r>
    <x v="0"/>
    <x v="6"/>
    <x v="5"/>
    <x v="107"/>
    <x v="94"/>
    <x v="94"/>
    <s v="CHARGES"/>
    <x v="0"/>
    <s v="3212.004"/>
    <s v="Intérêts rémun./perçu trop tôt sur acomptes C/C"/>
    <n v="0.33"/>
    <n v="0"/>
    <n v="3212"/>
  </r>
  <r>
    <x v="0"/>
    <x v="6"/>
    <x v="5"/>
    <x v="107"/>
    <x v="94"/>
    <x v="94"/>
    <s v="CHARGES"/>
    <x v="0"/>
    <s v="3221.002"/>
    <s v="Intérêts compensatoires / créances en faveur ctb."/>
    <n v="0.02"/>
    <n v="0"/>
    <n v="3221"/>
  </r>
  <r>
    <x v="0"/>
    <x v="6"/>
    <x v="5"/>
    <x v="107"/>
    <x v="94"/>
    <x v="94"/>
    <s v="CHARGES"/>
    <x v="0"/>
    <s v="3212.004"/>
    <s v="Intérêts rémun./perçu trop tôt sur acomptes C/C"/>
    <n v="0.02"/>
    <n v="0"/>
    <n v="3212"/>
  </r>
  <r>
    <x v="0"/>
    <x v="6"/>
    <x v="5"/>
    <x v="107"/>
    <x v="94"/>
    <x v="94"/>
    <s v="CHARGES"/>
    <x v="1"/>
    <s v="3301.001"/>
    <s v="Défalcations, abandons de solde PP et IS"/>
    <n v="0.03"/>
    <n v="0"/>
    <n v="3301"/>
  </r>
  <r>
    <x v="0"/>
    <x v="6"/>
    <x v="5"/>
    <x v="107"/>
    <x v="94"/>
    <x v="94"/>
    <s v="CHARGES"/>
    <x v="1"/>
    <s v="3301.001"/>
    <s v="Défalcations, abandons de solde PP et IS"/>
    <n v="0.49"/>
    <n v="0"/>
    <n v="3301"/>
  </r>
  <r>
    <x v="0"/>
    <x v="6"/>
    <x v="5"/>
    <x v="107"/>
    <x v="94"/>
    <x v="94"/>
    <s v="REVENUS"/>
    <x v="6"/>
    <s v="4211.001"/>
    <s v="Intérêts de retard sur factures"/>
    <n v="0"/>
    <n v="1207.44"/>
    <n v="4211"/>
  </r>
  <r>
    <x v="0"/>
    <x v="6"/>
    <x v="5"/>
    <x v="107"/>
    <x v="94"/>
    <x v="94"/>
    <s v="REVENUS"/>
    <x v="2"/>
    <s v="4001.001"/>
    <s v="Impôt revenu"/>
    <n v="0"/>
    <n v="702771.75"/>
    <n v="4001"/>
  </r>
  <r>
    <x v="0"/>
    <x v="6"/>
    <x v="5"/>
    <x v="107"/>
    <x v="94"/>
    <x v="94"/>
    <s v="REVENUS"/>
    <x v="2"/>
    <s v="4001.007"/>
    <s v="Acompte impôt sur revenu"/>
    <n v="0"/>
    <n v="-161692.20000000001"/>
    <n v="4001"/>
  </r>
  <r>
    <x v="0"/>
    <x v="6"/>
    <x v="5"/>
    <x v="107"/>
    <x v="94"/>
    <x v="94"/>
    <s v="REVENUS"/>
    <x v="3"/>
    <s v="4002.001"/>
    <s v="Impôt ordinaire s/fortune PP"/>
    <n v="0"/>
    <n v="186406.35"/>
    <n v="4002"/>
  </r>
  <r>
    <x v="0"/>
    <x v="6"/>
    <x v="5"/>
    <x v="107"/>
    <x v="94"/>
    <x v="94"/>
    <s v="REVENUS"/>
    <x v="3"/>
    <s v="4002.007"/>
    <s v="Acompte impôt sur fortune"/>
    <n v="0"/>
    <n v="-56251.79"/>
    <n v="4002"/>
  </r>
  <r>
    <x v="0"/>
    <x v="6"/>
    <x v="5"/>
    <x v="107"/>
    <x v="94"/>
    <x v="94"/>
    <s v="REVENUS"/>
    <x v="2"/>
    <s v="4001.001"/>
    <s v="Impôt revenu"/>
    <n v="0"/>
    <n v="1788.05"/>
    <n v="4001"/>
  </r>
  <r>
    <x v="0"/>
    <x v="6"/>
    <x v="5"/>
    <x v="107"/>
    <x v="94"/>
    <x v="94"/>
    <s v="REVENUS"/>
    <x v="3"/>
    <s v="4002.001"/>
    <s v="Impôt ordinaire s/fortune PP"/>
    <n v="0"/>
    <n v="6516.65"/>
    <n v="4002"/>
  </r>
  <r>
    <x v="0"/>
    <x v="6"/>
    <x v="5"/>
    <x v="107"/>
    <x v="94"/>
    <x v="94"/>
    <s v="REVENUS"/>
    <x v="9"/>
    <s v="4031.001"/>
    <s v="Impôt sur les gains immobiliers"/>
    <n v="0"/>
    <n v="29391.599999999999"/>
    <n v="4031"/>
  </r>
  <r>
    <x v="0"/>
    <x v="6"/>
    <x v="5"/>
    <x v="107"/>
    <x v="94"/>
    <x v="94"/>
    <s v="REVENUS"/>
    <x v="10"/>
    <s v="4041.001"/>
    <s v="Droits de mutation"/>
    <n v="0"/>
    <n v="46866.6"/>
    <n v="4041"/>
  </r>
  <r>
    <x v="0"/>
    <x v="6"/>
    <x v="5"/>
    <x v="107"/>
    <x v="94"/>
    <x v="94"/>
    <s v="REVENUS"/>
    <x v="6"/>
    <s v="4211.002"/>
    <s v="Intérêts de retard sur acomptes"/>
    <n v="0"/>
    <n v="4199.49"/>
    <n v="4211"/>
  </r>
  <r>
    <x v="0"/>
    <x v="6"/>
    <x v="5"/>
    <x v="107"/>
    <x v="94"/>
    <x v="94"/>
    <s v="REVENUS"/>
    <x v="2"/>
    <s v="4001.001"/>
    <s v="Impôt revenu"/>
    <n v="0"/>
    <n v="3703.55"/>
    <n v="4001"/>
  </r>
  <r>
    <x v="0"/>
    <x v="6"/>
    <x v="5"/>
    <x v="107"/>
    <x v="94"/>
    <x v="94"/>
    <s v="REVENUS"/>
    <x v="2"/>
    <s v="4001.002"/>
    <s v="Impôt complément s/revenu PP"/>
    <n v="0"/>
    <n v="1180.45"/>
    <n v="4001"/>
  </r>
  <r>
    <x v="0"/>
    <x v="6"/>
    <x v="5"/>
    <x v="107"/>
    <x v="94"/>
    <x v="94"/>
    <s v="REVENUS"/>
    <x v="3"/>
    <s v="4002.001"/>
    <s v="Impôt ordinaire s/fortune PP"/>
    <n v="0"/>
    <n v="543.5"/>
    <n v="4002"/>
  </r>
  <r>
    <x v="0"/>
    <x v="6"/>
    <x v="5"/>
    <x v="107"/>
    <x v="94"/>
    <x v="94"/>
    <s v="REVENUS"/>
    <x v="3"/>
    <s v="4002.002"/>
    <s v="Impôt complémentaire s/fortune PP"/>
    <n v="0"/>
    <n v="550.25"/>
    <n v="4002"/>
  </r>
  <r>
    <x v="0"/>
    <x v="6"/>
    <x v="5"/>
    <x v="107"/>
    <x v="94"/>
    <x v="94"/>
    <s v="REVENUS"/>
    <x v="6"/>
    <s v="4211.002"/>
    <s v="Intérêts de retard sur acomptes"/>
    <n v="0"/>
    <n v="44.96"/>
    <n v="4211"/>
  </r>
  <r>
    <x v="0"/>
    <x v="6"/>
    <x v="5"/>
    <x v="107"/>
    <x v="94"/>
    <x v="94"/>
    <s v="REVENUS"/>
    <x v="6"/>
    <s v="4221.003"/>
    <s v="Intérêts compensat. / acomptes en faveur du fisc"/>
    <n v="0"/>
    <n v="3.07"/>
    <n v="4221"/>
  </r>
  <r>
    <x v="0"/>
    <x v="6"/>
    <x v="5"/>
    <x v="107"/>
    <x v="94"/>
    <x v="94"/>
    <s v="REVENUS"/>
    <x v="2"/>
    <s v="4001.001"/>
    <s v="Impôt revenu"/>
    <n v="0"/>
    <n v="5340.45"/>
    <n v="4001"/>
  </r>
  <r>
    <x v="0"/>
    <x v="6"/>
    <x v="5"/>
    <x v="107"/>
    <x v="94"/>
    <x v="94"/>
    <s v="REVENUS"/>
    <x v="3"/>
    <s v="4002.001"/>
    <s v="Impôt ordinaire s/fortune PP"/>
    <n v="0"/>
    <n v="2295.9499999999998"/>
    <n v="4002"/>
  </r>
  <r>
    <x v="0"/>
    <x v="6"/>
    <x v="5"/>
    <x v="107"/>
    <x v="94"/>
    <x v="94"/>
    <s v="REVENUS"/>
    <x v="6"/>
    <s v="4221.003"/>
    <s v="Intérêts compensat. / acomptes en faveur du fisc"/>
    <n v="0"/>
    <n v="68.88"/>
    <n v="4221"/>
  </r>
  <r>
    <x v="0"/>
    <x v="6"/>
    <x v="5"/>
    <x v="107"/>
    <x v="94"/>
    <x v="94"/>
    <s v="REVENUS"/>
    <x v="2"/>
    <s v="4001.007"/>
    <s v="Acompte impôt sur revenu"/>
    <n v="0"/>
    <n v="802.31"/>
    <n v="4001"/>
  </r>
  <r>
    <x v="0"/>
    <x v="6"/>
    <x v="5"/>
    <x v="107"/>
    <x v="94"/>
    <x v="94"/>
    <s v="REVENUS"/>
    <x v="3"/>
    <s v="4002.007"/>
    <s v="Acompte impôt sur fortune"/>
    <n v="0"/>
    <n v="604.16"/>
    <n v="4002"/>
  </r>
  <r>
    <x v="0"/>
    <x v="6"/>
    <x v="5"/>
    <x v="107"/>
    <x v="94"/>
    <x v="94"/>
    <s v="REVENUS"/>
    <x v="2"/>
    <s v="4001.002"/>
    <s v="Impôt complément s/revenu PP"/>
    <n v="0"/>
    <n v="87699.3"/>
    <n v="4001"/>
  </r>
  <r>
    <x v="0"/>
    <x v="6"/>
    <x v="5"/>
    <x v="107"/>
    <x v="94"/>
    <x v="94"/>
    <s v="REVENUS"/>
    <x v="3"/>
    <s v="4002.002"/>
    <s v="Impôt complémentaire s/fortune PP"/>
    <n v="0"/>
    <n v="22686.7"/>
    <n v="4002"/>
  </r>
  <r>
    <x v="0"/>
    <x v="6"/>
    <x v="5"/>
    <x v="107"/>
    <x v="94"/>
    <x v="94"/>
    <s v="REVENUS"/>
    <x v="2"/>
    <s v="4001.007"/>
    <s v="Acompte impôt sur revenu"/>
    <n v="0"/>
    <n v="-31.1"/>
    <n v="4001"/>
  </r>
  <r>
    <x v="0"/>
    <x v="6"/>
    <x v="5"/>
    <x v="107"/>
    <x v="94"/>
    <x v="94"/>
    <s v="REVENUS"/>
    <x v="3"/>
    <s v="4002.007"/>
    <s v="Acompte impôt sur fortune"/>
    <n v="0"/>
    <n v="-9.1999999999999993"/>
    <n v="4002"/>
  </r>
  <r>
    <x v="0"/>
    <x v="6"/>
    <x v="5"/>
    <x v="107"/>
    <x v="94"/>
    <x v="94"/>
    <s v="REVENUS"/>
    <x v="7"/>
    <s v="4184.000"/>
    <s v="Frais de poursuite"/>
    <n v="0"/>
    <n v="608.54"/>
    <n v="4184"/>
  </r>
  <r>
    <x v="0"/>
    <x v="6"/>
    <x v="5"/>
    <x v="107"/>
    <x v="94"/>
    <x v="94"/>
    <s v="REVENUS"/>
    <x v="3"/>
    <s v="4002.007"/>
    <s v="Acompte impôt sur fortune"/>
    <n v="0"/>
    <n v="35.85"/>
    <n v="4002"/>
  </r>
  <r>
    <x v="0"/>
    <x v="6"/>
    <x v="5"/>
    <x v="107"/>
    <x v="94"/>
    <x v="94"/>
    <s v="REVENUS"/>
    <x v="3"/>
    <s v="4002.007"/>
    <s v="Acompte impôt sur fortune"/>
    <n v="0"/>
    <n v="-1179.25"/>
    <n v="4002"/>
  </r>
  <r>
    <x v="0"/>
    <x v="6"/>
    <x v="5"/>
    <x v="107"/>
    <x v="94"/>
    <x v="94"/>
    <s v="REVENUS"/>
    <x v="2"/>
    <s v="4001.007"/>
    <s v="Acompte impôt sur revenu"/>
    <n v="0"/>
    <n v="-269.95"/>
    <n v="4001"/>
  </r>
  <r>
    <x v="0"/>
    <x v="6"/>
    <x v="5"/>
    <x v="107"/>
    <x v="94"/>
    <x v="94"/>
    <s v="REVENUS"/>
    <x v="2"/>
    <s v="4001.007"/>
    <s v="Acompte impôt sur revenu"/>
    <n v="0"/>
    <n v="-2496.6"/>
    <n v="4001"/>
  </r>
  <r>
    <x v="0"/>
    <x v="6"/>
    <x v="5"/>
    <x v="107"/>
    <x v="94"/>
    <x v="94"/>
    <s v="REVENUS"/>
    <x v="2"/>
    <s v="4001.003"/>
    <s v="Impôt s/prest. cap. PP"/>
    <n v="0"/>
    <n v="21360.45"/>
    <n v="4001"/>
  </r>
  <r>
    <x v="0"/>
    <x v="6"/>
    <x v="5"/>
    <x v="107"/>
    <x v="94"/>
    <x v="94"/>
    <s v="REVENUS"/>
    <x v="6"/>
    <s v="4221.002"/>
    <s v="Intérêts compensat. sur impôts distincts"/>
    <n v="0"/>
    <n v="46.45"/>
    <n v="4221"/>
  </r>
  <r>
    <x v="0"/>
    <x v="6"/>
    <x v="5"/>
    <x v="107"/>
    <x v="94"/>
    <x v="94"/>
    <s v="REVENUS"/>
    <x v="2"/>
    <s v="4001.001"/>
    <s v="Impôt revenu"/>
    <n v="0"/>
    <n v="440.95"/>
    <n v="4001"/>
  </r>
  <r>
    <x v="0"/>
    <x v="6"/>
    <x v="5"/>
    <x v="107"/>
    <x v="94"/>
    <x v="94"/>
    <s v="REVENUS"/>
    <x v="3"/>
    <s v="4002.001"/>
    <s v="Impôt ordinaire s/fortune PP"/>
    <n v="0"/>
    <n v="430.7"/>
    <n v="4002"/>
  </r>
  <r>
    <x v="0"/>
    <x v="6"/>
    <x v="5"/>
    <x v="107"/>
    <x v="94"/>
    <x v="94"/>
    <s v="REVENUS"/>
    <x v="6"/>
    <s v="4221.003"/>
    <s v="Intérêts compensat. / acomptes en faveur du fisc"/>
    <n v="0"/>
    <n v="0.21"/>
    <n v="4221"/>
  </r>
  <r>
    <x v="0"/>
    <x v="6"/>
    <x v="5"/>
    <x v="107"/>
    <x v="94"/>
    <x v="94"/>
    <s v="REVENUS"/>
    <x v="3"/>
    <s v="4002.007"/>
    <s v="Acompte impôt sur fortune"/>
    <n v="0"/>
    <n v="-86.45"/>
    <n v="4002"/>
  </r>
  <r>
    <x v="0"/>
    <x v="6"/>
    <x v="5"/>
    <x v="107"/>
    <x v="94"/>
    <x v="94"/>
    <s v="REVENUS"/>
    <x v="6"/>
    <s v="4211.002"/>
    <s v="Intérêts de retard sur acomptes"/>
    <n v="0"/>
    <n v="1.07"/>
    <n v="4211"/>
  </r>
  <r>
    <x v="0"/>
    <x v="6"/>
    <x v="5"/>
    <x v="107"/>
    <x v="94"/>
    <x v="94"/>
    <s v="REVENUS"/>
    <x v="2"/>
    <s v="4001.002"/>
    <s v="Impôt complément s/revenu PP"/>
    <n v="0"/>
    <n v="121.3"/>
    <n v="4001"/>
  </r>
  <r>
    <x v="0"/>
    <x v="6"/>
    <x v="5"/>
    <x v="107"/>
    <x v="94"/>
    <x v="94"/>
    <s v="REVENUS"/>
    <x v="3"/>
    <s v="4002.002"/>
    <s v="Impôt complémentaire s/fortune PP"/>
    <n v="0"/>
    <n v="42.65"/>
    <n v="4002"/>
  </r>
  <r>
    <x v="0"/>
    <x v="6"/>
    <x v="5"/>
    <x v="107"/>
    <x v="94"/>
    <x v="94"/>
    <s v="REVENUS"/>
    <x v="6"/>
    <s v="4211.001"/>
    <s v="Intérêts de retard sur factures"/>
    <n v="0"/>
    <n v="0.45"/>
    <n v="4211"/>
  </r>
  <r>
    <x v="0"/>
    <x v="6"/>
    <x v="5"/>
    <x v="107"/>
    <x v="94"/>
    <x v="94"/>
    <s v="REVENUS"/>
    <x v="7"/>
    <s v="4184.000"/>
    <s v="Frais de poursuite"/>
    <n v="0"/>
    <n v="112.36"/>
    <n v="4184"/>
  </r>
  <r>
    <x v="0"/>
    <x v="6"/>
    <x v="5"/>
    <x v="107"/>
    <x v="94"/>
    <x v="94"/>
    <s v="REVENUS"/>
    <x v="5"/>
    <s v="4061.000"/>
    <s v="Impôt sur les chiens"/>
    <n v="0"/>
    <n v="1590"/>
    <n v="4061"/>
  </r>
  <r>
    <x v="0"/>
    <x v="6"/>
    <x v="5"/>
    <x v="107"/>
    <x v="94"/>
    <x v="94"/>
    <s v="REVENUS"/>
    <x v="4"/>
    <s v="4051.001"/>
    <s v="Impôt sur les successions"/>
    <n v="0"/>
    <n v="96249"/>
    <n v="4051"/>
  </r>
  <r>
    <x v="0"/>
    <x v="6"/>
    <x v="5"/>
    <x v="107"/>
    <x v="94"/>
    <x v="94"/>
    <s v="REVENUS"/>
    <x v="2"/>
    <s v="4001.007"/>
    <s v="Acompte impôt sur revenu"/>
    <n v="0"/>
    <n v="-432.75"/>
    <n v="4001"/>
  </r>
  <r>
    <x v="0"/>
    <x v="6"/>
    <x v="5"/>
    <x v="107"/>
    <x v="94"/>
    <x v="94"/>
    <s v="REVENUS"/>
    <x v="3"/>
    <s v="4002.007"/>
    <s v="Acompte impôt sur fortune"/>
    <n v="0"/>
    <n v="-954.45"/>
    <n v="4002"/>
  </r>
  <r>
    <x v="0"/>
    <x v="6"/>
    <x v="5"/>
    <x v="107"/>
    <x v="94"/>
    <x v="94"/>
    <s v="REVENUS"/>
    <x v="4"/>
    <s v="4051.002"/>
    <s v="Impôt sur les donations"/>
    <n v="0"/>
    <n v="4716"/>
    <n v="4051"/>
  </r>
  <r>
    <x v="0"/>
    <x v="6"/>
    <x v="5"/>
    <x v="107"/>
    <x v="94"/>
    <x v="94"/>
    <s v="REVENUS"/>
    <x v="6"/>
    <s v="4211.002"/>
    <s v="Intérêts de retard sur acomptes"/>
    <n v="0"/>
    <n v="0.49"/>
    <n v="4211"/>
  </r>
  <r>
    <x v="0"/>
    <x v="6"/>
    <x v="5"/>
    <x v="107"/>
    <x v="94"/>
    <x v="94"/>
    <s v="REVENUS"/>
    <x v="3"/>
    <s v="4002.001"/>
    <s v="Impôt ordinaire s/fortune PP"/>
    <n v="0"/>
    <n v="-77.3"/>
    <n v="4002"/>
  </r>
  <r>
    <x v="0"/>
    <x v="6"/>
    <x v="5"/>
    <x v="107"/>
    <x v="94"/>
    <x v="94"/>
    <s v="REVENUS"/>
    <x v="6"/>
    <s v="4221.003"/>
    <s v="Intérêts compensat. / acomptes en faveur du fisc"/>
    <n v="0"/>
    <n v="0.03"/>
    <n v="4221"/>
  </r>
  <r>
    <x v="0"/>
    <x v="6"/>
    <x v="5"/>
    <x v="107"/>
    <x v="94"/>
    <x v="94"/>
    <s v="REVENUS"/>
    <x v="7"/>
    <s v="4184.000"/>
    <s v="Frais de poursuite"/>
    <n v="0"/>
    <n v="35.049999999999997"/>
    <n v="4184"/>
  </r>
  <r>
    <x v="0"/>
    <x v="6"/>
    <x v="5"/>
    <x v="107"/>
    <x v="94"/>
    <x v="94"/>
    <s v="REVENUS"/>
    <x v="6"/>
    <s v="4221.003"/>
    <s v="Intérêts compensat. / acomptes en faveur du fisc"/>
    <n v="0"/>
    <n v="0.49"/>
    <n v="4221"/>
  </r>
  <r>
    <x v="0"/>
    <x v="6"/>
    <x v="5"/>
    <x v="108"/>
    <x v="95"/>
    <x v="95"/>
    <s v="CHARGES"/>
    <x v="0"/>
    <s v="3212.002"/>
    <s v="Intérêts bonifiés/trop perçu acompte C/C"/>
    <n v="3.59"/>
    <n v="0"/>
    <n v="3212"/>
  </r>
  <r>
    <x v="0"/>
    <x v="6"/>
    <x v="5"/>
    <x v="108"/>
    <x v="95"/>
    <x v="95"/>
    <s v="CHARGES"/>
    <x v="1"/>
    <s v="3301.001"/>
    <s v="Défalcations, abandons de solde PP et IS"/>
    <n v="40543.21"/>
    <n v="0"/>
    <n v="3301"/>
  </r>
  <r>
    <x v="0"/>
    <x v="6"/>
    <x v="5"/>
    <x v="108"/>
    <x v="95"/>
    <x v="95"/>
    <s v="CHARGES"/>
    <x v="0"/>
    <s v="3212.004"/>
    <s v="Intérêts rémun./perçu trop tôt sur acomptes C/C"/>
    <n v="172.33"/>
    <n v="0"/>
    <n v="3212"/>
  </r>
  <r>
    <x v="0"/>
    <x v="6"/>
    <x v="5"/>
    <x v="108"/>
    <x v="95"/>
    <x v="95"/>
    <s v="CHARGES"/>
    <x v="0"/>
    <s v="3221.002"/>
    <s v="Intérêts compensatoires / créances en faveur ctb."/>
    <n v="78.66"/>
    <n v="0"/>
    <n v="3221"/>
  </r>
  <r>
    <x v="0"/>
    <x v="6"/>
    <x v="5"/>
    <x v="108"/>
    <x v="95"/>
    <x v="95"/>
    <s v="CHARGES"/>
    <x v="1"/>
    <s v="3301.001"/>
    <s v="Défalcations, abandons de solde PP et IS"/>
    <n v="0.51"/>
    <n v="0"/>
    <n v="3301"/>
  </r>
  <r>
    <x v="0"/>
    <x v="6"/>
    <x v="5"/>
    <x v="108"/>
    <x v="95"/>
    <x v="95"/>
    <s v="CHARGES"/>
    <x v="0"/>
    <s v="3212.004"/>
    <s v="Intérêts rémun./perçu trop tôt sur acomptes C/C"/>
    <n v="0.8"/>
    <n v="0"/>
    <n v="3212"/>
  </r>
  <r>
    <x v="0"/>
    <x v="6"/>
    <x v="5"/>
    <x v="108"/>
    <x v="95"/>
    <x v="95"/>
    <s v="CHARGES"/>
    <x v="0"/>
    <s v="3221.002"/>
    <s v="Intérêts compensatoires / créances en faveur ctb."/>
    <n v="0.79"/>
    <n v="0"/>
    <n v="3221"/>
  </r>
  <r>
    <x v="0"/>
    <x v="6"/>
    <x v="5"/>
    <x v="108"/>
    <x v="95"/>
    <x v="95"/>
    <s v="CHARGES"/>
    <x v="0"/>
    <s v="3212.004"/>
    <s v="Intérêts rémun./perçu trop tôt sur acomptes C/C"/>
    <n v="0.16"/>
    <n v="0"/>
    <n v="3212"/>
  </r>
  <r>
    <x v="0"/>
    <x v="6"/>
    <x v="5"/>
    <x v="108"/>
    <x v="95"/>
    <x v="95"/>
    <s v="CHARGES"/>
    <x v="1"/>
    <s v="3301.001"/>
    <s v="Défalcations, abandons de solde PP et IS"/>
    <n v="0.03"/>
    <n v="0"/>
    <n v="3301"/>
  </r>
  <r>
    <x v="0"/>
    <x v="6"/>
    <x v="5"/>
    <x v="108"/>
    <x v="95"/>
    <x v="95"/>
    <s v="CHARGES"/>
    <x v="1"/>
    <s v="3301.001"/>
    <s v="Défalcations, abandons de solde PP et IS"/>
    <n v="7.0000000000000007E-2"/>
    <n v="0"/>
    <n v="3301"/>
  </r>
  <r>
    <x v="0"/>
    <x v="6"/>
    <x v="5"/>
    <x v="108"/>
    <x v="95"/>
    <x v="95"/>
    <s v="CHARGES"/>
    <x v="0"/>
    <s v="3221.002"/>
    <s v="Intérêts compensatoires / créances en faveur ctb."/>
    <n v="0.06"/>
    <n v="0"/>
    <n v="3221"/>
  </r>
  <r>
    <x v="0"/>
    <x v="6"/>
    <x v="5"/>
    <x v="108"/>
    <x v="95"/>
    <x v="95"/>
    <s v="CHARGES"/>
    <x v="0"/>
    <s v="3212.004"/>
    <s v="Intérêts rémun./perçu trop tôt sur acomptes C/C"/>
    <n v="0.11"/>
    <n v="0"/>
    <n v="3212"/>
  </r>
  <r>
    <x v="0"/>
    <x v="6"/>
    <x v="5"/>
    <x v="108"/>
    <x v="95"/>
    <x v="95"/>
    <s v="CHARGES"/>
    <x v="0"/>
    <s v="3212.004"/>
    <s v="Intérêts rémun./perçu trop tôt sur acomptes C/C"/>
    <n v="0.38"/>
    <n v="0"/>
    <n v="3212"/>
  </r>
  <r>
    <x v="0"/>
    <x v="6"/>
    <x v="5"/>
    <x v="108"/>
    <x v="95"/>
    <x v="95"/>
    <s v="CHARGES"/>
    <x v="0"/>
    <s v="3221.002"/>
    <s v="Intérêts compensatoires / créances en faveur ctb."/>
    <n v="0.06"/>
    <n v="0"/>
    <n v="3221"/>
  </r>
  <r>
    <x v="0"/>
    <x v="6"/>
    <x v="5"/>
    <x v="108"/>
    <x v="95"/>
    <x v="95"/>
    <s v="REVENUS"/>
    <x v="2"/>
    <s v="4001.001"/>
    <s v="Impôt revenu"/>
    <n v="0"/>
    <n v="834086.7"/>
    <n v="4001"/>
  </r>
  <r>
    <x v="0"/>
    <x v="6"/>
    <x v="5"/>
    <x v="108"/>
    <x v="95"/>
    <x v="95"/>
    <s v="REVENUS"/>
    <x v="3"/>
    <s v="4002.001"/>
    <s v="Impôt ordinaire s/fortune PP"/>
    <n v="0"/>
    <n v="90421.25"/>
    <n v="4002"/>
  </r>
  <r>
    <x v="0"/>
    <x v="6"/>
    <x v="5"/>
    <x v="108"/>
    <x v="95"/>
    <x v="95"/>
    <s v="REVENUS"/>
    <x v="2"/>
    <s v="4001.007"/>
    <s v="Acompte impôt sur revenu"/>
    <n v="0"/>
    <n v="-112904.39"/>
    <n v="4001"/>
  </r>
  <r>
    <x v="0"/>
    <x v="6"/>
    <x v="5"/>
    <x v="108"/>
    <x v="95"/>
    <x v="95"/>
    <s v="REVENUS"/>
    <x v="3"/>
    <s v="4002.007"/>
    <s v="Acompte impôt sur fortune"/>
    <n v="0"/>
    <n v="-33604.54"/>
    <n v="4002"/>
  </r>
  <r>
    <x v="0"/>
    <x v="6"/>
    <x v="5"/>
    <x v="108"/>
    <x v="95"/>
    <x v="95"/>
    <s v="REVENUS"/>
    <x v="6"/>
    <s v="4221.003"/>
    <s v="Intérêts compensat. / acomptes en faveur du fisc"/>
    <n v="0"/>
    <n v="82.94"/>
    <n v="4221"/>
  </r>
  <r>
    <x v="0"/>
    <x v="6"/>
    <x v="5"/>
    <x v="108"/>
    <x v="95"/>
    <x v="95"/>
    <s v="REVENUS"/>
    <x v="2"/>
    <s v="4001.002"/>
    <s v="Impôt complément s/revenu PP"/>
    <n v="0"/>
    <n v="53944.4"/>
    <n v="4001"/>
  </r>
  <r>
    <x v="0"/>
    <x v="6"/>
    <x v="5"/>
    <x v="108"/>
    <x v="95"/>
    <x v="95"/>
    <s v="REVENUS"/>
    <x v="3"/>
    <s v="4002.002"/>
    <s v="Impôt complémentaire s/fortune PP"/>
    <n v="0"/>
    <n v="22065.35"/>
    <n v="4002"/>
  </r>
  <r>
    <x v="0"/>
    <x v="6"/>
    <x v="5"/>
    <x v="108"/>
    <x v="95"/>
    <x v="95"/>
    <s v="REVENUS"/>
    <x v="6"/>
    <s v="4211.002"/>
    <s v="Intérêts de retard sur acomptes"/>
    <n v="0"/>
    <n v="4228.8"/>
    <n v="4211"/>
  </r>
  <r>
    <x v="0"/>
    <x v="6"/>
    <x v="5"/>
    <x v="108"/>
    <x v="95"/>
    <x v="95"/>
    <s v="REVENUS"/>
    <x v="10"/>
    <s v="4041.001"/>
    <s v="Droits de mutation"/>
    <n v="0"/>
    <n v="58162.5"/>
    <n v="4041"/>
  </r>
  <r>
    <x v="0"/>
    <x v="6"/>
    <x v="5"/>
    <x v="108"/>
    <x v="95"/>
    <x v="95"/>
    <s v="REVENUS"/>
    <x v="6"/>
    <s v="4211.001"/>
    <s v="Intérêts de retard sur factures"/>
    <n v="0"/>
    <n v="1192.67"/>
    <n v="4211"/>
  </r>
  <r>
    <x v="0"/>
    <x v="6"/>
    <x v="5"/>
    <x v="108"/>
    <x v="95"/>
    <x v="95"/>
    <s v="REVENUS"/>
    <x v="7"/>
    <s v="4184.000"/>
    <s v="Frais de poursuite"/>
    <n v="0"/>
    <n v="449.44"/>
    <n v="4184"/>
  </r>
  <r>
    <x v="0"/>
    <x v="6"/>
    <x v="5"/>
    <x v="108"/>
    <x v="95"/>
    <x v="95"/>
    <s v="REVENUS"/>
    <x v="2"/>
    <s v="4001.001"/>
    <s v="Impôt revenu"/>
    <n v="0"/>
    <n v="-1886.75"/>
    <n v="4001"/>
  </r>
  <r>
    <x v="0"/>
    <x v="6"/>
    <x v="5"/>
    <x v="108"/>
    <x v="95"/>
    <x v="95"/>
    <s v="REVENUS"/>
    <x v="3"/>
    <s v="4002.001"/>
    <s v="Impôt ordinaire s/fortune PP"/>
    <n v="0"/>
    <n v="-2799.2"/>
    <n v="4002"/>
  </r>
  <r>
    <x v="0"/>
    <x v="6"/>
    <x v="5"/>
    <x v="108"/>
    <x v="95"/>
    <x v="95"/>
    <s v="REVENUS"/>
    <x v="2"/>
    <s v="4001.002"/>
    <s v="Impôt complément s/revenu PP"/>
    <n v="0"/>
    <n v="95.5"/>
    <n v="4001"/>
  </r>
  <r>
    <x v="0"/>
    <x v="6"/>
    <x v="5"/>
    <x v="108"/>
    <x v="95"/>
    <x v="95"/>
    <s v="REVENUS"/>
    <x v="2"/>
    <s v="4001.003"/>
    <s v="Impôt s/prest. cap. PP"/>
    <n v="0"/>
    <n v="10551.75"/>
    <n v="4001"/>
  </r>
  <r>
    <x v="0"/>
    <x v="6"/>
    <x v="5"/>
    <x v="108"/>
    <x v="95"/>
    <x v="95"/>
    <s v="REVENUS"/>
    <x v="2"/>
    <s v="4001.007"/>
    <s v="Acompte impôt sur revenu"/>
    <n v="0"/>
    <n v="-303.2"/>
    <n v="4001"/>
  </r>
  <r>
    <x v="0"/>
    <x v="6"/>
    <x v="5"/>
    <x v="108"/>
    <x v="95"/>
    <x v="95"/>
    <s v="REVENUS"/>
    <x v="3"/>
    <s v="4002.007"/>
    <s v="Acompte impôt sur fortune"/>
    <n v="0"/>
    <n v="-254.76"/>
    <n v="4002"/>
  </r>
  <r>
    <x v="0"/>
    <x v="6"/>
    <x v="5"/>
    <x v="108"/>
    <x v="95"/>
    <x v="95"/>
    <s v="REVENUS"/>
    <x v="9"/>
    <s v="4031.001"/>
    <s v="Impôt sur les gains immobiliers"/>
    <n v="0"/>
    <n v="32570.45"/>
    <n v="4031"/>
  </r>
  <r>
    <x v="0"/>
    <x v="6"/>
    <x v="5"/>
    <x v="108"/>
    <x v="95"/>
    <x v="95"/>
    <s v="REVENUS"/>
    <x v="3"/>
    <s v="4002.002"/>
    <s v="Impôt complémentaire s/fortune PP"/>
    <n v="0"/>
    <n v="125.5"/>
    <n v="4002"/>
  </r>
  <r>
    <x v="0"/>
    <x v="6"/>
    <x v="5"/>
    <x v="108"/>
    <x v="95"/>
    <x v="95"/>
    <s v="REVENUS"/>
    <x v="6"/>
    <s v="4221.003"/>
    <s v="Intérêts compensat. / acomptes en faveur du fisc"/>
    <n v="0"/>
    <n v="0.48"/>
    <n v="4221"/>
  </r>
  <r>
    <x v="0"/>
    <x v="6"/>
    <x v="5"/>
    <x v="108"/>
    <x v="95"/>
    <x v="95"/>
    <s v="REVENUS"/>
    <x v="3"/>
    <s v="4002.007"/>
    <s v="Acompte impôt sur fortune"/>
    <n v="0"/>
    <n v="-48.35"/>
    <n v="4002"/>
  </r>
  <r>
    <x v="0"/>
    <x v="6"/>
    <x v="5"/>
    <x v="108"/>
    <x v="95"/>
    <x v="95"/>
    <s v="REVENUS"/>
    <x v="3"/>
    <s v="4002.007"/>
    <s v="Acompte impôt sur fortune"/>
    <n v="0"/>
    <n v="2.35"/>
    <n v="4002"/>
  </r>
  <r>
    <x v="0"/>
    <x v="6"/>
    <x v="5"/>
    <x v="108"/>
    <x v="95"/>
    <x v="95"/>
    <s v="REVENUS"/>
    <x v="3"/>
    <s v="4002.007"/>
    <s v="Acompte impôt sur fortune"/>
    <n v="0"/>
    <n v="1826.4"/>
    <n v="4002"/>
  </r>
  <r>
    <x v="0"/>
    <x v="6"/>
    <x v="5"/>
    <x v="108"/>
    <x v="95"/>
    <x v="95"/>
    <s v="REVENUS"/>
    <x v="3"/>
    <s v="4002.007"/>
    <s v="Acompte impôt sur fortune"/>
    <n v="0"/>
    <n v="596.13"/>
    <n v="4002"/>
  </r>
  <r>
    <x v="0"/>
    <x v="6"/>
    <x v="5"/>
    <x v="108"/>
    <x v="95"/>
    <x v="95"/>
    <s v="REVENUS"/>
    <x v="2"/>
    <s v="4001.007"/>
    <s v="Acompte impôt sur revenu"/>
    <n v="0"/>
    <n v="-262.39999999999998"/>
    <n v="4001"/>
  </r>
  <r>
    <x v="0"/>
    <x v="6"/>
    <x v="5"/>
    <x v="108"/>
    <x v="95"/>
    <x v="95"/>
    <s v="REVENUS"/>
    <x v="2"/>
    <s v="4001.007"/>
    <s v="Acompte impôt sur revenu"/>
    <n v="0"/>
    <n v="1000.12"/>
    <n v="4001"/>
  </r>
  <r>
    <x v="0"/>
    <x v="6"/>
    <x v="5"/>
    <x v="108"/>
    <x v="95"/>
    <x v="95"/>
    <s v="REVENUS"/>
    <x v="6"/>
    <s v="4221.002"/>
    <s v="Intérêts compensat. sur impôts distincts"/>
    <n v="0"/>
    <n v="2.14"/>
    <n v="4221"/>
  </r>
  <r>
    <x v="0"/>
    <x v="6"/>
    <x v="5"/>
    <x v="108"/>
    <x v="95"/>
    <x v="95"/>
    <s v="REVENUS"/>
    <x v="2"/>
    <s v="4001.001"/>
    <s v="Impôt revenu"/>
    <n v="0"/>
    <n v="1984.7"/>
    <n v="4001"/>
  </r>
  <r>
    <x v="0"/>
    <x v="6"/>
    <x v="5"/>
    <x v="108"/>
    <x v="95"/>
    <x v="95"/>
    <s v="REVENUS"/>
    <x v="3"/>
    <s v="4002.001"/>
    <s v="Impôt ordinaire s/fortune PP"/>
    <n v="0"/>
    <n v="1622.7"/>
    <n v="4002"/>
  </r>
  <r>
    <x v="0"/>
    <x v="6"/>
    <x v="5"/>
    <x v="108"/>
    <x v="95"/>
    <x v="95"/>
    <s v="REVENUS"/>
    <x v="6"/>
    <s v="4211.001"/>
    <s v="Intérêts de retard sur factures"/>
    <n v="0"/>
    <n v="0.03"/>
    <n v="4211"/>
  </r>
  <r>
    <x v="0"/>
    <x v="6"/>
    <x v="5"/>
    <x v="108"/>
    <x v="95"/>
    <x v="95"/>
    <s v="REVENUS"/>
    <x v="6"/>
    <s v="4221.003"/>
    <s v="Intérêts compensat. / acomptes en faveur du fisc"/>
    <n v="0"/>
    <n v="0.17"/>
    <n v="4221"/>
  </r>
  <r>
    <x v="0"/>
    <x v="6"/>
    <x v="5"/>
    <x v="108"/>
    <x v="95"/>
    <x v="95"/>
    <s v="REVENUS"/>
    <x v="2"/>
    <s v="4001.001"/>
    <s v="Impôt revenu"/>
    <n v="0"/>
    <n v="0"/>
    <n v="4001"/>
  </r>
  <r>
    <x v="0"/>
    <x v="6"/>
    <x v="5"/>
    <x v="108"/>
    <x v="95"/>
    <x v="95"/>
    <s v="REVENUS"/>
    <x v="2"/>
    <s v="4001.007"/>
    <s v="Acompte impôt sur revenu"/>
    <n v="0"/>
    <n v="-178.1"/>
    <n v="4001"/>
  </r>
  <r>
    <x v="0"/>
    <x v="6"/>
    <x v="5"/>
    <x v="108"/>
    <x v="95"/>
    <x v="95"/>
    <s v="REVENUS"/>
    <x v="3"/>
    <s v="4002.001"/>
    <s v="Impôt ordinaire s/fortune PP"/>
    <n v="0"/>
    <n v="59.8"/>
    <n v="4002"/>
  </r>
  <r>
    <x v="0"/>
    <x v="6"/>
    <x v="5"/>
    <x v="108"/>
    <x v="95"/>
    <x v="95"/>
    <s v="REVENUS"/>
    <x v="6"/>
    <s v="4221.003"/>
    <s v="Intérêts compensat. / acomptes en faveur du fisc"/>
    <n v="0"/>
    <n v="0.03"/>
    <n v="4221"/>
  </r>
  <r>
    <x v="0"/>
    <x v="6"/>
    <x v="5"/>
    <x v="108"/>
    <x v="95"/>
    <x v="95"/>
    <s v="REVENUS"/>
    <x v="6"/>
    <s v="4211.002"/>
    <s v="Intérêts de retard sur acomptes"/>
    <n v="0"/>
    <n v="0.09"/>
    <n v="4211"/>
  </r>
  <r>
    <x v="0"/>
    <x v="6"/>
    <x v="5"/>
    <x v="108"/>
    <x v="95"/>
    <x v="95"/>
    <s v="REVENUS"/>
    <x v="2"/>
    <s v="4001.001"/>
    <s v="Impôt revenu"/>
    <n v="0"/>
    <n v="358.05"/>
    <n v="4001"/>
  </r>
  <r>
    <x v="0"/>
    <x v="6"/>
    <x v="5"/>
    <x v="108"/>
    <x v="95"/>
    <x v="95"/>
    <s v="REVENUS"/>
    <x v="3"/>
    <s v="4002.001"/>
    <s v="Impôt ordinaire s/fortune PP"/>
    <n v="0"/>
    <n v="2172.65"/>
    <n v="4002"/>
  </r>
  <r>
    <x v="0"/>
    <x v="6"/>
    <x v="5"/>
    <x v="108"/>
    <x v="95"/>
    <x v="95"/>
    <s v="REVENUS"/>
    <x v="2"/>
    <s v="4001.002"/>
    <s v="Impôt complément s/revenu PP"/>
    <n v="0"/>
    <n v="23.3"/>
    <n v="4001"/>
  </r>
  <r>
    <x v="0"/>
    <x v="6"/>
    <x v="5"/>
    <x v="108"/>
    <x v="95"/>
    <x v="95"/>
    <s v="REVENUS"/>
    <x v="3"/>
    <s v="4002.002"/>
    <s v="Impôt complémentaire s/fortune PP"/>
    <n v="0"/>
    <n v="60.7"/>
    <n v="4002"/>
  </r>
  <r>
    <x v="0"/>
    <x v="6"/>
    <x v="5"/>
    <x v="108"/>
    <x v="95"/>
    <x v="95"/>
    <s v="REVENUS"/>
    <x v="6"/>
    <s v="4211.002"/>
    <s v="Intérêts de retard sur acomptes"/>
    <n v="0"/>
    <n v="0.11"/>
    <n v="4211"/>
  </r>
  <r>
    <x v="0"/>
    <x v="6"/>
    <x v="5"/>
    <x v="108"/>
    <x v="95"/>
    <x v="95"/>
    <s v="REVENUS"/>
    <x v="2"/>
    <s v="4001.001"/>
    <s v="Impôt revenu"/>
    <n v="0"/>
    <n v="141.5"/>
    <n v="4001"/>
  </r>
  <r>
    <x v="0"/>
    <x v="6"/>
    <x v="5"/>
    <x v="108"/>
    <x v="95"/>
    <x v="95"/>
    <s v="REVENUS"/>
    <x v="2"/>
    <s v="4001.007"/>
    <s v="Acompte impôt sur revenu"/>
    <n v="0"/>
    <n v="-624.79999999999995"/>
    <n v="4001"/>
  </r>
  <r>
    <x v="0"/>
    <x v="6"/>
    <x v="5"/>
    <x v="108"/>
    <x v="95"/>
    <x v="95"/>
    <s v="REVENUS"/>
    <x v="3"/>
    <s v="4002.001"/>
    <s v="Impôt ordinaire s/fortune PP"/>
    <n v="0"/>
    <n v="123.85"/>
    <n v="4002"/>
  </r>
  <r>
    <x v="0"/>
    <x v="6"/>
    <x v="5"/>
    <x v="108"/>
    <x v="95"/>
    <x v="95"/>
    <s v="REVENUS"/>
    <x v="2"/>
    <s v="4001.002"/>
    <s v="Impôt complément s/revenu PP"/>
    <n v="0"/>
    <n v="694.4"/>
    <n v="4001"/>
  </r>
  <r>
    <x v="0"/>
    <x v="6"/>
    <x v="5"/>
    <x v="108"/>
    <x v="95"/>
    <x v="95"/>
    <s v="REVENUS"/>
    <x v="3"/>
    <s v="4002.002"/>
    <s v="Impôt complémentaire s/fortune PP"/>
    <n v="0"/>
    <n v="640"/>
    <n v="4002"/>
  </r>
  <r>
    <x v="0"/>
    <x v="6"/>
    <x v="5"/>
    <x v="108"/>
    <x v="95"/>
    <x v="95"/>
    <s v="REVENUS"/>
    <x v="6"/>
    <s v="4211.002"/>
    <s v="Intérêts de retard sur acomptes"/>
    <n v="0"/>
    <n v="0.33"/>
    <n v="4211"/>
  </r>
  <r>
    <x v="0"/>
    <x v="6"/>
    <x v="5"/>
    <x v="108"/>
    <x v="95"/>
    <x v="95"/>
    <s v="REVENUS"/>
    <x v="2"/>
    <s v="4001.003"/>
    <s v="Impôt s/prest. cap. PP"/>
    <n v="0"/>
    <n v="-523.35"/>
    <n v="4001"/>
  </r>
  <r>
    <x v="0"/>
    <x v="6"/>
    <x v="5"/>
    <x v="109"/>
    <x v="96"/>
    <x v="96"/>
    <s v="CHARGES"/>
    <x v="0"/>
    <s v="3212.004"/>
    <s v="Intérêts rémun./perçu trop tôt sur acomptes C/C"/>
    <n v="70.55"/>
    <n v="0"/>
    <n v="3212"/>
  </r>
  <r>
    <x v="0"/>
    <x v="6"/>
    <x v="5"/>
    <x v="109"/>
    <x v="96"/>
    <x v="96"/>
    <s v="CHARGES"/>
    <x v="0"/>
    <s v="3212.002"/>
    <s v="Intérêts bonifiés/trop perçu acompte C/C"/>
    <n v="0.99"/>
    <n v="0"/>
    <n v="3212"/>
  </r>
  <r>
    <x v="0"/>
    <x v="6"/>
    <x v="5"/>
    <x v="109"/>
    <x v="96"/>
    <x v="96"/>
    <s v="CHARGES"/>
    <x v="0"/>
    <s v="3221.002"/>
    <s v="Intérêts compensatoires / créances en faveur ctb."/>
    <n v="31.42"/>
    <n v="0"/>
    <n v="3221"/>
  </r>
  <r>
    <x v="0"/>
    <x v="6"/>
    <x v="5"/>
    <x v="109"/>
    <x v="96"/>
    <x v="96"/>
    <s v="CHARGES"/>
    <x v="1"/>
    <s v="3301.001"/>
    <s v="Défalcations, abandons de solde PP et IS"/>
    <n v="-3721.44"/>
    <n v="0"/>
    <n v="3301"/>
  </r>
  <r>
    <x v="0"/>
    <x v="6"/>
    <x v="5"/>
    <x v="109"/>
    <x v="96"/>
    <x v="96"/>
    <s v="CHARGES"/>
    <x v="0"/>
    <s v="3212.002"/>
    <s v="Intérêts bonifiés/trop perçu acompte C/C"/>
    <n v="-0.01"/>
    <n v="0"/>
    <n v="3212"/>
  </r>
  <r>
    <x v="0"/>
    <x v="6"/>
    <x v="5"/>
    <x v="109"/>
    <x v="96"/>
    <x v="96"/>
    <s v="CHARGES"/>
    <x v="0"/>
    <s v="3212.004"/>
    <s v="Intérêts rémun./perçu trop tôt sur acomptes C/C"/>
    <n v="0.73"/>
    <n v="0"/>
    <n v="3212"/>
  </r>
  <r>
    <x v="0"/>
    <x v="6"/>
    <x v="5"/>
    <x v="109"/>
    <x v="96"/>
    <x v="96"/>
    <s v="CHARGES"/>
    <x v="0"/>
    <s v="3212.004"/>
    <s v="Intérêts rémun./perçu trop tôt sur acomptes C/C"/>
    <n v="0.06"/>
    <n v="0"/>
    <n v="3212"/>
  </r>
  <r>
    <x v="0"/>
    <x v="6"/>
    <x v="5"/>
    <x v="109"/>
    <x v="96"/>
    <x v="96"/>
    <s v="CHARGES"/>
    <x v="1"/>
    <s v="3301.001"/>
    <s v="Défalcations, abandons de solde PP et IS"/>
    <n v="0.38"/>
    <n v="0"/>
    <n v="3301"/>
  </r>
  <r>
    <x v="0"/>
    <x v="6"/>
    <x v="5"/>
    <x v="109"/>
    <x v="96"/>
    <x v="96"/>
    <s v="CHARGES"/>
    <x v="0"/>
    <s v="3221.002"/>
    <s v="Intérêts compensatoires / créances en faveur ctb."/>
    <n v="0.01"/>
    <n v="0"/>
    <n v="3221"/>
  </r>
  <r>
    <x v="0"/>
    <x v="6"/>
    <x v="5"/>
    <x v="109"/>
    <x v="96"/>
    <x v="96"/>
    <s v="CHARGES"/>
    <x v="1"/>
    <s v="3301.001"/>
    <s v="Défalcations, abandons de solde PP et IS"/>
    <n v="0.55000000000000004"/>
    <n v="0"/>
    <n v="3301"/>
  </r>
  <r>
    <x v="0"/>
    <x v="6"/>
    <x v="5"/>
    <x v="109"/>
    <x v="96"/>
    <x v="96"/>
    <s v="CHARGES"/>
    <x v="1"/>
    <s v="3301.003"/>
    <s v="Remises PP et IS"/>
    <n v="11237.15"/>
    <n v="0"/>
    <n v="3301"/>
  </r>
  <r>
    <x v="0"/>
    <x v="6"/>
    <x v="5"/>
    <x v="109"/>
    <x v="96"/>
    <x v="96"/>
    <s v="REVENUS"/>
    <x v="2"/>
    <s v="4001.001"/>
    <s v="Impôt revenu"/>
    <n v="0"/>
    <n v="369387"/>
    <n v="4001"/>
  </r>
  <r>
    <x v="0"/>
    <x v="6"/>
    <x v="5"/>
    <x v="109"/>
    <x v="96"/>
    <x v="96"/>
    <s v="REVENUS"/>
    <x v="2"/>
    <s v="4001.007"/>
    <s v="Acompte impôt sur revenu"/>
    <n v="0"/>
    <n v="-66864.649999999994"/>
    <n v="4001"/>
  </r>
  <r>
    <x v="0"/>
    <x v="6"/>
    <x v="5"/>
    <x v="109"/>
    <x v="96"/>
    <x v="96"/>
    <s v="REVENUS"/>
    <x v="3"/>
    <s v="4002.001"/>
    <s v="Impôt ordinaire s/fortune PP"/>
    <n v="0"/>
    <n v="39494.75"/>
    <n v="4002"/>
  </r>
  <r>
    <x v="0"/>
    <x v="6"/>
    <x v="5"/>
    <x v="109"/>
    <x v="96"/>
    <x v="96"/>
    <s v="REVENUS"/>
    <x v="3"/>
    <s v="4002.007"/>
    <s v="Acompte impôt sur fortune"/>
    <n v="0"/>
    <n v="-2405.0300000000002"/>
    <n v="4002"/>
  </r>
  <r>
    <x v="0"/>
    <x v="6"/>
    <x v="5"/>
    <x v="109"/>
    <x v="96"/>
    <x v="96"/>
    <s v="REVENUS"/>
    <x v="4"/>
    <s v="4051.001"/>
    <s v="Impôt sur les successions"/>
    <n v="0"/>
    <n v="58410"/>
    <n v="4051"/>
  </r>
  <r>
    <x v="0"/>
    <x v="6"/>
    <x v="5"/>
    <x v="109"/>
    <x v="96"/>
    <x v="96"/>
    <s v="REVENUS"/>
    <x v="6"/>
    <s v="4221.002"/>
    <s v="Intérêts compensat. sur impôts distincts"/>
    <n v="0"/>
    <n v="27.77"/>
    <n v="4221"/>
  </r>
  <r>
    <x v="0"/>
    <x v="6"/>
    <x v="5"/>
    <x v="109"/>
    <x v="96"/>
    <x v="96"/>
    <s v="REVENUS"/>
    <x v="2"/>
    <s v="4001.002"/>
    <s v="Impôt complément s/revenu PP"/>
    <n v="0"/>
    <n v="42914.75"/>
    <n v="4001"/>
  </r>
  <r>
    <x v="0"/>
    <x v="6"/>
    <x v="5"/>
    <x v="109"/>
    <x v="96"/>
    <x v="96"/>
    <s v="REVENUS"/>
    <x v="2"/>
    <s v="4001.003"/>
    <s v="Impôt s/prest. cap. PP"/>
    <n v="0"/>
    <n v="9648.5"/>
    <n v="4001"/>
  </r>
  <r>
    <x v="0"/>
    <x v="6"/>
    <x v="5"/>
    <x v="109"/>
    <x v="96"/>
    <x v="96"/>
    <s v="REVENUS"/>
    <x v="6"/>
    <s v="4221.003"/>
    <s v="Intérêts compensat. / acomptes en faveur du fisc"/>
    <n v="0"/>
    <n v="30.67"/>
    <n v="4221"/>
  </r>
  <r>
    <x v="0"/>
    <x v="6"/>
    <x v="5"/>
    <x v="109"/>
    <x v="96"/>
    <x v="96"/>
    <s v="REVENUS"/>
    <x v="6"/>
    <s v="4211.002"/>
    <s v="Intérêts de retard sur acomptes"/>
    <n v="0"/>
    <n v="4633.66"/>
    <n v="4211"/>
  </r>
  <r>
    <x v="0"/>
    <x v="6"/>
    <x v="5"/>
    <x v="109"/>
    <x v="96"/>
    <x v="96"/>
    <s v="REVENUS"/>
    <x v="3"/>
    <s v="4002.002"/>
    <s v="Impôt complémentaire s/fortune PP"/>
    <n v="0"/>
    <n v="3621.35"/>
    <n v="4002"/>
  </r>
  <r>
    <x v="0"/>
    <x v="6"/>
    <x v="5"/>
    <x v="109"/>
    <x v="96"/>
    <x v="96"/>
    <s v="REVENUS"/>
    <x v="7"/>
    <s v="4184.000"/>
    <s v="Frais de poursuite"/>
    <n v="0"/>
    <n v="378.7"/>
    <n v="4184"/>
  </r>
  <r>
    <x v="0"/>
    <x v="6"/>
    <x v="5"/>
    <x v="109"/>
    <x v="96"/>
    <x v="96"/>
    <s v="REVENUS"/>
    <x v="6"/>
    <s v="4221.003"/>
    <s v="Intérêts compensat. / acomptes en faveur du fisc"/>
    <n v="0"/>
    <n v="0.38"/>
    <n v="4221"/>
  </r>
  <r>
    <x v="0"/>
    <x v="6"/>
    <x v="5"/>
    <x v="109"/>
    <x v="96"/>
    <x v="96"/>
    <s v="REVENUS"/>
    <x v="2"/>
    <s v="4001.001"/>
    <s v="Impôt revenu"/>
    <n v="0"/>
    <n v="533.04999999999995"/>
    <n v="4001"/>
  </r>
  <r>
    <x v="0"/>
    <x v="6"/>
    <x v="5"/>
    <x v="109"/>
    <x v="96"/>
    <x v="96"/>
    <s v="REVENUS"/>
    <x v="2"/>
    <s v="4001.007"/>
    <s v="Acompte impôt sur revenu"/>
    <n v="0"/>
    <n v="82.85"/>
    <n v="4001"/>
  </r>
  <r>
    <x v="0"/>
    <x v="6"/>
    <x v="5"/>
    <x v="109"/>
    <x v="96"/>
    <x v="96"/>
    <s v="REVENUS"/>
    <x v="3"/>
    <s v="4002.001"/>
    <s v="Impôt ordinaire s/fortune PP"/>
    <n v="0"/>
    <n v="147.85"/>
    <n v="4002"/>
  </r>
  <r>
    <x v="0"/>
    <x v="6"/>
    <x v="5"/>
    <x v="109"/>
    <x v="96"/>
    <x v="96"/>
    <s v="REVENUS"/>
    <x v="3"/>
    <s v="4002.007"/>
    <s v="Acompte impôt sur fortune"/>
    <n v="0"/>
    <n v="62"/>
    <n v="4002"/>
  </r>
  <r>
    <x v="0"/>
    <x v="6"/>
    <x v="5"/>
    <x v="109"/>
    <x v="96"/>
    <x v="96"/>
    <s v="REVENUS"/>
    <x v="6"/>
    <s v="4211.001"/>
    <s v="Intérêts de retard sur factures"/>
    <n v="0"/>
    <n v="2218.15"/>
    <n v="4211"/>
  </r>
  <r>
    <x v="0"/>
    <x v="6"/>
    <x v="5"/>
    <x v="109"/>
    <x v="96"/>
    <x v="96"/>
    <s v="REVENUS"/>
    <x v="3"/>
    <s v="4002.007"/>
    <s v="Acompte impôt sur fortune"/>
    <n v="0"/>
    <n v="-88.6"/>
    <n v="4002"/>
  </r>
  <r>
    <x v="0"/>
    <x v="6"/>
    <x v="5"/>
    <x v="109"/>
    <x v="96"/>
    <x v="96"/>
    <s v="REVENUS"/>
    <x v="3"/>
    <s v="4002.007"/>
    <s v="Acompte impôt sur fortune"/>
    <n v="0"/>
    <n v="-39.1"/>
    <n v="4002"/>
  </r>
  <r>
    <x v="0"/>
    <x v="6"/>
    <x v="5"/>
    <x v="109"/>
    <x v="96"/>
    <x v="96"/>
    <s v="REVENUS"/>
    <x v="2"/>
    <s v="4001.007"/>
    <s v="Acompte impôt sur revenu"/>
    <n v="0"/>
    <n v="231.05"/>
    <n v="4001"/>
  </r>
  <r>
    <x v="0"/>
    <x v="6"/>
    <x v="5"/>
    <x v="109"/>
    <x v="96"/>
    <x v="96"/>
    <s v="REVENUS"/>
    <x v="2"/>
    <s v="4001.007"/>
    <s v="Acompte impôt sur revenu"/>
    <n v="0"/>
    <n v="0"/>
    <n v="4001"/>
  </r>
  <r>
    <x v="0"/>
    <x v="6"/>
    <x v="5"/>
    <x v="109"/>
    <x v="96"/>
    <x v="96"/>
    <s v="REVENUS"/>
    <x v="10"/>
    <s v="4041.001"/>
    <s v="Droits de mutation"/>
    <n v="0"/>
    <n v="6329.6"/>
    <n v="4041"/>
  </r>
  <r>
    <x v="0"/>
    <x v="6"/>
    <x v="5"/>
    <x v="109"/>
    <x v="96"/>
    <x v="96"/>
    <s v="REVENUS"/>
    <x v="2"/>
    <s v="4001.001"/>
    <s v="Impôt revenu"/>
    <n v="0"/>
    <n v="-34.35"/>
    <n v="4001"/>
  </r>
  <r>
    <x v="0"/>
    <x v="6"/>
    <x v="5"/>
    <x v="109"/>
    <x v="96"/>
    <x v="96"/>
    <s v="REVENUS"/>
    <x v="2"/>
    <s v="4001.002"/>
    <s v="Impôt complément s/revenu PP"/>
    <n v="0"/>
    <n v="1061.9000000000001"/>
    <n v="4001"/>
  </r>
  <r>
    <x v="0"/>
    <x v="6"/>
    <x v="5"/>
    <x v="109"/>
    <x v="96"/>
    <x v="96"/>
    <s v="REVENUS"/>
    <x v="3"/>
    <s v="4002.001"/>
    <s v="Impôt ordinaire s/fortune PP"/>
    <n v="0"/>
    <n v="-189.5"/>
    <n v="4002"/>
  </r>
  <r>
    <x v="0"/>
    <x v="6"/>
    <x v="5"/>
    <x v="109"/>
    <x v="96"/>
    <x v="96"/>
    <s v="REVENUS"/>
    <x v="3"/>
    <s v="4002.002"/>
    <s v="Impôt complémentaire s/fortune PP"/>
    <n v="0"/>
    <n v="422.7"/>
    <n v="4002"/>
  </r>
  <r>
    <x v="0"/>
    <x v="6"/>
    <x v="5"/>
    <x v="109"/>
    <x v="96"/>
    <x v="96"/>
    <s v="REVENUS"/>
    <x v="6"/>
    <s v="4211.001"/>
    <s v="Intérêts de retard sur factures"/>
    <n v="0"/>
    <n v="106.17"/>
    <n v="4211"/>
  </r>
  <r>
    <x v="0"/>
    <x v="6"/>
    <x v="5"/>
    <x v="109"/>
    <x v="96"/>
    <x v="96"/>
    <s v="REVENUS"/>
    <x v="6"/>
    <s v="4211.002"/>
    <s v="Intérêts de retard sur acomptes"/>
    <n v="0"/>
    <n v="1.1100000000000001"/>
    <n v="4211"/>
  </r>
  <r>
    <x v="0"/>
    <x v="6"/>
    <x v="5"/>
    <x v="109"/>
    <x v="96"/>
    <x v="96"/>
    <s v="REVENUS"/>
    <x v="3"/>
    <s v="4002.007"/>
    <s v="Acompte impôt sur fortune"/>
    <n v="0"/>
    <n v="-66.95"/>
    <n v="4002"/>
  </r>
  <r>
    <x v="0"/>
    <x v="6"/>
    <x v="5"/>
    <x v="109"/>
    <x v="96"/>
    <x v="96"/>
    <s v="REVENUS"/>
    <x v="3"/>
    <s v="4002.001"/>
    <s v="Impôt ordinaire s/fortune PP"/>
    <n v="0"/>
    <n v="150.25"/>
    <n v="4002"/>
  </r>
  <r>
    <x v="0"/>
    <x v="6"/>
    <x v="5"/>
    <x v="109"/>
    <x v="96"/>
    <x v="96"/>
    <s v="REVENUS"/>
    <x v="6"/>
    <s v="4211.002"/>
    <s v="Intérêts de retard sur acomptes"/>
    <n v="0"/>
    <n v="2.88"/>
    <n v="4211"/>
  </r>
  <r>
    <x v="0"/>
    <x v="6"/>
    <x v="5"/>
    <x v="109"/>
    <x v="96"/>
    <x v="96"/>
    <s v="REVENUS"/>
    <x v="2"/>
    <s v="4001.001"/>
    <s v="Impôt revenu"/>
    <n v="0"/>
    <n v="643.1"/>
    <n v="4001"/>
  </r>
  <r>
    <x v="0"/>
    <x v="6"/>
    <x v="5"/>
    <x v="109"/>
    <x v="96"/>
    <x v="96"/>
    <s v="REVENUS"/>
    <x v="6"/>
    <s v="4221.003"/>
    <s v="Intérêts compensat. / acomptes en faveur du fisc"/>
    <n v="0"/>
    <n v="0.38"/>
    <n v="4221"/>
  </r>
  <r>
    <x v="0"/>
    <x v="6"/>
    <x v="5"/>
    <x v="109"/>
    <x v="96"/>
    <x v="96"/>
    <s v="REVENUS"/>
    <x v="2"/>
    <s v="4001.001"/>
    <s v="Impôt revenu"/>
    <n v="0"/>
    <n v="142.30000000000001"/>
    <n v="4001"/>
  </r>
  <r>
    <x v="0"/>
    <x v="6"/>
    <x v="5"/>
    <x v="109"/>
    <x v="96"/>
    <x v="96"/>
    <s v="REVENUS"/>
    <x v="3"/>
    <s v="4002.001"/>
    <s v="Impôt ordinaire s/fortune PP"/>
    <n v="0"/>
    <n v="21.2"/>
    <n v="4002"/>
  </r>
  <r>
    <x v="0"/>
    <x v="6"/>
    <x v="5"/>
    <x v="109"/>
    <x v="96"/>
    <x v="96"/>
    <s v="REVENUS"/>
    <x v="3"/>
    <s v="4002.002"/>
    <s v="Impôt complémentaire s/fortune PP"/>
    <n v="0"/>
    <n v="18.45"/>
    <n v="4002"/>
  </r>
  <r>
    <x v="0"/>
    <x v="6"/>
    <x v="5"/>
    <x v="109"/>
    <x v="96"/>
    <x v="96"/>
    <s v="REVENUS"/>
    <x v="6"/>
    <s v="4211.001"/>
    <s v="Intérêts de retard sur factures"/>
    <n v="0"/>
    <n v="0.04"/>
    <n v="4211"/>
  </r>
  <r>
    <x v="0"/>
    <x v="6"/>
    <x v="5"/>
    <x v="109"/>
    <x v="96"/>
    <x v="96"/>
    <s v="REVENUS"/>
    <x v="8"/>
    <s v="4091.001"/>
    <s v="Impôt récupéré après défalcations"/>
    <n v="0"/>
    <n v="3338.97"/>
    <n v="4091"/>
  </r>
  <r>
    <x v="0"/>
    <x v="6"/>
    <x v="5"/>
    <x v="109"/>
    <x v="96"/>
    <x v="96"/>
    <s v="REVENUS"/>
    <x v="7"/>
    <s v="4184.000"/>
    <s v="Frais de poursuite"/>
    <n v="0"/>
    <n v="43.51"/>
    <n v="4184"/>
  </r>
  <r>
    <x v="0"/>
    <x v="6"/>
    <x v="5"/>
    <x v="109"/>
    <x v="96"/>
    <x v="96"/>
    <s v="REVENUS"/>
    <x v="2"/>
    <s v="4001.001"/>
    <s v="Impôt revenu"/>
    <n v="0"/>
    <n v="-8218.4500000000007"/>
    <n v="4001"/>
  </r>
  <r>
    <x v="0"/>
    <x v="6"/>
    <x v="5"/>
    <x v="109"/>
    <x v="96"/>
    <x v="96"/>
    <s v="REVENUS"/>
    <x v="2"/>
    <s v="4001.007"/>
    <s v="Acompte impôt sur revenu"/>
    <n v="0"/>
    <n v="-7778.55"/>
    <n v="4001"/>
  </r>
  <r>
    <x v="0"/>
    <x v="6"/>
    <x v="5"/>
    <x v="109"/>
    <x v="96"/>
    <x v="96"/>
    <s v="REVENUS"/>
    <x v="6"/>
    <s v="4211.001"/>
    <s v="Intérêts de retard sur factures"/>
    <n v="0"/>
    <n v="0.01"/>
    <n v="4211"/>
  </r>
  <r>
    <x v="0"/>
    <x v="6"/>
    <x v="5"/>
    <x v="109"/>
    <x v="96"/>
    <x v="96"/>
    <s v="REVENUS"/>
    <x v="9"/>
    <s v="4031.001"/>
    <s v="Impôt sur les gains immobiliers"/>
    <n v="0"/>
    <n v="170.15"/>
    <n v="4031"/>
  </r>
  <r>
    <x v="0"/>
    <x v="6"/>
    <x v="5"/>
    <x v="110"/>
    <x v="97"/>
    <x v="97"/>
    <s v="CHARGES"/>
    <x v="1"/>
    <s v="3301.001"/>
    <s v="Défalcations, abandons de solde PP et IS"/>
    <n v="10200.969999999999"/>
    <n v="0"/>
    <n v="3301"/>
  </r>
  <r>
    <x v="0"/>
    <x v="6"/>
    <x v="5"/>
    <x v="110"/>
    <x v="97"/>
    <x v="97"/>
    <s v="CHARGES"/>
    <x v="0"/>
    <s v="3212.004"/>
    <s v="Intérêts rémun./perçu trop tôt sur acomptes C/C"/>
    <n v="165.16"/>
    <n v="0"/>
    <n v="3212"/>
  </r>
  <r>
    <x v="0"/>
    <x v="6"/>
    <x v="5"/>
    <x v="110"/>
    <x v="97"/>
    <x v="97"/>
    <s v="CHARGES"/>
    <x v="0"/>
    <s v="3221.002"/>
    <s v="Intérêts compensatoires / créances en faveur ctb."/>
    <n v="143.66"/>
    <n v="0"/>
    <n v="3221"/>
  </r>
  <r>
    <x v="0"/>
    <x v="6"/>
    <x v="5"/>
    <x v="110"/>
    <x v="97"/>
    <x v="97"/>
    <s v="CHARGES"/>
    <x v="0"/>
    <s v="3212.004"/>
    <s v="Intérêts rémun./perçu trop tôt sur acomptes C/C"/>
    <n v="3.78"/>
    <n v="0"/>
    <n v="3212"/>
  </r>
  <r>
    <x v="0"/>
    <x v="6"/>
    <x v="5"/>
    <x v="110"/>
    <x v="97"/>
    <x v="97"/>
    <s v="CHARGES"/>
    <x v="0"/>
    <s v="3221.002"/>
    <s v="Intérêts compensatoires / créances en faveur ctb."/>
    <n v="5.31"/>
    <n v="0"/>
    <n v="3221"/>
  </r>
  <r>
    <x v="0"/>
    <x v="6"/>
    <x v="5"/>
    <x v="110"/>
    <x v="97"/>
    <x v="97"/>
    <s v="CHARGES"/>
    <x v="0"/>
    <s v="3212.002"/>
    <s v="Intérêts bonifiés/trop perçu acompte C/C"/>
    <n v="13.1"/>
    <n v="0"/>
    <n v="3212"/>
  </r>
  <r>
    <x v="0"/>
    <x v="6"/>
    <x v="5"/>
    <x v="110"/>
    <x v="97"/>
    <x v="97"/>
    <s v="CHARGES"/>
    <x v="0"/>
    <s v="3212.004"/>
    <s v="Intérêts rémun./perçu trop tôt sur acomptes C/C"/>
    <n v="0.12"/>
    <n v="0"/>
    <n v="3212"/>
  </r>
  <r>
    <x v="0"/>
    <x v="6"/>
    <x v="5"/>
    <x v="110"/>
    <x v="97"/>
    <x v="97"/>
    <s v="CHARGES"/>
    <x v="0"/>
    <s v="3212.004"/>
    <s v="Intérêts rémun./perçu trop tôt sur acomptes C/C"/>
    <n v="0.1"/>
    <n v="0"/>
    <n v="3212"/>
  </r>
  <r>
    <x v="0"/>
    <x v="6"/>
    <x v="5"/>
    <x v="110"/>
    <x v="97"/>
    <x v="97"/>
    <s v="CHARGES"/>
    <x v="0"/>
    <s v="3221.002"/>
    <s v="Intérêts compensatoires / créances en faveur ctb."/>
    <n v="0.2"/>
    <n v="0"/>
    <n v="3221"/>
  </r>
  <r>
    <x v="0"/>
    <x v="6"/>
    <x v="5"/>
    <x v="110"/>
    <x v="97"/>
    <x v="97"/>
    <s v="CHARGES"/>
    <x v="1"/>
    <s v="3301.001"/>
    <s v="Défalcations, abandons de solde PP et IS"/>
    <n v="0.1"/>
    <n v="0"/>
    <n v="3301"/>
  </r>
  <r>
    <x v="0"/>
    <x v="6"/>
    <x v="5"/>
    <x v="110"/>
    <x v="97"/>
    <x v="97"/>
    <s v="REVENUS"/>
    <x v="2"/>
    <s v="4001.001"/>
    <s v="Impôt revenu"/>
    <n v="0"/>
    <n v="854697.9"/>
    <n v="4001"/>
  </r>
  <r>
    <x v="0"/>
    <x v="6"/>
    <x v="5"/>
    <x v="110"/>
    <x v="97"/>
    <x v="97"/>
    <s v="REVENUS"/>
    <x v="2"/>
    <s v="4001.007"/>
    <s v="Acompte impôt sur revenu"/>
    <n v="0"/>
    <n v="-160087.78"/>
    <n v="4001"/>
  </r>
  <r>
    <x v="0"/>
    <x v="6"/>
    <x v="5"/>
    <x v="110"/>
    <x v="97"/>
    <x v="97"/>
    <s v="REVENUS"/>
    <x v="6"/>
    <s v="4211.002"/>
    <s v="Intérêts de retard sur acomptes"/>
    <n v="0"/>
    <n v="7508.03"/>
    <n v="4211"/>
  </r>
  <r>
    <x v="0"/>
    <x v="6"/>
    <x v="5"/>
    <x v="110"/>
    <x v="97"/>
    <x v="97"/>
    <s v="REVENUS"/>
    <x v="6"/>
    <s v="4221.003"/>
    <s v="Intérêts compensat. / acomptes en faveur du fisc"/>
    <n v="0"/>
    <n v="208.29"/>
    <n v="4221"/>
  </r>
  <r>
    <x v="0"/>
    <x v="6"/>
    <x v="5"/>
    <x v="110"/>
    <x v="97"/>
    <x v="97"/>
    <s v="REVENUS"/>
    <x v="3"/>
    <s v="4002.001"/>
    <s v="Impôt ordinaire s/fortune PP"/>
    <n v="0"/>
    <n v="240067"/>
    <n v="4002"/>
  </r>
  <r>
    <x v="0"/>
    <x v="6"/>
    <x v="5"/>
    <x v="110"/>
    <x v="97"/>
    <x v="97"/>
    <s v="REVENUS"/>
    <x v="3"/>
    <s v="4002.007"/>
    <s v="Acompte impôt sur fortune"/>
    <n v="0"/>
    <n v="-45604.1"/>
    <n v="4002"/>
  </r>
  <r>
    <x v="0"/>
    <x v="6"/>
    <x v="5"/>
    <x v="110"/>
    <x v="97"/>
    <x v="97"/>
    <s v="REVENUS"/>
    <x v="10"/>
    <s v="4041.001"/>
    <s v="Droits de mutation"/>
    <n v="0"/>
    <n v="60904.05"/>
    <n v="4041"/>
  </r>
  <r>
    <x v="0"/>
    <x v="6"/>
    <x v="5"/>
    <x v="110"/>
    <x v="97"/>
    <x v="97"/>
    <s v="REVENUS"/>
    <x v="2"/>
    <s v="4001.003"/>
    <s v="Impôt s/prest. cap. PP"/>
    <n v="0"/>
    <n v="48910.400000000001"/>
    <n v="4001"/>
  </r>
  <r>
    <x v="0"/>
    <x v="6"/>
    <x v="5"/>
    <x v="110"/>
    <x v="97"/>
    <x v="97"/>
    <s v="REVENUS"/>
    <x v="6"/>
    <s v="4221.002"/>
    <s v="Intérêts compensat. sur impôts distincts"/>
    <n v="0"/>
    <n v="3.92"/>
    <n v="4221"/>
  </r>
  <r>
    <x v="0"/>
    <x v="6"/>
    <x v="5"/>
    <x v="110"/>
    <x v="97"/>
    <x v="97"/>
    <s v="REVENUS"/>
    <x v="6"/>
    <s v="4211.001"/>
    <s v="Intérêts de retard sur factures"/>
    <n v="0"/>
    <n v="1296.92"/>
    <n v="4211"/>
  </r>
  <r>
    <x v="0"/>
    <x v="6"/>
    <x v="5"/>
    <x v="110"/>
    <x v="97"/>
    <x v="97"/>
    <s v="REVENUS"/>
    <x v="7"/>
    <s v="4184.000"/>
    <s v="Frais de poursuite"/>
    <n v="0"/>
    <n v="810.45"/>
    <n v="4184"/>
  </r>
  <r>
    <x v="0"/>
    <x v="6"/>
    <x v="5"/>
    <x v="110"/>
    <x v="97"/>
    <x v="97"/>
    <s v="REVENUS"/>
    <x v="2"/>
    <s v="4001.002"/>
    <s v="Impôt complément s/revenu PP"/>
    <n v="0"/>
    <n v="137314.79999999999"/>
    <n v="4001"/>
  </r>
  <r>
    <x v="0"/>
    <x v="6"/>
    <x v="5"/>
    <x v="110"/>
    <x v="97"/>
    <x v="97"/>
    <s v="REVENUS"/>
    <x v="3"/>
    <s v="4002.002"/>
    <s v="Impôt complémentaire s/fortune PP"/>
    <n v="0"/>
    <n v="59138.2"/>
    <n v="4002"/>
  </r>
  <r>
    <x v="0"/>
    <x v="6"/>
    <x v="5"/>
    <x v="110"/>
    <x v="97"/>
    <x v="97"/>
    <s v="REVENUS"/>
    <x v="2"/>
    <s v="4001.007"/>
    <s v="Acompte impôt sur revenu"/>
    <n v="0"/>
    <n v="452.9"/>
    <n v="4001"/>
  </r>
  <r>
    <x v="0"/>
    <x v="6"/>
    <x v="5"/>
    <x v="110"/>
    <x v="97"/>
    <x v="97"/>
    <s v="REVENUS"/>
    <x v="3"/>
    <s v="4002.007"/>
    <s v="Acompte impôt sur fortune"/>
    <n v="0"/>
    <n v="129.69999999999999"/>
    <n v="4002"/>
  </r>
  <r>
    <x v="0"/>
    <x v="6"/>
    <x v="5"/>
    <x v="110"/>
    <x v="97"/>
    <x v="97"/>
    <s v="REVENUS"/>
    <x v="3"/>
    <s v="4002.007"/>
    <s v="Acompte impôt sur fortune"/>
    <n v="0"/>
    <n v="8.65"/>
    <n v="4002"/>
  </r>
  <r>
    <x v="0"/>
    <x v="6"/>
    <x v="5"/>
    <x v="110"/>
    <x v="97"/>
    <x v="97"/>
    <s v="REVENUS"/>
    <x v="2"/>
    <s v="4001.007"/>
    <s v="Acompte impôt sur revenu"/>
    <n v="0"/>
    <n v="180.45"/>
    <n v="4001"/>
  </r>
  <r>
    <x v="0"/>
    <x v="6"/>
    <x v="5"/>
    <x v="110"/>
    <x v="97"/>
    <x v="97"/>
    <s v="REVENUS"/>
    <x v="3"/>
    <s v="4002.007"/>
    <s v="Acompte impôt sur fortune"/>
    <n v="0"/>
    <n v="75.55"/>
    <n v="4002"/>
  </r>
  <r>
    <x v="0"/>
    <x v="6"/>
    <x v="5"/>
    <x v="110"/>
    <x v="97"/>
    <x v="97"/>
    <s v="REVENUS"/>
    <x v="3"/>
    <s v="4002.007"/>
    <s v="Acompte impôt sur fortune"/>
    <n v="0"/>
    <n v="149.65"/>
    <n v="4002"/>
  </r>
  <r>
    <x v="0"/>
    <x v="6"/>
    <x v="5"/>
    <x v="110"/>
    <x v="97"/>
    <x v="97"/>
    <s v="REVENUS"/>
    <x v="2"/>
    <s v="4001.007"/>
    <s v="Acompte impôt sur revenu"/>
    <n v="0"/>
    <n v="15"/>
    <n v="4001"/>
  </r>
  <r>
    <x v="0"/>
    <x v="6"/>
    <x v="5"/>
    <x v="110"/>
    <x v="97"/>
    <x v="97"/>
    <s v="REVENUS"/>
    <x v="2"/>
    <s v="4001.001"/>
    <s v="Impôt revenu"/>
    <n v="0"/>
    <n v="1021.4"/>
    <n v="4001"/>
  </r>
  <r>
    <x v="0"/>
    <x v="6"/>
    <x v="5"/>
    <x v="110"/>
    <x v="97"/>
    <x v="97"/>
    <s v="REVENUS"/>
    <x v="3"/>
    <s v="4002.001"/>
    <s v="Impôt ordinaire s/fortune PP"/>
    <n v="0"/>
    <n v="2561.4499999999998"/>
    <n v="4002"/>
  </r>
  <r>
    <x v="0"/>
    <x v="6"/>
    <x v="5"/>
    <x v="110"/>
    <x v="97"/>
    <x v="97"/>
    <s v="REVENUS"/>
    <x v="9"/>
    <s v="4031.001"/>
    <s v="Impôt sur les gains immobiliers"/>
    <n v="0"/>
    <n v="48456.75"/>
    <n v="4031"/>
  </r>
  <r>
    <x v="0"/>
    <x v="6"/>
    <x v="5"/>
    <x v="110"/>
    <x v="97"/>
    <x v="97"/>
    <s v="REVENUS"/>
    <x v="2"/>
    <s v="4001.003"/>
    <s v="Impôt s/prest. cap. PP"/>
    <n v="0"/>
    <n v="-4032.05"/>
    <n v="4001"/>
  </r>
  <r>
    <x v="0"/>
    <x v="6"/>
    <x v="5"/>
    <x v="110"/>
    <x v="97"/>
    <x v="97"/>
    <s v="REVENUS"/>
    <x v="6"/>
    <s v="4221.002"/>
    <s v="Intérêts compensat. sur impôts distincts"/>
    <n v="0"/>
    <n v="-8.57"/>
    <n v="4221"/>
  </r>
  <r>
    <x v="0"/>
    <x v="6"/>
    <x v="5"/>
    <x v="110"/>
    <x v="97"/>
    <x v="97"/>
    <s v="REVENUS"/>
    <x v="2"/>
    <s v="4001.001"/>
    <s v="Impôt revenu"/>
    <n v="0"/>
    <n v="257.05"/>
    <n v="4001"/>
  </r>
  <r>
    <x v="0"/>
    <x v="6"/>
    <x v="5"/>
    <x v="110"/>
    <x v="97"/>
    <x v="97"/>
    <s v="REVENUS"/>
    <x v="3"/>
    <s v="4002.001"/>
    <s v="Impôt ordinaire s/fortune PP"/>
    <n v="0"/>
    <n v="808.7"/>
    <n v="4002"/>
  </r>
  <r>
    <x v="0"/>
    <x v="6"/>
    <x v="5"/>
    <x v="110"/>
    <x v="97"/>
    <x v="97"/>
    <s v="REVENUS"/>
    <x v="3"/>
    <s v="4002.001"/>
    <s v="Impôt ordinaire s/fortune PP"/>
    <n v="0"/>
    <n v="123.8"/>
    <n v="4002"/>
  </r>
  <r>
    <x v="0"/>
    <x v="6"/>
    <x v="5"/>
    <x v="110"/>
    <x v="97"/>
    <x v="97"/>
    <s v="REVENUS"/>
    <x v="3"/>
    <s v="4002.001"/>
    <s v="Impôt ordinaire s/fortune PP"/>
    <n v="0"/>
    <n v="47.15"/>
    <n v="4002"/>
  </r>
  <r>
    <x v="0"/>
    <x v="6"/>
    <x v="5"/>
    <x v="110"/>
    <x v="97"/>
    <x v="97"/>
    <s v="REVENUS"/>
    <x v="3"/>
    <s v="4002.001"/>
    <s v="Impôt ordinaire s/fortune PP"/>
    <n v="0"/>
    <n v="127.1"/>
    <n v="4002"/>
  </r>
  <r>
    <x v="0"/>
    <x v="6"/>
    <x v="5"/>
    <x v="110"/>
    <x v="97"/>
    <x v="97"/>
    <s v="REVENUS"/>
    <x v="2"/>
    <s v="4001.007"/>
    <s v="Acompte impôt sur revenu"/>
    <n v="0"/>
    <n v="-10.65"/>
    <n v="4001"/>
  </r>
  <r>
    <x v="0"/>
    <x v="6"/>
    <x v="5"/>
    <x v="110"/>
    <x v="97"/>
    <x v="97"/>
    <s v="REVENUS"/>
    <x v="2"/>
    <s v="4001.001"/>
    <s v="Impôt revenu"/>
    <n v="0"/>
    <n v="26.45"/>
    <n v="4001"/>
  </r>
  <r>
    <x v="0"/>
    <x v="6"/>
    <x v="5"/>
    <x v="110"/>
    <x v="97"/>
    <x v="97"/>
    <s v="REVENUS"/>
    <x v="6"/>
    <s v="4211.002"/>
    <s v="Intérêts de retard sur acomptes"/>
    <n v="0"/>
    <n v="0.62"/>
    <n v="4211"/>
  </r>
  <r>
    <x v="0"/>
    <x v="6"/>
    <x v="5"/>
    <x v="110"/>
    <x v="97"/>
    <x v="97"/>
    <s v="REVENUS"/>
    <x v="6"/>
    <s v="4221.003"/>
    <s v="Intérêts compensat. / acomptes en faveur du fisc"/>
    <n v="0"/>
    <n v="0.01"/>
    <n v="4221"/>
  </r>
  <r>
    <x v="0"/>
    <x v="6"/>
    <x v="5"/>
    <x v="110"/>
    <x v="97"/>
    <x v="97"/>
    <s v="REVENUS"/>
    <x v="3"/>
    <s v="4002.007"/>
    <s v="Acompte impôt sur fortune"/>
    <n v="0"/>
    <n v="-208.75"/>
    <n v="4002"/>
  </r>
  <r>
    <x v="0"/>
    <x v="6"/>
    <x v="5"/>
    <x v="110"/>
    <x v="97"/>
    <x v="97"/>
    <s v="REVENUS"/>
    <x v="4"/>
    <s v="4051.002"/>
    <s v="Impôt sur les donations"/>
    <n v="0"/>
    <n v="1179.0999999999999"/>
    <n v="4051"/>
  </r>
  <r>
    <x v="0"/>
    <x v="6"/>
    <x v="5"/>
    <x v="110"/>
    <x v="97"/>
    <x v="97"/>
    <s v="REVENUS"/>
    <x v="8"/>
    <s v="4091.001"/>
    <s v="Impôt récupéré après défalcations"/>
    <n v="0"/>
    <n v="2580.88"/>
    <n v="4091"/>
  </r>
  <r>
    <x v="0"/>
    <x v="6"/>
    <x v="5"/>
    <x v="110"/>
    <x v="97"/>
    <x v="97"/>
    <s v="REVENUS"/>
    <x v="6"/>
    <s v="4211.001"/>
    <s v="Intérêts de retard sur factures"/>
    <n v="0"/>
    <n v="0.09"/>
    <n v="4211"/>
  </r>
  <r>
    <x v="0"/>
    <x v="6"/>
    <x v="5"/>
    <x v="111"/>
    <x v="98"/>
    <x v="98"/>
    <s v="CHARGES"/>
    <x v="1"/>
    <s v="3301.001"/>
    <s v="Défalcations, abandons de solde PP et IS"/>
    <n v="59.7"/>
    <n v="0"/>
    <n v="3301"/>
  </r>
  <r>
    <x v="0"/>
    <x v="6"/>
    <x v="5"/>
    <x v="111"/>
    <x v="98"/>
    <x v="98"/>
    <s v="CHARGES"/>
    <x v="0"/>
    <s v="3212.004"/>
    <s v="Intérêts rémun./perçu trop tôt sur acomptes C/C"/>
    <n v="101.87"/>
    <n v="0"/>
    <n v="3212"/>
  </r>
  <r>
    <x v="0"/>
    <x v="6"/>
    <x v="5"/>
    <x v="111"/>
    <x v="98"/>
    <x v="98"/>
    <s v="CHARGES"/>
    <x v="0"/>
    <s v="3221.002"/>
    <s v="Intérêts compensatoires / créances en faveur ctb."/>
    <n v="64.12"/>
    <n v="0"/>
    <n v="3221"/>
  </r>
  <r>
    <x v="0"/>
    <x v="6"/>
    <x v="5"/>
    <x v="111"/>
    <x v="98"/>
    <x v="98"/>
    <s v="CHARGES"/>
    <x v="0"/>
    <s v="3212.002"/>
    <s v="Intérêts bonifiés/trop perçu acompte C/C"/>
    <n v="1.79"/>
    <n v="0"/>
    <n v="3212"/>
  </r>
  <r>
    <x v="0"/>
    <x v="6"/>
    <x v="5"/>
    <x v="111"/>
    <x v="98"/>
    <x v="98"/>
    <s v="CHARGES"/>
    <x v="0"/>
    <s v="3212.002"/>
    <s v="Intérêts bonifiés/trop perçu acompte C/C"/>
    <n v="0.01"/>
    <n v="0"/>
    <n v="3212"/>
  </r>
  <r>
    <x v="0"/>
    <x v="6"/>
    <x v="5"/>
    <x v="111"/>
    <x v="98"/>
    <x v="98"/>
    <s v="CHARGES"/>
    <x v="0"/>
    <s v="3212.004"/>
    <s v="Intérêts rémun./perçu trop tôt sur acomptes C/C"/>
    <n v="0.04"/>
    <n v="0"/>
    <n v="3212"/>
  </r>
  <r>
    <x v="0"/>
    <x v="6"/>
    <x v="5"/>
    <x v="111"/>
    <x v="98"/>
    <x v="98"/>
    <s v="CHARGES"/>
    <x v="0"/>
    <s v="3221.002"/>
    <s v="Intérêts compensatoires / créances en faveur ctb."/>
    <n v="0.03"/>
    <n v="0"/>
    <n v="3221"/>
  </r>
  <r>
    <x v="0"/>
    <x v="6"/>
    <x v="5"/>
    <x v="111"/>
    <x v="98"/>
    <x v="98"/>
    <s v="CHARGES"/>
    <x v="0"/>
    <s v="3212.004"/>
    <s v="Intérêts rémun./perçu trop tôt sur acomptes C/C"/>
    <n v="1.32"/>
    <n v="0"/>
    <n v="3212"/>
  </r>
  <r>
    <x v="0"/>
    <x v="6"/>
    <x v="5"/>
    <x v="111"/>
    <x v="98"/>
    <x v="98"/>
    <s v="CHARGES"/>
    <x v="1"/>
    <s v="3301.001"/>
    <s v="Défalcations, abandons de solde PP et IS"/>
    <n v="0.27"/>
    <n v="0"/>
    <n v="3301"/>
  </r>
  <r>
    <x v="0"/>
    <x v="6"/>
    <x v="5"/>
    <x v="111"/>
    <x v="98"/>
    <x v="98"/>
    <s v="CHARGES"/>
    <x v="1"/>
    <s v="3301.001"/>
    <s v="Défalcations, abandons de solde PP et IS"/>
    <n v="0.02"/>
    <n v="0"/>
    <n v="3301"/>
  </r>
  <r>
    <x v="0"/>
    <x v="6"/>
    <x v="5"/>
    <x v="111"/>
    <x v="98"/>
    <x v="98"/>
    <s v="CHARGES"/>
    <x v="0"/>
    <s v="3212.002"/>
    <s v="Intérêts bonifiés/trop perçu acompte C/C"/>
    <n v="0.02"/>
    <n v="0"/>
    <n v="3212"/>
  </r>
  <r>
    <x v="0"/>
    <x v="6"/>
    <x v="5"/>
    <x v="111"/>
    <x v="98"/>
    <x v="98"/>
    <s v="CHARGES"/>
    <x v="0"/>
    <s v="3212.004"/>
    <s v="Intérêts rémun./perçu trop tôt sur acomptes C/C"/>
    <n v="0.1"/>
    <n v="0"/>
    <n v="3212"/>
  </r>
  <r>
    <x v="0"/>
    <x v="6"/>
    <x v="5"/>
    <x v="111"/>
    <x v="98"/>
    <x v="98"/>
    <s v="CHARGES"/>
    <x v="0"/>
    <s v="3221.002"/>
    <s v="Intérêts compensatoires / créances en faveur ctb."/>
    <n v="-0.01"/>
    <n v="0"/>
    <n v="3221"/>
  </r>
  <r>
    <x v="0"/>
    <x v="6"/>
    <x v="5"/>
    <x v="111"/>
    <x v="98"/>
    <x v="98"/>
    <s v="CHARGES"/>
    <x v="1"/>
    <s v="3301.001"/>
    <s v="Défalcations, abandons de solde PP et IS"/>
    <n v="0.03"/>
    <n v="0"/>
    <n v="3301"/>
  </r>
  <r>
    <x v="0"/>
    <x v="6"/>
    <x v="5"/>
    <x v="111"/>
    <x v="98"/>
    <x v="98"/>
    <s v="CHARGES"/>
    <x v="0"/>
    <s v="3212.004"/>
    <s v="Intérêts rémun./perçu trop tôt sur acomptes C/C"/>
    <n v="0.12"/>
    <n v="0"/>
    <n v="3212"/>
  </r>
  <r>
    <x v="0"/>
    <x v="6"/>
    <x v="5"/>
    <x v="111"/>
    <x v="98"/>
    <x v="98"/>
    <s v="REVENUS"/>
    <x v="2"/>
    <s v="4001.001"/>
    <s v="Impôt revenu"/>
    <n v="0"/>
    <n v="375061.85"/>
    <n v="4001"/>
  </r>
  <r>
    <x v="0"/>
    <x v="6"/>
    <x v="5"/>
    <x v="111"/>
    <x v="98"/>
    <x v="98"/>
    <s v="REVENUS"/>
    <x v="6"/>
    <s v="4211.002"/>
    <s v="Intérêts de retard sur acomptes"/>
    <n v="0"/>
    <n v="1250.75"/>
    <n v="4211"/>
  </r>
  <r>
    <x v="0"/>
    <x v="6"/>
    <x v="5"/>
    <x v="111"/>
    <x v="98"/>
    <x v="98"/>
    <s v="REVENUS"/>
    <x v="6"/>
    <s v="4221.003"/>
    <s v="Intérêts compensat. / acomptes en faveur du fisc"/>
    <n v="0"/>
    <n v="35.96"/>
    <n v="4221"/>
  </r>
  <r>
    <x v="0"/>
    <x v="6"/>
    <x v="5"/>
    <x v="111"/>
    <x v="98"/>
    <x v="98"/>
    <s v="REVENUS"/>
    <x v="2"/>
    <s v="4001.007"/>
    <s v="Acompte impôt sur revenu"/>
    <n v="0"/>
    <n v="-143566.35"/>
    <n v="4001"/>
  </r>
  <r>
    <x v="0"/>
    <x v="6"/>
    <x v="5"/>
    <x v="111"/>
    <x v="98"/>
    <x v="98"/>
    <s v="REVENUS"/>
    <x v="3"/>
    <s v="4002.001"/>
    <s v="Impôt ordinaire s/fortune PP"/>
    <n v="0"/>
    <n v="46270.8"/>
    <n v="4002"/>
  </r>
  <r>
    <x v="0"/>
    <x v="6"/>
    <x v="5"/>
    <x v="111"/>
    <x v="98"/>
    <x v="98"/>
    <s v="REVENUS"/>
    <x v="3"/>
    <s v="4002.007"/>
    <s v="Acompte impôt sur fortune"/>
    <n v="0"/>
    <n v="-6599.49"/>
    <n v="4002"/>
  </r>
  <r>
    <x v="0"/>
    <x v="6"/>
    <x v="5"/>
    <x v="111"/>
    <x v="98"/>
    <x v="98"/>
    <s v="REVENUS"/>
    <x v="6"/>
    <s v="4211.001"/>
    <s v="Intérêts de retard sur factures"/>
    <n v="0"/>
    <n v="648.27"/>
    <n v="4211"/>
  </r>
  <r>
    <x v="0"/>
    <x v="6"/>
    <x v="5"/>
    <x v="111"/>
    <x v="98"/>
    <x v="98"/>
    <s v="REVENUS"/>
    <x v="10"/>
    <s v="4041.001"/>
    <s v="Droits de mutation"/>
    <n v="0"/>
    <n v="15515.5"/>
    <n v="4041"/>
  </r>
  <r>
    <x v="0"/>
    <x v="6"/>
    <x v="5"/>
    <x v="111"/>
    <x v="98"/>
    <x v="98"/>
    <s v="REVENUS"/>
    <x v="2"/>
    <s v="4001.002"/>
    <s v="Impôt complément s/revenu PP"/>
    <n v="0"/>
    <n v="47337.8"/>
    <n v="4001"/>
  </r>
  <r>
    <x v="0"/>
    <x v="6"/>
    <x v="5"/>
    <x v="111"/>
    <x v="98"/>
    <x v="98"/>
    <s v="REVENUS"/>
    <x v="2"/>
    <s v="4001.003"/>
    <s v="Impôt s/prest. cap. PP"/>
    <n v="0"/>
    <n v="22953.35"/>
    <n v="4001"/>
  </r>
  <r>
    <x v="0"/>
    <x v="6"/>
    <x v="5"/>
    <x v="111"/>
    <x v="98"/>
    <x v="98"/>
    <s v="REVENUS"/>
    <x v="3"/>
    <s v="4002.007"/>
    <s v="Acompte impôt sur fortune"/>
    <n v="0"/>
    <n v="32.549999999999997"/>
    <n v="4002"/>
  </r>
  <r>
    <x v="0"/>
    <x v="6"/>
    <x v="5"/>
    <x v="111"/>
    <x v="98"/>
    <x v="98"/>
    <s v="REVENUS"/>
    <x v="7"/>
    <s v="4184.000"/>
    <s v="Frais de poursuite"/>
    <n v="0"/>
    <n v="306.86"/>
    <n v="4184"/>
  </r>
  <r>
    <x v="0"/>
    <x v="6"/>
    <x v="5"/>
    <x v="111"/>
    <x v="98"/>
    <x v="98"/>
    <s v="REVENUS"/>
    <x v="3"/>
    <s v="4002.007"/>
    <s v="Acompte impôt sur fortune"/>
    <n v="0"/>
    <n v="104.25"/>
    <n v="4002"/>
  </r>
  <r>
    <x v="0"/>
    <x v="6"/>
    <x v="5"/>
    <x v="111"/>
    <x v="98"/>
    <x v="98"/>
    <s v="REVENUS"/>
    <x v="3"/>
    <s v="4002.007"/>
    <s v="Acompte impôt sur fortune"/>
    <n v="0"/>
    <n v="27.35"/>
    <n v="4002"/>
  </r>
  <r>
    <x v="0"/>
    <x v="6"/>
    <x v="5"/>
    <x v="111"/>
    <x v="98"/>
    <x v="98"/>
    <s v="REVENUS"/>
    <x v="2"/>
    <s v="4001.007"/>
    <s v="Acompte impôt sur revenu"/>
    <n v="0"/>
    <n v="1145.8"/>
    <n v="4001"/>
  </r>
  <r>
    <x v="0"/>
    <x v="6"/>
    <x v="5"/>
    <x v="111"/>
    <x v="98"/>
    <x v="98"/>
    <s v="REVENUS"/>
    <x v="3"/>
    <s v="4002.002"/>
    <s v="Impôt complémentaire s/fortune PP"/>
    <n v="0"/>
    <n v="1696.55"/>
    <n v="4002"/>
  </r>
  <r>
    <x v="0"/>
    <x v="6"/>
    <x v="5"/>
    <x v="111"/>
    <x v="98"/>
    <x v="98"/>
    <s v="REVENUS"/>
    <x v="6"/>
    <s v="4221.002"/>
    <s v="Intérêts compensat. sur impôts distincts"/>
    <n v="0"/>
    <n v="0.03"/>
    <n v="4221"/>
  </r>
  <r>
    <x v="0"/>
    <x v="6"/>
    <x v="5"/>
    <x v="111"/>
    <x v="98"/>
    <x v="98"/>
    <s v="REVENUS"/>
    <x v="3"/>
    <s v="4002.001"/>
    <s v="Impôt ordinaire s/fortune PP"/>
    <n v="0"/>
    <n v="-695.3"/>
    <n v="4002"/>
  </r>
  <r>
    <x v="0"/>
    <x v="6"/>
    <x v="5"/>
    <x v="111"/>
    <x v="98"/>
    <x v="98"/>
    <s v="REVENUS"/>
    <x v="2"/>
    <s v="4001.001"/>
    <s v="Impôt revenu"/>
    <n v="0"/>
    <n v="1859.2"/>
    <n v="4001"/>
  </r>
  <r>
    <x v="0"/>
    <x v="6"/>
    <x v="5"/>
    <x v="111"/>
    <x v="98"/>
    <x v="98"/>
    <s v="REVENUS"/>
    <x v="3"/>
    <s v="4002.001"/>
    <s v="Impôt ordinaire s/fortune PP"/>
    <n v="0"/>
    <n v="1324.95"/>
    <n v="4002"/>
  </r>
  <r>
    <x v="0"/>
    <x v="6"/>
    <x v="5"/>
    <x v="111"/>
    <x v="98"/>
    <x v="98"/>
    <s v="REVENUS"/>
    <x v="6"/>
    <s v="4221.003"/>
    <s v="Intérêts compensat. / acomptes en faveur du fisc"/>
    <n v="0"/>
    <n v="0.27"/>
    <n v="4221"/>
  </r>
  <r>
    <x v="0"/>
    <x v="6"/>
    <x v="5"/>
    <x v="111"/>
    <x v="98"/>
    <x v="98"/>
    <s v="REVENUS"/>
    <x v="6"/>
    <s v="4211.002"/>
    <s v="Intérêts de retard sur acomptes"/>
    <n v="0"/>
    <n v="2.8"/>
    <n v="4211"/>
  </r>
  <r>
    <x v="0"/>
    <x v="6"/>
    <x v="5"/>
    <x v="111"/>
    <x v="98"/>
    <x v="98"/>
    <s v="REVENUS"/>
    <x v="3"/>
    <s v="4002.001"/>
    <s v="Impôt ordinaire s/fortune PP"/>
    <n v="0"/>
    <n v="28.65"/>
    <n v="4002"/>
  </r>
  <r>
    <x v="0"/>
    <x v="6"/>
    <x v="5"/>
    <x v="111"/>
    <x v="98"/>
    <x v="98"/>
    <s v="REVENUS"/>
    <x v="6"/>
    <s v="4221.003"/>
    <s v="Intérêts compensat. / acomptes en faveur du fisc"/>
    <n v="0"/>
    <n v="0.02"/>
    <n v="4221"/>
  </r>
  <r>
    <x v="0"/>
    <x v="6"/>
    <x v="5"/>
    <x v="111"/>
    <x v="98"/>
    <x v="98"/>
    <s v="REVENUS"/>
    <x v="3"/>
    <s v="4002.001"/>
    <s v="Impôt ordinaire s/fortune PP"/>
    <n v="0"/>
    <n v="-13.45"/>
    <n v="4002"/>
  </r>
  <r>
    <x v="0"/>
    <x v="6"/>
    <x v="5"/>
    <x v="111"/>
    <x v="98"/>
    <x v="98"/>
    <s v="REVENUS"/>
    <x v="3"/>
    <s v="4002.002"/>
    <s v="Impôt complémentaire s/fortune PP"/>
    <n v="0"/>
    <n v="121.7"/>
    <n v="4002"/>
  </r>
  <r>
    <x v="0"/>
    <x v="6"/>
    <x v="5"/>
    <x v="111"/>
    <x v="98"/>
    <x v="98"/>
    <s v="REVENUS"/>
    <x v="6"/>
    <s v="4211.001"/>
    <s v="Intérêts de retard sur factures"/>
    <n v="0"/>
    <n v="3.59"/>
    <n v="4211"/>
  </r>
  <r>
    <x v="0"/>
    <x v="6"/>
    <x v="5"/>
    <x v="111"/>
    <x v="98"/>
    <x v="98"/>
    <s v="REVENUS"/>
    <x v="6"/>
    <s v="4211.002"/>
    <s v="Intérêts de retard sur acomptes"/>
    <n v="0"/>
    <n v="0.39"/>
    <n v="4211"/>
  </r>
  <r>
    <x v="0"/>
    <x v="6"/>
    <x v="5"/>
    <x v="111"/>
    <x v="98"/>
    <x v="98"/>
    <s v="REVENUS"/>
    <x v="6"/>
    <s v="4221.003"/>
    <s v="Intérêts compensat. / acomptes en faveur du fisc"/>
    <n v="0"/>
    <n v="0.4"/>
    <n v="4221"/>
  </r>
  <r>
    <x v="0"/>
    <x v="6"/>
    <x v="5"/>
    <x v="111"/>
    <x v="98"/>
    <x v="98"/>
    <s v="REVENUS"/>
    <x v="9"/>
    <s v="4031.001"/>
    <s v="Impôt sur les gains immobiliers"/>
    <n v="0"/>
    <n v="12286.6"/>
    <n v="4031"/>
  </r>
  <r>
    <x v="0"/>
    <x v="6"/>
    <x v="5"/>
    <x v="111"/>
    <x v="98"/>
    <x v="98"/>
    <s v="REVENUS"/>
    <x v="2"/>
    <s v="4001.007"/>
    <s v="Acompte impôt sur revenu"/>
    <n v="0"/>
    <n v="-10.4"/>
    <n v="4001"/>
  </r>
  <r>
    <x v="0"/>
    <x v="6"/>
    <x v="5"/>
    <x v="111"/>
    <x v="98"/>
    <x v="98"/>
    <s v="REVENUS"/>
    <x v="3"/>
    <s v="4002.001"/>
    <s v="Impôt ordinaire s/fortune PP"/>
    <n v="0"/>
    <n v="298.05"/>
    <n v="4002"/>
  </r>
  <r>
    <x v="0"/>
    <x v="6"/>
    <x v="5"/>
    <x v="111"/>
    <x v="98"/>
    <x v="98"/>
    <s v="REVENUS"/>
    <x v="6"/>
    <s v="4211.002"/>
    <s v="Intérêts de retard sur acomptes"/>
    <n v="0"/>
    <n v="0.06"/>
    <n v="4211"/>
  </r>
  <r>
    <x v="0"/>
    <x v="6"/>
    <x v="5"/>
    <x v="112"/>
    <x v="99"/>
    <x v="99"/>
    <s v="CHARGES"/>
    <x v="0"/>
    <s v="3212.004"/>
    <s v="Intérêts rémun./perçu trop tôt sur acomptes C/C"/>
    <n v="5.99"/>
    <n v="0"/>
    <n v="3212"/>
  </r>
  <r>
    <x v="0"/>
    <x v="6"/>
    <x v="5"/>
    <x v="112"/>
    <x v="99"/>
    <x v="99"/>
    <s v="CHARGES"/>
    <x v="1"/>
    <s v="3301.001"/>
    <s v="Défalcations, abandons de solde PP et IS"/>
    <n v="0.09"/>
    <n v="0"/>
    <n v="3301"/>
  </r>
  <r>
    <x v="0"/>
    <x v="6"/>
    <x v="5"/>
    <x v="112"/>
    <x v="99"/>
    <x v="99"/>
    <s v="CHARGES"/>
    <x v="0"/>
    <s v="3212.002"/>
    <s v="Intérêts bonifiés/trop perçu acompte C/C"/>
    <n v="74.319999999999993"/>
    <n v="0"/>
    <n v="3212"/>
  </r>
  <r>
    <x v="0"/>
    <x v="6"/>
    <x v="5"/>
    <x v="112"/>
    <x v="99"/>
    <x v="99"/>
    <s v="CHARGES"/>
    <x v="0"/>
    <s v="3212.004"/>
    <s v="Intérêts rémun./perçu trop tôt sur acomptes C/C"/>
    <n v="1308.77"/>
    <n v="0"/>
    <n v="3212"/>
  </r>
  <r>
    <x v="0"/>
    <x v="6"/>
    <x v="5"/>
    <x v="112"/>
    <x v="99"/>
    <x v="99"/>
    <s v="CHARGES"/>
    <x v="0"/>
    <s v="3221.002"/>
    <s v="Intérêts compensatoires / créances en faveur ctb."/>
    <n v="687.01"/>
    <n v="0"/>
    <n v="3221"/>
  </r>
  <r>
    <x v="0"/>
    <x v="6"/>
    <x v="5"/>
    <x v="112"/>
    <x v="99"/>
    <x v="99"/>
    <s v="CHARGES"/>
    <x v="1"/>
    <s v="3301.001"/>
    <s v="Défalcations, abandons de solde PP et IS"/>
    <n v="86110.92"/>
    <n v="0"/>
    <n v="3301"/>
  </r>
  <r>
    <x v="0"/>
    <x v="6"/>
    <x v="5"/>
    <x v="112"/>
    <x v="99"/>
    <x v="99"/>
    <s v="CHARGES"/>
    <x v="0"/>
    <s v="3212.002"/>
    <s v="Intérêts bonifiés/trop perçu acompte C/C"/>
    <n v="0.05"/>
    <n v="0"/>
    <n v="3212"/>
  </r>
  <r>
    <x v="0"/>
    <x v="6"/>
    <x v="5"/>
    <x v="112"/>
    <x v="99"/>
    <x v="99"/>
    <s v="CHARGES"/>
    <x v="0"/>
    <s v="3212.004"/>
    <s v="Intérêts rémun./perçu trop tôt sur acomptes C/C"/>
    <n v="19.21"/>
    <n v="0"/>
    <n v="3212"/>
  </r>
  <r>
    <x v="0"/>
    <x v="6"/>
    <x v="5"/>
    <x v="112"/>
    <x v="99"/>
    <x v="99"/>
    <s v="CHARGES"/>
    <x v="0"/>
    <s v="3212.002"/>
    <s v="Intérêts bonifiés/trop perçu acompte C/C"/>
    <n v="0.37"/>
    <n v="0"/>
    <n v="3212"/>
  </r>
  <r>
    <x v="0"/>
    <x v="6"/>
    <x v="5"/>
    <x v="112"/>
    <x v="99"/>
    <x v="99"/>
    <s v="CHARGES"/>
    <x v="0"/>
    <s v="3212.004"/>
    <s v="Intérêts rémun./perçu trop tôt sur acomptes C/C"/>
    <n v="34.36"/>
    <n v="0"/>
    <n v="3212"/>
  </r>
  <r>
    <x v="0"/>
    <x v="6"/>
    <x v="5"/>
    <x v="112"/>
    <x v="99"/>
    <x v="99"/>
    <s v="CHARGES"/>
    <x v="0"/>
    <s v="3221.002"/>
    <s v="Intérêts compensatoires / créances en faveur ctb."/>
    <n v="7.83"/>
    <n v="0"/>
    <n v="3221"/>
  </r>
  <r>
    <x v="0"/>
    <x v="6"/>
    <x v="5"/>
    <x v="112"/>
    <x v="99"/>
    <x v="99"/>
    <s v="CHARGES"/>
    <x v="1"/>
    <s v="3301.001"/>
    <s v="Défalcations, abandons de solde PP et IS"/>
    <n v="0.41"/>
    <n v="0"/>
    <n v="3301"/>
  </r>
  <r>
    <x v="0"/>
    <x v="6"/>
    <x v="5"/>
    <x v="112"/>
    <x v="99"/>
    <x v="99"/>
    <s v="CHARGES"/>
    <x v="0"/>
    <s v="3221.002"/>
    <s v="Intérêts compensatoires / créances en faveur ctb."/>
    <n v="4.01"/>
    <n v="0"/>
    <n v="3221"/>
  </r>
  <r>
    <x v="0"/>
    <x v="6"/>
    <x v="5"/>
    <x v="112"/>
    <x v="99"/>
    <x v="99"/>
    <s v="CHARGES"/>
    <x v="1"/>
    <s v="3301.001"/>
    <s v="Défalcations, abandons de solde PP et IS"/>
    <n v="1.36"/>
    <n v="0"/>
    <n v="3301"/>
  </r>
  <r>
    <x v="0"/>
    <x v="6"/>
    <x v="5"/>
    <x v="112"/>
    <x v="99"/>
    <x v="99"/>
    <s v="CHARGES"/>
    <x v="1"/>
    <s v="3301.001"/>
    <s v="Défalcations, abandons de solde PP et IS"/>
    <n v="3.38"/>
    <n v="0"/>
    <n v="3301"/>
  </r>
  <r>
    <x v="0"/>
    <x v="6"/>
    <x v="5"/>
    <x v="112"/>
    <x v="99"/>
    <x v="99"/>
    <s v="CHARGES"/>
    <x v="0"/>
    <s v="3212.002"/>
    <s v="Intérêts bonifiés/trop perçu acompte C/C"/>
    <n v="0.08"/>
    <n v="0"/>
    <n v="3212"/>
  </r>
  <r>
    <x v="0"/>
    <x v="6"/>
    <x v="5"/>
    <x v="112"/>
    <x v="99"/>
    <x v="99"/>
    <s v="CHARGES"/>
    <x v="0"/>
    <s v="3212.004"/>
    <s v="Intérêts rémun./perçu trop tôt sur acomptes C/C"/>
    <n v="0.1"/>
    <n v="0"/>
    <n v="3212"/>
  </r>
  <r>
    <x v="0"/>
    <x v="6"/>
    <x v="5"/>
    <x v="112"/>
    <x v="99"/>
    <x v="99"/>
    <s v="CHARGES"/>
    <x v="0"/>
    <s v="3221.002"/>
    <s v="Intérêts compensatoires / créances en faveur ctb."/>
    <n v="0.14000000000000001"/>
    <n v="0"/>
    <n v="3221"/>
  </r>
  <r>
    <x v="0"/>
    <x v="6"/>
    <x v="5"/>
    <x v="112"/>
    <x v="99"/>
    <x v="99"/>
    <s v="CHARGES"/>
    <x v="1"/>
    <s v="3301.001"/>
    <s v="Défalcations, abandons de solde PP et IS"/>
    <n v="0.03"/>
    <n v="0"/>
    <n v="3301"/>
  </r>
  <r>
    <x v="0"/>
    <x v="6"/>
    <x v="5"/>
    <x v="112"/>
    <x v="99"/>
    <x v="99"/>
    <s v="CHARGES"/>
    <x v="0"/>
    <s v="3212.004"/>
    <s v="Intérêts rémun./perçu trop tôt sur acomptes C/C"/>
    <n v="0.21"/>
    <n v="0"/>
    <n v="3212"/>
  </r>
  <r>
    <x v="0"/>
    <x v="6"/>
    <x v="5"/>
    <x v="112"/>
    <x v="99"/>
    <x v="99"/>
    <s v="CHARGES"/>
    <x v="0"/>
    <s v="3221.002"/>
    <s v="Intérêts compensatoires / créances en faveur ctb."/>
    <n v="0.14000000000000001"/>
    <n v="0"/>
    <n v="3221"/>
  </r>
  <r>
    <x v="0"/>
    <x v="6"/>
    <x v="5"/>
    <x v="112"/>
    <x v="99"/>
    <x v="99"/>
    <s v="CHARGES"/>
    <x v="0"/>
    <s v="3221.002"/>
    <s v="Intérêts compensatoires / créances en faveur ctb."/>
    <n v="4.5"/>
    <n v="0"/>
    <n v="3221"/>
  </r>
  <r>
    <x v="0"/>
    <x v="6"/>
    <x v="5"/>
    <x v="112"/>
    <x v="99"/>
    <x v="99"/>
    <s v="CHARGES"/>
    <x v="0"/>
    <s v="3212.004"/>
    <s v="Intérêts rémun./perçu trop tôt sur acomptes C/C"/>
    <n v="7.42"/>
    <n v="0"/>
    <n v="3212"/>
  </r>
  <r>
    <x v="0"/>
    <x v="6"/>
    <x v="5"/>
    <x v="112"/>
    <x v="99"/>
    <x v="99"/>
    <s v="CHARGES"/>
    <x v="0"/>
    <s v="3221.002"/>
    <s v="Intérêts compensatoires / créances en faveur ctb."/>
    <n v="3.54"/>
    <n v="0"/>
    <n v="3221"/>
  </r>
  <r>
    <x v="0"/>
    <x v="6"/>
    <x v="5"/>
    <x v="112"/>
    <x v="99"/>
    <x v="99"/>
    <s v="CHARGES"/>
    <x v="0"/>
    <s v="3212.004"/>
    <s v="Intérêts rémun./perçu trop tôt sur acomptes C/C"/>
    <n v="1.43"/>
    <n v="0"/>
    <n v="3212"/>
  </r>
  <r>
    <x v="0"/>
    <x v="6"/>
    <x v="5"/>
    <x v="112"/>
    <x v="99"/>
    <x v="99"/>
    <s v="CHARGES"/>
    <x v="1"/>
    <s v="3301.001"/>
    <s v="Défalcations, abandons de solde PP et IS"/>
    <n v="0.84"/>
    <n v="0"/>
    <n v="3301"/>
  </r>
  <r>
    <x v="0"/>
    <x v="6"/>
    <x v="5"/>
    <x v="112"/>
    <x v="99"/>
    <x v="99"/>
    <s v="CHARGES"/>
    <x v="0"/>
    <s v="3221.002"/>
    <s v="Intérêts compensatoires / créances en faveur ctb."/>
    <n v="0.28000000000000003"/>
    <n v="0"/>
    <n v="3221"/>
  </r>
  <r>
    <x v="0"/>
    <x v="6"/>
    <x v="5"/>
    <x v="112"/>
    <x v="99"/>
    <x v="99"/>
    <s v="CHARGES"/>
    <x v="0"/>
    <s v="3212.004"/>
    <s v="Intérêts rémun./perçu trop tôt sur acomptes C/C"/>
    <n v="0.16"/>
    <n v="0"/>
    <n v="3212"/>
  </r>
  <r>
    <x v="0"/>
    <x v="6"/>
    <x v="5"/>
    <x v="112"/>
    <x v="99"/>
    <x v="99"/>
    <s v="CHARGES"/>
    <x v="0"/>
    <s v="3221.002"/>
    <s v="Intérêts compensatoires / créances en faveur ctb."/>
    <n v="0.27"/>
    <n v="0"/>
    <n v="3221"/>
  </r>
  <r>
    <x v="0"/>
    <x v="6"/>
    <x v="5"/>
    <x v="112"/>
    <x v="99"/>
    <x v="99"/>
    <s v="CHARGES"/>
    <x v="1"/>
    <s v="3301.003"/>
    <s v="Remises PP et IS"/>
    <n v="711.11"/>
    <n v="0"/>
    <n v="3301"/>
  </r>
  <r>
    <x v="0"/>
    <x v="6"/>
    <x v="5"/>
    <x v="112"/>
    <x v="99"/>
    <x v="99"/>
    <s v="CHARGES"/>
    <x v="1"/>
    <s v="3301.001"/>
    <s v="Défalcations, abandons de solde PP et IS"/>
    <n v="0.02"/>
    <n v="0"/>
    <n v="3301"/>
  </r>
  <r>
    <x v="0"/>
    <x v="6"/>
    <x v="5"/>
    <x v="112"/>
    <x v="99"/>
    <x v="99"/>
    <s v="CHARGES"/>
    <x v="0"/>
    <s v="3212.004"/>
    <s v="Intérêts rémun./perçu trop tôt sur acomptes C/C"/>
    <n v="-0.02"/>
    <n v="0"/>
    <n v="3212"/>
  </r>
  <r>
    <x v="0"/>
    <x v="6"/>
    <x v="5"/>
    <x v="112"/>
    <x v="99"/>
    <x v="99"/>
    <s v="CHARGES"/>
    <x v="0"/>
    <s v="3212.004"/>
    <s v="Intérêts rémun./perçu trop tôt sur acomptes C/C"/>
    <n v="-0.91"/>
    <n v="0"/>
    <n v="3212"/>
  </r>
  <r>
    <x v="0"/>
    <x v="6"/>
    <x v="5"/>
    <x v="112"/>
    <x v="99"/>
    <x v="99"/>
    <s v="CHARGES"/>
    <x v="0"/>
    <s v="3221.002"/>
    <s v="Intérêts compensatoires / créances en faveur ctb."/>
    <n v="-0.15"/>
    <n v="0"/>
    <n v="3221"/>
  </r>
  <r>
    <x v="0"/>
    <x v="6"/>
    <x v="5"/>
    <x v="112"/>
    <x v="99"/>
    <x v="99"/>
    <s v="CHARGES"/>
    <x v="1"/>
    <s v="3301.001"/>
    <s v="Défalcations, abandons de solde PP et IS"/>
    <n v="-0.03"/>
    <n v="0"/>
    <n v="3301"/>
  </r>
  <r>
    <x v="0"/>
    <x v="6"/>
    <x v="5"/>
    <x v="112"/>
    <x v="99"/>
    <x v="99"/>
    <s v="REVENUS"/>
    <x v="2"/>
    <s v="4001.001"/>
    <s v="Impôt revenu"/>
    <n v="0"/>
    <n v="13621.65"/>
    <n v="4001"/>
  </r>
  <r>
    <x v="0"/>
    <x v="6"/>
    <x v="5"/>
    <x v="112"/>
    <x v="99"/>
    <x v="99"/>
    <s v="REVENUS"/>
    <x v="6"/>
    <s v="4211.002"/>
    <s v="Intérêts de retard sur acomptes"/>
    <n v="0"/>
    <n v="61.68"/>
    <n v="4211"/>
  </r>
  <r>
    <x v="0"/>
    <x v="6"/>
    <x v="5"/>
    <x v="112"/>
    <x v="99"/>
    <x v="99"/>
    <s v="REVENUS"/>
    <x v="6"/>
    <s v="4221.003"/>
    <s v="Intérêts compensat. / acomptes en faveur du fisc"/>
    <n v="0"/>
    <n v="10.27"/>
    <n v="4221"/>
  </r>
  <r>
    <x v="0"/>
    <x v="6"/>
    <x v="5"/>
    <x v="112"/>
    <x v="99"/>
    <x v="99"/>
    <s v="REVENUS"/>
    <x v="2"/>
    <s v="4001.001"/>
    <s v="Impôt revenu"/>
    <n v="0"/>
    <n v="7661.1"/>
    <n v="4001"/>
  </r>
  <r>
    <x v="0"/>
    <x v="6"/>
    <x v="5"/>
    <x v="112"/>
    <x v="99"/>
    <x v="99"/>
    <s v="REVENUS"/>
    <x v="2"/>
    <s v="4001.007"/>
    <s v="Acompte impôt sur revenu"/>
    <n v="0"/>
    <n v="1813.3"/>
    <n v="4001"/>
  </r>
  <r>
    <x v="0"/>
    <x v="6"/>
    <x v="5"/>
    <x v="112"/>
    <x v="99"/>
    <x v="99"/>
    <s v="REVENUS"/>
    <x v="6"/>
    <s v="4221.003"/>
    <s v="Intérêts compensat. / acomptes en faveur du fisc"/>
    <n v="0"/>
    <n v="0.37"/>
    <n v="4221"/>
  </r>
  <r>
    <x v="0"/>
    <x v="6"/>
    <x v="5"/>
    <x v="112"/>
    <x v="99"/>
    <x v="99"/>
    <s v="REVENUS"/>
    <x v="2"/>
    <s v="4001.001"/>
    <s v="Impôt revenu"/>
    <n v="0"/>
    <n v="6053598.0499999998"/>
    <n v="4001"/>
  </r>
  <r>
    <x v="0"/>
    <x v="6"/>
    <x v="5"/>
    <x v="112"/>
    <x v="99"/>
    <x v="99"/>
    <s v="REVENUS"/>
    <x v="2"/>
    <s v="4001.003"/>
    <s v="Impôt s/prest. cap. PP"/>
    <n v="0"/>
    <n v="246684.55"/>
    <n v="4001"/>
  </r>
  <r>
    <x v="0"/>
    <x v="6"/>
    <x v="5"/>
    <x v="112"/>
    <x v="99"/>
    <x v="99"/>
    <s v="REVENUS"/>
    <x v="2"/>
    <s v="4001.007"/>
    <s v="Acompte impôt sur revenu"/>
    <n v="0"/>
    <n v="-1234631.27"/>
    <n v="4001"/>
  </r>
  <r>
    <x v="0"/>
    <x v="6"/>
    <x v="5"/>
    <x v="112"/>
    <x v="99"/>
    <x v="99"/>
    <s v="REVENUS"/>
    <x v="3"/>
    <s v="4002.001"/>
    <s v="Impôt ordinaire s/fortune PP"/>
    <n v="0"/>
    <n v="1063188.8500000001"/>
    <n v="4002"/>
  </r>
  <r>
    <x v="0"/>
    <x v="6"/>
    <x v="5"/>
    <x v="112"/>
    <x v="99"/>
    <x v="99"/>
    <s v="REVENUS"/>
    <x v="3"/>
    <s v="4002.007"/>
    <s v="Acompte impôt sur fortune"/>
    <n v="0"/>
    <n v="-247871.05"/>
    <n v="4002"/>
  </r>
  <r>
    <x v="0"/>
    <x v="6"/>
    <x v="5"/>
    <x v="112"/>
    <x v="99"/>
    <x v="99"/>
    <s v="REVENUS"/>
    <x v="6"/>
    <s v="4211.001"/>
    <s v="Intérêts de retard sur factures"/>
    <n v="0"/>
    <n v="33675.94"/>
    <n v="4211"/>
  </r>
  <r>
    <x v="0"/>
    <x v="6"/>
    <x v="5"/>
    <x v="112"/>
    <x v="99"/>
    <x v="99"/>
    <s v="REVENUS"/>
    <x v="6"/>
    <s v="4211.002"/>
    <s v="Intérêts de retard sur acomptes"/>
    <n v="0"/>
    <n v="40784.44"/>
    <n v="4211"/>
  </r>
  <r>
    <x v="0"/>
    <x v="6"/>
    <x v="5"/>
    <x v="112"/>
    <x v="99"/>
    <x v="99"/>
    <s v="REVENUS"/>
    <x v="6"/>
    <s v="4221.003"/>
    <s v="Intérêts compensat. / acomptes en faveur du fisc"/>
    <n v="0"/>
    <n v="982.09"/>
    <n v="4221"/>
  </r>
  <r>
    <x v="0"/>
    <x v="6"/>
    <x v="5"/>
    <x v="112"/>
    <x v="99"/>
    <x v="99"/>
    <s v="REVENUS"/>
    <x v="2"/>
    <s v="4001.002"/>
    <s v="Impôt complément s/revenu PP"/>
    <n v="0"/>
    <n v="1167721.7"/>
    <n v="4001"/>
  </r>
  <r>
    <x v="0"/>
    <x v="6"/>
    <x v="5"/>
    <x v="112"/>
    <x v="99"/>
    <x v="99"/>
    <s v="REVENUS"/>
    <x v="3"/>
    <s v="4002.002"/>
    <s v="Impôt complémentaire s/fortune PP"/>
    <n v="0"/>
    <n v="216151.8"/>
    <n v="4002"/>
  </r>
  <r>
    <x v="0"/>
    <x v="6"/>
    <x v="5"/>
    <x v="112"/>
    <x v="99"/>
    <x v="99"/>
    <s v="REVENUS"/>
    <x v="2"/>
    <s v="4001.001"/>
    <s v="Impôt revenu"/>
    <n v="0"/>
    <n v="-281443.7"/>
    <n v="4001"/>
  </r>
  <r>
    <x v="0"/>
    <x v="6"/>
    <x v="5"/>
    <x v="112"/>
    <x v="99"/>
    <x v="99"/>
    <s v="REVENUS"/>
    <x v="3"/>
    <s v="4002.001"/>
    <s v="Impôt ordinaire s/fortune PP"/>
    <n v="0"/>
    <n v="-28489.45"/>
    <n v="4002"/>
  </r>
  <r>
    <x v="0"/>
    <x v="6"/>
    <x v="5"/>
    <x v="112"/>
    <x v="99"/>
    <x v="99"/>
    <s v="REVENUS"/>
    <x v="2"/>
    <s v="4001.001"/>
    <s v="Impôt revenu"/>
    <n v="0"/>
    <n v="12187.65"/>
    <n v="4001"/>
  </r>
  <r>
    <x v="0"/>
    <x v="6"/>
    <x v="5"/>
    <x v="112"/>
    <x v="99"/>
    <x v="99"/>
    <s v="REVENUS"/>
    <x v="2"/>
    <s v="4001.007"/>
    <s v="Acompte impôt sur revenu"/>
    <n v="0"/>
    <n v="-2557.0100000000002"/>
    <n v="4001"/>
  </r>
  <r>
    <x v="0"/>
    <x v="6"/>
    <x v="5"/>
    <x v="112"/>
    <x v="99"/>
    <x v="99"/>
    <s v="REVENUS"/>
    <x v="3"/>
    <s v="4002.001"/>
    <s v="Impôt ordinaire s/fortune PP"/>
    <n v="0"/>
    <n v="11191"/>
    <n v="4002"/>
  </r>
  <r>
    <x v="0"/>
    <x v="6"/>
    <x v="5"/>
    <x v="112"/>
    <x v="99"/>
    <x v="99"/>
    <s v="REVENUS"/>
    <x v="3"/>
    <s v="4002.007"/>
    <s v="Acompte impôt sur fortune"/>
    <n v="0"/>
    <n v="4169.54"/>
    <n v="4002"/>
  </r>
  <r>
    <x v="0"/>
    <x v="6"/>
    <x v="5"/>
    <x v="112"/>
    <x v="99"/>
    <x v="99"/>
    <s v="REVENUS"/>
    <x v="6"/>
    <s v="4211.002"/>
    <s v="Intérêts de retard sur acomptes"/>
    <n v="0"/>
    <n v="5.51"/>
    <n v="4211"/>
  </r>
  <r>
    <x v="0"/>
    <x v="6"/>
    <x v="5"/>
    <x v="112"/>
    <x v="99"/>
    <x v="99"/>
    <s v="REVENUS"/>
    <x v="7"/>
    <s v="4184.000"/>
    <s v="Frais de poursuite"/>
    <n v="0"/>
    <n v="10515.59"/>
    <n v="4184"/>
  </r>
  <r>
    <x v="0"/>
    <x v="6"/>
    <x v="5"/>
    <x v="112"/>
    <x v="99"/>
    <x v="99"/>
    <s v="REVENUS"/>
    <x v="9"/>
    <s v="4031.001"/>
    <s v="Impôt sur les gains immobiliers"/>
    <n v="0"/>
    <n v="329869.2"/>
    <n v="4031"/>
  </r>
  <r>
    <x v="0"/>
    <x v="6"/>
    <x v="5"/>
    <x v="112"/>
    <x v="99"/>
    <x v="99"/>
    <s v="REVENUS"/>
    <x v="10"/>
    <s v="4041.001"/>
    <s v="Droits de mutation"/>
    <n v="0"/>
    <n v="267502.3"/>
    <n v="4041"/>
  </r>
  <r>
    <x v="0"/>
    <x v="6"/>
    <x v="5"/>
    <x v="112"/>
    <x v="99"/>
    <x v="99"/>
    <s v="REVENUS"/>
    <x v="6"/>
    <s v="4221.002"/>
    <s v="Intérêts compensat. sur impôts distincts"/>
    <n v="0"/>
    <n v="587.89"/>
    <n v="4221"/>
  </r>
  <r>
    <x v="0"/>
    <x v="6"/>
    <x v="5"/>
    <x v="112"/>
    <x v="99"/>
    <x v="99"/>
    <s v="REVENUS"/>
    <x v="3"/>
    <s v="4002.007"/>
    <s v="Acompte impôt sur fortune"/>
    <n v="0"/>
    <n v="83.55"/>
    <n v="4002"/>
  </r>
  <r>
    <x v="0"/>
    <x v="6"/>
    <x v="5"/>
    <x v="112"/>
    <x v="99"/>
    <x v="99"/>
    <s v="REVENUS"/>
    <x v="6"/>
    <s v="4211.001"/>
    <s v="Intérêts de retard sur factures"/>
    <n v="0"/>
    <n v="0.01"/>
    <n v="4211"/>
  </r>
  <r>
    <x v="0"/>
    <x v="6"/>
    <x v="5"/>
    <x v="112"/>
    <x v="99"/>
    <x v="99"/>
    <s v="REVENUS"/>
    <x v="6"/>
    <s v="4211.002"/>
    <s v="Intérêts de retard sur acomptes"/>
    <n v="0"/>
    <n v="1.36"/>
    <n v="4211"/>
  </r>
  <r>
    <x v="0"/>
    <x v="6"/>
    <x v="5"/>
    <x v="112"/>
    <x v="99"/>
    <x v="99"/>
    <s v="REVENUS"/>
    <x v="6"/>
    <s v="4221.003"/>
    <s v="Intérêts compensat. / acomptes en faveur du fisc"/>
    <n v="0"/>
    <n v="1.29"/>
    <n v="4221"/>
  </r>
  <r>
    <x v="0"/>
    <x v="6"/>
    <x v="5"/>
    <x v="112"/>
    <x v="99"/>
    <x v="99"/>
    <s v="REVENUS"/>
    <x v="4"/>
    <s v="4051.001"/>
    <s v="Impôt sur les successions"/>
    <n v="0"/>
    <n v="33786.199999999997"/>
    <n v="4051"/>
  </r>
  <r>
    <x v="0"/>
    <x v="6"/>
    <x v="5"/>
    <x v="112"/>
    <x v="99"/>
    <x v="99"/>
    <s v="REVENUS"/>
    <x v="6"/>
    <s v="4221.003"/>
    <s v="Intérêts compensat. / acomptes en faveur du fisc"/>
    <n v="0"/>
    <n v="-7.97"/>
    <n v="4221"/>
  </r>
  <r>
    <x v="0"/>
    <x v="6"/>
    <x v="5"/>
    <x v="112"/>
    <x v="99"/>
    <x v="99"/>
    <s v="REVENUS"/>
    <x v="2"/>
    <s v="4001.007"/>
    <s v="Acompte impôt sur revenu"/>
    <n v="0"/>
    <n v="-141.85"/>
    <n v="4001"/>
  </r>
  <r>
    <x v="0"/>
    <x v="6"/>
    <x v="5"/>
    <x v="112"/>
    <x v="99"/>
    <x v="99"/>
    <s v="REVENUS"/>
    <x v="3"/>
    <s v="4002.007"/>
    <s v="Acompte impôt sur fortune"/>
    <n v="0"/>
    <n v="230.56"/>
    <n v="4002"/>
  </r>
  <r>
    <x v="0"/>
    <x v="6"/>
    <x v="5"/>
    <x v="112"/>
    <x v="99"/>
    <x v="99"/>
    <s v="REVENUS"/>
    <x v="2"/>
    <s v="4001.007"/>
    <s v="Acompte impôt sur revenu"/>
    <n v="0"/>
    <n v="84.3"/>
    <n v="4001"/>
  </r>
  <r>
    <x v="0"/>
    <x v="6"/>
    <x v="5"/>
    <x v="112"/>
    <x v="99"/>
    <x v="99"/>
    <s v="REVENUS"/>
    <x v="3"/>
    <s v="4002.007"/>
    <s v="Acompte impôt sur fortune"/>
    <n v="0"/>
    <n v="-7.75"/>
    <n v="4002"/>
  </r>
  <r>
    <x v="0"/>
    <x v="6"/>
    <x v="5"/>
    <x v="112"/>
    <x v="99"/>
    <x v="99"/>
    <s v="REVENUS"/>
    <x v="3"/>
    <s v="4002.001"/>
    <s v="Impôt ordinaire s/fortune PP"/>
    <n v="0"/>
    <n v="4011.15"/>
    <n v="4002"/>
  </r>
  <r>
    <x v="0"/>
    <x v="6"/>
    <x v="5"/>
    <x v="112"/>
    <x v="99"/>
    <x v="99"/>
    <s v="REVENUS"/>
    <x v="6"/>
    <s v="4211.002"/>
    <s v="Intérêts de retard sur acomptes"/>
    <n v="0"/>
    <n v="2.69"/>
    <n v="4211"/>
  </r>
  <r>
    <x v="0"/>
    <x v="6"/>
    <x v="5"/>
    <x v="112"/>
    <x v="99"/>
    <x v="99"/>
    <s v="REVENUS"/>
    <x v="3"/>
    <s v="4002.007"/>
    <s v="Acompte impôt sur fortune"/>
    <n v="0"/>
    <n v="-2002.6"/>
    <n v="4002"/>
  </r>
  <r>
    <x v="0"/>
    <x v="6"/>
    <x v="5"/>
    <x v="112"/>
    <x v="99"/>
    <x v="99"/>
    <s v="REVENUS"/>
    <x v="2"/>
    <s v="4001.007"/>
    <s v="Acompte impôt sur revenu"/>
    <n v="0"/>
    <n v="-6592.06"/>
    <n v="4001"/>
  </r>
  <r>
    <x v="0"/>
    <x v="6"/>
    <x v="5"/>
    <x v="112"/>
    <x v="99"/>
    <x v="99"/>
    <s v="REVENUS"/>
    <x v="8"/>
    <s v="4091.001"/>
    <s v="Impôt récupéré après défalcations"/>
    <n v="0"/>
    <n v="19708.07"/>
    <n v="4091"/>
  </r>
  <r>
    <x v="0"/>
    <x v="6"/>
    <x v="5"/>
    <x v="112"/>
    <x v="99"/>
    <x v="99"/>
    <s v="REVENUS"/>
    <x v="2"/>
    <s v="4001.001"/>
    <s v="Impôt revenu"/>
    <n v="0"/>
    <n v="-1058.8499999999999"/>
    <n v="4001"/>
  </r>
  <r>
    <x v="0"/>
    <x v="6"/>
    <x v="5"/>
    <x v="112"/>
    <x v="99"/>
    <x v="99"/>
    <s v="REVENUS"/>
    <x v="2"/>
    <s v="4001.002"/>
    <s v="Impôt complément s/revenu PP"/>
    <n v="0"/>
    <n v="-338.2"/>
    <n v="4001"/>
  </r>
  <r>
    <x v="0"/>
    <x v="6"/>
    <x v="5"/>
    <x v="112"/>
    <x v="99"/>
    <x v="99"/>
    <s v="REVENUS"/>
    <x v="3"/>
    <s v="4002.001"/>
    <s v="Impôt ordinaire s/fortune PP"/>
    <n v="0"/>
    <n v="-550.4"/>
    <n v="4002"/>
  </r>
  <r>
    <x v="0"/>
    <x v="6"/>
    <x v="5"/>
    <x v="112"/>
    <x v="99"/>
    <x v="99"/>
    <s v="REVENUS"/>
    <x v="3"/>
    <s v="4002.002"/>
    <s v="Impôt complémentaire s/fortune PP"/>
    <n v="0"/>
    <n v="-110.45"/>
    <n v="4002"/>
  </r>
  <r>
    <x v="0"/>
    <x v="6"/>
    <x v="5"/>
    <x v="112"/>
    <x v="99"/>
    <x v="99"/>
    <s v="REVENUS"/>
    <x v="6"/>
    <s v="4211.001"/>
    <s v="Intérêts de retard sur factures"/>
    <n v="0"/>
    <n v="0.01"/>
    <n v="4211"/>
  </r>
  <r>
    <x v="0"/>
    <x v="6"/>
    <x v="5"/>
    <x v="112"/>
    <x v="99"/>
    <x v="99"/>
    <s v="REVENUS"/>
    <x v="6"/>
    <s v="4221.003"/>
    <s v="Intérêts compensat. / acomptes en faveur du fisc"/>
    <n v="0"/>
    <n v="0.02"/>
    <n v="4221"/>
  </r>
  <r>
    <x v="0"/>
    <x v="6"/>
    <x v="5"/>
    <x v="112"/>
    <x v="99"/>
    <x v="99"/>
    <s v="REVENUS"/>
    <x v="3"/>
    <s v="4002.001"/>
    <s v="Impôt ordinaire s/fortune PP"/>
    <n v="0"/>
    <n v="532.70000000000005"/>
    <n v="4002"/>
  </r>
  <r>
    <x v="0"/>
    <x v="6"/>
    <x v="5"/>
    <x v="112"/>
    <x v="99"/>
    <x v="99"/>
    <s v="REVENUS"/>
    <x v="3"/>
    <s v="4002.001"/>
    <s v="Impôt ordinaire s/fortune PP"/>
    <n v="0"/>
    <n v="4490.6000000000004"/>
    <n v="4002"/>
  </r>
  <r>
    <x v="0"/>
    <x v="6"/>
    <x v="5"/>
    <x v="112"/>
    <x v="99"/>
    <x v="99"/>
    <s v="REVENUS"/>
    <x v="7"/>
    <s v="4184.000"/>
    <s v="Frais de poursuite"/>
    <n v="0"/>
    <n v="580.59"/>
    <n v="4184"/>
  </r>
  <r>
    <x v="0"/>
    <x v="6"/>
    <x v="5"/>
    <x v="112"/>
    <x v="99"/>
    <x v="99"/>
    <s v="REVENUS"/>
    <x v="3"/>
    <s v="4002.001"/>
    <s v="Impôt ordinaire s/fortune PP"/>
    <n v="0"/>
    <n v="907.7"/>
    <n v="4002"/>
  </r>
  <r>
    <x v="0"/>
    <x v="6"/>
    <x v="5"/>
    <x v="112"/>
    <x v="99"/>
    <x v="99"/>
    <s v="REVENUS"/>
    <x v="6"/>
    <s v="4211.001"/>
    <s v="Intérêts de retard sur factures"/>
    <n v="0"/>
    <n v="31.85"/>
    <n v="4211"/>
  </r>
  <r>
    <x v="0"/>
    <x v="6"/>
    <x v="5"/>
    <x v="112"/>
    <x v="99"/>
    <x v="99"/>
    <s v="REVENUS"/>
    <x v="2"/>
    <s v="4001.007"/>
    <s v="Acompte impôt sur revenu"/>
    <n v="0"/>
    <n v="-1034.8"/>
    <n v="4001"/>
  </r>
  <r>
    <x v="0"/>
    <x v="6"/>
    <x v="5"/>
    <x v="112"/>
    <x v="99"/>
    <x v="99"/>
    <s v="REVENUS"/>
    <x v="3"/>
    <s v="4002.007"/>
    <s v="Acompte impôt sur fortune"/>
    <n v="0"/>
    <n v="-381.59"/>
    <n v="4002"/>
  </r>
  <r>
    <x v="0"/>
    <x v="6"/>
    <x v="5"/>
    <x v="112"/>
    <x v="99"/>
    <x v="99"/>
    <s v="REVENUS"/>
    <x v="2"/>
    <s v="4001.002"/>
    <s v="Impôt complément s/revenu PP"/>
    <n v="0"/>
    <n v="-7830.85"/>
    <n v="4001"/>
  </r>
  <r>
    <x v="0"/>
    <x v="6"/>
    <x v="5"/>
    <x v="112"/>
    <x v="99"/>
    <x v="99"/>
    <s v="REVENUS"/>
    <x v="2"/>
    <s v="4001.003"/>
    <s v="Impôt s/prest. cap. PP"/>
    <n v="0"/>
    <n v="-667.7"/>
    <n v="4001"/>
  </r>
  <r>
    <x v="0"/>
    <x v="6"/>
    <x v="5"/>
    <x v="112"/>
    <x v="99"/>
    <x v="99"/>
    <s v="REVENUS"/>
    <x v="6"/>
    <s v="4211.001"/>
    <s v="Intérêts de retard sur factures"/>
    <n v="0"/>
    <n v="2.74"/>
    <n v="4211"/>
  </r>
  <r>
    <x v="0"/>
    <x v="6"/>
    <x v="5"/>
    <x v="112"/>
    <x v="99"/>
    <x v="99"/>
    <s v="REVENUS"/>
    <x v="2"/>
    <s v="4001.001"/>
    <s v="Impôt revenu"/>
    <n v="0"/>
    <n v="3528.3"/>
    <n v="4001"/>
  </r>
  <r>
    <x v="0"/>
    <x v="6"/>
    <x v="5"/>
    <x v="112"/>
    <x v="99"/>
    <x v="99"/>
    <s v="REVENUS"/>
    <x v="2"/>
    <s v="4001.001"/>
    <s v="Impôt revenu"/>
    <n v="0"/>
    <n v="184.9"/>
    <n v="4001"/>
  </r>
  <r>
    <x v="0"/>
    <x v="6"/>
    <x v="5"/>
    <x v="112"/>
    <x v="99"/>
    <x v="99"/>
    <s v="REVENUS"/>
    <x v="3"/>
    <s v="4002.001"/>
    <s v="Impôt ordinaire s/fortune PP"/>
    <n v="0"/>
    <n v="541.75"/>
    <n v="4002"/>
  </r>
  <r>
    <x v="0"/>
    <x v="6"/>
    <x v="5"/>
    <x v="112"/>
    <x v="99"/>
    <x v="99"/>
    <s v="REVENUS"/>
    <x v="10"/>
    <s v="4041.002"/>
    <s v="Complément droit de mutation"/>
    <n v="0"/>
    <n v="5500"/>
    <n v="4041"/>
  </r>
  <r>
    <x v="0"/>
    <x v="6"/>
    <x v="5"/>
    <x v="112"/>
    <x v="99"/>
    <x v="99"/>
    <s v="REVENUS"/>
    <x v="8"/>
    <s v="4091.001"/>
    <s v="Impôt récupéré après défalcations"/>
    <n v="0"/>
    <n v="2009.13"/>
    <n v="4091"/>
  </r>
  <r>
    <x v="0"/>
    <x v="6"/>
    <x v="5"/>
    <x v="112"/>
    <x v="99"/>
    <x v="99"/>
    <s v="REVENUS"/>
    <x v="3"/>
    <s v="4002.007"/>
    <s v="Acompte impôt sur fortune"/>
    <n v="0"/>
    <n v="-834.6"/>
    <n v="4002"/>
  </r>
  <r>
    <x v="0"/>
    <x v="6"/>
    <x v="5"/>
    <x v="112"/>
    <x v="99"/>
    <x v="99"/>
    <s v="REVENUS"/>
    <x v="2"/>
    <s v="4001.007"/>
    <s v="Acompte impôt sur revenu"/>
    <n v="0"/>
    <n v="-22220.35"/>
    <n v="4001"/>
  </r>
  <r>
    <x v="0"/>
    <x v="6"/>
    <x v="5"/>
    <x v="112"/>
    <x v="99"/>
    <x v="99"/>
    <s v="REVENUS"/>
    <x v="3"/>
    <s v="4002.002"/>
    <s v="Impôt complémentaire s/fortune PP"/>
    <n v="0"/>
    <n v="-2077.35"/>
    <n v="4002"/>
  </r>
  <r>
    <x v="0"/>
    <x v="6"/>
    <x v="5"/>
    <x v="112"/>
    <x v="99"/>
    <x v="99"/>
    <s v="REVENUS"/>
    <x v="2"/>
    <s v="4001.002"/>
    <s v="Impôt complément s/revenu PP"/>
    <n v="0"/>
    <n v="-233.75"/>
    <n v="4001"/>
  </r>
  <r>
    <x v="0"/>
    <x v="6"/>
    <x v="5"/>
    <x v="112"/>
    <x v="99"/>
    <x v="99"/>
    <s v="REVENUS"/>
    <x v="3"/>
    <s v="4002.002"/>
    <s v="Impôt complémentaire s/fortune PP"/>
    <n v="0"/>
    <n v="2535.9499999999998"/>
    <n v="4002"/>
  </r>
  <r>
    <x v="0"/>
    <x v="6"/>
    <x v="5"/>
    <x v="112"/>
    <x v="99"/>
    <x v="99"/>
    <s v="REVENUS"/>
    <x v="2"/>
    <s v="4001.001"/>
    <s v="Impôt revenu"/>
    <n v="0"/>
    <n v="740.1"/>
    <n v="4001"/>
  </r>
  <r>
    <x v="0"/>
    <x v="6"/>
    <x v="5"/>
    <x v="112"/>
    <x v="99"/>
    <x v="99"/>
    <s v="REVENUS"/>
    <x v="6"/>
    <s v="4211.002"/>
    <s v="Intérêts de retard sur acomptes"/>
    <n v="0"/>
    <n v="2.94"/>
    <n v="4211"/>
  </r>
  <r>
    <x v="0"/>
    <x v="6"/>
    <x v="5"/>
    <x v="112"/>
    <x v="99"/>
    <x v="99"/>
    <s v="REVENUS"/>
    <x v="6"/>
    <s v="4221.003"/>
    <s v="Intérêts compensat. / acomptes en faveur du fisc"/>
    <n v="0"/>
    <n v="0.02"/>
    <n v="4221"/>
  </r>
  <r>
    <x v="0"/>
    <x v="6"/>
    <x v="5"/>
    <x v="112"/>
    <x v="99"/>
    <x v="99"/>
    <s v="REVENUS"/>
    <x v="2"/>
    <s v="4001.007"/>
    <s v="Acompte impôt sur revenu"/>
    <n v="0"/>
    <n v="-72.97"/>
    <n v="4001"/>
  </r>
  <r>
    <x v="0"/>
    <x v="6"/>
    <x v="5"/>
    <x v="112"/>
    <x v="99"/>
    <x v="99"/>
    <s v="REVENUS"/>
    <x v="3"/>
    <s v="4002.002"/>
    <s v="Impôt complémentaire s/fortune PP"/>
    <n v="0"/>
    <n v="-965.4"/>
    <n v="4002"/>
  </r>
  <r>
    <x v="0"/>
    <x v="6"/>
    <x v="5"/>
    <x v="112"/>
    <x v="99"/>
    <x v="99"/>
    <s v="REVENUS"/>
    <x v="3"/>
    <s v="4002.007"/>
    <s v="Acompte impôt sur fortune"/>
    <n v="0"/>
    <n v="-75.28"/>
    <n v="4002"/>
  </r>
  <r>
    <x v="0"/>
    <x v="6"/>
    <x v="5"/>
    <x v="112"/>
    <x v="99"/>
    <x v="99"/>
    <s v="REVENUS"/>
    <x v="6"/>
    <s v="4221.003"/>
    <s v="Intérêts compensat. / acomptes en faveur du fisc"/>
    <n v="0"/>
    <n v="-0.32"/>
    <n v="4221"/>
  </r>
  <r>
    <x v="0"/>
    <x v="6"/>
    <x v="5"/>
    <x v="112"/>
    <x v="99"/>
    <x v="99"/>
    <s v="REVENUS"/>
    <x v="2"/>
    <s v="4001.001"/>
    <s v="Impôt revenu"/>
    <n v="0"/>
    <n v="-2219.6"/>
    <n v="4001"/>
  </r>
  <r>
    <x v="0"/>
    <x v="6"/>
    <x v="5"/>
    <x v="112"/>
    <x v="99"/>
    <x v="99"/>
    <s v="REVENUS"/>
    <x v="2"/>
    <s v="4001.002"/>
    <s v="Impôt complément s/revenu PP"/>
    <n v="0"/>
    <n v="-4912.7"/>
    <n v="4001"/>
  </r>
  <r>
    <x v="0"/>
    <x v="6"/>
    <x v="5"/>
    <x v="112"/>
    <x v="99"/>
    <x v="99"/>
    <s v="REVENUS"/>
    <x v="2"/>
    <s v="4001.007"/>
    <s v="Acompte impôt sur revenu"/>
    <n v="0"/>
    <n v="72.97"/>
    <n v="4001"/>
  </r>
  <r>
    <x v="0"/>
    <x v="6"/>
    <x v="5"/>
    <x v="112"/>
    <x v="99"/>
    <x v="99"/>
    <s v="REVENUS"/>
    <x v="3"/>
    <s v="4002.001"/>
    <s v="Impôt ordinaire s/fortune PP"/>
    <n v="0"/>
    <n v="-2095.1999999999998"/>
    <n v="4002"/>
  </r>
  <r>
    <x v="0"/>
    <x v="6"/>
    <x v="5"/>
    <x v="112"/>
    <x v="99"/>
    <x v="99"/>
    <s v="REVENUS"/>
    <x v="3"/>
    <s v="4002.002"/>
    <s v="Impôt complémentaire s/fortune PP"/>
    <n v="0"/>
    <n v="-4251.6000000000004"/>
    <n v="4002"/>
  </r>
  <r>
    <x v="0"/>
    <x v="6"/>
    <x v="5"/>
    <x v="112"/>
    <x v="99"/>
    <x v="99"/>
    <s v="REVENUS"/>
    <x v="3"/>
    <s v="4002.007"/>
    <s v="Acompte impôt sur fortune"/>
    <n v="0"/>
    <n v="75.28"/>
    <n v="4002"/>
  </r>
  <r>
    <x v="0"/>
    <x v="6"/>
    <x v="5"/>
    <x v="112"/>
    <x v="99"/>
    <x v="99"/>
    <s v="REVENUS"/>
    <x v="6"/>
    <s v="4211.001"/>
    <s v="Intérêts de retard sur factures"/>
    <n v="0"/>
    <n v="-0.01"/>
    <n v="4211"/>
  </r>
  <r>
    <x v="0"/>
    <x v="6"/>
    <x v="5"/>
    <x v="112"/>
    <x v="99"/>
    <x v="99"/>
    <s v="REVENUS"/>
    <x v="6"/>
    <s v="4221.003"/>
    <s v="Intérêts compensat. / acomptes en faveur du fisc"/>
    <n v="0"/>
    <n v="-0.81"/>
    <n v="4221"/>
  </r>
  <r>
    <x v="0"/>
    <x v="6"/>
    <x v="5"/>
    <x v="112"/>
    <x v="99"/>
    <x v="99"/>
    <s v="REVENUS"/>
    <x v="9"/>
    <s v="4031.002"/>
    <s v="Complément impôt sur les gains immobiliers"/>
    <n v="0"/>
    <n v="2943"/>
    <n v="4031"/>
  </r>
  <r>
    <x v="0"/>
    <x v="6"/>
    <x v="5"/>
    <x v="113"/>
    <x v="100"/>
    <x v="100"/>
    <s v="CHARGES"/>
    <x v="0"/>
    <s v="3212.004"/>
    <s v="Intérêts rémun./perçu trop tôt sur acomptes C/C"/>
    <n v="76.13"/>
    <n v="0"/>
    <n v="3212"/>
  </r>
  <r>
    <x v="0"/>
    <x v="6"/>
    <x v="5"/>
    <x v="113"/>
    <x v="100"/>
    <x v="100"/>
    <s v="CHARGES"/>
    <x v="0"/>
    <s v="3221.002"/>
    <s v="Intérêts compensatoires / créances en faveur ctb."/>
    <n v="47.46"/>
    <n v="0"/>
    <n v="3221"/>
  </r>
  <r>
    <x v="0"/>
    <x v="6"/>
    <x v="5"/>
    <x v="113"/>
    <x v="100"/>
    <x v="100"/>
    <s v="CHARGES"/>
    <x v="1"/>
    <s v="3301.001"/>
    <s v="Défalcations, abandons de solde PP et IS"/>
    <n v="6901.01"/>
    <n v="0"/>
    <n v="3301"/>
  </r>
  <r>
    <x v="0"/>
    <x v="6"/>
    <x v="5"/>
    <x v="113"/>
    <x v="100"/>
    <x v="100"/>
    <s v="CHARGES"/>
    <x v="0"/>
    <s v="3212.004"/>
    <s v="Intérêts rémun./perçu trop tôt sur acomptes C/C"/>
    <n v="10.58"/>
    <n v="0"/>
    <n v="3212"/>
  </r>
  <r>
    <x v="0"/>
    <x v="6"/>
    <x v="5"/>
    <x v="113"/>
    <x v="100"/>
    <x v="100"/>
    <s v="CHARGES"/>
    <x v="0"/>
    <s v="3221.002"/>
    <s v="Intérêts compensatoires / créances en faveur ctb."/>
    <n v="1.37"/>
    <n v="0"/>
    <n v="3221"/>
  </r>
  <r>
    <x v="0"/>
    <x v="6"/>
    <x v="5"/>
    <x v="113"/>
    <x v="100"/>
    <x v="100"/>
    <s v="CHARGES"/>
    <x v="0"/>
    <s v="3212.002"/>
    <s v="Intérêts bonifiés/trop perçu acompte C/C"/>
    <n v="0.21"/>
    <n v="0"/>
    <n v="3212"/>
  </r>
  <r>
    <x v="0"/>
    <x v="6"/>
    <x v="5"/>
    <x v="113"/>
    <x v="100"/>
    <x v="100"/>
    <s v="CHARGES"/>
    <x v="0"/>
    <s v="3212.004"/>
    <s v="Intérêts rémun./perçu trop tôt sur acomptes C/C"/>
    <n v="1.99"/>
    <n v="0"/>
    <n v="3212"/>
  </r>
  <r>
    <x v="0"/>
    <x v="6"/>
    <x v="5"/>
    <x v="113"/>
    <x v="100"/>
    <x v="100"/>
    <s v="CHARGES"/>
    <x v="0"/>
    <s v="3221.002"/>
    <s v="Intérêts compensatoires / créances en faveur ctb."/>
    <n v="0.09"/>
    <n v="0"/>
    <n v="3221"/>
  </r>
  <r>
    <x v="0"/>
    <x v="6"/>
    <x v="5"/>
    <x v="113"/>
    <x v="100"/>
    <x v="100"/>
    <s v="CHARGES"/>
    <x v="1"/>
    <s v="3301.001"/>
    <s v="Défalcations, abandons de solde PP et IS"/>
    <n v="0.11"/>
    <n v="0"/>
    <n v="3301"/>
  </r>
  <r>
    <x v="0"/>
    <x v="6"/>
    <x v="5"/>
    <x v="113"/>
    <x v="100"/>
    <x v="100"/>
    <s v="CHARGES"/>
    <x v="0"/>
    <s v="3212.004"/>
    <s v="Intérêts rémun./perçu trop tôt sur acomptes C/C"/>
    <n v="0.01"/>
    <n v="0"/>
    <n v="3212"/>
  </r>
  <r>
    <x v="0"/>
    <x v="6"/>
    <x v="5"/>
    <x v="113"/>
    <x v="100"/>
    <x v="100"/>
    <s v="CHARGES"/>
    <x v="1"/>
    <s v="3301.001"/>
    <s v="Défalcations, abandons de solde PP et IS"/>
    <n v="0.12"/>
    <n v="0"/>
    <n v="3301"/>
  </r>
  <r>
    <x v="0"/>
    <x v="6"/>
    <x v="5"/>
    <x v="113"/>
    <x v="100"/>
    <x v="100"/>
    <s v="REVENUS"/>
    <x v="2"/>
    <s v="4001.001"/>
    <s v="Impôt revenu"/>
    <n v="0"/>
    <n v="178500.1"/>
    <n v="4001"/>
  </r>
  <r>
    <x v="0"/>
    <x v="6"/>
    <x v="5"/>
    <x v="113"/>
    <x v="100"/>
    <x v="100"/>
    <s v="REVENUS"/>
    <x v="2"/>
    <s v="4001.007"/>
    <s v="Acompte impôt sur revenu"/>
    <n v="0"/>
    <n v="-40831.519999999997"/>
    <n v="4001"/>
  </r>
  <r>
    <x v="0"/>
    <x v="6"/>
    <x v="5"/>
    <x v="113"/>
    <x v="100"/>
    <x v="100"/>
    <s v="REVENUS"/>
    <x v="3"/>
    <s v="4002.001"/>
    <s v="Impôt ordinaire s/fortune PP"/>
    <n v="0"/>
    <n v="288484.55"/>
    <n v="4002"/>
  </r>
  <r>
    <x v="0"/>
    <x v="6"/>
    <x v="5"/>
    <x v="113"/>
    <x v="100"/>
    <x v="100"/>
    <s v="REVENUS"/>
    <x v="3"/>
    <s v="4002.007"/>
    <s v="Acompte impôt sur fortune"/>
    <n v="0"/>
    <n v="-124617.67"/>
    <n v="4002"/>
  </r>
  <r>
    <x v="0"/>
    <x v="6"/>
    <x v="5"/>
    <x v="113"/>
    <x v="100"/>
    <x v="100"/>
    <s v="REVENUS"/>
    <x v="6"/>
    <s v="4211.001"/>
    <s v="Intérêts de retard sur factures"/>
    <n v="0"/>
    <n v="758.64"/>
    <n v="4211"/>
  </r>
  <r>
    <x v="0"/>
    <x v="6"/>
    <x v="5"/>
    <x v="113"/>
    <x v="100"/>
    <x v="100"/>
    <s v="REVENUS"/>
    <x v="7"/>
    <s v="4184.000"/>
    <s v="Frais de poursuite"/>
    <n v="0"/>
    <n v="744.63"/>
    <n v="4184"/>
  </r>
  <r>
    <x v="0"/>
    <x v="6"/>
    <x v="5"/>
    <x v="113"/>
    <x v="100"/>
    <x v="100"/>
    <s v="REVENUS"/>
    <x v="6"/>
    <s v="4211.002"/>
    <s v="Intérêts de retard sur acomptes"/>
    <n v="0"/>
    <n v="1136.21"/>
    <n v="4211"/>
  </r>
  <r>
    <x v="0"/>
    <x v="6"/>
    <x v="5"/>
    <x v="113"/>
    <x v="100"/>
    <x v="100"/>
    <s v="REVENUS"/>
    <x v="2"/>
    <s v="4001.007"/>
    <s v="Acompte impôt sur revenu"/>
    <n v="0"/>
    <n v="-2046.29"/>
    <n v="4001"/>
  </r>
  <r>
    <x v="0"/>
    <x v="6"/>
    <x v="5"/>
    <x v="113"/>
    <x v="100"/>
    <x v="100"/>
    <s v="REVENUS"/>
    <x v="3"/>
    <s v="4002.007"/>
    <s v="Acompte impôt sur fortune"/>
    <n v="0"/>
    <n v="-551.4"/>
    <n v="4002"/>
  </r>
  <r>
    <x v="0"/>
    <x v="6"/>
    <x v="5"/>
    <x v="113"/>
    <x v="100"/>
    <x v="100"/>
    <s v="REVENUS"/>
    <x v="6"/>
    <s v="4221.003"/>
    <s v="Intérêts compensat. / acomptes en faveur du fisc"/>
    <n v="0"/>
    <n v="448.52"/>
    <n v="4221"/>
  </r>
  <r>
    <x v="0"/>
    <x v="6"/>
    <x v="5"/>
    <x v="113"/>
    <x v="100"/>
    <x v="100"/>
    <s v="REVENUS"/>
    <x v="2"/>
    <s v="4001.001"/>
    <s v="Impôt revenu"/>
    <n v="0"/>
    <n v="12812.85"/>
    <n v="4001"/>
  </r>
  <r>
    <x v="0"/>
    <x v="6"/>
    <x v="5"/>
    <x v="113"/>
    <x v="100"/>
    <x v="100"/>
    <s v="REVENUS"/>
    <x v="2"/>
    <s v="4001.007"/>
    <s v="Acompte impôt sur revenu"/>
    <n v="0"/>
    <n v="-2069.35"/>
    <n v="4001"/>
  </r>
  <r>
    <x v="0"/>
    <x v="6"/>
    <x v="5"/>
    <x v="113"/>
    <x v="100"/>
    <x v="100"/>
    <s v="REVENUS"/>
    <x v="3"/>
    <s v="4002.001"/>
    <s v="Impôt ordinaire s/fortune PP"/>
    <n v="0"/>
    <n v="9215.1"/>
    <n v="4002"/>
  </r>
  <r>
    <x v="0"/>
    <x v="6"/>
    <x v="5"/>
    <x v="113"/>
    <x v="100"/>
    <x v="100"/>
    <s v="REVENUS"/>
    <x v="3"/>
    <s v="4002.007"/>
    <s v="Acompte impôt sur fortune"/>
    <n v="0"/>
    <n v="-855.32"/>
    <n v="4002"/>
  </r>
  <r>
    <x v="0"/>
    <x v="6"/>
    <x v="5"/>
    <x v="113"/>
    <x v="100"/>
    <x v="100"/>
    <s v="REVENUS"/>
    <x v="2"/>
    <s v="4001.003"/>
    <s v="Impôt s/prest. cap. PP"/>
    <n v="0"/>
    <n v="26576.35"/>
    <n v="4001"/>
  </r>
  <r>
    <x v="0"/>
    <x v="6"/>
    <x v="5"/>
    <x v="113"/>
    <x v="100"/>
    <x v="100"/>
    <s v="REVENUS"/>
    <x v="2"/>
    <s v="4001.007"/>
    <s v="Acompte impôt sur revenu"/>
    <n v="0"/>
    <n v="30.25"/>
    <n v="4001"/>
  </r>
  <r>
    <x v="0"/>
    <x v="6"/>
    <x v="5"/>
    <x v="113"/>
    <x v="100"/>
    <x v="100"/>
    <s v="REVENUS"/>
    <x v="3"/>
    <s v="4002.007"/>
    <s v="Acompte impôt sur fortune"/>
    <n v="0"/>
    <n v="63.35"/>
    <n v="4002"/>
  </r>
  <r>
    <x v="0"/>
    <x v="6"/>
    <x v="5"/>
    <x v="113"/>
    <x v="100"/>
    <x v="100"/>
    <s v="REVENUS"/>
    <x v="3"/>
    <s v="4002.007"/>
    <s v="Acompte impôt sur fortune"/>
    <n v="0"/>
    <n v="-71.95"/>
    <n v="4002"/>
  </r>
  <r>
    <x v="0"/>
    <x v="6"/>
    <x v="5"/>
    <x v="113"/>
    <x v="100"/>
    <x v="100"/>
    <s v="REVENUS"/>
    <x v="2"/>
    <s v="4001.007"/>
    <s v="Acompte impôt sur revenu"/>
    <n v="0"/>
    <n v="-4745.25"/>
    <n v="4001"/>
  </r>
  <r>
    <x v="0"/>
    <x v="6"/>
    <x v="5"/>
    <x v="113"/>
    <x v="100"/>
    <x v="100"/>
    <s v="REVENUS"/>
    <x v="3"/>
    <s v="4002.007"/>
    <s v="Acompte impôt sur fortune"/>
    <n v="0"/>
    <n v="0"/>
    <n v="4002"/>
  </r>
  <r>
    <x v="0"/>
    <x v="6"/>
    <x v="5"/>
    <x v="113"/>
    <x v="100"/>
    <x v="100"/>
    <s v="REVENUS"/>
    <x v="2"/>
    <s v="4001.007"/>
    <s v="Acompte impôt sur revenu"/>
    <n v="0"/>
    <n v="0"/>
    <n v="4001"/>
  </r>
  <r>
    <x v="0"/>
    <x v="6"/>
    <x v="5"/>
    <x v="113"/>
    <x v="100"/>
    <x v="100"/>
    <s v="REVENUS"/>
    <x v="6"/>
    <s v="4221.002"/>
    <s v="Intérêts compensat. sur impôts distincts"/>
    <n v="0"/>
    <n v="3.22"/>
    <n v="4221"/>
  </r>
  <r>
    <x v="0"/>
    <x v="6"/>
    <x v="5"/>
    <x v="113"/>
    <x v="100"/>
    <x v="100"/>
    <s v="REVENUS"/>
    <x v="6"/>
    <s v="4211.002"/>
    <s v="Intérêts de retard sur acomptes"/>
    <n v="0"/>
    <n v="11.77"/>
    <n v="4211"/>
  </r>
  <r>
    <x v="0"/>
    <x v="6"/>
    <x v="5"/>
    <x v="113"/>
    <x v="100"/>
    <x v="100"/>
    <s v="REVENUS"/>
    <x v="2"/>
    <s v="4001.002"/>
    <s v="Impôt complément s/revenu PP"/>
    <n v="0"/>
    <n v="29609.75"/>
    <n v="4001"/>
  </r>
  <r>
    <x v="0"/>
    <x v="6"/>
    <x v="5"/>
    <x v="113"/>
    <x v="100"/>
    <x v="100"/>
    <s v="REVENUS"/>
    <x v="3"/>
    <s v="4002.002"/>
    <s v="Impôt complémentaire s/fortune PP"/>
    <n v="0"/>
    <n v="10558.6"/>
    <n v="4002"/>
  </r>
  <r>
    <x v="0"/>
    <x v="6"/>
    <x v="5"/>
    <x v="113"/>
    <x v="100"/>
    <x v="100"/>
    <s v="REVENUS"/>
    <x v="10"/>
    <s v="4041.001"/>
    <s v="Droits de mutation"/>
    <n v="0"/>
    <n v="5830"/>
    <n v="4041"/>
  </r>
  <r>
    <x v="0"/>
    <x v="6"/>
    <x v="5"/>
    <x v="113"/>
    <x v="100"/>
    <x v="100"/>
    <s v="REVENUS"/>
    <x v="2"/>
    <s v="4001.001"/>
    <s v="Impôt revenu"/>
    <n v="0"/>
    <n v="4857.6499999999996"/>
    <n v="4001"/>
  </r>
  <r>
    <x v="0"/>
    <x v="6"/>
    <x v="5"/>
    <x v="113"/>
    <x v="100"/>
    <x v="100"/>
    <s v="REVENUS"/>
    <x v="3"/>
    <s v="4002.001"/>
    <s v="Impôt ordinaire s/fortune PP"/>
    <n v="0"/>
    <n v="725.2"/>
    <n v="4002"/>
  </r>
  <r>
    <x v="0"/>
    <x v="6"/>
    <x v="5"/>
    <x v="113"/>
    <x v="100"/>
    <x v="100"/>
    <s v="REVENUS"/>
    <x v="6"/>
    <s v="4221.003"/>
    <s v="Intérêts compensat. / acomptes en faveur du fisc"/>
    <n v="0"/>
    <n v="0.11"/>
    <n v="4221"/>
  </r>
  <r>
    <x v="0"/>
    <x v="6"/>
    <x v="5"/>
    <x v="113"/>
    <x v="100"/>
    <x v="100"/>
    <s v="REVENUS"/>
    <x v="9"/>
    <s v="4031.001"/>
    <s v="Impôt sur les gains immobiliers"/>
    <n v="0"/>
    <n v="11765.3"/>
    <n v="4031"/>
  </r>
  <r>
    <x v="0"/>
    <x v="6"/>
    <x v="5"/>
    <x v="113"/>
    <x v="100"/>
    <x v="100"/>
    <s v="REVENUS"/>
    <x v="2"/>
    <s v="4001.001"/>
    <s v="Impôt revenu"/>
    <n v="0"/>
    <n v="767.25"/>
    <n v="4001"/>
  </r>
  <r>
    <x v="0"/>
    <x v="6"/>
    <x v="5"/>
    <x v="113"/>
    <x v="100"/>
    <x v="100"/>
    <s v="REVENUS"/>
    <x v="3"/>
    <s v="4002.001"/>
    <s v="Impôt ordinaire s/fortune PP"/>
    <n v="0"/>
    <n v="261.85000000000002"/>
    <n v="4002"/>
  </r>
  <r>
    <x v="0"/>
    <x v="6"/>
    <x v="5"/>
    <x v="113"/>
    <x v="100"/>
    <x v="100"/>
    <s v="REVENUS"/>
    <x v="6"/>
    <s v="4211.002"/>
    <s v="Intérêts de retard sur acomptes"/>
    <n v="0"/>
    <n v="6.66"/>
    <n v="4211"/>
  </r>
  <r>
    <x v="0"/>
    <x v="6"/>
    <x v="5"/>
    <x v="113"/>
    <x v="100"/>
    <x v="100"/>
    <s v="REVENUS"/>
    <x v="6"/>
    <s v="4211.002"/>
    <s v="Intérêts de retard sur acomptes"/>
    <n v="0"/>
    <n v="11.2"/>
    <n v="4211"/>
  </r>
  <r>
    <x v="0"/>
    <x v="6"/>
    <x v="5"/>
    <x v="113"/>
    <x v="100"/>
    <x v="100"/>
    <s v="REVENUS"/>
    <x v="2"/>
    <s v="4001.001"/>
    <s v="Impôt revenu"/>
    <n v="0"/>
    <n v="-409.45"/>
    <n v="4001"/>
  </r>
  <r>
    <x v="0"/>
    <x v="6"/>
    <x v="5"/>
    <x v="113"/>
    <x v="100"/>
    <x v="100"/>
    <s v="REVENUS"/>
    <x v="3"/>
    <s v="4002.001"/>
    <s v="Impôt ordinaire s/fortune PP"/>
    <n v="0"/>
    <n v="-1068.25"/>
    <n v="4002"/>
  </r>
  <r>
    <x v="0"/>
    <x v="6"/>
    <x v="5"/>
    <x v="113"/>
    <x v="100"/>
    <x v="100"/>
    <s v="REVENUS"/>
    <x v="2"/>
    <s v="4001.002"/>
    <s v="Impôt complément s/revenu PP"/>
    <n v="0"/>
    <n v="195.5"/>
    <n v="4001"/>
  </r>
  <r>
    <x v="0"/>
    <x v="6"/>
    <x v="5"/>
    <x v="113"/>
    <x v="100"/>
    <x v="100"/>
    <s v="REVENUS"/>
    <x v="3"/>
    <s v="4002.002"/>
    <s v="Impôt complémentaire s/fortune PP"/>
    <n v="0"/>
    <n v="222.15"/>
    <n v="4002"/>
  </r>
  <r>
    <x v="0"/>
    <x v="6"/>
    <x v="5"/>
    <x v="113"/>
    <x v="100"/>
    <x v="100"/>
    <s v="REVENUS"/>
    <x v="6"/>
    <s v="4221.003"/>
    <s v="Intérêts compensat. / acomptes en faveur du fisc"/>
    <n v="0"/>
    <n v="0.12"/>
    <n v="4221"/>
  </r>
  <r>
    <x v="0"/>
    <x v="6"/>
    <x v="5"/>
    <x v="113"/>
    <x v="100"/>
    <x v="100"/>
    <s v="REVENUS"/>
    <x v="4"/>
    <s v="4051.002"/>
    <s v="Impôt sur les donations"/>
    <n v="0"/>
    <n v="7790.6"/>
    <n v="4051"/>
  </r>
  <r>
    <x v="0"/>
    <x v="6"/>
    <x v="5"/>
    <x v="114"/>
    <x v="101"/>
    <x v="101"/>
    <s v="CHARGES"/>
    <x v="1"/>
    <s v="3301.001"/>
    <s v="Défalcations, abandons de solde PP et IS"/>
    <n v="4492.34"/>
    <n v="0"/>
    <n v="3301"/>
  </r>
  <r>
    <x v="0"/>
    <x v="6"/>
    <x v="5"/>
    <x v="114"/>
    <x v="101"/>
    <x v="101"/>
    <s v="CHARGES"/>
    <x v="0"/>
    <s v="3212.004"/>
    <s v="Intérêts rémun./perçu trop tôt sur acomptes C/C"/>
    <n v="49.39"/>
    <n v="0"/>
    <n v="3212"/>
  </r>
  <r>
    <x v="0"/>
    <x v="6"/>
    <x v="5"/>
    <x v="114"/>
    <x v="101"/>
    <x v="101"/>
    <s v="CHARGES"/>
    <x v="0"/>
    <s v="3221.002"/>
    <s v="Intérêts compensatoires / créances en faveur ctb."/>
    <n v="27.29"/>
    <n v="0"/>
    <n v="3221"/>
  </r>
  <r>
    <x v="0"/>
    <x v="6"/>
    <x v="5"/>
    <x v="114"/>
    <x v="101"/>
    <x v="101"/>
    <s v="CHARGES"/>
    <x v="1"/>
    <s v="3301.001"/>
    <s v="Défalcations, abandons de solde PP et IS"/>
    <n v="0.35"/>
    <n v="0"/>
    <n v="3301"/>
  </r>
  <r>
    <x v="0"/>
    <x v="6"/>
    <x v="5"/>
    <x v="114"/>
    <x v="101"/>
    <x v="101"/>
    <s v="CHARGES"/>
    <x v="0"/>
    <s v="3212.002"/>
    <s v="Intérêts bonifiés/trop perçu acompte C/C"/>
    <n v="1.22"/>
    <n v="0"/>
    <n v="3212"/>
  </r>
  <r>
    <x v="0"/>
    <x v="6"/>
    <x v="5"/>
    <x v="114"/>
    <x v="101"/>
    <x v="101"/>
    <s v="CHARGES"/>
    <x v="0"/>
    <s v="3212.004"/>
    <s v="Intérêts rémun./perçu trop tôt sur acomptes C/C"/>
    <n v="0.06"/>
    <n v="0"/>
    <n v="3212"/>
  </r>
  <r>
    <x v="0"/>
    <x v="6"/>
    <x v="5"/>
    <x v="114"/>
    <x v="101"/>
    <x v="101"/>
    <s v="REVENUS"/>
    <x v="2"/>
    <s v="4001.007"/>
    <s v="Acompte impôt sur revenu"/>
    <n v="0"/>
    <n v="-73242.62"/>
    <n v="4001"/>
  </r>
  <r>
    <x v="0"/>
    <x v="6"/>
    <x v="5"/>
    <x v="114"/>
    <x v="101"/>
    <x v="101"/>
    <s v="REVENUS"/>
    <x v="6"/>
    <s v="4211.001"/>
    <s v="Intérêts de retard sur factures"/>
    <n v="0"/>
    <n v="474.57"/>
    <n v="4211"/>
  </r>
  <r>
    <x v="0"/>
    <x v="6"/>
    <x v="5"/>
    <x v="114"/>
    <x v="101"/>
    <x v="101"/>
    <s v="REVENUS"/>
    <x v="3"/>
    <s v="4002.001"/>
    <s v="Impôt ordinaire s/fortune PP"/>
    <n v="0"/>
    <n v="44704.3"/>
    <n v="4002"/>
  </r>
  <r>
    <x v="0"/>
    <x v="6"/>
    <x v="5"/>
    <x v="114"/>
    <x v="101"/>
    <x v="101"/>
    <s v="REVENUS"/>
    <x v="2"/>
    <s v="4001.001"/>
    <s v="Impôt revenu"/>
    <n v="0"/>
    <n v="293705.15000000002"/>
    <n v="4001"/>
  </r>
  <r>
    <x v="0"/>
    <x v="6"/>
    <x v="5"/>
    <x v="114"/>
    <x v="101"/>
    <x v="101"/>
    <s v="REVENUS"/>
    <x v="6"/>
    <s v="4211.002"/>
    <s v="Intérêts de retard sur acomptes"/>
    <n v="0"/>
    <n v="3310.93"/>
    <n v="4211"/>
  </r>
  <r>
    <x v="0"/>
    <x v="6"/>
    <x v="5"/>
    <x v="114"/>
    <x v="101"/>
    <x v="101"/>
    <s v="REVENUS"/>
    <x v="7"/>
    <s v="4184.000"/>
    <s v="Frais de poursuite"/>
    <n v="0"/>
    <n v="535.32000000000005"/>
    <n v="4184"/>
  </r>
  <r>
    <x v="0"/>
    <x v="6"/>
    <x v="5"/>
    <x v="114"/>
    <x v="101"/>
    <x v="101"/>
    <s v="REVENUS"/>
    <x v="2"/>
    <s v="4001.003"/>
    <s v="Impôt s/prest. cap. PP"/>
    <n v="0"/>
    <n v="1555.8"/>
    <n v="4001"/>
  </r>
  <r>
    <x v="0"/>
    <x v="6"/>
    <x v="5"/>
    <x v="114"/>
    <x v="101"/>
    <x v="101"/>
    <s v="REVENUS"/>
    <x v="3"/>
    <s v="4002.007"/>
    <s v="Acompte impôt sur fortune"/>
    <n v="0"/>
    <n v="-29922.58"/>
    <n v="4002"/>
  </r>
  <r>
    <x v="0"/>
    <x v="6"/>
    <x v="5"/>
    <x v="114"/>
    <x v="101"/>
    <x v="101"/>
    <s v="REVENUS"/>
    <x v="3"/>
    <s v="4002.007"/>
    <s v="Acompte impôt sur fortune"/>
    <n v="0"/>
    <n v="-88.35"/>
    <n v="4002"/>
  </r>
  <r>
    <x v="0"/>
    <x v="6"/>
    <x v="5"/>
    <x v="114"/>
    <x v="101"/>
    <x v="101"/>
    <s v="REVENUS"/>
    <x v="3"/>
    <s v="4002.007"/>
    <s v="Acompte impôt sur fortune"/>
    <n v="0"/>
    <n v="6.65"/>
    <n v="4002"/>
  </r>
  <r>
    <x v="0"/>
    <x v="6"/>
    <x v="5"/>
    <x v="114"/>
    <x v="101"/>
    <x v="101"/>
    <s v="REVENUS"/>
    <x v="2"/>
    <s v="4001.007"/>
    <s v="Acompte impôt sur revenu"/>
    <n v="0"/>
    <n v="89.55"/>
    <n v="4001"/>
  </r>
  <r>
    <x v="0"/>
    <x v="6"/>
    <x v="5"/>
    <x v="114"/>
    <x v="101"/>
    <x v="101"/>
    <s v="REVENUS"/>
    <x v="6"/>
    <s v="4221.003"/>
    <s v="Intérêts compensat. / acomptes en faveur du fisc"/>
    <n v="0"/>
    <n v="46.6"/>
    <n v="4221"/>
  </r>
  <r>
    <x v="0"/>
    <x v="6"/>
    <x v="5"/>
    <x v="114"/>
    <x v="101"/>
    <x v="101"/>
    <s v="REVENUS"/>
    <x v="2"/>
    <s v="4001.007"/>
    <s v="Acompte impôt sur revenu"/>
    <n v="0"/>
    <n v="-0.95"/>
    <n v="4001"/>
  </r>
  <r>
    <x v="0"/>
    <x v="6"/>
    <x v="5"/>
    <x v="114"/>
    <x v="101"/>
    <x v="101"/>
    <s v="REVENUS"/>
    <x v="6"/>
    <s v="4221.002"/>
    <s v="Intérêts compensat. sur impôts distincts"/>
    <n v="0"/>
    <n v="17.38"/>
    <n v="4221"/>
  </r>
  <r>
    <x v="0"/>
    <x v="6"/>
    <x v="5"/>
    <x v="114"/>
    <x v="101"/>
    <x v="101"/>
    <s v="REVENUS"/>
    <x v="2"/>
    <s v="4001.001"/>
    <s v="Impôt revenu"/>
    <n v="0"/>
    <n v="165.45"/>
    <n v="4001"/>
  </r>
  <r>
    <x v="0"/>
    <x v="6"/>
    <x v="5"/>
    <x v="114"/>
    <x v="101"/>
    <x v="101"/>
    <s v="REVENUS"/>
    <x v="3"/>
    <s v="4002.001"/>
    <s v="Impôt ordinaire s/fortune PP"/>
    <n v="0"/>
    <n v="836.5"/>
    <n v="4002"/>
  </r>
  <r>
    <x v="0"/>
    <x v="6"/>
    <x v="5"/>
    <x v="114"/>
    <x v="101"/>
    <x v="101"/>
    <s v="REVENUS"/>
    <x v="2"/>
    <s v="4001.002"/>
    <s v="Impôt complément s/revenu PP"/>
    <n v="0"/>
    <n v="62164.55"/>
    <n v="4001"/>
  </r>
  <r>
    <x v="0"/>
    <x v="6"/>
    <x v="5"/>
    <x v="114"/>
    <x v="101"/>
    <x v="101"/>
    <s v="REVENUS"/>
    <x v="2"/>
    <s v="4001.001"/>
    <s v="Impôt revenu"/>
    <n v="0"/>
    <n v="1887.35"/>
    <n v="4001"/>
  </r>
  <r>
    <x v="0"/>
    <x v="6"/>
    <x v="5"/>
    <x v="114"/>
    <x v="101"/>
    <x v="101"/>
    <s v="REVENUS"/>
    <x v="3"/>
    <s v="4002.001"/>
    <s v="Impôt ordinaire s/fortune PP"/>
    <n v="0"/>
    <n v="1098.8499999999999"/>
    <n v="4002"/>
  </r>
  <r>
    <x v="0"/>
    <x v="6"/>
    <x v="5"/>
    <x v="114"/>
    <x v="101"/>
    <x v="101"/>
    <s v="REVENUS"/>
    <x v="6"/>
    <s v="4211.002"/>
    <s v="Intérêts de retard sur acomptes"/>
    <n v="0"/>
    <n v="24.92"/>
    <n v="4211"/>
  </r>
  <r>
    <x v="0"/>
    <x v="6"/>
    <x v="5"/>
    <x v="114"/>
    <x v="101"/>
    <x v="101"/>
    <s v="REVENUS"/>
    <x v="6"/>
    <s v="4221.003"/>
    <s v="Intérêts compensat. / acomptes en faveur du fisc"/>
    <n v="0"/>
    <n v="0.35"/>
    <n v="4221"/>
  </r>
  <r>
    <x v="0"/>
    <x v="6"/>
    <x v="5"/>
    <x v="114"/>
    <x v="101"/>
    <x v="101"/>
    <s v="REVENUS"/>
    <x v="3"/>
    <s v="4002.002"/>
    <s v="Impôt complémentaire s/fortune PP"/>
    <n v="0"/>
    <n v="4284.55"/>
    <n v="4002"/>
  </r>
  <r>
    <x v="0"/>
    <x v="6"/>
    <x v="5"/>
    <x v="114"/>
    <x v="101"/>
    <x v="101"/>
    <s v="REVENUS"/>
    <x v="10"/>
    <s v="4041.001"/>
    <s v="Droits de mutation"/>
    <n v="0"/>
    <n v="19949.599999999999"/>
    <n v="4041"/>
  </r>
  <r>
    <x v="0"/>
    <x v="6"/>
    <x v="5"/>
    <x v="114"/>
    <x v="101"/>
    <x v="101"/>
    <s v="REVENUS"/>
    <x v="9"/>
    <s v="4031.001"/>
    <s v="Impôt sur les gains immobiliers"/>
    <n v="0"/>
    <n v="449.15"/>
    <n v="4031"/>
  </r>
  <r>
    <x v="0"/>
    <x v="6"/>
    <x v="5"/>
    <x v="114"/>
    <x v="101"/>
    <x v="101"/>
    <s v="REVENUS"/>
    <x v="6"/>
    <s v="4211.002"/>
    <s v="Intérêts de retard sur acomptes"/>
    <n v="0"/>
    <n v="0.4"/>
    <n v="4211"/>
  </r>
  <r>
    <x v="0"/>
    <x v="6"/>
    <x v="5"/>
    <x v="114"/>
    <x v="101"/>
    <x v="101"/>
    <s v="REVENUS"/>
    <x v="6"/>
    <s v="4211.001"/>
    <s v="Intérêts de retard sur factures"/>
    <n v="0"/>
    <n v="5.56"/>
    <n v="4211"/>
  </r>
  <r>
    <x v="0"/>
    <x v="6"/>
    <x v="5"/>
    <x v="114"/>
    <x v="101"/>
    <x v="101"/>
    <s v="REVENUS"/>
    <x v="2"/>
    <s v="4001.007"/>
    <s v="Acompte impôt sur revenu"/>
    <n v="0"/>
    <n v="-10.199999999999999"/>
    <n v="4001"/>
  </r>
  <r>
    <x v="0"/>
    <x v="6"/>
    <x v="5"/>
    <x v="114"/>
    <x v="101"/>
    <x v="101"/>
    <s v="REVENUS"/>
    <x v="3"/>
    <s v="4002.007"/>
    <s v="Acompte impôt sur fortune"/>
    <n v="0"/>
    <n v="-74.150000000000006"/>
    <n v="4002"/>
  </r>
  <r>
    <x v="0"/>
    <x v="6"/>
    <x v="5"/>
    <x v="114"/>
    <x v="101"/>
    <x v="101"/>
    <s v="REVENUS"/>
    <x v="2"/>
    <s v="4001.001"/>
    <s v="Impôt revenu"/>
    <n v="0"/>
    <n v="220.4"/>
    <n v="4001"/>
  </r>
  <r>
    <x v="0"/>
    <x v="6"/>
    <x v="5"/>
    <x v="114"/>
    <x v="101"/>
    <x v="101"/>
    <s v="REVENUS"/>
    <x v="3"/>
    <s v="4002.001"/>
    <s v="Impôt ordinaire s/fortune PP"/>
    <n v="0"/>
    <n v="139.25"/>
    <n v="4002"/>
  </r>
  <r>
    <x v="0"/>
    <x v="6"/>
    <x v="5"/>
    <x v="114"/>
    <x v="101"/>
    <x v="101"/>
    <s v="REVENUS"/>
    <x v="6"/>
    <s v="4221.003"/>
    <s v="Intérêts compensat. / acomptes en faveur du fisc"/>
    <n v="0"/>
    <n v="0.4"/>
    <n v="4221"/>
  </r>
  <r>
    <x v="0"/>
    <x v="6"/>
    <x v="5"/>
    <x v="114"/>
    <x v="101"/>
    <x v="101"/>
    <s v="REVENUS"/>
    <x v="4"/>
    <s v="4051.001"/>
    <s v="Impôt sur les successions"/>
    <n v="0"/>
    <n v="3229.2"/>
    <n v="4051"/>
  </r>
  <r>
    <x v="0"/>
    <x v="6"/>
    <x v="5"/>
    <x v="115"/>
    <x v="102"/>
    <x v="102"/>
    <s v="CHARGES"/>
    <x v="1"/>
    <s v="3301.001"/>
    <s v="Défalcations, abandons de solde PP et IS"/>
    <n v="179.59"/>
    <n v="0"/>
    <n v="3301"/>
  </r>
  <r>
    <x v="0"/>
    <x v="6"/>
    <x v="5"/>
    <x v="115"/>
    <x v="102"/>
    <x v="102"/>
    <s v="CHARGES"/>
    <x v="0"/>
    <s v="3212.004"/>
    <s v="Intérêts rémun./perçu trop tôt sur acomptes C/C"/>
    <n v="41.66"/>
    <n v="0"/>
    <n v="3212"/>
  </r>
  <r>
    <x v="0"/>
    <x v="6"/>
    <x v="5"/>
    <x v="115"/>
    <x v="102"/>
    <x v="102"/>
    <s v="CHARGES"/>
    <x v="0"/>
    <s v="3221.002"/>
    <s v="Intérêts compensatoires / créances en faveur ctb."/>
    <n v="31.92"/>
    <n v="0"/>
    <n v="3221"/>
  </r>
  <r>
    <x v="0"/>
    <x v="6"/>
    <x v="5"/>
    <x v="115"/>
    <x v="102"/>
    <x v="102"/>
    <s v="CHARGES"/>
    <x v="0"/>
    <s v="3212.002"/>
    <s v="Intérêts bonifiés/trop perçu acompte C/C"/>
    <n v="0.02"/>
    <n v="0"/>
    <n v="3212"/>
  </r>
  <r>
    <x v="0"/>
    <x v="6"/>
    <x v="5"/>
    <x v="115"/>
    <x v="102"/>
    <x v="102"/>
    <s v="REVENUS"/>
    <x v="2"/>
    <s v="4001.007"/>
    <s v="Acompte impôt sur revenu"/>
    <n v="0"/>
    <n v="-46084.7"/>
    <n v="4001"/>
  </r>
  <r>
    <x v="0"/>
    <x v="6"/>
    <x v="5"/>
    <x v="115"/>
    <x v="102"/>
    <x v="102"/>
    <s v="REVENUS"/>
    <x v="2"/>
    <s v="4001.001"/>
    <s v="Impôt revenu"/>
    <n v="0"/>
    <n v="174375.9"/>
    <n v="4001"/>
  </r>
  <r>
    <x v="0"/>
    <x v="6"/>
    <x v="5"/>
    <x v="115"/>
    <x v="102"/>
    <x v="102"/>
    <s v="REVENUS"/>
    <x v="6"/>
    <s v="4211.002"/>
    <s v="Intérêts de retard sur acomptes"/>
    <n v="0"/>
    <n v="891.27"/>
    <n v="4211"/>
  </r>
  <r>
    <x v="0"/>
    <x v="6"/>
    <x v="5"/>
    <x v="115"/>
    <x v="102"/>
    <x v="102"/>
    <s v="REVENUS"/>
    <x v="3"/>
    <s v="4002.007"/>
    <s v="Acompte impôt sur fortune"/>
    <n v="0"/>
    <n v="-12059.89"/>
    <n v="4002"/>
  </r>
  <r>
    <x v="0"/>
    <x v="6"/>
    <x v="5"/>
    <x v="115"/>
    <x v="102"/>
    <x v="102"/>
    <s v="REVENUS"/>
    <x v="3"/>
    <s v="4002.001"/>
    <s v="Impôt ordinaire s/fortune PP"/>
    <n v="0"/>
    <n v="24285.7"/>
    <n v="4002"/>
  </r>
  <r>
    <x v="0"/>
    <x v="6"/>
    <x v="5"/>
    <x v="115"/>
    <x v="102"/>
    <x v="102"/>
    <s v="REVENUS"/>
    <x v="7"/>
    <s v="4184.000"/>
    <s v="Frais de poursuite"/>
    <n v="0"/>
    <n v="713.86"/>
    <n v="4184"/>
  </r>
  <r>
    <x v="0"/>
    <x v="6"/>
    <x v="5"/>
    <x v="115"/>
    <x v="102"/>
    <x v="102"/>
    <s v="REVENUS"/>
    <x v="6"/>
    <s v="4211.001"/>
    <s v="Intérêts de retard sur factures"/>
    <n v="0"/>
    <n v="361.25"/>
    <n v="4211"/>
  </r>
  <r>
    <x v="0"/>
    <x v="6"/>
    <x v="5"/>
    <x v="115"/>
    <x v="102"/>
    <x v="102"/>
    <s v="REVENUS"/>
    <x v="6"/>
    <s v="4221.003"/>
    <s v="Intérêts compensat. / acomptes en faveur du fisc"/>
    <n v="0"/>
    <n v="21.36"/>
    <n v="4221"/>
  </r>
  <r>
    <x v="0"/>
    <x v="6"/>
    <x v="5"/>
    <x v="115"/>
    <x v="102"/>
    <x v="102"/>
    <s v="REVENUS"/>
    <x v="2"/>
    <s v="4001.003"/>
    <s v="Impôt s/prest. cap. PP"/>
    <n v="0"/>
    <n v="1790.5"/>
    <n v="4001"/>
  </r>
  <r>
    <x v="0"/>
    <x v="6"/>
    <x v="5"/>
    <x v="115"/>
    <x v="102"/>
    <x v="102"/>
    <s v="REVENUS"/>
    <x v="2"/>
    <s v="4001.002"/>
    <s v="Impôt complément s/revenu PP"/>
    <n v="0"/>
    <n v="4163.7"/>
    <n v="4001"/>
  </r>
  <r>
    <x v="0"/>
    <x v="6"/>
    <x v="5"/>
    <x v="115"/>
    <x v="102"/>
    <x v="102"/>
    <s v="REVENUS"/>
    <x v="3"/>
    <s v="4002.002"/>
    <s v="Impôt complémentaire s/fortune PP"/>
    <n v="0"/>
    <n v="382"/>
    <n v="4002"/>
  </r>
  <r>
    <x v="0"/>
    <x v="6"/>
    <x v="5"/>
    <x v="115"/>
    <x v="102"/>
    <x v="102"/>
    <s v="REVENUS"/>
    <x v="6"/>
    <s v="4221.002"/>
    <s v="Intérêts compensat. sur impôts distincts"/>
    <n v="0"/>
    <n v="4.1100000000000003"/>
    <n v="4221"/>
  </r>
  <r>
    <x v="0"/>
    <x v="6"/>
    <x v="5"/>
    <x v="115"/>
    <x v="102"/>
    <x v="102"/>
    <s v="REVENUS"/>
    <x v="10"/>
    <s v="4041.001"/>
    <s v="Droits de mutation"/>
    <n v="0"/>
    <n v="13948"/>
    <n v="4041"/>
  </r>
  <r>
    <x v="0"/>
    <x v="6"/>
    <x v="5"/>
    <x v="115"/>
    <x v="102"/>
    <x v="102"/>
    <s v="REVENUS"/>
    <x v="11"/>
    <s v="4198.000"/>
    <s v="Contributions communales"/>
    <n v="0"/>
    <n v="10941.95"/>
    <n v="4198"/>
  </r>
  <r>
    <x v="0"/>
    <x v="6"/>
    <x v="5"/>
    <x v="115"/>
    <x v="102"/>
    <x v="102"/>
    <s v="REVENUS"/>
    <x v="9"/>
    <s v="4031.001"/>
    <s v="Impôt sur les gains immobiliers"/>
    <n v="0"/>
    <n v="12895.3"/>
    <n v="4031"/>
  </r>
  <r>
    <x v="0"/>
    <x v="6"/>
    <x v="5"/>
    <x v="115"/>
    <x v="102"/>
    <x v="102"/>
    <s v="REVENUS"/>
    <x v="2"/>
    <s v="4001.003"/>
    <s v="Impôt s/prest. cap. PP"/>
    <n v="0"/>
    <n v="-1171.95"/>
    <n v="4001"/>
  </r>
  <r>
    <x v="0"/>
    <x v="6"/>
    <x v="5"/>
    <x v="116"/>
    <x v="103"/>
    <x v="103"/>
    <s v="CHARGES"/>
    <x v="0"/>
    <s v="3212.004"/>
    <s v="Intérêts rémun./perçu trop tôt sur acomptes C/C"/>
    <n v="168.74"/>
    <n v="0"/>
    <n v="3212"/>
  </r>
  <r>
    <x v="0"/>
    <x v="6"/>
    <x v="5"/>
    <x v="116"/>
    <x v="103"/>
    <x v="103"/>
    <s v="CHARGES"/>
    <x v="0"/>
    <s v="3221.002"/>
    <s v="Intérêts compensatoires / créances en faveur ctb."/>
    <n v="115.02"/>
    <n v="0"/>
    <n v="3221"/>
  </r>
  <r>
    <x v="0"/>
    <x v="6"/>
    <x v="5"/>
    <x v="116"/>
    <x v="103"/>
    <x v="103"/>
    <s v="CHARGES"/>
    <x v="1"/>
    <s v="3301.001"/>
    <s v="Défalcations, abandons de solde PP et IS"/>
    <n v="24201.54"/>
    <n v="0"/>
    <n v="3301"/>
  </r>
  <r>
    <x v="0"/>
    <x v="6"/>
    <x v="5"/>
    <x v="116"/>
    <x v="103"/>
    <x v="103"/>
    <s v="CHARGES"/>
    <x v="0"/>
    <s v="3212.002"/>
    <s v="Intérêts bonifiés/trop perçu acompte C/C"/>
    <n v="6.27"/>
    <n v="0"/>
    <n v="3212"/>
  </r>
  <r>
    <x v="0"/>
    <x v="6"/>
    <x v="5"/>
    <x v="116"/>
    <x v="103"/>
    <x v="103"/>
    <s v="CHARGES"/>
    <x v="0"/>
    <s v="3212.004"/>
    <s v="Intérêts rémun./perçu trop tôt sur acomptes C/C"/>
    <n v="0.08"/>
    <n v="0"/>
    <n v="3212"/>
  </r>
  <r>
    <x v="0"/>
    <x v="6"/>
    <x v="5"/>
    <x v="116"/>
    <x v="103"/>
    <x v="103"/>
    <s v="CHARGES"/>
    <x v="0"/>
    <s v="3221.002"/>
    <s v="Intérêts compensatoires / créances en faveur ctb."/>
    <n v="0.14000000000000001"/>
    <n v="0"/>
    <n v="3221"/>
  </r>
  <r>
    <x v="0"/>
    <x v="6"/>
    <x v="5"/>
    <x v="116"/>
    <x v="103"/>
    <x v="103"/>
    <s v="CHARGES"/>
    <x v="0"/>
    <s v="3212.004"/>
    <s v="Intérêts rémun./perçu trop tôt sur acomptes C/C"/>
    <n v="-0.01"/>
    <n v="0"/>
    <n v="3212"/>
  </r>
  <r>
    <x v="0"/>
    <x v="6"/>
    <x v="5"/>
    <x v="116"/>
    <x v="103"/>
    <x v="103"/>
    <s v="CHARGES"/>
    <x v="0"/>
    <s v="3212.004"/>
    <s v="Intérêts rémun./perçu trop tôt sur acomptes C/C"/>
    <n v="0.15"/>
    <n v="0"/>
    <n v="3212"/>
  </r>
  <r>
    <x v="0"/>
    <x v="6"/>
    <x v="5"/>
    <x v="116"/>
    <x v="103"/>
    <x v="103"/>
    <s v="CHARGES"/>
    <x v="0"/>
    <s v="3221.002"/>
    <s v="Intérêts compensatoires / créances en faveur ctb."/>
    <n v="0.11"/>
    <n v="0"/>
    <n v="3221"/>
  </r>
  <r>
    <x v="0"/>
    <x v="6"/>
    <x v="5"/>
    <x v="116"/>
    <x v="103"/>
    <x v="103"/>
    <s v="CHARGES"/>
    <x v="0"/>
    <s v="3212.004"/>
    <s v="Intérêts rémun./perçu trop tôt sur acomptes C/C"/>
    <n v="-0.02"/>
    <n v="0"/>
    <n v="3212"/>
  </r>
  <r>
    <x v="0"/>
    <x v="6"/>
    <x v="5"/>
    <x v="116"/>
    <x v="103"/>
    <x v="103"/>
    <s v="CHARGES"/>
    <x v="0"/>
    <s v="3221.002"/>
    <s v="Intérêts compensatoires / créances en faveur ctb."/>
    <n v="-0.02"/>
    <n v="0"/>
    <n v="3221"/>
  </r>
  <r>
    <x v="0"/>
    <x v="6"/>
    <x v="5"/>
    <x v="116"/>
    <x v="103"/>
    <x v="103"/>
    <s v="CHARGES"/>
    <x v="0"/>
    <s v="3212.002"/>
    <s v="Intérêts bonifiés/trop perçu acompte C/C"/>
    <n v="-0.01"/>
    <n v="0"/>
    <n v="3212"/>
  </r>
  <r>
    <x v="0"/>
    <x v="6"/>
    <x v="5"/>
    <x v="116"/>
    <x v="103"/>
    <x v="103"/>
    <s v="CHARGES"/>
    <x v="0"/>
    <s v="3221.002"/>
    <s v="Intérêts compensatoires / créances en faveur ctb."/>
    <n v="-0.13"/>
    <n v="0"/>
    <n v="3221"/>
  </r>
  <r>
    <x v="0"/>
    <x v="6"/>
    <x v="5"/>
    <x v="116"/>
    <x v="103"/>
    <x v="103"/>
    <s v="CHARGES"/>
    <x v="1"/>
    <s v="3301.001"/>
    <s v="Défalcations, abandons de solde PP et IS"/>
    <n v="0.02"/>
    <n v="0"/>
    <n v="3301"/>
  </r>
  <r>
    <x v="0"/>
    <x v="6"/>
    <x v="5"/>
    <x v="116"/>
    <x v="103"/>
    <x v="103"/>
    <s v="CHARGES"/>
    <x v="0"/>
    <s v="3212.004"/>
    <s v="Intérêts rémun./perçu trop tôt sur acomptes C/C"/>
    <n v="0.04"/>
    <n v="0"/>
    <n v="3212"/>
  </r>
  <r>
    <x v="0"/>
    <x v="6"/>
    <x v="5"/>
    <x v="116"/>
    <x v="103"/>
    <x v="103"/>
    <s v="CHARGES"/>
    <x v="1"/>
    <s v="3301.001"/>
    <s v="Défalcations, abandons de solde PP et IS"/>
    <n v="0.03"/>
    <n v="0"/>
    <n v="3301"/>
  </r>
  <r>
    <x v="0"/>
    <x v="6"/>
    <x v="5"/>
    <x v="116"/>
    <x v="103"/>
    <x v="103"/>
    <s v="REVENUS"/>
    <x v="2"/>
    <s v="4001.001"/>
    <s v="Impôt revenu"/>
    <n v="0"/>
    <n v="787131.2"/>
    <n v="4001"/>
  </r>
  <r>
    <x v="0"/>
    <x v="6"/>
    <x v="5"/>
    <x v="116"/>
    <x v="103"/>
    <x v="103"/>
    <s v="REVENUS"/>
    <x v="2"/>
    <s v="4001.007"/>
    <s v="Acompte impôt sur revenu"/>
    <n v="0"/>
    <n v="-199997.32"/>
    <n v="4001"/>
  </r>
  <r>
    <x v="0"/>
    <x v="6"/>
    <x v="5"/>
    <x v="116"/>
    <x v="103"/>
    <x v="103"/>
    <s v="REVENUS"/>
    <x v="3"/>
    <s v="4002.001"/>
    <s v="Impôt ordinaire s/fortune PP"/>
    <n v="0"/>
    <n v="95692.5"/>
    <n v="4002"/>
  </r>
  <r>
    <x v="0"/>
    <x v="6"/>
    <x v="5"/>
    <x v="116"/>
    <x v="103"/>
    <x v="103"/>
    <s v="REVENUS"/>
    <x v="3"/>
    <s v="4002.007"/>
    <s v="Acompte impôt sur fortune"/>
    <n v="0"/>
    <n v="-18578.72"/>
    <n v="4002"/>
  </r>
  <r>
    <x v="0"/>
    <x v="6"/>
    <x v="5"/>
    <x v="116"/>
    <x v="103"/>
    <x v="103"/>
    <s v="REVENUS"/>
    <x v="6"/>
    <s v="4211.001"/>
    <s v="Intérêts de retard sur factures"/>
    <n v="0"/>
    <n v="2655.73"/>
    <n v="4211"/>
  </r>
  <r>
    <x v="0"/>
    <x v="6"/>
    <x v="5"/>
    <x v="116"/>
    <x v="103"/>
    <x v="103"/>
    <s v="REVENUS"/>
    <x v="6"/>
    <s v="4211.002"/>
    <s v="Intérêts de retard sur acomptes"/>
    <n v="0"/>
    <n v="5474.78"/>
    <n v="4211"/>
  </r>
  <r>
    <x v="0"/>
    <x v="6"/>
    <x v="5"/>
    <x v="116"/>
    <x v="103"/>
    <x v="103"/>
    <s v="REVENUS"/>
    <x v="6"/>
    <s v="4221.003"/>
    <s v="Intérêts compensat. / acomptes en faveur du fisc"/>
    <n v="0"/>
    <n v="109.09"/>
    <n v="4221"/>
  </r>
  <r>
    <x v="0"/>
    <x v="6"/>
    <x v="5"/>
    <x v="116"/>
    <x v="103"/>
    <x v="103"/>
    <s v="REVENUS"/>
    <x v="2"/>
    <s v="4001.002"/>
    <s v="Impôt complément s/revenu PP"/>
    <n v="0"/>
    <n v="188024.15"/>
    <n v="4001"/>
  </r>
  <r>
    <x v="0"/>
    <x v="6"/>
    <x v="5"/>
    <x v="116"/>
    <x v="103"/>
    <x v="103"/>
    <s v="REVENUS"/>
    <x v="2"/>
    <s v="4001.003"/>
    <s v="Impôt s/prest. cap. PP"/>
    <n v="0"/>
    <n v="4036.5"/>
    <n v="4001"/>
  </r>
  <r>
    <x v="0"/>
    <x v="6"/>
    <x v="5"/>
    <x v="116"/>
    <x v="103"/>
    <x v="103"/>
    <s v="REVENUS"/>
    <x v="7"/>
    <s v="4184.000"/>
    <s v="Frais de poursuite"/>
    <n v="0"/>
    <n v="850.76"/>
    <n v="4184"/>
  </r>
  <r>
    <x v="0"/>
    <x v="6"/>
    <x v="5"/>
    <x v="116"/>
    <x v="103"/>
    <x v="103"/>
    <s v="REVENUS"/>
    <x v="3"/>
    <s v="4002.002"/>
    <s v="Impôt complémentaire s/fortune PP"/>
    <n v="0"/>
    <n v="17993.099999999999"/>
    <n v="4002"/>
  </r>
  <r>
    <x v="0"/>
    <x v="6"/>
    <x v="5"/>
    <x v="116"/>
    <x v="103"/>
    <x v="103"/>
    <s v="REVENUS"/>
    <x v="3"/>
    <s v="4002.007"/>
    <s v="Acompte impôt sur fortune"/>
    <n v="0"/>
    <n v="43.73"/>
    <n v="4002"/>
  </r>
  <r>
    <x v="0"/>
    <x v="6"/>
    <x v="5"/>
    <x v="116"/>
    <x v="103"/>
    <x v="103"/>
    <s v="REVENUS"/>
    <x v="3"/>
    <s v="4002.007"/>
    <s v="Acompte impôt sur fortune"/>
    <n v="0"/>
    <n v="217.9"/>
    <n v="4002"/>
  </r>
  <r>
    <x v="0"/>
    <x v="6"/>
    <x v="5"/>
    <x v="116"/>
    <x v="103"/>
    <x v="103"/>
    <s v="REVENUS"/>
    <x v="10"/>
    <s v="4041.001"/>
    <s v="Droits de mutation"/>
    <n v="0"/>
    <n v="23569.200000000001"/>
    <n v="4041"/>
  </r>
  <r>
    <x v="0"/>
    <x v="6"/>
    <x v="5"/>
    <x v="116"/>
    <x v="103"/>
    <x v="103"/>
    <s v="REVENUS"/>
    <x v="2"/>
    <s v="4001.007"/>
    <s v="Acompte impôt sur revenu"/>
    <n v="0"/>
    <n v="35.549999999999997"/>
    <n v="4001"/>
  </r>
  <r>
    <x v="0"/>
    <x v="6"/>
    <x v="5"/>
    <x v="116"/>
    <x v="103"/>
    <x v="103"/>
    <s v="REVENUS"/>
    <x v="9"/>
    <s v="4031.001"/>
    <s v="Impôt sur les gains immobiliers"/>
    <n v="0"/>
    <n v="17554.599999999999"/>
    <n v="4031"/>
  </r>
  <r>
    <x v="0"/>
    <x v="6"/>
    <x v="5"/>
    <x v="116"/>
    <x v="103"/>
    <x v="103"/>
    <s v="REVENUS"/>
    <x v="8"/>
    <s v="4091.001"/>
    <s v="Impôt récupéré après défalcations"/>
    <n v="0"/>
    <n v="1733.33"/>
    <n v="4091"/>
  </r>
  <r>
    <x v="0"/>
    <x v="6"/>
    <x v="5"/>
    <x v="116"/>
    <x v="103"/>
    <x v="103"/>
    <s v="REVENUS"/>
    <x v="7"/>
    <s v="4184.000"/>
    <s v="Frais de poursuite"/>
    <n v="0"/>
    <n v="38.81"/>
    <n v="4184"/>
  </r>
  <r>
    <x v="0"/>
    <x v="6"/>
    <x v="5"/>
    <x v="116"/>
    <x v="103"/>
    <x v="103"/>
    <s v="REVENUS"/>
    <x v="2"/>
    <s v="4001.001"/>
    <s v="Impôt revenu"/>
    <n v="0"/>
    <n v="1727.45"/>
    <n v="4001"/>
  </r>
  <r>
    <x v="0"/>
    <x v="6"/>
    <x v="5"/>
    <x v="116"/>
    <x v="103"/>
    <x v="103"/>
    <s v="REVENUS"/>
    <x v="3"/>
    <s v="4002.001"/>
    <s v="Impôt ordinaire s/fortune PP"/>
    <n v="0"/>
    <n v="256.10000000000002"/>
    <n v="4002"/>
  </r>
  <r>
    <x v="0"/>
    <x v="6"/>
    <x v="5"/>
    <x v="116"/>
    <x v="103"/>
    <x v="103"/>
    <s v="REVENUS"/>
    <x v="3"/>
    <s v="4002.001"/>
    <s v="Impôt ordinaire s/fortune PP"/>
    <n v="0"/>
    <n v="183.45"/>
    <n v="4002"/>
  </r>
  <r>
    <x v="0"/>
    <x v="6"/>
    <x v="5"/>
    <x v="116"/>
    <x v="103"/>
    <x v="103"/>
    <s v="REVENUS"/>
    <x v="6"/>
    <s v="4211.001"/>
    <s v="Intérêts de retard sur factures"/>
    <n v="0"/>
    <n v="11.21"/>
    <n v="4211"/>
  </r>
  <r>
    <x v="0"/>
    <x v="6"/>
    <x v="5"/>
    <x v="116"/>
    <x v="103"/>
    <x v="103"/>
    <s v="REVENUS"/>
    <x v="6"/>
    <s v="4211.002"/>
    <s v="Intérêts de retard sur acomptes"/>
    <n v="0"/>
    <n v="0.09"/>
    <n v="4211"/>
  </r>
  <r>
    <x v="0"/>
    <x v="6"/>
    <x v="5"/>
    <x v="116"/>
    <x v="103"/>
    <x v="103"/>
    <s v="REVENUS"/>
    <x v="2"/>
    <s v="4001.001"/>
    <s v="Impôt revenu"/>
    <n v="0"/>
    <n v="41.25"/>
    <n v="4001"/>
  </r>
  <r>
    <x v="0"/>
    <x v="6"/>
    <x v="5"/>
    <x v="116"/>
    <x v="103"/>
    <x v="103"/>
    <s v="REVENUS"/>
    <x v="3"/>
    <s v="4002.001"/>
    <s v="Impôt ordinaire s/fortune PP"/>
    <n v="0"/>
    <n v="68.3"/>
    <n v="4002"/>
  </r>
  <r>
    <x v="0"/>
    <x v="6"/>
    <x v="5"/>
    <x v="116"/>
    <x v="103"/>
    <x v="103"/>
    <s v="REVENUS"/>
    <x v="2"/>
    <s v="4001.001"/>
    <s v="Impôt revenu"/>
    <n v="0"/>
    <n v="-13333.25"/>
    <n v="4001"/>
  </r>
  <r>
    <x v="0"/>
    <x v="6"/>
    <x v="5"/>
    <x v="116"/>
    <x v="103"/>
    <x v="103"/>
    <s v="REVENUS"/>
    <x v="6"/>
    <s v="4211.001"/>
    <s v="Intérêts de retard sur factures"/>
    <n v="0"/>
    <n v="0.01"/>
    <n v="4211"/>
  </r>
  <r>
    <x v="0"/>
    <x v="6"/>
    <x v="5"/>
    <x v="116"/>
    <x v="103"/>
    <x v="103"/>
    <s v="REVENUS"/>
    <x v="6"/>
    <s v="4221.002"/>
    <s v="Intérêts compensat. sur impôts distincts"/>
    <n v="0"/>
    <n v="10.38"/>
    <n v="4221"/>
  </r>
  <r>
    <x v="0"/>
    <x v="6"/>
    <x v="5"/>
    <x v="116"/>
    <x v="103"/>
    <x v="103"/>
    <s v="REVENUS"/>
    <x v="3"/>
    <s v="4002.007"/>
    <s v="Acompte impôt sur fortune"/>
    <n v="0"/>
    <n v="-55.45"/>
    <n v="4002"/>
  </r>
  <r>
    <x v="0"/>
    <x v="6"/>
    <x v="5"/>
    <x v="116"/>
    <x v="103"/>
    <x v="103"/>
    <s v="REVENUS"/>
    <x v="3"/>
    <s v="4002.001"/>
    <s v="Impôt ordinaire s/fortune PP"/>
    <n v="0"/>
    <n v="-324.25"/>
    <n v="4002"/>
  </r>
  <r>
    <x v="0"/>
    <x v="6"/>
    <x v="5"/>
    <x v="116"/>
    <x v="103"/>
    <x v="103"/>
    <s v="REVENUS"/>
    <x v="3"/>
    <s v="4002.002"/>
    <s v="Impôt complémentaire s/fortune PP"/>
    <n v="0"/>
    <n v="-28.65"/>
    <n v="4002"/>
  </r>
  <r>
    <x v="0"/>
    <x v="6"/>
    <x v="5"/>
    <x v="116"/>
    <x v="103"/>
    <x v="103"/>
    <s v="REVENUS"/>
    <x v="6"/>
    <s v="4211.002"/>
    <s v="Intérêts de retard sur acomptes"/>
    <n v="0"/>
    <n v="-0.01"/>
    <n v="4211"/>
  </r>
  <r>
    <x v="0"/>
    <x v="6"/>
    <x v="5"/>
    <x v="116"/>
    <x v="103"/>
    <x v="103"/>
    <s v="REVENUS"/>
    <x v="3"/>
    <s v="4002.002"/>
    <s v="Impôt complémentaire s/fortune PP"/>
    <n v="0"/>
    <n v="443.95"/>
    <n v="4002"/>
  </r>
  <r>
    <x v="0"/>
    <x v="6"/>
    <x v="5"/>
    <x v="116"/>
    <x v="103"/>
    <x v="103"/>
    <s v="REVENUS"/>
    <x v="6"/>
    <s v="4211.001"/>
    <s v="Intérêts de retard sur factures"/>
    <n v="0"/>
    <n v="4.87"/>
    <n v="4211"/>
  </r>
  <r>
    <x v="0"/>
    <x v="6"/>
    <x v="5"/>
    <x v="116"/>
    <x v="103"/>
    <x v="103"/>
    <s v="REVENUS"/>
    <x v="6"/>
    <s v="4211.002"/>
    <s v="Intérêts de retard sur acomptes"/>
    <n v="0"/>
    <n v="0.22"/>
    <n v="4211"/>
  </r>
  <r>
    <x v="0"/>
    <x v="6"/>
    <x v="5"/>
    <x v="116"/>
    <x v="103"/>
    <x v="103"/>
    <s v="REVENUS"/>
    <x v="6"/>
    <s v="4221.003"/>
    <s v="Intérêts compensat. / acomptes en faveur du fisc"/>
    <n v="0"/>
    <n v="0.25"/>
    <n v="4221"/>
  </r>
  <r>
    <x v="0"/>
    <x v="6"/>
    <x v="5"/>
    <x v="116"/>
    <x v="103"/>
    <x v="103"/>
    <s v="REVENUS"/>
    <x v="3"/>
    <s v="4002.001"/>
    <s v="Impôt ordinaire s/fortune PP"/>
    <n v="0"/>
    <n v="-75.5"/>
    <n v="4002"/>
  </r>
  <r>
    <x v="0"/>
    <x v="6"/>
    <x v="5"/>
    <x v="116"/>
    <x v="103"/>
    <x v="103"/>
    <s v="REVENUS"/>
    <x v="2"/>
    <s v="4001.001"/>
    <s v="Impôt revenu"/>
    <n v="0"/>
    <n v="239.15"/>
    <n v="4001"/>
  </r>
  <r>
    <x v="0"/>
    <x v="6"/>
    <x v="5"/>
    <x v="116"/>
    <x v="103"/>
    <x v="103"/>
    <s v="REVENUS"/>
    <x v="3"/>
    <s v="4002.007"/>
    <s v="Acompte impôt sur fortune"/>
    <n v="0"/>
    <n v="-81.209999999999994"/>
    <n v="4002"/>
  </r>
  <r>
    <x v="0"/>
    <x v="6"/>
    <x v="5"/>
    <x v="116"/>
    <x v="103"/>
    <x v="103"/>
    <s v="REVENUS"/>
    <x v="6"/>
    <s v="4221.003"/>
    <s v="Intérêts compensat. / acomptes en faveur du fisc"/>
    <n v="0"/>
    <n v="0.03"/>
    <n v="4221"/>
  </r>
  <r>
    <x v="0"/>
    <x v="6"/>
    <x v="5"/>
    <x v="116"/>
    <x v="103"/>
    <x v="103"/>
    <s v="REVENUS"/>
    <x v="2"/>
    <s v="4001.007"/>
    <s v="Acompte impôt sur revenu"/>
    <n v="0"/>
    <n v="-305.89999999999998"/>
    <n v="4001"/>
  </r>
  <r>
    <x v="0"/>
    <x v="6"/>
    <x v="5"/>
    <x v="116"/>
    <x v="103"/>
    <x v="103"/>
    <s v="REVENUS"/>
    <x v="3"/>
    <s v="4002.007"/>
    <s v="Acompte impôt sur fortune"/>
    <n v="0"/>
    <n v="-6.05"/>
    <n v="4002"/>
  </r>
  <r>
    <x v="0"/>
    <x v="6"/>
    <x v="5"/>
    <x v="117"/>
    <x v="104"/>
    <x v="104"/>
    <s v="CHARGES"/>
    <x v="1"/>
    <s v="3301.001"/>
    <s v="Défalcations, abandons de solde PP et IS"/>
    <n v="15968.82"/>
    <n v="0"/>
    <n v="3301"/>
  </r>
  <r>
    <x v="0"/>
    <x v="6"/>
    <x v="5"/>
    <x v="117"/>
    <x v="104"/>
    <x v="104"/>
    <s v="CHARGES"/>
    <x v="0"/>
    <s v="3212.004"/>
    <s v="Intérêts rémun./perçu trop tôt sur acomptes C/C"/>
    <n v="129.41"/>
    <n v="0"/>
    <n v="3212"/>
  </r>
  <r>
    <x v="0"/>
    <x v="6"/>
    <x v="5"/>
    <x v="117"/>
    <x v="104"/>
    <x v="104"/>
    <s v="CHARGES"/>
    <x v="0"/>
    <s v="3221.002"/>
    <s v="Intérêts compensatoires / créances en faveur ctb."/>
    <n v="115.61"/>
    <n v="0"/>
    <n v="3221"/>
  </r>
  <r>
    <x v="0"/>
    <x v="6"/>
    <x v="5"/>
    <x v="117"/>
    <x v="104"/>
    <x v="104"/>
    <s v="CHARGES"/>
    <x v="1"/>
    <s v="3301.001"/>
    <s v="Défalcations, abandons de solde PP et IS"/>
    <n v="2.54"/>
    <n v="0"/>
    <n v="3301"/>
  </r>
  <r>
    <x v="0"/>
    <x v="6"/>
    <x v="5"/>
    <x v="117"/>
    <x v="104"/>
    <x v="104"/>
    <s v="CHARGES"/>
    <x v="1"/>
    <s v="3301.001"/>
    <s v="Défalcations, abandons de solde PP et IS"/>
    <n v="2"/>
    <n v="0"/>
    <n v="3301"/>
  </r>
  <r>
    <x v="0"/>
    <x v="6"/>
    <x v="5"/>
    <x v="117"/>
    <x v="104"/>
    <x v="104"/>
    <s v="CHARGES"/>
    <x v="1"/>
    <s v="3301.001"/>
    <s v="Défalcations, abandons de solde PP et IS"/>
    <n v="0.01"/>
    <n v="0"/>
    <n v="3301"/>
  </r>
  <r>
    <x v="0"/>
    <x v="6"/>
    <x v="5"/>
    <x v="117"/>
    <x v="104"/>
    <x v="104"/>
    <s v="CHARGES"/>
    <x v="0"/>
    <s v="3212.002"/>
    <s v="Intérêts bonifiés/trop perçu acompte C/C"/>
    <n v="0.56000000000000005"/>
    <n v="0"/>
    <n v="3212"/>
  </r>
  <r>
    <x v="0"/>
    <x v="6"/>
    <x v="5"/>
    <x v="117"/>
    <x v="104"/>
    <x v="104"/>
    <s v="CHARGES"/>
    <x v="0"/>
    <s v="3212.004"/>
    <s v="Intérêts rémun./perçu trop tôt sur acomptes C/C"/>
    <n v="1.7"/>
    <n v="0"/>
    <n v="3212"/>
  </r>
  <r>
    <x v="0"/>
    <x v="6"/>
    <x v="5"/>
    <x v="117"/>
    <x v="104"/>
    <x v="104"/>
    <s v="CHARGES"/>
    <x v="0"/>
    <s v="3221.002"/>
    <s v="Intérêts compensatoires / créances en faveur ctb."/>
    <n v="1.79"/>
    <n v="0"/>
    <n v="3221"/>
  </r>
  <r>
    <x v="0"/>
    <x v="6"/>
    <x v="5"/>
    <x v="117"/>
    <x v="104"/>
    <x v="104"/>
    <s v="CHARGES"/>
    <x v="0"/>
    <s v="3212.004"/>
    <s v="Intérêts rémun./perçu trop tôt sur acomptes C/C"/>
    <n v="1.03"/>
    <n v="0"/>
    <n v="3212"/>
  </r>
  <r>
    <x v="0"/>
    <x v="6"/>
    <x v="5"/>
    <x v="117"/>
    <x v="104"/>
    <x v="104"/>
    <s v="CHARGES"/>
    <x v="0"/>
    <s v="3221.002"/>
    <s v="Intérêts compensatoires / créances en faveur ctb."/>
    <n v="1.8"/>
    <n v="0"/>
    <n v="3221"/>
  </r>
  <r>
    <x v="0"/>
    <x v="6"/>
    <x v="5"/>
    <x v="117"/>
    <x v="104"/>
    <x v="104"/>
    <s v="CHARGES"/>
    <x v="0"/>
    <s v="3212.002"/>
    <s v="Intérêts bonifiés/trop perçu acompte C/C"/>
    <n v="-0.02"/>
    <n v="0"/>
    <n v="3212"/>
  </r>
  <r>
    <x v="0"/>
    <x v="6"/>
    <x v="5"/>
    <x v="117"/>
    <x v="104"/>
    <x v="104"/>
    <s v="CHARGES"/>
    <x v="0"/>
    <s v="3212.004"/>
    <s v="Intérêts rémun./perçu trop tôt sur acomptes C/C"/>
    <n v="0.15"/>
    <n v="0"/>
    <n v="3212"/>
  </r>
  <r>
    <x v="0"/>
    <x v="6"/>
    <x v="5"/>
    <x v="117"/>
    <x v="104"/>
    <x v="104"/>
    <s v="CHARGES"/>
    <x v="0"/>
    <s v="3221.002"/>
    <s v="Intérêts compensatoires / créances en faveur ctb."/>
    <n v="0.02"/>
    <n v="0"/>
    <n v="3221"/>
  </r>
  <r>
    <x v="0"/>
    <x v="6"/>
    <x v="5"/>
    <x v="117"/>
    <x v="104"/>
    <x v="104"/>
    <s v="CHARGES"/>
    <x v="1"/>
    <s v="3301.001"/>
    <s v="Défalcations, abandons de solde PP et IS"/>
    <n v="0.04"/>
    <n v="0"/>
    <n v="3301"/>
  </r>
  <r>
    <x v="0"/>
    <x v="6"/>
    <x v="5"/>
    <x v="117"/>
    <x v="104"/>
    <x v="104"/>
    <s v="CHARGES"/>
    <x v="0"/>
    <s v="3221.002"/>
    <s v="Intérêts compensatoires / créances en faveur ctb."/>
    <n v="0.02"/>
    <n v="0"/>
    <n v="3221"/>
  </r>
  <r>
    <x v="0"/>
    <x v="6"/>
    <x v="5"/>
    <x v="117"/>
    <x v="104"/>
    <x v="104"/>
    <s v="CHARGES"/>
    <x v="0"/>
    <s v="3212.004"/>
    <s v="Intérêts rémun./perçu trop tôt sur acomptes C/C"/>
    <n v="0.25"/>
    <n v="0"/>
    <n v="3212"/>
  </r>
  <r>
    <x v="0"/>
    <x v="6"/>
    <x v="5"/>
    <x v="117"/>
    <x v="104"/>
    <x v="104"/>
    <s v="REVENUS"/>
    <x v="6"/>
    <s v="4211.001"/>
    <s v="Intérêts de retard sur factures"/>
    <n v="0"/>
    <n v="2706.12"/>
    <n v="4211"/>
  </r>
  <r>
    <x v="0"/>
    <x v="6"/>
    <x v="5"/>
    <x v="117"/>
    <x v="104"/>
    <x v="104"/>
    <s v="REVENUS"/>
    <x v="2"/>
    <s v="4001.001"/>
    <s v="Impôt revenu"/>
    <n v="0"/>
    <n v="635323.25"/>
    <n v="4001"/>
  </r>
  <r>
    <x v="0"/>
    <x v="6"/>
    <x v="5"/>
    <x v="117"/>
    <x v="104"/>
    <x v="104"/>
    <s v="REVENUS"/>
    <x v="2"/>
    <s v="4001.007"/>
    <s v="Acompte impôt sur revenu"/>
    <n v="0"/>
    <n v="-206768.69"/>
    <n v="4001"/>
  </r>
  <r>
    <x v="0"/>
    <x v="6"/>
    <x v="5"/>
    <x v="117"/>
    <x v="104"/>
    <x v="104"/>
    <s v="REVENUS"/>
    <x v="3"/>
    <s v="4002.001"/>
    <s v="Impôt ordinaire s/fortune PP"/>
    <n v="0"/>
    <n v="89457.3"/>
    <n v="4002"/>
  </r>
  <r>
    <x v="0"/>
    <x v="6"/>
    <x v="5"/>
    <x v="117"/>
    <x v="104"/>
    <x v="104"/>
    <s v="REVENUS"/>
    <x v="3"/>
    <s v="4002.007"/>
    <s v="Acompte impôt sur fortune"/>
    <n v="0"/>
    <n v="-23854.639999999999"/>
    <n v="4002"/>
  </r>
  <r>
    <x v="0"/>
    <x v="6"/>
    <x v="5"/>
    <x v="117"/>
    <x v="104"/>
    <x v="104"/>
    <s v="REVENUS"/>
    <x v="6"/>
    <s v="4211.002"/>
    <s v="Intérêts de retard sur acomptes"/>
    <n v="0"/>
    <n v="5086.16"/>
    <n v="4211"/>
  </r>
  <r>
    <x v="0"/>
    <x v="6"/>
    <x v="5"/>
    <x v="117"/>
    <x v="104"/>
    <x v="104"/>
    <s v="REVENUS"/>
    <x v="2"/>
    <s v="4001.001"/>
    <s v="Impôt revenu"/>
    <n v="0"/>
    <n v="6078.65"/>
    <n v="4001"/>
  </r>
  <r>
    <x v="0"/>
    <x v="6"/>
    <x v="5"/>
    <x v="117"/>
    <x v="104"/>
    <x v="104"/>
    <s v="REVENUS"/>
    <x v="2"/>
    <s v="4001.007"/>
    <s v="Acompte impôt sur revenu"/>
    <n v="0"/>
    <n v="-1586.71"/>
    <n v="4001"/>
  </r>
  <r>
    <x v="0"/>
    <x v="6"/>
    <x v="5"/>
    <x v="117"/>
    <x v="104"/>
    <x v="104"/>
    <s v="REVENUS"/>
    <x v="3"/>
    <s v="4002.001"/>
    <s v="Impôt ordinaire s/fortune PP"/>
    <n v="0"/>
    <n v="1029.2"/>
    <n v="4002"/>
  </r>
  <r>
    <x v="0"/>
    <x v="6"/>
    <x v="5"/>
    <x v="117"/>
    <x v="104"/>
    <x v="104"/>
    <s v="REVENUS"/>
    <x v="3"/>
    <s v="4002.007"/>
    <s v="Acompte impôt sur fortune"/>
    <n v="0"/>
    <n v="-659.87"/>
    <n v="4002"/>
  </r>
  <r>
    <x v="0"/>
    <x v="6"/>
    <x v="5"/>
    <x v="117"/>
    <x v="104"/>
    <x v="104"/>
    <s v="REVENUS"/>
    <x v="6"/>
    <s v="4211.002"/>
    <s v="Intérêts de retard sur acomptes"/>
    <n v="0"/>
    <n v="38.86"/>
    <n v="4211"/>
  </r>
  <r>
    <x v="0"/>
    <x v="6"/>
    <x v="5"/>
    <x v="117"/>
    <x v="104"/>
    <x v="104"/>
    <s v="REVENUS"/>
    <x v="6"/>
    <s v="4221.003"/>
    <s v="Intérêts compensat. / acomptes en faveur du fisc"/>
    <n v="0"/>
    <n v="2.46"/>
    <n v="4221"/>
  </r>
  <r>
    <x v="0"/>
    <x v="6"/>
    <x v="5"/>
    <x v="117"/>
    <x v="104"/>
    <x v="104"/>
    <s v="REVENUS"/>
    <x v="2"/>
    <s v="4001.001"/>
    <s v="Impôt revenu"/>
    <n v="0"/>
    <n v="1738.9"/>
    <n v="4001"/>
  </r>
  <r>
    <x v="0"/>
    <x v="6"/>
    <x v="5"/>
    <x v="117"/>
    <x v="104"/>
    <x v="104"/>
    <s v="REVENUS"/>
    <x v="2"/>
    <s v="4001.007"/>
    <s v="Acompte impôt sur revenu"/>
    <n v="0"/>
    <n v="-407.9"/>
    <n v="4001"/>
  </r>
  <r>
    <x v="0"/>
    <x v="6"/>
    <x v="5"/>
    <x v="117"/>
    <x v="104"/>
    <x v="104"/>
    <s v="REVENUS"/>
    <x v="6"/>
    <s v="4211.002"/>
    <s v="Intérêts de retard sur acomptes"/>
    <n v="0"/>
    <n v="1.3"/>
    <n v="4211"/>
  </r>
  <r>
    <x v="0"/>
    <x v="6"/>
    <x v="5"/>
    <x v="117"/>
    <x v="104"/>
    <x v="104"/>
    <s v="REVENUS"/>
    <x v="6"/>
    <s v="4221.003"/>
    <s v="Intérêts compensat. / acomptes en faveur du fisc"/>
    <n v="0"/>
    <n v="0.34"/>
    <n v="4221"/>
  </r>
  <r>
    <x v="0"/>
    <x v="6"/>
    <x v="5"/>
    <x v="117"/>
    <x v="104"/>
    <x v="104"/>
    <s v="REVENUS"/>
    <x v="2"/>
    <s v="4001.001"/>
    <s v="Impôt revenu"/>
    <n v="0"/>
    <n v="482.15"/>
    <n v="4001"/>
  </r>
  <r>
    <x v="0"/>
    <x v="6"/>
    <x v="5"/>
    <x v="117"/>
    <x v="104"/>
    <x v="104"/>
    <s v="REVENUS"/>
    <x v="2"/>
    <s v="4001.007"/>
    <s v="Acompte impôt sur revenu"/>
    <n v="0"/>
    <n v="-330.35"/>
    <n v="4001"/>
  </r>
  <r>
    <x v="0"/>
    <x v="6"/>
    <x v="5"/>
    <x v="117"/>
    <x v="104"/>
    <x v="104"/>
    <s v="REVENUS"/>
    <x v="9"/>
    <s v="4031.001"/>
    <s v="Impôt sur les gains immobiliers"/>
    <n v="0"/>
    <n v="9511.7999999999993"/>
    <n v="4031"/>
  </r>
  <r>
    <x v="0"/>
    <x v="6"/>
    <x v="5"/>
    <x v="117"/>
    <x v="104"/>
    <x v="104"/>
    <s v="REVENUS"/>
    <x v="6"/>
    <s v="4221.002"/>
    <s v="Intérêts compensat. sur impôts distincts"/>
    <n v="0"/>
    <n v="475.77"/>
    <n v="4221"/>
  </r>
  <r>
    <x v="0"/>
    <x v="6"/>
    <x v="5"/>
    <x v="117"/>
    <x v="104"/>
    <x v="104"/>
    <s v="REVENUS"/>
    <x v="6"/>
    <s v="4221.003"/>
    <s v="Intérêts compensat. / acomptes en faveur du fisc"/>
    <n v="0"/>
    <n v="0.01"/>
    <n v="4221"/>
  </r>
  <r>
    <x v="0"/>
    <x v="6"/>
    <x v="5"/>
    <x v="117"/>
    <x v="104"/>
    <x v="104"/>
    <s v="REVENUS"/>
    <x v="7"/>
    <s v="4184.000"/>
    <s v="Frais de poursuite"/>
    <n v="0"/>
    <n v="1362.66"/>
    <n v="4184"/>
  </r>
  <r>
    <x v="0"/>
    <x v="6"/>
    <x v="5"/>
    <x v="117"/>
    <x v="104"/>
    <x v="104"/>
    <s v="REVENUS"/>
    <x v="3"/>
    <s v="4002.007"/>
    <s v="Acompte impôt sur fortune"/>
    <n v="0"/>
    <n v="-261.14999999999998"/>
    <n v="4002"/>
  </r>
  <r>
    <x v="0"/>
    <x v="6"/>
    <x v="5"/>
    <x v="117"/>
    <x v="104"/>
    <x v="104"/>
    <s v="REVENUS"/>
    <x v="2"/>
    <s v="4001.001"/>
    <s v="Impôt revenu"/>
    <n v="0"/>
    <n v="2673.1"/>
    <n v="4001"/>
  </r>
  <r>
    <x v="0"/>
    <x v="6"/>
    <x v="5"/>
    <x v="117"/>
    <x v="104"/>
    <x v="104"/>
    <s v="REVENUS"/>
    <x v="3"/>
    <s v="4002.001"/>
    <s v="Impôt ordinaire s/fortune PP"/>
    <n v="0"/>
    <n v="2103.1999999999998"/>
    <n v="4002"/>
  </r>
  <r>
    <x v="0"/>
    <x v="6"/>
    <x v="5"/>
    <x v="117"/>
    <x v="104"/>
    <x v="104"/>
    <s v="REVENUS"/>
    <x v="3"/>
    <s v="4002.007"/>
    <s v="Acompte impôt sur fortune"/>
    <n v="0"/>
    <n v="-1647.59"/>
    <n v="4002"/>
  </r>
  <r>
    <x v="0"/>
    <x v="6"/>
    <x v="5"/>
    <x v="117"/>
    <x v="104"/>
    <x v="104"/>
    <s v="REVENUS"/>
    <x v="6"/>
    <s v="4221.003"/>
    <s v="Intérêts compensat. / acomptes en faveur du fisc"/>
    <n v="0"/>
    <n v="124.45"/>
    <n v="4221"/>
  </r>
  <r>
    <x v="0"/>
    <x v="6"/>
    <x v="5"/>
    <x v="117"/>
    <x v="104"/>
    <x v="104"/>
    <s v="REVENUS"/>
    <x v="2"/>
    <s v="4001.007"/>
    <s v="Acompte impôt sur revenu"/>
    <n v="0"/>
    <n v="432.37"/>
    <n v="4001"/>
  </r>
  <r>
    <x v="0"/>
    <x v="6"/>
    <x v="5"/>
    <x v="117"/>
    <x v="104"/>
    <x v="104"/>
    <s v="REVENUS"/>
    <x v="3"/>
    <s v="4002.007"/>
    <s v="Acompte impôt sur fortune"/>
    <n v="0"/>
    <n v="-147.6"/>
    <n v="4002"/>
  </r>
  <r>
    <x v="0"/>
    <x v="6"/>
    <x v="5"/>
    <x v="117"/>
    <x v="104"/>
    <x v="104"/>
    <s v="REVENUS"/>
    <x v="3"/>
    <s v="4002.002"/>
    <s v="Impôt complémentaire s/fortune PP"/>
    <n v="0"/>
    <n v="4389.55"/>
    <n v="4002"/>
  </r>
  <r>
    <x v="0"/>
    <x v="6"/>
    <x v="5"/>
    <x v="117"/>
    <x v="104"/>
    <x v="104"/>
    <s v="REVENUS"/>
    <x v="3"/>
    <s v="4002.007"/>
    <s v="Acompte impôt sur fortune"/>
    <n v="0"/>
    <n v="-50.6"/>
    <n v="4002"/>
  </r>
  <r>
    <x v="0"/>
    <x v="6"/>
    <x v="5"/>
    <x v="117"/>
    <x v="104"/>
    <x v="104"/>
    <s v="REVENUS"/>
    <x v="6"/>
    <s v="4211.002"/>
    <s v="Intérêts de retard sur acomptes"/>
    <n v="0"/>
    <n v="6.41"/>
    <n v="4211"/>
  </r>
  <r>
    <x v="0"/>
    <x v="6"/>
    <x v="5"/>
    <x v="117"/>
    <x v="104"/>
    <x v="104"/>
    <s v="REVENUS"/>
    <x v="2"/>
    <s v="4001.002"/>
    <s v="Impôt complément s/revenu PP"/>
    <n v="0"/>
    <n v="27577.8"/>
    <n v="4001"/>
  </r>
  <r>
    <x v="0"/>
    <x v="6"/>
    <x v="5"/>
    <x v="117"/>
    <x v="104"/>
    <x v="104"/>
    <s v="REVENUS"/>
    <x v="3"/>
    <s v="4002.002"/>
    <s v="Impôt complémentaire s/fortune PP"/>
    <n v="0"/>
    <n v="0.3"/>
    <n v="4002"/>
  </r>
  <r>
    <x v="0"/>
    <x v="6"/>
    <x v="5"/>
    <x v="117"/>
    <x v="104"/>
    <x v="104"/>
    <s v="REVENUS"/>
    <x v="6"/>
    <s v="4211.001"/>
    <s v="Intérêts de retard sur factures"/>
    <n v="0"/>
    <n v="1.54"/>
    <n v="4211"/>
  </r>
  <r>
    <x v="0"/>
    <x v="6"/>
    <x v="5"/>
    <x v="117"/>
    <x v="104"/>
    <x v="104"/>
    <s v="REVENUS"/>
    <x v="10"/>
    <s v="4041.001"/>
    <s v="Droits de mutation"/>
    <n v="0"/>
    <n v="28545.65"/>
    <n v="4041"/>
  </r>
  <r>
    <x v="0"/>
    <x v="6"/>
    <x v="5"/>
    <x v="117"/>
    <x v="104"/>
    <x v="104"/>
    <s v="REVENUS"/>
    <x v="7"/>
    <s v="4184.000"/>
    <s v="Frais de poursuite"/>
    <n v="0"/>
    <n v="9.9600000000000009"/>
    <n v="4184"/>
  </r>
  <r>
    <x v="0"/>
    <x v="6"/>
    <x v="5"/>
    <x v="117"/>
    <x v="104"/>
    <x v="104"/>
    <s v="REVENUS"/>
    <x v="2"/>
    <s v="4001.003"/>
    <s v="Impôt s/prest. cap. PP"/>
    <n v="0"/>
    <n v="12400.35"/>
    <n v="4001"/>
  </r>
  <r>
    <x v="0"/>
    <x v="6"/>
    <x v="5"/>
    <x v="117"/>
    <x v="104"/>
    <x v="104"/>
    <s v="REVENUS"/>
    <x v="3"/>
    <s v="4002.001"/>
    <s v="Impôt ordinaire s/fortune PP"/>
    <n v="0"/>
    <n v="536.25"/>
    <n v="4002"/>
  </r>
  <r>
    <x v="0"/>
    <x v="6"/>
    <x v="5"/>
    <x v="117"/>
    <x v="104"/>
    <x v="104"/>
    <s v="REVENUS"/>
    <x v="2"/>
    <s v="4001.007"/>
    <s v="Acompte impôt sur revenu"/>
    <n v="0"/>
    <n v="-265.14999999999998"/>
    <n v="4001"/>
  </r>
  <r>
    <x v="0"/>
    <x v="6"/>
    <x v="5"/>
    <x v="117"/>
    <x v="104"/>
    <x v="104"/>
    <s v="REVENUS"/>
    <x v="6"/>
    <s v="4211.001"/>
    <s v="Intérêts de retard sur factures"/>
    <n v="0"/>
    <n v="9.39"/>
    <n v="4211"/>
  </r>
  <r>
    <x v="0"/>
    <x v="6"/>
    <x v="5"/>
    <x v="117"/>
    <x v="104"/>
    <x v="104"/>
    <s v="REVENUS"/>
    <x v="6"/>
    <s v="4221.003"/>
    <s v="Intérêts compensat. / acomptes en faveur du fisc"/>
    <n v="0"/>
    <n v="0.04"/>
    <n v="4221"/>
  </r>
  <r>
    <x v="0"/>
    <x v="6"/>
    <x v="5"/>
    <x v="117"/>
    <x v="104"/>
    <x v="104"/>
    <s v="REVENUS"/>
    <x v="6"/>
    <s v="4211.001"/>
    <s v="Intérêts de retard sur factures"/>
    <n v="0"/>
    <n v="13.52"/>
    <n v="4211"/>
  </r>
  <r>
    <x v="0"/>
    <x v="6"/>
    <x v="5"/>
    <x v="117"/>
    <x v="104"/>
    <x v="104"/>
    <s v="REVENUS"/>
    <x v="3"/>
    <s v="4002.007"/>
    <s v="Acompte impôt sur fortune"/>
    <n v="0"/>
    <n v="-125.6"/>
    <n v="4002"/>
  </r>
  <r>
    <x v="0"/>
    <x v="6"/>
    <x v="5"/>
    <x v="117"/>
    <x v="104"/>
    <x v="104"/>
    <s v="REVENUS"/>
    <x v="2"/>
    <s v="4001.007"/>
    <s v="Acompte impôt sur revenu"/>
    <n v="0"/>
    <n v="-89.8"/>
    <n v="4001"/>
  </r>
  <r>
    <x v="0"/>
    <x v="6"/>
    <x v="5"/>
    <x v="117"/>
    <x v="104"/>
    <x v="104"/>
    <s v="REVENUS"/>
    <x v="4"/>
    <s v="4051.002"/>
    <s v="Impôt sur les donations"/>
    <n v="0"/>
    <n v="5204.6000000000004"/>
    <n v="4051"/>
  </r>
  <r>
    <x v="0"/>
    <x v="6"/>
    <x v="5"/>
    <x v="117"/>
    <x v="104"/>
    <x v="104"/>
    <s v="REVENUS"/>
    <x v="3"/>
    <s v="4002.001"/>
    <s v="Impôt ordinaire s/fortune PP"/>
    <n v="0"/>
    <n v="288.5"/>
    <n v="4002"/>
  </r>
  <r>
    <x v="0"/>
    <x v="6"/>
    <x v="5"/>
    <x v="117"/>
    <x v="104"/>
    <x v="104"/>
    <s v="REVENUS"/>
    <x v="11"/>
    <s v="4198.000"/>
    <s v="Contributions communales"/>
    <n v="0"/>
    <n v="66861.3"/>
    <n v="4198"/>
  </r>
  <r>
    <x v="0"/>
    <x v="6"/>
    <x v="5"/>
    <x v="117"/>
    <x v="104"/>
    <x v="104"/>
    <s v="REVENUS"/>
    <x v="4"/>
    <s v="4051.001"/>
    <s v="Impôt sur les successions"/>
    <n v="0"/>
    <n v="84476.9"/>
    <n v="4051"/>
  </r>
  <r>
    <x v="0"/>
    <x v="6"/>
    <x v="5"/>
    <x v="118"/>
    <x v="105"/>
    <x v="105"/>
    <s v="CHARGES"/>
    <x v="1"/>
    <s v="3301.001"/>
    <s v="Défalcations, abandons de solde PP et IS"/>
    <n v="5558.05"/>
    <n v="0"/>
    <n v="3301"/>
  </r>
  <r>
    <x v="0"/>
    <x v="6"/>
    <x v="5"/>
    <x v="118"/>
    <x v="105"/>
    <x v="105"/>
    <s v="REVENUS"/>
    <x v="7"/>
    <s v="4184.000"/>
    <s v="Frais de poursuite"/>
    <n v="0"/>
    <n v="15.49"/>
    <n v="4184"/>
  </r>
  <r>
    <x v="0"/>
    <x v="6"/>
    <x v="5"/>
    <x v="119"/>
    <x v="106"/>
    <x v="106"/>
    <s v="CHARGES"/>
    <x v="0"/>
    <s v="3221.002"/>
    <s v="Intérêts compensatoires / créances en faveur ctb."/>
    <n v="0.74"/>
    <n v="0"/>
    <n v="3221"/>
  </r>
  <r>
    <x v="0"/>
    <x v="6"/>
    <x v="5"/>
    <x v="119"/>
    <x v="106"/>
    <x v="106"/>
    <s v="CHARGES"/>
    <x v="0"/>
    <s v="3212.004"/>
    <s v="Intérêts rémun./perçu trop tôt sur acomptes C/C"/>
    <n v="1398.5"/>
    <n v="0"/>
    <n v="3212"/>
  </r>
  <r>
    <x v="0"/>
    <x v="6"/>
    <x v="5"/>
    <x v="119"/>
    <x v="106"/>
    <x v="106"/>
    <s v="CHARGES"/>
    <x v="0"/>
    <s v="3221.002"/>
    <s v="Intérêts compensatoires / créances en faveur ctb."/>
    <n v="602.55999999999995"/>
    <n v="0"/>
    <n v="3221"/>
  </r>
  <r>
    <x v="0"/>
    <x v="6"/>
    <x v="5"/>
    <x v="119"/>
    <x v="106"/>
    <x v="106"/>
    <s v="CHARGES"/>
    <x v="1"/>
    <s v="3301.001"/>
    <s v="Défalcations, abandons de solde PP et IS"/>
    <n v="184908.17"/>
    <n v="0"/>
    <n v="3301"/>
  </r>
  <r>
    <x v="0"/>
    <x v="6"/>
    <x v="5"/>
    <x v="119"/>
    <x v="106"/>
    <x v="106"/>
    <s v="CHARGES"/>
    <x v="0"/>
    <s v="3212.004"/>
    <s v="Intérêts rémun./perçu trop tôt sur acomptes C/C"/>
    <n v="-1.36"/>
    <n v="0"/>
    <n v="3212"/>
  </r>
  <r>
    <x v="0"/>
    <x v="6"/>
    <x v="5"/>
    <x v="119"/>
    <x v="106"/>
    <x v="106"/>
    <s v="CHARGES"/>
    <x v="0"/>
    <s v="3221.002"/>
    <s v="Intérêts compensatoires / créances en faveur ctb."/>
    <n v="-0.38"/>
    <n v="0"/>
    <n v="3221"/>
  </r>
  <r>
    <x v="0"/>
    <x v="6"/>
    <x v="5"/>
    <x v="119"/>
    <x v="106"/>
    <x v="106"/>
    <s v="CHARGES"/>
    <x v="1"/>
    <s v="3301.001"/>
    <s v="Défalcations, abandons de solde PP et IS"/>
    <n v="-0.04"/>
    <n v="0"/>
    <n v="3301"/>
  </r>
  <r>
    <x v="0"/>
    <x v="6"/>
    <x v="5"/>
    <x v="119"/>
    <x v="106"/>
    <x v="106"/>
    <s v="CHARGES"/>
    <x v="0"/>
    <s v="3212.004"/>
    <s v="Intérêts rémun./perçu trop tôt sur acomptes C/C"/>
    <n v="3.79"/>
    <n v="0"/>
    <n v="3212"/>
  </r>
  <r>
    <x v="0"/>
    <x v="6"/>
    <x v="5"/>
    <x v="119"/>
    <x v="106"/>
    <x v="106"/>
    <s v="CHARGES"/>
    <x v="0"/>
    <s v="3221.002"/>
    <s v="Intérêts compensatoires / créances en faveur ctb."/>
    <n v="-0.88"/>
    <n v="0"/>
    <n v="3221"/>
  </r>
  <r>
    <x v="0"/>
    <x v="6"/>
    <x v="5"/>
    <x v="119"/>
    <x v="106"/>
    <x v="106"/>
    <s v="CHARGES"/>
    <x v="1"/>
    <s v="3301.001"/>
    <s v="Défalcations, abandons de solde PP et IS"/>
    <n v="7.04"/>
    <n v="0"/>
    <n v="3301"/>
  </r>
  <r>
    <x v="0"/>
    <x v="6"/>
    <x v="5"/>
    <x v="119"/>
    <x v="106"/>
    <x v="106"/>
    <s v="CHARGES"/>
    <x v="0"/>
    <s v="3212.002"/>
    <s v="Intérêts bonifiés/trop perçu acompte C/C"/>
    <n v="35.549999999999997"/>
    <n v="0"/>
    <n v="3212"/>
  </r>
  <r>
    <x v="0"/>
    <x v="6"/>
    <x v="5"/>
    <x v="119"/>
    <x v="106"/>
    <x v="106"/>
    <s v="CHARGES"/>
    <x v="0"/>
    <s v="3212.004"/>
    <s v="Intérêts rémun./perçu trop tôt sur acomptes C/C"/>
    <n v="4.4800000000000004"/>
    <n v="0"/>
    <n v="3212"/>
  </r>
  <r>
    <x v="0"/>
    <x v="6"/>
    <x v="5"/>
    <x v="119"/>
    <x v="106"/>
    <x v="106"/>
    <s v="CHARGES"/>
    <x v="0"/>
    <s v="3221.002"/>
    <s v="Intérêts compensatoires / créances en faveur ctb."/>
    <n v="1.83"/>
    <n v="0"/>
    <n v="3221"/>
  </r>
  <r>
    <x v="0"/>
    <x v="6"/>
    <x v="5"/>
    <x v="119"/>
    <x v="106"/>
    <x v="106"/>
    <s v="CHARGES"/>
    <x v="0"/>
    <s v="3212.004"/>
    <s v="Intérêts rémun./perçu trop tôt sur acomptes C/C"/>
    <n v="36.979999999999997"/>
    <n v="0"/>
    <n v="3212"/>
  </r>
  <r>
    <x v="0"/>
    <x v="6"/>
    <x v="5"/>
    <x v="119"/>
    <x v="106"/>
    <x v="106"/>
    <s v="CHARGES"/>
    <x v="0"/>
    <s v="3221.002"/>
    <s v="Intérêts compensatoires / créances en faveur ctb."/>
    <n v="22.86"/>
    <n v="0"/>
    <n v="3221"/>
  </r>
  <r>
    <x v="0"/>
    <x v="6"/>
    <x v="5"/>
    <x v="119"/>
    <x v="106"/>
    <x v="106"/>
    <s v="CHARGES"/>
    <x v="1"/>
    <s v="3301.001"/>
    <s v="Défalcations, abandons de solde PP et IS"/>
    <n v="0.48"/>
    <n v="0"/>
    <n v="3301"/>
  </r>
  <r>
    <x v="0"/>
    <x v="6"/>
    <x v="5"/>
    <x v="119"/>
    <x v="106"/>
    <x v="106"/>
    <s v="CHARGES"/>
    <x v="0"/>
    <s v="3212.004"/>
    <s v="Intérêts rémun./perçu trop tôt sur acomptes C/C"/>
    <n v="0.1"/>
    <n v="0"/>
    <n v="3212"/>
  </r>
  <r>
    <x v="0"/>
    <x v="6"/>
    <x v="5"/>
    <x v="119"/>
    <x v="106"/>
    <x v="106"/>
    <s v="CHARGES"/>
    <x v="1"/>
    <s v="3301.001"/>
    <s v="Défalcations, abandons de solde PP et IS"/>
    <n v="445.52"/>
    <n v="0"/>
    <n v="3301"/>
  </r>
  <r>
    <x v="0"/>
    <x v="6"/>
    <x v="5"/>
    <x v="119"/>
    <x v="106"/>
    <x v="106"/>
    <s v="CHARGES"/>
    <x v="1"/>
    <s v="3301.001"/>
    <s v="Défalcations, abandons de solde PP et IS"/>
    <n v="20590.95"/>
    <n v="0"/>
    <n v="3301"/>
  </r>
  <r>
    <x v="0"/>
    <x v="6"/>
    <x v="5"/>
    <x v="119"/>
    <x v="106"/>
    <x v="106"/>
    <s v="CHARGES"/>
    <x v="0"/>
    <s v="3221.002"/>
    <s v="Intérêts compensatoires / créances en faveur ctb."/>
    <n v="0.03"/>
    <n v="0"/>
    <n v="3221"/>
  </r>
  <r>
    <x v="0"/>
    <x v="6"/>
    <x v="5"/>
    <x v="119"/>
    <x v="106"/>
    <x v="106"/>
    <s v="CHARGES"/>
    <x v="0"/>
    <s v="3212.002"/>
    <s v="Intérêts bonifiés/trop perçu acompte C/C"/>
    <n v="-0.97"/>
    <n v="0"/>
    <n v="3212"/>
  </r>
  <r>
    <x v="0"/>
    <x v="6"/>
    <x v="5"/>
    <x v="119"/>
    <x v="106"/>
    <x v="106"/>
    <s v="CHARGES"/>
    <x v="0"/>
    <s v="3212.002"/>
    <s v="Intérêts bonifiés/trop perçu acompte C/C"/>
    <n v="0.02"/>
    <n v="0"/>
    <n v="3212"/>
  </r>
  <r>
    <x v="0"/>
    <x v="6"/>
    <x v="5"/>
    <x v="119"/>
    <x v="106"/>
    <x v="106"/>
    <s v="CHARGES"/>
    <x v="0"/>
    <s v="3212.004"/>
    <s v="Intérêts rémun./perçu trop tôt sur acomptes C/C"/>
    <n v="-0.05"/>
    <n v="0"/>
    <n v="3212"/>
  </r>
  <r>
    <x v="0"/>
    <x v="6"/>
    <x v="5"/>
    <x v="119"/>
    <x v="106"/>
    <x v="106"/>
    <s v="CHARGES"/>
    <x v="0"/>
    <s v="3221.002"/>
    <s v="Intérêts compensatoires / créances en faveur ctb."/>
    <n v="0.04"/>
    <n v="0"/>
    <n v="3221"/>
  </r>
  <r>
    <x v="0"/>
    <x v="6"/>
    <x v="5"/>
    <x v="119"/>
    <x v="106"/>
    <x v="106"/>
    <s v="CHARGES"/>
    <x v="1"/>
    <s v="3301.001"/>
    <s v="Défalcations, abandons de solde PP et IS"/>
    <n v="-1.1299999999999999"/>
    <n v="0"/>
    <n v="3301"/>
  </r>
  <r>
    <x v="0"/>
    <x v="6"/>
    <x v="5"/>
    <x v="119"/>
    <x v="106"/>
    <x v="106"/>
    <s v="CHARGES"/>
    <x v="0"/>
    <s v="3212.002"/>
    <s v="Intérêts bonifiés/trop perçu acompte C/C"/>
    <n v="0.11"/>
    <n v="0"/>
    <n v="3212"/>
  </r>
  <r>
    <x v="0"/>
    <x v="6"/>
    <x v="5"/>
    <x v="119"/>
    <x v="106"/>
    <x v="106"/>
    <s v="CHARGES"/>
    <x v="0"/>
    <s v="3212.004"/>
    <s v="Intérêts rémun./perçu trop tôt sur acomptes C/C"/>
    <n v="0.91"/>
    <n v="0"/>
    <n v="3212"/>
  </r>
  <r>
    <x v="0"/>
    <x v="6"/>
    <x v="5"/>
    <x v="119"/>
    <x v="106"/>
    <x v="106"/>
    <s v="CHARGES"/>
    <x v="0"/>
    <s v="3221.002"/>
    <s v="Intérêts compensatoires / créances en faveur ctb."/>
    <n v="0.69"/>
    <n v="0"/>
    <n v="3221"/>
  </r>
  <r>
    <x v="0"/>
    <x v="6"/>
    <x v="5"/>
    <x v="119"/>
    <x v="106"/>
    <x v="106"/>
    <s v="CHARGES"/>
    <x v="1"/>
    <s v="3301.001"/>
    <s v="Défalcations, abandons de solde PP et IS"/>
    <n v="3.91"/>
    <n v="0"/>
    <n v="3301"/>
  </r>
  <r>
    <x v="0"/>
    <x v="6"/>
    <x v="5"/>
    <x v="119"/>
    <x v="106"/>
    <x v="106"/>
    <s v="CHARGES"/>
    <x v="0"/>
    <s v="3212.002"/>
    <s v="Intérêts bonifiés/trop perçu acompte C/C"/>
    <n v="3.07"/>
    <n v="0"/>
    <n v="3212"/>
  </r>
  <r>
    <x v="0"/>
    <x v="6"/>
    <x v="5"/>
    <x v="119"/>
    <x v="106"/>
    <x v="106"/>
    <s v="CHARGES"/>
    <x v="1"/>
    <s v="3301.001"/>
    <s v="Défalcations, abandons de solde PP et IS"/>
    <n v="10.74"/>
    <n v="0"/>
    <n v="3301"/>
  </r>
  <r>
    <x v="0"/>
    <x v="6"/>
    <x v="5"/>
    <x v="119"/>
    <x v="106"/>
    <x v="106"/>
    <s v="CHARGES"/>
    <x v="0"/>
    <s v="3212.004"/>
    <s v="Intérêts rémun./perçu trop tôt sur acomptes C/C"/>
    <n v="7.87"/>
    <n v="0"/>
    <n v="3212"/>
  </r>
  <r>
    <x v="0"/>
    <x v="6"/>
    <x v="5"/>
    <x v="119"/>
    <x v="106"/>
    <x v="106"/>
    <s v="CHARGES"/>
    <x v="0"/>
    <s v="3212.004"/>
    <s v="Intérêts rémun./perçu trop tôt sur acomptes C/C"/>
    <n v="0.32"/>
    <n v="0"/>
    <n v="3212"/>
  </r>
  <r>
    <x v="0"/>
    <x v="6"/>
    <x v="5"/>
    <x v="119"/>
    <x v="106"/>
    <x v="106"/>
    <s v="CHARGES"/>
    <x v="0"/>
    <s v="3212.002"/>
    <s v="Intérêts bonifiés/trop perçu acompte C/C"/>
    <n v="1.79"/>
    <n v="0"/>
    <n v="3212"/>
  </r>
  <r>
    <x v="0"/>
    <x v="6"/>
    <x v="5"/>
    <x v="119"/>
    <x v="106"/>
    <x v="106"/>
    <s v="CHARGES"/>
    <x v="1"/>
    <s v="3301.001"/>
    <s v="Défalcations, abandons de solde PP et IS"/>
    <n v="0.96"/>
    <n v="0"/>
    <n v="3301"/>
  </r>
  <r>
    <x v="0"/>
    <x v="6"/>
    <x v="5"/>
    <x v="119"/>
    <x v="106"/>
    <x v="106"/>
    <s v="CHARGES"/>
    <x v="0"/>
    <s v="3221.002"/>
    <s v="Intérêts compensatoires / créances en faveur ctb."/>
    <n v="0.12"/>
    <n v="0"/>
    <n v="3221"/>
  </r>
  <r>
    <x v="0"/>
    <x v="6"/>
    <x v="5"/>
    <x v="119"/>
    <x v="106"/>
    <x v="106"/>
    <s v="CHARGES"/>
    <x v="0"/>
    <s v="3212.004"/>
    <s v="Intérêts rémun./perçu trop tôt sur acomptes C/C"/>
    <n v="0.12"/>
    <n v="0"/>
    <n v="3212"/>
  </r>
  <r>
    <x v="0"/>
    <x v="6"/>
    <x v="5"/>
    <x v="119"/>
    <x v="106"/>
    <x v="106"/>
    <s v="CHARGES"/>
    <x v="1"/>
    <s v="3301.001"/>
    <s v="Défalcations, abandons de solde PP et IS"/>
    <n v="2.56"/>
    <n v="0"/>
    <n v="3301"/>
  </r>
  <r>
    <x v="0"/>
    <x v="6"/>
    <x v="5"/>
    <x v="119"/>
    <x v="106"/>
    <x v="106"/>
    <s v="CHARGES"/>
    <x v="1"/>
    <s v="3301.003"/>
    <s v="Remises PP et IS"/>
    <n v="2432.06"/>
    <n v="0"/>
    <n v="3301"/>
  </r>
  <r>
    <x v="0"/>
    <x v="6"/>
    <x v="5"/>
    <x v="119"/>
    <x v="106"/>
    <x v="106"/>
    <s v="REVENUS"/>
    <x v="2"/>
    <s v="4001.001"/>
    <s v="Impôt revenu"/>
    <n v="0"/>
    <n v="20644.400000000001"/>
    <n v="4001"/>
  </r>
  <r>
    <x v="0"/>
    <x v="6"/>
    <x v="5"/>
    <x v="119"/>
    <x v="106"/>
    <x v="106"/>
    <s v="REVENUS"/>
    <x v="6"/>
    <s v="4211.002"/>
    <s v="Intérêts de retard sur acomptes"/>
    <n v="0"/>
    <n v="438.51"/>
    <n v="4211"/>
  </r>
  <r>
    <x v="0"/>
    <x v="6"/>
    <x v="5"/>
    <x v="119"/>
    <x v="106"/>
    <x v="106"/>
    <s v="REVENUS"/>
    <x v="6"/>
    <s v="4221.003"/>
    <s v="Intérêts compensat. / acomptes en faveur du fisc"/>
    <n v="0"/>
    <n v="14.11"/>
    <n v="4221"/>
  </r>
  <r>
    <x v="0"/>
    <x v="6"/>
    <x v="5"/>
    <x v="119"/>
    <x v="106"/>
    <x v="106"/>
    <s v="REVENUS"/>
    <x v="3"/>
    <s v="4002.001"/>
    <s v="Impôt ordinaire s/fortune PP"/>
    <n v="0"/>
    <n v="12371.5"/>
    <n v="4002"/>
  </r>
  <r>
    <x v="0"/>
    <x v="6"/>
    <x v="5"/>
    <x v="119"/>
    <x v="106"/>
    <x v="106"/>
    <s v="REVENUS"/>
    <x v="2"/>
    <s v="4001.001"/>
    <s v="Impôt revenu"/>
    <n v="0"/>
    <n v="4970.8500000000004"/>
    <n v="4001"/>
  </r>
  <r>
    <x v="0"/>
    <x v="6"/>
    <x v="5"/>
    <x v="119"/>
    <x v="106"/>
    <x v="106"/>
    <s v="REVENUS"/>
    <x v="2"/>
    <s v="4001.007"/>
    <s v="Acompte impôt sur revenu"/>
    <n v="0"/>
    <n v="-6235.2"/>
    <n v="4001"/>
  </r>
  <r>
    <x v="0"/>
    <x v="6"/>
    <x v="5"/>
    <x v="119"/>
    <x v="106"/>
    <x v="106"/>
    <s v="REVENUS"/>
    <x v="3"/>
    <s v="4002.001"/>
    <s v="Impôt ordinaire s/fortune PP"/>
    <n v="0"/>
    <n v="2865.3"/>
    <n v="4002"/>
  </r>
  <r>
    <x v="0"/>
    <x v="6"/>
    <x v="5"/>
    <x v="119"/>
    <x v="106"/>
    <x v="106"/>
    <s v="REVENUS"/>
    <x v="3"/>
    <s v="4002.007"/>
    <s v="Acompte impôt sur fortune"/>
    <n v="0"/>
    <n v="-695.23"/>
    <n v="4002"/>
  </r>
  <r>
    <x v="0"/>
    <x v="6"/>
    <x v="5"/>
    <x v="119"/>
    <x v="106"/>
    <x v="106"/>
    <s v="REVENUS"/>
    <x v="6"/>
    <s v="4211.002"/>
    <s v="Intérêts de retard sur acomptes"/>
    <n v="0"/>
    <n v="42.29"/>
    <n v="4211"/>
  </r>
  <r>
    <x v="0"/>
    <x v="6"/>
    <x v="5"/>
    <x v="119"/>
    <x v="106"/>
    <x v="106"/>
    <s v="REVENUS"/>
    <x v="6"/>
    <s v="4221.003"/>
    <s v="Intérêts compensat. / acomptes en faveur du fisc"/>
    <n v="0"/>
    <n v="0.15"/>
    <n v="4221"/>
  </r>
  <r>
    <x v="0"/>
    <x v="6"/>
    <x v="5"/>
    <x v="119"/>
    <x v="106"/>
    <x v="106"/>
    <s v="REVENUS"/>
    <x v="2"/>
    <s v="4001.001"/>
    <s v="Impôt revenu"/>
    <n v="0"/>
    <n v="5594930.5"/>
    <n v="4001"/>
  </r>
  <r>
    <x v="0"/>
    <x v="6"/>
    <x v="5"/>
    <x v="119"/>
    <x v="106"/>
    <x v="106"/>
    <s v="REVENUS"/>
    <x v="2"/>
    <s v="4001.003"/>
    <s v="Impôt s/prest. cap. PP"/>
    <n v="0"/>
    <n v="160733.95000000001"/>
    <n v="4001"/>
  </r>
  <r>
    <x v="0"/>
    <x v="6"/>
    <x v="5"/>
    <x v="119"/>
    <x v="106"/>
    <x v="106"/>
    <s v="REVENUS"/>
    <x v="2"/>
    <s v="4001.007"/>
    <s v="Acompte impôt sur revenu"/>
    <n v="0"/>
    <n v="-666236.11"/>
    <n v="4001"/>
  </r>
  <r>
    <x v="0"/>
    <x v="6"/>
    <x v="5"/>
    <x v="119"/>
    <x v="106"/>
    <x v="106"/>
    <s v="REVENUS"/>
    <x v="3"/>
    <s v="4002.001"/>
    <s v="Impôt ordinaire s/fortune PP"/>
    <n v="0"/>
    <n v="846083.05"/>
    <n v="4002"/>
  </r>
  <r>
    <x v="0"/>
    <x v="6"/>
    <x v="5"/>
    <x v="119"/>
    <x v="106"/>
    <x v="106"/>
    <s v="REVENUS"/>
    <x v="3"/>
    <s v="4002.007"/>
    <s v="Acompte impôt sur fortune"/>
    <n v="0"/>
    <n v="-151127.85999999999"/>
    <n v="4002"/>
  </r>
  <r>
    <x v="0"/>
    <x v="6"/>
    <x v="5"/>
    <x v="119"/>
    <x v="106"/>
    <x v="106"/>
    <s v="REVENUS"/>
    <x v="8"/>
    <s v="4091.001"/>
    <s v="Impôt récupéré après défalcations"/>
    <n v="0"/>
    <n v="2718.73"/>
    <n v="4091"/>
  </r>
  <r>
    <x v="0"/>
    <x v="6"/>
    <x v="5"/>
    <x v="119"/>
    <x v="106"/>
    <x v="106"/>
    <s v="REVENUS"/>
    <x v="6"/>
    <s v="4211.001"/>
    <s v="Intérêts de retard sur factures"/>
    <n v="0"/>
    <n v="29304.31"/>
    <n v="4211"/>
  </r>
  <r>
    <x v="0"/>
    <x v="6"/>
    <x v="5"/>
    <x v="119"/>
    <x v="106"/>
    <x v="106"/>
    <s v="REVENUS"/>
    <x v="6"/>
    <s v="4221.002"/>
    <s v="Intérêts compensat. sur impôts distincts"/>
    <n v="0"/>
    <n v="427.01"/>
    <n v="4221"/>
  </r>
  <r>
    <x v="0"/>
    <x v="6"/>
    <x v="5"/>
    <x v="119"/>
    <x v="106"/>
    <x v="106"/>
    <s v="REVENUS"/>
    <x v="6"/>
    <s v="4221.003"/>
    <s v="Intérêts compensat. / acomptes en faveur du fisc"/>
    <n v="0"/>
    <n v="606.15"/>
    <n v="4221"/>
  </r>
  <r>
    <x v="0"/>
    <x v="6"/>
    <x v="5"/>
    <x v="119"/>
    <x v="106"/>
    <x v="106"/>
    <s v="REVENUS"/>
    <x v="2"/>
    <s v="4001.001"/>
    <s v="Impôt revenu"/>
    <n v="0"/>
    <n v="-96730.2"/>
    <n v="4001"/>
  </r>
  <r>
    <x v="0"/>
    <x v="6"/>
    <x v="5"/>
    <x v="119"/>
    <x v="106"/>
    <x v="106"/>
    <s v="REVENUS"/>
    <x v="3"/>
    <s v="4002.001"/>
    <s v="Impôt ordinaire s/fortune PP"/>
    <n v="0"/>
    <n v="-10013.950000000001"/>
    <n v="4002"/>
  </r>
  <r>
    <x v="0"/>
    <x v="6"/>
    <x v="5"/>
    <x v="119"/>
    <x v="106"/>
    <x v="106"/>
    <s v="REVENUS"/>
    <x v="2"/>
    <s v="4001.001"/>
    <s v="Impôt revenu"/>
    <n v="0"/>
    <n v="-15857.85"/>
    <n v="4001"/>
  </r>
  <r>
    <x v="0"/>
    <x v="6"/>
    <x v="5"/>
    <x v="119"/>
    <x v="106"/>
    <x v="106"/>
    <s v="REVENUS"/>
    <x v="2"/>
    <s v="4001.002"/>
    <s v="Impôt complément s/revenu PP"/>
    <n v="0"/>
    <n v="-4177.75"/>
    <n v="4001"/>
  </r>
  <r>
    <x v="0"/>
    <x v="6"/>
    <x v="5"/>
    <x v="119"/>
    <x v="106"/>
    <x v="106"/>
    <s v="REVENUS"/>
    <x v="3"/>
    <s v="4002.001"/>
    <s v="Impôt ordinaire s/fortune PP"/>
    <n v="0"/>
    <n v="-3044.5"/>
    <n v="4002"/>
  </r>
  <r>
    <x v="0"/>
    <x v="6"/>
    <x v="5"/>
    <x v="119"/>
    <x v="106"/>
    <x v="106"/>
    <s v="REVENUS"/>
    <x v="3"/>
    <s v="4002.002"/>
    <s v="Impôt complémentaire s/fortune PP"/>
    <n v="0"/>
    <n v="-1860.85"/>
    <n v="4002"/>
  </r>
  <r>
    <x v="0"/>
    <x v="6"/>
    <x v="5"/>
    <x v="119"/>
    <x v="106"/>
    <x v="106"/>
    <s v="REVENUS"/>
    <x v="6"/>
    <s v="4211.001"/>
    <s v="Intérêts de retard sur factures"/>
    <n v="0"/>
    <n v="-0.43"/>
    <n v="4211"/>
  </r>
  <r>
    <x v="0"/>
    <x v="6"/>
    <x v="5"/>
    <x v="119"/>
    <x v="106"/>
    <x v="106"/>
    <s v="REVENUS"/>
    <x v="6"/>
    <s v="4211.002"/>
    <s v="Intérêts de retard sur acomptes"/>
    <n v="0"/>
    <n v="1.65"/>
    <n v="4211"/>
  </r>
  <r>
    <x v="0"/>
    <x v="6"/>
    <x v="5"/>
    <x v="119"/>
    <x v="106"/>
    <x v="106"/>
    <s v="REVENUS"/>
    <x v="6"/>
    <s v="4221.003"/>
    <s v="Intérêts compensat. / acomptes en faveur du fisc"/>
    <n v="0"/>
    <n v="7.77"/>
    <n v="4221"/>
  </r>
  <r>
    <x v="0"/>
    <x v="6"/>
    <x v="5"/>
    <x v="119"/>
    <x v="106"/>
    <x v="106"/>
    <s v="REVENUS"/>
    <x v="2"/>
    <s v="4001.002"/>
    <s v="Impôt complément s/revenu PP"/>
    <n v="0"/>
    <n v="44210.25"/>
    <n v="4001"/>
  </r>
  <r>
    <x v="0"/>
    <x v="6"/>
    <x v="5"/>
    <x v="119"/>
    <x v="106"/>
    <x v="106"/>
    <s v="REVENUS"/>
    <x v="3"/>
    <s v="4002.002"/>
    <s v="Impôt complémentaire s/fortune PP"/>
    <n v="0"/>
    <n v="11303"/>
    <n v="4002"/>
  </r>
  <r>
    <x v="0"/>
    <x v="6"/>
    <x v="5"/>
    <x v="119"/>
    <x v="106"/>
    <x v="106"/>
    <s v="REVENUS"/>
    <x v="6"/>
    <s v="4211.001"/>
    <s v="Intérêts de retard sur factures"/>
    <n v="0"/>
    <n v="1323.29"/>
    <n v="4211"/>
  </r>
  <r>
    <x v="0"/>
    <x v="6"/>
    <x v="5"/>
    <x v="119"/>
    <x v="106"/>
    <x v="106"/>
    <s v="REVENUS"/>
    <x v="6"/>
    <s v="4221.003"/>
    <s v="Intérêts compensat. / acomptes en faveur du fisc"/>
    <n v="0"/>
    <n v="28.02"/>
    <n v="4221"/>
  </r>
  <r>
    <x v="0"/>
    <x v="6"/>
    <x v="5"/>
    <x v="119"/>
    <x v="106"/>
    <x v="106"/>
    <s v="REVENUS"/>
    <x v="2"/>
    <s v="4001.002"/>
    <s v="Impôt complément s/revenu PP"/>
    <n v="0"/>
    <n v="524692.05000000005"/>
    <n v="4001"/>
  </r>
  <r>
    <x v="0"/>
    <x v="6"/>
    <x v="5"/>
    <x v="119"/>
    <x v="106"/>
    <x v="106"/>
    <s v="REVENUS"/>
    <x v="3"/>
    <s v="4002.002"/>
    <s v="Impôt complémentaire s/fortune PP"/>
    <n v="0"/>
    <n v="129600.05"/>
    <n v="4002"/>
  </r>
  <r>
    <x v="0"/>
    <x v="6"/>
    <x v="5"/>
    <x v="119"/>
    <x v="106"/>
    <x v="106"/>
    <s v="REVENUS"/>
    <x v="9"/>
    <s v="4031.001"/>
    <s v="Impôt sur les gains immobiliers"/>
    <n v="0"/>
    <n v="275736.40000000002"/>
    <n v="4031"/>
  </r>
  <r>
    <x v="0"/>
    <x v="6"/>
    <x v="5"/>
    <x v="119"/>
    <x v="106"/>
    <x v="106"/>
    <s v="REVENUS"/>
    <x v="7"/>
    <s v="4184.000"/>
    <s v="Frais de poursuite"/>
    <n v="0"/>
    <n v="16674.73"/>
    <n v="4184"/>
  </r>
  <r>
    <x v="0"/>
    <x v="6"/>
    <x v="5"/>
    <x v="119"/>
    <x v="106"/>
    <x v="106"/>
    <s v="REVENUS"/>
    <x v="6"/>
    <s v="4211.002"/>
    <s v="Intérêts de retard sur acomptes"/>
    <n v="0"/>
    <n v="35449.300000000003"/>
    <n v="4211"/>
  </r>
  <r>
    <x v="0"/>
    <x v="6"/>
    <x v="5"/>
    <x v="119"/>
    <x v="106"/>
    <x v="106"/>
    <s v="REVENUS"/>
    <x v="3"/>
    <s v="4002.001"/>
    <s v="Impôt ordinaire s/fortune PP"/>
    <n v="0"/>
    <n v="3678.2"/>
    <n v="4002"/>
  </r>
  <r>
    <x v="0"/>
    <x v="6"/>
    <x v="5"/>
    <x v="119"/>
    <x v="106"/>
    <x v="106"/>
    <s v="REVENUS"/>
    <x v="2"/>
    <s v="4001.001"/>
    <s v="Impôt revenu"/>
    <n v="0"/>
    <n v="-5908.3"/>
    <n v="4001"/>
  </r>
  <r>
    <x v="0"/>
    <x v="6"/>
    <x v="5"/>
    <x v="119"/>
    <x v="106"/>
    <x v="106"/>
    <s v="REVENUS"/>
    <x v="2"/>
    <s v="4001.007"/>
    <s v="Acompte impôt sur revenu"/>
    <n v="0"/>
    <n v="-30352.18"/>
    <n v="4001"/>
  </r>
  <r>
    <x v="0"/>
    <x v="6"/>
    <x v="5"/>
    <x v="119"/>
    <x v="106"/>
    <x v="106"/>
    <s v="REVENUS"/>
    <x v="3"/>
    <s v="4002.007"/>
    <s v="Acompte impôt sur fortune"/>
    <n v="0"/>
    <n v="-2149.4"/>
    <n v="4002"/>
  </r>
  <r>
    <x v="0"/>
    <x v="6"/>
    <x v="5"/>
    <x v="119"/>
    <x v="106"/>
    <x v="106"/>
    <s v="REVENUS"/>
    <x v="6"/>
    <s v="4211.001"/>
    <s v="Intérêts de retard sur factures"/>
    <n v="0"/>
    <n v="294.44"/>
    <n v="4211"/>
  </r>
  <r>
    <x v="0"/>
    <x v="6"/>
    <x v="5"/>
    <x v="119"/>
    <x v="106"/>
    <x v="106"/>
    <s v="REVENUS"/>
    <x v="2"/>
    <s v="4001.007"/>
    <s v="Acompte impôt sur revenu"/>
    <n v="0"/>
    <n v="-9548.0499999999993"/>
    <n v="4001"/>
  </r>
  <r>
    <x v="0"/>
    <x v="6"/>
    <x v="5"/>
    <x v="119"/>
    <x v="106"/>
    <x v="106"/>
    <s v="REVENUS"/>
    <x v="3"/>
    <s v="4002.007"/>
    <s v="Acompte impôt sur fortune"/>
    <n v="0"/>
    <n v="-1596.65"/>
    <n v="4002"/>
  </r>
  <r>
    <x v="0"/>
    <x v="6"/>
    <x v="5"/>
    <x v="119"/>
    <x v="106"/>
    <x v="106"/>
    <s v="REVENUS"/>
    <x v="2"/>
    <s v="4001.007"/>
    <s v="Acompte impôt sur revenu"/>
    <n v="0"/>
    <n v="-5157.42"/>
    <n v="4001"/>
  </r>
  <r>
    <x v="0"/>
    <x v="6"/>
    <x v="5"/>
    <x v="119"/>
    <x v="106"/>
    <x v="106"/>
    <s v="REVENUS"/>
    <x v="3"/>
    <s v="4002.007"/>
    <s v="Acompte impôt sur fortune"/>
    <n v="0"/>
    <n v="1919.44"/>
    <n v="4002"/>
  </r>
  <r>
    <x v="0"/>
    <x v="6"/>
    <x v="5"/>
    <x v="119"/>
    <x v="106"/>
    <x v="106"/>
    <s v="REVENUS"/>
    <x v="2"/>
    <s v="4001.001"/>
    <s v="Impôt revenu"/>
    <n v="0"/>
    <n v="60715.15"/>
    <n v="4001"/>
  </r>
  <r>
    <x v="0"/>
    <x v="6"/>
    <x v="5"/>
    <x v="119"/>
    <x v="106"/>
    <x v="106"/>
    <s v="REVENUS"/>
    <x v="3"/>
    <s v="4002.001"/>
    <s v="Impôt ordinaire s/fortune PP"/>
    <n v="0"/>
    <n v="9422.85"/>
    <n v="4002"/>
  </r>
  <r>
    <x v="0"/>
    <x v="6"/>
    <x v="5"/>
    <x v="119"/>
    <x v="106"/>
    <x v="106"/>
    <s v="REVENUS"/>
    <x v="2"/>
    <s v="4001.002"/>
    <s v="Impôt complément s/revenu PP"/>
    <n v="0"/>
    <n v="12021.3"/>
    <n v="4001"/>
  </r>
  <r>
    <x v="0"/>
    <x v="6"/>
    <x v="5"/>
    <x v="119"/>
    <x v="106"/>
    <x v="106"/>
    <s v="REVENUS"/>
    <x v="3"/>
    <s v="4002.002"/>
    <s v="Impôt complémentaire s/fortune PP"/>
    <n v="0"/>
    <n v="924.75"/>
    <n v="4002"/>
  </r>
  <r>
    <x v="0"/>
    <x v="6"/>
    <x v="5"/>
    <x v="119"/>
    <x v="106"/>
    <x v="106"/>
    <s v="REVENUS"/>
    <x v="10"/>
    <s v="4041.001"/>
    <s v="Droits de mutation"/>
    <n v="0"/>
    <n v="232516.25"/>
    <n v="4041"/>
  </r>
  <r>
    <x v="0"/>
    <x v="6"/>
    <x v="5"/>
    <x v="119"/>
    <x v="106"/>
    <x v="106"/>
    <s v="REVENUS"/>
    <x v="2"/>
    <s v="4001.007"/>
    <s v="Acompte impôt sur revenu"/>
    <n v="0"/>
    <n v="-238.15"/>
    <n v="4001"/>
  </r>
  <r>
    <x v="0"/>
    <x v="6"/>
    <x v="5"/>
    <x v="119"/>
    <x v="106"/>
    <x v="106"/>
    <s v="REVENUS"/>
    <x v="3"/>
    <s v="4002.007"/>
    <s v="Acompte impôt sur fortune"/>
    <n v="0"/>
    <n v="-96.7"/>
    <n v="4002"/>
  </r>
  <r>
    <x v="0"/>
    <x v="6"/>
    <x v="5"/>
    <x v="119"/>
    <x v="106"/>
    <x v="106"/>
    <s v="REVENUS"/>
    <x v="4"/>
    <s v="4051.001"/>
    <s v="Impôt sur les successions"/>
    <n v="0"/>
    <n v="308577.5"/>
    <n v="4051"/>
  </r>
  <r>
    <x v="0"/>
    <x v="6"/>
    <x v="5"/>
    <x v="119"/>
    <x v="106"/>
    <x v="106"/>
    <s v="REVENUS"/>
    <x v="7"/>
    <s v="4184.000"/>
    <s v="Frais de poursuite"/>
    <n v="0"/>
    <n v="545.94000000000005"/>
    <n v="4184"/>
  </r>
  <r>
    <x v="0"/>
    <x v="6"/>
    <x v="5"/>
    <x v="119"/>
    <x v="106"/>
    <x v="106"/>
    <s v="REVENUS"/>
    <x v="2"/>
    <s v="4001.002"/>
    <s v="Impôt complément s/revenu PP"/>
    <n v="0"/>
    <n v="296.3"/>
    <n v="4001"/>
  </r>
  <r>
    <x v="0"/>
    <x v="6"/>
    <x v="5"/>
    <x v="119"/>
    <x v="106"/>
    <x v="106"/>
    <s v="REVENUS"/>
    <x v="6"/>
    <s v="4211.001"/>
    <s v="Intérêts de retard sur factures"/>
    <n v="0"/>
    <n v="0.53"/>
    <n v="4211"/>
  </r>
  <r>
    <x v="0"/>
    <x v="6"/>
    <x v="5"/>
    <x v="119"/>
    <x v="106"/>
    <x v="106"/>
    <s v="REVENUS"/>
    <x v="6"/>
    <s v="4211.002"/>
    <s v="Intérêts de retard sur acomptes"/>
    <n v="0"/>
    <n v="958.11"/>
    <n v="4211"/>
  </r>
  <r>
    <x v="0"/>
    <x v="6"/>
    <x v="5"/>
    <x v="119"/>
    <x v="106"/>
    <x v="106"/>
    <s v="REVENUS"/>
    <x v="6"/>
    <s v="4211.001"/>
    <s v="Intérêts de retard sur factures"/>
    <n v="0"/>
    <n v="55.72"/>
    <n v="4211"/>
  </r>
  <r>
    <x v="0"/>
    <x v="6"/>
    <x v="5"/>
    <x v="119"/>
    <x v="106"/>
    <x v="106"/>
    <s v="REVENUS"/>
    <x v="3"/>
    <s v="4002.007"/>
    <s v="Acompte impôt sur fortune"/>
    <n v="0"/>
    <n v="-58.15"/>
    <n v="4002"/>
  </r>
  <r>
    <x v="0"/>
    <x v="6"/>
    <x v="5"/>
    <x v="119"/>
    <x v="106"/>
    <x v="106"/>
    <s v="REVENUS"/>
    <x v="3"/>
    <s v="4002.007"/>
    <s v="Acompte impôt sur fortune"/>
    <n v="0"/>
    <n v="-329.65"/>
    <n v="4002"/>
  </r>
  <r>
    <x v="0"/>
    <x v="6"/>
    <x v="5"/>
    <x v="119"/>
    <x v="106"/>
    <x v="106"/>
    <s v="REVENUS"/>
    <x v="3"/>
    <s v="4002.001"/>
    <s v="Impôt ordinaire s/fortune PP"/>
    <n v="0"/>
    <n v="-314.7"/>
    <n v="4002"/>
  </r>
  <r>
    <x v="0"/>
    <x v="6"/>
    <x v="5"/>
    <x v="119"/>
    <x v="106"/>
    <x v="106"/>
    <s v="REVENUS"/>
    <x v="3"/>
    <s v="4002.001"/>
    <s v="Impôt ordinaire s/fortune PP"/>
    <n v="0"/>
    <n v="101.3"/>
    <n v="4002"/>
  </r>
  <r>
    <x v="0"/>
    <x v="6"/>
    <x v="5"/>
    <x v="119"/>
    <x v="106"/>
    <x v="106"/>
    <s v="REVENUS"/>
    <x v="2"/>
    <s v="4001.007"/>
    <s v="Acompte impôt sur revenu"/>
    <n v="0"/>
    <n v="-1312.7"/>
    <n v="4001"/>
  </r>
  <r>
    <x v="0"/>
    <x v="6"/>
    <x v="5"/>
    <x v="119"/>
    <x v="106"/>
    <x v="106"/>
    <s v="REVENUS"/>
    <x v="2"/>
    <s v="4001.007"/>
    <s v="Acompte impôt sur revenu"/>
    <n v="0"/>
    <n v="-367.25"/>
    <n v="4001"/>
  </r>
  <r>
    <x v="0"/>
    <x v="6"/>
    <x v="5"/>
    <x v="119"/>
    <x v="106"/>
    <x v="106"/>
    <s v="REVENUS"/>
    <x v="3"/>
    <s v="4002.007"/>
    <s v="Acompte impôt sur fortune"/>
    <n v="0"/>
    <n v="-433.64"/>
    <n v="4002"/>
  </r>
  <r>
    <x v="0"/>
    <x v="6"/>
    <x v="5"/>
    <x v="119"/>
    <x v="106"/>
    <x v="106"/>
    <s v="REVENUS"/>
    <x v="12"/>
    <s v="4004.007"/>
    <s v="Acompte spécial étrangers"/>
    <n v="0"/>
    <n v="3580.5"/>
    <n v="4004"/>
  </r>
  <r>
    <x v="0"/>
    <x v="6"/>
    <x v="5"/>
    <x v="119"/>
    <x v="106"/>
    <x v="106"/>
    <s v="REVENUS"/>
    <x v="8"/>
    <s v="4091.001"/>
    <s v="Impôt récupéré après défalcations"/>
    <n v="0"/>
    <n v="19928.23"/>
    <n v="4091"/>
  </r>
  <r>
    <x v="0"/>
    <x v="6"/>
    <x v="5"/>
    <x v="119"/>
    <x v="106"/>
    <x v="106"/>
    <s v="REVENUS"/>
    <x v="6"/>
    <s v="4221.003"/>
    <s v="Intérêts compensat. / acomptes en faveur du fisc"/>
    <n v="0"/>
    <n v="14.96"/>
    <n v="4221"/>
  </r>
  <r>
    <x v="0"/>
    <x v="6"/>
    <x v="5"/>
    <x v="119"/>
    <x v="106"/>
    <x v="106"/>
    <s v="REVENUS"/>
    <x v="2"/>
    <s v="4001.001"/>
    <s v="Impôt revenu"/>
    <n v="0"/>
    <n v="117.4"/>
    <n v="4001"/>
  </r>
  <r>
    <x v="0"/>
    <x v="6"/>
    <x v="5"/>
    <x v="119"/>
    <x v="106"/>
    <x v="106"/>
    <s v="REVENUS"/>
    <x v="3"/>
    <s v="4002.001"/>
    <s v="Impôt ordinaire s/fortune PP"/>
    <n v="0"/>
    <n v="865.1"/>
    <n v="4002"/>
  </r>
  <r>
    <x v="0"/>
    <x v="6"/>
    <x v="5"/>
    <x v="119"/>
    <x v="106"/>
    <x v="106"/>
    <s v="REVENUS"/>
    <x v="3"/>
    <s v="4002.002"/>
    <s v="Impôt complémentaire s/fortune PP"/>
    <n v="0"/>
    <n v="15693.45"/>
    <n v="4002"/>
  </r>
  <r>
    <x v="0"/>
    <x v="6"/>
    <x v="5"/>
    <x v="119"/>
    <x v="106"/>
    <x v="106"/>
    <s v="REVENUS"/>
    <x v="3"/>
    <s v="4002.001"/>
    <s v="Impôt ordinaire s/fortune PP"/>
    <n v="0"/>
    <n v="371.35"/>
    <n v="4002"/>
  </r>
  <r>
    <x v="0"/>
    <x v="6"/>
    <x v="5"/>
    <x v="119"/>
    <x v="106"/>
    <x v="106"/>
    <s v="REVENUS"/>
    <x v="2"/>
    <s v="4001.001"/>
    <s v="Impôt revenu"/>
    <n v="0"/>
    <n v="-2816.3"/>
    <n v="4001"/>
  </r>
  <r>
    <x v="0"/>
    <x v="6"/>
    <x v="5"/>
    <x v="119"/>
    <x v="106"/>
    <x v="106"/>
    <s v="REVENUS"/>
    <x v="2"/>
    <s v="4001.002"/>
    <s v="Impôt complément s/revenu PP"/>
    <n v="0"/>
    <n v="-11062.25"/>
    <n v="4001"/>
  </r>
  <r>
    <x v="0"/>
    <x v="6"/>
    <x v="5"/>
    <x v="119"/>
    <x v="106"/>
    <x v="106"/>
    <s v="REVENUS"/>
    <x v="3"/>
    <s v="4002.002"/>
    <s v="Impôt complémentaire s/fortune PP"/>
    <n v="0"/>
    <n v="-344.25"/>
    <n v="4002"/>
  </r>
  <r>
    <x v="0"/>
    <x v="6"/>
    <x v="5"/>
    <x v="119"/>
    <x v="106"/>
    <x v="106"/>
    <s v="REVENUS"/>
    <x v="6"/>
    <s v="4221.003"/>
    <s v="Intérêts compensat. / acomptes en faveur du fisc"/>
    <n v="0"/>
    <n v="-1.1299999999999999"/>
    <n v="4221"/>
  </r>
  <r>
    <x v="0"/>
    <x v="6"/>
    <x v="5"/>
    <x v="119"/>
    <x v="106"/>
    <x v="106"/>
    <s v="REVENUS"/>
    <x v="6"/>
    <s v="4221.003"/>
    <s v="Intérêts compensat. / acomptes en faveur du fisc"/>
    <n v="0"/>
    <n v="3.12"/>
    <n v="4221"/>
  </r>
  <r>
    <x v="0"/>
    <x v="6"/>
    <x v="5"/>
    <x v="119"/>
    <x v="106"/>
    <x v="106"/>
    <s v="REVENUS"/>
    <x v="2"/>
    <s v="4001.002"/>
    <s v="Impôt complément s/revenu PP"/>
    <n v="0"/>
    <n v="63316.65"/>
    <n v="4001"/>
  </r>
  <r>
    <x v="0"/>
    <x v="6"/>
    <x v="5"/>
    <x v="119"/>
    <x v="106"/>
    <x v="106"/>
    <s v="REVENUS"/>
    <x v="6"/>
    <s v="4211.002"/>
    <s v="Intérêts de retard sur acomptes"/>
    <n v="0"/>
    <n v="97.64"/>
    <n v="4211"/>
  </r>
  <r>
    <x v="0"/>
    <x v="6"/>
    <x v="5"/>
    <x v="119"/>
    <x v="106"/>
    <x v="106"/>
    <s v="REVENUS"/>
    <x v="3"/>
    <s v="4002.002"/>
    <s v="Impôt complémentaire s/fortune PP"/>
    <n v="0"/>
    <n v="73.400000000000006"/>
    <n v="4002"/>
  </r>
  <r>
    <x v="0"/>
    <x v="6"/>
    <x v="5"/>
    <x v="119"/>
    <x v="106"/>
    <x v="106"/>
    <s v="REVENUS"/>
    <x v="2"/>
    <s v="4001.003"/>
    <s v="Impôt s/prest. cap. PP"/>
    <n v="0"/>
    <n v="2853.9"/>
    <n v="4001"/>
  </r>
  <r>
    <x v="0"/>
    <x v="6"/>
    <x v="5"/>
    <x v="119"/>
    <x v="106"/>
    <x v="106"/>
    <s v="REVENUS"/>
    <x v="2"/>
    <s v="4001.007"/>
    <s v="Acompte impôt sur revenu"/>
    <n v="0"/>
    <n v="-42.3"/>
    <n v="4001"/>
  </r>
  <r>
    <x v="0"/>
    <x v="6"/>
    <x v="5"/>
    <x v="119"/>
    <x v="106"/>
    <x v="106"/>
    <s v="REVENUS"/>
    <x v="6"/>
    <s v="4211.001"/>
    <s v="Intérêts de retard sur factures"/>
    <n v="0"/>
    <n v="0.96"/>
    <n v="4211"/>
  </r>
  <r>
    <x v="0"/>
    <x v="6"/>
    <x v="5"/>
    <x v="119"/>
    <x v="106"/>
    <x v="106"/>
    <s v="REVENUS"/>
    <x v="2"/>
    <s v="4001.007"/>
    <s v="Acompte impôt sur revenu"/>
    <n v="0"/>
    <n v="-19887.21"/>
    <n v="4001"/>
  </r>
  <r>
    <x v="0"/>
    <x v="6"/>
    <x v="5"/>
    <x v="119"/>
    <x v="106"/>
    <x v="106"/>
    <s v="REVENUS"/>
    <x v="2"/>
    <s v="4001.003"/>
    <s v="Impôt s/prest. cap. PP"/>
    <n v="0"/>
    <n v="98.85"/>
    <n v="4001"/>
  </r>
  <r>
    <x v="0"/>
    <x v="6"/>
    <x v="5"/>
    <x v="119"/>
    <x v="106"/>
    <x v="106"/>
    <s v="REVENUS"/>
    <x v="6"/>
    <s v="4221.002"/>
    <s v="Intérêts compensat. sur impôts distincts"/>
    <n v="0"/>
    <n v="0.01"/>
    <n v="4221"/>
  </r>
  <r>
    <x v="0"/>
    <x v="6"/>
    <x v="5"/>
    <x v="119"/>
    <x v="106"/>
    <x v="106"/>
    <s v="REVENUS"/>
    <x v="12"/>
    <s v="4004.000"/>
    <s v="Impôt spécial étrangers"/>
    <n v="0"/>
    <n v="31154.55"/>
    <n v="4004"/>
  </r>
  <r>
    <x v="0"/>
    <x v="6"/>
    <x v="5"/>
    <x v="119"/>
    <x v="106"/>
    <x v="106"/>
    <s v="REVENUS"/>
    <x v="2"/>
    <s v="4001.003"/>
    <s v="Impôt s/prest. cap. PP"/>
    <n v="0"/>
    <n v="-9208.9500000000007"/>
    <n v="4001"/>
  </r>
  <r>
    <x v="0"/>
    <x v="6"/>
    <x v="5"/>
    <x v="119"/>
    <x v="106"/>
    <x v="106"/>
    <s v="REVENUS"/>
    <x v="3"/>
    <s v="4002.007"/>
    <s v="Acompte impôt sur fortune"/>
    <n v="0"/>
    <n v="-1488.16"/>
    <n v="4002"/>
  </r>
  <r>
    <x v="0"/>
    <x v="6"/>
    <x v="5"/>
    <x v="119"/>
    <x v="106"/>
    <x v="106"/>
    <s v="REVENUS"/>
    <x v="7"/>
    <s v="4184.000"/>
    <s v="Frais de poursuite"/>
    <n v="0"/>
    <n v="11.12"/>
    <n v="4184"/>
  </r>
  <r>
    <x v="0"/>
    <x v="6"/>
    <x v="5"/>
    <x v="119"/>
    <x v="106"/>
    <x v="106"/>
    <s v="REVENUS"/>
    <x v="6"/>
    <s v="4211.001"/>
    <s v="Intérêts de retard sur factures"/>
    <n v="0"/>
    <n v="-28.57"/>
    <n v="4211"/>
  </r>
  <r>
    <x v="0"/>
    <x v="6"/>
    <x v="5"/>
    <x v="119"/>
    <x v="106"/>
    <x v="106"/>
    <s v="REVENUS"/>
    <x v="6"/>
    <s v="4211.001"/>
    <s v="Intérêts de retard sur factures"/>
    <n v="0"/>
    <n v="1.18"/>
    <n v="4211"/>
  </r>
  <r>
    <x v="0"/>
    <x v="6"/>
    <x v="5"/>
    <x v="119"/>
    <x v="106"/>
    <x v="106"/>
    <s v="REVENUS"/>
    <x v="6"/>
    <s v="4221.003"/>
    <s v="Intérêts compensat. / acomptes en faveur du fisc"/>
    <n v="0"/>
    <n v="1.38"/>
    <n v="4221"/>
  </r>
  <r>
    <x v="0"/>
    <x v="6"/>
    <x v="5"/>
    <x v="119"/>
    <x v="106"/>
    <x v="106"/>
    <s v="REVENUS"/>
    <x v="6"/>
    <s v="4211.002"/>
    <s v="Intérêts de retard sur acomptes"/>
    <n v="0"/>
    <n v="0.02"/>
    <n v="4211"/>
  </r>
  <r>
    <x v="0"/>
    <x v="6"/>
    <x v="5"/>
    <x v="119"/>
    <x v="106"/>
    <x v="106"/>
    <s v="REVENUS"/>
    <x v="4"/>
    <s v="4051.002"/>
    <s v="Impôt sur les donations"/>
    <n v="0"/>
    <n v="85141.8"/>
    <n v="4051"/>
  </r>
  <r>
    <x v="0"/>
    <x v="6"/>
    <x v="5"/>
    <x v="119"/>
    <x v="106"/>
    <x v="106"/>
    <s v="REVENUS"/>
    <x v="4"/>
    <s v="4051.001"/>
    <s v="Impôt sur les successions"/>
    <n v="0"/>
    <n v="3951.9"/>
    <n v="4051"/>
  </r>
  <r>
    <x v="0"/>
    <x v="6"/>
    <x v="5"/>
    <x v="119"/>
    <x v="106"/>
    <x v="106"/>
    <s v="REVENUS"/>
    <x v="6"/>
    <s v="4221.002"/>
    <s v="Intérêts compensat. sur impôts distincts"/>
    <n v="0"/>
    <n v="3.6"/>
    <n v="4221"/>
  </r>
  <r>
    <x v="0"/>
    <x v="6"/>
    <x v="5"/>
    <x v="119"/>
    <x v="106"/>
    <x v="106"/>
    <s v="REVENUS"/>
    <x v="7"/>
    <s v="4184.000"/>
    <s v="Frais de poursuite"/>
    <n v="0"/>
    <n v="2.89"/>
    <n v="4184"/>
  </r>
  <r>
    <x v="0"/>
    <x v="6"/>
    <x v="5"/>
    <x v="120"/>
    <x v="105"/>
    <x v="105"/>
    <s v="CHARGES"/>
    <x v="0"/>
    <s v="3212.002"/>
    <s v="Intérêts bonifiés/trop perçu acompte C/C"/>
    <n v="-2.5"/>
    <n v="0"/>
    <n v="3212"/>
  </r>
  <r>
    <x v="0"/>
    <x v="6"/>
    <x v="5"/>
    <x v="120"/>
    <x v="105"/>
    <x v="105"/>
    <s v="CHARGES"/>
    <x v="0"/>
    <s v="3212.004"/>
    <s v="Intérêts rémun./perçu trop tôt sur acomptes C/C"/>
    <n v="-4.74"/>
    <n v="0"/>
    <n v="3212"/>
  </r>
  <r>
    <x v="0"/>
    <x v="6"/>
    <x v="5"/>
    <x v="120"/>
    <x v="105"/>
    <x v="105"/>
    <s v="CHARGES"/>
    <x v="0"/>
    <s v="3221.002"/>
    <s v="Intérêts compensatoires / créances en faveur ctb."/>
    <n v="-2.08"/>
    <n v="0"/>
    <n v="3221"/>
  </r>
  <r>
    <x v="0"/>
    <x v="6"/>
    <x v="5"/>
    <x v="120"/>
    <x v="105"/>
    <x v="105"/>
    <s v="CHARGES"/>
    <x v="1"/>
    <s v="3301.001"/>
    <s v="Défalcations, abandons de solde PP et IS"/>
    <n v="-18.12"/>
    <n v="0"/>
    <n v="3301"/>
  </r>
  <r>
    <x v="0"/>
    <x v="6"/>
    <x v="5"/>
    <x v="120"/>
    <x v="105"/>
    <x v="105"/>
    <s v="CHARGES"/>
    <x v="1"/>
    <s v="3301.001"/>
    <s v="Défalcations, abandons de solde PP et IS"/>
    <n v="3247.6"/>
    <n v="0"/>
    <n v="3301"/>
  </r>
  <r>
    <x v="0"/>
    <x v="6"/>
    <x v="5"/>
    <x v="120"/>
    <x v="105"/>
    <x v="105"/>
    <s v="REVENUS"/>
    <x v="8"/>
    <s v="4091.001"/>
    <s v="Impôt récupéré après défalcations"/>
    <n v="0"/>
    <n v="-178"/>
    <n v="4091"/>
  </r>
  <r>
    <x v="0"/>
    <x v="6"/>
    <x v="5"/>
    <x v="120"/>
    <x v="105"/>
    <x v="105"/>
    <s v="REVENUS"/>
    <x v="3"/>
    <s v="4002.002"/>
    <s v="Impôt complémentaire s/fortune PP"/>
    <n v="0"/>
    <n v="772.15"/>
    <n v="4002"/>
  </r>
  <r>
    <x v="0"/>
    <x v="6"/>
    <x v="5"/>
    <x v="120"/>
    <x v="105"/>
    <x v="105"/>
    <s v="REVENUS"/>
    <x v="6"/>
    <s v="4211.001"/>
    <s v="Intérêts de retard sur factures"/>
    <n v="0"/>
    <n v="260.67"/>
    <n v="4211"/>
  </r>
  <r>
    <x v="0"/>
    <x v="6"/>
    <x v="5"/>
    <x v="120"/>
    <x v="105"/>
    <x v="105"/>
    <s v="REVENUS"/>
    <x v="2"/>
    <s v="4001.002"/>
    <s v="Impôt complément s/revenu PP"/>
    <n v="0"/>
    <n v="13829.75"/>
    <n v="4001"/>
  </r>
  <r>
    <x v="0"/>
    <x v="6"/>
    <x v="5"/>
    <x v="120"/>
    <x v="105"/>
    <x v="105"/>
    <s v="REVENUS"/>
    <x v="2"/>
    <s v="4001.001"/>
    <s v="Impôt revenu"/>
    <n v="0"/>
    <n v="-13440.95"/>
    <n v="4001"/>
  </r>
  <r>
    <x v="0"/>
    <x v="6"/>
    <x v="5"/>
    <x v="120"/>
    <x v="105"/>
    <x v="105"/>
    <s v="REVENUS"/>
    <x v="3"/>
    <s v="4002.001"/>
    <s v="Impôt ordinaire s/fortune PP"/>
    <n v="0"/>
    <n v="-231.2"/>
    <n v="4002"/>
  </r>
  <r>
    <x v="0"/>
    <x v="6"/>
    <x v="5"/>
    <x v="120"/>
    <x v="105"/>
    <x v="105"/>
    <s v="REVENUS"/>
    <x v="7"/>
    <s v="4184.000"/>
    <s v="Frais de poursuite"/>
    <n v="0"/>
    <n v="11.69"/>
    <n v="4184"/>
  </r>
  <r>
    <x v="0"/>
    <x v="6"/>
    <x v="5"/>
    <x v="120"/>
    <x v="105"/>
    <x v="105"/>
    <s v="REVENUS"/>
    <x v="6"/>
    <s v="4221.003"/>
    <s v="Intérêts compensat. / acomptes en faveur du fisc"/>
    <n v="0"/>
    <n v="0.52"/>
    <n v="4221"/>
  </r>
  <r>
    <x v="0"/>
    <x v="6"/>
    <x v="5"/>
    <x v="121"/>
    <x v="105"/>
    <x v="105"/>
    <s v="CHARGES"/>
    <x v="0"/>
    <s v="3212.004"/>
    <s v="Intérêts rémun./perçu trop tôt sur acomptes C/C"/>
    <n v="478.6"/>
    <n v="0"/>
    <n v="3212"/>
  </r>
  <r>
    <x v="0"/>
    <x v="6"/>
    <x v="5"/>
    <x v="121"/>
    <x v="105"/>
    <x v="105"/>
    <s v="CHARGES"/>
    <x v="0"/>
    <s v="3221.002"/>
    <s v="Intérêts compensatoires / créances en faveur ctb."/>
    <n v="356.77"/>
    <n v="0"/>
    <n v="3221"/>
  </r>
  <r>
    <x v="0"/>
    <x v="6"/>
    <x v="5"/>
    <x v="121"/>
    <x v="105"/>
    <x v="105"/>
    <s v="CHARGES"/>
    <x v="1"/>
    <s v="3301.001"/>
    <s v="Défalcations, abandons de solde PP et IS"/>
    <n v="16567.04"/>
    <n v="0"/>
    <n v="3301"/>
  </r>
  <r>
    <x v="0"/>
    <x v="6"/>
    <x v="5"/>
    <x v="121"/>
    <x v="105"/>
    <x v="105"/>
    <s v="CHARGES"/>
    <x v="0"/>
    <s v="3212.002"/>
    <s v="Intérêts bonifiés/trop perçu acompte C/C"/>
    <n v="0.01"/>
    <n v="0"/>
    <n v="3212"/>
  </r>
  <r>
    <x v="0"/>
    <x v="6"/>
    <x v="5"/>
    <x v="121"/>
    <x v="105"/>
    <x v="105"/>
    <s v="CHARGES"/>
    <x v="1"/>
    <s v="3301.001"/>
    <s v="Défalcations, abandons de solde PP et IS"/>
    <n v="0.1"/>
    <n v="0"/>
    <n v="3301"/>
  </r>
  <r>
    <x v="0"/>
    <x v="6"/>
    <x v="5"/>
    <x v="121"/>
    <x v="105"/>
    <x v="105"/>
    <s v="CHARGES"/>
    <x v="0"/>
    <s v="3212.002"/>
    <s v="Intérêts bonifiés/trop perçu acompte C/C"/>
    <n v="0.93"/>
    <n v="0"/>
    <n v="3212"/>
  </r>
  <r>
    <x v="0"/>
    <x v="6"/>
    <x v="5"/>
    <x v="121"/>
    <x v="105"/>
    <x v="105"/>
    <s v="CHARGES"/>
    <x v="1"/>
    <s v="3301.001"/>
    <s v="Défalcations, abandons de solde PP et IS"/>
    <n v="0.97"/>
    <n v="0"/>
    <n v="3301"/>
  </r>
  <r>
    <x v="0"/>
    <x v="6"/>
    <x v="5"/>
    <x v="121"/>
    <x v="105"/>
    <x v="105"/>
    <s v="CHARGES"/>
    <x v="0"/>
    <s v="3212.004"/>
    <s v="Intérêts rémun./perçu trop tôt sur acomptes C/C"/>
    <n v="7.0000000000000007E-2"/>
    <n v="0"/>
    <n v="3212"/>
  </r>
  <r>
    <x v="0"/>
    <x v="6"/>
    <x v="5"/>
    <x v="121"/>
    <x v="105"/>
    <x v="105"/>
    <s v="CHARGES"/>
    <x v="0"/>
    <s v="3221.002"/>
    <s v="Intérêts compensatoires / créances en faveur ctb."/>
    <n v="0.01"/>
    <n v="0"/>
    <n v="3221"/>
  </r>
  <r>
    <x v="0"/>
    <x v="6"/>
    <x v="5"/>
    <x v="121"/>
    <x v="105"/>
    <x v="105"/>
    <s v="CHARGES"/>
    <x v="0"/>
    <s v="3212.004"/>
    <s v="Intérêts rémun./perçu trop tôt sur acomptes C/C"/>
    <n v="1.43"/>
    <n v="0"/>
    <n v="3212"/>
  </r>
  <r>
    <x v="0"/>
    <x v="6"/>
    <x v="5"/>
    <x v="121"/>
    <x v="105"/>
    <x v="105"/>
    <s v="CHARGES"/>
    <x v="0"/>
    <s v="3212.004"/>
    <s v="Intérêts rémun./perçu trop tôt sur acomptes C/C"/>
    <n v="0.26"/>
    <n v="0"/>
    <n v="3212"/>
  </r>
  <r>
    <x v="0"/>
    <x v="6"/>
    <x v="5"/>
    <x v="121"/>
    <x v="105"/>
    <x v="105"/>
    <s v="CHARGES"/>
    <x v="0"/>
    <s v="3221.002"/>
    <s v="Intérêts compensatoires / créances en faveur ctb."/>
    <n v="0.21"/>
    <n v="0"/>
    <n v="3221"/>
  </r>
  <r>
    <x v="0"/>
    <x v="6"/>
    <x v="5"/>
    <x v="121"/>
    <x v="105"/>
    <x v="105"/>
    <s v="CHARGES"/>
    <x v="1"/>
    <s v="3301.001"/>
    <s v="Défalcations, abandons de solde PP et IS"/>
    <n v="0.69"/>
    <n v="0"/>
    <n v="3301"/>
  </r>
  <r>
    <x v="0"/>
    <x v="6"/>
    <x v="5"/>
    <x v="121"/>
    <x v="105"/>
    <x v="105"/>
    <s v="REVENUS"/>
    <x v="2"/>
    <s v="4001.007"/>
    <s v="Acompte impôt sur revenu"/>
    <n v="0"/>
    <n v="-395099.17"/>
    <n v="4001"/>
  </r>
  <r>
    <x v="0"/>
    <x v="6"/>
    <x v="5"/>
    <x v="121"/>
    <x v="105"/>
    <x v="105"/>
    <s v="REVENUS"/>
    <x v="3"/>
    <s v="4002.001"/>
    <s v="Impôt ordinaire s/fortune PP"/>
    <n v="0"/>
    <n v="172054.1"/>
    <n v="4002"/>
  </r>
  <r>
    <x v="0"/>
    <x v="6"/>
    <x v="5"/>
    <x v="121"/>
    <x v="105"/>
    <x v="105"/>
    <s v="REVENUS"/>
    <x v="3"/>
    <s v="4002.007"/>
    <s v="Acompte impôt sur fortune"/>
    <n v="0"/>
    <n v="-47658.8"/>
    <n v="4002"/>
  </r>
  <r>
    <x v="0"/>
    <x v="6"/>
    <x v="5"/>
    <x v="121"/>
    <x v="105"/>
    <x v="105"/>
    <s v="REVENUS"/>
    <x v="2"/>
    <s v="4001.001"/>
    <s v="Impôt revenu"/>
    <n v="0"/>
    <n v="1419618.85"/>
    <n v="4001"/>
  </r>
  <r>
    <x v="0"/>
    <x v="6"/>
    <x v="5"/>
    <x v="121"/>
    <x v="105"/>
    <x v="105"/>
    <s v="REVENUS"/>
    <x v="6"/>
    <s v="4211.002"/>
    <s v="Intérêts de retard sur acomptes"/>
    <n v="0"/>
    <n v="10003.61"/>
    <n v="4211"/>
  </r>
  <r>
    <x v="0"/>
    <x v="6"/>
    <x v="5"/>
    <x v="121"/>
    <x v="105"/>
    <x v="105"/>
    <s v="REVENUS"/>
    <x v="6"/>
    <s v="4221.003"/>
    <s v="Intérêts compensat. / acomptes en faveur du fisc"/>
    <n v="0"/>
    <n v="193.19"/>
    <n v="4221"/>
  </r>
  <r>
    <x v="0"/>
    <x v="6"/>
    <x v="5"/>
    <x v="121"/>
    <x v="105"/>
    <x v="105"/>
    <s v="REVENUS"/>
    <x v="4"/>
    <s v="4051.001"/>
    <s v="Impôt sur les successions"/>
    <n v="0"/>
    <n v="21402.799999999999"/>
    <n v="4051"/>
  </r>
  <r>
    <x v="0"/>
    <x v="6"/>
    <x v="5"/>
    <x v="121"/>
    <x v="105"/>
    <x v="105"/>
    <s v="REVENUS"/>
    <x v="6"/>
    <s v="4221.002"/>
    <s v="Intérêts compensat. sur impôts distincts"/>
    <n v="0"/>
    <n v="17.350000000000001"/>
    <n v="4221"/>
  </r>
  <r>
    <x v="0"/>
    <x v="6"/>
    <x v="5"/>
    <x v="121"/>
    <x v="105"/>
    <x v="105"/>
    <s v="REVENUS"/>
    <x v="2"/>
    <s v="4001.001"/>
    <s v="Impôt revenu"/>
    <n v="0"/>
    <n v="1208.9000000000001"/>
    <n v="4001"/>
  </r>
  <r>
    <x v="0"/>
    <x v="6"/>
    <x v="5"/>
    <x v="121"/>
    <x v="105"/>
    <x v="105"/>
    <s v="REVENUS"/>
    <x v="3"/>
    <s v="4002.001"/>
    <s v="Impôt ordinaire s/fortune PP"/>
    <n v="0"/>
    <n v="2744.35"/>
    <n v="4002"/>
  </r>
  <r>
    <x v="0"/>
    <x v="6"/>
    <x v="5"/>
    <x v="121"/>
    <x v="105"/>
    <x v="105"/>
    <s v="REVENUS"/>
    <x v="2"/>
    <s v="4001.002"/>
    <s v="Impôt complément s/revenu PP"/>
    <n v="0"/>
    <n v="152557"/>
    <n v="4001"/>
  </r>
  <r>
    <x v="0"/>
    <x v="6"/>
    <x v="5"/>
    <x v="121"/>
    <x v="105"/>
    <x v="105"/>
    <s v="REVENUS"/>
    <x v="3"/>
    <s v="4002.002"/>
    <s v="Impôt complémentaire s/fortune PP"/>
    <n v="0"/>
    <n v="10481.85"/>
    <n v="4002"/>
  </r>
  <r>
    <x v="0"/>
    <x v="6"/>
    <x v="5"/>
    <x v="121"/>
    <x v="105"/>
    <x v="105"/>
    <s v="REVENUS"/>
    <x v="6"/>
    <s v="4211.001"/>
    <s v="Intérêts de retard sur factures"/>
    <n v="0"/>
    <n v="2337.67"/>
    <n v="4211"/>
  </r>
  <r>
    <x v="0"/>
    <x v="6"/>
    <x v="5"/>
    <x v="121"/>
    <x v="105"/>
    <x v="105"/>
    <s v="REVENUS"/>
    <x v="7"/>
    <s v="4184.000"/>
    <s v="Frais de poursuite"/>
    <n v="0"/>
    <n v="1585.37"/>
    <n v="4184"/>
  </r>
  <r>
    <x v="0"/>
    <x v="6"/>
    <x v="5"/>
    <x v="121"/>
    <x v="105"/>
    <x v="105"/>
    <s v="REVENUS"/>
    <x v="2"/>
    <s v="4001.002"/>
    <s v="Impôt complément s/revenu PP"/>
    <n v="0"/>
    <n v="341.95"/>
    <n v="4001"/>
  </r>
  <r>
    <x v="0"/>
    <x v="6"/>
    <x v="5"/>
    <x v="121"/>
    <x v="105"/>
    <x v="105"/>
    <s v="REVENUS"/>
    <x v="2"/>
    <s v="4001.007"/>
    <s v="Acompte impôt sur revenu"/>
    <n v="0"/>
    <n v="1217.8499999999999"/>
    <n v="4001"/>
  </r>
  <r>
    <x v="0"/>
    <x v="6"/>
    <x v="5"/>
    <x v="121"/>
    <x v="105"/>
    <x v="105"/>
    <s v="REVENUS"/>
    <x v="3"/>
    <s v="4002.007"/>
    <s v="Acompte impôt sur fortune"/>
    <n v="0"/>
    <n v="876.45"/>
    <n v="4002"/>
  </r>
  <r>
    <x v="0"/>
    <x v="6"/>
    <x v="5"/>
    <x v="121"/>
    <x v="105"/>
    <x v="105"/>
    <s v="REVENUS"/>
    <x v="6"/>
    <s v="4211.002"/>
    <s v="Intérêts de retard sur acomptes"/>
    <n v="0"/>
    <n v="1.75"/>
    <n v="4211"/>
  </r>
  <r>
    <x v="0"/>
    <x v="6"/>
    <x v="5"/>
    <x v="121"/>
    <x v="105"/>
    <x v="105"/>
    <s v="REVENUS"/>
    <x v="6"/>
    <s v="4221.003"/>
    <s v="Intérêts compensat. / acomptes en faveur du fisc"/>
    <n v="0"/>
    <n v="0.1"/>
    <n v="4221"/>
  </r>
  <r>
    <x v="0"/>
    <x v="6"/>
    <x v="5"/>
    <x v="121"/>
    <x v="105"/>
    <x v="105"/>
    <s v="REVENUS"/>
    <x v="3"/>
    <s v="4002.002"/>
    <s v="Impôt complémentaire s/fortune PP"/>
    <n v="0"/>
    <n v="59.55"/>
    <n v="4002"/>
  </r>
  <r>
    <x v="0"/>
    <x v="6"/>
    <x v="5"/>
    <x v="121"/>
    <x v="105"/>
    <x v="105"/>
    <s v="REVENUS"/>
    <x v="3"/>
    <s v="4002.001"/>
    <s v="Impôt ordinaire s/fortune PP"/>
    <n v="0"/>
    <n v="703.5"/>
    <n v="4002"/>
  </r>
  <r>
    <x v="0"/>
    <x v="6"/>
    <x v="5"/>
    <x v="121"/>
    <x v="105"/>
    <x v="105"/>
    <s v="REVENUS"/>
    <x v="3"/>
    <s v="4002.007"/>
    <s v="Acompte impôt sur fortune"/>
    <n v="0"/>
    <n v="482.5"/>
    <n v="4002"/>
  </r>
  <r>
    <x v="0"/>
    <x v="6"/>
    <x v="5"/>
    <x v="121"/>
    <x v="105"/>
    <x v="105"/>
    <s v="REVENUS"/>
    <x v="2"/>
    <s v="4001.007"/>
    <s v="Acompte impôt sur revenu"/>
    <n v="0"/>
    <n v="781.8"/>
    <n v="4001"/>
  </r>
  <r>
    <x v="0"/>
    <x v="6"/>
    <x v="5"/>
    <x v="121"/>
    <x v="105"/>
    <x v="105"/>
    <s v="REVENUS"/>
    <x v="3"/>
    <s v="4002.007"/>
    <s v="Acompte impôt sur fortune"/>
    <n v="0"/>
    <n v="108.45"/>
    <n v="4002"/>
  </r>
  <r>
    <x v="0"/>
    <x v="6"/>
    <x v="5"/>
    <x v="121"/>
    <x v="105"/>
    <x v="105"/>
    <s v="REVENUS"/>
    <x v="3"/>
    <s v="4002.007"/>
    <s v="Acompte impôt sur fortune"/>
    <n v="0"/>
    <n v="149.19999999999999"/>
    <n v="4002"/>
  </r>
  <r>
    <x v="0"/>
    <x v="6"/>
    <x v="5"/>
    <x v="121"/>
    <x v="105"/>
    <x v="105"/>
    <s v="REVENUS"/>
    <x v="2"/>
    <s v="4001.007"/>
    <s v="Acompte impôt sur revenu"/>
    <n v="0"/>
    <n v="614.75"/>
    <n v="4001"/>
  </r>
  <r>
    <x v="0"/>
    <x v="6"/>
    <x v="5"/>
    <x v="121"/>
    <x v="105"/>
    <x v="105"/>
    <s v="REVENUS"/>
    <x v="2"/>
    <s v="4001.001"/>
    <s v="Impôt revenu"/>
    <n v="0"/>
    <n v="-4528.55"/>
    <n v="4001"/>
  </r>
  <r>
    <x v="0"/>
    <x v="6"/>
    <x v="5"/>
    <x v="121"/>
    <x v="105"/>
    <x v="105"/>
    <s v="REVENUS"/>
    <x v="3"/>
    <s v="4002.001"/>
    <s v="Impôt ordinaire s/fortune PP"/>
    <n v="0"/>
    <n v="-24.15"/>
    <n v="4002"/>
  </r>
  <r>
    <x v="0"/>
    <x v="6"/>
    <x v="5"/>
    <x v="121"/>
    <x v="105"/>
    <x v="105"/>
    <s v="REVENUS"/>
    <x v="2"/>
    <s v="4001.007"/>
    <s v="Acompte impôt sur revenu"/>
    <n v="0"/>
    <n v="560.1"/>
    <n v="4001"/>
  </r>
  <r>
    <x v="0"/>
    <x v="6"/>
    <x v="5"/>
    <x v="121"/>
    <x v="105"/>
    <x v="105"/>
    <s v="REVENUS"/>
    <x v="2"/>
    <s v="4001.003"/>
    <s v="Impôt s/prest. cap. PP"/>
    <n v="0"/>
    <n v="34816.699999999997"/>
    <n v="4001"/>
  </r>
  <r>
    <x v="0"/>
    <x v="6"/>
    <x v="5"/>
    <x v="121"/>
    <x v="105"/>
    <x v="105"/>
    <s v="REVENUS"/>
    <x v="10"/>
    <s v="4041.001"/>
    <s v="Droits de mutation"/>
    <n v="0"/>
    <n v="69951.850000000006"/>
    <n v="4041"/>
  </r>
  <r>
    <x v="0"/>
    <x v="6"/>
    <x v="5"/>
    <x v="121"/>
    <x v="105"/>
    <x v="105"/>
    <s v="REVENUS"/>
    <x v="9"/>
    <s v="4031.001"/>
    <s v="Impôt sur les gains immobiliers"/>
    <n v="0"/>
    <n v="32604.15"/>
    <n v="4031"/>
  </r>
  <r>
    <x v="0"/>
    <x v="6"/>
    <x v="5"/>
    <x v="121"/>
    <x v="105"/>
    <x v="105"/>
    <s v="REVENUS"/>
    <x v="2"/>
    <s v="4001.001"/>
    <s v="Impôt revenu"/>
    <n v="0"/>
    <n v="1361.55"/>
    <n v="4001"/>
  </r>
  <r>
    <x v="0"/>
    <x v="6"/>
    <x v="5"/>
    <x v="121"/>
    <x v="105"/>
    <x v="105"/>
    <s v="REVENUS"/>
    <x v="6"/>
    <s v="4221.003"/>
    <s v="Intérêts compensat. / acomptes en faveur du fisc"/>
    <n v="0"/>
    <n v="0.03"/>
    <n v="4221"/>
  </r>
  <r>
    <x v="0"/>
    <x v="6"/>
    <x v="5"/>
    <x v="121"/>
    <x v="105"/>
    <x v="105"/>
    <s v="REVENUS"/>
    <x v="3"/>
    <s v="4002.001"/>
    <s v="Impôt ordinaire s/fortune PP"/>
    <n v="0"/>
    <n v="642.85"/>
    <n v="4002"/>
  </r>
  <r>
    <x v="0"/>
    <x v="6"/>
    <x v="5"/>
    <x v="121"/>
    <x v="105"/>
    <x v="105"/>
    <s v="REVENUS"/>
    <x v="6"/>
    <s v="4211.002"/>
    <s v="Intérêts de retard sur acomptes"/>
    <n v="0"/>
    <n v="0.52"/>
    <n v="4211"/>
  </r>
  <r>
    <x v="0"/>
    <x v="6"/>
    <x v="5"/>
    <x v="121"/>
    <x v="105"/>
    <x v="105"/>
    <s v="REVENUS"/>
    <x v="3"/>
    <s v="4002.001"/>
    <s v="Impôt ordinaire s/fortune PP"/>
    <n v="0"/>
    <n v="1134.45"/>
    <n v="4002"/>
  </r>
  <r>
    <x v="0"/>
    <x v="6"/>
    <x v="5"/>
    <x v="121"/>
    <x v="105"/>
    <x v="105"/>
    <s v="REVENUS"/>
    <x v="6"/>
    <s v="4211.002"/>
    <s v="Intérêts de retard sur acomptes"/>
    <n v="0"/>
    <n v="5.08"/>
    <n v="4211"/>
  </r>
  <r>
    <x v="0"/>
    <x v="6"/>
    <x v="5"/>
    <x v="121"/>
    <x v="105"/>
    <x v="105"/>
    <s v="REVENUS"/>
    <x v="5"/>
    <s v="4061.000"/>
    <s v="Impôt sur les chiens"/>
    <n v="0"/>
    <n v="7400"/>
    <n v="4061"/>
  </r>
  <r>
    <x v="0"/>
    <x v="6"/>
    <x v="5"/>
    <x v="121"/>
    <x v="105"/>
    <x v="105"/>
    <s v="REVENUS"/>
    <x v="6"/>
    <s v="4211.001"/>
    <s v="Intérêts de retard sur factures"/>
    <n v="0"/>
    <n v="0.94"/>
    <n v="4211"/>
  </r>
  <r>
    <x v="0"/>
    <x v="6"/>
    <x v="5"/>
    <x v="121"/>
    <x v="105"/>
    <x v="105"/>
    <s v="REVENUS"/>
    <x v="3"/>
    <s v="4002.007"/>
    <s v="Acompte impôt sur fortune"/>
    <n v="0"/>
    <n v="-1381.95"/>
    <n v="4002"/>
  </r>
  <r>
    <x v="0"/>
    <x v="6"/>
    <x v="5"/>
    <x v="121"/>
    <x v="105"/>
    <x v="105"/>
    <s v="REVENUS"/>
    <x v="2"/>
    <s v="4001.007"/>
    <s v="Acompte impôt sur revenu"/>
    <n v="0"/>
    <n v="-103.35"/>
    <n v="4001"/>
  </r>
  <r>
    <x v="0"/>
    <x v="6"/>
    <x v="5"/>
    <x v="121"/>
    <x v="105"/>
    <x v="105"/>
    <s v="REVENUS"/>
    <x v="3"/>
    <s v="4002.007"/>
    <s v="Acompte impôt sur fortune"/>
    <n v="0"/>
    <n v="-92.4"/>
    <n v="4002"/>
  </r>
  <r>
    <x v="0"/>
    <x v="6"/>
    <x v="5"/>
    <x v="121"/>
    <x v="105"/>
    <x v="105"/>
    <s v="REVENUS"/>
    <x v="6"/>
    <s v="4211.001"/>
    <s v="Intérêts de retard sur factures"/>
    <n v="0"/>
    <n v="0.13"/>
    <n v="4211"/>
  </r>
  <r>
    <x v="0"/>
    <x v="6"/>
    <x v="5"/>
    <x v="121"/>
    <x v="105"/>
    <x v="105"/>
    <s v="REVENUS"/>
    <x v="3"/>
    <s v="4002.007"/>
    <s v="Acompte impôt sur fortune"/>
    <n v="0"/>
    <n v="-73.599999999999994"/>
    <n v="4002"/>
  </r>
  <r>
    <x v="0"/>
    <x v="6"/>
    <x v="5"/>
    <x v="121"/>
    <x v="105"/>
    <x v="105"/>
    <s v="REVENUS"/>
    <x v="2"/>
    <s v="4001.007"/>
    <s v="Acompte impôt sur revenu"/>
    <n v="0"/>
    <n v="-11763.95"/>
    <n v="4001"/>
  </r>
  <r>
    <x v="0"/>
    <x v="6"/>
    <x v="5"/>
    <x v="121"/>
    <x v="105"/>
    <x v="105"/>
    <s v="REVENUS"/>
    <x v="2"/>
    <s v="4001.001"/>
    <s v="Impôt revenu"/>
    <n v="0"/>
    <n v="150.05000000000001"/>
    <n v="4001"/>
  </r>
  <r>
    <x v="0"/>
    <x v="6"/>
    <x v="5"/>
    <x v="121"/>
    <x v="105"/>
    <x v="105"/>
    <s v="REVENUS"/>
    <x v="6"/>
    <s v="4221.003"/>
    <s v="Intérêts compensat. / acomptes en faveur du fisc"/>
    <n v="0"/>
    <n v="0.71"/>
    <n v="4221"/>
  </r>
  <r>
    <x v="0"/>
    <x v="6"/>
    <x v="5"/>
    <x v="121"/>
    <x v="105"/>
    <x v="105"/>
    <s v="REVENUS"/>
    <x v="2"/>
    <s v="4001.001"/>
    <s v="Impôt revenu"/>
    <n v="0"/>
    <n v="4484.55"/>
    <n v="4001"/>
  </r>
  <r>
    <x v="0"/>
    <x v="6"/>
    <x v="5"/>
    <x v="121"/>
    <x v="105"/>
    <x v="105"/>
    <s v="REVENUS"/>
    <x v="6"/>
    <s v="4221.003"/>
    <s v="Intérêts compensat. / acomptes en faveur du fisc"/>
    <n v="0"/>
    <n v="0.69"/>
    <n v="4221"/>
  </r>
  <r>
    <x v="0"/>
    <x v="7"/>
    <x v="6"/>
    <x v="122"/>
    <x v="107"/>
    <x v="107"/>
    <s v="CHARGES"/>
    <x v="0"/>
    <s v="3212.002"/>
    <s v="Intérêts bonifiés/trop perçu acompte C/C"/>
    <n v="-317.91000000000003"/>
    <n v="0"/>
    <n v="3212"/>
  </r>
  <r>
    <x v="0"/>
    <x v="7"/>
    <x v="6"/>
    <x v="122"/>
    <x v="107"/>
    <x v="107"/>
    <s v="CHARGES"/>
    <x v="0"/>
    <s v="3212.004"/>
    <s v="Intérêts rémun./perçu trop tôt sur acomptes C/C"/>
    <n v="1975.1"/>
    <n v="0"/>
    <n v="3212"/>
  </r>
  <r>
    <x v="0"/>
    <x v="7"/>
    <x v="6"/>
    <x v="122"/>
    <x v="107"/>
    <x v="107"/>
    <s v="CHARGES"/>
    <x v="0"/>
    <s v="3221.002"/>
    <s v="Intérêts compensatoires / créances en faveur ctb."/>
    <n v="1143.55"/>
    <n v="0"/>
    <n v="3221"/>
  </r>
  <r>
    <x v="0"/>
    <x v="7"/>
    <x v="6"/>
    <x v="122"/>
    <x v="107"/>
    <x v="107"/>
    <s v="CHARGES"/>
    <x v="1"/>
    <s v="3301.001"/>
    <s v="Défalcations, abandons de solde PP et IS"/>
    <n v="112144.44"/>
    <n v="0"/>
    <n v="3301"/>
  </r>
  <r>
    <x v="0"/>
    <x v="7"/>
    <x v="6"/>
    <x v="122"/>
    <x v="107"/>
    <x v="107"/>
    <s v="CHARGES"/>
    <x v="0"/>
    <s v="3212.004"/>
    <s v="Intérêts rémun./perçu trop tôt sur acomptes C/C"/>
    <n v="25.1"/>
    <n v="0"/>
    <n v="3212"/>
  </r>
  <r>
    <x v="0"/>
    <x v="7"/>
    <x v="6"/>
    <x v="122"/>
    <x v="107"/>
    <x v="107"/>
    <s v="CHARGES"/>
    <x v="0"/>
    <s v="3221.002"/>
    <s v="Intérêts compensatoires / créances en faveur ctb."/>
    <n v="9.59"/>
    <n v="0"/>
    <n v="3221"/>
  </r>
  <r>
    <x v="0"/>
    <x v="7"/>
    <x v="6"/>
    <x v="122"/>
    <x v="107"/>
    <x v="107"/>
    <s v="CHARGES"/>
    <x v="0"/>
    <s v="3212.002"/>
    <s v="Intérêts bonifiés/trop perçu acompte C/C"/>
    <n v="-3.98"/>
    <n v="0"/>
    <n v="3212"/>
  </r>
  <r>
    <x v="0"/>
    <x v="7"/>
    <x v="6"/>
    <x v="122"/>
    <x v="107"/>
    <x v="107"/>
    <s v="CHARGES"/>
    <x v="0"/>
    <s v="3212.004"/>
    <s v="Intérêts rémun./perçu trop tôt sur acomptes C/C"/>
    <n v="21.26"/>
    <n v="0"/>
    <n v="3212"/>
  </r>
  <r>
    <x v="0"/>
    <x v="7"/>
    <x v="6"/>
    <x v="122"/>
    <x v="107"/>
    <x v="107"/>
    <s v="CHARGES"/>
    <x v="1"/>
    <s v="3301.001"/>
    <s v="Défalcations, abandons de solde PP et IS"/>
    <n v="-16.45"/>
    <n v="0"/>
    <n v="3301"/>
  </r>
  <r>
    <x v="0"/>
    <x v="7"/>
    <x v="6"/>
    <x v="122"/>
    <x v="107"/>
    <x v="107"/>
    <s v="CHARGES"/>
    <x v="1"/>
    <s v="3301.001"/>
    <s v="Défalcations, abandons de solde PP et IS"/>
    <n v="1.45"/>
    <n v="0"/>
    <n v="3301"/>
  </r>
  <r>
    <x v="0"/>
    <x v="7"/>
    <x v="6"/>
    <x v="122"/>
    <x v="107"/>
    <x v="107"/>
    <s v="CHARGES"/>
    <x v="0"/>
    <s v="3221.002"/>
    <s v="Intérêts compensatoires / créances en faveur ctb."/>
    <n v="13.78"/>
    <n v="0"/>
    <n v="3221"/>
  </r>
  <r>
    <x v="0"/>
    <x v="7"/>
    <x v="6"/>
    <x v="122"/>
    <x v="107"/>
    <x v="107"/>
    <s v="CHARGES"/>
    <x v="0"/>
    <s v="3212.004"/>
    <s v="Intérêts rémun./perçu trop tôt sur acomptes C/C"/>
    <n v="-108.16"/>
    <n v="0"/>
    <n v="3212"/>
  </r>
  <r>
    <x v="0"/>
    <x v="7"/>
    <x v="6"/>
    <x v="122"/>
    <x v="107"/>
    <x v="107"/>
    <s v="CHARGES"/>
    <x v="0"/>
    <s v="3212.002"/>
    <s v="Intérêts bonifiés/trop perçu acompte C/C"/>
    <n v="1.23"/>
    <n v="0"/>
    <n v="3212"/>
  </r>
  <r>
    <x v="0"/>
    <x v="7"/>
    <x v="6"/>
    <x v="122"/>
    <x v="107"/>
    <x v="107"/>
    <s v="CHARGES"/>
    <x v="1"/>
    <s v="3301.001"/>
    <s v="Défalcations, abandons de solde PP et IS"/>
    <n v="1876.57"/>
    <n v="0"/>
    <n v="3301"/>
  </r>
  <r>
    <x v="0"/>
    <x v="7"/>
    <x v="6"/>
    <x v="122"/>
    <x v="107"/>
    <x v="107"/>
    <s v="CHARGES"/>
    <x v="0"/>
    <s v="3212.004"/>
    <s v="Intérêts rémun./perçu trop tôt sur acomptes C/C"/>
    <n v="0.85"/>
    <n v="0"/>
    <n v="3212"/>
  </r>
  <r>
    <x v="0"/>
    <x v="7"/>
    <x v="6"/>
    <x v="122"/>
    <x v="107"/>
    <x v="107"/>
    <s v="CHARGES"/>
    <x v="0"/>
    <s v="3221.002"/>
    <s v="Intérêts compensatoires / créances en faveur ctb."/>
    <n v="0.67"/>
    <n v="0"/>
    <n v="3221"/>
  </r>
  <r>
    <x v="0"/>
    <x v="7"/>
    <x v="6"/>
    <x v="122"/>
    <x v="107"/>
    <x v="107"/>
    <s v="CHARGES"/>
    <x v="1"/>
    <s v="3301.001"/>
    <s v="Défalcations, abandons de solde PP et IS"/>
    <n v="1.24"/>
    <n v="0"/>
    <n v="3301"/>
  </r>
  <r>
    <x v="0"/>
    <x v="7"/>
    <x v="6"/>
    <x v="122"/>
    <x v="107"/>
    <x v="107"/>
    <s v="CHARGES"/>
    <x v="0"/>
    <s v="3221.002"/>
    <s v="Intérêts compensatoires / créances en faveur ctb."/>
    <n v="-14.99"/>
    <n v="0"/>
    <n v="3221"/>
  </r>
  <r>
    <x v="0"/>
    <x v="7"/>
    <x v="6"/>
    <x v="122"/>
    <x v="107"/>
    <x v="107"/>
    <s v="CHARGES"/>
    <x v="0"/>
    <s v="3212.004"/>
    <s v="Intérêts rémun./perçu trop tôt sur acomptes C/C"/>
    <n v="1.51"/>
    <n v="0"/>
    <n v="3212"/>
  </r>
  <r>
    <x v="0"/>
    <x v="7"/>
    <x v="6"/>
    <x v="122"/>
    <x v="107"/>
    <x v="107"/>
    <s v="CHARGES"/>
    <x v="0"/>
    <s v="3221.002"/>
    <s v="Intérêts compensatoires / créances en faveur ctb."/>
    <n v="0.77"/>
    <n v="0"/>
    <n v="3221"/>
  </r>
  <r>
    <x v="0"/>
    <x v="7"/>
    <x v="6"/>
    <x v="122"/>
    <x v="107"/>
    <x v="107"/>
    <s v="CHARGES"/>
    <x v="1"/>
    <s v="3301.001"/>
    <s v="Défalcations, abandons de solde PP et IS"/>
    <n v="9.5"/>
    <n v="0"/>
    <n v="3301"/>
  </r>
  <r>
    <x v="0"/>
    <x v="7"/>
    <x v="6"/>
    <x v="122"/>
    <x v="107"/>
    <x v="107"/>
    <s v="CHARGES"/>
    <x v="1"/>
    <s v="3301.001"/>
    <s v="Défalcations, abandons de solde PP et IS"/>
    <n v="0.45"/>
    <n v="0"/>
    <n v="3301"/>
  </r>
  <r>
    <x v="0"/>
    <x v="7"/>
    <x v="6"/>
    <x v="122"/>
    <x v="107"/>
    <x v="107"/>
    <s v="CHARGES"/>
    <x v="1"/>
    <s v="3301.003"/>
    <s v="Remises PP et IS"/>
    <n v="405.1"/>
    <n v="0"/>
    <n v="3301"/>
  </r>
  <r>
    <x v="0"/>
    <x v="7"/>
    <x v="6"/>
    <x v="122"/>
    <x v="107"/>
    <x v="107"/>
    <s v="CHARGES"/>
    <x v="1"/>
    <s v="3301.001"/>
    <s v="Défalcations, abandons de solde PP et IS"/>
    <n v="323.83"/>
    <n v="0"/>
    <n v="3301"/>
  </r>
  <r>
    <x v="0"/>
    <x v="7"/>
    <x v="6"/>
    <x v="122"/>
    <x v="107"/>
    <x v="107"/>
    <s v="CHARGES"/>
    <x v="0"/>
    <s v="3212.004"/>
    <s v="Intérêts rémun./perçu trop tôt sur acomptes C/C"/>
    <n v="0.35"/>
    <n v="0"/>
    <n v="3212"/>
  </r>
  <r>
    <x v="0"/>
    <x v="7"/>
    <x v="6"/>
    <x v="122"/>
    <x v="107"/>
    <x v="107"/>
    <s v="CHARGES"/>
    <x v="1"/>
    <s v="3301.001"/>
    <s v="Défalcations, abandons de solde PP et IS"/>
    <n v="0.56000000000000005"/>
    <n v="0"/>
    <n v="3301"/>
  </r>
  <r>
    <x v="0"/>
    <x v="7"/>
    <x v="6"/>
    <x v="122"/>
    <x v="107"/>
    <x v="107"/>
    <s v="CHARGES"/>
    <x v="0"/>
    <s v="3221.002"/>
    <s v="Intérêts compensatoires / créances en faveur ctb."/>
    <n v="0.02"/>
    <n v="0"/>
    <n v="3221"/>
  </r>
  <r>
    <x v="0"/>
    <x v="7"/>
    <x v="6"/>
    <x v="122"/>
    <x v="107"/>
    <x v="107"/>
    <s v="CHARGES"/>
    <x v="0"/>
    <s v="3212.002"/>
    <s v="Intérêts bonifiés/trop perçu acompte C/C"/>
    <n v="0.01"/>
    <n v="0"/>
    <n v="3212"/>
  </r>
  <r>
    <x v="0"/>
    <x v="7"/>
    <x v="6"/>
    <x v="122"/>
    <x v="107"/>
    <x v="107"/>
    <s v="REVENUS"/>
    <x v="2"/>
    <s v="4001.003"/>
    <s v="Impôt s/prest. cap. PP"/>
    <n v="0"/>
    <n v="358122.6"/>
    <n v="4001"/>
  </r>
  <r>
    <x v="0"/>
    <x v="7"/>
    <x v="6"/>
    <x v="122"/>
    <x v="107"/>
    <x v="107"/>
    <s v="REVENUS"/>
    <x v="2"/>
    <s v="4001.007"/>
    <s v="Acompte impôt sur revenu"/>
    <n v="0"/>
    <n v="-1074957.3899999999"/>
    <n v="4001"/>
  </r>
  <r>
    <x v="0"/>
    <x v="7"/>
    <x v="6"/>
    <x v="122"/>
    <x v="107"/>
    <x v="107"/>
    <s v="REVENUS"/>
    <x v="2"/>
    <s v="4001.001"/>
    <s v="Impôt revenu"/>
    <n v="0"/>
    <n v="10596373.75"/>
    <n v="4001"/>
  </r>
  <r>
    <x v="0"/>
    <x v="7"/>
    <x v="6"/>
    <x v="122"/>
    <x v="107"/>
    <x v="107"/>
    <s v="REVENUS"/>
    <x v="3"/>
    <s v="4002.001"/>
    <s v="Impôt ordinaire s/fortune PP"/>
    <n v="0"/>
    <n v="1322218.3500000001"/>
    <n v="4002"/>
  </r>
  <r>
    <x v="0"/>
    <x v="7"/>
    <x v="6"/>
    <x v="122"/>
    <x v="107"/>
    <x v="107"/>
    <s v="REVENUS"/>
    <x v="3"/>
    <s v="4002.007"/>
    <s v="Acompte impôt sur fortune"/>
    <n v="0"/>
    <n v="14544.75"/>
    <n v="4002"/>
  </r>
  <r>
    <x v="0"/>
    <x v="7"/>
    <x v="6"/>
    <x v="122"/>
    <x v="107"/>
    <x v="107"/>
    <s v="REVENUS"/>
    <x v="6"/>
    <s v="4211.001"/>
    <s v="Intérêts de retard sur factures"/>
    <n v="0"/>
    <n v="78514.240000000005"/>
    <n v="4211"/>
  </r>
  <r>
    <x v="0"/>
    <x v="7"/>
    <x v="6"/>
    <x v="122"/>
    <x v="107"/>
    <x v="107"/>
    <s v="REVENUS"/>
    <x v="6"/>
    <s v="4221.003"/>
    <s v="Intérêts compensat. / acomptes en faveur du fisc"/>
    <n v="0"/>
    <n v="3319.73"/>
    <n v="4221"/>
  </r>
  <r>
    <x v="0"/>
    <x v="7"/>
    <x v="6"/>
    <x v="122"/>
    <x v="107"/>
    <x v="107"/>
    <s v="REVENUS"/>
    <x v="2"/>
    <s v="4001.001"/>
    <s v="Impôt revenu"/>
    <n v="0"/>
    <n v="61814"/>
    <n v="4001"/>
  </r>
  <r>
    <x v="0"/>
    <x v="7"/>
    <x v="6"/>
    <x v="122"/>
    <x v="107"/>
    <x v="107"/>
    <s v="REVENUS"/>
    <x v="3"/>
    <s v="4002.001"/>
    <s v="Impôt ordinaire s/fortune PP"/>
    <n v="0"/>
    <n v="16870.55"/>
    <n v="4002"/>
  </r>
  <r>
    <x v="0"/>
    <x v="7"/>
    <x v="6"/>
    <x v="122"/>
    <x v="107"/>
    <x v="107"/>
    <s v="REVENUS"/>
    <x v="2"/>
    <s v="4001.002"/>
    <s v="Impôt complément s/revenu PP"/>
    <n v="0"/>
    <n v="2259003.9"/>
    <n v="4001"/>
  </r>
  <r>
    <x v="0"/>
    <x v="7"/>
    <x v="6"/>
    <x v="122"/>
    <x v="107"/>
    <x v="107"/>
    <s v="REVENUS"/>
    <x v="3"/>
    <s v="4002.002"/>
    <s v="Impôt complémentaire s/fortune PP"/>
    <n v="0"/>
    <n v="612024.35"/>
    <n v="4002"/>
  </r>
  <r>
    <x v="0"/>
    <x v="7"/>
    <x v="6"/>
    <x v="122"/>
    <x v="107"/>
    <x v="107"/>
    <s v="REVENUS"/>
    <x v="7"/>
    <s v="4184.000"/>
    <s v="Frais de poursuite"/>
    <n v="0"/>
    <n v="5327.15"/>
    <n v="4184"/>
  </r>
  <r>
    <x v="0"/>
    <x v="7"/>
    <x v="6"/>
    <x v="122"/>
    <x v="107"/>
    <x v="107"/>
    <s v="REVENUS"/>
    <x v="6"/>
    <s v="4211.002"/>
    <s v="Intérêts de retard sur acomptes"/>
    <n v="0"/>
    <n v="67066.89"/>
    <n v="4211"/>
  </r>
  <r>
    <x v="0"/>
    <x v="7"/>
    <x v="6"/>
    <x v="122"/>
    <x v="107"/>
    <x v="107"/>
    <s v="REVENUS"/>
    <x v="5"/>
    <s v="4061.000"/>
    <s v="Impôt sur les chiens"/>
    <n v="0"/>
    <n v="22000"/>
    <n v="4061"/>
  </r>
  <r>
    <x v="0"/>
    <x v="7"/>
    <x v="6"/>
    <x v="122"/>
    <x v="107"/>
    <x v="107"/>
    <s v="REVENUS"/>
    <x v="9"/>
    <s v="4031.001"/>
    <s v="Impôt sur les gains immobiliers"/>
    <n v="0"/>
    <n v="404928.55"/>
    <n v="4031"/>
  </r>
  <r>
    <x v="0"/>
    <x v="7"/>
    <x v="6"/>
    <x v="122"/>
    <x v="107"/>
    <x v="107"/>
    <s v="REVENUS"/>
    <x v="6"/>
    <s v="4221.002"/>
    <s v="Intérêts compensat. sur impôts distincts"/>
    <n v="0"/>
    <n v="143.53"/>
    <n v="4221"/>
  </r>
  <r>
    <x v="0"/>
    <x v="7"/>
    <x v="6"/>
    <x v="122"/>
    <x v="107"/>
    <x v="107"/>
    <s v="REVENUS"/>
    <x v="2"/>
    <s v="4001.001"/>
    <s v="Impôt revenu"/>
    <n v="0"/>
    <n v="-531272.05000000005"/>
    <n v="4001"/>
  </r>
  <r>
    <x v="0"/>
    <x v="7"/>
    <x v="6"/>
    <x v="122"/>
    <x v="107"/>
    <x v="107"/>
    <s v="REVENUS"/>
    <x v="2"/>
    <s v="4001.002"/>
    <s v="Impôt complément s/revenu PP"/>
    <n v="0"/>
    <n v="-34878.1"/>
    <n v="4001"/>
  </r>
  <r>
    <x v="0"/>
    <x v="7"/>
    <x v="6"/>
    <x v="122"/>
    <x v="107"/>
    <x v="107"/>
    <s v="REVENUS"/>
    <x v="3"/>
    <s v="4002.001"/>
    <s v="Impôt ordinaire s/fortune PP"/>
    <n v="0"/>
    <n v="-84396.1"/>
    <n v="4002"/>
  </r>
  <r>
    <x v="0"/>
    <x v="7"/>
    <x v="6"/>
    <x v="122"/>
    <x v="107"/>
    <x v="107"/>
    <s v="REVENUS"/>
    <x v="6"/>
    <s v="4221.003"/>
    <s v="Intérêts compensat. / acomptes en faveur du fisc"/>
    <n v="0"/>
    <n v="-17.79"/>
    <n v="4221"/>
  </r>
  <r>
    <x v="0"/>
    <x v="7"/>
    <x v="6"/>
    <x v="122"/>
    <x v="107"/>
    <x v="107"/>
    <s v="REVENUS"/>
    <x v="6"/>
    <s v="4211.001"/>
    <s v="Intérêts de retard sur factures"/>
    <n v="0"/>
    <n v="355.98"/>
    <n v="4211"/>
  </r>
  <r>
    <x v="0"/>
    <x v="7"/>
    <x v="6"/>
    <x v="122"/>
    <x v="107"/>
    <x v="107"/>
    <s v="REVENUS"/>
    <x v="2"/>
    <s v="4001.007"/>
    <s v="Acompte impôt sur revenu"/>
    <n v="0"/>
    <n v="3178.94"/>
    <n v="4001"/>
  </r>
  <r>
    <x v="0"/>
    <x v="7"/>
    <x v="6"/>
    <x v="122"/>
    <x v="107"/>
    <x v="107"/>
    <s v="REVENUS"/>
    <x v="3"/>
    <s v="4002.007"/>
    <s v="Acompte impôt sur fortune"/>
    <n v="0"/>
    <n v="2263.9699999999998"/>
    <n v="4002"/>
  </r>
  <r>
    <x v="0"/>
    <x v="7"/>
    <x v="6"/>
    <x v="122"/>
    <x v="107"/>
    <x v="107"/>
    <s v="REVENUS"/>
    <x v="10"/>
    <s v="4041.001"/>
    <s v="Droits de mutation"/>
    <n v="0"/>
    <n v="688331.35"/>
    <n v="4041"/>
  </r>
  <r>
    <x v="0"/>
    <x v="7"/>
    <x v="6"/>
    <x v="122"/>
    <x v="107"/>
    <x v="107"/>
    <s v="REVENUS"/>
    <x v="2"/>
    <s v="4001.001"/>
    <s v="Impôt revenu"/>
    <n v="0"/>
    <n v="-78935.05"/>
    <n v="4001"/>
  </r>
  <r>
    <x v="0"/>
    <x v="7"/>
    <x v="6"/>
    <x v="122"/>
    <x v="107"/>
    <x v="107"/>
    <s v="REVENUS"/>
    <x v="2"/>
    <s v="4001.002"/>
    <s v="Impôt complément s/revenu PP"/>
    <n v="0"/>
    <n v="4098.05"/>
    <n v="4001"/>
  </r>
  <r>
    <x v="0"/>
    <x v="7"/>
    <x v="6"/>
    <x v="122"/>
    <x v="107"/>
    <x v="107"/>
    <s v="REVENUS"/>
    <x v="3"/>
    <s v="4002.001"/>
    <s v="Impôt ordinaire s/fortune PP"/>
    <n v="0"/>
    <n v="10957.7"/>
    <n v="4002"/>
  </r>
  <r>
    <x v="0"/>
    <x v="7"/>
    <x v="6"/>
    <x v="122"/>
    <x v="107"/>
    <x v="107"/>
    <s v="REVENUS"/>
    <x v="3"/>
    <s v="4002.002"/>
    <s v="Impôt complémentaire s/fortune PP"/>
    <n v="0"/>
    <n v="1545.8"/>
    <n v="4002"/>
  </r>
  <r>
    <x v="0"/>
    <x v="7"/>
    <x v="6"/>
    <x v="122"/>
    <x v="107"/>
    <x v="107"/>
    <s v="REVENUS"/>
    <x v="4"/>
    <s v="4051.001"/>
    <s v="Impôt sur les successions"/>
    <n v="0"/>
    <n v="0"/>
    <n v="4051"/>
  </r>
  <r>
    <x v="0"/>
    <x v="7"/>
    <x v="6"/>
    <x v="122"/>
    <x v="107"/>
    <x v="107"/>
    <s v="REVENUS"/>
    <x v="6"/>
    <s v="4221.002"/>
    <s v="Intérêts compensat. sur impôts distincts"/>
    <n v="0"/>
    <n v="0"/>
    <n v="4221"/>
  </r>
  <r>
    <x v="0"/>
    <x v="7"/>
    <x v="6"/>
    <x v="122"/>
    <x v="107"/>
    <x v="107"/>
    <s v="REVENUS"/>
    <x v="2"/>
    <s v="4001.007"/>
    <s v="Acompte impôt sur revenu"/>
    <n v="0"/>
    <n v="-13707.25"/>
    <n v="4001"/>
  </r>
  <r>
    <x v="0"/>
    <x v="7"/>
    <x v="6"/>
    <x v="122"/>
    <x v="107"/>
    <x v="107"/>
    <s v="REVENUS"/>
    <x v="3"/>
    <s v="4002.007"/>
    <s v="Acompte impôt sur fortune"/>
    <n v="0"/>
    <n v="-3012.33"/>
    <n v="4002"/>
  </r>
  <r>
    <x v="0"/>
    <x v="7"/>
    <x v="6"/>
    <x v="122"/>
    <x v="107"/>
    <x v="107"/>
    <s v="REVENUS"/>
    <x v="4"/>
    <s v="4051.001"/>
    <s v="Impôt sur les successions"/>
    <n v="0"/>
    <n v="390127.5"/>
    <n v="4051"/>
  </r>
  <r>
    <x v="0"/>
    <x v="7"/>
    <x v="6"/>
    <x v="122"/>
    <x v="107"/>
    <x v="107"/>
    <s v="REVENUS"/>
    <x v="2"/>
    <s v="4001.001"/>
    <s v="Impôt revenu"/>
    <n v="0"/>
    <n v="7848.65"/>
    <n v="4001"/>
  </r>
  <r>
    <x v="0"/>
    <x v="7"/>
    <x v="6"/>
    <x v="122"/>
    <x v="107"/>
    <x v="107"/>
    <s v="REVENUS"/>
    <x v="2"/>
    <s v="4001.007"/>
    <s v="Acompte impôt sur revenu"/>
    <n v="0"/>
    <n v="-1173.3"/>
    <n v="4001"/>
  </r>
  <r>
    <x v="0"/>
    <x v="7"/>
    <x v="6"/>
    <x v="122"/>
    <x v="107"/>
    <x v="107"/>
    <s v="REVENUS"/>
    <x v="3"/>
    <s v="4002.001"/>
    <s v="Impôt ordinaire s/fortune PP"/>
    <n v="0"/>
    <n v="2189.6"/>
    <n v="4002"/>
  </r>
  <r>
    <x v="0"/>
    <x v="7"/>
    <x v="6"/>
    <x v="122"/>
    <x v="107"/>
    <x v="107"/>
    <s v="REVENUS"/>
    <x v="3"/>
    <s v="4002.007"/>
    <s v="Acompte impôt sur fortune"/>
    <n v="0"/>
    <n v="546.4"/>
    <n v="4002"/>
  </r>
  <r>
    <x v="0"/>
    <x v="7"/>
    <x v="6"/>
    <x v="122"/>
    <x v="107"/>
    <x v="107"/>
    <s v="REVENUS"/>
    <x v="6"/>
    <s v="4221.003"/>
    <s v="Intérêts compensat. / acomptes en faveur du fisc"/>
    <n v="0"/>
    <n v="0.76"/>
    <n v="4221"/>
  </r>
  <r>
    <x v="0"/>
    <x v="7"/>
    <x v="6"/>
    <x v="122"/>
    <x v="107"/>
    <x v="107"/>
    <s v="REVENUS"/>
    <x v="11"/>
    <s v="4198.000"/>
    <s v="Contributions communales"/>
    <n v="0"/>
    <n v="1210461.5"/>
    <n v="4198"/>
  </r>
  <r>
    <x v="0"/>
    <x v="7"/>
    <x v="6"/>
    <x v="122"/>
    <x v="107"/>
    <x v="107"/>
    <s v="REVENUS"/>
    <x v="6"/>
    <s v="4211.001"/>
    <s v="Intérêts de retard sur factures"/>
    <n v="0"/>
    <n v="64.540000000000006"/>
    <n v="4211"/>
  </r>
  <r>
    <x v="0"/>
    <x v="7"/>
    <x v="6"/>
    <x v="122"/>
    <x v="107"/>
    <x v="107"/>
    <s v="REVENUS"/>
    <x v="2"/>
    <s v="4001.007"/>
    <s v="Acompte impôt sur revenu"/>
    <n v="0"/>
    <n v="43812.05"/>
    <n v="4001"/>
  </r>
  <r>
    <x v="0"/>
    <x v="7"/>
    <x v="6"/>
    <x v="122"/>
    <x v="107"/>
    <x v="107"/>
    <s v="REVENUS"/>
    <x v="3"/>
    <s v="4002.007"/>
    <s v="Acompte impôt sur fortune"/>
    <n v="0"/>
    <n v="4456.32"/>
    <n v="4002"/>
  </r>
  <r>
    <x v="0"/>
    <x v="7"/>
    <x v="6"/>
    <x v="122"/>
    <x v="107"/>
    <x v="107"/>
    <s v="REVENUS"/>
    <x v="6"/>
    <s v="4211.002"/>
    <s v="Intérêts de retard sur acomptes"/>
    <n v="0"/>
    <n v="36.869999999999997"/>
    <n v="4211"/>
  </r>
  <r>
    <x v="0"/>
    <x v="7"/>
    <x v="6"/>
    <x v="122"/>
    <x v="107"/>
    <x v="107"/>
    <s v="REVENUS"/>
    <x v="6"/>
    <s v="4221.003"/>
    <s v="Intérêts compensat. / acomptes en faveur du fisc"/>
    <n v="0"/>
    <n v="-197.37"/>
    <n v="4221"/>
  </r>
  <r>
    <x v="0"/>
    <x v="7"/>
    <x v="6"/>
    <x v="122"/>
    <x v="107"/>
    <x v="107"/>
    <s v="REVENUS"/>
    <x v="6"/>
    <s v="4221.003"/>
    <s v="Intérêts compensat. / acomptes en faveur du fisc"/>
    <n v="0"/>
    <n v="2.68"/>
    <n v="4221"/>
  </r>
  <r>
    <x v="0"/>
    <x v="7"/>
    <x v="6"/>
    <x v="122"/>
    <x v="107"/>
    <x v="107"/>
    <s v="REVENUS"/>
    <x v="2"/>
    <s v="4001.001"/>
    <s v="Impôt revenu"/>
    <n v="0"/>
    <n v="-6205.1"/>
    <n v="4001"/>
  </r>
  <r>
    <x v="0"/>
    <x v="7"/>
    <x v="6"/>
    <x v="122"/>
    <x v="107"/>
    <x v="107"/>
    <s v="REVENUS"/>
    <x v="3"/>
    <s v="4002.001"/>
    <s v="Impôt ordinaire s/fortune PP"/>
    <n v="0"/>
    <n v="1858.1"/>
    <n v="4002"/>
  </r>
  <r>
    <x v="0"/>
    <x v="7"/>
    <x v="6"/>
    <x v="122"/>
    <x v="107"/>
    <x v="107"/>
    <s v="REVENUS"/>
    <x v="6"/>
    <s v="4211.001"/>
    <s v="Intérêts de retard sur factures"/>
    <n v="0"/>
    <n v="286.60000000000002"/>
    <n v="4211"/>
  </r>
  <r>
    <x v="0"/>
    <x v="7"/>
    <x v="6"/>
    <x v="122"/>
    <x v="107"/>
    <x v="107"/>
    <s v="REVENUS"/>
    <x v="12"/>
    <s v="4004.007"/>
    <s v="Acompte spécial étrangers"/>
    <n v="0"/>
    <n v="85213.7"/>
    <n v="4004"/>
  </r>
  <r>
    <x v="0"/>
    <x v="7"/>
    <x v="6"/>
    <x v="122"/>
    <x v="107"/>
    <x v="107"/>
    <s v="REVENUS"/>
    <x v="3"/>
    <s v="4002.007"/>
    <s v="Acompte impôt sur fortune"/>
    <n v="0"/>
    <n v="-276"/>
    <n v="4002"/>
  </r>
  <r>
    <x v="0"/>
    <x v="7"/>
    <x v="6"/>
    <x v="122"/>
    <x v="107"/>
    <x v="107"/>
    <s v="REVENUS"/>
    <x v="6"/>
    <s v="4211.002"/>
    <s v="Intérêts de retard sur acomptes"/>
    <n v="0"/>
    <n v="210.78"/>
    <n v="4211"/>
  </r>
  <r>
    <x v="0"/>
    <x v="7"/>
    <x v="6"/>
    <x v="122"/>
    <x v="107"/>
    <x v="107"/>
    <s v="REVENUS"/>
    <x v="6"/>
    <s v="4221.003"/>
    <s v="Intérêts compensat. / acomptes en faveur du fisc"/>
    <n v="0"/>
    <n v="12.05"/>
    <n v="4221"/>
  </r>
  <r>
    <x v="0"/>
    <x v="7"/>
    <x v="6"/>
    <x v="122"/>
    <x v="107"/>
    <x v="107"/>
    <s v="REVENUS"/>
    <x v="6"/>
    <s v="4211.001"/>
    <s v="Intérêts de retard sur factures"/>
    <n v="0"/>
    <n v="-26.55"/>
    <n v="4211"/>
  </r>
  <r>
    <x v="0"/>
    <x v="7"/>
    <x v="6"/>
    <x v="122"/>
    <x v="107"/>
    <x v="107"/>
    <s v="REVENUS"/>
    <x v="6"/>
    <s v="4211.002"/>
    <s v="Intérêts de retard sur acomptes"/>
    <n v="0"/>
    <n v="-113.39"/>
    <n v="4211"/>
  </r>
  <r>
    <x v="0"/>
    <x v="7"/>
    <x v="6"/>
    <x v="122"/>
    <x v="107"/>
    <x v="107"/>
    <s v="REVENUS"/>
    <x v="2"/>
    <s v="4001.007"/>
    <s v="Acompte impôt sur revenu"/>
    <n v="0"/>
    <n v="-16158.85"/>
    <n v="4001"/>
  </r>
  <r>
    <x v="0"/>
    <x v="7"/>
    <x v="6"/>
    <x v="122"/>
    <x v="107"/>
    <x v="107"/>
    <s v="REVENUS"/>
    <x v="2"/>
    <s v="4001.007"/>
    <s v="Acompte impôt sur revenu"/>
    <n v="0"/>
    <n v="0"/>
    <n v="4001"/>
  </r>
  <r>
    <x v="0"/>
    <x v="7"/>
    <x v="6"/>
    <x v="122"/>
    <x v="107"/>
    <x v="107"/>
    <s v="REVENUS"/>
    <x v="3"/>
    <s v="4002.007"/>
    <s v="Acompte impôt sur fortune"/>
    <n v="0"/>
    <n v="0"/>
    <n v="4002"/>
  </r>
  <r>
    <x v="0"/>
    <x v="7"/>
    <x v="6"/>
    <x v="122"/>
    <x v="107"/>
    <x v="107"/>
    <s v="REVENUS"/>
    <x v="2"/>
    <s v="4001.007"/>
    <s v="Acompte impôt sur revenu"/>
    <n v="0"/>
    <n v="-38740.79"/>
    <n v="4001"/>
  </r>
  <r>
    <x v="0"/>
    <x v="7"/>
    <x v="6"/>
    <x v="122"/>
    <x v="107"/>
    <x v="107"/>
    <s v="REVENUS"/>
    <x v="3"/>
    <s v="4002.007"/>
    <s v="Acompte impôt sur fortune"/>
    <n v="0"/>
    <n v="442.75"/>
    <n v="4002"/>
  </r>
  <r>
    <x v="0"/>
    <x v="7"/>
    <x v="6"/>
    <x v="122"/>
    <x v="107"/>
    <x v="107"/>
    <s v="REVENUS"/>
    <x v="7"/>
    <s v="4184.000"/>
    <s v="Frais de poursuite"/>
    <n v="0"/>
    <n v="8345.23"/>
    <n v="4184"/>
  </r>
  <r>
    <x v="0"/>
    <x v="7"/>
    <x v="6"/>
    <x v="122"/>
    <x v="107"/>
    <x v="107"/>
    <s v="REVENUS"/>
    <x v="3"/>
    <s v="4002.007"/>
    <s v="Acompte impôt sur fortune"/>
    <n v="0"/>
    <n v="-996.65"/>
    <n v="4002"/>
  </r>
  <r>
    <x v="0"/>
    <x v="7"/>
    <x v="6"/>
    <x v="122"/>
    <x v="107"/>
    <x v="107"/>
    <s v="REVENUS"/>
    <x v="7"/>
    <s v="4184.000"/>
    <s v="Frais de poursuite"/>
    <n v="0"/>
    <n v="1.34"/>
    <n v="4184"/>
  </r>
  <r>
    <x v="0"/>
    <x v="7"/>
    <x v="6"/>
    <x v="122"/>
    <x v="107"/>
    <x v="107"/>
    <s v="REVENUS"/>
    <x v="3"/>
    <s v="4002.002"/>
    <s v="Impôt complémentaire s/fortune PP"/>
    <n v="0"/>
    <n v="-18230.25"/>
    <n v="4002"/>
  </r>
  <r>
    <x v="0"/>
    <x v="7"/>
    <x v="6"/>
    <x v="122"/>
    <x v="107"/>
    <x v="107"/>
    <s v="REVENUS"/>
    <x v="6"/>
    <s v="4211.001"/>
    <s v="Intérêts de retard sur factures"/>
    <n v="0"/>
    <n v="0.45"/>
    <n v="4211"/>
  </r>
  <r>
    <x v="0"/>
    <x v="7"/>
    <x v="6"/>
    <x v="122"/>
    <x v="107"/>
    <x v="107"/>
    <s v="REVENUS"/>
    <x v="6"/>
    <s v="4211.002"/>
    <s v="Intérêts de retard sur acomptes"/>
    <n v="0"/>
    <n v="7.29"/>
    <n v="4211"/>
  </r>
  <r>
    <x v="0"/>
    <x v="7"/>
    <x v="6"/>
    <x v="122"/>
    <x v="107"/>
    <x v="107"/>
    <s v="REVENUS"/>
    <x v="2"/>
    <s v="4001.003"/>
    <s v="Impôt s/prest. cap. PP"/>
    <n v="0"/>
    <n v="-11962.55"/>
    <n v="4001"/>
  </r>
  <r>
    <x v="0"/>
    <x v="7"/>
    <x v="6"/>
    <x v="122"/>
    <x v="107"/>
    <x v="107"/>
    <s v="REVENUS"/>
    <x v="7"/>
    <s v="4184.000"/>
    <s v="Frais de poursuite"/>
    <n v="0"/>
    <n v="0.45"/>
    <n v="4184"/>
  </r>
  <r>
    <x v="0"/>
    <x v="7"/>
    <x v="6"/>
    <x v="122"/>
    <x v="107"/>
    <x v="107"/>
    <s v="REVENUS"/>
    <x v="2"/>
    <s v="4001.001"/>
    <s v="Impôt revenu"/>
    <n v="0"/>
    <n v="2097.15"/>
    <n v="4001"/>
  </r>
  <r>
    <x v="0"/>
    <x v="7"/>
    <x v="6"/>
    <x v="122"/>
    <x v="107"/>
    <x v="107"/>
    <s v="REVENUS"/>
    <x v="3"/>
    <s v="4002.001"/>
    <s v="Impôt ordinaire s/fortune PP"/>
    <n v="0"/>
    <n v="426.45"/>
    <n v="4002"/>
  </r>
  <r>
    <x v="0"/>
    <x v="7"/>
    <x v="6"/>
    <x v="122"/>
    <x v="107"/>
    <x v="107"/>
    <s v="REVENUS"/>
    <x v="6"/>
    <s v="4211.002"/>
    <s v="Intérêts de retard sur acomptes"/>
    <n v="0"/>
    <n v="41.72"/>
    <n v="4211"/>
  </r>
  <r>
    <x v="0"/>
    <x v="7"/>
    <x v="6"/>
    <x v="122"/>
    <x v="107"/>
    <x v="107"/>
    <s v="REVENUS"/>
    <x v="2"/>
    <s v="4001.002"/>
    <s v="Impôt complément s/revenu PP"/>
    <n v="0"/>
    <n v="8668.1"/>
    <n v="4001"/>
  </r>
  <r>
    <x v="0"/>
    <x v="7"/>
    <x v="6"/>
    <x v="122"/>
    <x v="107"/>
    <x v="107"/>
    <s v="REVENUS"/>
    <x v="3"/>
    <s v="4002.002"/>
    <s v="Impôt complémentaire s/fortune PP"/>
    <n v="0"/>
    <n v="5870.25"/>
    <n v="4002"/>
  </r>
  <r>
    <x v="0"/>
    <x v="7"/>
    <x v="6"/>
    <x v="122"/>
    <x v="107"/>
    <x v="107"/>
    <s v="REVENUS"/>
    <x v="3"/>
    <s v="4002.007"/>
    <s v="Acompte impôt sur fortune"/>
    <n v="0"/>
    <n v="-574.6"/>
    <n v="4002"/>
  </r>
  <r>
    <x v="0"/>
    <x v="7"/>
    <x v="6"/>
    <x v="122"/>
    <x v="107"/>
    <x v="107"/>
    <s v="REVENUS"/>
    <x v="6"/>
    <s v="4211.002"/>
    <s v="Intérêts de retard sur acomptes"/>
    <n v="0"/>
    <n v="2.02"/>
    <n v="4211"/>
  </r>
  <r>
    <x v="0"/>
    <x v="7"/>
    <x v="6"/>
    <x v="122"/>
    <x v="107"/>
    <x v="107"/>
    <s v="REVENUS"/>
    <x v="6"/>
    <s v="4221.003"/>
    <s v="Intérêts compensat. / acomptes en faveur du fisc"/>
    <n v="0"/>
    <n v="0.18"/>
    <n v="4221"/>
  </r>
  <r>
    <x v="0"/>
    <x v="7"/>
    <x v="6"/>
    <x v="122"/>
    <x v="107"/>
    <x v="107"/>
    <s v="REVENUS"/>
    <x v="6"/>
    <s v="4211.001"/>
    <s v="Intérêts de retard sur factures"/>
    <n v="0"/>
    <n v="7.8"/>
    <n v="4211"/>
  </r>
  <r>
    <x v="0"/>
    <x v="7"/>
    <x v="6"/>
    <x v="122"/>
    <x v="107"/>
    <x v="107"/>
    <s v="REVENUS"/>
    <x v="2"/>
    <s v="4001.002"/>
    <s v="Impôt complément s/revenu PP"/>
    <n v="0"/>
    <n v="11178.7"/>
    <n v="4001"/>
  </r>
  <r>
    <x v="0"/>
    <x v="7"/>
    <x v="6"/>
    <x v="122"/>
    <x v="107"/>
    <x v="107"/>
    <s v="REVENUS"/>
    <x v="3"/>
    <s v="4002.002"/>
    <s v="Impôt complémentaire s/fortune PP"/>
    <n v="0"/>
    <n v="4319.8"/>
    <n v="4002"/>
  </r>
  <r>
    <x v="0"/>
    <x v="7"/>
    <x v="6"/>
    <x v="122"/>
    <x v="107"/>
    <x v="107"/>
    <s v="REVENUS"/>
    <x v="3"/>
    <s v="4002.007"/>
    <s v="Acompte impôt sur fortune"/>
    <n v="0"/>
    <n v="-2289.35"/>
    <n v="4002"/>
  </r>
  <r>
    <x v="0"/>
    <x v="7"/>
    <x v="6"/>
    <x v="122"/>
    <x v="107"/>
    <x v="107"/>
    <s v="REVENUS"/>
    <x v="2"/>
    <s v="4001.001"/>
    <s v="Impôt revenu"/>
    <n v="0"/>
    <n v="118.05"/>
    <n v="4001"/>
  </r>
  <r>
    <x v="0"/>
    <x v="7"/>
    <x v="6"/>
    <x v="122"/>
    <x v="107"/>
    <x v="107"/>
    <s v="REVENUS"/>
    <x v="3"/>
    <s v="4002.001"/>
    <s v="Impôt ordinaire s/fortune PP"/>
    <n v="0"/>
    <n v="100.3"/>
    <n v="4002"/>
  </r>
  <r>
    <x v="0"/>
    <x v="7"/>
    <x v="6"/>
    <x v="122"/>
    <x v="107"/>
    <x v="107"/>
    <s v="REVENUS"/>
    <x v="6"/>
    <s v="4211.002"/>
    <s v="Intérêts de retard sur acomptes"/>
    <n v="0"/>
    <n v="1.69"/>
    <n v="4211"/>
  </r>
  <r>
    <x v="0"/>
    <x v="7"/>
    <x v="6"/>
    <x v="122"/>
    <x v="107"/>
    <x v="107"/>
    <s v="REVENUS"/>
    <x v="2"/>
    <s v="4001.007"/>
    <s v="Acompte impôt sur revenu"/>
    <n v="0"/>
    <n v="-34.700000000000003"/>
    <n v="4001"/>
  </r>
  <r>
    <x v="0"/>
    <x v="7"/>
    <x v="6"/>
    <x v="122"/>
    <x v="107"/>
    <x v="107"/>
    <s v="REVENUS"/>
    <x v="4"/>
    <s v="4051.001"/>
    <s v="Impôt sur les successions"/>
    <n v="0"/>
    <n v="-187.3"/>
    <n v="4051"/>
  </r>
  <r>
    <x v="0"/>
    <x v="7"/>
    <x v="6"/>
    <x v="122"/>
    <x v="107"/>
    <x v="107"/>
    <s v="REVENUS"/>
    <x v="6"/>
    <s v="4221.002"/>
    <s v="Intérêts compensat. sur impôts distincts"/>
    <n v="0"/>
    <n v="-0.35"/>
    <n v="4221"/>
  </r>
  <r>
    <x v="0"/>
    <x v="7"/>
    <x v="6"/>
    <x v="122"/>
    <x v="107"/>
    <x v="107"/>
    <s v="REVENUS"/>
    <x v="2"/>
    <s v="4001.007"/>
    <s v="Acompte impôt sur revenu"/>
    <n v="0"/>
    <n v="-23115.25"/>
    <n v="4001"/>
  </r>
  <r>
    <x v="0"/>
    <x v="7"/>
    <x v="6"/>
    <x v="122"/>
    <x v="107"/>
    <x v="107"/>
    <s v="REVENUS"/>
    <x v="12"/>
    <s v="4004.000"/>
    <s v="Impôt spécial étrangers"/>
    <n v="0"/>
    <n v="46728.5"/>
    <n v="4004"/>
  </r>
  <r>
    <x v="0"/>
    <x v="7"/>
    <x v="6"/>
    <x v="122"/>
    <x v="107"/>
    <x v="107"/>
    <s v="REVENUS"/>
    <x v="4"/>
    <s v="4051.002"/>
    <s v="Impôt sur les donations"/>
    <n v="0"/>
    <n v="13756.5"/>
    <n v="4051"/>
  </r>
  <r>
    <x v="0"/>
    <x v="7"/>
    <x v="6"/>
    <x v="122"/>
    <x v="107"/>
    <x v="107"/>
    <s v="REVENUS"/>
    <x v="10"/>
    <s v="4041.002"/>
    <s v="Complément droit de mutation"/>
    <n v="0"/>
    <n v="12113.4"/>
    <n v="4041"/>
  </r>
  <r>
    <x v="0"/>
    <x v="8"/>
    <x v="7"/>
    <x v="123"/>
    <x v="108"/>
    <x v="108"/>
    <s v="CHARGES"/>
    <x v="1"/>
    <s v="3301.001"/>
    <s v="Défalcations, abandons de solde PP et IS"/>
    <n v="5.32"/>
    <n v="0"/>
    <n v="3301"/>
  </r>
  <r>
    <x v="0"/>
    <x v="8"/>
    <x v="7"/>
    <x v="123"/>
    <x v="108"/>
    <x v="108"/>
    <s v="CHARGES"/>
    <x v="0"/>
    <s v="3212.002"/>
    <s v="Intérêts bonifiés/trop perçu acompte C/C"/>
    <n v="-0.73"/>
    <n v="0"/>
    <n v="3212"/>
  </r>
  <r>
    <x v="0"/>
    <x v="8"/>
    <x v="7"/>
    <x v="123"/>
    <x v="108"/>
    <x v="108"/>
    <s v="CHARGES"/>
    <x v="0"/>
    <s v="3212.004"/>
    <s v="Intérêts rémun./perçu trop tôt sur acomptes C/C"/>
    <n v="12.86"/>
    <n v="0"/>
    <n v="3212"/>
  </r>
  <r>
    <x v="0"/>
    <x v="8"/>
    <x v="7"/>
    <x v="123"/>
    <x v="108"/>
    <x v="108"/>
    <s v="CHARGES"/>
    <x v="0"/>
    <s v="3221.002"/>
    <s v="Intérêts compensatoires / créances en faveur ctb."/>
    <n v="14.63"/>
    <n v="0"/>
    <n v="3221"/>
  </r>
  <r>
    <x v="0"/>
    <x v="8"/>
    <x v="7"/>
    <x v="123"/>
    <x v="108"/>
    <x v="108"/>
    <s v="CHARGES"/>
    <x v="1"/>
    <s v="3301.001"/>
    <s v="Défalcations, abandons de solde PP et IS"/>
    <n v="9.17"/>
    <n v="0"/>
    <n v="3301"/>
  </r>
  <r>
    <x v="0"/>
    <x v="8"/>
    <x v="7"/>
    <x v="123"/>
    <x v="108"/>
    <x v="108"/>
    <s v="CHARGES"/>
    <x v="0"/>
    <s v="3212.002"/>
    <s v="Intérêts bonifiés/trop perçu acompte C/C"/>
    <n v="-5.0999999999999996"/>
    <n v="0"/>
    <n v="3212"/>
  </r>
  <r>
    <x v="0"/>
    <x v="8"/>
    <x v="7"/>
    <x v="123"/>
    <x v="108"/>
    <x v="108"/>
    <s v="CHARGES"/>
    <x v="0"/>
    <s v="3212.004"/>
    <s v="Intérêts rémun./perçu trop tôt sur acomptes C/C"/>
    <n v="1679.57"/>
    <n v="0"/>
    <n v="3212"/>
  </r>
  <r>
    <x v="0"/>
    <x v="8"/>
    <x v="7"/>
    <x v="123"/>
    <x v="108"/>
    <x v="108"/>
    <s v="CHARGES"/>
    <x v="0"/>
    <s v="3221.002"/>
    <s v="Intérêts compensatoires / créances en faveur ctb."/>
    <n v="611.17999999999995"/>
    <n v="0"/>
    <n v="3221"/>
  </r>
  <r>
    <x v="0"/>
    <x v="8"/>
    <x v="7"/>
    <x v="123"/>
    <x v="108"/>
    <x v="108"/>
    <s v="CHARGES"/>
    <x v="1"/>
    <s v="3301.001"/>
    <s v="Défalcations, abandons de solde PP et IS"/>
    <n v="86061.79"/>
    <n v="0"/>
    <n v="3301"/>
  </r>
  <r>
    <x v="0"/>
    <x v="8"/>
    <x v="7"/>
    <x v="123"/>
    <x v="108"/>
    <x v="108"/>
    <s v="CHARGES"/>
    <x v="0"/>
    <s v="3212.004"/>
    <s v="Intérêts rémun./perçu trop tôt sur acomptes C/C"/>
    <n v="25.59"/>
    <n v="0"/>
    <n v="3212"/>
  </r>
  <r>
    <x v="0"/>
    <x v="8"/>
    <x v="7"/>
    <x v="123"/>
    <x v="108"/>
    <x v="108"/>
    <s v="CHARGES"/>
    <x v="0"/>
    <s v="3212.004"/>
    <s v="Intérêts rémun./perçu trop tôt sur acomptes C/C"/>
    <n v="48.91"/>
    <n v="0"/>
    <n v="3212"/>
  </r>
  <r>
    <x v="0"/>
    <x v="8"/>
    <x v="7"/>
    <x v="123"/>
    <x v="108"/>
    <x v="108"/>
    <s v="CHARGES"/>
    <x v="1"/>
    <s v="3301.001"/>
    <s v="Défalcations, abandons de solde PP et IS"/>
    <n v="4.2300000000000004"/>
    <n v="0"/>
    <n v="3301"/>
  </r>
  <r>
    <x v="0"/>
    <x v="8"/>
    <x v="7"/>
    <x v="123"/>
    <x v="108"/>
    <x v="108"/>
    <s v="CHARGES"/>
    <x v="0"/>
    <s v="3212.002"/>
    <s v="Intérêts bonifiés/trop perçu acompte C/C"/>
    <n v="0.05"/>
    <n v="0"/>
    <n v="3212"/>
  </r>
  <r>
    <x v="0"/>
    <x v="8"/>
    <x v="7"/>
    <x v="123"/>
    <x v="108"/>
    <x v="108"/>
    <s v="CHARGES"/>
    <x v="0"/>
    <s v="3212.004"/>
    <s v="Intérêts rémun./perçu trop tôt sur acomptes C/C"/>
    <n v="0.12"/>
    <n v="0"/>
    <n v="3212"/>
  </r>
  <r>
    <x v="0"/>
    <x v="8"/>
    <x v="7"/>
    <x v="123"/>
    <x v="108"/>
    <x v="108"/>
    <s v="CHARGES"/>
    <x v="0"/>
    <s v="3221.002"/>
    <s v="Intérêts compensatoires / créances en faveur ctb."/>
    <n v="0.03"/>
    <n v="0"/>
    <n v="3221"/>
  </r>
  <r>
    <x v="0"/>
    <x v="8"/>
    <x v="7"/>
    <x v="123"/>
    <x v="108"/>
    <x v="108"/>
    <s v="CHARGES"/>
    <x v="0"/>
    <s v="3212.004"/>
    <s v="Intérêts rémun./perçu trop tôt sur acomptes C/C"/>
    <n v="5.48"/>
    <n v="0"/>
    <n v="3212"/>
  </r>
  <r>
    <x v="0"/>
    <x v="8"/>
    <x v="7"/>
    <x v="123"/>
    <x v="108"/>
    <x v="108"/>
    <s v="CHARGES"/>
    <x v="0"/>
    <s v="3221.002"/>
    <s v="Intérêts compensatoires / créances en faveur ctb."/>
    <n v="2.99"/>
    <n v="0"/>
    <n v="3221"/>
  </r>
  <r>
    <x v="0"/>
    <x v="8"/>
    <x v="7"/>
    <x v="123"/>
    <x v="108"/>
    <x v="108"/>
    <s v="CHARGES"/>
    <x v="1"/>
    <s v="3301.001"/>
    <s v="Défalcations, abandons de solde PP et IS"/>
    <n v="101.15"/>
    <n v="0"/>
    <n v="3301"/>
  </r>
  <r>
    <x v="0"/>
    <x v="8"/>
    <x v="7"/>
    <x v="123"/>
    <x v="108"/>
    <x v="108"/>
    <s v="CHARGES"/>
    <x v="1"/>
    <s v="3301.001"/>
    <s v="Défalcations, abandons de solde PP et IS"/>
    <n v="16506.47"/>
    <n v="0"/>
    <n v="3301"/>
  </r>
  <r>
    <x v="0"/>
    <x v="8"/>
    <x v="7"/>
    <x v="123"/>
    <x v="108"/>
    <x v="108"/>
    <s v="CHARGES"/>
    <x v="0"/>
    <s v="3221.002"/>
    <s v="Intérêts compensatoires / créances en faveur ctb."/>
    <n v="61.11"/>
    <n v="0"/>
    <n v="3221"/>
  </r>
  <r>
    <x v="0"/>
    <x v="8"/>
    <x v="7"/>
    <x v="123"/>
    <x v="108"/>
    <x v="108"/>
    <s v="CHARGES"/>
    <x v="0"/>
    <s v="3221.002"/>
    <s v="Intérêts compensatoires / créances en faveur ctb."/>
    <n v="3.43"/>
    <n v="0"/>
    <n v="3221"/>
  </r>
  <r>
    <x v="0"/>
    <x v="8"/>
    <x v="7"/>
    <x v="123"/>
    <x v="108"/>
    <x v="108"/>
    <s v="CHARGES"/>
    <x v="1"/>
    <s v="3301.001"/>
    <s v="Défalcations, abandons de solde PP et IS"/>
    <n v="0.17"/>
    <n v="0"/>
    <n v="3301"/>
  </r>
  <r>
    <x v="0"/>
    <x v="8"/>
    <x v="7"/>
    <x v="123"/>
    <x v="108"/>
    <x v="108"/>
    <s v="CHARGES"/>
    <x v="0"/>
    <s v="3212.002"/>
    <s v="Intérêts bonifiés/trop perçu acompte C/C"/>
    <n v="0.17"/>
    <n v="0"/>
    <n v="3212"/>
  </r>
  <r>
    <x v="0"/>
    <x v="8"/>
    <x v="7"/>
    <x v="123"/>
    <x v="108"/>
    <x v="108"/>
    <s v="CHARGES"/>
    <x v="1"/>
    <s v="3301.003"/>
    <s v="Remises PP et IS"/>
    <n v="3010.97"/>
    <n v="0"/>
    <n v="3301"/>
  </r>
  <r>
    <x v="0"/>
    <x v="8"/>
    <x v="7"/>
    <x v="123"/>
    <x v="108"/>
    <x v="108"/>
    <s v="REVENUS"/>
    <x v="6"/>
    <s v="4211.001"/>
    <s v="Intérêts de retard sur factures"/>
    <n v="0"/>
    <n v="5.32"/>
    <n v="4211"/>
  </r>
  <r>
    <x v="0"/>
    <x v="8"/>
    <x v="7"/>
    <x v="123"/>
    <x v="108"/>
    <x v="108"/>
    <s v="REVENUS"/>
    <x v="2"/>
    <s v="4001.002"/>
    <s v="Impôt complément s/revenu PP"/>
    <n v="0"/>
    <n v="3465.95"/>
    <n v="4001"/>
  </r>
  <r>
    <x v="0"/>
    <x v="8"/>
    <x v="7"/>
    <x v="123"/>
    <x v="108"/>
    <x v="108"/>
    <s v="REVENUS"/>
    <x v="3"/>
    <s v="4002.002"/>
    <s v="Impôt complémentaire s/fortune PP"/>
    <n v="0"/>
    <n v="485.75"/>
    <n v="4002"/>
  </r>
  <r>
    <x v="0"/>
    <x v="8"/>
    <x v="7"/>
    <x v="123"/>
    <x v="108"/>
    <x v="108"/>
    <s v="REVENUS"/>
    <x v="3"/>
    <s v="4002.007"/>
    <s v="Acompte impôt sur fortune"/>
    <n v="0"/>
    <n v="40.479999999999997"/>
    <n v="4002"/>
  </r>
  <r>
    <x v="0"/>
    <x v="8"/>
    <x v="7"/>
    <x v="123"/>
    <x v="108"/>
    <x v="108"/>
    <s v="REVENUS"/>
    <x v="6"/>
    <s v="4211.001"/>
    <s v="Intérêts de retard sur factures"/>
    <n v="0"/>
    <n v="-17.170000000000002"/>
    <n v="4211"/>
  </r>
  <r>
    <x v="0"/>
    <x v="8"/>
    <x v="7"/>
    <x v="123"/>
    <x v="108"/>
    <x v="108"/>
    <s v="REVENUS"/>
    <x v="6"/>
    <s v="4221.003"/>
    <s v="Intérêts compensat. / acomptes en faveur du fisc"/>
    <n v="0"/>
    <n v="10.8"/>
    <n v="4221"/>
  </r>
  <r>
    <x v="0"/>
    <x v="8"/>
    <x v="7"/>
    <x v="123"/>
    <x v="108"/>
    <x v="108"/>
    <s v="REVENUS"/>
    <x v="2"/>
    <s v="4001.001"/>
    <s v="Impôt revenu"/>
    <n v="0"/>
    <n v="8432472.8000000007"/>
    <n v="4001"/>
  </r>
  <r>
    <x v="0"/>
    <x v="8"/>
    <x v="7"/>
    <x v="123"/>
    <x v="108"/>
    <x v="108"/>
    <s v="REVENUS"/>
    <x v="2"/>
    <s v="4001.002"/>
    <s v="Impôt complément s/revenu PP"/>
    <n v="0"/>
    <n v="1724465.1"/>
    <n v="4001"/>
  </r>
  <r>
    <x v="0"/>
    <x v="8"/>
    <x v="7"/>
    <x v="123"/>
    <x v="108"/>
    <x v="108"/>
    <s v="REVENUS"/>
    <x v="2"/>
    <s v="4001.003"/>
    <s v="Impôt s/prest. cap. PP"/>
    <n v="0"/>
    <n v="281967"/>
    <n v="4001"/>
  </r>
  <r>
    <x v="0"/>
    <x v="8"/>
    <x v="7"/>
    <x v="123"/>
    <x v="108"/>
    <x v="108"/>
    <s v="REVENUS"/>
    <x v="2"/>
    <s v="4001.007"/>
    <s v="Acompte impôt sur revenu"/>
    <n v="0"/>
    <n v="-1560380.94"/>
    <n v="4001"/>
  </r>
  <r>
    <x v="0"/>
    <x v="8"/>
    <x v="7"/>
    <x v="123"/>
    <x v="108"/>
    <x v="108"/>
    <s v="REVENUS"/>
    <x v="3"/>
    <s v="4002.001"/>
    <s v="Impôt ordinaire s/fortune PP"/>
    <n v="0"/>
    <n v="845232.45"/>
    <n v="4002"/>
  </r>
  <r>
    <x v="0"/>
    <x v="8"/>
    <x v="7"/>
    <x v="123"/>
    <x v="108"/>
    <x v="108"/>
    <s v="REVENUS"/>
    <x v="3"/>
    <s v="4002.002"/>
    <s v="Impôt complémentaire s/fortune PP"/>
    <n v="0"/>
    <n v="181904.4"/>
    <n v="4002"/>
  </r>
  <r>
    <x v="0"/>
    <x v="8"/>
    <x v="7"/>
    <x v="123"/>
    <x v="108"/>
    <x v="108"/>
    <s v="REVENUS"/>
    <x v="3"/>
    <s v="4002.007"/>
    <s v="Acompte impôt sur fortune"/>
    <n v="0"/>
    <n v="-49206.74"/>
    <n v="4002"/>
  </r>
  <r>
    <x v="0"/>
    <x v="8"/>
    <x v="7"/>
    <x v="123"/>
    <x v="108"/>
    <x v="108"/>
    <s v="REVENUS"/>
    <x v="6"/>
    <s v="4211.001"/>
    <s v="Intérêts de retard sur factures"/>
    <n v="0"/>
    <n v="38530.949999999997"/>
    <n v="4211"/>
  </r>
  <r>
    <x v="0"/>
    <x v="8"/>
    <x v="7"/>
    <x v="123"/>
    <x v="108"/>
    <x v="108"/>
    <s v="REVENUS"/>
    <x v="6"/>
    <s v="4211.002"/>
    <s v="Intérêts de retard sur acomptes"/>
    <n v="0"/>
    <n v="57584.24"/>
    <n v="4211"/>
  </r>
  <r>
    <x v="0"/>
    <x v="8"/>
    <x v="7"/>
    <x v="123"/>
    <x v="108"/>
    <x v="108"/>
    <s v="REVENUS"/>
    <x v="6"/>
    <s v="4221.002"/>
    <s v="Intérêts compensat. sur impôts distincts"/>
    <n v="0"/>
    <n v="244.33"/>
    <n v="4221"/>
  </r>
  <r>
    <x v="0"/>
    <x v="8"/>
    <x v="7"/>
    <x v="123"/>
    <x v="108"/>
    <x v="108"/>
    <s v="REVENUS"/>
    <x v="6"/>
    <s v="4221.003"/>
    <s v="Intérêts compensat. / acomptes en faveur du fisc"/>
    <n v="0"/>
    <n v="1902.42"/>
    <n v="4221"/>
  </r>
  <r>
    <x v="0"/>
    <x v="8"/>
    <x v="7"/>
    <x v="123"/>
    <x v="108"/>
    <x v="108"/>
    <s v="REVENUS"/>
    <x v="5"/>
    <s v="4061.000"/>
    <s v="Impôt sur les chiens"/>
    <n v="0"/>
    <n v="20950"/>
    <n v="4061"/>
  </r>
  <r>
    <x v="0"/>
    <x v="8"/>
    <x v="7"/>
    <x v="123"/>
    <x v="108"/>
    <x v="108"/>
    <s v="REVENUS"/>
    <x v="7"/>
    <s v="4184.000"/>
    <s v="Frais de poursuite"/>
    <n v="0"/>
    <n v="10829.11"/>
    <n v="4184"/>
  </r>
  <r>
    <x v="0"/>
    <x v="8"/>
    <x v="7"/>
    <x v="123"/>
    <x v="108"/>
    <x v="108"/>
    <s v="REVENUS"/>
    <x v="4"/>
    <s v="4051.002"/>
    <s v="Impôt sur les donations"/>
    <n v="0"/>
    <n v="4063.5"/>
    <n v="4051"/>
  </r>
  <r>
    <x v="0"/>
    <x v="8"/>
    <x v="7"/>
    <x v="123"/>
    <x v="108"/>
    <x v="108"/>
    <s v="REVENUS"/>
    <x v="2"/>
    <s v="4001.007"/>
    <s v="Acompte impôt sur revenu"/>
    <n v="0"/>
    <n v="-160511.56"/>
    <n v="4001"/>
  </r>
  <r>
    <x v="0"/>
    <x v="8"/>
    <x v="7"/>
    <x v="123"/>
    <x v="108"/>
    <x v="108"/>
    <s v="REVENUS"/>
    <x v="3"/>
    <s v="4002.001"/>
    <s v="Impôt ordinaire s/fortune PP"/>
    <n v="0"/>
    <n v="15591.3"/>
    <n v="4002"/>
  </r>
  <r>
    <x v="0"/>
    <x v="8"/>
    <x v="7"/>
    <x v="123"/>
    <x v="108"/>
    <x v="108"/>
    <s v="REVENUS"/>
    <x v="3"/>
    <s v="4002.007"/>
    <s v="Acompte impôt sur fortune"/>
    <n v="0"/>
    <n v="5030.6400000000003"/>
    <n v="4002"/>
  </r>
  <r>
    <x v="0"/>
    <x v="8"/>
    <x v="7"/>
    <x v="123"/>
    <x v="108"/>
    <x v="108"/>
    <s v="REVENUS"/>
    <x v="6"/>
    <s v="4211.001"/>
    <s v="Intérêts de retard sur factures"/>
    <n v="0"/>
    <n v="29.67"/>
    <n v="4211"/>
  </r>
  <r>
    <x v="0"/>
    <x v="8"/>
    <x v="7"/>
    <x v="123"/>
    <x v="108"/>
    <x v="108"/>
    <s v="REVENUS"/>
    <x v="2"/>
    <s v="4001.001"/>
    <s v="Impôt revenu"/>
    <n v="0"/>
    <n v="68443.5"/>
    <n v="4001"/>
  </r>
  <r>
    <x v="0"/>
    <x v="8"/>
    <x v="7"/>
    <x v="123"/>
    <x v="108"/>
    <x v="108"/>
    <s v="REVENUS"/>
    <x v="3"/>
    <s v="4002.001"/>
    <s v="Impôt ordinaire s/fortune PP"/>
    <n v="0"/>
    <n v="23677.05"/>
    <n v="4002"/>
  </r>
  <r>
    <x v="0"/>
    <x v="8"/>
    <x v="7"/>
    <x v="123"/>
    <x v="108"/>
    <x v="108"/>
    <s v="REVENUS"/>
    <x v="6"/>
    <s v="4221.003"/>
    <s v="Intérêts compensat. / acomptes en faveur du fisc"/>
    <n v="0"/>
    <n v="9.48"/>
    <n v="4221"/>
  </r>
  <r>
    <x v="0"/>
    <x v="8"/>
    <x v="7"/>
    <x v="123"/>
    <x v="108"/>
    <x v="108"/>
    <s v="REVENUS"/>
    <x v="2"/>
    <s v="4001.001"/>
    <s v="Impôt revenu"/>
    <n v="0"/>
    <n v="74279.199999999997"/>
    <n v="4001"/>
  </r>
  <r>
    <x v="0"/>
    <x v="8"/>
    <x v="7"/>
    <x v="123"/>
    <x v="108"/>
    <x v="108"/>
    <s v="REVENUS"/>
    <x v="2"/>
    <s v="4001.007"/>
    <s v="Acompte impôt sur revenu"/>
    <n v="0"/>
    <n v="5767.41"/>
    <n v="4001"/>
  </r>
  <r>
    <x v="0"/>
    <x v="8"/>
    <x v="7"/>
    <x v="123"/>
    <x v="108"/>
    <x v="108"/>
    <s v="REVENUS"/>
    <x v="3"/>
    <s v="4002.001"/>
    <s v="Impôt ordinaire s/fortune PP"/>
    <n v="0"/>
    <n v="22463.4"/>
    <n v="4002"/>
  </r>
  <r>
    <x v="0"/>
    <x v="8"/>
    <x v="7"/>
    <x v="123"/>
    <x v="108"/>
    <x v="108"/>
    <s v="REVENUS"/>
    <x v="6"/>
    <s v="4211.002"/>
    <s v="Intérêts de retard sur acomptes"/>
    <n v="0"/>
    <n v="234.32"/>
    <n v="4211"/>
  </r>
  <r>
    <x v="0"/>
    <x v="8"/>
    <x v="7"/>
    <x v="123"/>
    <x v="108"/>
    <x v="108"/>
    <s v="REVENUS"/>
    <x v="6"/>
    <s v="4211.001"/>
    <s v="Intérêts de retard sur factures"/>
    <n v="0"/>
    <n v="13.43"/>
    <n v="4211"/>
  </r>
  <r>
    <x v="0"/>
    <x v="8"/>
    <x v="7"/>
    <x v="123"/>
    <x v="108"/>
    <x v="108"/>
    <s v="REVENUS"/>
    <x v="2"/>
    <s v="4001.007"/>
    <s v="Acompte impôt sur revenu"/>
    <n v="0"/>
    <n v="36752.21"/>
    <n v="4001"/>
  </r>
  <r>
    <x v="0"/>
    <x v="8"/>
    <x v="7"/>
    <x v="123"/>
    <x v="108"/>
    <x v="108"/>
    <s v="REVENUS"/>
    <x v="2"/>
    <s v="4001.001"/>
    <s v="Impôt revenu"/>
    <n v="0"/>
    <n v="26454"/>
    <n v="4001"/>
  </r>
  <r>
    <x v="0"/>
    <x v="8"/>
    <x v="7"/>
    <x v="123"/>
    <x v="108"/>
    <x v="108"/>
    <s v="REVENUS"/>
    <x v="2"/>
    <s v="4001.007"/>
    <s v="Acompte impôt sur revenu"/>
    <n v="0"/>
    <n v="-3939.18"/>
    <n v="4001"/>
  </r>
  <r>
    <x v="0"/>
    <x v="8"/>
    <x v="7"/>
    <x v="123"/>
    <x v="108"/>
    <x v="108"/>
    <s v="REVENUS"/>
    <x v="3"/>
    <s v="4002.001"/>
    <s v="Impôt ordinaire s/fortune PP"/>
    <n v="0"/>
    <n v="3665.5"/>
    <n v="4002"/>
  </r>
  <r>
    <x v="0"/>
    <x v="8"/>
    <x v="7"/>
    <x v="123"/>
    <x v="108"/>
    <x v="108"/>
    <s v="REVENUS"/>
    <x v="3"/>
    <s v="4002.007"/>
    <s v="Acompte impôt sur fortune"/>
    <n v="0"/>
    <n v="-1807.94"/>
    <n v="4002"/>
  </r>
  <r>
    <x v="0"/>
    <x v="8"/>
    <x v="7"/>
    <x v="123"/>
    <x v="108"/>
    <x v="108"/>
    <s v="REVENUS"/>
    <x v="3"/>
    <s v="4002.007"/>
    <s v="Acompte impôt sur fortune"/>
    <n v="0"/>
    <n v="16970.22"/>
    <n v="4002"/>
  </r>
  <r>
    <x v="0"/>
    <x v="8"/>
    <x v="7"/>
    <x v="123"/>
    <x v="108"/>
    <x v="108"/>
    <s v="REVENUS"/>
    <x v="8"/>
    <s v="4091.001"/>
    <s v="Impôt récupéré après défalcations"/>
    <n v="0"/>
    <n v="23625.040000000001"/>
    <n v="4091"/>
  </r>
  <r>
    <x v="0"/>
    <x v="8"/>
    <x v="7"/>
    <x v="123"/>
    <x v="108"/>
    <x v="108"/>
    <s v="REVENUS"/>
    <x v="2"/>
    <s v="4001.007"/>
    <s v="Acompte impôt sur revenu"/>
    <n v="0"/>
    <n v="494.22"/>
    <n v="4001"/>
  </r>
  <r>
    <x v="0"/>
    <x v="8"/>
    <x v="7"/>
    <x v="123"/>
    <x v="108"/>
    <x v="108"/>
    <s v="REVENUS"/>
    <x v="3"/>
    <s v="4002.007"/>
    <s v="Acompte impôt sur fortune"/>
    <n v="0"/>
    <n v="126.75"/>
    <n v="4002"/>
  </r>
  <r>
    <x v="0"/>
    <x v="8"/>
    <x v="7"/>
    <x v="123"/>
    <x v="108"/>
    <x v="108"/>
    <s v="REVENUS"/>
    <x v="3"/>
    <s v="4002.001"/>
    <s v="Impôt ordinaire s/fortune PP"/>
    <n v="0"/>
    <n v="157.44999999999999"/>
    <n v="4002"/>
  </r>
  <r>
    <x v="0"/>
    <x v="8"/>
    <x v="7"/>
    <x v="123"/>
    <x v="108"/>
    <x v="108"/>
    <s v="REVENUS"/>
    <x v="10"/>
    <s v="4041.001"/>
    <s v="Droits de mutation"/>
    <n v="0"/>
    <n v="170315.55"/>
    <n v="4041"/>
  </r>
  <r>
    <x v="0"/>
    <x v="8"/>
    <x v="7"/>
    <x v="123"/>
    <x v="108"/>
    <x v="108"/>
    <s v="REVENUS"/>
    <x v="3"/>
    <s v="4002.007"/>
    <s v="Acompte impôt sur fortune"/>
    <n v="0"/>
    <n v="484.8"/>
    <n v="4002"/>
  </r>
  <r>
    <x v="0"/>
    <x v="8"/>
    <x v="7"/>
    <x v="123"/>
    <x v="108"/>
    <x v="108"/>
    <s v="REVENUS"/>
    <x v="6"/>
    <s v="4221.003"/>
    <s v="Intérêts compensat. / acomptes en faveur du fisc"/>
    <n v="0"/>
    <n v="4.3099999999999996"/>
    <n v="4221"/>
  </r>
  <r>
    <x v="0"/>
    <x v="8"/>
    <x v="7"/>
    <x v="123"/>
    <x v="108"/>
    <x v="108"/>
    <s v="REVENUS"/>
    <x v="7"/>
    <s v="4184.000"/>
    <s v="Frais de poursuite"/>
    <n v="0"/>
    <n v="252.13"/>
    <n v="4184"/>
  </r>
  <r>
    <x v="0"/>
    <x v="8"/>
    <x v="7"/>
    <x v="123"/>
    <x v="108"/>
    <x v="108"/>
    <s v="REVENUS"/>
    <x v="9"/>
    <s v="4031.001"/>
    <s v="Impôt sur les gains immobiliers"/>
    <n v="0"/>
    <n v="191191.5"/>
    <n v="4031"/>
  </r>
  <r>
    <x v="0"/>
    <x v="8"/>
    <x v="7"/>
    <x v="123"/>
    <x v="108"/>
    <x v="108"/>
    <s v="REVENUS"/>
    <x v="6"/>
    <s v="4211.002"/>
    <s v="Intérêts de retard sur acomptes"/>
    <n v="0"/>
    <n v="497.81"/>
    <n v="4211"/>
  </r>
  <r>
    <x v="0"/>
    <x v="8"/>
    <x v="7"/>
    <x v="123"/>
    <x v="108"/>
    <x v="108"/>
    <s v="REVENUS"/>
    <x v="2"/>
    <s v="4001.001"/>
    <s v="Impôt revenu"/>
    <n v="0"/>
    <n v="198739.65"/>
    <n v="4001"/>
  </r>
  <r>
    <x v="0"/>
    <x v="8"/>
    <x v="7"/>
    <x v="123"/>
    <x v="108"/>
    <x v="108"/>
    <s v="REVENUS"/>
    <x v="6"/>
    <s v="4211.002"/>
    <s v="Intérêts de retard sur acomptes"/>
    <n v="0"/>
    <n v="2452.4699999999998"/>
    <n v="4211"/>
  </r>
  <r>
    <x v="0"/>
    <x v="8"/>
    <x v="7"/>
    <x v="123"/>
    <x v="108"/>
    <x v="108"/>
    <s v="REVENUS"/>
    <x v="3"/>
    <s v="4002.002"/>
    <s v="Impôt complémentaire s/fortune PP"/>
    <n v="0"/>
    <n v="1728.25"/>
    <n v="4002"/>
  </r>
  <r>
    <x v="0"/>
    <x v="8"/>
    <x v="7"/>
    <x v="123"/>
    <x v="108"/>
    <x v="108"/>
    <s v="REVENUS"/>
    <x v="4"/>
    <s v="4051.001"/>
    <s v="Impôt sur les successions"/>
    <n v="0"/>
    <n v="117003.5"/>
    <n v="4051"/>
  </r>
  <r>
    <x v="0"/>
    <x v="8"/>
    <x v="7"/>
    <x v="123"/>
    <x v="108"/>
    <x v="108"/>
    <s v="REVENUS"/>
    <x v="3"/>
    <s v="4002.007"/>
    <s v="Acompte impôt sur fortune"/>
    <n v="0"/>
    <n v="-1341.8"/>
    <n v="4002"/>
  </r>
  <r>
    <x v="0"/>
    <x v="8"/>
    <x v="7"/>
    <x v="123"/>
    <x v="108"/>
    <x v="108"/>
    <s v="REVENUS"/>
    <x v="8"/>
    <s v="4091.001"/>
    <s v="Impôt récupéré après défalcations"/>
    <n v="0"/>
    <n v="13170.98"/>
    <n v="4091"/>
  </r>
  <r>
    <x v="0"/>
    <x v="8"/>
    <x v="7"/>
    <x v="123"/>
    <x v="108"/>
    <x v="108"/>
    <s v="REVENUS"/>
    <x v="12"/>
    <s v="4004.000"/>
    <s v="Impôt spécial étrangers"/>
    <n v="0"/>
    <n v="77612.55"/>
    <n v="4004"/>
  </r>
  <r>
    <x v="0"/>
    <x v="8"/>
    <x v="7"/>
    <x v="123"/>
    <x v="108"/>
    <x v="108"/>
    <s v="REVENUS"/>
    <x v="12"/>
    <s v="4004.007"/>
    <s v="Acompte spécial étrangers"/>
    <n v="0"/>
    <n v="-8119.15"/>
    <n v="4004"/>
  </r>
  <r>
    <x v="0"/>
    <x v="8"/>
    <x v="7"/>
    <x v="123"/>
    <x v="108"/>
    <x v="108"/>
    <s v="REVENUS"/>
    <x v="6"/>
    <s v="4221.003"/>
    <s v="Intérêts compensat. / acomptes en faveur du fisc"/>
    <n v="0"/>
    <n v="114.08"/>
    <n v="4221"/>
  </r>
  <r>
    <x v="0"/>
    <x v="8"/>
    <x v="7"/>
    <x v="123"/>
    <x v="108"/>
    <x v="108"/>
    <s v="REVENUS"/>
    <x v="7"/>
    <s v="4184.000"/>
    <s v="Frais de poursuite"/>
    <n v="0"/>
    <n v="19.02"/>
    <n v="4184"/>
  </r>
  <r>
    <x v="0"/>
    <x v="8"/>
    <x v="7"/>
    <x v="123"/>
    <x v="108"/>
    <x v="108"/>
    <s v="REVENUS"/>
    <x v="6"/>
    <s v="4211.002"/>
    <s v="Intérêts de retard sur acomptes"/>
    <n v="0"/>
    <n v="280.18"/>
    <n v="4211"/>
  </r>
  <r>
    <x v="0"/>
    <x v="8"/>
    <x v="7"/>
    <x v="123"/>
    <x v="108"/>
    <x v="108"/>
    <s v="REVENUS"/>
    <x v="11"/>
    <s v="4198.000"/>
    <s v="Contributions communales"/>
    <n v="0"/>
    <n v="555064.4"/>
    <n v="4198"/>
  </r>
  <r>
    <x v="0"/>
    <x v="8"/>
    <x v="7"/>
    <x v="123"/>
    <x v="108"/>
    <x v="108"/>
    <s v="REVENUS"/>
    <x v="6"/>
    <s v="4211.001"/>
    <s v="Intérêts de retard sur factures"/>
    <n v="0"/>
    <n v="43.77"/>
    <n v="4211"/>
  </r>
  <r>
    <x v="0"/>
    <x v="8"/>
    <x v="7"/>
    <x v="123"/>
    <x v="108"/>
    <x v="108"/>
    <s v="REVENUS"/>
    <x v="9"/>
    <s v="4031.002"/>
    <s v="Complément impôt sur les gains immobiliers"/>
    <n v="0"/>
    <n v="6708.3"/>
    <n v="4031"/>
  </r>
  <r>
    <x v="0"/>
    <x v="8"/>
    <x v="7"/>
    <x v="123"/>
    <x v="108"/>
    <x v="108"/>
    <s v="REVENUS"/>
    <x v="3"/>
    <s v="4002.002"/>
    <s v="Impôt complémentaire s/fortune PP"/>
    <n v="0"/>
    <n v="502.15"/>
    <n v="4002"/>
  </r>
  <r>
    <x v="0"/>
    <x v="8"/>
    <x v="7"/>
    <x v="123"/>
    <x v="108"/>
    <x v="108"/>
    <s v="REVENUS"/>
    <x v="2"/>
    <s v="4001.007"/>
    <s v="Acompte impôt sur revenu"/>
    <n v="0"/>
    <n v="-491.35"/>
    <n v="4001"/>
  </r>
  <r>
    <x v="0"/>
    <x v="8"/>
    <x v="7"/>
    <x v="123"/>
    <x v="108"/>
    <x v="108"/>
    <s v="REVENUS"/>
    <x v="2"/>
    <s v="4001.002"/>
    <s v="Impôt complément s/revenu PP"/>
    <n v="0"/>
    <n v="440.8"/>
    <n v="4001"/>
  </r>
  <r>
    <x v="0"/>
    <x v="8"/>
    <x v="7"/>
    <x v="123"/>
    <x v="108"/>
    <x v="108"/>
    <s v="REVENUS"/>
    <x v="2"/>
    <s v="4001.002"/>
    <s v="Impôt complément s/revenu PP"/>
    <n v="0"/>
    <n v="1965"/>
    <n v="4001"/>
  </r>
  <r>
    <x v="0"/>
    <x v="8"/>
    <x v="8"/>
    <x v="124"/>
    <x v="109"/>
    <x v="109"/>
    <s v="CHARGES"/>
    <x v="0"/>
    <s v="3212.002"/>
    <s v="Intérêts bonifiés/trop perçu acompte C/C"/>
    <n v="52.68"/>
    <n v="0"/>
    <n v="3212"/>
  </r>
  <r>
    <x v="0"/>
    <x v="8"/>
    <x v="8"/>
    <x v="124"/>
    <x v="109"/>
    <x v="109"/>
    <s v="CHARGES"/>
    <x v="0"/>
    <s v="3212.004"/>
    <s v="Intérêts rémun./perçu trop tôt sur acomptes C/C"/>
    <n v="1923.67"/>
    <n v="0"/>
    <n v="3212"/>
  </r>
  <r>
    <x v="0"/>
    <x v="8"/>
    <x v="8"/>
    <x v="124"/>
    <x v="109"/>
    <x v="109"/>
    <s v="CHARGES"/>
    <x v="0"/>
    <s v="3221.002"/>
    <s v="Intérêts compensatoires / créances en faveur ctb."/>
    <n v="862.82"/>
    <n v="0"/>
    <n v="3221"/>
  </r>
  <r>
    <x v="0"/>
    <x v="8"/>
    <x v="8"/>
    <x v="124"/>
    <x v="109"/>
    <x v="109"/>
    <s v="CHARGES"/>
    <x v="1"/>
    <s v="3301.001"/>
    <s v="Défalcations, abandons de solde PP et IS"/>
    <n v="235769.49"/>
    <n v="0"/>
    <n v="3301"/>
  </r>
  <r>
    <x v="0"/>
    <x v="8"/>
    <x v="8"/>
    <x v="124"/>
    <x v="109"/>
    <x v="109"/>
    <s v="CHARGES"/>
    <x v="1"/>
    <s v="3301.001"/>
    <s v="Défalcations, abandons de solde PP et IS"/>
    <n v="180"/>
    <n v="0"/>
    <n v="3301"/>
  </r>
  <r>
    <x v="0"/>
    <x v="8"/>
    <x v="8"/>
    <x v="124"/>
    <x v="109"/>
    <x v="109"/>
    <s v="CHARGES"/>
    <x v="0"/>
    <s v="3212.004"/>
    <s v="Intérêts rémun./perçu trop tôt sur acomptes C/C"/>
    <n v="7.66"/>
    <n v="0"/>
    <n v="3212"/>
  </r>
  <r>
    <x v="0"/>
    <x v="8"/>
    <x v="8"/>
    <x v="124"/>
    <x v="109"/>
    <x v="109"/>
    <s v="CHARGES"/>
    <x v="0"/>
    <s v="3221.002"/>
    <s v="Intérêts compensatoires / créances en faveur ctb."/>
    <n v="0.56000000000000005"/>
    <n v="0"/>
    <n v="3221"/>
  </r>
  <r>
    <x v="0"/>
    <x v="8"/>
    <x v="8"/>
    <x v="124"/>
    <x v="109"/>
    <x v="109"/>
    <s v="CHARGES"/>
    <x v="0"/>
    <s v="3212.004"/>
    <s v="Intérêts rémun./perçu trop tôt sur acomptes C/C"/>
    <n v="90.33"/>
    <n v="0"/>
    <n v="3212"/>
  </r>
  <r>
    <x v="0"/>
    <x v="8"/>
    <x v="8"/>
    <x v="124"/>
    <x v="109"/>
    <x v="109"/>
    <s v="CHARGES"/>
    <x v="0"/>
    <s v="3221.002"/>
    <s v="Intérêts compensatoires / créances en faveur ctb."/>
    <n v="120.21"/>
    <n v="0"/>
    <n v="3221"/>
  </r>
  <r>
    <x v="0"/>
    <x v="8"/>
    <x v="8"/>
    <x v="124"/>
    <x v="109"/>
    <x v="109"/>
    <s v="CHARGES"/>
    <x v="0"/>
    <s v="3212.004"/>
    <s v="Intérêts rémun./perçu trop tôt sur acomptes C/C"/>
    <n v="29.18"/>
    <n v="0"/>
    <n v="3212"/>
  </r>
  <r>
    <x v="0"/>
    <x v="8"/>
    <x v="8"/>
    <x v="124"/>
    <x v="109"/>
    <x v="109"/>
    <s v="CHARGES"/>
    <x v="1"/>
    <s v="3301.001"/>
    <s v="Défalcations, abandons de solde PP et IS"/>
    <n v="26.51"/>
    <n v="0"/>
    <n v="3301"/>
  </r>
  <r>
    <x v="0"/>
    <x v="8"/>
    <x v="8"/>
    <x v="124"/>
    <x v="109"/>
    <x v="109"/>
    <s v="CHARGES"/>
    <x v="1"/>
    <s v="3301.001"/>
    <s v="Défalcations, abandons de solde PP et IS"/>
    <n v="60444.4"/>
    <n v="0"/>
    <n v="3301"/>
  </r>
  <r>
    <x v="0"/>
    <x v="8"/>
    <x v="8"/>
    <x v="124"/>
    <x v="109"/>
    <x v="109"/>
    <s v="CHARGES"/>
    <x v="0"/>
    <s v="3212.002"/>
    <s v="Intérêts bonifiés/trop perçu acompte C/C"/>
    <n v="23.3"/>
    <n v="0"/>
    <n v="3212"/>
  </r>
  <r>
    <x v="0"/>
    <x v="8"/>
    <x v="8"/>
    <x v="124"/>
    <x v="109"/>
    <x v="109"/>
    <s v="CHARGES"/>
    <x v="0"/>
    <s v="3212.002"/>
    <s v="Intérêts bonifiés/trop perçu acompte C/C"/>
    <n v="-0.01"/>
    <n v="0"/>
    <n v="3212"/>
  </r>
  <r>
    <x v="0"/>
    <x v="8"/>
    <x v="8"/>
    <x v="124"/>
    <x v="109"/>
    <x v="109"/>
    <s v="CHARGES"/>
    <x v="0"/>
    <s v="3221.002"/>
    <s v="Intérêts compensatoires / créances en faveur ctb."/>
    <n v="11.78"/>
    <n v="0"/>
    <n v="3221"/>
  </r>
  <r>
    <x v="0"/>
    <x v="8"/>
    <x v="8"/>
    <x v="124"/>
    <x v="109"/>
    <x v="109"/>
    <s v="CHARGES"/>
    <x v="1"/>
    <s v="3301.001"/>
    <s v="Défalcations, abandons de solde PP et IS"/>
    <n v="3.47"/>
    <n v="0"/>
    <n v="3301"/>
  </r>
  <r>
    <x v="0"/>
    <x v="8"/>
    <x v="8"/>
    <x v="124"/>
    <x v="109"/>
    <x v="109"/>
    <s v="CHARGES"/>
    <x v="0"/>
    <s v="3212.002"/>
    <s v="Intérêts bonifiés/trop perçu acompte C/C"/>
    <n v="0.19"/>
    <n v="0"/>
    <n v="3212"/>
  </r>
  <r>
    <x v="0"/>
    <x v="8"/>
    <x v="8"/>
    <x v="124"/>
    <x v="109"/>
    <x v="109"/>
    <s v="CHARGES"/>
    <x v="0"/>
    <s v="3212.004"/>
    <s v="Intérêts rémun./perçu trop tôt sur acomptes C/C"/>
    <n v="74.12"/>
    <n v="0"/>
    <n v="3212"/>
  </r>
  <r>
    <x v="0"/>
    <x v="8"/>
    <x v="8"/>
    <x v="124"/>
    <x v="109"/>
    <x v="109"/>
    <s v="CHARGES"/>
    <x v="0"/>
    <s v="3221.002"/>
    <s v="Intérêts compensatoires / créances en faveur ctb."/>
    <n v="137.9"/>
    <n v="0"/>
    <n v="3221"/>
  </r>
  <r>
    <x v="0"/>
    <x v="8"/>
    <x v="8"/>
    <x v="124"/>
    <x v="109"/>
    <x v="109"/>
    <s v="CHARGES"/>
    <x v="0"/>
    <s v="3212.004"/>
    <s v="Intérêts rémun./perçu trop tôt sur acomptes C/C"/>
    <n v="1.1100000000000001"/>
    <n v="0"/>
    <n v="3212"/>
  </r>
  <r>
    <x v="0"/>
    <x v="8"/>
    <x v="8"/>
    <x v="124"/>
    <x v="109"/>
    <x v="109"/>
    <s v="CHARGES"/>
    <x v="0"/>
    <s v="3221.002"/>
    <s v="Intérêts compensatoires / créances en faveur ctb."/>
    <n v="0.08"/>
    <n v="0"/>
    <n v="3221"/>
  </r>
  <r>
    <x v="0"/>
    <x v="8"/>
    <x v="8"/>
    <x v="124"/>
    <x v="109"/>
    <x v="109"/>
    <s v="CHARGES"/>
    <x v="1"/>
    <s v="3301.001"/>
    <s v="Défalcations, abandons de solde PP et IS"/>
    <n v="0.03"/>
    <n v="0"/>
    <n v="3301"/>
  </r>
  <r>
    <x v="0"/>
    <x v="8"/>
    <x v="8"/>
    <x v="124"/>
    <x v="109"/>
    <x v="109"/>
    <s v="CHARGES"/>
    <x v="1"/>
    <s v="3301.001"/>
    <s v="Défalcations, abandons de solde PP et IS"/>
    <n v="4.92"/>
    <n v="0"/>
    <n v="3301"/>
  </r>
  <r>
    <x v="0"/>
    <x v="8"/>
    <x v="8"/>
    <x v="124"/>
    <x v="109"/>
    <x v="109"/>
    <s v="CHARGES"/>
    <x v="0"/>
    <s v="3212.002"/>
    <s v="Intérêts bonifiés/trop perçu acompte C/C"/>
    <n v="0.01"/>
    <n v="0"/>
    <n v="3212"/>
  </r>
  <r>
    <x v="0"/>
    <x v="8"/>
    <x v="8"/>
    <x v="124"/>
    <x v="109"/>
    <x v="109"/>
    <s v="CHARGES"/>
    <x v="0"/>
    <s v="3212.004"/>
    <s v="Intérêts rémun./perçu trop tôt sur acomptes C/C"/>
    <n v="1.8"/>
    <n v="0"/>
    <n v="3212"/>
  </r>
  <r>
    <x v="0"/>
    <x v="8"/>
    <x v="8"/>
    <x v="124"/>
    <x v="109"/>
    <x v="109"/>
    <s v="CHARGES"/>
    <x v="0"/>
    <s v="3221.002"/>
    <s v="Intérêts compensatoires / créances en faveur ctb."/>
    <n v="0.03"/>
    <n v="0"/>
    <n v="3221"/>
  </r>
  <r>
    <x v="0"/>
    <x v="8"/>
    <x v="8"/>
    <x v="124"/>
    <x v="109"/>
    <x v="109"/>
    <s v="CHARGES"/>
    <x v="1"/>
    <s v="3301.001"/>
    <s v="Défalcations, abandons de solde PP et IS"/>
    <n v="0.02"/>
    <n v="0"/>
    <n v="3301"/>
  </r>
  <r>
    <x v="0"/>
    <x v="8"/>
    <x v="8"/>
    <x v="124"/>
    <x v="109"/>
    <x v="109"/>
    <s v="CHARGES"/>
    <x v="1"/>
    <s v="3301.003"/>
    <s v="Remises PP et IS"/>
    <n v="11664.33"/>
    <n v="0"/>
    <n v="3301"/>
  </r>
  <r>
    <x v="0"/>
    <x v="8"/>
    <x v="8"/>
    <x v="124"/>
    <x v="109"/>
    <x v="109"/>
    <s v="CHARGES"/>
    <x v="0"/>
    <s v="3212.004"/>
    <s v="Intérêts rémun./perçu trop tôt sur acomptes C/C"/>
    <n v="3.22"/>
    <n v="0"/>
    <n v="3212"/>
  </r>
  <r>
    <x v="0"/>
    <x v="8"/>
    <x v="8"/>
    <x v="124"/>
    <x v="109"/>
    <x v="109"/>
    <s v="CHARGES"/>
    <x v="0"/>
    <s v="3221.002"/>
    <s v="Intérêts compensatoires / créances en faveur ctb."/>
    <n v="0.09"/>
    <n v="0"/>
    <n v="3221"/>
  </r>
  <r>
    <x v="0"/>
    <x v="8"/>
    <x v="8"/>
    <x v="124"/>
    <x v="109"/>
    <x v="109"/>
    <s v="REVENUS"/>
    <x v="8"/>
    <s v="4091.001"/>
    <s v="Impôt récupéré après défalcations"/>
    <n v="0"/>
    <n v="32960.32"/>
    <n v="4091"/>
  </r>
  <r>
    <x v="0"/>
    <x v="8"/>
    <x v="8"/>
    <x v="124"/>
    <x v="109"/>
    <x v="109"/>
    <s v="REVENUS"/>
    <x v="2"/>
    <s v="4001.003"/>
    <s v="Impôt s/prest. cap. PP"/>
    <n v="0"/>
    <n v="390693.15"/>
    <n v="4001"/>
  </r>
  <r>
    <x v="0"/>
    <x v="8"/>
    <x v="8"/>
    <x v="124"/>
    <x v="109"/>
    <x v="109"/>
    <s v="REVENUS"/>
    <x v="2"/>
    <s v="4001.007"/>
    <s v="Acompte impôt sur revenu"/>
    <n v="0"/>
    <n v="-155615.03"/>
    <n v="4001"/>
  </r>
  <r>
    <x v="0"/>
    <x v="8"/>
    <x v="8"/>
    <x v="124"/>
    <x v="109"/>
    <x v="109"/>
    <s v="REVENUS"/>
    <x v="3"/>
    <s v="4002.007"/>
    <s v="Acompte impôt sur fortune"/>
    <n v="0"/>
    <n v="-19575.64"/>
    <n v="4002"/>
  </r>
  <r>
    <x v="0"/>
    <x v="8"/>
    <x v="8"/>
    <x v="124"/>
    <x v="109"/>
    <x v="109"/>
    <s v="REVENUS"/>
    <x v="6"/>
    <s v="4211.001"/>
    <s v="Intérêts de retard sur factures"/>
    <n v="0"/>
    <n v="2888.46"/>
    <n v="4211"/>
  </r>
  <r>
    <x v="0"/>
    <x v="8"/>
    <x v="8"/>
    <x v="124"/>
    <x v="109"/>
    <x v="109"/>
    <s v="REVENUS"/>
    <x v="2"/>
    <s v="4001.001"/>
    <s v="Impôt revenu"/>
    <n v="0"/>
    <n v="9957803.8000000007"/>
    <n v="4001"/>
  </r>
  <r>
    <x v="0"/>
    <x v="8"/>
    <x v="8"/>
    <x v="124"/>
    <x v="109"/>
    <x v="109"/>
    <s v="REVENUS"/>
    <x v="2"/>
    <s v="4001.002"/>
    <s v="Impôt complément s/revenu PP"/>
    <n v="0"/>
    <n v="1945502.2"/>
    <n v="4001"/>
  </r>
  <r>
    <x v="0"/>
    <x v="8"/>
    <x v="8"/>
    <x v="124"/>
    <x v="109"/>
    <x v="109"/>
    <s v="REVENUS"/>
    <x v="3"/>
    <s v="4002.001"/>
    <s v="Impôt ordinaire s/fortune PP"/>
    <n v="0"/>
    <n v="1348186.95"/>
    <n v="4002"/>
  </r>
  <r>
    <x v="0"/>
    <x v="8"/>
    <x v="8"/>
    <x v="124"/>
    <x v="109"/>
    <x v="109"/>
    <s v="REVENUS"/>
    <x v="3"/>
    <s v="4002.002"/>
    <s v="Impôt complémentaire s/fortune PP"/>
    <n v="0"/>
    <n v="386495.95"/>
    <n v="4002"/>
  </r>
  <r>
    <x v="0"/>
    <x v="8"/>
    <x v="8"/>
    <x v="124"/>
    <x v="109"/>
    <x v="109"/>
    <s v="REVENUS"/>
    <x v="6"/>
    <s v="4211.001"/>
    <s v="Intérêts de retard sur factures"/>
    <n v="0"/>
    <n v="73897.740000000005"/>
    <n v="4211"/>
  </r>
  <r>
    <x v="0"/>
    <x v="8"/>
    <x v="8"/>
    <x v="124"/>
    <x v="109"/>
    <x v="109"/>
    <s v="REVENUS"/>
    <x v="6"/>
    <s v="4211.002"/>
    <s v="Intérêts de retard sur acomptes"/>
    <n v="0"/>
    <n v="77266.64"/>
    <n v="4211"/>
  </r>
  <r>
    <x v="0"/>
    <x v="8"/>
    <x v="8"/>
    <x v="124"/>
    <x v="109"/>
    <x v="109"/>
    <s v="REVENUS"/>
    <x v="6"/>
    <s v="4221.003"/>
    <s v="Intérêts compensat. / acomptes en faveur du fisc"/>
    <n v="0"/>
    <n v="1849.19"/>
    <n v="4221"/>
  </r>
  <r>
    <x v="0"/>
    <x v="8"/>
    <x v="8"/>
    <x v="124"/>
    <x v="109"/>
    <x v="109"/>
    <s v="REVENUS"/>
    <x v="2"/>
    <s v="4001.007"/>
    <s v="Acompte impôt sur revenu"/>
    <n v="0"/>
    <n v="-11910.66"/>
    <n v="4001"/>
  </r>
  <r>
    <x v="0"/>
    <x v="8"/>
    <x v="8"/>
    <x v="124"/>
    <x v="109"/>
    <x v="109"/>
    <s v="REVENUS"/>
    <x v="3"/>
    <s v="4002.007"/>
    <s v="Acompte impôt sur fortune"/>
    <n v="0"/>
    <n v="2902.94"/>
    <n v="4002"/>
  </r>
  <r>
    <x v="0"/>
    <x v="8"/>
    <x v="8"/>
    <x v="124"/>
    <x v="109"/>
    <x v="109"/>
    <s v="REVENUS"/>
    <x v="7"/>
    <s v="4184.000"/>
    <s v="Frais de poursuite"/>
    <n v="0"/>
    <n v="16735.939999999999"/>
    <n v="4184"/>
  </r>
  <r>
    <x v="0"/>
    <x v="8"/>
    <x v="8"/>
    <x v="124"/>
    <x v="109"/>
    <x v="109"/>
    <s v="REVENUS"/>
    <x v="3"/>
    <s v="4002.001"/>
    <s v="Impôt ordinaire s/fortune PP"/>
    <n v="0"/>
    <n v="37499.5"/>
    <n v="4002"/>
  </r>
  <r>
    <x v="0"/>
    <x v="8"/>
    <x v="8"/>
    <x v="124"/>
    <x v="109"/>
    <x v="109"/>
    <s v="REVENUS"/>
    <x v="6"/>
    <s v="4221.003"/>
    <s v="Intérêts compensat. / acomptes en faveur du fisc"/>
    <n v="0"/>
    <n v="-1.9"/>
    <n v="4221"/>
  </r>
  <r>
    <x v="0"/>
    <x v="8"/>
    <x v="8"/>
    <x v="124"/>
    <x v="109"/>
    <x v="109"/>
    <s v="REVENUS"/>
    <x v="3"/>
    <s v="4002.001"/>
    <s v="Impôt ordinaire s/fortune PP"/>
    <n v="0"/>
    <n v="6665.2"/>
    <n v="4002"/>
  </r>
  <r>
    <x v="0"/>
    <x v="8"/>
    <x v="8"/>
    <x v="124"/>
    <x v="109"/>
    <x v="109"/>
    <s v="REVENUS"/>
    <x v="2"/>
    <s v="4001.001"/>
    <s v="Impôt revenu"/>
    <n v="0"/>
    <n v="134347.65"/>
    <n v="4001"/>
  </r>
  <r>
    <x v="0"/>
    <x v="8"/>
    <x v="8"/>
    <x v="124"/>
    <x v="109"/>
    <x v="109"/>
    <s v="REVENUS"/>
    <x v="2"/>
    <s v="4001.007"/>
    <s v="Acompte impôt sur revenu"/>
    <n v="0"/>
    <n v="67241.7"/>
    <n v="4001"/>
  </r>
  <r>
    <x v="0"/>
    <x v="8"/>
    <x v="8"/>
    <x v="124"/>
    <x v="109"/>
    <x v="109"/>
    <s v="REVENUS"/>
    <x v="3"/>
    <s v="4002.007"/>
    <s v="Acompte impôt sur fortune"/>
    <n v="0"/>
    <n v="31083.09"/>
    <n v="4002"/>
  </r>
  <r>
    <x v="0"/>
    <x v="8"/>
    <x v="8"/>
    <x v="124"/>
    <x v="109"/>
    <x v="109"/>
    <s v="REVENUS"/>
    <x v="14"/>
    <s v="4003.010"/>
    <s v="IS - Employés et sourciers étrangers"/>
    <n v="0"/>
    <n v="952.9"/>
    <n v="4003"/>
  </r>
  <r>
    <x v="0"/>
    <x v="8"/>
    <x v="8"/>
    <x v="124"/>
    <x v="109"/>
    <x v="109"/>
    <s v="REVENUS"/>
    <x v="8"/>
    <s v="4091.001"/>
    <s v="Impôt récupéré après défalcations"/>
    <n v="0"/>
    <n v="14201.3"/>
    <n v="4091"/>
  </r>
  <r>
    <x v="0"/>
    <x v="8"/>
    <x v="8"/>
    <x v="124"/>
    <x v="109"/>
    <x v="109"/>
    <s v="REVENUS"/>
    <x v="6"/>
    <s v="4211.001"/>
    <s v="Intérêts de retard sur factures"/>
    <n v="0"/>
    <n v="690.48"/>
    <n v="4211"/>
  </r>
  <r>
    <x v="0"/>
    <x v="8"/>
    <x v="8"/>
    <x v="124"/>
    <x v="109"/>
    <x v="109"/>
    <s v="REVENUS"/>
    <x v="2"/>
    <s v="4001.001"/>
    <s v="Impôt revenu"/>
    <n v="0"/>
    <n v="129784.2"/>
    <n v="4001"/>
  </r>
  <r>
    <x v="0"/>
    <x v="8"/>
    <x v="8"/>
    <x v="124"/>
    <x v="109"/>
    <x v="109"/>
    <s v="REVENUS"/>
    <x v="2"/>
    <s v="4001.007"/>
    <s v="Acompte impôt sur revenu"/>
    <n v="0"/>
    <n v="-51606.04"/>
    <n v="4001"/>
  </r>
  <r>
    <x v="0"/>
    <x v="8"/>
    <x v="8"/>
    <x v="124"/>
    <x v="109"/>
    <x v="109"/>
    <s v="REVENUS"/>
    <x v="3"/>
    <s v="4002.001"/>
    <s v="Impôt ordinaire s/fortune PP"/>
    <n v="0"/>
    <n v="27469.4"/>
    <n v="4002"/>
  </r>
  <r>
    <x v="0"/>
    <x v="8"/>
    <x v="8"/>
    <x v="124"/>
    <x v="109"/>
    <x v="109"/>
    <s v="REVENUS"/>
    <x v="3"/>
    <s v="4002.007"/>
    <s v="Acompte impôt sur fortune"/>
    <n v="0"/>
    <n v="-1884.74"/>
    <n v="4002"/>
  </r>
  <r>
    <x v="0"/>
    <x v="8"/>
    <x v="8"/>
    <x v="124"/>
    <x v="109"/>
    <x v="109"/>
    <s v="REVENUS"/>
    <x v="6"/>
    <s v="4211.002"/>
    <s v="Intérêts de retard sur acomptes"/>
    <n v="0"/>
    <n v="1242.6199999999999"/>
    <n v="4211"/>
  </r>
  <r>
    <x v="0"/>
    <x v="8"/>
    <x v="8"/>
    <x v="124"/>
    <x v="109"/>
    <x v="109"/>
    <s v="REVENUS"/>
    <x v="6"/>
    <s v="4221.003"/>
    <s v="Intérêts compensat. / acomptes en faveur du fisc"/>
    <n v="0"/>
    <n v="31.87"/>
    <n v="4221"/>
  </r>
  <r>
    <x v="0"/>
    <x v="8"/>
    <x v="8"/>
    <x v="124"/>
    <x v="109"/>
    <x v="109"/>
    <s v="REVENUS"/>
    <x v="10"/>
    <s v="4041.001"/>
    <s v="Droits de mutation"/>
    <n v="0"/>
    <n v="432255.75"/>
    <n v="4041"/>
  </r>
  <r>
    <x v="0"/>
    <x v="8"/>
    <x v="8"/>
    <x v="124"/>
    <x v="109"/>
    <x v="109"/>
    <s v="REVENUS"/>
    <x v="6"/>
    <s v="4221.002"/>
    <s v="Intérêts compensat. sur impôts distincts"/>
    <n v="0"/>
    <n v="1141.03"/>
    <n v="4221"/>
  </r>
  <r>
    <x v="0"/>
    <x v="8"/>
    <x v="8"/>
    <x v="124"/>
    <x v="109"/>
    <x v="109"/>
    <s v="REVENUS"/>
    <x v="2"/>
    <s v="4001.007"/>
    <s v="Acompte impôt sur revenu"/>
    <n v="0"/>
    <n v="15438.29"/>
    <n v="4001"/>
  </r>
  <r>
    <x v="0"/>
    <x v="8"/>
    <x v="8"/>
    <x v="124"/>
    <x v="109"/>
    <x v="109"/>
    <s v="REVENUS"/>
    <x v="3"/>
    <s v="4002.007"/>
    <s v="Acompte impôt sur fortune"/>
    <n v="0"/>
    <n v="1837.19"/>
    <n v="4002"/>
  </r>
  <r>
    <x v="0"/>
    <x v="8"/>
    <x v="8"/>
    <x v="124"/>
    <x v="109"/>
    <x v="109"/>
    <s v="REVENUS"/>
    <x v="7"/>
    <s v="4184.000"/>
    <s v="Frais de poursuite"/>
    <n v="0"/>
    <n v="3119.32"/>
    <n v="4184"/>
  </r>
  <r>
    <x v="0"/>
    <x v="8"/>
    <x v="8"/>
    <x v="124"/>
    <x v="109"/>
    <x v="109"/>
    <s v="REVENUS"/>
    <x v="2"/>
    <s v="4001.007"/>
    <s v="Acompte impôt sur revenu"/>
    <n v="0"/>
    <n v="-58445.24"/>
    <n v="4001"/>
  </r>
  <r>
    <x v="0"/>
    <x v="8"/>
    <x v="8"/>
    <x v="124"/>
    <x v="109"/>
    <x v="109"/>
    <s v="REVENUS"/>
    <x v="3"/>
    <s v="4002.007"/>
    <s v="Acompte impôt sur fortune"/>
    <n v="0"/>
    <n v="-3391.25"/>
    <n v="4002"/>
  </r>
  <r>
    <x v="0"/>
    <x v="8"/>
    <x v="8"/>
    <x v="124"/>
    <x v="109"/>
    <x v="109"/>
    <s v="REVENUS"/>
    <x v="2"/>
    <s v="4001.002"/>
    <s v="Impôt complément s/revenu PP"/>
    <n v="0"/>
    <n v="42819.1"/>
    <n v="4001"/>
  </r>
  <r>
    <x v="0"/>
    <x v="8"/>
    <x v="8"/>
    <x v="124"/>
    <x v="109"/>
    <x v="109"/>
    <s v="REVENUS"/>
    <x v="3"/>
    <s v="4002.002"/>
    <s v="Impôt complémentaire s/fortune PP"/>
    <n v="0"/>
    <n v="20244.400000000001"/>
    <n v="4002"/>
  </r>
  <r>
    <x v="0"/>
    <x v="8"/>
    <x v="8"/>
    <x v="124"/>
    <x v="109"/>
    <x v="109"/>
    <s v="REVENUS"/>
    <x v="6"/>
    <s v="4211.002"/>
    <s v="Intérêts de retard sur acomptes"/>
    <n v="0"/>
    <n v="2320.2800000000002"/>
    <n v="4211"/>
  </r>
  <r>
    <x v="0"/>
    <x v="8"/>
    <x v="8"/>
    <x v="124"/>
    <x v="109"/>
    <x v="109"/>
    <s v="REVENUS"/>
    <x v="5"/>
    <s v="4061.000"/>
    <s v="Impôt sur les chiens"/>
    <n v="0"/>
    <n v="60075"/>
    <n v="4061"/>
  </r>
  <r>
    <x v="0"/>
    <x v="8"/>
    <x v="8"/>
    <x v="124"/>
    <x v="109"/>
    <x v="109"/>
    <s v="REVENUS"/>
    <x v="6"/>
    <s v="4211.001"/>
    <s v="Intérêts de retard sur factures"/>
    <n v="0"/>
    <n v="190.67"/>
    <n v="4211"/>
  </r>
  <r>
    <x v="0"/>
    <x v="8"/>
    <x v="8"/>
    <x v="124"/>
    <x v="109"/>
    <x v="109"/>
    <s v="REVENUS"/>
    <x v="9"/>
    <s v="4031.001"/>
    <s v="Impôt sur les gains immobiliers"/>
    <n v="0"/>
    <n v="247776.75"/>
    <n v="4031"/>
  </r>
  <r>
    <x v="0"/>
    <x v="8"/>
    <x v="8"/>
    <x v="124"/>
    <x v="109"/>
    <x v="109"/>
    <s v="REVENUS"/>
    <x v="2"/>
    <s v="4001.007"/>
    <s v="Acompte impôt sur revenu"/>
    <n v="0"/>
    <n v="1871.6"/>
    <n v="4001"/>
  </r>
  <r>
    <x v="0"/>
    <x v="8"/>
    <x v="8"/>
    <x v="124"/>
    <x v="109"/>
    <x v="109"/>
    <s v="REVENUS"/>
    <x v="3"/>
    <s v="4002.007"/>
    <s v="Acompte impôt sur fortune"/>
    <n v="0"/>
    <n v="-208.1"/>
    <n v="4002"/>
  </r>
  <r>
    <x v="0"/>
    <x v="8"/>
    <x v="8"/>
    <x v="124"/>
    <x v="109"/>
    <x v="109"/>
    <s v="REVENUS"/>
    <x v="6"/>
    <s v="4211.002"/>
    <s v="Intérêts de retard sur acomptes"/>
    <n v="0"/>
    <n v="1150.5"/>
    <n v="4211"/>
  </r>
  <r>
    <x v="0"/>
    <x v="8"/>
    <x v="8"/>
    <x v="124"/>
    <x v="109"/>
    <x v="109"/>
    <s v="REVENUS"/>
    <x v="3"/>
    <s v="4002.002"/>
    <s v="Impôt complémentaire s/fortune PP"/>
    <n v="0"/>
    <n v="1073.8499999999999"/>
    <n v="4002"/>
  </r>
  <r>
    <x v="0"/>
    <x v="8"/>
    <x v="8"/>
    <x v="124"/>
    <x v="109"/>
    <x v="109"/>
    <s v="REVENUS"/>
    <x v="2"/>
    <s v="4001.001"/>
    <s v="Impôt revenu"/>
    <n v="0"/>
    <n v="40197.800000000003"/>
    <n v="4001"/>
  </r>
  <r>
    <x v="0"/>
    <x v="8"/>
    <x v="8"/>
    <x v="124"/>
    <x v="109"/>
    <x v="109"/>
    <s v="REVENUS"/>
    <x v="2"/>
    <s v="4001.007"/>
    <s v="Acompte impôt sur revenu"/>
    <n v="0"/>
    <n v="1084.3399999999999"/>
    <n v="4001"/>
  </r>
  <r>
    <x v="0"/>
    <x v="8"/>
    <x v="8"/>
    <x v="124"/>
    <x v="109"/>
    <x v="109"/>
    <s v="REVENUS"/>
    <x v="3"/>
    <s v="4002.007"/>
    <s v="Acompte impôt sur fortune"/>
    <n v="0"/>
    <n v="-348.21"/>
    <n v="4002"/>
  </r>
  <r>
    <x v="0"/>
    <x v="8"/>
    <x v="8"/>
    <x v="124"/>
    <x v="109"/>
    <x v="109"/>
    <s v="REVENUS"/>
    <x v="7"/>
    <s v="4184.000"/>
    <s v="Frais de poursuite"/>
    <n v="0"/>
    <n v="15.17"/>
    <n v="4184"/>
  </r>
  <r>
    <x v="0"/>
    <x v="8"/>
    <x v="8"/>
    <x v="124"/>
    <x v="109"/>
    <x v="109"/>
    <s v="REVENUS"/>
    <x v="3"/>
    <s v="4002.001"/>
    <s v="Impôt ordinaire s/fortune PP"/>
    <n v="0"/>
    <n v="12196.25"/>
    <n v="4002"/>
  </r>
  <r>
    <x v="0"/>
    <x v="8"/>
    <x v="8"/>
    <x v="124"/>
    <x v="109"/>
    <x v="109"/>
    <s v="REVENUS"/>
    <x v="2"/>
    <s v="4001.007"/>
    <s v="Acompte impôt sur revenu"/>
    <n v="0"/>
    <n v="-529.85"/>
    <n v="4001"/>
  </r>
  <r>
    <x v="0"/>
    <x v="8"/>
    <x v="8"/>
    <x v="124"/>
    <x v="109"/>
    <x v="109"/>
    <s v="REVENUS"/>
    <x v="3"/>
    <s v="4002.007"/>
    <s v="Acompte impôt sur fortune"/>
    <n v="0"/>
    <n v="-224.7"/>
    <n v="4002"/>
  </r>
  <r>
    <x v="0"/>
    <x v="8"/>
    <x v="8"/>
    <x v="124"/>
    <x v="109"/>
    <x v="109"/>
    <s v="REVENUS"/>
    <x v="2"/>
    <s v="4001.001"/>
    <s v="Impôt revenu"/>
    <n v="0"/>
    <n v="24812.7"/>
    <n v="4001"/>
  </r>
  <r>
    <x v="0"/>
    <x v="8"/>
    <x v="8"/>
    <x v="124"/>
    <x v="109"/>
    <x v="109"/>
    <s v="REVENUS"/>
    <x v="6"/>
    <s v="4211.002"/>
    <s v="Intérêts de retard sur acomptes"/>
    <n v="0"/>
    <n v="264.41000000000003"/>
    <n v="4211"/>
  </r>
  <r>
    <x v="0"/>
    <x v="8"/>
    <x v="8"/>
    <x v="124"/>
    <x v="109"/>
    <x v="109"/>
    <s v="REVENUS"/>
    <x v="2"/>
    <s v="4001.001"/>
    <s v="Impôt revenu"/>
    <n v="0"/>
    <n v="1575.25"/>
    <n v="4001"/>
  </r>
  <r>
    <x v="0"/>
    <x v="8"/>
    <x v="8"/>
    <x v="124"/>
    <x v="109"/>
    <x v="109"/>
    <s v="REVENUS"/>
    <x v="3"/>
    <s v="4002.001"/>
    <s v="Impôt ordinaire s/fortune PP"/>
    <n v="0"/>
    <n v="608.9"/>
    <n v="4002"/>
  </r>
  <r>
    <x v="0"/>
    <x v="8"/>
    <x v="8"/>
    <x v="124"/>
    <x v="109"/>
    <x v="109"/>
    <s v="REVENUS"/>
    <x v="6"/>
    <s v="4221.003"/>
    <s v="Intérêts compensat. / acomptes en faveur du fisc"/>
    <n v="0"/>
    <n v="0.26"/>
    <n v="4221"/>
  </r>
  <r>
    <x v="0"/>
    <x v="8"/>
    <x v="8"/>
    <x v="124"/>
    <x v="109"/>
    <x v="109"/>
    <s v="REVENUS"/>
    <x v="9"/>
    <s v="4031.002"/>
    <s v="Complément impôt sur les gains immobiliers"/>
    <n v="0"/>
    <n v="160118.75"/>
    <n v="4031"/>
  </r>
  <r>
    <x v="0"/>
    <x v="8"/>
    <x v="8"/>
    <x v="124"/>
    <x v="109"/>
    <x v="109"/>
    <s v="REVENUS"/>
    <x v="6"/>
    <s v="4221.003"/>
    <s v="Intérêts compensat. / acomptes en faveur du fisc"/>
    <n v="0"/>
    <n v="106.73"/>
    <n v="4221"/>
  </r>
  <r>
    <x v="0"/>
    <x v="8"/>
    <x v="8"/>
    <x v="124"/>
    <x v="109"/>
    <x v="109"/>
    <s v="REVENUS"/>
    <x v="3"/>
    <s v="4002.002"/>
    <s v="Impôt complémentaire s/fortune PP"/>
    <n v="0"/>
    <n v="168.15"/>
    <n v="4002"/>
  </r>
  <r>
    <x v="0"/>
    <x v="8"/>
    <x v="8"/>
    <x v="124"/>
    <x v="109"/>
    <x v="109"/>
    <s v="REVENUS"/>
    <x v="6"/>
    <s v="4211.001"/>
    <s v="Intérêts de retard sur factures"/>
    <n v="0"/>
    <n v="0.68"/>
    <n v="4211"/>
  </r>
  <r>
    <x v="0"/>
    <x v="8"/>
    <x v="8"/>
    <x v="124"/>
    <x v="109"/>
    <x v="109"/>
    <s v="REVENUS"/>
    <x v="6"/>
    <s v="4211.002"/>
    <s v="Intérêts de retard sur acomptes"/>
    <n v="0"/>
    <n v="-0.1"/>
    <n v="4211"/>
  </r>
  <r>
    <x v="0"/>
    <x v="8"/>
    <x v="8"/>
    <x v="124"/>
    <x v="109"/>
    <x v="109"/>
    <s v="REVENUS"/>
    <x v="6"/>
    <s v="4221.003"/>
    <s v="Intérêts compensat. / acomptes en faveur du fisc"/>
    <n v="0"/>
    <n v="8.1"/>
    <n v="4221"/>
  </r>
  <r>
    <x v="0"/>
    <x v="8"/>
    <x v="8"/>
    <x v="124"/>
    <x v="109"/>
    <x v="109"/>
    <s v="REVENUS"/>
    <x v="2"/>
    <s v="4001.002"/>
    <s v="Impôt complément s/revenu PP"/>
    <n v="0"/>
    <n v="7396.15"/>
    <n v="4001"/>
  </r>
  <r>
    <x v="0"/>
    <x v="8"/>
    <x v="8"/>
    <x v="124"/>
    <x v="109"/>
    <x v="109"/>
    <s v="REVENUS"/>
    <x v="2"/>
    <s v="4001.001"/>
    <s v="Impôt revenu"/>
    <n v="0"/>
    <n v="587.45000000000005"/>
    <n v="4001"/>
  </r>
  <r>
    <x v="0"/>
    <x v="8"/>
    <x v="8"/>
    <x v="124"/>
    <x v="109"/>
    <x v="109"/>
    <s v="REVENUS"/>
    <x v="3"/>
    <s v="4002.001"/>
    <s v="Impôt ordinaire s/fortune PP"/>
    <n v="0"/>
    <n v="1731.35"/>
    <n v="4002"/>
  </r>
  <r>
    <x v="0"/>
    <x v="8"/>
    <x v="8"/>
    <x v="124"/>
    <x v="109"/>
    <x v="109"/>
    <s v="REVENUS"/>
    <x v="8"/>
    <s v="4091.001"/>
    <s v="Impôt récupéré après défalcations"/>
    <n v="0"/>
    <n v="73.89"/>
    <n v="4091"/>
  </r>
  <r>
    <x v="0"/>
    <x v="8"/>
    <x v="8"/>
    <x v="124"/>
    <x v="109"/>
    <x v="109"/>
    <s v="REVENUS"/>
    <x v="2"/>
    <s v="4001.005"/>
    <s v="Amende de soustract. Impôt"/>
    <n v="0"/>
    <n v="18500"/>
    <n v="4001"/>
  </r>
  <r>
    <x v="0"/>
    <x v="8"/>
    <x v="8"/>
    <x v="124"/>
    <x v="109"/>
    <x v="109"/>
    <s v="REVENUS"/>
    <x v="6"/>
    <s v="4211.001"/>
    <s v="Intérêts de retard sur factures"/>
    <n v="0"/>
    <n v="516.66999999999996"/>
    <n v="4211"/>
  </r>
  <r>
    <x v="0"/>
    <x v="8"/>
    <x v="8"/>
    <x v="124"/>
    <x v="109"/>
    <x v="109"/>
    <s v="REVENUS"/>
    <x v="7"/>
    <s v="4184.000"/>
    <s v="Frais de poursuite"/>
    <n v="0"/>
    <n v="90.96"/>
    <n v="4184"/>
  </r>
  <r>
    <x v="0"/>
    <x v="8"/>
    <x v="8"/>
    <x v="124"/>
    <x v="109"/>
    <x v="109"/>
    <s v="REVENUS"/>
    <x v="2"/>
    <s v="4001.001"/>
    <s v="Impôt revenu"/>
    <n v="0"/>
    <n v="-9103"/>
    <n v="4001"/>
  </r>
  <r>
    <x v="0"/>
    <x v="8"/>
    <x v="8"/>
    <x v="124"/>
    <x v="109"/>
    <x v="109"/>
    <s v="REVENUS"/>
    <x v="3"/>
    <s v="4002.001"/>
    <s v="Impôt ordinaire s/fortune PP"/>
    <n v="0"/>
    <n v="-6149.05"/>
    <n v="4002"/>
  </r>
  <r>
    <x v="0"/>
    <x v="8"/>
    <x v="8"/>
    <x v="124"/>
    <x v="109"/>
    <x v="109"/>
    <s v="REVENUS"/>
    <x v="3"/>
    <s v="4002.002"/>
    <s v="Impôt complémentaire s/fortune PP"/>
    <n v="0"/>
    <n v="-1128.45"/>
    <n v="4002"/>
  </r>
  <r>
    <x v="0"/>
    <x v="8"/>
    <x v="8"/>
    <x v="124"/>
    <x v="109"/>
    <x v="109"/>
    <s v="REVENUS"/>
    <x v="6"/>
    <s v="4211.001"/>
    <s v="Intérêts de retard sur factures"/>
    <n v="0"/>
    <n v="0.03"/>
    <n v="4211"/>
  </r>
  <r>
    <x v="0"/>
    <x v="8"/>
    <x v="8"/>
    <x v="124"/>
    <x v="109"/>
    <x v="109"/>
    <s v="REVENUS"/>
    <x v="6"/>
    <s v="4211.002"/>
    <s v="Intérêts de retard sur acomptes"/>
    <n v="0"/>
    <n v="144.01"/>
    <n v="4211"/>
  </r>
  <r>
    <x v="0"/>
    <x v="8"/>
    <x v="8"/>
    <x v="124"/>
    <x v="109"/>
    <x v="109"/>
    <s v="REVENUS"/>
    <x v="6"/>
    <s v="4221.003"/>
    <s v="Intérêts compensat. / acomptes en faveur du fisc"/>
    <n v="0"/>
    <n v="0.01"/>
    <n v="4221"/>
  </r>
  <r>
    <x v="0"/>
    <x v="8"/>
    <x v="8"/>
    <x v="124"/>
    <x v="109"/>
    <x v="109"/>
    <s v="REVENUS"/>
    <x v="4"/>
    <s v="4051.001"/>
    <s v="Impôt sur les successions"/>
    <n v="0"/>
    <n v="122029.7"/>
    <n v="4051"/>
  </r>
  <r>
    <x v="0"/>
    <x v="8"/>
    <x v="8"/>
    <x v="124"/>
    <x v="109"/>
    <x v="109"/>
    <s v="REVENUS"/>
    <x v="3"/>
    <s v="4002.002"/>
    <s v="Impôt complémentaire s/fortune PP"/>
    <n v="0"/>
    <n v="1173.2"/>
    <n v="4002"/>
  </r>
  <r>
    <x v="0"/>
    <x v="8"/>
    <x v="8"/>
    <x v="124"/>
    <x v="109"/>
    <x v="109"/>
    <s v="REVENUS"/>
    <x v="2"/>
    <s v="4001.002"/>
    <s v="Impôt complément s/revenu PP"/>
    <n v="0"/>
    <n v="1217.0999999999999"/>
    <n v="4001"/>
  </r>
  <r>
    <x v="0"/>
    <x v="8"/>
    <x v="8"/>
    <x v="124"/>
    <x v="109"/>
    <x v="109"/>
    <s v="REVENUS"/>
    <x v="7"/>
    <s v="4184.000"/>
    <s v="Frais de poursuite"/>
    <n v="0"/>
    <n v="36.119999999999997"/>
    <n v="4184"/>
  </r>
  <r>
    <x v="0"/>
    <x v="8"/>
    <x v="7"/>
    <x v="125"/>
    <x v="110"/>
    <x v="110"/>
    <s v="CHARGES"/>
    <x v="1"/>
    <s v="3301.001"/>
    <s v="Défalcations, abandons de solde PP et IS"/>
    <n v="261816.04"/>
    <n v="0"/>
    <n v="3301"/>
  </r>
  <r>
    <x v="0"/>
    <x v="8"/>
    <x v="7"/>
    <x v="125"/>
    <x v="110"/>
    <x v="110"/>
    <s v="CHARGES"/>
    <x v="0"/>
    <s v="3212.002"/>
    <s v="Intérêts bonifiés/trop perçu acompte C/C"/>
    <n v="1107.29"/>
    <n v="0"/>
    <n v="3212"/>
  </r>
  <r>
    <x v="0"/>
    <x v="8"/>
    <x v="7"/>
    <x v="125"/>
    <x v="110"/>
    <x v="110"/>
    <s v="CHARGES"/>
    <x v="0"/>
    <s v="3212.004"/>
    <s v="Intérêts rémun./perçu trop tôt sur acomptes C/C"/>
    <n v="5733.78"/>
    <n v="0"/>
    <n v="3212"/>
  </r>
  <r>
    <x v="0"/>
    <x v="8"/>
    <x v="7"/>
    <x v="125"/>
    <x v="110"/>
    <x v="110"/>
    <s v="CHARGES"/>
    <x v="0"/>
    <s v="3221.002"/>
    <s v="Intérêts compensatoires / créances en faveur ctb."/>
    <n v="2467.7199999999998"/>
    <n v="0"/>
    <n v="3221"/>
  </r>
  <r>
    <x v="0"/>
    <x v="8"/>
    <x v="7"/>
    <x v="125"/>
    <x v="110"/>
    <x v="110"/>
    <s v="CHARGES"/>
    <x v="0"/>
    <s v="3212.004"/>
    <s v="Intérêts rémun./perçu trop tôt sur acomptes C/C"/>
    <n v="6.24"/>
    <n v="0"/>
    <n v="3212"/>
  </r>
  <r>
    <x v="0"/>
    <x v="8"/>
    <x v="7"/>
    <x v="125"/>
    <x v="110"/>
    <x v="110"/>
    <s v="CHARGES"/>
    <x v="0"/>
    <s v="3212.004"/>
    <s v="Intérêts rémun./perçu trop tôt sur acomptes C/C"/>
    <n v="16.329999999999998"/>
    <n v="0"/>
    <n v="3212"/>
  </r>
  <r>
    <x v="0"/>
    <x v="8"/>
    <x v="7"/>
    <x v="125"/>
    <x v="110"/>
    <x v="110"/>
    <s v="CHARGES"/>
    <x v="0"/>
    <s v="3221.002"/>
    <s v="Intérêts compensatoires / créances en faveur ctb."/>
    <n v="1.99"/>
    <n v="0"/>
    <n v="3221"/>
  </r>
  <r>
    <x v="0"/>
    <x v="8"/>
    <x v="7"/>
    <x v="125"/>
    <x v="110"/>
    <x v="110"/>
    <s v="CHARGES"/>
    <x v="0"/>
    <s v="3212.004"/>
    <s v="Intérêts rémun./perçu trop tôt sur acomptes C/C"/>
    <n v="85.34"/>
    <n v="0"/>
    <n v="3212"/>
  </r>
  <r>
    <x v="0"/>
    <x v="8"/>
    <x v="7"/>
    <x v="125"/>
    <x v="110"/>
    <x v="110"/>
    <s v="CHARGES"/>
    <x v="0"/>
    <s v="3221.002"/>
    <s v="Intérêts compensatoires / créances en faveur ctb."/>
    <n v="14.43"/>
    <n v="0"/>
    <n v="3221"/>
  </r>
  <r>
    <x v="0"/>
    <x v="8"/>
    <x v="7"/>
    <x v="125"/>
    <x v="110"/>
    <x v="110"/>
    <s v="CHARGES"/>
    <x v="0"/>
    <s v="3212.004"/>
    <s v="Intérêts rémun./perçu trop tôt sur acomptes C/C"/>
    <n v="6.59"/>
    <n v="0"/>
    <n v="3212"/>
  </r>
  <r>
    <x v="0"/>
    <x v="8"/>
    <x v="7"/>
    <x v="125"/>
    <x v="110"/>
    <x v="110"/>
    <s v="CHARGES"/>
    <x v="1"/>
    <s v="3301.001"/>
    <s v="Défalcations, abandons de solde PP et IS"/>
    <n v="664.99"/>
    <n v="0"/>
    <n v="3301"/>
  </r>
  <r>
    <x v="0"/>
    <x v="8"/>
    <x v="7"/>
    <x v="125"/>
    <x v="110"/>
    <x v="110"/>
    <s v="CHARGES"/>
    <x v="1"/>
    <s v="3301.001"/>
    <s v="Défalcations, abandons de solde PP et IS"/>
    <n v="2374.56"/>
    <n v="0"/>
    <n v="3301"/>
  </r>
  <r>
    <x v="0"/>
    <x v="8"/>
    <x v="7"/>
    <x v="125"/>
    <x v="110"/>
    <x v="110"/>
    <s v="CHARGES"/>
    <x v="0"/>
    <s v="3212.004"/>
    <s v="Intérêts rémun./perçu trop tôt sur acomptes C/C"/>
    <n v="48.2"/>
    <n v="0"/>
    <n v="3212"/>
  </r>
  <r>
    <x v="0"/>
    <x v="8"/>
    <x v="7"/>
    <x v="125"/>
    <x v="110"/>
    <x v="110"/>
    <s v="CHARGES"/>
    <x v="0"/>
    <s v="3221.002"/>
    <s v="Intérêts compensatoires / créances en faveur ctb."/>
    <n v="18.36"/>
    <n v="0"/>
    <n v="3221"/>
  </r>
  <r>
    <x v="0"/>
    <x v="8"/>
    <x v="7"/>
    <x v="125"/>
    <x v="110"/>
    <x v="110"/>
    <s v="CHARGES"/>
    <x v="1"/>
    <s v="3301.001"/>
    <s v="Défalcations, abandons de solde PP et IS"/>
    <n v="2261.39"/>
    <n v="0"/>
    <n v="3301"/>
  </r>
  <r>
    <x v="0"/>
    <x v="8"/>
    <x v="7"/>
    <x v="125"/>
    <x v="110"/>
    <x v="110"/>
    <s v="CHARGES"/>
    <x v="0"/>
    <s v="3212.002"/>
    <s v="Intérêts bonifiés/trop perçu acompte C/C"/>
    <n v="74.19"/>
    <n v="0"/>
    <n v="3212"/>
  </r>
  <r>
    <x v="0"/>
    <x v="8"/>
    <x v="7"/>
    <x v="125"/>
    <x v="110"/>
    <x v="110"/>
    <s v="CHARGES"/>
    <x v="1"/>
    <s v="3301.001"/>
    <s v="Défalcations, abandons de solde PP et IS"/>
    <n v="7.43"/>
    <n v="0"/>
    <n v="3301"/>
  </r>
  <r>
    <x v="0"/>
    <x v="8"/>
    <x v="7"/>
    <x v="125"/>
    <x v="110"/>
    <x v="110"/>
    <s v="CHARGES"/>
    <x v="0"/>
    <s v="3212.002"/>
    <s v="Intérêts bonifiés/trop perçu acompte C/C"/>
    <n v="51.13"/>
    <n v="0"/>
    <n v="3212"/>
  </r>
  <r>
    <x v="0"/>
    <x v="8"/>
    <x v="7"/>
    <x v="125"/>
    <x v="110"/>
    <x v="110"/>
    <s v="CHARGES"/>
    <x v="0"/>
    <s v="3212.004"/>
    <s v="Intérêts rémun./perçu trop tôt sur acomptes C/C"/>
    <n v="-7.55"/>
    <n v="0"/>
    <n v="3212"/>
  </r>
  <r>
    <x v="0"/>
    <x v="8"/>
    <x v="7"/>
    <x v="125"/>
    <x v="110"/>
    <x v="110"/>
    <s v="CHARGES"/>
    <x v="0"/>
    <s v="3221.002"/>
    <s v="Intérêts compensatoires / créances en faveur ctb."/>
    <n v="-0.71"/>
    <n v="0"/>
    <n v="3221"/>
  </r>
  <r>
    <x v="0"/>
    <x v="8"/>
    <x v="7"/>
    <x v="125"/>
    <x v="110"/>
    <x v="110"/>
    <s v="CHARGES"/>
    <x v="1"/>
    <s v="3301.001"/>
    <s v="Défalcations, abandons de solde PP et IS"/>
    <n v="-0.01"/>
    <n v="0"/>
    <n v="3301"/>
  </r>
  <r>
    <x v="0"/>
    <x v="8"/>
    <x v="7"/>
    <x v="125"/>
    <x v="110"/>
    <x v="110"/>
    <s v="CHARGES"/>
    <x v="0"/>
    <s v="3212.002"/>
    <s v="Intérêts bonifiés/trop perçu acompte C/C"/>
    <n v="2.2400000000000002"/>
    <n v="0"/>
    <n v="3212"/>
  </r>
  <r>
    <x v="0"/>
    <x v="8"/>
    <x v="7"/>
    <x v="125"/>
    <x v="110"/>
    <x v="110"/>
    <s v="CHARGES"/>
    <x v="0"/>
    <s v="3212.002"/>
    <s v="Intérêts bonifiés/trop perçu acompte C/C"/>
    <n v="2.08"/>
    <n v="0"/>
    <n v="3212"/>
  </r>
  <r>
    <x v="0"/>
    <x v="8"/>
    <x v="7"/>
    <x v="125"/>
    <x v="110"/>
    <x v="110"/>
    <s v="CHARGES"/>
    <x v="1"/>
    <s v="3301.001"/>
    <s v="Défalcations, abandons de solde PP et IS"/>
    <n v="7366.1"/>
    <n v="0"/>
    <n v="3301"/>
  </r>
  <r>
    <x v="0"/>
    <x v="8"/>
    <x v="7"/>
    <x v="125"/>
    <x v="110"/>
    <x v="110"/>
    <s v="CHARGES"/>
    <x v="0"/>
    <s v="3221.002"/>
    <s v="Intérêts compensatoires / créances en faveur ctb."/>
    <n v="2.4700000000000002"/>
    <n v="0"/>
    <n v="3221"/>
  </r>
  <r>
    <x v="0"/>
    <x v="8"/>
    <x v="7"/>
    <x v="125"/>
    <x v="110"/>
    <x v="110"/>
    <s v="CHARGES"/>
    <x v="0"/>
    <s v="3221.002"/>
    <s v="Intérêts compensatoires / créances en faveur ctb."/>
    <n v="3.21"/>
    <n v="0"/>
    <n v="3221"/>
  </r>
  <r>
    <x v="0"/>
    <x v="8"/>
    <x v="7"/>
    <x v="125"/>
    <x v="110"/>
    <x v="110"/>
    <s v="CHARGES"/>
    <x v="1"/>
    <s v="3301.001"/>
    <s v="Défalcations, abandons de solde PP et IS"/>
    <n v="0.26"/>
    <n v="0"/>
    <n v="3301"/>
  </r>
  <r>
    <x v="0"/>
    <x v="8"/>
    <x v="7"/>
    <x v="125"/>
    <x v="110"/>
    <x v="110"/>
    <s v="CHARGES"/>
    <x v="1"/>
    <s v="3301.003"/>
    <s v="Remises PP et IS"/>
    <n v="14946.23"/>
    <n v="0"/>
    <n v="3301"/>
  </r>
  <r>
    <x v="0"/>
    <x v="8"/>
    <x v="7"/>
    <x v="125"/>
    <x v="110"/>
    <x v="110"/>
    <s v="REVENUS"/>
    <x v="2"/>
    <s v="4001.003"/>
    <s v="Impôt s/prest. cap. PP"/>
    <n v="0"/>
    <n v="446500.45"/>
    <n v="4001"/>
  </r>
  <r>
    <x v="0"/>
    <x v="8"/>
    <x v="7"/>
    <x v="125"/>
    <x v="110"/>
    <x v="110"/>
    <s v="REVENUS"/>
    <x v="2"/>
    <s v="4001.007"/>
    <s v="Acompte impôt sur revenu"/>
    <n v="0"/>
    <n v="-3095395.36"/>
    <n v="4001"/>
  </r>
  <r>
    <x v="0"/>
    <x v="8"/>
    <x v="7"/>
    <x v="125"/>
    <x v="110"/>
    <x v="110"/>
    <s v="REVENUS"/>
    <x v="6"/>
    <s v="4221.002"/>
    <s v="Intérêts compensat. sur impôts distincts"/>
    <n v="0"/>
    <n v="1750.57"/>
    <n v="4221"/>
  </r>
  <r>
    <x v="0"/>
    <x v="8"/>
    <x v="7"/>
    <x v="125"/>
    <x v="110"/>
    <x v="110"/>
    <s v="REVENUS"/>
    <x v="2"/>
    <s v="4001.001"/>
    <s v="Impôt revenu"/>
    <n v="0"/>
    <n v="18937052.699999999"/>
    <n v="4001"/>
  </r>
  <r>
    <x v="0"/>
    <x v="8"/>
    <x v="7"/>
    <x v="125"/>
    <x v="110"/>
    <x v="110"/>
    <s v="REVENUS"/>
    <x v="2"/>
    <s v="4001.002"/>
    <s v="Impôt complément s/revenu PP"/>
    <n v="0"/>
    <n v="5507521.0499999998"/>
    <n v="4001"/>
  </r>
  <r>
    <x v="0"/>
    <x v="8"/>
    <x v="7"/>
    <x v="125"/>
    <x v="110"/>
    <x v="110"/>
    <s v="REVENUS"/>
    <x v="3"/>
    <s v="4002.001"/>
    <s v="Impôt ordinaire s/fortune PP"/>
    <n v="0"/>
    <n v="3425964.85"/>
    <n v="4002"/>
  </r>
  <r>
    <x v="0"/>
    <x v="8"/>
    <x v="7"/>
    <x v="125"/>
    <x v="110"/>
    <x v="110"/>
    <s v="REVENUS"/>
    <x v="3"/>
    <s v="4002.007"/>
    <s v="Acompte impôt sur fortune"/>
    <n v="0"/>
    <n v="-705106.26"/>
    <n v="4002"/>
  </r>
  <r>
    <x v="0"/>
    <x v="8"/>
    <x v="7"/>
    <x v="125"/>
    <x v="110"/>
    <x v="110"/>
    <s v="REVENUS"/>
    <x v="9"/>
    <s v="4031.001"/>
    <s v="Impôt sur les gains immobiliers"/>
    <n v="0"/>
    <n v="892756.85"/>
    <n v="4031"/>
  </r>
  <r>
    <x v="0"/>
    <x v="8"/>
    <x v="7"/>
    <x v="125"/>
    <x v="110"/>
    <x v="110"/>
    <s v="REVENUS"/>
    <x v="4"/>
    <s v="4051.001"/>
    <s v="Impôt sur les successions"/>
    <n v="0"/>
    <n v="700050.2"/>
    <n v="4051"/>
  </r>
  <r>
    <x v="0"/>
    <x v="8"/>
    <x v="7"/>
    <x v="125"/>
    <x v="110"/>
    <x v="110"/>
    <s v="REVENUS"/>
    <x v="6"/>
    <s v="4211.001"/>
    <s v="Intérêts de retard sur factures"/>
    <n v="0"/>
    <n v="116514.48"/>
    <n v="4211"/>
  </r>
  <r>
    <x v="0"/>
    <x v="8"/>
    <x v="7"/>
    <x v="125"/>
    <x v="110"/>
    <x v="110"/>
    <s v="REVENUS"/>
    <x v="6"/>
    <s v="4211.002"/>
    <s v="Intérêts de retard sur acomptes"/>
    <n v="0"/>
    <n v="122412.62"/>
    <n v="4211"/>
  </r>
  <r>
    <x v="0"/>
    <x v="8"/>
    <x v="7"/>
    <x v="125"/>
    <x v="110"/>
    <x v="110"/>
    <s v="REVENUS"/>
    <x v="6"/>
    <s v="4221.003"/>
    <s v="Intérêts compensat. / acomptes en faveur du fisc"/>
    <n v="0"/>
    <n v="5697.24"/>
    <n v="4221"/>
  </r>
  <r>
    <x v="0"/>
    <x v="8"/>
    <x v="7"/>
    <x v="125"/>
    <x v="110"/>
    <x v="110"/>
    <s v="REVENUS"/>
    <x v="3"/>
    <s v="4002.001"/>
    <s v="Impôt ordinaire s/fortune PP"/>
    <n v="0"/>
    <n v="10272.200000000001"/>
    <n v="4002"/>
  </r>
  <r>
    <x v="0"/>
    <x v="8"/>
    <x v="7"/>
    <x v="125"/>
    <x v="110"/>
    <x v="110"/>
    <s v="REVENUS"/>
    <x v="3"/>
    <s v="4002.007"/>
    <s v="Acompte impôt sur fortune"/>
    <n v="0"/>
    <n v="-4031.83"/>
    <n v="4002"/>
  </r>
  <r>
    <x v="0"/>
    <x v="8"/>
    <x v="7"/>
    <x v="125"/>
    <x v="110"/>
    <x v="110"/>
    <s v="REVENUS"/>
    <x v="3"/>
    <s v="4002.002"/>
    <s v="Impôt complémentaire s/fortune PP"/>
    <n v="0"/>
    <n v="1152194.75"/>
    <n v="4002"/>
  </r>
  <r>
    <x v="0"/>
    <x v="8"/>
    <x v="7"/>
    <x v="125"/>
    <x v="110"/>
    <x v="110"/>
    <s v="REVENUS"/>
    <x v="7"/>
    <s v="4184.000"/>
    <s v="Frais de poursuite"/>
    <n v="0"/>
    <n v="10352.15"/>
    <n v="4184"/>
  </r>
  <r>
    <x v="0"/>
    <x v="8"/>
    <x v="7"/>
    <x v="125"/>
    <x v="110"/>
    <x v="110"/>
    <s v="REVENUS"/>
    <x v="2"/>
    <s v="4001.007"/>
    <s v="Acompte impôt sur revenu"/>
    <n v="0"/>
    <n v="-18310.099999999999"/>
    <n v="4001"/>
  </r>
  <r>
    <x v="0"/>
    <x v="8"/>
    <x v="7"/>
    <x v="125"/>
    <x v="110"/>
    <x v="110"/>
    <s v="REVENUS"/>
    <x v="3"/>
    <s v="4002.007"/>
    <s v="Acompte impôt sur fortune"/>
    <n v="0"/>
    <n v="-7016.89"/>
    <n v="4002"/>
  </r>
  <r>
    <x v="0"/>
    <x v="8"/>
    <x v="7"/>
    <x v="125"/>
    <x v="110"/>
    <x v="110"/>
    <s v="REVENUS"/>
    <x v="2"/>
    <s v="4001.001"/>
    <s v="Impôt revenu"/>
    <n v="0"/>
    <n v="49234.3"/>
    <n v="4001"/>
  </r>
  <r>
    <x v="0"/>
    <x v="8"/>
    <x v="7"/>
    <x v="125"/>
    <x v="110"/>
    <x v="110"/>
    <s v="REVENUS"/>
    <x v="3"/>
    <s v="4002.001"/>
    <s v="Impôt ordinaire s/fortune PP"/>
    <n v="0"/>
    <n v="30366.2"/>
    <n v="4002"/>
  </r>
  <r>
    <x v="0"/>
    <x v="8"/>
    <x v="7"/>
    <x v="125"/>
    <x v="110"/>
    <x v="110"/>
    <s v="REVENUS"/>
    <x v="2"/>
    <s v="4001.007"/>
    <s v="Acompte impôt sur revenu"/>
    <n v="0"/>
    <n v="150560.38"/>
    <n v="4001"/>
  </r>
  <r>
    <x v="0"/>
    <x v="8"/>
    <x v="7"/>
    <x v="125"/>
    <x v="110"/>
    <x v="110"/>
    <s v="REVENUS"/>
    <x v="3"/>
    <s v="4002.001"/>
    <s v="Impôt ordinaire s/fortune PP"/>
    <n v="0"/>
    <n v="21151.85"/>
    <n v="4002"/>
  </r>
  <r>
    <x v="0"/>
    <x v="8"/>
    <x v="7"/>
    <x v="125"/>
    <x v="110"/>
    <x v="110"/>
    <s v="REVENUS"/>
    <x v="3"/>
    <s v="4002.007"/>
    <s v="Acompte impôt sur fortune"/>
    <n v="0"/>
    <n v="20855.55"/>
    <n v="4002"/>
  </r>
  <r>
    <x v="0"/>
    <x v="8"/>
    <x v="7"/>
    <x v="125"/>
    <x v="110"/>
    <x v="110"/>
    <s v="REVENUS"/>
    <x v="5"/>
    <s v="4061.000"/>
    <s v="Impôt sur les chiens"/>
    <n v="0"/>
    <n v="36800"/>
    <n v="4061"/>
  </r>
  <r>
    <x v="0"/>
    <x v="8"/>
    <x v="7"/>
    <x v="125"/>
    <x v="110"/>
    <x v="110"/>
    <s v="REVENUS"/>
    <x v="8"/>
    <s v="4091.001"/>
    <s v="Impôt récupéré après défalcations"/>
    <n v="0"/>
    <n v="61570.95"/>
    <n v="4091"/>
  </r>
  <r>
    <x v="0"/>
    <x v="8"/>
    <x v="7"/>
    <x v="125"/>
    <x v="110"/>
    <x v="110"/>
    <s v="REVENUS"/>
    <x v="2"/>
    <s v="4001.001"/>
    <s v="Impôt revenu"/>
    <n v="0"/>
    <n v="31644.65"/>
    <n v="4001"/>
  </r>
  <r>
    <x v="0"/>
    <x v="8"/>
    <x v="7"/>
    <x v="125"/>
    <x v="110"/>
    <x v="110"/>
    <s v="REVENUS"/>
    <x v="2"/>
    <s v="4001.007"/>
    <s v="Acompte impôt sur revenu"/>
    <n v="0"/>
    <n v="7977.19"/>
    <n v="4001"/>
  </r>
  <r>
    <x v="0"/>
    <x v="8"/>
    <x v="7"/>
    <x v="125"/>
    <x v="110"/>
    <x v="110"/>
    <s v="REVENUS"/>
    <x v="3"/>
    <s v="4002.001"/>
    <s v="Impôt ordinaire s/fortune PP"/>
    <n v="0"/>
    <n v="4316.75"/>
    <n v="4002"/>
  </r>
  <r>
    <x v="0"/>
    <x v="8"/>
    <x v="7"/>
    <x v="125"/>
    <x v="110"/>
    <x v="110"/>
    <s v="REVENUS"/>
    <x v="3"/>
    <s v="4002.007"/>
    <s v="Acompte impôt sur fortune"/>
    <n v="0"/>
    <n v="-9120.5499999999993"/>
    <n v="4002"/>
  </r>
  <r>
    <x v="0"/>
    <x v="8"/>
    <x v="7"/>
    <x v="125"/>
    <x v="110"/>
    <x v="110"/>
    <s v="REVENUS"/>
    <x v="6"/>
    <s v="4211.001"/>
    <s v="Intérêts de retard sur factures"/>
    <n v="0"/>
    <n v="263.7"/>
    <n v="4211"/>
  </r>
  <r>
    <x v="0"/>
    <x v="8"/>
    <x v="7"/>
    <x v="125"/>
    <x v="110"/>
    <x v="110"/>
    <s v="REVENUS"/>
    <x v="10"/>
    <s v="4041.001"/>
    <s v="Droits de mutation"/>
    <n v="0"/>
    <n v="857604.6"/>
    <n v="4041"/>
  </r>
  <r>
    <x v="0"/>
    <x v="8"/>
    <x v="7"/>
    <x v="125"/>
    <x v="110"/>
    <x v="110"/>
    <s v="REVENUS"/>
    <x v="7"/>
    <s v="4184.000"/>
    <s v="Frais de poursuite"/>
    <n v="0"/>
    <n v="1256.75"/>
    <n v="4184"/>
  </r>
  <r>
    <x v="0"/>
    <x v="8"/>
    <x v="7"/>
    <x v="125"/>
    <x v="110"/>
    <x v="110"/>
    <s v="REVENUS"/>
    <x v="6"/>
    <s v="4211.001"/>
    <s v="Intérêts de retard sur factures"/>
    <n v="0"/>
    <n v="12.83"/>
    <n v="4211"/>
  </r>
  <r>
    <x v="0"/>
    <x v="8"/>
    <x v="7"/>
    <x v="125"/>
    <x v="110"/>
    <x v="110"/>
    <s v="REVENUS"/>
    <x v="2"/>
    <s v="4001.002"/>
    <s v="Impôt complément s/revenu PP"/>
    <n v="0"/>
    <n v="1967.65"/>
    <n v="4001"/>
  </r>
  <r>
    <x v="0"/>
    <x v="8"/>
    <x v="7"/>
    <x v="125"/>
    <x v="110"/>
    <x v="110"/>
    <s v="REVENUS"/>
    <x v="3"/>
    <s v="4002.002"/>
    <s v="Impôt complémentaire s/fortune PP"/>
    <n v="0"/>
    <n v="211.8"/>
    <n v="4002"/>
  </r>
  <r>
    <x v="0"/>
    <x v="8"/>
    <x v="7"/>
    <x v="125"/>
    <x v="110"/>
    <x v="110"/>
    <s v="REVENUS"/>
    <x v="6"/>
    <s v="4211.001"/>
    <s v="Intérêts de retard sur factures"/>
    <n v="0"/>
    <n v="5.76"/>
    <n v="4211"/>
  </r>
  <r>
    <x v="0"/>
    <x v="8"/>
    <x v="7"/>
    <x v="125"/>
    <x v="110"/>
    <x v="110"/>
    <s v="REVENUS"/>
    <x v="6"/>
    <s v="4221.003"/>
    <s v="Intérêts compensat. / acomptes en faveur du fisc"/>
    <n v="0"/>
    <n v="5.13"/>
    <n v="4221"/>
  </r>
  <r>
    <x v="0"/>
    <x v="8"/>
    <x v="7"/>
    <x v="125"/>
    <x v="110"/>
    <x v="110"/>
    <s v="REVENUS"/>
    <x v="2"/>
    <s v="4001.001"/>
    <s v="Impôt revenu"/>
    <n v="0"/>
    <n v="195998.7"/>
    <n v="4001"/>
  </r>
  <r>
    <x v="0"/>
    <x v="8"/>
    <x v="7"/>
    <x v="125"/>
    <x v="110"/>
    <x v="110"/>
    <s v="REVENUS"/>
    <x v="6"/>
    <s v="4211.002"/>
    <s v="Intérêts de retard sur acomptes"/>
    <n v="0"/>
    <n v="925.57"/>
    <n v="4211"/>
  </r>
  <r>
    <x v="0"/>
    <x v="8"/>
    <x v="7"/>
    <x v="125"/>
    <x v="110"/>
    <x v="110"/>
    <s v="REVENUS"/>
    <x v="6"/>
    <s v="4221.003"/>
    <s v="Intérêts compensat. / acomptes en faveur du fisc"/>
    <n v="0"/>
    <n v="86.09"/>
    <n v="4221"/>
  </r>
  <r>
    <x v="0"/>
    <x v="8"/>
    <x v="7"/>
    <x v="125"/>
    <x v="110"/>
    <x v="110"/>
    <s v="REVENUS"/>
    <x v="2"/>
    <s v="4001.001"/>
    <s v="Impôt revenu"/>
    <n v="0"/>
    <n v="51398"/>
    <n v="4001"/>
  </r>
  <r>
    <x v="0"/>
    <x v="8"/>
    <x v="7"/>
    <x v="125"/>
    <x v="110"/>
    <x v="110"/>
    <s v="REVENUS"/>
    <x v="2"/>
    <s v="4001.007"/>
    <s v="Acompte impôt sur revenu"/>
    <n v="0"/>
    <n v="2343.83"/>
    <n v="4001"/>
  </r>
  <r>
    <x v="0"/>
    <x v="8"/>
    <x v="7"/>
    <x v="125"/>
    <x v="110"/>
    <x v="110"/>
    <s v="REVENUS"/>
    <x v="3"/>
    <s v="4002.001"/>
    <s v="Impôt ordinaire s/fortune PP"/>
    <n v="0"/>
    <n v="28711.75"/>
    <n v="4002"/>
  </r>
  <r>
    <x v="0"/>
    <x v="8"/>
    <x v="7"/>
    <x v="125"/>
    <x v="110"/>
    <x v="110"/>
    <s v="REVENUS"/>
    <x v="3"/>
    <s v="4002.007"/>
    <s v="Acompte impôt sur fortune"/>
    <n v="0"/>
    <n v="163.94"/>
    <n v="4002"/>
  </r>
  <r>
    <x v="0"/>
    <x v="8"/>
    <x v="7"/>
    <x v="125"/>
    <x v="110"/>
    <x v="110"/>
    <s v="REVENUS"/>
    <x v="6"/>
    <s v="4211.001"/>
    <s v="Intérêts de retard sur factures"/>
    <n v="0"/>
    <n v="841.77"/>
    <n v="4211"/>
  </r>
  <r>
    <x v="0"/>
    <x v="8"/>
    <x v="7"/>
    <x v="125"/>
    <x v="110"/>
    <x v="110"/>
    <s v="REVENUS"/>
    <x v="2"/>
    <s v="4001.002"/>
    <s v="Impôt complément s/revenu PP"/>
    <n v="0"/>
    <n v="60814.75"/>
    <n v="4001"/>
  </r>
  <r>
    <x v="0"/>
    <x v="8"/>
    <x v="7"/>
    <x v="125"/>
    <x v="110"/>
    <x v="110"/>
    <s v="REVENUS"/>
    <x v="2"/>
    <s v="4001.002"/>
    <s v="Impôt complément s/revenu PP"/>
    <n v="0"/>
    <n v="20207.95"/>
    <n v="4001"/>
  </r>
  <r>
    <x v="0"/>
    <x v="8"/>
    <x v="7"/>
    <x v="125"/>
    <x v="110"/>
    <x v="110"/>
    <s v="REVENUS"/>
    <x v="3"/>
    <s v="4002.002"/>
    <s v="Impôt complémentaire s/fortune PP"/>
    <n v="0"/>
    <n v="5831.85"/>
    <n v="4002"/>
  </r>
  <r>
    <x v="0"/>
    <x v="8"/>
    <x v="7"/>
    <x v="125"/>
    <x v="110"/>
    <x v="110"/>
    <s v="REVENUS"/>
    <x v="6"/>
    <s v="4211.002"/>
    <s v="Intérêts de retard sur acomptes"/>
    <n v="0"/>
    <n v="973.46"/>
    <n v="4211"/>
  </r>
  <r>
    <x v="0"/>
    <x v="8"/>
    <x v="7"/>
    <x v="125"/>
    <x v="110"/>
    <x v="110"/>
    <s v="REVENUS"/>
    <x v="2"/>
    <s v="4001.007"/>
    <s v="Acompte impôt sur revenu"/>
    <n v="0"/>
    <n v="816159.29"/>
    <n v="4001"/>
  </r>
  <r>
    <x v="0"/>
    <x v="8"/>
    <x v="7"/>
    <x v="125"/>
    <x v="110"/>
    <x v="110"/>
    <s v="REVENUS"/>
    <x v="3"/>
    <s v="4002.002"/>
    <s v="Impôt complémentaire s/fortune PP"/>
    <n v="0"/>
    <n v="11590.3"/>
    <n v="4002"/>
  </r>
  <r>
    <x v="0"/>
    <x v="8"/>
    <x v="7"/>
    <x v="125"/>
    <x v="110"/>
    <x v="110"/>
    <s v="REVENUS"/>
    <x v="6"/>
    <s v="4221.003"/>
    <s v="Intérêts compensat. / acomptes en faveur du fisc"/>
    <n v="0"/>
    <n v="34.86"/>
    <n v="4221"/>
  </r>
  <r>
    <x v="0"/>
    <x v="8"/>
    <x v="7"/>
    <x v="125"/>
    <x v="110"/>
    <x v="110"/>
    <s v="REVENUS"/>
    <x v="6"/>
    <s v="4211.002"/>
    <s v="Intérêts de retard sur acomptes"/>
    <n v="0"/>
    <n v="248.59"/>
    <n v="4211"/>
  </r>
  <r>
    <x v="0"/>
    <x v="8"/>
    <x v="7"/>
    <x v="125"/>
    <x v="110"/>
    <x v="110"/>
    <s v="REVENUS"/>
    <x v="2"/>
    <s v="4001.005"/>
    <s v="Amende de soustract. Impôt"/>
    <n v="0"/>
    <n v="5700"/>
    <n v="4001"/>
  </r>
  <r>
    <x v="0"/>
    <x v="8"/>
    <x v="7"/>
    <x v="125"/>
    <x v="110"/>
    <x v="110"/>
    <s v="REVENUS"/>
    <x v="3"/>
    <s v="4002.007"/>
    <s v="Acompte impôt sur fortune"/>
    <n v="0"/>
    <n v="161065.9"/>
    <n v="4002"/>
  </r>
  <r>
    <x v="0"/>
    <x v="8"/>
    <x v="7"/>
    <x v="125"/>
    <x v="110"/>
    <x v="110"/>
    <s v="REVENUS"/>
    <x v="2"/>
    <s v="4001.007"/>
    <s v="Acompte impôt sur revenu"/>
    <n v="0"/>
    <n v="-2507.4499999999998"/>
    <n v="4001"/>
  </r>
  <r>
    <x v="0"/>
    <x v="8"/>
    <x v="7"/>
    <x v="125"/>
    <x v="110"/>
    <x v="110"/>
    <s v="REVENUS"/>
    <x v="12"/>
    <s v="4004.007"/>
    <s v="Acompte spécial étrangers"/>
    <n v="0"/>
    <n v="-221854.63"/>
    <n v="4004"/>
  </r>
  <r>
    <x v="0"/>
    <x v="8"/>
    <x v="7"/>
    <x v="125"/>
    <x v="110"/>
    <x v="110"/>
    <s v="REVENUS"/>
    <x v="12"/>
    <s v="4004.000"/>
    <s v="Impôt spécial étrangers"/>
    <n v="0"/>
    <n v="496286.7"/>
    <n v="4004"/>
  </r>
  <r>
    <x v="0"/>
    <x v="8"/>
    <x v="7"/>
    <x v="125"/>
    <x v="110"/>
    <x v="110"/>
    <s v="REVENUS"/>
    <x v="2"/>
    <s v="4001.001"/>
    <s v="Impôt revenu"/>
    <n v="0"/>
    <n v="-38425.65"/>
    <n v="4001"/>
  </r>
  <r>
    <x v="0"/>
    <x v="8"/>
    <x v="7"/>
    <x v="125"/>
    <x v="110"/>
    <x v="110"/>
    <s v="REVENUS"/>
    <x v="3"/>
    <s v="4002.001"/>
    <s v="Impôt ordinaire s/fortune PP"/>
    <n v="0"/>
    <n v="-8419.7000000000007"/>
    <n v="4002"/>
  </r>
  <r>
    <x v="0"/>
    <x v="8"/>
    <x v="7"/>
    <x v="125"/>
    <x v="110"/>
    <x v="110"/>
    <s v="REVENUS"/>
    <x v="3"/>
    <s v="4002.002"/>
    <s v="Impôt complémentaire s/fortune PP"/>
    <n v="0"/>
    <n v="20759"/>
    <n v="4002"/>
  </r>
  <r>
    <x v="0"/>
    <x v="8"/>
    <x v="7"/>
    <x v="125"/>
    <x v="110"/>
    <x v="110"/>
    <s v="REVENUS"/>
    <x v="2"/>
    <s v="4001.007"/>
    <s v="Acompte impôt sur revenu"/>
    <n v="0"/>
    <n v="113.65"/>
    <n v="4001"/>
  </r>
  <r>
    <x v="0"/>
    <x v="8"/>
    <x v="7"/>
    <x v="125"/>
    <x v="110"/>
    <x v="110"/>
    <s v="REVENUS"/>
    <x v="3"/>
    <s v="4002.007"/>
    <s v="Acompte impôt sur fortune"/>
    <n v="0"/>
    <n v="57.15"/>
    <n v="4002"/>
  </r>
  <r>
    <x v="0"/>
    <x v="8"/>
    <x v="7"/>
    <x v="125"/>
    <x v="110"/>
    <x v="110"/>
    <s v="REVENUS"/>
    <x v="6"/>
    <s v="4211.002"/>
    <s v="Intérêts de retard sur acomptes"/>
    <n v="0"/>
    <n v="-0.04"/>
    <n v="4211"/>
  </r>
  <r>
    <x v="0"/>
    <x v="8"/>
    <x v="7"/>
    <x v="125"/>
    <x v="110"/>
    <x v="110"/>
    <s v="REVENUS"/>
    <x v="6"/>
    <s v="4221.003"/>
    <s v="Intérêts compensat. / acomptes en faveur du fisc"/>
    <n v="0"/>
    <n v="-0.01"/>
    <n v="4221"/>
  </r>
  <r>
    <x v="0"/>
    <x v="8"/>
    <x v="7"/>
    <x v="125"/>
    <x v="110"/>
    <x v="110"/>
    <s v="REVENUS"/>
    <x v="6"/>
    <s v="4221.003"/>
    <s v="Intérêts compensat. / acomptes en faveur du fisc"/>
    <n v="0"/>
    <n v="-3.77"/>
    <n v="4221"/>
  </r>
  <r>
    <x v="0"/>
    <x v="8"/>
    <x v="7"/>
    <x v="125"/>
    <x v="110"/>
    <x v="110"/>
    <s v="REVENUS"/>
    <x v="2"/>
    <s v="4001.007"/>
    <s v="Acompte impôt sur revenu"/>
    <n v="0"/>
    <n v="-7668.65"/>
    <n v="4001"/>
  </r>
  <r>
    <x v="0"/>
    <x v="8"/>
    <x v="7"/>
    <x v="125"/>
    <x v="110"/>
    <x v="110"/>
    <s v="REVENUS"/>
    <x v="3"/>
    <s v="4002.007"/>
    <s v="Acompte impôt sur fortune"/>
    <n v="0"/>
    <n v="130.66999999999999"/>
    <n v="4002"/>
  </r>
  <r>
    <x v="0"/>
    <x v="8"/>
    <x v="7"/>
    <x v="125"/>
    <x v="110"/>
    <x v="110"/>
    <s v="REVENUS"/>
    <x v="2"/>
    <s v="4001.001"/>
    <s v="Impôt revenu"/>
    <n v="0"/>
    <n v="12286.35"/>
    <n v="4001"/>
  </r>
  <r>
    <x v="0"/>
    <x v="8"/>
    <x v="7"/>
    <x v="125"/>
    <x v="110"/>
    <x v="110"/>
    <s v="REVENUS"/>
    <x v="6"/>
    <s v="4211.002"/>
    <s v="Intérêts de retard sur acomptes"/>
    <n v="0"/>
    <n v="17.690000000000001"/>
    <n v="4211"/>
  </r>
  <r>
    <x v="0"/>
    <x v="8"/>
    <x v="7"/>
    <x v="125"/>
    <x v="110"/>
    <x v="110"/>
    <s v="REVENUS"/>
    <x v="2"/>
    <s v="4001.002"/>
    <s v="Impôt complément s/revenu PP"/>
    <n v="0"/>
    <n v="52098.05"/>
    <n v="4001"/>
  </r>
  <r>
    <x v="0"/>
    <x v="8"/>
    <x v="7"/>
    <x v="125"/>
    <x v="110"/>
    <x v="110"/>
    <s v="REVENUS"/>
    <x v="4"/>
    <s v="4051.002"/>
    <s v="Impôt sur les donations"/>
    <n v="0"/>
    <n v="101058.3"/>
    <n v="4051"/>
  </r>
  <r>
    <x v="0"/>
    <x v="8"/>
    <x v="7"/>
    <x v="125"/>
    <x v="110"/>
    <x v="110"/>
    <s v="REVENUS"/>
    <x v="8"/>
    <s v="4091.001"/>
    <s v="Impôt récupéré après défalcations"/>
    <n v="0"/>
    <n v="6044.56"/>
    <n v="4091"/>
  </r>
  <r>
    <x v="0"/>
    <x v="8"/>
    <x v="7"/>
    <x v="125"/>
    <x v="110"/>
    <x v="110"/>
    <s v="REVENUS"/>
    <x v="7"/>
    <s v="4184.000"/>
    <s v="Frais de poursuite"/>
    <n v="0"/>
    <n v="44.82"/>
    <n v="4184"/>
  </r>
  <r>
    <x v="0"/>
    <x v="8"/>
    <x v="7"/>
    <x v="125"/>
    <x v="110"/>
    <x v="110"/>
    <s v="REVENUS"/>
    <x v="6"/>
    <s v="4211.002"/>
    <s v="Intérêts de retard sur acomptes"/>
    <n v="0"/>
    <n v="556.44000000000005"/>
    <n v="4211"/>
  </r>
  <r>
    <x v="0"/>
    <x v="8"/>
    <x v="7"/>
    <x v="125"/>
    <x v="110"/>
    <x v="110"/>
    <s v="REVENUS"/>
    <x v="6"/>
    <s v="4221.003"/>
    <s v="Intérêts compensat. / acomptes en faveur du fisc"/>
    <n v="0"/>
    <n v="0.26"/>
    <n v="4221"/>
  </r>
  <r>
    <x v="0"/>
    <x v="8"/>
    <x v="7"/>
    <x v="125"/>
    <x v="110"/>
    <x v="110"/>
    <s v="REVENUS"/>
    <x v="7"/>
    <s v="4184.000"/>
    <s v="Frais de poursuite"/>
    <n v="0"/>
    <n v="10.46"/>
    <n v="4184"/>
  </r>
  <r>
    <x v="0"/>
    <x v="8"/>
    <x v="7"/>
    <x v="125"/>
    <x v="110"/>
    <x v="110"/>
    <s v="REVENUS"/>
    <x v="2"/>
    <s v="4001.002"/>
    <s v="Impôt complément s/revenu PP"/>
    <n v="0"/>
    <n v="-690.45"/>
    <n v="4001"/>
  </r>
  <r>
    <x v="0"/>
    <x v="8"/>
    <x v="7"/>
    <x v="125"/>
    <x v="110"/>
    <x v="110"/>
    <s v="REVENUS"/>
    <x v="8"/>
    <s v="4091.001"/>
    <s v="Impôt récupéré après défalcations"/>
    <n v="0"/>
    <n v="2407.4699999999998"/>
    <n v="4091"/>
  </r>
  <r>
    <x v="0"/>
    <x v="8"/>
    <x v="7"/>
    <x v="125"/>
    <x v="110"/>
    <x v="110"/>
    <s v="REVENUS"/>
    <x v="3"/>
    <s v="4002.002"/>
    <s v="Impôt complémentaire s/fortune PP"/>
    <n v="0"/>
    <n v="-39.1"/>
    <n v="4002"/>
  </r>
  <r>
    <x v="0"/>
    <x v="8"/>
    <x v="7"/>
    <x v="125"/>
    <x v="110"/>
    <x v="110"/>
    <s v="REVENUS"/>
    <x v="9"/>
    <s v="4031.002"/>
    <s v="Complément impôt sur les gains immobiliers"/>
    <n v="0"/>
    <n v="2023"/>
    <n v="4031"/>
  </r>
  <r>
    <x v="0"/>
    <x v="8"/>
    <x v="7"/>
    <x v="125"/>
    <x v="110"/>
    <x v="110"/>
    <s v="REVENUS"/>
    <x v="12"/>
    <s v="4004.000"/>
    <s v="Impôt spécial étrangers"/>
    <n v="0"/>
    <n v="8529.85"/>
    <n v="4004"/>
  </r>
  <r>
    <x v="0"/>
    <x v="8"/>
    <x v="7"/>
    <x v="125"/>
    <x v="110"/>
    <x v="110"/>
    <s v="REVENUS"/>
    <x v="12"/>
    <s v="4004.007"/>
    <s v="Acompte spécial étrangers"/>
    <n v="0"/>
    <n v="2079.2800000000002"/>
    <n v="4004"/>
  </r>
  <r>
    <x v="0"/>
    <x v="8"/>
    <x v="7"/>
    <x v="126"/>
    <x v="111"/>
    <x v="111"/>
    <s v="CHARGES"/>
    <x v="0"/>
    <s v="3212.004"/>
    <s v="Intérêts rémun./perçu trop tôt sur acomptes C/C"/>
    <n v="2925.87"/>
    <n v="0"/>
    <n v="3212"/>
  </r>
  <r>
    <x v="0"/>
    <x v="8"/>
    <x v="7"/>
    <x v="126"/>
    <x v="111"/>
    <x v="111"/>
    <s v="CHARGES"/>
    <x v="0"/>
    <s v="3221.002"/>
    <s v="Intérêts compensatoires / créances en faveur ctb."/>
    <n v="742.43"/>
    <n v="0"/>
    <n v="3221"/>
  </r>
  <r>
    <x v="0"/>
    <x v="8"/>
    <x v="7"/>
    <x v="126"/>
    <x v="111"/>
    <x v="111"/>
    <s v="CHARGES"/>
    <x v="1"/>
    <s v="3301.001"/>
    <s v="Défalcations, abandons de solde PP et IS"/>
    <n v="9475.6"/>
    <n v="0"/>
    <n v="3301"/>
  </r>
  <r>
    <x v="0"/>
    <x v="8"/>
    <x v="7"/>
    <x v="126"/>
    <x v="111"/>
    <x v="111"/>
    <s v="CHARGES"/>
    <x v="1"/>
    <s v="3301.001"/>
    <s v="Défalcations, abandons de solde PP et IS"/>
    <n v="1.21"/>
    <n v="0"/>
    <n v="3301"/>
  </r>
  <r>
    <x v="0"/>
    <x v="8"/>
    <x v="7"/>
    <x v="126"/>
    <x v="111"/>
    <x v="111"/>
    <s v="CHARGES"/>
    <x v="0"/>
    <s v="3212.004"/>
    <s v="Intérêts rémun./perçu trop tôt sur acomptes C/C"/>
    <n v="1.79"/>
    <n v="0"/>
    <n v="3212"/>
  </r>
  <r>
    <x v="0"/>
    <x v="8"/>
    <x v="7"/>
    <x v="126"/>
    <x v="111"/>
    <x v="111"/>
    <s v="CHARGES"/>
    <x v="0"/>
    <s v="3221.002"/>
    <s v="Intérêts compensatoires / créances en faveur ctb."/>
    <n v="0.04"/>
    <n v="0"/>
    <n v="3221"/>
  </r>
  <r>
    <x v="0"/>
    <x v="8"/>
    <x v="7"/>
    <x v="126"/>
    <x v="111"/>
    <x v="111"/>
    <s v="CHARGES"/>
    <x v="0"/>
    <s v="3212.004"/>
    <s v="Intérêts rémun./perçu trop tôt sur acomptes C/C"/>
    <n v="3.84"/>
    <n v="0"/>
    <n v="3212"/>
  </r>
  <r>
    <x v="0"/>
    <x v="8"/>
    <x v="7"/>
    <x v="126"/>
    <x v="111"/>
    <x v="111"/>
    <s v="CHARGES"/>
    <x v="0"/>
    <s v="3212.002"/>
    <s v="Intérêts bonifiés/trop perçu acompte C/C"/>
    <n v="28.15"/>
    <n v="0"/>
    <n v="3212"/>
  </r>
  <r>
    <x v="0"/>
    <x v="8"/>
    <x v="7"/>
    <x v="126"/>
    <x v="111"/>
    <x v="111"/>
    <s v="CHARGES"/>
    <x v="0"/>
    <s v="3221.002"/>
    <s v="Intérêts compensatoires / créances en faveur ctb."/>
    <n v="7.0000000000000007E-2"/>
    <n v="0"/>
    <n v="3221"/>
  </r>
  <r>
    <x v="0"/>
    <x v="8"/>
    <x v="7"/>
    <x v="126"/>
    <x v="111"/>
    <x v="111"/>
    <s v="CHARGES"/>
    <x v="1"/>
    <s v="3301.001"/>
    <s v="Défalcations, abandons de solde PP et IS"/>
    <n v="0.39"/>
    <n v="0"/>
    <n v="3301"/>
  </r>
  <r>
    <x v="0"/>
    <x v="8"/>
    <x v="7"/>
    <x v="126"/>
    <x v="111"/>
    <x v="111"/>
    <s v="CHARGES"/>
    <x v="0"/>
    <s v="3212.004"/>
    <s v="Intérêts rémun./perçu trop tôt sur acomptes C/C"/>
    <n v="2.59"/>
    <n v="0"/>
    <n v="3212"/>
  </r>
  <r>
    <x v="0"/>
    <x v="8"/>
    <x v="7"/>
    <x v="126"/>
    <x v="111"/>
    <x v="111"/>
    <s v="CHARGES"/>
    <x v="0"/>
    <s v="3221.002"/>
    <s v="Intérêts compensatoires / créances en faveur ctb."/>
    <n v="4.03"/>
    <n v="0"/>
    <n v="3221"/>
  </r>
  <r>
    <x v="0"/>
    <x v="8"/>
    <x v="7"/>
    <x v="126"/>
    <x v="111"/>
    <x v="111"/>
    <s v="CHARGES"/>
    <x v="1"/>
    <s v="3301.001"/>
    <s v="Défalcations, abandons de solde PP et IS"/>
    <n v="0.1"/>
    <n v="0"/>
    <n v="3301"/>
  </r>
  <r>
    <x v="0"/>
    <x v="8"/>
    <x v="7"/>
    <x v="126"/>
    <x v="111"/>
    <x v="111"/>
    <s v="CHARGES"/>
    <x v="0"/>
    <s v="3212.004"/>
    <s v="Intérêts rémun./perçu trop tôt sur acomptes C/C"/>
    <n v="4.18"/>
    <n v="0"/>
    <n v="3212"/>
  </r>
  <r>
    <x v="0"/>
    <x v="8"/>
    <x v="7"/>
    <x v="126"/>
    <x v="111"/>
    <x v="111"/>
    <s v="CHARGES"/>
    <x v="0"/>
    <s v="3221.002"/>
    <s v="Intérêts compensatoires / créances en faveur ctb."/>
    <n v="10.050000000000001"/>
    <n v="0"/>
    <n v="3221"/>
  </r>
  <r>
    <x v="0"/>
    <x v="8"/>
    <x v="7"/>
    <x v="126"/>
    <x v="111"/>
    <x v="111"/>
    <s v="CHARGES"/>
    <x v="0"/>
    <s v="3212.004"/>
    <s v="Intérêts rémun./perçu trop tôt sur acomptes C/C"/>
    <n v="0.01"/>
    <n v="0"/>
    <n v="3212"/>
  </r>
  <r>
    <x v="0"/>
    <x v="8"/>
    <x v="7"/>
    <x v="126"/>
    <x v="111"/>
    <x v="111"/>
    <s v="CHARGES"/>
    <x v="0"/>
    <s v="3212.002"/>
    <s v="Intérêts bonifiés/trop perçu acompte C/C"/>
    <n v="0.06"/>
    <n v="0"/>
    <n v="3212"/>
  </r>
  <r>
    <x v="0"/>
    <x v="8"/>
    <x v="7"/>
    <x v="126"/>
    <x v="111"/>
    <x v="111"/>
    <s v="REVENUS"/>
    <x v="2"/>
    <s v="4001.001"/>
    <s v="Impôt revenu"/>
    <n v="0"/>
    <n v="8637394.4000000004"/>
    <n v="4001"/>
  </r>
  <r>
    <x v="0"/>
    <x v="8"/>
    <x v="7"/>
    <x v="126"/>
    <x v="111"/>
    <x v="111"/>
    <s v="REVENUS"/>
    <x v="2"/>
    <s v="4001.002"/>
    <s v="Impôt complément s/revenu PP"/>
    <n v="0"/>
    <n v="556423.1"/>
    <n v="4001"/>
  </r>
  <r>
    <x v="0"/>
    <x v="8"/>
    <x v="7"/>
    <x v="126"/>
    <x v="111"/>
    <x v="111"/>
    <s v="REVENUS"/>
    <x v="2"/>
    <s v="4001.007"/>
    <s v="Acompte impôt sur revenu"/>
    <n v="0"/>
    <n v="-1775168.39"/>
    <n v="4001"/>
  </r>
  <r>
    <x v="0"/>
    <x v="8"/>
    <x v="7"/>
    <x v="126"/>
    <x v="111"/>
    <x v="111"/>
    <s v="REVENUS"/>
    <x v="3"/>
    <s v="4002.001"/>
    <s v="Impôt ordinaire s/fortune PP"/>
    <n v="0"/>
    <n v="5216852.0999999996"/>
    <n v="4002"/>
  </r>
  <r>
    <x v="0"/>
    <x v="8"/>
    <x v="7"/>
    <x v="126"/>
    <x v="111"/>
    <x v="111"/>
    <s v="REVENUS"/>
    <x v="3"/>
    <s v="4002.002"/>
    <s v="Impôt complémentaire s/fortune PP"/>
    <n v="0"/>
    <n v="241976.2"/>
    <n v="4002"/>
  </r>
  <r>
    <x v="0"/>
    <x v="8"/>
    <x v="7"/>
    <x v="126"/>
    <x v="111"/>
    <x v="111"/>
    <s v="REVENUS"/>
    <x v="3"/>
    <s v="4002.007"/>
    <s v="Acompte impôt sur fortune"/>
    <n v="0"/>
    <n v="-1881340.72"/>
    <n v="4002"/>
  </r>
  <r>
    <x v="0"/>
    <x v="8"/>
    <x v="7"/>
    <x v="126"/>
    <x v="111"/>
    <x v="111"/>
    <s v="REVENUS"/>
    <x v="6"/>
    <s v="4211.001"/>
    <s v="Intérêts de retard sur factures"/>
    <n v="0"/>
    <n v="34778.629999999997"/>
    <n v="4211"/>
  </r>
  <r>
    <x v="0"/>
    <x v="8"/>
    <x v="7"/>
    <x v="126"/>
    <x v="111"/>
    <x v="111"/>
    <s v="REVENUS"/>
    <x v="6"/>
    <s v="4211.002"/>
    <s v="Intérêts de retard sur acomptes"/>
    <n v="0"/>
    <n v="18223.810000000001"/>
    <n v="4211"/>
  </r>
  <r>
    <x v="0"/>
    <x v="8"/>
    <x v="7"/>
    <x v="126"/>
    <x v="111"/>
    <x v="111"/>
    <s v="REVENUS"/>
    <x v="6"/>
    <s v="4221.003"/>
    <s v="Intérêts compensat. / acomptes en faveur du fisc"/>
    <n v="0"/>
    <n v="4207.66"/>
    <n v="4221"/>
  </r>
  <r>
    <x v="0"/>
    <x v="8"/>
    <x v="7"/>
    <x v="126"/>
    <x v="111"/>
    <x v="111"/>
    <s v="REVENUS"/>
    <x v="2"/>
    <s v="4001.001"/>
    <s v="Impôt revenu"/>
    <n v="0"/>
    <n v="10165.4"/>
    <n v="4001"/>
  </r>
  <r>
    <x v="0"/>
    <x v="8"/>
    <x v="7"/>
    <x v="126"/>
    <x v="111"/>
    <x v="111"/>
    <s v="REVENUS"/>
    <x v="7"/>
    <s v="4184.000"/>
    <s v="Frais de poursuite"/>
    <n v="0"/>
    <n v="5.85"/>
    <n v="4184"/>
  </r>
  <r>
    <x v="0"/>
    <x v="8"/>
    <x v="7"/>
    <x v="126"/>
    <x v="111"/>
    <x v="111"/>
    <s v="REVENUS"/>
    <x v="6"/>
    <s v="4211.002"/>
    <s v="Intérêts de retard sur acomptes"/>
    <n v="0"/>
    <n v="254.62"/>
    <n v="4211"/>
  </r>
  <r>
    <x v="0"/>
    <x v="8"/>
    <x v="7"/>
    <x v="126"/>
    <x v="111"/>
    <x v="111"/>
    <s v="REVENUS"/>
    <x v="6"/>
    <s v="4221.003"/>
    <s v="Intérêts compensat. / acomptes en faveur du fisc"/>
    <n v="0"/>
    <n v="12.24"/>
    <n v="4221"/>
  </r>
  <r>
    <x v="0"/>
    <x v="8"/>
    <x v="7"/>
    <x v="126"/>
    <x v="111"/>
    <x v="111"/>
    <s v="REVENUS"/>
    <x v="2"/>
    <s v="4001.003"/>
    <s v="Impôt s/prest. cap. PP"/>
    <n v="0"/>
    <n v="88423.2"/>
    <n v="4001"/>
  </r>
  <r>
    <x v="0"/>
    <x v="8"/>
    <x v="7"/>
    <x v="126"/>
    <x v="111"/>
    <x v="111"/>
    <s v="REVENUS"/>
    <x v="2"/>
    <s v="4001.001"/>
    <s v="Impôt revenu"/>
    <n v="0"/>
    <n v="805.3"/>
    <n v="4001"/>
  </r>
  <r>
    <x v="0"/>
    <x v="8"/>
    <x v="7"/>
    <x v="126"/>
    <x v="111"/>
    <x v="111"/>
    <s v="REVENUS"/>
    <x v="3"/>
    <s v="4002.001"/>
    <s v="Impôt ordinaire s/fortune PP"/>
    <n v="0"/>
    <n v="14309.45"/>
    <n v="4002"/>
  </r>
  <r>
    <x v="0"/>
    <x v="8"/>
    <x v="7"/>
    <x v="126"/>
    <x v="111"/>
    <x v="111"/>
    <s v="REVENUS"/>
    <x v="6"/>
    <s v="4211.002"/>
    <s v="Intérêts de retard sur acomptes"/>
    <n v="0"/>
    <n v="51.43"/>
    <n v="4211"/>
  </r>
  <r>
    <x v="0"/>
    <x v="8"/>
    <x v="7"/>
    <x v="126"/>
    <x v="111"/>
    <x v="111"/>
    <s v="REVENUS"/>
    <x v="6"/>
    <s v="4221.003"/>
    <s v="Intérêts compensat. / acomptes en faveur du fisc"/>
    <n v="0"/>
    <n v="28.18"/>
    <n v="4221"/>
  </r>
  <r>
    <x v="0"/>
    <x v="8"/>
    <x v="7"/>
    <x v="126"/>
    <x v="111"/>
    <x v="111"/>
    <s v="REVENUS"/>
    <x v="6"/>
    <s v="4221.002"/>
    <s v="Intérêts compensat. sur impôts distincts"/>
    <n v="0"/>
    <n v="1222.9000000000001"/>
    <n v="4221"/>
  </r>
  <r>
    <x v="0"/>
    <x v="8"/>
    <x v="7"/>
    <x v="126"/>
    <x v="111"/>
    <x v="111"/>
    <s v="REVENUS"/>
    <x v="7"/>
    <s v="4184.000"/>
    <s v="Frais de poursuite"/>
    <n v="0"/>
    <n v="1258.8399999999999"/>
    <n v="4184"/>
  </r>
  <r>
    <x v="0"/>
    <x v="8"/>
    <x v="7"/>
    <x v="126"/>
    <x v="111"/>
    <x v="111"/>
    <s v="REVENUS"/>
    <x v="3"/>
    <s v="4002.001"/>
    <s v="Impôt ordinaire s/fortune PP"/>
    <n v="0"/>
    <n v="13568.65"/>
    <n v="4002"/>
  </r>
  <r>
    <x v="0"/>
    <x v="8"/>
    <x v="7"/>
    <x v="126"/>
    <x v="111"/>
    <x v="111"/>
    <s v="REVENUS"/>
    <x v="3"/>
    <s v="4002.002"/>
    <s v="Impôt complémentaire s/fortune PP"/>
    <n v="0"/>
    <n v="2313.1"/>
    <n v="4002"/>
  </r>
  <r>
    <x v="0"/>
    <x v="8"/>
    <x v="7"/>
    <x v="126"/>
    <x v="111"/>
    <x v="111"/>
    <s v="REVENUS"/>
    <x v="6"/>
    <s v="4211.001"/>
    <s v="Intérêts de retard sur factures"/>
    <n v="0"/>
    <n v="38.93"/>
    <n v="4211"/>
  </r>
  <r>
    <x v="0"/>
    <x v="8"/>
    <x v="7"/>
    <x v="126"/>
    <x v="111"/>
    <x v="111"/>
    <s v="REVENUS"/>
    <x v="2"/>
    <s v="4001.007"/>
    <s v="Acompte impôt sur revenu"/>
    <n v="0"/>
    <n v="-615.54999999999995"/>
    <n v="4001"/>
  </r>
  <r>
    <x v="0"/>
    <x v="8"/>
    <x v="7"/>
    <x v="126"/>
    <x v="111"/>
    <x v="111"/>
    <s v="REVENUS"/>
    <x v="3"/>
    <s v="4002.007"/>
    <s v="Acompte impôt sur fortune"/>
    <n v="0"/>
    <n v="-1416.81"/>
    <n v="4002"/>
  </r>
  <r>
    <x v="0"/>
    <x v="8"/>
    <x v="7"/>
    <x v="126"/>
    <x v="111"/>
    <x v="111"/>
    <s v="REVENUS"/>
    <x v="5"/>
    <s v="4061.000"/>
    <s v="Impôt sur les chiens"/>
    <n v="0"/>
    <n v="6960"/>
    <n v="4061"/>
  </r>
  <r>
    <x v="0"/>
    <x v="8"/>
    <x v="7"/>
    <x v="126"/>
    <x v="111"/>
    <x v="111"/>
    <s v="REVENUS"/>
    <x v="3"/>
    <s v="4002.007"/>
    <s v="Acompte impôt sur fortune"/>
    <n v="0"/>
    <n v="3331.87"/>
    <n v="4002"/>
  </r>
  <r>
    <x v="0"/>
    <x v="8"/>
    <x v="7"/>
    <x v="126"/>
    <x v="111"/>
    <x v="111"/>
    <s v="REVENUS"/>
    <x v="12"/>
    <s v="4004.007"/>
    <s v="Acompte spécial étrangers"/>
    <n v="0"/>
    <n v="215492.96"/>
    <n v="4004"/>
  </r>
  <r>
    <x v="0"/>
    <x v="8"/>
    <x v="7"/>
    <x v="126"/>
    <x v="111"/>
    <x v="111"/>
    <s v="REVENUS"/>
    <x v="2"/>
    <s v="4001.007"/>
    <s v="Acompte impôt sur revenu"/>
    <n v="0"/>
    <n v="840.71"/>
    <n v="4001"/>
  </r>
  <r>
    <x v="0"/>
    <x v="8"/>
    <x v="7"/>
    <x v="126"/>
    <x v="111"/>
    <x v="111"/>
    <s v="REVENUS"/>
    <x v="3"/>
    <s v="4002.007"/>
    <s v="Acompte impôt sur fortune"/>
    <n v="0"/>
    <n v="556.4"/>
    <n v="4002"/>
  </r>
  <r>
    <x v="0"/>
    <x v="8"/>
    <x v="7"/>
    <x v="126"/>
    <x v="111"/>
    <x v="111"/>
    <s v="REVENUS"/>
    <x v="9"/>
    <s v="4031.001"/>
    <s v="Impôt sur les gains immobiliers"/>
    <n v="0"/>
    <n v="369624.65"/>
    <n v="4031"/>
  </r>
  <r>
    <x v="0"/>
    <x v="8"/>
    <x v="7"/>
    <x v="126"/>
    <x v="111"/>
    <x v="111"/>
    <s v="REVENUS"/>
    <x v="3"/>
    <s v="4002.001"/>
    <s v="Impôt ordinaire s/fortune PP"/>
    <n v="0"/>
    <n v="-2066.0500000000002"/>
    <n v="4002"/>
  </r>
  <r>
    <x v="0"/>
    <x v="8"/>
    <x v="7"/>
    <x v="126"/>
    <x v="111"/>
    <x v="111"/>
    <s v="REVENUS"/>
    <x v="7"/>
    <s v="4184.000"/>
    <s v="Frais de poursuite"/>
    <n v="0"/>
    <n v="0.69"/>
    <n v="4184"/>
  </r>
  <r>
    <x v="0"/>
    <x v="8"/>
    <x v="7"/>
    <x v="126"/>
    <x v="111"/>
    <x v="111"/>
    <s v="REVENUS"/>
    <x v="2"/>
    <s v="4001.007"/>
    <s v="Acompte impôt sur revenu"/>
    <n v="0"/>
    <n v="-11458.53"/>
    <n v="4001"/>
  </r>
  <r>
    <x v="0"/>
    <x v="8"/>
    <x v="7"/>
    <x v="126"/>
    <x v="111"/>
    <x v="111"/>
    <s v="REVENUS"/>
    <x v="2"/>
    <s v="4001.002"/>
    <s v="Impôt complément s/revenu PP"/>
    <n v="0"/>
    <n v="58.6"/>
    <n v="4001"/>
  </r>
  <r>
    <x v="0"/>
    <x v="8"/>
    <x v="7"/>
    <x v="126"/>
    <x v="111"/>
    <x v="111"/>
    <s v="REVENUS"/>
    <x v="10"/>
    <s v="4041.001"/>
    <s v="Droits de mutation"/>
    <n v="0"/>
    <n v="265807.8"/>
    <n v="4041"/>
  </r>
  <r>
    <x v="0"/>
    <x v="8"/>
    <x v="7"/>
    <x v="126"/>
    <x v="111"/>
    <x v="111"/>
    <s v="REVENUS"/>
    <x v="10"/>
    <s v="4041.002"/>
    <s v="Complément droit de mutation"/>
    <n v="0"/>
    <n v="6820"/>
    <n v="4041"/>
  </r>
  <r>
    <x v="0"/>
    <x v="8"/>
    <x v="7"/>
    <x v="126"/>
    <x v="111"/>
    <x v="111"/>
    <s v="REVENUS"/>
    <x v="3"/>
    <s v="4002.007"/>
    <s v="Acompte impôt sur fortune"/>
    <n v="0"/>
    <n v="-543.9"/>
    <n v="4002"/>
  </r>
  <r>
    <x v="0"/>
    <x v="8"/>
    <x v="7"/>
    <x v="126"/>
    <x v="111"/>
    <x v="111"/>
    <s v="REVENUS"/>
    <x v="4"/>
    <s v="4051.001"/>
    <s v="Impôt sur les successions"/>
    <n v="0"/>
    <n v="435141.9"/>
    <n v="4051"/>
  </r>
  <r>
    <x v="0"/>
    <x v="8"/>
    <x v="7"/>
    <x v="126"/>
    <x v="111"/>
    <x v="111"/>
    <s v="REVENUS"/>
    <x v="2"/>
    <s v="4001.007"/>
    <s v="Acompte impôt sur revenu"/>
    <n v="0"/>
    <n v="-226.59"/>
    <n v="4001"/>
  </r>
  <r>
    <x v="0"/>
    <x v="8"/>
    <x v="7"/>
    <x v="126"/>
    <x v="111"/>
    <x v="111"/>
    <s v="REVENUS"/>
    <x v="3"/>
    <s v="4002.007"/>
    <s v="Acompte impôt sur fortune"/>
    <n v="0"/>
    <n v="-852.95"/>
    <n v="4002"/>
  </r>
  <r>
    <x v="0"/>
    <x v="8"/>
    <x v="7"/>
    <x v="126"/>
    <x v="111"/>
    <x v="111"/>
    <s v="REVENUS"/>
    <x v="6"/>
    <s v="4211.001"/>
    <s v="Intérêts de retard sur factures"/>
    <n v="0"/>
    <n v="3.5"/>
    <n v="4211"/>
  </r>
  <r>
    <x v="0"/>
    <x v="8"/>
    <x v="7"/>
    <x v="126"/>
    <x v="111"/>
    <x v="111"/>
    <s v="REVENUS"/>
    <x v="7"/>
    <s v="4184.000"/>
    <s v="Frais de poursuite"/>
    <n v="0"/>
    <n v="6.39"/>
    <n v="4184"/>
  </r>
  <r>
    <x v="0"/>
    <x v="8"/>
    <x v="7"/>
    <x v="126"/>
    <x v="111"/>
    <x v="111"/>
    <s v="REVENUS"/>
    <x v="2"/>
    <s v="4001.001"/>
    <s v="Impôt revenu"/>
    <n v="0"/>
    <n v="3713.7"/>
    <n v="4001"/>
  </r>
  <r>
    <x v="0"/>
    <x v="8"/>
    <x v="7"/>
    <x v="126"/>
    <x v="111"/>
    <x v="111"/>
    <s v="REVENUS"/>
    <x v="3"/>
    <s v="4002.001"/>
    <s v="Impôt ordinaire s/fortune PP"/>
    <n v="0"/>
    <n v="150.19999999999999"/>
    <n v="4002"/>
  </r>
  <r>
    <x v="0"/>
    <x v="8"/>
    <x v="7"/>
    <x v="126"/>
    <x v="111"/>
    <x v="111"/>
    <s v="REVENUS"/>
    <x v="11"/>
    <s v="4198.000"/>
    <s v="Contributions communales"/>
    <n v="0"/>
    <n v="550843.85"/>
    <n v="4198"/>
  </r>
  <r>
    <x v="0"/>
    <x v="8"/>
    <x v="7"/>
    <x v="126"/>
    <x v="111"/>
    <x v="111"/>
    <s v="REVENUS"/>
    <x v="6"/>
    <s v="4211.002"/>
    <s v="Intérêts de retard sur acomptes"/>
    <n v="0"/>
    <n v="19.46"/>
    <n v="4211"/>
  </r>
  <r>
    <x v="0"/>
    <x v="8"/>
    <x v="7"/>
    <x v="126"/>
    <x v="111"/>
    <x v="111"/>
    <s v="REVENUS"/>
    <x v="6"/>
    <s v="4221.003"/>
    <s v="Intérêts compensat. / acomptes en faveur du fisc"/>
    <n v="0"/>
    <n v="0.78"/>
    <n v="4221"/>
  </r>
  <r>
    <x v="0"/>
    <x v="8"/>
    <x v="7"/>
    <x v="126"/>
    <x v="111"/>
    <x v="111"/>
    <s v="REVENUS"/>
    <x v="12"/>
    <s v="4004.000"/>
    <s v="Impôt spécial étrangers"/>
    <n v="0"/>
    <n v="81266"/>
    <n v="4004"/>
  </r>
  <r>
    <x v="0"/>
    <x v="8"/>
    <x v="7"/>
    <x v="126"/>
    <x v="111"/>
    <x v="111"/>
    <s v="REVENUS"/>
    <x v="6"/>
    <s v="4211.001"/>
    <s v="Intérêts de retard sur factures"/>
    <n v="0"/>
    <n v="0.1"/>
    <n v="4211"/>
  </r>
  <r>
    <x v="0"/>
    <x v="8"/>
    <x v="7"/>
    <x v="126"/>
    <x v="111"/>
    <x v="111"/>
    <s v="REVENUS"/>
    <x v="2"/>
    <s v="4001.001"/>
    <s v="Impôt revenu"/>
    <n v="0"/>
    <n v="-156.4"/>
    <n v="4001"/>
  </r>
  <r>
    <x v="0"/>
    <x v="8"/>
    <x v="7"/>
    <x v="126"/>
    <x v="111"/>
    <x v="111"/>
    <s v="REVENUS"/>
    <x v="2"/>
    <s v="4001.002"/>
    <s v="Impôt complément s/revenu PP"/>
    <n v="0"/>
    <n v="156.1"/>
    <n v="4001"/>
  </r>
  <r>
    <x v="0"/>
    <x v="8"/>
    <x v="7"/>
    <x v="126"/>
    <x v="111"/>
    <x v="111"/>
    <s v="REVENUS"/>
    <x v="3"/>
    <s v="4002.001"/>
    <s v="Impôt ordinaire s/fortune PP"/>
    <n v="0"/>
    <n v="-126.8"/>
    <n v="4002"/>
  </r>
  <r>
    <x v="0"/>
    <x v="8"/>
    <x v="7"/>
    <x v="126"/>
    <x v="111"/>
    <x v="111"/>
    <s v="REVENUS"/>
    <x v="3"/>
    <s v="4002.002"/>
    <s v="Impôt complémentaire s/fortune PP"/>
    <n v="0"/>
    <n v="126.8"/>
    <n v="4002"/>
  </r>
  <r>
    <x v="0"/>
    <x v="8"/>
    <x v="7"/>
    <x v="126"/>
    <x v="111"/>
    <x v="111"/>
    <s v="REVENUS"/>
    <x v="6"/>
    <s v="4211.001"/>
    <s v="Intérêts de retard sur factures"/>
    <n v="0"/>
    <n v="1.1399999999999999"/>
    <n v="4211"/>
  </r>
  <r>
    <x v="0"/>
    <x v="8"/>
    <x v="7"/>
    <x v="126"/>
    <x v="111"/>
    <x v="111"/>
    <s v="REVENUS"/>
    <x v="6"/>
    <s v="4211.002"/>
    <s v="Intérêts de retard sur acomptes"/>
    <n v="0"/>
    <n v="-0.25"/>
    <n v="4211"/>
  </r>
  <r>
    <x v="0"/>
    <x v="8"/>
    <x v="7"/>
    <x v="126"/>
    <x v="111"/>
    <x v="111"/>
    <s v="REVENUS"/>
    <x v="2"/>
    <s v="4001.002"/>
    <s v="Impôt complément s/revenu PP"/>
    <n v="0"/>
    <n v="-15.6"/>
    <n v="4001"/>
  </r>
  <r>
    <x v="0"/>
    <x v="8"/>
    <x v="7"/>
    <x v="126"/>
    <x v="111"/>
    <x v="111"/>
    <s v="REVENUS"/>
    <x v="3"/>
    <s v="4002.002"/>
    <s v="Impôt complémentaire s/fortune PP"/>
    <n v="0"/>
    <n v="39.4"/>
    <n v="4002"/>
  </r>
  <r>
    <x v="0"/>
    <x v="8"/>
    <x v="7"/>
    <x v="127"/>
    <x v="112"/>
    <x v="112"/>
    <s v="CHARGES"/>
    <x v="1"/>
    <s v="3301.001"/>
    <s v="Défalcations, abandons de solde PP et IS"/>
    <n v="1374415.33"/>
    <n v="0"/>
    <n v="3301"/>
  </r>
  <r>
    <x v="0"/>
    <x v="8"/>
    <x v="7"/>
    <x v="127"/>
    <x v="112"/>
    <x v="112"/>
    <s v="CHARGES"/>
    <x v="0"/>
    <s v="3212.004"/>
    <s v="Intérêts rémun./perçu trop tôt sur acomptes C/C"/>
    <n v="59511.7"/>
    <n v="0"/>
    <n v="3212"/>
  </r>
  <r>
    <x v="0"/>
    <x v="8"/>
    <x v="7"/>
    <x v="127"/>
    <x v="112"/>
    <x v="112"/>
    <s v="CHARGES"/>
    <x v="1"/>
    <s v="3301.001"/>
    <s v="Défalcations, abandons de solde PP et IS"/>
    <n v="4398562.79"/>
    <n v="0"/>
    <n v="3301"/>
  </r>
  <r>
    <x v="0"/>
    <x v="8"/>
    <x v="7"/>
    <x v="127"/>
    <x v="112"/>
    <x v="112"/>
    <s v="CHARGES"/>
    <x v="0"/>
    <s v="3212.004"/>
    <s v="Intérêts rémun./perçu trop tôt sur acomptes C/C"/>
    <n v="274.14"/>
    <n v="0"/>
    <n v="3212"/>
  </r>
  <r>
    <x v="0"/>
    <x v="8"/>
    <x v="7"/>
    <x v="127"/>
    <x v="112"/>
    <x v="112"/>
    <s v="CHARGES"/>
    <x v="0"/>
    <s v="3221.002"/>
    <s v="Intérêts compensatoires / créances en faveur ctb."/>
    <n v="275.91000000000003"/>
    <n v="0"/>
    <n v="3221"/>
  </r>
  <r>
    <x v="0"/>
    <x v="8"/>
    <x v="7"/>
    <x v="127"/>
    <x v="112"/>
    <x v="112"/>
    <s v="CHARGES"/>
    <x v="0"/>
    <s v="3212.002"/>
    <s v="Intérêts bonifiés/trop perçu acompte C/C"/>
    <n v="6199.66"/>
    <n v="0"/>
    <n v="3212"/>
  </r>
  <r>
    <x v="0"/>
    <x v="8"/>
    <x v="7"/>
    <x v="127"/>
    <x v="112"/>
    <x v="112"/>
    <s v="CHARGES"/>
    <x v="0"/>
    <s v="3221.002"/>
    <s v="Intérêts compensatoires / créances en faveur ctb."/>
    <n v="25236.73"/>
    <n v="0"/>
    <n v="3221"/>
  </r>
  <r>
    <x v="0"/>
    <x v="8"/>
    <x v="7"/>
    <x v="127"/>
    <x v="112"/>
    <x v="112"/>
    <s v="CHARGES"/>
    <x v="0"/>
    <s v="3212.004"/>
    <s v="Intérêts rémun./perçu trop tôt sur acomptes C/C"/>
    <n v="32.28"/>
    <n v="0"/>
    <n v="3212"/>
  </r>
  <r>
    <x v="0"/>
    <x v="8"/>
    <x v="7"/>
    <x v="127"/>
    <x v="112"/>
    <x v="112"/>
    <s v="CHARGES"/>
    <x v="1"/>
    <s v="3301.001"/>
    <s v="Défalcations, abandons de solde PP et IS"/>
    <n v="162.16"/>
    <n v="0"/>
    <n v="3301"/>
  </r>
  <r>
    <x v="0"/>
    <x v="8"/>
    <x v="7"/>
    <x v="127"/>
    <x v="112"/>
    <x v="112"/>
    <s v="CHARGES"/>
    <x v="0"/>
    <s v="3212.002"/>
    <s v="Intérêts bonifiés/trop perçu acompte C/C"/>
    <n v="97.9"/>
    <n v="0"/>
    <n v="3212"/>
  </r>
  <r>
    <x v="0"/>
    <x v="8"/>
    <x v="7"/>
    <x v="127"/>
    <x v="112"/>
    <x v="112"/>
    <s v="CHARGES"/>
    <x v="0"/>
    <s v="3212.004"/>
    <s v="Intérêts rémun./perçu trop tôt sur acomptes C/C"/>
    <n v="1355.22"/>
    <n v="0"/>
    <n v="3212"/>
  </r>
  <r>
    <x v="0"/>
    <x v="8"/>
    <x v="7"/>
    <x v="127"/>
    <x v="112"/>
    <x v="112"/>
    <s v="CHARGES"/>
    <x v="0"/>
    <s v="3221.002"/>
    <s v="Intérêts compensatoires / créances en faveur ctb."/>
    <n v="881.1"/>
    <n v="0"/>
    <n v="3221"/>
  </r>
  <r>
    <x v="0"/>
    <x v="8"/>
    <x v="7"/>
    <x v="127"/>
    <x v="112"/>
    <x v="112"/>
    <s v="CHARGES"/>
    <x v="1"/>
    <s v="3301.001"/>
    <s v="Défalcations, abandons de solde PP et IS"/>
    <n v="19743.75"/>
    <n v="0"/>
    <n v="3301"/>
  </r>
  <r>
    <x v="0"/>
    <x v="8"/>
    <x v="7"/>
    <x v="127"/>
    <x v="112"/>
    <x v="112"/>
    <s v="CHARGES"/>
    <x v="0"/>
    <s v="3212.002"/>
    <s v="Intérêts bonifiés/trop perçu acompte C/C"/>
    <n v="-35.549999999999997"/>
    <n v="0"/>
    <n v="3212"/>
  </r>
  <r>
    <x v="0"/>
    <x v="8"/>
    <x v="7"/>
    <x v="127"/>
    <x v="112"/>
    <x v="112"/>
    <s v="CHARGES"/>
    <x v="0"/>
    <s v="3212.004"/>
    <s v="Intérêts rémun./perçu trop tôt sur acomptes C/C"/>
    <n v="1176.3599999999999"/>
    <n v="0"/>
    <n v="3212"/>
  </r>
  <r>
    <x v="0"/>
    <x v="8"/>
    <x v="7"/>
    <x v="127"/>
    <x v="112"/>
    <x v="112"/>
    <s v="CHARGES"/>
    <x v="0"/>
    <s v="3221.002"/>
    <s v="Intérêts compensatoires / créances en faveur ctb."/>
    <n v="685.76"/>
    <n v="0"/>
    <n v="3221"/>
  </r>
  <r>
    <x v="0"/>
    <x v="8"/>
    <x v="7"/>
    <x v="127"/>
    <x v="112"/>
    <x v="112"/>
    <s v="CHARGES"/>
    <x v="1"/>
    <s v="3301.001"/>
    <s v="Défalcations, abandons de solde PP et IS"/>
    <n v="33213.54"/>
    <n v="0"/>
    <n v="3301"/>
  </r>
  <r>
    <x v="0"/>
    <x v="8"/>
    <x v="7"/>
    <x v="127"/>
    <x v="112"/>
    <x v="112"/>
    <s v="CHARGES"/>
    <x v="0"/>
    <s v="3212.004"/>
    <s v="Intérêts rémun./perçu trop tôt sur acomptes C/C"/>
    <n v="398.92"/>
    <n v="0"/>
    <n v="3212"/>
  </r>
  <r>
    <x v="0"/>
    <x v="8"/>
    <x v="7"/>
    <x v="127"/>
    <x v="112"/>
    <x v="112"/>
    <s v="CHARGES"/>
    <x v="0"/>
    <s v="3221.002"/>
    <s v="Intérêts compensatoires / créances en faveur ctb."/>
    <n v="255.3"/>
    <n v="0"/>
    <n v="3221"/>
  </r>
  <r>
    <x v="0"/>
    <x v="8"/>
    <x v="7"/>
    <x v="127"/>
    <x v="112"/>
    <x v="112"/>
    <s v="CHARGES"/>
    <x v="1"/>
    <s v="3301.001"/>
    <s v="Défalcations, abandons de solde PP et IS"/>
    <n v="34334.83"/>
    <n v="0"/>
    <n v="3301"/>
  </r>
  <r>
    <x v="0"/>
    <x v="8"/>
    <x v="7"/>
    <x v="127"/>
    <x v="112"/>
    <x v="112"/>
    <s v="CHARGES"/>
    <x v="1"/>
    <s v="3301.003"/>
    <s v="Remises PP et IS"/>
    <n v="2348.23"/>
    <n v="0"/>
    <n v="3301"/>
  </r>
  <r>
    <x v="0"/>
    <x v="8"/>
    <x v="7"/>
    <x v="127"/>
    <x v="112"/>
    <x v="112"/>
    <s v="CHARGES"/>
    <x v="0"/>
    <s v="3212.004"/>
    <s v="Intérêts rémun./perçu trop tôt sur acomptes C/C"/>
    <n v="164.49"/>
    <n v="0"/>
    <n v="3212"/>
  </r>
  <r>
    <x v="0"/>
    <x v="8"/>
    <x v="7"/>
    <x v="127"/>
    <x v="112"/>
    <x v="112"/>
    <s v="CHARGES"/>
    <x v="0"/>
    <s v="3221.002"/>
    <s v="Intérêts compensatoires / créances en faveur ctb."/>
    <n v="167.28"/>
    <n v="0"/>
    <n v="3221"/>
  </r>
  <r>
    <x v="0"/>
    <x v="8"/>
    <x v="7"/>
    <x v="127"/>
    <x v="112"/>
    <x v="112"/>
    <s v="CHARGES"/>
    <x v="1"/>
    <s v="3301.001"/>
    <s v="Défalcations, abandons de solde PP et IS"/>
    <n v="2347.71"/>
    <n v="0"/>
    <n v="3301"/>
  </r>
  <r>
    <x v="0"/>
    <x v="8"/>
    <x v="7"/>
    <x v="127"/>
    <x v="112"/>
    <x v="112"/>
    <s v="CHARGES"/>
    <x v="1"/>
    <s v="3301.003"/>
    <s v="Remises PP et IS"/>
    <n v="144200.37"/>
    <n v="0"/>
    <n v="3301"/>
  </r>
  <r>
    <x v="0"/>
    <x v="8"/>
    <x v="7"/>
    <x v="127"/>
    <x v="112"/>
    <x v="112"/>
    <s v="CHARGES"/>
    <x v="1"/>
    <s v="3301.001"/>
    <s v="Défalcations, abandons de solde PP et IS"/>
    <n v="29.9"/>
    <n v="0"/>
    <n v="3301"/>
  </r>
  <r>
    <x v="0"/>
    <x v="8"/>
    <x v="7"/>
    <x v="127"/>
    <x v="112"/>
    <x v="112"/>
    <s v="CHARGES"/>
    <x v="0"/>
    <s v="3212.004"/>
    <s v="Intérêts rémun./perçu trop tôt sur acomptes C/C"/>
    <n v="16.16"/>
    <n v="0"/>
    <n v="3212"/>
  </r>
  <r>
    <x v="0"/>
    <x v="8"/>
    <x v="7"/>
    <x v="127"/>
    <x v="112"/>
    <x v="112"/>
    <s v="CHARGES"/>
    <x v="0"/>
    <s v="3212.002"/>
    <s v="Intérêts bonifiés/trop perçu acompte C/C"/>
    <n v="-56"/>
    <n v="0"/>
    <n v="3212"/>
  </r>
  <r>
    <x v="0"/>
    <x v="8"/>
    <x v="7"/>
    <x v="127"/>
    <x v="112"/>
    <x v="112"/>
    <s v="CHARGES"/>
    <x v="0"/>
    <s v="3212.004"/>
    <s v="Intérêts rémun./perçu trop tôt sur acomptes C/C"/>
    <n v="-149.13"/>
    <n v="0"/>
    <n v="3212"/>
  </r>
  <r>
    <x v="0"/>
    <x v="8"/>
    <x v="7"/>
    <x v="127"/>
    <x v="112"/>
    <x v="112"/>
    <s v="CHARGES"/>
    <x v="0"/>
    <s v="3221.002"/>
    <s v="Intérêts compensatoires / créances en faveur ctb."/>
    <n v="-88.4"/>
    <n v="0"/>
    <n v="3221"/>
  </r>
  <r>
    <x v="0"/>
    <x v="8"/>
    <x v="7"/>
    <x v="127"/>
    <x v="112"/>
    <x v="112"/>
    <s v="CHARGES"/>
    <x v="1"/>
    <s v="3301.003"/>
    <s v="Remises PP et IS"/>
    <n v="1356.19"/>
    <n v="0"/>
    <n v="3301"/>
  </r>
  <r>
    <x v="0"/>
    <x v="8"/>
    <x v="7"/>
    <x v="127"/>
    <x v="112"/>
    <x v="112"/>
    <s v="CHARGES"/>
    <x v="0"/>
    <s v="3212.002"/>
    <s v="Intérêts bonifiés/trop perçu acompte C/C"/>
    <n v="6.9"/>
    <n v="0"/>
    <n v="3212"/>
  </r>
  <r>
    <x v="0"/>
    <x v="8"/>
    <x v="7"/>
    <x v="127"/>
    <x v="112"/>
    <x v="112"/>
    <s v="CHARGES"/>
    <x v="0"/>
    <s v="3212.002"/>
    <s v="Intérêts bonifiés/trop perçu acompte C/C"/>
    <n v="7.0000000000000007E-2"/>
    <n v="0"/>
    <n v="3212"/>
  </r>
  <r>
    <x v="0"/>
    <x v="8"/>
    <x v="7"/>
    <x v="127"/>
    <x v="112"/>
    <x v="112"/>
    <s v="CHARGES"/>
    <x v="0"/>
    <s v="3212.002"/>
    <s v="Intérêts bonifiés/trop perçu acompte C/C"/>
    <n v="16.690000000000001"/>
    <n v="0"/>
    <n v="3212"/>
  </r>
  <r>
    <x v="0"/>
    <x v="8"/>
    <x v="7"/>
    <x v="127"/>
    <x v="112"/>
    <x v="112"/>
    <s v="CHARGES"/>
    <x v="0"/>
    <s v="3212.004"/>
    <s v="Intérêts rémun./perçu trop tôt sur acomptes C/C"/>
    <n v="-0.57999999999999996"/>
    <n v="0"/>
    <n v="3212"/>
  </r>
  <r>
    <x v="0"/>
    <x v="8"/>
    <x v="7"/>
    <x v="127"/>
    <x v="112"/>
    <x v="112"/>
    <s v="CHARGES"/>
    <x v="0"/>
    <s v="3221.002"/>
    <s v="Intérêts compensatoires / créances en faveur ctb."/>
    <n v="0.04"/>
    <n v="0"/>
    <n v="3221"/>
  </r>
  <r>
    <x v="0"/>
    <x v="8"/>
    <x v="7"/>
    <x v="127"/>
    <x v="112"/>
    <x v="112"/>
    <s v="CHARGES"/>
    <x v="0"/>
    <s v="3212.002"/>
    <s v="Intérêts bonifiés/trop perçu acompte C/C"/>
    <n v="-3.48"/>
    <n v="0"/>
    <n v="3212"/>
  </r>
  <r>
    <x v="0"/>
    <x v="8"/>
    <x v="7"/>
    <x v="127"/>
    <x v="112"/>
    <x v="112"/>
    <s v="CHARGES"/>
    <x v="0"/>
    <s v="3212.004"/>
    <s v="Intérêts rémun./perçu trop tôt sur acomptes C/C"/>
    <n v="-117.04"/>
    <n v="0"/>
    <n v="3212"/>
  </r>
  <r>
    <x v="0"/>
    <x v="8"/>
    <x v="7"/>
    <x v="127"/>
    <x v="112"/>
    <x v="112"/>
    <s v="CHARGES"/>
    <x v="0"/>
    <s v="3221.002"/>
    <s v="Intérêts compensatoires / créances en faveur ctb."/>
    <n v="-22.98"/>
    <n v="0"/>
    <n v="3221"/>
  </r>
  <r>
    <x v="0"/>
    <x v="8"/>
    <x v="7"/>
    <x v="127"/>
    <x v="112"/>
    <x v="112"/>
    <s v="CHARGES"/>
    <x v="1"/>
    <s v="3301.001"/>
    <s v="Défalcations, abandons de solde PP et IS"/>
    <n v="-3.04"/>
    <n v="0"/>
    <n v="3301"/>
  </r>
  <r>
    <x v="0"/>
    <x v="8"/>
    <x v="7"/>
    <x v="127"/>
    <x v="112"/>
    <x v="112"/>
    <s v="CHARGES"/>
    <x v="0"/>
    <s v="3221.002"/>
    <s v="Intérêts compensatoires / créances en faveur ctb."/>
    <n v="10.54"/>
    <n v="0"/>
    <n v="3221"/>
  </r>
  <r>
    <x v="0"/>
    <x v="8"/>
    <x v="7"/>
    <x v="127"/>
    <x v="112"/>
    <x v="112"/>
    <s v="CHARGES"/>
    <x v="1"/>
    <s v="3301.001"/>
    <s v="Défalcations, abandons de solde PP et IS"/>
    <n v="4.22"/>
    <n v="0"/>
    <n v="3301"/>
  </r>
  <r>
    <x v="0"/>
    <x v="8"/>
    <x v="7"/>
    <x v="127"/>
    <x v="112"/>
    <x v="112"/>
    <s v="CHARGES"/>
    <x v="0"/>
    <s v="3221.002"/>
    <s v="Intérêts compensatoires / créances en faveur ctb."/>
    <n v="5.63"/>
    <n v="0"/>
    <n v="3221"/>
  </r>
  <r>
    <x v="0"/>
    <x v="8"/>
    <x v="7"/>
    <x v="127"/>
    <x v="112"/>
    <x v="112"/>
    <s v="CHARGES"/>
    <x v="0"/>
    <s v="3212.004"/>
    <s v="Intérêts rémun./perçu trop tôt sur acomptes C/C"/>
    <n v="-26.49"/>
    <n v="0"/>
    <n v="3212"/>
  </r>
  <r>
    <x v="0"/>
    <x v="8"/>
    <x v="7"/>
    <x v="127"/>
    <x v="112"/>
    <x v="112"/>
    <s v="CHARGES"/>
    <x v="1"/>
    <s v="3301.001"/>
    <s v="Défalcations, abandons de solde PP et IS"/>
    <n v="-26.85"/>
    <n v="0"/>
    <n v="3301"/>
  </r>
  <r>
    <x v="0"/>
    <x v="8"/>
    <x v="7"/>
    <x v="127"/>
    <x v="112"/>
    <x v="112"/>
    <s v="CHARGES"/>
    <x v="0"/>
    <s v="3212.002"/>
    <s v="Intérêts bonifiés/trop perçu acompte C/C"/>
    <n v="-0.16"/>
    <n v="0"/>
    <n v="3212"/>
  </r>
  <r>
    <x v="0"/>
    <x v="8"/>
    <x v="7"/>
    <x v="127"/>
    <x v="112"/>
    <x v="112"/>
    <s v="CHARGES"/>
    <x v="1"/>
    <s v="3301.001"/>
    <s v="Défalcations, abandons de solde PP et IS"/>
    <n v="-1.19"/>
    <n v="0"/>
    <n v="3301"/>
  </r>
  <r>
    <x v="0"/>
    <x v="8"/>
    <x v="7"/>
    <x v="127"/>
    <x v="112"/>
    <x v="112"/>
    <s v="CHARGES"/>
    <x v="0"/>
    <s v="3212.002"/>
    <s v="Intérêts bonifiés/trop perçu acompte C/C"/>
    <n v="1.25"/>
    <n v="0"/>
    <n v="3212"/>
  </r>
  <r>
    <x v="0"/>
    <x v="8"/>
    <x v="7"/>
    <x v="127"/>
    <x v="112"/>
    <x v="112"/>
    <s v="CHARGES"/>
    <x v="0"/>
    <s v="3212.004"/>
    <s v="Intérêts rémun./perçu trop tôt sur acomptes C/C"/>
    <n v="-0.49"/>
    <n v="0"/>
    <n v="3212"/>
  </r>
  <r>
    <x v="0"/>
    <x v="8"/>
    <x v="7"/>
    <x v="127"/>
    <x v="112"/>
    <x v="112"/>
    <s v="CHARGES"/>
    <x v="0"/>
    <s v="3221.002"/>
    <s v="Intérêts compensatoires / créances en faveur ctb."/>
    <n v="-0.63"/>
    <n v="0"/>
    <n v="3221"/>
  </r>
  <r>
    <x v="0"/>
    <x v="8"/>
    <x v="7"/>
    <x v="127"/>
    <x v="112"/>
    <x v="112"/>
    <s v="CHARGES"/>
    <x v="0"/>
    <s v="3212.002"/>
    <s v="Intérêts bonifiés/trop perçu acompte C/C"/>
    <n v="-0.04"/>
    <n v="0"/>
    <n v="3212"/>
  </r>
  <r>
    <x v="0"/>
    <x v="8"/>
    <x v="7"/>
    <x v="127"/>
    <x v="112"/>
    <x v="112"/>
    <s v="CHARGES"/>
    <x v="1"/>
    <s v="3301.001"/>
    <s v="Défalcations, abandons de solde PP et IS"/>
    <n v="-6.99"/>
    <n v="0"/>
    <n v="3301"/>
  </r>
  <r>
    <x v="0"/>
    <x v="8"/>
    <x v="7"/>
    <x v="127"/>
    <x v="112"/>
    <x v="112"/>
    <s v="REVENUS"/>
    <x v="8"/>
    <s v="4091.001"/>
    <s v="Impôt récupéré après défalcations"/>
    <n v="0"/>
    <n v="1254401.52"/>
    <n v="4091"/>
  </r>
  <r>
    <x v="0"/>
    <x v="8"/>
    <x v="7"/>
    <x v="127"/>
    <x v="112"/>
    <x v="112"/>
    <s v="REVENUS"/>
    <x v="2"/>
    <s v="4001.001"/>
    <s v="Impôt revenu"/>
    <n v="0"/>
    <n v="262853787.55000001"/>
    <n v="4001"/>
  </r>
  <r>
    <x v="0"/>
    <x v="8"/>
    <x v="7"/>
    <x v="127"/>
    <x v="112"/>
    <x v="112"/>
    <s v="REVENUS"/>
    <x v="2"/>
    <s v="4001.003"/>
    <s v="Impôt s/prest. cap. PP"/>
    <n v="0"/>
    <n v="5698406.0999999996"/>
    <n v="4001"/>
  </r>
  <r>
    <x v="0"/>
    <x v="8"/>
    <x v="7"/>
    <x v="127"/>
    <x v="112"/>
    <x v="112"/>
    <s v="REVENUS"/>
    <x v="2"/>
    <s v="4001.007"/>
    <s v="Acompte impôt sur revenu"/>
    <n v="0"/>
    <n v="-32185965.789999999"/>
    <n v="4001"/>
  </r>
  <r>
    <x v="0"/>
    <x v="8"/>
    <x v="7"/>
    <x v="127"/>
    <x v="112"/>
    <x v="112"/>
    <s v="REVENUS"/>
    <x v="3"/>
    <s v="4002.001"/>
    <s v="Impôt ordinaire s/fortune PP"/>
    <n v="0"/>
    <n v="30274665.100000001"/>
    <n v="4002"/>
  </r>
  <r>
    <x v="0"/>
    <x v="8"/>
    <x v="7"/>
    <x v="127"/>
    <x v="112"/>
    <x v="112"/>
    <s v="REVENUS"/>
    <x v="3"/>
    <s v="4002.007"/>
    <s v="Acompte impôt sur fortune"/>
    <n v="0"/>
    <n v="-4949317.3899999997"/>
    <n v="4002"/>
  </r>
  <r>
    <x v="0"/>
    <x v="8"/>
    <x v="7"/>
    <x v="127"/>
    <x v="112"/>
    <x v="112"/>
    <s v="REVENUS"/>
    <x v="6"/>
    <s v="4211.001"/>
    <s v="Intérêts de retard sur factures"/>
    <n v="0"/>
    <n v="1841370.74"/>
    <n v="4211"/>
  </r>
  <r>
    <x v="0"/>
    <x v="8"/>
    <x v="7"/>
    <x v="127"/>
    <x v="112"/>
    <x v="112"/>
    <s v="REVENUS"/>
    <x v="6"/>
    <s v="4211.002"/>
    <s v="Intérêts de retard sur acomptes"/>
    <n v="0"/>
    <n v="1929721.59"/>
    <n v="4211"/>
  </r>
  <r>
    <x v="0"/>
    <x v="8"/>
    <x v="7"/>
    <x v="127"/>
    <x v="112"/>
    <x v="112"/>
    <s v="REVENUS"/>
    <x v="6"/>
    <s v="4221.002"/>
    <s v="Intérêts compensat. sur impôts distincts"/>
    <n v="0"/>
    <n v="28597.08"/>
    <n v="4221"/>
  </r>
  <r>
    <x v="0"/>
    <x v="8"/>
    <x v="7"/>
    <x v="127"/>
    <x v="112"/>
    <x v="112"/>
    <s v="REVENUS"/>
    <x v="2"/>
    <s v="4001.001"/>
    <s v="Impôt revenu"/>
    <n v="0"/>
    <n v="1321121.2"/>
    <n v="4001"/>
  </r>
  <r>
    <x v="0"/>
    <x v="8"/>
    <x v="7"/>
    <x v="127"/>
    <x v="112"/>
    <x v="112"/>
    <s v="REVENUS"/>
    <x v="2"/>
    <s v="4001.007"/>
    <s v="Acompte impôt sur revenu"/>
    <n v="0"/>
    <n v="-122233.21"/>
    <n v="4001"/>
  </r>
  <r>
    <x v="0"/>
    <x v="8"/>
    <x v="7"/>
    <x v="127"/>
    <x v="112"/>
    <x v="112"/>
    <s v="REVENUS"/>
    <x v="3"/>
    <s v="4002.001"/>
    <s v="Impôt ordinaire s/fortune PP"/>
    <n v="0"/>
    <n v="190036.3"/>
    <n v="4002"/>
  </r>
  <r>
    <x v="0"/>
    <x v="8"/>
    <x v="7"/>
    <x v="127"/>
    <x v="112"/>
    <x v="112"/>
    <s v="REVENUS"/>
    <x v="3"/>
    <s v="4002.007"/>
    <s v="Acompte impôt sur fortune"/>
    <n v="0"/>
    <n v="-10139.66"/>
    <n v="4002"/>
  </r>
  <r>
    <x v="0"/>
    <x v="8"/>
    <x v="7"/>
    <x v="127"/>
    <x v="112"/>
    <x v="112"/>
    <s v="REVENUS"/>
    <x v="6"/>
    <s v="4211.002"/>
    <s v="Intérêts de retard sur acomptes"/>
    <n v="0"/>
    <n v="5729.88"/>
    <n v="4211"/>
  </r>
  <r>
    <x v="0"/>
    <x v="8"/>
    <x v="7"/>
    <x v="127"/>
    <x v="112"/>
    <x v="112"/>
    <s v="REVENUS"/>
    <x v="6"/>
    <s v="4221.003"/>
    <s v="Intérêts compensat. / acomptes en faveur du fisc"/>
    <n v="0"/>
    <n v="481.71"/>
    <n v="4221"/>
  </r>
  <r>
    <x v="0"/>
    <x v="8"/>
    <x v="7"/>
    <x v="127"/>
    <x v="112"/>
    <x v="112"/>
    <s v="REVENUS"/>
    <x v="2"/>
    <s v="4001.002"/>
    <s v="Impôt complément s/revenu PP"/>
    <n v="0"/>
    <n v="52083160.649999999"/>
    <n v="4001"/>
  </r>
  <r>
    <x v="0"/>
    <x v="8"/>
    <x v="7"/>
    <x v="127"/>
    <x v="112"/>
    <x v="112"/>
    <s v="REVENUS"/>
    <x v="3"/>
    <s v="4002.002"/>
    <s v="Impôt complémentaire s/fortune PP"/>
    <n v="0"/>
    <n v="11565804.449999999"/>
    <n v="4002"/>
  </r>
  <r>
    <x v="0"/>
    <x v="8"/>
    <x v="7"/>
    <x v="127"/>
    <x v="112"/>
    <x v="112"/>
    <s v="REVENUS"/>
    <x v="9"/>
    <s v="4031.001"/>
    <s v="Impôt sur les gains immobiliers"/>
    <n v="0"/>
    <n v="10538452.65"/>
    <n v="4031"/>
  </r>
  <r>
    <x v="0"/>
    <x v="8"/>
    <x v="7"/>
    <x v="127"/>
    <x v="112"/>
    <x v="112"/>
    <s v="REVENUS"/>
    <x v="8"/>
    <s v="4091.001"/>
    <s v="Impôt récupéré après défalcations"/>
    <n v="0"/>
    <n v="258580.8"/>
    <n v="4091"/>
  </r>
  <r>
    <x v="0"/>
    <x v="8"/>
    <x v="7"/>
    <x v="127"/>
    <x v="112"/>
    <x v="112"/>
    <s v="REVENUS"/>
    <x v="6"/>
    <s v="4221.003"/>
    <s v="Intérêts compensat. / acomptes en faveur du fisc"/>
    <n v="0"/>
    <n v="58115.16"/>
    <n v="4221"/>
  </r>
  <r>
    <x v="0"/>
    <x v="8"/>
    <x v="7"/>
    <x v="127"/>
    <x v="112"/>
    <x v="112"/>
    <s v="REVENUS"/>
    <x v="2"/>
    <s v="4001.001"/>
    <s v="Impôt revenu"/>
    <n v="0"/>
    <n v="58698.05"/>
    <n v="4001"/>
  </r>
  <r>
    <x v="0"/>
    <x v="8"/>
    <x v="7"/>
    <x v="127"/>
    <x v="112"/>
    <x v="112"/>
    <s v="REVENUS"/>
    <x v="2"/>
    <s v="4001.007"/>
    <s v="Acompte impôt sur revenu"/>
    <n v="0"/>
    <n v="-18264.84"/>
    <n v="4001"/>
  </r>
  <r>
    <x v="0"/>
    <x v="8"/>
    <x v="7"/>
    <x v="127"/>
    <x v="112"/>
    <x v="112"/>
    <s v="REVENUS"/>
    <x v="3"/>
    <s v="4002.001"/>
    <s v="Impôt ordinaire s/fortune PP"/>
    <n v="0"/>
    <n v="24876.75"/>
    <n v="4002"/>
  </r>
  <r>
    <x v="0"/>
    <x v="8"/>
    <x v="7"/>
    <x v="127"/>
    <x v="112"/>
    <x v="112"/>
    <s v="REVENUS"/>
    <x v="3"/>
    <s v="4002.007"/>
    <s v="Acompte impôt sur fortune"/>
    <n v="0"/>
    <n v="-9767.25"/>
    <n v="4002"/>
  </r>
  <r>
    <x v="0"/>
    <x v="8"/>
    <x v="7"/>
    <x v="127"/>
    <x v="112"/>
    <x v="112"/>
    <s v="REVENUS"/>
    <x v="6"/>
    <s v="4221.003"/>
    <s v="Intérêts compensat. / acomptes en faveur du fisc"/>
    <n v="0"/>
    <n v="26.34"/>
    <n v="4221"/>
  </r>
  <r>
    <x v="0"/>
    <x v="8"/>
    <x v="7"/>
    <x v="127"/>
    <x v="112"/>
    <x v="112"/>
    <s v="REVENUS"/>
    <x v="2"/>
    <s v="4001.007"/>
    <s v="Acompte impôt sur revenu"/>
    <n v="0"/>
    <n v="-2237075.27"/>
    <n v="4001"/>
  </r>
  <r>
    <x v="0"/>
    <x v="8"/>
    <x v="7"/>
    <x v="127"/>
    <x v="112"/>
    <x v="112"/>
    <s v="REVENUS"/>
    <x v="3"/>
    <s v="4002.007"/>
    <s v="Acompte impôt sur fortune"/>
    <n v="0"/>
    <n v="-233536.45"/>
    <n v="4002"/>
  </r>
  <r>
    <x v="0"/>
    <x v="8"/>
    <x v="7"/>
    <x v="127"/>
    <x v="112"/>
    <x v="112"/>
    <s v="REVENUS"/>
    <x v="2"/>
    <s v="4001.001"/>
    <s v="Impôt revenu"/>
    <n v="0"/>
    <n v="4038063.7"/>
    <n v="4001"/>
  </r>
  <r>
    <x v="0"/>
    <x v="8"/>
    <x v="7"/>
    <x v="127"/>
    <x v="112"/>
    <x v="112"/>
    <s v="REVENUS"/>
    <x v="2"/>
    <s v="4001.002"/>
    <s v="Impôt complément s/revenu PP"/>
    <n v="0"/>
    <n v="1136983.05"/>
    <n v="4001"/>
  </r>
  <r>
    <x v="0"/>
    <x v="8"/>
    <x v="7"/>
    <x v="127"/>
    <x v="112"/>
    <x v="112"/>
    <s v="REVENUS"/>
    <x v="3"/>
    <s v="4002.001"/>
    <s v="Impôt ordinaire s/fortune PP"/>
    <n v="0"/>
    <n v="729786.7"/>
    <n v="4002"/>
  </r>
  <r>
    <x v="0"/>
    <x v="8"/>
    <x v="7"/>
    <x v="127"/>
    <x v="112"/>
    <x v="112"/>
    <s v="REVENUS"/>
    <x v="3"/>
    <s v="4002.002"/>
    <s v="Impôt complémentaire s/fortune PP"/>
    <n v="0"/>
    <n v="294963.55"/>
    <n v="4002"/>
  </r>
  <r>
    <x v="0"/>
    <x v="8"/>
    <x v="7"/>
    <x v="127"/>
    <x v="112"/>
    <x v="112"/>
    <s v="REVENUS"/>
    <x v="6"/>
    <s v="4211.001"/>
    <s v="Intérêts de retard sur factures"/>
    <n v="0"/>
    <n v="17509.93"/>
    <n v="4211"/>
  </r>
  <r>
    <x v="0"/>
    <x v="8"/>
    <x v="7"/>
    <x v="127"/>
    <x v="112"/>
    <x v="112"/>
    <s v="REVENUS"/>
    <x v="6"/>
    <s v="4211.002"/>
    <s v="Intérêts de retard sur acomptes"/>
    <n v="0"/>
    <n v="35807.199999999997"/>
    <n v="4211"/>
  </r>
  <r>
    <x v="0"/>
    <x v="8"/>
    <x v="7"/>
    <x v="127"/>
    <x v="112"/>
    <x v="112"/>
    <s v="REVENUS"/>
    <x v="6"/>
    <s v="4221.003"/>
    <s v="Intérêts compensat. / acomptes en faveur du fisc"/>
    <n v="0"/>
    <n v="2423.56"/>
    <n v="4221"/>
  </r>
  <r>
    <x v="0"/>
    <x v="8"/>
    <x v="7"/>
    <x v="127"/>
    <x v="112"/>
    <x v="112"/>
    <s v="REVENUS"/>
    <x v="2"/>
    <s v="4001.001"/>
    <s v="Impôt revenu"/>
    <n v="0"/>
    <n v="5067994.8"/>
    <n v="4001"/>
  </r>
  <r>
    <x v="0"/>
    <x v="8"/>
    <x v="7"/>
    <x v="127"/>
    <x v="112"/>
    <x v="112"/>
    <s v="REVENUS"/>
    <x v="2"/>
    <s v="4001.007"/>
    <s v="Acompte impôt sur revenu"/>
    <n v="0"/>
    <n v="-863141.93"/>
    <n v="4001"/>
  </r>
  <r>
    <x v="0"/>
    <x v="8"/>
    <x v="7"/>
    <x v="127"/>
    <x v="112"/>
    <x v="112"/>
    <s v="REVENUS"/>
    <x v="3"/>
    <s v="4002.001"/>
    <s v="Impôt ordinaire s/fortune PP"/>
    <n v="0"/>
    <n v="776383.35"/>
    <n v="4002"/>
  </r>
  <r>
    <x v="0"/>
    <x v="8"/>
    <x v="7"/>
    <x v="127"/>
    <x v="112"/>
    <x v="112"/>
    <s v="REVENUS"/>
    <x v="3"/>
    <s v="4002.007"/>
    <s v="Acompte impôt sur fortune"/>
    <n v="0"/>
    <n v="191417.24"/>
    <n v="4002"/>
  </r>
  <r>
    <x v="0"/>
    <x v="8"/>
    <x v="7"/>
    <x v="127"/>
    <x v="112"/>
    <x v="112"/>
    <s v="REVENUS"/>
    <x v="6"/>
    <s v="4211.001"/>
    <s v="Intérêts de retard sur factures"/>
    <n v="0"/>
    <n v="23211.1"/>
    <n v="4211"/>
  </r>
  <r>
    <x v="0"/>
    <x v="8"/>
    <x v="7"/>
    <x v="127"/>
    <x v="112"/>
    <x v="112"/>
    <s v="REVENUS"/>
    <x v="6"/>
    <s v="4211.002"/>
    <s v="Intérêts de retard sur acomptes"/>
    <n v="0"/>
    <n v="38486.720000000001"/>
    <n v="4211"/>
  </r>
  <r>
    <x v="0"/>
    <x v="8"/>
    <x v="7"/>
    <x v="127"/>
    <x v="112"/>
    <x v="112"/>
    <s v="REVENUS"/>
    <x v="6"/>
    <s v="4221.003"/>
    <s v="Intérêts compensat. / acomptes en faveur du fisc"/>
    <n v="0"/>
    <n v="1199.05"/>
    <n v="4221"/>
  </r>
  <r>
    <x v="0"/>
    <x v="8"/>
    <x v="7"/>
    <x v="127"/>
    <x v="112"/>
    <x v="112"/>
    <s v="REVENUS"/>
    <x v="2"/>
    <s v="4001.001"/>
    <s v="Impôt revenu"/>
    <n v="0"/>
    <n v="982540.05"/>
    <n v="4001"/>
  </r>
  <r>
    <x v="0"/>
    <x v="8"/>
    <x v="7"/>
    <x v="127"/>
    <x v="112"/>
    <x v="112"/>
    <s v="REVENUS"/>
    <x v="2"/>
    <s v="4001.007"/>
    <s v="Acompte impôt sur revenu"/>
    <n v="0"/>
    <n v="117540.27"/>
    <n v="4001"/>
  </r>
  <r>
    <x v="0"/>
    <x v="8"/>
    <x v="7"/>
    <x v="127"/>
    <x v="112"/>
    <x v="112"/>
    <s v="REVENUS"/>
    <x v="3"/>
    <s v="4002.001"/>
    <s v="Impôt ordinaire s/fortune PP"/>
    <n v="0"/>
    <n v="167005"/>
    <n v="4002"/>
  </r>
  <r>
    <x v="0"/>
    <x v="8"/>
    <x v="7"/>
    <x v="127"/>
    <x v="112"/>
    <x v="112"/>
    <s v="REVENUS"/>
    <x v="3"/>
    <s v="4002.007"/>
    <s v="Acompte impôt sur fortune"/>
    <n v="0"/>
    <n v="38168.400000000001"/>
    <n v="4002"/>
  </r>
  <r>
    <x v="0"/>
    <x v="8"/>
    <x v="7"/>
    <x v="127"/>
    <x v="112"/>
    <x v="112"/>
    <s v="REVENUS"/>
    <x v="8"/>
    <s v="4091.003"/>
    <s v="Impôt récupéré concordat"/>
    <n v="0"/>
    <n v="3969.75"/>
    <n v="4091"/>
  </r>
  <r>
    <x v="0"/>
    <x v="8"/>
    <x v="7"/>
    <x v="127"/>
    <x v="112"/>
    <x v="112"/>
    <s v="REVENUS"/>
    <x v="2"/>
    <s v="4001.001"/>
    <s v="Impôt revenu"/>
    <n v="0"/>
    <n v="422818.6"/>
    <n v="4001"/>
  </r>
  <r>
    <x v="0"/>
    <x v="8"/>
    <x v="7"/>
    <x v="127"/>
    <x v="112"/>
    <x v="112"/>
    <s v="REVENUS"/>
    <x v="2"/>
    <s v="4001.007"/>
    <s v="Acompte impôt sur revenu"/>
    <n v="0"/>
    <n v="-63723.09"/>
    <n v="4001"/>
  </r>
  <r>
    <x v="0"/>
    <x v="8"/>
    <x v="7"/>
    <x v="127"/>
    <x v="112"/>
    <x v="112"/>
    <s v="REVENUS"/>
    <x v="3"/>
    <s v="4002.001"/>
    <s v="Impôt ordinaire s/fortune PP"/>
    <n v="0"/>
    <n v="154022.5"/>
    <n v="4002"/>
  </r>
  <r>
    <x v="0"/>
    <x v="8"/>
    <x v="7"/>
    <x v="127"/>
    <x v="112"/>
    <x v="112"/>
    <s v="REVENUS"/>
    <x v="3"/>
    <s v="4002.007"/>
    <s v="Acompte impôt sur fortune"/>
    <n v="0"/>
    <n v="-45452.53"/>
    <n v="4002"/>
  </r>
  <r>
    <x v="0"/>
    <x v="8"/>
    <x v="7"/>
    <x v="127"/>
    <x v="112"/>
    <x v="112"/>
    <s v="REVENUS"/>
    <x v="6"/>
    <s v="4211.002"/>
    <s v="Intérêts de retard sur acomptes"/>
    <n v="0"/>
    <n v="2388.2399999999998"/>
    <n v="4211"/>
  </r>
  <r>
    <x v="0"/>
    <x v="8"/>
    <x v="7"/>
    <x v="127"/>
    <x v="112"/>
    <x v="112"/>
    <s v="REVENUS"/>
    <x v="2"/>
    <s v="4001.005"/>
    <s v="Amende de soustract. Impôt"/>
    <n v="0"/>
    <n v="623650"/>
    <n v="4001"/>
  </r>
  <r>
    <x v="0"/>
    <x v="8"/>
    <x v="7"/>
    <x v="127"/>
    <x v="112"/>
    <x v="112"/>
    <s v="REVENUS"/>
    <x v="7"/>
    <s v="4184.000"/>
    <s v="Frais de poursuite"/>
    <n v="0"/>
    <n v="352520.81"/>
    <n v="4184"/>
  </r>
  <r>
    <x v="0"/>
    <x v="8"/>
    <x v="7"/>
    <x v="127"/>
    <x v="112"/>
    <x v="112"/>
    <s v="REVENUS"/>
    <x v="2"/>
    <s v="4001.007"/>
    <s v="Acompte impôt sur revenu"/>
    <n v="0"/>
    <n v="1921278.05"/>
    <n v="4001"/>
  </r>
  <r>
    <x v="0"/>
    <x v="8"/>
    <x v="7"/>
    <x v="127"/>
    <x v="112"/>
    <x v="112"/>
    <s v="REVENUS"/>
    <x v="3"/>
    <s v="4002.007"/>
    <s v="Acompte impôt sur fortune"/>
    <n v="0"/>
    <n v="355232.69"/>
    <n v="4002"/>
  </r>
  <r>
    <x v="0"/>
    <x v="8"/>
    <x v="7"/>
    <x v="127"/>
    <x v="112"/>
    <x v="112"/>
    <s v="REVENUS"/>
    <x v="7"/>
    <s v="4184.000"/>
    <s v="Frais de poursuite"/>
    <n v="0"/>
    <n v="30190.73"/>
    <n v="4184"/>
  </r>
  <r>
    <x v="0"/>
    <x v="8"/>
    <x v="7"/>
    <x v="127"/>
    <x v="112"/>
    <x v="112"/>
    <s v="REVENUS"/>
    <x v="6"/>
    <s v="4211.001"/>
    <s v="Intérêts de retard sur factures"/>
    <n v="0"/>
    <n v="6138.61"/>
    <n v="4211"/>
  </r>
  <r>
    <x v="0"/>
    <x v="8"/>
    <x v="7"/>
    <x v="127"/>
    <x v="112"/>
    <x v="112"/>
    <s v="REVENUS"/>
    <x v="4"/>
    <s v="4051.001"/>
    <s v="Impôt sur les successions"/>
    <n v="0"/>
    <n v="9577028.8000000007"/>
    <n v="4051"/>
  </r>
  <r>
    <x v="0"/>
    <x v="8"/>
    <x v="7"/>
    <x v="127"/>
    <x v="112"/>
    <x v="112"/>
    <s v="REVENUS"/>
    <x v="4"/>
    <s v="4051.002"/>
    <s v="Impôt sur les donations"/>
    <n v="0"/>
    <n v="2462552.6"/>
    <n v="4051"/>
  </r>
  <r>
    <x v="0"/>
    <x v="8"/>
    <x v="7"/>
    <x v="127"/>
    <x v="112"/>
    <x v="112"/>
    <s v="REVENUS"/>
    <x v="5"/>
    <s v="4061.000"/>
    <s v="Impôt sur les chiens"/>
    <n v="0"/>
    <n v="389200"/>
    <n v="4061"/>
  </r>
  <r>
    <x v="0"/>
    <x v="8"/>
    <x v="7"/>
    <x v="127"/>
    <x v="112"/>
    <x v="112"/>
    <s v="REVENUS"/>
    <x v="6"/>
    <s v="4211.002"/>
    <s v="Intérêts de retard sur acomptes"/>
    <n v="0"/>
    <n v="27.48"/>
    <n v="4211"/>
  </r>
  <r>
    <x v="0"/>
    <x v="8"/>
    <x v="7"/>
    <x v="127"/>
    <x v="112"/>
    <x v="112"/>
    <s v="REVENUS"/>
    <x v="2"/>
    <s v="4001.007"/>
    <s v="Acompte impôt sur revenu"/>
    <n v="0"/>
    <n v="-6008.34"/>
    <n v="4001"/>
  </r>
  <r>
    <x v="0"/>
    <x v="8"/>
    <x v="7"/>
    <x v="127"/>
    <x v="112"/>
    <x v="112"/>
    <s v="REVENUS"/>
    <x v="3"/>
    <s v="4002.007"/>
    <s v="Acompte impôt sur fortune"/>
    <n v="0"/>
    <n v="-2354.9699999999998"/>
    <n v="4002"/>
  </r>
  <r>
    <x v="0"/>
    <x v="8"/>
    <x v="7"/>
    <x v="127"/>
    <x v="112"/>
    <x v="112"/>
    <s v="REVENUS"/>
    <x v="6"/>
    <s v="4211.001"/>
    <s v="Intérêts de retard sur factures"/>
    <n v="0"/>
    <n v="1139.55"/>
    <n v="4211"/>
  </r>
  <r>
    <x v="0"/>
    <x v="8"/>
    <x v="7"/>
    <x v="127"/>
    <x v="112"/>
    <x v="112"/>
    <s v="REVENUS"/>
    <x v="6"/>
    <s v="4211.001"/>
    <s v="Intérêts de retard sur factures"/>
    <n v="0"/>
    <n v="1037.44"/>
    <n v="4211"/>
  </r>
  <r>
    <x v="0"/>
    <x v="8"/>
    <x v="7"/>
    <x v="127"/>
    <x v="112"/>
    <x v="112"/>
    <s v="REVENUS"/>
    <x v="2"/>
    <s v="4001.002"/>
    <s v="Impôt complément s/revenu PP"/>
    <n v="0"/>
    <n v="220544.95"/>
    <n v="4001"/>
  </r>
  <r>
    <x v="0"/>
    <x v="8"/>
    <x v="7"/>
    <x v="127"/>
    <x v="112"/>
    <x v="112"/>
    <s v="REVENUS"/>
    <x v="12"/>
    <s v="4004.000"/>
    <s v="Impôt spécial étrangers"/>
    <n v="0"/>
    <n v="4717041.25"/>
    <n v="4004"/>
  </r>
  <r>
    <x v="0"/>
    <x v="8"/>
    <x v="7"/>
    <x v="127"/>
    <x v="112"/>
    <x v="112"/>
    <s v="REVENUS"/>
    <x v="12"/>
    <s v="4004.007"/>
    <s v="Acompte spécial étrangers"/>
    <n v="0"/>
    <n v="813633.85"/>
    <n v="4004"/>
  </r>
  <r>
    <x v="0"/>
    <x v="8"/>
    <x v="7"/>
    <x v="127"/>
    <x v="112"/>
    <x v="112"/>
    <s v="REVENUS"/>
    <x v="6"/>
    <s v="4221.003"/>
    <s v="Intérêts compensat. / acomptes en faveur du fisc"/>
    <n v="0"/>
    <n v="121.63"/>
    <n v="4221"/>
  </r>
  <r>
    <x v="0"/>
    <x v="8"/>
    <x v="7"/>
    <x v="127"/>
    <x v="112"/>
    <x v="112"/>
    <s v="REVENUS"/>
    <x v="6"/>
    <s v="4221.003"/>
    <s v="Intérêts compensat. / acomptes en faveur du fisc"/>
    <n v="0"/>
    <n v="301.57"/>
    <n v="4221"/>
  </r>
  <r>
    <x v="0"/>
    <x v="8"/>
    <x v="7"/>
    <x v="127"/>
    <x v="112"/>
    <x v="112"/>
    <s v="REVENUS"/>
    <x v="8"/>
    <s v="4091.001"/>
    <s v="Impôt récupéré après défalcations"/>
    <n v="0"/>
    <n v="458.4"/>
    <n v="4091"/>
  </r>
  <r>
    <x v="0"/>
    <x v="8"/>
    <x v="7"/>
    <x v="127"/>
    <x v="112"/>
    <x v="112"/>
    <s v="REVENUS"/>
    <x v="4"/>
    <s v="4051.001"/>
    <s v="Impôt sur les successions"/>
    <n v="0"/>
    <n v="147875.1"/>
    <n v="4051"/>
  </r>
  <r>
    <x v="0"/>
    <x v="8"/>
    <x v="7"/>
    <x v="127"/>
    <x v="112"/>
    <x v="112"/>
    <s v="REVENUS"/>
    <x v="6"/>
    <s v="4221.002"/>
    <s v="Intérêts compensat. sur impôts distincts"/>
    <n v="0"/>
    <n v="58.14"/>
    <n v="4221"/>
  </r>
  <r>
    <x v="0"/>
    <x v="8"/>
    <x v="7"/>
    <x v="127"/>
    <x v="112"/>
    <x v="112"/>
    <s v="REVENUS"/>
    <x v="6"/>
    <s v="4211.002"/>
    <s v="Intérêts de retard sur acomptes"/>
    <n v="0"/>
    <n v="6721.26"/>
    <n v="4211"/>
  </r>
  <r>
    <x v="0"/>
    <x v="8"/>
    <x v="7"/>
    <x v="127"/>
    <x v="112"/>
    <x v="112"/>
    <s v="REVENUS"/>
    <x v="6"/>
    <s v="4211.001"/>
    <s v="Intérêts de retard sur factures"/>
    <n v="0"/>
    <n v="64.33"/>
    <n v="4211"/>
  </r>
  <r>
    <x v="0"/>
    <x v="8"/>
    <x v="7"/>
    <x v="127"/>
    <x v="112"/>
    <x v="112"/>
    <s v="REVENUS"/>
    <x v="2"/>
    <s v="4001.007"/>
    <s v="Acompte impôt sur revenu"/>
    <n v="0"/>
    <n v="-268762.95"/>
    <n v="4001"/>
  </r>
  <r>
    <x v="0"/>
    <x v="8"/>
    <x v="7"/>
    <x v="127"/>
    <x v="112"/>
    <x v="112"/>
    <s v="REVENUS"/>
    <x v="3"/>
    <s v="4002.007"/>
    <s v="Acompte impôt sur fortune"/>
    <n v="0"/>
    <n v="-45592.73"/>
    <n v="4002"/>
  </r>
  <r>
    <x v="0"/>
    <x v="8"/>
    <x v="7"/>
    <x v="127"/>
    <x v="112"/>
    <x v="112"/>
    <s v="REVENUS"/>
    <x v="2"/>
    <s v="4001.002"/>
    <s v="Impôt complément s/revenu PP"/>
    <n v="0"/>
    <n v="923271.2"/>
    <n v="4001"/>
  </r>
  <r>
    <x v="0"/>
    <x v="8"/>
    <x v="7"/>
    <x v="127"/>
    <x v="112"/>
    <x v="112"/>
    <s v="REVENUS"/>
    <x v="3"/>
    <s v="4002.002"/>
    <s v="Impôt complémentaire s/fortune PP"/>
    <n v="0"/>
    <n v="150648.35"/>
    <n v="4002"/>
  </r>
  <r>
    <x v="0"/>
    <x v="8"/>
    <x v="7"/>
    <x v="127"/>
    <x v="112"/>
    <x v="112"/>
    <s v="REVENUS"/>
    <x v="10"/>
    <s v="4041.001"/>
    <s v="Droits de mutation"/>
    <n v="0"/>
    <n v="4144451.55"/>
    <n v="4041"/>
  </r>
  <r>
    <x v="0"/>
    <x v="8"/>
    <x v="7"/>
    <x v="127"/>
    <x v="112"/>
    <x v="112"/>
    <s v="REVENUS"/>
    <x v="7"/>
    <s v="4184.000"/>
    <s v="Frais de poursuite"/>
    <n v="0"/>
    <n v="1959.65"/>
    <n v="4184"/>
  </r>
  <r>
    <x v="0"/>
    <x v="8"/>
    <x v="7"/>
    <x v="127"/>
    <x v="112"/>
    <x v="112"/>
    <s v="REVENUS"/>
    <x v="2"/>
    <s v="4001.001"/>
    <s v="Impôt revenu"/>
    <n v="0"/>
    <n v="46326.95"/>
    <n v="4001"/>
  </r>
  <r>
    <x v="0"/>
    <x v="8"/>
    <x v="7"/>
    <x v="127"/>
    <x v="112"/>
    <x v="112"/>
    <s v="REVENUS"/>
    <x v="3"/>
    <s v="4002.001"/>
    <s v="Impôt ordinaire s/fortune PP"/>
    <n v="0"/>
    <n v="19424.099999999999"/>
    <n v="4002"/>
  </r>
  <r>
    <x v="0"/>
    <x v="8"/>
    <x v="7"/>
    <x v="127"/>
    <x v="112"/>
    <x v="112"/>
    <s v="REVENUS"/>
    <x v="7"/>
    <s v="4184.000"/>
    <s v="Frais de poursuite"/>
    <n v="0"/>
    <n v="1870.92"/>
    <n v="4184"/>
  </r>
  <r>
    <x v="0"/>
    <x v="8"/>
    <x v="7"/>
    <x v="127"/>
    <x v="112"/>
    <x v="112"/>
    <s v="REVENUS"/>
    <x v="2"/>
    <s v="4001.002"/>
    <s v="Impôt complément s/revenu PP"/>
    <n v="0"/>
    <n v="114590.6"/>
    <n v="4001"/>
  </r>
  <r>
    <x v="0"/>
    <x v="8"/>
    <x v="7"/>
    <x v="127"/>
    <x v="112"/>
    <x v="112"/>
    <s v="REVENUS"/>
    <x v="3"/>
    <s v="4002.002"/>
    <s v="Impôt complémentaire s/fortune PP"/>
    <n v="0"/>
    <n v="44400.45"/>
    <n v="4002"/>
  </r>
  <r>
    <x v="0"/>
    <x v="8"/>
    <x v="7"/>
    <x v="127"/>
    <x v="112"/>
    <x v="112"/>
    <s v="REVENUS"/>
    <x v="7"/>
    <s v="4184.000"/>
    <s v="Frais de poursuite"/>
    <n v="0"/>
    <n v="848.63"/>
    <n v="4184"/>
  </r>
  <r>
    <x v="0"/>
    <x v="8"/>
    <x v="7"/>
    <x v="127"/>
    <x v="112"/>
    <x v="112"/>
    <s v="REVENUS"/>
    <x v="9"/>
    <s v="4031.002"/>
    <s v="Complément impôt sur les gains immobiliers"/>
    <n v="0"/>
    <n v="1604194.3"/>
    <n v="4031"/>
  </r>
  <r>
    <x v="0"/>
    <x v="8"/>
    <x v="7"/>
    <x v="127"/>
    <x v="112"/>
    <x v="112"/>
    <s v="REVENUS"/>
    <x v="6"/>
    <s v="4211.001"/>
    <s v="Intérêts de retard sur factures"/>
    <n v="0"/>
    <n v="188.15"/>
    <n v="4211"/>
  </r>
  <r>
    <x v="0"/>
    <x v="8"/>
    <x v="7"/>
    <x v="127"/>
    <x v="112"/>
    <x v="112"/>
    <s v="REVENUS"/>
    <x v="2"/>
    <s v="4001.001"/>
    <s v="Impôt revenu"/>
    <n v="0"/>
    <n v="-318253.25"/>
    <n v="4001"/>
  </r>
  <r>
    <x v="0"/>
    <x v="8"/>
    <x v="7"/>
    <x v="127"/>
    <x v="112"/>
    <x v="112"/>
    <s v="REVENUS"/>
    <x v="2"/>
    <s v="4001.002"/>
    <s v="Impôt complément s/revenu PP"/>
    <n v="0"/>
    <n v="-167824.8"/>
    <n v="4001"/>
  </r>
  <r>
    <x v="0"/>
    <x v="8"/>
    <x v="7"/>
    <x v="127"/>
    <x v="112"/>
    <x v="112"/>
    <s v="REVENUS"/>
    <x v="3"/>
    <s v="4002.001"/>
    <s v="Impôt ordinaire s/fortune PP"/>
    <n v="0"/>
    <n v="-54257.8"/>
    <n v="4002"/>
  </r>
  <r>
    <x v="0"/>
    <x v="8"/>
    <x v="7"/>
    <x v="127"/>
    <x v="112"/>
    <x v="112"/>
    <s v="REVENUS"/>
    <x v="3"/>
    <s v="4002.002"/>
    <s v="Impôt complémentaire s/fortune PP"/>
    <n v="0"/>
    <n v="-11615.5"/>
    <n v="4002"/>
  </r>
  <r>
    <x v="0"/>
    <x v="8"/>
    <x v="7"/>
    <x v="127"/>
    <x v="112"/>
    <x v="112"/>
    <s v="REVENUS"/>
    <x v="6"/>
    <s v="4211.001"/>
    <s v="Intérêts de retard sur factures"/>
    <n v="0"/>
    <n v="-220.29"/>
    <n v="4211"/>
  </r>
  <r>
    <x v="0"/>
    <x v="8"/>
    <x v="7"/>
    <x v="127"/>
    <x v="112"/>
    <x v="112"/>
    <s v="REVENUS"/>
    <x v="6"/>
    <s v="4211.002"/>
    <s v="Intérêts de retard sur acomptes"/>
    <n v="0"/>
    <n v="-1599.09"/>
    <n v="4211"/>
  </r>
  <r>
    <x v="0"/>
    <x v="8"/>
    <x v="7"/>
    <x v="127"/>
    <x v="112"/>
    <x v="112"/>
    <s v="REVENUS"/>
    <x v="6"/>
    <s v="4221.003"/>
    <s v="Intérêts compensat. / acomptes en faveur du fisc"/>
    <n v="0"/>
    <n v="-378.1"/>
    <n v="4221"/>
  </r>
  <r>
    <x v="0"/>
    <x v="8"/>
    <x v="7"/>
    <x v="127"/>
    <x v="112"/>
    <x v="112"/>
    <s v="REVENUS"/>
    <x v="3"/>
    <s v="4002.002"/>
    <s v="Impôt complémentaire s/fortune PP"/>
    <n v="0"/>
    <n v="52923.75"/>
    <n v="4002"/>
  </r>
  <r>
    <x v="0"/>
    <x v="8"/>
    <x v="7"/>
    <x v="127"/>
    <x v="112"/>
    <x v="112"/>
    <s v="REVENUS"/>
    <x v="11"/>
    <s v="4198.000"/>
    <s v="Contributions communales"/>
    <n v="0"/>
    <n v="15029751.449999999"/>
    <n v="4198"/>
  </r>
  <r>
    <x v="0"/>
    <x v="8"/>
    <x v="7"/>
    <x v="127"/>
    <x v="112"/>
    <x v="112"/>
    <s v="REVENUS"/>
    <x v="6"/>
    <s v="4211.002"/>
    <s v="Intérêts de retard sur acomptes"/>
    <n v="0"/>
    <n v="222.81"/>
    <n v="4211"/>
  </r>
  <r>
    <x v="0"/>
    <x v="8"/>
    <x v="7"/>
    <x v="127"/>
    <x v="112"/>
    <x v="112"/>
    <s v="REVENUS"/>
    <x v="6"/>
    <s v="4221.003"/>
    <s v="Intérêts compensat. / acomptes en faveur du fisc"/>
    <n v="0"/>
    <n v="5.04"/>
    <n v="4221"/>
  </r>
  <r>
    <x v="0"/>
    <x v="8"/>
    <x v="7"/>
    <x v="127"/>
    <x v="112"/>
    <x v="112"/>
    <s v="REVENUS"/>
    <x v="2"/>
    <s v="4001.002"/>
    <s v="Impôt complément s/revenu PP"/>
    <n v="0"/>
    <n v="57148.2"/>
    <n v="4001"/>
  </r>
  <r>
    <x v="0"/>
    <x v="8"/>
    <x v="7"/>
    <x v="127"/>
    <x v="112"/>
    <x v="112"/>
    <s v="REVENUS"/>
    <x v="2"/>
    <s v="4001.003"/>
    <s v="Impôt s/prest. cap. PP"/>
    <n v="0"/>
    <n v="-106.2"/>
    <n v="4001"/>
  </r>
  <r>
    <x v="0"/>
    <x v="8"/>
    <x v="7"/>
    <x v="127"/>
    <x v="112"/>
    <x v="112"/>
    <s v="REVENUS"/>
    <x v="6"/>
    <s v="4211.002"/>
    <s v="Intérêts de retard sur acomptes"/>
    <n v="0"/>
    <n v="2.8"/>
    <n v="4211"/>
  </r>
  <r>
    <x v="0"/>
    <x v="8"/>
    <x v="7"/>
    <x v="127"/>
    <x v="112"/>
    <x v="112"/>
    <s v="REVENUS"/>
    <x v="6"/>
    <s v="4221.003"/>
    <s v="Intérêts compensat. / acomptes en faveur du fisc"/>
    <n v="0"/>
    <n v="-13.13"/>
    <n v="4221"/>
  </r>
  <r>
    <x v="0"/>
    <x v="8"/>
    <x v="7"/>
    <x v="127"/>
    <x v="112"/>
    <x v="112"/>
    <s v="REVENUS"/>
    <x v="2"/>
    <s v="4001.001"/>
    <s v="Impôt revenu"/>
    <n v="0"/>
    <n v="-253028.65"/>
    <n v="4001"/>
  </r>
  <r>
    <x v="0"/>
    <x v="8"/>
    <x v="7"/>
    <x v="127"/>
    <x v="112"/>
    <x v="112"/>
    <s v="REVENUS"/>
    <x v="3"/>
    <s v="4002.001"/>
    <s v="Impôt ordinaire s/fortune PP"/>
    <n v="0"/>
    <n v="-84091.8"/>
    <n v="4002"/>
  </r>
  <r>
    <x v="0"/>
    <x v="8"/>
    <x v="7"/>
    <x v="127"/>
    <x v="112"/>
    <x v="112"/>
    <s v="REVENUS"/>
    <x v="6"/>
    <s v="4211.002"/>
    <s v="Intérêts de retard sur acomptes"/>
    <n v="0"/>
    <n v="-0.01"/>
    <n v="4211"/>
  </r>
  <r>
    <x v="0"/>
    <x v="8"/>
    <x v="7"/>
    <x v="127"/>
    <x v="112"/>
    <x v="112"/>
    <s v="REVENUS"/>
    <x v="2"/>
    <s v="4001.001"/>
    <s v="Impôt revenu"/>
    <n v="0"/>
    <n v="-4664.8"/>
    <n v="4001"/>
  </r>
  <r>
    <x v="0"/>
    <x v="8"/>
    <x v="7"/>
    <x v="127"/>
    <x v="112"/>
    <x v="112"/>
    <s v="REVENUS"/>
    <x v="6"/>
    <s v="4211.002"/>
    <s v="Intérêts de retard sur acomptes"/>
    <n v="0"/>
    <n v="-221.47"/>
    <n v="4211"/>
  </r>
  <r>
    <x v="0"/>
    <x v="8"/>
    <x v="7"/>
    <x v="127"/>
    <x v="112"/>
    <x v="112"/>
    <s v="REVENUS"/>
    <x v="3"/>
    <s v="4002.002"/>
    <s v="Impôt complémentaire s/fortune PP"/>
    <n v="0"/>
    <n v="19990.349999999999"/>
    <n v="4002"/>
  </r>
  <r>
    <x v="0"/>
    <x v="8"/>
    <x v="7"/>
    <x v="127"/>
    <x v="112"/>
    <x v="112"/>
    <s v="REVENUS"/>
    <x v="2"/>
    <s v="4001.002"/>
    <s v="Impôt complément s/revenu PP"/>
    <n v="0"/>
    <n v="16657.349999999999"/>
    <n v="4001"/>
  </r>
  <r>
    <x v="0"/>
    <x v="8"/>
    <x v="7"/>
    <x v="127"/>
    <x v="112"/>
    <x v="112"/>
    <s v="REVENUS"/>
    <x v="3"/>
    <s v="4002.002"/>
    <s v="Impôt complémentaire s/fortune PP"/>
    <n v="0"/>
    <n v="3332.3"/>
    <n v="4002"/>
  </r>
  <r>
    <x v="0"/>
    <x v="8"/>
    <x v="7"/>
    <x v="127"/>
    <x v="112"/>
    <x v="112"/>
    <s v="REVENUS"/>
    <x v="2"/>
    <s v="4001.001"/>
    <s v="Impôt revenu"/>
    <n v="0"/>
    <n v="-1777.55"/>
    <n v="4001"/>
  </r>
  <r>
    <x v="0"/>
    <x v="8"/>
    <x v="7"/>
    <x v="127"/>
    <x v="112"/>
    <x v="112"/>
    <s v="REVENUS"/>
    <x v="3"/>
    <s v="4002.001"/>
    <s v="Impôt ordinaire s/fortune PP"/>
    <n v="0"/>
    <n v="-587.35"/>
    <n v="4002"/>
  </r>
  <r>
    <x v="0"/>
    <x v="8"/>
    <x v="7"/>
    <x v="127"/>
    <x v="112"/>
    <x v="112"/>
    <s v="REVENUS"/>
    <x v="2"/>
    <s v="4001.007"/>
    <s v="Acompte impôt sur revenu"/>
    <n v="0"/>
    <n v="-7839.75"/>
    <n v="4001"/>
  </r>
  <r>
    <x v="0"/>
    <x v="8"/>
    <x v="7"/>
    <x v="127"/>
    <x v="112"/>
    <x v="112"/>
    <s v="REVENUS"/>
    <x v="14"/>
    <s v="4003.010"/>
    <s v="IS - Employés et sourciers étrangers"/>
    <n v="0"/>
    <n v="5.5"/>
    <n v="4003"/>
  </r>
  <r>
    <x v="0"/>
    <x v="8"/>
    <x v="7"/>
    <x v="127"/>
    <x v="112"/>
    <x v="112"/>
    <s v="REVENUS"/>
    <x v="8"/>
    <s v="4091.001"/>
    <s v="Impôt récupéré après défalcations"/>
    <n v="0"/>
    <n v="8074.07"/>
    <n v="4091"/>
  </r>
  <r>
    <x v="0"/>
    <x v="8"/>
    <x v="7"/>
    <x v="127"/>
    <x v="112"/>
    <x v="112"/>
    <s v="REVENUS"/>
    <x v="4"/>
    <s v="4051.001"/>
    <s v="Impôt sur les successions"/>
    <n v="0"/>
    <n v="3511.3"/>
    <n v="4051"/>
  </r>
  <r>
    <x v="0"/>
    <x v="8"/>
    <x v="7"/>
    <x v="127"/>
    <x v="112"/>
    <x v="112"/>
    <s v="REVENUS"/>
    <x v="6"/>
    <s v="4221.002"/>
    <s v="Intérêts compensat. sur impôts distincts"/>
    <n v="0"/>
    <n v="18.510000000000002"/>
    <n v="4221"/>
  </r>
  <r>
    <x v="0"/>
    <x v="8"/>
    <x v="7"/>
    <x v="127"/>
    <x v="112"/>
    <x v="112"/>
    <s v="REVENUS"/>
    <x v="10"/>
    <s v="4041.001"/>
    <s v="Droits de mutation"/>
    <n v="0"/>
    <n v="279.55"/>
    <n v="4041"/>
  </r>
  <r>
    <x v="0"/>
    <x v="8"/>
    <x v="7"/>
    <x v="127"/>
    <x v="112"/>
    <x v="112"/>
    <s v="REVENUS"/>
    <x v="7"/>
    <s v="4184.000"/>
    <s v="Frais de poursuite"/>
    <n v="0"/>
    <n v="2.75"/>
    <n v="4184"/>
  </r>
  <r>
    <x v="0"/>
    <x v="8"/>
    <x v="7"/>
    <x v="127"/>
    <x v="112"/>
    <x v="112"/>
    <s v="REVENUS"/>
    <x v="8"/>
    <s v="4091.001"/>
    <s v="Impôt récupéré après défalcations"/>
    <n v="0"/>
    <n v="1654.5"/>
    <n v="4091"/>
  </r>
  <r>
    <x v="0"/>
    <x v="8"/>
    <x v="7"/>
    <x v="127"/>
    <x v="112"/>
    <x v="112"/>
    <s v="REVENUS"/>
    <x v="6"/>
    <s v="4211.001"/>
    <s v="Intérêts de retard sur factures"/>
    <n v="0"/>
    <n v="0.63"/>
    <n v="4211"/>
  </r>
  <r>
    <x v="0"/>
    <x v="8"/>
    <x v="7"/>
    <x v="127"/>
    <x v="112"/>
    <x v="112"/>
    <s v="REVENUS"/>
    <x v="4"/>
    <s v="4051.001"/>
    <s v="Impôt sur les successions"/>
    <n v="0"/>
    <n v="73980.800000000003"/>
    <n v="4051"/>
  </r>
  <r>
    <x v="0"/>
    <x v="8"/>
    <x v="7"/>
    <x v="127"/>
    <x v="112"/>
    <x v="112"/>
    <s v="REVENUS"/>
    <x v="6"/>
    <s v="4221.002"/>
    <s v="Intérêts compensat. sur impôts distincts"/>
    <n v="0"/>
    <n v="30.29"/>
    <n v="4221"/>
  </r>
  <r>
    <x v="0"/>
    <x v="8"/>
    <x v="7"/>
    <x v="127"/>
    <x v="112"/>
    <x v="112"/>
    <s v="REVENUS"/>
    <x v="2"/>
    <s v="4001.002"/>
    <s v="Impôt complément s/revenu PP"/>
    <n v="0"/>
    <n v="-102767.6"/>
    <n v="4001"/>
  </r>
  <r>
    <x v="0"/>
    <x v="8"/>
    <x v="7"/>
    <x v="127"/>
    <x v="112"/>
    <x v="112"/>
    <s v="REVENUS"/>
    <x v="3"/>
    <s v="4002.002"/>
    <s v="Impôt complémentaire s/fortune PP"/>
    <n v="0"/>
    <n v="-26817.85"/>
    <n v="4002"/>
  </r>
  <r>
    <x v="0"/>
    <x v="8"/>
    <x v="7"/>
    <x v="127"/>
    <x v="112"/>
    <x v="112"/>
    <s v="REVENUS"/>
    <x v="2"/>
    <s v="4001.001"/>
    <s v="Impôt revenu"/>
    <n v="0"/>
    <n v="-33170.400000000001"/>
    <n v="4001"/>
  </r>
  <r>
    <x v="0"/>
    <x v="8"/>
    <x v="7"/>
    <x v="127"/>
    <x v="112"/>
    <x v="112"/>
    <s v="REVENUS"/>
    <x v="2"/>
    <s v="4001.007"/>
    <s v="Acompte impôt sur revenu"/>
    <n v="0"/>
    <n v="-1578.8"/>
    <n v="4001"/>
  </r>
  <r>
    <x v="0"/>
    <x v="8"/>
    <x v="7"/>
    <x v="127"/>
    <x v="112"/>
    <x v="112"/>
    <s v="REVENUS"/>
    <x v="3"/>
    <s v="4002.001"/>
    <s v="Impôt ordinaire s/fortune PP"/>
    <n v="0"/>
    <n v="-5868.95"/>
    <n v="4002"/>
  </r>
  <r>
    <x v="0"/>
    <x v="8"/>
    <x v="7"/>
    <x v="127"/>
    <x v="112"/>
    <x v="112"/>
    <s v="REVENUS"/>
    <x v="3"/>
    <s v="4002.007"/>
    <s v="Acompte impôt sur fortune"/>
    <n v="0"/>
    <n v="-268.7"/>
    <n v="4002"/>
  </r>
  <r>
    <x v="0"/>
    <x v="8"/>
    <x v="7"/>
    <x v="127"/>
    <x v="112"/>
    <x v="112"/>
    <s v="REVENUS"/>
    <x v="6"/>
    <s v="4211.002"/>
    <s v="Intérêts de retard sur acomptes"/>
    <n v="0"/>
    <n v="-41.74"/>
    <n v="4211"/>
  </r>
  <r>
    <x v="0"/>
    <x v="8"/>
    <x v="7"/>
    <x v="127"/>
    <x v="112"/>
    <x v="112"/>
    <s v="REVENUS"/>
    <x v="6"/>
    <s v="4221.003"/>
    <s v="Intérêts compensat. / acomptes en faveur du fisc"/>
    <n v="0"/>
    <n v="-53.83"/>
    <n v="4221"/>
  </r>
  <r>
    <x v="0"/>
    <x v="8"/>
    <x v="7"/>
    <x v="127"/>
    <x v="112"/>
    <x v="112"/>
    <s v="REVENUS"/>
    <x v="2"/>
    <s v="4001.003"/>
    <s v="Impôt s/prest. cap. PP"/>
    <n v="0"/>
    <n v="-8082.3"/>
    <n v="4001"/>
  </r>
  <r>
    <x v="0"/>
    <x v="8"/>
    <x v="7"/>
    <x v="127"/>
    <x v="112"/>
    <x v="112"/>
    <s v="REVENUS"/>
    <x v="2"/>
    <s v="4001.002"/>
    <s v="Impôt complément s/revenu PP"/>
    <n v="0"/>
    <n v="-8328.9500000000007"/>
    <n v="4001"/>
  </r>
  <r>
    <x v="0"/>
    <x v="8"/>
    <x v="7"/>
    <x v="127"/>
    <x v="112"/>
    <x v="112"/>
    <s v="REVENUS"/>
    <x v="3"/>
    <s v="4002.002"/>
    <s v="Impôt complémentaire s/fortune PP"/>
    <n v="0"/>
    <n v="-1288.5"/>
    <n v="4002"/>
  </r>
  <r>
    <x v="0"/>
    <x v="8"/>
    <x v="7"/>
    <x v="127"/>
    <x v="112"/>
    <x v="112"/>
    <s v="REVENUS"/>
    <x v="6"/>
    <s v="4211.001"/>
    <s v="Intérêts de retard sur factures"/>
    <n v="0"/>
    <n v="-0.24"/>
    <n v="4211"/>
  </r>
  <r>
    <x v="0"/>
    <x v="8"/>
    <x v="7"/>
    <x v="127"/>
    <x v="112"/>
    <x v="112"/>
    <s v="REVENUS"/>
    <x v="6"/>
    <s v="4211.001"/>
    <s v="Intérêts de retard sur factures"/>
    <n v="0"/>
    <n v="10.02"/>
    <n v="4211"/>
  </r>
  <r>
    <x v="0"/>
    <x v="8"/>
    <x v="7"/>
    <x v="127"/>
    <x v="112"/>
    <x v="112"/>
    <s v="REVENUS"/>
    <x v="3"/>
    <s v="4002.007"/>
    <s v="Acompte impôt sur fortune"/>
    <n v="0"/>
    <n v="40.229999999999997"/>
    <n v="4002"/>
  </r>
  <r>
    <x v="0"/>
    <x v="8"/>
    <x v="7"/>
    <x v="127"/>
    <x v="112"/>
    <x v="112"/>
    <s v="REVENUS"/>
    <x v="10"/>
    <s v="4041.002"/>
    <s v="Complément droit de mutation"/>
    <n v="0"/>
    <n v="67956.149999999994"/>
    <n v="4041"/>
  </r>
  <r>
    <x v="0"/>
    <x v="8"/>
    <x v="7"/>
    <x v="127"/>
    <x v="112"/>
    <x v="112"/>
    <s v="REVENUS"/>
    <x v="2"/>
    <s v="4001.005"/>
    <s v="Amende de soustract. Impôt"/>
    <n v="0"/>
    <n v="3600"/>
    <n v="4001"/>
  </r>
  <r>
    <x v="0"/>
    <x v="8"/>
    <x v="7"/>
    <x v="127"/>
    <x v="112"/>
    <x v="112"/>
    <s v="REVENUS"/>
    <x v="2"/>
    <s v="4001.002"/>
    <s v="Impôt complément s/revenu PP"/>
    <n v="0"/>
    <n v="2016.3"/>
    <n v="4001"/>
  </r>
  <r>
    <x v="0"/>
    <x v="8"/>
    <x v="7"/>
    <x v="127"/>
    <x v="112"/>
    <x v="112"/>
    <s v="REVENUS"/>
    <x v="3"/>
    <s v="4002.002"/>
    <s v="Impôt complémentaire s/fortune PP"/>
    <n v="0"/>
    <n v="494.6"/>
    <n v="4002"/>
  </r>
  <r>
    <x v="0"/>
    <x v="8"/>
    <x v="7"/>
    <x v="127"/>
    <x v="112"/>
    <x v="112"/>
    <s v="REVENUS"/>
    <x v="8"/>
    <s v="4091.001"/>
    <s v="Impôt récupéré après défalcations"/>
    <n v="0"/>
    <n v="437.39"/>
    <n v="4091"/>
  </r>
  <r>
    <x v="0"/>
    <x v="8"/>
    <x v="7"/>
    <x v="127"/>
    <x v="112"/>
    <x v="112"/>
    <s v="REVENUS"/>
    <x v="8"/>
    <s v="4091.001"/>
    <s v="Impôt récupéré après défalcations"/>
    <n v="0"/>
    <n v="2106.91"/>
    <n v="4091"/>
  </r>
  <r>
    <x v="0"/>
    <x v="8"/>
    <x v="7"/>
    <x v="127"/>
    <x v="112"/>
    <x v="112"/>
    <s v="REVENUS"/>
    <x v="4"/>
    <s v="4051.002"/>
    <s v="Impôt sur les donations"/>
    <n v="0"/>
    <n v="20815.400000000001"/>
    <n v="4051"/>
  </r>
  <r>
    <x v="0"/>
    <x v="8"/>
    <x v="7"/>
    <x v="127"/>
    <x v="112"/>
    <x v="112"/>
    <s v="REVENUS"/>
    <x v="9"/>
    <s v="4031.001"/>
    <s v="Impôt sur les gains immobiliers"/>
    <n v="0"/>
    <n v="10778.5"/>
    <n v="4031"/>
  </r>
  <r>
    <x v="0"/>
    <x v="8"/>
    <x v="7"/>
    <x v="127"/>
    <x v="112"/>
    <x v="112"/>
    <s v="REVENUS"/>
    <x v="13"/>
    <s v="4371.013"/>
    <s v="Amende soustraction LMSD"/>
    <n v="0"/>
    <n v="51249.4"/>
    <n v="4371"/>
  </r>
  <r>
    <x v="0"/>
    <x v="8"/>
    <x v="7"/>
    <x v="127"/>
    <x v="112"/>
    <x v="112"/>
    <s v="REVENUS"/>
    <x v="2"/>
    <s v="4001.003"/>
    <s v="Impôt s/prest. cap. PP"/>
    <n v="0"/>
    <n v="-1678.15"/>
    <n v="4001"/>
  </r>
  <r>
    <x v="0"/>
    <x v="8"/>
    <x v="7"/>
    <x v="127"/>
    <x v="112"/>
    <x v="112"/>
    <s v="REVENUS"/>
    <x v="7"/>
    <s v="4184.000"/>
    <s v="Frais de poursuite"/>
    <n v="0"/>
    <n v="-1.43"/>
    <n v="4184"/>
  </r>
  <r>
    <x v="0"/>
    <x v="8"/>
    <x v="7"/>
    <x v="127"/>
    <x v="112"/>
    <x v="112"/>
    <s v="REVENUS"/>
    <x v="4"/>
    <s v="4051.001"/>
    <s v="Impôt sur les successions"/>
    <n v="0"/>
    <n v="1075.5999999999999"/>
    <n v="4051"/>
  </r>
  <r>
    <x v="0"/>
    <x v="8"/>
    <x v="7"/>
    <x v="127"/>
    <x v="112"/>
    <x v="112"/>
    <s v="REVENUS"/>
    <x v="6"/>
    <s v="4221.002"/>
    <s v="Intérêts compensat. sur impôts distincts"/>
    <n v="0"/>
    <n v="2.93"/>
    <n v="4221"/>
  </r>
  <r>
    <x v="0"/>
    <x v="8"/>
    <x v="7"/>
    <x v="127"/>
    <x v="112"/>
    <x v="112"/>
    <s v="REVENUS"/>
    <x v="8"/>
    <s v="4091.001"/>
    <s v="Impôt récupéré après défalcations"/>
    <n v="0"/>
    <n v="-1013.9"/>
    <n v="4091"/>
  </r>
  <r>
    <x v="0"/>
    <x v="8"/>
    <x v="7"/>
    <x v="127"/>
    <x v="112"/>
    <x v="112"/>
    <s v="REVENUS"/>
    <x v="6"/>
    <s v="4221.002"/>
    <s v="Intérêts compensat. sur impôts distincts"/>
    <n v="0"/>
    <n v="-16.55"/>
    <n v="4221"/>
  </r>
  <r>
    <x v="0"/>
    <x v="8"/>
    <x v="7"/>
    <x v="127"/>
    <x v="112"/>
    <x v="112"/>
    <s v="REVENUS"/>
    <x v="2"/>
    <s v="4001.003"/>
    <s v="Impôt s/prest. cap. PP"/>
    <n v="0"/>
    <n v="-5764.65"/>
    <n v="4001"/>
  </r>
  <r>
    <x v="0"/>
    <x v="8"/>
    <x v="7"/>
    <x v="127"/>
    <x v="112"/>
    <x v="112"/>
    <s v="REVENUS"/>
    <x v="2"/>
    <s v="4001.003"/>
    <s v="Impôt s/prest. cap. PP"/>
    <n v="0"/>
    <n v="-1582.15"/>
    <n v="4001"/>
  </r>
  <r>
    <x v="0"/>
    <x v="8"/>
    <x v="7"/>
    <x v="127"/>
    <x v="112"/>
    <x v="112"/>
    <s v="REVENUS"/>
    <x v="2"/>
    <s v="4001.003"/>
    <s v="Impôt s/prest. cap. PP"/>
    <n v="0"/>
    <n v="0"/>
    <n v="4001"/>
  </r>
  <r>
    <x v="0"/>
    <x v="8"/>
    <x v="7"/>
    <x v="127"/>
    <x v="112"/>
    <x v="112"/>
    <s v="REVENUS"/>
    <x v="2"/>
    <s v="4001.001"/>
    <s v="Impôt revenu"/>
    <n v="0"/>
    <n v="-3150.85"/>
    <n v="4001"/>
  </r>
  <r>
    <x v="0"/>
    <x v="8"/>
    <x v="7"/>
    <x v="127"/>
    <x v="112"/>
    <x v="112"/>
    <s v="REVENUS"/>
    <x v="2"/>
    <s v="4001.002"/>
    <s v="Impôt complément s/revenu PP"/>
    <n v="0"/>
    <n v="-7.7"/>
    <n v="4001"/>
  </r>
  <r>
    <x v="0"/>
    <x v="8"/>
    <x v="7"/>
    <x v="127"/>
    <x v="112"/>
    <x v="112"/>
    <s v="REVENUS"/>
    <x v="2"/>
    <s v="4001.007"/>
    <s v="Acompte impôt sur revenu"/>
    <n v="0"/>
    <n v="-15.03"/>
    <n v="4001"/>
  </r>
  <r>
    <x v="0"/>
    <x v="8"/>
    <x v="7"/>
    <x v="127"/>
    <x v="112"/>
    <x v="112"/>
    <s v="REVENUS"/>
    <x v="3"/>
    <s v="4002.002"/>
    <s v="Impôt complémentaire s/fortune PP"/>
    <n v="0"/>
    <n v="-64.349999999999994"/>
    <n v="4002"/>
  </r>
  <r>
    <x v="0"/>
    <x v="8"/>
    <x v="7"/>
    <x v="127"/>
    <x v="112"/>
    <x v="112"/>
    <s v="REVENUS"/>
    <x v="3"/>
    <s v="4002.007"/>
    <s v="Acompte impôt sur fortune"/>
    <n v="0"/>
    <n v="-12.67"/>
    <n v="4002"/>
  </r>
  <r>
    <x v="0"/>
    <x v="8"/>
    <x v="7"/>
    <x v="127"/>
    <x v="112"/>
    <x v="112"/>
    <s v="REVENUS"/>
    <x v="6"/>
    <s v="4221.003"/>
    <s v="Intérêts compensat. / acomptes en faveur du fisc"/>
    <n v="0"/>
    <n v="-0.02"/>
    <n v="4221"/>
  </r>
  <r>
    <x v="0"/>
    <x v="8"/>
    <x v="7"/>
    <x v="127"/>
    <x v="112"/>
    <x v="112"/>
    <s v="REVENUS"/>
    <x v="2"/>
    <s v="4001.002"/>
    <s v="Impôt complément s/revenu PP"/>
    <n v="0"/>
    <n v="-410.05"/>
    <n v="4001"/>
  </r>
  <r>
    <x v="0"/>
    <x v="8"/>
    <x v="7"/>
    <x v="127"/>
    <x v="112"/>
    <x v="112"/>
    <s v="REVENUS"/>
    <x v="3"/>
    <s v="4002.002"/>
    <s v="Impôt complémentaire s/fortune PP"/>
    <n v="0"/>
    <n v="-345.4"/>
    <n v="4002"/>
  </r>
  <r>
    <x v="0"/>
    <x v="8"/>
    <x v="7"/>
    <x v="127"/>
    <x v="112"/>
    <x v="112"/>
    <s v="REVENUS"/>
    <x v="6"/>
    <s v="4221.003"/>
    <s v="Intérêts compensat. / acomptes en faveur du fisc"/>
    <n v="0"/>
    <n v="-7.0000000000000007E-2"/>
    <n v="4221"/>
  </r>
  <r>
    <x v="0"/>
    <x v="8"/>
    <x v="7"/>
    <x v="127"/>
    <x v="112"/>
    <x v="112"/>
    <s v="REVENUS"/>
    <x v="12"/>
    <s v="4004.000"/>
    <s v="Impôt spécial étrangers"/>
    <n v="0"/>
    <n v="22280.1"/>
    <n v="4004"/>
  </r>
  <r>
    <x v="0"/>
    <x v="8"/>
    <x v="7"/>
    <x v="127"/>
    <x v="112"/>
    <x v="112"/>
    <s v="REVENUS"/>
    <x v="4"/>
    <s v="4051.001"/>
    <s v="Impôt sur les successions"/>
    <n v="0"/>
    <n v="2390.8000000000002"/>
    <n v="4051"/>
  </r>
  <r>
    <x v="0"/>
    <x v="8"/>
    <x v="7"/>
    <x v="127"/>
    <x v="112"/>
    <x v="112"/>
    <s v="REVENUS"/>
    <x v="6"/>
    <s v="4221.002"/>
    <s v="Intérêts compensat. sur impôts distincts"/>
    <n v="0"/>
    <n v="0.46"/>
    <n v="4221"/>
  </r>
  <r>
    <x v="0"/>
    <x v="8"/>
    <x v="7"/>
    <x v="127"/>
    <x v="112"/>
    <x v="112"/>
    <s v="REVENUS"/>
    <x v="6"/>
    <s v="4211.001"/>
    <s v="Intérêts de retard sur factures"/>
    <n v="0"/>
    <n v="-40.83"/>
    <n v="4211"/>
  </r>
  <r>
    <x v="0"/>
    <x v="8"/>
    <x v="7"/>
    <x v="127"/>
    <x v="112"/>
    <x v="112"/>
    <s v="REVENUS"/>
    <x v="6"/>
    <s v="4221.002"/>
    <s v="Intérêts compensat. sur impôts distincts"/>
    <n v="0"/>
    <n v="-6.99"/>
    <n v="4221"/>
  </r>
  <r>
    <x v="0"/>
    <x v="8"/>
    <x v="7"/>
    <x v="127"/>
    <x v="112"/>
    <x v="112"/>
    <s v="REVENUS"/>
    <x v="8"/>
    <s v="4091.003"/>
    <s v="Impôt récupéré concordat"/>
    <n v="0"/>
    <n v="-28545.38"/>
    <n v="4091"/>
  </r>
  <r>
    <x v="0"/>
    <x v="8"/>
    <x v="7"/>
    <x v="127"/>
    <x v="112"/>
    <x v="112"/>
    <s v="REVENUS"/>
    <x v="12"/>
    <s v="4004.007"/>
    <s v="Acompte spécial étrangers"/>
    <n v="0"/>
    <n v="9373.58"/>
    <n v="4004"/>
  </r>
  <r>
    <x v="0"/>
    <x v="8"/>
    <x v="7"/>
    <x v="128"/>
    <x v="113"/>
    <x v="113"/>
    <s v="CHARGES"/>
    <x v="0"/>
    <s v="3212.002"/>
    <s v="Intérêts bonifiés/trop perçu acompte C/C"/>
    <n v="110.39"/>
    <n v="0"/>
    <n v="3212"/>
  </r>
  <r>
    <x v="0"/>
    <x v="8"/>
    <x v="7"/>
    <x v="128"/>
    <x v="113"/>
    <x v="113"/>
    <s v="CHARGES"/>
    <x v="0"/>
    <s v="3212.004"/>
    <s v="Intérêts rémun./perçu trop tôt sur acomptes C/C"/>
    <n v="4550.8100000000004"/>
    <n v="0"/>
    <n v="3212"/>
  </r>
  <r>
    <x v="0"/>
    <x v="8"/>
    <x v="7"/>
    <x v="128"/>
    <x v="113"/>
    <x v="113"/>
    <s v="CHARGES"/>
    <x v="0"/>
    <s v="3221.002"/>
    <s v="Intérêts compensatoires / créances en faveur ctb."/>
    <n v="2722.72"/>
    <n v="0"/>
    <n v="3221"/>
  </r>
  <r>
    <x v="0"/>
    <x v="8"/>
    <x v="7"/>
    <x v="128"/>
    <x v="113"/>
    <x v="113"/>
    <s v="CHARGES"/>
    <x v="1"/>
    <s v="3301.001"/>
    <s v="Défalcations, abandons de solde PP et IS"/>
    <n v="1557071.46"/>
    <n v="0"/>
    <n v="3301"/>
  </r>
  <r>
    <x v="0"/>
    <x v="8"/>
    <x v="7"/>
    <x v="128"/>
    <x v="113"/>
    <x v="113"/>
    <s v="CHARGES"/>
    <x v="0"/>
    <s v="3212.004"/>
    <s v="Intérêts rémun./perçu trop tôt sur acomptes C/C"/>
    <n v="19.100000000000001"/>
    <n v="0"/>
    <n v="3212"/>
  </r>
  <r>
    <x v="0"/>
    <x v="8"/>
    <x v="7"/>
    <x v="128"/>
    <x v="113"/>
    <x v="113"/>
    <s v="CHARGES"/>
    <x v="0"/>
    <s v="3221.002"/>
    <s v="Intérêts compensatoires / créances en faveur ctb."/>
    <n v="-7.62"/>
    <n v="0"/>
    <n v="3221"/>
  </r>
  <r>
    <x v="0"/>
    <x v="8"/>
    <x v="7"/>
    <x v="128"/>
    <x v="113"/>
    <x v="113"/>
    <s v="CHARGES"/>
    <x v="1"/>
    <s v="3301.001"/>
    <s v="Défalcations, abandons de solde PP et IS"/>
    <n v="-60.96"/>
    <n v="0"/>
    <n v="3301"/>
  </r>
  <r>
    <x v="0"/>
    <x v="8"/>
    <x v="7"/>
    <x v="128"/>
    <x v="113"/>
    <x v="113"/>
    <s v="CHARGES"/>
    <x v="0"/>
    <s v="3212.004"/>
    <s v="Intérêts rémun./perçu trop tôt sur acomptes C/C"/>
    <n v="55.54"/>
    <n v="0"/>
    <n v="3212"/>
  </r>
  <r>
    <x v="0"/>
    <x v="8"/>
    <x v="7"/>
    <x v="128"/>
    <x v="113"/>
    <x v="113"/>
    <s v="CHARGES"/>
    <x v="1"/>
    <s v="3301.001"/>
    <s v="Défalcations, abandons de solde PP et IS"/>
    <n v="7.68"/>
    <n v="0"/>
    <n v="3301"/>
  </r>
  <r>
    <x v="0"/>
    <x v="8"/>
    <x v="7"/>
    <x v="128"/>
    <x v="113"/>
    <x v="113"/>
    <s v="CHARGES"/>
    <x v="1"/>
    <s v="3301.003"/>
    <s v="Remises PP et IS"/>
    <n v="3594.15"/>
    <n v="0"/>
    <n v="3301"/>
  </r>
  <r>
    <x v="0"/>
    <x v="8"/>
    <x v="7"/>
    <x v="128"/>
    <x v="113"/>
    <x v="113"/>
    <s v="CHARGES"/>
    <x v="0"/>
    <s v="3212.004"/>
    <s v="Intérêts rémun./perçu trop tôt sur acomptes C/C"/>
    <n v="143.91999999999999"/>
    <n v="0"/>
    <n v="3212"/>
  </r>
  <r>
    <x v="0"/>
    <x v="8"/>
    <x v="7"/>
    <x v="128"/>
    <x v="113"/>
    <x v="113"/>
    <s v="CHARGES"/>
    <x v="0"/>
    <s v="3221.002"/>
    <s v="Intérêts compensatoires / créances en faveur ctb."/>
    <n v="2"/>
    <n v="0"/>
    <n v="3221"/>
  </r>
  <r>
    <x v="0"/>
    <x v="8"/>
    <x v="7"/>
    <x v="128"/>
    <x v="113"/>
    <x v="113"/>
    <s v="CHARGES"/>
    <x v="0"/>
    <s v="3212.002"/>
    <s v="Intérêts bonifiés/trop perçu acompte C/C"/>
    <n v="134.25"/>
    <n v="0"/>
    <n v="3212"/>
  </r>
  <r>
    <x v="0"/>
    <x v="8"/>
    <x v="7"/>
    <x v="128"/>
    <x v="113"/>
    <x v="113"/>
    <s v="CHARGES"/>
    <x v="1"/>
    <s v="3301.001"/>
    <s v="Défalcations, abandons de solde PP et IS"/>
    <n v="20.2"/>
    <n v="0"/>
    <n v="3301"/>
  </r>
  <r>
    <x v="0"/>
    <x v="8"/>
    <x v="7"/>
    <x v="128"/>
    <x v="113"/>
    <x v="113"/>
    <s v="CHARGES"/>
    <x v="0"/>
    <s v="3212.002"/>
    <s v="Intérêts bonifiés/trop perçu acompte C/C"/>
    <n v="0.56000000000000005"/>
    <n v="0"/>
    <n v="3212"/>
  </r>
  <r>
    <x v="0"/>
    <x v="8"/>
    <x v="7"/>
    <x v="128"/>
    <x v="113"/>
    <x v="113"/>
    <s v="CHARGES"/>
    <x v="0"/>
    <s v="3212.002"/>
    <s v="Intérêts bonifiés/trop perçu acompte C/C"/>
    <n v="-1.54"/>
    <n v="0"/>
    <n v="3212"/>
  </r>
  <r>
    <x v="0"/>
    <x v="8"/>
    <x v="7"/>
    <x v="128"/>
    <x v="113"/>
    <x v="113"/>
    <s v="CHARGES"/>
    <x v="0"/>
    <s v="3212.004"/>
    <s v="Intérêts rémun./perçu trop tôt sur acomptes C/C"/>
    <n v="3.48"/>
    <n v="0"/>
    <n v="3212"/>
  </r>
  <r>
    <x v="0"/>
    <x v="8"/>
    <x v="7"/>
    <x v="128"/>
    <x v="113"/>
    <x v="113"/>
    <s v="CHARGES"/>
    <x v="0"/>
    <s v="3212.004"/>
    <s v="Intérêts rémun./perçu trop tôt sur acomptes C/C"/>
    <n v="33.340000000000003"/>
    <n v="0"/>
    <n v="3212"/>
  </r>
  <r>
    <x v="0"/>
    <x v="8"/>
    <x v="7"/>
    <x v="128"/>
    <x v="113"/>
    <x v="113"/>
    <s v="CHARGES"/>
    <x v="0"/>
    <s v="3221.002"/>
    <s v="Intérêts compensatoires / créances en faveur ctb."/>
    <n v="39.42"/>
    <n v="0"/>
    <n v="3221"/>
  </r>
  <r>
    <x v="0"/>
    <x v="8"/>
    <x v="7"/>
    <x v="128"/>
    <x v="113"/>
    <x v="113"/>
    <s v="CHARGES"/>
    <x v="1"/>
    <s v="3301.001"/>
    <s v="Défalcations, abandons de solde PP et IS"/>
    <n v="13"/>
    <n v="0"/>
    <n v="3301"/>
  </r>
  <r>
    <x v="0"/>
    <x v="8"/>
    <x v="7"/>
    <x v="128"/>
    <x v="113"/>
    <x v="113"/>
    <s v="CHARGES"/>
    <x v="1"/>
    <s v="3301.001"/>
    <s v="Défalcations, abandons de solde PP et IS"/>
    <n v="0.18"/>
    <n v="0"/>
    <n v="3301"/>
  </r>
  <r>
    <x v="0"/>
    <x v="8"/>
    <x v="7"/>
    <x v="128"/>
    <x v="113"/>
    <x v="113"/>
    <s v="CHARGES"/>
    <x v="0"/>
    <s v="3221.002"/>
    <s v="Intérêts compensatoires / créances en faveur ctb."/>
    <n v="3.52"/>
    <n v="0"/>
    <n v="3221"/>
  </r>
  <r>
    <x v="0"/>
    <x v="8"/>
    <x v="7"/>
    <x v="128"/>
    <x v="113"/>
    <x v="113"/>
    <s v="CHARGES"/>
    <x v="0"/>
    <s v="3212.004"/>
    <s v="Intérêts rémun./perçu trop tôt sur acomptes C/C"/>
    <n v="1.1599999999999999"/>
    <n v="0"/>
    <n v="3212"/>
  </r>
  <r>
    <x v="0"/>
    <x v="8"/>
    <x v="7"/>
    <x v="128"/>
    <x v="113"/>
    <x v="113"/>
    <s v="CHARGES"/>
    <x v="1"/>
    <s v="3301.001"/>
    <s v="Défalcations, abandons de solde PP et IS"/>
    <n v="83937.05"/>
    <n v="0"/>
    <n v="3301"/>
  </r>
  <r>
    <x v="0"/>
    <x v="8"/>
    <x v="7"/>
    <x v="128"/>
    <x v="113"/>
    <x v="113"/>
    <s v="CHARGES"/>
    <x v="0"/>
    <s v="3221.002"/>
    <s v="Intérêts compensatoires / créances en faveur ctb."/>
    <n v="1.0900000000000001"/>
    <n v="0"/>
    <n v="3221"/>
  </r>
  <r>
    <x v="0"/>
    <x v="8"/>
    <x v="7"/>
    <x v="128"/>
    <x v="113"/>
    <x v="113"/>
    <s v="CHARGES"/>
    <x v="1"/>
    <s v="3301.001"/>
    <s v="Défalcations, abandons de solde PP et IS"/>
    <n v="0.28000000000000003"/>
    <n v="0"/>
    <n v="3301"/>
  </r>
  <r>
    <x v="0"/>
    <x v="8"/>
    <x v="7"/>
    <x v="128"/>
    <x v="113"/>
    <x v="113"/>
    <s v="CHARGES"/>
    <x v="0"/>
    <s v="3212.002"/>
    <s v="Intérêts bonifiés/trop perçu acompte C/C"/>
    <n v="-18.13"/>
    <n v="0"/>
    <n v="3212"/>
  </r>
  <r>
    <x v="0"/>
    <x v="8"/>
    <x v="7"/>
    <x v="128"/>
    <x v="113"/>
    <x v="113"/>
    <s v="CHARGES"/>
    <x v="0"/>
    <s v="3212.002"/>
    <s v="Intérêts bonifiés/trop perçu acompte C/C"/>
    <n v="-0.2"/>
    <n v="0"/>
    <n v="3212"/>
  </r>
  <r>
    <x v="0"/>
    <x v="8"/>
    <x v="7"/>
    <x v="128"/>
    <x v="113"/>
    <x v="113"/>
    <s v="CHARGES"/>
    <x v="0"/>
    <s v="3212.004"/>
    <s v="Intérêts rémun./perçu trop tôt sur acomptes C/C"/>
    <n v="-6.02"/>
    <n v="0"/>
    <n v="3212"/>
  </r>
  <r>
    <x v="0"/>
    <x v="8"/>
    <x v="7"/>
    <x v="128"/>
    <x v="113"/>
    <x v="113"/>
    <s v="CHARGES"/>
    <x v="0"/>
    <s v="3221.002"/>
    <s v="Intérêts compensatoires / créances en faveur ctb."/>
    <n v="-1.88"/>
    <n v="0"/>
    <n v="3221"/>
  </r>
  <r>
    <x v="0"/>
    <x v="8"/>
    <x v="7"/>
    <x v="128"/>
    <x v="113"/>
    <x v="113"/>
    <s v="CHARGES"/>
    <x v="1"/>
    <s v="3301.001"/>
    <s v="Défalcations, abandons de solde PP et IS"/>
    <n v="-2.9"/>
    <n v="0"/>
    <n v="3301"/>
  </r>
  <r>
    <x v="0"/>
    <x v="8"/>
    <x v="7"/>
    <x v="128"/>
    <x v="113"/>
    <x v="113"/>
    <s v="CHARGES"/>
    <x v="0"/>
    <s v="3212.004"/>
    <s v="Intérêts rémun./perçu trop tôt sur acomptes C/C"/>
    <n v="0.06"/>
    <n v="0"/>
    <n v="3212"/>
  </r>
  <r>
    <x v="0"/>
    <x v="8"/>
    <x v="7"/>
    <x v="128"/>
    <x v="113"/>
    <x v="113"/>
    <s v="CHARGES"/>
    <x v="0"/>
    <s v="3221.002"/>
    <s v="Intérêts compensatoires / créances en faveur ctb."/>
    <n v="0.1"/>
    <n v="0"/>
    <n v="3221"/>
  </r>
  <r>
    <x v="0"/>
    <x v="8"/>
    <x v="7"/>
    <x v="128"/>
    <x v="113"/>
    <x v="113"/>
    <s v="REVENUS"/>
    <x v="8"/>
    <s v="4091.001"/>
    <s v="Impôt récupéré après défalcations"/>
    <n v="0"/>
    <n v="47048.18"/>
    <n v="4091"/>
  </r>
  <r>
    <x v="0"/>
    <x v="8"/>
    <x v="7"/>
    <x v="128"/>
    <x v="113"/>
    <x v="113"/>
    <s v="REVENUS"/>
    <x v="2"/>
    <s v="4001.003"/>
    <s v="Impôt s/prest. cap. PP"/>
    <n v="0"/>
    <n v="606221"/>
    <n v="4001"/>
  </r>
  <r>
    <x v="0"/>
    <x v="8"/>
    <x v="7"/>
    <x v="128"/>
    <x v="113"/>
    <x v="113"/>
    <s v="REVENUS"/>
    <x v="2"/>
    <s v="4001.007"/>
    <s v="Acompte impôt sur revenu"/>
    <n v="0"/>
    <n v="-2218310.87"/>
    <n v="4001"/>
  </r>
  <r>
    <x v="0"/>
    <x v="8"/>
    <x v="7"/>
    <x v="128"/>
    <x v="113"/>
    <x v="113"/>
    <s v="REVENUS"/>
    <x v="3"/>
    <s v="4002.007"/>
    <s v="Acompte impôt sur fortune"/>
    <n v="0"/>
    <n v="-290732.61"/>
    <n v="4002"/>
  </r>
  <r>
    <x v="0"/>
    <x v="8"/>
    <x v="7"/>
    <x v="128"/>
    <x v="113"/>
    <x v="113"/>
    <s v="REVENUS"/>
    <x v="6"/>
    <s v="4211.001"/>
    <s v="Intérêts de retard sur factures"/>
    <n v="0"/>
    <n v="248512.41"/>
    <n v="4211"/>
  </r>
  <r>
    <x v="0"/>
    <x v="8"/>
    <x v="7"/>
    <x v="128"/>
    <x v="113"/>
    <x v="113"/>
    <s v="REVENUS"/>
    <x v="2"/>
    <s v="4001.007"/>
    <s v="Acompte impôt sur revenu"/>
    <n v="0"/>
    <n v="4851.55"/>
    <n v="4001"/>
  </r>
  <r>
    <x v="0"/>
    <x v="8"/>
    <x v="7"/>
    <x v="128"/>
    <x v="113"/>
    <x v="113"/>
    <s v="REVENUS"/>
    <x v="3"/>
    <s v="4002.007"/>
    <s v="Acompte impôt sur fortune"/>
    <n v="0"/>
    <n v="-2253.14"/>
    <n v="4002"/>
  </r>
  <r>
    <x v="0"/>
    <x v="8"/>
    <x v="7"/>
    <x v="128"/>
    <x v="113"/>
    <x v="113"/>
    <s v="REVENUS"/>
    <x v="2"/>
    <s v="4001.001"/>
    <s v="Impôt revenu"/>
    <n v="0"/>
    <n v="21635550.100000001"/>
    <n v="4001"/>
  </r>
  <r>
    <x v="0"/>
    <x v="8"/>
    <x v="7"/>
    <x v="128"/>
    <x v="113"/>
    <x v="113"/>
    <s v="REVENUS"/>
    <x v="2"/>
    <s v="4001.002"/>
    <s v="Impôt complément s/revenu PP"/>
    <n v="0"/>
    <n v="4505800.9000000004"/>
    <n v="4001"/>
  </r>
  <r>
    <x v="0"/>
    <x v="8"/>
    <x v="7"/>
    <x v="128"/>
    <x v="113"/>
    <x v="113"/>
    <s v="REVENUS"/>
    <x v="3"/>
    <s v="4002.001"/>
    <s v="Impôt ordinaire s/fortune PP"/>
    <n v="0"/>
    <n v="2886119.95"/>
    <n v="4002"/>
  </r>
  <r>
    <x v="0"/>
    <x v="8"/>
    <x v="7"/>
    <x v="128"/>
    <x v="113"/>
    <x v="113"/>
    <s v="REVENUS"/>
    <x v="3"/>
    <s v="4002.002"/>
    <s v="Impôt complémentaire s/fortune PP"/>
    <n v="0"/>
    <n v="922538.25"/>
    <n v="4002"/>
  </r>
  <r>
    <x v="0"/>
    <x v="8"/>
    <x v="7"/>
    <x v="128"/>
    <x v="113"/>
    <x v="113"/>
    <s v="REVENUS"/>
    <x v="6"/>
    <s v="4211.002"/>
    <s v="Intérêts de retard sur acomptes"/>
    <n v="0"/>
    <n v="142217.42000000001"/>
    <n v="4211"/>
  </r>
  <r>
    <x v="0"/>
    <x v="8"/>
    <x v="7"/>
    <x v="128"/>
    <x v="113"/>
    <x v="113"/>
    <s v="REVENUS"/>
    <x v="6"/>
    <s v="4221.003"/>
    <s v="Intérêts compensat. / acomptes en faveur du fisc"/>
    <n v="0"/>
    <n v="3576.93"/>
    <n v="4221"/>
  </r>
  <r>
    <x v="0"/>
    <x v="8"/>
    <x v="7"/>
    <x v="128"/>
    <x v="113"/>
    <x v="113"/>
    <s v="REVENUS"/>
    <x v="2"/>
    <s v="4001.007"/>
    <s v="Acompte impôt sur revenu"/>
    <n v="0"/>
    <n v="-33210.699999999997"/>
    <n v="4001"/>
  </r>
  <r>
    <x v="0"/>
    <x v="8"/>
    <x v="7"/>
    <x v="128"/>
    <x v="113"/>
    <x v="113"/>
    <s v="REVENUS"/>
    <x v="7"/>
    <s v="4184.000"/>
    <s v="Frais de poursuite"/>
    <n v="0"/>
    <n v="15976.46"/>
    <n v="4184"/>
  </r>
  <r>
    <x v="0"/>
    <x v="8"/>
    <x v="7"/>
    <x v="128"/>
    <x v="113"/>
    <x v="113"/>
    <s v="REVENUS"/>
    <x v="3"/>
    <s v="4002.007"/>
    <s v="Acompte impôt sur fortune"/>
    <n v="0"/>
    <n v="2033.89"/>
    <n v="4002"/>
  </r>
  <r>
    <x v="0"/>
    <x v="8"/>
    <x v="7"/>
    <x v="128"/>
    <x v="113"/>
    <x v="113"/>
    <s v="REVENUS"/>
    <x v="7"/>
    <s v="4184.000"/>
    <s v="Frais de poursuite"/>
    <n v="0"/>
    <n v="665.76"/>
    <n v="4184"/>
  </r>
  <r>
    <x v="0"/>
    <x v="8"/>
    <x v="7"/>
    <x v="128"/>
    <x v="113"/>
    <x v="113"/>
    <s v="REVENUS"/>
    <x v="6"/>
    <s v="4211.001"/>
    <s v="Intérêts de retard sur factures"/>
    <n v="0"/>
    <n v="5017.68"/>
    <n v="4211"/>
  </r>
  <r>
    <x v="0"/>
    <x v="8"/>
    <x v="7"/>
    <x v="128"/>
    <x v="113"/>
    <x v="113"/>
    <s v="REVENUS"/>
    <x v="6"/>
    <s v="4211.002"/>
    <s v="Intérêts de retard sur acomptes"/>
    <n v="0"/>
    <n v="785.61"/>
    <n v="4211"/>
  </r>
  <r>
    <x v="0"/>
    <x v="8"/>
    <x v="7"/>
    <x v="128"/>
    <x v="113"/>
    <x v="113"/>
    <s v="REVENUS"/>
    <x v="3"/>
    <s v="4002.001"/>
    <s v="Impôt ordinaire s/fortune PP"/>
    <n v="0"/>
    <n v="33048.9"/>
    <n v="4002"/>
  </r>
  <r>
    <x v="0"/>
    <x v="8"/>
    <x v="7"/>
    <x v="128"/>
    <x v="113"/>
    <x v="113"/>
    <s v="REVENUS"/>
    <x v="9"/>
    <s v="4031.001"/>
    <s v="Impôt sur les gains immobiliers"/>
    <n v="0"/>
    <n v="480941.3"/>
    <n v="4031"/>
  </r>
  <r>
    <x v="0"/>
    <x v="8"/>
    <x v="7"/>
    <x v="128"/>
    <x v="113"/>
    <x v="113"/>
    <s v="REVENUS"/>
    <x v="6"/>
    <s v="4221.002"/>
    <s v="Intérêts compensat. sur impôts distincts"/>
    <n v="0"/>
    <n v="651.57000000000005"/>
    <n v="4221"/>
  </r>
  <r>
    <x v="0"/>
    <x v="8"/>
    <x v="7"/>
    <x v="128"/>
    <x v="113"/>
    <x v="113"/>
    <s v="REVENUS"/>
    <x v="2"/>
    <s v="4001.001"/>
    <s v="Impôt revenu"/>
    <n v="0"/>
    <n v="66111.7"/>
    <n v="4001"/>
  </r>
  <r>
    <x v="0"/>
    <x v="8"/>
    <x v="7"/>
    <x v="128"/>
    <x v="113"/>
    <x v="113"/>
    <s v="REVENUS"/>
    <x v="6"/>
    <s v="4211.002"/>
    <s v="Intérêts de retard sur acomptes"/>
    <n v="0"/>
    <n v="1372.1"/>
    <n v="4211"/>
  </r>
  <r>
    <x v="0"/>
    <x v="8"/>
    <x v="7"/>
    <x v="128"/>
    <x v="113"/>
    <x v="113"/>
    <s v="REVENUS"/>
    <x v="2"/>
    <s v="4001.007"/>
    <s v="Acompte impôt sur revenu"/>
    <n v="0"/>
    <n v="1674.78"/>
    <n v="4001"/>
  </r>
  <r>
    <x v="0"/>
    <x v="8"/>
    <x v="7"/>
    <x v="128"/>
    <x v="113"/>
    <x v="113"/>
    <s v="REVENUS"/>
    <x v="6"/>
    <s v="4221.003"/>
    <s v="Intérêts compensat. / acomptes en faveur du fisc"/>
    <n v="0"/>
    <n v="67.42"/>
    <n v="4221"/>
  </r>
  <r>
    <x v="0"/>
    <x v="8"/>
    <x v="7"/>
    <x v="128"/>
    <x v="113"/>
    <x v="113"/>
    <s v="REVENUS"/>
    <x v="10"/>
    <s v="4041.001"/>
    <s v="Droits de mutation"/>
    <n v="0"/>
    <n v="826153.6"/>
    <n v="4041"/>
  </r>
  <r>
    <x v="0"/>
    <x v="8"/>
    <x v="7"/>
    <x v="128"/>
    <x v="113"/>
    <x v="113"/>
    <s v="REVENUS"/>
    <x v="3"/>
    <s v="4002.007"/>
    <s v="Acompte impôt sur fortune"/>
    <n v="0"/>
    <n v="-16843.900000000001"/>
    <n v="4002"/>
  </r>
  <r>
    <x v="0"/>
    <x v="8"/>
    <x v="7"/>
    <x v="128"/>
    <x v="113"/>
    <x v="113"/>
    <s v="REVENUS"/>
    <x v="2"/>
    <s v="4001.001"/>
    <s v="Impôt revenu"/>
    <n v="0"/>
    <n v="103827.55"/>
    <n v="4001"/>
  </r>
  <r>
    <x v="0"/>
    <x v="8"/>
    <x v="7"/>
    <x v="128"/>
    <x v="113"/>
    <x v="113"/>
    <s v="REVENUS"/>
    <x v="3"/>
    <s v="4002.001"/>
    <s v="Impôt ordinaire s/fortune PP"/>
    <n v="0"/>
    <n v="46365.55"/>
    <n v="4002"/>
  </r>
  <r>
    <x v="0"/>
    <x v="8"/>
    <x v="7"/>
    <x v="128"/>
    <x v="113"/>
    <x v="113"/>
    <s v="REVENUS"/>
    <x v="6"/>
    <s v="4221.003"/>
    <s v="Intérêts compensat. / acomptes en faveur du fisc"/>
    <n v="0"/>
    <n v="12.09"/>
    <n v="4221"/>
  </r>
  <r>
    <x v="0"/>
    <x v="8"/>
    <x v="7"/>
    <x v="128"/>
    <x v="113"/>
    <x v="113"/>
    <s v="REVENUS"/>
    <x v="4"/>
    <s v="4051.001"/>
    <s v="Impôt sur les successions"/>
    <n v="0"/>
    <n v="1311561.5"/>
    <n v="4051"/>
  </r>
  <r>
    <x v="0"/>
    <x v="8"/>
    <x v="7"/>
    <x v="128"/>
    <x v="113"/>
    <x v="113"/>
    <s v="REVENUS"/>
    <x v="2"/>
    <s v="4001.001"/>
    <s v="Impôt revenu"/>
    <n v="0"/>
    <n v="57156.7"/>
    <n v="4001"/>
  </r>
  <r>
    <x v="0"/>
    <x v="8"/>
    <x v="7"/>
    <x v="128"/>
    <x v="113"/>
    <x v="113"/>
    <s v="REVENUS"/>
    <x v="2"/>
    <s v="4001.002"/>
    <s v="Impôt complément s/revenu PP"/>
    <n v="0"/>
    <n v="55915.55"/>
    <n v="4001"/>
  </r>
  <r>
    <x v="0"/>
    <x v="8"/>
    <x v="7"/>
    <x v="128"/>
    <x v="113"/>
    <x v="113"/>
    <s v="REVENUS"/>
    <x v="7"/>
    <s v="4184.000"/>
    <s v="Frais de poursuite"/>
    <n v="0"/>
    <n v="103.37"/>
    <n v="4184"/>
  </r>
  <r>
    <x v="0"/>
    <x v="8"/>
    <x v="7"/>
    <x v="128"/>
    <x v="113"/>
    <x v="113"/>
    <s v="REVENUS"/>
    <x v="7"/>
    <s v="4184.000"/>
    <s v="Frais de poursuite"/>
    <n v="0"/>
    <n v="115.01"/>
    <n v="4184"/>
  </r>
  <r>
    <x v="0"/>
    <x v="8"/>
    <x v="7"/>
    <x v="128"/>
    <x v="113"/>
    <x v="113"/>
    <s v="REVENUS"/>
    <x v="2"/>
    <s v="4001.001"/>
    <s v="Impôt revenu"/>
    <n v="0"/>
    <n v="44101.45"/>
    <n v="4001"/>
  </r>
  <r>
    <x v="0"/>
    <x v="8"/>
    <x v="7"/>
    <x v="128"/>
    <x v="113"/>
    <x v="113"/>
    <s v="REVENUS"/>
    <x v="6"/>
    <s v="4211.001"/>
    <s v="Intérêts de retard sur factures"/>
    <n v="0"/>
    <n v="90.09"/>
    <n v="4211"/>
  </r>
  <r>
    <x v="0"/>
    <x v="8"/>
    <x v="7"/>
    <x v="128"/>
    <x v="113"/>
    <x v="113"/>
    <s v="REVENUS"/>
    <x v="2"/>
    <s v="4001.007"/>
    <s v="Acompte impôt sur revenu"/>
    <n v="0"/>
    <n v="20381.96"/>
    <n v="4001"/>
  </r>
  <r>
    <x v="0"/>
    <x v="8"/>
    <x v="7"/>
    <x v="128"/>
    <x v="113"/>
    <x v="113"/>
    <s v="REVENUS"/>
    <x v="3"/>
    <s v="4002.001"/>
    <s v="Impôt ordinaire s/fortune PP"/>
    <n v="0"/>
    <n v="23643.8"/>
    <n v="4002"/>
  </r>
  <r>
    <x v="0"/>
    <x v="8"/>
    <x v="7"/>
    <x v="128"/>
    <x v="113"/>
    <x v="113"/>
    <s v="REVENUS"/>
    <x v="3"/>
    <s v="4002.007"/>
    <s v="Acompte impôt sur fortune"/>
    <n v="0"/>
    <n v="10067.219999999999"/>
    <n v="4002"/>
  </r>
  <r>
    <x v="0"/>
    <x v="8"/>
    <x v="7"/>
    <x v="128"/>
    <x v="113"/>
    <x v="113"/>
    <s v="REVENUS"/>
    <x v="3"/>
    <s v="4002.002"/>
    <s v="Impôt complémentaire s/fortune PP"/>
    <n v="0"/>
    <n v="9754.7999999999993"/>
    <n v="4002"/>
  </r>
  <r>
    <x v="0"/>
    <x v="8"/>
    <x v="7"/>
    <x v="128"/>
    <x v="113"/>
    <x v="113"/>
    <s v="REVENUS"/>
    <x v="6"/>
    <s v="4211.002"/>
    <s v="Intérêts de retard sur acomptes"/>
    <n v="0"/>
    <n v="717.75"/>
    <n v="4211"/>
  </r>
  <r>
    <x v="0"/>
    <x v="8"/>
    <x v="7"/>
    <x v="128"/>
    <x v="113"/>
    <x v="113"/>
    <s v="REVENUS"/>
    <x v="6"/>
    <s v="4221.003"/>
    <s v="Intérêts compensat. / acomptes en faveur du fisc"/>
    <n v="0"/>
    <n v="19.02"/>
    <n v="4221"/>
  </r>
  <r>
    <x v="0"/>
    <x v="8"/>
    <x v="7"/>
    <x v="128"/>
    <x v="113"/>
    <x v="113"/>
    <s v="REVENUS"/>
    <x v="2"/>
    <s v="4001.002"/>
    <s v="Impôt complément s/revenu PP"/>
    <n v="0"/>
    <n v="33484.25"/>
    <n v="4001"/>
  </r>
  <r>
    <x v="0"/>
    <x v="8"/>
    <x v="7"/>
    <x v="128"/>
    <x v="113"/>
    <x v="113"/>
    <s v="REVENUS"/>
    <x v="2"/>
    <s v="4001.007"/>
    <s v="Acompte impôt sur revenu"/>
    <n v="0"/>
    <n v="49225.45"/>
    <n v="4001"/>
  </r>
  <r>
    <x v="0"/>
    <x v="8"/>
    <x v="7"/>
    <x v="128"/>
    <x v="113"/>
    <x v="113"/>
    <s v="REVENUS"/>
    <x v="3"/>
    <s v="4002.007"/>
    <s v="Acompte impôt sur fortune"/>
    <n v="0"/>
    <n v="35068.68"/>
    <n v="4002"/>
  </r>
  <r>
    <x v="0"/>
    <x v="8"/>
    <x v="7"/>
    <x v="128"/>
    <x v="113"/>
    <x v="113"/>
    <s v="REVENUS"/>
    <x v="6"/>
    <s v="4211.001"/>
    <s v="Intérêts de retard sur factures"/>
    <n v="0"/>
    <n v="2210.2800000000002"/>
    <n v="4211"/>
  </r>
  <r>
    <x v="0"/>
    <x v="8"/>
    <x v="7"/>
    <x v="128"/>
    <x v="113"/>
    <x v="113"/>
    <s v="REVENUS"/>
    <x v="4"/>
    <s v="4051.002"/>
    <s v="Impôt sur les donations"/>
    <n v="0"/>
    <n v="84173.1"/>
    <n v="4051"/>
  </r>
  <r>
    <x v="0"/>
    <x v="8"/>
    <x v="7"/>
    <x v="128"/>
    <x v="113"/>
    <x v="113"/>
    <s v="REVENUS"/>
    <x v="12"/>
    <s v="4004.000"/>
    <s v="Impôt spécial étrangers"/>
    <n v="0"/>
    <n v="268983.95"/>
    <n v="4004"/>
  </r>
  <r>
    <x v="0"/>
    <x v="8"/>
    <x v="7"/>
    <x v="128"/>
    <x v="113"/>
    <x v="113"/>
    <s v="REVENUS"/>
    <x v="12"/>
    <s v="4004.007"/>
    <s v="Acompte spécial étrangers"/>
    <n v="0"/>
    <n v="34955.199999999997"/>
    <n v="4004"/>
  </r>
  <r>
    <x v="0"/>
    <x v="8"/>
    <x v="7"/>
    <x v="128"/>
    <x v="113"/>
    <x v="113"/>
    <s v="REVENUS"/>
    <x v="5"/>
    <s v="4061.000"/>
    <s v="Impôt sur les chiens"/>
    <n v="0"/>
    <n v="37200"/>
    <n v="4061"/>
  </r>
  <r>
    <x v="0"/>
    <x v="8"/>
    <x v="7"/>
    <x v="128"/>
    <x v="113"/>
    <x v="113"/>
    <s v="REVENUS"/>
    <x v="11"/>
    <s v="4198.000"/>
    <s v="Contributions communales"/>
    <n v="0"/>
    <n v="1933316"/>
    <n v="4198"/>
  </r>
  <r>
    <x v="0"/>
    <x v="8"/>
    <x v="7"/>
    <x v="128"/>
    <x v="113"/>
    <x v="113"/>
    <s v="REVENUS"/>
    <x v="2"/>
    <s v="4001.007"/>
    <s v="Acompte impôt sur revenu"/>
    <n v="0"/>
    <n v="-457.25"/>
    <n v="4001"/>
  </r>
  <r>
    <x v="0"/>
    <x v="8"/>
    <x v="7"/>
    <x v="128"/>
    <x v="113"/>
    <x v="113"/>
    <s v="REVENUS"/>
    <x v="3"/>
    <s v="4002.007"/>
    <s v="Acompte impôt sur fortune"/>
    <n v="0"/>
    <n v="-6304.01"/>
    <n v="4002"/>
  </r>
  <r>
    <x v="0"/>
    <x v="8"/>
    <x v="7"/>
    <x v="128"/>
    <x v="113"/>
    <x v="113"/>
    <s v="REVENUS"/>
    <x v="6"/>
    <s v="4211.001"/>
    <s v="Intérêts de retard sur factures"/>
    <n v="0"/>
    <n v="107.55"/>
    <n v="4211"/>
  </r>
  <r>
    <x v="0"/>
    <x v="8"/>
    <x v="7"/>
    <x v="128"/>
    <x v="113"/>
    <x v="113"/>
    <s v="REVENUS"/>
    <x v="3"/>
    <s v="4002.001"/>
    <s v="Impôt ordinaire s/fortune PP"/>
    <n v="0"/>
    <n v="24499.7"/>
    <n v="4002"/>
  </r>
  <r>
    <x v="0"/>
    <x v="8"/>
    <x v="7"/>
    <x v="128"/>
    <x v="113"/>
    <x v="113"/>
    <s v="REVENUS"/>
    <x v="6"/>
    <s v="4221.003"/>
    <s v="Intérêts compensat. / acomptes en faveur du fisc"/>
    <n v="0"/>
    <n v="70.260000000000005"/>
    <n v="4221"/>
  </r>
  <r>
    <x v="0"/>
    <x v="8"/>
    <x v="7"/>
    <x v="128"/>
    <x v="113"/>
    <x v="113"/>
    <s v="REVENUS"/>
    <x v="3"/>
    <s v="4002.002"/>
    <s v="Impôt complémentaire s/fortune PP"/>
    <n v="0"/>
    <n v="6247.8"/>
    <n v="4002"/>
  </r>
  <r>
    <x v="0"/>
    <x v="8"/>
    <x v="7"/>
    <x v="128"/>
    <x v="113"/>
    <x v="113"/>
    <s v="REVENUS"/>
    <x v="2"/>
    <s v="4001.001"/>
    <s v="Impôt revenu"/>
    <n v="0"/>
    <n v="9198.9500000000007"/>
    <n v="4001"/>
  </r>
  <r>
    <x v="0"/>
    <x v="8"/>
    <x v="7"/>
    <x v="128"/>
    <x v="113"/>
    <x v="113"/>
    <s v="REVENUS"/>
    <x v="6"/>
    <s v="4211.002"/>
    <s v="Intérêts de retard sur acomptes"/>
    <n v="0"/>
    <n v="18.64"/>
    <n v="4211"/>
  </r>
  <r>
    <x v="0"/>
    <x v="8"/>
    <x v="7"/>
    <x v="128"/>
    <x v="113"/>
    <x v="113"/>
    <s v="REVENUS"/>
    <x v="6"/>
    <s v="4221.003"/>
    <s v="Intérêts compensat. / acomptes en faveur du fisc"/>
    <n v="0"/>
    <n v="0.18"/>
    <n v="4221"/>
  </r>
  <r>
    <x v="0"/>
    <x v="8"/>
    <x v="7"/>
    <x v="128"/>
    <x v="113"/>
    <x v="113"/>
    <s v="REVENUS"/>
    <x v="2"/>
    <s v="4001.002"/>
    <s v="Impôt complément s/revenu PP"/>
    <n v="0"/>
    <n v="265.60000000000002"/>
    <n v="4001"/>
  </r>
  <r>
    <x v="0"/>
    <x v="8"/>
    <x v="7"/>
    <x v="128"/>
    <x v="113"/>
    <x v="113"/>
    <s v="REVENUS"/>
    <x v="3"/>
    <s v="4002.001"/>
    <s v="Impôt ordinaire s/fortune PP"/>
    <n v="0"/>
    <n v="8412.15"/>
    <n v="4002"/>
  </r>
  <r>
    <x v="0"/>
    <x v="8"/>
    <x v="7"/>
    <x v="128"/>
    <x v="113"/>
    <x v="113"/>
    <s v="REVENUS"/>
    <x v="2"/>
    <s v="4001.002"/>
    <s v="Impôt complément s/revenu PP"/>
    <n v="0"/>
    <n v="163200.5"/>
    <n v="4001"/>
  </r>
  <r>
    <x v="0"/>
    <x v="8"/>
    <x v="7"/>
    <x v="128"/>
    <x v="113"/>
    <x v="113"/>
    <s v="REVENUS"/>
    <x v="3"/>
    <s v="4002.002"/>
    <s v="Impôt complémentaire s/fortune PP"/>
    <n v="0"/>
    <n v="7641.15"/>
    <n v="4002"/>
  </r>
  <r>
    <x v="0"/>
    <x v="8"/>
    <x v="7"/>
    <x v="128"/>
    <x v="113"/>
    <x v="113"/>
    <s v="REVENUS"/>
    <x v="2"/>
    <s v="4001.007"/>
    <s v="Acompte impôt sur revenu"/>
    <n v="0"/>
    <n v="-6229.85"/>
    <n v="4001"/>
  </r>
  <r>
    <x v="0"/>
    <x v="8"/>
    <x v="7"/>
    <x v="128"/>
    <x v="113"/>
    <x v="113"/>
    <s v="REVENUS"/>
    <x v="3"/>
    <s v="4002.007"/>
    <s v="Acompte impôt sur fortune"/>
    <n v="0"/>
    <n v="-4850"/>
    <n v="4002"/>
  </r>
  <r>
    <x v="0"/>
    <x v="8"/>
    <x v="7"/>
    <x v="128"/>
    <x v="113"/>
    <x v="113"/>
    <s v="REVENUS"/>
    <x v="2"/>
    <s v="4001.007"/>
    <s v="Acompte impôt sur revenu"/>
    <n v="0"/>
    <n v="-21.75"/>
    <n v="4001"/>
  </r>
  <r>
    <x v="0"/>
    <x v="8"/>
    <x v="7"/>
    <x v="128"/>
    <x v="113"/>
    <x v="113"/>
    <s v="REVENUS"/>
    <x v="3"/>
    <s v="4002.007"/>
    <s v="Acompte impôt sur fortune"/>
    <n v="0"/>
    <n v="-9.3000000000000007"/>
    <n v="4002"/>
  </r>
  <r>
    <x v="0"/>
    <x v="8"/>
    <x v="7"/>
    <x v="128"/>
    <x v="113"/>
    <x v="113"/>
    <s v="REVENUS"/>
    <x v="2"/>
    <s v="4001.001"/>
    <s v="Impôt revenu"/>
    <n v="0"/>
    <n v="312.5"/>
    <n v="4001"/>
  </r>
  <r>
    <x v="0"/>
    <x v="8"/>
    <x v="7"/>
    <x v="128"/>
    <x v="113"/>
    <x v="113"/>
    <s v="REVENUS"/>
    <x v="6"/>
    <s v="4211.002"/>
    <s v="Intérêts de retard sur acomptes"/>
    <n v="0"/>
    <n v="573.72"/>
    <n v="4211"/>
  </r>
  <r>
    <x v="0"/>
    <x v="8"/>
    <x v="7"/>
    <x v="128"/>
    <x v="113"/>
    <x v="113"/>
    <s v="REVENUS"/>
    <x v="3"/>
    <s v="4002.001"/>
    <s v="Impôt ordinaire s/fortune PP"/>
    <n v="0"/>
    <n v="1017"/>
    <n v="4002"/>
  </r>
  <r>
    <x v="0"/>
    <x v="8"/>
    <x v="7"/>
    <x v="128"/>
    <x v="113"/>
    <x v="113"/>
    <s v="REVENUS"/>
    <x v="7"/>
    <s v="4184.000"/>
    <s v="Frais de poursuite"/>
    <n v="0"/>
    <n v="1.91"/>
    <n v="4184"/>
  </r>
  <r>
    <x v="0"/>
    <x v="8"/>
    <x v="7"/>
    <x v="128"/>
    <x v="113"/>
    <x v="113"/>
    <s v="REVENUS"/>
    <x v="8"/>
    <s v="4091.001"/>
    <s v="Impôt récupéré après défalcations"/>
    <n v="0"/>
    <n v="5523.42"/>
    <n v="4091"/>
  </r>
  <r>
    <x v="0"/>
    <x v="8"/>
    <x v="7"/>
    <x v="128"/>
    <x v="113"/>
    <x v="113"/>
    <s v="REVENUS"/>
    <x v="3"/>
    <s v="4002.002"/>
    <s v="Impôt complémentaire s/fortune PP"/>
    <n v="0"/>
    <n v="213.45"/>
    <n v="4002"/>
  </r>
  <r>
    <x v="0"/>
    <x v="8"/>
    <x v="7"/>
    <x v="128"/>
    <x v="113"/>
    <x v="113"/>
    <s v="REVENUS"/>
    <x v="3"/>
    <s v="4002.002"/>
    <s v="Impôt complémentaire s/fortune PP"/>
    <n v="0"/>
    <n v="482.25"/>
    <n v="4002"/>
  </r>
  <r>
    <x v="0"/>
    <x v="8"/>
    <x v="7"/>
    <x v="128"/>
    <x v="113"/>
    <x v="113"/>
    <s v="REVENUS"/>
    <x v="6"/>
    <s v="4211.001"/>
    <s v="Intérêts de retard sur factures"/>
    <n v="0"/>
    <n v="0.28000000000000003"/>
    <n v="4211"/>
  </r>
  <r>
    <x v="0"/>
    <x v="8"/>
    <x v="7"/>
    <x v="128"/>
    <x v="113"/>
    <x v="113"/>
    <s v="REVENUS"/>
    <x v="7"/>
    <s v="4184.000"/>
    <s v="Frais de poursuite"/>
    <n v="0"/>
    <n v="4.1500000000000004"/>
    <n v="4184"/>
  </r>
  <r>
    <x v="0"/>
    <x v="8"/>
    <x v="7"/>
    <x v="128"/>
    <x v="113"/>
    <x v="113"/>
    <s v="REVENUS"/>
    <x v="2"/>
    <s v="4001.002"/>
    <s v="Impôt complément s/revenu PP"/>
    <n v="0"/>
    <n v="979.4"/>
    <n v="4001"/>
  </r>
  <r>
    <x v="0"/>
    <x v="8"/>
    <x v="7"/>
    <x v="128"/>
    <x v="113"/>
    <x v="113"/>
    <s v="REVENUS"/>
    <x v="9"/>
    <s v="4031.002"/>
    <s v="Complément impôt sur les gains immobiliers"/>
    <n v="0"/>
    <n v="25304.7"/>
    <n v="4031"/>
  </r>
  <r>
    <x v="0"/>
    <x v="8"/>
    <x v="7"/>
    <x v="128"/>
    <x v="113"/>
    <x v="113"/>
    <s v="REVENUS"/>
    <x v="2"/>
    <s v="4001.001"/>
    <s v="Impôt revenu"/>
    <n v="0"/>
    <n v="-39975.75"/>
    <n v="4001"/>
  </r>
  <r>
    <x v="0"/>
    <x v="8"/>
    <x v="7"/>
    <x v="128"/>
    <x v="113"/>
    <x v="113"/>
    <s v="REVENUS"/>
    <x v="3"/>
    <s v="4002.001"/>
    <s v="Impôt ordinaire s/fortune PP"/>
    <n v="0"/>
    <n v="-23.45"/>
    <n v="4002"/>
  </r>
  <r>
    <x v="0"/>
    <x v="8"/>
    <x v="7"/>
    <x v="128"/>
    <x v="113"/>
    <x v="113"/>
    <s v="REVENUS"/>
    <x v="2"/>
    <s v="4001.001"/>
    <s v="Impôt revenu"/>
    <n v="0"/>
    <n v="-114316.3"/>
    <n v="4001"/>
  </r>
  <r>
    <x v="0"/>
    <x v="8"/>
    <x v="7"/>
    <x v="128"/>
    <x v="113"/>
    <x v="113"/>
    <s v="REVENUS"/>
    <x v="3"/>
    <s v="4002.001"/>
    <s v="Impôt ordinaire s/fortune PP"/>
    <n v="0"/>
    <n v="-2114.0500000000002"/>
    <n v="4002"/>
  </r>
  <r>
    <x v="0"/>
    <x v="8"/>
    <x v="7"/>
    <x v="128"/>
    <x v="113"/>
    <x v="113"/>
    <s v="REVENUS"/>
    <x v="6"/>
    <s v="4211.002"/>
    <s v="Intérêts de retard sur acomptes"/>
    <n v="0"/>
    <n v="-95.63"/>
    <n v="4211"/>
  </r>
  <r>
    <x v="0"/>
    <x v="8"/>
    <x v="7"/>
    <x v="128"/>
    <x v="113"/>
    <x v="113"/>
    <s v="REVENUS"/>
    <x v="6"/>
    <s v="4221.003"/>
    <s v="Intérêts compensat. / acomptes en faveur du fisc"/>
    <n v="0"/>
    <n v="-3.07"/>
    <n v="4221"/>
  </r>
  <r>
    <x v="0"/>
    <x v="8"/>
    <x v="7"/>
    <x v="128"/>
    <x v="113"/>
    <x v="113"/>
    <s v="REVENUS"/>
    <x v="3"/>
    <s v="4002.001"/>
    <s v="Impôt ordinaire s/fortune PP"/>
    <n v="0"/>
    <n v="262.64999999999998"/>
    <n v="4002"/>
  </r>
  <r>
    <x v="0"/>
    <x v="8"/>
    <x v="7"/>
    <x v="128"/>
    <x v="113"/>
    <x v="113"/>
    <s v="REVENUS"/>
    <x v="2"/>
    <s v="4001.005"/>
    <s v="Amende de soustract. Impôt"/>
    <n v="0"/>
    <n v="1250"/>
    <n v="4001"/>
  </r>
  <r>
    <x v="0"/>
    <x v="8"/>
    <x v="7"/>
    <x v="128"/>
    <x v="113"/>
    <x v="113"/>
    <s v="REVENUS"/>
    <x v="6"/>
    <s v="4211.001"/>
    <s v="Intérêts de retard sur factures"/>
    <n v="0"/>
    <n v="35.21"/>
    <n v="4211"/>
  </r>
  <r>
    <x v="0"/>
    <x v="7"/>
    <x v="6"/>
    <x v="129"/>
    <x v="114"/>
    <x v="114"/>
    <s v="CHARGES"/>
    <x v="0"/>
    <s v="3212.004"/>
    <s v="Intérêts rémun./perçu trop tôt sur acomptes C/C"/>
    <n v="2061.1799999999998"/>
    <n v="0"/>
    <n v="3212"/>
  </r>
  <r>
    <x v="0"/>
    <x v="7"/>
    <x v="6"/>
    <x v="129"/>
    <x v="114"/>
    <x v="114"/>
    <s v="CHARGES"/>
    <x v="0"/>
    <s v="3221.002"/>
    <s v="Intérêts compensatoires / créances en faveur ctb."/>
    <n v="833"/>
    <n v="0"/>
    <n v="3221"/>
  </r>
  <r>
    <x v="0"/>
    <x v="7"/>
    <x v="6"/>
    <x v="129"/>
    <x v="114"/>
    <x v="114"/>
    <s v="CHARGES"/>
    <x v="1"/>
    <s v="3301.001"/>
    <s v="Défalcations, abandons de solde PP et IS"/>
    <n v="15822.71"/>
    <n v="0"/>
    <n v="3301"/>
  </r>
  <r>
    <x v="0"/>
    <x v="7"/>
    <x v="6"/>
    <x v="129"/>
    <x v="114"/>
    <x v="114"/>
    <s v="CHARGES"/>
    <x v="0"/>
    <s v="3212.002"/>
    <s v="Intérêts bonifiés/trop perçu acompte C/C"/>
    <n v="24.01"/>
    <n v="0"/>
    <n v="3212"/>
  </r>
  <r>
    <x v="0"/>
    <x v="7"/>
    <x v="6"/>
    <x v="129"/>
    <x v="114"/>
    <x v="114"/>
    <s v="CHARGES"/>
    <x v="0"/>
    <s v="3212.002"/>
    <s v="Intérêts bonifiés/trop perçu acompte C/C"/>
    <n v="1.1000000000000001"/>
    <n v="0"/>
    <n v="3212"/>
  </r>
  <r>
    <x v="0"/>
    <x v="7"/>
    <x v="6"/>
    <x v="129"/>
    <x v="114"/>
    <x v="114"/>
    <s v="CHARGES"/>
    <x v="0"/>
    <s v="3212.004"/>
    <s v="Intérêts rémun./perçu trop tôt sur acomptes C/C"/>
    <n v="-26.8"/>
    <n v="0"/>
    <n v="3212"/>
  </r>
  <r>
    <x v="0"/>
    <x v="7"/>
    <x v="6"/>
    <x v="129"/>
    <x v="114"/>
    <x v="114"/>
    <s v="CHARGES"/>
    <x v="0"/>
    <s v="3221.002"/>
    <s v="Intérêts compensatoires / créances en faveur ctb."/>
    <n v="-2.71"/>
    <n v="0"/>
    <n v="3221"/>
  </r>
  <r>
    <x v="0"/>
    <x v="7"/>
    <x v="6"/>
    <x v="129"/>
    <x v="114"/>
    <x v="114"/>
    <s v="CHARGES"/>
    <x v="1"/>
    <s v="3301.001"/>
    <s v="Défalcations, abandons de solde PP et IS"/>
    <n v="7.41"/>
    <n v="0"/>
    <n v="3301"/>
  </r>
  <r>
    <x v="0"/>
    <x v="7"/>
    <x v="6"/>
    <x v="129"/>
    <x v="114"/>
    <x v="114"/>
    <s v="CHARGES"/>
    <x v="0"/>
    <s v="3212.004"/>
    <s v="Intérêts rémun./perçu trop tôt sur acomptes C/C"/>
    <n v="1.8"/>
    <n v="0"/>
    <n v="3212"/>
  </r>
  <r>
    <x v="0"/>
    <x v="7"/>
    <x v="6"/>
    <x v="129"/>
    <x v="114"/>
    <x v="114"/>
    <s v="CHARGES"/>
    <x v="0"/>
    <s v="3221.002"/>
    <s v="Intérêts compensatoires / créances en faveur ctb."/>
    <n v="0.87"/>
    <n v="0"/>
    <n v="3221"/>
  </r>
  <r>
    <x v="0"/>
    <x v="7"/>
    <x v="6"/>
    <x v="129"/>
    <x v="114"/>
    <x v="114"/>
    <s v="CHARGES"/>
    <x v="0"/>
    <s v="3212.004"/>
    <s v="Intérêts rémun./perçu trop tôt sur acomptes C/C"/>
    <n v="22.22"/>
    <n v="0"/>
    <n v="3212"/>
  </r>
  <r>
    <x v="0"/>
    <x v="7"/>
    <x v="6"/>
    <x v="129"/>
    <x v="114"/>
    <x v="114"/>
    <s v="CHARGES"/>
    <x v="0"/>
    <s v="3221.002"/>
    <s v="Intérêts compensatoires / créances en faveur ctb."/>
    <n v="3.6"/>
    <n v="0"/>
    <n v="3221"/>
  </r>
  <r>
    <x v="0"/>
    <x v="7"/>
    <x v="6"/>
    <x v="129"/>
    <x v="114"/>
    <x v="114"/>
    <s v="CHARGES"/>
    <x v="1"/>
    <s v="3301.001"/>
    <s v="Défalcations, abandons de solde PP et IS"/>
    <n v="-14.68"/>
    <n v="0"/>
    <n v="3301"/>
  </r>
  <r>
    <x v="0"/>
    <x v="7"/>
    <x v="6"/>
    <x v="129"/>
    <x v="114"/>
    <x v="114"/>
    <s v="CHARGES"/>
    <x v="0"/>
    <s v="3212.002"/>
    <s v="Intérêts bonifiés/trop perçu acompte C/C"/>
    <n v="-2.1"/>
    <n v="0"/>
    <n v="3212"/>
  </r>
  <r>
    <x v="0"/>
    <x v="7"/>
    <x v="6"/>
    <x v="129"/>
    <x v="114"/>
    <x v="114"/>
    <s v="CHARGES"/>
    <x v="0"/>
    <s v="3212.004"/>
    <s v="Intérêts rémun./perçu trop tôt sur acomptes C/C"/>
    <n v="10.71"/>
    <n v="0"/>
    <n v="3212"/>
  </r>
  <r>
    <x v="0"/>
    <x v="7"/>
    <x v="6"/>
    <x v="129"/>
    <x v="114"/>
    <x v="114"/>
    <s v="CHARGES"/>
    <x v="1"/>
    <s v="3301.001"/>
    <s v="Défalcations, abandons de solde PP et IS"/>
    <n v="0.69"/>
    <n v="0"/>
    <n v="3301"/>
  </r>
  <r>
    <x v="0"/>
    <x v="7"/>
    <x v="6"/>
    <x v="129"/>
    <x v="114"/>
    <x v="114"/>
    <s v="CHARGES"/>
    <x v="1"/>
    <s v="3301.001"/>
    <s v="Défalcations, abandons de solde PP et IS"/>
    <n v="-1.91"/>
    <n v="0"/>
    <n v="3301"/>
  </r>
  <r>
    <x v="0"/>
    <x v="7"/>
    <x v="6"/>
    <x v="129"/>
    <x v="114"/>
    <x v="114"/>
    <s v="CHARGES"/>
    <x v="0"/>
    <s v="3212.002"/>
    <s v="Intérêts bonifiés/trop perçu acompte C/C"/>
    <n v="7.8"/>
    <n v="0"/>
    <n v="3212"/>
  </r>
  <r>
    <x v="0"/>
    <x v="7"/>
    <x v="6"/>
    <x v="129"/>
    <x v="114"/>
    <x v="114"/>
    <s v="CHARGES"/>
    <x v="1"/>
    <s v="3301.001"/>
    <s v="Défalcations, abandons de solde PP et IS"/>
    <n v="2957.58"/>
    <n v="0"/>
    <n v="3301"/>
  </r>
  <r>
    <x v="0"/>
    <x v="7"/>
    <x v="6"/>
    <x v="129"/>
    <x v="114"/>
    <x v="114"/>
    <s v="CHARGES"/>
    <x v="1"/>
    <s v="3301.003"/>
    <s v="Remises PP et IS"/>
    <n v="395.2"/>
    <n v="0"/>
    <n v="3301"/>
  </r>
  <r>
    <x v="0"/>
    <x v="7"/>
    <x v="6"/>
    <x v="129"/>
    <x v="114"/>
    <x v="114"/>
    <s v="CHARGES"/>
    <x v="0"/>
    <s v="3221.002"/>
    <s v="Intérêts compensatoires / créances en faveur ctb."/>
    <n v="0.28999999999999998"/>
    <n v="0"/>
    <n v="3221"/>
  </r>
  <r>
    <x v="0"/>
    <x v="7"/>
    <x v="6"/>
    <x v="129"/>
    <x v="114"/>
    <x v="114"/>
    <s v="CHARGES"/>
    <x v="0"/>
    <s v="3212.004"/>
    <s v="Intérêts rémun./perçu trop tôt sur acomptes C/C"/>
    <n v="6.54"/>
    <n v="0"/>
    <n v="3212"/>
  </r>
  <r>
    <x v="0"/>
    <x v="7"/>
    <x v="6"/>
    <x v="129"/>
    <x v="114"/>
    <x v="114"/>
    <s v="CHARGES"/>
    <x v="0"/>
    <s v="3221.002"/>
    <s v="Intérêts compensatoires / créances en faveur ctb."/>
    <n v="1.49"/>
    <n v="0"/>
    <n v="3221"/>
  </r>
  <r>
    <x v="0"/>
    <x v="7"/>
    <x v="6"/>
    <x v="129"/>
    <x v="114"/>
    <x v="114"/>
    <s v="REVENUS"/>
    <x v="2"/>
    <s v="4001.007"/>
    <s v="Acompte impôt sur revenu"/>
    <n v="0"/>
    <n v="-1370975.97"/>
    <n v="4001"/>
  </r>
  <r>
    <x v="0"/>
    <x v="7"/>
    <x v="6"/>
    <x v="129"/>
    <x v="114"/>
    <x v="114"/>
    <s v="REVENUS"/>
    <x v="2"/>
    <s v="4001.001"/>
    <s v="Impôt revenu"/>
    <n v="0"/>
    <n v="5069517.3"/>
    <n v="4001"/>
  </r>
  <r>
    <x v="0"/>
    <x v="7"/>
    <x v="6"/>
    <x v="129"/>
    <x v="114"/>
    <x v="114"/>
    <s v="REVENUS"/>
    <x v="3"/>
    <s v="4002.001"/>
    <s v="Impôt ordinaire s/fortune PP"/>
    <n v="0"/>
    <n v="1305227.7"/>
    <n v="4002"/>
  </r>
  <r>
    <x v="0"/>
    <x v="7"/>
    <x v="6"/>
    <x v="129"/>
    <x v="114"/>
    <x v="114"/>
    <s v="REVENUS"/>
    <x v="3"/>
    <s v="4002.007"/>
    <s v="Acompte impôt sur fortune"/>
    <n v="0"/>
    <n v="208676.73"/>
    <n v="4002"/>
  </r>
  <r>
    <x v="0"/>
    <x v="7"/>
    <x v="6"/>
    <x v="129"/>
    <x v="114"/>
    <x v="114"/>
    <s v="REVENUS"/>
    <x v="6"/>
    <s v="4211.001"/>
    <s v="Intérêts de retard sur factures"/>
    <n v="0"/>
    <n v="19452.93"/>
    <n v="4211"/>
  </r>
  <r>
    <x v="0"/>
    <x v="7"/>
    <x v="6"/>
    <x v="129"/>
    <x v="114"/>
    <x v="114"/>
    <s v="REVENUS"/>
    <x v="6"/>
    <s v="4211.002"/>
    <s v="Intérêts de retard sur acomptes"/>
    <n v="0"/>
    <n v="25178.799999999999"/>
    <n v="4211"/>
  </r>
  <r>
    <x v="0"/>
    <x v="7"/>
    <x v="6"/>
    <x v="129"/>
    <x v="114"/>
    <x v="114"/>
    <s v="REVENUS"/>
    <x v="6"/>
    <s v="4221.003"/>
    <s v="Intérêts compensat. / acomptes en faveur du fisc"/>
    <n v="0"/>
    <n v="1005.28"/>
    <n v="4221"/>
  </r>
  <r>
    <x v="0"/>
    <x v="7"/>
    <x v="6"/>
    <x v="129"/>
    <x v="114"/>
    <x v="114"/>
    <s v="REVENUS"/>
    <x v="7"/>
    <s v="4184.000"/>
    <s v="Frais de poursuite"/>
    <n v="0"/>
    <n v="3062.73"/>
    <n v="4184"/>
  </r>
  <r>
    <x v="0"/>
    <x v="7"/>
    <x v="6"/>
    <x v="129"/>
    <x v="114"/>
    <x v="114"/>
    <s v="REVENUS"/>
    <x v="2"/>
    <s v="4001.002"/>
    <s v="Impôt complément s/revenu PP"/>
    <n v="0"/>
    <n v="698187.15"/>
    <n v="4001"/>
  </r>
  <r>
    <x v="0"/>
    <x v="7"/>
    <x v="6"/>
    <x v="129"/>
    <x v="114"/>
    <x v="114"/>
    <s v="REVENUS"/>
    <x v="3"/>
    <s v="4002.002"/>
    <s v="Impôt complémentaire s/fortune PP"/>
    <n v="0"/>
    <n v="135352.45000000001"/>
    <n v="4002"/>
  </r>
  <r>
    <x v="0"/>
    <x v="7"/>
    <x v="6"/>
    <x v="129"/>
    <x v="114"/>
    <x v="114"/>
    <s v="REVENUS"/>
    <x v="2"/>
    <s v="4001.001"/>
    <s v="Impôt revenu"/>
    <n v="0"/>
    <n v="-165409.45000000001"/>
    <n v="4001"/>
  </r>
  <r>
    <x v="0"/>
    <x v="7"/>
    <x v="6"/>
    <x v="129"/>
    <x v="114"/>
    <x v="114"/>
    <s v="REVENUS"/>
    <x v="2"/>
    <s v="4001.002"/>
    <s v="Impôt complément s/revenu PP"/>
    <n v="0"/>
    <n v="-45048.5"/>
    <n v="4001"/>
  </r>
  <r>
    <x v="0"/>
    <x v="7"/>
    <x v="6"/>
    <x v="129"/>
    <x v="114"/>
    <x v="114"/>
    <s v="REVENUS"/>
    <x v="2"/>
    <s v="4001.007"/>
    <s v="Acompte impôt sur revenu"/>
    <n v="0"/>
    <n v="-39584.15"/>
    <n v="4001"/>
  </r>
  <r>
    <x v="0"/>
    <x v="7"/>
    <x v="6"/>
    <x v="129"/>
    <x v="114"/>
    <x v="114"/>
    <s v="REVENUS"/>
    <x v="3"/>
    <s v="4002.007"/>
    <s v="Acompte impôt sur fortune"/>
    <n v="0"/>
    <n v="-6359.4"/>
    <n v="4002"/>
  </r>
  <r>
    <x v="0"/>
    <x v="7"/>
    <x v="6"/>
    <x v="129"/>
    <x v="114"/>
    <x v="114"/>
    <s v="REVENUS"/>
    <x v="6"/>
    <s v="4211.001"/>
    <s v="Intérêts de retard sur factures"/>
    <n v="0"/>
    <n v="-831.53"/>
    <n v="4211"/>
  </r>
  <r>
    <x v="0"/>
    <x v="7"/>
    <x v="6"/>
    <x v="129"/>
    <x v="114"/>
    <x v="114"/>
    <s v="REVENUS"/>
    <x v="6"/>
    <s v="4211.002"/>
    <s v="Intérêts de retard sur acomptes"/>
    <n v="0"/>
    <n v="-2969.31"/>
    <n v="4211"/>
  </r>
  <r>
    <x v="0"/>
    <x v="7"/>
    <x v="6"/>
    <x v="129"/>
    <x v="114"/>
    <x v="114"/>
    <s v="REVENUS"/>
    <x v="6"/>
    <s v="4221.003"/>
    <s v="Intérêts compensat. / acomptes en faveur du fisc"/>
    <n v="0"/>
    <n v="-131.57"/>
    <n v="4221"/>
  </r>
  <r>
    <x v="0"/>
    <x v="7"/>
    <x v="6"/>
    <x v="129"/>
    <x v="114"/>
    <x v="114"/>
    <s v="REVENUS"/>
    <x v="2"/>
    <s v="4001.003"/>
    <s v="Impôt s/prest. cap. PP"/>
    <n v="0"/>
    <n v="76304.95"/>
    <n v="4001"/>
  </r>
  <r>
    <x v="0"/>
    <x v="7"/>
    <x v="6"/>
    <x v="129"/>
    <x v="114"/>
    <x v="114"/>
    <s v="REVENUS"/>
    <x v="6"/>
    <s v="4221.002"/>
    <s v="Intérêts compensat. sur impôts distincts"/>
    <n v="0"/>
    <n v="21.58"/>
    <n v="4221"/>
  </r>
  <r>
    <x v="0"/>
    <x v="7"/>
    <x v="6"/>
    <x v="129"/>
    <x v="114"/>
    <x v="114"/>
    <s v="REVENUS"/>
    <x v="2"/>
    <s v="4001.007"/>
    <s v="Acompte impôt sur revenu"/>
    <n v="0"/>
    <n v="-46347.89"/>
    <n v="4001"/>
  </r>
  <r>
    <x v="0"/>
    <x v="7"/>
    <x v="6"/>
    <x v="129"/>
    <x v="114"/>
    <x v="114"/>
    <s v="REVENUS"/>
    <x v="3"/>
    <s v="4002.007"/>
    <s v="Acompte impôt sur fortune"/>
    <n v="0"/>
    <n v="1720.07"/>
    <n v="4002"/>
  </r>
  <r>
    <x v="0"/>
    <x v="7"/>
    <x v="6"/>
    <x v="129"/>
    <x v="114"/>
    <x v="114"/>
    <s v="REVENUS"/>
    <x v="7"/>
    <s v="4184.000"/>
    <s v="Frais de poursuite"/>
    <n v="0"/>
    <n v="348.07"/>
    <n v="4184"/>
  </r>
  <r>
    <x v="0"/>
    <x v="7"/>
    <x v="6"/>
    <x v="129"/>
    <x v="114"/>
    <x v="114"/>
    <s v="REVENUS"/>
    <x v="3"/>
    <s v="4002.007"/>
    <s v="Acompte impôt sur fortune"/>
    <n v="0"/>
    <n v="-8.4499999999999993"/>
    <n v="4002"/>
  </r>
  <r>
    <x v="0"/>
    <x v="7"/>
    <x v="6"/>
    <x v="129"/>
    <x v="114"/>
    <x v="114"/>
    <s v="REVENUS"/>
    <x v="6"/>
    <s v="4211.001"/>
    <s v="Intérêts de retard sur factures"/>
    <n v="0"/>
    <n v="447.48"/>
    <n v="4211"/>
  </r>
  <r>
    <x v="0"/>
    <x v="7"/>
    <x v="6"/>
    <x v="129"/>
    <x v="114"/>
    <x v="114"/>
    <s v="REVENUS"/>
    <x v="12"/>
    <s v="4004.000"/>
    <s v="Impôt spécial étrangers"/>
    <n v="0"/>
    <n v="1217799.55"/>
    <n v="4004"/>
  </r>
  <r>
    <x v="0"/>
    <x v="7"/>
    <x v="6"/>
    <x v="129"/>
    <x v="114"/>
    <x v="114"/>
    <s v="REVENUS"/>
    <x v="12"/>
    <s v="4004.007"/>
    <s v="Acompte spécial étrangers"/>
    <n v="0"/>
    <n v="556087.56999999995"/>
    <n v="4004"/>
  </r>
  <r>
    <x v="0"/>
    <x v="7"/>
    <x v="6"/>
    <x v="129"/>
    <x v="114"/>
    <x v="114"/>
    <s v="REVENUS"/>
    <x v="3"/>
    <s v="4002.007"/>
    <s v="Acompte impôt sur fortune"/>
    <n v="0"/>
    <n v="9704.94"/>
    <n v="4002"/>
  </r>
  <r>
    <x v="0"/>
    <x v="7"/>
    <x v="6"/>
    <x v="129"/>
    <x v="114"/>
    <x v="114"/>
    <s v="REVENUS"/>
    <x v="2"/>
    <s v="4001.001"/>
    <s v="Impôt revenu"/>
    <n v="0"/>
    <n v="54500.15"/>
    <n v="4001"/>
  </r>
  <r>
    <x v="0"/>
    <x v="7"/>
    <x v="6"/>
    <x v="129"/>
    <x v="114"/>
    <x v="114"/>
    <s v="REVENUS"/>
    <x v="3"/>
    <s v="4002.001"/>
    <s v="Impôt ordinaire s/fortune PP"/>
    <n v="0"/>
    <n v="17877.400000000001"/>
    <n v="4002"/>
  </r>
  <r>
    <x v="0"/>
    <x v="7"/>
    <x v="6"/>
    <x v="129"/>
    <x v="114"/>
    <x v="114"/>
    <s v="REVENUS"/>
    <x v="6"/>
    <s v="4211.002"/>
    <s v="Intérêts de retard sur acomptes"/>
    <n v="0"/>
    <n v="227.61"/>
    <n v="4211"/>
  </r>
  <r>
    <x v="0"/>
    <x v="7"/>
    <x v="6"/>
    <x v="129"/>
    <x v="114"/>
    <x v="114"/>
    <s v="REVENUS"/>
    <x v="6"/>
    <s v="4221.003"/>
    <s v="Intérêts compensat. / acomptes en faveur du fisc"/>
    <n v="0"/>
    <n v="10.039999999999999"/>
    <n v="4221"/>
  </r>
  <r>
    <x v="0"/>
    <x v="7"/>
    <x v="6"/>
    <x v="129"/>
    <x v="114"/>
    <x v="114"/>
    <s v="REVENUS"/>
    <x v="2"/>
    <s v="4001.007"/>
    <s v="Acompte impôt sur revenu"/>
    <n v="0"/>
    <n v="7756.6"/>
    <n v="4001"/>
  </r>
  <r>
    <x v="0"/>
    <x v="7"/>
    <x v="6"/>
    <x v="129"/>
    <x v="114"/>
    <x v="114"/>
    <s v="REVENUS"/>
    <x v="3"/>
    <s v="4002.007"/>
    <s v="Acompte impôt sur fortune"/>
    <n v="0"/>
    <n v="2125.5500000000002"/>
    <n v="4002"/>
  </r>
  <r>
    <x v="0"/>
    <x v="7"/>
    <x v="6"/>
    <x v="129"/>
    <x v="114"/>
    <x v="114"/>
    <s v="REVENUS"/>
    <x v="2"/>
    <s v="4001.007"/>
    <s v="Acompte impôt sur revenu"/>
    <n v="0"/>
    <n v="7913.48"/>
    <n v="4001"/>
  </r>
  <r>
    <x v="0"/>
    <x v="7"/>
    <x v="6"/>
    <x v="129"/>
    <x v="114"/>
    <x v="114"/>
    <s v="REVENUS"/>
    <x v="2"/>
    <s v="4001.001"/>
    <s v="Impôt revenu"/>
    <n v="0"/>
    <n v="2126.6999999999998"/>
    <n v="4001"/>
  </r>
  <r>
    <x v="0"/>
    <x v="7"/>
    <x v="6"/>
    <x v="129"/>
    <x v="114"/>
    <x v="114"/>
    <s v="REVENUS"/>
    <x v="3"/>
    <s v="4002.001"/>
    <s v="Impôt ordinaire s/fortune PP"/>
    <n v="0"/>
    <n v="634.75"/>
    <n v="4002"/>
  </r>
  <r>
    <x v="0"/>
    <x v="7"/>
    <x v="6"/>
    <x v="129"/>
    <x v="114"/>
    <x v="114"/>
    <s v="REVENUS"/>
    <x v="6"/>
    <s v="4211.001"/>
    <s v="Intérêts de retard sur factures"/>
    <n v="0"/>
    <n v="2.13"/>
    <n v="4211"/>
  </r>
  <r>
    <x v="0"/>
    <x v="7"/>
    <x v="6"/>
    <x v="129"/>
    <x v="114"/>
    <x v="114"/>
    <s v="REVENUS"/>
    <x v="3"/>
    <s v="4002.007"/>
    <s v="Acompte impôt sur fortune"/>
    <n v="0"/>
    <n v="2421.58"/>
    <n v="4002"/>
  </r>
  <r>
    <x v="0"/>
    <x v="7"/>
    <x v="6"/>
    <x v="129"/>
    <x v="114"/>
    <x v="114"/>
    <s v="REVENUS"/>
    <x v="7"/>
    <s v="4184.000"/>
    <s v="Frais de poursuite"/>
    <n v="0"/>
    <n v="83.91"/>
    <n v="4184"/>
  </r>
  <r>
    <x v="0"/>
    <x v="7"/>
    <x v="6"/>
    <x v="129"/>
    <x v="114"/>
    <x v="114"/>
    <s v="REVENUS"/>
    <x v="2"/>
    <s v="4001.007"/>
    <s v="Acompte impôt sur revenu"/>
    <n v="0"/>
    <n v="701.37"/>
    <n v="4001"/>
  </r>
  <r>
    <x v="0"/>
    <x v="7"/>
    <x v="6"/>
    <x v="129"/>
    <x v="114"/>
    <x v="114"/>
    <s v="REVENUS"/>
    <x v="3"/>
    <s v="4002.001"/>
    <s v="Impôt ordinaire s/fortune PP"/>
    <n v="0"/>
    <n v="-28038.95"/>
    <n v="4002"/>
  </r>
  <r>
    <x v="0"/>
    <x v="7"/>
    <x v="6"/>
    <x v="129"/>
    <x v="114"/>
    <x v="114"/>
    <s v="REVENUS"/>
    <x v="2"/>
    <s v="4001.002"/>
    <s v="Impôt complément s/revenu PP"/>
    <n v="0"/>
    <n v="28004.7"/>
    <n v="4001"/>
  </r>
  <r>
    <x v="0"/>
    <x v="7"/>
    <x v="6"/>
    <x v="129"/>
    <x v="114"/>
    <x v="114"/>
    <s v="REVENUS"/>
    <x v="3"/>
    <s v="4002.002"/>
    <s v="Impôt complémentaire s/fortune PP"/>
    <n v="0"/>
    <n v="2252.8000000000002"/>
    <n v="4002"/>
  </r>
  <r>
    <x v="0"/>
    <x v="7"/>
    <x v="6"/>
    <x v="129"/>
    <x v="114"/>
    <x v="114"/>
    <s v="REVENUS"/>
    <x v="10"/>
    <s v="4041.001"/>
    <s v="Droits de mutation"/>
    <n v="0"/>
    <n v="192516"/>
    <n v="4041"/>
  </r>
  <r>
    <x v="0"/>
    <x v="7"/>
    <x v="6"/>
    <x v="129"/>
    <x v="114"/>
    <x v="114"/>
    <s v="REVENUS"/>
    <x v="2"/>
    <s v="4001.001"/>
    <s v="Impôt revenu"/>
    <n v="0"/>
    <n v="15910.2"/>
    <n v="4001"/>
  </r>
  <r>
    <x v="0"/>
    <x v="7"/>
    <x v="6"/>
    <x v="129"/>
    <x v="114"/>
    <x v="114"/>
    <s v="REVENUS"/>
    <x v="3"/>
    <s v="4002.001"/>
    <s v="Impôt ordinaire s/fortune PP"/>
    <n v="0"/>
    <n v="6838.55"/>
    <n v="4002"/>
  </r>
  <r>
    <x v="0"/>
    <x v="7"/>
    <x v="6"/>
    <x v="129"/>
    <x v="114"/>
    <x v="114"/>
    <s v="REVENUS"/>
    <x v="6"/>
    <s v="4211.002"/>
    <s v="Intérêts de retard sur acomptes"/>
    <n v="0"/>
    <n v="27.52"/>
    <n v="4211"/>
  </r>
  <r>
    <x v="0"/>
    <x v="7"/>
    <x v="6"/>
    <x v="129"/>
    <x v="114"/>
    <x v="114"/>
    <s v="REVENUS"/>
    <x v="6"/>
    <s v="4221.003"/>
    <s v="Intérêts compensat. / acomptes en faveur du fisc"/>
    <n v="0"/>
    <n v="0.98"/>
    <n v="4221"/>
  </r>
  <r>
    <x v="0"/>
    <x v="7"/>
    <x v="6"/>
    <x v="129"/>
    <x v="114"/>
    <x v="114"/>
    <s v="REVENUS"/>
    <x v="2"/>
    <s v="4001.002"/>
    <s v="Impôt complément s/revenu PP"/>
    <n v="0"/>
    <n v="4113.95"/>
    <n v="4001"/>
  </r>
  <r>
    <x v="0"/>
    <x v="7"/>
    <x v="6"/>
    <x v="129"/>
    <x v="114"/>
    <x v="114"/>
    <s v="REVENUS"/>
    <x v="3"/>
    <s v="4002.002"/>
    <s v="Impôt complémentaire s/fortune PP"/>
    <n v="0"/>
    <n v="2315.5500000000002"/>
    <n v="4002"/>
  </r>
  <r>
    <x v="0"/>
    <x v="7"/>
    <x v="6"/>
    <x v="129"/>
    <x v="114"/>
    <x v="114"/>
    <s v="REVENUS"/>
    <x v="6"/>
    <s v="4221.003"/>
    <s v="Intérêts compensat. / acomptes en faveur du fisc"/>
    <n v="0"/>
    <n v="21.83"/>
    <n v="4221"/>
  </r>
  <r>
    <x v="0"/>
    <x v="7"/>
    <x v="6"/>
    <x v="129"/>
    <x v="114"/>
    <x v="114"/>
    <s v="REVENUS"/>
    <x v="8"/>
    <s v="4091.001"/>
    <s v="Impôt récupéré après défalcations"/>
    <n v="0"/>
    <n v="2840.25"/>
    <n v="4091"/>
  </r>
  <r>
    <x v="0"/>
    <x v="7"/>
    <x v="6"/>
    <x v="129"/>
    <x v="114"/>
    <x v="114"/>
    <s v="REVENUS"/>
    <x v="2"/>
    <s v="4001.001"/>
    <s v="Impôt revenu"/>
    <n v="0"/>
    <n v="21107.55"/>
    <n v="4001"/>
  </r>
  <r>
    <x v="0"/>
    <x v="7"/>
    <x v="6"/>
    <x v="129"/>
    <x v="114"/>
    <x v="114"/>
    <s v="REVENUS"/>
    <x v="11"/>
    <s v="4198.000"/>
    <s v="Contributions communales"/>
    <n v="0"/>
    <n v="290355.65000000002"/>
    <n v="4198"/>
  </r>
  <r>
    <x v="0"/>
    <x v="7"/>
    <x v="6"/>
    <x v="129"/>
    <x v="114"/>
    <x v="114"/>
    <s v="REVENUS"/>
    <x v="5"/>
    <s v="4061.000"/>
    <s v="Impôt sur les chiens"/>
    <n v="0"/>
    <n v="4725"/>
    <n v="4061"/>
  </r>
  <r>
    <x v="0"/>
    <x v="7"/>
    <x v="6"/>
    <x v="129"/>
    <x v="114"/>
    <x v="114"/>
    <s v="REVENUS"/>
    <x v="9"/>
    <s v="4031.001"/>
    <s v="Impôt sur les gains immobiliers"/>
    <n v="0"/>
    <n v="210737.25"/>
    <n v="4031"/>
  </r>
  <r>
    <x v="0"/>
    <x v="7"/>
    <x v="6"/>
    <x v="129"/>
    <x v="114"/>
    <x v="114"/>
    <s v="REVENUS"/>
    <x v="2"/>
    <s v="4001.003"/>
    <s v="Impôt s/prest. cap. PP"/>
    <n v="0"/>
    <n v="-1688.2"/>
    <n v="4001"/>
  </r>
  <r>
    <x v="0"/>
    <x v="7"/>
    <x v="6"/>
    <x v="129"/>
    <x v="114"/>
    <x v="114"/>
    <s v="REVENUS"/>
    <x v="2"/>
    <s v="4001.002"/>
    <s v="Impôt complément s/revenu PP"/>
    <n v="0"/>
    <n v="3559.65"/>
    <n v="4001"/>
  </r>
  <r>
    <x v="0"/>
    <x v="7"/>
    <x v="6"/>
    <x v="129"/>
    <x v="114"/>
    <x v="114"/>
    <s v="REVENUS"/>
    <x v="2"/>
    <s v="4001.007"/>
    <s v="Acompte impôt sur revenu"/>
    <n v="0"/>
    <n v="-26.9"/>
    <n v="4001"/>
  </r>
  <r>
    <x v="0"/>
    <x v="7"/>
    <x v="6"/>
    <x v="129"/>
    <x v="114"/>
    <x v="114"/>
    <s v="REVENUS"/>
    <x v="3"/>
    <s v="4002.007"/>
    <s v="Acompte impôt sur fortune"/>
    <n v="0"/>
    <n v="-12"/>
    <n v="4002"/>
  </r>
  <r>
    <x v="0"/>
    <x v="7"/>
    <x v="6"/>
    <x v="129"/>
    <x v="114"/>
    <x v="114"/>
    <s v="REVENUS"/>
    <x v="3"/>
    <s v="4002.001"/>
    <s v="Impôt ordinaire s/fortune PP"/>
    <n v="0"/>
    <n v="1055.5999999999999"/>
    <n v="4002"/>
  </r>
  <r>
    <x v="0"/>
    <x v="7"/>
    <x v="6"/>
    <x v="129"/>
    <x v="114"/>
    <x v="114"/>
    <s v="REVENUS"/>
    <x v="6"/>
    <s v="4211.001"/>
    <s v="Intérêts de retard sur factures"/>
    <n v="0"/>
    <n v="211.91"/>
    <n v="4211"/>
  </r>
  <r>
    <x v="0"/>
    <x v="7"/>
    <x v="6"/>
    <x v="129"/>
    <x v="114"/>
    <x v="114"/>
    <s v="REVENUS"/>
    <x v="8"/>
    <s v="4091.001"/>
    <s v="Impôt récupéré après défalcations"/>
    <n v="0"/>
    <n v="201.09"/>
    <n v="4091"/>
  </r>
  <r>
    <x v="0"/>
    <x v="7"/>
    <x v="6"/>
    <x v="129"/>
    <x v="114"/>
    <x v="114"/>
    <s v="REVENUS"/>
    <x v="2"/>
    <s v="4001.002"/>
    <s v="Impôt complément s/revenu PP"/>
    <n v="0"/>
    <n v="103.25"/>
    <n v="4001"/>
  </r>
  <r>
    <x v="0"/>
    <x v="7"/>
    <x v="6"/>
    <x v="129"/>
    <x v="114"/>
    <x v="114"/>
    <s v="REVENUS"/>
    <x v="3"/>
    <s v="4002.002"/>
    <s v="Impôt complémentaire s/fortune PP"/>
    <n v="0"/>
    <n v="77.099999999999994"/>
    <n v="4002"/>
  </r>
  <r>
    <x v="0"/>
    <x v="7"/>
    <x v="6"/>
    <x v="129"/>
    <x v="114"/>
    <x v="114"/>
    <s v="REVENUS"/>
    <x v="2"/>
    <s v="4001.001"/>
    <s v="Impôt revenu"/>
    <n v="0"/>
    <n v="242.25"/>
    <n v="4001"/>
  </r>
  <r>
    <x v="0"/>
    <x v="7"/>
    <x v="6"/>
    <x v="129"/>
    <x v="114"/>
    <x v="114"/>
    <s v="REVENUS"/>
    <x v="3"/>
    <s v="4002.001"/>
    <s v="Impôt ordinaire s/fortune PP"/>
    <n v="0"/>
    <n v="266.2"/>
    <n v="4002"/>
  </r>
  <r>
    <x v="0"/>
    <x v="8"/>
    <x v="8"/>
    <x v="130"/>
    <x v="115"/>
    <x v="115"/>
    <s v="CHARGES"/>
    <x v="1"/>
    <s v="3301.001"/>
    <s v="Défalcations, abandons de solde PP et IS"/>
    <n v="230874.17"/>
    <n v="0"/>
    <n v="3301"/>
  </r>
  <r>
    <x v="0"/>
    <x v="8"/>
    <x v="8"/>
    <x v="130"/>
    <x v="115"/>
    <x v="115"/>
    <s v="CHARGES"/>
    <x v="0"/>
    <s v="3212.004"/>
    <s v="Intérêts rémun./perçu trop tôt sur acomptes C/C"/>
    <n v="5.65"/>
    <n v="0"/>
    <n v="3212"/>
  </r>
  <r>
    <x v="0"/>
    <x v="8"/>
    <x v="8"/>
    <x v="130"/>
    <x v="115"/>
    <x v="115"/>
    <s v="CHARGES"/>
    <x v="0"/>
    <s v="3221.002"/>
    <s v="Intérêts compensatoires / créances en faveur ctb."/>
    <n v="2.39"/>
    <n v="0"/>
    <n v="3221"/>
  </r>
  <r>
    <x v="0"/>
    <x v="8"/>
    <x v="8"/>
    <x v="130"/>
    <x v="115"/>
    <x v="115"/>
    <s v="CHARGES"/>
    <x v="1"/>
    <s v="3301.001"/>
    <s v="Défalcations, abandons de solde PP et IS"/>
    <n v="9.0399999999999991"/>
    <n v="0"/>
    <n v="3301"/>
  </r>
  <r>
    <x v="0"/>
    <x v="8"/>
    <x v="8"/>
    <x v="130"/>
    <x v="115"/>
    <x v="115"/>
    <s v="CHARGES"/>
    <x v="0"/>
    <s v="3212.002"/>
    <s v="Intérêts bonifiés/trop perçu acompte C/C"/>
    <n v="-31.64"/>
    <n v="0"/>
    <n v="3212"/>
  </r>
  <r>
    <x v="0"/>
    <x v="8"/>
    <x v="8"/>
    <x v="130"/>
    <x v="115"/>
    <x v="115"/>
    <s v="CHARGES"/>
    <x v="0"/>
    <s v="3212.004"/>
    <s v="Intérêts rémun./perçu trop tôt sur acomptes C/C"/>
    <n v="3654.82"/>
    <n v="0"/>
    <n v="3212"/>
  </r>
  <r>
    <x v="0"/>
    <x v="8"/>
    <x v="8"/>
    <x v="130"/>
    <x v="115"/>
    <x v="115"/>
    <s v="CHARGES"/>
    <x v="0"/>
    <s v="3221.002"/>
    <s v="Intérêts compensatoires / créances en faveur ctb."/>
    <n v="1792.26"/>
    <n v="0"/>
    <n v="3221"/>
  </r>
  <r>
    <x v="0"/>
    <x v="8"/>
    <x v="8"/>
    <x v="130"/>
    <x v="115"/>
    <x v="115"/>
    <s v="CHARGES"/>
    <x v="1"/>
    <s v="3301.001"/>
    <s v="Défalcations, abandons de solde PP et IS"/>
    <n v="52146.2"/>
    <n v="0"/>
    <n v="3301"/>
  </r>
  <r>
    <x v="0"/>
    <x v="8"/>
    <x v="8"/>
    <x v="130"/>
    <x v="115"/>
    <x v="115"/>
    <s v="CHARGES"/>
    <x v="0"/>
    <s v="3212.004"/>
    <s v="Intérêts rémun./perçu trop tôt sur acomptes C/C"/>
    <n v="87.25"/>
    <n v="0"/>
    <n v="3212"/>
  </r>
  <r>
    <x v="0"/>
    <x v="8"/>
    <x v="8"/>
    <x v="130"/>
    <x v="115"/>
    <x v="115"/>
    <s v="CHARGES"/>
    <x v="0"/>
    <s v="3212.004"/>
    <s v="Intérêts rémun./perçu trop tôt sur acomptes C/C"/>
    <n v="161.24"/>
    <n v="0"/>
    <n v="3212"/>
  </r>
  <r>
    <x v="0"/>
    <x v="8"/>
    <x v="8"/>
    <x v="130"/>
    <x v="115"/>
    <x v="115"/>
    <s v="CHARGES"/>
    <x v="0"/>
    <s v="3212.004"/>
    <s v="Intérêts rémun./perçu trop tôt sur acomptes C/C"/>
    <n v="59.81"/>
    <n v="0"/>
    <n v="3212"/>
  </r>
  <r>
    <x v="0"/>
    <x v="8"/>
    <x v="8"/>
    <x v="130"/>
    <x v="115"/>
    <x v="115"/>
    <s v="CHARGES"/>
    <x v="0"/>
    <s v="3221.002"/>
    <s v="Intérêts compensatoires / créances en faveur ctb."/>
    <n v="54.46"/>
    <n v="0"/>
    <n v="3221"/>
  </r>
  <r>
    <x v="0"/>
    <x v="8"/>
    <x v="8"/>
    <x v="130"/>
    <x v="115"/>
    <x v="115"/>
    <s v="CHARGES"/>
    <x v="0"/>
    <s v="3221.002"/>
    <s v="Intérêts compensatoires / créances en faveur ctb."/>
    <n v="32.229999999999997"/>
    <n v="0"/>
    <n v="3221"/>
  </r>
  <r>
    <x v="0"/>
    <x v="8"/>
    <x v="8"/>
    <x v="130"/>
    <x v="115"/>
    <x v="115"/>
    <s v="CHARGES"/>
    <x v="0"/>
    <s v="3212.002"/>
    <s v="Intérêts bonifiés/trop perçu acompte C/C"/>
    <n v="0.41"/>
    <n v="0"/>
    <n v="3212"/>
  </r>
  <r>
    <x v="0"/>
    <x v="8"/>
    <x v="8"/>
    <x v="130"/>
    <x v="115"/>
    <x v="115"/>
    <s v="CHARGES"/>
    <x v="0"/>
    <s v="3221.002"/>
    <s v="Intérêts compensatoires / créances en faveur ctb."/>
    <n v="54.12"/>
    <n v="0"/>
    <n v="3221"/>
  </r>
  <r>
    <x v="0"/>
    <x v="8"/>
    <x v="8"/>
    <x v="130"/>
    <x v="115"/>
    <x v="115"/>
    <s v="CHARGES"/>
    <x v="1"/>
    <s v="3301.001"/>
    <s v="Défalcations, abandons de solde PP et IS"/>
    <n v="2.0099999999999998"/>
    <n v="0"/>
    <n v="3301"/>
  </r>
  <r>
    <x v="0"/>
    <x v="8"/>
    <x v="8"/>
    <x v="130"/>
    <x v="115"/>
    <x v="115"/>
    <s v="CHARGES"/>
    <x v="1"/>
    <s v="3301.003"/>
    <s v="Remises PP et IS"/>
    <n v="6463.09"/>
    <n v="0"/>
    <n v="3301"/>
  </r>
  <r>
    <x v="0"/>
    <x v="8"/>
    <x v="8"/>
    <x v="130"/>
    <x v="115"/>
    <x v="115"/>
    <s v="CHARGES"/>
    <x v="1"/>
    <s v="3301.001"/>
    <s v="Défalcations, abandons de solde PP et IS"/>
    <n v="1205.9000000000001"/>
    <n v="0"/>
    <n v="3301"/>
  </r>
  <r>
    <x v="0"/>
    <x v="8"/>
    <x v="8"/>
    <x v="130"/>
    <x v="115"/>
    <x v="115"/>
    <s v="CHARGES"/>
    <x v="1"/>
    <s v="3301.001"/>
    <s v="Défalcations, abandons de solde PP et IS"/>
    <n v="6.78"/>
    <n v="0"/>
    <n v="3301"/>
  </r>
  <r>
    <x v="0"/>
    <x v="8"/>
    <x v="8"/>
    <x v="130"/>
    <x v="115"/>
    <x v="115"/>
    <s v="CHARGES"/>
    <x v="0"/>
    <s v="3212.002"/>
    <s v="Intérêts bonifiés/trop perçu acompte C/C"/>
    <n v="0.01"/>
    <n v="0"/>
    <n v="3212"/>
  </r>
  <r>
    <x v="0"/>
    <x v="8"/>
    <x v="8"/>
    <x v="130"/>
    <x v="115"/>
    <x v="115"/>
    <s v="CHARGES"/>
    <x v="0"/>
    <s v="3212.002"/>
    <s v="Intérêts bonifiés/trop perçu acompte C/C"/>
    <n v="0.04"/>
    <n v="0"/>
    <n v="3212"/>
  </r>
  <r>
    <x v="0"/>
    <x v="8"/>
    <x v="8"/>
    <x v="130"/>
    <x v="115"/>
    <x v="115"/>
    <s v="CHARGES"/>
    <x v="0"/>
    <s v="3212.002"/>
    <s v="Intérêts bonifiés/trop perçu acompte C/C"/>
    <n v="-0.03"/>
    <n v="0"/>
    <n v="3212"/>
  </r>
  <r>
    <x v="0"/>
    <x v="8"/>
    <x v="8"/>
    <x v="130"/>
    <x v="115"/>
    <x v="115"/>
    <s v="CHARGES"/>
    <x v="0"/>
    <s v="3212.004"/>
    <s v="Intérêts rémun./perçu trop tôt sur acomptes C/C"/>
    <n v="26.91"/>
    <n v="0"/>
    <n v="3212"/>
  </r>
  <r>
    <x v="0"/>
    <x v="8"/>
    <x v="8"/>
    <x v="130"/>
    <x v="115"/>
    <x v="115"/>
    <s v="CHARGES"/>
    <x v="0"/>
    <s v="3221.002"/>
    <s v="Intérêts compensatoires / créances en faveur ctb."/>
    <n v="10.58"/>
    <n v="0"/>
    <n v="3221"/>
  </r>
  <r>
    <x v="0"/>
    <x v="8"/>
    <x v="8"/>
    <x v="130"/>
    <x v="115"/>
    <x v="115"/>
    <s v="CHARGES"/>
    <x v="1"/>
    <s v="3301.001"/>
    <s v="Défalcations, abandons de solde PP et IS"/>
    <n v="-389.19"/>
    <n v="0"/>
    <n v="3301"/>
  </r>
  <r>
    <x v="0"/>
    <x v="8"/>
    <x v="8"/>
    <x v="130"/>
    <x v="115"/>
    <x v="115"/>
    <s v="CHARGES"/>
    <x v="0"/>
    <s v="3212.004"/>
    <s v="Intérêts rémun./perçu trop tôt sur acomptes C/C"/>
    <n v="0.88"/>
    <n v="0"/>
    <n v="3212"/>
  </r>
  <r>
    <x v="0"/>
    <x v="8"/>
    <x v="8"/>
    <x v="130"/>
    <x v="115"/>
    <x v="115"/>
    <s v="CHARGES"/>
    <x v="0"/>
    <s v="3221.002"/>
    <s v="Intérêts compensatoires / créances en faveur ctb."/>
    <n v="7.0000000000000007E-2"/>
    <n v="0"/>
    <n v="3221"/>
  </r>
  <r>
    <x v="0"/>
    <x v="8"/>
    <x v="8"/>
    <x v="130"/>
    <x v="115"/>
    <x v="115"/>
    <s v="CHARGES"/>
    <x v="1"/>
    <s v="3301.001"/>
    <s v="Défalcations, abandons de solde PP et IS"/>
    <n v="0.15"/>
    <n v="0"/>
    <n v="3301"/>
  </r>
  <r>
    <x v="0"/>
    <x v="8"/>
    <x v="8"/>
    <x v="130"/>
    <x v="115"/>
    <x v="115"/>
    <s v="REVENUS"/>
    <x v="2"/>
    <s v="4001.003"/>
    <s v="Impôt s/prest. cap. PP"/>
    <n v="0"/>
    <n v="346303.1"/>
    <n v="4001"/>
  </r>
  <r>
    <x v="0"/>
    <x v="8"/>
    <x v="8"/>
    <x v="130"/>
    <x v="115"/>
    <x v="115"/>
    <s v="REVENUS"/>
    <x v="2"/>
    <s v="4001.007"/>
    <s v="Acompte impôt sur revenu"/>
    <n v="0"/>
    <n v="-2375404.89"/>
    <n v="4001"/>
  </r>
  <r>
    <x v="0"/>
    <x v="8"/>
    <x v="8"/>
    <x v="130"/>
    <x v="115"/>
    <x v="115"/>
    <s v="REVENUS"/>
    <x v="6"/>
    <s v="4221.002"/>
    <s v="Intérêts compensat. sur impôts distincts"/>
    <n v="0"/>
    <n v="387.19"/>
    <n v="4221"/>
  </r>
  <r>
    <x v="0"/>
    <x v="8"/>
    <x v="8"/>
    <x v="130"/>
    <x v="115"/>
    <x v="115"/>
    <s v="REVENUS"/>
    <x v="2"/>
    <s v="4001.001"/>
    <s v="Impôt revenu"/>
    <n v="0"/>
    <n v="36199.449999999997"/>
    <n v="4001"/>
  </r>
  <r>
    <x v="0"/>
    <x v="8"/>
    <x v="8"/>
    <x v="130"/>
    <x v="115"/>
    <x v="115"/>
    <s v="REVENUS"/>
    <x v="3"/>
    <s v="4002.001"/>
    <s v="Impôt ordinaire s/fortune PP"/>
    <n v="0"/>
    <n v="7123.65"/>
    <n v="4002"/>
  </r>
  <r>
    <x v="0"/>
    <x v="8"/>
    <x v="8"/>
    <x v="130"/>
    <x v="115"/>
    <x v="115"/>
    <s v="REVENUS"/>
    <x v="6"/>
    <s v="4221.003"/>
    <s v="Intérêts compensat. / acomptes en faveur du fisc"/>
    <n v="0"/>
    <n v="3.87"/>
    <n v="4221"/>
  </r>
  <r>
    <x v="0"/>
    <x v="8"/>
    <x v="8"/>
    <x v="130"/>
    <x v="115"/>
    <x v="115"/>
    <s v="REVENUS"/>
    <x v="2"/>
    <s v="4001.001"/>
    <s v="Impôt revenu"/>
    <n v="0"/>
    <n v="17381841.149999999"/>
    <n v="4001"/>
  </r>
  <r>
    <x v="0"/>
    <x v="8"/>
    <x v="8"/>
    <x v="130"/>
    <x v="115"/>
    <x v="115"/>
    <s v="REVENUS"/>
    <x v="3"/>
    <s v="4002.001"/>
    <s v="Impôt ordinaire s/fortune PP"/>
    <n v="0"/>
    <n v="1783076.15"/>
    <n v="4002"/>
  </r>
  <r>
    <x v="0"/>
    <x v="8"/>
    <x v="8"/>
    <x v="130"/>
    <x v="115"/>
    <x v="115"/>
    <s v="REVENUS"/>
    <x v="3"/>
    <s v="4002.007"/>
    <s v="Acompte impôt sur fortune"/>
    <n v="0"/>
    <n v="-218032.48"/>
    <n v="4002"/>
  </r>
  <r>
    <x v="0"/>
    <x v="8"/>
    <x v="8"/>
    <x v="130"/>
    <x v="115"/>
    <x v="115"/>
    <s v="REVENUS"/>
    <x v="6"/>
    <s v="4211.001"/>
    <s v="Intérêts de retard sur factures"/>
    <n v="0"/>
    <n v="146877.63"/>
    <n v="4211"/>
  </r>
  <r>
    <x v="0"/>
    <x v="8"/>
    <x v="8"/>
    <x v="130"/>
    <x v="115"/>
    <x v="115"/>
    <s v="REVENUS"/>
    <x v="6"/>
    <s v="4211.002"/>
    <s v="Intérêts de retard sur acomptes"/>
    <n v="0"/>
    <n v="121520.78"/>
    <n v="4211"/>
  </r>
  <r>
    <x v="0"/>
    <x v="8"/>
    <x v="8"/>
    <x v="130"/>
    <x v="115"/>
    <x v="115"/>
    <s v="REVENUS"/>
    <x v="6"/>
    <s v="4221.003"/>
    <s v="Intérêts compensat. / acomptes en faveur du fisc"/>
    <n v="0"/>
    <n v="4575.16"/>
    <n v="4221"/>
  </r>
  <r>
    <x v="0"/>
    <x v="8"/>
    <x v="8"/>
    <x v="130"/>
    <x v="115"/>
    <x v="115"/>
    <s v="REVENUS"/>
    <x v="7"/>
    <s v="4184.000"/>
    <s v="Frais de poursuite"/>
    <n v="0"/>
    <n v="29427.81"/>
    <n v="4184"/>
  </r>
  <r>
    <x v="0"/>
    <x v="8"/>
    <x v="8"/>
    <x v="130"/>
    <x v="115"/>
    <x v="115"/>
    <s v="REVENUS"/>
    <x v="2"/>
    <s v="4001.001"/>
    <s v="Impôt revenu"/>
    <n v="0"/>
    <n v="239138.6"/>
    <n v="4001"/>
  </r>
  <r>
    <x v="0"/>
    <x v="8"/>
    <x v="8"/>
    <x v="130"/>
    <x v="115"/>
    <x v="115"/>
    <s v="REVENUS"/>
    <x v="2"/>
    <s v="4001.007"/>
    <s v="Acompte impôt sur revenu"/>
    <n v="0"/>
    <n v="-51696.91"/>
    <n v="4001"/>
  </r>
  <r>
    <x v="0"/>
    <x v="8"/>
    <x v="8"/>
    <x v="130"/>
    <x v="115"/>
    <x v="115"/>
    <s v="REVENUS"/>
    <x v="3"/>
    <s v="4002.001"/>
    <s v="Impôt ordinaire s/fortune PP"/>
    <n v="0"/>
    <n v="58683.45"/>
    <n v="4002"/>
  </r>
  <r>
    <x v="0"/>
    <x v="8"/>
    <x v="8"/>
    <x v="130"/>
    <x v="115"/>
    <x v="115"/>
    <s v="REVENUS"/>
    <x v="3"/>
    <s v="4002.007"/>
    <s v="Acompte impôt sur fortune"/>
    <n v="0"/>
    <n v="-17623.29"/>
    <n v="4002"/>
  </r>
  <r>
    <x v="0"/>
    <x v="8"/>
    <x v="8"/>
    <x v="130"/>
    <x v="115"/>
    <x v="115"/>
    <s v="REVENUS"/>
    <x v="2"/>
    <s v="4001.002"/>
    <s v="Impôt complément s/revenu PP"/>
    <n v="0"/>
    <n v="3303098.65"/>
    <n v="4001"/>
  </r>
  <r>
    <x v="0"/>
    <x v="8"/>
    <x v="8"/>
    <x v="130"/>
    <x v="115"/>
    <x v="115"/>
    <s v="REVENUS"/>
    <x v="3"/>
    <s v="4002.002"/>
    <s v="Impôt complémentaire s/fortune PP"/>
    <n v="0"/>
    <n v="446108.9"/>
    <n v="4002"/>
  </r>
  <r>
    <x v="0"/>
    <x v="8"/>
    <x v="8"/>
    <x v="130"/>
    <x v="115"/>
    <x v="115"/>
    <s v="REVENUS"/>
    <x v="3"/>
    <s v="4002.007"/>
    <s v="Acompte impôt sur fortune"/>
    <n v="0"/>
    <n v="-12559.48"/>
    <n v="4002"/>
  </r>
  <r>
    <x v="0"/>
    <x v="8"/>
    <x v="8"/>
    <x v="130"/>
    <x v="115"/>
    <x v="115"/>
    <s v="REVENUS"/>
    <x v="2"/>
    <s v="4001.001"/>
    <s v="Impôt revenu"/>
    <n v="0"/>
    <n v="157069.29999999999"/>
    <n v="4001"/>
  </r>
  <r>
    <x v="0"/>
    <x v="8"/>
    <x v="8"/>
    <x v="130"/>
    <x v="115"/>
    <x v="115"/>
    <s v="REVENUS"/>
    <x v="3"/>
    <s v="4002.001"/>
    <s v="Impôt ordinaire s/fortune PP"/>
    <n v="0"/>
    <n v="46336.7"/>
    <n v="4002"/>
  </r>
  <r>
    <x v="0"/>
    <x v="8"/>
    <x v="8"/>
    <x v="130"/>
    <x v="115"/>
    <x v="115"/>
    <s v="REVENUS"/>
    <x v="3"/>
    <s v="4002.007"/>
    <s v="Acompte impôt sur fortune"/>
    <n v="0"/>
    <n v="11592.07"/>
    <n v="4002"/>
  </r>
  <r>
    <x v="0"/>
    <x v="8"/>
    <x v="8"/>
    <x v="130"/>
    <x v="115"/>
    <x v="115"/>
    <s v="REVENUS"/>
    <x v="6"/>
    <s v="4221.003"/>
    <s v="Intérêts compensat. / acomptes en faveur du fisc"/>
    <n v="0"/>
    <n v="13.32"/>
    <n v="4221"/>
  </r>
  <r>
    <x v="0"/>
    <x v="8"/>
    <x v="8"/>
    <x v="130"/>
    <x v="115"/>
    <x v="115"/>
    <s v="REVENUS"/>
    <x v="11"/>
    <s v="4198.000"/>
    <s v="Contributions communales"/>
    <n v="0"/>
    <n v="1304921.75"/>
    <n v="4198"/>
  </r>
  <r>
    <x v="0"/>
    <x v="8"/>
    <x v="8"/>
    <x v="130"/>
    <x v="115"/>
    <x v="115"/>
    <s v="REVENUS"/>
    <x v="2"/>
    <s v="4001.001"/>
    <s v="Impôt revenu"/>
    <n v="0"/>
    <n v="104447.05"/>
    <n v="4001"/>
  </r>
  <r>
    <x v="0"/>
    <x v="8"/>
    <x v="8"/>
    <x v="130"/>
    <x v="115"/>
    <x v="115"/>
    <s v="REVENUS"/>
    <x v="10"/>
    <s v="4041.001"/>
    <s v="Droits de mutation"/>
    <n v="0"/>
    <n v="268939.3"/>
    <n v="4041"/>
  </r>
  <r>
    <x v="0"/>
    <x v="8"/>
    <x v="8"/>
    <x v="130"/>
    <x v="115"/>
    <x v="115"/>
    <s v="REVENUS"/>
    <x v="2"/>
    <s v="4001.007"/>
    <s v="Acompte impôt sur revenu"/>
    <n v="0"/>
    <n v="-4405.08"/>
    <n v="4001"/>
  </r>
  <r>
    <x v="0"/>
    <x v="8"/>
    <x v="8"/>
    <x v="130"/>
    <x v="115"/>
    <x v="115"/>
    <s v="REVENUS"/>
    <x v="3"/>
    <s v="4002.001"/>
    <s v="Impôt ordinaire s/fortune PP"/>
    <n v="0"/>
    <n v="32981.85"/>
    <n v="4002"/>
  </r>
  <r>
    <x v="0"/>
    <x v="8"/>
    <x v="8"/>
    <x v="130"/>
    <x v="115"/>
    <x v="115"/>
    <s v="REVENUS"/>
    <x v="2"/>
    <s v="4001.002"/>
    <s v="Impôt complément s/revenu PP"/>
    <n v="0"/>
    <n v="30409.45"/>
    <n v="4001"/>
  </r>
  <r>
    <x v="0"/>
    <x v="8"/>
    <x v="8"/>
    <x v="130"/>
    <x v="115"/>
    <x v="115"/>
    <s v="REVENUS"/>
    <x v="3"/>
    <s v="4002.002"/>
    <s v="Impôt complémentaire s/fortune PP"/>
    <n v="0"/>
    <n v="10342.200000000001"/>
    <n v="4002"/>
  </r>
  <r>
    <x v="0"/>
    <x v="8"/>
    <x v="8"/>
    <x v="130"/>
    <x v="115"/>
    <x v="115"/>
    <s v="REVENUS"/>
    <x v="3"/>
    <s v="4002.007"/>
    <s v="Acompte impôt sur fortune"/>
    <n v="0"/>
    <n v="-4149.54"/>
    <n v="4002"/>
  </r>
  <r>
    <x v="0"/>
    <x v="8"/>
    <x v="8"/>
    <x v="130"/>
    <x v="115"/>
    <x v="115"/>
    <s v="REVENUS"/>
    <x v="6"/>
    <s v="4211.002"/>
    <s v="Intérêts de retard sur acomptes"/>
    <n v="0"/>
    <n v="485.9"/>
    <n v="4211"/>
  </r>
  <r>
    <x v="0"/>
    <x v="8"/>
    <x v="8"/>
    <x v="130"/>
    <x v="115"/>
    <x v="115"/>
    <s v="REVENUS"/>
    <x v="9"/>
    <s v="4031.001"/>
    <s v="Impôt sur les gains immobiliers"/>
    <n v="0"/>
    <n v="437012.05"/>
    <n v="4031"/>
  </r>
  <r>
    <x v="0"/>
    <x v="8"/>
    <x v="8"/>
    <x v="130"/>
    <x v="115"/>
    <x v="115"/>
    <s v="REVENUS"/>
    <x v="2"/>
    <s v="4001.007"/>
    <s v="Acompte impôt sur revenu"/>
    <n v="0"/>
    <n v="100950.06"/>
    <n v="4001"/>
  </r>
  <r>
    <x v="0"/>
    <x v="8"/>
    <x v="8"/>
    <x v="130"/>
    <x v="115"/>
    <x v="115"/>
    <s v="REVENUS"/>
    <x v="5"/>
    <s v="4061.000"/>
    <s v="Impôt sur les chiens"/>
    <n v="0"/>
    <n v="41580"/>
    <n v="4061"/>
  </r>
  <r>
    <x v="0"/>
    <x v="8"/>
    <x v="8"/>
    <x v="130"/>
    <x v="115"/>
    <x v="115"/>
    <s v="REVENUS"/>
    <x v="7"/>
    <s v="4184.000"/>
    <s v="Frais de poursuite"/>
    <n v="0"/>
    <n v="48.05"/>
    <n v="4184"/>
  </r>
  <r>
    <x v="0"/>
    <x v="8"/>
    <x v="8"/>
    <x v="130"/>
    <x v="115"/>
    <x v="115"/>
    <s v="REVENUS"/>
    <x v="7"/>
    <s v="4184.000"/>
    <s v="Frais de poursuite"/>
    <n v="0"/>
    <n v="121.69"/>
    <n v="4184"/>
  </r>
  <r>
    <x v="0"/>
    <x v="8"/>
    <x v="8"/>
    <x v="130"/>
    <x v="115"/>
    <x v="115"/>
    <s v="REVENUS"/>
    <x v="6"/>
    <s v="4211.001"/>
    <s v="Intérêts de retard sur factures"/>
    <n v="0"/>
    <n v="1607.71"/>
    <n v="4211"/>
  </r>
  <r>
    <x v="0"/>
    <x v="8"/>
    <x v="8"/>
    <x v="130"/>
    <x v="115"/>
    <x v="115"/>
    <s v="REVENUS"/>
    <x v="6"/>
    <s v="4211.001"/>
    <s v="Intérêts de retard sur factures"/>
    <n v="0"/>
    <n v="28.01"/>
    <n v="4211"/>
  </r>
  <r>
    <x v="0"/>
    <x v="8"/>
    <x v="8"/>
    <x v="130"/>
    <x v="115"/>
    <x v="115"/>
    <s v="REVENUS"/>
    <x v="2"/>
    <s v="4001.001"/>
    <s v="Impôt revenu"/>
    <n v="0"/>
    <n v="160548.5"/>
    <n v="4001"/>
  </r>
  <r>
    <x v="0"/>
    <x v="8"/>
    <x v="8"/>
    <x v="130"/>
    <x v="115"/>
    <x v="115"/>
    <s v="REVENUS"/>
    <x v="6"/>
    <s v="4211.002"/>
    <s v="Intérêts de retard sur acomptes"/>
    <n v="0"/>
    <n v="1193.08"/>
    <n v="4211"/>
  </r>
  <r>
    <x v="0"/>
    <x v="8"/>
    <x v="8"/>
    <x v="130"/>
    <x v="115"/>
    <x v="115"/>
    <s v="REVENUS"/>
    <x v="6"/>
    <s v="4211.002"/>
    <s v="Intérêts de retard sur acomptes"/>
    <n v="0"/>
    <n v="106.28"/>
    <n v="4211"/>
  </r>
  <r>
    <x v="0"/>
    <x v="8"/>
    <x v="8"/>
    <x v="130"/>
    <x v="115"/>
    <x v="115"/>
    <s v="REVENUS"/>
    <x v="2"/>
    <s v="4001.007"/>
    <s v="Acompte impôt sur revenu"/>
    <n v="0"/>
    <n v="-33441.449999999997"/>
    <n v="4001"/>
  </r>
  <r>
    <x v="0"/>
    <x v="8"/>
    <x v="8"/>
    <x v="130"/>
    <x v="115"/>
    <x v="115"/>
    <s v="REVENUS"/>
    <x v="3"/>
    <s v="4002.007"/>
    <s v="Acompte impôt sur fortune"/>
    <n v="0"/>
    <n v="-12998.94"/>
    <n v="4002"/>
  </r>
  <r>
    <x v="0"/>
    <x v="8"/>
    <x v="8"/>
    <x v="130"/>
    <x v="115"/>
    <x v="115"/>
    <s v="REVENUS"/>
    <x v="8"/>
    <s v="4091.001"/>
    <s v="Impôt récupéré après défalcations"/>
    <n v="0"/>
    <n v="12127.68"/>
    <n v="4091"/>
  </r>
  <r>
    <x v="0"/>
    <x v="8"/>
    <x v="8"/>
    <x v="130"/>
    <x v="115"/>
    <x v="115"/>
    <s v="REVENUS"/>
    <x v="2"/>
    <s v="4001.007"/>
    <s v="Acompte impôt sur revenu"/>
    <n v="0"/>
    <n v="13144.07"/>
    <n v="4001"/>
  </r>
  <r>
    <x v="0"/>
    <x v="8"/>
    <x v="8"/>
    <x v="130"/>
    <x v="115"/>
    <x v="115"/>
    <s v="REVENUS"/>
    <x v="3"/>
    <s v="4002.007"/>
    <s v="Acompte impôt sur fortune"/>
    <n v="0"/>
    <n v="70.23"/>
    <n v="4002"/>
  </r>
  <r>
    <x v="0"/>
    <x v="8"/>
    <x v="8"/>
    <x v="130"/>
    <x v="115"/>
    <x v="115"/>
    <s v="REVENUS"/>
    <x v="12"/>
    <s v="4004.007"/>
    <s v="Acompte spécial étrangers"/>
    <n v="0"/>
    <n v="102320.9"/>
    <n v="4004"/>
  </r>
  <r>
    <x v="0"/>
    <x v="8"/>
    <x v="8"/>
    <x v="130"/>
    <x v="115"/>
    <x v="115"/>
    <s v="REVENUS"/>
    <x v="2"/>
    <s v="4001.002"/>
    <s v="Impôt complément s/revenu PP"/>
    <n v="0"/>
    <n v="18605.849999999999"/>
    <n v="4001"/>
  </r>
  <r>
    <x v="0"/>
    <x v="8"/>
    <x v="8"/>
    <x v="130"/>
    <x v="115"/>
    <x v="115"/>
    <s v="REVENUS"/>
    <x v="3"/>
    <s v="4002.002"/>
    <s v="Impôt complémentaire s/fortune PP"/>
    <n v="0"/>
    <n v="535.54999999999995"/>
    <n v="4002"/>
  </r>
  <r>
    <x v="0"/>
    <x v="8"/>
    <x v="8"/>
    <x v="130"/>
    <x v="115"/>
    <x v="115"/>
    <s v="REVENUS"/>
    <x v="6"/>
    <s v="4211.001"/>
    <s v="Intérêts de retard sur factures"/>
    <n v="0"/>
    <n v="270.39999999999998"/>
    <n v="4211"/>
  </r>
  <r>
    <x v="0"/>
    <x v="8"/>
    <x v="8"/>
    <x v="130"/>
    <x v="115"/>
    <x v="115"/>
    <s v="REVENUS"/>
    <x v="6"/>
    <s v="4211.002"/>
    <s v="Intérêts de retard sur acomptes"/>
    <n v="0"/>
    <n v="651.77"/>
    <n v="4211"/>
  </r>
  <r>
    <x v="0"/>
    <x v="8"/>
    <x v="8"/>
    <x v="130"/>
    <x v="115"/>
    <x v="115"/>
    <s v="REVENUS"/>
    <x v="6"/>
    <s v="4221.003"/>
    <s v="Intérêts compensat. / acomptes en faveur du fisc"/>
    <n v="0"/>
    <n v="25.33"/>
    <n v="4221"/>
  </r>
  <r>
    <x v="0"/>
    <x v="8"/>
    <x v="8"/>
    <x v="130"/>
    <x v="115"/>
    <x v="115"/>
    <s v="REVENUS"/>
    <x v="4"/>
    <s v="4051.001"/>
    <s v="Impôt sur les successions"/>
    <n v="0"/>
    <n v="690076.2"/>
    <n v="4051"/>
  </r>
  <r>
    <x v="0"/>
    <x v="8"/>
    <x v="8"/>
    <x v="130"/>
    <x v="115"/>
    <x v="115"/>
    <s v="REVENUS"/>
    <x v="6"/>
    <s v="4221.003"/>
    <s v="Intérêts compensat. / acomptes en faveur du fisc"/>
    <n v="0"/>
    <n v="10.42"/>
    <n v="4221"/>
  </r>
  <r>
    <x v="0"/>
    <x v="8"/>
    <x v="8"/>
    <x v="130"/>
    <x v="115"/>
    <x v="115"/>
    <s v="REVENUS"/>
    <x v="2"/>
    <s v="4001.007"/>
    <s v="Acompte impôt sur revenu"/>
    <n v="0"/>
    <n v="-20458.88"/>
    <n v="4001"/>
  </r>
  <r>
    <x v="0"/>
    <x v="8"/>
    <x v="8"/>
    <x v="130"/>
    <x v="115"/>
    <x v="115"/>
    <s v="REVENUS"/>
    <x v="2"/>
    <s v="4001.007"/>
    <s v="Acompte impôt sur revenu"/>
    <n v="0"/>
    <n v="-349.3"/>
    <n v="4001"/>
  </r>
  <r>
    <x v="0"/>
    <x v="8"/>
    <x v="8"/>
    <x v="130"/>
    <x v="115"/>
    <x v="115"/>
    <s v="REVENUS"/>
    <x v="3"/>
    <s v="4002.007"/>
    <s v="Acompte impôt sur fortune"/>
    <n v="0"/>
    <n v="-38.4"/>
    <n v="4002"/>
  </r>
  <r>
    <x v="0"/>
    <x v="8"/>
    <x v="8"/>
    <x v="130"/>
    <x v="115"/>
    <x v="115"/>
    <s v="REVENUS"/>
    <x v="2"/>
    <s v="4001.007"/>
    <s v="Acompte impôt sur revenu"/>
    <n v="0"/>
    <n v="-47.65"/>
    <n v="4001"/>
  </r>
  <r>
    <x v="0"/>
    <x v="8"/>
    <x v="8"/>
    <x v="130"/>
    <x v="115"/>
    <x v="115"/>
    <s v="REVENUS"/>
    <x v="3"/>
    <s v="4002.007"/>
    <s v="Acompte impôt sur fortune"/>
    <n v="0"/>
    <n v="-0.55000000000000004"/>
    <n v="4002"/>
  </r>
  <r>
    <x v="0"/>
    <x v="8"/>
    <x v="8"/>
    <x v="130"/>
    <x v="115"/>
    <x v="115"/>
    <s v="REVENUS"/>
    <x v="8"/>
    <s v="4091.001"/>
    <s v="Impôt récupéré après défalcations"/>
    <n v="0"/>
    <n v="49883.28"/>
    <n v="4091"/>
  </r>
  <r>
    <x v="0"/>
    <x v="8"/>
    <x v="8"/>
    <x v="130"/>
    <x v="115"/>
    <x v="115"/>
    <s v="REVENUS"/>
    <x v="7"/>
    <s v="4184.000"/>
    <s v="Frais de poursuite"/>
    <n v="0"/>
    <n v="2373.2600000000002"/>
    <n v="4184"/>
  </r>
  <r>
    <x v="0"/>
    <x v="8"/>
    <x v="8"/>
    <x v="130"/>
    <x v="115"/>
    <x v="115"/>
    <s v="REVENUS"/>
    <x v="2"/>
    <s v="4001.002"/>
    <s v="Impôt complément s/revenu PP"/>
    <n v="0"/>
    <n v="1130.6500000000001"/>
    <n v="4001"/>
  </r>
  <r>
    <x v="0"/>
    <x v="8"/>
    <x v="8"/>
    <x v="130"/>
    <x v="115"/>
    <x v="115"/>
    <s v="REVENUS"/>
    <x v="3"/>
    <s v="4002.002"/>
    <s v="Impôt complémentaire s/fortune PP"/>
    <n v="0"/>
    <n v="6001.6"/>
    <n v="4002"/>
  </r>
  <r>
    <x v="0"/>
    <x v="8"/>
    <x v="8"/>
    <x v="130"/>
    <x v="115"/>
    <x v="115"/>
    <s v="REVENUS"/>
    <x v="3"/>
    <s v="4002.001"/>
    <s v="Impôt ordinaire s/fortune PP"/>
    <n v="0"/>
    <n v="41197.35"/>
    <n v="4002"/>
  </r>
  <r>
    <x v="0"/>
    <x v="8"/>
    <x v="8"/>
    <x v="130"/>
    <x v="115"/>
    <x v="115"/>
    <s v="REVENUS"/>
    <x v="6"/>
    <s v="4221.003"/>
    <s v="Intérêts compensat. / acomptes en faveur du fisc"/>
    <n v="0"/>
    <n v="22.97"/>
    <n v="4221"/>
  </r>
  <r>
    <x v="0"/>
    <x v="8"/>
    <x v="8"/>
    <x v="130"/>
    <x v="115"/>
    <x v="115"/>
    <s v="REVENUS"/>
    <x v="4"/>
    <s v="4051.002"/>
    <s v="Impôt sur les donations"/>
    <n v="0"/>
    <n v="20182.599999999999"/>
    <n v="4051"/>
  </r>
  <r>
    <x v="0"/>
    <x v="8"/>
    <x v="8"/>
    <x v="130"/>
    <x v="115"/>
    <x v="115"/>
    <s v="REVENUS"/>
    <x v="7"/>
    <s v="4184.000"/>
    <s v="Frais de poursuite"/>
    <n v="0"/>
    <n v="51.37"/>
    <n v="4184"/>
  </r>
  <r>
    <x v="0"/>
    <x v="8"/>
    <x v="8"/>
    <x v="130"/>
    <x v="115"/>
    <x v="115"/>
    <s v="REVENUS"/>
    <x v="2"/>
    <s v="4001.003"/>
    <s v="Impôt s/prest. cap. PP"/>
    <n v="0"/>
    <n v="-1023.25"/>
    <n v="4001"/>
  </r>
  <r>
    <x v="0"/>
    <x v="8"/>
    <x v="8"/>
    <x v="130"/>
    <x v="115"/>
    <x v="115"/>
    <s v="REVENUS"/>
    <x v="6"/>
    <s v="4211.002"/>
    <s v="Intérêts de retard sur acomptes"/>
    <n v="0"/>
    <n v="811.6"/>
    <n v="4211"/>
  </r>
  <r>
    <x v="0"/>
    <x v="8"/>
    <x v="8"/>
    <x v="130"/>
    <x v="115"/>
    <x v="115"/>
    <s v="REVENUS"/>
    <x v="6"/>
    <s v="4211.001"/>
    <s v="Intérêts de retard sur factures"/>
    <n v="0"/>
    <n v="7.02"/>
    <n v="4211"/>
  </r>
  <r>
    <x v="0"/>
    <x v="8"/>
    <x v="8"/>
    <x v="130"/>
    <x v="115"/>
    <x v="115"/>
    <s v="REVENUS"/>
    <x v="3"/>
    <s v="4002.002"/>
    <s v="Impôt complémentaire s/fortune PP"/>
    <n v="0"/>
    <n v="41.95"/>
    <n v="4002"/>
  </r>
  <r>
    <x v="0"/>
    <x v="8"/>
    <x v="8"/>
    <x v="130"/>
    <x v="115"/>
    <x v="115"/>
    <s v="REVENUS"/>
    <x v="2"/>
    <s v="4001.001"/>
    <s v="Impôt revenu"/>
    <n v="0"/>
    <n v="1387.8"/>
    <n v="4001"/>
  </r>
  <r>
    <x v="0"/>
    <x v="8"/>
    <x v="8"/>
    <x v="130"/>
    <x v="115"/>
    <x v="115"/>
    <s v="REVENUS"/>
    <x v="3"/>
    <s v="4002.001"/>
    <s v="Impôt ordinaire s/fortune PP"/>
    <n v="0"/>
    <n v="990.1"/>
    <n v="4002"/>
  </r>
  <r>
    <x v="0"/>
    <x v="8"/>
    <x v="8"/>
    <x v="130"/>
    <x v="115"/>
    <x v="115"/>
    <s v="REVENUS"/>
    <x v="2"/>
    <s v="4001.007"/>
    <s v="Acompte impôt sur revenu"/>
    <n v="0"/>
    <n v="-7360.1"/>
    <n v="4001"/>
  </r>
  <r>
    <x v="0"/>
    <x v="8"/>
    <x v="8"/>
    <x v="130"/>
    <x v="115"/>
    <x v="115"/>
    <s v="REVENUS"/>
    <x v="3"/>
    <s v="4002.007"/>
    <s v="Acompte impôt sur fortune"/>
    <n v="0"/>
    <n v="-2723.2"/>
    <n v="4002"/>
  </r>
  <r>
    <x v="0"/>
    <x v="8"/>
    <x v="8"/>
    <x v="130"/>
    <x v="115"/>
    <x v="115"/>
    <s v="REVENUS"/>
    <x v="2"/>
    <s v="4001.001"/>
    <s v="Impôt revenu"/>
    <n v="0"/>
    <n v="55.45"/>
    <n v="4001"/>
  </r>
  <r>
    <x v="0"/>
    <x v="8"/>
    <x v="8"/>
    <x v="130"/>
    <x v="115"/>
    <x v="115"/>
    <s v="REVENUS"/>
    <x v="3"/>
    <s v="4002.001"/>
    <s v="Impôt ordinaire s/fortune PP"/>
    <n v="0"/>
    <n v="107.75"/>
    <n v="4002"/>
  </r>
  <r>
    <x v="0"/>
    <x v="8"/>
    <x v="8"/>
    <x v="130"/>
    <x v="115"/>
    <x v="115"/>
    <s v="REVENUS"/>
    <x v="6"/>
    <s v="4211.002"/>
    <s v="Intérêts de retard sur acomptes"/>
    <n v="0"/>
    <n v="0.16"/>
    <n v="4211"/>
  </r>
  <r>
    <x v="0"/>
    <x v="8"/>
    <x v="8"/>
    <x v="130"/>
    <x v="115"/>
    <x v="115"/>
    <s v="REVENUS"/>
    <x v="6"/>
    <s v="4211.001"/>
    <s v="Intérêts de retard sur factures"/>
    <n v="0"/>
    <n v="44.44"/>
    <n v="4211"/>
  </r>
  <r>
    <x v="0"/>
    <x v="8"/>
    <x v="8"/>
    <x v="130"/>
    <x v="115"/>
    <x v="115"/>
    <s v="REVENUS"/>
    <x v="9"/>
    <s v="4031.002"/>
    <s v="Complément impôt sur les gains immobiliers"/>
    <n v="0"/>
    <n v="36466.800000000003"/>
    <n v="4031"/>
  </r>
  <r>
    <x v="0"/>
    <x v="8"/>
    <x v="8"/>
    <x v="130"/>
    <x v="115"/>
    <x v="115"/>
    <s v="REVENUS"/>
    <x v="12"/>
    <s v="4004.000"/>
    <s v="Impôt spécial étrangers"/>
    <n v="0"/>
    <n v="92421.65"/>
    <n v="4004"/>
  </r>
  <r>
    <x v="0"/>
    <x v="8"/>
    <x v="8"/>
    <x v="130"/>
    <x v="115"/>
    <x v="115"/>
    <s v="REVENUS"/>
    <x v="6"/>
    <s v="4211.002"/>
    <s v="Intérêts de retard sur acomptes"/>
    <n v="0"/>
    <n v="8.76"/>
    <n v="4211"/>
  </r>
  <r>
    <x v="0"/>
    <x v="8"/>
    <x v="8"/>
    <x v="130"/>
    <x v="115"/>
    <x v="115"/>
    <s v="REVENUS"/>
    <x v="6"/>
    <s v="4221.003"/>
    <s v="Intérêts compensat. / acomptes en faveur du fisc"/>
    <n v="0"/>
    <n v="0.15"/>
    <n v="4221"/>
  </r>
  <r>
    <x v="0"/>
    <x v="8"/>
    <x v="8"/>
    <x v="130"/>
    <x v="115"/>
    <x v="115"/>
    <s v="REVENUS"/>
    <x v="10"/>
    <s v="4041.002"/>
    <s v="Complément droit de mutation"/>
    <n v="0"/>
    <n v="1457.7"/>
    <n v="4041"/>
  </r>
  <r>
    <x v="0"/>
    <x v="8"/>
    <x v="8"/>
    <x v="130"/>
    <x v="115"/>
    <x v="115"/>
    <s v="REVENUS"/>
    <x v="6"/>
    <s v="4211.001"/>
    <s v="Intérêts de retard sur factures"/>
    <n v="0"/>
    <n v="0"/>
    <n v="4211"/>
  </r>
  <r>
    <x v="0"/>
    <x v="8"/>
    <x v="8"/>
    <x v="130"/>
    <x v="115"/>
    <x v="115"/>
    <s v="REVENUS"/>
    <x v="2"/>
    <s v="4001.005"/>
    <s v="Amende de soustract. Impôt"/>
    <n v="0"/>
    <n v="700"/>
    <n v="4001"/>
  </r>
  <r>
    <x v="0"/>
    <x v="7"/>
    <x v="6"/>
    <x v="131"/>
    <x v="116"/>
    <x v="116"/>
    <s v="CHARGES"/>
    <x v="1"/>
    <s v="3301.001"/>
    <s v="Défalcations, abandons de solde PP et IS"/>
    <n v="323866.61"/>
    <n v="0"/>
    <n v="3301"/>
  </r>
  <r>
    <x v="0"/>
    <x v="7"/>
    <x v="6"/>
    <x v="131"/>
    <x v="116"/>
    <x v="116"/>
    <s v="CHARGES"/>
    <x v="0"/>
    <s v="3212.002"/>
    <s v="Intérêts bonifiés/trop perçu acompte C/C"/>
    <n v="2015.82"/>
    <n v="0"/>
    <n v="3212"/>
  </r>
  <r>
    <x v="0"/>
    <x v="7"/>
    <x v="6"/>
    <x v="131"/>
    <x v="116"/>
    <x v="116"/>
    <s v="CHARGES"/>
    <x v="0"/>
    <s v="3212.004"/>
    <s v="Intérêts rémun./perçu trop tôt sur acomptes C/C"/>
    <n v="18290.439999999999"/>
    <n v="0"/>
    <n v="3212"/>
  </r>
  <r>
    <x v="0"/>
    <x v="7"/>
    <x v="6"/>
    <x v="131"/>
    <x v="116"/>
    <x v="116"/>
    <s v="CHARGES"/>
    <x v="0"/>
    <s v="3221.002"/>
    <s v="Intérêts compensatoires / créances en faveur ctb."/>
    <n v="-5882.54"/>
    <n v="0"/>
    <n v="3221"/>
  </r>
  <r>
    <x v="0"/>
    <x v="7"/>
    <x v="6"/>
    <x v="131"/>
    <x v="116"/>
    <x v="116"/>
    <s v="CHARGES"/>
    <x v="1"/>
    <s v="3301.001"/>
    <s v="Défalcations, abandons de solde PP et IS"/>
    <n v="16914.62"/>
    <n v="0"/>
    <n v="3301"/>
  </r>
  <r>
    <x v="0"/>
    <x v="7"/>
    <x v="6"/>
    <x v="131"/>
    <x v="116"/>
    <x v="116"/>
    <s v="CHARGES"/>
    <x v="0"/>
    <s v="3212.004"/>
    <s v="Intérêts rémun./perçu trop tôt sur acomptes C/C"/>
    <n v="297.29000000000002"/>
    <n v="0"/>
    <n v="3212"/>
  </r>
  <r>
    <x v="0"/>
    <x v="7"/>
    <x v="6"/>
    <x v="131"/>
    <x v="116"/>
    <x v="116"/>
    <s v="CHARGES"/>
    <x v="0"/>
    <s v="3221.002"/>
    <s v="Intérêts compensatoires / créances en faveur ctb."/>
    <n v="165.69"/>
    <n v="0"/>
    <n v="3221"/>
  </r>
  <r>
    <x v="0"/>
    <x v="7"/>
    <x v="6"/>
    <x v="131"/>
    <x v="116"/>
    <x v="116"/>
    <s v="CHARGES"/>
    <x v="0"/>
    <s v="3212.004"/>
    <s v="Intérêts rémun./perçu trop tôt sur acomptes C/C"/>
    <n v="89.49"/>
    <n v="0"/>
    <n v="3212"/>
  </r>
  <r>
    <x v="0"/>
    <x v="7"/>
    <x v="6"/>
    <x v="131"/>
    <x v="116"/>
    <x v="116"/>
    <s v="CHARGES"/>
    <x v="0"/>
    <s v="3221.002"/>
    <s v="Intérêts compensatoires / créances en faveur ctb."/>
    <n v="26.28"/>
    <n v="0"/>
    <n v="3221"/>
  </r>
  <r>
    <x v="0"/>
    <x v="7"/>
    <x v="6"/>
    <x v="131"/>
    <x v="116"/>
    <x v="116"/>
    <s v="CHARGES"/>
    <x v="0"/>
    <s v="3212.004"/>
    <s v="Intérêts rémun./perçu trop tôt sur acomptes C/C"/>
    <n v="57.68"/>
    <n v="0"/>
    <n v="3212"/>
  </r>
  <r>
    <x v="0"/>
    <x v="7"/>
    <x v="6"/>
    <x v="131"/>
    <x v="116"/>
    <x v="116"/>
    <s v="CHARGES"/>
    <x v="1"/>
    <s v="3301.001"/>
    <s v="Défalcations, abandons de solde PP et IS"/>
    <n v="1706.86"/>
    <n v="0"/>
    <n v="3301"/>
  </r>
  <r>
    <x v="0"/>
    <x v="7"/>
    <x v="6"/>
    <x v="131"/>
    <x v="116"/>
    <x v="116"/>
    <s v="CHARGES"/>
    <x v="0"/>
    <s v="3212.004"/>
    <s v="Intérêts rémun./perçu trop tôt sur acomptes C/C"/>
    <n v="-863.63"/>
    <n v="0"/>
    <n v="3212"/>
  </r>
  <r>
    <x v="0"/>
    <x v="7"/>
    <x v="6"/>
    <x v="131"/>
    <x v="116"/>
    <x v="116"/>
    <s v="CHARGES"/>
    <x v="1"/>
    <s v="3301.001"/>
    <s v="Défalcations, abandons de solde PP et IS"/>
    <n v="-512.79999999999995"/>
    <n v="0"/>
    <n v="3301"/>
  </r>
  <r>
    <x v="0"/>
    <x v="7"/>
    <x v="6"/>
    <x v="131"/>
    <x v="116"/>
    <x v="116"/>
    <s v="CHARGES"/>
    <x v="0"/>
    <s v="3212.004"/>
    <s v="Intérêts rémun./perçu trop tôt sur acomptes C/C"/>
    <n v="17.78"/>
    <n v="0"/>
    <n v="3212"/>
  </r>
  <r>
    <x v="0"/>
    <x v="7"/>
    <x v="6"/>
    <x v="131"/>
    <x v="116"/>
    <x v="116"/>
    <s v="CHARGES"/>
    <x v="0"/>
    <s v="3221.002"/>
    <s v="Intérêts compensatoires / créances en faveur ctb."/>
    <n v="1.93"/>
    <n v="0"/>
    <n v="3221"/>
  </r>
  <r>
    <x v="0"/>
    <x v="7"/>
    <x v="6"/>
    <x v="131"/>
    <x v="116"/>
    <x v="116"/>
    <s v="CHARGES"/>
    <x v="1"/>
    <s v="3301.001"/>
    <s v="Défalcations, abandons de solde PP et IS"/>
    <n v="46083.12"/>
    <n v="0"/>
    <n v="3301"/>
  </r>
  <r>
    <x v="0"/>
    <x v="7"/>
    <x v="6"/>
    <x v="131"/>
    <x v="116"/>
    <x v="116"/>
    <s v="CHARGES"/>
    <x v="0"/>
    <s v="3212.002"/>
    <s v="Intérêts bonifiés/trop perçu acompte C/C"/>
    <n v="-56.84"/>
    <n v="0"/>
    <n v="3212"/>
  </r>
  <r>
    <x v="0"/>
    <x v="7"/>
    <x v="6"/>
    <x v="131"/>
    <x v="116"/>
    <x v="116"/>
    <s v="CHARGES"/>
    <x v="0"/>
    <s v="3221.002"/>
    <s v="Intérêts compensatoires / créances en faveur ctb."/>
    <n v="15"/>
    <n v="0"/>
    <n v="3221"/>
  </r>
  <r>
    <x v="0"/>
    <x v="7"/>
    <x v="6"/>
    <x v="131"/>
    <x v="116"/>
    <x v="116"/>
    <s v="CHARGES"/>
    <x v="1"/>
    <s v="3301.003"/>
    <s v="Remises PP et IS"/>
    <n v="7286.86"/>
    <n v="0"/>
    <n v="3301"/>
  </r>
  <r>
    <x v="0"/>
    <x v="7"/>
    <x v="6"/>
    <x v="131"/>
    <x v="116"/>
    <x v="116"/>
    <s v="CHARGES"/>
    <x v="1"/>
    <s v="3301.001"/>
    <s v="Défalcations, abandons de solde PP et IS"/>
    <n v="4.62"/>
    <n v="0"/>
    <n v="3301"/>
  </r>
  <r>
    <x v="0"/>
    <x v="7"/>
    <x v="6"/>
    <x v="131"/>
    <x v="116"/>
    <x v="116"/>
    <s v="CHARGES"/>
    <x v="1"/>
    <s v="3301.001"/>
    <s v="Défalcations, abandons de solde PP et IS"/>
    <n v="14.3"/>
    <n v="0"/>
    <n v="3301"/>
  </r>
  <r>
    <x v="0"/>
    <x v="7"/>
    <x v="6"/>
    <x v="131"/>
    <x v="116"/>
    <x v="116"/>
    <s v="CHARGES"/>
    <x v="0"/>
    <s v="3212.002"/>
    <s v="Intérêts bonifiés/trop perçu acompte C/C"/>
    <n v="5.6"/>
    <n v="0"/>
    <n v="3212"/>
  </r>
  <r>
    <x v="0"/>
    <x v="7"/>
    <x v="6"/>
    <x v="131"/>
    <x v="116"/>
    <x v="116"/>
    <s v="CHARGES"/>
    <x v="0"/>
    <s v="3221.002"/>
    <s v="Intérêts compensatoires / créances en faveur ctb."/>
    <n v="23.65"/>
    <n v="0"/>
    <n v="3221"/>
  </r>
  <r>
    <x v="0"/>
    <x v="7"/>
    <x v="6"/>
    <x v="131"/>
    <x v="116"/>
    <x v="116"/>
    <s v="CHARGES"/>
    <x v="0"/>
    <s v="3221.002"/>
    <s v="Intérêts compensatoires / créances en faveur ctb."/>
    <n v="11.73"/>
    <n v="0"/>
    <n v="3221"/>
  </r>
  <r>
    <x v="0"/>
    <x v="7"/>
    <x v="6"/>
    <x v="131"/>
    <x v="116"/>
    <x v="116"/>
    <s v="CHARGES"/>
    <x v="0"/>
    <s v="3212.004"/>
    <s v="Intérêts rémun./perçu trop tôt sur acomptes C/C"/>
    <n v="44.05"/>
    <n v="0"/>
    <n v="3212"/>
  </r>
  <r>
    <x v="0"/>
    <x v="7"/>
    <x v="6"/>
    <x v="131"/>
    <x v="116"/>
    <x v="116"/>
    <s v="CHARGES"/>
    <x v="1"/>
    <s v="3301.001"/>
    <s v="Défalcations, abandons de solde PP et IS"/>
    <n v="9.7100000000000009"/>
    <n v="0"/>
    <n v="3301"/>
  </r>
  <r>
    <x v="0"/>
    <x v="7"/>
    <x v="6"/>
    <x v="131"/>
    <x v="116"/>
    <x v="116"/>
    <s v="CHARGES"/>
    <x v="0"/>
    <s v="3212.002"/>
    <s v="Intérêts bonifiés/trop perçu acompte C/C"/>
    <n v="4.01"/>
    <n v="0"/>
    <n v="3212"/>
  </r>
  <r>
    <x v="0"/>
    <x v="7"/>
    <x v="6"/>
    <x v="131"/>
    <x v="116"/>
    <x v="116"/>
    <s v="CHARGES"/>
    <x v="0"/>
    <s v="3212.004"/>
    <s v="Intérêts rémun./perçu trop tôt sur acomptes C/C"/>
    <n v="7.0000000000000007E-2"/>
    <n v="0"/>
    <n v="3212"/>
  </r>
  <r>
    <x v="0"/>
    <x v="7"/>
    <x v="6"/>
    <x v="131"/>
    <x v="116"/>
    <x v="116"/>
    <s v="CHARGES"/>
    <x v="0"/>
    <s v="3221.002"/>
    <s v="Intérêts compensatoires / créances en faveur ctb."/>
    <n v="0.01"/>
    <n v="0"/>
    <n v="3221"/>
  </r>
  <r>
    <x v="0"/>
    <x v="7"/>
    <x v="6"/>
    <x v="131"/>
    <x v="116"/>
    <x v="116"/>
    <s v="CHARGES"/>
    <x v="0"/>
    <s v="3212.004"/>
    <s v="Intérêts rémun./perçu trop tôt sur acomptes C/C"/>
    <n v="0.45"/>
    <n v="0"/>
    <n v="3212"/>
  </r>
  <r>
    <x v="0"/>
    <x v="7"/>
    <x v="6"/>
    <x v="131"/>
    <x v="116"/>
    <x v="116"/>
    <s v="CHARGES"/>
    <x v="1"/>
    <s v="3301.001"/>
    <s v="Défalcations, abandons de solde PP et IS"/>
    <n v="0.22"/>
    <n v="0"/>
    <n v="3301"/>
  </r>
  <r>
    <x v="0"/>
    <x v="7"/>
    <x v="6"/>
    <x v="131"/>
    <x v="116"/>
    <x v="116"/>
    <s v="CHARGES"/>
    <x v="0"/>
    <s v="3221.002"/>
    <s v="Intérêts compensatoires / créances en faveur ctb."/>
    <n v="0.09"/>
    <n v="0"/>
    <n v="3221"/>
  </r>
  <r>
    <x v="0"/>
    <x v="7"/>
    <x v="6"/>
    <x v="131"/>
    <x v="116"/>
    <x v="116"/>
    <s v="CHARGES"/>
    <x v="1"/>
    <s v="3301.001"/>
    <s v="Défalcations, abandons de solde PP et IS"/>
    <n v="0.04"/>
    <n v="0"/>
    <n v="3301"/>
  </r>
  <r>
    <x v="0"/>
    <x v="7"/>
    <x v="6"/>
    <x v="131"/>
    <x v="116"/>
    <x v="116"/>
    <s v="CHARGES"/>
    <x v="1"/>
    <s v="3301.001"/>
    <s v="Défalcations, abandons de solde PP et IS"/>
    <n v="0.26"/>
    <n v="0"/>
    <n v="3301"/>
  </r>
  <r>
    <x v="0"/>
    <x v="7"/>
    <x v="6"/>
    <x v="131"/>
    <x v="116"/>
    <x v="116"/>
    <s v="CHARGES"/>
    <x v="0"/>
    <s v="3212.002"/>
    <s v="Intérêts bonifiés/trop perçu acompte C/C"/>
    <n v="0.26"/>
    <n v="0"/>
    <n v="3212"/>
  </r>
  <r>
    <x v="0"/>
    <x v="7"/>
    <x v="6"/>
    <x v="131"/>
    <x v="116"/>
    <x v="116"/>
    <s v="REVENUS"/>
    <x v="2"/>
    <s v="4001.003"/>
    <s v="Impôt s/prest. cap. PP"/>
    <n v="0"/>
    <n v="1151926.95"/>
    <n v="4001"/>
  </r>
  <r>
    <x v="0"/>
    <x v="7"/>
    <x v="6"/>
    <x v="131"/>
    <x v="116"/>
    <x v="116"/>
    <s v="REVENUS"/>
    <x v="2"/>
    <s v="4001.007"/>
    <s v="Acompte impôt sur revenu"/>
    <n v="0"/>
    <n v="-10260256.439999999"/>
    <n v="4001"/>
  </r>
  <r>
    <x v="0"/>
    <x v="7"/>
    <x v="6"/>
    <x v="131"/>
    <x v="116"/>
    <x v="116"/>
    <s v="REVENUS"/>
    <x v="3"/>
    <s v="4002.007"/>
    <s v="Acompte impôt sur fortune"/>
    <n v="0"/>
    <n v="-2469166.6800000002"/>
    <n v="4002"/>
  </r>
  <r>
    <x v="0"/>
    <x v="7"/>
    <x v="6"/>
    <x v="131"/>
    <x v="116"/>
    <x v="116"/>
    <s v="REVENUS"/>
    <x v="6"/>
    <s v="4211.001"/>
    <s v="Intérêts de retard sur factures"/>
    <n v="0"/>
    <n v="594577.57999999996"/>
    <n v="4211"/>
  </r>
  <r>
    <x v="0"/>
    <x v="7"/>
    <x v="6"/>
    <x v="131"/>
    <x v="116"/>
    <x v="116"/>
    <s v="REVENUS"/>
    <x v="6"/>
    <s v="4221.002"/>
    <s v="Intérêts compensat. sur impôts distincts"/>
    <n v="0"/>
    <n v="7429.49"/>
    <n v="4221"/>
  </r>
  <r>
    <x v="0"/>
    <x v="7"/>
    <x v="6"/>
    <x v="131"/>
    <x v="116"/>
    <x v="116"/>
    <s v="REVENUS"/>
    <x v="2"/>
    <s v="4001.001"/>
    <s v="Impôt revenu"/>
    <n v="0"/>
    <n v="87374.1"/>
    <n v="4001"/>
  </r>
  <r>
    <x v="0"/>
    <x v="7"/>
    <x v="6"/>
    <x v="131"/>
    <x v="116"/>
    <x v="116"/>
    <s v="REVENUS"/>
    <x v="6"/>
    <s v="4211.002"/>
    <s v="Intérêts de retard sur acomptes"/>
    <n v="0"/>
    <n v="348.55"/>
    <n v="4211"/>
  </r>
  <r>
    <x v="0"/>
    <x v="7"/>
    <x v="6"/>
    <x v="131"/>
    <x v="116"/>
    <x v="116"/>
    <s v="REVENUS"/>
    <x v="6"/>
    <s v="4221.003"/>
    <s v="Intérêts compensat. / acomptes en faveur du fisc"/>
    <n v="0"/>
    <n v="11.2"/>
    <n v="4221"/>
  </r>
  <r>
    <x v="0"/>
    <x v="7"/>
    <x v="6"/>
    <x v="131"/>
    <x v="116"/>
    <x v="116"/>
    <s v="REVENUS"/>
    <x v="2"/>
    <s v="4001.001"/>
    <s v="Impôt revenu"/>
    <n v="0"/>
    <n v="54293450.450000003"/>
    <n v="4001"/>
  </r>
  <r>
    <x v="0"/>
    <x v="7"/>
    <x v="6"/>
    <x v="131"/>
    <x v="116"/>
    <x v="116"/>
    <s v="REVENUS"/>
    <x v="2"/>
    <s v="4001.002"/>
    <s v="Impôt complément s/revenu PP"/>
    <n v="0"/>
    <n v="14230017.199999999"/>
    <n v="4001"/>
  </r>
  <r>
    <x v="0"/>
    <x v="7"/>
    <x v="6"/>
    <x v="131"/>
    <x v="116"/>
    <x v="116"/>
    <s v="REVENUS"/>
    <x v="3"/>
    <s v="4002.001"/>
    <s v="Impôt ordinaire s/fortune PP"/>
    <n v="0"/>
    <n v="14253452.5"/>
    <n v="4002"/>
  </r>
  <r>
    <x v="0"/>
    <x v="7"/>
    <x v="6"/>
    <x v="131"/>
    <x v="116"/>
    <x v="116"/>
    <s v="REVENUS"/>
    <x v="3"/>
    <s v="4002.002"/>
    <s v="Impôt complémentaire s/fortune PP"/>
    <n v="0"/>
    <n v="6376370.4500000002"/>
    <n v="4002"/>
  </r>
  <r>
    <x v="0"/>
    <x v="7"/>
    <x v="6"/>
    <x v="131"/>
    <x v="116"/>
    <x v="116"/>
    <s v="REVENUS"/>
    <x v="12"/>
    <s v="4004.007"/>
    <s v="Acompte spécial étrangers"/>
    <n v="0"/>
    <n v="129212.28"/>
    <n v="4004"/>
  </r>
  <r>
    <x v="0"/>
    <x v="7"/>
    <x v="6"/>
    <x v="131"/>
    <x v="116"/>
    <x v="116"/>
    <s v="REVENUS"/>
    <x v="5"/>
    <s v="4061.000"/>
    <s v="Impôt sur les chiens"/>
    <n v="0"/>
    <n v="61950"/>
    <n v="4061"/>
  </r>
  <r>
    <x v="0"/>
    <x v="7"/>
    <x v="6"/>
    <x v="131"/>
    <x v="116"/>
    <x v="116"/>
    <s v="REVENUS"/>
    <x v="6"/>
    <s v="4211.002"/>
    <s v="Intérêts de retard sur acomptes"/>
    <n v="0"/>
    <n v="343311.26"/>
    <n v="4211"/>
  </r>
  <r>
    <x v="0"/>
    <x v="7"/>
    <x v="6"/>
    <x v="131"/>
    <x v="116"/>
    <x v="116"/>
    <s v="REVENUS"/>
    <x v="6"/>
    <s v="4221.003"/>
    <s v="Intérêts compensat. / acomptes en faveur du fisc"/>
    <n v="0"/>
    <n v="28437.95"/>
    <n v="4221"/>
  </r>
  <r>
    <x v="0"/>
    <x v="7"/>
    <x v="6"/>
    <x v="131"/>
    <x v="116"/>
    <x v="116"/>
    <s v="REVENUS"/>
    <x v="2"/>
    <s v="4001.003"/>
    <s v="Impôt s/prest. cap. PP"/>
    <n v="0"/>
    <n v="-53377.65"/>
    <n v="4001"/>
  </r>
  <r>
    <x v="0"/>
    <x v="7"/>
    <x v="6"/>
    <x v="131"/>
    <x v="116"/>
    <x v="116"/>
    <s v="REVENUS"/>
    <x v="2"/>
    <s v="4001.001"/>
    <s v="Impôt revenu"/>
    <n v="0"/>
    <n v="596868.05000000005"/>
    <n v="4001"/>
  </r>
  <r>
    <x v="0"/>
    <x v="7"/>
    <x v="6"/>
    <x v="131"/>
    <x v="116"/>
    <x v="116"/>
    <s v="REVENUS"/>
    <x v="2"/>
    <s v="4001.007"/>
    <s v="Acompte impôt sur revenu"/>
    <n v="0"/>
    <n v="-99020.98"/>
    <n v="4001"/>
  </r>
  <r>
    <x v="0"/>
    <x v="7"/>
    <x v="6"/>
    <x v="131"/>
    <x v="116"/>
    <x v="116"/>
    <s v="REVENUS"/>
    <x v="3"/>
    <s v="4002.007"/>
    <s v="Acompte impôt sur fortune"/>
    <n v="0"/>
    <n v="35082.03"/>
    <n v="4002"/>
  </r>
  <r>
    <x v="0"/>
    <x v="7"/>
    <x v="6"/>
    <x v="131"/>
    <x v="116"/>
    <x v="116"/>
    <s v="REVENUS"/>
    <x v="6"/>
    <s v="4211.002"/>
    <s v="Intérêts de retard sur acomptes"/>
    <n v="0"/>
    <n v="6646.86"/>
    <n v="4211"/>
  </r>
  <r>
    <x v="0"/>
    <x v="7"/>
    <x v="6"/>
    <x v="131"/>
    <x v="116"/>
    <x v="116"/>
    <s v="REVENUS"/>
    <x v="6"/>
    <s v="4221.003"/>
    <s v="Intérêts compensat. / acomptes en faveur du fisc"/>
    <n v="0"/>
    <n v="146.4"/>
    <n v="4221"/>
  </r>
  <r>
    <x v="0"/>
    <x v="7"/>
    <x v="6"/>
    <x v="131"/>
    <x v="116"/>
    <x v="116"/>
    <s v="REVENUS"/>
    <x v="7"/>
    <s v="4184.000"/>
    <s v="Frais de poursuite"/>
    <n v="0"/>
    <n v="24714.86"/>
    <n v="4184"/>
  </r>
  <r>
    <x v="0"/>
    <x v="7"/>
    <x v="6"/>
    <x v="131"/>
    <x v="116"/>
    <x v="116"/>
    <s v="REVENUS"/>
    <x v="2"/>
    <s v="4001.001"/>
    <s v="Impôt revenu"/>
    <n v="0"/>
    <n v="-3948481.4"/>
    <n v="4001"/>
  </r>
  <r>
    <x v="0"/>
    <x v="7"/>
    <x v="6"/>
    <x v="131"/>
    <x v="116"/>
    <x v="116"/>
    <s v="REVENUS"/>
    <x v="3"/>
    <s v="4002.001"/>
    <s v="Impôt ordinaire s/fortune PP"/>
    <n v="0"/>
    <n v="-1885211.5"/>
    <n v="4002"/>
  </r>
  <r>
    <x v="0"/>
    <x v="7"/>
    <x v="6"/>
    <x v="131"/>
    <x v="116"/>
    <x v="116"/>
    <s v="REVENUS"/>
    <x v="2"/>
    <s v="4001.001"/>
    <s v="Impôt revenu"/>
    <n v="0"/>
    <n v="203496.9"/>
    <n v="4001"/>
  </r>
  <r>
    <x v="0"/>
    <x v="7"/>
    <x v="6"/>
    <x v="131"/>
    <x v="116"/>
    <x v="116"/>
    <s v="REVENUS"/>
    <x v="2"/>
    <s v="4001.002"/>
    <s v="Impôt complément s/revenu PP"/>
    <n v="0"/>
    <n v="87987"/>
    <n v="4001"/>
  </r>
  <r>
    <x v="0"/>
    <x v="7"/>
    <x v="6"/>
    <x v="131"/>
    <x v="116"/>
    <x v="116"/>
    <s v="REVENUS"/>
    <x v="3"/>
    <s v="4002.001"/>
    <s v="Impôt ordinaire s/fortune PP"/>
    <n v="0"/>
    <n v="74784.899999999994"/>
    <n v="4002"/>
  </r>
  <r>
    <x v="0"/>
    <x v="7"/>
    <x v="6"/>
    <x v="131"/>
    <x v="116"/>
    <x v="116"/>
    <s v="REVENUS"/>
    <x v="3"/>
    <s v="4002.002"/>
    <s v="Impôt complémentaire s/fortune PP"/>
    <n v="0"/>
    <n v="43207.3"/>
    <n v="4002"/>
  </r>
  <r>
    <x v="0"/>
    <x v="7"/>
    <x v="6"/>
    <x v="131"/>
    <x v="116"/>
    <x v="116"/>
    <s v="REVENUS"/>
    <x v="6"/>
    <s v="4211.001"/>
    <s v="Intérêts de retard sur factures"/>
    <n v="0"/>
    <n v="774.6"/>
    <n v="4211"/>
  </r>
  <r>
    <x v="0"/>
    <x v="7"/>
    <x v="6"/>
    <x v="131"/>
    <x v="116"/>
    <x v="116"/>
    <s v="REVENUS"/>
    <x v="6"/>
    <s v="4221.003"/>
    <s v="Intérêts compensat. / acomptes en faveur du fisc"/>
    <n v="0"/>
    <n v="-23.13"/>
    <n v="4221"/>
  </r>
  <r>
    <x v="0"/>
    <x v="7"/>
    <x v="6"/>
    <x v="131"/>
    <x v="116"/>
    <x v="116"/>
    <s v="REVENUS"/>
    <x v="3"/>
    <s v="4002.001"/>
    <s v="Impôt ordinaire s/fortune PP"/>
    <n v="0"/>
    <n v="188826.8"/>
    <n v="4002"/>
  </r>
  <r>
    <x v="0"/>
    <x v="7"/>
    <x v="6"/>
    <x v="131"/>
    <x v="116"/>
    <x v="116"/>
    <s v="REVENUS"/>
    <x v="7"/>
    <s v="4184.000"/>
    <s v="Frais de poursuite"/>
    <n v="0"/>
    <n v="1919.57"/>
    <n v="4184"/>
  </r>
  <r>
    <x v="0"/>
    <x v="7"/>
    <x v="6"/>
    <x v="131"/>
    <x v="116"/>
    <x v="116"/>
    <s v="REVENUS"/>
    <x v="2"/>
    <s v="4001.007"/>
    <s v="Acompte impôt sur revenu"/>
    <n v="0"/>
    <n v="-89880.91"/>
    <n v="4001"/>
  </r>
  <r>
    <x v="0"/>
    <x v="7"/>
    <x v="6"/>
    <x v="131"/>
    <x v="116"/>
    <x v="116"/>
    <s v="REVENUS"/>
    <x v="3"/>
    <s v="4002.007"/>
    <s v="Acompte impôt sur fortune"/>
    <n v="0"/>
    <n v="-25629.02"/>
    <n v="4002"/>
  </r>
  <r>
    <x v="0"/>
    <x v="7"/>
    <x v="6"/>
    <x v="131"/>
    <x v="116"/>
    <x v="116"/>
    <s v="REVENUS"/>
    <x v="2"/>
    <s v="4001.007"/>
    <s v="Acompte impôt sur revenu"/>
    <n v="0"/>
    <n v="168605.98"/>
    <n v="4001"/>
  </r>
  <r>
    <x v="0"/>
    <x v="7"/>
    <x v="6"/>
    <x v="131"/>
    <x v="116"/>
    <x v="116"/>
    <s v="REVENUS"/>
    <x v="3"/>
    <s v="4002.007"/>
    <s v="Acompte impôt sur fortune"/>
    <n v="0"/>
    <n v="49929.24"/>
    <n v="4002"/>
  </r>
  <r>
    <x v="0"/>
    <x v="7"/>
    <x v="6"/>
    <x v="131"/>
    <x v="116"/>
    <x v="116"/>
    <s v="REVENUS"/>
    <x v="2"/>
    <s v="4001.007"/>
    <s v="Acompte impôt sur revenu"/>
    <n v="0"/>
    <n v="-22236.36"/>
    <n v="4001"/>
  </r>
  <r>
    <x v="0"/>
    <x v="7"/>
    <x v="6"/>
    <x v="131"/>
    <x v="116"/>
    <x v="116"/>
    <s v="REVENUS"/>
    <x v="3"/>
    <s v="4002.007"/>
    <s v="Acompte impôt sur fortune"/>
    <n v="0"/>
    <n v="-6477.84"/>
    <n v="4002"/>
  </r>
  <r>
    <x v="0"/>
    <x v="7"/>
    <x v="6"/>
    <x v="131"/>
    <x v="116"/>
    <x v="116"/>
    <s v="REVENUS"/>
    <x v="2"/>
    <s v="4001.001"/>
    <s v="Impôt revenu"/>
    <n v="0"/>
    <n v="124119.1"/>
    <n v="4001"/>
  </r>
  <r>
    <x v="0"/>
    <x v="7"/>
    <x v="6"/>
    <x v="131"/>
    <x v="116"/>
    <x v="116"/>
    <s v="REVENUS"/>
    <x v="2"/>
    <s v="4001.007"/>
    <s v="Acompte impôt sur revenu"/>
    <n v="0"/>
    <n v="-15030.51"/>
    <n v="4001"/>
  </r>
  <r>
    <x v="0"/>
    <x v="7"/>
    <x v="6"/>
    <x v="131"/>
    <x v="116"/>
    <x v="116"/>
    <s v="REVENUS"/>
    <x v="3"/>
    <s v="4002.001"/>
    <s v="Impôt ordinaire s/fortune PP"/>
    <n v="0"/>
    <n v="45090.6"/>
    <n v="4002"/>
  </r>
  <r>
    <x v="0"/>
    <x v="7"/>
    <x v="6"/>
    <x v="131"/>
    <x v="116"/>
    <x v="116"/>
    <s v="REVENUS"/>
    <x v="6"/>
    <s v="4221.003"/>
    <s v="Intérêts compensat. / acomptes en faveur du fisc"/>
    <n v="0"/>
    <n v="24.38"/>
    <n v="4221"/>
  </r>
  <r>
    <x v="0"/>
    <x v="7"/>
    <x v="6"/>
    <x v="131"/>
    <x v="116"/>
    <x v="116"/>
    <s v="REVENUS"/>
    <x v="2"/>
    <s v="4001.007"/>
    <s v="Acompte impôt sur revenu"/>
    <n v="0"/>
    <n v="6477.05"/>
    <n v="4001"/>
  </r>
  <r>
    <x v="0"/>
    <x v="7"/>
    <x v="6"/>
    <x v="131"/>
    <x v="116"/>
    <x v="116"/>
    <s v="REVENUS"/>
    <x v="3"/>
    <s v="4002.007"/>
    <s v="Acompte impôt sur fortune"/>
    <n v="0"/>
    <n v="-6292.97"/>
    <n v="4002"/>
  </r>
  <r>
    <x v="0"/>
    <x v="7"/>
    <x v="6"/>
    <x v="131"/>
    <x v="116"/>
    <x v="116"/>
    <s v="REVENUS"/>
    <x v="9"/>
    <s v="4031.001"/>
    <s v="Impôt sur les gains immobiliers"/>
    <n v="0"/>
    <n v="2842866.3"/>
    <n v="4031"/>
  </r>
  <r>
    <x v="0"/>
    <x v="7"/>
    <x v="6"/>
    <x v="131"/>
    <x v="116"/>
    <x v="116"/>
    <s v="REVENUS"/>
    <x v="6"/>
    <s v="4211.001"/>
    <s v="Intérêts de retard sur factures"/>
    <n v="0"/>
    <n v="-3265.3"/>
    <n v="4211"/>
  </r>
  <r>
    <x v="0"/>
    <x v="7"/>
    <x v="6"/>
    <x v="131"/>
    <x v="116"/>
    <x v="116"/>
    <s v="REVENUS"/>
    <x v="6"/>
    <s v="4211.002"/>
    <s v="Intérêts de retard sur acomptes"/>
    <n v="0"/>
    <n v="-25374.73"/>
    <n v="4211"/>
  </r>
  <r>
    <x v="0"/>
    <x v="7"/>
    <x v="6"/>
    <x v="131"/>
    <x v="116"/>
    <x v="116"/>
    <s v="REVENUS"/>
    <x v="6"/>
    <s v="4221.003"/>
    <s v="Intérêts compensat. / acomptes en faveur du fisc"/>
    <n v="0"/>
    <n v="-3185.63"/>
    <n v="4221"/>
  </r>
  <r>
    <x v="0"/>
    <x v="7"/>
    <x v="6"/>
    <x v="131"/>
    <x v="116"/>
    <x v="116"/>
    <s v="REVENUS"/>
    <x v="3"/>
    <s v="4002.001"/>
    <s v="Impôt ordinaire s/fortune PP"/>
    <n v="0"/>
    <n v="14201.15"/>
    <n v="4002"/>
  </r>
  <r>
    <x v="0"/>
    <x v="7"/>
    <x v="6"/>
    <x v="131"/>
    <x v="116"/>
    <x v="116"/>
    <s v="REVENUS"/>
    <x v="6"/>
    <s v="4211.002"/>
    <s v="Intérêts de retard sur acomptes"/>
    <n v="0"/>
    <n v="1996.09"/>
    <n v="4211"/>
  </r>
  <r>
    <x v="0"/>
    <x v="7"/>
    <x v="6"/>
    <x v="131"/>
    <x v="116"/>
    <x v="116"/>
    <s v="REVENUS"/>
    <x v="2"/>
    <s v="4001.002"/>
    <s v="Impôt complément s/revenu PP"/>
    <n v="0"/>
    <n v="100958.15"/>
    <n v="4001"/>
  </r>
  <r>
    <x v="0"/>
    <x v="7"/>
    <x v="6"/>
    <x v="131"/>
    <x v="116"/>
    <x v="116"/>
    <s v="REVENUS"/>
    <x v="8"/>
    <s v="4091.001"/>
    <s v="Impôt récupéré après défalcations"/>
    <n v="0"/>
    <n v="27369.56"/>
    <n v="4091"/>
  </r>
  <r>
    <x v="0"/>
    <x v="7"/>
    <x v="6"/>
    <x v="131"/>
    <x v="116"/>
    <x v="116"/>
    <s v="REVENUS"/>
    <x v="3"/>
    <s v="4002.002"/>
    <s v="Impôt complémentaire s/fortune PP"/>
    <n v="0"/>
    <n v="48913"/>
    <n v="4002"/>
  </r>
  <r>
    <x v="0"/>
    <x v="7"/>
    <x v="6"/>
    <x v="131"/>
    <x v="116"/>
    <x v="116"/>
    <s v="REVENUS"/>
    <x v="6"/>
    <s v="4211.001"/>
    <s v="Intérêts de retard sur factures"/>
    <n v="0"/>
    <n v="2810.14"/>
    <n v="4211"/>
  </r>
  <r>
    <x v="0"/>
    <x v="7"/>
    <x v="6"/>
    <x v="131"/>
    <x v="116"/>
    <x v="116"/>
    <s v="REVENUS"/>
    <x v="8"/>
    <s v="4091.001"/>
    <s v="Impôt récupéré après défalcations"/>
    <n v="0"/>
    <n v="6637.52"/>
    <n v="4091"/>
  </r>
  <r>
    <x v="0"/>
    <x v="7"/>
    <x v="6"/>
    <x v="131"/>
    <x v="116"/>
    <x v="116"/>
    <s v="REVENUS"/>
    <x v="8"/>
    <s v="4091.001"/>
    <s v="Impôt récupéré après défalcations"/>
    <n v="0"/>
    <n v="87147.05"/>
    <n v="4091"/>
  </r>
  <r>
    <x v="0"/>
    <x v="7"/>
    <x v="6"/>
    <x v="131"/>
    <x v="116"/>
    <x v="116"/>
    <s v="REVENUS"/>
    <x v="12"/>
    <s v="4004.000"/>
    <s v="Impôt spécial étrangers"/>
    <n v="0"/>
    <n v="2771134.75"/>
    <n v="4004"/>
  </r>
  <r>
    <x v="0"/>
    <x v="7"/>
    <x v="6"/>
    <x v="131"/>
    <x v="116"/>
    <x v="116"/>
    <s v="REVENUS"/>
    <x v="2"/>
    <s v="4001.002"/>
    <s v="Impôt complément s/revenu PP"/>
    <n v="0"/>
    <n v="-271843.3"/>
    <n v="4001"/>
  </r>
  <r>
    <x v="0"/>
    <x v="7"/>
    <x v="6"/>
    <x v="131"/>
    <x v="116"/>
    <x v="116"/>
    <s v="REVENUS"/>
    <x v="10"/>
    <s v="4041.001"/>
    <s v="Droits de mutation"/>
    <n v="0"/>
    <n v="2634338.4"/>
    <n v="4041"/>
  </r>
  <r>
    <x v="0"/>
    <x v="7"/>
    <x v="6"/>
    <x v="131"/>
    <x v="116"/>
    <x v="116"/>
    <s v="REVENUS"/>
    <x v="4"/>
    <s v="4051.001"/>
    <s v="Impôt sur les successions"/>
    <n v="0"/>
    <n v="1301014.3999999999"/>
    <n v="4051"/>
  </r>
  <r>
    <x v="0"/>
    <x v="7"/>
    <x v="6"/>
    <x v="131"/>
    <x v="116"/>
    <x v="116"/>
    <s v="REVENUS"/>
    <x v="7"/>
    <s v="4184.000"/>
    <s v="Frais de poursuite"/>
    <n v="0"/>
    <n v="128.66999999999999"/>
    <n v="4184"/>
  </r>
  <r>
    <x v="0"/>
    <x v="7"/>
    <x v="6"/>
    <x v="131"/>
    <x v="116"/>
    <x v="116"/>
    <s v="REVENUS"/>
    <x v="4"/>
    <s v="4051.002"/>
    <s v="Impôt sur les donations"/>
    <n v="0"/>
    <n v="461831.6"/>
    <n v="4051"/>
  </r>
  <r>
    <x v="0"/>
    <x v="7"/>
    <x v="6"/>
    <x v="131"/>
    <x v="116"/>
    <x v="116"/>
    <s v="REVENUS"/>
    <x v="2"/>
    <s v="4001.001"/>
    <s v="Impôt revenu"/>
    <n v="0"/>
    <n v="22107.15"/>
    <n v="4001"/>
  </r>
  <r>
    <x v="0"/>
    <x v="7"/>
    <x v="6"/>
    <x v="131"/>
    <x v="116"/>
    <x v="116"/>
    <s v="REVENUS"/>
    <x v="2"/>
    <s v="4001.007"/>
    <s v="Acompte impôt sur revenu"/>
    <n v="0"/>
    <n v="3711.29"/>
    <n v="4001"/>
  </r>
  <r>
    <x v="0"/>
    <x v="7"/>
    <x v="6"/>
    <x v="131"/>
    <x v="116"/>
    <x v="116"/>
    <s v="REVENUS"/>
    <x v="6"/>
    <s v="4211.002"/>
    <s v="Intérêts de retard sur acomptes"/>
    <n v="0"/>
    <n v="136.78"/>
    <n v="4211"/>
  </r>
  <r>
    <x v="0"/>
    <x v="7"/>
    <x v="6"/>
    <x v="131"/>
    <x v="116"/>
    <x v="116"/>
    <s v="REVENUS"/>
    <x v="6"/>
    <s v="4221.003"/>
    <s v="Intérêts compensat. / acomptes en faveur du fisc"/>
    <n v="0"/>
    <n v="-36.76"/>
    <n v="4221"/>
  </r>
  <r>
    <x v="0"/>
    <x v="7"/>
    <x v="6"/>
    <x v="131"/>
    <x v="116"/>
    <x v="116"/>
    <s v="REVENUS"/>
    <x v="3"/>
    <s v="4002.007"/>
    <s v="Acompte impôt sur fortune"/>
    <n v="0"/>
    <n v="2562.33"/>
    <n v="4002"/>
  </r>
  <r>
    <x v="0"/>
    <x v="7"/>
    <x v="6"/>
    <x v="131"/>
    <x v="116"/>
    <x v="116"/>
    <s v="REVENUS"/>
    <x v="7"/>
    <s v="4184.000"/>
    <s v="Frais de poursuite"/>
    <n v="0"/>
    <n v="13.55"/>
    <n v="4184"/>
  </r>
  <r>
    <x v="0"/>
    <x v="7"/>
    <x v="6"/>
    <x v="131"/>
    <x v="116"/>
    <x v="116"/>
    <s v="REVENUS"/>
    <x v="3"/>
    <s v="4002.007"/>
    <s v="Acompte impôt sur fortune"/>
    <n v="0"/>
    <n v="-14706.35"/>
    <n v="4002"/>
  </r>
  <r>
    <x v="0"/>
    <x v="7"/>
    <x v="6"/>
    <x v="131"/>
    <x v="116"/>
    <x v="116"/>
    <s v="REVENUS"/>
    <x v="6"/>
    <s v="4211.002"/>
    <s v="Intérêts de retard sur acomptes"/>
    <n v="0"/>
    <n v="408.84"/>
    <n v="4211"/>
  </r>
  <r>
    <x v="0"/>
    <x v="7"/>
    <x v="6"/>
    <x v="131"/>
    <x v="116"/>
    <x v="116"/>
    <s v="REVENUS"/>
    <x v="3"/>
    <s v="4002.002"/>
    <s v="Impôt complémentaire s/fortune PP"/>
    <n v="0"/>
    <n v="-39366"/>
    <n v="4002"/>
  </r>
  <r>
    <x v="0"/>
    <x v="7"/>
    <x v="6"/>
    <x v="131"/>
    <x v="116"/>
    <x v="116"/>
    <s v="REVENUS"/>
    <x v="12"/>
    <s v="4004.007"/>
    <s v="Acompte spécial étrangers"/>
    <n v="0"/>
    <n v="2687.4"/>
    <n v="4004"/>
  </r>
  <r>
    <x v="0"/>
    <x v="7"/>
    <x v="6"/>
    <x v="131"/>
    <x v="116"/>
    <x v="116"/>
    <s v="REVENUS"/>
    <x v="3"/>
    <s v="4002.001"/>
    <s v="Impôt ordinaire s/fortune PP"/>
    <n v="0"/>
    <n v="19953.849999999999"/>
    <n v="4002"/>
  </r>
  <r>
    <x v="0"/>
    <x v="7"/>
    <x v="6"/>
    <x v="131"/>
    <x v="116"/>
    <x v="116"/>
    <s v="REVENUS"/>
    <x v="6"/>
    <s v="4211.001"/>
    <s v="Intérêts de retard sur factures"/>
    <n v="0"/>
    <n v="3.92"/>
    <n v="4211"/>
  </r>
  <r>
    <x v="0"/>
    <x v="7"/>
    <x v="6"/>
    <x v="131"/>
    <x v="116"/>
    <x v="116"/>
    <s v="REVENUS"/>
    <x v="10"/>
    <s v="4041.002"/>
    <s v="Complément droit de mutation"/>
    <n v="0"/>
    <n v="2750"/>
    <n v="4041"/>
  </r>
  <r>
    <x v="0"/>
    <x v="7"/>
    <x v="6"/>
    <x v="131"/>
    <x v="116"/>
    <x v="116"/>
    <s v="REVENUS"/>
    <x v="9"/>
    <s v="4031.002"/>
    <s v="Complément impôt sur les gains immobiliers"/>
    <n v="0"/>
    <n v="314136.3"/>
    <n v="4031"/>
  </r>
  <r>
    <x v="0"/>
    <x v="7"/>
    <x v="6"/>
    <x v="131"/>
    <x v="116"/>
    <x v="116"/>
    <s v="REVENUS"/>
    <x v="2"/>
    <s v="4001.005"/>
    <s v="Amende de soustract. Impôt"/>
    <n v="0"/>
    <n v="9330"/>
    <n v="4001"/>
  </r>
  <r>
    <x v="0"/>
    <x v="7"/>
    <x v="6"/>
    <x v="131"/>
    <x v="116"/>
    <x v="116"/>
    <s v="REVENUS"/>
    <x v="2"/>
    <s v="4001.007"/>
    <s v="Acompte impôt sur revenu"/>
    <n v="0"/>
    <n v="-72268.27"/>
    <n v="4001"/>
  </r>
  <r>
    <x v="0"/>
    <x v="7"/>
    <x v="6"/>
    <x v="131"/>
    <x v="116"/>
    <x v="116"/>
    <s v="REVENUS"/>
    <x v="3"/>
    <s v="4002.007"/>
    <s v="Acompte impôt sur fortune"/>
    <n v="0"/>
    <n v="-20243.240000000002"/>
    <n v="4002"/>
  </r>
  <r>
    <x v="0"/>
    <x v="7"/>
    <x v="6"/>
    <x v="131"/>
    <x v="116"/>
    <x v="116"/>
    <s v="REVENUS"/>
    <x v="2"/>
    <s v="4001.007"/>
    <s v="Acompte impôt sur revenu"/>
    <n v="0"/>
    <n v="-633.75"/>
    <n v="4001"/>
  </r>
  <r>
    <x v="0"/>
    <x v="7"/>
    <x v="6"/>
    <x v="131"/>
    <x v="116"/>
    <x v="116"/>
    <s v="REVENUS"/>
    <x v="3"/>
    <s v="4002.007"/>
    <s v="Acompte impôt sur fortune"/>
    <n v="0"/>
    <n v="473.5"/>
    <n v="4002"/>
  </r>
  <r>
    <x v="0"/>
    <x v="7"/>
    <x v="6"/>
    <x v="131"/>
    <x v="116"/>
    <x v="116"/>
    <s v="REVENUS"/>
    <x v="2"/>
    <s v="4001.007"/>
    <s v="Acompte impôt sur revenu"/>
    <n v="0"/>
    <n v="141.80000000000001"/>
    <n v="4001"/>
  </r>
  <r>
    <x v="0"/>
    <x v="7"/>
    <x v="6"/>
    <x v="131"/>
    <x v="116"/>
    <x v="116"/>
    <s v="REVENUS"/>
    <x v="3"/>
    <s v="4002.007"/>
    <s v="Acompte impôt sur fortune"/>
    <n v="0"/>
    <n v="679.5"/>
    <n v="4002"/>
  </r>
  <r>
    <x v="0"/>
    <x v="7"/>
    <x v="6"/>
    <x v="131"/>
    <x v="116"/>
    <x v="116"/>
    <s v="REVENUS"/>
    <x v="6"/>
    <s v="4211.001"/>
    <s v="Intérêts de retard sur factures"/>
    <n v="0"/>
    <n v="171.46"/>
    <n v="4211"/>
  </r>
  <r>
    <x v="0"/>
    <x v="7"/>
    <x v="6"/>
    <x v="131"/>
    <x v="116"/>
    <x v="116"/>
    <s v="REVENUS"/>
    <x v="3"/>
    <s v="4002.002"/>
    <s v="Impôt complémentaire s/fortune PP"/>
    <n v="0"/>
    <n v="4415.7"/>
    <n v="4002"/>
  </r>
  <r>
    <x v="0"/>
    <x v="7"/>
    <x v="6"/>
    <x v="131"/>
    <x v="116"/>
    <x v="116"/>
    <s v="REVENUS"/>
    <x v="6"/>
    <s v="4211.001"/>
    <s v="Intérêts de retard sur factures"/>
    <n v="0"/>
    <n v="127.98"/>
    <n v="4211"/>
  </r>
  <r>
    <x v="0"/>
    <x v="7"/>
    <x v="6"/>
    <x v="131"/>
    <x v="116"/>
    <x v="116"/>
    <s v="REVENUS"/>
    <x v="2"/>
    <s v="4001.002"/>
    <s v="Impôt complément s/revenu PP"/>
    <n v="0"/>
    <n v="6920.8"/>
    <n v="4001"/>
  </r>
  <r>
    <x v="0"/>
    <x v="7"/>
    <x v="6"/>
    <x v="131"/>
    <x v="116"/>
    <x v="116"/>
    <s v="REVENUS"/>
    <x v="2"/>
    <s v="4001.001"/>
    <s v="Impôt revenu"/>
    <n v="0"/>
    <n v="6853.1"/>
    <n v="4001"/>
  </r>
  <r>
    <x v="0"/>
    <x v="7"/>
    <x v="6"/>
    <x v="131"/>
    <x v="116"/>
    <x v="116"/>
    <s v="REVENUS"/>
    <x v="6"/>
    <s v="4211.002"/>
    <s v="Intérêts de retard sur acomptes"/>
    <n v="0"/>
    <n v="0.01"/>
    <n v="4211"/>
  </r>
  <r>
    <x v="0"/>
    <x v="7"/>
    <x v="6"/>
    <x v="131"/>
    <x v="116"/>
    <x v="116"/>
    <s v="REVENUS"/>
    <x v="6"/>
    <s v="4221.003"/>
    <s v="Intérêts compensat. / acomptes en faveur du fisc"/>
    <n v="0"/>
    <n v="0.27"/>
    <n v="4221"/>
  </r>
  <r>
    <x v="0"/>
    <x v="7"/>
    <x v="6"/>
    <x v="131"/>
    <x v="116"/>
    <x v="116"/>
    <s v="REVENUS"/>
    <x v="10"/>
    <s v="4041.001"/>
    <s v="Droits de mutation"/>
    <n v="0"/>
    <n v="1183.4000000000001"/>
    <n v="4041"/>
  </r>
  <r>
    <x v="0"/>
    <x v="7"/>
    <x v="6"/>
    <x v="131"/>
    <x v="116"/>
    <x v="116"/>
    <s v="REVENUS"/>
    <x v="7"/>
    <s v="4184.000"/>
    <s v="Frais de poursuite"/>
    <n v="0"/>
    <n v="0.44"/>
    <n v="4184"/>
  </r>
  <r>
    <x v="0"/>
    <x v="7"/>
    <x v="6"/>
    <x v="131"/>
    <x v="116"/>
    <x v="116"/>
    <s v="REVENUS"/>
    <x v="2"/>
    <s v="4001.001"/>
    <s v="Impôt revenu"/>
    <n v="0"/>
    <n v="723.3"/>
    <n v="4001"/>
  </r>
  <r>
    <x v="0"/>
    <x v="7"/>
    <x v="6"/>
    <x v="131"/>
    <x v="116"/>
    <x v="116"/>
    <s v="REVENUS"/>
    <x v="3"/>
    <s v="4002.001"/>
    <s v="Impôt ordinaire s/fortune PP"/>
    <n v="0"/>
    <n v="720.65"/>
    <n v="4002"/>
  </r>
  <r>
    <x v="0"/>
    <x v="7"/>
    <x v="6"/>
    <x v="131"/>
    <x v="116"/>
    <x v="116"/>
    <s v="REVENUS"/>
    <x v="2"/>
    <s v="4001.002"/>
    <s v="Impôt complément s/revenu PP"/>
    <n v="0"/>
    <n v="-2831.5"/>
    <n v="4001"/>
  </r>
  <r>
    <x v="0"/>
    <x v="7"/>
    <x v="6"/>
    <x v="131"/>
    <x v="116"/>
    <x v="116"/>
    <s v="REVENUS"/>
    <x v="2"/>
    <s v="4001.002"/>
    <s v="Impôt complément s/revenu PP"/>
    <n v="0"/>
    <n v="13065.75"/>
    <n v="4001"/>
  </r>
  <r>
    <x v="0"/>
    <x v="7"/>
    <x v="6"/>
    <x v="131"/>
    <x v="116"/>
    <x v="116"/>
    <s v="REVENUS"/>
    <x v="3"/>
    <s v="4002.002"/>
    <s v="Impôt complémentaire s/fortune PP"/>
    <n v="0"/>
    <n v="2342.15"/>
    <n v="4002"/>
  </r>
  <r>
    <x v="0"/>
    <x v="7"/>
    <x v="6"/>
    <x v="131"/>
    <x v="116"/>
    <x v="116"/>
    <s v="REVENUS"/>
    <x v="2"/>
    <s v="4001.002"/>
    <s v="Impôt complément s/revenu PP"/>
    <n v="0"/>
    <n v="9133.5499999999993"/>
    <n v="4001"/>
  </r>
  <r>
    <x v="0"/>
    <x v="7"/>
    <x v="6"/>
    <x v="131"/>
    <x v="116"/>
    <x v="116"/>
    <s v="REVENUS"/>
    <x v="3"/>
    <s v="4002.002"/>
    <s v="Impôt complémentaire s/fortune PP"/>
    <n v="0"/>
    <n v="4774.7"/>
    <n v="4002"/>
  </r>
  <r>
    <x v="0"/>
    <x v="7"/>
    <x v="6"/>
    <x v="131"/>
    <x v="116"/>
    <x v="116"/>
    <s v="REVENUS"/>
    <x v="12"/>
    <s v="4004.000"/>
    <s v="Impôt spécial étrangers"/>
    <n v="0"/>
    <n v="-36447.85"/>
    <n v="4004"/>
  </r>
  <r>
    <x v="0"/>
    <x v="7"/>
    <x v="6"/>
    <x v="131"/>
    <x v="116"/>
    <x v="116"/>
    <s v="REVENUS"/>
    <x v="6"/>
    <s v="4221.003"/>
    <s v="Intérêts compensat. / acomptes en faveur du fisc"/>
    <n v="0"/>
    <n v="0.22"/>
    <n v="4221"/>
  </r>
  <r>
    <x v="0"/>
    <x v="7"/>
    <x v="6"/>
    <x v="131"/>
    <x v="116"/>
    <x v="116"/>
    <s v="REVENUS"/>
    <x v="13"/>
    <s v="4371.013"/>
    <s v="Amende soustraction LMSD"/>
    <n v="0"/>
    <n v="6875"/>
    <n v="4371"/>
  </r>
  <r>
    <x v="0"/>
    <x v="7"/>
    <x v="6"/>
    <x v="131"/>
    <x v="116"/>
    <x v="116"/>
    <s v="REVENUS"/>
    <x v="6"/>
    <s v="4211.001"/>
    <s v="Intérêts de retard sur factures"/>
    <n v="0"/>
    <n v="-0.34"/>
    <n v="4211"/>
  </r>
  <r>
    <x v="0"/>
    <x v="7"/>
    <x v="6"/>
    <x v="131"/>
    <x v="116"/>
    <x v="116"/>
    <s v="REVENUS"/>
    <x v="6"/>
    <s v="4221.003"/>
    <s v="Intérêts compensat. / acomptes en faveur du fisc"/>
    <n v="0"/>
    <n v="-0.01"/>
    <n v="4221"/>
  </r>
  <r>
    <x v="0"/>
    <x v="7"/>
    <x v="6"/>
    <x v="131"/>
    <x v="116"/>
    <x v="116"/>
    <s v="REVENUS"/>
    <x v="6"/>
    <s v="4221.002"/>
    <s v="Intérêts compensat. sur impôts distincts"/>
    <n v="0"/>
    <n v="-15.73"/>
    <n v="4221"/>
  </r>
  <r>
    <x v="0"/>
    <x v="7"/>
    <x v="6"/>
    <x v="131"/>
    <x v="116"/>
    <x v="116"/>
    <s v="REVENUS"/>
    <x v="12"/>
    <s v="4004.000"/>
    <s v="Impôt spécial étrangers"/>
    <n v="0"/>
    <n v="19238.2"/>
    <n v="4004"/>
  </r>
  <r>
    <x v="0"/>
    <x v="7"/>
    <x v="6"/>
    <x v="131"/>
    <x v="116"/>
    <x v="116"/>
    <s v="REVENUS"/>
    <x v="8"/>
    <s v="4091.001"/>
    <s v="Impôt récupéré après défalcations"/>
    <n v="0"/>
    <n v="-31441.8"/>
    <n v="4091"/>
  </r>
  <r>
    <x v="0"/>
    <x v="7"/>
    <x v="6"/>
    <x v="131"/>
    <x v="116"/>
    <x v="116"/>
    <s v="REVENUS"/>
    <x v="2"/>
    <s v="4001.001"/>
    <s v="Impôt revenu"/>
    <n v="0"/>
    <n v="-11184.7"/>
    <n v="4001"/>
  </r>
  <r>
    <x v="0"/>
    <x v="7"/>
    <x v="6"/>
    <x v="131"/>
    <x v="116"/>
    <x v="116"/>
    <s v="REVENUS"/>
    <x v="3"/>
    <s v="4002.001"/>
    <s v="Impôt ordinaire s/fortune PP"/>
    <n v="0"/>
    <n v="-12496.4"/>
    <n v="4002"/>
  </r>
  <r>
    <x v="0"/>
    <x v="7"/>
    <x v="6"/>
    <x v="131"/>
    <x v="116"/>
    <x v="116"/>
    <s v="REVENUS"/>
    <x v="6"/>
    <s v="4211.001"/>
    <s v="Intérêts de retard sur factures"/>
    <n v="0"/>
    <n v="0.01"/>
    <n v="4211"/>
  </r>
  <r>
    <x v="0"/>
    <x v="7"/>
    <x v="6"/>
    <x v="131"/>
    <x v="116"/>
    <x v="116"/>
    <s v="REVENUS"/>
    <x v="6"/>
    <s v="4211.002"/>
    <s v="Intérêts de retard sur acomptes"/>
    <n v="0"/>
    <n v="0.72"/>
    <n v="4211"/>
  </r>
  <r>
    <x v="0"/>
    <x v="7"/>
    <x v="6"/>
    <x v="131"/>
    <x v="116"/>
    <x v="116"/>
    <s v="REVENUS"/>
    <x v="6"/>
    <s v="4221.003"/>
    <s v="Intérêts compensat. / acomptes en faveur du fisc"/>
    <n v="0"/>
    <n v="0.03"/>
    <n v="4221"/>
  </r>
  <r>
    <x v="0"/>
    <x v="7"/>
    <x v="6"/>
    <x v="131"/>
    <x v="116"/>
    <x v="116"/>
    <s v="REVENUS"/>
    <x v="9"/>
    <s v="4031.002"/>
    <s v="Complément impôt sur les gains immobiliers"/>
    <n v="0"/>
    <n v="18236.45"/>
    <n v="4031"/>
  </r>
  <r>
    <x v="0"/>
    <x v="7"/>
    <x v="6"/>
    <x v="131"/>
    <x v="116"/>
    <x v="116"/>
    <s v="REVENUS"/>
    <x v="6"/>
    <s v="4221.002"/>
    <s v="Intérêts compensat. sur impôts distincts"/>
    <n v="0"/>
    <n v="3.1"/>
    <n v="4221"/>
  </r>
  <r>
    <x v="0"/>
    <x v="7"/>
    <x v="6"/>
    <x v="131"/>
    <x v="116"/>
    <x v="116"/>
    <s v="REVENUS"/>
    <x v="3"/>
    <s v="4002.001"/>
    <s v="Impôt ordinaire s/fortune PP"/>
    <n v="0"/>
    <n v="3630.25"/>
    <n v="4002"/>
  </r>
  <r>
    <x v="0"/>
    <x v="8"/>
    <x v="8"/>
    <x v="132"/>
    <x v="117"/>
    <x v="117"/>
    <s v="CHARGES"/>
    <x v="1"/>
    <s v="3301.001"/>
    <s v="Défalcations, abandons de solde PP et IS"/>
    <n v="826064.43"/>
    <n v="0"/>
    <n v="3301"/>
  </r>
  <r>
    <x v="0"/>
    <x v="8"/>
    <x v="8"/>
    <x v="132"/>
    <x v="117"/>
    <x v="117"/>
    <s v="CHARGES"/>
    <x v="0"/>
    <s v="3212.002"/>
    <s v="Intérêts bonifiés/trop perçu acompte C/C"/>
    <n v="-116.59"/>
    <n v="0"/>
    <n v="3212"/>
  </r>
  <r>
    <x v="0"/>
    <x v="8"/>
    <x v="8"/>
    <x v="132"/>
    <x v="117"/>
    <x v="117"/>
    <s v="CHARGES"/>
    <x v="0"/>
    <s v="3212.004"/>
    <s v="Intérêts rémun./perçu trop tôt sur acomptes C/C"/>
    <n v="4095.92"/>
    <n v="0"/>
    <n v="3212"/>
  </r>
  <r>
    <x v="0"/>
    <x v="8"/>
    <x v="8"/>
    <x v="132"/>
    <x v="117"/>
    <x v="117"/>
    <s v="CHARGES"/>
    <x v="0"/>
    <s v="3221.002"/>
    <s v="Intérêts compensatoires / créances en faveur ctb."/>
    <n v="1010.43"/>
    <n v="0"/>
    <n v="3221"/>
  </r>
  <r>
    <x v="0"/>
    <x v="8"/>
    <x v="8"/>
    <x v="132"/>
    <x v="117"/>
    <x v="117"/>
    <s v="CHARGES"/>
    <x v="1"/>
    <s v="3301.001"/>
    <s v="Défalcations, abandons de solde PP et IS"/>
    <n v="1259.83"/>
    <n v="0"/>
    <n v="3301"/>
  </r>
  <r>
    <x v="0"/>
    <x v="8"/>
    <x v="8"/>
    <x v="132"/>
    <x v="117"/>
    <x v="117"/>
    <s v="CHARGES"/>
    <x v="0"/>
    <s v="3212.004"/>
    <s v="Intérêts rémun./perçu trop tôt sur acomptes C/C"/>
    <n v="184.73"/>
    <n v="0"/>
    <n v="3212"/>
  </r>
  <r>
    <x v="0"/>
    <x v="8"/>
    <x v="8"/>
    <x v="132"/>
    <x v="117"/>
    <x v="117"/>
    <s v="CHARGES"/>
    <x v="0"/>
    <s v="3221.002"/>
    <s v="Intérêts compensatoires / créances en faveur ctb."/>
    <n v="135.6"/>
    <n v="0"/>
    <n v="3221"/>
  </r>
  <r>
    <x v="0"/>
    <x v="8"/>
    <x v="8"/>
    <x v="132"/>
    <x v="117"/>
    <x v="117"/>
    <s v="CHARGES"/>
    <x v="1"/>
    <s v="3301.001"/>
    <s v="Défalcations, abandons de solde PP et IS"/>
    <n v="36437.4"/>
    <n v="0"/>
    <n v="3301"/>
  </r>
  <r>
    <x v="0"/>
    <x v="8"/>
    <x v="8"/>
    <x v="132"/>
    <x v="117"/>
    <x v="117"/>
    <s v="CHARGES"/>
    <x v="1"/>
    <s v="3301.001"/>
    <s v="Défalcations, abandons de solde PP et IS"/>
    <n v="262121.69"/>
    <n v="0"/>
    <n v="3301"/>
  </r>
  <r>
    <x v="0"/>
    <x v="8"/>
    <x v="8"/>
    <x v="132"/>
    <x v="117"/>
    <x v="117"/>
    <s v="CHARGES"/>
    <x v="1"/>
    <s v="3301.001"/>
    <s v="Défalcations, abandons de solde PP et IS"/>
    <n v="4.1900000000000004"/>
    <n v="0"/>
    <n v="3301"/>
  </r>
  <r>
    <x v="0"/>
    <x v="8"/>
    <x v="8"/>
    <x v="132"/>
    <x v="117"/>
    <x v="117"/>
    <s v="CHARGES"/>
    <x v="0"/>
    <s v="3212.004"/>
    <s v="Intérêts rémun./perçu trop tôt sur acomptes C/C"/>
    <n v="81.69"/>
    <n v="0"/>
    <n v="3212"/>
  </r>
  <r>
    <x v="0"/>
    <x v="8"/>
    <x v="8"/>
    <x v="132"/>
    <x v="117"/>
    <x v="117"/>
    <s v="CHARGES"/>
    <x v="0"/>
    <s v="3221.002"/>
    <s v="Intérêts compensatoires / créances en faveur ctb."/>
    <n v="17.72"/>
    <n v="0"/>
    <n v="3221"/>
  </r>
  <r>
    <x v="0"/>
    <x v="8"/>
    <x v="8"/>
    <x v="132"/>
    <x v="117"/>
    <x v="117"/>
    <s v="CHARGES"/>
    <x v="0"/>
    <s v="3212.002"/>
    <s v="Intérêts bonifiés/trop perçu acompte C/C"/>
    <n v="2"/>
    <n v="0"/>
    <n v="3212"/>
  </r>
  <r>
    <x v="0"/>
    <x v="8"/>
    <x v="8"/>
    <x v="132"/>
    <x v="117"/>
    <x v="117"/>
    <s v="CHARGES"/>
    <x v="0"/>
    <s v="3212.004"/>
    <s v="Intérêts rémun./perçu trop tôt sur acomptes C/C"/>
    <n v="39.08"/>
    <n v="0"/>
    <n v="3212"/>
  </r>
  <r>
    <x v="0"/>
    <x v="8"/>
    <x v="8"/>
    <x v="132"/>
    <x v="117"/>
    <x v="117"/>
    <s v="CHARGES"/>
    <x v="0"/>
    <s v="3212.004"/>
    <s v="Intérêts rémun./perçu trop tôt sur acomptes C/C"/>
    <n v="25.11"/>
    <n v="0"/>
    <n v="3212"/>
  </r>
  <r>
    <x v="0"/>
    <x v="8"/>
    <x v="8"/>
    <x v="132"/>
    <x v="117"/>
    <x v="117"/>
    <s v="CHARGES"/>
    <x v="0"/>
    <s v="3221.002"/>
    <s v="Intérêts compensatoires / créances en faveur ctb."/>
    <n v="22.05"/>
    <n v="0"/>
    <n v="3221"/>
  </r>
  <r>
    <x v="0"/>
    <x v="8"/>
    <x v="8"/>
    <x v="132"/>
    <x v="117"/>
    <x v="117"/>
    <s v="CHARGES"/>
    <x v="0"/>
    <s v="3212.002"/>
    <s v="Intérêts bonifiés/trop perçu acompte C/C"/>
    <n v="0.02"/>
    <n v="0"/>
    <n v="3212"/>
  </r>
  <r>
    <x v="0"/>
    <x v="8"/>
    <x v="8"/>
    <x v="132"/>
    <x v="117"/>
    <x v="117"/>
    <s v="CHARGES"/>
    <x v="1"/>
    <s v="3301.001"/>
    <s v="Défalcations, abandons de solde PP et IS"/>
    <n v="98.51"/>
    <n v="0"/>
    <n v="3301"/>
  </r>
  <r>
    <x v="0"/>
    <x v="8"/>
    <x v="8"/>
    <x v="132"/>
    <x v="117"/>
    <x v="117"/>
    <s v="CHARGES"/>
    <x v="0"/>
    <s v="3221.002"/>
    <s v="Intérêts compensatoires / créances en faveur ctb."/>
    <n v="10.61"/>
    <n v="0"/>
    <n v="3221"/>
  </r>
  <r>
    <x v="0"/>
    <x v="8"/>
    <x v="8"/>
    <x v="132"/>
    <x v="117"/>
    <x v="117"/>
    <s v="CHARGES"/>
    <x v="1"/>
    <s v="3301.001"/>
    <s v="Défalcations, abandons de solde PP et IS"/>
    <n v="4942.88"/>
    <n v="0"/>
    <n v="3301"/>
  </r>
  <r>
    <x v="0"/>
    <x v="8"/>
    <x v="8"/>
    <x v="132"/>
    <x v="117"/>
    <x v="117"/>
    <s v="CHARGES"/>
    <x v="0"/>
    <s v="3212.002"/>
    <s v="Intérêts bonifiés/trop perçu acompte C/C"/>
    <n v="6.24"/>
    <n v="0"/>
    <n v="3212"/>
  </r>
  <r>
    <x v="0"/>
    <x v="8"/>
    <x v="8"/>
    <x v="132"/>
    <x v="117"/>
    <x v="117"/>
    <s v="CHARGES"/>
    <x v="0"/>
    <s v="3221.002"/>
    <s v="Intérêts compensatoires / créances en faveur ctb."/>
    <n v="0.17"/>
    <n v="0"/>
    <n v="3221"/>
  </r>
  <r>
    <x v="0"/>
    <x v="8"/>
    <x v="8"/>
    <x v="132"/>
    <x v="117"/>
    <x v="117"/>
    <s v="CHARGES"/>
    <x v="1"/>
    <s v="3301.003"/>
    <s v="Remises PP et IS"/>
    <n v="39887.019999999997"/>
    <n v="0"/>
    <n v="3301"/>
  </r>
  <r>
    <x v="0"/>
    <x v="8"/>
    <x v="8"/>
    <x v="132"/>
    <x v="117"/>
    <x v="117"/>
    <s v="CHARGES"/>
    <x v="0"/>
    <s v="3221.002"/>
    <s v="Intérêts compensatoires / créances en faveur ctb."/>
    <n v="0.62"/>
    <n v="0"/>
    <n v="3221"/>
  </r>
  <r>
    <x v="0"/>
    <x v="8"/>
    <x v="8"/>
    <x v="132"/>
    <x v="117"/>
    <x v="117"/>
    <s v="CHARGES"/>
    <x v="1"/>
    <s v="3301.003"/>
    <s v="Remises PP et IS"/>
    <n v="421.03"/>
    <n v="0"/>
    <n v="3301"/>
  </r>
  <r>
    <x v="0"/>
    <x v="8"/>
    <x v="8"/>
    <x v="132"/>
    <x v="117"/>
    <x v="117"/>
    <s v="CHARGES"/>
    <x v="1"/>
    <s v="3301.001"/>
    <s v="Défalcations, abandons de solde PP et IS"/>
    <n v="2.2599999999999998"/>
    <n v="0"/>
    <n v="3301"/>
  </r>
  <r>
    <x v="0"/>
    <x v="8"/>
    <x v="8"/>
    <x v="132"/>
    <x v="117"/>
    <x v="117"/>
    <s v="CHARGES"/>
    <x v="0"/>
    <s v="3212.002"/>
    <s v="Intérêts bonifiés/trop perçu acompte C/C"/>
    <n v="0.01"/>
    <n v="0"/>
    <n v="3212"/>
  </r>
  <r>
    <x v="0"/>
    <x v="8"/>
    <x v="8"/>
    <x v="132"/>
    <x v="117"/>
    <x v="117"/>
    <s v="CHARGES"/>
    <x v="0"/>
    <s v="3212.004"/>
    <s v="Intérêts rémun./perçu trop tôt sur acomptes C/C"/>
    <n v="-10.039999999999999"/>
    <n v="0"/>
    <n v="3212"/>
  </r>
  <r>
    <x v="0"/>
    <x v="8"/>
    <x v="8"/>
    <x v="132"/>
    <x v="117"/>
    <x v="117"/>
    <s v="CHARGES"/>
    <x v="0"/>
    <s v="3212.002"/>
    <s v="Intérêts bonifiés/trop perçu acompte C/C"/>
    <n v="0.03"/>
    <n v="0"/>
    <n v="3212"/>
  </r>
  <r>
    <x v="0"/>
    <x v="8"/>
    <x v="8"/>
    <x v="132"/>
    <x v="117"/>
    <x v="117"/>
    <s v="CHARGES"/>
    <x v="0"/>
    <s v="3212.004"/>
    <s v="Intérêts rémun./perçu trop tôt sur acomptes C/C"/>
    <n v="1.53"/>
    <n v="0"/>
    <n v="3212"/>
  </r>
  <r>
    <x v="0"/>
    <x v="8"/>
    <x v="8"/>
    <x v="132"/>
    <x v="117"/>
    <x v="117"/>
    <s v="CHARGES"/>
    <x v="0"/>
    <s v="3221.002"/>
    <s v="Intérêts compensatoires / créances en faveur ctb."/>
    <n v="0.16"/>
    <n v="0"/>
    <n v="3221"/>
  </r>
  <r>
    <x v="0"/>
    <x v="8"/>
    <x v="8"/>
    <x v="132"/>
    <x v="117"/>
    <x v="117"/>
    <s v="CHARGES"/>
    <x v="0"/>
    <s v="3212.004"/>
    <s v="Intérêts rémun./perçu trop tôt sur acomptes C/C"/>
    <n v="2.33"/>
    <n v="0"/>
    <n v="3212"/>
  </r>
  <r>
    <x v="0"/>
    <x v="8"/>
    <x v="8"/>
    <x v="132"/>
    <x v="117"/>
    <x v="117"/>
    <s v="CHARGES"/>
    <x v="0"/>
    <s v="3212.004"/>
    <s v="Intérêts rémun./perçu trop tôt sur acomptes C/C"/>
    <n v="0.18"/>
    <n v="0"/>
    <n v="3212"/>
  </r>
  <r>
    <x v="0"/>
    <x v="8"/>
    <x v="8"/>
    <x v="132"/>
    <x v="117"/>
    <x v="117"/>
    <s v="CHARGES"/>
    <x v="0"/>
    <s v="3221.002"/>
    <s v="Intérêts compensatoires / créances en faveur ctb."/>
    <n v="0.47"/>
    <n v="0"/>
    <n v="3221"/>
  </r>
  <r>
    <x v="0"/>
    <x v="8"/>
    <x v="8"/>
    <x v="132"/>
    <x v="117"/>
    <x v="117"/>
    <s v="CHARGES"/>
    <x v="0"/>
    <s v="3212.002"/>
    <s v="Intérêts bonifiés/trop perçu acompte C/C"/>
    <n v="0.17"/>
    <n v="0"/>
    <n v="3212"/>
  </r>
  <r>
    <x v="0"/>
    <x v="8"/>
    <x v="8"/>
    <x v="132"/>
    <x v="117"/>
    <x v="117"/>
    <s v="REVENUS"/>
    <x v="8"/>
    <s v="4091.001"/>
    <s v="Impôt récupéré après défalcations"/>
    <n v="0"/>
    <n v="234375.41"/>
    <n v="4091"/>
  </r>
  <r>
    <x v="0"/>
    <x v="8"/>
    <x v="8"/>
    <x v="132"/>
    <x v="117"/>
    <x v="117"/>
    <s v="REVENUS"/>
    <x v="7"/>
    <s v="4184.000"/>
    <s v="Frais de poursuite"/>
    <n v="0"/>
    <n v="5693.97"/>
    <n v="4184"/>
  </r>
  <r>
    <x v="0"/>
    <x v="8"/>
    <x v="8"/>
    <x v="132"/>
    <x v="117"/>
    <x v="117"/>
    <s v="REVENUS"/>
    <x v="2"/>
    <s v="4001.001"/>
    <s v="Impôt revenu"/>
    <n v="0"/>
    <n v="24365245.199999999"/>
    <n v="4001"/>
  </r>
  <r>
    <x v="0"/>
    <x v="8"/>
    <x v="8"/>
    <x v="132"/>
    <x v="117"/>
    <x v="117"/>
    <s v="REVENUS"/>
    <x v="2"/>
    <s v="4001.003"/>
    <s v="Impôt s/prest. cap. PP"/>
    <n v="0"/>
    <n v="753873.45"/>
    <n v="4001"/>
  </r>
  <r>
    <x v="0"/>
    <x v="8"/>
    <x v="8"/>
    <x v="132"/>
    <x v="117"/>
    <x v="117"/>
    <s v="REVENUS"/>
    <x v="2"/>
    <s v="4001.007"/>
    <s v="Acompte impôt sur revenu"/>
    <n v="0"/>
    <n v="-4292621.8099999996"/>
    <n v="4001"/>
  </r>
  <r>
    <x v="0"/>
    <x v="8"/>
    <x v="8"/>
    <x v="132"/>
    <x v="117"/>
    <x v="117"/>
    <s v="REVENUS"/>
    <x v="6"/>
    <s v="4211.001"/>
    <s v="Intérêts de retard sur factures"/>
    <n v="0"/>
    <n v="420731.59"/>
    <n v="4211"/>
  </r>
  <r>
    <x v="0"/>
    <x v="8"/>
    <x v="8"/>
    <x v="132"/>
    <x v="117"/>
    <x v="117"/>
    <s v="REVENUS"/>
    <x v="6"/>
    <s v="4221.002"/>
    <s v="Intérêts compensat. sur impôts distincts"/>
    <n v="0"/>
    <n v="1060.5"/>
    <n v="4221"/>
  </r>
  <r>
    <x v="0"/>
    <x v="8"/>
    <x v="8"/>
    <x v="132"/>
    <x v="117"/>
    <x v="117"/>
    <s v="REVENUS"/>
    <x v="2"/>
    <s v="4001.007"/>
    <s v="Acompte impôt sur revenu"/>
    <n v="0"/>
    <n v="-45814.79"/>
    <n v="4001"/>
  </r>
  <r>
    <x v="0"/>
    <x v="8"/>
    <x v="8"/>
    <x v="132"/>
    <x v="117"/>
    <x v="117"/>
    <s v="REVENUS"/>
    <x v="3"/>
    <s v="4002.001"/>
    <s v="Impôt ordinaire s/fortune PP"/>
    <n v="0"/>
    <n v="65235.8"/>
    <n v="4002"/>
  </r>
  <r>
    <x v="0"/>
    <x v="8"/>
    <x v="8"/>
    <x v="132"/>
    <x v="117"/>
    <x v="117"/>
    <s v="REVENUS"/>
    <x v="2"/>
    <s v="4001.002"/>
    <s v="Impôt complément s/revenu PP"/>
    <n v="0"/>
    <n v="6419613.2000000002"/>
    <n v="4001"/>
  </r>
  <r>
    <x v="0"/>
    <x v="8"/>
    <x v="8"/>
    <x v="132"/>
    <x v="117"/>
    <x v="117"/>
    <s v="REVENUS"/>
    <x v="3"/>
    <s v="4002.001"/>
    <s v="Impôt ordinaire s/fortune PP"/>
    <n v="0"/>
    <n v="2298481.7000000002"/>
    <n v="4002"/>
  </r>
  <r>
    <x v="0"/>
    <x v="8"/>
    <x v="8"/>
    <x v="132"/>
    <x v="117"/>
    <x v="117"/>
    <s v="REVENUS"/>
    <x v="3"/>
    <s v="4002.002"/>
    <s v="Impôt complémentaire s/fortune PP"/>
    <n v="0"/>
    <n v="641302"/>
    <n v="4002"/>
  </r>
  <r>
    <x v="0"/>
    <x v="8"/>
    <x v="8"/>
    <x v="132"/>
    <x v="117"/>
    <x v="117"/>
    <s v="REVENUS"/>
    <x v="3"/>
    <s v="4002.007"/>
    <s v="Acompte impôt sur fortune"/>
    <n v="0"/>
    <n v="-225526.8"/>
    <n v="4002"/>
  </r>
  <r>
    <x v="0"/>
    <x v="8"/>
    <x v="8"/>
    <x v="132"/>
    <x v="117"/>
    <x v="117"/>
    <s v="REVENUS"/>
    <x v="6"/>
    <s v="4211.002"/>
    <s v="Intérêts de retard sur acomptes"/>
    <n v="0"/>
    <n v="243648.87"/>
    <n v="4211"/>
  </r>
  <r>
    <x v="0"/>
    <x v="8"/>
    <x v="8"/>
    <x v="132"/>
    <x v="117"/>
    <x v="117"/>
    <s v="REVENUS"/>
    <x v="6"/>
    <s v="4221.003"/>
    <s v="Intérêts compensat. / acomptes en faveur du fisc"/>
    <n v="0"/>
    <n v="8371.8799999999992"/>
    <n v="4221"/>
  </r>
  <r>
    <x v="0"/>
    <x v="8"/>
    <x v="8"/>
    <x v="132"/>
    <x v="117"/>
    <x v="117"/>
    <s v="REVENUS"/>
    <x v="2"/>
    <s v="4001.007"/>
    <s v="Acompte impôt sur revenu"/>
    <n v="0"/>
    <n v="-92027"/>
    <n v="4001"/>
  </r>
  <r>
    <x v="0"/>
    <x v="8"/>
    <x v="8"/>
    <x v="132"/>
    <x v="117"/>
    <x v="117"/>
    <s v="REVENUS"/>
    <x v="3"/>
    <s v="4002.007"/>
    <s v="Acompte impôt sur fortune"/>
    <n v="0"/>
    <n v="-20790.099999999999"/>
    <n v="4002"/>
  </r>
  <r>
    <x v="0"/>
    <x v="8"/>
    <x v="8"/>
    <x v="132"/>
    <x v="117"/>
    <x v="117"/>
    <s v="REVENUS"/>
    <x v="2"/>
    <s v="4001.007"/>
    <s v="Acompte impôt sur revenu"/>
    <n v="0"/>
    <n v="489300.5"/>
    <n v="4001"/>
  </r>
  <r>
    <x v="0"/>
    <x v="8"/>
    <x v="8"/>
    <x v="132"/>
    <x v="117"/>
    <x v="117"/>
    <s v="REVENUS"/>
    <x v="3"/>
    <s v="4002.001"/>
    <s v="Impôt ordinaire s/fortune PP"/>
    <n v="0"/>
    <n v="58032.800000000003"/>
    <n v="4002"/>
  </r>
  <r>
    <x v="0"/>
    <x v="8"/>
    <x v="8"/>
    <x v="132"/>
    <x v="117"/>
    <x v="117"/>
    <s v="REVENUS"/>
    <x v="3"/>
    <s v="4002.007"/>
    <s v="Acompte impôt sur fortune"/>
    <n v="0"/>
    <n v="121393.84"/>
    <n v="4002"/>
  </r>
  <r>
    <x v="0"/>
    <x v="8"/>
    <x v="8"/>
    <x v="132"/>
    <x v="117"/>
    <x v="117"/>
    <s v="REVENUS"/>
    <x v="6"/>
    <s v="4221.003"/>
    <s v="Intérêts compensat. / acomptes en faveur du fisc"/>
    <n v="0"/>
    <n v="80.260000000000005"/>
    <n v="4221"/>
  </r>
  <r>
    <x v="0"/>
    <x v="8"/>
    <x v="8"/>
    <x v="132"/>
    <x v="117"/>
    <x v="117"/>
    <s v="REVENUS"/>
    <x v="2"/>
    <s v="4001.007"/>
    <s v="Acompte impôt sur revenu"/>
    <n v="0"/>
    <n v="-10845.62"/>
    <n v="4001"/>
  </r>
  <r>
    <x v="0"/>
    <x v="8"/>
    <x v="8"/>
    <x v="132"/>
    <x v="117"/>
    <x v="117"/>
    <s v="REVENUS"/>
    <x v="3"/>
    <s v="4002.001"/>
    <s v="Impôt ordinaire s/fortune PP"/>
    <n v="0"/>
    <n v="111174.2"/>
    <n v="4002"/>
  </r>
  <r>
    <x v="0"/>
    <x v="8"/>
    <x v="8"/>
    <x v="132"/>
    <x v="117"/>
    <x v="117"/>
    <s v="REVENUS"/>
    <x v="3"/>
    <s v="4002.007"/>
    <s v="Acompte impôt sur fortune"/>
    <n v="0"/>
    <n v="-13853.03"/>
    <n v="4002"/>
  </r>
  <r>
    <x v="0"/>
    <x v="8"/>
    <x v="8"/>
    <x v="132"/>
    <x v="117"/>
    <x v="117"/>
    <s v="REVENUS"/>
    <x v="9"/>
    <s v="4031.001"/>
    <s v="Impôt sur les gains immobiliers"/>
    <n v="0"/>
    <n v="1117007.05"/>
    <n v="4031"/>
  </r>
  <r>
    <x v="0"/>
    <x v="8"/>
    <x v="8"/>
    <x v="132"/>
    <x v="117"/>
    <x v="117"/>
    <s v="REVENUS"/>
    <x v="7"/>
    <s v="4184.000"/>
    <s v="Frais de poursuite"/>
    <n v="0"/>
    <n v="67831.320000000007"/>
    <n v="4184"/>
  </r>
  <r>
    <x v="0"/>
    <x v="8"/>
    <x v="8"/>
    <x v="132"/>
    <x v="117"/>
    <x v="117"/>
    <s v="REVENUS"/>
    <x v="2"/>
    <s v="4001.001"/>
    <s v="Impôt revenu"/>
    <n v="0"/>
    <n v="456014.25"/>
    <n v="4001"/>
  </r>
  <r>
    <x v="0"/>
    <x v="8"/>
    <x v="8"/>
    <x v="132"/>
    <x v="117"/>
    <x v="117"/>
    <s v="REVENUS"/>
    <x v="6"/>
    <s v="4221.003"/>
    <s v="Intérêts compensat. / acomptes en faveur du fisc"/>
    <n v="0"/>
    <n v="-324.55"/>
    <n v="4221"/>
  </r>
  <r>
    <x v="0"/>
    <x v="8"/>
    <x v="8"/>
    <x v="132"/>
    <x v="117"/>
    <x v="117"/>
    <s v="REVENUS"/>
    <x v="6"/>
    <s v="4211.002"/>
    <s v="Intérêts de retard sur acomptes"/>
    <n v="0"/>
    <n v="4176.75"/>
    <n v="4211"/>
  </r>
  <r>
    <x v="0"/>
    <x v="8"/>
    <x v="8"/>
    <x v="132"/>
    <x v="117"/>
    <x v="117"/>
    <s v="REVENUS"/>
    <x v="2"/>
    <s v="4001.007"/>
    <s v="Acompte impôt sur revenu"/>
    <n v="0"/>
    <n v="44331.33"/>
    <n v="4001"/>
  </r>
  <r>
    <x v="0"/>
    <x v="8"/>
    <x v="8"/>
    <x v="132"/>
    <x v="117"/>
    <x v="117"/>
    <s v="REVENUS"/>
    <x v="3"/>
    <s v="4002.007"/>
    <s v="Acompte impôt sur fortune"/>
    <n v="0"/>
    <n v="4539.6400000000003"/>
    <n v="4002"/>
  </r>
  <r>
    <x v="0"/>
    <x v="8"/>
    <x v="8"/>
    <x v="132"/>
    <x v="117"/>
    <x v="117"/>
    <s v="REVENUS"/>
    <x v="2"/>
    <s v="4001.001"/>
    <s v="Impôt revenu"/>
    <n v="0"/>
    <n v="2566.75"/>
    <n v="4001"/>
  </r>
  <r>
    <x v="0"/>
    <x v="8"/>
    <x v="8"/>
    <x v="132"/>
    <x v="117"/>
    <x v="117"/>
    <s v="REVENUS"/>
    <x v="3"/>
    <s v="4002.001"/>
    <s v="Impôt ordinaire s/fortune PP"/>
    <n v="0"/>
    <n v="5260.05"/>
    <n v="4002"/>
  </r>
  <r>
    <x v="0"/>
    <x v="8"/>
    <x v="8"/>
    <x v="132"/>
    <x v="117"/>
    <x v="117"/>
    <s v="REVENUS"/>
    <x v="2"/>
    <s v="4001.001"/>
    <s v="Impôt revenu"/>
    <n v="0"/>
    <n v="4449.5"/>
    <n v="4001"/>
  </r>
  <r>
    <x v="0"/>
    <x v="8"/>
    <x v="8"/>
    <x v="132"/>
    <x v="117"/>
    <x v="117"/>
    <s v="REVENUS"/>
    <x v="2"/>
    <s v="4001.007"/>
    <s v="Acompte impôt sur revenu"/>
    <n v="0"/>
    <n v="-1157.42"/>
    <n v="4001"/>
  </r>
  <r>
    <x v="0"/>
    <x v="8"/>
    <x v="8"/>
    <x v="132"/>
    <x v="117"/>
    <x v="117"/>
    <s v="REVENUS"/>
    <x v="6"/>
    <s v="4221.003"/>
    <s v="Intérêts compensat. / acomptes en faveur du fisc"/>
    <n v="0"/>
    <n v="0.37"/>
    <n v="4221"/>
  </r>
  <r>
    <x v="0"/>
    <x v="8"/>
    <x v="8"/>
    <x v="132"/>
    <x v="117"/>
    <x v="117"/>
    <s v="REVENUS"/>
    <x v="3"/>
    <s v="4002.007"/>
    <s v="Acompte impôt sur fortune"/>
    <n v="0"/>
    <n v="-1944.45"/>
    <n v="4002"/>
  </r>
  <r>
    <x v="0"/>
    <x v="8"/>
    <x v="8"/>
    <x v="132"/>
    <x v="117"/>
    <x v="117"/>
    <s v="REVENUS"/>
    <x v="2"/>
    <s v="4001.001"/>
    <s v="Impôt revenu"/>
    <n v="0"/>
    <n v="488454.75"/>
    <n v="4001"/>
  </r>
  <r>
    <x v="0"/>
    <x v="8"/>
    <x v="8"/>
    <x v="132"/>
    <x v="117"/>
    <x v="117"/>
    <s v="REVENUS"/>
    <x v="6"/>
    <s v="4211.001"/>
    <s v="Intérêts de retard sur factures"/>
    <n v="0"/>
    <n v="1023.82"/>
    <n v="4211"/>
  </r>
  <r>
    <x v="0"/>
    <x v="8"/>
    <x v="8"/>
    <x v="132"/>
    <x v="117"/>
    <x v="117"/>
    <s v="REVENUS"/>
    <x v="4"/>
    <s v="4051.001"/>
    <s v="Impôt sur les successions"/>
    <n v="0"/>
    <n v="1084100.6000000001"/>
    <n v="4051"/>
  </r>
  <r>
    <x v="0"/>
    <x v="8"/>
    <x v="8"/>
    <x v="132"/>
    <x v="117"/>
    <x v="117"/>
    <s v="REVENUS"/>
    <x v="2"/>
    <s v="4001.002"/>
    <s v="Impôt complément s/revenu PP"/>
    <n v="0"/>
    <n v="89288.85"/>
    <n v="4001"/>
  </r>
  <r>
    <x v="0"/>
    <x v="8"/>
    <x v="8"/>
    <x v="132"/>
    <x v="117"/>
    <x v="117"/>
    <s v="REVENUS"/>
    <x v="3"/>
    <s v="4002.002"/>
    <s v="Impôt complémentaire s/fortune PP"/>
    <n v="0"/>
    <n v="21501.1"/>
    <n v="4002"/>
  </r>
  <r>
    <x v="0"/>
    <x v="8"/>
    <x v="8"/>
    <x v="132"/>
    <x v="117"/>
    <x v="117"/>
    <s v="REVENUS"/>
    <x v="8"/>
    <s v="4091.003"/>
    <s v="Impôt récupéré concordat"/>
    <n v="0"/>
    <n v="-1366.42"/>
    <n v="4091"/>
  </r>
  <r>
    <x v="0"/>
    <x v="8"/>
    <x v="8"/>
    <x v="132"/>
    <x v="117"/>
    <x v="117"/>
    <s v="REVENUS"/>
    <x v="6"/>
    <s v="4211.002"/>
    <s v="Intérêts de retard sur acomptes"/>
    <n v="0"/>
    <n v="276.88"/>
    <n v="4211"/>
  </r>
  <r>
    <x v="0"/>
    <x v="8"/>
    <x v="8"/>
    <x v="132"/>
    <x v="117"/>
    <x v="117"/>
    <s v="REVENUS"/>
    <x v="7"/>
    <s v="4184.000"/>
    <s v="Frais de poursuite"/>
    <n v="0"/>
    <n v="75.16"/>
    <n v="4184"/>
  </r>
  <r>
    <x v="0"/>
    <x v="8"/>
    <x v="8"/>
    <x v="132"/>
    <x v="117"/>
    <x v="117"/>
    <s v="REVENUS"/>
    <x v="10"/>
    <s v="4041.001"/>
    <s v="Droits de mutation"/>
    <n v="0"/>
    <n v="437039"/>
    <n v="4041"/>
  </r>
  <r>
    <x v="0"/>
    <x v="8"/>
    <x v="8"/>
    <x v="132"/>
    <x v="117"/>
    <x v="117"/>
    <s v="REVENUS"/>
    <x v="5"/>
    <s v="4061.000"/>
    <s v="Impôt sur les chiens"/>
    <n v="0"/>
    <n v="71900"/>
    <n v="4061"/>
  </r>
  <r>
    <x v="0"/>
    <x v="8"/>
    <x v="8"/>
    <x v="132"/>
    <x v="117"/>
    <x v="117"/>
    <s v="REVENUS"/>
    <x v="7"/>
    <s v="4184.000"/>
    <s v="Frais de poursuite"/>
    <n v="0"/>
    <n v="259.98"/>
    <n v="4184"/>
  </r>
  <r>
    <x v="0"/>
    <x v="8"/>
    <x v="8"/>
    <x v="132"/>
    <x v="117"/>
    <x v="117"/>
    <s v="REVENUS"/>
    <x v="6"/>
    <s v="4211.001"/>
    <s v="Intérêts de retard sur factures"/>
    <n v="0"/>
    <n v="-4194.08"/>
    <n v="4211"/>
  </r>
  <r>
    <x v="0"/>
    <x v="8"/>
    <x v="8"/>
    <x v="132"/>
    <x v="117"/>
    <x v="117"/>
    <s v="REVENUS"/>
    <x v="6"/>
    <s v="4211.002"/>
    <s v="Intérêts de retard sur acomptes"/>
    <n v="0"/>
    <n v="3872.22"/>
    <n v="4211"/>
  </r>
  <r>
    <x v="0"/>
    <x v="8"/>
    <x v="8"/>
    <x v="132"/>
    <x v="117"/>
    <x v="117"/>
    <s v="REVENUS"/>
    <x v="2"/>
    <s v="4001.001"/>
    <s v="Impôt revenu"/>
    <n v="0"/>
    <n v="68222.95"/>
    <n v="4001"/>
  </r>
  <r>
    <x v="0"/>
    <x v="8"/>
    <x v="8"/>
    <x v="132"/>
    <x v="117"/>
    <x v="117"/>
    <s v="REVENUS"/>
    <x v="2"/>
    <s v="4001.002"/>
    <s v="Impôt complément s/revenu PP"/>
    <n v="0"/>
    <n v="127003.6"/>
    <n v="4001"/>
  </r>
  <r>
    <x v="0"/>
    <x v="8"/>
    <x v="8"/>
    <x v="132"/>
    <x v="117"/>
    <x v="117"/>
    <s v="REVENUS"/>
    <x v="3"/>
    <s v="4002.001"/>
    <s v="Impôt ordinaire s/fortune PP"/>
    <n v="0"/>
    <n v="22304.75"/>
    <n v="4002"/>
  </r>
  <r>
    <x v="0"/>
    <x v="8"/>
    <x v="8"/>
    <x v="132"/>
    <x v="117"/>
    <x v="117"/>
    <s v="REVENUS"/>
    <x v="3"/>
    <s v="4002.002"/>
    <s v="Impôt complémentaire s/fortune PP"/>
    <n v="0"/>
    <n v="18241.8"/>
    <n v="4002"/>
  </r>
  <r>
    <x v="0"/>
    <x v="8"/>
    <x v="8"/>
    <x v="132"/>
    <x v="117"/>
    <x v="117"/>
    <s v="REVENUS"/>
    <x v="6"/>
    <s v="4211.001"/>
    <s v="Intérêts de retard sur factures"/>
    <n v="0"/>
    <n v="93.83"/>
    <n v="4211"/>
  </r>
  <r>
    <x v="0"/>
    <x v="8"/>
    <x v="8"/>
    <x v="132"/>
    <x v="117"/>
    <x v="117"/>
    <s v="REVENUS"/>
    <x v="3"/>
    <s v="4002.007"/>
    <s v="Acompte impôt sur fortune"/>
    <n v="0"/>
    <n v="-5950.92"/>
    <n v="4002"/>
  </r>
  <r>
    <x v="0"/>
    <x v="8"/>
    <x v="8"/>
    <x v="132"/>
    <x v="117"/>
    <x v="117"/>
    <s v="REVENUS"/>
    <x v="8"/>
    <s v="4091.001"/>
    <s v="Impôt récupéré après défalcations"/>
    <n v="0"/>
    <n v="62789.59"/>
    <n v="4091"/>
  </r>
  <r>
    <x v="0"/>
    <x v="8"/>
    <x v="8"/>
    <x v="132"/>
    <x v="117"/>
    <x v="117"/>
    <s v="REVENUS"/>
    <x v="2"/>
    <s v="4001.007"/>
    <s v="Acompte impôt sur revenu"/>
    <n v="0"/>
    <n v="-4487.5"/>
    <n v="4001"/>
  </r>
  <r>
    <x v="0"/>
    <x v="8"/>
    <x v="8"/>
    <x v="132"/>
    <x v="117"/>
    <x v="117"/>
    <s v="REVENUS"/>
    <x v="2"/>
    <s v="4001.001"/>
    <s v="Impôt revenu"/>
    <n v="0"/>
    <n v="348955.2"/>
    <n v="4001"/>
  </r>
  <r>
    <x v="0"/>
    <x v="8"/>
    <x v="8"/>
    <x v="132"/>
    <x v="117"/>
    <x v="117"/>
    <s v="REVENUS"/>
    <x v="6"/>
    <s v="4211.002"/>
    <s v="Intérêts de retard sur acomptes"/>
    <n v="0"/>
    <n v="121.79"/>
    <n v="4211"/>
  </r>
  <r>
    <x v="0"/>
    <x v="8"/>
    <x v="8"/>
    <x v="132"/>
    <x v="117"/>
    <x v="117"/>
    <s v="REVENUS"/>
    <x v="6"/>
    <s v="4221.003"/>
    <s v="Intérêts compensat. / acomptes en faveur du fisc"/>
    <n v="0"/>
    <n v="55.89"/>
    <n v="4221"/>
  </r>
  <r>
    <x v="0"/>
    <x v="8"/>
    <x v="8"/>
    <x v="132"/>
    <x v="117"/>
    <x v="117"/>
    <s v="REVENUS"/>
    <x v="4"/>
    <s v="4051.002"/>
    <s v="Impôt sur les donations"/>
    <n v="0"/>
    <n v="18613.7"/>
    <n v="4051"/>
  </r>
  <r>
    <x v="0"/>
    <x v="8"/>
    <x v="8"/>
    <x v="132"/>
    <x v="117"/>
    <x v="117"/>
    <s v="REVENUS"/>
    <x v="3"/>
    <s v="4002.007"/>
    <s v="Acompte impôt sur fortune"/>
    <n v="0"/>
    <n v="-529.28"/>
    <n v="4002"/>
  </r>
  <r>
    <x v="0"/>
    <x v="8"/>
    <x v="8"/>
    <x v="132"/>
    <x v="117"/>
    <x v="117"/>
    <s v="REVENUS"/>
    <x v="3"/>
    <s v="4002.001"/>
    <s v="Impôt ordinaire s/fortune PP"/>
    <n v="0"/>
    <n v="1012.25"/>
    <n v="4002"/>
  </r>
  <r>
    <x v="0"/>
    <x v="8"/>
    <x v="8"/>
    <x v="132"/>
    <x v="117"/>
    <x v="117"/>
    <s v="REVENUS"/>
    <x v="6"/>
    <s v="4221.003"/>
    <s v="Intérêts compensat. / acomptes en faveur du fisc"/>
    <n v="0"/>
    <n v="38.130000000000003"/>
    <n v="4221"/>
  </r>
  <r>
    <x v="0"/>
    <x v="8"/>
    <x v="8"/>
    <x v="132"/>
    <x v="117"/>
    <x v="117"/>
    <s v="REVENUS"/>
    <x v="3"/>
    <s v="4002.007"/>
    <s v="Acompte impôt sur fortune"/>
    <n v="0"/>
    <n v="-16.45"/>
    <n v="4002"/>
  </r>
  <r>
    <x v="0"/>
    <x v="8"/>
    <x v="8"/>
    <x v="132"/>
    <x v="117"/>
    <x v="117"/>
    <s v="REVENUS"/>
    <x v="2"/>
    <s v="4001.002"/>
    <s v="Impôt complément s/revenu PP"/>
    <n v="0"/>
    <n v="90427.65"/>
    <n v="4001"/>
  </r>
  <r>
    <x v="0"/>
    <x v="8"/>
    <x v="8"/>
    <x v="132"/>
    <x v="117"/>
    <x v="117"/>
    <s v="REVENUS"/>
    <x v="3"/>
    <s v="4002.002"/>
    <s v="Impôt complémentaire s/fortune PP"/>
    <n v="0"/>
    <n v="25767.45"/>
    <n v="4002"/>
  </r>
  <r>
    <x v="0"/>
    <x v="8"/>
    <x v="8"/>
    <x v="132"/>
    <x v="117"/>
    <x v="117"/>
    <s v="REVENUS"/>
    <x v="14"/>
    <s v="4003.010"/>
    <s v="IS - Employés et sourciers étrangers"/>
    <n v="0"/>
    <n v="548.20000000000005"/>
    <n v="4003"/>
  </r>
  <r>
    <x v="0"/>
    <x v="8"/>
    <x v="8"/>
    <x v="132"/>
    <x v="117"/>
    <x v="117"/>
    <s v="REVENUS"/>
    <x v="2"/>
    <s v="4001.007"/>
    <s v="Acompte impôt sur revenu"/>
    <n v="0"/>
    <n v="9576.2999999999993"/>
    <n v="4001"/>
  </r>
  <r>
    <x v="0"/>
    <x v="8"/>
    <x v="8"/>
    <x v="132"/>
    <x v="117"/>
    <x v="117"/>
    <s v="REVENUS"/>
    <x v="3"/>
    <s v="4002.007"/>
    <s v="Acompte impôt sur fortune"/>
    <n v="0"/>
    <n v="-174.47"/>
    <n v="4002"/>
  </r>
  <r>
    <x v="0"/>
    <x v="8"/>
    <x v="8"/>
    <x v="132"/>
    <x v="117"/>
    <x v="117"/>
    <s v="REVENUS"/>
    <x v="8"/>
    <s v="4091.001"/>
    <s v="Impôt récupéré après défalcations"/>
    <n v="0"/>
    <n v="3339.7"/>
    <n v="4091"/>
  </r>
  <r>
    <x v="0"/>
    <x v="8"/>
    <x v="8"/>
    <x v="132"/>
    <x v="117"/>
    <x v="117"/>
    <s v="REVENUS"/>
    <x v="6"/>
    <s v="4221.003"/>
    <s v="Intérêts compensat. / acomptes en faveur du fisc"/>
    <n v="0"/>
    <n v="-9.44"/>
    <n v="4221"/>
  </r>
  <r>
    <x v="0"/>
    <x v="8"/>
    <x v="8"/>
    <x v="132"/>
    <x v="117"/>
    <x v="117"/>
    <s v="REVENUS"/>
    <x v="7"/>
    <s v="4184.000"/>
    <s v="Frais de poursuite"/>
    <n v="0"/>
    <n v="138.21"/>
    <n v="4184"/>
  </r>
  <r>
    <x v="0"/>
    <x v="8"/>
    <x v="8"/>
    <x v="132"/>
    <x v="117"/>
    <x v="117"/>
    <s v="REVENUS"/>
    <x v="6"/>
    <s v="4211.001"/>
    <s v="Intérêts de retard sur factures"/>
    <n v="0"/>
    <n v="34.049999999999997"/>
    <n v="4211"/>
  </r>
  <r>
    <x v="0"/>
    <x v="8"/>
    <x v="8"/>
    <x v="132"/>
    <x v="117"/>
    <x v="117"/>
    <s v="REVENUS"/>
    <x v="2"/>
    <s v="4001.002"/>
    <s v="Impôt complément s/revenu PP"/>
    <n v="0"/>
    <n v="5588"/>
    <n v="4001"/>
  </r>
  <r>
    <x v="0"/>
    <x v="8"/>
    <x v="8"/>
    <x v="132"/>
    <x v="117"/>
    <x v="117"/>
    <s v="REVENUS"/>
    <x v="3"/>
    <s v="4002.002"/>
    <s v="Impôt complémentaire s/fortune PP"/>
    <n v="0"/>
    <n v="1259"/>
    <n v="4002"/>
  </r>
  <r>
    <x v="0"/>
    <x v="8"/>
    <x v="8"/>
    <x v="132"/>
    <x v="117"/>
    <x v="117"/>
    <s v="REVENUS"/>
    <x v="2"/>
    <s v="4001.002"/>
    <s v="Impôt complément s/revenu PP"/>
    <n v="0"/>
    <n v="-21189.200000000001"/>
    <n v="4001"/>
  </r>
  <r>
    <x v="0"/>
    <x v="8"/>
    <x v="8"/>
    <x v="132"/>
    <x v="117"/>
    <x v="117"/>
    <s v="REVENUS"/>
    <x v="3"/>
    <s v="4002.002"/>
    <s v="Impôt complémentaire s/fortune PP"/>
    <n v="0"/>
    <n v="-3736.55"/>
    <n v="4002"/>
  </r>
  <r>
    <x v="0"/>
    <x v="8"/>
    <x v="8"/>
    <x v="132"/>
    <x v="117"/>
    <x v="117"/>
    <s v="REVENUS"/>
    <x v="6"/>
    <s v="4211.002"/>
    <s v="Intérêts de retard sur acomptes"/>
    <n v="0"/>
    <n v="4.28"/>
    <n v="4211"/>
  </r>
  <r>
    <x v="0"/>
    <x v="8"/>
    <x v="8"/>
    <x v="132"/>
    <x v="117"/>
    <x v="117"/>
    <s v="REVENUS"/>
    <x v="2"/>
    <s v="4001.001"/>
    <s v="Impôt revenu"/>
    <n v="0"/>
    <n v="3.75"/>
    <n v="4001"/>
  </r>
  <r>
    <x v="0"/>
    <x v="8"/>
    <x v="8"/>
    <x v="132"/>
    <x v="117"/>
    <x v="117"/>
    <s v="REVENUS"/>
    <x v="2"/>
    <s v="4001.007"/>
    <s v="Acompte impôt sur revenu"/>
    <n v="0"/>
    <n v="-107.1"/>
    <n v="4001"/>
  </r>
  <r>
    <x v="0"/>
    <x v="8"/>
    <x v="8"/>
    <x v="132"/>
    <x v="117"/>
    <x v="117"/>
    <s v="REVENUS"/>
    <x v="3"/>
    <s v="4002.001"/>
    <s v="Impôt ordinaire s/fortune PP"/>
    <n v="0"/>
    <n v="100.9"/>
    <n v="4002"/>
  </r>
  <r>
    <x v="0"/>
    <x v="8"/>
    <x v="8"/>
    <x v="132"/>
    <x v="117"/>
    <x v="117"/>
    <s v="REVENUS"/>
    <x v="6"/>
    <s v="4211.002"/>
    <s v="Intérêts de retard sur acomptes"/>
    <n v="0"/>
    <n v="332.94"/>
    <n v="4211"/>
  </r>
  <r>
    <x v="0"/>
    <x v="8"/>
    <x v="8"/>
    <x v="132"/>
    <x v="117"/>
    <x v="117"/>
    <s v="REVENUS"/>
    <x v="2"/>
    <s v="4001.005"/>
    <s v="Amende de soustract. Impôt"/>
    <n v="0"/>
    <n v="63000"/>
    <n v="4001"/>
  </r>
  <r>
    <x v="0"/>
    <x v="8"/>
    <x v="8"/>
    <x v="132"/>
    <x v="117"/>
    <x v="117"/>
    <s v="REVENUS"/>
    <x v="6"/>
    <s v="4211.001"/>
    <s v="Intérêts de retard sur factures"/>
    <n v="0"/>
    <n v="2226.12"/>
    <n v="4211"/>
  </r>
  <r>
    <x v="0"/>
    <x v="8"/>
    <x v="8"/>
    <x v="132"/>
    <x v="117"/>
    <x v="117"/>
    <s v="REVENUS"/>
    <x v="2"/>
    <s v="4001.001"/>
    <s v="Impôt revenu"/>
    <n v="0"/>
    <n v="-37069.699999999997"/>
    <n v="4001"/>
  </r>
  <r>
    <x v="0"/>
    <x v="8"/>
    <x v="8"/>
    <x v="132"/>
    <x v="117"/>
    <x v="117"/>
    <s v="REVENUS"/>
    <x v="3"/>
    <s v="4002.001"/>
    <s v="Impôt ordinaire s/fortune PP"/>
    <n v="0"/>
    <n v="-4834.25"/>
    <n v="4002"/>
  </r>
  <r>
    <x v="0"/>
    <x v="8"/>
    <x v="8"/>
    <x v="132"/>
    <x v="117"/>
    <x v="117"/>
    <s v="REVENUS"/>
    <x v="6"/>
    <s v="4221.003"/>
    <s v="Intérêts compensat. / acomptes en faveur du fisc"/>
    <n v="0"/>
    <n v="-0.01"/>
    <n v="4221"/>
  </r>
  <r>
    <x v="0"/>
    <x v="8"/>
    <x v="8"/>
    <x v="132"/>
    <x v="117"/>
    <x v="117"/>
    <s v="REVENUS"/>
    <x v="6"/>
    <s v="4211.002"/>
    <s v="Intérêts de retard sur acomptes"/>
    <n v="0"/>
    <n v="0.93"/>
    <n v="4211"/>
  </r>
  <r>
    <x v="0"/>
    <x v="8"/>
    <x v="8"/>
    <x v="132"/>
    <x v="117"/>
    <x v="117"/>
    <s v="REVENUS"/>
    <x v="4"/>
    <s v="4051.001"/>
    <s v="Impôt sur les successions"/>
    <n v="0"/>
    <n v="-239.2"/>
    <n v="4051"/>
  </r>
  <r>
    <x v="0"/>
    <x v="8"/>
    <x v="8"/>
    <x v="132"/>
    <x v="117"/>
    <x v="117"/>
    <s v="REVENUS"/>
    <x v="6"/>
    <s v="4221.002"/>
    <s v="Intérêts compensat. sur impôts distincts"/>
    <n v="0"/>
    <n v="-0.45"/>
    <n v="4221"/>
  </r>
  <r>
    <x v="0"/>
    <x v="8"/>
    <x v="8"/>
    <x v="132"/>
    <x v="117"/>
    <x v="117"/>
    <s v="REVENUS"/>
    <x v="2"/>
    <s v="4001.002"/>
    <s v="Impôt complément s/revenu PP"/>
    <n v="0"/>
    <n v="6780.5"/>
    <n v="4001"/>
  </r>
  <r>
    <x v="0"/>
    <x v="8"/>
    <x v="8"/>
    <x v="132"/>
    <x v="117"/>
    <x v="117"/>
    <s v="REVENUS"/>
    <x v="3"/>
    <s v="4002.002"/>
    <s v="Impôt complémentaire s/fortune PP"/>
    <n v="0"/>
    <n v="2344.9"/>
    <n v="4002"/>
  </r>
  <r>
    <x v="0"/>
    <x v="8"/>
    <x v="8"/>
    <x v="132"/>
    <x v="117"/>
    <x v="117"/>
    <s v="REVENUS"/>
    <x v="6"/>
    <s v="4211.001"/>
    <s v="Intérêts de retard sur factures"/>
    <n v="0"/>
    <n v="3.87"/>
    <n v="4211"/>
  </r>
  <r>
    <x v="0"/>
    <x v="8"/>
    <x v="7"/>
    <x v="133"/>
    <x v="118"/>
    <x v="118"/>
    <s v="CHARGES"/>
    <x v="0"/>
    <s v="3212.002"/>
    <s v="Intérêts bonifiés/trop perçu acompte C/C"/>
    <n v="32.81"/>
    <n v="0"/>
    <n v="3212"/>
  </r>
  <r>
    <x v="0"/>
    <x v="8"/>
    <x v="7"/>
    <x v="133"/>
    <x v="118"/>
    <x v="118"/>
    <s v="CHARGES"/>
    <x v="0"/>
    <s v="3212.004"/>
    <s v="Intérêts rémun./perçu trop tôt sur acomptes C/C"/>
    <n v="1574.01"/>
    <n v="0"/>
    <n v="3212"/>
  </r>
  <r>
    <x v="0"/>
    <x v="8"/>
    <x v="7"/>
    <x v="133"/>
    <x v="118"/>
    <x v="118"/>
    <s v="CHARGES"/>
    <x v="0"/>
    <s v="3221.002"/>
    <s v="Intérêts compensatoires / créances en faveur ctb."/>
    <n v="436.92"/>
    <n v="0"/>
    <n v="3221"/>
  </r>
  <r>
    <x v="0"/>
    <x v="8"/>
    <x v="7"/>
    <x v="133"/>
    <x v="118"/>
    <x v="118"/>
    <s v="CHARGES"/>
    <x v="1"/>
    <s v="3301.001"/>
    <s v="Défalcations, abandons de solde PP et IS"/>
    <n v="82532.28"/>
    <n v="0"/>
    <n v="3301"/>
  </r>
  <r>
    <x v="0"/>
    <x v="8"/>
    <x v="7"/>
    <x v="133"/>
    <x v="118"/>
    <x v="118"/>
    <s v="CHARGES"/>
    <x v="0"/>
    <s v="3212.004"/>
    <s v="Intérêts rémun./perçu trop tôt sur acomptes C/C"/>
    <n v="3.93"/>
    <n v="0"/>
    <n v="3212"/>
  </r>
  <r>
    <x v="0"/>
    <x v="8"/>
    <x v="7"/>
    <x v="133"/>
    <x v="118"/>
    <x v="118"/>
    <s v="CHARGES"/>
    <x v="0"/>
    <s v="3221.002"/>
    <s v="Intérêts compensatoires / créances en faveur ctb."/>
    <n v="9.32"/>
    <n v="0"/>
    <n v="3221"/>
  </r>
  <r>
    <x v="0"/>
    <x v="8"/>
    <x v="7"/>
    <x v="133"/>
    <x v="118"/>
    <x v="118"/>
    <s v="CHARGES"/>
    <x v="1"/>
    <s v="3301.001"/>
    <s v="Défalcations, abandons de solde PP et IS"/>
    <n v="36115.56"/>
    <n v="0"/>
    <n v="3301"/>
  </r>
  <r>
    <x v="0"/>
    <x v="8"/>
    <x v="7"/>
    <x v="133"/>
    <x v="118"/>
    <x v="118"/>
    <s v="CHARGES"/>
    <x v="0"/>
    <s v="3212.004"/>
    <s v="Intérêts rémun./perçu trop tôt sur acomptes C/C"/>
    <n v="5.22"/>
    <n v="0"/>
    <n v="3212"/>
  </r>
  <r>
    <x v="0"/>
    <x v="8"/>
    <x v="7"/>
    <x v="133"/>
    <x v="118"/>
    <x v="118"/>
    <s v="CHARGES"/>
    <x v="1"/>
    <s v="3301.001"/>
    <s v="Défalcations, abandons de solde PP et IS"/>
    <n v="-3768.81"/>
    <n v="0"/>
    <n v="3301"/>
  </r>
  <r>
    <x v="0"/>
    <x v="8"/>
    <x v="7"/>
    <x v="133"/>
    <x v="118"/>
    <x v="118"/>
    <s v="CHARGES"/>
    <x v="0"/>
    <s v="3221.002"/>
    <s v="Intérêts compensatoires / créances en faveur ctb."/>
    <n v="6.22"/>
    <n v="0"/>
    <n v="3221"/>
  </r>
  <r>
    <x v="0"/>
    <x v="8"/>
    <x v="7"/>
    <x v="133"/>
    <x v="118"/>
    <x v="118"/>
    <s v="CHARGES"/>
    <x v="1"/>
    <s v="3301.001"/>
    <s v="Défalcations, abandons de solde PP et IS"/>
    <n v="0.91"/>
    <n v="0"/>
    <n v="3301"/>
  </r>
  <r>
    <x v="0"/>
    <x v="8"/>
    <x v="7"/>
    <x v="133"/>
    <x v="118"/>
    <x v="118"/>
    <s v="CHARGES"/>
    <x v="0"/>
    <s v="3212.004"/>
    <s v="Intérêts rémun./perçu trop tôt sur acomptes C/C"/>
    <n v="14.91"/>
    <n v="0"/>
    <n v="3212"/>
  </r>
  <r>
    <x v="0"/>
    <x v="8"/>
    <x v="7"/>
    <x v="133"/>
    <x v="118"/>
    <x v="118"/>
    <s v="CHARGES"/>
    <x v="0"/>
    <s v="3221.002"/>
    <s v="Intérêts compensatoires / créances en faveur ctb."/>
    <n v="2.86"/>
    <n v="0"/>
    <n v="3221"/>
  </r>
  <r>
    <x v="0"/>
    <x v="8"/>
    <x v="7"/>
    <x v="133"/>
    <x v="118"/>
    <x v="118"/>
    <s v="CHARGES"/>
    <x v="1"/>
    <s v="3301.001"/>
    <s v="Défalcations, abandons de solde PP et IS"/>
    <n v="0.23"/>
    <n v="0"/>
    <n v="3301"/>
  </r>
  <r>
    <x v="0"/>
    <x v="8"/>
    <x v="7"/>
    <x v="133"/>
    <x v="118"/>
    <x v="118"/>
    <s v="CHARGES"/>
    <x v="0"/>
    <s v="3212.004"/>
    <s v="Intérêts rémun./perçu trop tôt sur acomptes C/C"/>
    <n v="0.65"/>
    <n v="0"/>
    <n v="3212"/>
  </r>
  <r>
    <x v="0"/>
    <x v="8"/>
    <x v="7"/>
    <x v="133"/>
    <x v="118"/>
    <x v="118"/>
    <s v="CHARGES"/>
    <x v="0"/>
    <s v="3221.002"/>
    <s v="Intérêts compensatoires / créances en faveur ctb."/>
    <n v="0.1"/>
    <n v="0"/>
    <n v="3221"/>
  </r>
  <r>
    <x v="0"/>
    <x v="8"/>
    <x v="7"/>
    <x v="133"/>
    <x v="118"/>
    <x v="118"/>
    <s v="CHARGES"/>
    <x v="0"/>
    <s v="3212.004"/>
    <s v="Intérêts rémun./perçu trop tôt sur acomptes C/C"/>
    <n v="23.7"/>
    <n v="0"/>
    <n v="3212"/>
  </r>
  <r>
    <x v="0"/>
    <x v="8"/>
    <x v="7"/>
    <x v="133"/>
    <x v="118"/>
    <x v="118"/>
    <s v="CHARGES"/>
    <x v="1"/>
    <s v="3301.003"/>
    <s v="Remises PP et IS"/>
    <n v="1389.23"/>
    <n v="0"/>
    <n v="3301"/>
  </r>
  <r>
    <x v="0"/>
    <x v="8"/>
    <x v="7"/>
    <x v="133"/>
    <x v="118"/>
    <x v="118"/>
    <s v="CHARGES"/>
    <x v="1"/>
    <s v="3301.001"/>
    <s v="Défalcations, abandons de solde PP et IS"/>
    <n v="0.01"/>
    <n v="0"/>
    <n v="3301"/>
  </r>
  <r>
    <x v="0"/>
    <x v="8"/>
    <x v="7"/>
    <x v="133"/>
    <x v="118"/>
    <x v="118"/>
    <s v="CHARGES"/>
    <x v="1"/>
    <s v="3301.001"/>
    <s v="Défalcations, abandons de solde PP et IS"/>
    <n v="1.98"/>
    <n v="0"/>
    <n v="3301"/>
  </r>
  <r>
    <x v="0"/>
    <x v="8"/>
    <x v="7"/>
    <x v="133"/>
    <x v="118"/>
    <x v="118"/>
    <s v="CHARGES"/>
    <x v="1"/>
    <s v="3301.001"/>
    <s v="Défalcations, abandons de solde PP et IS"/>
    <n v="1.26"/>
    <n v="0"/>
    <n v="3301"/>
  </r>
  <r>
    <x v="0"/>
    <x v="8"/>
    <x v="7"/>
    <x v="133"/>
    <x v="118"/>
    <x v="118"/>
    <s v="CHARGES"/>
    <x v="0"/>
    <s v="3221.002"/>
    <s v="Intérêts compensatoires / créances en faveur ctb."/>
    <n v="41.33"/>
    <n v="0"/>
    <n v="3221"/>
  </r>
  <r>
    <x v="0"/>
    <x v="8"/>
    <x v="7"/>
    <x v="133"/>
    <x v="118"/>
    <x v="118"/>
    <s v="REVENUS"/>
    <x v="2"/>
    <s v="4001.007"/>
    <s v="Acompte impôt sur revenu"/>
    <n v="0"/>
    <n v="-891914.89"/>
    <n v="4001"/>
  </r>
  <r>
    <x v="0"/>
    <x v="8"/>
    <x v="7"/>
    <x v="133"/>
    <x v="118"/>
    <x v="118"/>
    <s v="REVENUS"/>
    <x v="3"/>
    <s v="4002.007"/>
    <s v="Acompte impôt sur fortune"/>
    <n v="0"/>
    <n v="-145096.75"/>
    <n v="4002"/>
  </r>
  <r>
    <x v="0"/>
    <x v="8"/>
    <x v="7"/>
    <x v="133"/>
    <x v="118"/>
    <x v="118"/>
    <s v="REVENUS"/>
    <x v="2"/>
    <s v="4001.001"/>
    <s v="Impôt revenu"/>
    <n v="0"/>
    <n v="5904344.5999999996"/>
    <n v="4001"/>
  </r>
  <r>
    <x v="0"/>
    <x v="8"/>
    <x v="7"/>
    <x v="133"/>
    <x v="118"/>
    <x v="118"/>
    <s v="REVENUS"/>
    <x v="3"/>
    <s v="4002.001"/>
    <s v="Impôt ordinaire s/fortune PP"/>
    <n v="0"/>
    <n v="772874"/>
    <n v="4002"/>
  </r>
  <r>
    <x v="0"/>
    <x v="8"/>
    <x v="7"/>
    <x v="133"/>
    <x v="118"/>
    <x v="118"/>
    <s v="REVENUS"/>
    <x v="3"/>
    <s v="4002.002"/>
    <s v="Impôt complémentaire s/fortune PP"/>
    <n v="0"/>
    <n v="114412.85"/>
    <n v="4002"/>
  </r>
  <r>
    <x v="0"/>
    <x v="8"/>
    <x v="7"/>
    <x v="133"/>
    <x v="118"/>
    <x v="118"/>
    <s v="REVENUS"/>
    <x v="6"/>
    <s v="4211.001"/>
    <s v="Intérêts de retard sur factures"/>
    <n v="0"/>
    <n v="25273.51"/>
    <n v="4211"/>
  </r>
  <r>
    <x v="0"/>
    <x v="8"/>
    <x v="7"/>
    <x v="133"/>
    <x v="118"/>
    <x v="118"/>
    <s v="REVENUS"/>
    <x v="6"/>
    <s v="4211.002"/>
    <s v="Intérêts de retard sur acomptes"/>
    <n v="0"/>
    <n v="35638.22"/>
    <n v="4211"/>
  </r>
  <r>
    <x v="0"/>
    <x v="8"/>
    <x v="7"/>
    <x v="133"/>
    <x v="118"/>
    <x v="118"/>
    <s v="REVENUS"/>
    <x v="6"/>
    <s v="4221.003"/>
    <s v="Intérêts compensat. / acomptes en faveur du fisc"/>
    <n v="0"/>
    <n v="1037.71"/>
    <n v="4221"/>
  </r>
  <r>
    <x v="0"/>
    <x v="8"/>
    <x v="7"/>
    <x v="133"/>
    <x v="118"/>
    <x v="118"/>
    <s v="REVENUS"/>
    <x v="2"/>
    <s v="4001.002"/>
    <s v="Impôt complément s/revenu PP"/>
    <n v="0"/>
    <n v="800839.95"/>
    <n v="4001"/>
  </r>
  <r>
    <x v="0"/>
    <x v="8"/>
    <x v="7"/>
    <x v="133"/>
    <x v="118"/>
    <x v="118"/>
    <s v="REVENUS"/>
    <x v="2"/>
    <s v="4001.003"/>
    <s v="Impôt s/prest. cap. PP"/>
    <n v="0"/>
    <n v="173767.7"/>
    <n v="4001"/>
  </r>
  <r>
    <x v="0"/>
    <x v="8"/>
    <x v="7"/>
    <x v="133"/>
    <x v="118"/>
    <x v="118"/>
    <s v="REVENUS"/>
    <x v="7"/>
    <s v="4184.000"/>
    <s v="Frais de poursuite"/>
    <n v="0"/>
    <n v="6887.42"/>
    <n v="4184"/>
  </r>
  <r>
    <x v="0"/>
    <x v="8"/>
    <x v="7"/>
    <x v="133"/>
    <x v="118"/>
    <x v="118"/>
    <s v="REVENUS"/>
    <x v="6"/>
    <s v="4221.002"/>
    <s v="Intérêts compensat. sur impôts distincts"/>
    <n v="0"/>
    <n v="36.1"/>
    <n v="4221"/>
  </r>
  <r>
    <x v="0"/>
    <x v="8"/>
    <x v="7"/>
    <x v="133"/>
    <x v="118"/>
    <x v="118"/>
    <s v="REVENUS"/>
    <x v="2"/>
    <s v="4001.007"/>
    <s v="Acompte impôt sur revenu"/>
    <n v="0"/>
    <n v="-168.25"/>
    <n v="4001"/>
  </r>
  <r>
    <x v="0"/>
    <x v="8"/>
    <x v="7"/>
    <x v="133"/>
    <x v="118"/>
    <x v="118"/>
    <s v="REVENUS"/>
    <x v="3"/>
    <s v="4002.007"/>
    <s v="Acompte impôt sur fortune"/>
    <n v="0"/>
    <n v="364.1"/>
    <n v="4002"/>
  </r>
  <r>
    <x v="0"/>
    <x v="8"/>
    <x v="7"/>
    <x v="133"/>
    <x v="118"/>
    <x v="118"/>
    <s v="REVENUS"/>
    <x v="2"/>
    <s v="4001.001"/>
    <s v="Impôt revenu"/>
    <n v="0"/>
    <n v="2346.4"/>
    <n v="4001"/>
  </r>
  <r>
    <x v="0"/>
    <x v="8"/>
    <x v="7"/>
    <x v="133"/>
    <x v="118"/>
    <x v="118"/>
    <s v="REVENUS"/>
    <x v="3"/>
    <s v="4002.001"/>
    <s v="Impôt ordinaire s/fortune PP"/>
    <n v="0"/>
    <n v="761.2"/>
    <n v="4002"/>
  </r>
  <r>
    <x v="0"/>
    <x v="8"/>
    <x v="7"/>
    <x v="133"/>
    <x v="118"/>
    <x v="118"/>
    <s v="REVENUS"/>
    <x v="2"/>
    <s v="4001.001"/>
    <s v="Impôt revenu"/>
    <n v="0"/>
    <n v="7508.85"/>
    <n v="4001"/>
  </r>
  <r>
    <x v="0"/>
    <x v="8"/>
    <x v="7"/>
    <x v="133"/>
    <x v="118"/>
    <x v="118"/>
    <s v="REVENUS"/>
    <x v="3"/>
    <s v="4002.001"/>
    <s v="Impôt ordinaire s/fortune PP"/>
    <n v="0"/>
    <n v="4553.3500000000004"/>
    <n v="4002"/>
  </r>
  <r>
    <x v="0"/>
    <x v="8"/>
    <x v="7"/>
    <x v="133"/>
    <x v="118"/>
    <x v="118"/>
    <s v="REVENUS"/>
    <x v="3"/>
    <s v="4002.007"/>
    <s v="Acompte impôt sur fortune"/>
    <n v="0"/>
    <n v="3293.86"/>
    <n v="4002"/>
  </r>
  <r>
    <x v="0"/>
    <x v="8"/>
    <x v="7"/>
    <x v="133"/>
    <x v="118"/>
    <x v="118"/>
    <s v="REVENUS"/>
    <x v="7"/>
    <s v="4184.000"/>
    <s v="Frais de poursuite"/>
    <n v="0"/>
    <n v="700.25"/>
    <n v="4184"/>
  </r>
  <r>
    <x v="0"/>
    <x v="8"/>
    <x v="7"/>
    <x v="133"/>
    <x v="118"/>
    <x v="118"/>
    <s v="REVENUS"/>
    <x v="7"/>
    <s v="4184.000"/>
    <s v="Frais de poursuite"/>
    <n v="0"/>
    <n v="27.05"/>
    <n v="4184"/>
  </r>
  <r>
    <x v="0"/>
    <x v="8"/>
    <x v="7"/>
    <x v="133"/>
    <x v="118"/>
    <x v="118"/>
    <s v="REVENUS"/>
    <x v="2"/>
    <s v="4001.007"/>
    <s v="Acompte impôt sur revenu"/>
    <n v="0"/>
    <n v="16417.419999999998"/>
    <n v="4001"/>
  </r>
  <r>
    <x v="0"/>
    <x v="8"/>
    <x v="7"/>
    <x v="133"/>
    <x v="118"/>
    <x v="118"/>
    <s v="REVENUS"/>
    <x v="6"/>
    <s v="4211.001"/>
    <s v="Intérêts de retard sur factures"/>
    <n v="0"/>
    <n v="21.99"/>
    <n v="4211"/>
  </r>
  <r>
    <x v="0"/>
    <x v="8"/>
    <x v="7"/>
    <x v="133"/>
    <x v="118"/>
    <x v="118"/>
    <s v="REVENUS"/>
    <x v="2"/>
    <s v="4001.007"/>
    <s v="Acompte impôt sur revenu"/>
    <n v="0"/>
    <n v="-2689.53"/>
    <n v="4001"/>
  </r>
  <r>
    <x v="0"/>
    <x v="8"/>
    <x v="7"/>
    <x v="133"/>
    <x v="118"/>
    <x v="118"/>
    <s v="REVENUS"/>
    <x v="3"/>
    <s v="4002.001"/>
    <s v="Impôt ordinaire s/fortune PP"/>
    <n v="0"/>
    <n v="9983.5"/>
    <n v="4002"/>
  </r>
  <r>
    <x v="0"/>
    <x v="8"/>
    <x v="7"/>
    <x v="133"/>
    <x v="118"/>
    <x v="118"/>
    <s v="REVENUS"/>
    <x v="2"/>
    <s v="4001.007"/>
    <s v="Acompte impôt sur revenu"/>
    <n v="0"/>
    <n v="-3710.67"/>
    <n v="4001"/>
  </r>
  <r>
    <x v="0"/>
    <x v="8"/>
    <x v="7"/>
    <x v="133"/>
    <x v="118"/>
    <x v="118"/>
    <s v="REVENUS"/>
    <x v="3"/>
    <s v="4002.007"/>
    <s v="Acompte impôt sur fortune"/>
    <n v="0"/>
    <n v="-1266.3900000000001"/>
    <n v="4002"/>
  </r>
  <r>
    <x v="0"/>
    <x v="8"/>
    <x v="7"/>
    <x v="133"/>
    <x v="118"/>
    <x v="118"/>
    <s v="REVENUS"/>
    <x v="12"/>
    <s v="4004.007"/>
    <s v="Acompte spécial étrangers"/>
    <n v="0"/>
    <n v="224.5"/>
    <n v="4004"/>
  </r>
  <r>
    <x v="0"/>
    <x v="8"/>
    <x v="7"/>
    <x v="133"/>
    <x v="118"/>
    <x v="118"/>
    <s v="REVENUS"/>
    <x v="3"/>
    <s v="4002.007"/>
    <s v="Acompte impôt sur fortune"/>
    <n v="0"/>
    <n v="4629.95"/>
    <n v="4002"/>
  </r>
  <r>
    <x v="0"/>
    <x v="8"/>
    <x v="7"/>
    <x v="133"/>
    <x v="118"/>
    <x v="118"/>
    <s v="REVENUS"/>
    <x v="2"/>
    <s v="4001.007"/>
    <s v="Acompte impôt sur revenu"/>
    <n v="0"/>
    <n v="-683.24"/>
    <n v="4001"/>
  </r>
  <r>
    <x v="0"/>
    <x v="8"/>
    <x v="7"/>
    <x v="133"/>
    <x v="118"/>
    <x v="118"/>
    <s v="REVENUS"/>
    <x v="3"/>
    <s v="4002.007"/>
    <s v="Acompte impôt sur fortune"/>
    <n v="0"/>
    <n v="-470.67"/>
    <n v="4002"/>
  </r>
  <r>
    <x v="0"/>
    <x v="8"/>
    <x v="7"/>
    <x v="133"/>
    <x v="118"/>
    <x v="118"/>
    <s v="REVENUS"/>
    <x v="2"/>
    <s v="4001.002"/>
    <s v="Impôt complément s/revenu PP"/>
    <n v="0"/>
    <n v="10590.2"/>
    <n v="4001"/>
  </r>
  <r>
    <x v="0"/>
    <x v="8"/>
    <x v="7"/>
    <x v="133"/>
    <x v="118"/>
    <x v="118"/>
    <s v="REVENUS"/>
    <x v="3"/>
    <s v="4002.002"/>
    <s v="Impôt complémentaire s/fortune PP"/>
    <n v="0"/>
    <n v="1033.25"/>
    <n v="4002"/>
  </r>
  <r>
    <x v="0"/>
    <x v="8"/>
    <x v="7"/>
    <x v="133"/>
    <x v="118"/>
    <x v="118"/>
    <s v="REVENUS"/>
    <x v="6"/>
    <s v="4211.001"/>
    <s v="Intérêts de retard sur factures"/>
    <n v="0"/>
    <n v="979.76"/>
    <n v="4211"/>
  </r>
  <r>
    <x v="0"/>
    <x v="8"/>
    <x v="7"/>
    <x v="133"/>
    <x v="118"/>
    <x v="118"/>
    <s v="REVENUS"/>
    <x v="6"/>
    <s v="4211.002"/>
    <s v="Intérêts de retard sur acomptes"/>
    <n v="0"/>
    <n v="13.48"/>
    <n v="4211"/>
  </r>
  <r>
    <x v="0"/>
    <x v="8"/>
    <x v="7"/>
    <x v="133"/>
    <x v="118"/>
    <x v="118"/>
    <s v="REVENUS"/>
    <x v="6"/>
    <s v="4221.003"/>
    <s v="Intérêts compensat. / acomptes en faveur du fisc"/>
    <n v="0"/>
    <n v="3.31"/>
    <n v="4221"/>
  </r>
  <r>
    <x v="0"/>
    <x v="8"/>
    <x v="7"/>
    <x v="133"/>
    <x v="118"/>
    <x v="118"/>
    <s v="REVENUS"/>
    <x v="6"/>
    <s v="4211.001"/>
    <s v="Intérêts de retard sur factures"/>
    <n v="0"/>
    <n v="160.63"/>
    <n v="4211"/>
  </r>
  <r>
    <x v="0"/>
    <x v="8"/>
    <x v="7"/>
    <x v="133"/>
    <x v="118"/>
    <x v="118"/>
    <s v="REVENUS"/>
    <x v="2"/>
    <s v="4001.001"/>
    <s v="Impôt revenu"/>
    <n v="0"/>
    <n v="32217.7"/>
    <n v="4001"/>
  </r>
  <r>
    <x v="0"/>
    <x v="8"/>
    <x v="7"/>
    <x v="133"/>
    <x v="118"/>
    <x v="118"/>
    <s v="REVENUS"/>
    <x v="10"/>
    <s v="4041.001"/>
    <s v="Droits de mutation"/>
    <n v="0"/>
    <n v="171786.15"/>
    <n v="4041"/>
  </r>
  <r>
    <x v="0"/>
    <x v="8"/>
    <x v="7"/>
    <x v="133"/>
    <x v="118"/>
    <x v="118"/>
    <s v="REVENUS"/>
    <x v="2"/>
    <s v="4001.007"/>
    <s v="Acompte impôt sur revenu"/>
    <n v="0"/>
    <n v="-536.29"/>
    <n v="4001"/>
  </r>
  <r>
    <x v="0"/>
    <x v="8"/>
    <x v="7"/>
    <x v="133"/>
    <x v="118"/>
    <x v="118"/>
    <s v="REVENUS"/>
    <x v="2"/>
    <s v="4001.007"/>
    <s v="Acompte impôt sur revenu"/>
    <n v="0"/>
    <n v="2752.6"/>
    <n v="4001"/>
  </r>
  <r>
    <x v="0"/>
    <x v="8"/>
    <x v="7"/>
    <x v="133"/>
    <x v="118"/>
    <x v="118"/>
    <s v="REVENUS"/>
    <x v="3"/>
    <s v="4002.007"/>
    <s v="Acompte impôt sur fortune"/>
    <n v="0"/>
    <n v="700.17"/>
    <n v="4002"/>
  </r>
  <r>
    <x v="0"/>
    <x v="8"/>
    <x v="7"/>
    <x v="133"/>
    <x v="118"/>
    <x v="118"/>
    <s v="REVENUS"/>
    <x v="2"/>
    <s v="4001.001"/>
    <s v="Impôt revenu"/>
    <n v="0"/>
    <n v="3273.25"/>
    <n v="4001"/>
  </r>
  <r>
    <x v="0"/>
    <x v="8"/>
    <x v="7"/>
    <x v="133"/>
    <x v="118"/>
    <x v="118"/>
    <s v="REVENUS"/>
    <x v="3"/>
    <s v="4002.001"/>
    <s v="Impôt ordinaire s/fortune PP"/>
    <n v="0"/>
    <n v="1305.25"/>
    <n v="4002"/>
  </r>
  <r>
    <x v="0"/>
    <x v="8"/>
    <x v="7"/>
    <x v="133"/>
    <x v="118"/>
    <x v="118"/>
    <s v="REVENUS"/>
    <x v="6"/>
    <s v="4211.002"/>
    <s v="Intérêts de retard sur acomptes"/>
    <n v="0"/>
    <n v="21.53"/>
    <n v="4211"/>
  </r>
  <r>
    <x v="0"/>
    <x v="8"/>
    <x v="7"/>
    <x v="133"/>
    <x v="118"/>
    <x v="118"/>
    <s v="REVENUS"/>
    <x v="4"/>
    <s v="4051.001"/>
    <s v="Impôt sur les successions"/>
    <n v="0"/>
    <n v="83.5"/>
    <n v="4051"/>
  </r>
  <r>
    <x v="0"/>
    <x v="8"/>
    <x v="7"/>
    <x v="133"/>
    <x v="118"/>
    <x v="118"/>
    <s v="REVENUS"/>
    <x v="2"/>
    <s v="4001.002"/>
    <s v="Impôt complément s/revenu PP"/>
    <n v="0"/>
    <n v="4638.8"/>
    <n v="4001"/>
  </r>
  <r>
    <x v="0"/>
    <x v="8"/>
    <x v="7"/>
    <x v="133"/>
    <x v="118"/>
    <x v="118"/>
    <s v="REVENUS"/>
    <x v="3"/>
    <s v="4002.002"/>
    <s v="Impôt complémentaire s/fortune PP"/>
    <n v="0"/>
    <n v="62.15"/>
    <n v="4002"/>
  </r>
  <r>
    <x v="0"/>
    <x v="8"/>
    <x v="7"/>
    <x v="133"/>
    <x v="118"/>
    <x v="118"/>
    <s v="REVENUS"/>
    <x v="3"/>
    <s v="4002.001"/>
    <s v="Impôt ordinaire s/fortune PP"/>
    <n v="0"/>
    <n v="17815.45"/>
    <n v="4002"/>
  </r>
  <r>
    <x v="0"/>
    <x v="8"/>
    <x v="7"/>
    <x v="133"/>
    <x v="118"/>
    <x v="118"/>
    <s v="REVENUS"/>
    <x v="8"/>
    <s v="4091.001"/>
    <s v="Impôt récupéré après défalcations"/>
    <n v="0"/>
    <n v="9450.0300000000007"/>
    <n v="4091"/>
  </r>
  <r>
    <x v="0"/>
    <x v="8"/>
    <x v="7"/>
    <x v="133"/>
    <x v="118"/>
    <x v="118"/>
    <s v="REVENUS"/>
    <x v="6"/>
    <s v="4211.002"/>
    <s v="Intérêts de retard sur acomptes"/>
    <n v="0"/>
    <n v="-272.22000000000003"/>
    <n v="4211"/>
  </r>
  <r>
    <x v="0"/>
    <x v="8"/>
    <x v="7"/>
    <x v="133"/>
    <x v="118"/>
    <x v="118"/>
    <s v="REVENUS"/>
    <x v="2"/>
    <s v="4001.007"/>
    <s v="Acompte impôt sur revenu"/>
    <n v="0"/>
    <n v="-443.9"/>
    <n v="4001"/>
  </r>
  <r>
    <x v="0"/>
    <x v="8"/>
    <x v="7"/>
    <x v="133"/>
    <x v="118"/>
    <x v="118"/>
    <s v="REVENUS"/>
    <x v="3"/>
    <s v="4002.007"/>
    <s v="Acompte impôt sur fortune"/>
    <n v="0"/>
    <n v="-1643.6"/>
    <n v="4002"/>
  </r>
  <r>
    <x v="0"/>
    <x v="8"/>
    <x v="7"/>
    <x v="133"/>
    <x v="118"/>
    <x v="118"/>
    <s v="REVENUS"/>
    <x v="8"/>
    <s v="4091.001"/>
    <s v="Impôt récupéré après défalcations"/>
    <n v="0"/>
    <n v="40739.1"/>
    <n v="4091"/>
  </r>
  <r>
    <x v="0"/>
    <x v="8"/>
    <x v="7"/>
    <x v="133"/>
    <x v="118"/>
    <x v="118"/>
    <s v="REVENUS"/>
    <x v="2"/>
    <s v="4001.001"/>
    <s v="Impôt revenu"/>
    <n v="0"/>
    <n v="-64.55"/>
    <n v="4001"/>
  </r>
  <r>
    <x v="0"/>
    <x v="8"/>
    <x v="7"/>
    <x v="133"/>
    <x v="118"/>
    <x v="118"/>
    <s v="REVENUS"/>
    <x v="6"/>
    <s v="4211.001"/>
    <s v="Intérêts de retard sur factures"/>
    <n v="0"/>
    <n v="-0.03"/>
    <n v="4211"/>
  </r>
  <r>
    <x v="0"/>
    <x v="8"/>
    <x v="7"/>
    <x v="133"/>
    <x v="118"/>
    <x v="118"/>
    <s v="REVENUS"/>
    <x v="6"/>
    <s v="4211.002"/>
    <s v="Intérêts de retard sur acomptes"/>
    <n v="0"/>
    <n v="0.28000000000000003"/>
    <n v="4211"/>
  </r>
  <r>
    <x v="0"/>
    <x v="8"/>
    <x v="7"/>
    <x v="133"/>
    <x v="118"/>
    <x v="118"/>
    <s v="REVENUS"/>
    <x v="2"/>
    <s v="4001.002"/>
    <s v="Impôt complément s/revenu PP"/>
    <n v="0"/>
    <n v="19255.95"/>
    <n v="4001"/>
  </r>
  <r>
    <x v="0"/>
    <x v="8"/>
    <x v="7"/>
    <x v="133"/>
    <x v="118"/>
    <x v="118"/>
    <s v="REVENUS"/>
    <x v="3"/>
    <s v="4002.002"/>
    <s v="Impôt complémentaire s/fortune PP"/>
    <n v="0"/>
    <n v="11788.5"/>
    <n v="4002"/>
  </r>
  <r>
    <x v="0"/>
    <x v="8"/>
    <x v="7"/>
    <x v="133"/>
    <x v="118"/>
    <x v="118"/>
    <s v="REVENUS"/>
    <x v="2"/>
    <s v="4001.001"/>
    <s v="Impôt revenu"/>
    <n v="0"/>
    <n v="17686"/>
    <n v="4001"/>
  </r>
  <r>
    <x v="0"/>
    <x v="8"/>
    <x v="7"/>
    <x v="133"/>
    <x v="118"/>
    <x v="118"/>
    <s v="REVENUS"/>
    <x v="6"/>
    <s v="4211.002"/>
    <s v="Intérêts de retard sur acomptes"/>
    <n v="0"/>
    <n v="1.59"/>
    <n v="4211"/>
  </r>
  <r>
    <x v="0"/>
    <x v="8"/>
    <x v="7"/>
    <x v="133"/>
    <x v="118"/>
    <x v="118"/>
    <s v="REVENUS"/>
    <x v="6"/>
    <s v="4211.002"/>
    <s v="Intérêts de retard sur acomptes"/>
    <n v="0"/>
    <n v="16.82"/>
    <n v="4211"/>
  </r>
  <r>
    <x v="0"/>
    <x v="8"/>
    <x v="7"/>
    <x v="133"/>
    <x v="118"/>
    <x v="118"/>
    <s v="REVENUS"/>
    <x v="11"/>
    <s v="4198.000"/>
    <s v="Contributions communales"/>
    <n v="0"/>
    <n v="386487.95"/>
    <n v="4198"/>
  </r>
  <r>
    <x v="0"/>
    <x v="8"/>
    <x v="7"/>
    <x v="133"/>
    <x v="118"/>
    <x v="118"/>
    <s v="REVENUS"/>
    <x v="6"/>
    <s v="4221.003"/>
    <s v="Intérêts compensat. / acomptes en faveur du fisc"/>
    <n v="0"/>
    <n v="1.0900000000000001"/>
    <n v="4221"/>
  </r>
  <r>
    <x v="0"/>
    <x v="8"/>
    <x v="7"/>
    <x v="133"/>
    <x v="118"/>
    <x v="118"/>
    <s v="REVENUS"/>
    <x v="9"/>
    <s v="4031.001"/>
    <s v="Impôt sur les gains immobiliers"/>
    <n v="0"/>
    <n v="105588.25"/>
    <n v="4031"/>
  </r>
  <r>
    <x v="0"/>
    <x v="8"/>
    <x v="7"/>
    <x v="133"/>
    <x v="118"/>
    <x v="118"/>
    <s v="REVENUS"/>
    <x v="6"/>
    <s v="4211.001"/>
    <s v="Intérêts de retard sur factures"/>
    <n v="0"/>
    <n v="7.0000000000000007E-2"/>
    <n v="4211"/>
  </r>
  <r>
    <x v="0"/>
    <x v="8"/>
    <x v="7"/>
    <x v="133"/>
    <x v="118"/>
    <x v="118"/>
    <s v="REVENUS"/>
    <x v="5"/>
    <s v="4061.000"/>
    <s v="Impôt sur les chiens"/>
    <n v="0"/>
    <n v="16050"/>
    <n v="4061"/>
  </r>
  <r>
    <x v="0"/>
    <x v="8"/>
    <x v="7"/>
    <x v="133"/>
    <x v="118"/>
    <x v="118"/>
    <s v="REVENUS"/>
    <x v="6"/>
    <s v="4221.003"/>
    <s v="Intérêts compensat. / acomptes en faveur du fisc"/>
    <n v="0"/>
    <n v="0.22"/>
    <n v="4221"/>
  </r>
  <r>
    <x v="0"/>
    <x v="8"/>
    <x v="7"/>
    <x v="133"/>
    <x v="118"/>
    <x v="118"/>
    <s v="REVENUS"/>
    <x v="9"/>
    <s v="4031.002"/>
    <s v="Complément impôt sur les gains immobiliers"/>
    <n v="0"/>
    <n v="6983.4"/>
    <n v="4031"/>
  </r>
  <r>
    <x v="0"/>
    <x v="8"/>
    <x v="7"/>
    <x v="133"/>
    <x v="118"/>
    <x v="118"/>
    <s v="REVENUS"/>
    <x v="6"/>
    <s v="4221.003"/>
    <s v="Intérêts compensat. / acomptes en faveur du fisc"/>
    <n v="0"/>
    <n v="1.27"/>
    <n v="4221"/>
  </r>
  <r>
    <x v="0"/>
    <x v="8"/>
    <x v="7"/>
    <x v="133"/>
    <x v="118"/>
    <x v="118"/>
    <s v="REVENUS"/>
    <x v="6"/>
    <s v="4221.003"/>
    <s v="Intérêts compensat. / acomptes en faveur du fisc"/>
    <n v="0"/>
    <n v="1.98"/>
    <n v="4221"/>
  </r>
  <r>
    <x v="0"/>
    <x v="8"/>
    <x v="7"/>
    <x v="133"/>
    <x v="118"/>
    <x v="118"/>
    <s v="REVENUS"/>
    <x v="2"/>
    <s v="4001.002"/>
    <s v="Impôt complément s/revenu PP"/>
    <n v="0"/>
    <n v="-18589.900000000001"/>
    <n v="4001"/>
  </r>
  <r>
    <x v="0"/>
    <x v="8"/>
    <x v="7"/>
    <x v="133"/>
    <x v="118"/>
    <x v="118"/>
    <s v="REVENUS"/>
    <x v="3"/>
    <s v="4002.002"/>
    <s v="Impôt complémentaire s/fortune PP"/>
    <n v="0"/>
    <n v="-11205.95"/>
    <n v="4002"/>
  </r>
  <r>
    <x v="0"/>
    <x v="8"/>
    <x v="7"/>
    <x v="133"/>
    <x v="118"/>
    <x v="118"/>
    <s v="REVENUS"/>
    <x v="12"/>
    <s v="4004.000"/>
    <s v="Impôt spécial étrangers"/>
    <n v="0"/>
    <n v="45356.85"/>
    <n v="4004"/>
  </r>
  <r>
    <x v="0"/>
    <x v="7"/>
    <x v="6"/>
    <x v="134"/>
    <x v="119"/>
    <x v="119"/>
    <s v="CHARGES"/>
    <x v="0"/>
    <s v="3212.002"/>
    <s v="Intérêts bonifiés/trop perçu acompte C/C"/>
    <n v="0.15"/>
    <n v="0"/>
    <n v="3212"/>
  </r>
  <r>
    <x v="0"/>
    <x v="7"/>
    <x v="6"/>
    <x v="134"/>
    <x v="119"/>
    <x v="119"/>
    <s v="CHARGES"/>
    <x v="0"/>
    <s v="3212.004"/>
    <s v="Intérêts rémun./perçu trop tôt sur acomptes C/C"/>
    <n v="1380.67"/>
    <n v="0"/>
    <n v="3212"/>
  </r>
  <r>
    <x v="0"/>
    <x v="7"/>
    <x v="6"/>
    <x v="134"/>
    <x v="119"/>
    <x v="119"/>
    <s v="CHARGES"/>
    <x v="0"/>
    <s v="3221.002"/>
    <s v="Intérêts compensatoires / créances en faveur ctb."/>
    <n v="743.4"/>
    <n v="0"/>
    <n v="3221"/>
  </r>
  <r>
    <x v="0"/>
    <x v="7"/>
    <x v="6"/>
    <x v="134"/>
    <x v="119"/>
    <x v="119"/>
    <s v="CHARGES"/>
    <x v="1"/>
    <s v="3301.001"/>
    <s v="Défalcations, abandons de solde PP et IS"/>
    <n v="3954.86"/>
    <n v="0"/>
    <n v="3301"/>
  </r>
  <r>
    <x v="0"/>
    <x v="7"/>
    <x v="6"/>
    <x v="134"/>
    <x v="119"/>
    <x v="119"/>
    <s v="CHARGES"/>
    <x v="1"/>
    <s v="3301.001"/>
    <s v="Défalcations, abandons de solde PP et IS"/>
    <n v="4.67"/>
    <n v="0"/>
    <n v="3301"/>
  </r>
  <r>
    <x v="0"/>
    <x v="7"/>
    <x v="6"/>
    <x v="134"/>
    <x v="119"/>
    <x v="119"/>
    <s v="CHARGES"/>
    <x v="1"/>
    <s v="3301.001"/>
    <s v="Défalcations, abandons de solde PP et IS"/>
    <n v="0.14000000000000001"/>
    <n v="0"/>
    <n v="3301"/>
  </r>
  <r>
    <x v="0"/>
    <x v="7"/>
    <x v="6"/>
    <x v="134"/>
    <x v="119"/>
    <x v="119"/>
    <s v="CHARGES"/>
    <x v="0"/>
    <s v="3212.002"/>
    <s v="Intérêts bonifiés/trop perçu acompte C/C"/>
    <n v="53.91"/>
    <n v="0"/>
    <n v="3212"/>
  </r>
  <r>
    <x v="0"/>
    <x v="7"/>
    <x v="6"/>
    <x v="134"/>
    <x v="119"/>
    <x v="119"/>
    <s v="CHARGES"/>
    <x v="0"/>
    <s v="3212.004"/>
    <s v="Intérêts rémun./perçu trop tôt sur acomptes C/C"/>
    <n v="1.1599999999999999"/>
    <n v="0"/>
    <n v="3212"/>
  </r>
  <r>
    <x v="0"/>
    <x v="7"/>
    <x v="6"/>
    <x v="134"/>
    <x v="119"/>
    <x v="119"/>
    <s v="CHARGES"/>
    <x v="0"/>
    <s v="3212.004"/>
    <s v="Intérêts rémun./perçu trop tôt sur acomptes C/C"/>
    <n v="15.57"/>
    <n v="0"/>
    <n v="3212"/>
  </r>
  <r>
    <x v="0"/>
    <x v="7"/>
    <x v="6"/>
    <x v="134"/>
    <x v="119"/>
    <x v="119"/>
    <s v="CHARGES"/>
    <x v="0"/>
    <s v="3221.002"/>
    <s v="Intérêts compensatoires / créances en faveur ctb."/>
    <n v="6.83"/>
    <n v="0"/>
    <n v="3221"/>
  </r>
  <r>
    <x v="0"/>
    <x v="7"/>
    <x v="6"/>
    <x v="134"/>
    <x v="119"/>
    <x v="119"/>
    <s v="CHARGES"/>
    <x v="0"/>
    <s v="3212.004"/>
    <s v="Intérêts rémun./perçu trop tôt sur acomptes C/C"/>
    <n v="2.25"/>
    <n v="0"/>
    <n v="3212"/>
  </r>
  <r>
    <x v="0"/>
    <x v="7"/>
    <x v="6"/>
    <x v="134"/>
    <x v="119"/>
    <x v="119"/>
    <s v="CHARGES"/>
    <x v="0"/>
    <s v="3221.002"/>
    <s v="Intérêts compensatoires / créances en faveur ctb."/>
    <n v="0.46"/>
    <n v="0"/>
    <n v="3221"/>
  </r>
  <r>
    <x v="0"/>
    <x v="7"/>
    <x v="6"/>
    <x v="134"/>
    <x v="119"/>
    <x v="119"/>
    <s v="CHARGES"/>
    <x v="1"/>
    <s v="3301.001"/>
    <s v="Défalcations, abandons de solde PP et IS"/>
    <n v="0.26"/>
    <n v="0"/>
    <n v="3301"/>
  </r>
  <r>
    <x v="0"/>
    <x v="7"/>
    <x v="6"/>
    <x v="134"/>
    <x v="119"/>
    <x v="119"/>
    <s v="CHARGES"/>
    <x v="0"/>
    <s v="3212.004"/>
    <s v="Intérêts rémun./perçu trop tôt sur acomptes C/C"/>
    <n v="-62.9"/>
    <n v="0"/>
    <n v="3212"/>
  </r>
  <r>
    <x v="0"/>
    <x v="7"/>
    <x v="6"/>
    <x v="134"/>
    <x v="119"/>
    <x v="119"/>
    <s v="CHARGES"/>
    <x v="1"/>
    <s v="3301.001"/>
    <s v="Défalcations, abandons de solde PP et IS"/>
    <n v="-29.58"/>
    <n v="0"/>
    <n v="3301"/>
  </r>
  <r>
    <x v="0"/>
    <x v="7"/>
    <x v="6"/>
    <x v="134"/>
    <x v="119"/>
    <x v="119"/>
    <s v="CHARGES"/>
    <x v="0"/>
    <s v="3221.002"/>
    <s v="Intérêts compensatoires / créances en faveur ctb."/>
    <n v="0.46"/>
    <n v="0"/>
    <n v="3221"/>
  </r>
  <r>
    <x v="0"/>
    <x v="7"/>
    <x v="6"/>
    <x v="134"/>
    <x v="119"/>
    <x v="119"/>
    <s v="CHARGES"/>
    <x v="0"/>
    <s v="3221.002"/>
    <s v="Intérêts compensatoires / créances en faveur ctb."/>
    <n v="0.33"/>
    <n v="0"/>
    <n v="3221"/>
  </r>
  <r>
    <x v="0"/>
    <x v="7"/>
    <x v="6"/>
    <x v="134"/>
    <x v="119"/>
    <x v="119"/>
    <s v="CHARGES"/>
    <x v="0"/>
    <s v="3212.004"/>
    <s v="Intérêts rémun./perçu trop tôt sur acomptes C/C"/>
    <n v="4.57"/>
    <n v="0"/>
    <n v="3212"/>
  </r>
  <r>
    <x v="0"/>
    <x v="7"/>
    <x v="6"/>
    <x v="134"/>
    <x v="119"/>
    <x v="119"/>
    <s v="CHARGES"/>
    <x v="0"/>
    <s v="3221.002"/>
    <s v="Intérêts compensatoires / créances en faveur ctb."/>
    <n v="1.25"/>
    <n v="0"/>
    <n v="3221"/>
  </r>
  <r>
    <x v="0"/>
    <x v="7"/>
    <x v="6"/>
    <x v="134"/>
    <x v="119"/>
    <x v="119"/>
    <s v="CHARGES"/>
    <x v="0"/>
    <s v="3221.002"/>
    <s v="Intérêts compensatoires / créances en faveur ctb."/>
    <n v="1.6"/>
    <n v="0"/>
    <n v="3221"/>
  </r>
  <r>
    <x v="0"/>
    <x v="7"/>
    <x v="6"/>
    <x v="134"/>
    <x v="119"/>
    <x v="119"/>
    <s v="CHARGES"/>
    <x v="0"/>
    <s v="3212.004"/>
    <s v="Intérêts rémun./perçu trop tôt sur acomptes C/C"/>
    <n v="0.99"/>
    <n v="0"/>
    <n v="3212"/>
  </r>
  <r>
    <x v="0"/>
    <x v="7"/>
    <x v="6"/>
    <x v="134"/>
    <x v="119"/>
    <x v="119"/>
    <s v="CHARGES"/>
    <x v="0"/>
    <s v="3221.002"/>
    <s v="Intérêts compensatoires / créances en faveur ctb."/>
    <n v="1.06"/>
    <n v="0"/>
    <n v="3221"/>
  </r>
  <r>
    <x v="0"/>
    <x v="7"/>
    <x v="6"/>
    <x v="134"/>
    <x v="119"/>
    <x v="119"/>
    <s v="CHARGES"/>
    <x v="1"/>
    <s v="3301.001"/>
    <s v="Défalcations, abandons de solde PP et IS"/>
    <n v="0.91"/>
    <n v="0"/>
    <n v="3301"/>
  </r>
  <r>
    <x v="0"/>
    <x v="7"/>
    <x v="6"/>
    <x v="134"/>
    <x v="119"/>
    <x v="119"/>
    <s v="CHARGES"/>
    <x v="1"/>
    <s v="3301.001"/>
    <s v="Défalcations, abandons de solde PP et IS"/>
    <n v="8473.17"/>
    <n v="0"/>
    <n v="3301"/>
  </r>
  <r>
    <x v="0"/>
    <x v="7"/>
    <x v="6"/>
    <x v="134"/>
    <x v="119"/>
    <x v="119"/>
    <s v="CHARGES"/>
    <x v="1"/>
    <s v="3301.001"/>
    <s v="Défalcations, abandons de solde PP et IS"/>
    <n v="4.7699999999999996"/>
    <n v="0"/>
    <n v="3301"/>
  </r>
  <r>
    <x v="0"/>
    <x v="7"/>
    <x v="6"/>
    <x v="134"/>
    <x v="119"/>
    <x v="119"/>
    <s v="CHARGES"/>
    <x v="0"/>
    <s v="3212.004"/>
    <s v="Intérêts rémun./perçu trop tôt sur acomptes C/C"/>
    <n v="3.44"/>
    <n v="0"/>
    <n v="3212"/>
  </r>
  <r>
    <x v="0"/>
    <x v="7"/>
    <x v="6"/>
    <x v="134"/>
    <x v="119"/>
    <x v="119"/>
    <s v="CHARGES"/>
    <x v="0"/>
    <s v="3212.004"/>
    <s v="Intérêts rémun./perçu trop tôt sur acomptes C/C"/>
    <n v="0.15"/>
    <n v="0"/>
    <n v="3212"/>
  </r>
  <r>
    <x v="0"/>
    <x v="7"/>
    <x v="6"/>
    <x v="134"/>
    <x v="119"/>
    <x v="119"/>
    <s v="CHARGES"/>
    <x v="1"/>
    <s v="3301.001"/>
    <s v="Défalcations, abandons de solde PP et IS"/>
    <n v="0.24"/>
    <n v="0"/>
    <n v="3301"/>
  </r>
  <r>
    <x v="0"/>
    <x v="7"/>
    <x v="6"/>
    <x v="134"/>
    <x v="119"/>
    <x v="119"/>
    <s v="REVENUS"/>
    <x v="2"/>
    <s v="4001.007"/>
    <s v="Acompte impôt sur revenu"/>
    <n v="0"/>
    <n v="323.39999999999998"/>
    <n v="4001"/>
  </r>
  <r>
    <x v="0"/>
    <x v="7"/>
    <x v="6"/>
    <x v="134"/>
    <x v="119"/>
    <x v="119"/>
    <s v="REVENUS"/>
    <x v="3"/>
    <s v="4002.007"/>
    <s v="Acompte impôt sur fortune"/>
    <n v="0"/>
    <n v="-1358.55"/>
    <n v="4002"/>
  </r>
  <r>
    <x v="0"/>
    <x v="7"/>
    <x v="6"/>
    <x v="134"/>
    <x v="119"/>
    <x v="119"/>
    <s v="REVENUS"/>
    <x v="2"/>
    <s v="4001.001"/>
    <s v="Impôt revenu"/>
    <n v="0"/>
    <n v="4775994.5999999996"/>
    <n v="4001"/>
  </r>
  <r>
    <x v="0"/>
    <x v="7"/>
    <x v="6"/>
    <x v="134"/>
    <x v="119"/>
    <x v="119"/>
    <s v="REVENUS"/>
    <x v="2"/>
    <s v="4001.002"/>
    <s v="Impôt complément s/revenu PP"/>
    <n v="0"/>
    <n v="669613.4"/>
    <n v="4001"/>
  </r>
  <r>
    <x v="0"/>
    <x v="7"/>
    <x v="6"/>
    <x v="134"/>
    <x v="119"/>
    <x v="119"/>
    <s v="REVENUS"/>
    <x v="2"/>
    <s v="4001.007"/>
    <s v="Acompte impôt sur revenu"/>
    <n v="0"/>
    <n v="-593162.72"/>
    <n v="4001"/>
  </r>
  <r>
    <x v="0"/>
    <x v="7"/>
    <x v="6"/>
    <x v="134"/>
    <x v="119"/>
    <x v="119"/>
    <s v="REVENUS"/>
    <x v="3"/>
    <s v="4002.001"/>
    <s v="Impôt ordinaire s/fortune PP"/>
    <n v="0"/>
    <n v="936213.8"/>
    <n v="4002"/>
  </r>
  <r>
    <x v="0"/>
    <x v="7"/>
    <x v="6"/>
    <x v="134"/>
    <x v="119"/>
    <x v="119"/>
    <s v="REVENUS"/>
    <x v="3"/>
    <s v="4002.007"/>
    <s v="Acompte impôt sur fortune"/>
    <n v="0"/>
    <n v="-111267.93"/>
    <n v="4002"/>
  </r>
  <r>
    <x v="0"/>
    <x v="7"/>
    <x v="6"/>
    <x v="134"/>
    <x v="119"/>
    <x v="119"/>
    <s v="REVENUS"/>
    <x v="6"/>
    <s v="4211.001"/>
    <s v="Intérêts de retard sur factures"/>
    <n v="0"/>
    <n v="7690.68"/>
    <n v="4211"/>
  </r>
  <r>
    <x v="0"/>
    <x v="7"/>
    <x v="6"/>
    <x v="134"/>
    <x v="119"/>
    <x v="119"/>
    <s v="REVENUS"/>
    <x v="6"/>
    <s v="4211.002"/>
    <s v="Intérêts de retard sur acomptes"/>
    <n v="0"/>
    <n v="27498.73"/>
    <n v="4211"/>
  </r>
  <r>
    <x v="0"/>
    <x v="7"/>
    <x v="6"/>
    <x v="134"/>
    <x v="119"/>
    <x v="119"/>
    <s v="REVENUS"/>
    <x v="6"/>
    <s v="4221.003"/>
    <s v="Intérêts compensat. / acomptes en faveur du fisc"/>
    <n v="0"/>
    <n v="644.69000000000005"/>
    <n v="4221"/>
  </r>
  <r>
    <x v="0"/>
    <x v="7"/>
    <x v="6"/>
    <x v="134"/>
    <x v="119"/>
    <x v="119"/>
    <s v="REVENUS"/>
    <x v="2"/>
    <s v="4001.001"/>
    <s v="Impôt revenu"/>
    <n v="0"/>
    <n v="40467.699999999997"/>
    <n v="4001"/>
  </r>
  <r>
    <x v="0"/>
    <x v="7"/>
    <x v="6"/>
    <x v="134"/>
    <x v="119"/>
    <x v="119"/>
    <s v="REVENUS"/>
    <x v="2"/>
    <s v="4001.007"/>
    <s v="Acompte impôt sur revenu"/>
    <n v="0"/>
    <n v="-14022.8"/>
    <n v="4001"/>
  </r>
  <r>
    <x v="0"/>
    <x v="7"/>
    <x v="6"/>
    <x v="134"/>
    <x v="119"/>
    <x v="119"/>
    <s v="REVENUS"/>
    <x v="3"/>
    <s v="4002.001"/>
    <s v="Impôt ordinaire s/fortune PP"/>
    <n v="0"/>
    <n v="18343.849999999999"/>
    <n v="4002"/>
  </r>
  <r>
    <x v="0"/>
    <x v="7"/>
    <x v="6"/>
    <x v="134"/>
    <x v="119"/>
    <x v="119"/>
    <s v="REVENUS"/>
    <x v="6"/>
    <s v="4211.002"/>
    <s v="Intérêts de retard sur acomptes"/>
    <n v="0"/>
    <n v="291.45999999999998"/>
    <n v="4211"/>
  </r>
  <r>
    <x v="0"/>
    <x v="7"/>
    <x v="6"/>
    <x v="134"/>
    <x v="119"/>
    <x v="119"/>
    <s v="REVENUS"/>
    <x v="6"/>
    <s v="4221.003"/>
    <s v="Intérêts compensat. / acomptes en faveur du fisc"/>
    <n v="0"/>
    <n v="8.8000000000000007"/>
    <n v="4221"/>
  </r>
  <r>
    <x v="0"/>
    <x v="7"/>
    <x v="6"/>
    <x v="134"/>
    <x v="119"/>
    <x v="119"/>
    <s v="REVENUS"/>
    <x v="7"/>
    <s v="4184.000"/>
    <s v="Frais de poursuite"/>
    <n v="0"/>
    <n v="3801.55"/>
    <n v="4184"/>
  </r>
  <r>
    <x v="0"/>
    <x v="7"/>
    <x v="6"/>
    <x v="134"/>
    <x v="119"/>
    <x v="119"/>
    <s v="REVENUS"/>
    <x v="2"/>
    <s v="4001.001"/>
    <s v="Impôt revenu"/>
    <n v="0"/>
    <n v="1803.5"/>
    <n v="4001"/>
  </r>
  <r>
    <x v="0"/>
    <x v="7"/>
    <x v="6"/>
    <x v="134"/>
    <x v="119"/>
    <x v="119"/>
    <s v="REVENUS"/>
    <x v="2"/>
    <s v="4001.002"/>
    <s v="Impôt complément s/revenu PP"/>
    <n v="0"/>
    <n v="417.75"/>
    <n v="4001"/>
  </r>
  <r>
    <x v="0"/>
    <x v="7"/>
    <x v="6"/>
    <x v="134"/>
    <x v="119"/>
    <x v="119"/>
    <s v="REVENUS"/>
    <x v="3"/>
    <s v="4002.001"/>
    <s v="Impôt ordinaire s/fortune PP"/>
    <n v="0"/>
    <n v="451.9"/>
    <n v="4002"/>
  </r>
  <r>
    <x v="0"/>
    <x v="7"/>
    <x v="6"/>
    <x v="134"/>
    <x v="119"/>
    <x v="119"/>
    <s v="REVENUS"/>
    <x v="3"/>
    <s v="4002.002"/>
    <s v="Impôt complémentaire s/fortune PP"/>
    <n v="0"/>
    <n v="135.65"/>
    <n v="4002"/>
  </r>
  <r>
    <x v="0"/>
    <x v="7"/>
    <x v="6"/>
    <x v="134"/>
    <x v="119"/>
    <x v="119"/>
    <s v="REVENUS"/>
    <x v="6"/>
    <s v="4211.001"/>
    <s v="Intérêts de retard sur factures"/>
    <n v="0"/>
    <n v="0.01"/>
    <n v="4211"/>
  </r>
  <r>
    <x v="0"/>
    <x v="7"/>
    <x v="6"/>
    <x v="134"/>
    <x v="119"/>
    <x v="119"/>
    <s v="REVENUS"/>
    <x v="6"/>
    <s v="4221.003"/>
    <s v="Intérêts compensat. / acomptes en faveur du fisc"/>
    <n v="0"/>
    <n v="0.16"/>
    <n v="4221"/>
  </r>
  <r>
    <x v="0"/>
    <x v="7"/>
    <x v="6"/>
    <x v="134"/>
    <x v="119"/>
    <x v="119"/>
    <s v="REVENUS"/>
    <x v="3"/>
    <s v="4002.001"/>
    <s v="Impôt ordinaire s/fortune PP"/>
    <n v="0"/>
    <n v="7103.2"/>
    <n v="4002"/>
  </r>
  <r>
    <x v="0"/>
    <x v="7"/>
    <x v="6"/>
    <x v="134"/>
    <x v="119"/>
    <x v="119"/>
    <s v="REVENUS"/>
    <x v="2"/>
    <s v="4001.003"/>
    <s v="Impôt s/prest. cap. PP"/>
    <n v="0"/>
    <n v="144286.54999999999"/>
    <n v="4001"/>
  </r>
  <r>
    <x v="0"/>
    <x v="7"/>
    <x v="6"/>
    <x v="134"/>
    <x v="119"/>
    <x v="119"/>
    <s v="REVENUS"/>
    <x v="3"/>
    <s v="4002.002"/>
    <s v="Impôt complémentaire s/fortune PP"/>
    <n v="0"/>
    <n v="209481.05"/>
    <n v="4002"/>
  </r>
  <r>
    <x v="0"/>
    <x v="7"/>
    <x v="6"/>
    <x v="134"/>
    <x v="119"/>
    <x v="119"/>
    <s v="REVENUS"/>
    <x v="3"/>
    <s v="4002.007"/>
    <s v="Acompte impôt sur fortune"/>
    <n v="0"/>
    <n v="-126.1"/>
    <n v="4002"/>
  </r>
  <r>
    <x v="0"/>
    <x v="7"/>
    <x v="6"/>
    <x v="134"/>
    <x v="119"/>
    <x v="119"/>
    <s v="REVENUS"/>
    <x v="11"/>
    <s v="4198.000"/>
    <s v="Contributions communales"/>
    <n v="0"/>
    <n v="413797.9"/>
    <n v="4198"/>
  </r>
  <r>
    <x v="0"/>
    <x v="7"/>
    <x v="6"/>
    <x v="134"/>
    <x v="119"/>
    <x v="119"/>
    <s v="REVENUS"/>
    <x v="6"/>
    <s v="4221.002"/>
    <s v="Intérêts compensat. sur impôts distincts"/>
    <n v="0"/>
    <n v="210.33"/>
    <n v="4221"/>
  </r>
  <r>
    <x v="0"/>
    <x v="7"/>
    <x v="6"/>
    <x v="134"/>
    <x v="119"/>
    <x v="119"/>
    <s v="REVENUS"/>
    <x v="10"/>
    <s v="4041.001"/>
    <s v="Droits de mutation"/>
    <n v="0"/>
    <n v="211138.2"/>
    <n v="4041"/>
  </r>
  <r>
    <x v="0"/>
    <x v="7"/>
    <x v="6"/>
    <x v="134"/>
    <x v="119"/>
    <x v="119"/>
    <s v="REVENUS"/>
    <x v="3"/>
    <s v="4002.007"/>
    <s v="Acompte impôt sur fortune"/>
    <n v="0"/>
    <n v="-2056.48"/>
    <n v="4002"/>
  </r>
  <r>
    <x v="0"/>
    <x v="7"/>
    <x v="6"/>
    <x v="134"/>
    <x v="119"/>
    <x v="119"/>
    <s v="REVENUS"/>
    <x v="4"/>
    <s v="4051.001"/>
    <s v="Impôt sur les successions"/>
    <n v="0"/>
    <n v="295818.7"/>
    <n v="4051"/>
  </r>
  <r>
    <x v="0"/>
    <x v="7"/>
    <x v="6"/>
    <x v="134"/>
    <x v="119"/>
    <x v="119"/>
    <s v="REVENUS"/>
    <x v="2"/>
    <s v="4001.001"/>
    <s v="Impôt revenu"/>
    <n v="0"/>
    <n v="4862.3"/>
    <n v="4001"/>
  </r>
  <r>
    <x v="0"/>
    <x v="7"/>
    <x v="6"/>
    <x v="134"/>
    <x v="119"/>
    <x v="119"/>
    <s v="REVENUS"/>
    <x v="2"/>
    <s v="4001.007"/>
    <s v="Acompte impôt sur revenu"/>
    <n v="0"/>
    <n v="-2303.9299999999998"/>
    <n v="4001"/>
  </r>
  <r>
    <x v="0"/>
    <x v="7"/>
    <x v="6"/>
    <x v="134"/>
    <x v="119"/>
    <x v="119"/>
    <s v="REVENUS"/>
    <x v="3"/>
    <s v="4002.001"/>
    <s v="Impôt ordinaire s/fortune PP"/>
    <n v="0"/>
    <n v="2416.0500000000002"/>
    <n v="4002"/>
  </r>
  <r>
    <x v="0"/>
    <x v="7"/>
    <x v="6"/>
    <x v="134"/>
    <x v="119"/>
    <x v="119"/>
    <s v="REVENUS"/>
    <x v="3"/>
    <s v="4002.007"/>
    <s v="Acompte impôt sur fortune"/>
    <n v="0"/>
    <n v="-143.06"/>
    <n v="4002"/>
  </r>
  <r>
    <x v="0"/>
    <x v="7"/>
    <x v="6"/>
    <x v="134"/>
    <x v="119"/>
    <x v="119"/>
    <s v="REVENUS"/>
    <x v="6"/>
    <s v="4221.003"/>
    <s v="Intérêts compensat. / acomptes en faveur du fisc"/>
    <n v="0"/>
    <n v="0.14000000000000001"/>
    <n v="4221"/>
  </r>
  <r>
    <x v="0"/>
    <x v="7"/>
    <x v="6"/>
    <x v="134"/>
    <x v="119"/>
    <x v="119"/>
    <s v="REVENUS"/>
    <x v="2"/>
    <s v="4001.007"/>
    <s v="Acompte impôt sur revenu"/>
    <n v="0"/>
    <n v="-622.62"/>
    <n v="4001"/>
  </r>
  <r>
    <x v="0"/>
    <x v="7"/>
    <x v="6"/>
    <x v="134"/>
    <x v="119"/>
    <x v="119"/>
    <s v="REVENUS"/>
    <x v="3"/>
    <s v="4002.007"/>
    <s v="Acompte impôt sur fortune"/>
    <n v="0"/>
    <n v="178.56"/>
    <n v="4002"/>
  </r>
  <r>
    <x v="0"/>
    <x v="7"/>
    <x v="6"/>
    <x v="134"/>
    <x v="119"/>
    <x v="119"/>
    <s v="REVENUS"/>
    <x v="8"/>
    <s v="4091.001"/>
    <s v="Impôt récupéré après défalcations"/>
    <n v="0"/>
    <n v="1539.13"/>
    <n v="4091"/>
  </r>
  <r>
    <x v="0"/>
    <x v="7"/>
    <x v="6"/>
    <x v="134"/>
    <x v="119"/>
    <x v="119"/>
    <s v="REVENUS"/>
    <x v="2"/>
    <s v="4001.001"/>
    <s v="Impôt revenu"/>
    <n v="0"/>
    <n v="6532.3"/>
    <n v="4001"/>
  </r>
  <r>
    <x v="0"/>
    <x v="7"/>
    <x v="6"/>
    <x v="134"/>
    <x v="119"/>
    <x v="119"/>
    <s v="REVENUS"/>
    <x v="3"/>
    <s v="4002.001"/>
    <s v="Impôt ordinaire s/fortune PP"/>
    <n v="0"/>
    <n v="4008"/>
    <n v="4002"/>
  </r>
  <r>
    <x v="0"/>
    <x v="7"/>
    <x v="6"/>
    <x v="134"/>
    <x v="119"/>
    <x v="119"/>
    <s v="REVENUS"/>
    <x v="6"/>
    <s v="4211.002"/>
    <s v="Intérêts de retard sur acomptes"/>
    <n v="0"/>
    <n v="11.73"/>
    <n v="4211"/>
  </r>
  <r>
    <x v="0"/>
    <x v="7"/>
    <x v="6"/>
    <x v="134"/>
    <x v="119"/>
    <x v="119"/>
    <s v="REVENUS"/>
    <x v="6"/>
    <s v="4221.003"/>
    <s v="Intérêts compensat. / acomptes en faveur du fisc"/>
    <n v="0"/>
    <n v="0.08"/>
    <n v="4221"/>
  </r>
  <r>
    <x v="0"/>
    <x v="7"/>
    <x v="6"/>
    <x v="134"/>
    <x v="119"/>
    <x v="119"/>
    <s v="REVENUS"/>
    <x v="3"/>
    <s v="4002.007"/>
    <s v="Acompte impôt sur fortune"/>
    <n v="0"/>
    <n v="-1958.5"/>
    <n v="4002"/>
  </r>
  <r>
    <x v="0"/>
    <x v="7"/>
    <x v="6"/>
    <x v="134"/>
    <x v="119"/>
    <x v="119"/>
    <s v="REVENUS"/>
    <x v="2"/>
    <s v="4001.001"/>
    <s v="Impôt revenu"/>
    <n v="0"/>
    <n v="-68425"/>
    <n v="4001"/>
  </r>
  <r>
    <x v="0"/>
    <x v="7"/>
    <x v="6"/>
    <x v="134"/>
    <x v="119"/>
    <x v="119"/>
    <s v="REVENUS"/>
    <x v="6"/>
    <s v="4221.003"/>
    <s v="Intérêts compensat. / acomptes en faveur du fisc"/>
    <n v="0"/>
    <n v="-85.95"/>
    <n v="4221"/>
  </r>
  <r>
    <x v="0"/>
    <x v="7"/>
    <x v="6"/>
    <x v="134"/>
    <x v="119"/>
    <x v="119"/>
    <s v="REVENUS"/>
    <x v="2"/>
    <s v="4001.007"/>
    <s v="Acompte impôt sur revenu"/>
    <n v="0"/>
    <n v="-3484.4"/>
    <n v="4001"/>
  </r>
  <r>
    <x v="0"/>
    <x v="7"/>
    <x v="6"/>
    <x v="134"/>
    <x v="119"/>
    <x v="119"/>
    <s v="REVENUS"/>
    <x v="2"/>
    <s v="4001.007"/>
    <s v="Acompte impôt sur revenu"/>
    <n v="0"/>
    <n v="-185.23"/>
    <n v="4001"/>
  </r>
  <r>
    <x v="0"/>
    <x v="7"/>
    <x v="6"/>
    <x v="134"/>
    <x v="119"/>
    <x v="119"/>
    <s v="REVENUS"/>
    <x v="3"/>
    <s v="4002.007"/>
    <s v="Acompte impôt sur fortune"/>
    <n v="0"/>
    <n v="54.94"/>
    <n v="4002"/>
  </r>
  <r>
    <x v="0"/>
    <x v="7"/>
    <x v="6"/>
    <x v="134"/>
    <x v="119"/>
    <x v="119"/>
    <s v="REVENUS"/>
    <x v="2"/>
    <s v="4001.002"/>
    <s v="Impôt complément s/revenu PP"/>
    <n v="0"/>
    <n v="-15678"/>
    <n v="4001"/>
  </r>
  <r>
    <x v="0"/>
    <x v="7"/>
    <x v="6"/>
    <x v="134"/>
    <x v="119"/>
    <x v="119"/>
    <s v="REVENUS"/>
    <x v="3"/>
    <s v="4002.001"/>
    <s v="Impôt ordinaire s/fortune PP"/>
    <n v="0"/>
    <n v="-2044.3"/>
    <n v="4002"/>
  </r>
  <r>
    <x v="0"/>
    <x v="7"/>
    <x v="6"/>
    <x v="134"/>
    <x v="119"/>
    <x v="119"/>
    <s v="REVENUS"/>
    <x v="3"/>
    <s v="4002.002"/>
    <s v="Impôt complémentaire s/fortune PP"/>
    <n v="0"/>
    <n v="-330.05"/>
    <n v="4002"/>
  </r>
  <r>
    <x v="0"/>
    <x v="7"/>
    <x v="6"/>
    <x v="134"/>
    <x v="119"/>
    <x v="119"/>
    <s v="REVENUS"/>
    <x v="6"/>
    <s v="4211.001"/>
    <s v="Intérêts de retard sur factures"/>
    <n v="0"/>
    <n v="-33.299999999999997"/>
    <n v="4211"/>
  </r>
  <r>
    <x v="0"/>
    <x v="7"/>
    <x v="6"/>
    <x v="134"/>
    <x v="119"/>
    <x v="119"/>
    <s v="REVENUS"/>
    <x v="9"/>
    <s v="4031.001"/>
    <s v="Impôt sur les gains immobiliers"/>
    <n v="0"/>
    <n v="173187.85"/>
    <n v="4031"/>
  </r>
  <r>
    <x v="0"/>
    <x v="7"/>
    <x v="6"/>
    <x v="134"/>
    <x v="119"/>
    <x v="119"/>
    <s v="REVENUS"/>
    <x v="12"/>
    <s v="4004.007"/>
    <s v="Acompte spécial étrangers"/>
    <n v="0"/>
    <n v="-51289.599999999999"/>
    <n v="4004"/>
  </r>
  <r>
    <x v="0"/>
    <x v="7"/>
    <x v="6"/>
    <x v="134"/>
    <x v="119"/>
    <x v="119"/>
    <s v="REVENUS"/>
    <x v="6"/>
    <s v="4211.001"/>
    <s v="Intérêts de retard sur factures"/>
    <n v="0"/>
    <n v="25.69"/>
    <n v="4211"/>
  </r>
  <r>
    <x v="0"/>
    <x v="7"/>
    <x v="6"/>
    <x v="134"/>
    <x v="119"/>
    <x v="119"/>
    <s v="REVENUS"/>
    <x v="2"/>
    <s v="4001.001"/>
    <s v="Impôt revenu"/>
    <n v="0"/>
    <n v="16198.75"/>
    <n v="4001"/>
  </r>
  <r>
    <x v="0"/>
    <x v="7"/>
    <x v="6"/>
    <x v="134"/>
    <x v="119"/>
    <x v="119"/>
    <s v="REVENUS"/>
    <x v="6"/>
    <s v="4211.002"/>
    <s v="Intérêts de retard sur acomptes"/>
    <n v="0"/>
    <n v="68.489999999999995"/>
    <n v="4211"/>
  </r>
  <r>
    <x v="0"/>
    <x v="7"/>
    <x v="6"/>
    <x v="134"/>
    <x v="119"/>
    <x v="119"/>
    <s v="REVENUS"/>
    <x v="6"/>
    <s v="4211.002"/>
    <s v="Intérêts de retard sur acomptes"/>
    <n v="0"/>
    <n v="54.38"/>
    <n v="4211"/>
  </r>
  <r>
    <x v="0"/>
    <x v="7"/>
    <x v="6"/>
    <x v="134"/>
    <x v="119"/>
    <x v="119"/>
    <s v="REVENUS"/>
    <x v="6"/>
    <s v="4211.001"/>
    <s v="Intérêts de retard sur factures"/>
    <n v="0"/>
    <n v="2364.1799999999998"/>
    <n v="4211"/>
  </r>
  <r>
    <x v="0"/>
    <x v="7"/>
    <x v="6"/>
    <x v="134"/>
    <x v="119"/>
    <x v="119"/>
    <s v="REVENUS"/>
    <x v="2"/>
    <s v="4001.002"/>
    <s v="Impôt complément s/revenu PP"/>
    <n v="0"/>
    <n v="43.65"/>
    <n v="4001"/>
  </r>
  <r>
    <x v="0"/>
    <x v="7"/>
    <x v="6"/>
    <x v="134"/>
    <x v="119"/>
    <x v="119"/>
    <s v="REVENUS"/>
    <x v="3"/>
    <s v="4002.002"/>
    <s v="Impôt complémentaire s/fortune PP"/>
    <n v="0"/>
    <n v="2.65"/>
    <n v="4002"/>
  </r>
  <r>
    <x v="0"/>
    <x v="7"/>
    <x v="6"/>
    <x v="134"/>
    <x v="119"/>
    <x v="119"/>
    <s v="REVENUS"/>
    <x v="7"/>
    <s v="4184.000"/>
    <s v="Frais de poursuite"/>
    <n v="0"/>
    <n v="0.16"/>
    <n v="4184"/>
  </r>
  <r>
    <x v="0"/>
    <x v="7"/>
    <x v="6"/>
    <x v="134"/>
    <x v="119"/>
    <x v="119"/>
    <s v="REVENUS"/>
    <x v="9"/>
    <s v="4031.002"/>
    <s v="Complément impôt sur les gains immobiliers"/>
    <n v="0"/>
    <n v="81035.100000000006"/>
    <n v="4031"/>
  </r>
  <r>
    <x v="0"/>
    <x v="7"/>
    <x v="6"/>
    <x v="134"/>
    <x v="119"/>
    <x v="119"/>
    <s v="REVENUS"/>
    <x v="2"/>
    <s v="4001.003"/>
    <s v="Impôt s/prest. cap. PP"/>
    <n v="0"/>
    <n v="-2294.4499999999998"/>
    <n v="4001"/>
  </r>
  <r>
    <x v="0"/>
    <x v="7"/>
    <x v="6"/>
    <x v="134"/>
    <x v="119"/>
    <x v="119"/>
    <s v="REVENUS"/>
    <x v="12"/>
    <s v="4004.000"/>
    <s v="Impôt spécial étrangers"/>
    <n v="0"/>
    <n v="64358.15"/>
    <n v="4004"/>
  </r>
  <r>
    <x v="0"/>
    <x v="7"/>
    <x v="6"/>
    <x v="134"/>
    <x v="119"/>
    <x v="119"/>
    <s v="REVENUS"/>
    <x v="4"/>
    <s v="4051.002"/>
    <s v="Impôt sur les donations"/>
    <n v="0"/>
    <n v="14553"/>
    <n v="4051"/>
  </r>
  <r>
    <x v="0"/>
    <x v="7"/>
    <x v="6"/>
    <x v="134"/>
    <x v="119"/>
    <x v="119"/>
    <s v="REVENUS"/>
    <x v="3"/>
    <s v="4002.002"/>
    <s v="Impôt complémentaire s/fortune PP"/>
    <n v="0"/>
    <n v="972.3"/>
    <n v="4002"/>
  </r>
  <r>
    <x v="0"/>
    <x v="7"/>
    <x v="6"/>
    <x v="134"/>
    <x v="119"/>
    <x v="119"/>
    <s v="REVENUS"/>
    <x v="5"/>
    <s v="4061.000"/>
    <s v="Impôt sur les chiens"/>
    <n v="0"/>
    <n v="7087.5"/>
    <n v="4061"/>
  </r>
  <r>
    <x v="0"/>
    <x v="7"/>
    <x v="6"/>
    <x v="134"/>
    <x v="119"/>
    <x v="119"/>
    <s v="REVENUS"/>
    <x v="7"/>
    <s v="4184.000"/>
    <s v="Frais de poursuite"/>
    <n v="0"/>
    <n v="36.21"/>
    <n v="4184"/>
  </r>
  <r>
    <x v="0"/>
    <x v="7"/>
    <x v="6"/>
    <x v="134"/>
    <x v="119"/>
    <x v="119"/>
    <s v="REVENUS"/>
    <x v="2"/>
    <s v="4001.001"/>
    <s v="Impôt revenu"/>
    <n v="0"/>
    <n v="218.9"/>
    <n v="4001"/>
  </r>
  <r>
    <x v="0"/>
    <x v="7"/>
    <x v="6"/>
    <x v="134"/>
    <x v="119"/>
    <x v="119"/>
    <s v="REVENUS"/>
    <x v="3"/>
    <s v="4002.001"/>
    <s v="Impôt ordinaire s/fortune PP"/>
    <n v="0"/>
    <n v="188.3"/>
    <n v="4002"/>
  </r>
  <r>
    <x v="0"/>
    <x v="7"/>
    <x v="6"/>
    <x v="134"/>
    <x v="119"/>
    <x v="119"/>
    <s v="REVENUS"/>
    <x v="6"/>
    <s v="4221.003"/>
    <s v="Intérêts compensat. / acomptes en faveur du fisc"/>
    <n v="0"/>
    <n v="0.91"/>
    <n v="4221"/>
  </r>
  <r>
    <x v="0"/>
    <x v="7"/>
    <x v="6"/>
    <x v="134"/>
    <x v="119"/>
    <x v="119"/>
    <s v="REVENUS"/>
    <x v="6"/>
    <s v="4211.002"/>
    <s v="Intérêts de retard sur acomptes"/>
    <n v="0"/>
    <n v="0.21"/>
    <n v="4211"/>
  </r>
  <r>
    <x v="0"/>
    <x v="7"/>
    <x v="6"/>
    <x v="134"/>
    <x v="119"/>
    <x v="119"/>
    <s v="REVENUS"/>
    <x v="6"/>
    <s v="4211.001"/>
    <s v="Intérêts de retard sur factures"/>
    <n v="0"/>
    <n v="4.7300000000000004"/>
    <n v="4211"/>
  </r>
  <r>
    <x v="0"/>
    <x v="7"/>
    <x v="6"/>
    <x v="134"/>
    <x v="119"/>
    <x v="119"/>
    <s v="REVENUS"/>
    <x v="2"/>
    <s v="4001.002"/>
    <s v="Impôt complément s/revenu PP"/>
    <n v="0"/>
    <n v="17.5"/>
    <n v="4001"/>
  </r>
  <r>
    <x v="0"/>
    <x v="7"/>
    <x v="6"/>
    <x v="134"/>
    <x v="119"/>
    <x v="119"/>
    <s v="REVENUS"/>
    <x v="3"/>
    <s v="4002.002"/>
    <s v="Impôt complémentaire s/fortune PP"/>
    <n v="0"/>
    <n v="14.3"/>
    <n v="4002"/>
  </r>
  <r>
    <x v="0"/>
    <x v="7"/>
    <x v="6"/>
    <x v="134"/>
    <x v="119"/>
    <x v="119"/>
    <s v="REVENUS"/>
    <x v="6"/>
    <s v="4211.001"/>
    <s v="Intérêts de retard sur factures"/>
    <n v="0"/>
    <n v="0.39"/>
    <n v="4211"/>
  </r>
  <r>
    <x v="0"/>
    <x v="7"/>
    <x v="6"/>
    <x v="134"/>
    <x v="119"/>
    <x v="119"/>
    <s v="REVENUS"/>
    <x v="6"/>
    <s v="4211.002"/>
    <s v="Intérêts de retard sur acomptes"/>
    <n v="0"/>
    <n v="-195.03"/>
    <n v="4211"/>
  </r>
  <r>
    <x v="0"/>
    <x v="7"/>
    <x v="6"/>
    <x v="134"/>
    <x v="119"/>
    <x v="119"/>
    <s v="REVENUS"/>
    <x v="2"/>
    <s v="4001.007"/>
    <s v="Acompte impôt sur revenu"/>
    <n v="0"/>
    <n v="-700.75"/>
    <n v="4001"/>
  </r>
  <r>
    <x v="0"/>
    <x v="7"/>
    <x v="6"/>
    <x v="134"/>
    <x v="119"/>
    <x v="119"/>
    <s v="REVENUS"/>
    <x v="3"/>
    <s v="4002.007"/>
    <s v="Acompte impôt sur fortune"/>
    <n v="0"/>
    <n v="-412.95"/>
    <n v="4002"/>
  </r>
  <r>
    <x v="0"/>
    <x v="7"/>
    <x v="6"/>
    <x v="134"/>
    <x v="119"/>
    <x v="119"/>
    <s v="REVENUS"/>
    <x v="6"/>
    <s v="4211.002"/>
    <s v="Intérêts de retard sur acomptes"/>
    <n v="0"/>
    <n v="0.03"/>
    <n v="4211"/>
  </r>
  <r>
    <x v="0"/>
    <x v="7"/>
    <x v="6"/>
    <x v="134"/>
    <x v="119"/>
    <x v="119"/>
    <s v="REVENUS"/>
    <x v="2"/>
    <s v="4001.001"/>
    <s v="Impôt revenu"/>
    <n v="0"/>
    <n v="154.55000000000001"/>
    <n v="4001"/>
  </r>
  <r>
    <x v="0"/>
    <x v="7"/>
    <x v="6"/>
    <x v="134"/>
    <x v="119"/>
    <x v="119"/>
    <s v="REVENUS"/>
    <x v="3"/>
    <s v="4002.001"/>
    <s v="Impôt ordinaire s/fortune PP"/>
    <n v="0"/>
    <n v="216.3"/>
    <n v="4002"/>
  </r>
  <r>
    <x v="0"/>
    <x v="7"/>
    <x v="6"/>
    <x v="134"/>
    <x v="119"/>
    <x v="119"/>
    <s v="REVENUS"/>
    <x v="6"/>
    <s v="4221.003"/>
    <s v="Intérêts compensat. / acomptes en faveur du fisc"/>
    <n v="0"/>
    <n v="0.04"/>
    <n v="4221"/>
  </r>
  <r>
    <x v="0"/>
    <x v="7"/>
    <x v="6"/>
    <x v="134"/>
    <x v="119"/>
    <x v="119"/>
    <s v="REVENUS"/>
    <x v="4"/>
    <s v="4051.001"/>
    <s v="Impôt sur les successions"/>
    <n v="0"/>
    <n v="211.7"/>
    <n v="4051"/>
  </r>
  <r>
    <x v="0"/>
    <x v="7"/>
    <x v="6"/>
    <x v="134"/>
    <x v="119"/>
    <x v="119"/>
    <s v="REVENUS"/>
    <x v="6"/>
    <s v="4221.002"/>
    <s v="Intérêts compensat. sur impôts distincts"/>
    <n v="0"/>
    <n v="0.15"/>
    <n v="4221"/>
  </r>
  <r>
    <x v="0"/>
    <x v="7"/>
    <x v="6"/>
    <x v="134"/>
    <x v="119"/>
    <x v="119"/>
    <s v="REVENUS"/>
    <x v="2"/>
    <s v="4001.002"/>
    <s v="Impôt complément s/revenu PP"/>
    <n v="0"/>
    <n v="501.15"/>
    <n v="4001"/>
  </r>
  <r>
    <x v="0"/>
    <x v="7"/>
    <x v="6"/>
    <x v="134"/>
    <x v="119"/>
    <x v="119"/>
    <s v="REVENUS"/>
    <x v="3"/>
    <s v="4002.002"/>
    <s v="Impôt complémentaire s/fortune PP"/>
    <n v="0"/>
    <n v="435.95"/>
    <n v="4002"/>
  </r>
  <r>
    <x v="0"/>
    <x v="7"/>
    <x v="6"/>
    <x v="134"/>
    <x v="119"/>
    <x v="119"/>
    <s v="REVENUS"/>
    <x v="6"/>
    <s v="4211.001"/>
    <s v="Intérêts de retard sur factures"/>
    <n v="0"/>
    <n v="0.2"/>
    <n v="4211"/>
  </r>
  <r>
    <x v="0"/>
    <x v="7"/>
    <x v="6"/>
    <x v="135"/>
    <x v="120"/>
    <x v="120"/>
    <s v="CHARGES"/>
    <x v="0"/>
    <s v="3212.002"/>
    <s v="Intérêts bonifiés/trop perçu acompte C/C"/>
    <n v="-0.36"/>
    <n v="0"/>
    <n v="3212"/>
  </r>
  <r>
    <x v="0"/>
    <x v="7"/>
    <x v="6"/>
    <x v="135"/>
    <x v="120"/>
    <x v="120"/>
    <s v="CHARGES"/>
    <x v="1"/>
    <s v="3301.001"/>
    <s v="Défalcations, abandons de solde PP et IS"/>
    <n v="-23.25"/>
    <n v="0"/>
    <n v="3301"/>
  </r>
  <r>
    <x v="0"/>
    <x v="7"/>
    <x v="6"/>
    <x v="135"/>
    <x v="120"/>
    <x v="120"/>
    <s v="CHARGES"/>
    <x v="0"/>
    <s v="3212.002"/>
    <s v="Intérêts bonifiés/trop perçu acompte C/C"/>
    <n v="-0.4"/>
    <n v="0"/>
    <n v="3212"/>
  </r>
  <r>
    <x v="0"/>
    <x v="7"/>
    <x v="6"/>
    <x v="135"/>
    <x v="120"/>
    <x v="120"/>
    <s v="CHARGES"/>
    <x v="0"/>
    <s v="3212.004"/>
    <s v="Intérêts rémun./perçu trop tôt sur acomptes C/C"/>
    <n v="28.32"/>
    <n v="0"/>
    <n v="3212"/>
  </r>
  <r>
    <x v="0"/>
    <x v="7"/>
    <x v="6"/>
    <x v="135"/>
    <x v="120"/>
    <x v="120"/>
    <s v="CHARGES"/>
    <x v="0"/>
    <s v="3221.002"/>
    <s v="Intérêts compensatoires / créances en faveur ctb."/>
    <n v="-53.18"/>
    <n v="0"/>
    <n v="3221"/>
  </r>
  <r>
    <x v="0"/>
    <x v="7"/>
    <x v="6"/>
    <x v="135"/>
    <x v="120"/>
    <x v="120"/>
    <s v="CHARGES"/>
    <x v="1"/>
    <s v="3301.001"/>
    <s v="Défalcations, abandons de solde PP et IS"/>
    <n v="16.309999999999999"/>
    <n v="0"/>
    <n v="3301"/>
  </r>
  <r>
    <x v="0"/>
    <x v="7"/>
    <x v="6"/>
    <x v="135"/>
    <x v="120"/>
    <x v="120"/>
    <s v="CHARGES"/>
    <x v="0"/>
    <s v="3212.004"/>
    <s v="Intérêts rémun./perçu trop tôt sur acomptes C/C"/>
    <n v="-56.35"/>
    <n v="0"/>
    <n v="3212"/>
  </r>
  <r>
    <x v="0"/>
    <x v="7"/>
    <x v="6"/>
    <x v="135"/>
    <x v="120"/>
    <x v="120"/>
    <s v="CHARGES"/>
    <x v="0"/>
    <s v="3212.004"/>
    <s v="Intérêts rémun./perçu trop tôt sur acomptes C/C"/>
    <n v="-0.02"/>
    <n v="0"/>
    <n v="3212"/>
  </r>
  <r>
    <x v="0"/>
    <x v="7"/>
    <x v="6"/>
    <x v="135"/>
    <x v="120"/>
    <x v="120"/>
    <s v="CHARGES"/>
    <x v="0"/>
    <s v="3221.002"/>
    <s v="Intérêts compensatoires / créances en faveur ctb."/>
    <n v="-0.05"/>
    <n v="0"/>
    <n v="3221"/>
  </r>
  <r>
    <x v="0"/>
    <x v="7"/>
    <x v="6"/>
    <x v="135"/>
    <x v="120"/>
    <x v="120"/>
    <s v="CHARGES"/>
    <x v="0"/>
    <s v="3221.002"/>
    <s v="Intérêts compensatoires / créances en faveur ctb."/>
    <n v="-2.5"/>
    <n v="0"/>
    <n v="3221"/>
  </r>
  <r>
    <x v="0"/>
    <x v="7"/>
    <x v="6"/>
    <x v="135"/>
    <x v="120"/>
    <x v="120"/>
    <s v="REVENUS"/>
    <x v="2"/>
    <s v="4001.001"/>
    <s v="Impôt revenu"/>
    <n v="0"/>
    <n v="-151052.1"/>
    <n v="4001"/>
  </r>
  <r>
    <x v="0"/>
    <x v="7"/>
    <x v="6"/>
    <x v="135"/>
    <x v="120"/>
    <x v="120"/>
    <s v="REVENUS"/>
    <x v="3"/>
    <s v="4002.001"/>
    <s v="Impôt ordinaire s/fortune PP"/>
    <n v="0"/>
    <n v="-15988.35"/>
    <n v="4002"/>
  </r>
  <r>
    <x v="0"/>
    <x v="7"/>
    <x v="6"/>
    <x v="135"/>
    <x v="120"/>
    <x v="120"/>
    <s v="REVENUS"/>
    <x v="2"/>
    <s v="4001.002"/>
    <s v="Impôt complément s/revenu PP"/>
    <n v="0"/>
    <n v="171994.15"/>
    <n v="4001"/>
  </r>
  <r>
    <x v="0"/>
    <x v="7"/>
    <x v="6"/>
    <x v="135"/>
    <x v="120"/>
    <x v="120"/>
    <s v="REVENUS"/>
    <x v="3"/>
    <s v="4002.002"/>
    <s v="Impôt complémentaire s/fortune PP"/>
    <n v="0"/>
    <n v="21578.5"/>
    <n v="4002"/>
  </r>
  <r>
    <x v="0"/>
    <x v="7"/>
    <x v="6"/>
    <x v="135"/>
    <x v="120"/>
    <x v="120"/>
    <s v="REVENUS"/>
    <x v="6"/>
    <s v="4211.001"/>
    <s v="Intérêts de retard sur factures"/>
    <n v="0"/>
    <n v="4525.3599999999997"/>
    <n v="4211"/>
  </r>
  <r>
    <x v="0"/>
    <x v="7"/>
    <x v="6"/>
    <x v="135"/>
    <x v="120"/>
    <x v="120"/>
    <s v="REVENUS"/>
    <x v="6"/>
    <s v="4211.002"/>
    <s v="Intérêts de retard sur acomptes"/>
    <n v="0"/>
    <n v="190.38"/>
    <n v="4211"/>
  </r>
  <r>
    <x v="0"/>
    <x v="7"/>
    <x v="6"/>
    <x v="135"/>
    <x v="120"/>
    <x v="120"/>
    <s v="REVENUS"/>
    <x v="6"/>
    <s v="4221.003"/>
    <s v="Intérêts compensat. / acomptes en faveur du fisc"/>
    <n v="0"/>
    <n v="293.35000000000002"/>
    <n v="4221"/>
  </r>
  <r>
    <x v="0"/>
    <x v="7"/>
    <x v="6"/>
    <x v="135"/>
    <x v="120"/>
    <x v="120"/>
    <s v="REVENUS"/>
    <x v="7"/>
    <s v="4184.000"/>
    <s v="Frais de poursuite"/>
    <n v="0"/>
    <n v="63.5"/>
    <n v="4184"/>
  </r>
  <r>
    <x v="0"/>
    <x v="7"/>
    <x v="6"/>
    <x v="135"/>
    <x v="120"/>
    <x v="120"/>
    <s v="REVENUS"/>
    <x v="7"/>
    <s v="4184.000"/>
    <s v="Frais de poursuite"/>
    <n v="0"/>
    <n v="206.95"/>
    <n v="4184"/>
  </r>
  <r>
    <x v="0"/>
    <x v="7"/>
    <x v="6"/>
    <x v="135"/>
    <x v="120"/>
    <x v="120"/>
    <s v="REVENUS"/>
    <x v="6"/>
    <s v="4221.003"/>
    <s v="Intérêts compensat. / acomptes en faveur du fisc"/>
    <n v="0"/>
    <n v="-187.51"/>
    <n v="4221"/>
  </r>
  <r>
    <x v="0"/>
    <x v="7"/>
    <x v="6"/>
    <x v="135"/>
    <x v="120"/>
    <x v="120"/>
    <s v="REVENUS"/>
    <x v="3"/>
    <s v="4002.002"/>
    <s v="Impôt complémentaire s/fortune PP"/>
    <n v="0"/>
    <n v="-465.2"/>
    <n v="4002"/>
  </r>
  <r>
    <x v="0"/>
    <x v="7"/>
    <x v="6"/>
    <x v="135"/>
    <x v="120"/>
    <x v="120"/>
    <s v="REVENUS"/>
    <x v="2"/>
    <s v="4001.002"/>
    <s v="Impôt complément s/revenu PP"/>
    <n v="0"/>
    <n v="-12715.85"/>
    <n v="4001"/>
  </r>
  <r>
    <x v="0"/>
    <x v="7"/>
    <x v="6"/>
    <x v="135"/>
    <x v="120"/>
    <x v="120"/>
    <s v="REVENUS"/>
    <x v="6"/>
    <s v="4211.001"/>
    <s v="Intérêts de retard sur factures"/>
    <n v="0"/>
    <n v="-64.510000000000005"/>
    <n v="4211"/>
  </r>
  <r>
    <x v="0"/>
    <x v="7"/>
    <x v="6"/>
    <x v="135"/>
    <x v="120"/>
    <x v="120"/>
    <s v="REVENUS"/>
    <x v="6"/>
    <s v="4211.002"/>
    <s v="Intérêts de retard sur acomptes"/>
    <n v="0"/>
    <n v="-157.13999999999999"/>
    <n v="4211"/>
  </r>
  <r>
    <x v="0"/>
    <x v="7"/>
    <x v="6"/>
    <x v="135"/>
    <x v="120"/>
    <x v="120"/>
    <s v="REVENUS"/>
    <x v="3"/>
    <s v="4002.001"/>
    <s v="Impôt ordinaire s/fortune PP"/>
    <n v="0"/>
    <n v="-86.15"/>
    <n v="4002"/>
  </r>
  <r>
    <x v="0"/>
    <x v="7"/>
    <x v="6"/>
    <x v="135"/>
    <x v="120"/>
    <x v="120"/>
    <s v="REVENUS"/>
    <x v="3"/>
    <s v="4002.001"/>
    <s v="Impôt ordinaire s/fortune PP"/>
    <n v="0"/>
    <n v="-109.75"/>
    <n v="4002"/>
  </r>
  <r>
    <x v="0"/>
    <x v="7"/>
    <x v="6"/>
    <x v="135"/>
    <x v="120"/>
    <x v="120"/>
    <s v="REVENUS"/>
    <x v="3"/>
    <s v="4002.002"/>
    <s v="Impôt complémentaire s/fortune PP"/>
    <n v="0"/>
    <n v="112.1"/>
    <n v="4002"/>
  </r>
  <r>
    <x v="0"/>
    <x v="7"/>
    <x v="6"/>
    <x v="135"/>
    <x v="120"/>
    <x v="120"/>
    <s v="REVENUS"/>
    <x v="6"/>
    <s v="4211.001"/>
    <s v="Intérêts de retard sur factures"/>
    <n v="0"/>
    <n v="2.5299999999999998"/>
    <n v="4211"/>
  </r>
  <r>
    <x v="0"/>
    <x v="7"/>
    <x v="6"/>
    <x v="135"/>
    <x v="120"/>
    <x v="120"/>
    <s v="REVENUS"/>
    <x v="6"/>
    <s v="4211.002"/>
    <s v="Intérêts de retard sur acomptes"/>
    <n v="0"/>
    <n v="0.18"/>
    <n v="4211"/>
  </r>
  <r>
    <x v="0"/>
    <x v="7"/>
    <x v="6"/>
    <x v="135"/>
    <x v="120"/>
    <x v="120"/>
    <s v="REVENUS"/>
    <x v="6"/>
    <s v="4221.003"/>
    <s v="Intérêts compensat. / acomptes en faveur du fisc"/>
    <n v="0"/>
    <n v="7.0000000000000007E-2"/>
    <n v="4221"/>
  </r>
  <r>
    <x v="0"/>
    <x v="7"/>
    <x v="6"/>
    <x v="135"/>
    <x v="120"/>
    <x v="120"/>
    <s v="REVENUS"/>
    <x v="8"/>
    <s v="4091.001"/>
    <s v="Impôt récupéré après défalcations"/>
    <n v="0"/>
    <n v="363.67"/>
    <n v="4091"/>
  </r>
  <r>
    <x v="0"/>
    <x v="7"/>
    <x v="6"/>
    <x v="135"/>
    <x v="120"/>
    <x v="120"/>
    <s v="REVENUS"/>
    <x v="8"/>
    <s v="4091.001"/>
    <s v="Impôt récupéré après défalcations"/>
    <n v="0"/>
    <n v="4118.7"/>
    <n v="4091"/>
  </r>
  <r>
    <x v="0"/>
    <x v="7"/>
    <x v="6"/>
    <x v="136"/>
    <x v="120"/>
    <x v="120"/>
    <s v="CHARGES"/>
    <x v="0"/>
    <s v="3212.004"/>
    <s v="Intérêts rémun./perçu trop tôt sur acomptes C/C"/>
    <n v="-1.93"/>
    <n v="0"/>
    <n v="3212"/>
  </r>
  <r>
    <x v="0"/>
    <x v="7"/>
    <x v="6"/>
    <x v="136"/>
    <x v="120"/>
    <x v="120"/>
    <s v="CHARGES"/>
    <x v="0"/>
    <s v="3212.002"/>
    <s v="Intérêts bonifiés/trop perçu acompte C/C"/>
    <n v="-0.02"/>
    <n v="0"/>
    <n v="3212"/>
  </r>
  <r>
    <x v="0"/>
    <x v="7"/>
    <x v="6"/>
    <x v="136"/>
    <x v="120"/>
    <x v="120"/>
    <s v="CHARGES"/>
    <x v="0"/>
    <s v="3212.004"/>
    <s v="Intérêts rémun./perçu trop tôt sur acomptes C/C"/>
    <n v="1.5"/>
    <n v="0"/>
    <n v="3212"/>
  </r>
  <r>
    <x v="0"/>
    <x v="7"/>
    <x v="6"/>
    <x v="136"/>
    <x v="120"/>
    <x v="120"/>
    <s v="CHARGES"/>
    <x v="0"/>
    <s v="3221.002"/>
    <s v="Intérêts compensatoires / créances en faveur ctb."/>
    <n v="-0.76"/>
    <n v="0"/>
    <n v="3221"/>
  </r>
  <r>
    <x v="0"/>
    <x v="7"/>
    <x v="6"/>
    <x v="136"/>
    <x v="120"/>
    <x v="120"/>
    <s v="CHARGES"/>
    <x v="0"/>
    <s v="3221.002"/>
    <s v="Intérêts compensatoires / créances en faveur ctb."/>
    <n v="-0.16"/>
    <n v="0"/>
    <n v="3221"/>
  </r>
  <r>
    <x v="0"/>
    <x v="7"/>
    <x v="6"/>
    <x v="136"/>
    <x v="120"/>
    <x v="120"/>
    <s v="CHARGES"/>
    <x v="1"/>
    <s v="3301.001"/>
    <s v="Défalcations, abandons de solde PP et IS"/>
    <n v="-6067.29"/>
    <n v="0"/>
    <n v="3301"/>
  </r>
  <r>
    <x v="0"/>
    <x v="7"/>
    <x v="6"/>
    <x v="136"/>
    <x v="120"/>
    <x v="120"/>
    <s v="CHARGES"/>
    <x v="1"/>
    <s v="3301.001"/>
    <s v="Défalcations, abandons de solde PP et IS"/>
    <n v="-299.73"/>
    <n v="0"/>
    <n v="3301"/>
  </r>
  <r>
    <x v="0"/>
    <x v="7"/>
    <x v="6"/>
    <x v="136"/>
    <x v="120"/>
    <x v="120"/>
    <s v="REVENUS"/>
    <x v="3"/>
    <s v="4002.001"/>
    <s v="Impôt ordinaire s/fortune PP"/>
    <n v="0"/>
    <n v="-161.69999999999999"/>
    <n v="4002"/>
  </r>
  <r>
    <x v="0"/>
    <x v="7"/>
    <x v="6"/>
    <x v="136"/>
    <x v="120"/>
    <x v="120"/>
    <s v="REVENUS"/>
    <x v="3"/>
    <s v="4002.002"/>
    <s v="Impôt complémentaire s/fortune PP"/>
    <n v="0"/>
    <n v="-77.75"/>
    <n v="4002"/>
  </r>
  <r>
    <x v="0"/>
    <x v="7"/>
    <x v="6"/>
    <x v="136"/>
    <x v="120"/>
    <x v="120"/>
    <s v="REVENUS"/>
    <x v="6"/>
    <s v="4211.001"/>
    <s v="Intérêts de retard sur factures"/>
    <n v="0"/>
    <n v="-0.04"/>
    <n v="4211"/>
  </r>
  <r>
    <x v="0"/>
    <x v="7"/>
    <x v="6"/>
    <x v="136"/>
    <x v="120"/>
    <x v="120"/>
    <s v="REVENUS"/>
    <x v="6"/>
    <s v="4221.003"/>
    <s v="Intérêts compensat. / acomptes en faveur du fisc"/>
    <n v="0"/>
    <n v="-2.92"/>
    <n v="4221"/>
  </r>
  <r>
    <x v="0"/>
    <x v="7"/>
    <x v="6"/>
    <x v="136"/>
    <x v="120"/>
    <x v="120"/>
    <s v="REVENUS"/>
    <x v="3"/>
    <s v="4002.001"/>
    <s v="Impôt ordinaire s/fortune PP"/>
    <n v="0"/>
    <n v="-76.05"/>
    <n v="4002"/>
  </r>
  <r>
    <x v="0"/>
    <x v="7"/>
    <x v="6"/>
    <x v="136"/>
    <x v="120"/>
    <x v="120"/>
    <s v="REVENUS"/>
    <x v="3"/>
    <s v="4002.002"/>
    <s v="Impôt complémentaire s/fortune PP"/>
    <n v="0"/>
    <n v="370.05"/>
    <n v="4002"/>
  </r>
  <r>
    <x v="0"/>
    <x v="7"/>
    <x v="6"/>
    <x v="136"/>
    <x v="120"/>
    <x v="120"/>
    <s v="REVENUS"/>
    <x v="6"/>
    <s v="4211.001"/>
    <s v="Intérêts de retard sur factures"/>
    <n v="0"/>
    <n v="57.76"/>
    <n v="4211"/>
  </r>
  <r>
    <x v="0"/>
    <x v="7"/>
    <x v="6"/>
    <x v="136"/>
    <x v="120"/>
    <x v="120"/>
    <s v="REVENUS"/>
    <x v="6"/>
    <s v="4221.003"/>
    <s v="Intérêts compensat. / acomptes en faveur du fisc"/>
    <n v="0"/>
    <n v="6"/>
    <n v="4221"/>
  </r>
  <r>
    <x v="0"/>
    <x v="7"/>
    <x v="6"/>
    <x v="136"/>
    <x v="120"/>
    <x v="120"/>
    <s v="REVENUS"/>
    <x v="2"/>
    <s v="4001.001"/>
    <s v="Impôt revenu"/>
    <n v="0"/>
    <n v="-1223.55"/>
    <n v="4001"/>
  </r>
  <r>
    <x v="0"/>
    <x v="7"/>
    <x v="6"/>
    <x v="136"/>
    <x v="120"/>
    <x v="120"/>
    <s v="REVENUS"/>
    <x v="2"/>
    <s v="4001.002"/>
    <s v="Impôt complément s/revenu PP"/>
    <n v="0"/>
    <n v="1257.0999999999999"/>
    <n v="4001"/>
  </r>
  <r>
    <x v="0"/>
    <x v="7"/>
    <x v="6"/>
    <x v="136"/>
    <x v="120"/>
    <x v="120"/>
    <s v="REVENUS"/>
    <x v="8"/>
    <s v="4091.001"/>
    <s v="Impôt récupéré après défalcations"/>
    <n v="0"/>
    <n v="22304.59"/>
    <n v="4091"/>
  </r>
  <r>
    <x v="0"/>
    <x v="7"/>
    <x v="6"/>
    <x v="137"/>
    <x v="121"/>
    <x v="121"/>
    <s v="CHARGES"/>
    <x v="0"/>
    <s v="3212.004"/>
    <s v="Intérêts rémun./perçu trop tôt sur acomptes C/C"/>
    <n v="677.26"/>
    <n v="0"/>
    <n v="3212"/>
  </r>
  <r>
    <x v="0"/>
    <x v="7"/>
    <x v="6"/>
    <x v="137"/>
    <x v="121"/>
    <x v="121"/>
    <s v="CHARGES"/>
    <x v="1"/>
    <s v="3301.001"/>
    <s v="Défalcations, abandons de solde PP et IS"/>
    <n v="13925.35"/>
    <n v="0"/>
    <n v="3301"/>
  </r>
  <r>
    <x v="0"/>
    <x v="7"/>
    <x v="6"/>
    <x v="137"/>
    <x v="121"/>
    <x v="121"/>
    <s v="CHARGES"/>
    <x v="0"/>
    <s v="3221.002"/>
    <s v="Intérêts compensatoires / créances en faveur ctb."/>
    <n v="285.41000000000003"/>
    <n v="0"/>
    <n v="3221"/>
  </r>
  <r>
    <x v="0"/>
    <x v="7"/>
    <x v="6"/>
    <x v="137"/>
    <x v="121"/>
    <x v="121"/>
    <s v="CHARGES"/>
    <x v="0"/>
    <s v="3212.002"/>
    <s v="Intérêts bonifiés/trop perçu acompte C/C"/>
    <n v="32.56"/>
    <n v="0"/>
    <n v="3212"/>
  </r>
  <r>
    <x v="0"/>
    <x v="7"/>
    <x v="6"/>
    <x v="137"/>
    <x v="121"/>
    <x v="121"/>
    <s v="CHARGES"/>
    <x v="1"/>
    <s v="3301.001"/>
    <s v="Défalcations, abandons de solde PP et IS"/>
    <n v="0.99"/>
    <n v="0"/>
    <n v="3301"/>
  </r>
  <r>
    <x v="0"/>
    <x v="7"/>
    <x v="6"/>
    <x v="137"/>
    <x v="121"/>
    <x v="121"/>
    <s v="CHARGES"/>
    <x v="0"/>
    <s v="3212.004"/>
    <s v="Intérêts rémun./perçu trop tôt sur acomptes C/C"/>
    <n v="6.55"/>
    <n v="0"/>
    <n v="3212"/>
  </r>
  <r>
    <x v="0"/>
    <x v="7"/>
    <x v="6"/>
    <x v="137"/>
    <x v="121"/>
    <x v="121"/>
    <s v="CHARGES"/>
    <x v="0"/>
    <s v="3221.002"/>
    <s v="Intérêts compensatoires / créances en faveur ctb."/>
    <n v="1.37"/>
    <n v="0"/>
    <n v="3221"/>
  </r>
  <r>
    <x v="0"/>
    <x v="7"/>
    <x v="6"/>
    <x v="137"/>
    <x v="121"/>
    <x v="121"/>
    <s v="CHARGES"/>
    <x v="0"/>
    <s v="3221.002"/>
    <s v="Intérêts compensatoires / créances en faveur ctb."/>
    <n v="1.71"/>
    <n v="0"/>
    <n v="3221"/>
  </r>
  <r>
    <x v="0"/>
    <x v="7"/>
    <x v="6"/>
    <x v="137"/>
    <x v="121"/>
    <x v="121"/>
    <s v="CHARGES"/>
    <x v="0"/>
    <s v="3212.004"/>
    <s v="Intérêts rémun./perçu trop tôt sur acomptes C/C"/>
    <n v="9.6199999999999992"/>
    <n v="0"/>
    <n v="3212"/>
  </r>
  <r>
    <x v="0"/>
    <x v="7"/>
    <x v="6"/>
    <x v="137"/>
    <x v="121"/>
    <x v="121"/>
    <s v="CHARGES"/>
    <x v="1"/>
    <s v="3301.001"/>
    <s v="Défalcations, abandons de solde PP et IS"/>
    <n v="25466.560000000001"/>
    <n v="0"/>
    <n v="3301"/>
  </r>
  <r>
    <x v="0"/>
    <x v="7"/>
    <x v="6"/>
    <x v="137"/>
    <x v="121"/>
    <x v="121"/>
    <s v="CHARGES"/>
    <x v="0"/>
    <s v="3212.004"/>
    <s v="Intérêts rémun./perçu trop tôt sur acomptes C/C"/>
    <n v="0.96"/>
    <n v="0"/>
    <n v="3212"/>
  </r>
  <r>
    <x v="0"/>
    <x v="7"/>
    <x v="6"/>
    <x v="137"/>
    <x v="121"/>
    <x v="121"/>
    <s v="CHARGES"/>
    <x v="0"/>
    <s v="3221.002"/>
    <s v="Intérêts compensatoires / créances en faveur ctb."/>
    <n v="0.36"/>
    <n v="0"/>
    <n v="3221"/>
  </r>
  <r>
    <x v="0"/>
    <x v="7"/>
    <x v="6"/>
    <x v="137"/>
    <x v="121"/>
    <x v="121"/>
    <s v="CHARGES"/>
    <x v="1"/>
    <s v="3301.001"/>
    <s v="Défalcations, abandons de solde PP et IS"/>
    <n v="0.64"/>
    <n v="0"/>
    <n v="3301"/>
  </r>
  <r>
    <x v="0"/>
    <x v="7"/>
    <x v="6"/>
    <x v="137"/>
    <x v="121"/>
    <x v="121"/>
    <s v="CHARGES"/>
    <x v="0"/>
    <s v="3212.004"/>
    <s v="Intérêts rémun./perçu trop tôt sur acomptes C/C"/>
    <n v="0.86"/>
    <n v="0"/>
    <n v="3212"/>
  </r>
  <r>
    <x v="0"/>
    <x v="7"/>
    <x v="6"/>
    <x v="137"/>
    <x v="121"/>
    <x v="121"/>
    <s v="CHARGES"/>
    <x v="0"/>
    <s v="3221.002"/>
    <s v="Intérêts compensatoires / créances en faveur ctb."/>
    <n v="0.04"/>
    <n v="0"/>
    <n v="3221"/>
  </r>
  <r>
    <x v="0"/>
    <x v="7"/>
    <x v="6"/>
    <x v="137"/>
    <x v="121"/>
    <x v="121"/>
    <s v="CHARGES"/>
    <x v="1"/>
    <s v="3301.001"/>
    <s v="Défalcations, abandons de solde PP et IS"/>
    <n v="-292.63"/>
    <n v="0"/>
    <n v="3301"/>
  </r>
  <r>
    <x v="0"/>
    <x v="7"/>
    <x v="6"/>
    <x v="137"/>
    <x v="121"/>
    <x v="121"/>
    <s v="CHARGES"/>
    <x v="0"/>
    <s v="3212.002"/>
    <s v="Intérêts bonifiés/trop perçu acompte C/C"/>
    <n v="3.58"/>
    <n v="0"/>
    <n v="3212"/>
  </r>
  <r>
    <x v="0"/>
    <x v="7"/>
    <x v="6"/>
    <x v="137"/>
    <x v="121"/>
    <x v="121"/>
    <s v="CHARGES"/>
    <x v="1"/>
    <s v="3301.001"/>
    <s v="Défalcations, abandons de solde PP et IS"/>
    <n v="0.11"/>
    <n v="0"/>
    <n v="3301"/>
  </r>
  <r>
    <x v="0"/>
    <x v="7"/>
    <x v="6"/>
    <x v="137"/>
    <x v="121"/>
    <x v="121"/>
    <s v="CHARGES"/>
    <x v="0"/>
    <s v="3212.004"/>
    <s v="Intérêts rémun./perçu trop tôt sur acomptes C/C"/>
    <n v="-18.32"/>
    <n v="0"/>
    <n v="3212"/>
  </r>
  <r>
    <x v="0"/>
    <x v="7"/>
    <x v="6"/>
    <x v="137"/>
    <x v="121"/>
    <x v="121"/>
    <s v="CHARGES"/>
    <x v="0"/>
    <s v="3221.002"/>
    <s v="Intérêts compensatoires / créances en faveur ctb."/>
    <n v="0.17"/>
    <n v="0"/>
    <n v="3221"/>
  </r>
  <r>
    <x v="0"/>
    <x v="7"/>
    <x v="6"/>
    <x v="137"/>
    <x v="121"/>
    <x v="121"/>
    <s v="CHARGES"/>
    <x v="1"/>
    <s v="3301.001"/>
    <s v="Défalcations, abandons de solde PP et IS"/>
    <n v="-6.5"/>
    <n v="0"/>
    <n v="3301"/>
  </r>
  <r>
    <x v="0"/>
    <x v="7"/>
    <x v="6"/>
    <x v="137"/>
    <x v="121"/>
    <x v="121"/>
    <s v="REVENUS"/>
    <x v="2"/>
    <s v="4001.007"/>
    <s v="Acompte impôt sur revenu"/>
    <n v="0"/>
    <n v="3595.71"/>
    <n v="4001"/>
  </r>
  <r>
    <x v="0"/>
    <x v="7"/>
    <x v="6"/>
    <x v="137"/>
    <x v="121"/>
    <x v="121"/>
    <s v="REVENUS"/>
    <x v="3"/>
    <s v="4002.007"/>
    <s v="Acompte impôt sur fortune"/>
    <n v="0"/>
    <n v="5149.38"/>
    <n v="4002"/>
  </r>
  <r>
    <x v="0"/>
    <x v="7"/>
    <x v="6"/>
    <x v="137"/>
    <x v="121"/>
    <x v="121"/>
    <s v="REVENUS"/>
    <x v="2"/>
    <s v="4001.001"/>
    <s v="Impôt revenu"/>
    <n v="0"/>
    <n v="3306906.75"/>
    <n v="4001"/>
  </r>
  <r>
    <x v="0"/>
    <x v="7"/>
    <x v="6"/>
    <x v="137"/>
    <x v="121"/>
    <x v="121"/>
    <s v="REVENUS"/>
    <x v="2"/>
    <s v="4001.007"/>
    <s v="Acompte impôt sur revenu"/>
    <n v="0"/>
    <n v="-39810.870000000003"/>
    <n v="4001"/>
  </r>
  <r>
    <x v="0"/>
    <x v="7"/>
    <x v="6"/>
    <x v="137"/>
    <x v="121"/>
    <x v="121"/>
    <s v="REVENUS"/>
    <x v="3"/>
    <s v="4002.001"/>
    <s v="Impôt ordinaire s/fortune PP"/>
    <n v="0"/>
    <n v="336237.3"/>
    <n v="4002"/>
  </r>
  <r>
    <x v="0"/>
    <x v="7"/>
    <x v="6"/>
    <x v="137"/>
    <x v="121"/>
    <x v="121"/>
    <s v="REVENUS"/>
    <x v="3"/>
    <s v="4002.007"/>
    <s v="Acompte impôt sur fortune"/>
    <n v="0"/>
    <n v="128109.79"/>
    <n v="4002"/>
  </r>
  <r>
    <x v="0"/>
    <x v="7"/>
    <x v="6"/>
    <x v="137"/>
    <x v="121"/>
    <x v="121"/>
    <s v="REVENUS"/>
    <x v="6"/>
    <s v="4211.001"/>
    <s v="Intérêts de retard sur factures"/>
    <n v="0"/>
    <n v="10802.92"/>
    <n v="4211"/>
  </r>
  <r>
    <x v="0"/>
    <x v="7"/>
    <x v="6"/>
    <x v="137"/>
    <x v="121"/>
    <x v="121"/>
    <s v="REVENUS"/>
    <x v="6"/>
    <s v="4211.002"/>
    <s v="Intérêts de retard sur acomptes"/>
    <n v="0"/>
    <n v="18143.87"/>
    <n v="4211"/>
  </r>
  <r>
    <x v="0"/>
    <x v="7"/>
    <x v="6"/>
    <x v="137"/>
    <x v="121"/>
    <x v="121"/>
    <s v="REVENUS"/>
    <x v="6"/>
    <s v="4221.003"/>
    <s v="Intérêts compensat. / acomptes en faveur du fisc"/>
    <n v="0"/>
    <n v="-503.83"/>
    <n v="4221"/>
  </r>
  <r>
    <x v="0"/>
    <x v="7"/>
    <x v="6"/>
    <x v="137"/>
    <x v="121"/>
    <x v="121"/>
    <s v="REVENUS"/>
    <x v="7"/>
    <s v="4184.000"/>
    <s v="Frais de poursuite"/>
    <n v="0"/>
    <n v="3041.24"/>
    <n v="4184"/>
  </r>
  <r>
    <x v="0"/>
    <x v="7"/>
    <x v="6"/>
    <x v="137"/>
    <x v="121"/>
    <x v="121"/>
    <s v="REVENUS"/>
    <x v="2"/>
    <s v="4001.002"/>
    <s v="Impôt complément s/revenu PP"/>
    <n v="0"/>
    <n v="302884.55"/>
    <n v="4001"/>
  </r>
  <r>
    <x v="0"/>
    <x v="7"/>
    <x v="6"/>
    <x v="137"/>
    <x v="121"/>
    <x v="121"/>
    <s v="REVENUS"/>
    <x v="3"/>
    <s v="4002.002"/>
    <s v="Impôt complémentaire s/fortune PP"/>
    <n v="0"/>
    <n v="77577.649999999994"/>
    <n v="4002"/>
  </r>
  <r>
    <x v="0"/>
    <x v="7"/>
    <x v="6"/>
    <x v="137"/>
    <x v="121"/>
    <x v="121"/>
    <s v="REVENUS"/>
    <x v="2"/>
    <s v="4001.003"/>
    <s v="Impôt s/prest. cap. PP"/>
    <n v="0"/>
    <n v="115084.35"/>
    <n v="4001"/>
  </r>
  <r>
    <x v="0"/>
    <x v="7"/>
    <x v="6"/>
    <x v="137"/>
    <x v="121"/>
    <x v="121"/>
    <s v="REVENUS"/>
    <x v="10"/>
    <s v="4041.001"/>
    <s v="Droits de mutation"/>
    <n v="0"/>
    <n v="162060.4"/>
    <n v="4041"/>
  </r>
  <r>
    <x v="0"/>
    <x v="7"/>
    <x v="6"/>
    <x v="137"/>
    <x v="121"/>
    <x v="121"/>
    <s v="REVENUS"/>
    <x v="5"/>
    <s v="4061.000"/>
    <s v="Impôt sur les chiens"/>
    <n v="0"/>
    <n v="22950"/>
    <n v="4061"/>
  </r>
  <r>
    <x v="0"/>
    <x v="7"/>
    <x v="6"/>
    <x v="137"/>
    <x v="121"/>
    <x v="121"/>
    <s v="REVENUS"/>
    <x v="2"/>
    <s v="4001.001"/>
    <s v="Impôt revenu"/>
    <n v="0"/>
    <n v="16038.4"/>
    <n v="4001"/>
  </r>
  <r>
    <x v="0"/>
    <x v="7"/>
    <x v="6"/>
    <x v="137"/>
    <x v="121"/>
    <x v="121"/>
    <s v="REVENUS"/>
    <x v="2"/>
    <s v="4001.007"/>
    <s v="Acompte impôt sur revenu"/>
    <n v="0"/>
    <n v="348.05"/>
    <n v="4001"/>
  </r>
  <r>
    <x v="0"/>
    <x v="7"/>
    <x v="6"/>
    <x v="137"/>
    <x v="121"/>
    <x v="121"/>
    <s v="REVENUS"/>
    <x v="3"/>
    <s v="4002.001"/>
    <s v="Impôt ordinaire s/fortune PP"/>
    <n v="0"/>
    <n v="8273.9500000000007"/>
    <n v="4002"/>
  </r>
  <r>
    <x v="0"/>
    <x v="7"/>
    <x v="6"/>
    <x v="137"/>
    <x v="121"/>
    <x v="121"/>
    <s v="REVENUS"/>
    <x v="3"/>
    <s v="4002.007"/>
    <s v="Acompte impôt sur fortune"/>
    <n v="0"/>
    <n v="977.46"/>
    <n v="4002"/>
  </r>
  <r>
    <x v="0"/>
    <x v="7"/>
    <x v="6"/>
    <x v="137"/>
    <x v="121"/>
    <x v="121"/>
    <s v="REVENUS"/>
    <x v="6"/>
    <s v="4211.002"/>
    <s v="Intérêts de retard sur acomptes"/>
    <n v="0"/>
    <n v="59.33"/>
    <n v="4211"/>
  </r>
  <r>
    <x v="0"/>
    <x v="7"/>
    <x v="6"/>
    <x v="137"/>
    <x v="121"/>
    <x v="121"/>
    <s v="REVENUS"/>
    <x v="6"/>
    <s v="4221.003"/>
    <s v="Intérêts compensat. / acomptes en faveur du fisc"/>
    <n v="0"/>
    <n v="1.21"/>
    <n v="4221"/>
  </r>
  <r>
    <x v="0"/>
    <x v="7"/>
    <x v="6"/>
    <x v="137"/>
    <x v="121"/>
    <x v="121"/>
    <s v="REVENUS"/>
    <x v="2"/>
    <s v="4001.007"/>
    <s v="Acompte impôt sur revenu"/>
    <n v="0"/>
    <n v="1757.47"/>
    <n v="4001"/>
  </r>
  <r>
    <x v="0"/>
    <x v="7"/>
    <x v="6"/>
    <x v="137"/>
    <x v="121"/>
    <x v="121"/>
    <s v="REVENUS"/>
    <x v="3"/>
    <s v="4002.007"/>
    <s v="Acompte impôt sur fortune"/>
    <n v="0"/>
    <n v="891.81"/>
    <n v="4002"/>
  </r>
  <r>
    <x v="0"/>
    <x v="7"/>
    <x v="6"/>
    <x v="137"/>
    <x v="121"/>
    <x v="121"/>
    <s v="REVENUS"/>
    <x v="3"/>
    <s v="4002.001"/>
    <s v="Impôt ordinaire s/fortune PP"/>
    <n v="0"/>
    <n v="12573.9"/>
    <n v="4002"/>
  </r>
  <r>
    <x v="0"/>
    <x v="7"/>
    <x v="6"/>
    <x v="137"/>
    <x v="121"/>
    <x v="121"/>
    <s v="REVENUS"/>
    <x v="6"/>
    <s v="4211.001"/>
    <s v="Intérêts de retard sur factures"/>
    <n v="0"/>
    <n v="40.369999999999997"/>
    <n v="4211"/>
  </r>
  <r>
    <x v="0"/>
    <x v="7"/>
    <x v="6"/>
    <x v="137"/>
    <x v="121"/>
    <x v="121"/>
    <s v="REVENUS"/>
    <x v="2"/>
    <s v="4001.001"/>
    <s v="Impôt revenu"/>
    <n v="0"/>
    <n v="21630"/>
    <n v="4001"/>
  </r>
  <r>
    <x v="0"/>
    <x v="7"/>
    <x v="6"/>
    <x v="137"/>
    <x v="121"/>
    <x v="121"/>
    <s v="REVENUS"/>
    <x v="7"/>
    <s v="4184.000"/>
    <s v="Frais de poursuite"/>
    <n v="0"/>
    <n v="32.89"/>
    <n v="4184"/>
  </r>
  <r>
    <x v="0"/>
    <x v="7"/>
    <x v="6"/>
    <x v="137"/>
    <x v="121"/>
    <x v="121"/>
    <s v="REVENUS"/>
    <x v="2"/>
    <s v="4001.007"/>
    <s v="Acompte impôt sur revenu"/>
    <n v="0"/>
    <n v="15.3"/>
    <n v="4001"/>
  </r>
  <r>
    <x v="0"/>
    <x v="7"/>
    <x v="6"/>
    <x v="137"/>
    <x v="121"/>
    <x v="121"/>
    <s v="REVENUS"/>
    <x v="3"/>
    <s v="4002.007"/>
    <s v="Acompte impôt sur fortune"/>
    <n v="0"/>
    <n v="321.10000000000002"/>
    <n v="4002"/>
  </r>
  <r>
    <x v="0"/>
    <x v="7"/>
    <x v="6"/>
    <x v="137"/>
    <x v="121"/>
    <x v="121"/>
    <s v="REVENUS"/>
    <x v="3"/>
    <s v="4002.007"/>
    <s v="Acompte impôt sur fortune"/>
    <n v="0"/>
    <n v="-408.3"/>
    <n v="4002"/>
  </r>
  <r>
    <x v="0"/>
    <x v="7"/>
    <x v="6"/>
    <x v="137"/>
    <x v="121"/>
    <x v="121"/>
    <s v="REVENUS"/>
    <x v="6"/>
    <s v="4221.002"/>
    <s v="Intérêts compensat. sur impôts distincts"/>
    <n v="0"/>
    <n v="46.36"/>
    <n v="4221"/>
  </r>
  <r>
    <x v="0"/>
    <x v="7"/>
    <x v="6"/>
    <x v="137"/>
    <x v="121"/>
    <x v="121"/>
    <s v="REVENUS"/>
    <x v="2"/>
    <s v="4001.007"/>
    <s v="Acompte impôt sur revenu"/>
    <n v="0"/>
    <n v="-1692.4"/>
    <n v="4001"/>
  </r>
  <r>
    <x v="0"/>
    <x v="7"/>
    <x v="6"/>
    <x v="137"/>
    <x v="121"/>
    <x v="121"/>
    <s v="REVENUS"/>
    <x v="3"/>
    <s v="4002.007"/>
    <s v="Acompte impôt sur fortune"/>
    <n v="0"/>
    <n v="-708.45"/>
    <n v="4002"/>
  </r>
  <r>
    <x v="0"/>
    <x v="7"/>
    <x v="6"/>
    <x v="137"/>
    <x v="121"/>
    <x v="121"/>
    <s v="REVENUS"/>
    <x v="2"/>
    <s v="4001.007"/>
    <s v="Acompte impôt sur revenu"/>
    <n v="0"/>
    <n v="-839.09"/>
    <n v="4001"/>
  </r>
  <r>
    <x v="0"/>
    <x v="7"/>
    <x v="6"/>
    <x v="137"/>
    <x v="121"/>
    <x v="121"/>
    <s v="REVENUS"/>
    <x v="7"/>
    <s v="4184.000"/>
    <s v="Frais de poursuite"/>
    <n v="0"/>
    <n v="111.27"/>
    <n v="4184"/>
  </r>
  <r>
    <x v="0"/>
    <x v="7"/>
    <x v="6"/>
    <x v="137"/>
    <x v="121"/>
    <x v="121"/>
    <s v="REVENUS"/>
    <x v="2"/>
    <s v="4001.001"/>
    <s v="Impôt revenu"/>
    <n v="0"/>
    <n v="6619.7"/>
    <n v="4001"/>
  </r>
  <r>
    <x v="0"/>
    <x v="7"/>
    <x v="6"/>
    <x v="137"/>
    <x v="121"/>
    <x v="121"/>
    <s v="REVENUS"/>
    <x v="3"/>
    <s v="4002.001"/>
    <s v="Impôt ordinaire s/fortune PP"/>
    <n v="0"/>
    <n v="884.9"/>
    <n v="4002"/>
  </r>
  <r>
    <x v="0"/>
    <x v="7"/>
    <x v="6"/>
    <x v="137"/>
    <x v="121"/>
    <x v="121"/>
    <s v="REVENUS"/>
    <x v="9"/>
    <s v="4031.001"/>
    <s v="Impôt sur les gains immobiliers"/>
    <n v="0"/>
    <n v="90676.800000000003"/>
    <n v="4031"/>
  </r>
  <r>
    <x v="0"/>
    <x v="7"/>
    <x v="6"/>
    <x v="137"/>
    <x v="121"/>
    <x v="121"/>
    <s v="REVENUS"/>
    <x v="6"/>
    <s v="4221.003"/>
    <s v="Intérêts compensat. / acomptes en faveur du fisc"/>
    <n v="0"/>
    <n v="0.81"/>
    <n v="4221"/>
  </r>
  <r>
    <x v="0"/>
    <x v="7"/>
    <x v="6"/>
    <x v="137"/>
    <x v="121"/>
    <x v="121"/>
    <s v="REVENUS"/>
    <x v="6"/>
    <s v="4211.002"/>
    <s v="Intérêts de retard sur acomptes"/>
    <n v="0"/>
    <n v="125.23"/>
    <n v="4211"/>
  </r>
  <r>
    <x v="0"/>
    <x v="7"/>
    <x v="6"/>
    <x v="137"/>
    <x v="121"/>
    <x v="121"/>
    <s v="REVENUS"/>
    <x v="3"/>
    <s v="4002.002"/>
    <s v="Impôt complémentaire s/fortune PP"/>
    <n v="0"/>
    <n v="822.65"/>
    <n v="4002"/>
  </r>
  <r>
    <x v="0"/>
    <x v="7"/>
    <x v="6"/>
    <x v="137"/>
    <x v="121"/>
    <x v="121"/>
    <s v="REVENUS"/>
    <x v="8"/>
    <s v="4091.001"/>
    <s v="Impôt récupéré après défalcations"/>
    <n v="0"/>
    <n v="15412.99"/>
    <n v="4091"/>
  </r>
  <r>
    <x v="0"/>
    <x v="7"/>
    <x v="6"/>
    <x v="137"/>
    <x v="121"/>
    <x v="121"/>
    <s v="REVENUS"/>
    <x v="2"/>
    <s v="4001.001"/>
    <s v="Impôt revenu"/>
    <n v="0"/>
    <n v="1222.05"/>
    <n v="4001"/>
  </r>
  <r>
    <x v="0"/>
    <x v="7"/>
    <x v="6"/>
    <x v="137"/>
    <x v="121"/>
    <x v="121"/>
    <s v="REVENUS"/>
    <x v="3"/>
    <s v="4002.001"/>
    <s v="Impôt ordinaire s/fortune PP"/>
    <n v="0"/>
    <n v="922.85"/>
    <n v="4002"/>
  </r>
  <r>
    <x v="0"/>
    <x v="7"/>
    <x v="6"/>
    <x v="137"/>
    <x v="121"/>
    <x v="121"/>
    <s v="REVENUS"/>
    <x v="6"/>
    <s v="4221.003"/>
    <s v="Intérêts compensat. / acomptes en faveur du fisc"/>
    <n v="0"/>
    <n v="0.12"/>
    <n v="4221"/>
  </r>
  <r>
    <x v="0"/>
    <x v="7"/>
    <x v="6"/>
    <x v="137"/>
    <x v="121"/>
    <x v="121"/>
    <s v="REVENUS"/>
    <x v="6"/>
    <s v="4211.002"/>
    <s v="Intérêts de retard sur acomptes"/>
    <n v="0"/>
    <n v="48.36"/>
    <n v="4211"/>
  </r>
  <r>
    <x v="0"/>
    <x v="7"/>
    <x v="6"/>
    <x v="137"/>
    <x v="121"/>
    <x v="121"/>
    <s v="REVENUS"/>
    <x v="6"/>
    <s v="4221.003"/>
    <s v="Intérêts compensat. / acomptes en faveur du fisc"/>
    <n v="0"/>
    <n v="0.61"/>
    <n v="4221"/>
  </r>
  <r>
    <x v="0"/>
    <x v="7"/>
    <x v="6"/>
    <x v="137"/>
    <x v="121"/>
    <x v="121"/>
    <s v="REVENUS"/>
    <x v="6"/>
    <s v="4211.001"/>
    <s v="Intérêts de retard sur factures"/>
    <n v="0"/>
    <n v="14.43"/>
    <n v="4211"/>
  </r>
  <r>
    <x v="0"/>
    <x v="7"/>
    <x v="6"/>
    <x v="137"/>
    <x v="121"/>
    <x v="121"/>
    <s v="REVENUS"/>
    <x v="9"/>
    <s v="4031.002"/>
    <s v="Complément impôt sur les gains immobiliers"/>
    <n v="0"/>
    <n v="13133.9"/>
    <n v="4031"/>
  </r>
  <r>
    <x v="0"/>
    <x v="7"/>
    <x v="6"/>
    <x v="137"/>
    <x v="121"/>
    <x v="121"/>
    <s v="REVENUS"/>
    <x v="10"/>
    <s v="4041.001"/>
    <s v="Droits de mutation"/>
    <n v="0"/>
    <n v="146.30000000000001"/>
    <n v="4041"/>
  </r>
  <r>
    <x v="0"/>
    <x v="7"/>
    <x v="6"/>
    <x v="137"/>
    <x v="121"/>
    <x v="121"/>
    <s v="REVENUS"/>
    <x v="10"/>
    <s v="4041.001"/>
    <s v="Droits de mutation"/>
    <n v="0"/>
    <n v="146.30000000000001"/>
    <n v="4041"/>
  </r>
  <r>
    <x v="0"/>
    <x v="7"/>
    <x v="6"/>
    <x v="137"/>
    <x v="121"/>
    <x v="121"/>
    <s v="REVENUS"/>
    <x v="2"/>
    <s v="4001.007"/>
    <s v="Acompte impôt sur revenu"/>
    <n v="0"/>
    <n v="-551.32000000000005"/>
    <n v="4001"/>
  </r>
  <r>
    <x v="0"/>
    <x v="7"/>
    <x v="6"/>
    <x v="137"/>
    <x v="121"/>
    <x v="121"/>
    <s v="REVENUS"/>
    <x v="3"/>
    <s v="4002.007"/>
    <s v="Acompte impôt sur fortune"/>
    <n v="0"/>
    <n v="-35.5"/>
    <n v="4002"/>
  </r>
  <r>
    <x v="0"/>
    <x v="7"/>
    <x v="6"/>
    <x v="137"/>
    <x v="121"/>
    <x v="121"/>
    <s v="REVENUS"/>
    <x v="8"/>
    <s v="4091.001"/>
    <s v="Impôt récupéré après défalcations"/>
    <n v="0"/>
    <n v="1007.18"/>
    <n v="4091"/>
  </r>
  <r>
    <x v="0"/>
    <x v="7"/>
    <x v="6"/>
    <x v="137"/>
    <x v="121"/>
    <x v="121"/>
    <s v="REVENUS"/>
    <x v="3"/>
    <s v="4002.007"/>
    <s v="Acompte impôt sur fortune"/>
    <n v="0"/>
    <n v="-104.95"/>
    <n v="4002"/>
  </r>
  <r>
    <x v="0"/>
    <x v="7"/>
    <x v="6"/>
    <x v="137"/>
    <x v="121"/>
    <x v="121"/>
    <s v="REVENUS"/>
    <x v="7"/>
    <s v="4184.000"/>
    <s v="Frais de poursuite"/>
    <n v="0"/>
    <n v="5.79"/>
    <n v="4184"/>
  </r>
  <r>
    <x v="0"/>
    <x v="7"/>
    <x v="6"/>
    <x v="137"/>
    <x v="121"/>
    <x v="121"/>
    <s v="REVENUS"/>
    <x v="2"/>
    <s v="4001.002"/>
    <s v="Impôt complément s/revenu PP"/>
    <n v="0"/>
    <n v="170.15"/>
    <n v="4001"/>
  </r>
  <r>
    <x v="0"/>
    <x v="7"/>
    <x v="6"/>
    <x v="137"/>
    <x v="121"/>
    <x v="121"/>
    <s v="REVENUS"/>
    <x v="4"/>
    <s v="4051.001"/>
    <s v="Impôt sur les successions"/>
    <n v="0"/>
    <n v="-54.75"/>
    <n v="4051"/>
  </r>
  <r>
    <x v="0"/>
    <x v="7"/>
    <x v="6"/>
    <x v="137"/>
    <x v="121"/>
    <x v="121"/>
    <s v="REVENUS"/>
    <x v="6"/>
    <s v="4211.001"/>
    <s v="Intérêts de retard sur factures"/>
    <n v="0"/>
    <n v="30.06"/>
    <n v="4211"/>
  </r>
  <r>
    <x v="0"/>
    <x v="7"/>
    <x v="6"/>
    <x v="137"/>
    <x v="121"/>
    <x v="121"/>
    <s v="REVENUS"/>
    <x v="2"/>
    <s v="4001.007"/>
    <s v="Acompte impôt sur revenu"/>
    <n v="0"/>
    <n v="-1463.7"/>
    <n v="4001"/>
  </r>
  <r>
    <x v="0"/>
    <x v="7"/>
    <x v="6"/>
    <x v="137"/>
    <x v="121"/>
    <x v="121"/>
    <s v="REVENUS"/>
    <x v="6"/>
    <s v="4211.001"/>
    <s v="Intérêts de retard sur factures"/>
    <n v="0"/>
    <n v="0.19"/>
    <n v="4211"/>
  </r>
  <r>
    <x v="0"/>
    <x v="7"/>
    <x v="6"/>
    <x v="137"/>
    <x v="121"/>
    <x v="121"/>
    <s v="REVENUS"/>
    <x v="2"/>
    <s v="4001.002"/>
    <s v="Impôt complément s/revenu PP"/>
    <n v="0"/>
    <n v="2793.65"/>
    <n v="4001"/>
  </r>
  <r>
    <x v="0"/>
    <x v="7"/>
    <x v="6"/>
    <x v="137"/>
    <x v="121"/>
    <x v="121"/>
    <s v="REVENUS"/>
    <x v="2"/>
    <s v="4001.005"/>
    <s v="Amende de soustract. Impôt"/>
    <n v="0"/>
    <n v="-12250"/>
    <n v="4001"/>
  </r>
  <r>
    <x v="0"/>
    <x v="7"/>
    <x v="6"/>
    <x v="137"/>
    <x v="121"/>
    <x v="121"/>
    <s v="REVENUS"/>
    <x v="2"/>
    <s v="4001.001"/>
    <s v="Impôt revenu"/>
    <n v="0"/>
    <n v="-13203.55"/>
    <n v="4001"/>
  </r>
  <r>
    <x v="0"/>
    <x v="7"/>
    <x v="6"/>
    <x v="137"/>
    <x v="121"/>
    <x v="121"/>
    <s v="REVENUS"/>
    <x v="3"/>
    <s v="4002.001"/>
    <s v="Impôt ordinaire s/fortune PP"/>
    <n v="0"/>
    <n v="-3873.55"/>
    <n v="4002"/>
  </r>
  <r>
    <x v="0"/>
    <x v="7"/>
    <x v="6"/>
    <x v="137"/>
    <x v="121"/>
    <x v="121"/>
    <s v="REVENUS"/>
    <x v="6"/>
    <s v="4221.003"/>
    <s v="Intérêts compensat. / acomptes en faveur du fisc"/>
    <n v="0"/>
    <n v="-13.01"/>
    <n v="4221"/>
  </r>
  <r>
    <x v="0"/>
    <x v="7"/>
    <x v="6"/>
    <x v="137"/>
    <x v="121"/>
    <x v="121"/>
    <s v="REVENUS"/>
    <x v="6"/>
    <s v="4211.001"/>
    <s v="Intérêts de retard sur factures"/>
    <n v="0"/>
    <n v="4.67"/>
    <n v="4211"/>
  </r>
  <r>
    <x v="0"/>
    <x v="7"/>
    <x v="6"/>
    <x v="137"/>
    <x v="121"/>
    <x v="121"/>
    <s v="REVENUS"/>
    <x v="2"/>
    <s v="4001.002"/>
    <s v="Impôt complément s/revenu PP"/>
    <n v="0"/>
    <n v="252.5"/>
    <n v="4001"/>
  </r>
  <r>
    <x v="0"/>
    <x v="7"/>
    <x v="6"/>
    <x v="137"/>
    <x v="121"/>
    <x v="121"/>
    <s v="REVENUS"/>
    <x v="3"/>
    <s v="4002.002"/>
    <s v="Impôt complémentaire s/fortune PP"/>
    <n v="0"/>
    <n v="73.75"/>
    <n v="4002"/>
  </r>
  <r>
    <x v="0"/>
    <x v="7"/>
    <x v="6"/>
    <x v="137"/>
    <x v="121"/>
    <x v="121"/>
    <s v="REVENUS"/>
    <x v="2"/>
    <s v="4001.003"/>
    <s v="Impôt s/prest. cap. PP"/>
    <n v="0"/>
    <n v="-1455.65"/>
    <n v="4001"/>
  </r>
  <r>
    <x v="0"/>
    <x v="7"/>
    <x v="6"/>
    <x v="137"/>
    <x v="121"/>
    <x v="121"/>
    <s v="REVENUS"/>
    <x v="7"/>
    <s v="4184.000"/>
    <s v="Frais de poursuite"/>
    <n v="0"/>
    <n v="2.33"/>
    <n v="4184"/>
  </r>
  <r>
    <x v="0"/>
    <x v="7"/>
    <x v="6"/>
    <x v="137"/>
    <x v="121"/>
    <x v="121"/>
    <s v="REVENUS"/>
    <x v="2"/>
    <s v="4001.001"/>
    <s v="Impôt revenu"/>
    <n v="0"/>
    <n v="63.1"/>
    <n v="4001"/>
  </r>
  <r>
    <x v="0"/>
    <x v="7"/>
    <x v="6"/>
    <x v="137"/>
    <x v="121"/>
    <x v="121"/>
    <s v="REVENUS"/>
    <x v="3"/>
    <s v="4002.001"/>
    <s v="Impôt ordinaire s/fortune PP"/>
    <n v="0"/>
    <n v="12.7"/>
    <n v="4002"/>
  </r>
  <r>
    <x v="0"/>
    <x v="7"/>
    <x v="6"/>
    <x v="137"/>
    <x v="121"/>
    <x v="121"/>
    <s v="REVENUS"/>
    <x v="6"/>
    <s v="4211.002"/>
    <s v="Intérêts de retard sur acomptes"/>
    <n v="0"/>
    <n v="0.9"/>
    <n v="4211"/>
  </r>
  <r>
    <x v="0"/>
    <x v="7"/>
    <x v="6"/>
    <x v="137"/>
    <x v="121"/>
    <x v="121"/>
    <s v="REVENUS"/>
    <x v="6"/>
    <s v="4211.001"/>
    <s v="Intérêts de retard sur factures"/>
    <n v="0"/>
    <n v="0.01"/>
    <n v="4211"/>
  </r>
  <r>
    <x v="0"/>
    <x v="7"/>
    <x v="6"/>
    <x v="137"/>
    <x v="121"/>
    <x v="121"/>
    <s v="REVENUS"/>
    <x v="6"/>
    <s v="4211.002"/>
    <s v="Intérêts de retard sur acomptes"/>
    <n v="0"/>
    <n v="0.01"/>
    <n v="4211"/>
  </r>
  <r>
    <x v="0"/>
    <x v="7"/>
    <x v="6"/>
    <x v="138"/>
    <x v="120"/>
    <x v="120"/>
    <s v="CHARGES"/>
    <x v="0"/>
    <s v="3212.004"/>
    <s v="Intérêts rémun./perçu trop tôt sur acomptes C/C"/>
    <n v="-111.11"/>
    <n v="0"/>
    <n v="3212"/>
  </r>
  <r>
    <x v="0"/>
    <x v="7"/>
    <x v="6"/>
    <x v="138"/>
    <x v="120"/>
    <x v="120"/>
    <s v="CHARGES"/>
    <x v="0"/>
    <s v="3221.002"/>
    <s v="Intérêts compensatoires / créances en faveur ctb."/>
    <n v="71.8"/>
    <n v="0"/>
    <n v="3221"/>
  </r>
  <r>
    <x v="0"/>
    <x v="7"/>
    <x v="6"/>
    <x v="138"/>
    <x v="120"/>
    <x v="120"/>
    <s v="CHARGES"/>
    <x v="1"/>
    <s v="3301.001"/>
    <s v="Défalcations, abandons de solde PP et IS"/>
    <n v="-2322.4699999999998"/>
    <n v="0"/>
    <n v="3301"/>
  </r>
  <r>
    <x v="0"/>
    <x v="7"/>
    <x v="6"/>
    <x v="138"/>
    <x v="120"/>
    <x v="120"/>
    <s v="CHARGES"/>
    <x v="0"/>
    <s v="3212.004"/>
    <s v="Intérêts rémun./perçu trop tôt sur acomptes C/C"/>
    <n v="-47.47"/>
    <n v="0"/>
    <n v="3212"/>
  </r>
  <r>
    <x v="0"/>
    <x v="7"/>
    <x v="6"/>
    <x v="138"/>
    <x v="120"/>
    <x v="120"/>
    <s v="CHARGES"/>
    <x v="0"/>
    <s v="3221.002"/>
    <s v="Intérêts compensatoires / créances en faveur ctb."/>
    <n v="-265.73"/>
    <n v="0"/>
    <n v="3221"/>
  </r>
  <r>
    <x v="0"/>
    <x v="7"/>
    <x v="6"/>
    <x v="138"/>
    <x v="120"/>
    <x v="120"/>
    <s v="CHARGES"/>
    <x v="1"/>
    <s v="3301.001"/>
    <s v="Défalcations, abandons de solde PP et IS"/>
    <n v="12136.58"/>
    <n v="0"/>
    <n v="3301"/>
  </r>
  <r>
    <x v="0"/>
    <x v="7"/>
    <x v="6"/>
    <x v="138"/>
    <x v="120"/>
    <x v="120"/>
    <s v="CHARGES"/>
    <x v="0"/>
    <s v="3212.002"/>
    <s v="Intérêts bonifiés/trop perçu acompte C/C"/>
    <n v="-46.33"/>
    <n v="0"/>
    <n v="3212"/>
  </r>
  <r>
    <x v="0"/>
    <x v="7"/>
    <x v="6"/>
    <x v="138"/>
    <x v="120"/>
    <x v="120"/>
    <s v="CHARGES"/>
    <x v="0"/>
    <s v="3212.002"/>
    <s v="Intérêts bonifiés/trop perçu acompte C/C"/>
    <n v="0.22"/>
    <n v="0"/>
    <n v="3212"/>
  </r>
  <r>
    <x v="0"/>
    <x v="7"/>
    <x v="6"/>
    <x v="138"/>
    <x v="120"/>
    <x v="120"/>
    <s v="CHARGES"/>
    <x v="0"/>
    <s v="3221.002"/>
    <s v="Intérêts compensatoires / créances en faveur ctb."/>
    <n v="-0.12"/>
    <n v="0"/>
    <n v="3221"/>
  </r>
  <r>
    <x v="0"/>
    <x v="7"/>
    <x v="6"/>
    <x v="138"/>
    <x v="120"/>
    <x v="120"/>
    <s v="CHARGES"/>
    <x v="0"/>
    <s v="3212.002"/>
    <s v="Intérêts bonifiés/trop perçu acompte C/C"/>
    <n v="7.65"/>
    <n v="0"/>
    <n v="3212"/>
  </r>
  <r>
    <x v="0"/>
    <x v="7"/>
    <x v="6"/>
    <x v="138"/>
    <x v="120"/>
    <x v="120"/>
    <s v="CHARGES"/>
    <x v="1"/>
    <s v="3301.001"/>
    <s v="Défalcations, abandons de solde PP et IS"/>
    <n v="0.04"/>
    <n v="0"/>
    <n v="3301"/>
  </r>
  <r>
    <x v="0"/>
    <x v="7"/>
    <x v="6"/>
    <x v="138"/>
    <x v="120"/>
    <x v="120"/>
    <s v="REVENUS"/>
    <x v="2"/>
    <s v="4001.001"/>
    <s v="Impôt revenu"/>
    <n v="0"/>
    <n v="-167125.85"/>
    <n v="4001"/>
  </r>
  <r>
    <x v="0"/>
    <x v="7"/>
    <x v="6"/>
    <x v="138"/>
    <x v="120"/>
    <x v="120"/>
    <s v="REVENUS"/>
    <x v="3"/>
    <s v="4002.001"/>
    <s v="Impôt ordinaire s/fortune PP"/>
    <n v="0"/>
    <n v="-36123.15"/>
    <n v="4002"/>
  </r>
  <r>
    <x v="0"/>
    <x v="7"/>
    <x v="6"/>
    <x v="138"/>
    <x v="120"/>
    <x v="120"/>
    <s v="REVENUS"/>
    <x v="6"/>
    <s v="4221.003"/>
    <s v="Intérêts compensat. / acomptes en faveur du fisc"/>
    <n v="0"/>
    <n v="-6.63"/>
    <n v="4221"/>
  </r>
  <r>
    <x v="0"/>
    <x v="7"/>
    <x v="6"/>
    <x v="138"/>
    <x v="120"/>
    <x v="120"/>
    <s v="REVENUS"/>
    <x v="2"/>
    <s v="4001.002"/>
    <s v="Impôt complément s/revenu PP"/>
    <n v="0"/>
    <n v="221788.4"/>
    <n v="4001"/>
  </r>
  <r>
    <x v="0"/>
    <x v="7"/>
    <x v="6"/>
    <x v="138"/>
    <x v="120"/>
    <x v="120"/>
    <s v="REVENUS"/>
    <x v="3"/>
    <s v="4002.002"/>
    <s v="Impôt complémentaire s/fortune PP"/>
    <n v="0"/>
    <n v="92456.25"/>
    <n v="4002"/>
  </r>
  <r>
    <x v="0"/>
    <x v="7"/>
    <x v="6"/>
    <x v="138"/>
    <x v="120"/>
    <x v="120"/>
    <s v="REVENUS"/>
    <x v="6"/>
    <s v="4211.001"/>
    <s v="Intérêts de retard sur factures"/>
    <n v="0"/>
    <n v="17098.169999999998"/>
    <n v="4211"/>
  </r>
  <r>
    <x v="0"/>
    <x v="7"/>
    <x v="6"/>
    <x v="138"/>
    <x v="120"/>
    <x v="120"/>
    <s v="REVENUS"/>
    <x v="6"/>
    <s v="4221.003"/>
    <s v="Intérêts compensat. / acomptes en faveur du fisc"/>
    <n v="0"/>
    <n v="287.82"/>
    <n v="4221"/>
  </r>
  <r>
    <x v="0"/>
    <x v="7"/>
    <x v="6"/>
    <x v="138"/>
    <x v="120"/>
    <x v="120"/>
    <s v="REVENUS"/>
    <x v="3"/>
    <s v="4002.002"/>
    <s v="Impôt complémentaire s/fortune PP"/>
    <n v="0"/>
    <n v="-4639.8"/>
    <n v="4002"/>
  </r>
  <r>
    <x v="0"/>
    <x v="7"/>
    <x v="6"/>
    <x v="138"/>
    <x v="120"/>
    <x v="120"/>
    <s v="REVENUS"/>
    <x v="6"/>
    <s v="4211.001"/>
    <s v="Intérêts de retard sur factures"/>
    <n v="0"/>
    <n v="-9.7899999999999991"/>
    <n v="4211"/>
  </r>
  <r>
    <x v="0"/>
    <x v="7"/>
    <x v="6"/>
    <x v="138"/>
    <x v="120"/>
    <x v="120"/>
    <s v="REVENUS"/>
    <x v="3"/>
    <s v="4002.001"/>
    <s v="Impôt ordinaire s/fortune PP"/>
    <n v="0"/>
    <n v="-57.55"/>
    <n v="4002"/>
  </r>
  <r>
    <x v="0"/>
    <x v="7"/>
    <x v="6"/>
    <x v="138"/>
    <x v="120"/>
    <x v="120"/>
    <s v="REVENUS"/>
    <x v="7"/>
    <s v="4184.000"/>
    <s v="Frais de poursuite"/>
    <n v="0"/>
    <n v="220.59"/>
    <n v="4184"/>
  </r>
  <r>
    <x v="0"/>
    <x v="7"/>
    <x v="6"/>
    <x v="138"/>
    <x v="120"/>
    <x v="120"/>
    <s v="REVENUS"/>
    <x v="2"/>
    <s v="4001.001"/>
    <s v="Impôt revenu"/>
    <n v="0"/>
    <n v="-72.349999999999994"/>
    <n v="4001"/>
  </r>
  <r>
    <x v="0"/>
    <x v="7"/>
    <x v="6"/>
    <x v="138"/>
    <x v="120"/>
    <x v="120"/>
    <s v="REVENUS"/>
    <x v="2"/>
    <s v="4001.002"/>
    <s v="Impôt complément s/revenu PP"/>
    <n v="0"/>
    <n v="71.150000000000006"/>
    <n v="4001"/>
  </r>
  <r>
    <x v="0"/>
    <x v="7"/>
    <x v="6"/>
    <x v="138"/>
    <x v="120"/>
    <x v="120"/>
    <s v="REVENUS"/>
    <x v="3"/>
    <s v="4002.001"/>
    <s v="Impôt ordinaire s/fortune PP"/>
    <n v="0"/>
    <n v="-219.2"/>
    <n v="4002"/>
  </r>
  <r>
    <x v="0"/>
    <x v="7"/>
    <x v="6"/>
    <x v="138"/>
    <x v="120"/>
    <x v="120"/>
    <s v="REVENUS"/>
    <x v="3"/>
    <s v="4002.002"/>
    <s v="Impôt complémentaire s/fortune PP"/>
    <n v="0"/>
    <n v="2008.5"/>
    <n v="4002"/>
  </r>
  <r>
    <x v="0"/>
    <x v="7"/>
    <x v="6"/>
    <x v="138"/>
    <x v="120"/>
    <x v="120"/>
    <s v="REVENUS"/>
    <x v="6"/>
    <s v="4211.001"/>
    <s v="Intérêts de retard sur factures"/>
    <n v="0"/>
    <n v="50.97"/>
    <n v="4211"/>
  </r>
  <r>
    <x v="0"/>
    <x v="7"/>
    <x v="6"/>
    <x v="138"/>
    <x v="120"/>
    <x v="120"/>
    <s v="REVENUS"/>
    <x v="6"/>
    <s v="4211.002"/>
    <s v="Intérêts de retard sur acomptes"/>
    <n v="0"/>
    <n v="0.4"/>
    <n v="4211"/>
  </r>
  <r>
    <x v="0"/>
    <x v="7"/>
    <x v="6"/>
    <x v="138"/>
    <x v="120"/>
    <x v="120"/>
    <s v="REVENUS"/>
    <x v="6"/>
    <s v="4221.003"/>
    <s v="Intérêts compensat. / acomptes en faveur du fisc"/>
    <n v="0"/>
    <n v="1.18"/>
    <n v="4221"/>
  </r>
  <r>
    <x v="0"/>
    <x v="7"/>
    <x v="6"/>
    <x v="138"/>
    <x v="120"/>
    <x v="120"/>
    <s v="REVENUS"/>
    <x v="6"/>
    <s v="4211.002"/>
    <s v="Intérêts de retard sur acomptes"/>
    <n v="0"/>
    <n v="-338.21"/>
    <n v="4211"/>
  </r>
  <r>
    <x v="0"/>
    <x v="7"/>
    <x v="6"/>
    <x v="138"/>
    <x v="120"/>
    <x v="120"/>
    <s v="REVENUS"/>
    <x v="6"/>
    <s v="4211.001"/>
    <s v="Intérêts de retard sur factures"/>
    <n v="0"/>
    <n v="0.41"/>
    <n v="4211"/>
  </r>
  <r>
    <x v="0"/>
    <x v="7"/>
    <x v="6"/>
    <x v="138"/>
    <x v="120"/>
    <x v="120"/>
    <s v="REVENUS"/>
    <x v="2"/>
    <s v="4001.001"/>
    <s v="Impôt revenu"/>
    <n v="0"/>
    <n v="-4332.7"/>
    <n v="4001"/>
  </r>
  <r>
    <x v="0"/>
    <x v="7"/>
    <x v="6"/>
    <x v="138"/>
    <x v="120"/>
    <x v="120"/>
    <s v="REVENUS"/>
    <x v="7"/>
    <s v="4184.000"/>
    <s v="Frais de poursuite"/>
    <n v="0"/>
    <n v="28.15"/>
    <n v="4184"/>
  </r>
  <r>
    <x v="0"/>
    <x v="7"/>
    <x v="6"/>
    <x v="138"/>
    <x v="120"/>
    <x v="120"/>
    <s v="REVENUS"/>
    <x v="8"/>
    <s v="4091.001"/>
    <s v="Impôt récupéré après défalcations"/>
    <n v="0"/>
    <n v="3089.7"/>
    <n v="4091"/>
  </r>
  <r>
    <x v="0"/>
    <x v="7"/>
    <x v="6"/>
    <x v="138"/>
    <x v="120"/>
    <x v="120"/>
    <s v="REVENUS"/>
    <x v="2"/>
    <s v="4001.002"/>
    <s v="Impôt complément s/revenu PP"/>
    <n v="0"/>
    <n v="-10142"/>
    <n v="4001"/>
  </r>
  <r>
    <x v="0"/>
    <x v="7"/>
    <x v="6"/>
    <x v="138"/>
    <x v="120"/>
    <x v="120"/>
    <s v="REVENUS"/>
    <x v="6"/>
    <s v="4211.002"/>
    <s v="Intérêts de retard sur acomptes"/>
    <n v="0"/>
    <n v="357.45"/>
    <n v="4211"/>
  </r>
  <r>
    <x v="0"/>
    <x v="7"/>
    <x v="6"/>
    <x v="138"/>
    <x v="120"/>
    <x v="120"/>
    <s v="REVENUS"/>
    <x v="8"/>
    <s v="4091.001"/>
    <s v="Impôt récupéré après défalcations"/>
    <n v="0"/>
    <n v="7319.22"/>
    <n v="4091"/>
  </r>
  <r>
    <x v="0"/>
    <x v="7"/>
    <x v="6"/>
    <x v="139"/>
    <x v="122"/>
    <x v="122"/>
    <s v="CHARGES"/>
    <x v="0"/>
    <s v="3212.002"/>
    <s v="Intérêts bonifiés/trop perçu acompte C/C"/>
    <n v="4.0999999999999996"/>
    <n v="0"/>
    <n v="3212"/>
  </r>
  <r>
    <x v="0"/>
    <x v="7"/>
    <x v="6"/>
    <x v="139"/>
    <x v="122"/>
    <x v="122"/>
    <s v="CHARGES"/>
    <x v="1"/>
    <s v="3301.001"/>
    <s v="Défalcations, abandons de solde PP et IS"/>
    <n v="31.31"/>
    <n v="0"/>
    <n v="3301"/>
  </r>
  <r>
    <x v="0"/>
    <x v="7"/>
    <x v="6"/>
    <x v="139"/>
    <x v="122"/>
    <x v="122"/>
    <s v="CHARGES"/>
    <x v="1"/>
    <s v="3301.001"/>
    <s v="Défalcations, abandons de solde PP et IS"/>
    <n v="1757.15"/>
    <n v="0"/>
    <n v="3301"/>
  </r>
  <r>
    <x v="0"/>
    <x v="7"/>
    <x v="6"/>
    <x v="139"/>
    <x v="122"/>
    <x v="122"/>
    <s v="CHARGES"/>
    <x v="0"/>
    <s v="3212.002"/>
    <s v="Intérêts bonifiés/trop perçu acompte C/C"/>
    <n v="593.41"/>
    <n v="0"/>
    <n v="3212"/>
  </r>
  <r>
    <x v="0"/>
    <x v="7"/>
    <x v="6"/>
    <x v="139"/>
    <x v="122"/>
    <x v="122"/>
    <s v="CHARGES"/>
    <x v="0"/>
    <s v="3212.004"/>
    <s v="Intérêts rémun./perçu trop tôt sur acomptes C/C"/>
    <n v="7803.28"/>
    <n v="0"/>
    <n v="3212"/>
  </r>
  <r>
    <x v="0"/>
    <x v="7"/>
    <x v="6"/>
    <x v="139"/>
    <x v="122"/>
    <x v="122"/>
    <s v="CHARGES"/>
    <x v="0"/>
    <s v="3221.002"/>
    <s v="Intérêts compensatoires / créances en faveur ctb."/>
    <n v="2720.61"/>
    <n v="0"/>
    <n v="3221"/>
  </r>
  <r>
    <x v="0"/>
    <x v="7"/>
    <x v="6"/>
    <x v="139"/>
    <x v="122"/>
    <x v="122"/>
    <s v="CHARGES"/>
    <x v="1"/>
    <s v="3301.001"/>
    <s v="Défalcations, abandons de solde PP et IS"/>
    <n v="100261.54"/>
    <n v="0"/>
    <n v="3301"/>
  </r>
  <r>
    <x v="0"/>
    <x v="7"/>
    <x v="6"/>
    <x v="139"/>
    <x v="122"/>
    <x v="122"/>
    <s v="CHARGES"/>
    <x v="0"/>
    <s v="3212.004"/>
    <s v="Intérêts rémun./perçu trop tôt sur acomptes C/C"/>
    <n v="11.59"/>
    <n v="0"/>
    <n v="3212"/>
  </r>
  <r>
    <x v="0"/>
    <x v="7"/>
    <x v="6"/>
    <x v="139"/>
    <x v="122"/>
    <x v="122"/>
    <s v="CHARGES"/>
    <x v="0"/>
    <s v="3221.002"/>
    <s v="Intérêts compensatoires / créances en faveur ctb."/>
    <n v="3.34"/>
    <n v="0"/>
    <n v="3221"/>
  </r>
  <r>
    <x v="0"/>
    <x v="7"/>
    <x v="6"/>
    <x v="139"/>
    <x v="122"/>
    <x v="122"/>
    <s v="CHARGES"/>
    <x v="0"/>
    <s v="3212.004"/>
    <s v="Intérêts rémun./perçu trop tôt sur acomptes C/C"/>
    <n v="237.07"/>
    <n v="0"/>
    <n v="3212"/>
  </r>
  <r>
    <x v="0"/>
    <x v="7"/>
    <x v="6"/>
    <x v="139"/>
    <x v="122"/>
    <x v="122"/>
    <s v="CHARGES"/>
    <x v="0"/>
    <s v="3221.002"/>
    <s v="Intérêts compensatoires / créances en faveur ctb."/>
    <n v="76.08"/>
    <n v="0"/>
    <n v="3221"/>
  </r>
  <r>
    <x v="0"/>
    <x v="7"/>
    <x v="6"/>
    <x v="139"/>
    <x v="122"/>
    <x v="122"/>
    <s v="CHARGES"/>
    <x v="0"/>
    <s v="3221.002"/>
    <s v="Intérêts compensatoires / créances en faveur ctb."/>
    <n v="-4.16"/>
    <n v="0"/>
    <n v="3221"/>
  </r>
  <r>
    <x v="0"/>
    <x v="7"/>
    <x v="6"/>
    <x v="139"/>
    <x v="122"/>
    <x v="122"/>
    <s v="CHARGES"/>
    <x v="1"/>
    <s v="3301.001"/>
    <s v="Défalcations, abandons de solde PP et IS"/>
    <n v="27148.1"/>
    <n v="0"/>
    <n v="3301"/>
  </r>
  <r>
    <x v="0"/>
    <x v="7"/>
    <x v="6"/>
    <x v="139"/>
    <x v="122"/>
    <x v="122"/>
    <s v="CHARGES"/>
    <x v="0"/>
    <s v="3212.002"/>
    <s v="Intérêts bonifiés/trop perçu acompte C/C"/>
    <n v="-74.099999999999994"/>
    <n v="0"/>
    <n v="3212"/>
  </r>
  <r>
    <x v="0"/>
    <x v="7"/>
    <x v="6"/>
    <x v="139"/>
    <x v="122"/>
    <x v="122"/>
    <s v="CHARGES"/>
    <x v="0"/>
    <s v="3212.004"/>
    <s v="Intérêts rémun./perçu trop tôt sur acomptes C/C"/>
    <n v="-149.51"/>
    <n v="0"/>
    <n v="3212"/>
  </r>
  <r>
    <x v="0"/>
    <x v="7"/>
    <x v="6"/>
    <x v="139"/>
    <x v="122"/>
    <x v="122"/>
    <s v="CHARGES"/>
    <x v="0"/>
    <s v="3221.002"/>
    <s v="Intérêts compensatoires / créances en faveur ctb."/>
    <n v="11.32"/>
    <n v="0"/>
    <n v="3221"/>
  </r>
  <r>
    <x v="0"/>
    <x v="7"/>
    <x v="6"/>
    <x v="139"/>
    <x v="122"/>
    <x v="122"/>
    <s v="CHARGES"/>
    <x v="1"/>
    <s v="3301.001"/>
    <s v="Défalcations, abandons de solde PP et IS"/>
    <n v="-55.91"/>
    <n v="0"/>
    <n v="3301"/>
  </r>
  <r>
    <x v="0"/>
    <x v="7"/>
    <x v="6"/>
    <x v="139"/>
    <x v="122"/>
    <x v="122"/>
    <s v="CHARGES"/>
    <x v="0"/>
    <s v="3212.004"/>
    <s v="Intérêts rémun./perçu trop tôt sur acomptes C/C"/>
    <n v="11.48"/>
    <n v="0"/>
    <n v="3212"/>
  </r>
  <r>
    <x v="0"/>
    <x v="7"/>
    <x v="6"/>
    <x v="139"/>
    <x v="122"/>
    <x v="122"/>
    <s v="CHARGES"/>
    <x v="1"/>
    <s v="3301.001"/>
    <s v="Défalcations, abandons de solde PP et IS"/>
    <n v="-10.85"/>
    <n v="0"/>
    <n v="3301"/>
  </r>
  <r>
    <x v="0"/>
    <x v="7"/>
    <x v="6"/>
    <x v="139"/>
    <x v="122"/>
    <x v="122"/>
    <s v="CHARGES"/>
    <x v="0"/>
    <s v="3212.004"/>
    <s v="Intérêts rémun./perçu trop tôt sur acomptes C/C"/>
    <n v="8.6999999999999993"/>
    <n v="0"/>
    <n v="3212"/>
  </r>
  <r>
    <x v="0"/>
    <x v="7"/>
    <x v="6"/>
    <x v="139"/>
    <x v="122"/>
    <x v="122"/>
    <s v="CHARGES"/>
    <x v="0"/>
    <s v="3221.002"/>
    <s v="Intérêts compensatoires / créances en faveur ctb."/>
    <n v="14.54"/>
    <n v="0"/>
    <n v="3221"/>
  </r>
  <r>
    <x v="0"/>
    <x v="7"/>
    <x v="6"/>
    <x v="139"/>
    <x v="122"/>
    <x v="122"/>
    <s v="CHARGES"/>
    <x v="0"/>
    <s v="3212.004"/>
    <s v="Intérêts rémun./perçu trop tôt sur acomptes C/C"/>
    <n v="3.12"/>
    <n v="0"/>
    <n v="3212"/>
  </r>
  <r>
    <x v="0"/>
    <x v="7"/>
    <x v="6"/>
    <x v="139"/>
    <x v="122"/>
    <x v="122"/>
    <s v="CHARGES"/>
    <x v="0"/>
    <s v="3221.002"/>
    <s v="Intérêts compensatoires / créances en faveur ctb."/>
    <n v="1.35"/>
    <n v="0"/>
    <n v="3221"/>
  </r>
  <r>
    <x v="0"/>
    <x v="7"/>
    <x v="6"/>
    <x v="139"/>
    <x v="122"/>
    <x v="122"/>
    <s v="CHARGES"/>
    <x v="1"/>
    <s v="3301.001"/>
    <s v="Défalcations, abandons de solde PP et IS"/>
    <n v="1.83"/>
    <n v="0"/>
    <n v="3301"/>
  </r>
  <r>
    <x v="0"/>
    <x v="7"/>
    <x v="6"/>
    <x v="139"/>
    <x v="122"/>
    <x v="122"/>
    <s v="CHARGES"/>
    <x v="0"/>
    <s v="3212.002"/>
    <s v="Intérêts bonifiés/trop perçu acompte C/C"/>
    <n v="1.51"/>
    <n v="0"/>
    <n v="3212"/>
  </r>
  <r>
    <x v="0"/>
    <x v="7"/>
    <x v="6"/>
    <x v="139"/>
    <x v="122"/>
    <x v="122"/>
    <s v="CHARGES"/>
    <x v="1"/>
    <s v="3301.001"/>
    <s v="Défalcations, abandons de solde PP et IS"/>
    <n v="0.02"/>
    <n v="0"/>
    <n v="3301"/>
  </r>
  <r>
    <x v="0"/>
    <x v="7"/>
    <x v="6"/>
    <x v="139"/>
    <x v="122"/>
    <x v="122"/>
    <s v="CHARGES"/>
    <x v="1"/>
    <s v="3301.003"/>
    <s v="Remises PP et IS"/>
    <n v="107.3"/>
    <n v="0"/>
    <n v="3301"/>
  </r>
  <r>
    <x v="0"/>
    <x v="7"/>
    <x v="6"/>
    <x v="139"/>
    <x v="122"/>
    <x v="122"/>
    <s v="CHARGES"/>
    <x v="0"/>
    <s v="3212.004"/>
    <s v="Intérêts rémun./perçu trop tôt sur acomptes C/C"/>
    <n v="1.44"/>
    <n v="0"/>
    <n v="3212"/>
  </r>
  <r>
    <x v="0"/>
    <x v="7"/>
    <x v="6"/>
    <x v="139"/>
    <x v="122"/>
    <x v="122"/>
    <s v="CHARGES"/>
    <x v="0"/>
    <s v="3221.002"/>
    <s v="Intérêts compensatoires / créances en faveur ctb."/>
    <n v="0.88"/>
    <n v="0"/>
    <n v="3221"/>
  </r>
  <r>
    <x v="0"/>
    <x v="7"/>
    <x v="6"/>
    <x v="139"/>
    <x v="122"/>
    <x v="122"/>
    <s v="CHARGES"/>
    <x v="1"/>
    <s v="3301.001"/>
    <s v="Défalcations, abandons de solde PP et IS"/>
    <n v="1.49"/>
    <n v="0"/>
    <n v="3301"/>
  </r>
  <r>
    <x v="0"/>
    <x v="7"/>
    <x v="6"/>
    <x v="139"/>
    <x v="122"/>
    <x v="122"/>
    <s v="CHARGES"/>
    <x v="0"/>
    <s v="3212.004"/>
    <s v="Intérêts rémun./perçu trop tôt sur acomptes C/C"/>
    <n v="1.32"/>
    <n v="0"/>
    <n v="3212"/>
  </r>
  <r>
    <x v="0"/>
    <x v="7"/>
    <x v="6"/>
    <x v="139"/>
    <x v="122"/>
    <x v="122"/>
    <s v="CHARGES"/>
    <x v="0"/>
    <s v="3221.002"/>
    <s v="Intérêts compensatoires / créances en faveur ctb."/>
    <n v="-0.03"/>
    <n v="0"/>
    <n v="3221"/>
  </r>
  <r>
    <x v="0"/>
    <x v="7"/>
    <x v="6"/>
    <x v="139"/>
    <x v="122"/>
    <x v="122"/>
    <s v="CHARGES"/>
    <x v="0"/>
    <s v="3212.002"/>
    <s v="Intérêts bonifiés/trop perçu acompte C/C"/>
    <n v="-0.59"/>
    <n v="0"/>
    <n v="3212"/>
  </r>
  <r>
    <x v="0"/>
    <x v="7"/>
    <x v="6"/>
    <x v="139"/>
    <x v="122"/>
    <x v="122"/>
    <s v="CHARGES"/>
    <x v="0"/>
    <s v="3212.004"/>
    <s v="Intérêts rémun./perçu trop tôt sur acomptes C/C"/>
    <n v="0.91"/>
    <n v="0"/>
    <n v="3212"/>
  </r>
  <r>
    <x v="0"/>
    <x v="7"/>
    <x v="6"/>
    <x v="139"/>
    <x v="122"/>
    <x v="122"/>
    <s v="CHARGES"/>
    <x v="0"/>
    <s v="3221.002"/>
    <s v="Intérêts compensatoires / créances en faveur ctb."/>
    <n v="0.36"/>
    <n v="0"/>
    <n v="3221"/>
  </r>
  <r>
    <x v="0"/>
    <x v="7"/>
    <x v="6"/>
    <x v="139"/>
    <x v="122"/>
    <x v="122"/>
    <s v="CHARGES"/>
    <x v="1"/>
    <s v="3301.001"/>
    <s v="Défalcations, abandons de solde PP et IS"/>
    <n v="-0.04"/>
    <n v="0"/>
    <n v="3301"/>
  </r>
  <r>
    <x v="0"/>
    <x v="7"/>
    <x v="6"/>
    <x v="139"/>
    <x v="122"/>
    <x v="122"/>
    <s v="CHARGES"/>
    <x v="0"/>
    <s v="3212.002"/>
    <s v="Intérêts bonifiés/trop perçu acompte C/C"/>
    <n v="0.09"/>
    <n v="0"/>
    <n v="3212"/>
  </r>
  <r>
    <x v="0"/>
    <x v="7"/>
    <x v="6"/>
    <x v="139"/>
    <x v="122"/>
    <x v="122"/>
    <s v="REVENUS"/>
    <x v="2"/>
    <s v="4001.007"/>
    <s v="Acompte impôt sur revenu"/>
    <n v="0"/>
    <n v="-83473.259999999995"/>
    <n v="4001"/>
  </r>
  <r>
    <x v="0"/>
    <x v="7"/>
    <x v="6"/>
    <x v="139"/>
    <x v="122"/>
    <x v="122"/>
    <s v="REVENUS"/>
    <x v="3"/>
    <s v="4002.007"/>
    <s v="Acompte impôt sur fortune"/>
    <n v="0"/>
    <n v="-19421.919999999998"/>
    <n v="4002"/>
  </r>
  <r>
    <x v="0"/>
    <x v="7"/>
    <x v="6"/>
    <x v="139"/>
    <x v="122"/>
    <x v="122"/>
    <s v="REVENUS"/>
    <x v="6"/>
    <s v="4211.001"/>
    <s v="Intérêts de retard sur factures"/>
    <n v="0"/>
    <n v="1329.64"/>
    <n v="4211"/>
  </r>
  <r>
    <x v="0"/>
    <x v="7"/>
    <x v="6"/>
    <x v="139"/>
    <x v="122"/>
    <x v="122"/>
    <s v="REVENUS"/>
    <x v="2"/>
    <s v="4001.001"/>
    <s v="Impôt revenu"/>
    <n v="0"/>
    <n v="72639.350000000006"/>
    <n v="4001"/>
  </r>
  <r>
    <x v="0"/>
    <x v="7"/>
    <x v="6"/>
    <x v="139"/>
    <x v="122"/>
    <x v="122"/>
    <s v="REVENUS"/>
    <x v="3"/>
    <s v="4002.001"/>
    <s v="Impôt ordinaire s/fortune PP"/>
    <n v="0"/>
    <n v="33891.199999999997"/>
    <n v="4002"/>
  </r>
  <r>
    <x v="0"/>
    <x v="7"/>
    <x v="6"/>
    <x v="139"/>
    <x v="122"/>
    <x v="122"/>
    <s v="REVENUS"/>
    <x v="6"/>
    <s v="4221.003"/>
    <s v="Intérêts compensat. / acomptes en faveur du fisc"/>
    <n v="0"/>
    <n v="16.37"/>
    <n v="4221"/>
  </r>
  <r>
    <x v="0"/>
    <x v="7"/>
    <x v="6"/>
    <x v="139"/>
    <x v="122"/>
    <x v="122"/>
    <s v="REVENUS"/>
    <x v="2"/>
    <s v="4001.001"/>
    <s v="Impôt revenu"/>
    <n v="0"/>
    <n v="23898928.550000001"/>
    <n v="4001"/>
  </r>
  <r>
    <x v="0"/>
    <x v="7"/>
    <x v="6"/>
    <x v="139"/>
    <x v="122"/>
    <x v="122"/>
    <s v="REVENUS"/>
    <x v="2"/>
    <s v="4001.002"/>
    <s v="Impôt complément s/revenu PP"/>
    <n v="0"/>
    <n v="8266766.4500000002"/>
    <n v="4001"/>
  </r>
  <r>
    <x v="0"/>
    <x v="7"/>
    <x v="6"/>
    <x v="139"/>
    <x v="122"/>
    <x v="122"/>
    <s v="REVENUS"/>
    <x v="2"/>
    <s v="4001.007"/>
    <s v="Acompte impôt sur revenu"/>
    <n v="0"/>
    <n v="410013.85"/>
    <n v="4001"/>
  </r>
  <r>
    <x v="0"/>
    <x v="7"/>
    <x v="6"/>
    <x v="139"/>
    <x v="122"/>
    <x v="122"/>
    <s v="REVENUS"/>
    <x v="3"/>
    <s v="4002.001"/>
    <s v="Impôt ordinaire s/fortune PP"/>
    <n v="0"/>
    <n v="4798654.3"/>
    <n v="4002"/>
  </r>
  <r>
    <x v="0"/>
    <x v="7"/>
    <x v="6"/>
    <x v="139"/>
    <x v="122"/>
    <x v="122"/>
    <s v="REVENUS"/>
    <x v="3"/>
    <s v="4002.002"/>
    <s v="Impôt complémentaire s/fortune PP"/>
    <n v="0"/>
    <n v="2222113.7000000002"/>
    <n v="4002"/>
  </r>
  <r>
    <x v="0"/>
    <x v="7"/>
    <x v="6"/>
    <x v="139"/>
    <x v="122"/>
    <x v="122"/>
    <s v="REVENUS"/>
    <x v="3"/>
    <s v="4002.007"/>
    <s v="Acompte impôt sur fortune"/>
    <n v="0"/>
    <n v="430890.35"/>
    <n v="4002"/>
  </r>
  <r>
    <x v="0"/>
    <x v="7"/>
    <x v="6"/>
    <x v="139"/>
    <x v="122"/>
    <x v="122"/>
    <s v="REVENUS"/>
    <x v="9"/>
    <s v="4031.001"/>
    <s v="Impôt sur les gains immobiliers"/>
    <n v="0"/>
    <n v="1320070.6499999999"/>
    <n v="4031"/>
  </r>
  <r>
    <x v="0"/>
    <x v="7"/>
    <x v="6"/>
    <x v="139"/>
    <x v="122"/>
    <x v="122"/>
    <s v="REVENUS"/>
    <x v="10"/>
    <s v="4041.001"/>
    <s v="Droits de mutation"/>
    <n v="0"/>
    <n v="1843718.55"/>
    <n v="4041"/>
  </r>
  <r>
    <x v="0"/>
    <x v="7"/>
    <x v="6"/>
    <x v="139"/>
    <x v="122"/>
    <x v="122"/>
    <s v="REVENUS"/>
    <x v="6"/>
    <s v="4211.001"/>
    <s v="Intérêts de retard sur factures"/>
    <n v="0"/>
    <n v="240281.99"/>
    <n v="4211"/>
  </r>
  <r>
    <x v="0"/>
    <x v="7"/>
    <x v="6"/>
    <x v="139"/>
    <x v="122"/>
    <x v="122"/>
    <s v="REVENUS"/>
    <x v="6"/>
    <s v="4211.002"/>
    <s v="Intérêts de retard sur acomptes"/>
    <n v="0"/>
    <n v="148393.29999999999"/>
    <n v="4211"/>
  </r>
  <r>
    <x v="0"/>
    <x v="7"/>
    <x v="6"/>
    <x v="139"/>
    <x v="122"/>
    <x v="122"/>
    <s v="REVENUS"/>
    <x v="6"/>
    <s v="4221.002"/>
    <s v="Intérêts compensat. sur impôts distincts"/>
    <n v="0"/>
    <n v="3597.9"/>
    <n v="4221"/>
  </r>
  <r>
    <x v="0"/>
    <x v="7"/>
    <x v="6"/>
    <x v="139"/>
    <x v="122"/>
    <x v="122"/>
    <s v="REVENUS"/>
    <x v="6"/>
    <s v="4221.003"/>
    <s v="Intérêts compensat. / acomptes en faveur du fisc"/>
    <n v="0"/>
    <n v="9085.18"/>
    <n v="4221"/>
  </r>
  <r>
    <x v="0"/>
    <x v="7"/>
    <x v="6"/>
    <x v="139"/>
    <x v="122"/>
    <x v="122"/>
    <s v="REVENUS"/>
    <x v="2"/>
    <s v="4001.001"/>
    <s v="Impôt revenu"/>
    <n v="0"/>
    <n v="6556.45"/>
    <n v="4001"/>
  </r>
  <r>
    <x v="0"/>
    <x v="7"/>
    <x v="6"/>
    <x v="139"/>
    <x v="122"/>
    <x v="122"/>
    <s v="REVENUS"/>
    <x v="2"/>
    <s v="4001.007"/>
    <s v="Acompte impôt sur revenu"/>
    <n v="0"/>
    <n v="13353.34"/>
    <n v="4001"/>
  </r>
  <r>
    <x v="0"/>
    <x v="7"/>
    <x v="6"/>
    <x v="139"/>
    <x v="122"/>
    <x v="122"/>
    <s v="REVENUS"/>
    <x v="3"/>
    <s v="4002.001"/>
    <s v="Impôt ordinaire s/fortune PP"/>
    <n v="0"/>
    <n v="7832.75"/>
    <n v="4002"/>
  </r>
  <r>
    <x v="0"/>
    <x v="7"/>
    <x v="6"/>
    <x v="139"/>
    <x v="122"/>
    <x v="122"/>
    <s v="REVENUS"/>
    <x v="2"/>
    <s v="4001.001"/>
    <s v="Impôt revenu"/>
    <n v="0"/>
    <n v="311019.8"/>
    <n v="4001"/>
  </r>
  <r>
    <x v="0"/>
    <x v="7"/>
    <x v="6"/>
    <x v="139"/>
    <x v="122"/>
    <x v="122"/>
    <s v="REVENUS"/>
    <x v="3"/>
    <s v="4002.001"/>
    <s v="Impôt ordinaire s/fortune PP"/>
    <n v="0"/>
    <n v="113798.45"/>
    <n v="4002"/>
  </r>
  <r>
    <x v="0"/>
    <x v="7"/>
    <x v="6"/>
    <x v="139"/>
    <x v="122"/>
    <x v="122"/>
    <s v="REVENUS"/>
    <x v="6"/>
    <s v="4211.002"/>
    <s v="Intérêts de retard sur acomptes"/>
    <n v="0"/>
    <n v="2629.49"/>
    <n v="4211"/>
  </r>
  <r>
    <x v="0"/>
    <x v="7"/>
    <x v="6"/>
    <x v="139"/>
    <x v="122"/>
    <x v="122"/>
    <s v="REVENUS"/>
    <x v="6"/>
    <s v="4221.003"/>
    <s v="Intérêts compensat. / acomptes en faveur du fisc"/>
    <n v="0"/>
    <n v="110.69"/>
    <n v="4221"/>
  </r>
  <r>
    <x v="0"/>
    <x v="7"/>
    <x v="6"/>
    <x v="139"/>
    <x v="122"/>
    <x v="122"/>
    <s v="REVENUS"/>
    <x v="3"/>
    <s v="4002.007"/>
    <s v="Acompte impôt sur fortune"/>
    <n v="0"/>
    <n v="3601.22"/>
    <n v="4002"/>
  </r>
  <r>
    <x v="0"/>
    <x v="7"/>
    <x v="6"/>
    <x v="139"/>
    <x v="122"/>
    <x v="122"/>
    <s v="REVENUS"/>
    <x v="2"/>
    <s v="4001.003"/>
    <s v="Impôt s/prest. cap. PP"/>
    <n v="0"/>
    <n v="1017155.5"/>
    <n v="4001"/>
  </r>
  <r>
    <x v="0"/>
    <x v="7"/>
    <x v="6"/>
    <x v="139"/>
    <x v="122"/>
    <x v="122"/>
    <s v="REVENUS"/>
    <x v="7"/>
    <s v="4184.000"/>
    <s v="Frais de poursuite"/>
    <n v="0"/>
    <n v="14852.12"/>
    <n v="4184"/>
  </r>
  <r>
    <x v="0"/>
    <x v="7"/>
    <x v="6"/>
    <x v="139"/>
    <x v="122"/>
    <x v="122"/>
    <s v="REVENUS"/>
    <x v="2"/>
    <s v="4001.001"/>
    <s v="Impôt revenu"/>
    <n v="0"/>
    <n v="-900095.6"/>
    <n v="4001"/>
  </r>
  <r>
    <x v="0"/>
    <x v="7"/>
    <x v="6"/>
    <x v="139"/>
    <x v="122"/>
    <x v="122"/>
    <s v="REVENUS"/>
    <x v="3"/>
    <s v="4002.001"/>
    <s v="Impôt ordinaire s/fortune PP"/>
    <n v="0"/>
    <n v="-211067.25"/>
    <n v="4002"/>
  </r>
  <r>
    <x v="0"/>
    <x v="7"/>
    <x v="6"/>
    <x v="139"/>
    <x v="122"/>
    <x v="122"/>
    <s v="REVENUS"/>
    <x v="6"/>
    <s v="4211.002"/>
    <s v="Intérêts de retard sur acomptes"/>
    <n v="0"/>
    <n v="-803.03"/>
    <n v="4211"/>
  </r>
  <r>
    <x v="0"/>
    <x v="7"/>
    <x v="6"/>
    <x v="139"/>
    <x v="122"/>
    <x v="122"/>
    <s v="REVENUS"/>
    <x v="2"/>
    <s v="4001.002"/>
    <s v="Impôt complément s/revenu PP"/>
    <n v="0"/>
    <n v="136089.60000000001"/>
    <n v="4001"/>
  </r>
  <r>
    <x v="0"/>
    <x v="7"/>
    <x v="6"/>
    <x v="139"/>
    <x v="122"/>
    <x v="122"/>
    <s v="REVENUS"/>
    <x v="3"/>
    <s v="4002.002"/>
    <s v="Impôt complémentaire s/fortune PP"/>
    <n v="0"/>
    <n v="73273.75"/>
    <n v="4002"/>
  </r>
  <r>
    <x v="0"/>
    <x v="7"/>
    <x v="6"/>
    <x v="139"/>
    <x v="122"/>
    <x v="122"/>
    <s v="REVENUS"/>
    <x v="12"/>
    <s v="4004.007"/>
    <s v="Acompte spécial étrangers"/>
    <n v="0"/>
    <n v="678477.73"/>
    <n v="4004"/>
  </r>
  <r>
    <x v="0"/>
    <x v="7"/>
    <x v="6"/>
    <x v="139"/>
    <x v="122"/>
    <x v="122"/>
    <s v="REVENUS"/>
    <x v="6"/>
    <s v="4211.002"/>
    <s v="Intérêts de retard sur acomptes"/>
    <n v="0"/>
    <n v="411.4"/>
    <n v="4211"/>
  </r>
  <r>
    <x v="0"/>
    <x v="7"/>
    <x v="6"/>
    <x v="139"/>
    <x v="122"/>
    <x v="122"/>
    <s v="REVENUS"/>
    <x v="6"/>
    <s v="4211.001"/>
    <s v="Intérêts de retard sur factures"/>
    <n v="0"/>
    <n v="2.02"/>
    <n v="4211"/>
  </r>
  <r>
    <x v="0"/>
    <x v="7"/>
    <x v="6"/>
    <x v="139"/>
    <x v="122"/>
    <x v="122"/>
    <s v="REVENUS"/>
    <x v="5"/>
    <s v="4061.000"/>
    <s v="Impôt sur les chiens"/>
    <n v="0"/>
    <n v="90850"/>
    <n v="4061"/>
  </r>
  <r>
    <x v="0"/>
    <x v="7"/>
    <x v="6"/>
    <x v="139"/>
    <x v="122"/>
    <x v="122"/>
    <s v="REVENUS"/>
    <x v="7"/>
    <s v="4184.000"/>
    <s v="Frais de poursuite"/>
    <n v="0"/>
    <n v="560.85"/>
    <n v="4184"/>
  </r>
  <r>
    <x v="0"/>
    <x v="7"/>
    <x v="6"/>
    <x v="139"/>
    <x v="122"/>
    <x v="122"/>
    <s v="REVENUS"/>
    <x v="6"/>
    <s v="4211.002"/>
    <s v="Intérêts de retard sur acomptes"/>
    <n v="0"/>
    <n v="14.19"/>
    <n v="4211"/>
  </r>
  <r>
    <x v="0"/>
    <x v="7"/>
    <x v="6"/>
    <x v="139"/>
    <x v="122"/>
    <x v="122"/>
    <s v="REVENUS"/>
    <x v="8"/>
    <s v="4091.001"/>
    <s v="Impôt récupéré après défalcations"/>
    <n v="0"/>
    <n v="-75104.53"/>
    <n v="4091"/>
  </r>
  <r>
    <x v="0"/>
    <x v="7"/>
    <x v="6"/>
    <x v="139"/>
    <x v="122"/>
    <x v="122"/>
    <s v="REVENUS"/>
    <x v="2"/>
    <s v="4001.002"/>
    <s v="Impôt complément s/revenu PP"/>
    <n v="0"/>
    <n v="-130768.9"/>
    <n v="4001"/>
  </r>
  <r>
    <x v="0"/>
    <x v="7"/>
    <x v="6"/>
    <x v="139"/>
    <x v="122"/>
    <x v="122"/>
    <s v="REVENUS"/>
    <x v="3"/>
    <s v="4002.002"/>
    <s v="Impôt complémentaire s/fortune PP"/>
    <n v="0"/>
    <n v="-33354.1"/>
    <n v="4002"/>
  </r>
  <r>
    <x v="0"/>
    <x v="7"/>
    <x v="6"/>
    <x v="139"/>
    <x v="122"/>
    <x v="122"/>
    <s v="REVENUS"/>
    <x v="6"/>
    <s v="4211.001"/>
    <s v="Intérêts de retard sur factures"/>
    <n v="0"/>
    <n v="-118.26"/>
    <n v="4211"/>
  </r>
  <r>
    <x v="0"/>
    <x v="7"/>
    <x v="6"/>
    <x v="139"/>
    <x v="122"/>
    <x v="122"/>
    <s v="REVENUS"/>
    <x v="6"/>
    <s v="4221.003"/>
    <s v="Intérêts compensat. / acomptes en faveur du fisc"/>
    <n v="0"/>
    <n v="-1354.21"/>
    <n v="4221"/>
  </r>
  <r>
    <x v="0"/>
    <x v="7"/>
    <x v="6"/>
    <x v="139"/>
    <x v="122"/>
    <x v="122"/>
    <s v="REVENUS"/>
    <x v="2"/>
    <s v="4001.007"/>
    <s v="Acompte impôt sur revenu"/>
    <n v="0"/>
    <n v="13144.58"/>
    <n v="4001"/>
  </r>
  <r>
    <x v="0"/>
    <x v="7"/>
    <x v="6"/>
    <x v="139"/>
    <x v="122"/>
    <x v="122"/>
    <s v="REVENUS"/>
    <x v="6"/>
    <s v="4211.001"/>
    <s v="Intérêts de retard sur factures"/>
    <n v="0"/>
    <n v="495.68"/>
    <n v="4211"/>
  </r>
  <r>
    <x v="0"/>
    <x v="7"/>
    <x v="6"/>
    <x v="139"/>
    <x v="122"/>
    <x v="122"/>
    <s v="REVENUS"/>
    <x v="2"/>
    <s v="4001.001"/>
    <s v="Impôt revenu"/>
    <n v="0"/>
    <n v="17899.3"/>
    <n v="4001"/>
  </r>
  <r>
    <x v="0"/>
    <x v="7"/>
    <x v="6"/>
    <x v="139"/>
    <x v="122"/>
    <x v="122"/>
    <s v="REVENUS"/>
    <x v="3"/>
    <s v="4002.001"/>
    <s v="Impôt ordinaire s/fortune PP"/>
    <n v="0"/>
    <n v="12858.1"/>
    <n v="4002"/>
  </r>
  <r>
    <x v="0"/>
    <x v="7"/>
    <x v="6"/>
    <x v="139"/>
    <x v="122"/>
    <x v="122"/>
    <s v="REVENUS"/>
    <x v="2"/>
    <s v="4001.002"/>
    <s v="Impôt complément s/revenu PP"/>
    <n v="0"/>
    <n v="30128.9"/>
    <n v="4001"/>
  </r>
  <r>
    <x v="0"/>
    <x v="7"/>
    <x v="6"/>
    <x v="139"/>
    <x v="122"/>
    <x v="122"/>
    <s v="REVENUS"/>
    <x v="3"/>
    <s v="4002.002"/>
    <s v="Impôt complémentaire s/fortune PP"/>
    <n v="0"/>
    <n v="4128.1000000000004"/>
    <n v="4002"/>
  </r>
  <r>
    <x v="0"/>
    <x v="7"/>
    <x v="6"/>
    <x v="139"/>
    <x v="122"/>
    <x v="122"/>
    <s v="REVENUS"/>
    <x v="3"/>
    <s v="4002.007"/>
    <s v="Acompte impôt sur fortune"/>
    <n v="0"/>
    <n v="-4021.92"/>
    <n v="4002"/>
  </r>
  <r>
    <x v="0"/>
    <x v="7"/>
    <x v="6"/>
    <x v="139"/>
    <x v="122"/>
    <x v="122"/>
    <s v="REVENUS"/>
    <x v="2"/>
    <s v="4001.001"/>
    <s v="Impôt revenu"/>
    <n v="0"/>
    <n v="14120.3"/>
    <n v="4001"/>
  </r>
  <r>
    <x v="0"/>
    <x v="7"/>
    <x v="6"/>
    <x v="139"/>
    <x v="122"/>
    <x v="122"/>
    <s v="REVENUS"/>
    <x v="2"/>
    <s v="4001.007"/>
    <s v="Acompte impôt sur revenu"/>
    <n v="0"/>
    <n v="7443.89"/>
    <n v="4001"/>
  </r>
  <r>
    <x v="0"/>
    <x v="7"/>
    <x v="6"/>
    <x v="139"/>
    <x v="122"/>
    <x v="122"/>
    <s v="REVENUS"/>
    <x v="3"/>
    <s v="4002.001"/>
    <s v="Impôt ordinaire s/fortune PP"/>
    <n v="0"/>
    <n v="7660"/>
    <n v="4002"/>
  </r>
  <r>
    <x v="0"/>
    <x v="7"/>
    <x v="6"/>
    <x v="139"/>
    <x v="122"/>
    <x v="122"/>
    <s v="REVENUS"/>
    <x v="3"/>
    <s v="4002.007"/>
    <s v="Acompte impôt sur fortune"/>
    <n v="0"/>
    <n v="-956.48"/>
    <n v="4002"/>
  </r>
  <r>
    <x v="0"/>
    <x v="7"/>
    <x v="6"/>
    <x v="139"/>
    <x v="122"/>
    <x v="122"/>
    <s v="REVENUS"/>
    <x v="9"/>
    <s v="4031.002"/>
    <s v="Complément impôt sur les gains immobiliers"/>
    <n v="0"/>
    <n v="205708.95"/>
    <n v="4031"/>
  </r>
  <r>
    <x v="0"/>
    <x v="7"/>
    <x v="6"/>
    <x v="139"/>
    <x v="122"/>
    <x v="122"/>
    <s v="REVENUS"/>
    <x v="6"/>
    <s v="4211.002"/>
    <s v="Intérêts de retard sur acomptes"/>
    <n v="0"/>
    <n v="152.97"/>
    <n v="4211"/>
  </r>
  <r>
    <x v="0"/>
    <x v="7"/>
    <x v="6"/>
    <x v="139"/>
    <x v="122"/>
    <x v="122"/>
    <s v="REVENUS"/>
    <x v="6"/>
    <s v="4221.003"/>
    <s v="Intérêts compensat. / acomptes en faveur du fisc"/>
    <n v="0"/>
    <n v="3.39"/>
    <n v="4221"/>
  </r>
  <r>
    <x v="0"/>
    <x v="7"/>
    <x v="6"/>
    <x v="139"/>
    <x v="122"/>
    <x v="122"/>
    <s v="REVENUS"/>
    <x v="3"/>
    <s v="4002.007"/>
    <s v="Acompte impôt sur fortune"/>
    <n v="0"/>
    <n v="123.7"/>
    <n v="4002"/>
  </r>
  <r>
    <x v="0"/>
    <x v="7"/>
    <x v="6"/>
    <x v="139"/>
    <x v="122"/>
    <x v="122"/>
    <s v="REVENUS"/>
    <x v="2"/>
    <s v="4001.007"/>
    <s v="Acompte impôt sur revenu"/>
    <n v="0"/>
    <n v="-2927.25"/>
    <n v="4001"/>
  </r>
  <r>
    <x v="0"/>
    <x v="7"/>
    <x v="6"/>
    <x v="139"/>
    <x v="122"/>
    <x v="122"/>
    <s v="REVENUS"/>
    <x v="6"/>
    <s v="4211.001"/>
    <s v="Intérêts de retard sur factures"/>
    <n v="0"/>
    <n v="26.3"/>
    <n v="4211"/>
  </r>
  <r>
    <x v="0"/>
    <x v="7"/>
    <x v="6"/>
    <x v="139"/>
    <x v="122"/>
    <x v="122"/>
    <s v="REVENUS"/>
    <x v="3"/>
    <s v="4002.007"/>
    <s v="Acompte impôt sur fortune"/>
    <n v="0"/>
    <n v="-5256.14"/>
    <n v="4002"/>
  </r>
  <r>
    <x v="0"/>
    <x v="7"/>
    <x v="6"/>
    <x v="139"/>
    <x v="122"/>
    <x v="122"/>
    <s v="REVENUS"/>
    <x v="2"/>
    <s v="4001.007"/>
    <s v="Acompte impôt sur revenu"/>
    <n v="0"/>
    <n v="-14932.38"/>
    <n v="4001"/>
  </r>
  <r>
    <x v="0"/>
    <x v="7"/>
    <x v="6"/>
    <x v="139"/>
    <x v="122"/>
    <x v="122"/>
    <s v="REVENUS"/>
    <x v="6"/>
    <s v="4211.001"/>
    <s v="Intérêts de retard sur factures"/>
    <n v="0"/>
    <n v="0.02"/>
    <n v="4211"/>
  </r>
  <r>
    <x v="0"/>
    <x v="7"/>
    <x v="6"/>
    <x v="139"/>
    <x v="122"/>
    <x v="122"/>
    <s v="REVENUS"/>
    <x v="2"/>
    <s v="4001.007"/>
    <s v="Acompte impôt sur revenu"/>
    <n v="0"/>
    <n v="5028.87"/>
    <n v="4001"/>
  </r>
  <r>
    <x v="0"/>
    <x v="7"/>
    <x v="6"/>
    <x v="139"/>
    <x v="122"/>
    <x v="122"/>
    <s v="REVENUS"/>
    <x v="3"/>
    <s v="4002.007"/>
    <s v="Acompte impôt sur fortune"/>
    <n v="0"/>
    <n v="2548.4"/>
    <n v="4002"/>
  </r>
  <r>
    <x v="0"/>
    <x v="7"/>
    <x v="6"/>
    <x v="139"/>
    <x v="122"/>
    <x v="122"/>
    <s v="REVENUS"/>
    <x v="4"/>
    <s v="4051.002"/>
    <s v="Impôt sur les donations"/>
    <n v="0"/>
    <n v="112044.8"/>
    <n v="4051"/>
  </r>
  <r>
    <x v="0"/>
    <x v="7"/>
    <x v="6"/>
    <x v="139"/>
    <x v="122"/>
    <x v="122"/>
    <s v="REVENUS"/>
    <x v="6"/>
    <s v="4221.002"/>
    <s v="Intérêts compensat. sur impôts distincts"/>
    <n v="0"/>
    <n v="-15.45"/>
    <n v="4221"/>
  </r>
  <r>
    <x v="0"/>
    <x v="7"/>
    <x v="6"/>
    <x v="139"/>
    <x v="122"/>
    <x v="122"/>
    <s v="REVENUS"/>
    <x v="2"/>
    <s v="4001.007"/>
    <s v="Acompte impôt sur revenu"/>
    <n v="0"/>
    <n v="-194.2"/>
    <n v="4001"/>
  </r>
  <r>
    <x v="0"/>
    <x v="7"/>
    <x v="6"/>
    <x v="139"/>
    <x v="122"/>
    <x v="122"/>
    <s v="REVENUS"/>
    <x v="3"/>
    <s v="4002.007"/>
    <s v="Acompte impôt sur fortune"/>
    <n v="0"/>
    <n v="565.20000000000005"/>
    <n v="4002"/>
  </r>
  <r>
    <x v="0"/>
    <x v="7"/>
    <x v="6"/>
    <x v="139"/>
    <x v="122"/>
    <x v="122"/>
    <s v="REVENUS"/>
    <x v="7"/>
    <s v="4184.000"/>
    <s v="Frais de poursuite"/>
    <n v="0"/>
    <n v="54.35"/>
    <n v="4184"/>
  </r>
  <r>
    <x v="0"/>
    <x v="7"/>
    <x v="6"/>
    <x v="139"/>
    <x v="122"/>
    <x v="122"/>
    <s v="REVENUS"/>
    <x v="8"/>
    <s v="4091.001"/>
    <s v="Impôt récupéré après défalcations"/>
    <n v="0"/>
    <n v="5358.77"/>
    <n v="4091"/>
  </r>
  <r>
    <x v="0"/>
    <x v="7"/>
    <x v="6"/>
    <x v="139"/>
    <x v="122"/>
    <x v="122"/>
    <s v="REVENUS"/>
    <x v="2"/>
    <s v="4001.003"/>
    <s v="Impôt s/prest. cap. PP"/>
    <n v="0"/>
    <n v="-32825.300000000003"/>
    <n v="4001"/>
  </r>
  <r>
    <x v="0"/>
    <x v="7"/>
    <x v="6"/>
    <x v="139"/>
    <x v="122"/>
    <x v="122"/>
    <s v="REVENUS"/>
    <x v="2"/>
    <s v="4001.001"/>
    <s v="Impôt revenu"/>
    <n v="0"/>
    <n v="-186.7"/>
    <n v="4001"/>
  </r>
  <r>
    <x v="0"/>
    <x v="7"/>
    <x v="6"/>
    <x v="139"/>
    <x v="122"/>
    <x v="122"/>
    <s v="REVENUS"/>
    <x v="2"/>
    <s v="4001.002"/>
    <s v="Impôt complément s/revenu PP"/>
    <n v="0"/>
    <n v="185.6"/>
    <n v="4001"/>
  </r>
  <r>
    <x v="0"/>
    <x v="7"/>
    <x v="6"/>
    <x v="139"/>
    <x v="122"/>
    <x v="122"/>
    <s v="REVENUS"/>
    <x v="3"/>
    <s v="4002.001"/>
    <s v="Impôt ordinaire s/fortune PP"/>
    <n v="0"/>
    <n v="-620.45000000000005"/>
    <n v="4002"/>
  </r>
  <r>
    <x v="0"/>
    <x v="7"/>
    <x v="6"/>
    <x v="139"/>
    <x v="122"/>
    <x v="122"/>
    <s v="REVENUS"/>
    <x v="3"/>
    <s v="4002.002"/>
    <s v="Impôt complémentaire s/fortune PP"/>
    <n v="0"/>
    <n v="621.54999999999995"/>
    <n v="4002"/>
  </r>
  <r>
    <x v="0"/>
    <x v="7"/>
    <x v="6"/>
    <x v="139"/>
    <x v="122"/>
    <x v="122"/>
    <s v="REVENUS"/>
    <x v="6"/>
    <s v="4211.001"/>
    <s v="Intérêts de retard sur factures"/>
    <n v="0"/>
    <n v="15.78"/>
    <n v="4211"/>
  </r>
  <r>
    <x v="0"/>
    <x v="7"/>
    <x v="6"/>
    <x v="139"/>
    <x v="122"/>
    <x v="122"/>
    <s v="REVENUS"/>
    <x v="2"/>
    <s v="4001.002"/>
    <s v="Impôt complément s/revenu PP"/>
    <n v="0"/>
    <n v="16443.7"/>
    <n v="4001"/>
  </r>
  <r>
    <x v="0"/>
    <x v="7"/>
    <x v="6"/>
    <x v="139"/>
    <x v="122"/>
    <x v="122"/>
    <s v="REVENUS"/>
    <x v="3"/>
    <s v="4002.002"/>
    <s v="Impôt complémentaire s/fortune PP"/>
    <n v="0"/>
    <n v="9143"/>
    <n v="4002"/>
  </r>
  <r>
    <x v="0"/>
    <x v="7"/>
    <x v="6"/>
    <x v="139"/>
    <x v="122"/>
    <x v="122"/>
    <s v="REVENUS"/>
    <x v="6"/>
    <s v="4211.001"/>
    <s v="Intérêts de retard sur factures"/>
    <n v="0"/>
    <n v="33.06"/>
    <n v="4211"/>
  </r>
  <r>
    <x v="0"/>
    <x v="7"/>
    <x v="6"/>
    <x v="139"/>
    <x v="122"/>
    <x v="122"/>
    <s v="REVENUS"/>
    <x v="2"/>
    <s v="4001.007"/>
    <s v="Acompte impôt sur revenu"/>
    <n v="0"/>
    <n v="-71078.7"/>
    <n v="4001"/>
  </r>
  <r>
    <x v="0"/>
    <x v="7"/>
    <x v="6"/>
    <x v="139"/>
    <x v="122"/>
    <x v="122"/>
    <s v="REVENUS"/>
    <x v="3"/>
    <s v="4002.007"/>
    <s v="Acompte impôt sur fortune"/>
    <n v="0"/>
    <n v="-16260.45"/>
    <n v="4002"/>
  </r>
  <r>
    <x v="0"/>
    <x v="7"/>
    <x v="6"/>
    <x v="139"/>
    <x v="122"/>
    <x v="122"/>
    <s v="REVENUS"/>
    <x v="2"/>
    <s v="4001.007"/>
    <s v="Acompte impôt sur revenu"/>
    <n v="0"/>
    <n v="3509.95"/>
    <n v="4001"/>
  </r>
  <r>
    <x v="0"/>
    <x v="7"/>
    <x v="6"/>
    <x v="139"/>
    <x v="122"/>
    <x v="122"/>
    <s v="REVENUS"/>
    <x v="3"/>
    <s v="4002.007"/>
    <s v="Acompte impôt sur fortune"/>
    <n v="0"/>
    <n v="-3794.6"/>
    <n v="4002"/>
  </r>
  <r>
    <x v="0"/>
    <x v="7"/>
    <x v="6"/>
    <x v="139"/>
    <x v="122"/>
    <x v="122"/>
    <s v="REVENUS"/>
    <x v="6"/>
    <s v="4221.003"/>
    <s v="Intérêts compensat. / acomptes en faveur du fisc"/>
    <n v="0"/>
    <n v="9.3000000000000007"/>
    <n v="4221"/>
  </r>
  <r>
    <x v="0"/>
    <x v="7"/>
    <x v="6"/>
    <x v="139"/>
    <x v="122"/>
    <x v="122"/>
    <s v="REVENUS"/>
    <x v="4"/>
    <s v="4051.001"/>
    <s v="Impôt sur les successions"/>
    <n v="0"/>
    <n v="1586235.9"/>
    <n v="4051"/>
  </r>
  <r>
    <x v="0"/>
    <x v="7"/>
    <x v="6"/>
    <x v="139"/>
    <x v="122"/>
    <x v="122"/>
    <s v="REVENUS"/>
    <x v="2"/>
    <s v="4001.001"/>
    <s v="Impôt revenu"/>
    <n v="0"/>
    <n v="6668.45"/>
    <n v="4001"/>
  </r>
  <r>
    <x v="0"/>
    <x v="7"/>
    <x v="6"/>
    <x v="139"/>
    <x v="122"/>
    <x v="122"/>
    <s v="REVENUS"/>
    <x v="3"/>
    <s v="4002.001"/>
    <s v="Impôt ordinaire s/fortune PP"/>
    <n v="0"/>
    <n v="2762.45"/>
    <n v="4002"/>
  </r>
  <r>
    <x v="0"/>
    <x v="7"/>
    <x v="6"/>
    <x v="139"/>
    <x v="122"/>
    <x v="122"/>
    <s v="REVENUS"/>
    <x v="12"/>
    <s v="4004.000"/>
    <s v="Impôt spécial étrangers"/>
    <n v="0"/>
    <n v="683354.6"/>
    <n v="4004"/>
  </r>
  <r>
    <x v="0"/>
    <x v="7"/>
    <x v="6"/>
    <x v="139"/>
    <x v="122"/>
    <x v="122"/>
    <s v="REVENUS"/>
    <x v="6"/>
    <s v="4221.003"/>
    <s v="Intérêts compensat. / acomptes en faveur du fisc"/>
    <n v="0"/>
    <n v="1.77"/>
    <n v="4221"/>
  </r>
  <r>
    <x v="0"/>
    <x v="7"/>
    <x v="6"/>
    <x v="139"/>
    <x v="122"/>
    <x v="122"/>
    <s v="REVENUS"/>
    <x v="7"/>
    <s v="4184.000"/>
    <s v="Frais de poursuite"/>
    <n v="0"/>
    <n v="40.72"/>
    <n v="4184"/>
  </r>
  <r>
    <x v="0"/>
    <x v="7"/>
    <x v="6"/>
    <x v="139"/>
    <x v="122"/>
    <x v="122"/>
    <s v="REVENUS"/>
    <x v="6"/>
    <s v="4211.002"/>
    <s v="Intérêts de retard sur acomptes"/>
    <n v="0"/>
    <n v="16.920000000000002"/>
    <n v="4211"/>
  </r>
  <r>
    <x v="0"/>
    <x v="7"/>
    <x v="6"/>
    <x v="139"/>
    <x v="122"/>
    <x v="122"/>
    <s v="REVENUS"/>
    <x v="2"/>
    <s v="4001.002"/>
    <s v="Impôt complément s/revenu PP"/>
    <n v="0"/>
    <n v="119.3"/>
    <n v="4001"/>
  </r>
  <r>
    <x v="0"/>
    <x v="7"/>
    <x v="6"/>
    <x v="139"/>
    <x v="122"/>
    <x v="122"/>
    <s v="REVENUS"/>
    <x v="3"/>
    <s v="4002.002"/>
    <s v="Impôt complémentaire s/fortune PP"/>
    <n v="0"/>
    <n v="792.7"/>
    <n v="4002"/>
  </r>
  <r>
    <x v="0"/>
    <x v="7"/>
    <x v="6"/>
    <x v="139"/>
    <x v="122"/>
    <x v="122"/>
    <s v="REVENUS"/>
    <x v="7"/>
    <s v="4184.000"/>
    <s v="Frais de poursuite"/>
    <n v="0"/>
    <n v="20.93"/>
    <n v="4184"/>
  </r>
  <r>
    <x v="0"/>
    <x v="7"/>
    <x v="6"/>
    <x v="139"/>
    <x v="122"/>
    <x v="122"/>
    <s v="REVENUS"/>
    <x v="10"/>
    <s v="4041.002"/>
    <s v="Complément droit de mutation"/>
    <n v="0"/>
    <n v="80751"/>
    <n v="4041"/>
  </r>
  <r>
    <x v="0"/>
    <x v="7"/>
    <x v="6"/>
    <x v="139"/>
    <x v="122"/>
    <x v="122"/>
    <s v="REVENUS"/>
    <x v="2"/>
    <s v="4001.001"/>
    <s v="Impôt revenu"/>
    <n v="0"/>
    <n v="-8711.9500000000007"/>
    <n v="4001"/>
  </r>
  <r>
    <x v="0"/>
    <x v="7"/>
    <x v="6"/>
    <x v="139"/>
    <x v="122"/>
    <x v="122"/>
    <s v="REVENUS"/>
    <x v="2"/>
    <s v="4001.002"/>
    <s v="Impôt complément s/revenu PP"/>
    <n v="0"/>
    <n v="-431.7"/>
    <n v="4001"/>
  </r>
  <r>
    <x v="0"/>
    <x v="7"/>
    <x v="6"/>
    <x v="139"/>
    <x v="122"/>
    <x v="122"/>
    <s v="REVENUS"/>
    <x v="3"/>
    <s v="4002.001"/>
    <s v="Impôt ordinaire s/fortune PP"/>
    <n v="0"/>
    <n v="-3623"/>
    <n v="4002"/>
  </r>
  <r>
    <x v="0"/>
    <x v="7"/>
    <x v="6"/>
    <x v="139"/>
    <x v="122"/>
    <x v="122"/>
    <s v="REVENUS"/>
    <x v="3"/>
    <s v="4002.002"/>
    <s v="Impôt complémentaire s/fortune PP"/>
    <n v="0"/>
    <n v="-469.15"/>
    <n v="4002"/>
  </r>
  <r>
    <x v="0"/>
    <x v="7"/>
    <x v="6"/>
    <x v="139"/>
    <x v="122"/>
    <x v="122"/>
    <s v="REVENUS"/>
    <x v="6"/>
    <s v="4211.002"/>
    <s v="Intérêts de retard sur acomptes"/>
    <n v="0"/>
    <n v="-0.03"/>
    <n v="4211"/>
  </r>
  <r>
    <x v="0"/>
    <x v="7"/>
    <x v="6"/>
    <x v="139"/>
    <x v="122"/>
    <x v="122"/>
    <s v="REVENUS"/>
    <x v="6"/>
    <s v="4221.003"/>
    <s v="Intérêts compensat. / acomptes en faveur du fisc"/>
    <n v="0"/>
    <n v="0.13"/>
    <n v="4221"/>
  </r>
  <r>
    <x v="0"/>
    <x v="7"/>
    <x v="6"/>
    <x v="139"/>
    <x v="122"/>
    <x v="122"/>
    <s v="REVENUS"/>
    <x v="2"/>
    <s v="4001.001"/>
    <s v="Impôt revenu"/>
    <n v="0"/>
    <n v="-3201.7"/>
    <n v="4001"/>
  </r>
  <r>
    <x v="0"/>
    <x v="7"/>
    <x v="6"/>
    <x v="139"/>
    <x v="122"/>
    <x v="122"/>
    <s v="REVENUS"/>
    <x v="3"/>
    <s v="4002.001"/>
    <s v="Impôt ordinaire s/fortune PP"/>
    <n v="0"/>
    <n v="-2569.25"/>
    <n v="4002"/>
  </r>
  <r>
    <x v="0"/>
    <x v="7"/>
    <x v="6"/>
    <x v="139"/>
    <x v="122"/>
    <x v="122"/>
    <s v="REVENUS"/>
    <x v="6"/>
    <s v="4211.002"/>
    <s v="Intérêts de retard sur acomptes"/>
    <n v="0"/>
    <n v="7.0000000000000007E-2"/>
    <n v="4211"/>
  </r>
  <r>
    <x v="0"/>
    <x v="7"/>
    <x v="6"/>
    <x v="139"/>
    <x v="122"/>
    <x v="122"/>
    <s v="REVENUS"/>
    <x v="8"/>
    <s v="4091.001"/>
    <s v="Impôt récupéré après défalcations"/>
    <n v="0"/>
    <n v="-24708.799999999999"/>
    <n v="4091"/>
  </r>
  <r>
    <x v="0"/>
    <x v="7"/>
    <x v="6"/>
    <x v="139"/>
    <x v="122"/>
    <x v="122"/>
    <s v="REVENUS"/>
    <x v="2"/>
    <s v="4001.002"/>
    <s v="Impôt complément s/revenu PP"/>
    <n v="0"/>
    <n v="-5943.5"/>
    <n v="4001"/>
  </r>
  <r>
    <x v="0"/>
    <x v="7"/>
    <x v="6"/>
    <x v="139"/>
    <x v="122"/>
    <x v="122"/>
    <s v="REVENUS"/>
    <x v="3"/>
    <s v="4002.002"/>
    <s v="Impôt complémentaire s/fortune PP"/>
    <n v="0"/>
    <n v="-2553.75"/>
    <n v="4002"/>
  </r>
  <r>
    <x v="0"/>
    <x v="7"/>
    <x v="6"/>
    <x v="139"/>
    <x v="122"/>
    <x v="122"/>
    <s v="REVENUS"/>
    <x v="8"/>
    <s v="4091.003"/>
    <s v="Impôt récupéré concordat"/>
    <n v="0"/>
    <n v="-32.24"/>
    <n v="4091"/>
  </r>
  <r>
    <x v="0"/>
    <x v="7"/>
    <x v="6"/>
    <x v="140"/>
    <x v="123"/>
    <x v="123"/>
    <s v="CHARGES"/>
    <x v="0"/>
    <s v="3212.004"/>
    <s v="Intérêts rémun./perçu trop tôt sur acomptes C/C"/>
    <n v="995.36"/>
    <n v="0"/>
    <n v="3212"/>
  </r>
  <r>
    <x v="0"/>
    <x v="7"/>
    <x v="6"/>
    <x v="140"/>
    <x v="123"/>
    <x v="123"/>
    <s v="CHARGES"/>
    <x v="0"/>
    <s v="3221.002"/>
    <s v="Intérêts compensatoires / créances en faveur ctb."/>
    <n v="730.48"/>
    <n v="0"/>
    <n v="3221"/>
  </r>
  <r>
    <x v="0"/>
    <x v="7"/>
    <x v="6"/>
    <x v="140"/>
    <x v="123"/>
    <x v="123"/>
    <s v="CHARGES"/>
    <x v="1"/>
    <s v="3301.001"/>
    <s v="Défalcations, abandons de solde PP et IS"/>
    <n v="53447.85"/>
    <n v="0"/>
    <n v="3301"/>
  </r>
  <r>
    <x v="0"/>
    <x v="7"/>
    <x v="6"/>
    <x v="140"/>
    <x v="123"/>
    <x v="123"/>
    <s v="CHARGES"/>
    <x v="0"/>
    <s v="3212.002"/>
    <s v="Intérêts bonifiés/trop perçu acompte C/C"/>
    <n v="60.19"/>
    <n v="0"/>
    <n v="3212"/>
  </r>
  <r>
    <x v="0"/>
    <x v="7"/>
    <x v="6"/>
    <x v="140"/>
    <x v="123"/>
    <x v="123"/>
    <s v="CHARGES"/>
    <x v="1"/>
    <s v="3301.001"/>
    <s v="Défalcations, abandons de solde PP et IS"/>
    <n v="0.11"/>
    <n v="0"/>
    <n v="3301"/>
  </r>
  <r>
    <x v="0"/>
    <x v="7"/>
    <x v="6"/>
    <x v="140"/>
    <x v="123"/>
    <x v="123"/>
    <s v="CHARGES"/>
    <x v="0"/>
    <s v="3212.004"/>
    <s v="Intérêts rémun./perçu trop tôt sur acomptes C/C"/>
    <n v="18.97"/>
    <n v="0"/>
    <n v="3212"/>
  </r>
  <r>
    <x v="0"/>
    <x v="7"/>
    <x v="6"/>
    <x v="140"/>
    <x v="123"/>
    <x v="123"/>
    <s v="CHARGES"/>
    <x v="1"/>
    <s v="3301.001"/>
    <s v="Défalcations, abandons de solde PP et IS"/>
    <n v="7406.98"/>
    <n v="0"/>
    <n v="3301"/>
  </r>
  <r>
    <x v="0"/>
    <x v="7"/>
    <x v="6"/>
    <x v="140"/>
    <x v="123"/>
    <x v="123"/>
    <s v="CHARGES"/>
    <x v="0"/>
    <s v="3212.004"/>
    <s v="Intérêts rémun./perçu trop tôt sur acomptes C/C"/>
    <n v="2.79"/>
    <n v="0"/>
    <n v="3212"/>
  </r>
  <r>
    <x v="0"/>
    <x v="7"/>
    <x v="6"/>
    <x v="140"/>
    <x v="123"/>
    <x v="123"/>
    <s v="CHARGES"/>
    <x v="0"/>
    <s v="3221.002"/>
    <s v="Intérêts compensatoires / créances en faveur ctb."/>
    <n v="7.41"/>
    <n v="0"/>
    <n v="3221"/>
  </r>
  <r>
    <x v="0"/>
    <x v="7"/>
    <x v="6"/>
    <x v="140"/>
    <x v="123"/>
    <x v="123"/>
    <s v="CHARGES"/>
    <x v="0"/>
    <s v="3212.004"/>
    <s v="Intérêts rémun./perçu trop tôt sur acomptes C/C"/>
    <n v="6.43"/>
    <n v="0"/>
    <n v="3212"/>
  </r>
  <r>
    <x v="0"/>
    <x v="7"/>
    <x v="6"/>
    <x v="140"/>
    <x v="123"/>
    <x v="123"/>
    <s v="CHARGES"/>
    <x v="1"/>
    <s v="3301.001"/>
    <s v="Défalcations, abandons de solde PP et IS"/>
    <n v="1.64"/>
    <n v="0"/>
    <n v="3301"/>
  </r>
  <r>
    <x v="0"/>
    <x v="7"/>
    <x v="6"/>
    <x v="140"/>
    <x v="123"/>
    <x v="123"/>
    <s v="CHARGES"/>
    <x v="0"/>
    <s v="3221.002"/>
    <s v="Intérêts compensatoires / créances en faveur ctb."/>
    <n v="0.68"/>
    <n v="0"/>
    <n v="3221"/>
  </r>
  <r>
    <x v="0"/>
    <x v="7"/>
    <x v="6"/>
    <x v="140"/>
    <x v="123"/>
    <x v="123"/>
    <s v="CHARGES"/>
    <x v="1"/>
    <s v="3301.001"/>
    <s v="Défalcations, abandons de solde PP et IS"/>
    <n v="726.93"/>
    <n v="0"/>
    <n v="3301"/>
  </r>
  <r>
    <x v="0"/>
    <x v="7"/>
    <x v="6"/>
    <x v="140"/>
    <x v="123"/>
    <x v="123"/>
    <s v="CHARGES"/>
    <x v="0"/>
    <s v="3212.004"/>
    <s v="Intérêts rémun./perçu trop tôt sur acomptes C/C"/>
    <n v="0.03"/>
    <n v="0"/>
    <n v="3212"/>
  </r>
  <r>
    <x v="0"/>
    <x v="7"/>
    <x v="6"/>
    <x v="140"/>
    <x v="123"/>
    <x v="123"/>
    <s v="CHARGES"/>
    <x v="1"/>
    <s v="3301.001"/>
    <s v="Défalcations, abandons de solde PP et IS"/>
    <n v="23824.21"/>
    <n v="0"/>
    <n v="3301"/>
  </r>
  <r>
    <x v="0"/>
    <x v="7"/>
    <x v="6"/>
    <x v="140"/>
    <x v="123"/>
    <x v="123"/>
    <s v="CHARGES"/>
    <x v="0"/>
    <s v="3212.004"/>
    <s v="Intérêts rémun./perçu trop tôt sur acomptes C/C"/>
    <n v="-1.87"/>
    <n v="0"/>
    <n v="3212"/>
  </r>
  <r>
    <x v="0"/>
    <x v="7"/>
    <x v="6"/>
    <x v="140"/>
    <x v="123"/>
    <x v="123"/>
    <s v="CHARGES"/>
    <x v="1"/>
    <s v="3301.001"/>
    <s v="Défalcations, abandons de solde PP et IS"/>
    <n v="-22.31"/>
    <n v="0"/>
    <n v="3301"/>
  </r>
  <r>
    <x v="0"/>
    <x v="7"/>
    <x v="6"/>
    <x v="140"/>
    <x v="123"/>
    <x v="123"/>
    <s v="CHARGES"/>
    <x v="0"/>
    <s v="3212.004"/>
    <s v="Intérêts rémun./perçu trop tôt sur acomptes C/C"/>
    <n v="8.3000000000000007"/>
    <n v="0"/>
    <n v="3212"/>
  </r>
  <r>
    <x v="0"/>
    <x v="7"/>
    <x v="6"/>
    <x v="140"/>
    <x v="123"/>
    <x v="123"/>
    <s v="CHARGES"/>
    <x v="0"/>
    <s v="3212.002"/>
    <s v="Intérêts bonifiés/trop perçu acompte C/C"/>
    <n v="0.32"/>
    <n v="0"/>
    <n v="3212"/>
  </r>
  <r>
    <x v="0"/>
    <x v="7"/>
    <x v="6"/>
    <x v="140"/>
    <x v="123"/>
    <x v="123"/>
    <s v="CHARGES"/>
    <x v="1"/>
    <s v="3301.001"/>
    <s v="Défalcations, abandons de solde PP et IS"/>
    <n v="0.09"/>
    <n v="0"/>
    <n v="3301"/>
  </r>
  <r>
    <x v="0"/>
    <x v="7"/>
    <x v="6"/>
    <x v="140"/>
    <x v="123"/>
    <x v="123"/>
    <s v="CHARGES"/>
    <x v="0"/>
    <s v="3221.002"/>
    <s v="Intérêts compensatoires / créances en faveur ctb."/>
    <n v="0.8"/>
    <n v="0"/>
    <n v="3221"/>
  </r>
  <r>
    <x v="0"/>
    <x v="7"/>
    <x v="6"/>
    <x v="140"/>
    <x v="123"/>
    <x v="123"/>
    <s v="CHARGES"/>
    <x v="1"/>
    <s v="3301.001"/>
    <s v="Défalcations, abandons de solde PP et IS"/>
    <n v="0.09"/>
    <n v="0"/>
    <n v="3301"/>
  </r>
  <r>
    <x v="0"/>
    <x v="7"/>
    <x v="6"/>
    <x v="140"/>
    <x v="123"/>
    <x v="123"/>
    <s v="CHARGES"/>
    <x v="0"/>
    <s v="3221.002"/>
    <s v="Intérêts compensatoires / créances en faveur ctb."/>
    <n v="0.15"/>
    <n v="0"/>
    <n v="3221"/>
  </r>
  <r>
    <x v="0"/>
    <x v="7"/>
    <x v="6"/>
    <x v="140"/>
    <x v="123"/>
    <x v="123"/>
    <s v="CHARGES"/>
    <x v="0"/>
    <s v="3221.002"/>
    <s v="Intérêts compensatoires / créances en faveur ctb."/>
    <n v="0.99"/>
    <n v="0"/>
    <n v="3221"/>
  </r>
  <r>
    <x v="0"/>
    <x v="7"/>
    <x v="6"/>
    <x v="140"/>
    <x v="123"/>
    <x v="123"/>
    <s v="CHARGES"/>
    <x v="0"/>
    <s v="3212.002"/>
    <s v="Intérêts bonifiés/trop perçu acompte C/C"/>
    <n v="-2.27"/>
    <n v="0"/>
    <n v="3212"/>
  </r>
  <r>
    <x v="0"/>
    <x v="7"/>
    <x v="6"/>
    <x v="140"/>
    <x v="123"/>
    <x v="123"/>
    <s v="CHARGES"/>
    <x v="0"/>
    <s v="3212.002"/>
    <s v="Intérêts bonifiés/trop perçu acompte C/C"/>
    <n v="2.59"/>
    <n v="0"/>
    <n v="3212"/>
  </r>
  <r>
    <x v="0"/>
    <x v="7"/>
    <x v="6"/>
    <x v="140"/>
    <x v="123"/>
    <x v="123"/>
    <s v="CHARGES"/>
    <x v="0"/>
    <s v="3212.004"/>
    <s v="Intérêts rémun./perçu trop tôt sur acomptes C/C"/>
    <n v="0.25"/>
    <n v="0"/>
    <n v="3212"/>
  </r>
  <r>
    <x v="0"/>
    <x v="7"/>
    <x v="6"/>
    <x v="140"/>
    <x v="123"/>
    <x v="123"/>
    <s v="CHARGES"/>
    <x v="0"/>
    <s v="3221.002"/>
    <s v="Intérêts compensatoires / créances en faveur ctb."/>
    <n v="0.89"/>
    <n v="0"/>
    <n v="3221"/>
  </r>
  <r>
    <x v="0"/>
    <x v="7"/>
    <x v="6"/>
    <x v="140"/>
    <x v="123"/>
    <x v="123"/>
    <s v="CHARGES"/>
    <x v="0"/>
    <s v="3212.004"/>
    <s v="Intérêts rémun./perçu trop tôt sur acomptes C/C"/>
    <n v="6.34"/>
    <n v="0"/>
    <n v="3212"/>
  </r>
  <r>
    <x v="0"/>
    <x v="7"/>
    <x v="6"/>
    <x v="140"/>
    <x v="123"/>
    <x v="123"/>
    <s v="CHARGES"/>
    <x v="1"/>
    <s v="3301.001"/>
    <s v="Défalcations, abandons de solde PP et IS"/>
    <n v="0.2"/>
    <n v="0"/>
    <n v="3301"/>
  </r>
  <r>
    <x v="0"/>
    <x v="7"/>
    <x v="6"/>
    <x v="140"/>
    <x v="123"/>
    <x v="123"/>
    <s v="REVENUS"/>
    <x v="2"/>
    <s v="4001.001"/>
    <s v="Impôt revenu"/>
    <n v="0"/>
    <n v="4147173.4"/>
    <n v="4001"/>
  </r>
  <r>
    <x v="0"/>
    <x v="7"/>
    <x v="6"/>
    <x v="140"/>
    <x v="123"/>
    <x v="123"/>
    <s v="REVENUS"/>
    <x v="2"/>
    <s v="4001.002"/>
    <s v="Impôt complément s/revenu PP"/>
    <n v="0"/>
    <n v="604427.69999999995"/>
    <n v="4001"/>
  </r>
  <r>
    <x v="0"/>
    <x v="7"/>
    <x v="6"/>
    <x v="140"/>
    <x v="123"/>
    <x v="123"/>
    <s v="REVENUS"/>
    <x v="2"/>
    <s v="4001.007"/>
    <s v="Acompte impôt sur revenu"/>
    <n v="0"/>
    <n v="-145561.10999999999"/>
    <n v="4001"/>
  </r>
  <r>
    <x v="0"/>
    <x v="7"/>
    <x v="6"/>
    <x v="140"/>
    <x v="123"/>
    <x v="123"/>
    <s v="REVENUS"/>
    <x v="3"/>
    <s v="4002.001"/>
    <s v="Impôt ordinaire s/fortune PP"/>
    <n v="0"/>
    <n v="725719.85"/>
    <n v="4002"/>
  </r>
  <r>
    <x v="0"/>
    <x v="7"/>
    <x v="6"/>
    <x v="140"/>
    <x v="123"/>
    <x v="123"/>
    <s v="REVENUS"/>
    <x v="3"/>
    <s v="4002.002"/>
    <s v="Impôt complémentaire s/fortune PP"/>
    <n v="0"/>
    <n v="72444.05"/>
    <n v="4002"/>
  </r>
  <r>
    <x v="0"/>
    <x v="7"/>
    <x v="6"/>
    <x v="140"/>
    <x v="123"/>
    <x v="123"/>
    <s v="REVENUS"/>
    <x v="3"/>
    <s v="4002.007"/>
    <s v="Acompte impôt sur fortune"/>
    <n v="0"/>
    <n v="-131995.75"/>
    <n v="4002"/>
  </r>
  <r>
    <x v="0"/>
    <x v="7"/>
    <x v="6"/>
    <x v="140"/>
    <x v="123"/>
    <x v="123"/>
    <s v="REVENUS"/>
    <x v="6"/>
    <s v="4211.001"/>
    <s v="Intérêts de retard sur factures"/>
    <n v="0"/>
    <n v="17270.11"/>
    <n v="4211"/>
  </r>
  <r>
    <x v="0"/>
    <x v="7"/>
    <x v="6"/>
    <x v="140"/>
    <x v="123"/>
    <x v="123"/>
    <s v="REVENUS"/>
    <x v="6"/>
    <s v="4221.003"/>
    <s v="Intérêts compensat. / acomptes en faveur du fisc"/>
    <n v="0"/>
    <n v="313.74"/>
    <n v="4221"/>
  </r>
  <r>
    <x v="0"/>
    <x v="7"/>
    <x v="6"/>
    <x v="140"/>
    <x v="123"/>
    <x v="123"/>
    <s v="REVENUS"/>
    <x v="6"/>
    <s v="4211.002"/>
    <s v="Intérêts de retard sur acomptes"/>
    <n v="0"/>
    <n v="33915.96"/>
    <n v="4211"/>
  </r>
  <r>
    <x v="0"/>
    <x v="7"/>
    <x v="6"/>
    <x v="140"/>
    <x v="123"/>
    <x v="123"/>
    <s v="REVENUS"/>
    <x v="2"/>
    <s v="4001.007"/>
    <s v="Acompte impôt sur revenu"/>
    <n v="0"/>
    <n v="-9589.51"/>
    <n v="4001"/>
  </r>
  <r>
    <x v="0"/>
    <x v="7"/>
    <x v="6"/>
    <x v="140"/>
    <x v="123"/>
    <x v="123"/>
    <s v="REVENUS"/>
    <x v="3"/>
    <s v="4002.007"/>
    <s v="Acompte impôt sur fortune"/>
    <n v="0"/>
    <n v="-1481.01"/>
    <n v="4002"/>
  </r>
  <r>
    <x v="0"/>
    <x v="7"/>
    <x v="6"/>
    <x v="140"/>
    <x v="123"/>
    <x v="123"/>
    <s v="REVENUS"/>
    <x v="2"/>
    <s v="4001.003"/>
    <s v="Impôt s/prest. cap. PP"/>
    <n v="0"/>
    <n v="84203.25"/>
    <n v="4001"/>
  </r>
  <r>
    <x v="0"/>
    <x v="7"/>
    <x v="6"/>
    <x v="140"/>
    <x v="123"/>
    <x v="123"/>
    <s v="REVENUS"/>
    <x v="10"/>
    <s v="4041.001"/>
    <s v="Droits de mutation"/>
    <n v="0"/>
    <n v="347117.5"/>
    <n v="4041"/>
  </r>
  <r>
    <x v="0"/>
    <x v="7"/>
    <x v="6"/>
    <x v="140"/>
    <x v="123"/>
    <x v="123"/>
    <s v="REVENUS"/>
    <x v="11"/>
    <s v="4198.000"/>
    <s v="Contributions communales"/>
    <n v="0"/>
    <n v="454608.55"/>
    <n v="4198"/>
  </r>
  <r>
    <x v="0"/>
    <x v="7"/>
    <x v="6"/>
    <x v="140"/>
    <x v="123"/>
    <x v="123"/>
    <s v="REVENUS"/>
    <x v="6"/>
    <s v="4221.002"/>
    <s v="Intérêts compensat. sur impôts distincts"/>
    <n v="0"/>
    <n v="1401.7"/>
    <n v="4221"/>
  </r>
  <r>
    <x v="0"/>
    <x v="7"/>
    <x v="6"/>
    <x v="140"/>
    <x v="123"/>
    <x v="123"/>
    <s v="REVENUS"/>
    <x v="2"/>
    <s v="4001.001"/>
    <s v="Impôt revenu"/>
    <n v="0"/>
    <n v="12556.6"/>
    <n v="4001"/>
  </r>
  <r>
    <x v="0"/>
    <x v="7"/>
    <x v="6"/>
    <x v="140"/>
    <x v="123"/>
    <x v="123"/>
    <s v="REVENUS"/>
    <x v="6"/>
    <s v="4221.003"/>
    <s v="Intérêts compensat. / acomptes en faveur du fisc"/>
    <n v="0"/>
    <n v="0.18"/>
    <n v="4221"/>
  </r>
  <r>
    <x v="0"/>
    <x v="7"/>
    <x v="6"/>
    <x v="140"/>
    <x v="123"/>
    <x v="123"/>
    <s v="REVENUS"/>
    <x v="7"/>
    <s v="4184.000"/>
    <s v="Frais de poursuite"/>
    <n v="0"/>
    <n v="6575.23"/>
    <n v="4184"/>
  </r>
  <r>
    <x v="0"/>
    <x v="7"/>
    <x v="6"/>
    <x v="140"/>
    <x v="123"/>
    <x v="123"/>
    <s v="REVENUS"/>
    <x v="2"/>
    <s v="4001.001"/>
    <s v="Impôt revenu"/>
    <n v="0"/>
    <n v="41130.75"/>
    <n v="4001"/>
  </r>
  <r>
    <x v="0"/>
    <x v="7"/>
    <x v="6"/>
    <x v="140"/>
    <x v="123"/>
    <x v="123"/>
    <s v="REVENUS"/>
    <x v="3"/>
    <s v="4002.001"/>
    <s v="Impôt ordinaire s/fortune PP"/>
    <n v="0"/>
    <n v="15422.2"/>
    <n v="4002"/>
  </r>
  <r>
    <x v="0"/>
    <x v="7"/>
    <x v="6"/>
    <x v="140"/>
    <x v="123"/>
    <x v="123"/>
    <s v="REVENUS"/>
    <x v="6"/>
    <s v="4211.001"/>
    <s v="Intérêts de retard sur factures"/>
    <n v="0"/>
    <n v="107.58"/>
    <n v="4211"/>
  </r>
  <r>
    <x v="0"/>
    <x v="7"/>
    <x v="6"/>
    <x v="140"/>
    <x v="123"/>
    <x v="123"/>
    <s v="REVENUS"/>
    <x v="6"/>
    <s v="4221.003"/>
    <s v="Intérêts compensat. / acomptes en faveur du fisc"/>
    <n v="0"/>
    <n v="7.8"/>
    <n v="4221"/>
  </r>
  <r>
    <x v="0"/>
    <x v="7"/>
    <x v="6"/>
    <x v="140"/>
    <x v="123"/>
    <x v="123"/>
    <s v="REVENUS"/>
    <x v="2"/>
    <s v="4001.001"/>
    <s v="Impôt revenu"/>
    <n v="0"/>
    <n v="7265.5"/>
    <n v="4001"/>
  </r>
  <r>
    <x v="0"/>
    <x v="7"/>
    <x v="6"/>
    <x v="140"/>
    <x v="123"/>
    <x v="123"/>
    <s v="REVENUS"/>
    <x v="3"/>
    <s v="4002.001"/>
    <s v="Impôt ordinaire s/fortune PP"/>
    <n v="0"/>
    <n v="2495.25"/>
    <n v="4002"/>
  </r>
  <r>
    <x v="0"/>
    <x v="7"/>
    <x v="6"/>
    <x v="140"/>
    <x v="123"/>
    <x v="123"/>
    <s v="REVENUS"/>
    <x v="6"/>
    <s v="4211.002"/>
    <s v="Intérêts de retard sur acomptes"/>
    <n v="0"/>
    <n v="99.15"/>
    <n v="4211"/>
  </r>
  <r>
    <x v="0"/>
    <x v="7"/>
    <x v="6"/>
    <x v="140"/>
    <x v="123"/>
    <x v="123"/>
    <s v="REVENUS"/>
    <x v="3"/>
    <s v="4002.001"/>
    <s v="Impôt ordinaire s/fortune PP"/>
    <n v="0"/>
    <n v="-7.9"/>
    <n v="4002"/>
  </r>
  <r>
    <x v="0"/>
    <x v="7"/>
    <x v="6"/>
    <x v="140"/>
    <x v="123"/>
    <x v="123"/>
    <s v="REVENUS"/>
    <x v="3"/>
    <s v="4002.007"/>
    <s v="Acompte impôt sur fortune"/>
    <n v="0"/>
    <n v="-112.7"/>
    <n v="4002"/>
  </r>
  <r>
    <x v="0"/>
    <x v="7"/>
    <x v="6"/>
    <x v="140"/>
    <x v="123"/>
    <x v="123"/>
    <s v="REVENUS"/>
    <x v="6"/>
    <s v="4211.002"/>
    <s v="Intérêts de retard sur acomptes"/>
    <n v="0"/>
    <n v="2.65"/>
    <n v="4211"/>
  </r>
  <r>
    <x v="0"/>
    <x v="7"/>
    <x v="6"/>
    <x v="140"/>
    <x v="123"/>
    <x v="123"/>
    <s v="REVENUS"/>
    <x v="5"/>
    <s v="4061.000"/>
    <s v="Impôt sur les chiens"/>
    <n v="0"/>
    <n v="40050"/>
    <n v="4061"/>
  </r>
  <r>
    <x v="0"/>
    <x v="7"/>
    <x v="6"/>
    <x v="140"/>
    <x v="123"/>
    <x v="123"/>
    <s v="REVENUS"/>
    <x v="2"/>
    <s v="4001.001"/>
    <s v="Impôt revenu"/>
    <n v="0"/>
    <n v="13905.75"/>
    <n v="4001"/>
  </r>
  <r>
    <x v="0"/>
    <x v="7"/>
    <x v="6"/>
    <x v="140"/>
    <x v="123"/>
    <x v="123"/>
    <s v="REVENUS"/>
    <x v="3"/>
    <s v="4002.001"/>
    <s v="Impôt ordinaire s/fortune PP"/>
    <n v="0"/>
    <n v="7188.45"/>
    <n v="4002"/>
  </r>
  <r>
    <x v="0"/>
    <x v="7"/>
    <x v="6"/>
    <x v="140"/>
    <x v="123"/>
    <x v="123"/>
    <s v="REVENUS"/>
    <x v="6"/>
    <s v="4221.003"/>
    <s v="Intérêts compensat. / acomptes en faveur du fisc"/>
    <n v="0"/>
    <n v="1.72"/>
    <n v="4221"/>
  </r>
  <r>
    <x v="0"/>
    <x v="7"/>
    <x v="6"/>
    <x v="140"/>
    <x v="123"/>
    <x v="123"/>
    <s v="REVENUS"/>
    <x v="2"/>
    <s v="4001.002"/>
    <s v="Impôt complément s/revenu PP"/>
    <n v="0"/>
    <n v="116.15"/>
    <n v="4001"/>
  </r>
  <r>
    <x v="0"/>
    <x v="7"/>
    <x v="6"/>
    <x v="140"/>
    <x v="123"/>
    <x v="123"/>
    <s v="REVENUS"/>
    <x v="7"/>
    <s v="4184.000"/>
    <s v="Frais de poursuite"/>
    <n v="0"/>
    <n v="50.44"/>
    <n v="4184"/>
  </r>
  <r>
    <x v="0"/>
    <x v="7"/>
    <x v="6"/>
    <x v="140"/>
    <x v="123"/>
    <x v="123"/>
    <s v="REVENUS"/>
    <x v="2"/>
    <s v="4001.007"/>
    <s v="Acompte impôt sur revenu"/>
    <n v="0"/>
    <n v="-169.17"/>
    <n v="4001"/>
  </r>
  <r>
    <x v="0"/>
    <x v="7"/>
    <x v="6"/>
    <x v="140"/>
    <x v="123"/>
    <x v="123"/>
    <s v="REVENUS"/>
    <x v="3"/>
    <s v="4002.001"/>
    <s v="Impôt ordinaire s/fortune PP"/>
    <n v="0"/>
    <n v="2887.45"/>
    <n v="4002"/>
  </r>
  <r>
    <x v="0"/>
    <x v="7"/>
    <x v="6"/>
    <x v="140"/>
    <x v="123"/>
    <x v="123"/>
    <s v="REVENUS"/>
    <x v="3"/>
    <s v="4002.007"/>
    <s v="Acompte impôt sur fortune"/>
    <n v="0"/>
    <n v="-293.60000000000002"/>
    <n v="4002"/>
  </r>
  <r>
    <x v="0"/>
    <x v="7"/>
    <x v="6"/>
    <x v="140"/>
    <x v="123"/>
    <x v="123"/>
    <s v="REVENUS"/>
    <x v="6"/>
    <s v="4211.002"/>
    <s v="Intérêts de retard sur acomptes"/>
    <n v="0"/>
    <n v="3.85"/>
    <n v="4211"/>
  </r>
  <r>
    <x v="0"/>
    <x v="7"/>
    <x v="6"/>
    <x v="140"/>
    <x v="123"/>
    <x v="123"/>
    <s v="REVENUS"/>
    <x v="2"/>
    <s v="4001.007"/>
    <s v="Acompte impôt sur revenu"/>
    <n v="0"/>
    <n v="-2660.25"/>
    <n v="4001"/>
  </r>
  <r>
    <x v="0"/>
    <x v="7"/>
    <x v="6"/>
    <x v="140"/>
    <x v="123"/>
    <x v="123"/>
    <s v="REVENUS"/>
    <x v="3"/>
    <s v="4002.007"/>
    <s v="Acompte impôt sur fortune"/>
    <n v="0"/>
    <n v="-8.3699999999999992"/>
    <n v="4002"/>
  </r>
  <r>
    <x v="0"/>
    <x v="7"/>
    <x v="6"/>
    <x v="140"/>
    <x v="123"/>
    <x v="123"/>
    <s v="REVENUS"/>
    <x v="2"/>
    <s v="4001.007"/>
    <s v="Acompte impôt sur revenu"/>
    <n v="0"/>
    <n v="6215.8"/>
    <n v="4001"/>
  </r>
  <r>
    <x v="0"/>
    <x v="7"/>
    <x v="6"/>
    <x v="140"/>
    <x v="123"/>
    <x v="123"/>
    <s v="REVENUS"/>
    <x v="3"/>
    <s v="4002.007"/>
    <s v="Acompte impôt sur fortune"/>
    <n v="0"/>
    <n v="809.45"/>
    <n v="4002"/>
  </r>
  <r>
    <x v="0"/>
    <x v="7"/>
    <x v="6"/>
    <x v="140"/>
    <x v="123"/>
    <x v="123"/>
    <s v="REVENUS"/>
    <x v="2"/>
    <s v="4001.002"/>
    <s v="Impôt complément s/revenu PP"/>
    <n v="0"/>
    <n v="3341.3"/>
    <n v="4001"/>
  </r>
  <r>
    <x v="0"/>
    <x v="7"/>
    <x v="6"/>
    <x v="140"/>
    <x v="123"/>
    <x v="123"/>
    <s v="REVENUS"/>
    <x v="3"/>
    <s v="4002.002"/>
    <s v="Impôt complémentaire s/fortune PP"/>
    <n v="0"/>
    <n v="102.8"/>
    <n v="4002"/>
  </r>
  <r>
    <x v="0"/>
    <x v="7"/>
    <x v="6"/>
    <x v="140"/>
    <x v="123"/>
    <x v="123"/>
    <s v="REVENUS"/>
    <x v="6"/>
    <s v="4211.002"/>
    <s v="Intérêts de retard sur acomptes"/>
    <n v="0"/>
    <n v="731.72"/>
    <n v="4211"/>
  </r>
  <r>
    <x v="0"/>
    <x v="7"/>
    <x v="6"/>
    <x v="140"/>
    <x v="123"/>
    <x v="123"/>
    <s v="REVENUS"/>
    <x v="3"/>
    <s v="4002.007"/>
    <s v="Acompte impôt sur fortune"/>
    <n v="0"/>
    <n v="-314.8"/>
    <n v="4002"/>
  </r>
  <r>
    <x v="0"/>
    <x v="7"/>
    <x v="6"/>
    <x v="140"/>
    <x v="123"/>
    <x v="123"/>
    <s v="REVENUS"/>
    <x v="2"/>
    <s v="4001.007"/>
    <s v="Acompte impôt sur revenu"/>
    <n v="0"/>
    <n v="91.51"/>
    <n v="4001"/>
  </r>
  <r>
    <x v="0"/>
    <x v="7"/>
    <x v="6"/>
    <x v="140"/>
    <x v="123"/>
    <x v="123"/>
    <s v="REVENUS"/>
    <x v="3"/>
    <s v="4002.007"/>
    <s v="Acompte impôt sur fortune"/>
    <n v="0"/>
    <n v="12.79"/>
    <n v="4002"/>
  </r>
  <r>
    <x v="0"/>
    <x v="7"/>
    <x v="6"/>
    <x v="140"/>
    <x v="123"/>
    <x v="123"/>
    <s v="REVENUS"/>
    <x v="2"/>
    <s v="4001.007"/>
    <s v="Acompte impôt sur revenu"/>
    <n v="0"/>
    <n v="-120.65"/>
    <n v="4001"/>
  </r>
  <r>
    <x v="0"/>
    <x v="7"/>
    <x v="6"/>
    <x v="140"/>
    <x v="123"/>
    <x v="123"/>
    <s v="REVENUS"/>
    <x v="6"/>
    <s v="4221.003"/>
    <s v="Intérêts compensat. / acomptes en faveur du fisc"/>
    <n v="0"/>
    <n v="0.31"/>
    <n v="4221"/>
  </r>
  <r>
    <x v="0"/>
    <x v="7"/>
    <x v="6"/>
    <x v="140"/>
    <x v="123"/>
    <x v="123"/>
    <s v="REVENUS"/>
    <x v="2"/>
    <s v="4001.007"/>
    <s v="Acompte impôt sur revenu"/>
    <n v="0"/>
    <n v="-442.7"/>
    <n v="4001"/>
  </r>
  <r>
    <x v="0"/>
    <x v="7"/>
    <x v="6"/>
    <x v="140"/>
    <x v="123"/>
    <x v="123"/>
    <s v="REVENUS"/>
    <x v="3"/>
    <s v="4002.007"/>
    <s v="Acompte impôt sur fortune"/>
    <n v="0"/>
    <n v="-107.5"/>
    <n v="4002"/>
  </r>
  <r>
    <x v="0"/>
    <x v="7"/>
    <x v="6"/>
    <x v="140"/>
    <x v="123"/>
    <x v="123"/>
    <s v="REVENUS"/>
    <x v="4"/>
    <s v="4051.001"/>
    <s v="Impôt sur les successions"/>
    <n v="0"/>
    <n v="22661.7"/>
    <n v="4051"/>
  </r>
  <r>
    <x v="0"/>
    <x v="7"/>
    <x v="6"/>
    <x v="140"/>
    <x v="123"/>
    <x v="123"/>
    <s v="REVENUS"/>
    <x v="2"/>
    <s v="4001.007"/>
    <s v="Acompte impôt sur revenu"/>
    <n v="0"/>
    <n v="-52.4"/>
    <n v="4001"/>
  </r>
  <r>
    <x v="0"/>
    <x v="7"/>
    <x v="6"/>
    <x v="140"/>
    <x v="123"/>
    <x v="123"/>
    <s v="REVENUS"/>
    <x v="8"/>
    <s v="4091.001"/>
    <s v="Impôt récupéré après défalcations"/>
    <n v="0"/>
    <n v="-2029.25"/>
    <n v="4091"/>
  </r>
  <r>
    <x v="0"/>
    <x v="7"/>
    <x v="6"/>
    <x v="140"/>
    <x v="123"/>
    <x v="123"/>
    <s v="REVENUS"/>
    <x v="2"/>
    <s v="4001.001"/>
    <s v="Impôt revenu"/>
    <n v="0"/>
    <n v="-137.30000000000001"/>
    <n v="4001"/>
  </r>
  <r>
    <x v="0"/>
    <x v="7"/>
    <x v="6"/>
    <x v="140"/>
    <x v="123"/>
    <x v="123"/>
    <s v="REVENUS"/>
    <x v="3"/>
    <s v="4002.002"/>
    <s v="Impôt complémentaire s/fortune PP"/>
    <n v="0"/>
    <n v="106.45"/>
    <n v="4002"/>
  </r>
  <r>
    <x v="0"/>
    <x v="7"/>
    <x v="6"/>
    <x v="140"/>
    <x v="123"/>
    <x v="123"/>
    <s v="REVENUS"/>
    <x v="3"/>
    <s v="4002.007"/>
    <s v="Acompte impôt sur fortune"/>
    <n v="0"/>
    <n v="-843.8"/>
    <n v="4002"/>
  </r>
  <r>
    <x v="0"/>
    <x v="7"/>
    <x v="6"/>
    <x v="140"/>
    <x v="123"/>
    <x v="123"/>
    <s v="REVENUS"/>
    <x v="7"/>
    <s v="4184.000"/>
    <s v="Frais de poursuite"/>
    <n v="0"/>
    <n v="27.87"/>
    <n v="4184"/>
  </r>
  <r>
    <x v="0"/>
    <x v="7"/>
    <x v="6"/>
    <x v="140"/>
    <x v="123"/>
    <x v="123"/>
    <s v="REVENUS"/>
    <x v="9"/>
    <s v="4031.001"/>
    <s v="Impôt sur les gains immobiliers"/>
    <n v="0"/>
    <n v="478937.4"/>
    <n v="4031"/>
  </r>
  <r>
    <x v="0"/>
    <x v="7"/>
    <x v="6"/>
    <x v="140"/>
    <x v="123"/>
    <x v="123"/>
    <s v="REVENUS"/>
    <x v="3"/>
    <s v="4002.001"/>
    <s v="Impôt ordinaire s/fortune PP"/>
    <n v="0"/>
    <n v="-694.05"/>
    <n v="4002"/>
  </r>
  <r>
    <x v="0"/>
    <x v="7"/>
    <x v="6"/>
    <x v="140"/>
    <x v="123"/>
    <x v="123"/>
    <s v="REVENUS"/>
    <x v="3"/>
    <s v="4002.002"/>
    <s v="Impôt complémentaire s/fortune PP"/>
    <n v="0"/>
    <n v="-120.4"/>
    <n v="4002"/>
  </r>
  <r>
    <x v="0"/>
    <x v="7"/>
    <x v="6"/>
    <x v="140"/>
    <x v="123"/>
    <x v="123"/>
    <s v="REVENUS"/>
    <x v="6"/>
    <s v="4211.001"/>
    <s v="Intérêts de retard sur factures"/>
    <n v="0"/>
    <n v="-37.630000000000003"/>
    <n v="4211"/>
  </r>
  <r>
    <x v="0"/>
    <x v="7"/>
    <x v="6"/>
    <x v="140"/>
    <x v="123"/>
    <x v="123"/>
    <s v="REVENUS"/>
    <x v="6"/>
    <s v="4221.003"/>
    <s v="Intérêts compensat. / acomptes en faveur du fisc"/>
    <n v="0"/>
    <n v="-13"/>
    <n v="4221"/>
  </r>
  <r>
    <x v="0"/>
    <x v="7"/>
    <x v="6"/>
    <x v="140"/>
    <x v="123"/>
    <x v="123"/>
    <s v="REVENUS"/>
    <x v="6"/>
    <s v="4211.001"/>
    <s v="Intérêts de retard sur factures"/>
    <n v="0"/>
    <n v="3.89"/>
    <n v="4211"/>
  </r>
  <r>
    <x v="0"/>
    <x v="7"/>
    <x v="6"/>
    <x v="140"/>
    <x v="123"/>
    <x v="123"/>
    <s v="REVENUS"/>
    <x v="2"/>
    <s v="4001.001"/>
    <s v="Impôt revenu"/>
    <n v="0"/>
    <n v="-50631.95"/>
    <n v="4001"/>
  </r>
  <r>
    <x v="0"/>
    <x v="7"/>
    <x v="6"/>
    <x v="140"/>
    <x v="123"/>
    <x v="123"/>
    <s v="REVENUS"/>
    <x v="6"/>
    <s v="4211.002"/>
    <s v="Intérêts de retard sur acomptes"/>
    <n v="0"/>
    <n v="-126.71"/>
    <n v="4211"/>
  </r>
  <r>
    <x v="0"/>
    <x v="7"/>
    <x v="6"/>
    <x v="140"/>
    <x v="123"/>
    <x v="123"/>
    <s v="REVENUS"/>
    <x v="3"/>
    <s v="4002.007"/>
    <s v="Acompte impôt sur fortune"/>
    <n v="0"/>
    <n v="-637.6"/>
    <n v="4002"/>
  </r>
  <r>
    <x v="0"/>
    <x v="7"/>
    <x v="6"/>
    <x v="140"/>
    <x v="123"/>
    <x v="123"/>
    <s v="REVENUS"/>
    <x v="2"/>
    <s v="4001.007"/>
    <s v="Acompte impôt sur revenu"/>
    <n v="0"/>
    <n v="-1105.05"/>
    <n v="4001"/>
  </r>
  <r>
    <x v="0"/>
    <x v="7"/>
    <x v="6"/>
    <x v="140"/>
    <x v="123"/>
    <x v="123"/>
    <s v="REVENUS"/>
    <x v="6"/>
    <s v="4211.001"/>
    <s v="Intérêts de retard sur factures"/>
    <n v="0"/>
    <n v="2.73"/>
    <n v="4211"/>
  </r>
  <r>
    <x v="0"/>
    <x v="7"/>
    <x v="6"/>
    <x v="140"/>
    <x v="123"/>
    <x v="123"/>
    <s v="REVENUS"/>
    <x v="2"/>
    <s v="4001.001"/>
    <s v="Impôt revenu"/>
    <n v="0"/>
    <n v="1990.85"/>
    <n v="4001"/>
  </r>
  <r>
    <x v="0"/>
    <x v="7"/>
    <x v="6"/>
    <x v="140"/>
    <x v="123"/>
    <x v="123"/>
    <s v="REVENUS"/>
    <x v="6"/>
    <s v="4211.002"/>
    <s v="Intérêts de retard sur acomptes"/>
    <n v="0"/>
    <n v="45.12"/>
    <n v="4211"/>
  </r>
  <r>
    <x v="0"/>
    <x v="7"/>
    <x v="6"/>
    <x v="140"/>
    <x v="123"/>
    <x v="123"/>
    <s v="REVENUS"/>
    <x v="2"/>
    <s v="4001.003"/>
    <s v="Impôt s/prest. cap. PP"/>
    <n v="0"/>
    <n v="-3895.5"/>
    <n v="4001"/>
  </r>
  <r>
    <x v="0"/>
    <x v="7"/>
    <x v="6"/>
    <x v="140"/>
    <x v="123"/>
    <x v="123"/>
    <s v="REVENUS"/>
    <x v="3"/>
    <s v="4002.001"/>
    <s v="Impôt ordinaire s/fortune PP"/>
    <n v="0"/>
    <n v="803.95"/>
    <n v="4002"/>
  </r>
  <r>
    <x v="0"/>
    <x v="7"/>
    <x v="6"/>
    <x v="140"/>
    <x v="123"/>
    <x v="123"/>
    <s v="REVENUS"/>
    <x v="6"/>
    <s v="4221.003"/>
    <s v="Intérêts compensat. / acomptes en faveur du fisc"/>
    <n v="0"/>
    <n v="0.82"/>
    <n v="4221"/>
  </r>
  <r>
    <x v="0"/>
    <x v="7"/>
    <x v="6"/>
    <x v="140"/>
    <x v="123"/>
    <x v="123"/>
    <s v="REVENUS"/>
    <x v="2"/>
    <s v="4001.002"/>
    <s v="Impôt complément s/revenu PP"/>
    <n v="0"/>
    <n v="76.8"/>
    <n v="4001"/>
  </r>
  <r>
    <x v="0"/>
    <x v="7"/>
    <x v="6"/>
    <x v="140"/>
    <x v="123"/>
    <x v="123"/>
    <s v="REVENUS"/>
    <x v="3"/>
    <s v="4002.002"/>
    <s v="Impôt complémentaire s/fortune PP"/>
    <n v="0"/>
    <n v="713.45"/>
    <n v="4002"/>
  </r>
  <r>
    <x v="0"/>
    <x v="7"/>
    <x v="6"/>
    <x v="140"/>
    <x v="123"/>
    <x v="123"/>
    <s v="REVENUS"/>
    <x v="6"/>
    <s v="4211.001"/>
    <s v="Intérêts de retard sur factures"/>
    <n v="0"/>
    <n v="0.09"/>
    <n v="4211"/>
  </r>
  <r>
    <x v="0"/>
    <x v="7"/>
    <x v="6"/>
    <x v="140"/>
    <x v="123"/>
    <x v="123"/>
    <s v="REVENUS"/>
    <x v="6"/>
    <s v="4211.002"/>
    <s v="Intérêts de retard sur acomptes"/>
    <n v="0"/>
    <n v="8.36"/>
    <n v="4211"/>
  </r>
  <r>
    <x v="0"/>
    <x v="7"/>
    <x v="6"/>
    <x v="140"/>
    <x v="123"/>
    <x v="123"/>
    <s v="REVENUS"/>
    <x v="6"/>
    <s v="4211.001"/>
    <s v="Intérêts de retard sur factures"/>
    <n v="0"/>
    <n v="5.61"/>
    <n v="4211"/>
  </r>
  <r>
    <x v="0"/>
    <x v="7"/>
    <x v="6"/>
    <x v="140"/>
    <x v="123"/>
    <x v="123"/>
    <s v="REVENUS"/>
    <x v="2"/>
    <s v="4001.007"/>
    <s v="Acompte impôt sur revenu"/>
    <n v="0"/>
    <n v="-621.69000000000005"/>
    <n v="4001"/>
  </r>
  <r>
    <x v="0"/>
    <x v="7"/>
    <x v="6"/>
    <x v="140"/>
    <x v="123"/>
    <x v="123"/>
    <s v="REVENUS"/>
    <x v="3"/>
    <s v="4002.001"/>
    <s v="Impôt ordinaire s/fortune PP"/>
    <n v="0"/>
    <n v="-17.25"/>
    <n v="4002"/>
  </r>
  <r>
    <x v="0"/>
    <x v="7"/>
    <x v="6"/>
    <x v="140"/>
    <x v="123"/>
    <x v="123"/>
    <s v="REVENUS"/>
    <x v="12"/>
    <s v="4004.007"/>
    <s v="Acompte spécial étrangers"/>
    <n v="0"/>
    <n v="-135.85"/>
    <n v="4004"/>
  </r>
  <r>
    <x v="0"/>
    <x v="7"/>
    <x v="6"/>
    <x v="140"/>
    <x v="123"/>
    <x v="123"/>
    <s v="REVENUS"/>
    <x v="2"/>
    <s v="4001.002"/>
    <s v="Impôt complément s/revenu PP"/>
    <n v="0"/>
    <n v="217.3"/>
    <n v="4001"/>
  </r>
  <r>
    <x v="0"/>
    <x v="7"/>
    <x v="6"/>
    <x v="140"/>
    <x v="123"/>
    <x v="123"/>
    <s v="REVENUS"/>
    <x v="4"/>
    <s v="4051.001"/>
    <s v="Impôt sur les successions"/>
    <n v="0"/>
    <n v="125"/>
    <n v="4051"/>
  </r>
  <r>
    <x v="0"/>
    <x v="7"/>
    <x v="6"/>
    <x v="140"/>
    <x v="123"/>
    <x v="123"/>
    <s v="REVENUS"/>
    <x v="6"/>
    <s v="4221.002"/>
    <s v="Intérêts compensat. sur impôts distincts"/>
    <n v="0"/>
    <n v="0.09"/>
    <n v="4221"/>
  </r>
  <r>
    <x v="0"/>
    <x v="7"/>
    <x v="6"/>
    <x v="140"/>
    <x v="123"/>
    <x v="123"/>
    <s v="REVENUS"/>
    <x v="2"/>
    <s v="4001.002"/>
    <s v="Impôt complément s/revenu PP"/>
    <n v="0"/>
    <n v="1096.05"/>
    <n v="4001"/>
  </r>
  <r>
    <x v="0"/>
    <x v="7"/>
    <x v="6"/>
    <x v="140"/>
    <x v="123"/>
    <x v="123"/>
    <s v="REVENUS"/>
    <x v="3"/>
    <s v="4002.002"/>
    <s v="Impôt complémentaire s/fortune PP"/>
    <n v="0"/>
    <n v="344.65"/>
    <n v="4002"/>
  </r>
  <r>
    <x v="0"/>
    <x v="7"/>
    <x v="6"/>
    <x v="140"/>
    <x v="123"/>
    <x v="123"/>
    <s v="REVENUS"/>
    <x v="2"/>
    <s v="4001.001"/>
    <s v="Impôt revenu"/>
    <n v="0"/>
    <n v="9406.5499999999993"/>
    <n v="4001"/>
  </r>
  <r>
    <x v="0"/>
    <x v="7"/>
    <x v="6"/>
    <x v="140"/>
    <x v="123"/>
    <x v="123"/>
    <s v="REVENUS"/>
    <x v="3"/>
    <s v="4002.001"/>
    <s v="Impôt ordinaire s/fortune PP"/>
    <n v="0"/>
    <n v="2679.45"/>
    <n v="4002"/>
  </r>
  <r>
    <x v="0"/>
    <x v="7"/>
    <x v="6"/>
    <x v="140"/>
    <x v="123"/>
    <x v="123"/>
    <s v="REVENUS"/>
    <x v="6"/>
    <s v="4221.003"/>
    <s v="Intérêts compensat. / acomptes en faveur du fisc"/>
    <n v="0"/>
    <n v="0.2"/>
    <n v="4221"/>
  </r>
  <r>
    <x v="0"/>
    <x v="7"/>
    <x v="6"/>
    <x v="141"/>
    <x v="120"/>
    <x v="120"/>
    <s v="CHARGES"/>
    <x v="0"/>
    <s v="3212.004"/>
    <s v="Intérêts rémun./perçu trop tôt sur acomptes C/C"/>
    <n v="-1.8"/>
    <n v="0"/>
    <n v="3212"/>
  </r>
  <r>
    <x v="0"/>
    <x v="7"/>
    <x v="6"/>
    <x v="141"/>
    <x v="120"/>
    <x v="120"/>
    <s v="CHARGES"/>
    <x v="0"/>
    <s v="3221.002"/>
    <s v="Intérêts compensatoires / créances en faveur ctb."/>
    <n v="-0.1"/>
    <n v="0"/>
    <n v="3221"/>
  </r>
  <r>
    <x v="0"/>
    <x v="7"/>
    <x v="6"/>
    <x v="141"/>
    <x v="120"/>
    <x v="120"/>
    <s v="CHARGES"/>
    <x v="0"/>
    <s v="3221.002"/>
    <s v="Intérêts compensatoires / créances en faveur ctb."/>
    <n v="-10.72"/>
    <n v="0"/>
    <n v="3221"/>
  </r>
  <r>
    <x v="0"/>
    <x v="7"/>
    <x v="6"/>
    <x v="141"/>
    <x v="120"/>
    <x v="120"/>
    <s v="CHARGES"/>
    <x v="0"/>
    <s v="3212.002"/>
    <s v="Intérêts bonifiés/trop perçu acompte C/C"/>
    <n v="-0.02"/>
    <n v="0"/>
    <n v="3212"/>
  </r>
  <r>
    <x v="0"/>
    <x v="7"/>
    <x v="6"/>
    <x v="141"/>
    <x v="120"/>
    <x v="120"/>
    <s v="CHARGES"/>
    <x v="0"/>
    <s v="3212.002"/>
    <s v="Intérêts bonifiés/trop perçu acompte C/C"/>
    <n v="-1.1100000000000001"/>
    <n v="0"/>
    <n v="3212"/>
  </r>
  <r>
    <x v="0"/>
    <x v="7"/>
    <x v="6"/>
    <x v="141"/>
    <x v="120"/>
    <x v="120"/>
    <s v="CHARGES"/>
    <x v="0"/>
    <s v="3212.004"/>
    <s v="Intérêts rémun./perçu trop tôt sur acomptes C/C"/>
    <n v="-6.66"/>
    <n v="0"/>
    <n v="3212"/>
  </r>
  <r>
    <x v="0"/>
    <x v="7"/>
    <x v="6"/>
    <x v="141"/>
    <x v="120"/>
    <x v="120"/>
    <s v="CHARGES"/>
    <x v="1"/>
    <s v="3301.001"/>
    <s v="Défalcations, abandons de solde PP et IS"/>
    <n v="941.91"/>
    <n v="0"/>
    <n v="3301"/>
  </r>
  <r>
    <x v="0"/>
    <x v="7"/>
    <x v="6"/>
    <x v="141"/>
    <x v="120"/>
    <x v="120"/>
    <s v="CHARGES"/>
    <x v="1"/>
    <s v="3301.001"/>
    <s v="Défalcations, abandons de solde PP et IS"/>
    <n v="-0.09"/>
    <n v="0"/>
    <n v="3301"/>
  </r>
  <r>
    <x v="0"/>
    <x v="7"/>
    <x v="6"/>
    <x v="141"/>
    <x v="120"/>
    <x v="120"/>
    <s v="REVENUS"/>
    <x v="3"/>
    <s v="4002.001"/>
    <s v="Impôt ordinaire s/fortune PP"/>
    <n v="0"/>
    <n v="-509.95"/>
    <n v="4002"/>
  </r>
  <r>
    <x v="0"/>
    <x v="7"/>
    <x v="6"/>
    <x v="141"/>
    <x v="120"/>
    <x v="120"/>
    <s v="REVENUS"/>
    <x v="3"/>
    <s v="4002.002"/>
    <s v="Impôt complémentaire s/fortune PP"/>
    <n v="0"/>
    <n v="-37.950000000000003"/>
    <n v="4002"/>
  </r>
  <r>
    <x v="0"/>
    <x v="7"/>
    <x v="6"/>
    <x v="141"/>
    <x v="120"/>
    <x v="120"/>
    <s v="REVENUS"/>
    <x v="6"/>
    <s v="4221.003"/>
    <s v="Intérêts compensat. / acomptes en faveur du fisc"/>
    <n v="0"/>
    <n v="-2.0299999999999998"/>
    <n v="4221"/>
  </r>
  <r>
    <x v="0"/>
    <x v="7"/>
    <x v="6"/>
    <x v="141"/>
    <x v="120"/>
    <x v="120"/>
    <s v="REVENUS"/>
    <x v="3"/>
    <s v="4002.001"/>
    <s v="Impôt ordinaire s/fortune PP"/>
    <n v="0"/>
    <n v="-182.85"/>
    <n v="4002"/>
  </r>
  <r>
    <x v="0"/>
    <x v="7"/>
    <x v="6"/>
    <x v="141"/>
    <x v="120"/>
    <x v="120"/>
    <s v="REVENUS"/>
    <x v="3"/>
    <s v="4002.002"/>
    <s v="Impôt complémentaire s/fortune PP"/>
    <n v="0"/>
    <n v="15792.75"/>
    <n v="4002"/>
  </r>
  <r>
    <x v="0"/>
    <x v="7"/>
    <x v="6"/>
    <x v="141"/>
    <x v="120"/>
    <x v="120"/>
    <s v="REVENUS"/>
    <x v="6"/>
    <s v="4211.001"/>
    <s v="Intérêts de retard sur factures"/>
    <n v="0"/>
    <n v="8277.02"/>
    <n v="4211"/>
  </r>
  <r>
    <x v="0"/>
    <x v="7"/>
    <x v="6"/>
    <x v="141"/>
    <x v="120"/>
    <x v="120"/>
    <s v="REVENUS"/>
    <x v="6"/>
    <s v="4221.003"/>
    <s v="Intérêts compensat. / acomptes en faveur du fisc"/>
    <n v="0"/>
    <n v="73.510000000000005"/>
    <n v="4221"/>
  </r>
  <r>
    <x v="0"/>
    <x v="7"/>
    <x v="6"/>
    <x v="141"/>
    <x v="120"/>
    <x v="120"/>
    <s v="REVENUS"/>
    <x v="2"/>
    <s v="4001.001"/>
    <s v="Impôt revenu"/>
    <n v="0"/>
    <n v="-16621.95"/>
    <n v="4001"/>
  </r>
  <r>
    <x v="0"/>
    <x v="7"/>
    <x v="6"/>
    <x v="141"/>
    <x v="120"/>
    <x v="120"/>
    <s v="REVENUS"/>
    <x v="2"/>
    <s v="4001.002"/>
    <s v="Impôt complément s/revenu PP"/>
    <n v="0"/>
    <n v="26262.35"/>
    <n v="4001"/>
  </r>
  <r>
    <x v="0"/>
    <x v="7"/>
    <x v="6"/>
    <x v="141"/>
    <x v="120"/>
    <x v="120"/>
    <s v="REVENUS"/>
    <x v="8"/>
    <s v="4091.001"/>
    <s v="Impôt récupéré après défalcations"/>
    <n v="0"/>
    <n v="3856.85"/>
    <n v="4091"/>
  </r>
  <r>
    <x v="0"/>
    <x v="7"/>
    <x v="6"/>
    <x v="141"/>
    <x v="120"/>
    <x v="120"/>
    <s v="REVENUS"/>
    <x v="6"/>
    <s v="4211.002"/>
    <s v="Intérêts de retard sur acomptes"/>
    <n v="0"/>
    <n v="0.02"/>
    <n v="4211"/>
  </r>
  <r>
    <x v="0"/>
    <x v="7"/>
    <x v="6"/>
    <x v="142"/>
    <x v="124"/>
    <x v="124"/>
    <s v="CHARGES"/>
    <x v="1"/>
    <s v="3301.001"/>
    <s v="Défalcations, abandons de solde PP et IS"/>
    <n v="4771.47"/>
    <n v="0"/>
    <n v="3301"/>
  </r>
  <r>
    <x v="0"/>
    <x v="7"/>
    <x v="6"/>
    <x v="142"/>
    <x v="124"/>
    <x v="124"/>
    <s v="CHARGES"/>
    <x v="0"/>
    <s v="3212.004"/>
    <s v="Intérêts rémun./perçu trop tôt sur acomptes C/C"/>
    <n v="125.93"/>
    <n v="0"/>
    <n v="3212"/>
  </r>
  <r>
    <x v="0"/>
    <x v="7"/>
    <x v="6"/>
    <x v="142"/>
    <x v="124"/>
    <x v="124"/>
    <s v="CHARGES"/>
    <x v="0"/>
    <s v="3221.002"/>
    <s v="Intérêts compensatoires / créances en faveur ctb."/>
    <n v="-5.88"/>
    <n v="0"/>
    <n v="3221"/>
  </r>
  <r>
    <x v="0"/>
    <x v="7"/>
    <x v="6"/>
    <x v="142"/>
    <x v="124"/>
    <x v="124"/>
    <s v="CHARGES"/>
    <x v="0"/>
    <s v="3212.004"/>
    <s v="Intérêts rémun./perçu trop tôt sur acomptes C/C"/>
    <n v="0.02"/>
    <n v="0"/>
    <n v="3212"/>
  </r>
  <r>
    <x v="0"/>
    <x v="7"/>
    <x v="6"/>
    <x v="142"/>
    <x v="124"/>
    <x v="124"/>
    <s v="CHARGES"/>
    <x v="0"/>
    <s v="3221.002"/>
    <s v="Intérêts compensatoires / créances en faveur ctb."/>
    <n v="0.13"/>
    <n v="0"/>
    <n v="3221"/>
  </r>
  <r>
    <x v="0"/>
    <x v="7"/>
    <x v="6"/>
    <x v="142"/>
    <x v="124"/>
    <x v="124"/>
    <s v="CHARGES"/>
    <x v="0"/>
    <s v="3212.002"/>
    <s v="Intérêts bonifiés/trop perçu acompte C/C"/>
    <n v="34.03"/>
    <n v="0"/>
    <n v="3212"/>
  </r>
  <r>
    <x v="0"/>
    <x v="7"/>
    <x v="6"/>
    <x v="142"/>
    <x v="124"/>
    <x v="124"/>
    <s v="CHARGES"/>
    <x v="0"/>
    <s v="3212.002"/>
    <s v="Intérêts bonifiés/trop perçu acompte C/C"/>
    <n v="0.01"/>
    <n v="0"/>
    <n v="3212"/>
  </r>
  <r>
    <x v="0"/>
    <x v="7"/>
    <x v="6"/>
    <x v="142"/>
    <x v="124"/>
    <x v="124"/>
    <s v="CHARGES"/>
    <x v="1"/>
    <s v="3301.001"/>
    <s v="Défalcations, abandons de solde PP et IS"/>
    <n v="-12.71"/>
    <n v="0"/>
    <n v="3301"/>
  </r>
  <r>
    <x v="0"/>
    <x v="7"/>
    <x v="6"/>
    <x v="142"/>
    <x v="124"/>
    <x v="124"/>
    <s v="CHARGES"/>
    <x v="0"/>
    <s v="3212.004"/>
    <s v="Intérêts rémun./perçu trop tôt sur acomptes C/C"/>
    <n v="0.03"/>
    <n v="0"/>
    <n v="3212"/>
  </r>
  <r>
    <x v="0"/>
    <x v="7"/>
    <x v="6"/>
    <x v="142"/>
    <x v="124"/>
    <x v="124"/>
    <s v="CHARGES"/>
    <x v="0"/>
    <s v="3221.002"/>
    <s v="Intérêts compensatoires / créances en faveur ctb."/>
    <n v="7.0000000000000007E-2"/>
    <n v="0"/>
    <n v="3221"/>
  </r>
  <r>
    <x v="0"/>
    <x v="7"/>
    <x v="6"/>
    <x v="142"/>
    <x v="124"/>
    <x v="124"/>
    <s v="CHARGES"/>
    <x v="1"/>
    <s v="3301.001"/>
    <s v="Défalcations, abandons de solde PP et IS"/>
    <n v="1786.9"/>
    <n v="0"/>
    <n v="3301"/>
  </r>
  <r>
    <x v="0"/>
    <x v="7"/>
    <x v="6"/>
    <x v="142"/>
    <x v="124"/>
    <x v="124"/>
    <s v="CHARGES"/>
    <x v="0"/>
    <s v="3212.004"/>
    <s v="Intérêts rémun./perçu trop tôt sur acomptes C/C"/>
    <n v="0.28000000000000003"/>
    <n v="0"/>
    <n v="3212"/>
  </r>
  <r>
    <x v="0"/>
    <x v="7"/>
    <x v="6"/>
    <x v="142"/>
    <x v="124"/>
    <x v="124"/>
    <s v="CHARGES"/>
    <x v="0"/>
    <s v="3221.002"/>
    <s v="Intérêts compensatoires / créances en faveur ctb."/>
    <n v="0.06"/>
    <n v="0"/>
    <n v="3221"/>
  </r>
  <r>
    <x v="0"/>
    <x v="7"/>
    <x v="6"/>
    <x v="142"/>
    <x v="124"/>
    <x v="124"/>
    <s v="CHARGES"/>
    <x v="0"/>
    <s v="3212.002"/>
    <s v="Intérêts bonifiés/trop perçu acompte C/C"/>
    <n v="-0.06"/>
    <n v="0"/>
    <n v="3212"/>
  </r>
  <r>
    <x v="0"/>
    <x v="7"/>
    <x v="6"/>
    <x v="142"/>
    <x v="124"/>
    <x v="124"/>
    <s v="CHARGES"/>
    <x v="0"/>
    <s v="3212.004"/>
    <s v="Intérêts rémun./perçu trop tôt sur acomptes C/C"/>
    <n v="-31.85"/>
    <n v="0"/>
    <n v="3212"/>
  </r>
  <r>
    <x v="0"/>
    <x v="7"/>
    <x v="6"/>
    <x v="142"/>
    <x v="124"/>
    <x v="124"/>
    <s v="CHARGES"/>
    <x v="0"/>
    <s v="3221.002"/>
    <s v="Intérêts compensatoires / créances en faveur ctb."/>
    <n v="-1.59"/>
    <n v="0"/>
    <n v="3221"/>
  </r>
  <r>
    <x v="0"/>
    <x v="7"/>
    <x v="6"/>
    <x v="142"/>
    <x v="124"/>
    <x v="124"/>
    <s v="REVENUS"/>
    <x v="2"/>
    <s v="4001.007"/>
    <s v="Acompte impôt sur revenu"/>
    <n v="0"/>
    <n v="-23130.22"/>
    <n v="4001"/>
  </r>
  <r>
    <x v="0"/>
    <x v="7"/>
    <x v="6"/>
    <x v="142"/>
    <x v="124"/>
    <x v="124"/>
    <s v="REVENUS"/>
    <x v="6"/>
    <s v="4211.001"/>
    <s v="Intérêts de retard sur factures"/>
    <n v="0"/>
    <n v="4253.8500000000004"/>
    <n v="4211"/>
  </r>
  <r>
    <x v="0"/>
    <x v="7"/>
    <x v="6"/>
    <x v="142"/>
    <x v="124"/>
    <x v="124"/>
    <s v="REVENUS"/>
    <x v="2"/>
    <s v="4001.001"/>
    <s v="Impôt revenu"/>
    <n v="0"/>
    <n v="665433.25"/>
    <n v="4001"/>
  </r>
  <r>
    <x v="0"/>
    <x v="7"/>
    <x v="6"/>
    <x v="142"/>
    <x v="124"/>
    <x v="124"/>
    <s v="REVENUS"/>
    <x v="3"/>
    <s v="4002.001"/>
    <s v="Impôt ordinaire s/fortune PP"/>
    <n v="0"/>
    <n v="109062.85"/>
    <n v="4002"/>
  </r>
  <r>
    <x v="0"/>
    <x v="7"/>
    <x v="6"/>
    <x v="142"/>
    <x v="124"/>
    <x v="124"/>
    <s v="REVENUS"/>
    <x v="3"/>
    <s v="4002.007"/>
    <s v="Acompte impôt sur fortune"/>
    <n v="0"/>
    <n v="31117.09"/>
    <n v="4002"/>
  </r>
  <r>
    <x v="0"/>
    <x v="7"/>
    <x v="6"/>
    <x v="142"/>
    <x v="124"/>
    <x v="124"/>
    <s v="REVENUS"/>
    <x v="9"/>
    <s v="4031.001"/>
    <s v="Impôt sur les gains immobiliers"/>
    <n v="0"/>
    <n v="42729.15"/>
    <n v="4031"/>
  </r>
  <r>
    <x v="0"/>
    <x v="7"/>
    <x v="6"/>
    <x v="142"/>
    <x v="124"/>
    <x v="124"/>
    <s v="REVENUS"/>
    <x v="2"/>
    <s v="4001.002"/>
    <s v="Impôt complément s/revenu PP"/>
    <n v="0"/>
    <n v="107812.4"/>
    <n v="4001"/>
  </r>
  <r>
    <x v="0"/>
    <x v="7"/>
    <x v="6"/>
    <x v="142"/>
    <x v="124"/>
    <x v="124"/>
    <s v="REVENUS"/>
    <x v="6"/>
    <s v="4211.002"/>
    <s v="Intérêts de retard sur acomptes"/>
    <n v="0"/>
    <n v="5405.49"/>
    <n v="4211"/>
  </r>
  <r>
    <x v="0"/>
    <x v="7"/>
    <x v="6"/>
    <x v="142"/>
    <x v="124"/>
    <x v="124"/>
    <s v="REVENUS"/>
    <x v="6"/>
    <s v="4221.003"/>
    <s v="Intérêts compensat. / acomptes en faveur du fisc"/>
    <n v="0"/>
    <n v="121.37"/>
    <n v="4221"/>
  </r>
  <r>
    <x v="0"/>
    <x v="7"/>
    <x v="6"/>
    <x v="142"/>
    <x v="124"/>
    <x v="124"/>
    <s v="REVENUS"/>
    <x v="2"/>
    <s v="4001.001"/>
    <s v="Impôt revenu"/>
    <n v="0"/>
    <n v="1707.25"/>
    <n v="4001"/>
  </r>
  <r>
    <x v="0"/>
    <x v="7"/>
    <x v="6"/>
    <x v="142"/>
    <x v="124"/>
    <x v="124"/>
    <s v="REVENUS"/>
    <x v="2"/>
    <s v="4001.007"/>
    <s v="Acompte impôt sur revenu"/>
    <n v="0"/>
    <n v="-315.7"/>
    <n v="4001"/>
  </r>
  <r>
    <x v="0"/>
    <x v="7"/>
    <x v="6"/>
    <x v="142"/>
    <x v="124"/>
    <x v="124"/>
    <s v="REVENUS"/>
    <x v="3"/>
    <s v="4002.001"/>
    <s v="Impôt ordinaire s/fortune PP"/>
    <n v="0"/>
    <n v="1166.0999999999999"/>
    <n v="4002"/>
  </r>
  <r>
    <x v="0"/>
    <x v="7"/>
    <x v="6"/>
    <x v="142"/>
    <x v="124"/>
    <x v="124"/>
    <s v="REVENUS"/>
    <x v="3"/>
    <s v="4002.007"/>
    <s v="Acompte impôt sur fortune"/>
    <n v="0"/>
    <n v="-779.97"/>
    <n v="4002"/>
  </r>
  <r>
    <x v="0"/>
    <x v="7"/>
    <x v="6"/>
    <x v="142"/>
    <x v="124"/>
    <x v="124"/>
    <s v="REVENUS"/>
    <x v="2"/>
    <s v="4001.003"/>
    <s v="Impôt s/prest. cap. PP"/>
    <n v="0"/>
    <n v="9045.1"/>
    <n v="4001"/>
  </r>
  <r>
    <x v="0"/>
    <x v="7"/>
    <x v="6"/>
    <x v="142"/>
    <x v="124"/>
    <x v="124"/>
    <s v="REVENUS"/>
    <x v="2"/>
    <s v="4001.007"/>
    <s v="Acompte impôt sur revenu"/>
    <n v="0"/>
    <n v="-1370.15"/>
    <n v="4001"/>
  </r>
  <r>
    <x v="0"/>
    <x v="7"/>
    <x v="6"/>
    <x v="142"/>
    <x v="124"/>
    <x v="124"/>
    <s v="REVENUS"/>
    <x v="3"/>
    <s v="4002.007"/>
    <s v="Acompte impôt sur fortune"/>
    <n v="0"/>
    <n v="-750.45"/>
    <n v="4002"/>
  </r>
  <r>
    <x v="0"/>
    <x v="7"/>
    <x v="6"/>
    <x v="142"/>
    <x v="124"/>
    <x v="124"/>
    <s v="REVENUS"/>
    <x v="3"/>
    <s v="4002.002"/>
    <s v="Impôt complémentaire s/fortune PP"/>
    <n v="0"/>
    <n v="21061.35"/>
    <n v="4002"/>
  </r>
  <r>
    <x v="0"/>
    <x v="7"/>
    <x v="6"/>
    <x v="142"/>
    <x v="124"/>
    <x v="124"/>
    <s v="REVENUS"/>
    <x v="5"/>
    <s v="4061.000"/>
    <s v="Impôt sur les chiens"/>
    <n v="0"/>
    <n v="1200"/>
    <n v="4061"/>
  </r>
  <r>
    <x v="0"/>
    <x v="7"/>
    <x v="6"/>
    <x v="142"/>
    <x v="124"/>
    <x v="124"/>
    <s v="REVENUS"/>
    <x v="3"/>
    <s v="4002.007"/>
    <s v="Acompte impôt sur fortune"/>
    <n v="0"/>
    <n v="-314.39"/>
    <n v="4002"/>
  </r>
  <r>
    <x v="0"/>
    <x v="7"/>
    <x v="6"/>
    <x v="142"/>
    <x v="124"/>
    <x v="124"/>
    <s v="REVENUS"/>
    <x v="2"/>
    <s v="4001.002"/>
    <s v="Impôt complément s/revenu PP"/>
    <n v="0"/>
    <n v="350.65"/>
    <n v="4001"/>
  </r>
  <r>
    <x v="0"/>
    <x v="7"/>
    <x v="6"/>
    <x v="142"/>
    <x v="124"/>
    <x v="124"/>
    <s v="REVENUS"/>
    <x v="3"/>
    <s v="4002.002"/>
    <s v="Impôt complémentaire s/fortune PP"/>
    <n v="0"/>
    <n v="130.69999999999999"/>
    <n v="4002"/>
  </r>
  <r>
    <x v="0"/>
    <x v="7"/>
    <x v="6"/>
    <x v="142"/>
    <x v="124"/>
    <x v="124"/>
    <s v="REVENUS"/>
    <x v="6"/>
    <s v="4211.001"/>
    <s v="Intérêts de retard sur factures"/>
    <n v="0"/>
    <n v="0.21"/>
    <n v="4211"/>
  </r>
  <r>
    <x v="0"/>
    <x v="7"/>
    <x v="6"/>
    <x v="142"/>
    <x v="124"/>
    <x v="124"/>
    <s v="REVENUS"/>
    <x v="6"/>
    <s v="4211.002"/>
    <s v="Intérêts de retard sur acomptes"/>
    <n v="0"/>
    <n v="3.06"/>
    <n v="4211"/>
  </r>
  <r>
    <x v="0"/>
    <x v="7"/>
    <x v="6"/>
    <x v="142"/>
    <x v="124"/>
    <x v="124"/>
    <s v="REVENUS"/>
    <x v="2"/>
    <s v="4001.001"/>
    <s v="Impôt revenu"/>
    <n v="0"/>
    <n v="-41386.85"/>
    <n v="4001"/>
  </r>
  <r>
    <x v="0"/>
    <x v="7"/>
    <x v="6"/>
    <x v="142"/>
    <x v="124"/>
    <x v="124"/>
    <s v="REVENUS"/>
    <x v="6"/>
    <s v="4221.003"/>
    <s v="Intérêts compensat. / acomptes en faveur du fisc"/>
    <n v="0"/>
    <n v="-14.83"/>
    <n v="4221"/>
  </r>
  <r>
    <x v="0"/>
    <x v="7"/>
    <x v="6"/>
    <x v="142"/>
    <x v="124"/>
    <x v="124"/>
    <s v="REVENUS"/>
    <x v="10"/>
    <s v="4041.001"/>
    <s v="Droits de mutation"/>
    <n v="0"/>
    <n v="22715"/>
    <n v="4041"/>
  </r>
  <r>
    <x v="0"/>
    <x v="7"/>
    <x v="6"/>
    <x v="142"/>
    <x v="124"/>
    <x v="124"/>
    <s v="REVENUS"/>
    <x v="7"/>
    <s v="4184.000"/>
    <s v="Frais de poursuite"/>
    <n v="0"/>
    <n v="286.5"/>
    <n v="4184"/>
  </r>
  <r>
    <x v="0"/>
    <x v="7"/>
    <x v="6"/>
    <x v="142"/>
    <x v="124"/>
    <x v="124"/>
    <s v="REVENUS"/>
    <x v="2"/>
    <s v="4001.001"/>
    <s v="Impôt revenu"/>
    <n v="0"/>
    <n v="276.25"/>
    <n v="4001"/>
  </r>
  <r>
    <x v="0"/>
    <x v="7"/>
    <x v="6"/>
    <x v="142"/>
    <x v="124"/>
    <x v="124"/>
    <s v="REVENUS"/>
    <x v="2"/>
    <s v="4001.007"/>
    <s v="Acompte impôt sur revenu"/>
    <n v="0"/>
    <n v="-346.88"/>
    <n v="4001"/>
  </r>
  <r>
    <x v="0"/>
    <x v="7"/>
    <x v="6"/>
    <x v="142"/>
    <x v="124"/>
    <x v="124"/>
    <s v="REVENUS"/>
    <x v="3"/>
    <s v="4002.001"/>
    <s v="Impôt ordinaire s/fortune PP"/>
    <n v="0"/>
    <n v="213.05"/>
    <n v="4002"/>
  </r>
  <r>
    <x v="0"/>
    <x v="7"/>
    <x v="6"/>
    <x v="142"/>
    <x v="124"/>
    <x v="124"/>
    <s v="REVENUS"/>
    <x v="6"/>
    <s v="4211.002"/>
    <s v="Intérêts de retard sur acomptes"/>
    <n v="0"/>
    <n v="0.66"/>
    <n v="4211"/>
  </r>
  <r>
    <x v="0"/>
    <x v="7"/>
    <x v="6"/>
    <x v="142"/>
    <x v="124"/>
    <x v="124"/>
    <s v="REVENUS"/>
    <x v="2"/>
    <s v="4001.001"/>
    <s v="Impôt revenu"/>
    <n v="0"/>
    <n v="2330.4"/>
    <n v="4001"/>
  </r>
  <r>
    <x v="0"/>
    <x v="7"/>
    <x v="6"/>
    <x v="142"/>
    <x v="124"/>
    <x v="124"/>
    <s v="REVENUS"/>
    <x v="3"/>
    <s v="4002.001"/>
    <s v="Impôt ordinaire s/fortune PP"/>
    <n v="0"/>
    <n v="1150.05"/>
    <n v="4002"/>
  </r>
  <r>
    <x v="0"/>
    <x v="7"/>
    <x v="6"/>
    <x v="142"/>
    <x v="124"/>
    <x v="124"/>
    <s v="REVENUS"/>
    <x v="6"/>
    <s v="4211.002"/>
    <s v="Intérêts de retard sur acomptes"/>
    <n v="0"/>
    <n v="49.5"/>
    <n v="4211"/>
  </r>
  <r>
    <x v="0"/>
    <x v="7"/>
    <x v="6"/>
    <x v="142"/>
    <x v="124"/>
    <x v="124"/>
    <s v="REVENUS"/>
    <x v="6"/>
    <s v="4221.002"/>
    <s v="Intérêts compensat. sur impôts distincts"/>
    <n v="0"/>
    <n v="0.95"/>
    <n v="4221"/>
  </r>
  <r>
    <x v="0"/>
    <x v="7"/>
    <x v="6"/>
    <x v="142"/>
    <x v="124"/>
    <x v="124"/>
    <s v="REVENUS"/>
    <x v="8"/>
    <s v="4091.001"/>
    <s v="Impôt récupéré après défalcations"/>
    <n v="0"/>
    <n v="1000.91"/>
    <n v="4091"/>
  </r>
  <r>
    <x v="0"/>
    <x v="7"/>
    <x v="6"/>
    <x v="142"/>
    <x v="124"/>
    <x v="124"/>
    <s v="REVENUS"/>
    <x v="3"/>
    <s v="4002.001"/>
    <s v="Impôt ordinaire s/fortune PP"/>
    <n v="0"/>
    <n v="-735.8"/>
    <n v="4002"/>
  </r>
  <r>
    <x v="0"/>
    <x v="7"/>
    <x v="6"/>
    <x v="142"/>
    <x v="124"/>
    <x v="124"/>
    <s v="REVENUS"/>
    <x v="8"/>
    <s v="4091.001"/>
    <s v="Impôt récupéré après défalcations"/>
    <n v="0"/>
    <n v="1002.88"/>
    <n v="4091"/>
  </r>
  <r>
    <x v="0"/>
    <x v="7"/>
    <x v="6"/>
    <x v="142"/>
    <x v="124"/>
    <x v="124"/>
    <s v="REVENUS"/>
    <x v="11"/>
    <s v="4198.000"/>
    <s v="Contributions communales"/>
    <n v="0"/>
    <n v="56664.2"/>
    <n v="4198"/>
  </r>
  <r>
    <x v="0"/>
    <x v="7"/>
    <x v="6"/>
    <x v="142"/>
    <x v="124"/>
    <x v="124"/>
    <s v="REVENUS"/>
    <x v="2"/>
    <s v="4001.003"/>
    <s v="Impôt s/prest. cap. PP"/>
    <n v="0"/>
    <n v="-628.6"/>
    <n v="4001"/>
  </r>
  <r>
    <x v="0"/>
    <x v="7"/>
    <x v="6"/>
    <x v="142"/>
    <x v="124"/>
    <x v="124"/>
    <s v="REVENUS"/>
    <x v="6"/>
    <s v="4211.001"/>
    <s v="Intérêts de retard sur factures"/>
    <n v="0"/>
    <n v="-3.73"/>
    <n v="4211"/>
  </r>
  <r>
    <x v="0"/>
    <x v="7"/>
    <x v="6"/>
    <x v="142"/>
    <x v="124"/>
    <x v="124"/>
    <s v="REVENUS"/>
    <x v="6"/>
    <s v="4221.002"/>
    <s v="Intérêts compensat. sur impôts distincts"/>
    <n v="0"/>
    <n v="-1.05"/>
    <n v="4221"/>
  </r>
  <r>
    <x v="0"/>
    <x v="7"/>
    <x v="6"/>
    <x v="143"/>
    <x v="125"/>
    <x v="125"/>
    <s v="CHARGES"/>
    <x v="1"/>
    <s v="3301.001"/>
    <s v="Défalcations, abandons de solde PP et IS"/>
    <n v="6056.56"/>
    <n v="0"/>
    <n v="3301"/>
  </r>
  <r>
    <x v="0"/>
    <x v="7"/>
    <x v="6"/>
    <x v="143"/>
    <x v="125"/>
    <x v="125"/>
    <s v="CHARGES"/>
    <x v="0"/>
    <s v="3212.004"/>
    <s v="Intérêts rémun./perçu trop tôt sur acomptes C/C"/>
    <n v="180.37"/>
    <n v="0"/>
    <n v="3212"/>
  </r>
  <r>
    <x v="0"/>
    <x v="7"/>
    <x v="6"/>
    <x v="143"/>
    <x v="125"/>
    <x v="125"/>
    <s v="CHARGES"/>
    <x v="0"/>
    <s v="3212.004"/>
    <s v="Intérêts rémun./perçu trop tôt sur acomptes C/C"/>
    <n v="9.15"/>
    <n v="0"/>
    <n v="3212"/>
  </r>
  <r>
    <x v="0"/>
    <x v="7"/>
    <x v="6"/>
    <x v="143"/>
    <x v="125"/>
    <x v="125"/>
    <s v="CHARGES"/>
    <x v="0"/>
    <s v="3221.002"/>
    <s v="Intérêts compensatoires / créances en faveur ctb."/>
    <n v="0.4"/>
    <n v="0"/>
    <n v="3221"/>
  </r>
  <r>
    <x v="0"/>
    <x v="7"/>
    <x v="6"/>
    <x v="143"/>
    <x v="125"/>
    <x v="125"/>
    <s v="CHARGES"/>
    <x v="0"/>
    <s v="3221.002"/>
    <s v="Intérêts compensatoires / créances en faveur ctb."/>
    <n v="61.64"/>
    <n v="0"/>
    <n v="3221"/>
  </r>
  <r>
    <x v="0"/>
    <x v="7"/>
    <x v="6"/>
    <x v="143"/>
    <x v="125"/>
    <x v="125"/>
    <s v="CHARGES"/>
    <x v="0"/>
    <s v="3212.002"/>
    <s v="Intérêts bonifiés/trop perçu acompte C/C"/>
    <n v="7.69"/>
    <n v="0"/>
    <n v="3212"/>
  </r>
  <r>
    <x v="0"/>
    <x v="7"/>
    <x v="6"/>
    <x v="143"/>
    <x v="125"/>
    <x v="125"/>
    <s v="CHARGES"/>
    <x v="0"/>
    <s v="3212.004"/>
    <s v="Intérêts rémun./perçu trop tôt sur acomptes C/C"/>
    <n v="0.02"/>
    <n v="0"/>
    <n v="3212"/>
  </r>
  <r>
    <x v="0"/>
    <x v="7"/>
    <x v="6"/>
    <x v="143"/>
    <x v="125"/>
    <x v="125"/>
    <s v="CHARGES"/>
    <x v="0"/>
    <s v="3221.002"/>
    <s v="Intérêts compensatoires / créances en faveur ctb."/>
    <n v="0.05"/>
    <n v="0"/>
    <n v="3221"/>
  </r>
  <r>
    <x v="0"/>
    <x v="7"/>
    <x v="6"/>
    <x v="143"/>
    <x v="125"/>
    <x v="125"/>
    <s v="CHARGES"/>
    <x v="1"/>
    <s v="3301.001"/>
    <s v="Défalcations, abandons de solde PP et IS"/>
    <n v="40.619999999999997"/>
    <n v="0"/>
    <n v="3301"/>
  </r>
  <r>
    <x v="0"/>
    <x v="7"/>
    <x v="6"/>
    <x v="143"/>
    <x v="125"/>
    <x v="125"/>
    <s v="CHARGES"/>
    <x v="0"/>
    <s v="3212.004"/>
    <s v="Intérêts rémun./perçu trop tôt sur acomptes C/C"/>
    <n v="0.02"/>
    <n v="0"/>
    <n v="3212"/>
  </r>
  <r>
    <x v="0"/>
    <x v="7"/>
    <x v="6"/>
    <x v="143"/>
    <x v="125"/>
    <x v="125"/>
    <s v="CHARGES"/>
    <x v="0"/>
    <s v="3212.004"/>
    <s v="Intérêts rémun./perçu trop tôt sur acomptes C/C"/>
    <n v="-0.06"/>
    <n v="0"/>
    <n v="3212"/>
  </r>
  <r>
    <x v="0"/>
    <x v="7"/>
    <x v="6"/>
    <x v="143"/>
    <x v="125"/>
    <x v="125"/>
    <s v="CHARGES"/>
    <x v="1"/>
    <s v="3301.001"/>
    <s v="Défalcations, abandons de solde PP et IS"/>
    <n v="-1.18"/>
    <n v="0"/>
    <n v="3301"/>
  </r>
  <r>
    <x v="0"/>
    <x v="7"/>
    <x v="6"/>
    <x v="143"/>
    <x v="125"/>
    <x v="125"/>
    <s v="CHARGES"/>
    <x v="1"/>
    <s v="3301.001"/>
    <s v="Défalcations, abandons de solde PP et IS"/>
    <n v="1.5"/>
    <n v="0"/>
    <n v="3301"/>
  </r>
  <r>
    <x v="0"/>
    <x v="7"/>
    <x v="6"/>
    <x v="143"/>
    <x v="125"/>
    <x v="125"/>
    <s v="CHARGES"/>
    <x v="1"/>
    <s v="3301.001"/>
    <s v="Défalcations, abandons de solde PP et IS"/>
    <n v="0.06"/>
    <n v="0"/>
    <n v="3301"/>
  </r>
  <r>
    <x v="0"/>
    <x v="7"/>
    <x v="6"/>
    <x v="143"/>
    <x v="125"/>
    <x v="125"/>
    <s v="CHARGES"/>
    <x v="0"/>
    <s v="3212.004"/>
    <s v="Intérêts rémun./perçu trop tôt sur acomptes C/C"/>
    <n v="0.02"/>
    <n v="0"/>
    <n v="3212"/>
  </r>
  <r>
    <x v="0"/>
    <x v="7"/>
    <x v="6"/>
    <x v="143"/>
    <x v="125"/>
    <x v="125"/>
    <s v="CHARGES"/>
    <x v="0"/>
    <s v="3212.004"/>
    <s v="Intérêts rémun./perçu trop tôt sur acomptes C/C"/>
    <n v="0.01"/>
    <n v="0"/>
    <n v="3212"/>
  </r>
  <r>
    <x v="0"/>
    <x v="7"/>
    <x v="6"/>
    <x v="143"/>
    <x v="125"/>
    <x v="125"/>
    <s v="REVENUS"/>
    <x v="6"/>
    <s v="4211.001"/>
    <s v="Intérêts de retard sur factures"/>
    <n v="0"/>
    <n v="5291.2"/>
    <n v="4211"/>
  </r>
  <r>
    <x v="0"/>
    <x v="7"/>
    <x v="6"/>
    <x v="143"/>
    <x v="125"/>
    <x v="125"/>
    <s v="REVENUS"/>
    <x v="2"/>
    <s v="4001.001"/>
    <s v="Impôt revenu"/>
    <n v="0"/>
    <n v="1058024.3999999999"/>
    <n v="4001"/>
  </r>
  <r>
    <x v="0"/>
    <x v="7"/>
    <x v="6"/>
    <x v="143"/>
    <x v="125"/>
    <x v="125"/>
    <s v="REVENUS"/>
    <x v="7"/>
    <s v="4184.000"/>
    <s v="Frais de poursuite"/>
    <n v="0"/>
    <n v="1065.24"/>
    <n v="4184"/>
  </r>
  <r>
    <x v="0"/>
    <x v="7"/>
    <x v="6"/>
    <x v="143"/>
    <x v="125"/>
    <x v="125"/>
    <s v="REVENUS"/>
    <x v="2"/>
    <s v="4001.007"/>
    <s v="Acompte impôt sur revenu"/>
    <n v="0"/>
    <n v="-139892.15"/>
    <n v="4001"/>
  </r>
  <r>
    <x v="0"/>
    <x v="7"/>
    <x v="6"/>
    <x v="143"/>
    <x v="125"/>
    <x v="125"/>
    <s v="REVENUS"/>
    <x v="3"/>
    <s v="4002.001"/>
    <s v="Impôt ordinaire s/fortune PP"/>
    <n v="0"/>
    <n v="279420.05"/>
    <n v="4002"/>
  </r>
  <r>
    <x v="0"/>
    <x v="7"/>
    <x v="6"/>
    <x v="143"/>
    <x v="125"/>
    <x v="125"/>
    <s v="REVENUS"/>
    <x v="3"/>
    <s v="4002.007"/>
    <s v="Acompte impôt sur fortune"/>
    <n v="0"/>
    <n v="-83946.69"/>
    <n v="4002"/>
  </r>
  <r>
    <x v="0"/>
    <x v="7"/>
    <x v="6"/>
    <x v="143"/>
    <x v="125"/>
    <x v="125"/>
    <s v="REVENUS"/>
    <x v="6"/>
    <s v="4211.002"/>
    <s v="Intérêts de retard sur acomptes"/>
    <n v="0"/>
    <n v="15229.11"/>
    <n v="4211"/>
  </r>
  <r>
    <x v="0"/>
    <x v="7"/>
    <x v="6"/>
    <x v="143"/>
    <x v="125"/>
    <x v="125"/>
    <s v="REVENUS"/>
    <x v="6"/>
    <s v="4221.003"/>
    <s v="Intérêts compensat. / acomptes en faveur du fisc"/>
    <n v="0"/>
    <n v="1282.74"/>
    <n v="4221"/>
  </r>
  <r>
    <x v="0"/>
    <x v="7"/>
    <x v="6"/>
    <x v="143"/>
    <x v="125"/>
    <x v="125"/>
    <s v="REVENUS"/>
    <x v="6"/>
    <s v="4211.001"/>
    <s v="Intérêts de retard sur factures"/>
    <n v="0"/>
    <n v="1.28"/>
    <n v="4211"/>
  </r>
  <r>
    <x v="0"/>
    <x v="7"/>
    <x v="6"/>
    <x v="143"/>
    <x v="125"/>
    <x v="125"/>
    <s v="REVENUS"/>
    <x v="2"/>
    <s v="4001.001"/>
    <s v="Impôt revenu"/>
    <n v="0"/>
    <n v="11167.8"/>
    <n v="4001"/>
  </r>
  <r>
    <x v="0"/>
    <x v="7"/>
    <x v="6"/>
    <x v="143"/>
    <x v="125"/>
    <x v="125"/>
    <s v="REVENUS"/>
    <x v="3"/>
    <s v="4002.001"/>
    <s v="Impôt ordinaire s/fortune PP"/>
    <n v="0"/>
    <n v="18078"/>
    <n v="4002"/>
  </r>
  <r>
    <x v="0"/>
    <x v="7"/>
    <x v="6"/>
    <x v="143"/>
    <x v="125"/>
    <x v="125"/>
    <s v="REVENUS"/>
    <x v="11"/>
    <s v="4198.000"/>
    <s v="Contributions communales"/>
    <n v="0"/>
    <n v="101604.55"/>
    <n v="4198"/>
  </r>
  <r>
    <x v="0"/>
    <x v="7"/>
    <x v="6"/>
    <x v="143"/>
    <x v="125"/>
    <x v="125"/>
    <s v="REVENUS"/>
    <x v="9"/>
    <s v="4031.001"/>
    <s v="Impôt sur les gains immobiliers"/>
    <n v="0"/>
    <n v="61375.5"/>
    <n v="4031"/>
  </r>
  <r>
    <x v="0"/>
    <x v="7"/>
    <x v="6"/>
    <x v="143"/>
    <x v="125"/>
    <x v="125"/>
    <s v="REVENUS"/>
    <x v="2"/>
    <s v="4001.007"/>
    <s v="Acompte impôt sur revenu"/>
    <n v="0"/>
    <n v="0.35"/>
    <n v="4001"/>
  </r>
  <r>
    <x v="0"/>
    <x v="7"/>
    <x v="6"/>
    <x v="143"/>
    <x v="125"/>
    <x v="125"/>
    <s v="REVENUS"/>
    <x v="3"/>
    <s v="4002.007"/>
    <s v="Acompte impôt sur fortune"/>
    <n v="0"/>
    <n v="1.7"/>
    <n v="4002"/>
  </r>
  <r>
    <x v="0"/>
    <x v="7"/>
    <x v="6"/>
    <x v="143"/>
    <x v="125"/>
    <x v="125"/>
    <s v="REVENUS"/>
    <x v="2"/>
    <s v="4001.003"/>
    <s v="Impôt s/prest. cap. PP"/>
    <n v="0"/>
    <n v="14754.7"/>
    <n v="4001"/>
  </r>
  <r>
    <x v="0"/>
    <x v="7"/>
    <x v="6"/>
    <x v="143"/>
    <x v="125"/>
    <x v="125"/>
    <s v="REVENUS"/>
    <x v="3"/>
    <s v="4002.007"/>
    <s v="Acompte impôt sur fortune"/>
    <n v="0"/>
    <n v="268.10000000000002"/>
    <n v="4002"/>
  </r>
  <r>
    <x v="0"/>
    <x v="7"/>
    <x v="6"/>
    <x v="143"/>
    <x v="125"/>
    <x v="125"/>
    <s v="REVENUS"/>
    <x v="2"/>
    <s v="4001.002"/>
    <s v="Impôt complément s/revenu PP"/>
    <n v="0"/>
    <n v="121310.55"/>
    <n v="4001"/>
  </r>
  <r>
    <x v="0"/>
    <x v="7"/>
    <x v="6"/>
    <x v="143"/>
    <x v="125"/>
    <x v="125"/>
    <s v="REVENUS"/>
    <x v="3"/>
    <s v="4002.002"/>
    <s v="Impôt complémentaire s/fortune PP"/>
    <n v="0"/>
    <n v="18386.95"/>
    <n v="4002"/>
  </r>
  <r>
    <x v="0"/>
    <x v="7"/>
    <x v="6"/>
    <x v="143"/>
    <x v="125"/>
    <x v="125"/>
    <s v="REVENUS"/>
    <x v="2"/>
    <s v="4001.007"/>
    <s v="Acompte impôt sur revenu"/>
    <n v="0"/>
    <n v="101.27"/>
    <n v="4001"/>
  </r>
  <r>
    <x v="0"/>
    <x v="7"/>
    <x v="6"/>
    <x v="143"/>
    <x v="125"/>
    <x v="125"/>
    <s v="REVENUS"/>
    <x v="3"/>
    <s v="4002.007"/>
    <s v="Acompte impôt sur fortune"/>
    <n v="0"/>
    <n v="-171.86"/>
    <n v="4002"/>
  </r>
  <r>
    <x v="0"/>
    <x v="7"/>
    <x v="6"/>
    <x v="143"/>
    <x v="125"/>
    <x v="125"/>
    <s v="REVENUS"/>
    <x v="3"/>
    <s v="4002.007"/>
    <s v="Acompte impôt sur fortune"/>
    <n v="0"/>
    <n v="-10310.64"/>
    <n v="4002"/>
  </r>
  <r>
    <x v="0"/>
    <x v="7"/>
    <x v="6"/>
    <x v="143"/>
    <x v="125"/>
    <x v="125"/>
    <s v="REVENUS"/>
    <x v="2"/>
    <s v="4001.007"/>
    <s v="Acompte impôt sur revenu"/>
    <n v="0"/>
    <n v="1033.5"/>
    <n v="4001"/>
  </r>
  <r>
    <x v="0"/>
    <x v="7"/>
    <x v="6"/>
    <x v="143"/>
    <x v="125"/>
    <x v="125"/>
    <s v="REVENUS"/>
    <x v="2"/>
    <s v="4001.001"/>
    <s v="Impôt revenu"/>
    <n v="0"/>
    <n v="439.85"/>
    <n v="4001"/>
  </r>
  <r>
    <x v="0"/>
    <x v="7"/>
    <x v="6"/>
    <x v="143"/>
    <x v="125"/>
    <x v="125"/>
    <s v="REVENUS"/>
    <x v="3"/>
    <s v="4002.001"/>
    <s v="Impôt ordinaire s/fortune PP"/>
    <n v="0"/>
    <n v="261.89999999999998"/>
    <n v="4002"/>
  </r>
  <r>
    <x v="0"/>
    <x v="7"/>
    <x v="6"/>
    <x v="143"/>
    <x v="125"/>
    <x v="125"/>
    <s v="REVENUS"/>
    <x v="6"/>
    <s v="4211.002"/>
    <s v="Intérêts de retard sur acomptes"/>
    <n v="0"/>
    <n v="1.31"/>
    <n v="4211"/>
  </r>
  <r>
    <x v="0"/>
    <x v="7"/>
    <x v="6"/>
    <x v="143"/>
    <x v="125"/>
    <x v="125"/>
    <s v="REVENUS"/>
    <x v="2"/>
    <s v="4001.005"/>
    <s v="Amende de soustract. Impôt"/>
    <n v="0"/>
    <n v="8000"/>
    <n v="4001"/>
  </r>
  <r>
    <x v="0"/>
    <x v="7"/>
    <x v="6"/>
    <x v="143"/>
    <x v="125"/>
    <x v="125"/>
    <s v="REVENUS"/>
    <x v="3"/>
    <s v="4002.007"/>
    <s v="Acompte impôt sur fortune"/>
    <n v="0"/>
    <n v="4.6500000000000004"/>
    <n v="4002"/>
  </r>
  <r>
    <x v="0"/>
    <x v="7"/>
    <x v="6"/>
    <x v="143"/>
    <x v="125"/>
    <x v="125"/>
    <s v="REVENUS"/>
    <x v="2"/>
    <s v="4001.007"/>
    <s v="Acompte impôt sur revenu"/>
    <n v="0"/>
    <n v="-2061.9499999999998"/>
    <n v="4001"/>
  </r>
  <r>
    <x v="0"/>
    <x v="7"/>
    <x v="6"/>
    <x v="143"/>
    <x v="125"/>
    <x v="125"/>
    <s v="REVENUS"/>
    <x v="6"/>
    <s v="4221.002"/>
    <s v="Intérêts compensat. sur impôts distincts"/>
    <n v="0"/>
    <n v="3.51"/>
    <n v="4221"/>
  </r>
  <r>
    <x v="0"/>
    <x v="7"/>
    <x v="6"/>
    <x v="143"/>
    <x v="125"/>
    <x v="125"/>
    <s v="REVENUS"/>
    <x v="2"/>
    <s v="4001.001"/>
    <s v="Impôt revenu"/>
    <n v="0"/>
    <n v="-35914.1"/>
    <n v="4001"/>
  </r>
  <r>
    <x v="0"/>
    <x v="7"/>
    <x v="6"/>
    <x v="143"/>
    <x v="125"/>
    <x v="125"/>
    <s v="REVENUS"/>
    <x v="2"/>
    <s v="4001.007"/>
    <s v="Acompte impôt sur revenu"/>
    <n v="0"/>
    <n v="-25418.5"/>
    <n v="4001"/>
  </r>
  <r>
    <x v="0"/>
    <x v="7"/>
    <x v="6"/>
    <x v="143"/>
    <x v="125"/>
    <x v="125"/>
    <s v="REVENUS"/>
    <x v="3"/>
    <s v="4002.001"/>
    <s v="Impôt ordinaire s/fortune PP"/>
    <n v="0"/>
    <n v="-150.30000000000001"/>
    <n v="4002"/>
  </r>
  <r>
    <x v="0"/>
    <x v="7"/>
    <x v="6"/>
    <x v="143"/>
    <x v="125"/>
    <x v="125"/>
    <s v="REVENUS"/>
    <x v="3"/>
    <s v="4002.007"/>
    <s v="Acompte impôt sur fortune"/>
    <n v="0"/>
    <n v="-168.3"/>
    <n v="4002"/>
  </r>
  <r>
    <x v="0"/>
    <x v="7"/>
    <x v="6"/>
    <x v="143"/>
    <x v="125"/>
    <x v="125"/>
    <s v="REVENUS"/>
    <x v="6"/>
    <s v="4211.001"/>
    <s v="Intérêts de retard sur factures"/>
    <n v="0"/>
    <n v="-139.37"/>
    <n v="4211"/>
  </r>
  <r>
    <x v="0"/>
    <x v="7"/>
    <x v="6"/>
    <x v="143"/>
    <x v="125"/>
    <x v="125"/>
    <s v="REVENUS"/>
    <x v="6"/>
    <s v="4221.003"/>
    <s v="Intérêts compensat. / acomptes en faveur du fisc"/>
    <n v="0"/>
    <n v="-97.33"/>
    <n v="4221"/>
  </r>
  <r>
    <x v="0"/>
    <x v="7"/>
    <x v="6"/>
    <x v="143"/>
    <x v="125"/>
    <x v="125"/>
    <s v="REVENUS"/>
    <x v="12"/>
    <s v="4004.007"/>
    <s v="Acompte spécial étrangers"/>
    <n v="0"/>
    <n v="42593.15"/>
    <n v="4004"/>
  </r>
  <r>
    <x v="0"/>
    <x v="7"/>
    <x v="6"/>
    <x v="143"/>
    <x v="125"/>
    <x v="125"/>
    <s v="REVENUS"/>
    <x v="8"/>
    <s v="4091.001"/>
    <s v="Impôt récupéré après défalcations"/>
    <n v="0"/>
    <n v="-13472.35"/>
    <n v="4091"/>
  </r>
  <r>
    <x v="0"/>
    <x v="7"/>
    <x v="6"/>
    <x v="143"/>
    <x v="125"/>
    <x v="125"/>
    <s v="REVENUS"/>
    <x v="4"/>
    <s v="4051.001"/>
    <s v="Impôt sur les successions"/>
    <n v="0"/>
    <n v="5785.2"/>
    <n v="4051"/>
  </r>
  <r>
    <x v="0"/>
    <x v="7"/>
    <x v="6"/>
    <x v="143"/>
    <x v="125"/>
    <x v="125"/>
    <s v="REVENUS"/>
    <x v="3"/>
    <s v="4002.001"/>
    <s v="Impôt ordinaire s/fortune PP"/>
    <n v="0"/>
    <n v="44.7"/>
    <n v="4002"/>
  </r>
  <r>
    <x v="0"/>
    <x v="7"/>
    <x v="6"/>
    <x v="143"/>
    <x v="125"/>
    <x v="125"/>
    <s v="REVENUS"/>
    <x v="10"/>
    <s v="4041.001"/>
    <s v="Droits de mutation"/>
    <n v="0"/>
    <n v="55309.1"/>
    <n v="4041"/>
  </r>
  <r>
    <x v="0"/>
    <x v="7"/>
    <x v="6"/>
    <x v="143"/>
    <x v="125"/>
    <x v="125"/>
    <s v="REVENUS"/>
    <x v="6"/>
    <s v="4211.002"/>
    <s v="Intérêts de retard sur acomptes"/>
    <n v="0"/>
    <n v="851.42"/>
    <n v="4211"/>
  </r>
  <r>
    <x v="0"/>
    <x v="7"/>
    <x v="6"/>
    <x v="143"/>
    <x v="125"/>
    <x v="125"/>
    <s v="REVENUS"/>
    <x v="6"/>
    <s v="4221.003"/>
    <s v="Intérêts compensat. / acomptes en faveur du fisc"/>
    <n v="0"/>
    <n v="3.79"/>
    <n v="4221"/>
  </r>
  <r>
    <x v="0"/>
    <x v="7"/>
    <x v="6"/>
    <x v="143"/>
    <x v="125"/>
    <x v="125"/>
    <s v="REVENUS"/>
    <x v="3"/>
    <s v="4002.007"/>
    <s v="Acompte impôt sur fortune"/>
    <n v="0"/>
    <n v="-24.65"/>
    <n v="4002"/>
  </r>
  <r>
    <x v="0"/>
    <x v="7"/>
    <x v="6"/>
    <x v="143"/>
    <x v="125"/>
    <x v="125"/>
    <s v="REVENUS"/>
    <x v="2"/>
    <s v="4001.001"/>
    <s v="Impôt revenu"/>
    <n v="0"/>
    <n v="607.45000000000005"/>
    <n v="4001"/>
  </r>
  <r>
    <x v="0"/>
    <x v="7"/>
    <x v="6"/>
    <x v="143"/>
    <x v="125"/>
    <x v="125"/>
    <s v="REVENUS"/>
    <x v="3"/>
    <s v="4002.001"/>
    <s v="Impôt ordinaire s/fortune PP"/>
    <n v="0"/>
    <n v="30.7"/>
    <n v="4002"/>
  </r>
  <r>
    <x v="0"/>
    <x v="7"/>
    <x v="6"/>
    <x v="143"/>
    <x v="125"/>
    <x v="125"/>
    <s v="REVENUS"/>
    <x v="6"/>
    <s v="4211.002"/>
    <s v="Intérêts de retard sur acomptes"/>
    <n v="0"/>
    <n v="29.54"/>
    <n v="4211"/>
  </r>
  <r>
    <x v="0"/>
    <x v="7"/>
    <x v="6"/>
    <x v="143"/>
    <x v="125"/>
    <x v="125"/>
    <s v="REVENUS"/>
    <x v="6"/>
    <s v="4221.003"/>
    <s v="Intérêts compensat. / acomptes en faveur du fisc"/>
    <n v="0"/>
    <n v="0.06"/>
    <n v="4221"/>
  </r>
  <r>
    <x v="0"/>
    <x v="7"/>
    <x v="6"/>
    <x v="143"/>
    <x v="125"/>
    <x v="125"/>
    <s v="REVENUS"/>
    <x v="5"/>
    <s v="4061.000"/>
    <s v="Impôt sur les chiens"/>
    <n v="0"/>
    <n v="4575"/>
    <n v="4061"/>
  </r>
  <r>
    <x v="0"/>
    <x v="7"/>
    <x v="6"/>
    <x v="143"/>
    <x v="125"/>
    <x v="125"/>
    <s v="REVENUS"/>
    <x v="3"/>
    <s v="4002.007"/>
    <s v="Acompte impôt sur fortune"/>
    <n v="0"/>
    <n v="-49.4"/>
    <n v="4002"/>
  </r>
  <r>
    <x v="0"/>
    <x v="7"/>
    <x v="6"/>
    <x v="143"/>
    <x v="125"/>
    <x v="125"/>
    <s v="REVENUS"/>
    <x v="6"/>
    <s v="4211.001"/>
    <s v="Intérêts de retard sur factures"/>
    <n v="0"/>
    <n v="1.28"/>
    <n v="4211"/>
  </r>
  <r>
    <x v="0"/>
    <x v="7"/>
    <x v="6"/>
    <x v="143"/>
    <x v="125"/>
    <x v="125"/>
    <s v="REVENUS"/>
    <x v="3"/>
    <s v="4002.001"/>
    <s v="Impôt ordinaire s/fortune PP"/>
    <n v="0"/>
    <n v="0"/>
    <n v="4002"/>
  </r>
  <r>
    <x v="0"/>
    <x v="7"/>
    <x v="6"/>
    <x v="143"/>
    <x v="125"/>
    <x v="125"/>
    <s v="REVENUS"/>
    <x v="3"/>
    <s v="4002.002"/>
    <s v="Impôt complémentaire s/fortune PP"/>
    <n v="0"/>
    <n v="18.350000000000001"/>
    <n v="4002"/>
  </r>
  <r>
    <x v="0"/>
    <x v="7"/>
    <x v="6"/>
    <x v="143"/>
    <x v="125"/>
    <x v="125"/>
    <s v="REVENUS"/>
    <x v="9"/>
    <s v="4031.002"/>
    <s v="Complément impôt sur les gains immobiliers"/>
    <n v="0"/>
    <n v="4287.5"/>
    <n v="4031"/>
  </r>
  <r>
    <x v="0"/>
    <x v="7"/>
    <x v="6"/>
    <x v="144"/>
    <x v="126"/>
    <x v="126"/>
    <s v="CHARGES"/>
    <x v="0"/>
    <s v="3212.002"/>
    <s v="Intérêts bonifiés/trop perçu acompte C/C"/>
    <n v="110"/>
    <n v="0"/>
    <n v="3212"/>
  </r>
  <r>
    <x v="0"/>
    <x v="7"/>
    <x v="6"/>
    <x v="144"/>
    <x v="126"/>
    <x v="126"/>
    <s v="CHARGES"/>
    <x v="0"/>
    <s v="3212.004"/>
    <s v="Intérêts rémun./perçu trop tôt sur acomptes C/C"/>
    <n v="1411.12"/>
    <n v="0"/>
    <n v="3212"/>
  </r>
  <r>
    <x v="0"/>
    <x v="7"/>
    <x v="6"/>
    <x v="144"/>
    <x v="126"/>
    <x v="126"/>
    <s v="CHARGES"/>
    <x v="0"/>
    <s v="3221.002"/>
    <s v="Intérêts compensatoires / créances en faveur ctb."/>
    <n v="996.81"/>
    <n v="0"/>
    <n v="3221"/>
  </r>
  <r>
    <x v="0"/>
    <x v="7"/>
    <x v="6"/>
    <x v="144"/>
    <x v="126"/>
    <x v="126"/>
    <s v="CHARGES"/>
    <x v="1"/>
    <s v="3301.001"/>
    <s v="Défalcations, abandons de solde PP et IS"/>
    <n v="39246.370000000003"/>
    <n v="0"/>
    <n v="3301"/>
  </r>
  <r>
    <x v="0"/>
    <x v="7"/>
    <x v="6"/>
    <x v="144"/>
    <x v="126"/>
    <x v="126"/>
    <s v="CHARGES"/>
    <x v="0"/>
    <s v="3212.004"/>
    <s v="Intérêts rémun./perçu trop tôt sur acomptes C/C"/>
    <n v="4.43"/>
    <n v="0"/>
    <n v="3212"/>
  </r>
  <r>
    <x v="0"/>
    <x v="7"/>
    <x v="6"/>
    <x v="144"/>
    <x v="126"/>
    <x v="126"/>
    <s v="CHARGES"/>
    <x v="1"/>
    <s v="3301.001"/>
    <s v="Défalcations, abandons de solde PP et IS"/>
    <n v="1.88"/>
    <n v="0"/>
    <n v="3301"/>
  </r>
  <r>
    <x v="0"/>
    <x v="7"/>
    <x v="6"/>
    <x v="144"/>
    <x v="126"/>
    <x v="126"/>
    <s v="CHARGES"/>
    <x v="0"/>
    <s v="3212.004"/>
    <s v="Intérêts rémun./perçu trop tôt sur acomptes C/C"/>
    <n v="45.96"/>
    <n v="0"/>
    <n v="3212"/>
  </r>
  <r>
    <x v="0"/>
    <x v="7"/>
    <x v="6"/>
    <x v="144"/>
    <x v="126"/>
    <x v="126"/>
    <s v="CHARGES"/>
    <x v="0"/>
    <s v="3221.002"/>
    <s v="Intérêts compensatoires / créances en faveur ctb."/>
    <n v="17.559999999999999"/>
    <n v="0"/>
    <n v="3221"/>
  </r>
  <r>
    <x v="0"/>
    <x v="7"/>
    <x v="6"/>
    <x v="144"/>
    <x v="126"/>
    <x v="126"/>
    <s v="CHARGES"/>
    <x v="1"/>
    <s v="3301.001"/>
    <s v="Défalcations, abandons de solde PP et IS"/>
    <n v="395.03"/>
    <n v="0"/>
    <n v="3301"/>
  </r>
  <r>
    <x v="0"/>
    <x v="7"/>
    <x v="6"/>
    <x v="144"/>
    <x v="126"/>
    <x v="126"/>
    <s v="CHARGES"/>
    <x v="0"/>
    <s v="3212.004"/>
    <s v="Intérêts rémun./perçu trop tôt sur acomptes C/C"/>
    <n v="9.32"/>
    <n v="0"/>
    <n v="3212"/>
  </r>
  <r>
    <x v="0"/>
    <x v="7"/>
    <x v="6"/>
    <x v="144"/>
    <x v="126"/>
    <x v="126"/>
    <s v="CHARGES"/>
    <x v="0"/>
    <s v="3221.002"/>
    <s v="Intérêts compensatoires / créances en faveur ctb."/>
    <n v="3.23"/>
    <n v="0"/>
    <n v="3221"/>
  </r>
  <r>
    <x v="0"/>
    <x v="7"/>
    <x v="6"/>
    <x v="144"/>
    <x v="126"/>
    <x v="126"/>
    <s v="CHARGES"/>
    <x v="0"/>
    <s v="3221.002"/>
    <s v="Intérêts compensatoires / créances en faveur ctb."/>
    <n v="1.0900000000000001"/>
    <n v="0"/>
    <n v="3221"/>
  </r>
  <r>
    <x v="0"/>
    <x v="7"/>
    <x v="6"/>
    <x v="144"/>
    <x v="126"/>
    <x v="126"/>
    <s v="CHARGES"/>
    <x v="0"/>
    <s v="3212.002"/>
    <s v="Intérêts bonifiés/trop perçu acompte C/C"/>
    <n v="-0.05"/>
    <n v="0"/>
    <n v="3212"/>
  </r>
  <r>
    <x v="0"/>
    <x v="7"/>
    <x v="6"/>
    <x v="144"/>
    <x v="126"/>
    <x v="126"/>
    <s v="CHARGES"/>
    <x v="0"/>
    <s v="3212.004"/>
    <s v="Intérêts rémun./perçu trop tôt sur acomptes C/C"/>
    <n v="-0.96"/>
    <n v="0"/>
    <n v="3212"/>
  </r>
  <r>
    <x v="0"/>
    <x v="7"/>
    <x v="6"/>
    <x v="144"/>
    <x v="126"/>
    <x v="126"/>
    <s v="CHARGES"/>
    <x v="1"/>
    <s v="3301.001"/>
    <s v="Défalcations, abandons de solde PP et IS"/>
    <n v="-125.07"/>
    <n v="0"/>
    <n v="3301"/>
  </r>
  <r>
    <x v="0"/>
    <x v="7"/>
    <x v="6"/>
    <x v="144"/>
    <x v="126"/>
    <x v="126"/>
    <s v="CHARGES"/>
    <x v="1"/>
    <s v="3301.001"/>
    <s v="Défalcations, abandons de solde PP et IS"/>
    <n v="0.75"/>
    <n v="0"/>
    <n v="3301"/>
  </r>
  <r>
    <x v="0"/>
    <x v="7"/>
    <x v="6"/>
    <x v="144"/>
    <x v="126"/>
    <x v="126"/>
    <s v="CHARGES"/>
    <x v="1"/>
    <s v="3301.001"/>
    <s v="Défalcations, abandons de solde PP et IS"/>
    <n v="1.42"/>
    <n v="0"/>
    <n v="3301"/>
  </r>
  <r>
    <x v="0"/>
    <x v="7"/>
    <x v="6"/>
    <x v="144"/>
    <x v="126"/>
    <x v="126"/>
    <s v="CHARGES"/>
    <x v="1"/>
    <s v="3301.001"/>
    <s v="Défalcations, abandons de solde PP et IS"/>
    <n v="2125.92"/>
    <n v="0"/>
    <n v="3301"/>
  </r>
  <r>
    <x v="0"/>
    <x v="7"/>
    <x v="6"/>
    <x v="144"/>
    <x v="126"/>
    <x v="126"/>
    <s v="CHARGES"/>
    <x v="0"/>
    <s v="3212.004"/>
    <s v="Intérêts rémun./perçu trop tôt sur acomptes C/C"/>
    <n v="1"/>
    <n v="0"/>
    <n v="3212"/>
  </r>
  <r>
    <x v="0"/>
    <x v="7"/>
    <x v="6"/>
    <x v="144"/>
    <x v="126"/>
    <x v="126"/>
    <s v="CHARGES"/>
    <x v="1"/>
    <s v="3301.001"/>
    <s v="Défalcations, abandons de solde PP et IS"/>
    <n v="2.39"/>
    <n v="0"/>
    <n v="3301"/>
  </r>
  <r>
    <x v="0"/>
    <x v="7"/>
    <x v="6"/>
    <x v="144"/>
    <x v="126"/>
    <x v="126"/>
    <s v="CHARGES"/>
    <x v="0"/>
    <s v="3221.002"/>
    <s v="Intérêts compensatoires / créances en faveur ctb."/>
    <n v="1.94"/>
    <n v="0"/>
    <n v="3221"/>
  </r>
  <r>
    <x v="0"/>
    <x v="7"/>
    <x v="6"/>
    <x v="144"/>
    <x v="126"/>
    <x v="126"/>
    <s v="CHARGES"/>
    <x v="0"/>
    <s v="3212.004"/>
    <s v="Intérêts rémun./perçu trop tôt sur acomptes C/C"/>
    <n v="0.82"/>
    <n v="0"/>
    <n v="3212"/>
  </r>
  <r>
    <x v="0"/>
    <x v="7"/>
    <x v="6"/>
    <x v="144"/>
    <x v="126"/>
    <x v="126"/>
    <s v="CHARGES"/>
    <x v="0"/>
    <s v="3221.002"/>
    <s v="Intérêts compensatoires / créances en faveur ctb."/>
    <n v="0.02"/>
    <n v="0"/>
    <n v="3221"/>
  </r>
  <r>
    <x v="0"/>
    <x v="7"/>
    <x v="6"/>
    <x v="144"/>
    <x v="126"/>
    <x v="126"/>
    <s v="CHARGES"/>
    <x v="0"/>
    <s v="3212.002"/>
    <s v="Intérêts bonifiés/trop perçu acompte C/C"/>
    <n v="20.83"/>
    <n v="0"/>
    <n v="3212"/>
  </r>
  <r>
    <x v="0"/>
    <x v="7"/>
    <x v="6"/>
    <x v="144"/>
    <x v="126"/>
    <x v="126"/>
    <s v="CHARGES"/>
    <x v="0"/>
    <s v="3221.002"/>
    <s v="Intérêts compensatoires / créances en faveur ctb."/>
    <n v="1.9"/>
    <n v="0"/>
    <n v="3221"/>
  </r>
  <r>
    <x v="0"/>
    <x v="7"/>
    <x v="6"/>
    <x v="144"/>
    <x v="126"/>
    <x v="126"/>
    <s v="REVENUS"/>
    <x v="2"/>
    <s v="4001.001"/>
    <s v="Impôt revenu"/>
    <n v="0"/>
    <n v="6143536.0999999996"/>
    <n v="4001"/>
  </r>
  <r>
    <x v="0"/>
    <x v="7"/>
    <x v="6"/>
    <x v="144"/>
    <x v="126"/>
    <x v="126"/>
    <s v="REVENUS"/>
    <x v="2"/>
    <s v="4001.002"/>
    <s v="Impôt complément s/revenu PP"/>
    <n v="0"/>
    <n v="917854.05"/>
    <n v="4001"/>
  </r>
  <r>
    <x v="0"/>
    <x v="7"/>
    <x v="6"/>
    <x v="144"/>
    <x v="126"/>
    <x v="126"/>
    <s v="REVENUS"/>
    <x v="2"/>
    <s v="4001.007"/>
    <s v="Acompte impôt sur revenu"/>
    <n v="0"/>
    <n v="-822.35"/>
    <n v="4001"/>
  </r>
  <r>
    <x v="0"/>
    <x v="7"/>
    <x v="6"/>
    <x v="144"/>
    <x v="126"/>
    <x v="126"/>
    <s v="REVENUS"/>
    <x v="3"/>
    <s v="4002.001"/>
    <s v="Impôt ordinaire s/fortune PP"/>
    <n v="0"/>
    <n v="923606.75"/>
    <n v="4002"/>
  </r>
  <r>
    <x v="0"/>
    <x v="7"/>
    <x v="6"/>
    <x v="144"/>
    <x v="126"/>
    <x v="126"/>
    <s v="REVENUS"/>
    <x v="3"/>
    <s v="4002.007"/>
    <s v="Acompte impôt sur fortune"/>
    <n v="0"/>
    <n v="5201.63"/>
    <n v="4002"/>
  </r>
  <r>
    <x v="0"/>
    <x v="7"/>
    <x v="6"/>
    <x v="144"/>
    <x v="126"/>
    <x v="126"/>
    <s v="REVENUS"/>
    <x v="6"/>
    <s v="4221.003"/>
    <s v="Intérêts compensat. / acomptes en faveur du fisc"/>
    <n v="0"/>
    <n v="988.5"/>
    <n v="4221"/>
  </r>
  <r>
    <x v="0"/>
    <x v="7"/>
    <x v="6"/>
    <x v="144"/>
    <x v="126"/>
    <x v="126"/>
    <s v="REVENUS"/>
    <x v="6"/>
    <s v="4211.001"/>
    <s v="Intérêts de retard sur factures"/>
    <n v="0"/>
    <n v="27470.71"/>
    <n v="4211"/>
  </r>
  <r>
    <x v="0"/>
    <x v="7"/>
    <x v="6"/>
    <x v="144"/>
    <x v="126"/>
    <x v="126"/>
    <s v="REVENUS"/>
    <x v="6"/>
    <s v="4211.001"/>
    <s v="Intérêts de retard sur factures"/>
    <n v="0"/>
    <n v="500.46"/>
    <n v="4211"/>
  </r>
  <r>
    <x v="0"/>
    <x v="7"/>
    <x v="6"/>
    <x v="144"/>
    <x v="126"/>
    <x v="126"/>
    <s v="REVENUS"/>
    <x v="2"/>
    <s v="4001.007"/>
    <s v="Acompte impôt sur revenu"/>
    <n v="0"/>
    <n v="-8960.42"/>
    <n v="4001"/>
  </r>
  <r>
    <x v="0"/>
    <x v="7"/>
    <x v="6"/>
    <x v="144"/>
    <x v="126"/>
    <x v="126"/>
    <s v="REVENUS"/>
    <x v="3"/>
    <s v="4002.007"/>
    <s v="Acompte impôt sur fortune"/>
    <n v="0"/>
    <n v="-1881.7"/>
    <n v="4002"/>
  </r>
  <r>
    <x v="0"/>
    <x v="7"/>
    <x v="6"/>
    <x v="144"/>
    <x v="126"/>
    <x v="126"/>
    <s v="REVENUS"/>
    <x v="7"/>
    <s v="4184.000"/>
    <s v="Frais de poursuite"/>
    <n v="0"/>
    <n v="5109.7299999999996"/>
    <n v="4184"/>
  </r>
  <r>
    <x v="0"/>
    <x v="7"/>
    <x v="6"/>
    <x v="144"/>
    <x v="126"/>
    <x v="126"/>
    <s v="REVENUS"/>
    <x v="6"/>
    <s v="4211.002"/>
    <s v="Intérêts de retard sur acomptes"/>
    <n v="0"/>
    <n v="35392.080000000002"/>
    <n v="4211"/>
  </r>
  <r>
    <x v="0"/>
    <x v="7"/>
    <x v="6"/>
    <x v="144"/>
    <x v="126"/>
    <x v="126"/>
    <s v="REVENUS"/>
    <x v="2"/>
    <s v="4001.001"/>
    <s v="Impôt revenu"/>
    <n v="0"/>
    <n v="11820"/>
    <n v="4001"/>
  </r>
  <r>
    <x v="0"/>
    <x v="7"/>
    <x v="6"/>
    <x v="144"/>
    <x v="126"/>
    <x v="126"/>
    <s v="REVENUS"/>
    <x v="2"/>
    <s v="4001.007"/>
    <s v="Acompte impôt sur revenu"/>
    <n v="0"/>
    <n v="4524.21"/>
    <n v="4001"/>
  </r>
  <r>
    <x v="0"/>
    <x v="7"/>
    <x v="6"/>
    <x v="144"/>
    <x v="126"/>
    <x v="126"/>
    <s v="REVENUS"/>
    <x v="3"/>
    <s v="4002.001"/>
    <s v="Impôt ordinaire s/fortune PP"/>
    <n v="0"/>
    <n v="3984.1"/>
    <n v="4002"/>
  </r>
  <r>
    <x v="0"/>
    <x v="7"/>
    <x v="6"/>
    <x v="144"/>
    <x v="126"/>
    <x v="126"/>
    <s v="REVENUS"/>
    <x v="3"/>
    <s v="4002.007"/>
    <s v="Acompte impôt sur fortune"/>
    <n v="0"/>
    <n v="1588.94"/>
    <n v="4002"/>
  </r>
  <r>
    <x v="0"/>
    <x v="7"/>
    <x v="6"/>
    <x v="144"/>
    <x v="126"/>
    <x v="126"/>
    <s v="REVENUS"/>
    <x v="6"/>
    <s v="4221.003"/>
    <s v="Intérêts compensat. / acomptes en faveur du fisc"/>
    <n v="0"/>
    <n v="1.97"/>
    <n v="4221"/>
  </r>
  <r>
    <x v="0"/>
    <x v="7"/>
    <x v="6"/>
    <x v="144"/>
    <x v="126"/>
    <x v="126"/>
    <s v="REVENUS"/>
    <x v="3"/>
    <s v="4002.007"/>
    <s v="Acompte impôt sur fortune"/>
    <n v="0"/>
    <n v="1966.08"/>
    <n v="4002"/>
  </r>
  <r>
    <x v="0"/>
    <x v="7"/>
    <x v="6"/>
    <x v="144"/>
    <x v="126"/>
    <x v="126"/>
    <s v="REVENUS"/>
    <x v="3"/>
    <s v="4002.002"/>
    <s v="Impôt complémentaire s/fortune PP"/>
    <n v="0"/>
    <n v="154095.70000000001"/>
    <n v="4002"/>
  </r>
  <r>
    <x v="0"/>
    <x v="7"/>
    <x v="6"/>
    <x v="144"/>
    <x v="126"/>
    <x v="126"/>
    <s v="REVENUS"/>
    <x v="2"/>
    <s v="4001.001"/>
    <s v="Impôt revenu"/>
    <n v="0"/>
    <n v="40499.85"/>
    <n v="4001"/>
  </r>
  <r>
    <x v="0"/>
    <x v="7"/>
    <x v="6"/>
    <x v="144"/>
    <x v="126"/>
    <x v="126"/>
    <s v="REVENUS"/>
    <x v="3"/>
    <s v="4002.001"/>
    <s v="Impôt ordinaire s/fortune PP"/>
    <n v="0"/>
    <n v="12871.05"/>
    <n v="4002"/>
  </r>
  <r>
    <x v="0"/>
    <x v="7"/>
    <x v="6"/>
    <x v="144"/>
    <x v="126"/>
    <x v="126"/>
    <s v="REVENUS"/>
    <x v="6"/>
    <s v="4211.002"/>
    <s v="Intérêts de retard sur acomptes"/>
    <n v="0"/>
    <n v="414.73"/>
    <n v="4211"/>
  </r>
  <r>
    <x v="0"/>
    <x v="7"/>
    <x v="6"/>
    <x v="144"/>
    <x v="126"/>
    <x v="126"/>
    <s v="REVENUS"/>
    <x v="2"/>
    <s v="4001.007"/>
    <s v="Acompte impôt sur revenu"/>
    <n v="0"/>
    <n v="8807.32"/>
    <n v="4001"/>
  </r>
  <r>
    <x v="0"/>
    <x v="7"/>
    <x v="6"/>
    <x v="144"/>
    <x v="126"/>
    <x v="126"/>
    <s v="REVENUS"/>
    <x v="2"/>
    <s v="4001.001"/>
    <s v="Impôt revenu"/>
    <n v="0"/>
    <n v="-176152.4"/>
    <n v="4001"/>
  </r>
  <r>
    <x v="0"/>
    <x v="7"/>
    <x v="6"/>
    <x v="144"/>
    <x v="126"/>
    <x v="126"/>
    <s v="REVENUS"/>
    <x v="2"/>
    <s v="4001.003"/>
    <s v="Impôt s/prest. cap. PP"/>
    <n v="0"/>
    <n v="207249.65"/>
    <n v="4001"/>
  </r>
  <r>
    <x v="0"/>
    <x v="7"/>
    <x v="6"/>
    <x v="144"/>
    <x v="126"/>
    <x v="126"/>
    <s v="REVENUS"/>
    <x v="10"/>
    <s v="4041.001"/>
    <s v="Droits de mutation"/>
    <n v="0"/>
    <n v="290750.59999999998"/>
    <n v="4041"/>
  </r>
  <r>
    <x v="0"/>
    <x v="7"/>
    <x v="6"/>
    <x v="144"/>
    <x v="126"/>
    <x v="126"/>
    <s v="REVENUS"/>
    <x v="5"/>
    <s v="4061.000"/>
    <s v="Impôt sur les chiens"/>
    <n v="0"/>
    <n v="19530"/>
    <n v="4061"/>
  </r>
  <r>
    <x v="0"/>
    <x v="7"/>
    <x v="6"/>
    <x v="144"/>
    <x v="126"/>
    <x v="126"/>
    <s v="REVENUS"/>
    <x v="6"/>
    <s v="4221.002"/>
    <s v="Intérêts compensat. sur impôts distincts"/>
    <n v="0"/>
    <n v="112.86"/>
    <n v="4221"/>
  </r>
  <r>
    <x v="0"/>
    <x v="7"/>
    <x v="6"/>
    <x v="144"/>
    <x v="126"/>
    <x v="126"/>
    <s v="REVENUS"/>
    <x v="6"/>
    <s v="4221.003"/>
    <s v="Intérêts compensat. / acomptes en faveur du fisc"/>
    <n v="0"/>
    <n v="52.75"/>
    <n v="4221"/>
  </r>
  <r>
    <x v="0"/>
    <x v="7"/>
    <x v="6"/>
    <x v="144"/>
    <x v="126"/>
    <x v="126"/>
    <s v="REVENUS"/>
    <x v="2"/>
    <s v="4001.007"/>
    <s v="Acompte impôt sur revenu"/>
    <n v="0"/>
    <n v="4807.45"/>
    <n v="4001"/>
  </r>
  <r>
    <x v="0"/>
    <x v="7"/>
    <x v="6"/>
    <x v="144"/>
    <x v="126"/>
    <x v="126"/>
    <s v="REVENUS"/>
    <x v="3"/>
    <s v="4002.007"/>
    <s v="Acompte impôt sur fortune"/>
    <n v="0"/>
    <n v="2694.93"/>
    <n v="4002"/>
  </r>
  <r>
    <x v="0"/>
    <x v="7"/>
    <x v="6"/>
    <x v="144"/>
    <x v="126"/>
    <x v="126"/>
    <s v="REVENUS"/>
    <x v="2"/>
    <s v="4001.001"/>
    <s v="Impôt revenu"/>
    <n v="0"/>
    <n v="10302.75"/>
    <n v="4001"/>
  </r>
  <r>
    <x v="0"/>
    <x v="7"/>
    <x v="6"/>
    <x v="144"/>
    <x v="126"/>
    <x v="126"/>
    <s v="REVENUS"/>
    <x v="2"/>
    <s v="4001.007"/>
    <s v="Acompte impôt sur revenu"/>
    <n v="0"/>
    <n v="5382.54"/>
    <n v="4001"/>
  </r>
  <r>
    <x v="0"/>
    <x v="7"/>
    <x v="6"/>
    <x v="144"/>
    <x v="126"/>
    <x v="126"/>
    <s v="REVENUS"/>
    <x v="3"/>
    <s v="4002.001"/>
    <s v="Impôt ordinaire s/fortune PP"/>
    <n v="0"/>
    <n v="3826.5"/>
    <n v="4002"/>
  </r>
  <r>
    <x v="0"/>
    <x v="7"/>
    <x v="6"/>
    <x v="144"/>
    <x v="126"/>
    <x v="126"/>
    <s v="REVENUS"/>
    <x v="3"/>
    <s v="4002.007"/>
    <s v="Acompte impôt sur fortune"/>
    <n v="0"/>
    <n v="733.4"/>
    <n v="4002"/>
  </r>
  <r>
    <x v="0"/>
    <x v="7"/>
    <x v="6"/>
    <x v="144"/>
    <x v="126"/>
    <x v="126"/>
    <s v="REVENUS"/>
    <x v="6"/>
    <s v="4211.002"/>
    <s v="Intérêts de retard sur acomptes"/>
    <n v="0"/>
    <n v="-201.09"/>
    <n v="4211"/>
  </r>
  <r>
    <x v="0"/>
    <x v="7"/>
    <x v="6"/>
    <x v="144"/>
    <x v="126"/>
    <x v="126"/>
    <s v="REVENUS"/>
    <x v="3"/>
    <s v="4002.001"/>
    <s v="Impôt ordinaire s/fortune PP"/>
    <n v="0"/>
    <n v="2076.75"/>
    <n v="4002"/>
  </r>
  <r>
    <x v="0"/>
    <x v="7"/>
    <x v="6"/>
    <x v="144"/>
    <x v="126"/>
    <x v="126"/>
    <s v="REVENUS"/>
    <x v="2"/>
    <s v="4001.001"/>
    <s v="Impôt revenu"/>
    <n v="0"/>
    <n v="-606.70000000000005"/>
    <n v="4001"/>
  </r>
  <r>
    <x v="0"/>
    <x v="7"/>
    <x v="6"/>
    <x v="144"/>
    <x v="126"/>
    <x v="126"/>
    <s v="REVENUS"/>
    <x v="4"/>
    <s v="4051.002"/>
    <s v="Impôt sur les donations"/>
    <n v="0"/>
    <n v="53622.8"/>
    <n v="4051"/>
  </r>
  <r>
    <x v="0"/>
    <x v="7"/>
    <x v="6"/>
    <x v="144"/>
    <x v="126"/>
    <x v="126"/>
    <s v="REVENUS"/>
    <x v="9"/>
    <s v="4031.001"/>
    <s v="Impôt sur les gains immobiliers"/>
    <n v="0"/>
    <n v="190758.3"/>
    <n v="4031"/>
  </r>
  <r>
    <x v="0"/>
    <x v="7"/>
    <x v="6"/>
    <x v="144"/>
    <x v="126"/>
    <x v="126"/>
    <s v="REVENUS"/>
    <x v="2"/>
    <s v="4001.007"/>
    <s v="Acompte impôt sur revenu"/>
    <n v="0"/>
    <n v="-2738.67"/>
    <n v="4001"/>
  </r>
  <r>
    <x v="0"/>
    <x v="7"/>
    <x v="6"/>
    <x v="144"/>
    <x v="126"/>
    <x v="126"/>
    <s v="REVENUS"/>
    <x v="3"/>
    <s v="4002.007"/>
    <s v="Acompte impôt sur fortune"/>
    <n v="0"/>
    <n v="168.35"/>
    <n v="4002"/>
  </r>
  <r>
    <x v="0"/>
    <x v="7"/>
    <x v="6"/>
    <x v="144"/>
    <x v="126"/>
    <x v="126"/>
    <s v="REVENUS"/>
    <x v="6"/>
    <s v="4211.002"/>
    <s v="Intérêts de retard sur acomptes"/>
    <n v="0"/>
    <n v="117.83"/>
    <n v="4211"/>
  </r>
  <r>
    <x v="0"/>
    <x v="7"/>
    <x v="6"/>
    <x v="144"/>
    <x v="126"/>
    <x v="126"/>
    <s v="REVENUS"/>
    <x v="6"/>
    <s v="4221.003"/>
    <s v="Intérêts compensat. / acomptes en faveur du fisc"/>
    <n v="0"/>
    <n v="2.0299999999999998"/>
    <n v="4221"/>
  </r>
  <r>
    <x v="0"/>
    <x v="7"/>
    <x v="6"/>
    <x v="144"/>
    <x v="126"/>
    <x v="126"/>
    <s v="REVENUS"/>
    <x v="2"/>
    <s v="4001.007"/>
    <s v="Acompte impôt sur revenu"/>
    <n v="0"/>
    <n v="-40988.050000000003"/>
    <n v="4001"/>
  </r>
  <r>
    <x v="0"/>
    <x v="7"/>
    <x v="6"/>
    <x v="144"/>
    <x v="126"/>
    <x v="126"/>
    <s v="REVENUS"/>
    <x v="2"/>
    <s v="4001.002"/>
    <s v="Impôt complément s/revenu PP"/>
    <n v="0"/>
    <n v="-12604.45"/>
    <n v="4001"/>
  </r>
  <r>
    <x v="0"/>
    <x v="7"/>
    <x v="6"/>
    <x v="144"/>
    <x v="126"/>
    <x v="126"/>
    <s v="REVENUS"/>
    <x v="3"/>
    <s v="4002.001"/>
    <s v="Impôt ordinaire s/fortune PP"/>
    <n v="0"/>
    <n v="-17806.55"/>
    <n v="4002"/>
  </r>
  <r>
    <x v="0"/>
    <x v="7"/>
    <x v="6"/>
    <x v="144"/>
    <x v="126"/>
    <x v="126"/>
    <s v="REVENUS"/>
    <x v="3"/>
    <s v="4002.007"/>
    <s v="Acompte impôt sur fortune"/>
    <n v="0"/>
    <n v="-26507.59"/>
    <n v="4002"/>
  </r>
  <r>
    <x v="0"/>
    <x v="7"/>
    <x v="6"/>
    <x v="144"/>
    <x v="126"/>
    <x v="126"/>
    <s v="REVENUS"/>
    <x v="6"/>
    <s v="4211.001"/>
    <s v="Intérêts de retard sur factures"/>
    <n v="0"/>
    <n v="-1577.94"/>
    <n v="4211"/>
  </r>
  <r>
    <x v="0"/>
    <x v="7"/>
    <x v="6"/>
    <x v="144"/>
    <x v="126"/>
    <x v="126"/>
    <s v="REVENUS"/>
    <x v="6"/>
    <s v="4211.002"/>
    <s v="Intérêts de retard sur acomptes"/>
    <n v="0"/>
    <n v="-777.64"/>
    <n v="4211"/>
  </r>
  <r>
    <x v="0"/>
    <x v="7"/>
    <x v="6"/>
    <x v="144"/>
    <x v="126"/>
    <x v="126"/>
    <s v="REVENUS"/>
    <x v="6"/>
    <s v="4221.003"/>
    <s v="Intérêts compensat. / acomptes en faveur du fisc"/>
    <n v="0"/>
    <n v="-31.26"/>
    <n v="4221"/>
  </r>
  <r>
    <x v="0"/>
    <x v="7"/>
    <x v="6"/>
    <x v="144"/>
    <x v="126"/>
    <x v="126"/>
    <s v="REVENUS"/>
    <x v="12"/>
    <s v="4004.007"/>
    <s v="Acompte spécial étrangers"/>
    <n v="0"/>
    <n v="63097.3"/>
    <n v="4004"/>
  </r>
  <r>
    <x v="0"/>
    <x v="7"/>
    <x v="6"/>
    <x v="144"/>
    <x v="126"/>
    <x v="126"/>
    <s v="REVENUS"/>
    <x v="7"/>
    <s v="4184.000"/>
    <s v="Frais de poursuite"/>
    <n v="0"/>
    <n v="408.02"/>
    <n v="4184"/>
  </r>
  <r>
    <x v="0"/>
    <x v="7"/>
    <x v="6"/>
    <x v="144"/>
    <x v="126"/>
    <x v="126"/>
    <s v="REVENUS"/>
    <x v="6"/>
    <s v="4221.003"/>
    <s v="Intérêts compensat. / acomptes en faveur du fisc"/>
    <n v="0"/>
    <n v="0.75"/>
    <n v="4221"/>
  </r>
  <r>
    <x v="0"/>
    <x v="7"/>
    <x v="6"/>
    <x v="144"/>
    <x v="126"/>
    <x v="126"/>
    <s v="REVENUS"/>
    <x v="6"/>
    <s v="4211.001"/>
    <s v="Intérêts de retard sur factures"/>
    <n v="0"/>
    <n v="7.5"/>
    <n v="4211"/>
  </r>
  <r>
    <x v="0"/>
    <x v="7"/>
    <x v="6"/>
    <x v="144"/>
    <x v="126"/>
    <x v="126"/>
    <s v="REVENUS"/>
    <x v="2"/>
    <s v="4001.007"/>
    <s v="Acompte impôt sur revenu"/>
    <n v="0"/>
    <n v="-1360.5"/>
    <n v="4001"/>
  </r>
  <r>
    <x v="0"/>
    <x v="7"/>
    <x v="6"/>
    <x v="144"/>
    <x v="126"/>
    <x v="126"/>
    <s v="REVENUS"/>
    <x v="3"/>
    <s v="4002.007"/>
    <s v="Acompte impôt sur fortune"/>
    <n v="0"/>
    <n v="-260.7"/>
    <n v="4002"/>
  </r>
  <r>
    <x v="0"/>
    <x v="7"/>
    <x v="6"/>
    <x v="144"/>
    <x v="126"/>
    <x v="126"/>
    <s v="REVENUS"/>
    <x v="2"/>
    <s v="4001.001"/>
    <s v="Impôt revenu"/>
    <n v="0"/>
    <n v="12534.5"/>
    <n v="4001"/>
  </r>
  <r>
    <x v="0"/>
    <x v="7"/>
    <x v="6"/>
    <x v="144"/>
    <x v="126"/>
    <x v="126"/>
    <s v="REVENUS"/>
    <x v="3"/>
    <s v="4002.001"/>
    <s v="Impôt ordinaire s/fortune PP"/>
    <n v="0"/>
    <n v="5420.05"/>
    <n v="4002"/>
  </r>
  <r>
    <x v="0"/>
    <x v="7"/>
    <x v="6"/>
    <x v="144"/>
    <x v="126"/>
    <x v="126"/>
    <s v="REVENUS"/>
    <x v="6"/>
    <s v="4211.002"/>
    <s v="Intérêts de retard sur acomptes"/>
    <n v="0"/>
    <n v="0.11"/>
    <n v="4211"/>
  </r>
  <r>
    <x v="0"/>
    <x v="7"/>
    <x v="6"/>
    <x v="144"/>
    <x v="126"/>
    <x v="126"/>
    <s v="REVENUS"/>
    <x v="6"/>
    <s v="4221.003"/>
    <s v="Intérêts compensat. / acomptes en faveur du fisc"/>
    <n v="0"/>
    <n v="2.46"/>
    <n v="4221"/>
  </r>
  <r>
    <x v="0"/>
    <x v="7"/>
    <x v="6"/>
    <x v="144"/>
    <x v="126"/>
    <x v="126"/>
    <s v="REVENUS"/>
    <x v="2"/>
    <s v="4001.002"/>
    <s v="Impôt complément s/revenu PP"/>
    <n v="0"/>
    <n v="339.3"/>
    <n v="4001"/>
  </r>
  <r>
    <x v="0"/>
    <x v="7"/>
    <x v="6"/>
    <x v="144"/>
    <x v="126"/>
    <x v="126"/>
    <s v="REVENUS"/>
    <x v="6"/>
    <s v="4211.002"/>
    <s v="Intérêts de retard sur acomptes"/>
    <n v="0"/>
    <n v="192.47"/>
    <n v="4211"/>
  </r>
  <r>
    <x v="0"/>
    <x v="7"/>
    <x v="6"/>
    <x v="144"/>
    <x v="126"/>
    <x v="126"/>
    <s v="REVENUS"/>
    <x v="2"/>
    <s v="4001.003"/>
    <s v="Impôt s/prest. cap. PP"/>
    <n v="0"/>
    <n v="-7674.1"/>
    <n v="4001"/>
  </r>
  <r>
    <x v="0"/>
    <x v="7"/>
    <x v="6"/>
    <x v="144"/>
    <x v="126"/>
    <x v="126"/>
    <s v="REVENUS"/>
    <x v="3"/>
    <s v="4002.002"/>
    <s v="Impôt complémentaire s/fortune PP"/>
    <n v="0"/>
    <n v="28347.9"/>
    <n v="4002"/>
  </r>
  <r>
    <x v="0"/>
    <x v="7"/>
    <x v="6"/>
    <x v="144"/>
    <x v="126"/>
    <x v="126"/>
    <s v="REVENUS"/>
    <x v="4"/>
    <s v="4051.001"/>
    <s v="Impôt sur les successions"/>
    <n v="0"/>
    <n v="287598.2"/>
    <n v="4051"/>
  </r>
  <r>
    <x v="0"/>
    <x v="7"/>
    <x v="6"/>
    <x v="144"/>
    <x v="126"/>
    <x v="126"/>
    <s v="REVENUS"/>
    <x v="6"/>
    <s v="4211.001"/>
    <s v="Intérêts de retard sur factures"/>
    <n v="0"/>
    <n v="0.67"/>
    <n v="4211"/>
  </r>
  <r>
    <x v="0"/>
    <x v="7"/>
    <x v="6"/>
    <x v="144"/>
    <x v="126"/>
    <x v="126"/>
    <s v="REVENUS"/>
    <x v="3"/>
    <s v="4002.002"/>
    <s v="Impôt complémentaire s/fortune PP"/>
    <n v="0"/>
    <n v="-17530.849999999999"/>
    <n v="4002"/>
  </r>
  <r>
    <x v="0"/>
    <x v="7"/>
    <x v="6"/>
    <x v="144"/>
    <x v="126"/>
    <x v="126"/>
    <s v="REVENUS"/>
    <x v="7"/>
    <s v="4184.000"/>
    <s v="Frais de poursuite"/>
    <n v="0"/>
    <n v="10.51"/>
    <n v="4184"/>
  </r>
  <r>
    <x v="0"/>
    <x v="7"/>
    <x v="6"/>
    <x v="144"/>
    <x v="126"/>
    <x v="126"/>
    <s v="REVENUS"/>
    <x v="2"/>
    <s v="4001.002"/>
    <s v="Impôt complément s/revenu PP"/>
    <n v="0"/>
    <n v="76678.25"/>
    <n v="4001"/>
  </r>
  <r>
    <x v="0"/>
    <x v="7"/>
    <x v="6"/>
    <x v="144"/>
    <x v="126"/>
    <x v="126"/>
    <s v="REVENUS"/>
    <x v="8"/>
    <s v="4091.001"/>
    <s v="Impôt récupéré après défalcations"/>
    <n v="0"/>
    <n v="14286.91"/>
    <n v="4091"/>
  </r>
  <r>
    <x v="0"/>
    <x v="7"/>
    <x v="6"/>
    <x v="144"/>
    <x v="126"/>
    <x v="126"/>
    <s v="REVENUS"/>
    <x v="9"/>
    <s v="4031.002"/>
    <s v="Complément impôt sur les gains immobiliers"/>
    <n v="0"/>
    <n v="4694"/>
    <n v="4031"/>
  </r>
  <r>
    <x v="0"/>
    <x v="7"/>
    <x v="6"/>
    <x v="144"/>
    <x v="126"/>
    <x v="126"/>
    <s v="REVENUS"/>
    <x v="7"/>
    <s v="4184.000"/>
    <s v="Frais de poursuite"/>
    <n v="0"/>
    <n v="130.62"/>
    <n v="4184"/>
  </r>
  <r>
    <x v="0"/>
    <x v="7"/>
    <x v="6"/>
    <x v="144"/>
    <x v="126"/>
    <x v="126"/>
    <s v="REVENUS"/>
    <x v="3"/>
    <s v="4002.002"/>
    <s v="Impôt complémentaire s/fortune PP"/>
    <n v="0"/>
    <n v="340.9"/>
    <n v="4002"/>
  </r>
  <r>
    <x v="0"/>
    <x v="7"/>
    <x v="6"/>
    <x v="144"/>
    <x v="126"/>
    <x v="126"/>
    <s v="REVENUS"/>
    <x v="4"/>
    <s v="4051.002"/>
    <s v="Impôt sur les donations"/>
    <n v="0"/>
    <n v="2759.7"/>
    <n v="4051"/>
  </r>
  <r>
    <x v="0"/>
    <x v="7"/>
    <x v="6"/>
    <x v="144"/>
    <x v="126"/>
    <x v="126"/>
    <s v="REVENUS"/>
    <x v="10"/>
    <s v="4041.001"/>
    <s v="Droits de mutation"/>
    <n v="0"/>
    <n v="6325"/>
    <n v="4041"/>
  </r>
  <r>
    <x v="0"/>
    <x v="7"/>
    <x v="6"/>
    <x v="144"/>
    <x v="126"/>
    <x v="126"/>
    <s v="REVENUS"/>
    <x v="2"/>
    <s v="4001.002"/>
    <s v="Impôt complément s/revenu PP"/>
    <n v="0"/>
    <n v="1941.75"/>
    <n v="4001"/>
  </r>
  <r>
    <x v="0"/>
    <x v="7"/>
    <x v="6"/>
    <x v="144"/>
    <x v="126"/>
    <x v="126"/>
    <s v="REVENUS"/>
    <x v="6"/>
    <s v="4211.001"/>
    <s v="Intérêts de retard sur factures"/>
    <n v="0"/>
    <n v="48.26"/>
    <n v="4211"/>
  </r>
  <r>
    <x v="0"/>
    <x v="7"/>
    <x v="6"/>
    <x v="144"/>
    <x v="126"/>
    <x v="126"/>
    <s v="REVENUS"/>
    <x v="8"/>
    <s v="4091.001"/>
    <s v="Impôt récupéré après défalcations"/>
    <n v="0"/>
    <n v="93.2"/>
    <n v="4091"/>
  </r>
  <r>
    <x v="0"/>
    <x v="7"/>
    <x v="6"/>
    <x v="144"/>
    <x v="126"/>
    <x v="126"/>
    <s v="REVENUS"/>
    <x v="6"/>
    <s v="4211.001"/>
    <s v="Intérêts de retard sur factures"/>
    <n v="0"/>
    <n v="1.72"/>
    <n v="4211"/>
  </r>
  <r>
    <x v="0"/>
    <x v="7"/>
    <x v="6"/>
    <x v="144"/>
    <x v="126"/>
    <x v="126"/>
    <s v="REVENUS"/>
    <x v="7"/>
    <s v="4184.000"/>
    <s v="Frais de poursuite"/>
    <n v="0"/>
    <n v="31.89"/>
    <n v="4184"/>
  </r>
  <r>
    <x v="0"/>
    <x v="7"/>
    <x v="6"/>
    <x v="144"/>
    <x v="126"/>
    <x v="126"/>
    <s v="REVENUS"/>
    <x v="3"/>
    <s v="4002.002"/>
    <s v="Impôt complémentaire s/fortune PP"/>
    <n v="0"/>
    <n v="260.85000000000002"/>
    <n v="4002"/>
  </r>
  <r>
    <x v="0"/>
    <x v="7"/>
    <x v="6"/>
    <x v="144"/>
    <x v="126"/>
    <x v="126"/>
    <s v="REVENUS"/>
    <x v="12"/>
    <s v="4004.000"/>
    <s v="Impôt spécial étrangers"/>
    <n v="0"/>
    <n v="27629.3"/>
    <n v="4004"/>
  </r>
  <r>
    <x v="0"/>
    <x v="7"/>
    <x v="6"/>
    <x v="144"/>
    <x v="126"/>
    <x v="126"/>
    <s v="REVENUS"/>
    <x v="8"/>
    <s v="4091.001"/>
    <s v="Impôt récupéré après défalcations"/>
    <n v="0"/>
    <n v="194.66"/>
    <n v="4091"/>
  </r>
  <r>
    <x v="0"/>
    <x v="7"/>
    <x v="6"/>
    <x v="144"/>
    <x v="126"/>
    <x v="126"/>
    <s v="REVENUS"/>
    <x v="10"/>
    <s v="4041.002"/>
    <s v="Complément droit de mutation"/>
    <n v="0"/>
    <n v="3593.35"/>
    <n v="4041"/>
  </r>
  <r>
    <x v="0"/>
    <x v="7"/>
    <x v="6"/>
    <x v="144"/>
    <x v="126"/>
    <x v="126"/>
    <s v="REVENUS"/>
    <x v="4"/>
    <s v="4051.002"/>
    <s v="Impôt sur les donations"/>
    <n v="0"/>
    <n v="16292.9"/>
    <n v="4051"/>
  </r>
  <r>
    <x v="0"/>
    <x v="7"/>
    <x v="6"/>
    <x v="144"/>
    <x v="126"/>
    <x v="126"/>
    <s v="REVENUS"/>
    <x v="2"/>
    <s v="4001.003"/>
    <s v="Impôt s/prest. cap. PP"/>
    <n v="0"/>
    <n v="3901.1"/>
    <n v="4001"/>
  </r>
  <r>
    <x v="0"/>
    <x v="7"/>
    <x v="6"/>
    <x v="145"/>
    <x v="120"/>
    <x v="120"/>
    <s v="CHARGES"/>
    <x v="0"/>
    <s v="3212.002"/>
    <s v="Intérêts bonifiés/trop perçu acompte C/C"/>
    <n v="-5.44"/>
    <n v="0"/>
    <n v="3212"/>
  </r>
  <r>
    <x v="0"/>
    <x v="7"/>
    <x v="6"/>
    <x v="145"/>
    <x v="120"/>
    <x v="120"/>
    <s v="CHARGES"/>
    <x v="0"/>
    <s v="3212.004"/>
    <s v="Intérêts rémun./perçu trop tôt sur acomptes C/C"/>
    <n v="-32.9"/>
    <n v="0"/>
    <n v="3212"/>
  </r>
  <r>
    <x v="0"/>
    <x v="7"/>
    <x v="6"/>
    <x v="145"/>
    <x v="120"/>
    <x v="120"/>
    <s v="CHARGES"/>
    <x v="1"/>
    <s v="3301.001"/>
    <s v="Défalcations, abandons de solde PP et IS"/>
    <n v="-14.47"/>
    <n v="0"/>
    <n v="3301"/>
  </r>
  <r>
    <x v="0"/>
    <x v="7"/>
    <x v="6"/>
    <x v="145"/>
    <x v="120"/>
    <x v="120"/>
    <s v="CHARGES"/>
    <x v="0"/>
    <s v="3212.004"/>
    <s v="Intérêts rémun./perçu trop tôt sur acomptes C/C"/>
    <n v="27.33"/>
    <n v="0"/>
    <n v="3212"/>
  </r>
  <r>
    <x v="0"/>
    <x v="7"/>
    <x v="6"/>
    <x v="145"/>
    <x v="120"/>
    <x v="120"/>
    <s v="CHARGES"/>
    <x v="0"/>
    <s v="3221.002"/>
    <s v="Intérêts compensatoires / créances en faveur ctb."/>
    <n v="-11.52"/>
    <n v="0"/>
    <n v="3221"/>
  </r>
  <r>
    <x v="0"/>
    <x v="7"/>
    <x v="6"/>
    <x v="145"/>
    <x v="120"/>
    <x v="120"/>
    <s v="CHARGES"/>
    <x v="1"/>
    <s v="3301.001"/>
    <s v="Défalcations, abandons de solde PP et IS"/>
    <n v="9.9700000000000006"/>
    <n v="0"/>
    <n v="3301"/>
  </r>
  <r>
    <x v="0"/>
    <x v="7"/>
    <x v="6"/>
    <x v="145"/>
    <x v="120"/>
    <x v="120"/>
    <s v="CHARGES"/>
    <x v="0"/>
    <s v="3221.002"/>
    <s v="Intérêts compensatoires / créances en faveur ctb."/>
    <n v="0.02"/>
    <n v="0"/>
    <n v="3221"/>
  </r>
  <r>
    <x v="0"/>
    <x v="7"/>
    <x v="6"/>
    <x v="145"/>
    <x v="120"/>
    <x v="120"/>
    <s v="REVENUS"/>
    <x v="6"/>
    <s v="4211.001"/>
    <s v="Intérêts de retard sur factures"/>
    <n v="0"/>
    <n v="1243.29"/>
    <n v="4211"/>
  </r>
  <r>
    <x v="0"/>
    <x v="7"/>
    <x v="6"/>
    <x v="145"/>
    <x v="120"/>
    <x v="120"/>
    <s v="REVENUS"/>
    <x v="8"/>
    <s v="4091.001"/>
    <s v="Impôt récupéré après défalcations"/>
    <n v="0"/>
    <n v="1108.57"/>
    <n v="4091"/>
  </r>
  <r>
    <x v="0"/>
    <x v="7"/>
    <x v="6"/>
    <x v="145"/>
    <x v="120"/>
    <x v="120"/>
    <s v="REVENUS"/>
    <x v="2"/>
    <s v="4001.001"/>
    <s v="Impôt revenu"/>
    <n v="0"/>
    <n v="-117792"/>
    <n v="4001"/>
  </r>
  <r>
    <x v="0"/>
    <x v="7"/>
    <x v="6"/>
    <x v="145"/>
    <x v="120"/>
    <x v="120"/>
    <s v="REVENUS"/>
    <x v="3"/>
    <s v="4002.001"/>
    <s v="Impôt ordinaire s/fortune PP"/>
    <n v="0"/>
    <n v="-17586.5"/>
    <n v="4002"/>
  </r>
  <r>
    <x v="0"/>
    <x v="7"/>
    <x v="6"/>
    <x v="145"/>
    <x v="120"/>
    <x v="120"/>
    <s v="REVENUS"/>
    <x v="6"/>
    <s v="4221.003"/>
    <s v="Intérêts compensat. / acomptes en faveur du fisc"/>
    <n v="0"/>
    <n v="-900.98"/>
    <n v="4221"/>
  </r>
  <r>
    <x v="0"/>
    <x v="7"/>
    <x v="6"/>
    <x v="145"/>
    <x v="120"/>
    <x v="120"/>
    <s v="REVENUS"/>
    <x v="2"/>
    <s v="4001.002"/>
    <s v="Impôt complément s/revenu PP"/>
    <n v="0"/>
    <n v="129331"/>
    <n v="4001"/>
  </r>
  <r>
    <x v="0"/>
    <x v="7"/>
    <x v="6"/>
    <x v="145"/>
    <x v="120"/>
    <x v="120"/>
    <s v="REVENUS"/>
    <x v="3"/>
    <s v="4002.002"/>
    <s v="Impôt complémentaire s/fortune PP"/>
    <n v="0"/>
    <n v="19708.5"/>
    <n v="4002"/>
  </r>
  <r>
    <x v="0"/>
    <x v="7"/>
    <x v="6"/>
    <x v="145"/>
    <x v="120"/>
    <x v="120"/>
    <s v="REVENUS"/>
    <x v="6"/>
    <s v="4221.003"/>
    <s v="Intérêts compensat. / acomptes en faveur du fisc"/>
    <n v="0"/>
    <n v="77.84"/>
    <n v="4221"/>
  </r>
  <r>
    <x v="0"/>
    <x v="7"/>
    <x v="6"/>
    <x v="145"/>
    <x v="120"/>
    <x v="120"/>
    <s v="REVENUS"/>
    <x v="7"/>
    <s v="4184.000"/>
    <s v="Frais de poursuite"/>
    <n v="0"/>
    <n v="47.88"/>
    <n v="4184"/>
  </r>
  <r>
    <x v="0"/>
    <x v="7"/>
    <x v="6"/>
    <x v="145"/>
    <x v="120"/>
    <x v="120"/>
    <s v="REVENUS"/>
    <x v="6"/>
    <s v="4211.001"/>
    <s v="Intérêts de retard sur factures"/>
    <n v="0"/>
    <n v="-21.73"/>
    <n v="4211"/>
  </r>
  <r>
    <x v="0"/>
    <x v="7"/>
    <x v="6"/>
    <x v="145"/>
    <x v="120"/>
    <x v="120"/>
    <s v="REVENUS"/>
    <x v="6"/>
    <s v="4211.002"/>
    <s v="Intérêts de retard sur acomptes"/>
    <n v="0"/>
    <n v="-398.08"/>
    <n v="4211"/>
  </r>
  <r>
    <x v="0"/>
    <x v="7"/>
    <x v="6"/>
    <x v="145"/>
    <x v="120"/>
    <x v="120"/>
    <s v="REVENUS"/>
    <x v="6"/>
    <s v="4211.002"/>
    <s v="Intérêts de retard sur acomptes"/>
    <n v="0"/>
    <n v="398.19"/>
    <n v="4211"/>
  </r>
  <r>
    <x v="0"/>
    <x v="7"/>
    <x v="6"/>
    <x v="145"/>
    <x v="120"/>
    <x v="120"/>
    <s v="REVENUS"/>
    <x v="2"/>
    <s v="4001.001"/>
    <s v="Impôt revenu"/>
    <n v="0"/>
    <n v="-36915"/>
    <n v="4001"/>
  </r>
  <r>
    <x v="0"/>
    <x v="7"/>
    <x v="6"/>
    <x v="146"/>
    <x v="120"/>
    <x v="120"/>
    <s v="CHARGES"/>
    <x v="0"/>
    <s v="3212.002"/>
    <s v="Intérêts bonifiés/trop perçu acompte C/C"/>
    <n v="186.41"/>
    <n v="0"/>
    <n v="3212"/>
  </r>
  <r>
    <x v="0"/>
    <x v="7"/>
    <x v="6"/>
    <x v="146"/>
    <x v="120"/>
    <x v="120"/>
    <s v="CHARGES"/>
    <x v="0"/>
    <s v="3212.004"/>
    <s v="Intérêts rémun./perçu trop tôt sur acomptes C/C"/>
    <n v="3981.61"/>
    <n v="0"/>
    <n v="3212"/>
  </r>
  <r>
    <x v="0"/>
    <x v="7"/>
    <x v="6"/>
    <x v="146"/>
    <x v="120"/>
    <x v="120"/>
    <s v="CHARGES"/>
    <x v="0"/>
    <s v="3221.002"/>
    <s v="Intérêts compensatoires / créances en faveur ctb."/>
    <n v="2274.98"/>
    <n v="0"/>
    <n v="3221"/>
  </r>
  <r>
    <x v="0"/>
    <x v="7"/>
    <x v="6"/>
    <x v="146"/>
    <x v="120"/>
    <x v="120"/>
    <s v="CHARGES"/>
    <x v="1"/>
    <s v="3301.001"/>
    <s v="Défalcations, abandons de solde PP et IS"/>
    <n v="-36200.03"/>
    <n v="0"/>
    <n v="3301"/>
  </r>
  <r>
    <x v="0"/>
    <x v="7"/>
    <x v="6"/>
    <x v="146"/>
    <x v="120"/>
    <x v="120"/>
    <s v="CHARGES"/>
    <x v="0"/>
    <s v="3212.004"/>
    <s v="Intérêts rémun./perçu trop tôt sur acomptes C/C"/>
    <n v="69.040000000000006"/>
    <n v="0"/>
    <n v="3212"/>
  </r>
  <r>
    <x v="0"/>
    <x v="7"/>
    <x v="6"/>
    <x v="146"/>
    <x v="120"/>
    <x v="120"/>
    <s v="CHARGES"/>
    <x v="0"/>
    <s v="3221.002"/>
    <s v="Intérêts compensatoires / créances en faveur ctb."/>
    <n v="44.19"/>
    <n v="0"/>
    <n v="3221"/>
  </r>
  <r>
    <x v="0"/>
    <x v="7"/>
    <x v="6"/>
    <x v="146"/>
    <x v="120"/>
    <x v="120"/>
    <s v="CHARGES"/>
    <x v="1"/>
    <s v="3301.001"/>
    <s v="Défalcations, abandons de solde PP et IS"/>
    <n v="336.74"/>
    <n v="0"/>
    <n v="3301"/>
  </r>
  <r>
    <x v="0"/>
    <x v="7"/>
    <x v="6"/>
    <x v="146"/>
    <x v="120"/>
    <x v="120"/>
    <s v="CHARGES"/>
    <x v="0"/>
    <s v="3212.002"/>
    <s v="Intérêts bonifiés/trop perçu acompte C/C"/>
    <n v="0.19"/>
    <n v="0"/>
    <n v="3212"/>
  </r>
  <r>
    <x v="0"/>
    <x v="7"/>
    <x v="6"/>
    <x v="146"/>
    <x v="120"/>
    <x v="120"/>
    <s v="CHARGES"/>
    <x v="0"/>
    <s v="3212.004"/>
    <s v="Intérêts rémun./perçu trop tôt sur acomptes C/C"/>
    <n v="0.4"/>
    <n v="0"/>
    <n v="3212"/>
  </r>
  <r>
    <x v="0"/>
    <x v="7"/>
    <x v="6"/>
    <x v="146"/>
    <x v="120"/>
    <x v="120"/>
    <s v="CHARGES"/>
    <x v="0"/>
    <s v="3221.002"/>
    <s v="Intérêts compensatoires / créances en faveur ctb."/>
    <n v="0.22"/>
    <n v="0"/>
    <n v="3221"/>
  </r>
  <r>
    <x v="0"/>
    <x v="7"/>
    <x v="6"/>
    <x v="146"/>
    <x v="120"/>
    <x v="120"/>
    <s v="CHARGES"/>
    <x v="0"/>
    <s v="3212.004"/>
    <s v="Intérêts rémun./perçu trop tôt sur acomptes C/C"/>
    <n v="6.44"/>
    <n v="0"/>
    <n v="3212"/>
  </r>
  <r>
    <x v="0"/>
    <x v="7"/>
    <x v="6"/>
    <x v="146"/>
    <x v="120"/>
    <x v="120"/>
    <s v="CHARGES"/>
    <x v="0"/>
    <s v="3212.004"/>
    <s v="Intérêts rémun./perçu trop tôt sur acomptes C/C"/>
    <n v="-25.82"/>
    <n v="0"/>
    <n v="3212"/>
  </r>
  <r>
    <x v="0"/>
    <x v="7"/>
    <x v="6"/>
    <x v="146"/>
    <x v="120"/>
    <x v="120"/>
    <s v="CHARGES"/>
    <x v="0"/>
    <s v="3221.002"/>
    <s v="Intérêts compensatoires / créances en faveur ctb."/>
    <n v="-0.01"/>
    <n v="0"/>
    <n v="3221"/>
  </r>
  <r>
    <x v="0"/>
    <x v="7"/>
    <x v="6"/>
    <x v="146"/>
    <x v="120"/>
    <x v="120"/>
    <s v="CHARGES"/>
    <x v="0"/>
    <s v="3212.004"/>
    <s v="Intérêts rémun./perçu trop tôt sur acomptes C/C"/>
    <n v="-5.61"/>
    <n v="0"/>
    <n v="3212"/>
  </r>
  <r>
    <x v="0"/>
    <x v="7"/>
    <x v="6"/>
    <x v="146"/>
    <x v="120"/>
    <x v="120"/>
    <s v="CHARGES"/>
    <x v="0"/>
    <s v="3221.002"/>
    <s v="Intérêts compensatoires / créances en faveur ctb."/>
    <n v="-9.06"/>
    <n v="0"/>
    <n v="3221"/>
  </r>
  <r>
    <x v="0"/>
    <x v="7"/>
    <x v="6"/>
    <x v="146"/>
    <x v="120"/>
    <x v="120"/>
    <s v="CHARGES"/>
    <x v="0"/>
    <s v="3221.002"/>
    <s v="Intérêts compensatoires / créances en faveur ctb."/>
    <n v="4.34"/>
    <n v="0"/>
    <n v="3221"/>
  </r>
  <r>
    <x v="0"/>
    <x v="7"/>
    <x v="6"/>
    <x v="146"/>
    <x v="120"/>
    <x v="120"/>
    <s v="CHARGES"/>
    <x v="0"/>
    <s v="3212.004"/>
    <s v="Intérêts rémun./perçu trop tôt sur acomptes C/C"/>
    <n v="42.62"/>
    <n v="0"/>
    <n v="3212"/>
  </r>
  <r>
    <x v="0"/>
    <x v="7"/>
    <x v="6"/>
    <x v="146"/>
    <x v="120"/>
    <x v="120"/>
    <s v="CHARGES"/>
    <x v="0"/>
    <s v="3221.002"/>
    <s v="Intérêts compensatoires / créances en faveur ctb."/>
    <n v="5.32"/>
    <n v="0"/>
    <n v="3221"/>
  </r>
  <r>
    <x v="0"/>
    <x v="7"/>
    <x v="6"/>
    <x v="146"/>
    <x v="120"/>
    <x v="120"/>
    <s v="CHARGES"/>
    <x v="0"/>
    <s v="3212.002"/>
    <s v="Intérêts bonifiés/trop perçu acompte C/C"/>
    <n v="0.23"/>
    <n v="0"/>
    <n v="3212"/>
  </r>
  <r>
    <x v="0"/>
    <x v="7"/>
    <x v="6"/>
    <x v="146"/>
    <x v="120"/>
    <x v="120"/>
    <s v="CHARGES"/>
    <x v="1"/>
    <s v="3301.001"/>
    <s v="Défalcations, abandons de solde PP et IS"/>
    <n v="0.61"/>
    <n v="0"/>
    <n v="3301"/>
  </r>
  <r>
    <x v="0"/>
    <x v="7"/>
    <x v="6"/>
    <x v="146"/>
    <x v="120"/>
    <x v="120"/>
    <s v="CHARGES"/>
    <x v="1"/>
    <s v="3301.001"/>
    <s v="Défalcations, abandons de solde PP et IS"/>
    <n v="6757.12"/>
    <n v="0"/>
    <n v="3301"/>
  </r>
  <r>
    <x v="0"/>
    <x v="7"/>
    <x v="6"/>
    <x v="146"/>
    <x v="120"/>
    <x v="120"/>
    <s v="CHARGES"/>
    <x v="1"/>
    <s v="3301.003"/>
    <s v="Remises PP et IS"/>
    <n v="1783.25"/>
    <n v="0"/>
    <n v="3301"/>
  </r>
  <r>
    <x v="0"/>
    <x v="7"/>
    <x v="6"/>
    <x v="146"/>
    <x v="120"/>
    <x v="120"/>
    <s v="CHARGES"/>
    <x v="1"/>
    <s v="3301.001"/>
    <s v="Défalcations, abandons de solde PP et IS"/>
    <n v="0.97"/>
    <n v="0"/>
    <n v="3301"/>
  </r>
  <r>
    <x v="0"/>
    <x v="7"/>
    <x v="6"/>
    <x v="146"/>
    <x v="120"/>
    <x v="120"/>
    <s v="CHARGES"/>
    <x v="0"/>
    <s v="3212.002"/>
    <s v="Intérêts bonifiés/trop perçu acompte C/C"/>
    <n v="0.66"/>
    <n v="0"/>
    <n v="3212"/>
  </r>
  <r>
    <x v="0"/>
    <x v="7"/>
    <x v="6"/>
    <x v="146"/>
    <x v="120"/>
    <x v="120"/>
    <s v="CHARGES"/>
    <x v="1"/>
    <s v="3301.001"/>
    <s v="Défalcations, abandons de solde PP et IS"/>
    <n v="0.37"/>
    <n v="0"/>
    <n v="3301"/>
  </r>
  <r>
    <x v="0"/>
    <x v="7"/>
    <x v="6"/>
    <x v="146"/>
    <x v="120"/>
    <x v="120"/>
    <s v="CHARGES"/>
    <x v="1"/>
    <s v="3301.001"/>
    <s v="Défalcations, abandons de solde PP et IS"/>
    <n v="0.73"/>
    <n v="0"/>
    <n v="3301"/>
  </r>
  <r>
    <x v="0"/>
    <x v="7"/>
    <x v="6"/>
    <x v="146"/>
    <x v="120"/>
    <x v="120"/>
    <s v="CHARGES"/>
    <x v="0"/>
    <s v="3212.004"/>
    <s v="Intérêts rémun./perçu trop tôt sur acomptes C/C"/>
    <n v="3.08"/>
    <n v="0"/>
    <n v="3212"/>
  </r>
  <r>
    <x v="0"/>
    <x v="7"/>
    <x v="6"/>
    <x v="146"/>
    <x v="120"/>
    <x v="120"/>
    <s v="CHARGES"/>
    <x v="0"/>
    <s v="3221.002"/>
    <s v="Intérêts compensatoires / créances en faveur ctb."/>
    <n v="0.43"/>
    <n v="0"/>
    <n v="3221"/>
  </r>
  <r>
    <x v="0"/>
    <x v="7"/>
    <x v="6"/>
    <x v="146"/>
    <x v="120"/>
    <x v="120"/>
    <s v="CHARGES"/>
    <x v="1"/>
    <s v="3301.001"/>
    <s v="Défalcations, abandons de solde PP et IS"/>
    <n v="-5.0999999999999996"/>
    <n v="0"/>
    <n v="3301"/>
  </r>
  <r>
    <x v="0"/>
    <x v="7"/>
    <x v="6"/>
    <x v="146"/>
    <x v="120"/>
    <x v="120"/>
    <s v="CHARGES"/>
    <x v="0"/>
    <s v="3212.002"/>
    <s v="Intérêts bonifiés/trop perçu acompte C/C"/>
    <n v="3.31"/>
    <n v="0"/>
    <n v="3212"/>
  </r>
  <r>
    <x v="0"/>
    <x v="7"/>
    <x v="6"/>
    <x v="146"/>
    <x v="120"/>
    <x v="120"/>
    <s v="CHARGES"/>
    <x v="0"/>
    <s v="3212.002"/>
    <s v="Intérêts bonifiés/trop perçu acompte C/C"/>
    <n v="-0.11"/>
    <n v="0"/>
    <n v="3212"/>
  </r>
  <r>
    <x v="0"/>
    <x v="7"/>
    <x v="6"/>
    <x v="146"/>
    <x v="120"/>
    <x v="120"/>
    <s v="REVENUS"/>
    <x v="2"/>
    <s v="4001.007"/>
    <s v="Acompte impôt sur revenu"/>
    <n v="0"/>
    <n v="10764.29"/>
    <n v="4001"/>
  </r>
  <r>
    <x v="0"/>
    <x v="7"/>
    <x v="6"/>
    <x v="146"/>
    <x v="120"/>
    <x v="120"/>
    <s v="REVENUS"/>
    <x v="3"/>
    <s v="4002.007"/>
    <s v="Acompte impôt sur fortune"/>
    <n v="0"/>
    <n v="23144.03"/>
    <n v="4002"/>
  </r>
  <r>
    <x v="0"/>
    <x v="7"/>
    <x v="6"/>
    <x v="146"/>
    <x v="120"/>
    <x v="120"/>
    <s v="REVENUS"/>
    <x v="2"/>
    <s v="4001.007"/>
    <s v="Acompte impôt sur revenu"/>
    <n v="0"/>
    <n v="-5104.07"/>
    <n v="4001"/>
  </r>
  <r>
    <x v="0"/>
    <x v="7"/>
    <x v="6"/>
    <x v="146"/>
    <x v="120"/>
    <x v="120"/>
    <s v="REVENUS"/>
    <x v="3"/>
    <s v="4002.007"/>
    <s v="Acompte impôt sur fortune"/>
    <n v="0"/>
    <n v="-2135.0300000000002"/>
    <n v="4002"/>
  </r>
  <r>
    <x v="0"/>
    <x v="7"/>
    <x v="6"/>
    <x v="146"/>
    <x v="120"/>
    <x v="120"/>
    <s v="REVENUS"/>
    <x v="2"/>
    <s v="4001.001"/>
    <s v="Impôt revenu"/>
    <n v="0"/>
    <n v="21506.7"/>
    <n v="4001"/>
  </r>
  <r>
    <x v="0"/>
    <x v="7"/>
    <x v="6"/>
    <x v="146"/>
    <x v="120"/>
    <x v="120"/>
    <s v="REVENUS"/>
    <x v="3"/>
    <s v="4002.001"/>
    <s v="Impôt ordinaire s/fortune PP"/>
    <n v="0"/>
    <n v="12096.4"/>
    <n v="4002"/>
  </r>
  <r>
    <x v="0"/>
    <x v="7"/>
    <x v="6"/>
    <x v="146"/>
    <x v="120"/>
    <x v="120"/>
    <s v="REVENUS"/>
    <x v="6"/>
    <s v="4211.002"/>
    <s v="Intérêts de retard sur acomptes"/>
    <n v="0"/>
    <n v="86.28"/>
    <n v="4211"/>
  </r>
  <r>
    <x v="0"/>
    <x v="7"/>
    <x v="6"/>
    <x v="146"/>
    <x v="120"/>
    <x v="120"/>
    <s v="REVENUS"/>
    <x v="2"/>
    <s v="4001.001"/>
    <s v="Impôt revenu"/>
    <n v="0"/>
    <n v="12278466.9"/>
    <n v="4001"/>
  </r>
  <r>
    <x v="0"/>
    <x v="7"/>
    <x v="6"/>
    <x v="146"/>
    <x v="120"/>
    <x v="120"/>
    <s v="REVENUS"/>
    <x v="2"/>
    <s v="4001.007"/>
    <s v="Acompte impôt sur revenu"/>
    <n v="0"/>
    <n v="161421.78"/>
    <n v="4001"/>
  </r>
  <r>
    <x v="0"/>
    <x v="7"/>
    <x v="6"/>
    <x v="146"/>
    <x v="120"/>
    <x v="120"/>
    <s v="REVENUS"/>
    <x v="3"/>
    <s v="4002.001"/>
    <s v="Impôt ordinaire s/fortune PP"/>
    <n v="0"/>
    <n v="2533781.1"/>
    <n v="4002"/>
  </r>
  <r>
    <x v="0"/>
    <x v="7"/>
    <x v="6"/>
    <x v="146"/>
    <x v="120"/>
    <x v="120"/>
    <s v="REVENUS"/>
    <x v="3"/>
    <s v="4002.007"/>
    <s v="Acompte impôt sur fortune"/>
    <n v="0"/>
    <n v="331813.08"/>
    <n v="4002"/>
  </r>
  <r>
    <x v="0"/>
    <x v="7"/>
    <x v="6"/>
    <x v="146"/>
    <x v="120"/>
    <x v="120"/>
    <s v="REVENUS"/>
    <x v="6"/>
    <s v="4211.001"/>
    <s v="Intérêts de retard sur factures"/>
    <n v="0"/>
    <n v="38688.959999999999"/>
    <n v="4211"/>
  </r>
  <r>
    <x v="0"/>
    <x v="7"/>
    <x v="6"/>
    <x v="146"/>
    <x v="120"/>
    <x v="120"/>
    <s v="REVENUS"/>
    <x v="6"/>
    <s v="4211.002"/>
    <s v="Intérêts de retard sur acomptes"/>
    <n v="0"/>
    <n v="81152.39"/>
    <n v="4211"/>
  </r>
  <r>
    <x v="0"/>
    <x v="7"/>
    <x v="6"/>
    <x v="146"/>
    <x v="120"/>
    <x v="120"/>
    <s v="REVENUS"/>
    <x v="6"/>
    <s v="4221.003"/>
    <s v="Intérêts compensat. / acomptes en faveur du fisc"/>
    <n v="0"/>
    <n v="1710.33"/>
    <n v="4221"/>
  </r>
  <r>
    <x v="0"/>
    <x v="7"/>
    <x v="6"/>
    <x v="146"/>
    <x v="120"/>
    <x v="120"/>
    <s v="REVENUS"/>
    <x v="3"/>
    <s v="4002.001"/>
    <s v="Impôt ordinaire s/fortune PP"/>
    <n v="0"/>
    <n v="77364.850000000006"/>
    <n v="4002"/>
  </r>
  <r>
    <x v="0"/>
    <x v="7"/>
    <x v="6"/>
    <x v="146"/>
    <x v="120"/>
    <x v="120"/>
    <s v="REVENUS"/>
    <x v="2"/>
    <s v="4001.002"/>
    <s v="Impôt complément s/revenu PP"/>
    <n v="0"/>
    <n v="2115008.7000000002"/>
    <n v="4001"/>
  </r>
  <r>
    <x v="0"/>
    <x v="7"/>
    <x v="6"/>
    <x v="146"/>
    <x v="120"/>
    <x v="120"/>
    <s v="REVENUS"/>
    <x v="7"/>
    <s v="4184.000"/>
    <s v="Frais de poursuite"/>
    <n v="0"/>
    <n v="7634.88"/>
    <n v="4184"/>
  </r>
  <r>
    <x v="0"/>
    <x v="7"/>
    <x v="6"/>
    <x v="146"/>
    <x v="120"/>
    <x v="120"/>
    <s v="REVENUS"/>
    <x v="6"/>
    <s v="4221.003"/>
    <s v="Intérêts compensat. / acomptes en faveur du fisc"/>
    <n v="0"/>
    <n v="48.47"/>
    <n v="4221"/>
  </r>
  <r>
    <x v="0"/>
    <x v="7"/>
    <x v="6"/>
    <x v="146"/>
    <x v="120"/>
    <x v="120"/>
    <s v="REVENUS"/>
    <x v="6"/>
    <s v="4211.001"/>
    <s v="Intérêts de retard sur factures"/>
    <n v="0"/>
    <n v="772.93"/>
    <n v="4211"/>
  </r>
  <r>
    <x v="0"/>
    <x v="7"/>
    <x v="6"/>
    <x v="146"/>
    <x v="120"/>
    <x v="120"/>
    <s v="REVENUS"/>
    <x v="2"/>
    <s v="4001.001"/>
    <s v="Impôt revenu"/>
    <n v="0"/>
    <n v="1159.25"/>
    <n v="4001"/>
  </r>
  <r>
    <x v="0"/>
    <x v="7"/>
    <x v="6"/>
    <x v="146"/>
    <x v="120"/>
    <x v="120"/>
    <s v="REVENUS"/>
    <x v="2"/>
    <s v="4001.007"/>
    <s v="Acompte impôt sur revenu"/>
    <n v="0"/>
    <n v="-338.48"/>
    <n v="4001"/>
  </r>
  <r>
    <x v="0"/>
    <x v="7"/>
    <x v="6"/>
    <x v="146"/>
    <x v="120"/>
    <x v="120"/>
    <s v="REVENUS"/>
    <x v="3"/>
    <s v="4002.001"/>
    <s v="Impôt ordinaire s/fortune PP"/>
    <n v="0"/>
    <n v="358.65"/>
    <n v="4002"/>
  </r>
  <r>
    <x v="0"/>
    <x v="7"/>
    <x v="6"/>
    <x v="146"/>
    <x v="120"/>
    <x v="120"/>
    <s v="REVENUS"/>
    <x v="3"/>
    <s v="4002.007"/>
    <s v="Acompte impôt sur fortune"/>
    <n v="0"/>
    <n v="-66.22"/>
    <n v="4002"/>
  </r>
  <r>
    <x v="0"/>
    <x v="7"/>
    <x v="6"/>
    <x v="146"/>
    <x v="120"/>
    <x v="120"/>
    <s v="REVENUS"/>
    <x v="2"/>
    <s v="4001.001"/>
    <s v="Impôt revenu"/>
    <n v="0"/>
    <n v="-53671.95"/>
    <n v="4001"/>
  </r>
  <r>
    <x v="0"/>
    <x v="7"/>
    <x v="6"/>
    <x v="146"/>
    <x v="120"/>
    <x v="120"/>
    <s v="REVENUS"/>
    <x v="3"/>
    <s v="4002.001"/>
    <s v="Impôt ordinaire s/fortune PP"/>
    <n v="0"/>
    <n v="-9600.5"/>
    <n v="4002"/>
  </r>
  <r>
    <x v="0"/>
    <x v="7"/>
    <x v="6"/>
    <x v="146"/>
    <x v="120"/>
    <x v="120"/>
    <s v="REVENUS"/>
    <x v="3"/>
    <s v="4002.002"/>
    <s v="Impôt complémentaire s/fortune PP"/>
    <n v="0"/>
    <n v="471645.45"/>
    <n v="4002"/>
  </r>
  <r>
    <x v="0"/>
    <x v="7"/>
    <x v="6"/>
    <x v="146"/>
    <x v="120"/>
    <x v="120"/>
    <s v="REVENUS"/>
    <x v="6"/>
    <s v="4211.001"/>
    <s v="Intérêts de retard sur factures"/>
    <n v="0"/>
    <n v="6.98"/>
    <n v="4211"/>
  </r>
  <r>
    <x v="0"/>
    <x v="7"/>
    <x v="6"/>
    <x v="146"/>
    <x v="120"/>
    <x v="120"/>
    <s v="REVENUS"/>
    <x v="2"/>
    <s v="4001.003"/>
    <s v="Impôt s/prest. cap. PP"/>
    <n v="0"/>
    <n v="373109.9"/>
    <n v="4001"/>
  </r>
  <r>
    <x v="0"/>
    <x v="7"/>
    <x v="6"/>
    <x v="146"/>
    <x v="120"/>
    <x v="120"/>
    <s v="REVENUS"/>
    <x v="9"/>
    <s v="4031.001"/>
    <s v="Impôt sur les gains immobiliers"/>
    <n v="0"/>
    <n v="639683.05000000005"/>
    <n v="4031"/>
  </r>
  <r>
    <x v="0"/>
    <x v="7"/>
    <x v="6"/>
    <x v="146"/>
    <x v="120"/>
    <x v="120"/>
    <s v="REVENUS"/>
    <x v="6"/>
    <s v="4221.002"/>
    <s v="Intérêts compensat. sur impôts distincts"/>
    <n v="0"/>
    <n v="142.24"/>
    <n v="4221"/>
  </r>
  <r>
    <x v="0"/>
    <x v="7"/>
    <x v="6"/>
    <x v="146"/>
    <x v="120"/>
    <x v="120"/>
    <s v="REVENUS"/>
    <x v="3"/>
    <s v="4002.001"/>
    <s v="Impôt ordinaire s/fortune PP"/>
    <n v="0"/>
    <n v="783.5"/>
    <n v="4002"/>
  </r>
  <r>
    <x v="0"/>
    <x v="7"/>
    <x v="6"/>
    <x v="146"/>
    <x v="120"/>
    <x v="120"/>
    <s v="REVENUS"/>
    <x v="2"/>
    <s v="4001.001"/>
    <s v="Impôt revenu"/>
    <n v="0"/>
    <n v="115128.85"/>
    <n v="4001"/>
  </r>
  <r>
    <x v="0"/>
    <x v="7"/>
    <x v="6"/>
    <x v="146"/>
    <x v="120"/>
    <x v="120"/>
    <s v="REVENUS"/>
    <x v="10"/>
    <s v="4041.001"/>
    <s v="Droits de mutation"/>
    <n v="0"/>
    <n v="669666.55000000005"/>
    <n v="4041"/>
  </r>
  <r>
    <x v="0"/>
    <x v="7"/>
    <x v="6"/>
    <x v="146"/>
    <x v="120"/>
    <x v="120"/>
    <s v="REVENUS"/>
    <x v="11"/>
    <s v="4198.000"/>
    <s v="Contributions communales"/>
    <n v="0"/>
    <n v="2049530.45"/>
    <n v="4198"/>
  </r>
  <r>
    <x v="0"/>
    <x v="7"/>
    <x v="6"/>
    <x v="146"/>
    <x v="120"/>
    <x v="120"/>
    <s v="REVENUS"/>
    <x v="3"/>
    <s v="4002.001"/>
    <s v="Impôt ordinaire s/fortune PP"/>
    <n v="0"/>
    <n v="3663.4"/>
    <n v="4002"/>
  </r>
  <r>
    <x v="0"/>
    <x v="7"/>
    <x v="6"/>
    <x v="146"/>
    <x v="120"/>
    <x v="120"/>
    <s v="REVENUS"/>
    <x v="6"/>
    <s v="4211.002"/>
    <s v="Intérêts de retard sur acomptes"/>
    <n v="0"/>
    <n v="990.41"/>
    <n v="4211"/>
  </r>
  <r>
    <x v="0"/>
    <x v="7"/>
    <x v="6"/>
    <x v="146"/>
    <x v="120"/>
    <x v="120"/>
    <s v="REVENUS"/>
    <x v="2"/>
    <s v="4001.007"/>
    <s v="Acompte impôt sur revenu"/>
    <n v="0"/>
    <n v="182.51"/>
    <n v="4001"/>
  </r>
  <r>
    <x v="0"/>
    <x v="7"/>
    <x v="6"/>
    <x v="146"/>
    <x v="120"/>
    <x v="120"/>
    <s v="REVENUS"/>
    <x v="3"/>
    <s v="4002.007"/>
    <s v="Acompte impôt sur fortune"/>
    <n v="0"/>
    <n v="2452.08"/>
    <n v="4002"/>
  </r>
  <r>
    <x v="0"/>
    <x v="7"/>
    <x v="6"/>
    <x v="146"/>
    <x v="120"/>
    <x v="120"/>
    <s v="REVENUS"/>
    <x v="2"/>
    <s v="4001.002"/>
    <s v="Impôt complément s/revenu PP"/>
    <n v="0"/>
    <n v="2463.4499999999998"/>
    <n v="4001"/>
  </r>
  <r>
    <x v="0"/>
    <x v="7"/>
    <x v="6"/>
    <x v="146"/>
    <x v="120"/>
    <x v="120"/>
    <s v="REVENUS"/>
    <x v="3"/>
    <s v="4002.002"/>
    <s v="Impôt complémentaire s/fortune PP"/>
    <n v="0"/>
    <n v="5297.4"/>
    <n v="4002"/>
  </r>
  <r>
    <x v="0"/>
    <x v="7"/>
    <x v="6"/>
    <x v="146"/>
    <x v="120"/>
    <x v="120"/>
    <s v="REVENUS"/>
    <x v="6"/>
    <s v="4211.001"/>
    <s v="Intérêts de retard sur factures"/>
    <n v="0"/>
    <n v="273.2"/>
    <n v="4211"/>
  </r>
  <r>
    <x v="0"/>
    <x v="7"/>
    <x v="6"/>
    <x v="146"/>
    <x v="120"/>
    <x v="120"/>
    <s v="REVENUS"/>
    <x v="6"/>
    <s v="4211.002"/>
    <s v="Intérêts de retard sur acomptes"/>
    <n v="0"/>
    <n v="0.52"/>
    <n v="4211"/>
  </r>
  <r>
    <x v="0"/>
    <x v="7"/>
    <x v="6"/>
    <x v="146"/>
    <x v="120"/>
    <x v="120"/>
    <s v="REVENUS"/>
    <x v="5"/>
    <s v="4061.000"/>
    <s v="Impôt sur les chiens"/>
    <n v="0"/>
    <n v="26850"/>
    <n v="4061"/>
  </r>
  <r>
    <x v="0"/>
    <x v="7"/>
    <x v="6"/>
    <x v="146"/>
    <x v="120"/>
    <x v="120"/>
    <s v="REVENUS"/>
    <x v="2"/>
    <s v="4001.007"/>
    <s v="Acompte impôt sur revenu"/>
    <n v="0"/>
    <n v="3216.45"/>
    <n v="4001"/>
  </r>
  <r>
    <x v="0"/>
    <x v="7"/>
    <x v="6"/>
    <x v="146"/>
    <x v="120"/>
    <x v="120"/>
    <s v="REVENUS"/>
    <x v="3"/>
    <s v="4002.007"/>
    <s v="Acompte impôt sur fortune"/>
    <n v="0"/>
    <n v="-1012.75"/>
    <n v="4002"/>
  </r>
  <r>
    <x v="0"/>
    <x v="7"/>
    <x v="6"/>
    <x v="146"/>
    <x v="120"/>
    <x v="120"/>
    <s v="REVENUS"/>
    <x v="4"/>
    <s v="4051.001"/>
    <s v="Impôt sur les successions"/>
    <n v="0"/>
    <n v="1373.7"/>
    <n v="4051"/>
  </r>
  <r>
    <x v="0"/>
    <x v="7"/>
    <x v="6"/>
    <x v="146"/>
    <x v="120"/>
    <x v="120"/>
    <s v="REVENUS"/>
    <x v="7"/>
    <s v="4184.000"/>
    <s v="Frais de poursuite"/>
    <n v="0"/>
    <n v="141.13"/>
    <n v="4184"/>
  </r>
  <r>
    <x v="0"/>
    <x v="7"/>
    <x v="6"/>
    <x v="146"/>
    <x v="120"/>
    <x v="120"/>
    <s v="REVENUS"/>
    <x v="2"/>
    <s v="4001.001"/>
    <s v="Impôt revenu"/>
    <n v="0"/>
    <n v="17425.400000000001"/>
    <n v="4001"/>
  </r>
  <r>
    <x v="0"/>
    <x v="7"/>
    <x v="6"/>
    <x v="146"/>
    <x v="120"/>
    <x v="120"/>
    <s v="REVENUS"/>
    <x v="6"/>
    <s v="4211.002"/>
    <s v="Intérêts de retard sur acomptes"/>
    <n v="0"/>
    <n v="91.32"/>
    <n v="4211"/>
  </r>
  <r>
    <x v="0"/>
    <x v="7"/>
    <x v="6"/>
    <x v="146"/>
    <x v="120"/>
    <x v="120"/>
    <s v="REVENUS"/>
    <x v="4"/>
    <s v="4051.001"/>
    <s v="Impôt sur les successions"/>
    <n v="0"/>
    <n v="83771.199999999997"/>
    <n v="4051"/>
  </r>
  <r>
    <x v="0"/>
    <x v="7"/>
    <x v="6"/>
    <x v="146"/>
    <x v="120"/>
    <x v="120"/>
    <s v="REVENUS"/>
    <x v="2"/>
    <s v="4001.002"/>
    <s v="Impôt complément s/revenu PP"/>
    <n v="0"/>
    <n v="6281.6"/>
    <n v="4001"/>
  </r>
  <r>
    <x v="0"/>
    <x v="7"/>
    <x v="6"/>
    <x v="146"/>
    <x v="120"/>
    <x v="120"/>
    <s v="REVENUS"/>
    <x v="3"/>
    <s v="4002.002"/>
    <s v="Impôt complémentaire s/fortune PP"/>
    <n v="0"/>
    <n v="23032.7"/>
    <n v="4002"/>
  </r>
  <r>
    <x v="0"/>
    <x v="7"/>
    <x v="6"/>
    <x v="146"/>
    <x v="120"/>
    <x v="120"/>
    <s v="REVENUS"/>
    <x v="6"/>
    <s v="4221.002"/>
    <s v="Intérêts compensat. sur impôts distincts"/>
    <n v="0"/>
    <n v="0.16"/>
    <n v="4221"/>
  </r>
  <r>
    <x v="0"/>
    <x v="7"/>
    <x v="6"/>
    <x v="146"/>
    <x v="120"/>
    <x v="120"/>
    <s v="REVENUS"/>
    <x v="2"/>
    <s v="4001.007"/>
    <s v="Acompte impôt sur revenu"/>
    <n v="0"/>
    <n v="1832.16"/>
    <n v="4001"/>
  </r>
  <r>
    <x v="0"/>
    <x v="7"/>
    <x v="6"/>
    <x v="146"/>
    <x v="120"/>
    <x v="120"/>
    <s v="REVENUS"/>
    <x v="3"/>
    <s v="4002.007"/>
    <s v="Acompte impôt sur fortune"/>
    <n v="0"/>
    <n v="-76.02"/>
    <n v="4002"/>
  </r>
  <r>
    <x v="0"/>
    <x v="7"/>
    <x v="6"/>
    <x v="146"/>
    <x v="120"/>
    <x v="120"/>
    <s v="REVENUS"/>
    <x v="6"/>
    <s v="4211.001"/>
    <s v="Intérêts de retard sur factures"/>
    <n v="0"/>
    <n v="20.62"/>
    <n v="4211"/>
  </r>
  <r>
    <x v="0"/>
    <x v="7"/>
    <x v="6"/>
    <x v="146"/>
    <x v="120"/>
    <x v="120"/>
    <s v="REVENUS"/>
    <x v="3"/>
    <s v="4002.007"/>
    <s v="Acompte impôt sur fortune"/>
    <n v="0"/>
    <n v="8761.85"/>
    <n v="4002"/>
  </r>
  <r>
    <x v="0"/>
    <x v="7"/>
    <x v="6"/>
    <x v="146"/>
    <x v="120"/>
    <x v="120"/>
    <s v="REVENUS"/>
    <x v="2"/>
    <s v="4001.001"/>
    <s v="Impôt revenu"/>
    <n v="0"/>
    <n v="3532.2"/>
    <n v="4001"/>
  </r>
  <r>
    <x v="0"/>
    <x v="7"/>
    <x v="6"/>
    <x v="146"/>
    <x v="120"/>
    <x v="120"/>
    <s v="REVENUS"/>
    <x v="2"/>
    <s v="4001.007"/>
    <s v="Acompte impôt sur revenu"/>
    <n v="0"/>
    <n v="11598.2"/>
    <n v="4001"/>
  </r>
  <r>
    <x v="0"/>
    <x v="7"/>
    <x v="6"/>
    <x v="146"/>
    <x v="120"/>
    <x v="120"/>
    <s v="REVENUS"/>
    <x v="6"/>
    <s v="4221.003"/>
    <s v="Intérêts compensat. / acomptes en faveur du fisc"/>
    <n v="0"/>
    <n v="0.59"/>
    <n v="4221"/>
  </r>
  <r>
    <x v="0"/>
    <x v="7"/>
    <x v="6"/>
    <x v="146"/>
    <x v="120"/>
    <x v="120"/>
    <s v="REVENUS"/>
    <x v="2"/>
    <s v="4001.007"/>
    <s v="Acompte impôt sur revenu"/>
    <n v="0"/>
    <n v="303"/>
    <n v="4001"/>
  </r>
  <r>
    <x v="0"/>
    <x v="7"/>
    <x v="6"/>
    <x v="146"/>
    <x v="120"/>
    <x v="120"/>
    <s v="REVENUS"/>
    <x v="3"/>
    <s v="4002.007"/>
    <s v="Acompte impôt sur fortune"/>
    <n v="0"/>
    <n v="-0.75"/>
    <n v="4002"/>
  </r>
  <r>
    <x v="0"/>
    <x v="7"/>
    <x v="6"/>
    <x v="146"/>
    <x v="120"/>
    <x v="120"/>
    <s v="REVENUS"/>
    <x v="12"/>
    <s v="4004.007"/>
    <s v="Acompte spécial étrangers"/>
    <n v="0"/>
    <n v="138277.5"/>
    <n v="4004"/>
  </r>
  <r>
    <x v="0"/>
    <x v="7"/>
    <x v="6"/>
    <x v="146"/>
    <x v="120"/>
    <x v="120"/>
    <s v="REVENUS"/>
    <x v="2"/>
    <s v="4001.007"/>
    <s v="Acompte impôt sur revenu"/>
    <n v="0"/>
    <n v="-1340.58"/>
    <n v="4001"/>
  </r>
  <r>
    <x v="0"/>
    <x v="7"/>
    <x v="6"/>
    <x v="146"/>
    <x v="120"/>
    <x v="120"/>
    <s v="REVENUS"/>
    <x v="3"/>
    <s v="4002.007"/>
    <s v="Acompte impôt sur fortune"/>
    <n v="0"/>
    <n v="-162.94999999999999"/>
    <n v="4002"/>
  </r>
  <r>
    <x v="0"/>
    <x v="7"/>
    <x v="6"/>
    <x v="146"/>
    <x v="120"/>
    <x v="120"/>
    <s v="REVENUS"/>
    <x v="7"/>
    <s v="4184.000"/>
    <s v="Frais de poursuite"/>
    <n v="0"/>
    <n v="58.07"/>
    <n v="4184"/>
  </r>
  <r>
    <x v="0"/>
    <x v="7"/>
    <x v="6"/>
    <x v="146"/>
    <x v="120"/>
    <x v="120"/>
    <s v="REVENUS"/>
    <x v="8"/>
    <s v="4091.001"/>
    <s v="Impôt récupéré après défalcations"/>
    <n v="0"/>
    <n v="113.07"/>
    <n v="4091"/>
  </r>
  <r>
    <x v="0"/>
    <x v="7"/>
    <x v="6"/>
    <x v="146"/>
    <x v="120"/>
    <x v="120"/>
    <s v="REVENUS"/>
    <x v="3"/>
    <s v="4002.007"/>
    <s v="Acompte impôt sur fortune"/>
    <n v="0"/>
    <n v="-150.75"/>
    <n v="4002"/>
  </r>
  <r>
    <x v="0"/>
    <x v="7"/>
    <x v="6"/>
    <x v="146"/>
    <x v="120"/>
    <x v="120"/>
    <s v="REVENUS"/>
    <x v="6"/>
    <s v="4221.003"/>
    <s v="Intérêts compensat. / acomptes en faveur du fisc"/>
    <n v="0"/>
    <n v="3.33"/>
    <n v="4221"/>
  </r>
  <r>
    <x v="0"/>
    <x v="7"/>
    <x v="6"/>
    <x v="146"/>
    <x v="120"/>
    <x v="120"/>
    <s v="REVENUS"/>
    <x v="6"/>
    <s v="4211.001"/>
    <s v="Intérêts de retard sur factures"/>
    <n v="0"/>
    <n v="3.22"/>
    <n v="4211"/>
  </r>
  <r>
    <x v="0"/>
    <x v="7"/>
    <x v="6"/>
    <x v="146"/>
    <x v="120"/>
    <x v="120"/>
    <s v="REVENUS"/>
    <x v="3"/>
    <s v="4002.001"/>
    <s v="Impôt ordinaire s/fortune PP"/>
    <n v="0"/>
    <n v="45.15"/>
    <n v="4002"/>
  </r>
  <r>
    <x v="0"/>
    <x v="7"/>
    <x v="6"/>
    <x v="146"/>
    <x v="120"/>
    <x v="120"/>
    <s v="REVENUS"/>
    <x v="6"/>
    <s v="4211.002"/>
    <s v="Intérêts de retard sur acomptes"/>
    <n v="0"/>
    <n v="0.24"/>
    <n v="4211"/>
  </r>
  <r>
    <x v="0"/>
    <x v="7"/>
    <x v="6"/>
    <x v="146"/>
    <x v="120"/>
    <x v="120"/>
    <s v="REVENUS"/>
    <x v="2"/>
    <s v="4001.002"/>
    <s v="Impôt complément s/revenu PP"/>
    <n v="0"/>
    <n v="17355.099999999999"/>
    <n v="4001"/>
  </r>
  <r>
    <x v="0"/>
    <x v="7"/>
    <x v="6"/>
    <x v="146"/>
    <x v="120"/>
    <x v="120"/>
    <s v="REVENUS"/>
    <x v="3"/>
    <s v="4002.002"/>
    <s v="Impôt complémentaire s/fortune PP"/>
    <n v="0"/>
    <n v="24244.95"/>
    <n v="4002"/>
  </r>
  <r>
    <x v="0"/>
    <x v="7"/>
    <x v="6"/>
    <x v="146"/>
    <x v="120"/>
    <x v="120"/>
    <s v="REVENUS"/>
    <x v="9"/>
    <s v="4031.002"/>
    <s v="Complément impôt sur les gains immobiliers"/>
    <n v="0"/>
    <n v="177471.8"/>
    <n v="4031"/>
  </r>
  <r>
    <x v="0"/>
    <x v="7"/>
    <x v="6"/>
    <x v="146"/>
    <x v="120"/>
    <x v="120"/>
    <s v="REVENUS"/>
    <x v="6"/>
    <s v="4221.003"/>
    <s v="Intérêts compensat. / acomptes en faveur du fisc"/>
    <n v="0"/>
    <n v="-14.2"/>
    <n v="4221"/>
  </r>
  <r>
    <x v="0"/>
    <x v="7"/>
    <x v="6"/>
    <x v="146"/>
    <x v="120"/>
    <x v="120"/>
    <s v="REVENUS"/>
    <x v="8"/>
    <s v="4091.001"/>
    <s v="Impôt récupéré après défalcations"/>
    <n v="0"/>
    <n v="14403.02"/>
    <n v="4091"/>
  </r>
  <r>
    <x v="0"/>
    <x v="7"/>
    <x v="6"/>
    <x v="146"/>
    <x v="120"/>
    <x v="120"/>
    <s v="REVENUS"/>
    <x v="6"/>
    <s v="4221.003"/>
    <s v="Intérêts compensat. / acomptes en faveur du fisc"/>
    <n v="0"/>
    <n v="-15.92"/>
    <n v="4221"/>
  </r>
  <r>
    <x v="0"/>
    <x v="7"/>
    <x v="6"/>
    <x v="146"/>
    <x v="120"/>
    <x v="120"/>
    <s v="REVENUS"/>
    <x v="12"/>
    <s v="4004.000"/>
    <s v="Impôt spécial étrangers"/>
    <n v="0"/>
    <n v="109100.6"/>
    <n v="4004"/>
  </r>
  <r>
    <x v="0"/>
    <x v="7"/>
    <x v="6"/>
    <x v="146"/>
    <x v="120"/>
    <x v="120"/>
    <s v="REVENUS"/>
    <x v="2"/>
    <s v="4001.001"/>
    <s v="Impôt revenu"/>
    <n v="0"/>
    <n v="3413.45"/>
    <n v="4001"/>
  </r>
  <r>
    <x v="0"/>
    <x v="7"/>
    <x v="6"/>
    <x v="146"/>
    <x v="120"/>
    <x v="120"/>
    <s v="REVENUS"/>
    <x v="3"/>
    <s v="4002.001"/>
    <s v="Impôt ordinaire s/fortune PP"/>
    <n v="0"/>
    <n v="977.75"/>
    <n v="4002"/>
  </r>
  <r>
    <x v="0"/>
    <x v="7"/>
    <x v="6"/>
    <x v="146"/>
    <x v="120"/>
    <x v="120"/>
    <s v="REVENUS"/>
    <x v="2"/>
    <s v="4001.001"/>
    <s v="Impôt revenu"/>
    <n v="0"/>
    <n v="-13396.5"/>
    <n v="4001"/>
  </r>
  <r>
    <x v="0"/>
    <x v="7"/>
    <x v="6"/>
    <x v="146"/>
    <x v="120"/>
    <x v="120"/>
    <s v="REVENUS"/>
    <x v="3"/>
    <s v="4002.001"/>
    <s v="Impôt ordinaire s/fortune PP"/>
    <n v="0"/>
    <n v="-10666.85"/>
    <n v="4002"/>
  </r>
  <r>
    <x v="0"/>
    <x v="7"/>
    <x v="6"/>
    <x v="146"/>
    <x v="120"/>
    <x v="120"/>
    <s v="REVENUS"/>
    <x v="6"/>
    <s v="4221.003"/>
    <s v="Intérêts compensat. / acomptes en faveur du fisc"/>
    <n v="0"/>
    <n v="-8.61"/>
    <n v="4221"/>
  </r>
  <r>
    <x v="0"/>
    <x v="7"/>
    <x v="6"/>
    <x v="146"/>
    <x v="120"/>
    <x v="120"/>
    <s v="REVENUS"/>
    <x v="6"/>
    <s v="4211.002"/>
    <s v="Intérêts de retard sur acomptes"/>
    <n v="0"/>
    <n v="-143.26"/>
    <n v="4211"/>
  </r>
  <r>
    <x v="0"/>
    <x v="7"/>
    <x v="6"/>
    <x v="146"/>
    <x v="120"/>
    <x v="120"/>
    <s v="REVENUS"/>
    <x v="6"/>
    <s v="4211.002"/>
    <s v="Intérêts de retard sur acomptes"/>
    <n v="0"/>
    <n v="40.33"/>
    <n v="4211"/>
  </r>
  <r>
    <x v="0"/>
    <x v="7"/>
    <x v="6"/>
    <x v="146"/>
    <x v="120"/>
    <x v="120"/>
    <s v="REVENUS"/>
    <x v="2"/>
    <s v="4001.002"/>
    <s v="Impôt complément s/revenu PP"/>
    <n v="0"/>
    <n v="-5622.65"/>
    <n v="4001"/>
  </r>
  <r>
    <x v="0"/>
    <x v="7"/>
    <x v="6"/>
    <x v="146"/>
    <x v="120"/>
    <x v="120"/>
    <s v="REVENUS"/>
    <x v="3"/>
    <s v="4002.002"/>
    <s v="Impôt complémentaire s/fortune PP"/>
    <n v="0"/>
    <n v="-380.2"/>
    <n v="4002"/>
  </r>
  <r>
    <x v="0"/>
    <x v="7"/>
    <x v="6"/>
    <x v="146"/>
    <x v="120"/>
    <x v="120"/>
    <s v="REVENUS"/>
    <x v="8"/>
    <s v="4091.001"/>
    <s v="Impôt récupéré après défalcations"/>
    <n v="0"/>
    <n v="1021.46"/>
    <n v="4091"/>
  </r>
  <r>
    <x v="0"/>
    <x v="7"/>
    <x v="6"/>
    <x v="146"/>
    <x v="120"/>
    <x v="120"/>
    <s v="REVENUS"/>
    <x v="10"/>
    <s v="4041.002"/>
    <s v="Complément droit de mutation"/>
    <n v="0"/>
    <n v="4730"/>
    <n v="4041"/>
  </r>
  <r>
    <x v="0"/>
    <x v="7"/>
    <x v="6"/>
    <x v="146"/>
    <x v="120"/>
    <x v="120"/>
    <s v="REVENUS"/>
    <x v="3"/>
    <s v="4002.002"/>
    <s v="Impôt complémentaire s/fortune PP"/>
    <n v="0"/>
    <n v="1370.65"/>
    <n v="4002"/>
  </r>
  <r>
    <x v="0"/>
    <x v="7"/>
    <x v="6"/>
    <x v="146"/>
    <x v="120"/>
    <x v="120"/>
    <s v="REVENUS"/>
    <x v="4"/>
    <s v="4051.002"/>
    <s v="Impôt sur les donations"/>
    <n v="0"/>
    <n v="38905"/>
    <n v="4051"/>
  </r>
  <r>
    <x v="0"/>
    <x v="7"/>
    <x v="6"/>
    <x v="146"/>
    <x v="120"/>
    <x v="120"/>
    <s v="REVENUS"/>
    <x v="2"/>
    <s v="4001.002"/>
    <s v="Impôt complément s/revenu PP"/>
    <n v="0"/>
    <n v="1037.3499999999999"/>
    <n v="4001"/>
  </r>
  <r>
    <x v="0"/>
    <x v="7"/>
    <x v="6"/>
    <x v="146"/>
    <x v="120"/>
    <x v="120"/>
    <s v="REVENUS"/>
    <x v="6"/>
    <s v="4221.003"/>
    <s v="Intérêts compensat. / acomptes en faveur du fisc"/>
    <n v="0"/>
    <n v="0.08"/>
    <n v="4221"/>
  </r>
  <r>
    <x v="0"/>
    <x v="7"/>
    <x v="6"/>
    <x v="146"/>
    <x v="120"/>
    <x v="120"/>
    <s v="REVENUS"/>
    <x v="6"/>
    <s v="4211.002"/>
    <s v="Intérêts de retard sur acomptes"/>
    <n v="0"/>
    <n v="3.64"/>
    <n v="4211"/>
  </r>
  <r>
    <x v="0"/>
    <x v="5"/>
    <x v="1"/>
    <x v="147"/>
    <x v="127"/>
    <x v="127"/>
    <s v="CHARGES"/>
    <x v="1"/>
    <s v="3301.001"/>
    <s v="Défalcations, abandons de solde PP et IS"/>
    <n v="2155.44"/>
    <n v="0"/>
    <n v="3301"/>
  </r>
  <r>
    <x v="0"/>
    <x v="5"/>
    <x v="1"/>
    <x v="147"/>
    <x v="127"/>
    <x v="127"/>
    <s v="CHARGES"/>
    <x v="0"/>
    <s v="3212.004"/>
    <s v="Intérêts rémun./perçu trop tôt sur acomptes C/C"/>
    <n v="179.74"/>
    <n v="0"/>
    <n v="3212"/>
  </r>
  <r>
    <x v="0"/>
    <x v="5"/>
    <x v="1"/>
    <x v="147"/>
    <x v="127"/>
    <x v="127"/>
    <s v="CHARGES"/>
    <x v="0"/>
    <s v="3221.002"/>
    <s v="Intérêts compensatoires / créances en faveur ctb."/>
    <n v="72.84"/>
    <n v="0"/>
    <n v="3221"/>
  </r>
  <r>
    <x v="0"/>
    <x v="5"/>
    <x v="1"/>
    <x v="147"/>
    <x v="127"/>
    <x v="127"/>
    <s v="CHARGES"/>
    <x v="0"/>
    <s v="3212.002"/>
    <s v="Intérêts bonifiés/trop perçu acompte C/C"/>
    <n v="22.53"/>
    <n v="0"/>
    <n v="3212"/>
  </r>
  <r>
    <x v="0"/>
    <x v="5"/>
    <x v="1"/>
    <x v="147"/>
    <x v="127"/>
    <x v="127"/>
    <s v="CHARGES"/>
    <x v="0"/>
    <s v="3221.002"/>
    <s v="Intérêts compensatoires / créances en faveur ctb."/>
    <n v="12.68"/>
    <n v="0"/>
    <n v="3221"/>
  </r>
  <r>
    <x v="0"/>
    <x v="5"/>
    <x v="1"/>
    <x v="147"/>
    <x v="127"/>
    <x v="127"/>
    <s v="CHARGES"/>
    <x v="1"/>
    <s v="3301.001"/>
    <s v="Défalcations, abandons de solde PP et IS"/>
    <n v="0.62"/>
    <n v="0"/>
    <n v="3301"/>
  </r>
  <r>
    <x v="0"/>
    <x v="5"/>
    <x v="1"/>
    <x v="147"/>
    <x v="127"/>
    <x v="127"/>
    <s v="CHARGES"/>
    <x v="1"/>
    <s v="3301.001"/>
    <s v="Défalcations, abandons de solde PP et IS"/>
    <n v="6.28"/>
    <n v="0"/>
    <n v="3301"/>
  </r>
  <r>
    <x v="0"/>
    <x v="5"/>
    <x v="1"/>
    <x v="147"/>
    <x v="127"/>
    <x v="127"/>
    <s v="CHARGES"/>
    <x v="0"/>
    <s v="3212.004"/>
    <s v="Intérêts rémun./perçu trop tôt sur acomptes C/C"/>
    <n v="9.9"/>
    <n v="0"/>
    <n v="3212"/>
  </r>
  <r>
    <x v="0"/>
    <x v="5"/>
    <x v="1"/>
    <x v="147"/>
    <x v="127"/>
    <x v="127"/>
    <s v="CHARGES"/>
    <x v="0"/>
    <s v="3212.004"/>
    <s v="Intérêts rémun./perçu trop tôt sur acomptes C/C"/>
    <n v="1.87"/>
    <n v="0"/>
    <n v="3212"/>
  </r>
  <r>
    <x v="0"/>
    <x v="5"/>
    <x v="1"/>
    <x v="147"/>
    <x v="127"/>
    <x v="127"/>
    <s v="CHARGES"/>
    <x v="1"/>
    <s v="3301.001"/>
    <s v="Défalcations, abandons de solde PP et IS"/>
    <n v="-0.02"/>
    <n v="0"/>
    <n v="3301"/>
  </r>
  <r>
    <x v="0"/>
    <x v="5"/>
    <x v="1"/>
    <x v="147"/>
    <x v="127"/>
    <x v="127"/>
    <s v="CHARGES"/>
    <x v="0"/>
    <s v="3212.004"/>
    <s v="Intérêts rémun./perçu trop tôt sur acomptes C/C"/>
    <n v="3.2"/>
    <n v="0"/>
    <n v="3212"/>
  </r>
  <r>
    <x v="0"/>
    <x v="5"/>
    <x v="1"/>
    <x v="147"/>
    <x v="127"/>
    <x v="127"/>
    <s v="CHARGES"/>
    <x v="1"/>
    <s v="3301.001"/>
    <s v="Défalcations, abandons de solde PP et IS"/>
    <n v="0.13"/>
    <n v="0"/>
    <n v="3301"/>
  </r>
  <r>
    <x v="0"/>
    <x v="5"/>
    <x v="1"/>
    <x v="147"/>
    <x v="127"/>
    <x v="127"/>
    <s v="CHARGES"/>
    <x v="0"/>
    <s v="3221.002"/>
    <s v="Intérêts compensatoires / créances en faveur ctb."/>
    <n v="13.5"/>
    <n v="0"/>
    <n v="3221"/>
  </r>
  <r>
    <x v="0"/>
    <x v="5"/>
    <x v="1"/>
    <x v="147"/>
    <x v="127"/>
    <x v="127"/>
    <s v="CHARGES"/>
    <x v="0"/>
    <s v="3221.002"/>
    <s v="Intérêts compensatoires / créances en faveur ctb."/>
    <n v="0.7"/>
    <n v="0"/>
    <n v="3221"/>
  </r>
  <r>
    <x v="0"/>
    <x v="5"/>
    <x v="1"/>
    <x v="147"/>
    <x v="127"/>
    <x v="127"/>
    <s v="CHARGES"/>
    <x v="1"/>
    <s v="3301.003"/>
    <s v="Remises PP et IS"/>
    <n v="1479.95"/>
    <n v="0"/>
    <n v="3301"/>
  </r>
  <r>
    <x v="0"/>
    <x v="5"/>
    <x v="1"/>
    <x v="147"/>
    <x v="127"/>
    <x v="127"/>
    <s v="CHARGES"/>
    <x v="0"/>
    <s v="3221.002"/>
    <s v="Intérêts compensatoires / créances en faveur ctb."/>
    <n v="0.54"/>
    <n v="0"/>
    <n v="3221"/>
  </r>
  <r>
    <x v="0"/>
    <x v="5"/>
    <x v="1"/>
    <x v="147"/>
    <x v="127"/>
    <x v="127"/>
    <s v="CHARGES"/>
    <x v="0"/>
    <s v="3212.004"/>
    <s v="Intérêts rémun./perçu trop tôt sur acomptes C/C"/>
    <n v="0.02"/>
    <n v="0"/>
    <n v="3212"/>
  </r>
  <r>
    <x v="0"/>
    <x v="5"/>
    <x v="1"/>
    <x v="147"/>
    <x v="127"/>
    <x v="127"/>
    <s v="CHARGES"/>
    <x v="1"/>
    <s v="3301.001"/>
    <s v="Défalcations, abandons de solde PP et IS"/>
    <n v="0.06"/>
    <n v="0"/>
    <n v="3301"/>
  </r>
  <r>
    <x v="0"/>
    <x v="5"/>
    <x v="1"/>
    <x v="147"/>
    <x v="127"/>
    <x v="127"/>
    <s v="CHARGES"/>
    <x v="1"/>
    <s v="3301.001"/>
    <s v="Défalcations, abandons de solde PP et IS"/>
    <n v="1925.21"/>
    <n v="0"/>
    <n v="3301"/>
  </r>
  <r>
    <x v="0"/>
    <x v="5"/>
    <x v="1"/>
    <x v="147"/>
    <x v="127"/>
    <x v="127"/>
    <s v="REVENUS"/>
    <x v="2"/>
    <s v="4001.007"/>
    <s v="Acompte impôt sur revenu"/>
    <n v="0"/>
    <n v="-157066.60999999999"/>
    <n v="4001"/>
  </r>
  <r>
    <x v="0"/>
    <x v="5"/>
    <x v="1"/>
    <x v="147"/>
    <x v="127"/>
    <x v="127"/>
    <s v="REVENUS"/>
    <x v="3"/>
    <s v="4002.007"/>
    <s v="Acompte impôt sur fortune"/>
    <n v="0"/>
    <n v="-23100.76"/>
    <n v="4002"/>
  </r>
  <r>
    <x v="0"/>
    <x v="5"/>
    <x v="1"/>
    <x v="147"/>
    <x v="127"/>
    <x v="127"/>
    <s v="REVENUS"/>
    <x v="2"/>
    <s v="4001.001"/>
    <s v="Impôt revenu"/>
    <n v="0"/>
    <n v="847290.45"/>
    <n v="4001"/>
  </r>
  <r>
    <x v="0"/>
    <x v="5"/>
    <x v="1"/>
    <x v="147"/>
    <x v="127"/>
    <x v="127"/>
    <s v="REVENUS"/>
    <x v="3"/>
    <s v="4002.001"/>
    <s v="Impôt ordinaire s/fortune PP"/>
    <n v="0"/>
    <n v="78604.149999999994"/>
    <n v="4002"/>
  </r>
  <r>
    <x v="0"/>
    <x v="5"/>
    <x v="1"/>
    <x v="147"/>
    <x v="127"/>
    <x v="127"/>
    <s v="REVENUS"/>
    <x v="6"/>
    <s v="4211.002"/>
    <s v="Intérêts de retard sur acomptes"/>
    <n v="0"/>
    <n v="4974.38"/>
    <n v="4211"/>
  </r>
  <r>
    <x v="0"/>
    <x v="5"/>
    <x v="1"/>
    <x v="147"/>
    <x v="127"/>
    <x v="127"/>
    <s v="REVENUS"/>
    <x v="6"/>
    <s v="4221.003"/>
    <s v="Intérêts compensat. / acomptes en faveur du fisc"/>
    <n v="0"/>
    <n v="65.489999999999995"/>
    <n v="4221"/>
  </r>
  <r>
    <x v="0"/>
    <x v="5"/>
    <x v="1"/>
    <x v="147"/>
    <x v="127"/>
    <x v="127"/>
    <s v="REVENUS"/>
    <x v="2"/>
    <s v="4001.007"/>
    <s v="Acompte impôt sur revenu"/>
    <n v="0"/>
    <n v="97563.44"/>
    <n v="4001"/>
  </r>
  <r>
    <x v="0"/>
    <x v="5"/>
    <x v="1"/>
    <x v="147"/>
    <x v="127"/>
    <x v="127"/>
    <s v="REVENUS"/>
    <x v="2"/>
    <s v="4001.002"/>
    <s v="Impôt complément s/revenu PP"/>
    <n v="0"/>
    <n v="176934.5"/>
    <n v="4001"/>
  </r>
  <r>
    <x v="0"/>
    <x v="5"/>
    <x v="1"/>
    <x v="147"/>
    <x v="127"/>
    <x v="127"/>
    <s v="REVENUS"/>
    <x v="3"/>
    <s v="4002.002"/>
    <s v="Impôt complémentaire s/fortune PP"/>
    <n v="0"/>
    <n v="39972.050000000003"/>
    <n v="4002"/>
  </r>
  <r>
    <x v="0"/>
    <x v="5"/>
    <x v="1"/>
    <x v="147"/>
    <x v="127"/>
    <x v="127"/>
    <s v="REVENUS"/>
    <x v="3"/>
    <s v="4002.007"/>
    <s v="Acompte impôt sur fortune"/>
    <n v="0"/>
    <n v="31837.07"/>
    <n v="4002"/>
  </r>
  <r>
    <x v="0"/>
    <x v="5"/>
    <x v="1"/>
    <x v="147"/>
    <x v="127"/>
    <x v="127"/>
    <s v="REVENUS"/>
    <x v="6"/>
    <s v="4211.001"/>
    <s v="Intérêts de retard sur factures"/>
    <n v="0"/>
    <n v="2722.98"/>
    <n v="4211"/>
  </r>
  <r>
    <x v="0"/>
    <x v="5"/>
    <x v="1"/>
    <x v="147"/>
    <x v="127"/>
    <x v="127"/>
    <s v="REVENUS"/>
    <x v="2"/>
    <s v="4001.003"/>
    <s v="Impôt s/prest. cap. PP"/>
    <n v="0"/>
    <n v="54015.05"/>
    <n v="4001"/>
  </r>
  <r>
    <x v="0"/>
    <x v="5"/>
    <x v="1"/>
    <x v="147"/>
    <x v="127"/>
    <x v="127"/>
    <s v="REVENUS"/>
    <x v="10"/>
    <s v="4041.001"/>
    <s v="Droits de mutation"/>
    <n v="0"/>
    <n v="34182.5"/>
    <n v="4041"/>
  </r>
  <r>
    <x v="0"/>
    <x v="5"/>
    <x v="1"/>
    <x v="147"/>
    <x v="127"/>
    <x v="127"/>
    <s v="REVENUS"/>
    <x v="3"/>
    <s v="4002.001"/>
    <s v="Impôt ordinaire s/fortune PP"/>
    <n v="0"/>
    <n v="15596.5"/>
    <n v="4002"/>
  </r>
  <r>
    <x v="0"/>
    <x v="5"/>
    <x v="1"/>
    <x v="147"/>
    <x v="127"/>
    <x v="127"/>
    <s v="REVENUS"/>
    <x v="6"/>
    <s v="4211.002"/>
    <s v="Intérêts de retard sur acomptes"/>
    <n v="0"/>
    <n v="945.18"/>
    <n v="4211"/>
  </r>
  <r>
    <x v="0"/>
    <x v="5"/>
    <x v="1"/>
    <x v="147"/>
    <x v="127"/>
    <x v="127"/>
    <s v="REVENUS"/>
    <x v="7"/>
    <s v="4184.000"/>
    <s v="Frais de poursuite"/>
    <n v="0"/>
    <n v="798.36"/>
    <n v="4184"/>
  </r>
  <r>
    <x v="0"/>
    <x v="5"/>
    <x v="1"/>
    <x v="147"/>
    <x v="127"/>
    <x v="127"/>
    <s v="REVENUS"/>
    <x v="6"/>
    <s v="4211.001"/>
    <s v="Intérêts de retard sur factures"/>
    <n v="0"/>
    <n v="11.15"/>
    <n v="4211"/>
  </r>
  <r>
    <x v="0"/>
    <x v="5"/>
    <x v="1"/>
    <x v="147"/>
    <x v="127"/>
    <x v="127"/>
    <s v="REVENUS"/>
    <x v="3"/>
    <s v="4002.007"/>
    <s v="Acompte impôt sur fortune"/>
    <n v="0"/>
    <n v="-9.25"/>
    <n v="4002"/>
  </r>
  <r>
    <x v="0"/>
    <x v="5"/>
    <x v="1"/>
    <x v="147"/>
    <x v="127"/>
    <x v="127"/>
    <s v="REVENUS"/>
    <x v="2"/>
    <s v="4001.007"/>
    <s v="Acompte impôt sur revenu"/>
    <n v="0"/>
    <n v="3015.7"/>
    <n v="4001"/>
  </r>
  <r>
    <x v="0"/>
    <x v="5"/>
    <x v="1"/>
    <x v="147"/>
    <x v="127"/>
    <x v="127"/>
    <s v="REVENUS"/>
    <x v="3"/>
    <s v="4002.007"/>
    <s v="Acompte impôt sur fortune"/>
    <n v="0"/>
    <n v="497.35"/>
    <n v="4002"/>
  </r>
  <r>
    <x v="0"/>
    <x v="5"/>
    <x v="1"/>
    <x v="147"/>
    <x v="127"/>
    <x v="127"/>
    <s v="REVENUS"/>
    <x v="3"/>
    <s v="4002.007"/>
    <s v="Acompte impôt sur fortune"/>
    <n v="0"/>
    <n v="1098.49"/>
    <n v="4002"/>
  </r>
  <r>
    <x v="0"/>
    <x v="5"/>
    <x v="1"/>
    <x v="147"/>
    <x v="127"/>
    <x v="127"/>
    <s v="REVENUS"/>
    <x v="2"/>
    <s v="4001.001"/>
    <s v="Impôt revenu"/>
    <n v="0"/>
    <n v="42018.45"/>
    <n v="4001"/>
  </r>
  <r>
    <x v="0"/>
    <x v="5"/>
    <x v="1"/>
    <x v="147"/>
    <x v="127"/>
    <x v="127"/>
    <s v="REVENUS"/>
    <x v="3"/>
    <s v="4002.001"/>
    <s v="Impôt ordinaire s/fortune PP"/>
    <n v="0"/>
    <n v="1347.2"/>
    <n v="4002"/>
  </r>
  <r>
    <x v="0"/>
    <x v="5"/>
    <x v="1"/>
    <x v="147"/>
    <x v="127"/>
    <x v="127"/>
    <s v="REVENUS"/>
    <x v="6"/>
    <s v="4211.002"/>
    <s v="Intérêts de retard sur acomptes"/>
    <n v="0"/>
    <n v="1833.28"/>
    <n v="4211"/>
  </r>
  <r>
    <x v="0"/>
    <x v="5"/>
    <x v="1"/>
    <x v="147"/>
    <x v="127"/>
    <x v="127"/>
    <s v="REVENUS"/>
    <x v="6"/>
    <s v="4221.003"/>
    <s v="Intérêts compensat. / acomptes en faveur du fisc"/>
    <n v="0"/>
    <n v="0.76"/>
    <n v="4221"/>
  </r>
  <r>
    <x v="0"/>
    <x v="5"/>
    <x v="1"/>
    <x v="147"/>
    <x v="127"/>
    <x v="127"/>
    <s v="REVENUS"/>
    <x v="3"/>
    <s v="4002.007"/>
    <s v="Acompte impôt sur fortune"/>
    <n v="0"/>
    <n v="895.08"/>
    <n v="4002"/>
  </r>
  <r>
    <x v="0"/>
    <x v="5"/>
    <x v="1"/>
    <x v="147"/>
    <x v="127"/>
    <x v="127"/>
    <s v="REVENUS"/>
    <x v="2"/>
    <s v="4001.007"/>
    <s v="Acompte impôt sur revenu"/>
    <n v="0"/>
    <n v="16449.82"/>
    <n v="4001"/>
  </r>
  <r>
    <x v="0"/>
    <x v="5"/>
    <x v="1"/>
    <x v="147"/>
    <x v="127"/>
    <x v="127"/>
    <s v="REVENUS"/>
    <x v="2"/>
    <s v="4001.007"/>
    <s v="Acompte impôt sur revenu"/>
    <n v="0"/>
    <n v="-22719.62"/>
    <n v="4001"/>
  </r>
  <r>
    <x v="0"/>
    <x v="5"/>
    <x v="1"/>
    <x v="147"/>
    <x v="127"/>
    <x v="127"/>
    <s v="REVENUS"/>
    <x v="2"/>
    <s v="4001.001"/>
    <s v="Impôt revenu"/>
    <n v="0"/>
    <n v="39086.449999999997"/>
    <n v="4001"/>
  </r>
  <r>
    <x v="0"/>
    <x v="5"/>
    <x v="1"/>
    <x v="147"/>
    <x v="127"/>
    <x v="127"/>
    <s v="REVENUS"/>
    <x v="2"/>
    <s v="4001.002"/>
    <s v="Impôt complément s/revenu PP"/>
    <n v="0"/>
    <n v="6216.8"/>
    <n v="4001"/>
  </r>
  <r>
    <x v="0"/>
    <x v="5"/>
    <x v="1"/>
    <x v="147"/>
    <x v="127"/>
    <x v="127"/>
    <s v="REVENUS"/>
    <x v="3"/>
    <s v="4002.002"/>
    <s v="Impôt complémentaire s/fortune PP"/>
    <n v="0"/>
    <n v="2087.15"/>
    <n v="4002"/>
  </r>
  <r>
    <x v="0"/>
    <x v="5"/>
    <x v="1"/>
    <x v="147"/>
    <x v="127"/>
    <x v="127"/>
    <s v="REVENUS"/>
    <x v="6"/>
    <s v="4211.001"/>
    <s v="Intérêts de retard sur factures"/>
    <n v="0"/>
    <n v="834.42"/>
    <n v="4211"/>
  </r>
  <r>
    <x v="0"/>
    <x v="5"/>
    <x v="1"/>
    <x v="147"/>
    <x v="127"/>
    <x v="127"/>
    <s v="REVENUS"/>
    <x v="6"/>
    <s v="4221.003"/>
    <s v="Intérêts compensat. / acomptes en faveur du fisc"/>
    <n v="0"/>
    <n v="14.97"/>
    <n v="4221"/>
  </r>
  <r>
    <x v="0"/>
    <x v="5"/>
    <x v="1"/>
    <x v="147"/>
    <x v="127"/>
    <x v="127"/>
    <s v="REVENUS"/>
    <x v="5"/>
    <s v="4061.000"/>
    <s v="Impôt sur les chiens"/>
    <n v="0"/>
    <n v="3200"/>
    <n v="4061"/>
  </r>
  <r>
    <x v="0"/>
    <x v="5"/>
    <x v="1"/>
    <x v="147"/>
    <x v="127"/>
    <x v="127"/>
    <s v="REVENUS"/>
    <x v="7"/>
    <s v="4184.000"/>
    <s v="Frais de poursuite"/>
    <n v="0"/>
    <n v="124.81"/>
    <n v="4184"/>
  </r>
  <r>
    <x v="0"/>
    <x v="5"/>
    <x v="1"/>
    <x v="147"/>
    <x v="127"/>
    <x v="127"/>
    <s v="REVENUS"/>
    <x v="6"/>
    <s v="4221.002"/>
    <s v="Intérêts compensat. sur impôts distincts"/>
    <n v="0"/>
    <n v="24.37"/>
    <n v="4221"/>
  </r>
  <r>
    <x v="0"/>
    <x v="5"/>
    <x v="1"/>
    <x v="147"/>
    <x v="127"/>
    <x v="127"/>
    <s v="REVENUS"/>
    <x v="2"/>
    <s v="4001.001"/>
    <s v="Impôt revenu"/>
    <n v="0"/>
    <n v="-93473.9"/>
    <n v="4001"/>
  </r>
  <r>
    <x v="0"/>
    <x v="5"/>
    <x v="1"/>
    <x v="147"/>
    <x v="127"/>
    <x v="127"/>
    <s v="REVENUS"/>
    <x v="2"/>
    <s v="4001.002"/>
    <s v="Impôt complément s/revenu PP"/>
    <n v="0"/>
    <n v="-10031.700000000001"/>
    <n v="4001"/>
  </r>
  <r>
    <x v="0"/>
    <x v="5"/>
    <x v="1"/>
    <x v="147"/>
    <x v="127"/>
    <x v="127"/>
    <s v="REVENUS"/>
    <x v="3"/>
    <s v="4002.001"/>
    <s v="Impôt ordinaire s/fortune PP"/>
    <n v="0"/>
    <n v="-19452.55"/>
    <n v="4002"/>
  </r>
  <r>
    <x v="0"/>
    <x v="5"/>
    <x v="1"/>
    <x v="147"/>
    <x v="127"/>
    <x v="127"/>
    <s v="REVENUS"/>
    <x v="3"/>
    <s v="4002.002"/>
    <s v="Impôt complémentaire s/fortune PP"/>
    <n v="0"/>
    <n v="-3240.1"/>
    <n v="4002"/>
  </r>
  <r>
    <x v="0"/>
    <x v="5"/>
    <x v="1"/>
    <x v="147"/>
    <x v="127"/>
    <x v="127"/>
    <s v="REVENUS"/>
    <x v="7"/>
    <s v="4184.000"/>
    <s v="Frais de poursuite"/>
    <n v="0"/>
    <n v="0.11"/>
    <n v="4184"/>
  </r>
  <r>
    <x v="0"/>
    <x v="5"/>
    <x v="1"/>
    <x v="147"/>
    <x v="127"/>
    <x v="127"/>
    <s v="REVENUS"/>
    <x v="6"/>
    <s v="4211.001"/>
    <s v="Intérêts de retard sur factures"/>
    <n v="0"/>
    <n v="0.17"/>
    <n v="4211"/>
  </r>
  <r>
    <x v="0"/>
    <x v="5"/>
    <x v="1"/>
    <x v="147"/>
    <x v="127"/>
    <x v="127"/>
    <s v="REVENUS"/>
    <x v="6"/>
    <s v="4211.002"/>
    <s v="Intérêts de retard sur acomptes"/>
    <n v="0"/>
    <n v="-54.84"/>
    <n v="4211"/>
  </r>
  <r>
    <x v="0"/>
    <x v="5"/>
    <x v="1"/>
    <x v="147"/>
    <x v="127"/>
    <x v="127"/>
    <s v="REVENUS"/>
    <x v="6"/>
    <s v="4221.003"/>
    <s v="Intérêts compensat. / acomptes en faveur du fisc"/>
    <n v="0"/>
    <n v="1.36"/>
    <n v="4221"/>
  </r>
  <r>
    <x v="0"/>
    <x v="5"/>
    <x v="1"/>
    <x v="147"/>
    <x v="127"/>
    <x v="127"/>
    <s v="REVENUS"/>
    <x v="2"/>
    <s v="4001.003"/>
    <s v="Impôt s/prest. cap. PP"/>
    <n v="0"/>
    <n v="-43.8"/>
    <n v="4001"/>
  </r>
  <r>
    <x v="0"/>
    <x v="5"/>
    <x v="1"/>
    <x v="147"/>
    <x v="127"/>
    <x v="127"/>
    <s v="REVENUS"/>
    <x v="2"/>
    <s v="4001.007"/>
    <s v="Acompte impôt sur revenu"/>
    <n v="0"/>
    <n v="-8.5"/>
    <n v="4001"/>
  </r>
  <r>
    <x v="0"/>
    <x v="5"/>
    <x v="1"/>
    <x v="147"/>
    <x v="127"/>
    <x v="127"/>
    <s v="REVENUS"/>
    <x v="9"/>
    <s v="4031.001"/>
    <s v="Impôt sur les gains immobiliers"/>
    <n v="0"/>
    <n v="34672.9"/>
    <n v="4031"/>
  </r>
  <r>
    <x v="0"/>
    <x v="5"/>
    <x v="1"/>
    <x v="147"/>
    <x v="127"/>
    <x v="127"/>
    <s v="REVENUS"/>
    <x v="8"/>
    <s v="4091.001"/>
    <s v="Impôt récupéré après défalcations"/>
    <n v="0"/>
    <n v="4629.88"/>
    <n v="4091"/>
  </r>
  <r>
    <x v="0"/>
    <x v="5"/>
    <x v="1"/>
    <x v="147"/>
    <x v="127"/>
    <x v="127"/>
    <s v="REVENUS"/>
    <x v="2"/>
    <s v="4001.001"/>
    <s v="Impôt revenu"/>
    <n v="0"/>
    <n v="5294.4"/>
    <n v="4001"/>
  </r>
  <r>
    <x v="0"/>
    <x v="5"/>
    <x v="1"/>
    <x v="147"/>
    <x v="127"/>
    <x v="127"/>
    <s v="REVENUS"/>
    <x v="2"/>
    <s v="4001.007"/>
    <s v="Acompte impôt sur revenu"/>
    <n v="0"/>
    <n v="-5988.5"/>
    <n v="4001"/>
  </r>
  <r>
    <x v="0"/>
    <x v="5"/>
    <x v="1"/>
    <x v="147"/>
    <x v="127"/>
    <x v="127"/>
    <s v="REVENUS"/>
    <x v="6"/>
    <s v="4211.002"/>
    <s v="Intérêts de retard sur acomptes"/>
    <n v="0"/>
    <n v="164.61"/>
    <n v="4211"/>
  </r>
  <r>
    <x v="0"/>
    <x v="5"/>
    <x v="1"/>
    <x v="147"/>
    <x v="127"/>
    <x v="127"/>
    <s v="REVENUS"/>
    <x v="2"/>
    <s v="4001.001"/>
    <s v="Impôt revenu"/>
    <n v="0"/>
    <n v="0"/>
    <n v="4001"/>
  </r>
  <r>
    <x v="0"/>
    <x v="5"/>
    <x v="1"/>
    <x v="147"/>
    <x v="127"/>
    <x v="127"/>
    <s v="REVENUS"/>
    <x v="6"/>
    <s v="4211.002"/>
    <s v="Intérêts de retard sur acomptes"/>
    <n v="0"/>
    <n v="3.33"/>
    <n v="4211"/>
  </r>
  <r>
    <x v="0"/>
    <x v="5"/>
    <x v="1"/>
    <x v="147"/>
    <x v="127"/>
    <x v="127"/>
    <s v="REVENUS"/>
    <x v="6"/>
    <s v="4221.003"/>
    <s v="Intérêts compensat. / acomptes en faveur du fisc"/>
    <n v="0"/>
    <n v="0.01"/>
    <n v="4221"/>
  </r>
  <r>
    <x v="0"/>
    <x v="5"/>
    <x v="1"/>
    <x v="147"/>
    <x v="127"/>
    <x v="127"/>
    <s v="REVENUS"/>
    <x v="3"/>
    <s v="4002.001"/>
    <s v="Impôt ordinaire s/fortune PP"/>
    <n v="0"/>
    <n v="73.599999999999994"/>
    <n v="4002"/>
  </r>
  <r>
    <x v="0"/>
    <x v="5"/>
    <x v="1"/>
    <x v="147"/>
    <x v="127"/>
    <x v="127"/>
    <s v="REVENUS"/>
    <x v="6"/>
    <s v="4221.003"/>
    <s v="Intérêts compensat. / acomptes en faveur du fisc"/>
    <n v="0"/>
    <n v="0.01"/>
    <n v="4221"/>
  </r>
  <r>
    <x v="0"/>
    <x v="5"/>
    <x v="1"/>
    <x v="147"/>
    <x v="127"/>
    <x v="127"/>
    <s v="REVENUS"/>
    <x v="6"/>
    <s v="4211.001"/>
    <s v="Intérêts de retard sur factures"/>
    <n v="0"/>
    <n v="3.2"/>
    <n v="4211"/>
  </r>
  <r>
    <x v="0"/>
    <x v="5"/>
    <x v="1"/>
    <x v="147"/>
    <x v="127"/>
    <x v="127"/>
    <s v="REVENUS"/>
    <x v="2"/>
    <s v="4001.002"/>
    <s v="Impôt complément s/revenu PP"/>
    <n v="0"/>
    <n v="584.29999999999995"/>
    <n v="4001"/>
  </r>
  <r>
    <x v="0"/>
    <x v="5"/>
    <x v="1"/>
    <x v="147"/>
    <x v="127"/>
    <x v="127"/>
    <s v="REVENUS"/>
    <x v="4"/>
    <s v="4051.001"/>
    <s v="Impôt sur les successions"/>
    <n v="0"/>
    <n v="0.2"/>
    <n v="4051"/>
  </r>
  <r>
    <x v="0"/>
    <x v="5"/>
    <x v="1"/>
    <x v="147"/>
    <x v="127"/>
    <x v="127"/>
    <s v="REVENUS"/>
    <x v="6"/>
    <s v="4211.001"/>
    <s v="Intérêts de retard sur factures"/>
    <n v="0"/>
    <n v="0.05"/>
    <n v="4211"/>
  </r>
  <r>
    <x v="0"/>
    <x v="5"/>
    <x v="1"/>
    <x v="147"/>
    <x v="127"/>
    <x v="127"/>
    <s v="REVENUS"/>
    <x v="7"/>
    <s v="4184.000"/>
    <s v="Frais de poursuite"/>
    <n v="0"/>
    <n v="43.66"/>
    <n v="4184"/>
  </r>
  <r>
    <x v="0"/>
    <x v="5"/>
    <x v="1"/>
    <x v="147"/>
    <x v="127"/>
    <x v="127"/>
    <s v="REVENUS"/>
    <x v="2"/>
    <s v="4001.002"/>
    <s v="Impôt complément s/revenu PP"/>
    <n v="0"/>
    <n v="8226"/>
    <n v="4001"/>
  </r>
  <r>
    <x v="0"/>
    <x v="5"/>
    <x v="1"/>
    <x v="147"/>
    <x v="127"/>
    <x v="127"/>
    <s v="REVENUS"/>
    <x v="3"/>
    <s v="4002.002"/>
    <s v="Impôt complémentaire s/fortune PP"/>
    <n v="0"/>
    <n v="2775.4"/>
    <n v="4002"/>
  </r>
  <r>
    <x v="0"/>
    <x v="5"/>
    <x v="1"/>
    <x v="148"/>
    <x v="128"/>
    <x v="128"/>
    <s v="CHARGES"/>
    <x v="0"/>
    <s v="3212.004"/>
    <s v="Intérêts rémun./perçu trop tôt sur acomptes C/C"/>
    <n v="294.67"/>
    <n v="0"/>
    <n v="3212"/>
  </r>
  <r>
    <x v="0"/>
    <x v="5"/>
    <x v="1"/>
    <x v="148"/>
    <x v="128"/>
    <x v="128"/>
    <s v="CHARGES"/>
    <x v="0"/>
    <s v="3221.002"/>
    <s v="Intérêts compensatoires / créances en faveur ctb."/>
    <n v="110.79"/>
    <n v="0"/>
    <n v="3221"/>
  </r>
  <r>
    <x v="0"/>
    <x v="5"/>
    <x v="1"/>
    <x v="148"/>
    <x v="128"/>
    <x v="128"/>
    <s v="CHARGES"/>
    <x v="0"/>
    <s v="3212.004"/>
    <s v="Intérêts rémun./perçu trop tôt sur acomptes C/C"/>
    <n v="0.52"/>
    <n v="0"/>
    <n v="3212"/>
  </r>
  <r>
    <x v="0"/>
    <x v="5"/>
    <x v="1"/>
    <x v="148"/>
    <x v="128"/>
    <x v="128"/>
    <s v="CHARGES"/>
    <x v="1"/>
    <s v="3301.001"/>
    <s v="Défalcations, abandons de solde PP et IS"/>
    <n v="1032.6600000000001"/>
    <n v="0"/>
    <n v="3301"/>
  </r>
  <r>
    <x v="0"/>
    <x v="5"/>
    <x v="1"/>
    <x v="148"/>
    <x v="128"/>
    <x v="128"/>
    <s v="CHARGES"/>
    <x v="1"/>
    <s v="3301.001"/>
    <s v="Défalcations, abandons de solde PP et IS"/>
    <n v="0.22"/>
    <n v="0"/>
    <n v="3301"/>
  </r>
  <r>
    <x v="0"/>
    <x v="5"/>
    <x v="1"/>
    <x v="148"/>
    <x v="128"/>
    <x v="128"/>
    <s v="CHARGES"/>
    <x v="1"/>
    <s v="3301.001"/>
    <s v="Défalcations, abandons de solde PP et IS"/>
    <n v="0.02"/>
    <n v="0"/>
    <n v="3301"/>
  </r>
  <r>
    <x v="0"/>
    <x v="5"/>
    <x v="1"/>
    <x v="148"/>
    <x v="128"/>
    <x v="128"/>
    <s v="CHARGES"/>
    <x v="0"/>
    <s v="3212.002"/>
    <s v="Intérêts bonifiés/trop perçu acompte C/C"/>
    <n v="20.21"/>
    <n v="0"/>
    <n v="3212"/>
  </r>
  <r>
    <x v="0"/>
    <x v="5"/>
    <x v="1"/>
    <x v="148"/>
    <x v="128"/>
    <x v="128"/>
    <s v="CHARGES"/>
    <x v="0"/>
    <s v="3212.004"/>
    <s v="Intérêts rémun./perçu trop tôt sur acomptes C/C"/>
    <n v="0.03"/>
    <n v="0"/>
    <n v="3212"/>
  </r>
  <r>
    <x v="0"/>
    <x v="5"/>
    <x v="1"/>
    <x v="148"/>
    <x v="128"/>
    <x v="128"/>
    <s v="CHARGES"/>
    <x v="0"/>
    <s v="3221.002"/>
    <s v="Intérêts compensatoires / créances en faveur ctb."/>
    <n v="0.03"/>
    <n v="0"/>
    <n v="3221"/>
  </r>
  <r>
    <x v="0"/>
    <x v="5"/>
    <x v="1"/>
    <x v="148"/>
    <x v="128"/>
    <x v="128"/>
    <s v="CHARGES"/>
    <x v="0"/>
    <s v="3212.004"/>
    <s v="Intérêts rémun./perçu trop tôt sur acomptes C/C"/>
    <n v="1.1000000000000001"/>
    <n v="0"/>
    <n v="3212"/>
  </r>
  <r>
    <x v="0"/>
    <x v="5"/>
    <x v="1"/>
    <x v="148"/>
    <x v="128"/>
    <x v="128"/>
    <s v="CHARGES"/>
    <x v="0"/>
    <s v="3221.002"/>
    <s v="Intérêts compensatoires / créances en faveur ctb."/>
    <n v="0.14000000000000001"/>
    <n v="0"/>
    <n v="3221"/>
  </r>
  <r>
    <x v="0"/>
    <x v="5"/>
    <x v="1"/>
    <x v="148"/>
    <x v="128"/>
    <x v="128"/>
    <s v="CHARGES"/>
    <x v="0"/>
    <s v="3221.002"/>
    <s v="Intérêts compensatoires / créances en faveur ctb."/>
    <n v="0.22"/>
    <n v="0"/>
    <n v="3221"/>
  </r>
  <r>
    <x v="0"/>
    <x v="5"/>
    <x v="1"/>
    <x v="148"/>
    <x v="128"/>
    <x v="128"/>
    <s v="CHARGES"/>
    <x v="0"/>
    <s v="3212.004"/>
    <s v="Intérêts rémun./perçu trop tôt sur acomptes C/C"/>
    <n v="0.06"/>
    <n v="0"/>
    <n v="3212"/>
  </r>
  <r>
    <x v="0"/>
    <x v="5"/>
    <x v="1"/>
    <x v="148"/>
    <x v="128"/>
    <x v="128"/>
    <s v="CHARGES"/>
    <x v="0"/>
    <s v="3221.002"/>
    <s v="Intérêts compensatoires / créances en faveur ctb."/>
    <n v="0.08"/>
    <n v="0"/>
    <n v="3221"/>
  </r>
  <r>
    <x v="0"/>
    <x v="5"/>
    <x v="1"/>
    <x v="148"/>
    <x v="128"/>
    <x v="128"/>
    <s v="CHARGES"/>
    <x v="1"/>
    <s v="3301.001"/>
    <s v="Défalcations, abandons de solde PP et IS"/>
    <n v="555.91999999999996"/>
    <n v="0"/>
    <n v="3301"/>
  </r>
  <r>
    <x v="0"/>
    <x v="5"/>
    <x v="1"/>
    <x v="148"/>
    <x v="128"/>
    <x v="128"/>
    <s v="CHARGES"/>
    <x v="0"/>
    <s v="3212.004"/>
    <s v="Intérêts rémun./perçu trop tôt sur acomptes C/C"/>
    <n v="0.08"/>
    <n v="0"/>
    <n v="3212"/>
  </r>
  <r>
    <x v="0"/>
    <x v="5"/>
    <x v="1"/>
    <x v="148"/>
    <x v="128"/>
    <x v="128"/>
    <s v="CHARGES"/>
    <x v="0"/>
    <s v="3221.002"/>
    <s v="Intérêts compensatoires / créances en faveur ctb."/>
    <n v="0.22"/>
    <n v="0"/>
    <n v="3221"/>
  </r>
  <r>
    <x v="0"/>
    <x v="5"/>
    <x v="1"/>
    <x v="148"/>
    <x v="128"/>
    <x v="128"/>
    <s v="REVENUS"/>
    <x v="2"/>
    <s v="4001.007"/>
    <s v="Acompte impôt sur revenu"/>
    <n v="0"/>
    <n v="506186.37"/>
    <n v="4001"/>
  </r>
  <r>
    <x v="0"/>
    <x v="5"/>
    <x v="1"/>
    <x v="148"/>
    <x v="128"/>
    <x v="128"/>
    <s v="REVENUS"/>
    <x v="2"/>
    <s v="4001.007"/>
    <s v="Acompte impôt sur revenu"/>
    <n v="0"/>
    <n v="-272040.78000000003"/>
    <n v="4001"/>
  </r>
  <r>
    <x v="0"/>
    <x v="5"/>
    <x v="1"/>
    <x v="148"/>
    <x v="128"/>
    <x v="128"/>
    <s v="REVENUS"/>
    <x v="3"/>
    <s v="4002.007"/>
    <s v="Acompte impôt sur fortune"/>
    <n v="0"/>
    <n v="-48137.95"/>
    <n v="4002"/>
  </r>
  <r>
    <x v="0"/>
    <x v="5"/>
    <x v="1"/>
    <x v="148"/>
    <x v="128"/>
    <x v="128"/>
    <s v="REVENUS"/>
    <x v="2"/>
    <s v="4001.001"/>
    <s v="Impôt revenu"/>
    <n v="0"/>
    <n v="1110899.75"/>
    <n v="4001"/>
  </r>
  <r>
    <x v="0"/>
    <x v="5"/>
    <x v="1"/>
    <x v="148"/>
    <x v="128"/>
    <x v="128"/>
    <s v="REVENUS"/>
    <x v="3"/>
    <s v="4002.001"/>
    <s v="Impôt ordinaire s/fortune PP"/>
    <n v="0"/>
    <n v="190447.8"/>
    <n v="4002"/>
  </r>
  <r>
    <x v="0"/>
    <x v="5"/>
    <x v="1"/>
    <x v="148"/>
    <x v="128"/>
    <x v="128"/>
    <s v="REVENUS"/>
    <x v="3"/>
    <s v="4002.007"/>
    <s v="Acompte impôt sur fortune"/>
    <n v="0"/>
    <n v="80717.67"/>
    <n v="4002"/>
  </r>
  <r>
    <x v="0"/>
    <x v="5"/>
    <x v="1"/>
    <x v="148"/>
    <x v="128"/>
    <x v="128"/>
    <s v="REVENUS"/>
    <x v="6"/>
    <s v="4211.002"/>
    <s v="Intérêts de retard sur acomptes"/>
    <n v="0"/>
    <n v="5597.53"/>
    <n v="4211"/>
  </r>
  <r>
    <x v="0"/>
    <x v="5"/>
    <x v="1"/>
    <x v="148"/>
    <x v="128"/>
    <x v="128"/>
    <s v="REVENUS"/>
    <x v="6"/>
    <s v="4221.003"/>
    <s v="Intérêts compensat. / acomptes en faveur du fisc"/>
    <n v="0"/>
    <n v="119.41"/>
    <n v="4221"/>
  </r>
  <r>
    <x v="0"/>
    <x v="5"/>
    <x v="1"/>
    <x v="148"/>
    <x v="128"/>
    <x v="128"/>
    <s v="REVENUS"/>
    <x v="2"/>
    <s v="4001.001"/>
    <s v="Impôt revenu"/>
    <n v="0"/>
    <n v="3071.8"/>
    <n v="4001"/>
  </r>
  <r>
    <x v="0"/>
    <x v="5"/>
    <x v="1"/>
    <x v="148"/>
    <x v="128"/>
    <x v="128"/>
    <s v="REVENUS"/>
    <x v="2"/>
    <s v="4001.002"/>
    <s v="Impôt complément s/revenu PP"/>
    <n v="0"/>
    <n v="203.85"/>
    <n v="4001"/>
  </r>
  <r>
    <x v="0"/>
    <x v="5"/>
    <x v="1"/>
    <x v="148"/>
    <x v="128"/>
    <x v="128"/>
    <s v="REVENUS"/>
    <x v="3"/>
    <s v="4002.001"/>
    <s v="Impôt ordinaire s/fortune PP"/>
    <n v="0"/>
    <n v="374.25"/>
    <n v="4002"/>
  </r>
  <r>
    <x v="0"/>
    <x v="5"/>
    <x v="1"/>
    <x v="148"/>
    <x v="128"/>
    <x v="128"/>
    <s v="REVENUS"/>
    <x v="3"/>
    <s v="4002.002"/>
    <s v="Impôt complémentaire s/fortune PP"/>
    <n v="0"/>
    <n v="1184.45"/>
    <n v="4002"/>
  </r>
  <r>
    <x v="0"/>
    <x v="5"/>
    <x v="1"/>
    <x v="148"/>
    <x v="128"/>
    <x v="128"/>
    <s v="REVENUS"/>
    <x v="6"/>
    <s v="4211.002"/>
    <s v="Intérêts de retard sur acomptes"/>
    <n v="0"/>
    <n v="91.63"/>
    <n v="4211"/>
  </r>
  <r>
    <x v="0"/>
    <x v="5"/>
    <x v="1"/>
    <x v="148"/>
    <x v="128"/>
    <x v="128"/>
    <s v="REVENUS"/>
    <x v="10"/>
    <s v="4041.001"/>
    <s v="Droits de mutation"/>
    <n v="0"/>
    <n v="54697.5"/>
    <n v="4041"/>
  </r>
  <r>
    <x v="0"/>
    <x v="5"/>
    <x v="1"/>
    <x v="148"/>
    <x v="128"/>
    <x v="128"/>
    <s v="REVENUS"/>
    <x v="2"/>
    <s v="4001.007"/>
    <s v="Acompte impôt sur revenu"/>
    <n v="0"/>
    <n v="2355.25"/>
    <n v="4001"/>
  </r>
  <r>
    <x v="0"/>
    <x v="5"/>
    <x v="1"/>
    <x v="148"/>
    <x v="128"/>
    <x v="128"/>
    <s v="REVENUS"/>
    <x v="3"/>
    <s v="4002.007"/>
    <s v="Acompte impôt sur fortune"/>
    <n v="0"/>
    <n v="-626.25"/>
    <n v="4002"/>
  </r>
  <r>
    <x v="0"/>
    <x v="5"/>
    <x v="1"/>
    <x v="148"/>
    <x v="128"/>
    <x v="128"/>
    <s v="REVENUS"/>
    <x v="7"/>
    <s v="4184.000"/>
    <s v="Frais de poursuite"/>
    <n v="0"/>
    <n v="19.23"/>
    <n v="4184"/>
  </r>
  <r>
    <x v="0"/>
    <x v="5"/>
    <x v="1"/>
    <x v="148"/>
    <x v="128"/>
    <x v="128"/>
    <s v="REVENUS"/>
    <x v="3"/>
    <s v="4002.002"/>
    <s v="Impôt complémentaire s/fortune PP"/>
    <n v="0"/>
    <n v="23025.55"/>
    <n v="4002"/>
  </r>
  <r>
    <x v="0"/>
    <x v="5"/>
    <x v="1"/>
    <x v="148"/>
    <x v="128"/>
    <x v="128"/>
    <s v="REVENUS"/>
    <x v="6"/>
    <s v="4221.003"/>
    <s v="Intérêts compensat. / acomptes en faveur du fisc"/>
    <n v="0"/>
    <n v="0.04"/>
    <n v="4221"/>
  </r>
  <r>
    <x v="0"/>
    <x v="5"/>
    <x v="1"/>
    <x v="148"/>
    <x v="128"/>
    <x v="128"/>
    <s v="REVENUS"/>
    <x v="2"/>
    <s v="4001.003"/>
    <s v="Impôt s/prest. cap. PP"/>
    <n v="0"/>
    <n v="28565.4"/>
    <n v="4001"/>
  </r>
  <r>
    <x v="0"/>
    <x v="5"/>
    <x v="1"/>
    <x v="148"/>
    <x v="128"/>
    <x v="128"/>
    <s v="REVENUS"/>
    <x v="6"/>
    <s v="4211.001"/>
    <s v="Intérêts de retard sur factures"/>
    <n v="0"/>
    <n v="2930.2"/>
    <n v="4211"/>
  </r>
  <r>
    <x v="0"/>
    <x v="5"/>
    <x v="1"/>
    <x v="148"/>
    <x v="128"/>
    <x v="128"/>
    <s v="REVENUS"/>
    <x v="2"/>
    <s v="4001.002"/>
    <s v="Impôt complément s/revenu PP"/>
    <n v="0"/>
    <n v="207815.2"/>
    <n v="4001"/>
  </r>
  <r>
    <x v="0"/>
    <x v="5"/>
    <x v="1"/>
    <x v="148"/>
    <x v="128"/>
    <x v="128"/>
    <s v="REVENUS"/>
    <x v="9"/>
    <s v="4031.001"/>
    <s v="Impôt sur les gains immobiliers"/>
    <n v="0"/>
    <n v="39404.65"/>
    <n v="4031"/>
  </r>
  <r>
    <x v="0"/>
    <x v="5"/>
    <x v="1"/>
    <x v="148"/>
    <x v="128"/>
    <x v="128"/>
    <s v="REVENUS"/>
    <x v="6"/>
    <s v="4221.002"/>
    <s v="Intérêts compensat. sur impôts distincts"/>
    <n v="0"/>
    <n v="18.690000000000001"/>
    <n v="4221"/>
  </r>
  <r>
    <x v="0"/>
    <x v="5"/>
    <x v="1"/>
    <x v="148"/>
    <x v="128"/>
    <x v="128"/>
    <s v="REVENUS"/>
    <x v="2"/>
    <s v="4001.007"/>
    <s v="Acompte impôt sur revenu"/>
    <n v="0"/>
    <n v="-817.7"/>
    <n v="4001"/>
  </r>
  <r>
    <x v="0"/>
    <x v="5"/>
    <x v="1"/>
    <x v="148"/>
    <x v="128"/>
    <x v="128"/>
    <s v="REVENUS"/>
    <x v="3"/>
    <s v="4002.007"/>
    <s v="Acompte impôt sur fortune"/>
    <n v="0"/>
    <n v="762.8"/>
    <n v="4002"/>
  </r>
  <r>
    <x v="0"/>
    <x v="5"/>
    <x v="1"/>
    <x v="148"/>
    <x v="128"/>
    <x v="128"/>
    <s v="REVENUS"/>
    <x v="7"/>
    <s v="4184.000"/>
    <s v="Frais de poursuite"/>
    <n v="0"/>
    <n v="543.11"/>
    <n v="4184"/>
  </r>
  <r>
    <x v="0"/>
    <x v="5"/>
    <x v="1"/>
    <x v="148"/>
    <x v="128"/>
    <x v="128"/>
    <s v="REVENUS"/>
    <x v="6"/>
    <s v="4211.001"/>
    <s v="Intérêts de retard sur factures"/>
    <n v="0"/>
    <n v="0.18"/>
    <n v="4211"/>
  </r>
  <r>
    <x v="0"/>
    <x v="5"/>
    <x v="1"/>
    <x v="148"/>
    <x v="128"/>
    <x v="128"/>
    <s v="REVENUS"/>
    <x v="2"/>
    <s v="4001.001"/>
    <s v="Impôt revenu"/>
    <n v="0"/>
    <n v="3180.75"/>
    <n v="4001"/>
  </r>
  <r>
    <x v="0"/>
    <x v="5"/>
    <x v="1"/>
    <x v="148"/>
    <x v="128"/>
    <x v="128"/>
    <s v="REVENUS"/>
    <x v="3"/>
    <s v="4002.001"/>
    <s v="Impôt ordinaire s/fortune PP"/>
    <n v="0"/>
    <n v="631.70000000000005"/>
    <n v="4002"/>
  </r>
  <r>
    <x v="0"/>
    <x v="5"/>
    <x v="1"/>
    <x v="148"/>
    <x v="128"/>
    <x v="128"/>
    <s v="REVENUS"/>
    <x v="6"/>
    <s v="4211.002"/>
    <s v="Intérêts de retard sur acomptes"/>
    <n v="0"/>
    <n v="6.89"/>
    <n v="4211"/>
  </r>
  <r>
    <x v="0"/>
    <x v="5"/>
    <x v="1"/>
    <x v="148"/>
    <x v="128"/>
    <x v="128"/>
    <s v="REVENUS"/>
    <x v="6"/>
    <s v="4221.003"/>
    <s v="Intérêts compensat. / acomptes en faveur du fisc"/>
    <n v="0"/>
    <n v="0.02"/>
    <n v="4221"/>
  </r>
  <r>
    <x v="0"/>
    <x v="5"/>
    <x v="1"/>
    <x v="148"/>
    <x v="128"/>
    <x v="128"/>
    <s v="REVENUS"/>
    <x v="3"/>
    <s v="4002.007"/>
    <s v="Acompte impôt sur fortune"/>
    <n v="0"/>
    <n v="613.75"/>
    <n v="4002"/>
  </r>
  <r>
    <x v="0"/>
    <x v="5"/>
    <x v="1"/>
    <x v="148"/>
    <x v="128"/>
    <x v="128"/>
    <s v="REVENUS"/>
    <x v="2"/>
    <s v="4001.001"/>
    <s v="Impôt revenu"/>
    <n v="0"/>
    <n v="1253.05"/>
    <n v="4001"/>
  </r>
  <r>
    <x v="0"/>
    <x v="5"/>
    <x v="1"/>
    <x v="148"/>
    <x v="128"/>
    <x v="128"/>
    <s v="REVENUS"/>
    <x v="3"/>
    <s v="4002.001"/>
    <s v="Impôt ordinaire s/fortune PP"/>
    <n v="0"/>
    <n v="840.9"/>
    <n v="4002"/>
  </r>
  <r>
    <x v="0"/>
    <x v="5"/>
    <x v="1"/>
    <x v="148"/>
    <x v="128"/>
    <x v="128"/>
    <s v="REVENUS"/>
    <x v="2"/>
    <s v="4001.001"/>
    <s v="Impôt revenu"/>
    <n v="0"/>
    <n v="-68442"/>
    <n v="4001"/>
  </r>
  <r>
    <x v="0"/>
    <x v="5"/>
    <x v="1"/>
    <x v="148"/>
    <x v="128"/>
    <x v="128"/>
    <s v="REVENUS"/>
    <x v="3"/>
    <s v="4002.001"/>
    <s v="Impôt ordinaire s/fortune PP"/>
    <n v="0"/>
    <n v="-3089.9"/>
    <n v="4002"/>
  </r>
  <r>
    <x v="0"/>
    <x v="5"/>
    <x v="1"/>
    <x v="148"/>
    <x v="128"/>
    <x v="128"/>
    <s v="REVENUS"/>
    <x v="2"/>
    <s v="4001.007"/>
    <s v="Acompte impôt sur revenu"/>
    <n v="0"/>
    <n v="3503.75"/>
    <n v="4001"/>
  </r>
  <r>
    <x v="0"/>
    <x v="5"/>
    <x v="1"/>
    <x v="148"/>
    <x v="128"/>
    <x v="128"/>
    <s v="REVENUS"/>
    <x v="6"/>
    <s v="4221.003"/>
    <s v="Intérêts compensat. / acomptes en faveur du fisc"/>
    <n v="0"/>
    <n v="0.03"/>
    <n v="4221"/>
  </r>
  <r>
    <x v="0"/>
    <x v="5"/>
    <x v="1"/>
    <x v="148"/>
    <x v="128"/>
    <x v="128"/>
    <s v="REVENUS"/>
    <x v="6"/>
    <s v="4211.001"/>
    <s v="Intérêts de retard sur factures"/>
    <n v="0"/>
    <n v="22.37"/>
    <n v="4211"/>
  </r>
  <r>
    <x v="0"/>
    <x v="5"/>
    <x v="1"/>
    <x v="148"/>
    <x v="128"/>
    <x v="128"/>
    <s v="REVENUS"/>
    <x v="2"/>
    <s v="4001.003"/>
    <s v="Impôt s/prest. cap. PP"/>
    <n v="0"/>
    <n v="-7194.55"/>
    <n v="4001"/>
  </r>
  <r>
    <x v="0"/>
    <x v="5"/>
    <x v="1"/>
    <x v="148"/>
    <x v="128"/>
    <x v="128"/>
    <s v="REVENUS"/>
    <x v="3"/>
    <s v="4002.001"/>
    <s v="Impôt ordinaire s/fortune PP"/>
    <n v="0"/>
    <n v="816.4"/>
    <n v="4002"/>
  </r>
  <r>
    <x v="0"/>
    <x v="5"/>
    <x v="1"/>
    <x v="148"/>
    <x v="128"/>
    <x v="128"/>
    <s v="REVENUS"/>
    <x v="6"/>
    <s v="4211.002"/>
    <s v="Intérêts de retard sur acomptes"/>
    <n v="0"/>
    <n v="7.25"/>
    <n v="4211"/>
  </r>
  <r>
    <x v="0"/>
    <x v="5"/>
    <x v="1"/>
    <x v="148"/>
    <x v="128"/>
    <x v="128"/>
    <s v="REVENUS"/>
    <x v="5"/>
    <s v="4061.000"/>
    <s v="Impôt sur les chiens"/>
    <n v="0"/>
    <n v="2900"/>
    <n v="4061"/>
  </r>
  <r>
    <x v="0"/>
    <x v="5"/>
    <x v="1"/>
    <x v="148"/>
    <x v="128"/>
    <x v="128"/>
    <s v="REVENUS"/>
    <x v="2"/>
    <s v="4001.001"/>
    <s v="Impôt revenu"/>
    <n v="0"/>
    <n v="88.2"/>
    <n v="4001"/>
  </r>
  <r>
    <x v="0"/>
    <x v="5"/>
    <x v="1"/>
    <x v="148"/>
    <x v="128"/>
    <x v="128"/>
    <s v="REVENUS"/>
    <x v="2"/>
    <s v="4001.007"/>
    <s v="Acompte impôt sur revenu"/>
    <n v="0"/>
    <n v="-182.35"/>
    <n v="4001"/>
  </r>
  <r>
    <x v="0"/>
    <x v="5"/>
    <x v="1"/>
    <x v="148"/>
    <x v="128"/>
    <x v="128"/>
    <s v="REVENUS"/>
    <x v="6"/>
    <s v="4221.003"/>
    <s v="Intérêts compensat. / acomptes en faveur du fisc"/>
    <n v="0"/>
    <n v="0.23"/>
    <n v="4221"/>
  </r>
  <r>
    <x v="0"/>
    <x v="5"/>
    <x v="1"/>
    <x v="148"/>
    <x v="128"/>
    <x v="128"/>
    <s v="REVENUS"/>
    <x v="7"/>
    <s v="4184.000"/>
    <s v="Frais de poursuite"/>
    <n v="0"/>
    <n v="52.86"/>
    <n v="4184"/>
  </r>
  <r>
    <x v="0"/>
    <x v="5"/>
    <x v="1"/>
    <x v="149"/>
    <x v="129"/>
    <x v="129"/>
    <s v="CHARGES"/>
    <x v="0"/>
    <s v="3221.002"/>
    <s v="Intérêts compensatoires / créances en faveur ctb."/>
    <n v="217.84"/>
    <n v="0"/>
    <n v="3221"/>
  </r>
  <r>
    <x v="0"/>
    <x v="5"/>
    <x v="1"/>
    <x v="149"/>
    <x v="129"/>
    <x v="129"/>
    <s v="CHARGES"/>
    <x v="1"/>
    <s v="3301.001"/>
    <s v="Défalcations, abandons de solde PP et IS"/>
    <n v="20077.53"/>
    <n v="0"/>
    <n v="3301"/>
  </r>
  <r>
    <x v="0"/>
    <x v="5"/>
    <x v="1"/>
    <x v="149"/>
    <x v="129"/>
    <x v="129"/>
    <s v="CHARGES"/>
    <x v="0"/>
    <s v="3212.004"/>
    <s v="Intérêts rémun./perçu trop tôt sur acomptes C/C"/>
    <n v="933.61"/>
    <n v="0"/>
    <n v="3212"/>
  </r>
  <r>
    <x v="0"/>
    <x v="5"/>
    <x v="1"/>
    <x v="149"/>
    <x v="129"/>
    <x v="129"/>
    <s v="CHARGES"/>
    <x v="0"/>
    <s v="3212.002"/>
    <s v="Intérêts bonifiés/trop perçu acompte C/C"/>
    <n v="93.27"/>
    <n v="0"/>
    <n v="3212"/>
  </r>
  <r>
    <x v="0"/>
    <x v="5"/>
    <x v="1"/>
    <x v="149"/>
    <x v="129"/>
    <x v="129"/>
    <s v="CHARGES"/>
    <x v="0"/>
    <s v="3221.002"/>
    <s v="Intérêts compensatoires / créances en faveur ctb."/>
    <n v="0.76"/>
    <n v="0"/>
    <n v="3221"/>
  </r>
  <r>
    <x v="0"/>
    <x v="5"/>
    <x v="1"/>
    <x v="149"/>
    <x v="129"/>
    <x v="129"/>
    <s v="CHARGES"/>
    <x v="0"/>
    <s v="3212.004"/>
    <s v="Intérêts rémun./perçu trop tôt sur acomptes C/C"/>
    <n v="9.93"/>
    <n v="0"/>
    <n v="3212"/>
  </r>
  <r>
    <x v="0"/>
    <x v="5"/>
    <x v="1"/>
    <x v="149"/>
    <x v="129"/>
    <x v="129"/>
    <s v="CHARGES"/>
    <x v="0"/>
    <s v="3212.004"/>
    <s v="Intérêts rémun./perçu trop tôt sur acomptes C/C"/>
    <n v="13.95"/>
    <n v="0"/>
    <n v="3212"/>
  </r>
  <r>
    <x v="0"/>
    <x v="5"/>
    <x v="1"/>
    <x v="149"/>
    <x v="129"/>
    <x v="129"/>
    <s v="CHARGES"/>
    <x v="0"/>
    <s v="3212.004"/>
    <s v="Intérêts rémun./perçu trop tôt sur acomptes C/C"/>
    <n v="0.01"/>
    <n v="0"/>
    <n v="3212"/>
  </r>
  <r>
    <x v="0"/>
    <x v="5"/>
    <x v="1"/>
    <x v="149"/>
    <x v="129"/>
    <x v="129"/>
    <s v="CHARGES"/>
    <x v="1"/>
    <s v="3301.001"/>
    <s v="Défalcations, abandons de solde PP et IS"/>
    <n v="2650.13"/>
    <n v="0"/>
    <n v="3301"/>
  </r>
  <r>
    <x v="0"/>
    <x v="5"/>
    <x v="1"/>
    <x v="149"/>
    <x v="129"/>
    <x v="129"/>
    <s v="CHARGES"/>
    <x v="1"/>
    <s v="3301.001"/>
    <s v="Défalcations, abandons de solde PP et IS"/>
    <n v="10.54"/>
    <n v="0"/>
    <n v="3301"/>
  </r>
  <r>
    <x v="0"/>
    <x v="5"/>
    <x v="1"/>
    <x v="149"/>
    <x v="129"/>
    <x v="129"/>
    <s v="CHARGES"/>
    <x v="0"/>
    <s v="3221.002"/>
    <s v="Intérêts compensatoires / créances en faveur ctb."/>
    <n v="3.38"/>
    <n v="0"/>
    <n v="3221"/>
  </r>
  <r>
    <x v="0"/>
    <x v="5"/>
    <x v="1"/>
    <x v="149"/>
    <x v="129"/>
    <x v="129"/>
    <s v="CHARGES"/>
    <x v="0"/>
    <s v="3212.002"/>
    <s v="Intérêts bonifiés/trop perçu acompte C/C"/>
    <n v="-0.01"/>
    <n v="0"/>
    <n v="3212"/>
  </r>
  <r>
    <x v="0"/>
    <x v="5"/>
    <x v="1"/>
    <x v="149"/>
    <x v="129"/>
    <x v="129"/>
    <s v="CHARGES"/>
    <x v="1"/>
    <s v="3301.001"/>
    <s v="Défalcations, abandons de solde PP et IS"/>
    <n v="0.19"/>
    <n v="0"/>
    <n v="3301"/>
  </r>
  <r>
    <x v="0"/>
    <x v="5"/>
    <x v="1"/>
    <x v="149"/>
    <x v="129"/>
    <x v="129"/>
    <s v="CHARGES"/>
    <x v="0"/>
    <s v="3212.004"/>
    <s v="Intérêts rémun./perçu trop tôt sur acomptes C/C"/>
    <n v="0.97"/>
    <n v="0"/>
    <n v="3212"/>
  </r>
  <r>
    <x v="0"/>
    <x v="5"/>
    <x v="1"/>
    <x v="149"/>
    <x v="129"/>
    <x v="129"/>
    <s v="CHARGES"/>
    <x v="0"/>
    <s v="3221.002"/>
    <s v="Intérêts compensatoires / créances en faveur ctb."/>
    <n v="0.06"/>
    <n v="0"/>
    <n v="3221"/>
  </r>
  <r>
    <x v="0"/>
    <x v="5"/>
    <x v="1"/>
    <x v="149"/>
    <x v="129"/>
    <x v="129"/>
    <s v="CHARGES"/>
    <x v="0"/>
    <s v="3212.004"/>
    <s v="Intérêts rémun./perçu trop tôt sur acomptes C/C"/>
    <n v="7.0000000000000007E-2"/>
    <n v="0"/>
    <n v="3212"/>
  </r>
  <r>
    <x v="0"/>
    <x v="5"/>
    <x v="1"/>
    <x v="149"/>
    <x v="129"/>
    <x v="129"/>
    <s v="CHARGES"/>
    <x v="0"/>
    <s v="3221.002"/>
    <s v="Intérêts compensatoires / créances en faveur ctb."/>
    <n v="0.32"/>
    <n v="0"/>
    <n v="3221"/>
  </r>
  <r>
    <x v="0"/>
    <x v="5"/>
    <x v="1"/>
    <x v="149"/>
    <x v="129"/>
    <x v="129"/>
    <s v="CHARGES"/>
    <x v="1"/>
    <s v="3301.001"/>
    <s v="Défalcations, abandons de solde PP et IS"/>
    <n v="0.46"/>
    <n v="0"/>
    <n v="3301"/>
  </r>
  <r>
    <x v="0"/>
    <x v="5"/>
    <x v="1"/>
    <x v="149"/>
    <x v="129"/>
    <x v="129"/>
    <s v="REVENUS"/>
    <x v="2"/>
    <s v="4001.007"/>
    <s v="Acompte impôt sur revenu"/>
    <n v="0"/>
    <n v="695181.91"/>
    <n v="4001"/>
  </r>
  <r>
    <x v="0"/>
    <x v="5"/>
    <x v="1"/>
    <x v="149"/>
    <x v="129"/>
    <x v="129"/>
    <s v="REVENUS"/>
    <x v="2"/>
    <s v="4001.001"/>
    <s v="Impôt revenu"/>
    <n v="0"/>
    <n v="2527124.85"/>
    <n v="4001"/>
  </r>
  <r>
    <x v="0"/>
    <x v="5"/>
    <x v="1"/>
    <x v="149"/>
    <x v="129"/>
    <x v="129"/>
    <s v="REVENUS"/>
    <x v="2"/>
    <s v="4001.002"/>
    <s v="Impôt complément s/revenu PP"/>
    <n v="0"/>
    <n v="583519.05000000005"/>
    <n v="4001"/>
  </r>
  <r>
    <x v="0"/>
    <x v="5"/>
    <x v="1"/>
    <x v="149"/>
    <x v="129"/>
    <x v="129"/>
    <s v="REVENUS"/>
    <x v="2"/>
    <s v="4001.003"/>
    <s v="Impôt s/prest. cap. PP"/>
    <n v="0"/>
    <n v="160411.6"/>
    <n v="4001"/>
  </r>
  <r>
    <x v="0"/>
    <x v="5"/>
    <x v="1"/>
    <x v="149"/>
    <x v="129"/>
    <x v="129"/>
    <s v="REVENUS"/>
    <x v="3"/>
    <s v="4002.001"/>
    <s v="Impôt ordinaire s/fortune PP"/>
    <n v="0"/>
    <n v="1009790.25"/>
    <n v="4002"/>
  </r>
  <r>
    <x v="0"/>
    <x v="5"/>
    <x v="1"/>
    <x v="149"/>
    <x v="129"/>
    <x v="129"/>
    <s v="REVENUS"/>
    <x v="6"/>
    <s v="4211.001"/>
    <s v="Intérêts de retard sur factures"/>
    <n v="0"/>
    <n v="12456.05"/>
    <n v="4211"/>
  </r>
  <r>
    <x v="0"/>
    <x v="5"/>
    <x v="1"/>
    <x v="149"/>
    <x v="129"/>
    <x v="129"/>
    <s v="REVENUS"/>
    <x v="6"/>
    <s v="4211.002"/>
    <s v="Intérêts de retard sur acomptes"/>
    <n v="0"/>
    <n v="19233.34"/>
    <n v="4211"/>
  </r>
  <r>
    <x v="0"/>
    <x v="5"/>
    <x v="1"/>
    <x v="149"/>
    <x v="129"/>
    <x v="129"/>
    <s v="REVENUS"/>
    <x v="6"/>
    <s v="4221.003"/>
    <s v="Intérêts compensat. / acomptes en faveur du fisc"/>
    <n v="0"/>
    <n v="1254.08"/>
    <n v="4221"/>
  </r>
  <r>
    <x v="0"/>
    <x v="5"/>
    <x v="1"/>
    <x v="149"/>
    <x v="129"/>
    <x v="129"/>
    <s v="REVENUS"/>
    <x v="3"/>
    <s v="4002.007"/>
    <s v="Acompte impôt sur fortune"/>
    <n v="0"/>
    <n v="415533.66"/>
    <n v="4002"/>
  </r>
  <r>
    <x v="0"/>
    <x v="5"/>
    <x v="1"/>
    <x v="149"/>
    <x v="129"/>
    <x v="129"/>
    <s v="REVENUS"/>
    <x v="2"/>
    <s v="4001.007"/>
    <s v="Acompte impôt sur revenu"/>
    <n v="0"/>
    <n v="-668165.14"/>
    <n v="4001"/>
  </r>
  <r>
    <x v="0"/>
    <x v="5"/>
    <x v="1"/>
    <x v="149"/>
    <x v="129"/>
    <x v="129"/>
    <s v="REVENUS"/>
    <x v="3"/>
    <s v="4002.007"/>
    <s v="Acompte impôt sur fortune"/>
    <n v="0"/>
    <n v="-529649.82999999996"/>
    <n v="4002"/>
  </r>
  <r>
    <x v="0"/>
    <x v="5"/>
    <x v="1"/>
    <x v="149"/>
    <x v="129"/>
    <x v="129"/>
    <s v="REVENUS"/>
    <x v="3"/>
    <s v="4002.002"/>
    <s v="Impôt complémentaire s/fortune PP"/>
    <n v="0"/>
    <n v="401525"/>
    <n v="4002"/>
  </r>
  <r>
    <x v="0"/>
    <x v="5"/>
    <x v="1"/>
    <x v="149"/>
    <x v="129"/>
    <x v="129"/>
    <s v="REVENUS"/>
    <x v="9"/>
    <s v="4031.001"/>
    <s v="Impôt sur les gains immobiliers"/>
    <n v="0"/>
    <n v="181888.8"/>
    <n v="4031"/>
  </r>
  <r>
    <x v="0"/>
    <x v="5"/>
    <x v="1"/>
    <x v="149"/>
    <x v="129"/>
    <x v="129"/>
    <s v="REVENUS"/>
    <x v="12"/>
    <s v="4004.007"/>
    <s v="Acompte spécial étrangers"/>
    <n v="0"/>
    <n v="26728.95"/>
    <n v="4004"/>
  </r>
  <r>
    <x v="0"/>
    <x v="5"/>
    <x v="1"/>
    <x v="149"/>
    <x v="129"/>
    <x v="129"/>
    <s v="REVENUS"/>
    <x v="7"/>
    <s v="4184.000"/>
    <s v="Frais de poursuite"/>
    <n v="0"/>
    <n v="304.88"/>
    <n v="4184"/>
  </r>
  <r>
    <x v="0"/>
    <x v="5"/>
    <x v="1"/>
    <x v="149"/>
    <x v="129"/>
    <x v="129"/>
    <s v="REVENUS"/>
    <x v="2"/>
    <s v="4001.007"/>
    <s v="Acompte impôt sur revenu"/>
    <n v="0"/>
    <n v="169.65"/>
    <n v="4001"/>
  </r>
  <r>
    <x v="0"/>
    <x v="5"/>
    <x v="1"/>
    <x v="149"/>
    <x v="129"/>
    <x v="129"/>
    <s v="REVENUS"/>
    <x v="3"/>
    <s v="4002.007"/>
    <s v="Acompte impôt sur fortune"/>
    <n v="0"/>
    <n v="-53.45"/>
    <n v="4002"/>
  </r>
  <r>
    <x v="0"/>
    <x v="5"/>
    <x v="1"/>
    <x v="149"/>
    <x v="129"/>
    <x v="129"/>
    <s v="REVENUS"/>
    <x v="6"/>
    <s v="4221.002"/>
    <s v="Intérêts compensat. sur impôts distincts"/>
    <n v="0"/>
    <n v="16.89"/>
    <n v="4221"/>
  </r>
  <r>
    <x v="0"/>
    <x v="5"/>
    <x v="1"/>
    <x v="149"/>
    <x v="129"/>
    <x v="129"/>
    <s v="REVENUS"/>
    <x v="3"/>
    <s v="4002.007"/>
    <s v="Acompte impôt sur fortune"/>
    <n v="0"/>
    <n v="-56.43"/>
    <n v="4002"/>
  </r>
  <r>
    <x v="0"/>
    <x v="5"/>
    <x v="1"/>
    <x v="149"/>
    <x v="129"/>
    <x v="129"/>
    <s v="REVENUS"/>
    <x v="2"/>
    <s v="4001.007"/>
    <s v="Acompte impôt sur revenu"/>
    <n v="0"/>
    <n v="92614.92"/>
    <n v="4001"/>
  </r>
  <r>
    <x v="0"/>
    <x v="5"/>
    <x v="1"/>
    <x v="149"/>
    <x v="129"/>
    <x v="129"/>
    <s v="REVENUS"/>
    <x v="6"/>
    <s v="4211.001"/>
    <s v="Intérêts de retard sur factures"/>
    <n v="0"/>
    <n v="18.05"/>
    <n v="4211"/>
  </r>
  <r>
    <x v="0"/>
    <x v="5"/>
    <x v="1"/>
    <x v="149"/>
    <x v="129"/>
    <x v="129"/>
    <s v="REVENUS"/>
    <x v="3"/>
    <s v="4002.001"/>
    <s v="Impôt ordinaire s/fortune PP"/>
    <n v="0"/>
    <n v="13326"/>
    <n v="4002"/>
  </r>
  <r>
    <x v="0"/>
    <x v="5"/>
    <x v="1"/>
    <x v="149"/>
    <x v="129"/>
    <x v="129"/>
    <s v="REVENUS"/>
    <x v="6"/>
    <s v="4211.002"/>
    <s v="Intérêts de retard sur acomptes"/>
    <n v="0"/>
    <n v="23.46"/>
    <n v="4211"/>
  </r>
  <r>
    <x v="0"/>
    <x v="5"/>
    <x v="1"/>
    <x v="149"/>
    <x v="129"/>
    <x v="129"/>
    <s v="REVENUS"/>
    <x v="7"/>
    <s v="4184.000"/>
    <s v="Frais de poursuite"/>
    <n v="0"/>
    <n v="58.78"/>
    <n v="4184"/>
  </r>
  <r>
    <x v="0"/>
    <x v="5"/>
    <x v="1"/>
    <x v="149"/>
    <x v="129"/>
    <x v="129"/>
    <s v="REVENUS"/>
    <x v="2"/>
    <s v="4001.001"/>
    <s v="Impôt revenu"/>
    <n v="0"/>
    <n v="12130.6"/>
    <n v="4001"/>
  </r>
  <r>
    <x v="0"/>
    <x v="5"/>
    <x v="1"/>
    <x v="149"/>
    <x v="129"/>
    <x v="129"/>
    <s v="REVENUS"/>
    <x v="6"/>
    <s v="4221.003"/>
    <s v="Intérêts compensat. / acomptes en faveur du fisc"/>
    <n v="0"/>
    <n v="17.760000000000002"/>
    <n v="4221"/>
  </r>
  <r>
    <x v="0"/>
    <x v="5"/>
    <x v="1"/>
    <x v="149"/>
    <x v="129"/>
    <x v="129"/>
    <s v="REVENUS"/>
    <x v="2"/>
    <s v="4001.002"/>
    <s v="Impôt complément s/revenu PP"/>
    <n v="0"/>
    <n v="-157116.6"/>
    <n v="4001"/>
  </r>
  <r>
    <x v="0"/>
    <x v="5"/>
    <x v="1"/>
    <x v="149"/>
    <x v="129"/>
    <x v="129"/>
    <s v="REVENUS"/>
    <x v="3"/>
    <s v="4002.002"/>
    <s v="Impôt complémentaire s/fortune PP"/>
    <n v="0"/>
    <n v="-9218.5"/>
    <n v="4002"/>
  </r>
  <r>
    <x v="0"/>
    <x v="5"/>
    <x v="1"/>
    <x v="149"/>
    <x v="129"/>
    <x v="129"/>
    <s v="REVENUS"/>
    <x v="2"/>
    <s v="4001.001"/>
    <s v="Impôt revenu"/>
    <n v="0"/>
    <n v="16.350000000000001"/>
    <n v="4001"/>
  </r>
  <r>
    <x v="0"/>
    <x v="5"/>
    <x v="1"/>
    <x v="149"/>
    <x v="129"/>
    <x v="129"/>
    <s v="REVENUS"/>
    <x v="3"/>
    <s v="4002.001"/>
    <s v="Impôt ordinaire s/fortune PP"/>
    <n v="0"/>
    <n v="1.7"/>
    <n v="4002"/>
  </r>
  <r>
    <x v="0"/>
    <x v="5"/>
    <x v="1"/>
    <x v="149"/>
    <x v="129"/>
    <x v="129"/>
    <s v="REVENUS"/>
    <x v="2"/>
    <s v="4001.002"/>
    <s v="Impôt complément s/revenu PP"/>
    <n v="0"/>
    <n v="9118.75"/>
    <n v="4001"/>
  </r>
  <r>
    <x v="0"/>
    <x v="5"/>
    <x v="1"/>
    <x v="149"/>
    <x v="129"/>
    <x v="129"/>
    <s v="REVENUS"/>
    <x v="3"/>
    <s v="4002.002"/>
    <s v="Impôt complémentaire s/fortune PP"/>
    <n v="0"/>
    <n v="4024.6"/>
    <n v="4002"/>
  </r>
  <r>
    <x v="0"/>
    <x v="5"/>
    <x v="1"/>
    <x v="149"/>
    <x v="129"/>
    <x v="129"/>
    <s v="REVENUS"/>
    <x v="6"/>
    <s v="4221.003"/>
    <s v="Intérêts compensat. / acomptes en faveur du fisc"/>
    <n v="0"/>
    <n v="14.16"/>
    <n v="4221"/>
  </r>
  <r>
    <x v="0"/>
    <x v="5"/>
    <x v="1"/>
    <x v="149"/>
    <x v="129"/>
    <x v="129"/>
    <s v="REVENUS"/>
    <x v="5"/>
    <s v="4061.000"/>
    <s v="Impôt sur les chiens"/>
    <n v="0"/>
    <n v="1562.5"/>
    <n v="4061"/>
  </r>
  <r>
    <x v="0"/>
    <x v="5"/>
    <x v="1"/>
    <x v="149"/>
    <x v="129"/>
    <x v="129"/>
    <s v="REVENUS"/>
    <x v="2"/>
    <s v="4001.001"/>
    <s v="Impôt revenu"/>
    <n v="0"/>
    <n v="-100871.15"/>
    <n v="4001"/>
  </r>
  <r>
    <x v="0"/>
    <x v="5"/>
    <x v="1"/>
    <x v="149"/>
    <x v="129"/>
    <x v="129"/>
    <s v="REVENUS"/>
    <x v="10"/>
    <s v="4041.001"/>
    <s v="Droits de mutation"/>
    <n v="0"/>
    <n v="66990"/>
    <n v="4041"/>
  </r>
  <r>
    <x v="0"/>
    <x v="5"/>
    <x v="1"/>
    <x v="149"/>
    <x v="129"/>
    <x v="129"/>
    <s v="REVENUS"/>
    <x v="3"/>
    <s v="4002.007"/>
    <s v="Acompte impôt sur fortune"/>
    <n v="0"/>
    <n v="0"/>
    <n v="4002"/>
  </r>
  <r>
    <x v="0"/>
    <x v="5"/>
    <x v="1"/>
    <x v="149"/>
    <x v="129"/>
    <x v="129"/>
    <s v="REVENUS"/>
    <x v="3"/>
    <s v="4002.001"/>
    <s v="Impôt ordinaire s/fortune PP"/>
    <n v="0"/>
    <n v="-19703.599999999999"/>
    <n v="4002"/>
  </r>
  <r>
    <x v="0"/>
    <x v="5"/>
    <x v="1"/>
    <x v="149"/>
    <x v="129"/>
    <x v="129"/>
    <s v="REVENUS"/>
    <x v="6"/>
    <s v="4211.002"/>
    <s v="Intérêts de retard sur acomptes"/>
    <n v="0"/>
    <n v="-0.75"/>
    <n v="4211"/>
  </r>
  <r>
    <x v="0"/>
    <x v="5"/>
    <x v="1"/>
    <x v="149"/>
    <x v="129"/>
    <x v="129"/>
    <s v="REVENUS"/>
    <x v="12"/>
    <s v="4004.000"/>
    <s v="Impôt spécial étrangers"/>
    <n v="0"/>
    <n v="146116.79999999999"/>
    <n v="4004"/>
  </r>
  <r>
    <x v="0"/>
    <x v="5"/>
    <x v="1"/>
    <x v="149"/>
    <x v="129"/>
    <x v="129"/>
    <s v="REVENUS"/>
    <x v="3"/>
    <s v="4002.001"/>
    <s v="Impôt ordinaire s/fortune PP"/>
    <n v="0"/>
    <n v="1432.8"/>
    <n v="4002"/>
  </r>
  <r>
    <x v="0"/>
    <x v="5"/>
    <x v="1"/>
    <x v="149"/>
    <x v="129"/>
    <x v="129"/>
    <s v="REVENUS"/>
    <x v="6"/>
    <s v="4221.003"/>
    <s v="Intérêts compensat. / acomptes en faveur du fisc"/>
    <n v="0"/>
    <n v="0.19"/>
    <n v="4221"/>
  </r>
  <r>
    <x v="0"/>
    <x v="5"/>
    <x v="1"/>
    <x v="149"/>
    <x v="129"/>
    <x v="129"/>
    <s v="REVENUS"/>
    <x v="7"/>
    <s v="4184.000"/>
    <s v="Frais de poursuite"/>
    <n v="0"/>
    <n v="0.67"/>
    <n v="4184"/>
  </r>
  <r>
    <x v="0"/>
    <x v="5"/>
    <x v="1"/>
    <x v="149"/>
    <x v="129"/>
    <x v="129"/>
    <s v="REVENUS"/>
    <x v="8"/>
    <s v="4091.001"/>
    <s v="Impôt récupéré après défalcations"/>
    <n v="0"/>
    <n v="1597.27"/>
    <n v="4091"/>
  </r>
  <r>
    <x v="0"/>
    <x v="5"/>
    <x v="1"/>
    <x v="149"/>
    <x v="129"/>
    <x v="129"/>
    <s v="REVENUS"/>
    <x v="2"/>
    <s v="4001.001"/>
    <s v="Impôt revenu"/>
    <n v="0"/>
    <n v="1927.8"/>
    <n v="4001"/>
  </r>
  <r>
    <x v="0"/>
    <x v="5"/>
    <x v="1"/>
    <x v="149"/>
    <x v="129"/>
    <x v="129"/>
    <s v="REVENUS"/>
    <x v="2"/>
    <s v="4001.001"/>
    <s v="Impôt revenu"/>
    <n v="0"/>
    <n v="33.799999999999997"/>
    <n v="4001"/>
  </r>
  <r>
    <x v="0"/>
    <x v="5"/>
    <x v="1"/>
    <x v="149"/>
    <x v="129"/>
    <x v="129"/>
    <s v="REVENUS"/>
    <x v="3"/>
    <s v="4002.001"/>
    <s v="Impôt ordinaire s/fortune PP"/>
    <n v="0"/>
    <n v="150.80000000000001"/>
    <n v="4002"/>
  </r>
  <r>
    <x v="0"/>
    <x v="5"/>
    <x v="1"/>
    <x v="149"/>
    <x v="129"/>
    <x v="129"/>
    <s v="REVENUS"/>
    <x v="8"/>
    <s v="4091.001"/>
    <s v="Impôt récupéré après défalcations"/>
    <n v="0"/>
    <n v="12850.2"/>
    <n v="4091"/>
  </r>
  <r>
    <x v="0"/>
    <x v="5"/>
    <x v="1"/>
    <x v="149"/>
    <x v="129"/>
    <x v="129"/>
    <s v="REVENUS"/>
    <x v="6"/>
    <s v="4211.001"/>
    <s v="Intérêts de retard sur factures"/>
    <n v="0"/>
    <n v="1.83"/>
    <n v="4211"/>
  </r>
  <r>
    <x v="0"/>
    <x v="8"/>
    <x v="8"/>
    <x v="150"/>
    <x v="130"/>
    <x v="130"/>
    <s v="CHARGES"/>
    <x v="1"/>
    <s v="3301.001"/>
    <s v="Défalcations, abandons de solde PP et IS"/>
    <n v="96.23"/>
    <n v="0"/>
    <n v="3301"/>
  </r>
  <r>
    <x v="0"/>
    <x v="8"/>
    <x v="8"/>
    <x v="150"/>
    <x v="130"/>
    <x v="130"/>
    <s v="CHARGES"/>
    <x v="0"/>
    <s v="3212.002"/>
    <s v="Intérêts bonifiés/trop perçu acompte C/C"/>
    <n v="233.45"/>
    <n v="0"/>
    <n v="3212"/>
  </r>
  <r>
    <x v="0"/>
    <x v="8"/>
    <x v="8"/>
    <x v="150"/>
    <x v="130"/>
    <x v="130"/>
    <s v="REVENUS"/>
    <x v="9"/>
    <s v="4031.001"/>
    <s v="Impôt sur les gains immobiliers"/>
    <n v="0"/>
    <n v="918963.1"/>
    <n v="4031"/>
  </r>
  <r>
    <x v="0"/>
    <x v="8"/>
    <x v="8"/>
    <x v="150"/>
    <x v="130"/>
    <x v="130"/>
    <s v="REVENUS"/>
    <x v="6"/>
    <s v="4221.002"/>
    <s v="Intérêts compensat. sur impôts distincts"/>
    <n v="0"/>
    <n v="30.83"/>
    <n v="4221"/>
  </r>
  <r>
    <x v="0"/>
    <x v="8"/>
    <x v="8"/>
    <x v="150"/>
    <x v="130"/>
    <x v="130"/>
    <s v="REVENUS"/>
    <x v="6"/>
    <s v="4211.001"/>
    <s v="Intérêts de retard sur factures"/>
    <n v="0"/>
    <n v="150.9"/>
    <n v="4211"/>
  </r>
  <r>
    <x v="0"/>
    <x v="8"/>
    <x v="8"/>
    <x v="150"/>
    <x v="130"/>
    <x v="130"/>
    <s v="REVENUS"/>
    <x v="9"/>
    <s v="4031.002"/>
    <s v="Complément impôt sur les gains immobiliers"/>
    <n v="0"/>
    <n v="7808.3"/>
    <n v="4031"/>
  </r>
  <r>
    <x v="0"/>
    <x v="5"/>
    <x v="1"/>
    <x v="151"/>
    <x v="131"/>
    <x v="131"/>
    <s v="CHARGES"/>
    <x v="1"/>
    <s v="3301.001"/>
    <s v="Défalcations, abandons de solde PP et IS"/>
    <n v="8.35"/>
    <n v="0"/>
    <n v="3301"/>
  </r>
  <r>
    <x v="0"/>
    <x v="5"/>
    <x v="1"/>
    <x v="151"/>
    <x v="131"/>
    <x v="131"/>
    <s v="REVENUS"/>
    <x v="9"/>
    <s v="4031.001"/>
    <s v="Impôt sur les gains immobiliers"/>
    <n v="0"/>
    <n v="43281.7"/>
    <n v="4031"/>
  </r>
  <r>
    <x v="0"/>
    <x v="5"/>
    <x v="1"/>
    <x v="151"/>
    <x v="131"/>
    <x v="131"/>
    <s v="REVENUS"/>
    <x v="6"/>
    <s v="4221.002"/>
    <s v="Intérêts compensat. sur impôts distincts"/>
    <n v="0"/>
    <n v="8.35"/>
    <n v="4221"/>
  </r>
  <r>
    <x v="0"/>
    <x v="8"/>
    <x v="8"/>
    <x v="152"/>
    <x v="132"/>
    <x v="132"/>
    <s v="CHARGES"/>
    <x v="0"/>
    <s v="3212.004"/>
    <s v="Intérêts rémun./perçu trop tôt sur acomptes C/C"/>
    <n v="1514.9"/>
    <n v="0"/>
    <n v="3212"/>
  </r>
  <r>
    <x v="0"/>
    <x v="8"/>
    <x v="8"/>
    <x v="152"/>
    <x v="132"/>
    <x v="132"/>
    <s v="CHARGES"/>
    <x v="1"/>
    <s v="3301.001"/>
    <s v="Défalcations, abandons de solde PP et IS"/>
    <n v="285279.78000000003"/>
    <n v="0"/>
    <n v="3301"/>
  </r>
  <r>
    <x v="0"/>
    <x v="8"/>
    <x v="8"/>
    <x v="152"/>
    <x v="132"/>
    <x v="132"/>
    <s v="CHARGES"/>
    <x v="0"/>
    <s v="3221.002"/>
    <s v="Intérêts compensatoires / créances en faveur ctb."/>
    <n v="565.29999999999995"/>
    <n v="0"/>
    <n v="3221"/>
  </r>
  <r>
    <x v="0"/>
    <x v="8"/>
    <x v="8"/>
    <x v="152"/>
    <x v="132"/>
    <x v="132"/>
    <s v="CHARGES"/>
    <x v="0"/>
    <s v="3212.002"/>
    <s v="Intérêts bonifiés/trop perçu acompte C/C"/>
    <n v="20.93"/>
    <n v="0"/>
    <n v="3212"/>
  </r>
  <r>
    <x v="0"/>
    <x v="8"/>
    <x v="8"/>
    <x v="152"/>
    <x v="132"/>
    <x v="132"/>
    <s v="CHARGES"/>
    <x v="1"/>
    <s v="3301.001"/>
    <s v="Défalcations, abandons de solde PP et IS"/>
    <n v="8.8699999999999992"/>
    <n v="0"/>
    <n v="3301"/>
  </r>
  <r>
    <x v="0"/>
    <x v="8"/>
    <x v="8"/>
    <x v="152"/>
    <x v="132"/>
    <x v="132"/>
    <s v="CHARGES"/>
    <x v="1"/>
    <s v="3301.003"/>
    <s v="Remises PP et IS"/>
    <n v="7929.78"/>
    <n v="0"/>
    <n v="3301"/>
  </r>
  <r>
    <x v="0"/>
    <x v="8"/>
    <x v="8"/>
    <x v="152"/>
    <x v="132"/>
    <x v="132"/>
    <s v="CHARGES"/>
    <x v="1"/>
    <s v="3301.001"/>
    <s v="Défalcations, abandons de solde PP et IS"/>
    <n v="26194.47"/>
    <n v="0"/>
    <n v="3301"/>
  </r>
  <r>
    <x v="0"/>
    <x v="8"/>
    <x v="8"/>
    <x v="152"/>
    <x v="132"/>
    <x v="132"/>
    <s v="CHARGES"/>
    <x v="1"/>
    <s v="3301.001"/>
    <s v="Défalcations, abandons de solde PP et IS"/>
    <n v="1163.73"/>
    <n v="0"/>
    <n v="3301"/>
  </r>
  <r>
    <x v="0"/>
    <x v="8"/>
    <x v="8"/>
    <x v="152"/>
    <x v="132"/>
    <x v="132"/>
    <s v="CHARGES"/>
    <x v="0"/>
    <s v="3212.004"/>
    <s v="Intérêts rémun./perçu trop tôt sur acomptes C/C"/>
    <n v="3.83"/>
    <n v="0"/>
    <n v="3212"/>
  </r>
  <r>
    <x v="0"/>
    <x v="8"/>
    <x v="8"/>
    <x v="152"/>
    <x v="132"/>
    <x v="132"/>
    <s v="CHARGES"/>
    <x v="0"/>
    <s v="3212.004"/>
    <s v="Intérêts rémun./perçu trop tôt sur acomptes C/C"/>
    <n v="14.95"/>
    <n v="0"/>
    <n v="3212"/>
  </r>
  <r>
    <x v="0"/>
    <x v="8"/>
    <x v="8"/>
    <x v="152"/>
    <x v="132"/>
    <x v="132"/>
    <s v="CHARGES"/>
    <x v="0"/>
    <s v="3221.002"/>
    <s v="Intérêts compensatoires / créances en faveur ctb."/>
    <n v="8.68"/>
    <n v="0"/>
    <n v="3221"/>
  </r>
  <r>
    <x v="0"/>
    <x v="8"/>
    <x v="8"/>
    <x v="152"/>
    <x v="132"/>
    <x v="132"/>
    <s v="CHARGES"/>
    <x v="0"/>
    <s v="3212.004"/>
    <s v="Intérêts rémun./perçu trop tôt sur acomptes C/C"/>
    <n v="4.7"/>
    <n v="0"/>
    <n v="3212"/>
  </r>
  <r>
    <x v="0"/>
    <x v="8"/>
    <x v="8"/>
    <x v="152"/>
    <x v="132"/>
    <x v="132"/>
    <s v="CHARGES"/>
    <x v="0"/>
    <s v="3221.002"/>
    <s v="Intérêts compensatoires / créances en faveur ctb."/>
    <n v="108.67"/>
    <n v="0"/>
    <n v="3221"/>
  </r>
  <r>
    <x v="0"/>
    <x v="8"/>
    <x v="8"/>
    <x v="152"/>
    <x v="132"/>
    <x v="132"/>
    <s v="CHARGES"/>
    <x v="0"/>
    <s v="3212.002"/>
    <s v="Intérêts bonifiés/trop perçu acompte C/C"/>
    <n v="0.08"/>
    <n v="0"/>
    <n v="3212"/>
  </r>
  <r>
    <x v="0"/>
    <x v="8"/>
    <x v="8"/>
    <x v="152"/>
    <x v="132"/>
    <x v="132"/>
    <s v="CHARGES"/>
    <x v="0"/>
    <s v="3212.004"/>
    <s v="Intérêts rémun./perçu trop tôt sur acomptes C/C"/>
    <n v="3.28"/>
    <n v="0"/>
    <n v="3212"/>
  </r>
  <r>
    <x v="0"/>
    <x v="8"/>
    <x v="8"/>
    <x v="152"/>
    <x v="132"/>
    <x v="132"/>
    <s v="CHARGES"/>
    <x v="0"/>
    <s v="3221.002"/>
    <s v="Intérêts compensatoires / créances en faveur ctb."/>
    <n v="2.48"/>
    <n v="0"/>
    <n v="3221"/>
  </r>
  <r>
    <x v="0"/>
    <x v="8"/>
    <x v="8"/>
    <x v="152"/>
    <x v="132"/>
    <x v="132"/>
    <s v="CHARGES"/>
    <x v="0"/>
    <s v="3212.004"/>
    <s v="Intérêts rémun./perçu trop tôt sur acomptes C/C"/>
    <n v="1.74"/>
    <n v="0"/>
    <n v="3212"/>
  </r>
  <r>
    <x v="0"/>
    <x v="8"/>
    <x v="8"/>
    <x v="152"/>
    <x v="132"/>
    <x v="132"/>
    <s v="CHARGES"/>
    <x v="1"/>
    <s v="3301.001"/>
    <s v="Défalcations, abandons de solde PP et IS"/>
    <n v="1.1200000000000001"/>
    <n v="0"/>
    <n v="3301"/>
  </r>
  <r>
    <x v="0"/>
    <x v="8"/>
    <x v="8"/>
    <x v="152"/>
    <x v="132"/>
    <x v="132"/>
    <s v="CHARGES"/>
    <x v="0"/>
    <s v="3212.004"/>
    <s v="Intérêts rémun./perçu trop tôt sur acomptes C/C"/>
    <n v="0.54"/>
    <n v="0"/>
    <n v="3212"/>
  </r>
  <r>
    <x v="0"/>
    <x v="8"/>
    <x v="8"/>
    <x v="152"/>
    <x v="132"/>
    <x v="132"/>
    <s v="CHARGES"/>
    <x v="0"/>
    <s v="3221.002"/>
    <s v="Intérêts compensatoires / créances en faveur ctb."/>
    <n v="0.31"/>
    <n v="0"/>
    <n v="3221"/>
  </r>
  <r>
    <x v="0"/>
    <x v="8"/>
    <x v="8"/>
    <x v="152"/>
    <x v="132"/>
    <x v="132"/>
    <s v="CHARGES"/>
    <x v="0"/>
    <s v="3212.004"/>
    <s v="Intérêts rémun./perçu trop tôt sur acomptes C/C"/>
    <n v="-1.28"/>
    <n v="0"/>
    <n v="3212"/>
  </r>
  <r>
    <x v="0"/>
    <x v="8"/>
    <x v="8"/>
    <x v="152"/>
    <x v="132"/>
    <x v="132"/>
    <s v="CHARGES"/>
    <x v="0"/>
    <s v="3221.002"/>
    <s v="Intérêts compensatoires / créances en faveur ctb."/>
    <n v="-0.04"/>
    <n v="0"/>
    <n v="3221"/>
  </r>
  <r>
    <x v="0"/>
    <x v="8"/>
    <x v="8"/>
    <x v="152"/>
    <x v="132"/>
    <x v="132"/>
    <s v="CHARGES"/>
    <x v="1"/>
    <s v="3301.001"/>
    <s v="Défalcations, abandons de solde PP et IS"/>
    <n v="-0.01"/>
    <n v="0"/>
    <n v="3301"/>
  </r>
  <r>
    <x v="0"/>
    <x v="8"/>
    <x v="8"/>
    <x v="152"/>
    <x v="132"/>
    <x v="132"/>
    <s v="CHARGES"/>
    <x v="0"/>
    <s v="3212.002"/>
    <s v="Intérêts bonifiés/trop perçu acompte C/C"/>
    <n v="-0.03"/>
    <n v="0"/>
    <n v="3212"/>
  </r>
  <r>
    <x v="0"/>
    <x v="8"/>
    <x v="8"/>
    <x v="152"/>
    <x v="132"/>
    <x v="132"/>
    <s v="CHARGES"/>
    <x v="0"/>
    <s v="3212.002"/>
    <s v="Intérêts bonifiés/trop perçu acompte C/C"/>
    <n v="0.35"/>
    <n v="0"/>
    <n v="3212"/>
  </r>
  <r>
    <x v="0"/>
    <x v="8"/>
    <x v="8"/>
    <x v="152"/>
    <x v="132"/>
    <x v="132"/>
    <s v="CHARGES"/>
    <x v="1"/>
    <s v="3301.001"/>
    <s v="Défalcations, abandons de solde PP et IS"/>
    <n v="0.02"/>
    <n v="0"/>
    <n v="3301"/>
  </r>
  <r>
    <x v="0"/>
    <x v="8"/>
    <x v="8"/>
    <x v="152"/>
    <x v="132"/>
    <x v="132"/>
    <s v="CHARGES"/>
    <x v="0"/>
    <s v="3221.002"/>
    <s v="Intérêts compensatoires / créances en faveur ctb."/>
    <n v="0.1"/>
    <n v="0"/>
    <n v="3221"/>
  </r>
  <r>
    <x v="0"/>
    <x v="8"/>
    <x v="8"/>
    <x v="152"/>
    <x v="132"/>
    <x v="132"/>
    <s v="CHARGES"/>
    <x v="1"/>
    <s v="3301.001"/>
    <s v="Défalcations, abandons de solde PP et IS"/>
    <n v="601.08000000000004"/>
    <n v="0"/>
    <n v="3301"/>
  </r>
  <r>
    <x v="0"/>
    <x v="8"/>
    <x v="8"/>
    <x v="152"/>
    <x v="132"/>
    <x v="132"/>
    <s v="REVENUS"/>
    <x v="2"/>
    <s v="4001.007"/>
    <s v="Acompte impôt sur revenu"/>
    <n v="0"/>
    <n v="-1220260.75"/>
    <n v="4001"/>
  </r>
  <r>
    <x v="0"/>
    <x v="8"/>
    <x v="8"/>
    <x v="152"/>
    <x v="132"/>
    <x v="132"/>
    <s v="REVENUS"/>
    <x v="3"/>
    <s v="4002.007"/>
    <s v="Acompte impôt sur fortune"/>
    <n v="0"/>
    <n v="-100277.18"/>
    <n v="4002"/>
  </r>
  <r>
    <x v="0"/>
    <x v="8"/>
    <x v="8"/>
    <x v="152"/>
    <x v="132"/>
    <x v="132"/>
    <s v="REVENUS"/>
    <x v="6"/>
    <s v="4211.001"/>
    <s v="Intérêts de retard sur factures"/>
    <n v="0"/>
    <n v="68381.19"/>
    <n v="4211"/>
  </r>
  <r>
    <x v="0"/>
    <x v="8"/>
    <x v="8"/>
    <x v="152"/>
    <x v="132"/>
    <x v="132"/>
    <s v="REVENUS"/>
    <x v="2"/>
    <s v="4001.001"/>
    <s v="Impôt revenu"/>
    <n v="0"/>
    <n v="9186025.1500000004"/>
    <n v="4001"/>
  </r>
  <r>
    <x v="0"/>
    <x v="8"/>
    <x v="8"/>
    <x v="152"/>
    <x v="132"/>
    <x v="132"/>
    <s v="REVENUS"/>
    <x v="2"/>
    <s v="4001.003"/>
    <s v="Impôt s/prest. cap. PP"/>
    <n v="0"/>
    <n v="268626.55"/>
    <n v="4001"/>
  </r>
  <r>
    <x v="0"/>
    <x v="8"/>
    <x v="8"/>
    <x v="152"/>
    <x v="132"/>
    <x v="132"/>
    <s v="REVENUS"/>
    <x v="3"/>
    <s v="4002.001"/>
    <s v="Impôt ordinaire s/fortune PP"/>
    <n v="0"/>
    <n v="649713.55000000005"/>
    <n v="4002"/>
  </r>
  <r>
    <x v="0"/>
    <x v="8"/>
    <x v="8"/>
    <x v="152"/>
    <x v="132"/>
    <x v="132"/>
    <s v="REVENUS"/>
    <x v="6"/>
    <s v="4211.002"/>
    <s v="Intérêts de retard sur acomptes"/>
    <n v="0"/>
    <n v="90956.83"/>
    <n v="4211"/>
  </r>
  <r>
    <x v="0"/>
    <x v="8"/>
    <x v="8"/>
    <x v="152"/>
    <x v="132"/>
    <x v="132"/>
    <s v="REVENUS"/>
    <x v="6"/>
    <s v="4221.002"/>
    <s v="Intérêts compensat. sur impôts distincts"/>
    <n v="0"/>
    <n v="131.69999999999999"/>
    <n v="4221"/>
  </r>
  <r>
    <x v="0"/>
    <x v="8"/>
    <x v="8"/>
    <x v="152"/>
    <x v="132"/>
    <x v="132"/>
    <s v="REVENUS"/>
    <x v="6"/>
    <s v="4221.003"/>
    <s v="Intérêts compensat. / acomptes en faveur du fisc"/>
    <n v="0"/>
    <n v="1504.78"/>
    <n v="4221"/>
  </r>
  <r>
    <x v="0"/>
    <x v="8"/>
    <x v="8"/>
    <x v="152"/>
    <x v="132"/>
    <x v="132"/>
    <s v="REVENUS"/>
    <x v="8"/>
    <s v="4091.001"/>
    <s v="Impôt récupéré après défalcations"/>
    <n v="0"/>
    <n v="14483.81"/>
    <n v="4091"/>
  </r>
  <r>
    <x v="0"/>
    <x v="8"/>
    <x v="8"/>
    <x v="152"/>
    <x v="132"/>
    <x v="132"/>
    <s v="REVENUS"/>
    <x v="7"/>
    <s v="4184.000"/>
    <s v="Frais de poursuite"/>
    <n v="0"/>
    <n v="24824.42"/>
    <n v="4184"/>
  </r>
  <r>
    <x v="0"/>
    <x v="8"/>
    <x v="8"/>
    <x v="152"/>
    <x v="132"/>
    <x v="132"/>
    <s v="REVENUS"/>
    <x v="2"/>
    <s v="4001.002"/>
    <s v="Impôt complément s/revenu PP"/>
    <n v="0"/>
    <n v="1566323.4"/>
    <n v="4001"/>
  </r>
  <r>
    <x v="0"/>
    <x v="8"/>
    <x v="8"/>
    <x v="152"/>
    <x v="132"/>
    <x v="132"/>
    <s v="REVENUS"/>
    <x v="3"/>
    <s v="4002.002"/>
    <s v="Impôt complémentaire s/fortune PP"/>
    <n v="0"/>
    <n v="132348.6"/>
    <n v="4002"/>
  </r>
  <r>
    <x v="0"/>
    <x v="8"/>
    <x v="8"/>
    <x v="152"/>
    <x v="132"/>
    <x v="132"/>
    <s v="REVENUS"/>
    <x v="2"/>
    <s v="4001.007"/>
    <s v="Acompte impôt sur revenu"/>
    <n v="0"/>
    <n v="-24939.9"/>
    <n v="4001"/>
  </r>
  <r>
    <x v="0"/>
    <x v="8"/>
    <x v="8"/>
    <x v="152"/>
    <x v="132"/>
    <x v="132"/>
    <s v="REVENUS"/>
    <x v="3"/>
    <s v="4002.007"/>
    <s v="Acompte impôt sur fortune"/>
    <n v="0"/>
    <n v="-7694.85"/>
    <n v="4002"/>
  </r>
  <r>
    <x v="0"/>
    <x v="8"/>
    <x v="8"/>
    <x v="152"/>
    <x v="132"/>
    <x v="132"/>
    <s v="REVENUS"/>
    <x v="2"/>
    <s v="4001.001"/>
    <s v="Impôt revenu"/>
    <n v="0"/>
    <n v="121820.4"/>
    <n v="4001"/>
  </r>
  <r>
    <x v="0"/>
    <x v="8"/>
    <x v="8"/>
    <x v="152"/>
    <x v="132"/>
    <x v="132"/>
    <s v="REVENUS"/>
    <x v="2"/>
    <s v="4001.007"/>
    <s v="Acompte impôt sur revenu"/>
    <n v="0"/>
    <n v="39525.4"/>
    <n v="4001"/>
  </r>
  <r>
    <x v="0"/>
    <x v="8"/>
    <x v="8"/>
    <x v="152"/>
    <x v="132"/>
    <x v="132"/>
    <s v="REVENUS"/>
    <x v="3"/>
    <s v="4002.001"/>
    <s v="Impôt ordinaire s/fortune PP"/>
    <n v="0"/>
    <n v="41712.65"/>
    <n v="4002"/>
  </r>
  <r>
    <x v="0"/>
    <x v="8"/>
    <x v="8"/>
    <x v="152"/>
    <x v="132"/>
    <x v="132"/>
    <s v="REVENUS"/>
    <x v="3"/>
    <s v="4002.007"/>
    <s v="Acompte impôt sur fortune"/>
    <n v="0"/>
    <n v="3287.28"/>
    <n v="4002"/>
  </r>
  <r>
    <x v="0"/>
    <x v="8"/>
    <x v="8"/>
    <x v="152"/>
    <x v="132"/>
    <x v="132"/>
    <s v="REVENUS"/>
    <x v="6"/>
    <s v="4221.003"/>
    <s v="Intérêts compensat. / acomptes en faveur du fisc"/>
    <n v="0"/>
    <n v="25.36"/>
    <n v="4221"/>
  </r>
  <r>
    <x v="0"/>
    <x v="8"/>
    <x v="8"/>
    <x v="152"/>
    <x v="132"/>
    <x v="132"/>
    <s v="REVENUS"/>
    <x v="8"/>
    <s v="4091.001"/>
    <s v="Impôt récupéré après défalcations"/>
    <n v="0"/>
    <n v="88520.6"/>
    <n v="4091"/>
  </r>
  <r>
    <x v="0"/>
    <x v="8"/>
    <x v="8"/>
    <x v="152"/>
    <x v="132"/>
    <x v="132"/>
    <s v="REVENUS"/>
    <x v="7"/>
    <s v="4184.000"/>
    <s v="Frais de poursuite"/>
    <n v="0"/>
    <n v="954.48"/>
    <n v="4184"/>
  </r>
  <r>
    <x v="0"/>
    <x v="8"/>
    <x v="8"/>
    <x v="152"/>
    <x v="132"/>
    <x v="132"/>
    <s v="REVENUS"/>
    <x v="6"/>
    <s v="4211.001"/>
    <s v="Intérêts de retard sur factures"/>
    <n v="0"/>
    <n v="21.76"/>
    <n v="4211"/>
  </r>
  <r>
    <x v="0"/>
    <x v="8"/>
    <x v="8"/>
    <x v="152"/>
    <x v="132"/>
    <x v="132"/>
    <s v="REVENUS"/>
    <x v="6"/>
    <s v="4211.001"/>
    <s v="Intérêts de retard sur factures"/>
    <n v="0"/>
    <n v="163.86"/>
    <n v="4211"/>
  </r>
  <r>
    <x v="0"/>
    <x v="8"/>
    <x v="8"/>
    <x v="152"/>
    <x v="132"/>
    <x v="132"/>
    <s v="REVENUS"/>
    <x v="2"/>
    <s v="4001.007"/>
    <s v="Acompte impôt sur revenu"/>
    <n v="0"/>
    <n v="8700.24"/>
    <n v="4001"/>
  </r>
  <r>
    <x v="0"/>
    <x v="8"/>
    <x v="8"/>
    <x v="152"/>
    <x v="132"/>
    <x v="132"/>
    <s v="REVENUS"/>
    <x v="3"/>
    <s v="4002.007"/>
    <s v="Acompte impôt sur fortune"/>
    <n v="0"/>
    <n v="-34.479999999999997"/>
    <n v="4002"/>
  </r>
  <r>
    <x v="0"/>
    <x v="8"/>
    <x v="8"/>
    <x v="152"/>
    <x v="132"/>
    <x v="132"/>
    <s v="REVENUS"/>
    <x v="2"/>
    <s v="4001.007"/>
    <s v="Acompte impôt sur revenu"/>
    <n v="0"/>
    <n v="3572.56"/>
    <n v="4001"/>
  </r>
  <r>
    <x v="0"/>
    <x v="8"/>
    <x v="8"/>
    <x v="152"/>
    <x v="132"/>
    <x v="132"/>
    <s v="REVENUS"/>
    <x v="3"/>
    <s v="4002.007"/>
    <s v="Acompte impôt sur fortune"/>
    <n v="0"/>
    <n v="-21.66"/>
    <n v="4002"/>
  </r>
  <r>
    <x v="0"/>
    <x v="8"/>
    <x v="8"/>
    <x v="152"/>
    <x v="132"/>
    <x v="132"/>
    <s v="REVENUS"/>
    <x v="2"/>
    <s v="4001.001"/>
    <s v="Impôt revenu"/>
    <n v="0"/>
    <n v="34182.400000000001"/>
    <n v="4001"/>
  </r>
  <r>
    <x v="0"/>
    <x v="8"/>
    <x v="8"/>
    <x v="152"/>
    <x v="132"/>
    <x v="132"/>
    <s v="REVENUS"/>
    <x v="3"/>
    <s v="4002.001"/>
    <s v="Impôt ordinaire s/fortune PP"/>
    <n v="0"/>
    <n v="11202.7"/>
    <n v="4002"/>
  </r>
  <r>
    <x v="0"/>
    <x v="8"/>
    <x v="8"/>
    <x v="152"/>
    <x v="132"/>
    <x v="132"/>
    <s v="REVENUS"/>
    <x v="6"/>
    <s v="4221.003"/>
    <s v="Intérêts compensat. / acomptes en faveur du fisc"/>
    <n v="0"/>
    <n v="98.83"/>
    <n v="4221"/>
  </r>
  <r>
    <x v="0"/>
    <x v="8"/>
    <x v="8"/>
    <x v="152"/>
    <x v="132"/>
    <x v="132"/>
    <s v="REVENUS"/>
    <x v="6"/>
    <s v="4211.002"/>
    <s v="Intérêts de retard sur acomptes"/>
    <n v="0"/>
    <n v="349.49"/>
    <n v="4211"/>
  </r>
  <r>
    <x v="0"/>
    <x v="8"/>
    <x v="8"/>
    <x v="152"/>
    <x v="132"/>
    <x v="132"/>
    <s v="REVENUS"/>
    <x v="2"/>
    <s v="4001.007"/>
    <s v="Acompte impôt sur revenu"/>
    <n v="0"/>
    <n v="1362.7"/>
    <n v="4001"/>
  </r>
  <r>
    <x v="0"/>
    <x v="8"/>
    <x v="8"/>
    <x v="152"/>
    <x v="132"/>
    <x v="132"/>
    <s v="REVENUS"/>
    <x v="3"/>
    <s v="4002.007"/>
    <s v="Acompte impôt sur fortune"/>
    <n v="0"/>
    <n v="54.55"/>
    <n v="4002"/>
  </r>
  <r>
    <x v="0"/>
    <x v="8"/>
    <x v="8"/>
    <x v="152"/>
    <x v="132"/>
    <x v="132"/>
    <s v="REVENUS"/>
    <x v="3"/>
    <s v="4002.001"/>
    <s v="Impôt ordinaire s/fortune PP"/>
    <n v="0"/>
    <n v="5350.2"/>
    <n v="4002"/>
  </r>
  <r>
    <x v="0"/>
    <x v="8"/>
    <x v="8"/>
    <x v="152"/>
    <x v="132"/>
    <x v="132"/>
    <s v="REVENUS"/>
    <x v="3"/>
    <s v="4002.002"/>
    <s v="Impôt complémentaire s/fortune PP"/>
    <n v="0"/>
    <n v="476.05"/>
    <n v="4002"/>
  </r>
  <r>
    <x v="0"/>
    <x v="8"/>
    <x v="8"/>
    <x v="152"/>
    <x v="132"/>
    <x v="132"/>
    <s v="REVENUS"/>
    <x v="6"/>
    <s v="4211.001"/>
    <s v="Intérêts de retard sur factures"/>
    <n v="0"/>
    <n v="20.43"/>
    <n v="4211"/>
  </r>
  <r>
    <x v="0"/>
    <x v="8"/>
    <x v="8"/>
    <x v="152"/>
    <x v="132"/>
    <x v="132"/>
    <s v="REVENUS"/>
    <x v="6"/>
    <s v="4211.002"/>
    <s v="Intérêts de retard sur acomptes"/>
    <n v="0"/>
    <n v="282.01"/>
    <n v="4211"/>
  </r>
  <r>
    <x v="0"/>
    <x v="8"/>
    <x v="8"/>
    <x v="152"/>
    <x v="132"/>
    <x v="132"/>
    <s v="REVENUS"/>
    <x v="3"/>
    <s v="4002.007"/>
    <s v="Acompte impôt sur fortune"/>
    <n v="0"/>
    <n v="-1894.85"/>
    <n v="4002"/>
  </r>
  <r>
    <x v="0"/>
    <x v="8"/>
    <x v="8"/>
    <x v="152"/>
    <x v="132"/>
    <x v="132"/>
    <s v="REVENUS"/>
    <x v="2"/>
    <s v="4001.007"/>
    <s v="Acompte impôt sur revenu"/>
    <n v="0"/>
    <n v="-1299.4000000000001"/>
    <n v="4001"/>
  </r>
  <r>
    <x v="0"/>
    <x v="8"/>
    <x v="8"/>
    <x v="152"/>
    <x v="132"/>
    <x v="132"/>
    <s v="REVENUS"/>
    <x v="2"/>
    <s v="4001.007"/>
    <s v="Acompte impôt sur revenu"/>
    <n v="0"/>
    <n v="10159.35"/>
    <n v="4001"/>
  </r>
  <r>
    <x v="0"/>
    <x v="8"/>
    <x v="8"/>
    <x v="152"/>
    <x v="132"/>
    <x v="132"/>
    <s v="REVENUS"/>
    <x v="3"/>
    <s v="4002.007"/>
    <s v="Acompte impôt sur fortune"/>
    <n v="0"/>
    <n v="4013.35"/>
    <n v="4002"/>
  </r>
  <r>
    <x v="0"/>
    <x v="8"/>
    <x v="8"/>
    <x v="152"/>
    <x v="132"/>
    <x v="132"/>
    <s v="REVENUS"/>
    <x v="5"/>
    <s v="4061.000"/>
    <s v="Impôt sur les chiens"/>
    <n v="0"/>
    <n v="32100"/>
    <n v="4061"/>
  </r>
  <r>
    <x v="0"/>
    <x v="8"/>
    <x v="8"/>
    <x v="152"/>
    <x v="132"/>
    <x v="132"/>
    <s v="REVENUS"/>
    <x v="4"/>
    <s v="4051.002"/>
    <s v="Impôt sur les donations"/>
    <n v="0"/>
    <n v="9021.6"/>
    <n v="4051"/>
  </r>
  <r>
    <x v="0"/>
    <x v="8"/>
    <x v="8"/>
    <x v="152"/>
    <x v="132"/>
    <x v="132"/>
    <s v="REVENUS"/>
    <x v="9"/>
    <s v="4031.001"/>
    <s v="Impôt sur les gains immobiliers"/>
    <n v="0"/>
    <n v="129165"/>
    <n v="4031"/>
  </r>
  <r>
    <x v="0"/>
    <x v="8"/>
    <x v="8"/>
    <x v="152"/>
    <x v="132"/>
    <x v="132"/>
    <s v="REVENUS"/>
    <x v="2"/>
    <s v="4001.002"/>
    <s v="Impôt complément s/revenu PP"/>
    <n v="0"/>
    <n v="1612.55"/>
    <n v="4001"/>
  </r>
  <r>
    <x v="0"/>
    <x v="8"/>
    <x v="8"/>
    <x v="152"/>
    <x v="132"/>
    <x v="132"/>
    <s v="REVENUS"/>
    <x v="7"/>
    <s v="4184.000"/>
    <s v="Frais de poursuite"/>
    <n v="0"/>
    <n v="2.4"/>
    <n v="4184"/>
  </r>
  <r>
    <x v="0"/>
    <x v="8"/>
    <x v="8"/>
    <x v="152"/>
    <x v="132"/>
    <x v="132"/>
    <s v="REVENUS"/>
    <x v="6"/>
    <s v="4211.001"/>
    <s v="Intérêts de retard sur factures"/>
    <n v="0"/>
    <n v="272.33999999999997"/>
    <n v="4211"/>
  </r>
  <r>
    <x v="0"/>
    <x v="8"/>
    <x v="8"/>
    <x v="152"/>
    <x v="132"/>
    <x v="132"/>
    <s v="REVENUS"/>
    <x v="3"/>
    <s v="4002.001"/>
    <s v="Impôt ordinaire s/fortune PP"/>
    <n v="0"/>
    <n v="-798.85"/>
    <n v="4002"/>
  </r>
  <r>
    <x v="0"/>
    <x v="8"/>
    <x v="8"/>
    <x v="152"/>
    <x v="132"/>
    <x v="132"/>
    <s v="REVENUS"/>
    <x v="6"/>
    <s v="4211.002"/>
    <s v="Intérêts de retard sur acomptes"/>
    <n v="0"/>
    <n v="137.97999999999999"/>
    <n v="4211"/>
  </r>
  <r>
    <x v="0"/>
    <x v="8"/>
    <x v="8"/>
    <x v="152"/>
    <x v="132"/>
    <x v="132"/>
    <s v="REVENUS"/>
    <x v="10"/>
    <s v="4041.001"/>
    <s v="Droits de mutation"/>
    <n v="0"/>
    <n v="21945.1"/>
    <n v="4041"/>
  </r>
  <r>
    <x v="0"/>
    <x v="8"/>
    <x v="8"/>
    <x v="152"/>
    <x v="132"/>
    <x v="132"/>
    <s v="REVENUS"/>
    <x v="3"/>
    <s v="4002.001"/>
    <s v="Impôt ordinaire s/fortune PP"/>
    <n v="0"/>
    <n v="1968.4"/>
    <n v="4002"/>
  </r>
  <r>
    <x v="0"/>
    <x v="8"/>
    <x v="8"/>
    <x v="152"/>
    <x v="132"/>
    <x v="132"/>
    <s v="REVENUS"/>
    <x v="2"/>
    <s v="4001.001"/>
    <s v="Impôt revenu"/>
    <n v="0"/>
    <n v="79239.55"/>
    <n v="4001"/>
  </r>
  <r>
    <x v="0"/>
    <x v="8"/>
    <x v="8"/>
    <x v="152"/>
    <x v="132"/>
    <x v="132"/>
    <s v="REVENUS"/>
    <x v="2"/>
    <s v="4001.001"/>
    <s v="Impôt revenu"/>
    <n v="0"/>
    <n v="-315.64999999999998"/>
    <n v="4001"/>
  </r>
  <r>
    <x v="0"/>
    <x v="8"/>
    <x v="8"/>
    <x v="152"/>
    <x v="132"/>
    <x v="132"/>
    <s v="REVENUS"/>
    <x v="6"/>
    <s v="4211.002"/>
    <s v="Intérêts de retard sur acomptes"/>
    <n v="0"/>
    <n v="-0.34"/>
    <n v="4211"/>
  </r>
  <r>
    <x v="0"/>
    <x v="8"/>
    <x v="8"/>
    <x v="152"/>
    <x v="132"/>
    <x v="132"/>
    <s v="REVENUS"/>
    <x v="2"/>
    <s v="4001.007"/>
    <s v="Acompte impôt sur revenu"/>
    <n v="0"/>
    <n v="-1488.75"/>
    <n v="4001"/>
  </r>
  <r>
    <x v="0"/>
    <x v="8"/>
    <x v="8"/>
    <x v="152"/>
    <x v="132"/>
    <x v="132"/>
    <s v="REVENUS"/>
    <x v="3"/>
    <s v="4002.007"/>
    <s v="Acompte impôt sur fortune"/>
    <n v="0"/>
    <n v="-1110.95"/>
    <n v="4002"/>
  </r>
  <r>
    <x v="0"/>
    <x v="8"/>
    <x v="8"/>
    <x v="152"/>
    <x v="132"/>
    <x v="132"/>
    <s v="REVENUS"/>
    <x v="6"/>
    <s v="4221.003"/>
    <s v="Intérêts compensat. / acomptes en faveur du fisc"/>
    <n v="0"/>
    <n v="1.0900000000000001"/>
    <n v="4221"/>
  </r>
  <r>
    <x v="0"/>
    <x v="8"/>
    <x v="8"/>
    <x v="152"/>
    <x v="132"/>
    <x v="132"/>
    <s v="REVENUS"/>
    <x v="2"/>
    <s v="4001.001"/>
    <s v="Impôt revenu"/>
    <n v="0"/>
    <n v="7563.8"/>
    <n v="4001"/>
  </r>
  <r>
    <x v="0"/>
    <x v="8"/>
    <x v="8"/>
    <x v="152"/>
    <x v="132"/>
    <x v="132"/>
    <s v="REVENUS"/>
    <x v="3"/>
    <s v="4002.001"/>
    <s v="Impôt ordinaire s/fortune PP"/>
    <n v="0"/>
    <n v="2940.5"/>
    <n v="4002"/>
  </r>
  <r>
    <x v="0"/>
    <x v="8"/>
    <x v="8"/>
    <x v="152"/>
    <x v="132"/>
    <x v="132"/>
    <s v="REVENUS"/>
    <x v="6"/>
    <s v="4211.002"/>
    <s v="Intérêts de retard sur acomptes"/>
    <n v="0"/>
    <n v="152.88999999999999"/>
    <n v="4211"/>
  </r>
  <r>
    <x v="0"/>
    <x v="8"/>
    <x v="8"/>
    <x v="152"/>
    <x v="132"/>
    <x v="132"/>
    <s v="REVENUS"/>
    <x v="6"/>
    <s v="4221.003"/>
    <s v="Intérêts compensat. / acomptes en faveur du fisc"/>
    <n v="0"/>
    <n v="4.1500000000000004"/>
    <n v="4221"/>
  </r>
  <r>
    <x v="0"/>
    <x v="8"/>
    <x v="8"/>
    <x v="152"/>
    <x v="132"/>
    <x v="132"/>
    <s v="REVENUS"/>
    <x v="4"/>
    <s v="4051.001"/>
    <s v="Impôt sur les successions"/>
    <n v="0"/>
    <n v="17392.599999999999"/>
    <n v="4051"/>
  </r>
  <r>
    <x v="0"/>
    <x v="8"/>
    <x v="8"/>
    <x v="152"/>
    <x v="132"/>
    <x v="132"/>
    <s v="REVENUS"/>
    <x v="2"/>
    <s v="4001.001"/>
    <s v="Impôt revenu"/>
    <n v="0"/>
    <n v="-8002.85"/>
    <n v="4001"/>
  </r>
  <r>
    <x v="0"/>
    <x v="8"/>
    <x v="8"/>
    <x v="152"/>
    <x v="132"/>
    <x v="132"/>
    <s v="REVENUS"/>
    <x v="3"/>
    <s v="4002.001"/>
    <s v="Impôt ordinaire s/fortune PP"/>
    <n v="0"/>
    <n v="-386.55"/>
    <n v="4002"/>
  </r>
  <r>
    <x v="0"/>
    <x v="8"/>
    <x v="8"/>
    <x v="152"/>
    <x v="132"/>
    <x v="132"/>
    <s v="REVENUS"/>
    <x v="6"/>
    <s v="4221.003"/>
    <s v="Intérêts compensat. / acomptes en faveur du fisc"/>
    <n v="0"/>
    <n v="-0.27"/>
    <n v="4221"/>
  </r>
  <r>
    <x v="0"/>
    <x v="8"/>
    <x v="8"/>
    <x v="152"/>
    <x v="132"/>
    <x v="132"/>
    <s v="REVENUS"/>
    <x v="2"/>
    <s v="4001.002"/>
    <s v="Impôt complément s/revenu PP"/>
    <n v="0"/>
    <n v="8654.5499999999993"/>
    <n v="4001"/>
  </r>
  <r>
    <x v="0"/>
    <x v="8"/>
    <x v="8"/>
    <x v="152"/>
    <x v="132"/>
    <x v="132"/>
    <s v="REVENUS"/>
    <x v="3"/>
    <s v="4002.002"/>
    <s v="Impôt complémentaire s/fortune PP"/>
    <n v="0"/>
    <n v="559.79999999999995"/>
    <n v="4002"/>
  </r>
  <r>
    <x v="0"/>
    <x v="8"/>
    <x v="8"/>
    <x v="152"/>
    <x v="132"/>
    <x v="132"/>
    <s v="REVENUS"/>
    <x v="2"/>
    <s v="4001.001"/>
    <s v="Impôt revenu"/>
    <n v="0"/>
    <n v="932.1"/>
    <n v="4001"/>
  </r>
  <r>
    <x v="0"/>
    <x v="8"/>
    <x v="8"/>
    <x v="152"/>
    <x v="132"/>
    <x v="132"/>
    <s v="REVENUS"/>
    <x v="6"/>
    <s v="4221.003"/>
    <s v="Intérêts compensat. / acomptes en faveur du fisc"/>
    <n v="0"/>
    <n v="0.02"/>
    <n v="4221"/>
  </r>
  <r>
    <x v="0"/>
    <x v="8"/>
    <x v="8"/>
    <x v="152"/>
    <x v="132"/>
    <x v="132"/>
    <s v="REVENUS"/>
    <x v="2"/>
    <s v="4001.002"/>
    <s v="Impôt complément s/revenu PP"/>
    <n v="0"/>
    <n v="619.54999999999995"/>
    <n v="4001"/>
  </r>
  <r>
    <x v="0"/>
    <x v="5"/>
    <x v="1"/>
    <x v="153"/>
    <x v="133"/>
    <x v="133"/>
    <s v="CHARGES"/>
    <x v="0"/>
    <s v="3212.002"/>
    <s v="Intérêts bonifiés/trop perçu acompte C/C"/>
    <n v="9.9600000000000009"/>
    <n v="0"/>
    <n v="3212"/>
  </r>
  <r>
    <x v="0"/>
    <x v="5"/>
    <x v="1"/>
    <x v="153"/>
    <x v="133"/>
    <x v="133"/>
    <s v="CHARGES"/>
    <x v="1"/>
    <s v="3301.001"/>
    <s v="Défalcations, abandons de solde PP et IS"/>
    <n v="5.58"/>
    <n v="0"/>
    <n v="3301"/>
  </r>
  <r>
    <x v="0"/>
    <x v="5"/>
    <x v="1"/>
    <x v="153"/>
    <x v="133"/>
    <x v="133"/>
    <s v="REVENUS"/>
    <x v="9"/>
    <s v="4031.001"/>
    <s v="Impôt sur les gains immobiliers"/>
    <n v="0"/>
    <n v="62570.9"/>
    <n v="4031"/>
  </r>
  <r>
    <x v="0"/>
    <x v="5"/>
    <x v="1"/>
    <x v="153"/>
    <x v="133"/>
    <x v="133"/>
    <s v="REVENUS"/>
    <x v="6"/>
    <s v="4221.002"/>
    <s v="Intérêts compensat. sur impôts distincts"/>
    <n v="0"/>
    <n v="5.58"/>
    <n v="4221"/>
  </r>
  <r>
    <x v="0"/>
    <x v="5"/>
    <x v="1"/>
    <x v="153"/>
    <x v="133"/>
    <x v="133"/>
    <s v="REVENUS"/>
    <x v="6"/>
    <s v="4211.001"/>
    <s v="Intérêts de retard sur factures"/>
    <n v="0"/>
    <n v="8.67"/>
    <n v="4211"/>
  </r>
  <r>
    <x v="0"/>
    <x v="5"/>
    <x v="1"/>
    <x v="154"/>
    <x v="134"/>
    <x v="134"/>
    <s v="CHARGES"/>
    <x v="1"/>
    <s v="3301.001"/>
    <s v="Défalcations, abandons de solde PP et IS"/>
    <n v="125.45"/>
    <n v="0"/>
    <n v="3301"/>
  </r>
  <r>
    <x v="0"/>
    <x v="5"/>
    <x v="1"/>
    <x v="154"/>
    <x v="134"/>
    <x v="134"/>
    <s v="CHARGES"/>
    <x v="0"/>
    <s v="3212.004"/>
    <s v="Intérêts rémun./perçu trop tôt sur acomptes C/C"/>
    <n v="76.430000000000007"/>
    <n v="0"/>
    <n v="3212"/>
  </r>
  <r>
    <x v="0"/>
    <x v="5"/>
    <x v="1"/>
    <x v="154"/>
    <x v="134"/>
    <x v="134"/>
    <s v="CHARGES"/>
    <x v="0"/>
    <s v="3221.002"/>
    <s v="Intérêts compensatoires / créances en faveur ctb."/>
    <n v="11.37"/>
    <n v="0"/>
    <n v="3221"/>
  </r>
  <r>
    <x v="0"/>
    <x v="5"/>
    <x v="1"/>
    <x v="154"/>
    <x v="134"/>
    <x v="134"/>
    <s v="CHARGES"/>
    <x v="0"/>
    <s v="3212.004"/>
    <s v="Intérêts rémun./perçu trop tôt sur acomptes C/C"/>
    <n v="7.0000000000000007E-2"/>
    <n v="0"/>
    <n v="3212"/>
  </r>
  <r>
    <x v="0"/>
    <x v="5"/>
    <x v="1"/>
    <x v="154"/>
    <x v="134"/>
    <x v="134"/>
    <s v="CHARGES"/>
    <x v="1"/>
    <s v="3301.001"/>
    <s v="Défalcations, abandons de solde PP et IS"/>
    <n v="1.45"/>
    <n v="0"/>
    <n v="3301"/>
  </r>
  <r>
    <x v="0"/>
    <x v="5"/>
    <x v="1"/>
    <x v="154"/>
    <x v="134"/>
    <x v="134"/>
    <s v="CHARGES"/>
    <x v="0"/>
    <s v="3212.002"/>
    <s v="Intérêts bonifiés/trop perçu acompte C/C"/>
    <n v="0.48"/>
    <n v="0"/>
    <n v="3212"/>
  </r>
  <r>
    <x v="0"/>
    <x v="5"/>
    <x v="1"/>
    <x v="154"/>
    <x v="134"/>
    <x v="134"/>
    <s v="CHARGES"/>
    <x v="0"/>
    <s v="3212.004"/>
    <s v="Intérêts rémun./perçu trop tôt sur acomptes C/C"/>
    <n v="0.03"/>
    <n v="0"/>
    <n v="3212"/>
  </r>
  <r>
    <x v="0"/>
    <x v="5"/>
    <x v="1"/>
    <x v="154"/>
    <x v="134"/>
    <x v="134"/>
    <s v="CHARGES"/>
    <x v="0"/>
    <s v="3221.002"/>
    <s v="Intérêts compensatoires / créances en faveur ctb."/>
    <n v="0.02"/>
    <n v="0"/>
    <n v="3221"/>
  </r>
  <r>
    <x v="0"/>
    <x v="5"/>
    <x v="1"/>
    <x v="154"/>
    <x v="134"/>
    <x v="134"/>
    <s v="CHARGES"/>
    <x v="1"/>
    <s v="3301.001"/>
    <s v="Défalcations, abandons de solde PP et IS"/>
    <n v="0.03"/>
    <n v="0"/>
    <n v="3301"/>
  </r>
  <r>
    <x v="0"/>
    <x v="5"/>
    <x v="1"/>
    <x v="154"/>
    <x v="134"/>
    <x v="134"/>
    <s v="CHARGES"/>
    <x v="1"/>
    <s v="3301.001"/>
    <s v="Défalcations, abandons de solde PP et IS"/>
    <n v="0.04"/>
    <n v="0"/>
    <n v="3301"/>
  </r>
  <r>
    <x v="0"/>
    <x v="5"/>
    <x v="1"/>
    <x v="154"/>
    <x v="134"/>
    <x v="134"/>
    <s v="CHARGES"/>
    <x v="1"/>
    <s v="3301.001"/>
    <s v="Défalcations, abandons de solde PP et IS"/>
    <n v="0.12"/>
    <n v="0"/>
    <n v="3301"/>
  </r>
  <r>
    <x v="0"/>
    <x v="5"/>
    <x v="1"/>
    <x v="154"/>
    <x v="134"/>
    <x v="134"/>
    <s v="REVENUS"/>
    <x v="2"/>
    <s v="4001.007"/>
    <s v="Acompte impôt sur revenu"/>
    <n v="0"/>
    <n v="53921.09"/>
    <n v="4001"/>
  </r>
  <r>
    <x v="0"/>
    <x v="5"/>
    <x v="1"/>
    <x v="154"/>
    <x v="134"/>
    <x v="134"/>
    <s v="REVENUS"/>
    <x v="9"/>
    <s v="4031.001"/>
    <s v="Impôt sur les gains immobiliers"/>
    <n v="0"/>
    <n v="-8391.65"/>
    <n v="4031"/>
  </r>
  <r>
    <x v="0"/>
    <x v="5"/>
    <x v="1"/>
    <x v="154"/>
    <x v="134"/>
    <x v="134"/>
    <s v="REVENUS"/>
    <x v="9"/>
    <s v="4031.002"/>
    <s v="Complément impôt sur les gains immobiliers"/>
    <n v="0"/>
    <n v="9900"/>
    <n v="4031"/>
  </r>
  <r>
    <x v="0"/>
    <x v="5"/>
    <x v="1"/>
    <x v="154"/>
    <x v="134"/>
    <x v="134"/>
    <s v="REVENUS"/>
    <x v="6"/>
    <s v="4211.001"/>
    <s v="Intérêts de retard sur factures"/>
    <n v="0"/>
    <n v="80.069999999999993"/>
    <n v="4211"/>
  </r>
  <r>
    <x v="0"/>
    <x v="5"/>
    <x v="1"/>
    <x v="154"/>
    <x v="134"/>
    <x v="134"/>
    <s v="REVENUS"/>
    <x v="3"/>
    <s v="4002.007"/>
    <s v="Acompte impôt sur fortune"/>
    <n v="0"/>
    <n v="15103.4"/>
    <n v="4002"/>
  </r>
  <r>
    <x v="0"/>
    <x v="5"/>
    <x v="1"/>
    <x v="154"/>
    <x v="134"/>
    <x v="134"/>
    <s v="REVENUS"/>
    <x v="2"/>
    <s v="4001.007"/>
    <s v="Acompte impôt sur revenu"/>
    <n v="0"/>
    <n v="-32.6"/>
    <n v="4001"/>
  </r>
  <r>
    <x v="0"/>
    <x v="5"/>
    <x v="1"/>
    <x v="154"/>
    <x v="134"/>
    <x v="134"/>
    <s v="REVENUS"/>
    <x v="3"/>
    <s v="4002.007"/>
    <s v="Acompte impôt sur fortune"/>
    <n v="0"/>
    <n v="-5.05"/>
    <n v="4002"/>
  </r>
  <r>
    <x v="0"/>
    <x v="5"/>
    <x v="1"/>
    <x v="154"/>
    <x v="134"/>
    <x v="134"/>
    <s v="REVENUS"/>
    <x v="2"/>
    <s v="4001.007"/>
    <s v="Acompte impôt sur revenu"/>
    <n v="0"/>
    <n v="-3.85"/>
    <n v="4001"/>
  </r>
  <r>
    <x v="0"/>
    <x v="5"/>
    <x v="1"/>
    <x v="154"/>
    <x v="134"/>
    <x v="134"/>
    <s v="REVENUS"/>
    <x v="3"/>
    <s v="4002.007"/>
    <s v="Acompte impôt sur fortune"/>
    <n v="0"/>
    <n v="131.15"/>
    <n v="4002"/>
  </r>
  <r>
    <x v="0"/>
    <x v="5"/>
    <x v="1"/>
    <x v="154"/>
    <x v="134"/>
    <x v="134"/>
    <s v="REVENUS"/>
    <x v="3"/>
    <s v="4002.007"/>
    <s v="Acompte impôt sur fortune"/>
    <n v="0"/>
    <n v="-168.1"/>
    <n v="4002"/>
  </r>
  <r>
    <x v="0"/>
    <x v="5"/>
    <x v="1"/>
    <x v="154"/>
    <x v="134"/>
    <x v="134"/>
    <s v="REVENUS"/>
    <x v="3"/>
    <s v="4002.007"/>
    <s v="Acompte impôt sur fortune"/>
    <n v="0"/>
    <n v="118.8"/>
    <n v="4002"/>
  </r>
  <r>
    <x v="0"/>
    <x v="5"/>
    <x v="1"/>
    <x v="154"/>
    <x v="134"/>
    <x v="134"/>
    <s v="REVENUS"/>
    <x v="2"/>
    <s v="4001.007"/>
    <s v="Acompte impôt sur revenu"/>
    <n v="0"/>
    <n v="-463.8"/>
    <n v="4001"/>
  </r>
  <r>
    <x v="0"/>
    <x v="5"/>
    <x v="1"/>
    <x v="154"/>
    <x v="134"/>
    <x v="134"/>
    <s v="REVENUS"/>
    <x v="2"/>
    <s v="4001.007"/>
    <s v="Acompte impôt sur revenu"/>
    <n v="0"/>
    <n v="-227.9"/>
    <n v="4001"/>
  </r>
  <r>
    <x v="0"/>
    <x v="5"/>
    <x v="1"/>
    <x v="154"/>
    <x v="134"/>
    <x v="134"/>
    <s v="REVENUS"/>
    <x v="6"/>
    <s v="4221.002"/>
    <s v="Intérêts compensat. sur impôts distincts"/>
    <n v="0"/>
    <n v="-3.82"/>
    <n v="4221"/>
  </r>
  <r>
    <x v="0"/>
    <x v="5"/>
    <x v="1"/>
    <x v="154"/>
    <x v="134"/>
    <x v="134"/>
    <s v="REVENUS"/>
    <x v="2"/>
    <s v="4001.003"/>
    <s v="Impôt s/prest. cap. PP"/>
    <n v="0"/>
    <n v="4382.8500000000004"/>
    <n v="4001"/>
  </r>
  <r>
    <x v="0"/>
    <x v="5"/>
    <x v="1"/>
    <x v="154"/>
    <x v="134"/>
    <x v="134"/>
    <s v="REVENUS"/>
    <x v="7"/>
    <s v="4184.000"/>
    <s v="Frais de poursuite"/>
    <n v="0"/>
    <n v="128.53"/>
    <n v="4184"/>
  </r>
  <r>
    <x v="0"/>
    <x v="5"/>
    <x v="1"/>
    <x v="154"/>
    <x v="134"/>
    <x v="134"/>
    <s v="REVENUS"/>
    <x v="2"/>
    <s v="4001.001"/>
    <s v="Impôt revenu"/>
    <n v="0"/>
    <n v="399445.85"/>
    <n v="4001"/>
  </r>
  <r>
    <x v="0"/>
    <x v="5"/>
    <x v="1"/>
    <x v="154"/>
    <x v="134"/>
    <x v="134"/>
    <s v="REVENUS"/>
    <x v="3"/>
    <s v="4002.001"/>
    <s v="Impôt ordinaire s/fortune PP"/>
    <n v="0"/>
    <n v="27685.75"/>
    <n v="4002"/>
  </r>
  <r>
    <x v="0"/>
    <x v="5"/>
    <x v="1"/>
    <x v="154"/>
    <x v="134"/>
    <x v="134"/>
    <s v="REVENUS"/>
    <x v="6"/>
    <s v="4211.002"/>
    <s v="Intérêts de retard sur acomptes"/>
    <n v="0"/>
    <n v="2324.98"/>
    <n v="4211"/>
  </r>
  <r>
    <x v="0"/>
    <x v="5"/>
    <x v="1"/>
    <x v="154"/>
    <x v="134"/>
    <x v="134"/>
    <s v="REVENUS"/>
    <x v="6"/>
    <s v="4221.003"/>
    <s v="Intérêts compensat. / acomptes en faveur du fisc"/>
    <n v="0"/>
    <n v="36.15"/>
    <n v="4221"/>
  </r>
  <r>
    <x v="0"/>
    <x v="5"/>
    <x v="1"/>
    <x v="154"/>
    <x v="134"/>
    <x v="134"/>
    <s v="REVENUS"/>
    <x v="5"/>
    <s v="4061.000"/>
    <s v="Impôt sur les chiens"/>
    <n v="0"/>
    <n v="1200"/>
    <n v="4061"/>
  </r>
  <r>
    <x v="0"/>
    <x v="5"/>
    <x v="1"/>
    <x v="154"/>
    <x v="134"/>
    <x v="134"/>
    <s v="REVENUS"/>
    <x v="10"/>
    <s v="4041.001"/>
    <s v="Droits de mutation"/>
    <n v="0"/>
    <n v="10945"/>
    <n v="4041"/>
  </r>
  <r>
    <x v="0"/>
    <x v="5"/>
    <x v="1"/>
    <x v="154"/>
    <x v="134"/>
    <x v="134"/>
    <s v="REVENUS"/>
    <x v="2"/>
    <s v="4001.001"/>
    <s v="Impôt revenu"/>
    <n v="0"/>
    <n v="106.2"/>
    <n v="4001"/>
  </r>
  <r>
    <x v="0"/>
    <x v="5"/>
    <x v="1"/>
    <x v="154"/>
    <x v="134"/>
    <x v="134"/>
    <s v="REVENUS"/>
    <x v="3"/>
    <s v="4002.001"/>
    <s v="Impôt ordinaire s/fortune PP"/>
    <n v="0"/>
    <n v="16.8"/>
    <n v="4002"/>
  </r>
  <r>
    <x v="0"/>
    <x v="5"/>
    <x v="1"/>
    <x v="154"/>
    <x v="134"/>
    <x v="134"/>
    <s v="REVENUS"/>
    <x v="6"/>
    <s v="4211.002"/>
    <s v="Intérêts de retard sur acomptes"/>
    <n v="0"/>
    <n v="0.02"/>
    <n v="4211"/>
  </r>
  <r>
    <x v="0"/>
    <x v="5"/>
    <x v="1"/>
    <x v="154"/>
    <x v="134"/>
    <x v="134"/>
    <s v="REVENUS"/>
    <x v="2"/>
    <s v="4001.002"/>
    <s v="Impôt complément s/revenu PP"/>
    <n v="0"/>
    <n v="16703.95"/>
    <n v="4001"/>
  </r>
  <r>
    <x v="0"/>
    <x v="5"/>
    <x v="1"/>
    <x v="154"/>
    <x v="134"/>
    <x v="134"/>
    <s v="REVENUS"/>
    <x v="2"/>
    <s v="4001.001"/>
    <s v="Impôt revenu"/>
    <n v="0"/>
    <n v="1630.85"/>
    <n v="4001"/>
  </r>
  <r>
    <x v="0"/>
    <x v="5"/>
    <x v="1"/>
    <x v="154"/>
    <x v="134"/>
    <x v="134"/>
    <s v="REVENUS"/>
    <x v="3"/>
    <s v="4002.001"/>
    <s v="Impôt ordinaire s/fortune PP"/>
    <n v="0"/>
    <n v="175.2"/>
    <n v="4002"/>
  </r>
  <r>
    <x v="0"/>
    <x v="5"/>
    <x v="1"/>
    <x v="154"/>
    <x v="134"/>
    <x v="134"/>
    <s v="REVENUS"/>
    <x v="3"/>
    <s v="4002.001"/>
    <s v="Impôt ordinaire s/fortune PP"/>
    <n v="0"/>
    <n v="83.7"/>
    <n v="4002"/>
  </r>
  <r>
    <x v="0"/>
    <x v="5"/>
    <x v="1"/>
    <x v="154"/>
    <x v="134"/>
    <x v="134"/>
    <s v="REVENUS"/>
    <x v="6"/>
    <s v="4211.002"/>
    <s v="Intérêts de retard sur acomptes"/>
    <n v="0"/>
    <n v="0.03"/>
    <n v="4211"/>
  </r>
  <r>
    <x v="0"/>
    <x v="5"/>
    <x v="1"/>
    <x v="154"/>
    <x v="134"/>
    <x v="134"/>
    <s v="REVENUS"/>
    <x v="6"/>
    <s v="4221.003"/>
    <s v="Intérêts compensat. / acomptes en faveur du fisc"/>
    <n v="0"/>
    <n v="0.03"/>
    <n v="4221"/>
  </r>
  <r>
    <x v="0"/>
    <x v="5"/>
    <x v="1"/>
    <x v="154"/>
    <x v="134"/>
    <x v="134"/>
    <s v="REVENUS"/>
    <x v="3"/>
    <s v="4002.002"/>
    <s v="Impôt complémentaire s/fortune PP"/>
    <n v="0"/>
    <n v="561.45000000000005"/>
    <n v="4002"/>
  </r>
  <r>
    <x v="0"/>
    <x v="5"/>
    <x v="1"/>
    <x v="154"/>
    <x v="134"/>
    <x v="134"/>
    <s v="REVENUS"/>
    <x v="2"/>
    <s v="4001.001"/>
    <s v="Impôt revenu"/>
    <n v="0"/>
    <n v="3357.65"/>
    <n v="4001"/>
  </r>
  <r>
    <x v="0"/>
    <x v="5"/>
    <x v="1"/>
    <x v="154"/>
    <x v="134"/>
    <x v="134"/>
    <s v="REVENUS"/>
    <x v="3"/>
    <s v="4002.001"/>
    <s v="Impôt ordinaire s/fortune PP"/>
    <n v="0"/>
    <n v="1351.7"/>
    <n v="4002"/>
  </r>
  <r>
    <x v="0"/>
    <x v="5"/>
    <x v="1"/>
    <x v="154"/>
    <x v="134"/>
    <x v="134"/>
    <s v="REVENUS"/>
    <x v="6"/>
    <s v="4221.003"/>
    <s v="Intérêts compensat. / acomptes en faveur du fisc"/>
    <n v="0"/>
    <n v="0.04"/>
    <n v="4221"/>
  </r>
  <r>
    <x v="0"/>
    <x v="5"/>
    <x v="1"/>
    <x v="154"/>
    <x v="134"/>
    <x v="134"/>
    <s v="REVENUS"/>
    <x v="2"/>
    <s v="4001.001"/>
    <s v="Impôt revenu"/>
    <n v="0"/>
    <n v="595.79999999999995"/>
    <n v="4001"/>
  </r>
  <r>
    <x v="0"/>
    <x v="5"/>
    <x v="1"/>
    <x v="154"/>
    <x v="134"/>
    <x v="134"/>
    <s v="REVENUS"/>
    <x v="3"/>
    <s v="4002.001"/>
    <s v="Impôt ordinaire s/fortune PP"/>
    <n v="0"/>
    <n v="60.45"/>
    <n v="4002"/>
  </r>
  <r>
    <x v="0"/>
    <x v="5"/>
    <x v="1"/>
    <x v="154"/>
    <x v="134"/>
    <x v="134"/>
    <s v="REVENUS"/>
    <x v="6"/>
    <s v="4221.003"/>
    <s v="Intérêts compensat. / acomptes en faveur du fisc"/>
    <n v="0"/>
    <n v="0.12"/>
    <n v="4221"/>
  </r>
  <r>
    <x v="0"/>
    <x v="5"/>
    <x v="1"/>
    <x v="155"/>
    <x v="135"/>
    <x v="135"/>
    <s v="CHARGES"/>
    <x v="1"/>
    <s v="3301.001"/>
    <s v="Défalcations, abandons de solde PP et IS"/>
    <n v="0.79"/>
    <n v="0"/>
    <n v="3301"/>
  </r>
  <r>
    <x v="0"/>
    <x v="5"/>
    <x v="1"/>
    <x v="155"/>
    <x v="135"/>
    <x v="135"/>
    <s v="REVENUS"/>
    <x v="6"/>
    <s v="4211.001"/>
    <s v="Intérêts de retard sur factures"/>
    <n v="0"/>
    <n v="0.79"/>
    <n v="4211"/>
  </r>
  <r>
    <x v="0"/>
    <x v="5"/>
    <x v="1"/>
    <x v="156"/>
    <x v="136"/>
    <x v="136"/>
    <s v="CHARGES"/>
    <x v="1"/>
    <s v="3301.001"/>
    <s v="Défalcations, abandons de solde PP et IS"/>
    <n v="35888.589999999997"/>
    <n v="0"/>
    <n v="3301"/>
  </r>
  <r>
    <x v="0"/>
    <x v="5"/>
    <x v="1"/>
    <x v="156"/>
    <x v="136"/>
    <x v="136"/>
    <s v="CHARGES"/>
    <x v="0"/>
    <s v="3212.004"/>
    <s v="Intérêts rémun./perçu trop tôt sur acomptes C/C"/>
    <n v="435.13"/>
    <n v="0"/>
    <n v="3212"/>
  </r>
  <r>
    <x v="0"/>
    <x v="5"/>
    <x v="1"/>
    <x v="156"/>
    <x v="136"/>
    <x v="136"/>
    <s v="CHARGES"/>
    <x v="0"/>
    <s v="3221.002"/>
    <s v="Intérêts compensatoires / créances en faveur ctb."/>
    <n v="48.79"/>
    <n v="0"/>
    <n v="3221"/>
  </r>
  <r>
    <x v="0"/>
    <x v="5"/>
    <x v="1"/>
    <x v="156"/>
    <x v="136"/>
    <x v="136"/>
    <s v="CHARGES"/>
    <x v="0"/>
    <s v="3212.004"/>
    <s v="Intérêts rémun./perçu trop tôt sur acomptes C/C"/>
    <n v="0.36"/>
    <n v="0"/>
    <n v="3212"/>
  </r>
  <r>
    <x v="0"/>
    <x v="5"/>
    <x v="1"/>
    <x v="156"/>
    <x v="136"/>
    <x v="136"/>
    <s v="CHARGES"/>
    <x v="0"/>
    <s v="3221.002"/>
    <s v="Intérêts compensatoires / créances en faveur ctb."/>
    <n v="0.49"/>
    <n v="0"/>
    <n v="3221"/>
  </r>
  <r>
    <x v="0"/>
    <x v="5"/>
    <x v="1"/>
    <x v="156"/>
    <x v="136"/>
    <x v="136"/>
    <s v="CHARGES"/>
    <x v="0"/>
    <s v="3212.002"/>
    <s v="Intérêts bonifiés/trop perçu acompte C/C"/>
    <n v="19.170000000000002"/>
    <n v="0"/>
    <n v="3212"/>
  </r>
  <r>
    <x v="0"/>
    <x v="5"/>
    <x v="1"/>
    <x v="156"/>
    <x v="136"/>
    <x v="136"/>
    <s v="CHARGES"/>
    <x v="0"/>
    <s v="3212.004"/>
    <s v="Intérêts rémun./perçu trop tôt sur acomptes C/C"/>
    <n v="0.16"/>
    <n v="0"/>
    <n v="3212"/>
  </r>
  <r>
    <x v="0"/>
    <x v="5"/>
    <x v="1"/>
    <x v="156"/>
    <x v="136"/>
    <x v="136"/>
    <s v="CHARGES"/>
    <x v="0"/>
    <s v="3221.002"/>
    <s v="Intérêts compensatoires / créances en faveur ctb."/>
    <n v="0.04"/>
    <n v="0"/>
    <n v="3221"/>
  </r>
  <r>
    <x v="0"/>
    <x v="5"/>
    <x v="1"/>
    <x v="156"/>
    <x v="136"/>
    <x v="136"/>
    <s v="CHARGES"/>
    <x v="0"/>
    <s v="3212.004"/>
    <s v="Intérêts rémun./perçu trop tôt sur acomptes C/C"/>
    <n v="-3.61"/>
    <n v="0"/>
    <n v="3212"/>
  </r>
  <r>
    <x v="0"/>
    <x v="5"/>
    <x v="1"/>
    <x v="156"/>
    <x v="136"/>
    <x v="136"/>
    <s v="CHARGES"/>
    <x v="0"/>
    <s v="3221.002"/>
    <s v="Intérêts compensatoires / créances en faveur ctb."/>
    <n v="-0.28999999999999998"/>
    <n v="0"/>
    <n v="3221"/>
  </r>
  <r>
    <x v="0"/>
    <x v="5"/>
    <x v="1"/>
    <x v="156"/>
    <x v="136"/>
    <x v="136"/>
    <s v="CHARGES"/>
    <x v="1"/>
    <s v="3301.001"/>
    <s v="Défalcations, abandons de solde PP et IS"/>
    <n v="2055.9"/>
    <n v="0"/>
    <n v="3301"/>
  </r>
  <r>
    <x v="0"/>
    <x v="5"/>
    <x v="1"/>
    <x v="156"/>
    <x v="136"/>
    <x v="136"/>
    <s v="CHARGES"/>
    <x v="0"/>
    <s v="3221.002"/>
    <s v="Intérêts compensatoires / créances en faveur ctb."/>
    <n v="0.41"/>
    <n v="0"/>
    <n v="3221"/>
  </r>
  <r>
    <x v="0"/>
    <x v="5"/>
    <x v="1"/>
    <x v="156"/>
    <x v="136"/>
    <x v="136"/>
    <s v="CHARGES"/>
    <x v="0"/>
    <s v="3221.002"/>
    <s v="Intérêts compensatoires / créances en faveur ctb."/>
    <n v="0.02"/>
    <n v="0"/>
    <n v="3221"/>
  </r>
  <r>
    <x v="0"/>
    <x v="5"/>
    <x v="1"/>
    <x v="156"/>
    <x v="136"/>
    <x v="136"/>
    <s v="CHARGES"/>
    <x v="0"/>
    <s v="3212.004"/>
    <s v="Intérêts rémun./perçu trop tôt sur acomptes C/C"/>
    <n v="2.2200000000000002"/>
    <n v="0"/>
    <n v="3212"/>
  </r>
  <r>
    <x v="0"/>
    <x v="5"/>
    <x v="1"/>
    <x v="156"/>
    <x v="136"/>
    <x v="136"/>
    <s v="CHARGES"/>
    <x v="1"/>
    <s v="3301.003"/>
    <s v="Remises PP et IS"/>
    <n v="7259.71"/>
    <n v="0"/>
    <n v="3301"/>
  </r>
  <r>
    <x v="0"/>
    <x v="5"/>
    <x v="1"/>
    <x v="156"/>
    <x v="136"/>
    <x v="136"/>
    <s v="CHARGES"/>
    <x v="0"/>
    <s v="3212.002"/>
    <s v="Intérêts bonifiés/trop perçu acompte C/C"/>
    <n v="-0.92"/>
    <n v="0"/>
    <n v="3212"/>
  </r>
  <r>
    <x v="0"/>
    <x v="5"/>
    <x v="1"/>
    <x v="156"/>
    <x v="136"/>
    <x v="136"/>
    <s v="CHARGES"/>
    <x v="0"/>
    <s v="3212.004"/>
    <s v="Intérêts rémun./perçu trop tôt sur acomptes C/C"/>
    <n v="0.02"/>
    <n v="0"/>
    <n v="3212"/>
  </r>
  <r>
    <x v="0"/>
    <x v="5"/>
    <x v="1"/>
    <x v="156"/>
    <x v="136"/>
    <x v="136"/>
    <s v="CHARGES"/>
    <x v="1"/>
    <s v="3301.001"/>
    <s v="Défalcations, abandons de solde PP et IS"/>
    <n v="0.01"/>
    <n v="0"/>
    <n v="3301"/>
  </r>
  <r>
    <x v="0"/>
    <x v="5"/>
    <x v="1"/>
    <x v="156"/>
    <x v="136"/>
    <x v="136"/>
    <s v="REVENUS"/>
    <x v="2"/>
    <s v="4001.001"/>
    <s v="Impôt revenu"/>
    <n v="0"/>
    <n v="1823675"/>
    <n v="4001"/>
  </r>
  <r>
    <x v="0"/>
    <x v="5"/>
    <x v="1"/>
    <x v="156"/>
    <x v="136"/>
    <x v="136"/>
    <s v="REVENUS"/>
    <x v="2"/>
    <s v="4001.007"/>
    <s v="Acompte impôt sur revenu"/>
    <n v="0"/>
    <n v="378628.58"/>
    <n v="4001"/>
  </r>
  <r>
    <x v="0"/>
    <x v="5"/>
    <x v="1"/>
    <x v="156"/>
    <x v="136"/>
    <x v="136"/>
    <s v="REVENUS"/>
    <x v="3"/>
    <s v="4002.007"/>
    <s v="Acompte impôt sur fortune"/>
    <n v="0"/>
    <n v="80388.820000000007"/>
    <n v="4002"/>
  </r>
  <r>
    <x v="0"/>
    <x v="5"/>
    <x v="1"/>
    <x v="156"/>
    <x v="136"/>
    <x v="136"/>
    <s v="REVENUS"/>
    <x v="6"/>
    <s v="4211.001"/>
    <s v="Intérêts de retard sur factures"/>
    <n v="0"/>
    <n v="14591.72"/>
    <n v="4211"/>
  </r>
  <r>
    <x v="0"/>
    <x v="5"/>
    <x v="1"/>
    <x v="156"/>
    <x v="136"/>
    <x v="136"/>
    <s v="REVENUS"/>
    <x v="6"/>
    <s v="4211.002"/>
    <s v="Intérêts de retard sur acomptes"/>
    <n v="0"/>
    <n v="13658.76"/>
    <n v="4211"/>
  </r>
  <r>
    <x v="0"/>
    <x v="5"/>
    <x v="1"/>
    <x v="156"/>
    <x v="136"/>
    <x v="136"/>
    <s v="REVENUS"/>
    <x v="6"/>
    <s v="4221.003"/>
    <s v="Intérêts compensat. / acomptes en faveur du fisc"/>
    <n v="0"/>
    <n v="560.46"/>
    <n v="4221"/>
  </r>
  <r>
    <x v="0"/>
    <x v="5"/>
    <x v="1"/>
    <x v="156"/>
    <x v="136"/>
    <x v="136"/>
    <s v="REVENUS"/>
    <x v="2"/>
    <s v="4001.007"/>
    <s v="Acompte impôt sur revenu"/>
    <n v="0"/>
    <n v="-441519.22"/>
    <n v="4001"/>
  </r>
  <r>
    <x v="0"/>
    <x v="5"/>
    <x v="1"/>
    <x v="156"/>
    <x v="136"/>
    <x v="136"/>
    <s v="REVENUS"/>
    <x v="3"/>
    <s v="4002.007"/>
    <s v="Acompte impôt sur fortune"/>
    <n v="0"/>
    <n v="-128806.06"/>
    <n v="4002"/>
  </r>
  <r>
    <x v="0"/>
    <x v="5"/>
    <x v="1"/>
    <x v="156"/>
    <x v="136"/>
    <x v="136"/>
    <s v="REVENUS"/>
    <x v="3"/>
    <s v="4002.001"/>
    <s v="Impôt ordinaire s/fortune PP"/>
    <n v="0"/>
    <n v="388318.55"/>
    <n v="4002"/>
  </r>
  <r>
    <x v="0"/>
    <x v="5"/>
    <x v="1"/>
    <x v="156"/>
    <x v="136"/>
    <x v="136"/>
    <s v="REVENUS"/>
    <x v="7"/>
    <s v="4184.000"/>
    <s v="Frais de poursuite"/>
    <n v="0"/>
    <n v="2472.7199999999998"/>
    <n v="4184"/>
  </r>
  <r>
    <x v="0"/>
    <x v="5"/>
    <x v="1"/>
    <x v="156"/>
    <x v="136"/>
    <x v="136"/>
    <s v="REVENUS"/>
    <x v="2"/>
    <s v="4001.001"/>
    <s v="Impôt revenu"/>
    <n v="0"/>
    <n v="444"/>
    <n v="4001"/>
  </r>
  <r>
    <x v="0"/>
    <x v="5"/>
    <x v="1"/>
    <x v="156"/>
    <x v="136"/>
    <x v="136"/>
    <s v="REVENUS"/>
    <x v="3"/>
    <s v="4002.001"/>
    <s v="Impôt ordinaire s/fortune PP"/>
    <n v="0"/>
    <n v="509.15"/>
    <n v="4002"/>
  </r>
  <r>
    <x v="0"/>
    <x v="5"/>
    <x v="1"/>
    <x v="156"/>
    <x v="136"/>
    <x v="136"/>
    <s v="REVENUS"/>
    <x v="6"/>
    <s v="4211.002"/>
    <s v="Intérêts de retard sur acomptes"/>
    <n v="0"/>
    <n v="0.08"/>
    <n v="4211"/>
  </r>
  <r>
    <x v="0"/>
    <x v="5"/>
    <x v="1"/>
    <x v="156"/>
    <x v="136"/>
    <x v="136"/>
    <s v="REVENUS"/>
    <x v="2"/>
    <s v="4001.002"/>
    <s v="Impôt complément s/revenu PP"/>
    <n v="0"/>
    <n v="655392.15"/>
    <n v="4001"/>
  </r>
  <r>
    <x v="0"/>
    <x v="5"/>
    <x v="1"/>
    <x v="156"/>
    <x v="136"/>
    <x v="136"/>
    <s v="REVENUS"/>
    <x v="3"/>
    <s v="4002.002"/>
    <s v="Impôt complémentaire s/fortune PP"/>
    <n v="0"/>
    <n v="148382.1"/>
    <n v="4002"/>
  </r>
  <r>
    <x v="0"/>
    <x v="5"/>
    <x v="1"/>
    <x v="156"/>
    <x v="136"/>
    <x v="136"/>
    <s v="REVENUS"/>
    <x v="2"/>
    <s v="4001.003"/>
    <s v="Impôt s/prest. cap. PP"/>
    <n v="0"/>
    <n v="82500.7"/>
    <n v="4001"/>
  </r>
  <r>
    <x v="0"/>
    <x v="5"/>
    <x v="1"/>
    <x v="156"/>
    <x v="136"/>
    <x v="136"/>
    <s v="REVENUS"/>
    <x v="6"/>
    <s v="4221.002"/>
    <s v="Intérêts compensat. sur impôts distincts"/>
    <n v="0"/>
    <n v="169.23"/>
    <n v="4221"/>
  </r>
  <r>
    <x v="0"/>
    <x v="5"/>
    <x v="1"/>
    <x v="156"/>
    <x v="136"/>
    <x v="136"/>
    <s v="REVENUS"/>
    <x v="6"/>
    <s v="4211.001"/>
    <s v="Intérêts de retard sur factures"/>
    <n v="0"/>
    <n v="3.85"/>
    <n v="4211"/>
  </r>
  <r>
    <x v="0"/>
    <x v="5"/>
    <x v="1"/>
    <x v="156"/>
    <x v="136"/>
    <x v="136"/>
    <s v="REVENUS"/>
    <x v="2"/>
    <s v="4001.007"/>
    <s v="Acompte impôt sur revenu"/>
    <n v="0"/>
    <n v="-307.73"/>
    <n v="4001"/>
  </r>
  <r>
    <x v="0"/>
    <x v="5"/>
    <x v="1"/>
    <x v="156"/>
    <x v="136"/>
    <x v="136"/>
    <s v="REVENUS"/>
    <x v="3"/>
    <s v="4002.001"/>
    <s v="Impôt ordinaire s/fortune PP"/>
    <n v="0"/>
    <n v="209"/>
    <n v="4002"/>
  </r>
  <r>
    <x v="0"/>
    <x v="5"/>
    <x v="1"/>
    <x v="156"/>
    <x v="136"/>
    <x v="136"/>
    <s v="REVENUS"/>
    <x v="3"/>
    <s v="4002.007"/>
    <s v="Acompte impôt sur fortune"/>
    <n v="0"/>
    <n v="-455.49"/>
    <n v="4002"/>
  </r>
  <r>
    <x v="0"/>
    <x v="5"/>
    <x v="1"/>
    <x v="156"/>
    <x v="136"/>
    <x v="136"/>
    <s v="REVENUS"/>
    <x v="3"/>
    <s v="4002.007"/>
    <s v="Acompte impôt sur fortune"/>
    <n v="0"/>
    <n v="52.35"/>
    <n v="4002"/>
  </r>
  <r>
    <x v="0"/>
    <x v="5"/>
    <x v="1"/>
    <x v="156"/>
    <x v="136"/>
    <x v="136"/>
    <s v="REVENUS"/>
    <x v="3"/>
    <s v="4002.007"/>
    <s v="Acompte impôt sur fortune"/>
    <n v="0"/>
    <n v="-134.15"/>
    <n v="4002"/>
  </r>
  <r>
    <x v="0"/>
    <x v="5"/>
    <x v="1"/>
    <x v="156"/>
    <x v="136"/>
    <x v="136"/>
    <s v="REVENUS"/>
    <x v="12"/>
    <s v="4004.007"/>
    <s v="Acompte spécial étrangers"/>
    <n v="0"/>
    <n v="-2886.95"/>
    <n v="4004"/>
  </r>
  <r>
    <x v="0"/>
    <x v="5"/>
    <x v="1"/>
    <x v="156"/>
    <x v="136"/>
    <x v="136"/>
    <s v="REVENUS"/>
    <x v="3"/>
    <s v="4002.007"/>
    <s v="Acompte impôt sur fortune"/>
    <n v="0"/>
    <n v="-1132.48"/>
    <n v="4002"/>
  </r>
  <r>
    <x v="0"/>
    <x v="5"/>
    <x v="1"/>
    <x v="156"/>
    <x v="136"/>
    <x v="136"/>
    <s v="REVENUS"/>
    <x v="10"/>
    <s v="4041.001"/>
    <s v="Droits de mutation"/>
    <n v="0"/>
    <n v="103757.35"/>
    <n v="4041"/>
  </r>
  <r>
    <x v="0"/>
    <x v="5"/>
    <x v="1"/>
    <x v="156"/>
    <x v="136"/>
    <x v="136"/>
    <s v="REVENUS"/>
    <x v="2"/>
    <s v="4001.007"/>
    <s v="Acompte impôt sur revenu"/>
    <n v="0"/>
    <n v="-2184.62"/>
    <n v="4001"/>
  </r>
  <r>
    <x v="0"/>
    <x v="5"/>
    <x v="1"/>
    <x v="156"/>
    <x v="136"/>
    <x v="136"/>
    <s v="REVENUS"/>
    <x v="7"/>
    <s v="4184.000"/>
    <s v="Frais de poursuite"/>
    <n v="0"/>
    <n v="125.87"/>
    <n v="4184"/>
  </r>
  <r>
    <x v="0"/>
    <x v="5"/>
    <x v="1"/>
    <x v="156"/>
    <x v="136"/>
    <x v="136"/>
    <s v="REVENUS"/>
    <x v="2"/>
    <s v="4001.001"/>
    <s v="Impôt revenu"/>
    <n v="0"/>
    <n v="-336213.75"/>
    <n v="4001"/>
  </r>
  <r>
    <x v="0"/>
    <x v="5"/>
    <x v="1"/>
    <x v="156"/>
    <x v="136"/>
    <x v="136"/>
    <s v="REVENUS"/>
    <x v="2"/>
    <s v="4001.002"/>
    <s v="Impôt complément s/revenu PP"/>
    <n v="0"/>
    <n v="-59539.3"/>
    <n v="4001"/>
  </r>
  <r>
    <x v="0"/>
    <x v="5"/>
    <x v="1"/>
    <x v="156"/>
    <x v="136"/>
    <x v="136"/>
    <s v="REVENUS"/>
    <x v="3"/>
    <s v="4002.001"/>
    <s v="Impôt ordinaire s/fortune PP"/>
    <n v="0"/>
    <n v="-38873.550000000003"/>
    <n v="4002"/>
  </r>
  <r>
    <x v="0"/>
    <x v="5"/>
    <x v="1"/>
    <x v="156"/>
    <x v="136"/>
    <x v="136"/>
    <s v="REVENUS"/>
    <x v="3"/>
    <s v="4002.002"/>
    <s v="Impôt complémentaire s/fortune PP"/>
    <n v="0"/>
    <n v="-10990.85"/>
    <n v="4002"/>
  </r>
  <r>
    <x v="0"/>
    <x v="5"/>
    <x v="1"/>
    <x v="156"/>
    <x v="136"/>
    <x v="136"/>
    <s v="REVENUS"/>
    <x v="6"/>
    <s v="4211.002"/>
    <s v="Intérêts de retard sur acomptes"/>
    <n v="0"/>
    <n v="-11.18"/>
    <n v="4211"/>
  </r>
  <r>
    <x v="0"/>
    <x v="5"/>
    <x v="1"/>
    <x v="156"/>
    <x v="136"/>
    <x v="136"/>
    <s v="REVENUS"/>
    <x v="6"/>
    <s v="4221.003"/>
    <s v="Intérêts compensat. / acomptes en faveur du fisc"/>
    <n v="0"/>
    <n v="-0.42"/>
    <n v="4221"/>
  </r>
  <r>
    <x v="0"/>
    <x v="5"/>
    <x v="1"/>
    <x v="156"/>
    <x v="136"/>
    <x v="136"/>
    <s v="REVENUS"/>
    <x v="2"/>
    <s v="4001.007"/>
    <s v="Acompte impôt sur revenu"/>
    <n v="0"/>
    <n v="-1672.3"/>
    <n v="4001"/>
  </r>
  <r>
    <x v="0"/>
    <x v="5"/>
    <x v="1"/>
    <x v="156"/>
    <x v="136"/>
    <x v="136"/>
    <s v="REVENUS"/>
    <x v="2"/>
    <s v="4001.001"/>
    <s v="Impôt revenu"/>
    <n v="0"/>
    <n v="2865"/>
    <n v="4001"/>
  </r>
  <r>
    <x v="0"/>
    <x v="5"/>
    <x v="1"/>
    <x v="156"/>
    <x v="136"/>
    <x v="136"/>
    <s v="REVENUS"/>
    <x v="3"/>
    <s v="4002.001"/>
    <s v="Impôt ordinaire s/fortune PP"/>
    <n v="0"/>
    <n v="3750.3"/>
    <n v="4002"/>
  </r>
  <r>
    <x v="0"/>
    <x v="5"/>
    <x v="1"/>
    <x v="156"/>
    <x v="136"/>
    <x v="136"/>
    <s v="REVENUS"/>
    <x v="6"/>
    <s v="4221.003"/>
    <s v="Intérêts compensat. / acomptes en faveur du fisc"/>
    <n v="0"/>
    <n v="0.54"/>
    <n v="4221"/>
  </r>
  <r>
    <x v="0"/>
    <x v="5"/>
    <x v="1"/>
    <x v="156"/>
    <x v="136"/>
    <x v="136"/>
    <s v="REVENUS"/>
    <x v="3"/>
    <s v="4002.002"/>
    <s v="Impôt complémentaire s/fortune PP"/>
    <n v="0"/>
    <n v="49.7"/>
    <n v="4002"/>
  </r>
  <r>
    <x v="0"/>
    <x v="5"/>
    <x v="1"/>
    <x v="156"/>
    <x v="136"/>
    <x v="136"/>
    <s v="REVENUS"/>
    <x v="3"/>
    <s v="4002.007"/>
    <s v="Acompte impôt sur fortune"/>
    <n v="0"/>
    <n v="-58.64"/>
    <n v="4002"/>
  </r>
  <r>
    <x v="0"/>
    <x v="5"/>
    <x v="1"/>
    <x v="156"/>
    <x v="136"/>
    <x v="136"/>
    <s v="REVENUS"/>
    <x v="5"/>
    <s v="4061.000"/>
    <s v="Impôt sur les chiens"/>
    <n v="0"/>
    <n v="2662.5"/>
    <n v="4061"/>
  </r>
  <r>
    <x v="0"/>
    <x v="5"/>
    <x v="1"/>
    <x v="156"/>
    <x v="136"/>
    <x v="136"/>
    <s v="REVENUS"/>
    <x v="3"/>
    <s v="4002.001"/>
    <s v="Impôt ordinaire s/fortune PP"/>
    <n v="0"/>
    <n v="49.8"/>
    <n v="4002"/>
  </r>
  <r>
    <x v="0"/>
    <x v="5"/>
    <x v="1"/>
    <x v="156"/>
    <x v="136"/>
    <x v="136"/>
    <s v="REVENUS"/>
    <x v="6"/>
    <s v="4211.002"/>
    <s v="Intérêts de retard sur acomptes"/>
    <n v="0"/>
    <n v="21.69"/>
    <n v="4211"/>
  </r>
  <r>
    <x v="0"/>
    <x v="5"/>
    <x v="1"/>
    <x v="156"/>
    <x v="136"/>
    <x v="136"/>
    <s v="REVENUS"/>
    <x v="3"/>
    <s v="4002.002"/>
    <s v="Impôt complémentaire s/fortune PP"/>
    <n v="0"/>
    <n v="81.25"/>
    <n v="4002"/>
  </r>
  <r>
    <x v="0"/>
    <x v="5"/>
    <x v="1"/>
    <x v="156"/>
    <x v="136"/>
    <x v="136"/>
    <s v="REVENUS"/>
    <x v="6"/>
    <s v="4211.001"/>
    <s v="Intérêts de retard sur factures"/>
    <n v="0"/>
    <n v="0.66"/>
    <n v="4211"/>
  </r>
  <r>
    <x v="0"/>
    <x v="5"/>
    <x v="1"/>
    <x v="156"/>
    <x v="136"/>
    <x v="136"/>
    <s v="REVENUS"/>
    <x v="6"/>
    <s v="4221.003"/>
    <s v="Intérêts compensat. / acomptes en faveur du fisc"/>
    <n v="0"/>
    <n v="0.34"/>
    <n v="4221"/>
  </r>
  <r>
    <x v="0"/>
    <x v="5"/>
    <x v="1"/>
    <x v="156"/>
    <x v="136"/>
    <x v="136"/>
    <s v="REVENUS"/>
    <x v="2"/>
    <s v="4001.001"/>
    <s v="Impôt revenu"/>
    <n v="0"/>
    <n v="103.15"/>
    <n v="4001"/>
  </r>
  <r>
    <x v="0"/>
    <x v="5"/>
    <x v="1"/>
    <x v="156"/>
    <x v="136"/>
    <x v="136"/>
    <s v="REVENUS"/>
    <x v="6"/>
    <s v="4211.002"/>
    <s v="Intérêts de retard sur acomptes"/>
    <n v="0"/>
    <n v="1.55"/>
    <n v="4211"/>
  </r>
  <r>
    <x v="0"/>
    <x v="5"/>
    <x v="1"/>
    <x v="156"/>
    <x v="136"/>
    <x v="136"/>
    <s v="REVENUS"/>
    <x v="9"/>
    <s v="4031.001"/>
    <s v="Impôt sur les gains immobiliers"/>
    <n v="0"/>
    <n v="55398.5"/>
    <n v="4031"/>
  </r>
  <r>
    <x v="0"/>
    <x v="5"/>
    <x v="1"/>
    <x v="156"/>
    <x v="136"/>
    <x v="136"/>
    <s v="REVENUS"/>
    <x v="9"/>
    <s v="4031.002"/>
    <s v="Complément impôt sur les gains immobiliers"/>
    <n v="0"/>
    <n v="11548.5"/>
    <n v="4031"/>
  </r>
  <r>
    <x v="0"/>
    <x v="5"/>
    <x v="1"/>
    <x v="156"/>
    <x v="136"/>
    <x v="136"/>
    <s v="REVENUS"/>
    <x v="12"/>
    <s v="4004.000"/>
    <s v="Impôt spécial étrangers"/>
    <n v="0"/>
    <n v="-19914.8"/>
    <n v="4004"/>
  </r>
  <r>
    <x v="0"/>
    <x v="5"/>
    <x v="1"/>
    <x v="156"/>
    <x v="136"/>
    <x v="136"/>
    <s v="REVENUS"/>
    <x v="6"/>
    <s v="4211.001"/>
    <s v="Intérêts de retard sur factures"/>
    <n v="0"/>
    <n v="-50.45"/>
    <n v="4211"/>
  </r>
  <r>
    <x v="0"/>
    <x v="5"/>
    <x v="1"/>
    <x v="156"/>
    <x v="136"/>
    <x v="136"/>
    <s v="REVENUS"/>
    <x v="2"/>
    <s v="4001.003"/>
    <s v="Impôt s/prest. cap. PP"/>
    <n v="0"/>
    <n v="-799.65"/>
    <n v="4001"/>
  </r>
  <r>
    <x v="0"/>
    <x v="5"/>
    <x v="1"/>
    <x v="156"/>
    <x v="136"/>
    <x v="136"/>
    <s v="REVENUS"/>
    <x v="6"/>
    <s v="4221.003"/>
    <s v="Intérêts compensat. / acomptes en faveur du fisc"/>
    <n v="0"/>
    <n v="0.01"/>
    <n v="4221"/>
  </r>
  <r>
    <x v="0"/>
    <x v="5"/>
    <x v="1"/>
    <x v="156"/>
    <x v="136"/>
    <x v="136"/>
    <s v="REVENUS"/>
    <x v="4"/>
    <s v="4051.001"/>
    <s v="Impôt sur les successions"/>
    <n v="0"/>
    <n v="209452.6"/>
    <n v="4051"/>
  </r>
  <r>
    <x v="0"/>
    <x v="5"/>
    <x v="1"/>
    <x v="156"/>
    <x v="136"/>
    <x v="136"/>
    <s v="REVENUS"/>
    <x v="12"/>
    <s v="4004.000"/>
    <s v="Impôt spécial étrangers"/>
    <n v="0"/>
    <n v="101041.75"/>
    <n v="4004"/>
  </r>
  <r>
    <x v="0"/>
    <x v="5"/>
    <x v="1"/>
    <x v="156"/>
    <x v="136"/>
    <x v="136"/>
    <s v="REVENUS"/>
    <x v="3"/>
    <s v="4002.002"/>
    <s v="Impôt complémentaire s/fortune PP"/>
    <n v="0"/>
    <n v="83.25"/>
    <n v="4002"/>
  </r>
  <r>
    <x v="0"/>
    <x v="5"/>
    <x v="1"/>
    <x v="157"/>
    <x v="137"/>
    <x v="137"/>
    <s v="CHARGES"/>
    <x v="1"/>
    <s v="3301.001"/>
    <s v="Défalcations, abandons de solde PP et IS"/>
    <n v="39461.69"/>
    <n v="0"/>
    <n v="3301"/>
  </r>
  <r>
    <x v="0"/>
    <x v="5"/>
    <x v="1"/>
    <x v="157"/>
    <x v="137"/>
    <x v="137"/>
    <s v="CHARGES"/>
    <x v="1"/>
    <s v="3301.001"/>
    <s v="Défalcations, abandons de solde PP et IS"/>
    <n v="1132.97"/>
    <n v="0"/>
    <n v="3301"/>
  </r>
  <r>
    <x v="0"/>
    <x v="5"/>
    <x v="1"/>
    <x v="157"/>
    <x v="137"/>
    <x v="137"/>
    <s v="CHARGES"/>
    <x v="0"/>
    <s v="3212.004"/>
    <s v="Intérêts rémun./perçu trop tôt sur acomptes C/C"/>
    <n v="587.65"/>
    <n v="0"/>
    <n v="3212"/>
  </r>
  <r>
    <x v="0"/>
    <x v="5"/>
    <x v="1"/>
    <x v="157"/>
    <x v="137"/>
    <x v="137"/>
    <s v="CHARGES"/>
    <x v="0"/>
    <s v="3221.002"/>
    <s v="Intérêts compensatoires / créances en faveur ctb."/>
    <n v="138.1"/>
    <n v="0"/>
    <n v="3221"/>
  </r>
  <r>
    <x v="0"/>
    <x v="5"/>
    <x v="1"/>
    <x v="157"/>
    <x v="137"/>
    <x v="137"/>
    <s v="CHARGES"/>
    <x v="0"/>
    <s v="3212.004"/>
    <s v="Intérêts rémun./perçu trop tôt sur acomptes C/C"/>
    <n v="14.85"/>
    <n v="0"/>
    <n v="3212"/>
  </r>
  <r>
    <x v="0"/>
    <x v="5"/>
    <x v="1"/>
    <x v="157"/>
    <x v="137"/>
    <x v="137"/>
    <s v="CHARGES"/>
    <x v="1"/>
    <s v="3301.001"/>
    <s v="Défalcations, abandons de solde PP et IS"/>
    <n v="1689.97"/>
    <n v="0"/>
    <n v="3301"/>
  </r>
  <r>
    <x v="0"/>
    <x v="5"/>
    <x v="1"/>
    <x v="157"/>
    <x v="137"/>
    <x v="137"/>
    <s v="CHARGES"/>
    <x v="0"/>
    <s v="3221.002"/>
    <s v="Intérêts compensatoires / créances en faveur ctb."/>
    <n v="13.2"/>
    <n v="0"/>
    <n v="3221"/>
  </r>
  <r>
    <x v="0"/>
    <x v="5"/>
    <x v="1"/>
    <x v="157"/>
    <x v="137"/>
    <x v="137"/>
    <s v="CHARGES"/>
    <x v="0"/>
    <s v="3212.002"/>
    <s v="Intérêts bonifiés/trop perçu acompte C/C"/>
    <n v="17.14"/>
    <n v="0"/>
    <n v="3212"/>
  </r>
  <r>
    <x v="0"/>
    <x v="5"/>
    <x v="1"/>
    <x v="157"/>
    <x v="137"/>
    <x v="137"/>
    <s v="CHARGES"/>
    <x v="0"/>
    <s v="3212.002"/>
    <s v="Intérêts bonifiés/trop perçu acompte C/C"/>
    <n v="1.1100000000000001"/>
    <n v="0"/>
    <n v="3212"/>
  </r>
  <r>
    <x v="0"/>
    <x v="5"/>
    <x v="1"/>
    <x v="157"/>
    <x v="137"/>
    <x v="137"/>
    <s v="CHARGES"/>
    <x v="1"/>
    <s v="3301.003"/>
    <s v="Remises PP et IS"/>
    <n v="239.58"/>
    <n v="0"/>
    <n v="3301"/>
  </r>
  <r>
    <x v="0"/>
    <x v="5"/>
    <x v="1"/>
    <x v="157"/>
    <x v="137"/>
    <x v="137"/>
    <s v="CHARGES"/>
    <x v="0"/>
    <s v="3212.004"/>
    <s v="Intérêts rémun./perçu trop tôt sur acomptes C/C"/>
    <n v="141.52000000000001"/>
    <n v="0"/>
    <n v="3212"/>
  </r>
  <r>
    <x v="0"/>
    <x v="5"/>
    <x v="1"/>
    <x v="157"/>
    <x v="137"/>
    <x v="137"/>
    <s v="CHARGES"/>
    <x v="0"/>
    <s v="3221.002"/>
    <s v="Intérêts compensatoires / créances en faveur ctb."/>
    <n v="5.66"/>
    <n v="0"/>
    <n v="3221"/>
  </r>
  <r>
    <x v="0"/>
    <x v="5"/>
    <x v="1"/>
    <x v="157"/>
    <x v="137"/>
    <x v="137"/>
    <s v="CHARGES"/>
    <x v="1"/>
    <s v="3301.001"/>
    <s v="Défalcations, abandons de solde PP et IS"/>
    <n v="0.43"/>
    <n v="0"/>
    <n v="3301"/>
  </r>
  <r>
    <x v="0"/>
    <x v="5"/>
    <x v="1"/>
    <x v="157"/>
    <x v="137"/>
    <x v="137"/>
    <s v="CHARGES"/>
    <x v="0"/>
    <s v="3221.002"/>
    <s v="Intérêts compensatoires / créances en faveur ctb."/>
    <n v="0.44"/>
    <n v="0"/>
    <n v="3221"/>
  </r>
  <r>
    <x v="0"/>
    <x v="5"/>
    <x v="1"/>
    <x v="157"/>
    <x v="137"/>
    <x v="137"/>
    <s v="CHARGES"/>
    <x v="1"/>
    <s v="3301.001"/>
    <s v="Défalcations, abandons de solde PP et IS"/>
    <n v="0.01"/>
    <n v="0"/>
    <n v="3301"/>
  </r>
  <r>
    <x v="0"/>
    <x v="5"/>
    <x v="1"/>
    <x v="157"/>
    <x v="137"/>
    <x v="137"/>
    <s v="CHARGES"/>
    <x v="0"/>
    <s v="3212.004"/>
    <s v="Intérêts rémun./perçu trop tôt sur acomptes C/C"/>
    <n v="1.69"/>
    <n v="0"/>
    <n v="3212"/>
  </r>
  <r>
    <x v="0"/>
    <x v="5"/>
    <x v="1"/>
    <x v="157"/>
    <x v="137"/>
    <x v="137"/>
    <s v="CHARGES"/>
    <x v="0"/>
    <s v="3212.004"/>
    <s v="Intérêts rémun./perçu trop tôt sur acomptes C/C"/>
    <n v="3.91"/>
    <n v="0"/>
    <n v="3212"/>
  </r>
  <r>
    <x v="0"/>
    <x v="5"/>
    <x v="1"/>
    <x v="157"/>
    <x v="137"/>
    <x v="137"/>
    <s v="CHARGES"/>
    <x v="1"/>
    <s v="3301.001"/>
    <s v="Défalcations, abandons de solde PP et IS"/>
    <n v="0.71"/>
    <n v="0"/>
    <n v="3301"/>
  </r>
  <r>
    <x v="0"/>
    <x v="5"/>
    <x v="1"/>
    <x v="157"/>
    <x v="137"/>
    <x v="137"/>
    <s v="CHARGES"/>
    <x v="0"/>
    <s v="3212.004"/>
    <s v="Intérêts rémun./perçu trop tôt sur acomptes C/C"/>
    <n v="-0.92"/>
    <n v="0"/>
    <n v="3212"/>
  </r>
  <r>
    <x v="0"/>
    <x v="5"/>
    <x v="1"/>
    <x v="157"/>
    <x v="137"/>
    <x v="137"/>
    <s v="CHARGES"/>
    <x v="1"/>
    <s v="3301.001"/>
    <s v="Défalcations, abandons de solde PP et IS"/>
    <n v="-5.93"/>
    <n v="0"/>
    <n v="3301"/>
  </r>
  <r>
    <x v="0"/>
    <x v="5"/>
    <x v="1"/>
    <x v="157"/>
    <x v="137"/>
    <x v="137"/>
    <s v="REVENUS"/>
    <x v="2"/>
    <s v="4001.007"/>
    <s v="Acompte impôt sur revenu"/>
    <n v="0"/>
    <n v="538494.81999999995"/>
    <n v="4001"/>
  </r>
  <r>
    <x v="0"/>
    <x v="5"/>
    <x v="1"/>
    <x v="157"/>
    <x v="137"/>
    <x v="137"/>
    <s v="REVENUS"/>
    <x v="3"/>
    <s v="4002.007"/>
    <s v="Acompte impôt sur fortune"/>
    <n v="0"/>
    <n v="211878.53"/>
    <n v="4002"/>
  </r>
  <r>
    <x v="0"/>
    <x v="5"/>
    <x v="1"/>
    <x v="157"/>
    <x v="137"/>
    <x v="137"/>
    <s v="REVENUS"/>
    <x v="6"/>
    <s v="4211.001"/>
    <s v="Intérêts de retard sur factures"/>
    <n v="0"/>
    <n v="12209.52"/>
    <n v="4211"/>
  </r>
  <r>
    <x v="0"/>
    <x v="5"/>
    <x v="1"/>
    <x v="157"/>
    <x v="137"/>
    <x v="137"/>
    <s v="REVENUS"/>
    <x v="7"/>
    <s v="4184.000"/>
    <s v="Frais de poursuite"/>
    <n v="0"/>
    <n v="485.59"/>
    <n v="4184"/>
  </r>
  <r>
    <x v="0"/>
    <x v="5"/>
    <x v="1"/>
    <x v="157"/>
    <x v="137"/>
    <x v="137"/>
    <s v="REVENUS"/>
    <x v="2"/>
    <s v="4001.007"/>
    <s v="Acompte impôt sur revenu"/>
    <n v="0"/>
    <n v="-426142.77"/>
    <n v="4001"/>
  </r>
  <r>
    <x v="0"/>
    <x v="5"/>
    <x v="1"/>
    <x v="157"/>
    <x v="137"/>
    <x v="137"/>
    <s v="REVENUS"/>
    <x v="3"/>
    <s v="4002.007"/>
    <s v="Acompte impôt sur fortune"/>
    <n v="0"/>
    <n v="-125688.9"/>
    <n v="4002"/>
  </r>
  <r>
    <x v="0"/>
    <x v="5"/>
    <x v="1"/>
    <x v="157"/>
    <x v="137"/>
    <x v="137"/>
    <s v="REVENUS"/>
    <x v="2"/>
    <s v="4001.001"/>
    <s v="Impôt revenu"/>
    <n v="0"/>
    <n v="2766061.9"/>
    <n v="4001"/>
  </r>
  <r>
    <x v="0"/>
    <x v="5"/>
    <x v="1"/>
    <x v="157"/>
    <x v="137"/>
    <x v="137"/>
    <s v="REVENUS"/>
    <x v="3"/>
    <s v="4002.001"/>
    <s v="Impôt ordinaire s/fortune PP"/>
    <n v="0"/>
    <n v="470952"/>
    <n v="4002"/>
  </r>
  <r>
    <x v="0"/>
    <x v="5"/>
    <x v="1"/>
    <x v="157"/>
    <x v="137"/>
    <x v="137"/>
    <s v="REVENUS"/>
    <x v="6"/>
    <s v="4211.002"/>
    <s v="Intérêts de retard sur acomptes"/>
    <n v="0"/>
    <n v="13578.06"/>
    <n v="4211"/>
  </r>
  <r>
    <x v="0"/>
    <x v="5"/>
    <x v="1"/>
    <x v="157"/>
    <x v="137"/>
    <x v="137"/>
    <s v="REVENUS"/>
    <x v="6"/>
    <s v="4221.003"/>
    <s v="Intérêts compensat. / acomptes en faveur du fisc"/>
    <n v="0"/>
    <n v="220.3"/>
    <n v="4221"/>
  </r>
  <r>
    <x v="0"/>
    <x v="5"/>
    <x v="1"/>
    <x v="157"/>
    <x v="137"/>
    <x v="137"/>
    <s v="REVENUS"/>
    <x v="2"/>
    <s v="4001.001"/>
    <s v="Impôt revenu"/>
    <n v="0"/>
    <n v="18842"/>
    <n v="4001"/>
  </r>
  <r>
    <x v="0"/>
    <x v="5"/>
    <x v="1"/>
    <x v="157"/>
    <x v="137"/>
    <x v="137"/>
    <s v="REVENUS"/>
    <x v="2"/>
    <s v="4001.007"/>
    <s v="Acompte impôt sur revenu"/>
    <n v="0"/>
    <n v="-19977.009999999998"/>
    <n v="4001"/>
  </r>
  <r>
    <x v="0"/>
    <x v="5"/>
    <x v="1"/>
    <x v="157"/>
    <x v="137"/>
    <x v="137"/>
    <s v="REVENUS"/>
    <x v="3"/>
    <s v="4002.001"/>
    <s v="Impôt ordinaire s/fortune PP"/>
    <n v="0"/>
    <n v="2765.15"/>
    <n v="4002"/>
  </r>
  <r>
    <x v="0"/>
    <x v="5"/>
    <x v="1"/>
    <x v="157"/>
    <x v="137"/>
    <x v="137"/>
    <s v="REVENUS"/>
    <x v="3"/>
    <s v="4002.007"/>
    <s v="Acompte impôt sur fortune"/>
    <n v="0"/>
    <n v="-8851.27"/>
    <n v="4002"/>
  </r>
  <r>
    <x v="0"/>
    <x v="5"/>
    <x v="1"/>
    <x v="157"/>
    <x v="137"/>
    <x v="137"/>
    <s v="REVENUS"/>
    <x v="6"/>
    <s v="4221.003"/>
    <s v="Intérêts compensat. / acomptes en faveur du fisc"/>
    <n v="0"/>
    <n v="15.48"/>
    <n v="4221"/>
  </r>
  <r>
    <x v="0"/>
    <x v="5"/>
    <x v="1"/>
    <x v="157"/>
    <x v="137"/>
    <x v="137"/>
    <s v="REVENUS"/>
    <x v="8"/>
    <s v="4091.001"/>
    <s v="Impôt récupéré après défalcations"/>
    <n v="0"/>
    <n v="1227.3599999999999"/>
    <n v="4091"/>
  </r>
  <r>
    <x v="0"/>
    <x v="5"/>
    <x v="1"/>
    <x v="157"/>
    <x v="137"/>
    <x v="137"/>
    <s v="REVENUS"/>
    <x v="7"/>
    <s v="4184.000"/>
    <s v="Frais de poursuite"/>
    <n v="0"/>
    <n v="3562.63"/>
    <n v="4184"/>
  </r>
  <r>
    <x v="0"/>
    <x v="5"/>
    <x v="1"/>
    <x v="157"/>
    <x v="137"/>
    <x v="137"/>
    <s v="REVENUS"/>
    <x v="2"/>
    <s v="4001.003"/>
    <s v="Impôt s/prest. cap. PP"/>
    <n v="0"/>
    <n v="70352.3"/>
    <n v="4001"/>
  </r>
  <r>
    <x v="0"/>
    <x v="5"/>
    <x v="1"/>
    <x v="157"/>
    <x v="137"/>
    <x v="137"/>
    <s v="REVENUS"/>
    <x v="6"/>
    <s v="4211.002"/>
    <s v="Intérêts de retard sur acomptes"/>
    <n v="0"/>
    <n v="343.26"/>
    <n v="4211"/>
  </r>
  <r>
    <x v="0"/>
    <x v="5"/>
    <x v="1"/>
    <x v="157"/>
    <x v="137"/>
    <x v="137"/>
    <s v="REVENUS"/>
    <x v="5"/>
    <s v="4061.000"/>
    <s v="Impôt sur les chiens"/>
    <n v="0"/>
    <n v="4600"/>
    <n v="4061"/>
  </r>
  <r>
    <x v="0"/>
    <x v="5"/>
    <x v="1"/>
    <x v="157"/>
    <x v="137"/>
    <x v="137"/>
    <s v="REVENUS"/>
    <x v="2"/>
    <s v="4001.001"/>
    <s v="Impôt revenu"/>
    <n v="0"/>
    <n v="1755.95"/>
    <n v="4001"/>
  </r>
  <r>
    <x v="0"/>
    <x v="5"/>
    <x v="1"/>
    <x v="157"/>
    <x v="137"/>
    <x v="137"/>
    <s v="REVENUS"/>
    <x v="3"/>
    <s v="4002.001"/>
    <s v="Impôt ordinaire s/fortune PP"/>
    <n v="0"/>
    <n v="2749.1"/>
    <n v="4002"/>
  </r>
  <r>
    <x v="0"/>
    <x v="5"/>
    <x v="1"/>
    <x v="157"/>
    <x v="137"/>
    <x v="137"/>
    <s v="REVENUS"/>
    <x v="6"/>
    <s v="4221.003"/>
    <s v="Intérêts compensat. / acomptes en faveur du fisc"/>
    <n v="0"/>
    <n v="2.16"/>
    <n v="4221"/>
  </r>
  <r>
    <x v="0"/>
    <x v="5"/>
    <x v="1"/>
    <x v="157"/>
    <x v="137"/>
    <x v="137"/>
    <s v="REVENUS"/>
    <x v="2"/>
    <s v="4001.001"/>
    <s v="Impôt revenu"/>
    <n v="0"/>
    <n v="-158487.20000000001"/>
    <n v="4001"/>
  </r>
  <r>
    <x v="0"/>
    <x v="5"/>
    <x v="1"/>
    <x v="157"/>
    <x v="137"/>
    <x v="137"/>
    <s v="REVENUS"/>
    <x v="2"/>
    <s v="4001.002"/>
    <s v="Impôt complément s/revenu PP"/>
    <n v="0"/>
    <n v="-29999.85"/>
    <n v="4001"/>
  </r>
  <r>
    <x v="0"/>
    <x v="5"/>
    <x v="1"/>
    <x v="157"/>
    <x v="137"/>
    <x v="137"/>
    <s v="REVENUS"/>
    <x v="10"/>
    <s v="4041.001"/>
    <s v="Droits de mutation"/>
    <n v="0"/>
    <n v="85787.9"/>
    <n v="4041"/>
  </r>
  <r>
    <x v="0"/>
    <x v="5"/>
    <x v="1"/>
    <x v="157"/>
    <x v="137"/>
    <x v="137"/>
    <s v="REVENUS"/>
    <x v="2"/>
    <s v="4001.002"/>
    <s v="Impôt complément s/revenu PP"/>
    <n v="0"/>
    <n v="395933.4"/>
    <n v="4001"/>
  </r>
  <r>
    <x v="0"/>
    <x v="5"/>
    <x v="1"/>
    <x v="157"/>
    <x v="137"/>
    <x v="137"/>
    <s v="REVENUS"/>
    <x v="3"/>
    <s v="4002.002"/>
    <s v="Impôt complémentaire s/fortune PP"/>
    <n v="0"/>
    <n v="135363.65"/>
    <n v="4002"/>
  </r>
  <r>
    <x v="0"/>
    <x v="5"/>
    <x v="1"/>
    <x v="157"/>
    <x v="137"/>
    <x v="137"/>
    <s v="REVENUS"/>
    <x v="2"/>
    <s v="4001.007"/>
    <s v="Acompte impôt sur revenu"/>
    <n v="0"/>
    <n v="1450.65"/>
    <n v="4001"/>
  </r>
  <r>
    <x v="0"/>
    <x v="5"/>
    <x v="1"/>
    <x v="157"/>
    <x v="137"/>
    <x v="137"/>
    <s v="REVENUS"/>
    <x v="3"/>
    <s v="4002.007"/>
    <s v="Acompte impôt sur fortune"/>
    <n v="0"/>
    <n v="1915.55"/>
    <n v="4002"/>
  </r>
  <r>
    <x v="0"/>
    <x v="5"/>
    <x v="1"/>
    <x v="157"/>
    <x v="137"/>
    <x v="137"/>
    <s v="REVENUS"/>
    <x v="2"/>
    <s v="4001.007"/>
    <s v="Acompte impôt sur revenu"/>
    <n v="0"/>
    <n v="29.26"/>
    <n v="4001"/>
  </r>
  <r>
    <x v="0"/>
    <x v="5"/>
    <x v="1"/>
    <x v="157"/>
    <x v="137"/>
    <x v="137"/>
    <s v="REVENUS"/>
    <x v="3"/>
    <s v="4002.007"/>
    <s v="Acompte impôt sur fortune"/>
    <n v="0"/>
    <n v="107.6"/>
    <n v="4002"/>
  </r>
  <r>
    <x v="0"/>
    <x v="5"/>
    <x v="1"/>
    <x v="157"/>
    <x v="137"/>
    <x v="137"/>
    <s v="REVENUS"/>
    <x v="3"/>
    <s v="4002.002"/>
    <s v="Impôt complémentaire s/fortune PP"/>
    <n v="0"/>
    <n v="36504.25"/>
    <n v="4002"/>
  </r>
  <r>
    <x v="0"/>
    <x v="5"/>
    <x v="1"/>
    <x v="157"/>
    <x v="137"/>
    <x v="137"/>
    <s v="REVENUS"/>
    <x v="2"/>
    <s v="4001.002"/>
    <s v="Impôt complément s/revenu PP"/>
    <n v="0"/>
    <n v="97573.8"/>
    <n v="4001"/>
  </r>
  <r>
    <x v="0"/>
    <x v="5"/>
    <x v="1"/>
    <x v="157"/>
    <x v="137"/>
    <x v="137"/>
    <s v="REVENUS"/>
    <x v="6"/>
    <s v="4211.001"/>
    <s v="Intérêts de retard sur factures"/>
    <n v="0"/>
    <n v="1869.54"/>
    <n v="4211"/>
  </r>
  <r>
    <x v="0"/>
    <x v="5"/>
    <x v="1"/>
    <x v="157"/>
    <x v="137"/>
    <x v="137"/>
    <s v="REVENUS"/>
    <x v="2"/>
    <s v="4001.007"/>
    <s v="Acompte impôt sur revenu"/>
    <n v="0"/>
    <n v="-16.05"/>
    <n v="4001"/>
  </r>
  <r>
    <x v="0"/>
    <x v="5"/>
    <x v="1"/>
    <x v="157"/>
    <x v="137"/>
    <x v="137"/>
    <s v="REVENUS"/>
    <x v="3"/>
    <s v="4002.007"/>
    <s v="Acompte impôt sur fortune"/>
    <n v="0"/>
    <n v="-6.1"/>
    <n v="4002"/>
  </r>
  <r>
    <x v="0"/>
    <x v="5"/>
    <x v="1"/>
    <x v="157"/>
    <x v="137"/>
    <x v="137"/>
    <s v="REVENUS"/>
    <x v="3"/>
    <s v="4002.007"/>
    <s v="Acompte impôt sur fortune"/>
    <n v="0"/>
    <n v="-1591.57"/>
    <n v="4002"/>
  </r>
  <r>
    <x v="0"/>
    <x v="5"/>
    <x v="1"/>
    <x v="157"/>
    <x v="137"/>
    <x v="137"/>
    <s v="REVENUS"/>
    <x v="9"/>
    <s v="4031.001"/>
    <s v="Impôt sur les gains immobiliers"/>
    <n v="0"/>
    <n v="95165.3"/>
    <n v="4031"/>
  </r>
  <r>
    <x v="0"/>
    <x v="5"/>
    <x v="1"/>
    <x v="157"/>
    <x v="137"/>
    <x v="137"/>
    <s v="REVENUS"/>
    <x v="3"/>
    <s v="4002.001"/>
    <s v="Impôt ordinaire s/fortune PP"/>
    <n v="0"/>
    <n v="38.700000000000003"/>
    <n v="4002"/>
  </r>
  <r>
    <x v="0"/>
    <x v="5"/>
    <x v="1"/>
    <x v="157"/>
    <x v="137"/>
    <x v="137"/>
    <s v="REVENUS"/>
    <x v="2"/>
    <s v="4001.003"/>
    <s v="Impôt s/prest. cap. PP"/>
    <n v="0"/>
    <n v="-9761.25"/>
    <n v="4001"/>
  </r>
  <r>
    <x v="0"/>
    <x v="5"/>
    <x v="1"/>
    <x v="157"/>
    <x v="137"/>
    <x v="137"/>
    <s v="REVENUS"/>
    <x v="2"/>
    <s v="4001.007"/>
    <s v="Acompte impôt sur revenu"/>
    <n v="0"/>
    <n v="-10865.5"/>
    <n v="4001"/>
  </r>
  <r>
    <x v="0"/>
    <x v="5"/>
    <x v="1"/>
    <x v="157"/>
    <x v="137"/>
    <x v="137"/>
    <s v="REVENUS"/>
    <x v="3"/>
    <s v="4002.001"/>
    <s v="Impôt ordinaire s/fortune PP"/>
    <n v="0"/>
    <n v="-92476.65"/>
    <n v="4002"/>
  </r>
  <r>
    <x v="0"/>
    <x v="5"/>
    <x v="1"/>
    <x v="157"/>
    <x v="137"/>
    <x v="137"/>
    <s v="REVENUS"/>
    <x v="6"/>
    <s v="4221.002"/>
    <s v="Intérêts compensat. sur impôts distincts"/>
    <n v="0"/>
    <n v="4.18"/>
    <n v="4221"/>
  </r>
  <r>
    <x v="0"/>
    <x v="5"/>
    <x v="1"/>
    <x v="157"/>
    <x v="137"/>
    <x v="137"/>
    <s v="REVENUS"/>
    <x v="3"/>
    <s v="4002.002"/>
    <s v="Impôt complémentaire s/fortune PP"/>
    <n v="0"/>
    <n v="-8673.4500000000007"/>
    <n v="4002"/>
  </r>
  <r>
    <x v="0"/>
    <x v="5"/>
    <x v="1"/>
    <x v="157"/>
    <x v="137"/>
    <x v="137"/>
    <s v="REVENUS"/>
    <x v="6"/>
    <s v="4211.001"/>
    <s v="Intérêts de retard sur factures"/>
    <n v="0"/>
    <n v="0.35"/>
    <n v="4211"/>
  </r>
  <r>
    <x v="0"/>
    <x v="5"/>
    <x v="1"/>
    <x v="157"/>
    <x v="137"/>
    <x v="137"/>
    <s v="REVENUS"/>
    <x v="6"/>
    <s v="4211.001"/>
    <s v="Intérêts de retard sur factures"/>
    <n v="0"/>
    <n v="7.28"/>
    <n v="4211"/>
  </r>
  <r>
    <x v="0"/>
    <x v="5"/>
    <x v="1"/>
    <x v="157"/>
    <x v="137"/>
    <x v="137"/>
    <s v="REVENUS"/>
    <x v="2"/>
    <s v="4001.001"/>
    <s v="Impôt revenu"/>
    <n v="0"/>
    <n v="33032.800000000003"/>
    <n v="4001"/>
  </r>
  <r>
    <x v="0"/>
    <x v="5"/>
    <x v="1"/>
    <x v="157"/>
    <x v="137"/>
    <x v="137"/>
    <s v="REVENUS"/>
    <x v="6"/>
    <s v="4211.002"/>
    <s v="Intérêts de retard sur acomptes"/>
    <n v="0"/>
    <n v="2.94"/>
    <n v="4211"/>
  </r>
  <r>
    <x v="0"/>
    <x v="5"/>
    <x v="1"/>
    <x v="157"/>
    <x v="137"/>
    <x v="137"/>
    <s v="REVENUS"/>
    <x v="6"/>
    <s v="4221.003"/>
    <s v="Intérêts compensat. / acomptes en faveur du fisc"/>
    <n v="0"/>
    <n v="0.16"/>
    <n v="4221"/>
  </r>
  <r>
    <x v="0"/>
    <x v="5"/>
    <x v="1"/>
    <x v="157"/>
    <x v="137"/>
    <x v="137"/>
    <s v="REVENUS"/>
    <x v="6"/>
    <s v="4211.001"/>
    <s v="Intérêts de retard sur factures"/>
    <n v="0"/>
    <n v="-5.28"/>
    <n v="4211"/>
  </r>
  <r>
    <x v="0"/>
    <x v="5"/>
    <x v="1"/>
    <x v="157"/>
    <x v="137"/>
    <x v="137"/>
    <s v="REVENUS"/>
    <x v="2"/>
    <s v="4001.001"/>
    <s v="Impôt revenu"/>
    <n v="0"/>
    <n v="7364.55"/>
    <n v="4001"/>
  </r>
  <r>
    <x v="0"/>
    <x v="5"/>
    <x v="1"/>
    <x v="157"/>
    <x v="137"/>
    <x v="137"/>
    <s v="REVENUS"/>
    <x v="6"/>
    <s v="4211.002"/>
    <s v="Intérêts de retard sur acomptes"/>
    <n v="0"/>
    <n v="186.12"/>
    <n v="4211"/>
  </r>
  <r>
    <x v="0"/>
    <x v="5"/>
    <x v="1"/>
    <x v="157"/>
    <x v="137"/>
    <x v="137"/>
    <s v="REVENUS"/>
    <x v="6"/>
    <s v="4221.003"/>
    <s v="Intérêts compensat. / acomptes en faveur du fisc"/>
    <n v="0"/>
    <n v="0.27"/>
    <n v="4221"/>
  </r>
  <r>
    <x v="0"/>
    <x v="5"/>
    <x v="1"/>
    <x v="157"/>
    <x v="137"/>
    <x v="137"/>
    <s v="REVENUS"/>
    <x v="3"/>
    <s v="4002.001"/>
    <s v="Impôt ordinaire s/fortune PP"/>
    <n v="0"/>
    <n v="1146.3499999999999"/>
    <n v="4002"/>
  </r>
  <r>
    <x v="0"/>
    <x v="5"/>
    <x v="1"/>
    <x v="157"/>
    <x v="137"/>
    <x v="137"/>
    <s v="REVENUS"/>
    <x v="7"/>
    <s v="4184.000"/>
    <s v="Frais de poursuite"/>
    <n v="0"/>
    <n v="189.76"/>
    <n v="4184"/>
  </r>
  <r>
    <x v="0"/>
    <x v="5"/>
    <x v="1"/>
    <x v="157"/>
    <x v="137"/>
    <x v="137"/>
    <s v="REVENUS"/>
    <x v="3"/>
    <s v="4002.001"/>
    <s v="Impôt ordinaire s/fortune PP"/>
    <n v="0"/>
    <n v="892.4"/>
    <n v="4002"/>
  </r>
  <r>
    <x v="0"/>
    <x v="5"/>
    <x v="1"/>
    <x v="157"/>
    <x v="137"/>
    <x v="137"/>
    <s v="REVENUS"/>
    <x v="6"/>
    <s v="4211.002"/>
    <s v="Intérêts de retard sur acomptes"/>
    <n v="0"/>
    <n v="-0.15"/>
    <n v="4211"/>
  </r>
  <r>
    <x v="0"/>
    <x v="5"/>
    <x v="1"/>
    <x v="157"/>
    <x v="137"/>
    <x v="137"/>
    <s v="REVENUS"/>
    <x v="6"/>
    <s v="4221.002"/>
    <s v="Intérêts compensat. sur impôts distincts"/>
    <n v="0"/>
    <n v="-0.66"/>
    <n v="4221"/>
  </r>
  <r>
    <x v="0"/>
    <x v="5"/>
    <x v="1"/>
    <x v="157"/>
    <x v="137"/>
    <x v="137"/>
    <s v="REVENUS"/>
    <x v="8"/>
    <s v="4091.001"/>
    <s v="Impôt récupéré après défalcations"/>
    <n v="0"/>
    <n v="2978.45"/>
    <n v="4091"/>
  </r>
  <r>
    <x v="0"/>
    <x v="5"/>
    <x v="1"/>
    <x v="157"/>
    <x v="137"/>
    <x v="137"/>
    <s v="REVENUS"/>
    <x v="2"/>
    <s v="4001.001"/>
    <s v="Impôt revenu"/>
    <n v="0"/>
    <n v="74.2"/>
    <n v="4001"/>
  </r>
  <r>
    <x v="0"/>
    <x v="5"/>
    <x v="1"/>
    <x v="157"/>
    <x v="137"/>
    <x v="137"/>
    <s v="REVENUS"/>
    <x v="6"/>
    <s v="4211.002"/>
    <s v="Intérêts de retard sur acomptes"/>
    <n v="0"/>
    <n v="5.22"/>
    <n v="4211"/>
  </r>
  <r>
    <x v="0"/>
    <x v="5"/>
    <x v="1"/>
    <x v="157"/>
    <x v="137"/>
    <x v="137"/>
    <s v="REVENUS"/>
    <x v="2"/>
    <s v="4001.002"/>
    <s v="Impôt complément s/revenu PP"/>
    <n v="0"/>
    <n v="7260.6"/>
    <n v="4001"/>
  </r>
  <r>
    <x v="0"/>
    <x v="5"/>
    <x v="1"/>
    <x v="157"/>
    <x v="137"/>
    <x v="137"/>
    <s v="REVENUS"/>
    <x v="3"/>
    <s v="4002.002"/>
    <s v="Impôt complémentaire s/fortune PP"/>
    <n v="0"/>
    <n v="1636.7"/>
    <n v="4002"/>
  </r>
  <r>
    <x v="0"/>
    <x v="5"/>
    <x v="1"/>
    <x v="157"/>
    <x v="137"/>
    <x v="137"/>
    <s v="REVENUS"/>
    <x v="6"/>
    <s v="4211.001"/>
    <s v="Intérêts de retard sur factures"/>
    <n v="0"/>
    <n v="26.36"/>
    <n v="4211"/>
  </r>
  <r>
    <x v="0"/>
    <x v="5"/>
    <x v="1"/>
    <x v="158"/>
    <x v="138"/>
    <x v="138"/>
    <s v="CHARGES"/>
    <x v="0"/>
    <s v="3212.002"/>
    <s v="Intérêts bonifiés/trop perçu acompte C/C"/>
    <n v="34.159999999999997"/>
    <n v="0"/>
    <n v="3212"/>
  </r>
  <r>
    <x v="0"/>
    <x v="5"/>
    <x v="1"/>
    <x v="158"/>
    <x v="138"/>
    <x v="138"/>
    <s v="CHARGES"/>
    <x v="1"/>
    <s v="3301.001"/>
    <s v="Défalcations, abandons de solde PP et IS"/>
    <n v="16.78"/>
    <n v="0"/>
    <n v="3301"/>
  </r>
  <r>
    <x v="0"/>
    <x v="5"/>
    <x v="1"/>
    <x v="158"/>
    <x v="138"/>
    <x v="138"/>
    <s v="REVENUS"/>
    <x v="9"/>
    <s v="4031.001"/>
    <s v="Impôt sur les gains immobiliers"/>
    <n v="0"/>
    <n v="376229.4"/>
    <n v="4031"/>
  </r>
  <r>
    <x v="0"/>
    <x v="5"/>
    <x v="1"/>
    <x v="158"/>
    <x v="138"/>
    <x v="138"/>
    <s v="REVENUS"/>
    <x v="6"/>
    <s v="4221.002"/>
    <s v="Intérêts compensat. sur impôts distincts"/>
    <n v="0"/>
    <n v="43.48"/>
    <n v="4221"/>
  </r>
  <r>
    <x v="0"/>
    <x v="5"/>
    <x v="1"/>
    <x v="158"/>
    <x v="138"/>
    <x v="138"/>
    <s v="REVENUS"/>
    <x v="9"/>
    <s v="4031.002"/>
    <s v="Complément impôt sur les gains immobiliers"/>
    <n v="0"/>
    <n v="9154.7999999999993"/>
    <n v="4031"/>
  </r>
  <r>
    <x v="0"/>
    <x v="5"/>
    <x v="1"/>
    <x v="158"/>
    <x v="138"/>
    <x v="138"/>
    <s v="REVENUS"/>
    <x v="9"/>
    <s v="4031.001"/>
    <s v="Impôt sur les gains immobiliers"/>
    <n v="0"/>
    <n v="91560"/>
    <n v="4031"/>
  </r>
  <r>
    <x v="0"/>
    <x v="5"/>
    <x v="1"/>
    <x v="158"/>
    <x v="138"/>
    <x v="138"/>
    <s v="REVENUS"/>
    <x v="6"/>
    <s v="4211.001"/>
    <s v="Intérêts de retard sur factures"/>
    <n v="0"/>
    <n v="113.5"/>
    <n v="4211"/>
  </r>
  <r>
    <x v="0"/>
    <x v="5"/>
    <x v="1"/>
    <x v="159"/>
    <x v="135"/>
    <x v="135"/>
    <s v="CHARGES"/>
    <x v="0"/>
    <s v="3212.004"/>
    <s v="Intérêts rémun./perçu trop tôt sur acomptes C/C"/>
    <n v="1386.9"/>
    <n v="0"/>
    <n v="3212"/>
  </r>
  <r>
    <x v="0"/>
    <x v="5"/>
    <x v="1"/>
    <x v="159"/>
    <x v="135"/>
    <x v="135"/>
    <s v="CHARGES"/>
    <x v="0"/>
    <s v="3221.002"/>
    <s v="Intérêts compensatoires / créances en faveur ctb."/>
    <n v="828.35"/>
    <n v="0"/>
    <n v="3221"/>
  </r>
  <r>
    <x v="0"/>
    <x v="5"/>
    <x v="1"/>
    <x v="159"/>
    <x v="135"/>
    <x v="135"/>
    <s v="CHARGES"/>
    <x v="1"/>
    <s v="3301.001"/>
    <s v="Défalcations, abandons de solde PP et IS"/>
    <n v="-1368.32"/>
    <n v="0"/>
    <n v="3301"/>
  </r>
  <r>
    <x v="0"/>
    <x v="5"/>
    <x v="1"/>
    <x v="159"/>
    <x v="135"/>
    <x v="135"/>
    <s v="CHARGES"/>
    <x v="0"/>
    <s v="3212.004"/>
    <s v="Intérêts rémun./perçu trop tôt sur acomptes C/C"/>
    <n v="5.14"/>
    <n v="0"/>
    <n v="3212"/>
  </r>
  <r>
    <x v="0"/>
    <x v="5"/>
    <x v="1"/>
    <x v="159"/>
    <x v="135"/>
    <x v="135"/>
    <s v="CHARGES"/>
    <x v="0"/>
    <s v="3212.002"/>
    <s v="Intérêts bonifiés/trop perçu acompte C/C"/>
    <n v="-0.01"/>
    <n v="0"/>
    <n v="3212"/>
  </r>
  <r>
    <x v="0"/>
    <x v="5"/>
    <x v="1"/>
    <x v="159"/>
    <x v="135"/>
    <x v="135"/>
    <s v="CHARGES"/>
    <x v="0"/>
    <s v="3212.002"/>
    <s v="Intérêts bonifiés/trop perçu acompte C/C"/>
    <n v="367.69"/>
    <n v="0"/>
    <n v="3212"/>
  </r>
  <r>
    <x v="0"/>
    <x v="5"/>
    <x v="1"/>
    <x v="159"/>
    <x v="135"/>
    <x v="135"/>
    <s v="CHARGES"/>
    <x v="0"/>
    <s v="3212.004"/>
    <s v="Intérêts rémun./perçu trop tôt sur acomptes C/C"/>
    <n v="0.79"/>
    <n v="0"/>
    <n v="3212"/>
  </r>
  <r>
    <x v="0"/>
    <x v="5"/>
    <x v="1"/>
    <x v="159"/>
    <x v="135"/>
    <x v="135"/>
    <s v="CHARGES"/>
    <x v="1"/>
    <s v="3301.001"/>
    <s v="Défalcations, abandons de solde PP et IS"/>
    <n v="0.08"/>
    <n v="0"/>
    <n v="3301"/>
  </r>
  <r>
    <x v="0"/>
    <x v="5"/>
    <x v="1"/>
    <x v="159"/>
    <x v="135"/>
    <x v="135"/>
    <s v="CHARGES"/>
    <x v="0"/>
    <s v="3221.002"/>
    <s v="Intérêts compensatoires / créances en faveur ctb."/>
    <n v="0.73"/>
    <n v="0"/>
    <n v="3221"/>
  </r>
  <r>
    <x v="0"/>
    <x v="5"/>
    <x v="1"/>
    <x v="159"/>
    <x v="135"/>
    <x v="135"/>
    <s v="CHARGES"/>
    <x v="1"/>
    <s v="3301.001"/>
    <s v="Défalcations, abandons de solde PP et IS"/>
    <n v="0.74"/>
    <n v="0"/>
    <n v="3301"/>
  </r>
  <r>
    <x v="0"/>
    <x v="5"/>
    <x v="1"/>
    <x v="159"/>
    <x v="135"/>
    <x v="135"/>
    <s v="CHARGES"/>
    <x v="1"/>
    <s v="3301.001"/>
    <s v="Défalcations, abandons de solde PP et IS"/>
    <n v="0.01"/>
    <n v="0"/>
    <n v="3301"/>
  </r>
  <r>
    <x v="0"/>
    <x v="5"/>
    <x v="1"/>
    <x v="159"/>
    <x v="135"/>
    <x v="135"/>
    <s v="CHARGES"/>
    <x v="0"/>
    <s v="3212.004"/>
    <s v="Intérêts rémun./perçu trop tôt sur acomptes C/C"/>
    <n v="-73.7"/>
    <n v="0"/>
    <n v="3212"/>
  </r>
  <r>
    <x v="0"/>
    <x v="5"/>
    <x v="1"/>
    <x v="159"/>
    <x v="135"/>
    <x v="135"/>
    <s v="CHARGES"/>
    <x v="0"/>
    <s v="3221.002"/>
    <s v="Intérêts compensatoires / créances en faveur ctb."/>
    <n v="-0.1"/>
    <n v="0"/>
    <n v="3221"/>
  </r>
  <r>
    <x v="0"/>
    <x v="5"/>
    <x v="1"/>
    <x v="159"/>
    <x v="135"/>
    <x v="135"/>
    <s v="CHARGES"/>
    <x v="1"/>
    <s v="3301.001"/>
    <s v="Défalcations, abandons de solde PP et IS"/>
    <n v="0.09"/>
    <n v="0"/>
    <n v="3301"/>
  </r>
  <r>
    <x v="0"/>
    <x v="5"/>
    <x v="1"/>
    <x v="159"/>
    <x v="135"/>
    <x v="135"/>
    <s v="CHARGES"/>
    <x v="0"/>
    <s v="3212.004"/>
    <s v="Intérêts rémun./perçu trop tôt sur acomptes C/C"/>
    <n v="6.56"/>
    <n v="0"/>
    <n v="3212"/>
  </r>
  <r>
    <x v="0"/>
    <x v="5"/>
    <x v="1"/>
    <x v="159"/>
    <x v="135"/>
    <x v="135"/>
    <s v="CHARGES"/>
    <x v="0"/>
    <s v="3221.002"/>
    <s v="Intérêts compensatoires / créances en faveur ctb."/>
    <n v="1.59"/>
    <n v="0"/>
    <n v="3221"/>
  </r>
  <r>
    <x v="0"/>
    <x v="5"/>
    <x v="1"/>
    <x v="159"/>
    <x v="135"/>
    <x v="135"/>
    <s v="CHARGES"/>
    <x v="0"/>
    <s v="3212.004"/>
    <s v="Intérêts rémun./perçu trop tôt sur acomptes C/C"/>
    <n v="0.28000000000000003"/>
    <n v="0"/>
    <n v="3212"/>
  </r>
  <r>
    <x v="0"/>
    <x v="5"/>
    <x v="1"/>
    <x v="159"/>
    <x v="135"/>
    <x v="135"/>
    <s v="CHARGES"/>
    <x v="1"/>
    <s v="3301.001"/>
    <s v="Défalcations, abandons de solde PP et IS"/>
    <n v="0.63"/>
    <n v="0"/>
    <n v="3301"/>
  </r>
  <r>
    <x v="0"/>
    <x v="5"/>
    <x v="1"/>
    <x v="159"/>
    <x v="135"/>
    <x v="135"/>
    <s v="CHARGES"/>
    <x v="0"/>
    <s v="3221.002"/>
    <s v="Intérêts compensatoires / créances en faveur ctb."/>
    <n v="0.03"/>
    <n v="0"/>
    <n v="3221"/>
  </r>
  <r>
    <x v="0"/>
    <x v="5"/>
    <x v="1"/>
    <x v="159"/>
    <x v="135"/>
    <x v="135"/>
    <s v="CHARGES"/>
    <x v="0"/>
    <s v="3221.002"/>
    <s v="Intérêts compensatoires / créances en faveur ctb."/>
    <n v="0.04"/>
    <n v="0"/>
    <n v="3221"/>
  </r>
  <r>
    <x v="0"/>
    <x v="5"/>
    <x v="1"/>
    <x v="159"/>
    <x v="135"/>
    <x v="135"/>
    <s v="CHARGES"/>
    <x v="0"/>
    <s v="3212.004"/>
    <s v="Intérêts rémun./perçu trop tôt sur acomptes C/C"/>
    <n v="0.01"/>
    <n v="0"/>
    <n v="3212"/>
  </r>
  <r>
    <x v="0"/>
    <x v="5"/>
    <x v="1"/>
    <x v="159"/>
    <x v="135"/>
    <x v="135"/>
    <s v="CHARGES"/>
    <x v="0"/>
    <s v="3221.002"/>
    <s v="Intérêts compensatoires / créances en faveur ctb."/>
    <n v="1.1100000000000001"/>
    <n v="0"/>
    <n v="3221"/>
  </r>
  <r>
    <x v="0"/>
    <x v="5"/>
    <x v="1"/>
    <x v="159"/>
    <x v="135"/>
    <x v="135"/>
    <s v="REVENUS"/>
    <x v="2"/>
    <s v="4001.007"/>
    <s v="Acompte impôt sur revenu"/>
    <n v="0"/>
    <n v="1735953.85"/>
    <n v="4001"/>
  </r>
  <r>
    <x v="0"/>
    <x v="5"/>
    <x v="1"/>
    <x v="159"/>
    <x v="135"/>
    <x v="135"/>
    <s v="REVENUS"/>
    <x v="3"/>
    <s v="4002.007"/>
    <s v="Acompte impôt sur fortune"/>
    <n v="0"/>
    <n v="350006.55"/>
    <n v="4002"/>
  </r>
  <r>
    <x v="0"/>
    <x v="5"/>
    <x v="1"/>
    <x v="159"/>
    <x v="135"/>
    <x v="135"/>
    <s v="REVENUS"/>
    <x v="2"/>
    <s v="4001.007"/>
    <s v="Acompte impôt sur revenu"/>
    <n v="0"/>
    <n v="-2022485.91"/>
    <n v="4001"/>
  </r>
  <r>
    <x v="0"/>
    <x v="5"/>
    <x v="1"/>
    <x v="159"/>
    <x v="135"/>
    <x v="135"/>
    <s v="REVENUS"/>
    <x v="3"/>
    <s v="4002.007"/>
    <s v="Acompte impôt sur fortune"/>
    <n v="0"/>
    <n v="-400654.21"/>
    <n v="4002"/>
  </r>
  <r>
    <x v="0"/>
    <x v="5"/>
    <x v="1"/>
    <x v="159"/>
    <x v="135"/>
    <x v="135"/>
    <s v="REVENUS"/>
    <x v="2"/>
    <s v="4001.001"/>
    <s v="Impôt revenu"/>
    <n v="0"/>
    <n v="7326384.9000000004"/>
    <n v="4001"/>
  </r>
  <r>
    <x v="0"/>
    <x v="5"/>
    <x v="1"/>
    <x v="159"/>
    <x v="135"/>
    <x v="135"/>
    <s v="REVENUS"/>
    <x v="3"/>
    <s v="4002.001"/>
    <s v="Impôt ordinaire s/fortune PP"/>
    <n v="0"/>
    <n v="1148580.3"/>
    <n v="4002"/>
  </r>
  <r>
    <x v="0"/>
    <x v="5"/>
    <x v="1"/>
    <x v="159"/>
    <x v="135"/>
    <x v="135"/>
    <s v="REVENUS"/>
    <x v="6"/>
    <s v="4211.001"/>
    <s v="Intérêts de retard sur factures"/>
    <n v="0"/>
    <n v="22487.62"/>
    <n v="4211"/>
  </r>
  <r>
    <x v="0"/>
    <x v="5"/>
    <x v="1"/>
    <x v="159"/>
    <x v="135"/>
    <x v="135"/>
    <s v="REVENUS"/>
    <x v="6"/>
    <s v="4211.002"/>
    <s v="Intérêts de retard sur acomptes"/>
    <n v="0"/>
    <n v="48596.63"/>
    <n v="4211"/>
  </r>
  <r>
    <x v="0"/>
    <x v="5"/>
    <x v="1"/>
    <x v="159"/>
    <x v="135"/>
    <x v="135"/>
    <s v="REVENUS"/>
    <x v="2"/>
    <s v="4001.002"/>
    <s v="Impôt complément s/revenu PP"/>
    <n v="0"/>
    <n v="2226905.0499999998"/>
    <n v="4001"/>
  </r>
  <r>
    <x v="0"/>
    <x v="5"/>
    <x v="1"/>
    <x v="159"/>
    <x v="135"/>
    <x v="135"/>
    <s v="REVENUS"/>
    <x v="3"/>
    <s v="4002.002"/>
    <s v="Impôt complémentaire s/fortune PP"/>
    <n v="0"/>
    <n v="478879.7"/>
    <n v="4002"/>
  </r>
  <r>
    <x v="0"/>
    <x v="5"/>
    <x v="1"/>
    <x v="159"/>
    <x v="135"/>
    <x v="135"/>
    <s v="REVENUS"/>
    <x v="7"/>
    <s v="4184.000"/>
    <s v="Frais de poursuite"/>
    <n v="0"/>
    <n v="4759.8999999999996"/>
    <n v="4184"/>
  </r>
  <r>
    <x v="0"/>
    <x v="5"/>
    <x v="1"/>
    <x v="159"/>
    <x v="135"/>
    <x v="135"/>
    <s v="REVENUS"/>
    <x v="6"/>
    <s v="4221.003"/>
    <s v="Intérêts compensat. / acomptes en faveur du fisc"/>
    <n v="0"/>
    <n v="576.80999999999995"/>
    <n v="4221"/>
  </r>
  <r>
    <x v="0"/>
    <x v="5"/>
    <x v="1"/>
    <x v="159"/>
    <x v="135"/>
    <x v="135"/>
    <s v="REVENUS"/>
    <x v="2"/>
    <s v="4001.001"/>
    <s v="Impôt revenu"/>
    <n v="0"/>
    <n v="14838.3"/>
    <n v="4001"/>
  </r>
  <r>
    <x v="0"/>
    <x v="5"/>
    <x v="1"/>
    <x v="159"/>
    <x v="135"/>
    <x v="135"/>
    <s v="REVENUS"/>
    <x v="6"/>
    <s v="4211.002"/>
    <s v="Intérêts de retard sur acomptes"/>
    <n v="0"/>
    <n v="43.44"/>
    <n v="4211"/>
  </r>
  <r>
    <x v="0"/>
    <x v="5"/>
    <x v="1"/>
    <x v="159"/>
    <x v="135"/>
    <x v="135"/>
    <s v="REVENUS"/>
    <x v="2"/>
    <s v="4001.001"/>
    <s v="Impôt revenu"/>
    <n v="0"/>
    <n v="-1262346.45"/>
    <n v="4001"/>
  </r>
  <r>
    <x v="0"/>
    <x v="5"/>
    <x v="1"/>
    <x v="159"/>
    <x v="135"/>
    <x v="135"/>
    <s v="REVENUS"/>
    <x v="2"/>
    <s v="4001.002"/>
    <s v="Impôt complément s/revenu PP"/>
    <n v="0"/>
    <n v="-263089.09999999998"/>
    <n v="4001"/>
  </r>
  <r>
    <x v="0"/>
    <x v="5"/>
    <x v="1"/>
    <x v="159"/>
    <x v="135"/>
    <x v="135"/>
    <s v="REVENUS"/>
    <x v="3"/>
    <s v="4002.001"/>
    <s v="Impôt ordinaire s/fortune PP"/>
    <n v="0"/>
    <n v="-115708.8"/>
    <n v="4002"/>
  </r>
  <r>
    <x v="0"/>
    <x v="5"/>
    <x v="1"/>
    <x v="159"/>
    <x v="135"/>
    <x v="135"/>
    <s v="REVENUS"/>
    <x v="3"/>
    <s v="4002.002"/>
    <s v="Impôt complémentaire s/fortune PP"/>
    <n v="0"/>
    <n v="-82822.149999999994"/>
    <n v="4002"/>
  </r>
  <r>
    <x v="0"/>
    <x v="5"/>
    <x v="1"/>
    <x v="159"/>
    <x v="135"/>
    <x v="135"/>
    <s v="REVENUS"/>
    <x v="3"/>
    <s v="4002.002"/>
    <s v="Impôt complémentaire s/fortune PP"/>
    <n v="0"/>
    <n v="658.1"/>
    <n v="4002"/>
  </r>
  <r>
    <x v="0"/>
    <x v="5"/>
    <x v="1"/>
    <x v="159"/>
    <x v="135"/>
    <x v="135"/>
    <s v="REVENUS"/>
    <x v="6"/>
    <s v="4211.001"/>
    <s v="Intérêts de retard sur factures"/>
    <n v="0"/>
    <n v="3.94"/>
    <n v="4211"/>
  </r>
  <r>
    <x v="0"/>
    <x v="5"/>
    <x v="1"/>
    <x v="159"/>
    <x v="135"/>
    <x v="135"/>
    <s v="REVENUS"/>
    <x v="10"/>
    <s v="4041.001"/>
    <s v="Droits de mutation"/>
    <n v="0"/>
    <n v="333719.25"/>
    <n v="4041"/>
  </r>
  <r>
    <x v="0"/>
    <x v="5"/>
    <x v="1"/>
    <x v="159"/>
    <x v="135"/>
    <x v="135"/>
    <s v="REVENUS"/>
    <x v="2"/>
    <s v="4001.003"/>
    <s v="Impôt s/prest. cap. PP"/>
    <n v="0"/>
    <n v="-14483.95"/>
    <n v="4001"/>
  </r>
  <r>
    <x v="0"/>
    <x v="5"/>
    <x v="1"/>
    <x v="159"/>
    <x v="135"/>
    <x v="135"/>
    <s v="REVENUS"/>
    <x v="2"/>
    <s v="4001.003"/>
    <s v="Impôt s/prest. cap. PP"/>
    <n v="0"/>
    <n v="203671.7"/>
    <n v="4001"/>
  </r>
  <r>
    <x v="0"/>
    <x v="5"/>
    <x v="1"/>
    <x v="159"/>
    <x v="135"/>
    <x v="135"/>
    <s v="REVENUS"/>
    <x v="6"/>
    <s v="4221.002"/>
    <s v="Intérêts compensat. sur impôts distincts"/>
    <n v="0"/>
    <n v="335.23"/>
    <n v="4221"/>
  </r>
  <r>
    <x v="0"/>
    <x v="5"/>
    <x v="1"/>
    <x v="159"/>
    <x v="135"/>
    <x v="135"/>
    <s v="REVENUS"/>
    <x v="3"/>
    <s v="4002.001"/>
    <s v="Impôt ordinaire s/fortune PP"/>
    <n v="0"/>
    <n v="741.05"/>
    <n v="4002"/>
  </r>
  <r>
    <x v="0"/>
    <x v="5"/>
    <x v="1"/>
    <x v="159"/>
    <x v="135"/>
    <x v="135"/>
    <s v="REVENUS"/>
    <x v="6"/>
    <s v="4221.003"/>
    <s v="Intérêts compensat. / acomptes en faveur du fisc"/>
    <n v="0"/>
    <n v="0.08"/>
    <n v="4221"/>
  </r>
  <r>
    <x v="0"/>
    <x v="5"/>
    <x v="1"/>
    <x v="159"/>
    <x v="135"/>
    <x v="135"/>
    <s v="REVENUS"/>
    <x v="6"/>
    <s v="4221.003"/>
    <s v="Intérêts compensat. / acomptes en faveur du fisc"/>
    <n v="0"/>
    <n v="11.76"/>
    <n v="4221"/>
  </r>
  <r>
    <x v="0"/>
    <x v="5"/>
    <x v="1"/>
    <x v="159"/>
    <x v="135"/>
    <x v="135"/>
    <s v="REVENUS"/>
    <x v="9"/>
    <s v="4031.001"/>
    <s v="Impôt sur les gains immobiliers"/>
    <n v="0"/>
    <n v="222222.7"/>
    <n v="4031"/>
  </r>
  <r>
    <x v="0"/>
    <x v="5"/>
    <x v="1"/>
    <x v="159"/>
    <x v="135"/>
    <x v="135"/>
    <s v="REVENUS"/>
    <x v="3"/>
    <s v="4002.001"/>
    <s v="Impôt ordinaire s/fortune PP"/>
    <n v="0"/>
    <n v="140.35"/>
    <n v="4002"/>
  </r>
  <r>
    <x v="0"/>
    <x v="5"/>
    <x v="1"/>
    <x v="159"/>
    <x v="135"/>
    <x v="135"/>
    <s v="REVENUS"/>
    <x v="6"/>
    <s v="4221.003"/>
    <s v="Intérêts compensat. / acomptes en faveur du fisc"/>
    <n v="0"/>
    <n v="0.01"/>
    <n v="4221"/>
  </r>
  <r>
    <x v="0"/>
    <x v="5"/>
    <x v="1"/>
    <x v="159"/>
    <x v="135"/>
    <x v="135"/>
    <s v="REVENUS"/>
    <x v="2"/>
    <s v="4001.001"/>
    <s v="Impôt revenu"/>
    <n v="0"/>
    <n v="6733.8"/>
    <n v="4001"/>
  </r>
  <r>
    <x v="0"/>
    <x v="5"/>
    <x v="1"/>
    <x v="159"/>
    <x v="135"/>
    <x v="135"/>
    <s v="REVENUS"/>
    <x v="3"/>
    <s v="4002.001"/>
    <s v="Impôt ordinaire s/fortune PP"/>
    <n v="0"/>
    <n v="4516.6000000000004"/>
    <n v="4002"/>
  </r>
  <r>
    <x v="0"/>
    <x v="5"/>
    <x v="1"/>
    <x v="159"/>
    <x v="135"/>
    <x v="135"/>
    <s v="REVENUS"/>
    <x v="3"/>
    <s v="4002.007"/>
    <s v="Acompte impôt sur fortune"/>
    <n v="0"/>
    <n v="2083.04"/>
    <n v="4002"/>
  </r>
  <r>
    <x v="0"/>
    <x v="5"/>
    <x v="1"/>
    <x v="159"/>
    <x v="135"/>
    <x v="135"/>
    <s v="REVENUS"/>
    <x v="2"/>
    <s v="4001.007"/>
    <s v="Acompte impôt sur revenu"/>
    <n v="0"/>
    <n v="2258.59"/>
    <n v="4001"/>
  </r>
  <r>
    <x v="0"/>
    <x v="5"/>
    <x v="1"/>
    <x v="159"/>
    <x v="135"/>
    <x v="135"/>
    <s v="REVENUS"/>
    <x v="2"/>
    <s v="4001.007"/>
    <s v="Acompte impôt sur revenu"/>
    <n v="0"/>
    <n v="-4246.25"/>
    <n v="4001"/>
  </r>
  <r>
    <x v="0"/>
    <x v="5"/>
    <x v="1"/>
    <x v="159"/>
    <x v="135"/>
    <x v="135"/>
    <s v="REVENUS"/>
    <x v="3"/>
    <s v="4002.007"/>
    <s v="Acompte impôt sur fortune"/>
    <n v="0"/>
    <n v="-3799.85"/>
    <n v="4002"/>
  </r>
  <r>
    <x v="0"/>
    <x v="5"/>
    <x v="1"/>
    <x v="159"/>
    <x v="135"/>
    <x v="135"/>
    <s v="REVENUS"/>
    <x v="4"/>
    <s v="4051.001"/>
    <s v="Impôt sur les successions"/>
    <n v="0"/>
    <n v="108935.3"/>
    <n v="4051"/>
  </r>
  <r>
    <x v="0"/>
    <x v="5"/>
    <x v="1"/>
    <x v="159"/>
    <x v="135"/>
    <x v="135"/>
    <s v="REVENUS"/>
    <x v="3"/>
    <s v="4002.007"/>
    <s v="Acompte impôt sur fortune"/>
    <n v="0"/>
    <n v="-1030.9100000000001"/>
    <n v="4002"/>
  </r>
  <r>
    <x v="0"/>
    <x v="5"/>
    <x v="1"/>
    <x v="159"/>
    <x v="135"/>
    <x v="135"/>
    <s v="REVENUS"/>
    <x v="12"/>
    <s v="4004.007"/>
    <s v="Acompte spécial étrangers"/>
    <n v="0"/>
    <n v="-34603.65"/>
    <n v="4004"/>
  </r>
  <r>
    <x v="0"/>
    <x v="5"/>
    <x v="1"/>
    <x v="159"/>
    <x v="135"/>
    <x v="135"/>
    <s v="REVENUS"/>
    <x v="3"/>
    <s v="4002.007"/>
    <s v="Acompte impôt sur fortune"/>
    <n v="0"/>
    <n v="411.75"/>
    <n v="4002"/>
  </r>
  <r>
    <x v="0"/>
    <x v="5"/>
    <x v="1"/>
    <x v="159"/>
    <x v="135"/>
    <x v="135"/>
    <s v="REVENUS"/>
    <x v="3"/>
    <s v="4002.001"/>
    <s v="Impôt ordinaire s/fortune PP"/>
    <n v="0"/>
    <n v="10598.5"/>
    <n v="4002"/>
  </r>
  <r>
    <x v="0"/>
    <x v="5"/>
    <x v="1"/>
    <x v="159"/>
    <x v="135"/>
    <x v="135"/>
    <s v="REVENUS"/>
    <x v="3"/>
    <s v="4002.007"/>
    <s v="Acompte impôt sur fortune"/>
    <n v="0"/>
    <n v="36.35"/>
    <n v="4002"/>
  </r>
  <r>
    <x v="0"/>
    <x v="5"/>
    <x v="1"/>
    <x v="159"/>
    <x v="135"/>
    <x v="135"/>
    <s v="REVENUS"/>
    <x v="2"/>
    <s v="4001.007"/>
    <s v="Acompte impôt sur revenu"/>
    <n v="0"/>
    <n v="-2623.96"/>
    <n v="4001"/>
  </r>
  <r>
    <x v="0"/>
    <x v="5"/>
    <x v="1"/>
    <x v="159"/>
    <x v="135"/>
    <x v="135"/>
    <s v="REVENUS"/>
    <x v="2"/>
    <s v="4001.007"/>
    <s v="Acompte impôt sur revenu"/>
    <n v="0"/>
    <n v="-1340.85"/>
    <n v="4001"/>
  </r>
  <r>
    <x v="0"/>
    <x v="5"/>
    <x v="1"/>
    <x v="159"/>
    <x v="135"/>
    <x v="135"/>
    <s v="REVENUS"/>
    <x v="6"/>
    <s v="4211.002"/>
    <s v="Intérêts de retard sur acomptes"/>
    <n v="0"/>
    <n v="27.95"/>
    <n v="4211"/>
  </r>
  <r>
    <x v="0"/>
    <x v="5"/>
    <x v="1"/>
    <x v="159"/>
    <x v="135"/>
    <x v="135"/>
    <s v="REVENUS"/>
    <x v="2"/>
    <s v="4001.007"/>
    <s v="Acompte impôt sur revenu"/>
    <n v="0"/>
    <n v="-1072"/>
    <n v="4001"/>
  </r>
  <r>
    <x v="0"/>
    <x v="5"/>
    <x v="1"/>
    <x v="159"/>
    <x v="135"/>
    <x v="135"/>
    <s v="REVENUS"/>
    <x v="3"/>
    <s v="4002.001"/>
    <s v="Impôt ordinaire s/fortune PP"/>
    <n v="0"/>
    <n v="7765.65"/>
    <n v="4002"/>
  </r>
  <r>
    <x v="0"/>
    <x v="5"/>
    <x v="1"/>
    <x v="159"/>
    <x v="135"/>
    <x v="135"/>
    <s v="REVENUS"/>
    <x v="6"/>
    <s v="4211.002"/>
    <s v="Intérêts de retard sur acomptes"/>
    <n v="0"/>
    <n v="562.29"/>
    <n v="4211"/>
  </r>
  <r>
    <x v="0"/>
    <x v="5"/>
    <x v="1"/>
    <x v="159"/>
    <x v="135"/>
    <x v="135"/>
    <s v="REVENUS"/>
    <x v="6"/>
    <s v="4221.003"/>
    <s v="Intérêts compensat. / acomptes en faveur du fisc"/>
    <n v="0"/>
    <n v="13.21"/>
    <n v="4221"/>
  </r>
  <r>
    <x v="0"/>
    <x v="5"/>
    <x v="1"/>
    <x v="159"/>
    <x v="135"/>
    <x v="135"/>
    <s v="REVENUS"/>
    <x v="3"/>
    <s v="4002.002"/>
    <s v="Impôt complémentaire s/fortune PP"/>
    <n v="0"/>
    <n v="3151.45"/>
    <n v="4002"/>
  </r>
  <r>
    <x v="0"/>
    <x v="5"/>
    <x v="1"/>
    <x v="159"/>
    <x v="135"/>
    <x v="135"/>
    <s v="REVENUS"/>
    <x v="6"/>
    <s v="4211.001"/>
    <s v="Intérêts de retard sur factures"/>
    <n v="0"/>
    <n v="3.97"/>
    <n v="4211"/>
  </r>
  <r>
    <x v="0"/>
    <x v="5"/>
    <x v="1"/>
    <x v="159"/>
    <x v="135"/>
    <x v="135"/>
    <s v="REVENUS"/>
    <x v="2"/>
    <s v="4001.002"/>
    <s v="Impôt complément s/revenu PP"/>
    <n v="0"/>
    <n v="1429.95"/>
    <n v="4001"/>
  </r>
  <r>
    <x v="0"/>
    <x v="5"/>
    <x v="1"/>
    <x v="159"/>
    <x v="135"/>
    <x v="135"/>
    <s v="REVENUS"/>
    <x v="2"/>
    <s v="4001.001"/>
    <s v="Impôt revenu"/>
    <n v="0"/>
    <n v="33167.4"/>
    <n v="4001"/>
  </r>
  <r>
    <x v="0"/>
    <x v="5"/>
    <x v="1"/>
    <x v="159"/>
    <x v="135"/>
    <x v="135"/>
    <s v="REVENUS"/>
    <x v="6"/>
    <s v="4221.003"/>
    <s v="Intérêts compensat. / acomptes en faveur du fisc"/>
    <n v="0"/>
    <n v="0.59"/>
    <n v="4221"/>
  </r>
  <r>
    <x v="0"/>
    <x v="5"/>
    <x v="1"/>
    <x v="159"/>
    <x v="135"/>
    <x v="135"/>
    <s v="REVENUS"/>
    <x v="2"/>
    <s v="4001.007"/>
    <s v="Acompte impôt sur revenu"/>
    <n v="0"/>
    <n v="848.2"/>
    <n v="4001"/>
  </r>
  <r>
    <x v="0"/>
    <x v="5"/>
    <x v="1"/>
    <x v="159"/>
    <x v="135"/>
    <x v="135"/>
    <s v="REVENUS"/>
    <x v="5"/>
    <s v="4061.000"/>
    <s v="Impôt sur les chiens"/>
    <n v="0"/>
    <n v="8200"/>
    <n v="4061"/>
  </r>
  <r>
    <x v="0"/>
    <x v="5"/>
    <x v="1"/>
    <x v="159"/>
    <x v="135"/>
    <x v="135"/>
    <s v="REVENUS"/>
    <x v="7"/>
    <s v="4184.000"/>
    <s v="Frais de poursuite"/>
    <n v="0"/>
    <n v="15.45"/>
    <n v="4184"/>
  </r>
  <r>
    <x v="0"/>
    <x v="5"/>
    <x v="1"/>
    <x v="159"/>
    <x v="135"/>
    <x v="135"/>
    <s v="REVENUS"/>
    <x v="9"/>
    <s v="4031.002"/>
    <s v="Complément impôt sur les gains immobiliers"/>
    <n v="0"/>
    <n v="79553.649999999994"/>
    <n v="4031"/>
  </r>
  <r>
    <x v="0"/>
    <x v="5"/>
    <x v="1"/>
    <x v="159"/>
    <x v="135"/>
    <x v="135"/>
    <s v="REVENUS"/>
    <x v="7"/>
    <s v="4184.000"/>
    <s v="Frais de poursuite"/>
    <n v="0"/>
    <n v="37.770000000000003"/>
    <n v="4184"/>
  </r>
  <r>
    <x v="0"/>
    <x v="5"/>
    <x v="1"/>
    <x v="159"/>
    <x v="135"/>
    <x v="135"/>
    <s v="REVENUS"/>
    <x v="2"/>
    <s v="4001.002"/>
    <s v="Impôt complément s/revenu PP"/>
    <n v="0"/>
    <n v="4030.8"/>
    <n v="4001"/>
  </r>
  <r>
    <x v="0"/>
    <x v="5"/>
    <x v="1"/>
    <x v="159"/>
    <x v="135"/>
    <x v="135"/>
    <s v="REVENUS"/>
    <x v="8"/>
    <s v="4091.003"/>
    <s v="Impôt récupéré concordat"/>
    <n v="0"/>
    <n v="-22597.3"/>
    <n v="4091"/>
  </r>
  <r>
    <x v="0"/>
    <x v="5"/>
    <x v="1"/>
    <x v="159"/>
    <x v="135"/>
    <x v="135"/>
    <s v="REVENUS"/>
    <x v="2"/>
    <s v="4001.001"/>
    <s v="Impôt revenu"/>
    <n v="0"/>
    <n v="1907.3"/>
    <n v="4001"/>
  </r>
  <r>
    <x v="0"/>
    <x v="5"/>
    <x v="1"/>
    <x v="159"/>
    <x v="135"/>
    <x v="135"/>
    <s v="REVENUS"/>
    <x v="6"/>
    <s v="4221.003"/>
    <s v="Intérêts compensat. / acomptes en faveur du fisc"/>
    <n v="0"/>
    <n v="-437.05"/>
    <n v="4221"/>
  </r>
  <r>
    <x v="0"/>
    <x v="5"/>
    <x v="1"/>
    <x v="159"/>
    <x v="135"/>
    <x v="135"/>
    <s v="REVENUS"/>
    <x v="2"/>
    <s v="4001.001"/>
    <s v="Impôt revenu"/>
    <n v="0"/>
    <n v="61.55"/>
    <n v="4001"/>
  </r>
  <r>
    <x v="0"/>
    <x v="5"/>
    <x v="1"/>
    <x v="159"/>
    <x v="135"/>
    <x v="135"/>
    <s v="REVENUS"/>
    <x v="2"/>
    <s v="4001.007"/>
    <s v="Acompte impôt sur revenu"/>
    <n v="0"/>
    <n v="-52.45"/>
    <n v="4001"/>
  </r>
  <r>
    <x v="0"/>
    <x v="5"/>
    <x v="1"/>
    <x v="159"/>
    <x v="135"/>
    <x v="135"/>
    <s v="REVENUS"/>
    <x v="12"/>
    <s v="4004.000"/>
    <s v="Impôt spécial étrangers"/>
    <n v="0"/>
    <n v="114599.75"/>
    <n v="4004"/>
  </r>
  <r>
    <x v="0"/>
    <x v="5"/>
    <x v="1"/>
    <x v="159"/>
    <x v="135"/>
    <x v="135"/>
    <s v="REVENUS"/>
    <x v="6"/>
    <s v="4211.001"/>
    <s v="Intérêts de retard sur factures"/>
    <n v="0"/>
    <n v="-9.85"/>
    <n v="4211"/>
  </r>
  <r>
    <x v="0"/>
    <x v="5"/>
    <x v="1"/>
    <x v="159"/>
    <x v="135"/>
    <x v="135"/>
    <s v="REVENUS"/>
    <x v="6"/>
    <s v="4221.002"/>
    <s v="Intérêts compensat. sur impôts distincts"/>
    <n v="0"/>
    <n v="-25.61"/>
    <n v="4221"/>
  </r>
  <r>
    <x v="0"/>
    <x v="5"/>
    <x v="1"/>
    <x v="159"/>
    <x v="135"/>
    <x v="135"/>
    <s v="REVENUS"/>
    <x v="6"/>
    <s v="4211.001"/>
    <s v="Intérêts de retard sur factures"/>
    <n v="0"/>
    <n v="55.63"/>
    <n v="4211"/>
  </r>
  <r>
    <x v="0"/>
    <x v="5"/>
    <x v="1"/>
    <x v="159"/>
    <x v="135"/>
    <x v="135"/>
    <s v="REVENUS"/>
    <x v="7"/>
    <s v="4184.000"/>
    <s v="Frais de poursuite"/>
    <n v="0"/>
    <n v="3.78"/>
    <n v="4184"/>
  </r>
  <r>
    <x v="0"/>
    <x v="5"/>
    <x v="1"/>
    <x v="159"/>
    <x v="135"/>
    <x v="135"/>
    <s v="REVENUS"/>
    <x v="3"/>
    <s v="4002.002"/>
    <s v="Impôt complémentaire s/fortune PP"/>
    <n v="0"/>
    <n v="237.05"/>
    <n v="4002"/>
  </r>
  <r>
    <x v="0"/>
    <x v="5"/>
    <x v="1"/>
    <x v="159"/>
    <x v="135"/>
    <x v="135"/>
    <s v="REVENUS"/>
    <x v="4"/>
    <s v="4051.002"/>
    <s v="Impôt sur les donations"/>
    <n v="0"/>
    <n v="1198.8"/>
    <n v="4051"/>
  </r>
  <r>
    <x v="0"/>
    <x v="8"/>
    <x v="8"/>
    <x v="160"/>
    <x v="139"/>
    <x v="139"/>
    <s v="CHARGES"/>
    <x v="0"/>
    <s v="3212.002"/>
    <s v="Intérêts bonifiés/trop perçu acompte C/C"/>
    <n v="-26.05"/>
    <n v="0"/>
    <n v="3212"/>
  </r>
  <r>
    <x v="0"/>
    <x v="8"/>
    <x v="8"/>
    <x v="160"/>
    <x v="139"/>
    <x v="139"/>
    <s v="CHARGES"/>
    <x v="0"/>
    <s v="3212.004"/>
    <s v="Intérêts rémun./perçu trop tôt sur acomptes C/C"/>
    <n v="3925.19"/>
    <n v="0"/>
    <n v="3212"/>
  </r>
  <r>
    <x v="0"/>
    <x v="8"/>
    <x v="8"/>
    <x v="160"/>
    <x v="139"/>
    <x v="139"/>
    <s v="CHARGES"/>
    <x v="0"/>
    <s v="3221.002"/>
    <s v="Intérêts compensatoires / créances en faveur ctb."/>
    <n v="1405.07"/>
    <n v="0"/>
    <n v="3221"/>
  </r>
  <r>
    <x v="0"/>
    <x v="8"/>
    <x v="8"/>
    <x v="160"/>
    <x v="139"/>
    <x v="139"/>
    <s v="CHARGES"/>
    <x v="1"/>
    <s v="3301.001"/>
    <s v="Défalcations, abandons de solde PP et IS"/>
    <n v="365035.48"/>
    <n v="0"/>
    <n v="3301"/>
  </r>
  <r>
    <x v="0"/>
    <x v="8"/>
    <x v="8"/>
    <x v="160"/>
    <x v="139"/>
    <x v="139"/>
    <s v="CHARGES"/>
    <x v="0"/>
    <s v="3212.002"/>
    <s v="Intérêts bonifiés/trop perçu acompte C/C"/>
    <n v="-30.86"/>
    <n v="0"/>
    <n v="3212"/>
  </r>
  <r>
    <x v="0"/>
    <x v="8"/>
    <x v="8"/>
    <x v="160"/>
    <x v="139"/>
    <x v="139"/>
    <s v="CHARGES"/>
    <x v="0"/>
    <s v="3212.004"/>
    <s v="Intérêts rémun./perçu trop tôt sur acomptes C/C"/>
    <n v="70.97"/>
    <n v="0"/>
    <n v="3212"/>
  </r>
  <r>
    <x v="0"/>
    <x v="8"/>
    <x v="8"/>
    <x v="160"/>
    <x v="139"/>
    <x v="139"/>
    <s v="CHARGES"/>
    <x v="0"/>
    <s v="3221.002"/>
    <s v="Intérêts compensatoires / créances en faveur ctb."/>
    <n v="8.8000000000000007"/>
    <n v="0"/>
    <n v="3221"/>
  </r>
  <r>
    <x v="0"/>
    <x v="8"/>
    <x v="8"/>
    <x v="160"/>
    <x v="139"/>
    <x v="139"/>
    <s v="CHARGES"/>
    <x v="1"/>
    <s v="3301.001"/>
    <s v="Défalcations, abandons de solde PP et IS"/>
    <n v="-1410.91"/>
    <n v="0"/>
    <n v="3301"/>
  </r>
  <r>
    <x v="0"/>
    <x v="8"/>
    <x v="8"/>
    <x v="160"/>
    <x v="139"/>
    <x v="139"/>
    <s v="CHARGES"/>
    <x v="1"/>
    <s v="3301.001"/>
    <s v="Défalcations, abandons de solde PP et IS"/>
    <n v="-86.08"/>
    <n v="0"/>
    <n v="3301"/>
  </r>
  <r>
    <x v="0"/>
    <x v="8"/>
    <x v="8"/>
    <x v="160"/>
    <x v="139"/>
    <x v="139"/>
    <s v="CHARGES"/>
    <x v="1"/>
    <s v="3301.001"/>
    <s v="Défalcations, abandons de solde PP et IS"/>
    <n v="136490.71"/>
    <n v="0"/>
    <n v="3301"/>
  </r>
  <r>
    <x v="0"/>
    <x v="8"/>
    <x v="8"/>
    <x v="160"/>
    <x v="139"/>
    <x v="139"/>
    <s v="CHARGES"/>
    <x v="0"/>
    <s v="3212.004"/>
    <s v="Intérêts rémun./perçu trop tôt sur acomptes C/C"/>
    <n v="49.93"/>
    <n v="0"/>
    <n v="3212"/>
  </r>
  <r>
    <x v="0"/>
    <x v="8"/>
    <x v="8"/>
    <x v="160"/>
    <x v="139"/>
    <x v="139"/>
    <s v="CHARGES"/>
    <x v="0"/>
    <s v="3221.002"/>
    <s v="Intérêts compensatoires / créances en faveur ctb."/>
    <n v="7.42"/>
    <n v="0"/>
    <n v="3221"/>
  </r>
  <r>
    <x v="0"/>
    <x v="8"/>
    <x v="8"/>
    <x v="160"/>
    <x v="139"/>
    <x v="139"/>
    <s v="CHARGES"/>
    <x v="0"/>
    <s v="3212.004"/>
    <s v="Intérêts rémun./perçu trop tôt sur acomptes C/C"/>
    <n v="4.24"/>
    <n v="0"/>
    <n v="3212"/>
  </r>
  <r>
    <x v="0"/>
    <x v="8"/>
    <x v="8"/>
    <x v="160"/>
    <x v="139"/>
    <x v="139"/>
    <s v="CHARGES"/>
    <x v="0"/>
    <s v="3221.002"/>
    <s v="Intérêts compensatoires / créances en faveur ctb."/>
    <n v="1.91"/>
    <n v="0"/>
    <n v="3221"/>
  </r>
  <r>
    <x v="0"/>
    <x v="8"/>
    <x v="8"/>
    <x v="160"/>
    <x v="139"/>
    <x v="139"/>
    <s v="CHARGES"/>
    <x v="1"/>
    <s v="3301.001"/>
    <s v="Défalcations, abandons de solde PP et IS"/>
    <n v="0.09"/>
    <n v="0"/>
    <n v="3301"/>
  </r>
  <r>
    <x v="0"/>
    <x v="8"/>
    <x v="8"/>
    <x v="160"/>
    <x v="139"/>
    <x v="139"/>
    <s v="CHARGES"/>
    <x v="1"/>
    <s v="3301.003"/>
    <s v="Remises PP et IS"/>
    <n v="16308.54"/>
    <n v="0"/>
    <n v="3301"/>
  </r>
  <r>
    <x v="0"/>
    <x v="8"/>
    <x v="8"/>
    <x v="160"/>
    <x v="139"/>
    <x v="139"/>
    <s v="CHARGES"/>
    <x v="0"/>
    <s v="3221.002"/>
    <s v="Intérêts compensatoires / créances en faveur ctb."/>
    <n v="7.13"/>
    <n v="0"/>
    <n v="3221"/>
  </r>
  <r>
    <x v="0"/>
    <x v="8"/>
    <x v="8"/>
    <x v="160"/>
    <x v="139"/>
    <x v="139"/>
    <s v="CHARGES"/>
    <x v="0"/>
    <s v="3212.004"/>
    <s v="Intérêts rémun./perçu trop tôt sur acomptes C/C"/>
    <n v="16.03"/>
    <n v="0"/>
    <n v="3212"/>
  </r>
  <r>
    <x v="0"/>
    <x v="8"/>
    <x v="8"/>
    <x v="160"/>
    <x v="139"/>
    <x v="139"/>
    <s v="CHARGES"/>
    <x v="1"/>
    <s v="3301.001"/>
    <s v="Défalcations, abandons de solde PP et IS"/>
    <n v="6.86"/>
    <n v="0"/>
    <n v="3301"/>
  </r>
  <r>
    <x v="0"/>
    <x v="8"/>
    <x v="8"/>
    <x v="160"/>
    <x v="139"/>
    <x v="139"/>
    <s v="CHARGES"/>
    <x v="1"/>
    <s v="3301.001"/>
    <s v="Défalcations, abandons de solde PP et IS"/>
    <n v="3153.22"/>
    <n v="0"/>
    <n v="3301"/>
  </r>
  <r>
    <x v="0"/>
    <x v="8"/>
    <x v="8"/>
    <x v="160"/>
    <x v="139"/>
    <x v="139"/>
    <s v="CHARGES"/>
    <x v="0"/>
    <s v="3221.002"/>
    <s v="Intérêts compensatoires / créances en faveur ctb."/>
    <n v="0.08"/>
    <n v="0"/>
    <n v="3221"/>
  </r>
  <r>
    <x v="0"/>
    <x v="8"/>
    <x v="8"/>
    <x v="160"/>
    <x v="139"/>
    <x v="139"/>
    <s v="CHARGES"/>
    <x v="0"/>
    <s v="3212.002"/>
    <s v="Intérêts bonifiés/trop perçu acompte C/C"/>
    <n v="7.0000000000000007E-2"/>
    <n v="0"/>
    <n v="3212"/>
  </r>
  <r>
    <x v="0"/>
    <x v="8"/>
    <x v="8"/>
    <x v="160"/>
    <x v="139"/>
    <x v="139"/>
    <s v="CHARGES"/>
    <x v="0"/>
    <s v="3212.004"/>
    <s v="Intérêts rémun./perçu trop tôt sur acomptes C/C"/>
    <n v="-0.03"/>
    <n v="0"/>
    <n v="3212"/>
  </r>
  <r>
    <x v="0"/>
    <x v="8"/>
    <x v="8"/>
    <x v="160"/>
    <x v="139"/>
    <x v="139"/>
    <s v="CHARGES"/>
    <x v="1"/>
    <s v="3301.001"/>
    <s v="Défalcations, abandons de solde PP et IS"/>
    <n v="-0.25"/>
    <n v="0"/>
    <n v="3301"/>
  </r>
  <r>
    <x v="0"/>
    <x v="8"/>
    <x v="8"/>
    <x v="160"/>
    <x v="139"/>
    <x v="139"/>
    <s v="CHARGES"/>
    <x v="0"/>
    <s v="3212.004"/>
    <s v="Intérêts rémun./perçu trop tôt sur acomptes C/C"/>
    <n v="0.01"/>
    <n v="0"/>
    <n v="3212"/>
  </r>
  <r>
    <x v="0"/>
    <x v="8"/>
    <x v="8"/>
    <x v="160"/>
    <x v="139"/>
    <x v="139"/>
    <s v="REVENUS"/>
    <x v="2"/>
    <s v="4001.003"/>
    <s v="Impôt s/prest. cap. PP"/>
    <n v="0"/>
    <n v="383902.6"/>
    <n v="4001"/>
  </r>
  <r>
    <x v="0"/>
    <x v="8"/>
    <x v="8"/>
    <x v="160"/>
    <x v="139"/>
    <x v="139"/>
    <s v="REVENUS"/>
    <x v="2"/>
    <s v="4001.007"/>
    <s v="Acompte impôt sur revenu"/>
    <n v="0"/>
    <n v="-2247502.3199999998"/>
    <n v="4001"/>
  </r>
  <r>
    <x v="0"/>
    <x v="8"/>
    <x v="8"/>
    <x v="160"/>
    <x v="139"/>
    <x v="139"/>
    <s v="REVENUS"/>
    <x v="3"/>
    <s v="4002.007"/>
    <s v="Acompte impôt sur fortune"/>
    <n v="0"/>
    <n v="-306472.78000000003"/>
    <n v="4002"/>
  </r>
  <r>
    <x v="0"/>
    <x v="8"/>
    <x v="8"/>
    <x v="160"/>
    <x v="139"/>
    <x v="139"/>
    <s v="REVENUS"/>
    <x v="6"/>
    <s v="4211.001"/>
    <s v="Intérêts de retard sur factures"/>
    <n v="0"/>
    <n v="95052.07"/>
    <n v="4211"/>
  </r>
  <r>
    <x v="0"/>
    <x v="8"/>
    <x v="8"/>
    <x v="160"/>
    <x v="139"/>
    <x v="139"/>
    <s v="REVENUS"/>
    <x v="2"/>
    <s v="4001.001"/>
    <s v="Impôt revenu"/>
    <n v="0"/>
    <n v="17230721.399999999"/>
    <n v="4001"/>
  </r>
  <r>
    <x v="0"/>
    <x v="8"/>
    <x v="8"/>
    <x v="160"/>
    <x v="139"/>
    <x v="139"/>
    <s v="REVENUS"/>
    <x v="2"/>
    <s v="4001.002"/>
    <s v="Impôt complément s/revenu PP"/>
    <n v="0"/>
    <n v="2856037.85"/>
    <n v="4001"/>
  </r>
  <r>
    <x v="0"/>
    <x v="8"/>
    <x v="8"/>
    <x v="160"/>
    <x v="139"/>
    <x v="139"/>
    <s v="REVENUS"/>
    <x v="3"/>
    <s v="4002.001"/>
    <s v="Impôt ordinaire s/fortune PP"/>
    <n v="0"/>
    <n v="2157445.5"/>
    <n v="4002"/>
  </r>
  <r>
    <x v="0"/>
    <x v="8"/>
    <x v="8"/>
    <x v="160"/>
    <x v="139"/>
    <x v="139"/>
    <s v="REVENUS"/>
    <x v="6"/>
    <s v="4211.002"/>
    <s v="Intérêts de retard sur acomptes"/>
    <n v="0"/>
    <n v="114879.67"/>
    <n v="4211"/>
  </r>
  <r>
    <x v="0"/>
    <x v="8"/>
    <x v="8"/>
    <x v="160"/>
    <x v="139"/>
    <x v="139"/>
    <s v="REVENUS"/>
    <x v="6"/>
    <s v="4221.003"/>
    <s v="Intérêts compensat. / acomptes en faveur du fisc"/>
    <n v="0"/>
    <n v="3479.91"/>
    <n v="4221"/>
  </r>
  <r>
    <x v="0"/>
    <x v="8"/>
    <x v="8"/>
    <x v="160"/>
    <x v="139"/>
    <x v="139"/>
    <s v="REVENUS"/>
    <x v="2"/>
    <s v="4001.001"/>
    <s v="Impôt revenu"/>
    <n v="0"/>
    <n v="340363.75"/>
    <n v="4001"/>
  </r>
  <r>
    <x v="0"/>
    <x v="8"/>
    <x v="8"/>
    <x v="160"/>
    <x v="139"/>
    <x v="139"/>
    <s v="REVENUS"/>
    <x v="2"/>
    <s v="4001.002"/>
    <s v="Impôt complément s/revenu PP"/>
    <n v="0"/>
    <n v="68344.850000000006"/>
    <n v="4001"/>
  </r>
  <r>
    <x v="0"/>
    <x v="8"/>
    <x v="8"/>
    <x v="160"/>
    <x v="139"/>
    <x v="139"/>
    <s v="REVENUS"/>
    <x v="2"/>
    <s v="4001.007"/>
    <s v="Acompte impôt sur revenu"/>
    <n v="0"/>
    <n v="109057.32"/>
    <n v="4001"/>
  </r>
  <r>
    <x v="0"/>
    <x v="8"/>
    <x v="8"/>
    <x v="160"/>
    <x v="139"/>
    <x v="139"/>
    <s v="REVENUS"/>
    <x v="3"/>
    <s v="4002.001"/>
    <s v="Impôt ordinaire s/fortune PP"/>
    <n v="0"/>
    <n v="104370.35"/>
    <n v="4002"/>
  </r>
  <r>
    <x v="0"/>
    <x v="8"/>
    <x v="8"/>
    <x v="160"/>
    <x v="139"/>
    <x v="139"/>
    <s v="REVENUS"/>
    <x v="3"/>
    <s v="4002.002"/>
    <s v="Impôt complémentaire s/fortune PP"/>
    <n v="0"/>
    <n v="12911.55"/>
    <n v="4002"/>
  </r>
  <r>
    <x v="0"/>
    <x v="8"/>
    <x v="8"/>
    <x v="160"/>
    <x v="139"/>
    <x v="139"/>
    <s v="REVENUS"/>
    <x v="3"/>
    <s v="4002.007"/>
    <s v="Acompte impôt sur fortune"/>
    <n v="0"/>
    <n v="9106.9699999999993"/>
    <n v="4002"/>
  </r>
  <r>
    <x v="0"/>
    <x v="8"/>
    <x v="8"/>
    <x v="160"/>
    <x v="139"/>
    <x v="139"/>
    <s v="REVENUS"/>
    <x v="6"/>
    <s v="4211.001"/>
    <s v="Intérêts de retard sur factures"/>
    <n v="0"/>
    <n v="805.71"/>
    <n v="4211"/>
  </r>
  <r>
    <x v="0"/>
    <x v="8"/>
    <x v="8"/>
    <x v="160"/>
    <x v="139"/>
    <x v="139"/>
    <s v="REVENUS"/>
    <x v="6"/>
    <s v="4211.002"/>
    <s v="Intérêts de retard sur acomptes"/>
    <n v="0"/>
    <n v="4159.07"/>
    <n v="4211"/>
  </r>
  <r>
    <x v="0"/>
    <x v="8"/>
    <x v="8"/>
    <x v="160"/>
    <x v="139"/>
    <x v="139"/>
    <s v="REVENUS"/>
    <x v="6"/>
    <s v="4221.003"/>
    <s v="Intérêts compensat. / acomptes en faveur du fisc"/>
    <n v="0"/>
    <n v="50.23"/>
    <n v="4221"/>
  </r>
  <r>
    <x v="0"/>
    <x v="8"/>
    <x v="8"/>
    <x v="160"/>
    <x v="139"/>
    <x v="139"/>
    <s v="REVENUS"/>
    <x v="6"/>
    <s v="4211.001"/>
    <s v="Intérêts de retard sur factures"/>
    <n v="0"/>
    <n v="338.27"/>
    <n v="4211"/>
  </r>
  <r>
    <x v="0"/>
    <x v="8"/>
    <x v="8"/>
    <x v="160"/>
    <x v="139"/>
    <x v="139"/>
    <s v="REVENUS"/>
    <x v="3"/>
    <s v="4002.002"/>
    <s v="Impôt complémentaire s/fortune PP"/>
    <n v="0"/>
    <n v="360275.7"/>
    <n v="4002"/>
  </r>
  <r>
    <x v="0"/>
    <x v="8"/>
    <x v="8"/>
    <x v="160"/>
    <x v="139"/>
    <x v="139"/>
    <s v="REVENUS"/>
    <x v="9"/>
    <s v="4031.001"/>
    <s v="Impôt sur les gains immobiliers"/>
    <n v="0"/>
    <n v="670037.30000000005"/>
    <n v="4031"/>
  </r>
  <r>
    <x v="0"/>
    <x v="8"/>
    <x v="8"/>
    <x v="160"/>
    <x v="139"/>
    <x v="139"/>
    <s v="REVENUS"/>
    <x v="8"/>
    <s v="4091.001"/>
    <s v="Impôt récupéré après défalcations"/>
    <n v="0"/>
    <n v="22359.87"/>
    <n v="4091"/>
  </r>
  <r>
    <x v="0"/>
    <x v="8"/>
    <x v="8"/>
    <x v="160"/>
    <x v="139"/>
    <x v="139"/>
    <s v="REVENUS"/>
    <x v="7"/>
    <s v="4184.000"/>
    <s v="Frais de poursuite"/>
    <n v="0"/>
    <n v="25706.33"/>
    <n v="4184"/>
  </r>
  <r>
    <x v="0"/>
    <x v="8"/>
    <x v="8"/>
    <x v="160"/>
    <x v="139"/>
    <x v="139"/>
    <s v="REVENUS"/>
    <x v="9"/>
    <s v="4031.002"/>
    <s v="Complément impôt sur les gains immobiliers"/>
    <n v="0"/>
    <n v="6206.8"/>
    <n v="4031"/>
  </r>
  <r>
    <x v="0"/>
    <x v="8"/>
    <x v="8"/>
    <x v="160"/>
    <x v="139"/>
    <x v="139"/>
    <s v="REVENUS"/>
    <x v="6"/>
    <s v="4221.002"/>
    <s v="Intérêts compensat. sur impôts distincts"/>
    <n v="0"/>
    <n v="272.56"/>
    <n v="4221"/>
  </r>
  <r>
    <x v="0"/>
    <x v="8"/>
    <x v="8"/>
    <x v="160"/>
    <x v="139"/>
    <x v="139"/>
    <s v="REVENUS"/>
    <x v="2"/>
    <s v="4001.007"/>
    <s v="Acompte impôt sur revenu"/>
    <n v="0"/>
    <n v="-45363.02"/>
    <n v="4001"/>
  </r>
  <r>
    <x v="0"/>
    <x v="8"/>
    <x v="8"/>
    <x v="160"/>
    <x v="139"/>
    <x v="139"/>
    <s v="REVENUS"/>
    <x v="3"/>
    <s v="4002.007"/>
    <s v="Acompte impôt sur fortune"/>
    <n v="0"/>
    <n v="-8408.76"/>
    <n v="4002"/>
  </r>
  <r>
    <x v="0"/>
    <x v="8"/>
    <x v="8"/>
    <x v="160"/>
    <x v="139"/>
    <x v="139"/>
    <s v="REVENUS"/>
    <x v="2"/>
    <s v="4001.007"/>
    <s v="Acompte impôt sur revenu"/>
    <n v="0"/>
    <n v="27133.26"/>
    <n v="4001"/>
  </r>
  <r>
    <x v="0"/>
    <x v="8"/>
    <x v="8"/>
    <x v="160"/>
    <x v="139"/>
    <x v="139"/>
    <s v="REVENUS"/>
    <x v="3"/>
    <s v="4002.007"/>
    <s v="Acompte impôt sur fortune"/>
    <n v="0"/>
    <n v="5705.32"/>
    <n v="4002"/>
  </r>
  <r>
    <x v="0"/>
    <x v="8"/>
    <x v="8"/>
    <x v="160"/>
    <x v="139"/>
    <x v="139"/>
    <s v="REVENUS"/>
    <x v="2"/>
    <s v="4001.007"/>
    <s v="Acompte impôt sur revenu"/>
    <n v="0"/>
    <n v="-7027.89"/>
    <n v="4001"/>
  </r>
  <r>
    <x v="0"/>
    <x v="8"/>
    <x v="8"/>
    <x v="160"/>
    <x v="139"/>
    <x v="139"/>
    <s v="REVENUS"/>
    <x v="3"/>
    <s v="4002.007"/>
    <s v="Acompte impôt sur fortune"/>
    <n v="0"/>
    <n v="-2472.6"/>
    <n v="4002"/>
  </r>
  <r>
    <x v="0"/>
    <x v="8"/>
    <x v="8"/>
    <x v="160"/>
    <x v="139"/>
    <x v="139"/>
    <s v="REVENUS"/>
    <x v="2"/>
    <s v="4001.001"/>
    <s v="Impôt revenu"/>
    <n v="0"/>
    <n v="163201.54999999999"/>
    <n v="4001"/>
  </r>
  <r>
    <x v="0"/>
    <x v="8"/>
    <x v="8"/>
    <x v="160"/>
    <x v="139"/>
    <x v="139"/>
    <s v="REVENUS"/>
    <x v="3"/>
    <s v="4002.001"/>
    <s v="Impôt ordinaire s/fortune PP"/>
    <n v="0"/>
    <n v="40817.550000000003"/>
    <n v="4002"/>
  </r>
  <r>
    <x v="0"/>
    <x v="8"/>
    <x v="8"/>
    <x v="160"/>
    <x v="139"/>
    <x v="139"/>
    <s v="REVENUS"/>
    <x v="6"/>
    <s v="4211.002"/>
    <s v="Intérêts de retard sur acomptes"/>
    <n v="0"/>
    <n v="960.91"/>
    <n v="4211"/>
  </r>
  <r>
    <x v="0"/>
    <x v="8"/>
    <x v="8"/>
    <x v="160"/>
    <x v="139"/>
    <x v="139"/>
    <s v="REVENUS"/>
    <x v="6"/>
    <s v="4221.003"/>
    <s v="Intérêts compensat. / acomptes en faveur du fisc"/>
    <n v="0"/>
    <n v="30.19"/>
    <n v="4221"/>
  </r>
  <r>
    <x v="0"/>
    <x v="8"/>
    <x v="8"/>
    <x v="160"/>
    <x v="139"/>
    <x v="139"/>
    <s v="REVENUS"/>
    <x v="8"/>
    <s v="4091.001"/>
    <s v="Impôt récupéré après défalcations"/>
    <n v="0"/>
    <n v="44792.46"/>
    <n v="4091"/>
  </r>
  <r>
    <x v="0"/>
    <x v="8"/>
    <x v="8"/>
    <x v="160"/>
    <x v="139"/>
    <x v="139"/>
    <s v="REVENUS"/>
    <x v="2"/>
    <s v="4001.007"/>
    <s v="Acompte impôt sur revenu"/>
    <n v="0"/>
    <n v="23528.97"/>
    <n v="4001"/>
  </r>
  <r>
    <x v="0"/>
    <x v="8"/>
    <x v="8"/>
    <x v="160"/>
    <x v="139"/>
    <x v="139"/>
    <s v="REVENUS"/>
    <x v="3"/>
    <s v="4002.007"/>
    <s v="Acompte impôt sur fortune"/>
    <n v="0"/>
    <n v="178.14"/>
    <n v="4002"/>
  </r>
  <r>
    <x v="0"/>
    <x v="8"/>
    <x v="8"/>
    <x v="160"/>
    <x v="139"/>
    <x v="139"/>
    <s v="REVENUS"/>
    <x v="7"/>
    <s v="4184.000"/>
    <s v="Frais de poursuite"/>
    <n v="0"/>
    <n v="1148.4000000000001"/>
    <n v="4184"/>
  </r>
  <r>
    <x v="0"/>
    <x v="8"/>
    <x v="8"/>
    <x v="160"/>
    <x v="139"/>
    <x v="139"/>
    <s v="REVENUS"/>
    <x v="10"/>
    <s v="4041.001"/>
    <s v="Droits de mutation"/>
    <n v="0"/>
    <n v="209203.5"/>
    <n v="4041"/>
  </r>
  <r>
    <x v="0"/>
    <x v="8"/>
    <x v="8"/>
    <x v="160"/>
    <x v="139"/>
    <x v="139"/>
    <s v="REVENUS"/>
    <x v="4"/>
    <s v="4051.001"/>
    <s v="Impôt sur les successions"/>
    <n v="0"/>
    <n v="354975.5"/>
    <n v="4051"/>
  </r>
  <r>
    <x v="0"/>
    <x v="8"/>
    <x v="8"/>
    <x v="160"/>
    <x v="139"/>
    <x v="139"/>
    <s v="REVENUS"/>
    <x v="3"/>
    <s v="4002.001"/>
    <s v="Impôt ordinaire s/fortune PP"/>
    <n v="0"/>
    <n v="5654.75"/>
    <n v="4002"/>
  </r>
  <r>
    <x v="0"/>
    <x v="8"/>
    <x v="8"/>
    <x v="160"/>
    <x v="139"/>
    <x v="139"/>
    <s v="REVENUS"/>
    <x v="5"/>
    <s v="4061.000"/>
    <s v="Impôt sur les chiens"/>
    <n v="0"/>
    <n v="46000"/>
    <n v="4061"/>
  </r>
  <r>
    <x v="0"/>
    <x v="8"/>
    <x v="8"/>
    <x v="160"/>
    <x v="139"/>
    <x v="139"/>
    <s v="REVENUS"/>
    <x v="4"/>
    <s v="4051.002"/>
    <s v="Impôt sur les donations"/>
    <n v="0"/>
    <n v="-26075.599999999999"/>
    <n v="4051"/>
  </r>
  <r>
    <x v="0"/>
    <x v="8"/>
    <x v="8"/>
    <x v="160"/>
    <x v="139"/>
    <x v="139"/>
    <s v="REVENUS"/>
    <x v="2"/>
    <s v="4001.007"/>
    <s v="Acompte impôt sur revenu"/>
    <n v="0"/>
    <n v="4453.4799999999996"/>
    <n v="4001"/>
  </r>
  <r>
    <x v="0"/>
    <x v="8"/>
    <x v="8"/>
    <x v="160"/>
    <x v="139"/>
    <x v="139"/>
    <s v="REVENUS"/>
    <x v="3"/>
    <s v="4002.007"/>
    <s v="Acompte impôt sur fortune"/>
    <n v="0"/>
    <n v="1314.37"/>
    <n v="4002"/>
  </r>
  <r>
    <x v="0"/>
    <x v="8"/>
    <x v="8"/>
    <x v="160"/>
    <x v="139"/>
    <x v="139"/>
    <s v="REVENUS"/>
    <x v="2"/>
    <s v="4001.001"/>
    <s v="Impôt revenu"/>
    <n v="0"/>
    <n v="6155.25"/>
    <n v="4001"/>
  </r>
  <r>
    <x v="0"/>
    <x v="8"/>
    <x v="8"/>
    <x v="160"/>
    <x v="139"/>
    <x v="139"/>
    <s v="REVENUS"/>
    <x v="6"/>
    <s v="4211.002"/>
    <s v="Intérêts de retard sur acomptes"/>
    <n v="0"/>
    <n v="341.91"/>
    <n v="4211"/>
  </r>
  <r>
    <x v="0"/>
    <x v="8"/>
    <x v="8"/>
    <x v="160"/>
    <x v="139"/>
    <x v="139"/>
    <s v="REVENUS"/>
    <x v="6"/>
    <s v="4221.003"/>
    <s v="Intérêts compensat. / acomptes en faveur du fisc"/>
    <n v="0"/>
    <n v="0.15"/>
    <n v="4221"/>
  </r>
  <r>
    <x v="0"/>
    <x v="8"/>
    <x v="8"/>
    <x v="160"/>
    <x v="139"/>
    <x v="139"/>
    <s v="REVENUS"/>
    <x v="2"/>
    <s v="4001.001"/>
    <s v="Impôt revenu"/>
    <n v="0"/>
    <n v="40123.15"/>
    <n v="4001"/>
  </r>
  <r>
    <x v="0"/>
    <x v="8"/>
    <x v="8"/>
    <x v="160"/>
    <x v="139"/>
    <x v="139"/>
    <s v="REVENUS"/>
    <x v="3"/>
    <s v="4002.001"/>
    <s v="Impôt ordinaire s/fortune PP"/>
    <n v="0"/>
    <n v="8985.4500000000007"/>
    <n v="4002"/>
  </r>
  <r>
    <x v="0"/>
    <x v="8"/>
    <x v="8"/>
    <x v="160"/>
    <x v="139"/>
    <x v="139"/>
    <s v="REVENUS"/>
    <x v="6"/>
    <s v="4211.002"/>
    <s v="Intérêts de retard sur acomptes"/>
    <n v="0"/>
    <n v="-33.15"/>
    <n v="4211"/>
  </r>
  <r>
    <x v="0"/>
    <x v="8"/>
    <x v="8"/>
    <x v="160"/>
    <x v="139"/>
    <x v="139"/>
    <s v="REVENUS"/>
    <x v="3"/>
    <s v="4002.001"/>
    <s v="Impôt ordinaire s/fortune PP"/>
    <n v="0"/>
    <n v="1481.75"/>
    <n v="4002"/>
  </r>
  <r>
    <x v="0"/>
    <x v="8"/>
    <x v="8"/>
    <x v="160"/>
    <x v="139"/>
    <x v="139"/>
    <s v="REVENUS"/>
    <x v="2"/>
    <s v="4001.001"/>
    <s v="Impôt revenu"/>
    <n v="0"/>
    <n v="61323.3"/>
    <n v="4001"/>
  </r>
  <r>
    <x v="0"/>
    <x v="8"/>
    <x v="8"/>
    <x v="160"/>
    <x v="139"/>
    <x v="139"/>
    <s v="REVENUS"/>
    <x v="6"/>
    <s v="4221.003"/>
    <s v="Intérêts compensat. / acomptes en faveur du fisc"/>
    <n v="0"/>
    <n v="9.0299999999999994"/>
    <n v="4221"/>
  </r>
  <r>
    <x v="0"/>
    <x v="8"/>
    <x v="8"/>
    <x v="160"/>
    <x v="139"/>
    <x v="139"/>
    <s v="REVENUS"/>
    <x v="2"/>
    <s v="4001.002"/>
    <s v="Impôt complément s/revenu PP"/>
    <n v="0"/>
    <n v="58224.4"/>
    <n v="4001"/>
  </r>
  <r>
    <x v="0"/>
    <x v="8"/>
    <x v="8"/>
    <x v="160"/>
    <x v="139"/>
    <x v="139"/>
    <s v="REVENUS"/>
    <x v="3"/>
    <s v="4002.002"/>
    <s v="Impôt complémentaire s/fortune PP"/>
    <n v="0"/>
    <n v="13349.9"/>
    <n v="4002"/>
  </r>
  <r>
    <x v="0"/>
    <x v="8"/>
    <x v="8"/>
    <x v="160"/>
    <x v="139"/>
    <x v="139"/>
    <s v="REVENUS"/>
    <x v="6"/>
    <s v="4221.003"/>
    <s v="Intérêts compensat. / acomptes en faveur du fisc"/>
    <n v="0"/>
    <n v="2.79"/>
    <n v="4221"/>
  </r>
  <r>
    <x v="0"/>
    <x v="8"/>
    <x v="8"/>
    <x v="160"/>
    <x v="139"/>
    <x v="139"/>
    <s v="REVENUS"/>
    <x v="8"/>
    <s v="4091.001"/>
    <s v="Impôt récupéré après défalcations"/>
    <n v="0"/>
    <n v="-803.96"/>
    <n v="4091"/>
  </r>
  <r>
    <x v="0"/>
    <x v="8"/>
    <x v="8"/>
    <x v="160"/>
    <x v="139"/>
    <x v="139"/>
    <s v="REVENUS"/>
    <x v="14"/>
    <s v="4003.010"/>
    <s v="IS - Employés et sourciers étrangers"/>
    <n v="0"/>
    <n v="8.9"/>
    <n v="4003"/>
  </r>
  <r>
    <x v="0"/>
    <x v="8"/>
    <x v="8"/>
    <x v="160"/>
    <x v="139"/>
    <x v="139"/>
    <s v="REVENUS"/>
    <x v="7"/>
    <s v="4184.000"/>
    <s v="Frais de poursuite"/>
    <n v="0"/>
    <n v="59.93"/>
    <n v="4184"/>
  </r>
  <r>
    <x v="0"/>
    <x v="8"/>
    <x v="8"/>
    <x v="160"/>
    <x v="139"/>
    <x v="139"/>
    <s v="REVENUS"/>
    <x v="2"/>
    <s v="4001.007"/>
    <s v="Acompte impôt sur revenu"/>
    <n v="0"/>
    <n v="-1691.8"/>
    <n v="4001"/>
  </r>
  <r>
    <x v="0"/>
    <x v="8"/>
    <x v="8"/>
    <x v="160"/>
    <x v="139"/>
    <x v="139"/>
    <s v="REVENUS"/>
    <x v="3"/>
    <s v="4002.007"/>
    <s v="Acompte impôt sur fortune"/>
    <n v="0"/>
    <n v="-276.35000000000002"/>
    <n v="4002"/>
  </r>
  <r>
    <x v="0"/>
    <x v="8"/>
    <x v="8"/>
    <x v="160"/>
    <x v="139"/>
    <x v="139"/>
    <s v="REVENUS"/>
    <x v="6"/>
    <s v="4211.002"/>
    <s v="Intérêts de retard sur acomptes"/>
    <n v="0"/>
    <n v="354.32"/>
    <n v="4211"/>
  </r>
  <r>
    <x v="0"/>
    <x v="8"/>
    <x v="8"/>
    <x v="160"/>
    <x v="139"/>
    <x v="139"/>
    <s v="REVENUS"/>
    <x v="7"/>
    <s v="4184.000"/>
    <s v="Frais de poursuite"/>
    <n v="0"/>
    <n v="89.38"/>
    <n v="4184"/>
  </r>
  <r>
    <x v="0"/>
    <x v="8"/>
    <x v="8"/>
    <x v="160"/>
    <x v="139"/>
    <x v="139"/>
    <s v="REVENUS"/>
    <x v="3"/>
    <s v="4002.001"/>
    <s v="Impôt ordinaire s/fortune PP"/>
    <n v="0"/>
    <n v="-2539.5"/>
    <n v="4002"/>
  </r>
  <r>
    <x v="0"/>
    <x v="8"/>
    <x v="8"/>
    <x v="160"/>
    <x v="139"/>
    <x v="139"/>
    <s v="REVENUS"/>
    <x v="3"/>
    <s v="4002.002"/>
    <s v="Impôt complémentaire s/fortune PP"/>
    <n v="0"/>
    <n v="-331"/>
    <n v="4002"/>
  </r>
  <r>
    <x v="0"/>
    <x v="8"/>
    <x v="8"/>
    <x v="160"/>
    <x v="139"/>
    <x v="139"/>
    <s v="REVENUS"/>
    <x v="6"/>
    <s v="4211.001"/>
    <s v="Intérêts de retard sur factures"/>
    <n v="0"/>
    <n v="904.28"/>
    <n v="4211"/>
  </r>
  <r>
    <x v="0"/>
    <x v="8"/>
    <x v="8"/>
    <x v="160"/>
    <x v="139"/>
    <x v="139"/>
    <s v="REVENUS"/>
    <x v="6"/>
    <s v="4211.001"/>
    <s v="Intérêts de retard sur factures"/>
    <n v="0"/>
    <n v="100.7"/>
    <n v="4211"/>
  </r>
  <r>
    <x v="0"/>
    <x v="8"/>
    <x v="8"/>
    <x v="160"/>
    <x v="139"/>
    <x v="139"/>
    <s v="REVENUS"/>
    <x v="7"/>
    <s v="4184.000"/>
    <s v="Frais de poursuite"/>
    <n v="0"/>
    <n v="9.7200000000000006"/>
    <n v="4184"/>
  </r>
  <r>
    <x v="0"/>
    <x v="8"/>
    <x v="8"/>
    <x v="160"/>
    <x v="139"/>
    <x v="139"/>
    <s v="REVENUS"/>
    <x v="2"/>
    <s v="4001.002"/>
    <s v="Impôt complément s/revenu PP"/>
    <n v="0"/>
    <n v="13.05"/>
    <n v="4001"/>
  </r>
  <r>
    <x v="0"/>
    <x v="8"/>
    <x v="8"/>
    <x v="160"/>
    <x v="139"/>
    <x v="139"/>
    <s v="REVENUS"/>
    <x v="3"/>
    <s v="4002.002"/>
    <s v="Impôt complémentaire s/fortune PP"/>
    <n v="0"/>
    <n v="520.35"/>
    <n v="4002"/>
  </r>
  <r>
    <x v="0"/>
    <x v="8"/>
    <x v="8"/>
    <x v="160"/>
    <x v="139"/>
    <x v="139"/>
    <s v="REVENUS"/>
    <x v="2"/>
    <s v="4001.005"/>
    <s v="Amende de soustract. Impôt"/>
    <n v="0"/>
    <n v="42650"/>
    <n v="4001"/>
  </r>
  <r>
    <x v="0"/>
    <x v="8"/>
    <x v="8"/>
    <x v="160"/>
    <x v="139"/>
    <x v="139"/>
    <s v="REVENUS"/>
    <x v="2"/>
    <s v="4001.001"/>
    <s v="Impôt revenu"/>
    <n v="0"/>
    <n v="-25442.2"/>
    <n v="4001"/>
  </r>
  <r>
    <x v="0"/>
    <x v="8"/>
    <x v="8"/>
    <x v="160"/>
    <x v="139"/>
    <x v="139"/>
    <s v="REVENUS"/>
    <x v="6"/>
    <s v="4221.003"/>
    <s v="Intérêts compensat. / acomptes en faveur du fisc"/>
    <n v="0"/>
    <n v="-0.01"/>
    <n v="4221"/>
  </r>
  <r>
    <x v="0"/>
    <x v="8"/>
    <x v="8"/>
    <x v="160"/>
    <x v="139"/>
    <x v="139"/>
    <s v="REVENUS"/>
    <x v="3"/>
    <s v="4002.002"/>
    <s v="Impôt complémentaire s/fortune PP"/>
    <n v="0"/>
    <n v="1215.25"/>
    <n v="4002"/>
  </r>
  <r>
    <x v="0"/>
    <x v="8"/>
    <x v="8"/>
    <x v="160"/>
    <x v="139"/>
    <x v="139"/>
    <s v="REVENUS"/>
    <x v="2"/>
    <s v="4001.002"/>
    <s v="Impôt complément s/revenu PP"/>
    <n v="0"/>
    <n v="-2406.65"/>
    <n v="4001"/>
  </r>
  <r>
    <x v="0"/>
    <x v="8"/>
    <x v="8"/>
    <x v="160"/>
    <x v="139"/>
    <x v="139"/>
    <s v="REVENUS"/>
    <x v="6"/>
    <s v="4211.001"/>
    <s v="Intérêts de retard sur factures"/>
    <n v="0"/>
    <n v="-0.06"/>
    <n v="4211"/>
  </r>
  <r>
    <x v="0"/>
    <x v="8"/>
    <x v="8"/>
    <x v="160"/>
    <x v="139"/>
    <x v="139"/>
    <s v="REVENUS"/>
    <x v="6"/>
    <s v="4211.002"/>
    <s v="Intérêts de retard sur acomptes"/>
    <n v="0"/>
    <n v="-0.01"/>
    <n v="4211"/>
  </r>
  <r>
    <x v="0"/>
    <x v="8"/>
    <x v="8"/>
    <x v="160"/>
    <x v="139"/>
    <x v="139"/>
    <s v="REVENUS"/>
    <x v="6"/>
    <s v="4221.003"/>
    <s v="Intérêts compensat. / acomptes en faveur du fisc"/>
    <n v="0"/>
    <n v="-0.03"/>
    <n v="4221"/>
  </r>
  <r>
    <x v="0"/>
    <x v="8"/>
    <x v="8"/>
    <x v="160"/>
    <x v="139"/>
    <x v="139"/>
    <s v="REVENUS"/>
    <x v="2"/>
    <s v="4001.001"/>
    <s v="Impôt revenu"/>
    <n v="0"/>
    <n v="-1979.85"/>
    <n v="4001"/>
  </r>
  <r>
    <x v="0"/>
    <x v="8"/>
    <x v="8"/>
    <x v="160"/>
    <x v="139"/>
    <x v="139"/>
    <s v="REVENUS"/>
    <x v="3"/>
    <s v="4002.001"/>
    <s v="Impôt ordinaire s/fortune PP"/>
    <n v="0"/>
    <n v="-1555.2"/>
    <n v="4002"/>
  </r>
  <r>
    <x v="0"/>
    <x v="8"/>
    <x v="8"/>
    <x v="160"/>
    <x v="139"/>
    <x v="139"/>
    <s v="REVENUS"/>
    <x v="6"/>
    <s v="4211.002"/>
    <s v="Intérêts de retard sur acomptes"/>
    <n v="0"/>
    <n v="-8.76"/>
    <n v="4211"/>
  </r>
  <r>
    <x v="0"/>
    <x v="8"/>
    <x v="8"/>
    <x v="160"/>
    <x v="139"/>
    <x v="139"/>
    <s v="REVENUS"/>
    <x v="6"/>
    <s v="4221.003"/>
    <s v="Intérêts compensat. / acomptes en faveur du fisc"/>
    <n v="0"/>
    <n v="-0.25"/>
    <n v="4221"/>
  </r>
  <r>
    <x v="0"/>
    <x v="8"/>
    <x v="8"/>
    <x v="160"/>
    <x v="139"/>
    <x v="139"/>
    <s v="REVENUS"/>
    <x v="2"/>
    <s v="4001.001"/>
    <s v="Impôt revenu"/>
    <n v="0"/>
    <n v="-1754.3"/>
    <n v="4001"/>
  </r>
  <r>
    <x v="0"/>
    <x v="8"/>
    <x v="8"/>
    <x v="160"/>
    <x v="139"/>
    <x v="139"/>
    <s v="REVENUS"/>
    <x v="2"/>
    <s v="4001.002"/>
    <s v="Impôt complément s/revenu PP"/>
    <n v="0"/>
    <n v="415.05"/>
    <n v="4001"/>
  </r>
  <r>
    <x v="0"/>
    <x v="8"/>
    <x v="8"/>
    <x v="160"/>
    <x v="139"/>
    <x v="139"/>
    <s v="REVENUS"/>
    <x v="6"/>
    <s v="4211.001"/>
    <s v="Intérêts de retard sur factures"/>
    <n v="0"/>
    <n v="4.68"/>
    <n v="4211"/>
  </r>
  <r>
    <x v="0"/>
    <x v="8"/>
    <x v="8"/>
    <x v="160"/>
    <x v="139"/>
    <x v="139"/>
    <s v="REVENUS"/>
    <x v="6"/>
    <s v="4211.002"/>
    <s v="Intérêts de retard sur acomptes"/>
    <n v="0"/>
    <n v="0.04"/>
    <n v="4211"/>
  </r>
  <r>
    <x v="0"/>
    <x v="5"/>
    <x v="1"/>
    <x v="161"/>
    <x v="140"/>
    <x v="140"/>
    <s v="CHARGES"/>
    <x v="0"/>
    <s v="3212.004"/>
    <s v="Intérêts rémun./perçu trop tôt sur acomptes C/C"/>
    <n v="976.96"/>
    <n v="0"/>
    <n v="3212"/>
  </r>
  <r>
    <x v="0"/>
    <x v="5"/>
    <x v="1"/>
    <x v="161"/>
    <x v="140"/>
    <x v="140"/>
    <s v="CHARGES"/>
    <x v="0"/>
    <s v="3221.002"/>
    <s v="Intérêts compensatoires / créances en faveur ctb."/>
    <n v="330.07"/>
    <n v="0"/>
    <n v="3221"/>
  </r>
  <r>
    <x v="0"/>
    <x v="5"/>
    <x v="1"/>
    <x v="161"/>
    <x v="140"/>
    <x v="140"/>
    <s v="CHARGES"/>
    <x v="1"/>
    <s v="3301.001"/>
    <s v="Défalcations, abandons de solde PP et IS"/>
    <n v="74279.94"/>
    <n v="0"/>
    <n v="3301"/>
  </r>
  <r>
    <x v="0"/>
    <x v="5"/>
    <x v="1"/>
    <x v="161"/>
    <x v="140"/>
    <x v="140"/>
    <s v="CHARGES"/>
    <x v="1"/>
    <s v="3301.001"/>
    <s v="Défalcations, abandons de solde PP et IS"/>
    <n v="2.06"/>
    <n v="0"/>
    <n v="3301"/>
  </r>
  <r>
    <x v="0"/>
    <x v="5"/>
    <x v="1"/>
    <x v="161"/>
    <x v="140"/>
    <x v="140"/>
    <s v="CHARGES"/>
    <x v="1"/>
    <s v="3301.001"/>
    <s v="Défalcations, abandons de solde PP et IS"/>
    <n v="1.39"/>
    <n v="0"/>
    <n v="3301"/>
  </r>
  <r>
    <x v="0"/>
    <x v="5"/>
    <x v="1"/>
    <x v="161"/>
    <x v="140"/>
    <x v="140"/>
    <s v="CHARGES"/>
    <x v="0"/>
    <s v="3212.002"/>
    <s v="Intérêts bonifiés/trop perçu acompte C/C"/>
    <n v="86.74"/>
    <n v="0"/>
    <n v="3212"/>
  </r>
  <r>
    <x v="0"/>
    <x v="5"/>
    <x v="1"/>
    <x v="161"/>
    <x v="140"/>
    <x v="140"/>
    <s v="CHARGES"/>
    <x v="1"/>
    <s v="3301.001"/>
    <s v="Défalcations, abandons de solde PP et IS"/>
    <n v="2.96"/>
    <n v="0"/>
    <n v="3301"/>
  </r>
  <r>
    <x v="0"/>
    <x v="5"/>
    <x v="1"/>
    <x v="161"/>
    <x v="140"/>
    <x v="140"/>
    <s v="CHARGES"/>
    <x v="0"/>
    <s v="3212.004"/>
    <s v="Intérêts rémun./perçu trop tôt sur acomptes C/C"/>
    <n v="89.71"/>
    <n v="0"/>
    <n v="3212"/>
  </r>
  <r>
    <x v="0"/>
    <x v="5"/>
    <x v="1"/>
    <x v="161"/>
    <x v="140"/>
    <x v="140"/>
    <s v="CHARGES"/>
    <x v="0"/>
    <s v="3221.002"/>
    <s v="Intérêts compensatoires / créances en faveur ctb."/>
    <n v="4.5"/>
    <n v="0"/>
    <n v="3221"/>
  </r>
  <r>
    <x v="0"/>
    <x v="5"/>
    <x v="1"/>
    <x v="161"/>
    <x v="140"/>
    <x v="140"/>
    <s v="CHARGES"/>
    <x v="0"/>
    <s v="3212.004"/>
    <s v="Intérêts rémun./perçu trop tôt sur acomptes C/C"/>
    <n v="3.56"/>
    <n v="0"/>
    <n v="3212"/>
  </r>
  <r>
    <x v="0"/>
    <x v="5"/>
    <x v="1"/>
    <x v="161"/>
    <x v="140"/>
    <x v="140"/>
    <s v="CHARGES"/>
    <x v="1"/>
    <s v="3301.001"/>
    <s v="Défalcations, abandons de solde PP et IS"/>
    <n v="0.3"/>
    <n v="0"/>
    <n v="3301"/>
  </r>
  <r>
    <x v="0"/>
    <x v="5"/>
    <x v="1"/>
    <x v="161"/>
    <x v="140"/>
    <x v="140"/>
    <s v="CHARGES"/>
    <x v="0"/>
    <s v="3212.004"/>
    <s v="Intérêts rémun./perçu trop tôt sur acomptes C/C"/>
    <n v="0.92"/>
    <n v="0"/>
    <n v="3212"/>
  </r>
  <r>
    <x v="0"/>
    <x v="5"/>
    <x v="1"/>
    <x v="161"/>
    <x v="140"/>
    <x v="140"/>
    <s v="CHARGES"/>
    <x v="0"/>
    <s v="3221.002"/>
    <s v="Intérêts compensatoires / créances en faveur ctb."/>
    <n v="0.94"/>
    <n v="0"/>
    <n v="3221"/>
  </r>
  <r>
    <x v="0"/>
    <x v="5"/>
    <x v="1"/>
    <x v="161"/>
    <x v="140"/>
    <x v="140"/>
    <s v="CHARGES"/>
    <x v="0"/>
    <s v="3212.004"/>
    <s v="Intérêts rémun./perçu trop tôt sur acomptes C/C"/>
    <n v="7.84"/>
    <n v="0"/>
    <n v="3212"/>
  </r>
  <r>
    <x v="0"/>
    <x v="5"/>
    <x v="1"/>
    <x v="161"/>
    <x v="140"/>
    <x v="140"/>
    <s v="CHARGES"/>
    <x v="0"/>
    <s v="3221.002"/>
    <s v="Intérêts compensatoires / créances en faveur ctb."/>
    <n v="1.94"/>
    <n v="0"/>
    <n v="3221"/>
  </r>
  <r>
    <x v="0"/>
    <x v="5"/>
    <x v="1"/>
    <x v="161"/>
    <x v="140"/>
    <x v="140"/>
    <s v="CHARGES"/>
    <x v="1"/>
    <s v="3301.001"/>
    <s v="Défalcations, abandons de solde PP et IS"/>
    <n v="-6.79"/>
    <n v="0"/>
    <n v="3301"/>
  </r>
  <r>
    <x v="0"/>
    <x v="5"/>
    <x v="1"/>
    <x v="161"/>
    <x v="140"/>
    <x v="140"/>
    <s v="CHARGES"/>
    <x v="0"/>
    <s v="3221.002"/>
    <s v="Intérêts compensatoires / créances en faveur ctb."/>
    <n v="2.2599999999999998"/>
    <n v="0"/>
    <n v="3221"/>
  </r>
  <r>
    <x v="0"/>
    <x v="5"/>
    <x v="1"/>
    <x v="161"/>
    <x v="140"/>
    <x v="140"/>
    <s v="CHARGES"/>
    <x v="0"/>
    <s v="3212.004"/>
    <s v="Intérêts rémun./perçu trop tôt sur acomptes C/C"/>
    <n v="7.3"/>
    <n v="0"/>
    <n v="3212"/>
  </r>
  <r>
    <x v="0"/>
    <x v="5"/>
    <x v="1"/>
    <x v="161"/>
    <x v="140"/>
    <x v="140"/>
    <s v="CHARGES"/>
    <x v="0"/>
    <s v="3212.004"/>
    <s v="Intérêts rémun./perçu trop tôt sur acomptes C/C"/>
    <n v="3.44"/>
    <n v="0"/>
    <n v="3212"/>
  </r>
  <r>
    <x v="0"/>
    <x v="5"/>
    <x v="1"/>
    <x v="161"/>
    <x v="140"/>
    <x v="140"/>
    <s v="CHARGES"/>
    <x v="0"/>
    <s v="3221.002"/>
    <s v="Intérêts compensatoires / créances en faveur ctb."/>
    <n v="0.14000000000000001"/>
    <n v="0"/>
    <n v="3221"/>
  </r>
  <r>
    <x v="0"/>
    <x v="5"/>
    <x v="1"/>
    <x v="161"/>
    <x v="140"/>
    <x v="140"/>
    <s v="CHARGES"/>
    <x v="0"/>
    <s v="3221.002"/>
    <s v="Intérêts compensatoires / créances en faveur ctb."/>
    <n v="0.56999999999999995"/>
    <n v="0"/>
    <n v="3221"/>
  </r>
  <r>
    <x v="0"/>
    <x v="5"/>
    <x v="1"/>
    <x v="161"/>
    <x v="140"/>
    <x v="140"/>
    <s v="CHARGES"/>
    <x v="1"/>
    <s v="3301.001"/>
    <s v="Défalcations, abandons de solde PP et IS"/>
    <n v="774.56"/>
    <n v="0"/>
    <n v="3301"/>
  </r>
  <r>
    <x v="0"/>
    <x v="5"/>
    <x v="1"/>
    <x v="161"/>
    <x v="140"/>
    <x v="140"/>
    <s v="CHARGES"/>
    <x v="0"/>
    <s v="3212.002"/>
    <s v="Intérêts bonifiés/trop perçu acompte C/C"/>
    <n v="0.18"/>
    <n v="0"/>
    <n v="3212"/>
  </r>
  <r>
    <x v="0"/>
    <x v="5"/>
    <x v="1"/>
    <x v="161"/>
    <x v="140"/>
    <x v="140"/>
    <s v="CHARGES"/>
    <x v="1"/>
    <s v="3301.001"/>
    <s v="Défalcations, abandons de solde PP et IS"/>
    <n v="0.01"/>
    <n v="0"/>
    <n v="3301"/>
  </r>
  <r>
    <x v="0"/>
    <x v="5"/>
    <x v="1"/>
    <x v="161"/>
    <x v="140"/>
    <x v="140"/>
    <s v="CHARGES"/>
    <x v="0"/>
    <s v="3212.004"/>
    <s v="Intérêts rémun./perçu trop tôt sur acomptes C/C"/>
    <n v="-0.35"/>
    <n v="0"/>
    <n v="3212"/>
  </r>
  <r>
    <x v="0"/>
    <x v="5"/>
    <x v="1"/>
    <x v="161"/>
    <x v="140"/>
    <x v="140"/>
    <s v="CHARGES"/>
    <x v="0"/>
    <s v="3221.002"/>
    <s v="Intérêts compensatoires / créances en faveur ctb."/>
    <n v="-0.01"/>
    <n v="0"/>
    <n v="3221"/>
  </r>
  <r>
    <x v="0"/>
    <x v="5"/>
    <x v="1"/>
    <x v="161"/>
    <x v="140"/>
    <x v="140"/>
    <s v="CHARGES"/>
    <x v="1"/>
    <s v="3301.001"/>
    <s v="Défalcations, abandons de solde PP et IS"/>
    <n v="-0.61"/>
    <n v="0"/>
    <n v="3301"/>
  </r>
  <r>
    <x v="0"/>
    <x v="5"/>
    <x v="1"/>
    <x v="161"/>
    <x v="140"/>
    <x v="140"/>
    <s v="CHARGES"/>
    <x v="0"/>
    <s v="3212.002"/>
    <s v="Intérêts bonifiés/trop perçu acompte C/C"/>
    <n v="1.62"/>
    <n v="0"/>
    <n v="3212"/>
  </r>
  <r>
    <x v="0"/>
    <x v="5"/>
    <x v="1"/>
    <x v="161"/>
    <x v="140"/>
    <x v="140"/>
    <s v="CHARGES"/>
    <x v="0"/>
    <s v="3212.002"/>
    <s v="Intérêts bonifiés/trop perçu acompte C/C"/>
    <n v="0.03"/>
    <n v="0"/>
    <n v="3212"/>
  </r>
  <r>
    <x v="0"/>
    <x v="5"/>
    <x v="1"/>
    <x v="161"/>
    <x v="140"/>
    <x v="140"/>
    <s v="REVENUS"/>
    <x v="2"/>
    <s v="4001.007"/>
    <s v="Acompte impôt sur revenu"/>
    <n v="0"/>
    <n v="-1234142.02"/>
    <n v="4001"/>
  </r>
  <r>
    <x v="0"/>
    <x v="5"/>
    <x v="1"/>
    <x v="161"/>
    <x v="140"/>
    <x v="140"/>
    <s v="REVENUS"/>
    <x v="2"/>
    <s v="4001.001"/>
    <s v="Impôt revenu"/>
    <n v="0"/>
    <n v="5050895.8499999996"/>
    <n v="4001"/>
  </r>
  <r>
    <x v="0"/>
    <x v="5"/>
    <x v="1"/>
    <x v="161"/>
    <x v="140"/>
    <x v="140"/>
    <s v="REVENUS"/>
    <x v="2"/>
    <s v="4001.007"/>
    <s v="Acompte impôt sur revenu"/>
    <n v="0"/>
    <n v="1153251.05"/>
    <n v="4001"/>
  </r>
  <r>
    <x v="0"/>
    <x v="5"/>
    <x v="1"/>
    <x v="161"/>
    <x v="140"/>
    <x v="140"/>
    <s v="REVENUS"/>
    <x v="3"/>
    <s v="4002.001"/>
    <s v="Impôt ordinaire s/fortune PP"/>
    <n v="0"/>
    <n v="610224.94999999995"/>
    <n v="4002"/>
  </r>
  <r>
    <x v="0"/>
    <x v="5"/>
    <x v="1"/>
    <x v="161"/>
    <x v="140"/>
    <x v="140"/>
    <s v="REVENUS"/>
    <x v="3"/>
    <s v="4002.007"/>
    <s v="Acompte impôt sur fortune"/>
    <n v="0"/>
    <n v="314522.28999999998"/>
    <n v="4002"/>
  </r>
  <r>
    <x v="0"/>
    <x v="5"/>
    <x v="1"/>
    <x v="161"/>
    <x v="140"/>
    <x v="140"/>
    <s v="REVENUS"/>
    <x v="6"/>
    <s v="4211.001"/>
    <s v="Intérêts de retard sur factures"/>
    <n v="0"/>
    <n v="19860.11"/>
    <n v="4211"/>
  </r>
  <r>
    <x v="0"/>
    <x v="5"/>
    <x v="1"/>
    <x v="161"/>
    <x v="140"/>
    <x v="140"/>
    <s v="REVENUS"/>
    <x v="6"/>
    <s v="4211.002"/>
    <s v="Intérêts de retard sur acomptes"/>
    <n v="0"/>
    <n v="26309.25"/>
    <n v="4211"/>
  </r>
  <r>
    <x v="0"/>
    <x v="5"/>
    <x v="1"/>
    <x v="161"/>
    <x v="140"/>
    <x v="140"/>
    <s v="REVENUS"/>
    <x v="6"/>
    <s v="4221.003"/>
    <s v="Intérêts compensat. / acomptes en faveur du fisc"/>
    <n v="0"/>
    <n v="813.13"/>
    <n v="4221"/>
  </r>
  <r>
    <x v="0"/>
    <x v="5"/>
    <x v="1"/>
    <x v="161"/>
    <x v="140"/>
    <x v="140"/>
    <s v="REVENUS"/>
    <x v="3"/>
    <s v="4002.007"/>
    <s v="Acompte impôt sur fortune"/>
    <n v="0"/>
    <n v="-153214.1"/>
    <n v="4002"/>
  </r>
  <r>
    <x v="0"/>
    <x v="5"/>
    <x v="1"/>
    <x v="161"/>
    <x v="140"/>
    <x v="140"/>
    <s v="REVENUS"/>
    <x v="2"/>
    <s v="4001.002"/>
    <s v="Impôt complément s/revenu PP"/>
    <n v="0"/>
    <n v="1262948.6000000001"/>
    <n v="4001"/>
  </r>
  <r>
    <x v="0"/>
    <x v="5"/>
    <x v="1"/>
    <x v="161"/>
    <x v="140"/>
    <x v="140"/>
    <s v="REVENUS"/>
    <x v="3"/>
    <s v="4002.002"/>
    <s v="Impôt complémentaire s/fortune PP"/>
    <n v="0"/>
    <n v="238921"/>
    <n v="4002"/>
  </r>
  <r>
    <x v="0"/>
    <x v="5"/>
    <x v="1"/>
    <x v="161"/>
    <x v="140"/>
    <x v="140"/>
    <s v="REVENUS"/>
    <x v="3"/>
    <s v="4002.001"/>
    <s v="Impôt ordinaire s/fortune PP"/>
    <n v="0"/>
    <n v="22121.5"/>
    <n v="4002"/>
  </r>
  <r>
    <x v="0"/>
    <x v="5"/>
    <x v="1"/>
    <x v="161"/>
    <x v="140"/>
    <x v="140"/>
    <s v="REVENUS"/>
    <x v="6"/>
    <s v="4211.002"/>
    <s v="Intérêts de retard sur acomptes"/>
    <n v="0"/>
    <n v="1044.75"/>
    <n v="4211"/>
  </r>
  <r>
    <x v="0"/>
    <x v="5"/>
    <x v="1"/>
    <x v="161"/>
    <x v="140"/>
    <x v="140"/>
    <s v="REVENUS"/>
    <x v="6"/>
    <s v="4221.003"/>
    <s v="Intérêts compensat. / acomptes en faveur du fisc"/>
    <n v="0"/>
    <n v="3.81"/>
    <n v="4221"/>
  </r>
  <r>
    <x v="0"/>
    <x v="5"/>
    <x v="1"/>
    <x v="161"/>
    <x v="140"/>
    <x v="140"/>
    <s v="REVENUS"/>
    <x v="9"/>
    <s v="4031.001"/>
    <s v="Impôt sur les gains immobiliers"/>
    <n v="0"/>
    <n v="295173"/>
    <n v="4031"/>
  </r>
  <r>
    <x v="0"/>
    <x v="5"/>
    <x v="1"/>
    <x v="161"/>
    <x v="140"/>
    <x v="140"/>
    <s v="REVENUS"/>
    <x v="6"/>
    <s v="4221.002"/>
    <s v="Intérêts compensat. sur impôts distincts"/>
    <n v="0"/>
    <n v="172.1"/>
    <n v="4221"/>
  </r>
  <r>
    <x v="0"/>
    <x v="5"/>
    <x v="1"/>
    <x v="161"/>
    <x v="140"/>
    <x v="140"/>
    <s v="REVENUS"/>
    <x v="6"/>
    <s v="4211.001"/>
    <s v="Intérêts de retard sur factures"/>
    <n v="0"/>
    <n v="1.39"/>
    <n v="4211"/>
  </r>
  <r>
    <x v="0"/>
    <x v="5"/>
    <x v="1"/>
    <x v="161"/>
    <x v="140"/>
    <x v="140"/>
    <s v="REVENUS"/>
    <x v="2"/>
    <s v="4001.003"/>
    <s v="Impôt s/prest. cap. PP"/>
    <n v="0"/>
    <n v="164452.1"/>
    <n v="4001"/>
  </r>
  <r>
    <x v="0"/>
    <x v="5"/>
    <x v="1"/>
    <x v="161"/>
    <x v="140"/>
    <x v="140"/>
    <s v="REVENUS"/>
    <x v="12"/>
    <s v="4004.007"/>
    <s v="Acompte spécial étrangers"/>
    <n v="0"/>
    <n v="0"/>
    <n v="4004"/>
  </r>
  <r>
    <x v="0"/>
    <x v="5"/>
    <x v="1"/>
    <x v="161"/>
    <x v="140"/>
    <x v="140"/>
    <s v="REVENUS"/>
    <x v="10"/>
    <s v="4041.001"/>
    <s v="Droits de mutation"/>
    <n v="0"/>
    <n v="272212.2"/>
    <n v="4041"/>
  </r>
  <r>
    <x v="0"/>
    <x v="5"/>
    <x v="1"/>
    <x v="161"/>
    <x v="140"/>
    <x v="140"/>
    <s v="REVENUS"/>
    <x v="7"/>
    <s v="4184.000"/>
    <s v="Frais de poursuite"/>
    <n v="0"/>
    <n v="6195.29"/>
    <n v="4184"/>
  </r>
  <r>
    <x v="0"/>
    <x v="5"/>
    <x v="1"/>
    <x v="161"/>
    <x v="140"/>
    <x v="140"/>
    <s v="REVENUS"/>
    <x v="2"/>
    <s v="4001.001"/>
    <s v="Impôt revenu"/>
    <n v="0"/>
    <n v="-506885.15"/>
    <n v="4001"/>
  </r>
  <r>
    <x v="0"/>
    <x v="5"/>
    <x v="1"/>
    <x v="161"/>
    <x v="140"/>
    <x v="140"/>
    <s v="REVENUS"/>
    <x v="2"/>
    <s v="4001.001"/>
    <s v="Impôt revenu"/>
    <n v="0"/>
    <n v="49551.05"/>
    <n v="4001"/>
  </r>
  <r>
    <x v="0"/>
    <x v="5"/>
    <x v="1"/>
    <x v="161"/>
    <x v="140"/>
    <x v="140"/>
    <s v="REVENUS"/>
    <x v="6"/>
    <s v="4211.001"/>
    <s v="Intérêts de retard sur factures"/>
    <n v="0"/>
    <n v="79.709999999999994"/>
    <n v="4211"/>
  </r>
  <r>
    <x v="0"/>
    <x v="5"/>
    <x v="1"/>
    <x v="161"/>
    <x v="140"/>
    <x v="140"/>
    <s v="REVENUS"/>
    <x v="7"/>
    <s v="4184.000"/>
    <s v="Frais de poursuite"/>
    <n v="0"/>
    <n v="7.78"/>
    <n v="4184"/>
  </r>
  <r>
    <x v="0"/>
    <x v="5"/>
    <x v="1"/>
    <x v="161"/>
    <x v="140"/>
    <x v="140"/>
    <s v="REVENUS"/>
    <x v="2"/>
    <s v="4001.001"/>
    <s v="Impôt revenu"/>
    <n v="0"/>
    <n v="11210.4"/>
    <n v="4001"/>
  </r>
  <r>
    <x v="0"/>
    <x v="5"/>
    <x v="1"/>
    <x v="161"/>
    <x v="140"/>
    <x v="140"/>
    <s v="REVENUS"/>
    <x v="2"/>
    <s v="4001.007"/>
    <s v="Acompte impôt sur revenu"/>
    <n v="0"/>
    <n v="-9944.39"/>
    <n v="4001"/>
  </r>
  <r>
    <x v="0"/>
    <x v="5"/>
    <x v="1"/>
    <x v="161"/>
    <x v="140"/>
    <x v="140"/>
    <s v="REVENUS"/>
    <x v="3"/>
    <s v="4002.001"/>
    <s v="Impôt ordinaire s/fortune PP"/>
    <n v="0"/>
    <n v="9295.65"/>
    <n v="4002"/>
  </r>
  <r>
    <x v="0"/>
    <x v="5"/>
    <x v="1"/>
    <x v="161"/>
    <x v="140"/>
    <x v="140"/>
    <s v="REVENUS"/>
    <x v="3"/>
    <s v="4002.007"/>
    <s v="Acompte impôt sur fortune"/>
    <n v="0"/>
    <n v="-478.65"/>
    <n v="4002"/>
  </r>
  <r>
    <x v="0"/>
    <x v="5"/>
    <x v="1"/>
    <x v="161"/>
    <x v="140"/>
    <x v="140"/>
    <s v="REVENUS"/>
    <x v="7"/>
    <s v="4184.000"/>
    <s v="Frais de poursuite"/>
    <n v="0"/>
    <n v="2"/>
    <n v="4184"/>
  </r>
  <r>
    <x v="0"/>
    <x v="5"/>
    <x v="1"/>
    <x v="161"/>
    <x v="140"/>
    <x v="140"/>
    <s v="REVENUS"/>
    <x v="6"/>
    <s v="4211.002"/>
    <s v="Intérêts de retard sur acomptes"/>
    <n v="0"/>
    <n v="223.82"/>
    <n v="4211"/>
  </r>
  <r>
    <x v="0"/>
    <x v="5"/>
    <x v="1"/>
    <x v="161"/>
    <x v="140"/>
    <x v="140"/>
    <s v="REVENUS"/>
    <x v="6"/>
    <s v="4221.003"/>
    <s v="Intérêts compensat. / acomptes en faveur du fisc"/>
    <n v="0"/>
    <n v="1.63"/>
    <n v="4221"/>
  </r>
  <r>
    <x v="0"/>
    <x v="5"/>
    <x v="1"/>
    <x v="161"/>
    <x v="140"/>
    <x v="140"/>
    <s v="REVENUS"/>
    <x v="2"/>
    <s v="4001.007"/>
    <s v="Acompte impôt sur revenu"/>
    <n v="0"/>
    <n v="17663.55"/>
    <n v="4001"/>
  </r>
  <r>
    <x v="0"/>
    <x v="5"/>
    <x v="1"/>
    <x v="161"/>
    <x v="140"/>
    <x v="140"/>
    <s v="REVENUS"/>
    <x v="3"/>
    <s v="4002.007"/>
    <s v="Acompte impôt sur fortune"/>
    <n v="0"/>
    <n v="3398.6"/>
    <n v="4002"/>
  </r>
  <r>
    <x v="0"/>
    <x v="5"/>
    <x v="1"/>
    <x v="161"/>
    <x v="140"/>
    <x v="140"/>
    <s v="REVENUS"/>
    <x v="3"/>
    <s v="4002.007"/>
    <s v="Acompte impôt sur fortune"/>
    <n v="0"/>
    <n v="-12569.92"/>
    <n v="4002"/>
  </r>
  <r>
    <x v="0"/>
    <x v="5"/>
    <x v="1"/>
    <x v="161"/>
    <x v="140"/>
    <x v="140"/>
    <s v="REVENUS"/>
    <x v="2"/>
    <s v="4001.007"/>
    <s v="Acompte impôt sur revenu"/>
    <n v="0"/>
    <n v="-10713.07"/>
    <n v="4001"/>
  </r>
  <r>
    <x v="0"/>
    <x v="5"/>
    <x v="1"/>
    <x v="161"/>
    <x v="140"/>
    <x v="140"/>
    <s v="REVENUS"/>
    <x v="2"/>
    <s v="4001.001"/>
    <s v="Impôt revenu"/>
    <n v="0"/>
    <n v="6512.95"/>
    <n v="4001"/>
  </r>
  <r>
    <x v="0"/>
    <x v="5"/>
    <x v="1"/>
    <x v="161"/>
    <x v="140"/>
    <x v="140"/>
    <s v="REVENUS"/>
    <x v="6"/>
    <s v="4221.003"/>
    <s v="Intérêts compensat. / acomptes en faveur du fisc"/>
    <n v="0"/>
    <n v="0.49"/>
    <n v="4221"/>
  </r>
  <r>
    <x v="0"/>
    <x v="5"/>
    <x v="1"/>
    <x v="161"/>
    <x v="140"/>
    <x v="140"/>
    <s v="REVENUS"/>
    <x v="2"/>
    <s v="4001.007"/>
    <s v="Acompte impôt sur revenu"/>
    <n v="0"/>
    <n v="-610.24"/>
    <n v="4001"/>
  </r>
  <r>
    <x v="0"/>
    <x v="5"/>
    <x v="1"/>
    <x v="161"/>
    <x v="140"/>
    <x v="140"/>
    <s v="REVENUS"/>
    <x v="3"/>
    <s v="4002.007"/>
    <s v="Acompte impôt sur fortune"/>
    <n v="0"/>
    <n v="199.23"/>
    <n v="4002"/>
  </r>
  <r>
    <x v="0"/>
    <x v="5"/>
    <x v="1"/>
    <x v="161"/>
    <x v="140"/>
    <x v="140"/>
    <s v="REVENUS"/>
    <x v="2"/>
    <s v="4001.007"/>
    <s v="Acompte impôt sur revenu"/>
    <n v="0"/>
    <n v="-180.95"/>
    <n v="4001"/>
  </r>
  <r>
    <x v="0"/>
    <x v="5"/>
    <x v="1"/>
    <x v="161"/>
    <x v="140"/>
    <x v="140"/>
    <s v="REVENUS"/>
    <x v="2"/>
    <s v="4001.001"/>
    <s v="Impôt revenu"/>
    <n v="0"/>
    <n v="1326.05"/>
    <n v="4001"/>
  </r>
  <r>
    <x v="0"/>
    <x v="5"/>
    <x v="1"/>
    <x v="161"/>
    <x v="140"/>
    <x v="140"/>
    <s v="REVENUS"/>
    <x v="3"/>
    <s v="4002.001"/>
    <s v="Impôt ordinaire s/fortune PP"/>
    <n v="0"/>
    <n v="452.8"/>
    <n v="4002"/>
  </r>
  <r>
    <x v="0"/>
    <x v="5"/>
    <x v="1"/>
    <x v="161"/>
    <x v="140"/>
    <x v="140"/>
    <s v="REVENUS"/>
    <x v="3"/>
    <s v="4002.007"/>
    <s v="Acompte impôt sur fortune"/>
    <n v="0"/>
    <n v="-985.77"/>
    <n v="4002"/>
  </r>
  <r>
    <x v="0"/>
    <x v="5"/>
    <x v="1"/>
    <x v="161"/>
    <x v="140"/>
    <x v="140"/>
    <s v="REVENUS"/>
    <x v="2"/>
    <s v="4001.003"/>
    <s v="Impôt s/prest. cap. PP"/>
    <n v="0"/>
    <n v="-20147.2"/>
    <n v="4001"/>
  </r>
  <r>
    <x v="0"/>
    <x v="5"/>
    <x v="1"/>
    <x v="161"/>
    <x v="140"/>
    <x v="140"/>
    <s v="REVENUS"/>
    <x v="2"/>
    <s v="4001.007"/>
    <s v="Acompte impôt sur revenu"/>
    <n v="0"/>
    <n v="35"/>
    <n v="4001"/>
  </r>
  <r>
    <x v="0"/>
    <x v="5"/>
    <x v="1"/>
    <x v="161"/>
    <x v="140"/>
    <x v="140"/>
    <s v="REVENUS"/>
    <x v="3"/>
    <s v="4002.007"/>
    <s v="Acompte impôt sur fortune"/>
    <n v="0"/>
    <n v="981.2"/>
    <n v="4002"/>
  </r>
  <r>
    <x v="0"/>
    <x v="5"/>
    <x v="1"/>
    <x v="161"/>
    <x v="140"/>
    <x v="140"/>
    <s v="REVENUS"/>
    <x v="2"/>
    <s v="4001.002"/>
    <s v="Impôt complément s/revenu PP"/>
    <n v="0"/>
    <n v="-67896.05"/>
    <n v="4001"/>
  </r>
  <r>
    <x v="0"/>
    <x v="5"/>
    <x v="1"/>
    <x v="161"/>
    <x v="140"/>
    <x v="140"/>
    <s v="REVENUS"/>
    <x v="6"/>
    <s v="4211.002"/>
    <s v="Intérêts de retard sur acomptes"/>
    <n v="0"/>
    <n v="33.729999999999997"/>
    <n v="4211"/>
  </r>
  <r>
    <x v="0"/>
    <x v="5"/>
    <x v="1"/>
    <x v="161"/>
    <x v="140"/>
    <x v="140"/>
    <s v="REVENUS"/>
    <x v="7"/>
    <s v="4184.000"/>
    <s v="Frais de poursuite"/>
    <n v="0"/>
    <n v="169.97"/>
    <n v="4184"/>
  </r>
  <r>
    <x v="0"/>
    <x v="5"/>
    <x v="1"/>
    <x v="161"/>
    <x v="140"/>
    <x v="140"/>
    <s v="REVENUS"/>
    <x v="6"/>
    <s v="4221.002"/>
    <s v="Intérêts compensat. sur impôts distincts"/>
    <n v="0"/>
    <n v="-21.58"/>
    <n v="4221"/>
  </r>
  <r>
    <x v="0"/>
    <x v="5"/>
    <x v="1"/>
    <x v="161"/>
    <x v="140"/>
    <x v="140"/>
    <s v="REVENUS"/>
    <x v="2"/>
    <s v="4001.002"/>
    <s v="Impôt complément s/revenu PP"/>
    <n v="0"/>
    <n v="7309.4"/>
    <n v="4001"/>
  </r>
  <r>
    <x v="0"/>
    <x v="5"/>
    <x v="1"/>
    <x v="161"/>
    <x v="140"/>
    <x v="140"/>
    <s v="REVENUS"/>
    <x v="6"/>
    <s v="4211.001"/>
    <s v="Intérêts de retard sur factures"/>
    <n v="0"/>
    <n v="6.65"/>
    <n v="4211"/>
  </r>
  <r>
    <x v="0"/>
    <x v="5"/>
    <x v="1"/>
    <x v="161"/>
    <x v="140"/>
    <x v="140"/>
    <s v="REVENUS"/>
    <x v="2"/>
    <s v="4001.001"/>
    <s v="Impôt revenu"/>
    <n v="0"/>
    <n v="8481.9500000000007"/>
    <n v="4001"/>
  </r>
  <r>
    <x v="0"/>
    <x v="5"/>
    <x v="1"/>
    <x v="161"/>
    <x v="140"/>
    <x v="140"/>
    <s v="REVENUS"/>
    <x v="3"/>
    <s v="4002.001"/>
    <s v="Impôt ordinaire s/fortune PP"/>
    <n v="0"/>
    <n v="-64206.25"/>
    <n v="4002"/>
  </r>
  <r>
    <x v="0"/>
    <x v="5"/>
    <x v="1"/>
    <x v="161"/>
    <x v="140"/>
    <x v="140"/>
    <s v="REVENUS"/>
    <x v="3"/>
    <s v="4002.001"/>
    <s v="Impôt ordinaire s/fortune PP"/>
    <n v="0"/>
    <n v="40.15"/>
    <n v="4002"/>
  </r>
  <r>
    <x v="0"/>
    <x v="5"/>
    <x v="1"/>
    <x v="161"/>
    <x v="140"/>
    <x v="140"/>
    <s v="REVENUS"/>
    <x v="3"/>
    <s v="4002.002"/>
    <s v="Impôt complémentaire s/fortune PP"/>
    <n v="0"/>
    <n v="693.1"/>
    <n v="4002"/>
  </r>
  <r>
    <x v="0"/>
    <x v="5"/>
    <x v="1"/>
    <x v="161"/>
    <x v="140"/>
    <x v="140"/>
    <s v="REVENUS"/>
    <x v="2"/>
    <s v="4001.002"/>
    <s v="Impôt complément s/revenu PP"/>
    <n v="0"/>
    <n v="1262.5"/>
    <n v="4001"/>
  </r>
  <r>
    <x v="0"/>
    <x v="5"/>
    <x v="1"/>
    <x v="161"/>
    <x v="140"/>
    <x v="140"/>
    <s v="REVENUS"/>
    <x v="3"/>
    <s v="4002.001"/>
    <s v="Impôt ordinaire s/fortune PP"/>
    <n v="0"/>
    <n v="1108.8"/>
    <n v="4002"/>
  </r>
  <r>
    <x v="0"/>
    <x v="5"/>
    <x v="1"/>
    <x v="161"/>
    <x v="140"/>
    <x v="140"/>
    <s v="REVENUS"/>
    <x v="3"/>
    <s v="4002.002"/>
    <s v="Impôt complémentaire s/fortune PP"/>
    <n v="0"/>
    <n v="-5332.9"/>
    <n v="4002"/>
  </r>
  <r>
    <x v="0"/>
    <x v="5"/>
    <x v="1"/>
    <x v="161"/>
    <x v="140"/>
    <x v="140"/>
    <s v="REVENUS"/>
    <x v="5"/>
    <s v="4061.000"/>
    <s v="Impôt sur les chiens"/>
    <n v="0"/>
    <n v="8025"/>
    <n v="4061"/>
  </r>
  <r>
    <x v="0"/>
    <x v="5"/>
    <x v="1"/>
    <x v="161"/>
    <x v="140"/>
    <x v="140"/>
    <s v="REVENUS"/>
    <x v="9"/>
    <s v="4031.002"/>
    <s v="Complément impôt sur les gains immobiliers"/>
    <n v="0"/>
    <n v="71037.850000000006"/>
    <n v="4031"/>
  </r>
  <r>
    <x v="0"/>
    <x v="5"/>
    <x v="1"/>
    <x v="161"/>
    <x v="140"/>
    <x v="140"/>
    <s v="REVENUS"/>
    <x v="6"/>
    <s v="4211.001"/>
    <s v="Intérêts de retard sur factures"/>
    <n v="0"/>
    <n v="-5.78"/>
    <n v="4211"/>
  </r>
  <r>
    <x v="0"/>
    <x v="5"/>
    <x v="1"/>
    <x v="161"/>
    <x v="140"/>
    <x v="140"/>
    <s v="REVENUS"/>
    <x v="6"/>
    <s v="4211.001"/>
    <s v="Intérêts de retard sur factures"/>
    <n v="0"/>
    <n v="392.52"/>
    <n v="4211"/>
  </r>
  <r>
    <x v="0"/>
    <x v="5"/>
    <x v="1"/>
    <x v="161"/>
    <x v="140"/>
    <x v="140"/>
    <s v="REVENUS"/>
    <x v="6"/>
    <s v="4211.002"/>
    <s v="Intérêts de retard sur acomptes"/>
    <n v="0"/>
    <n v="78.739999999999995"/>
    <n v="4211"/>
  </r>
  <r>
    <x v="0"/>
    <x v="5"/>
    <x v="1"/>
    <x v="161"/>
    <x v="140"/>
    <x v="140"/>
    <s v="REVENUS"/>
    <x v="6"/>
    <s v="4211.002"/>
    <s v="Intérêts de retard sur acomptes"/>
    <n v="0"/>
    <n v="36.39"/>
    <n v="4211"/>
  </r>
  <r>
    <x v="0"/>
    <x v="5"/>
    <x v="1"/>
    <x v="161"/>
    <x v="140"/>
    <x v="140"/>
    <s v="REVENUS"/>
    <x v="6"/>
    <s v="4221.003"/>
    <s v="Intérêts compensat. / acomptes en faveur du fisc"/>
    <n v="0"/>
    <n v="0.59"/>
    <n v="4221"/>
  </r>
  <r>
    <x v="0"/>
    <x v="5"/>
    <x v="1"/>
    <x v="161"/>
    <x v="140"/>
    <x v="140"/>
    <s v="REVENUS"/>
    <x v="6"/>
    <s v="4221.003"/>
    <s v="Intérêts compensat. / acomptes en faveur du fisc"/>
    <n v="0"/>
    <n v="-56.63"/>
    <n v="4221"/>
  </r>
  <r>
    <x v="0"/>
    <x v="5"/>
    <x v="1"/>
    <x v="161"/>
    <x v="140"/>
    <x v="140"/>
    <s v="REVENUS"/>
    <x v="2"/>
    <s v="4001.007"/>
    <s v="Acompte impôt sur revenu"/>
    <n v="0"/>
    <n v="-968.05"/>
    <n v="4001"/>
  </r>
  <r>
    <x v="0"/>
    <x v="5"/>
    <x v="1"/>
    <x v="161"/>
    <x v="140"/>
    <x v="140"/>
    <s v="REVENUS"/>
    <x v="3"/>
    <s v="4002.007"/>
    <s v="Acompte impôt sur fortune"/>
    <n v="0"/>
    <n v="-1204.9000000000001"/>
    <n v="4002"/>
  </r>
  <r>
    <x v="0"/>
    <x v="5"/>
    <x v="1"/>
    <x v="161"/>
    <x v="140"/>
    <x v="140"/>
    <s v="REVENUS"/>
    <x v="2"/>
    <s v="4001.001"/>
    <s v="Impôt revenu"/>
    <n v="0"/>
    <n v="-19853.95"/>
    <n v="4001"/>
  </r>
  <r>
    <x v="0"/>
    <x v="5"/>
    <x v="1"/>
    <x v="161"/>
    <x v="140"/>
    <x v="140"/>
    <s v="REVENUS"/>
    <x v="2"/>
    <s v="4001.002"/>
    <s v="Impôt complément s/revenu PP"/>
    <n v="0"/>
    <n v="-4970.3500000000004"/>
    <n v="4001"/>
  </r>
  <r>
    <x v="0"/>
    <x v="5"/>
    <x v="1"/>
    <x v="161"/>
    <x v="140"/>
    <x v="140"/>
    <s v="REVENUS"/>
    <x v="3"/>
    <s v="4002.001"/>
    <s v="Impôt ordinaire s/fortune PP"/>
    <n v="0"/>
    <n v="-2658.55"/>
    <n v="4002"/>
  </r>
  <r>
    <x v="0"/>
    <x v="5"/>
    <x v="1"/>
    <x v="161"/>
    <x v="140"/>
    <x v="140"/>
    <s v="REVENUS"/>
    <x v="3"/>
    <s v="4002.002"/>
    <s v="Impôt complémentaire s/fortune PP"/>
    <n v="0"/>
    <n v="-611.5"/>
    <n v="4002"/>
  </r>
  <r>
    <x v="0"/>
    <x v="5"/>
    <x v="1"/>
    <x v="161"/>
    <x v="140"/>
    <x v="140"/>
    <s v="REVENUS"/>
    <x v="6"/>
    <s v="4211.001"/>
    <s v="Intérêts de retard sur factures"/>
    <n v="0"/>
    <n v="-0.14000000000000001"/>
    <n v="4211"/>
  </r>
  <r>
    <x v="0"/>
    <x v="5"/>
    <x v="1"/>
    <x v="161"/>
    <x v="140"/>
    <x v="140"/>
    <s v="REVENUS"/>
    <x v="6"/>
    <s v="4221.003"/>
    <s v="Intérêts compensat. / acomptes en faveur du fisc"/>
    <n v="0"/>
    <n v="-19.79"/>
    <n v="4221"/>
  </r>
  <r>
    <x v="0"/>
    <x v="5"/>
    <x v="1"/>
    <x v="161"/>
    <x v="140"/>
    <x v="140"/>
    <s v="REVENUS"/>
    <x v="2"/>
    <s v="4001.002"/>
    <s v="Impôt complément s/revenu PP"/>
    <n v="0"/>
    <n v="909.2"/>
    <n v="4001"/>
  </r>
  <r>
    <x v="0"/>
    <x v="5"/>
    <x v="1"/>
    <x v="161"/>
    <x v="140"/>
    <x v="140"/>
    <s v="REVENUS"/>
    <x v="3"/>
    <s v="4002.002"/>
    <s v="Impôt complémentaire s/fortune PP"/>
    <n v="0"/>
    <n v="26.9"/>
    <n v="4002"/>
  </r>
  <r>
    <x v="0"/>
    <x v="5"/>
    <x v="1"/>
    <x v="161"/>
    <x v="140"/>
    <x v="140"/>
    <s v="REVENUS"/>
    <x v="7"/>
    <s v="4184.000"/>
    <s v="Frais de poursuite"/>
    <n v="0"/>
    <n v="12.62"/>
    <n v="4184"/>
  </r>
  <r>
    <x v="0"/>
    <x v="5"/>
    <x v="1"/>
    <x v="161"/>
    <x v="140"/>
    <x v="140"/>
    <s v="REVENUS"/>
    <x v="8"/>
    <s v="4091.001"/>
    <s v="Impôt récupéré après défalcations"/>
    <n v="0"/>
    <n v="248.75"/>
    <n v="4091"/>
  </r>
  <r>
    <x v="0"/>
    <x v="5"/>
    <x v="1"/>
    <x v="161"/>
    <x v="140"/>
    <x v="140"/>
    <s v="REVENUS"/>
    <x v="4"/>
    <s v="4051.002"/>
    <s v="Impôt sur les donations"/>
    <n v="0"/>
    <n v="165375"/>
    <n v="4051"/>
  </r>
  <r>
    <x v="0"/>
    <x v="5"/>
    <x v="1"/>
    <x v="161"/>
    <x v="140"/>
    <x v="140"/>
    <s v="REVENUS"/>
    <x v="3"/>
    <s v="4002.002"/>
    <s v="Impôt complémentaire s/fortune PP"/>
    <n v="0"/>
    <n v="289.2"/>
    <n v="4002"/>
  </r>
  <r>
    <x v="0"/>
    <x v="5"/>
    <x v="1"/>
    <x v="161"/>
    <x v="140"/>
    <x v="140"/>
    <s v="REVENUS"/>
    <x v="4"/>
    <s v="4051.001"/>
    <s v="Impôt sur les successions"/>
    <n v="0"/>
    <n v="46235.6"/>
    <n v="4051"/>
  </r>
  <r>
    <x v="0"/>
    <x v="5"/>
    <x v="1"/>
    <x v="161"/>
    <x v="140"/>
    <x v="140"/>
    <s v="REVENUS"/>
    <x v="2"/>
    <s v="4001.002"/>
    <s v="Impôt complément s/revenu PP"/>
    <n v="0"/>
    <n v="191.1"/>
    <n v="4001"/>
  </r>
  <r>
    <x v="0"/>
    <x v="5"/>
    <x v="1"/>
    <x v="161"/>
    <x v="140"/>
    <x v="140"/>
    <s v="REVENUS"/>
    <x v="3"/>
    <s v="4002.002"/>
    <s v="Impôt complémentaire s/fortune PP"/>
    <n v="0"/>
    <n v="145.80000000000001"/>
    <n v="4002"/>
  </r>
  <r>
    <x v="0"/>
    <x v="5"/>
    <x v="1"/>
    <x v="162"/>
    <x v="141"/>
    <x v="141"/>
    <s v="CHARGES"/>
    <x v="1"/>
    <s v="3301.001"/>
    <s v="Défalcations, abandons de solde PP et IS"/>
    <n v="0.56999999999999995"/>
    <n v="0"/>
    <n v="3301"/>
  </r>
  <r>
    <x v="0"/>
    <x v="5"/>
    <x v="1"/>
    <x v="162"/>
    <x v="141"/>
    <x v="141"/>
    <s v="CHARGES"/>
    <x v="0"/>
    <s v="3221.002"/>
    <s v="Intérêts compensatoires / créances en faveur ctb."/>
    <n v="123.51"/>
    <n v="0"/>
    <n v="3221"/>
  </r>
  <r>
    <x v="0"/>
    <x v="5"/>
    <x v="1"/>
    <x v="162"/>
    <x v="141"/>
    <x v="141"/>
    <s v="CHARGES"/>
    <x v="0"/>
    <s v="3212.002"/>
    <s v="Intérêts bonifiés/trop perçu acompte C/C"/>
    <n v="36.54"/>
    <n v="0"/>
    <n v="3212"/>
  </r>
  <r>
    <x v="0"/>
    <x v="5"/>
    <x v="1"/>
    <x v="162"/>
    <x v="141"/>
    <x v="141"/>
    <s v="CHARGES"/>
    <x v="0"/>
    <s v="3212.004"/>
    <s v="Intérêts rémun./perçu trop tôt sur acomptes C/C"/>
    <n v="343.9"/>
    <n v="0"/>
    <n v="3212"/>
  </r>
  <r>
    <x v="0"/>
    <x v="5"/>
    <x v="1"/>
    <x v="162"/>
    <x v="141"/>
    <x v="141"/>
    <s v="CHARGES"/>
    <x v="1"/>
    <s v="3301.001"/>
    <s v="Défalcations, abandons de solde PP et IS"/>
    <n v="11750.26"/>
    <n v="0"/>
    <n v="3301"/>
  </r>
  <r>
    <x v="0"/>
    <x v="5"/>
    <x v="1"/>
    <x v="162"/>
    <x v="141"/>
    <x v="141"/>
    <s v="CHARGES"/>
    <x v="0"/>
    <s v="3212.004"/>
    <s v="Intérêts rémun./perçu trop tôt sur acomptes C/C"/>
    <n v="2.97"/>
    <n v="0"/>
    <n v="3212"/>
  </r>
  <r>
    <x v="0"/>
    <x v="5"/>
    <x v="1"/>
    <x v="162"/>
    <x v="141"/>
    <x v="141"/>
    <s v="CHARGES"/>
    <x v="0"/>
    <s v="3221.002"/>
    <s v="Intérêts compensatoires / créances en faveur ctb."/>
    <n v="0.69"/>
    <n v="0"/>
    <n v="3221"/>
  </r>
  <r>
    <x v="0"/>
    <x v="5"/>
    <x v="1"/>
    <x v="162"/>
    <x v="141"/>
    <x v="141"/>
    <s v="CHARGES"/>
    <x v="1"/>
    <s v="3301.003"/>
    <s v="Remises PP et IS"/>
    <n v="634.75"/>
    <n v="0"/>
    <n v="3301"/>
  </r>
  <r>
    <x v="0"/>
    <x v="5"/>
    <x v="1"/>
    <x v="162"/>
    <x v="141"/>
    <x v="141"/>
    <s v="CHARGES"/>
    <x v="1"/>
    <s v="3301.001"/>
    <s v="Défalcations, abandons de solde PP et IS"/>
    <n v="18344.169999999998"/>
    <n v="0"/>
    <n v="3301"/>
  </r>
  <r>
    <x v="0"/>
    <x v="5"/>
    <x v="1"/>
    <x v="162"/>
    <x v="141"/>
    <x v="141"/>
    <s v="CHARGES"/>
    <x v="0"/>
    <s v="3212.004"/>
    <s v="Intérêts rémun./perçu trop tôt sur acomptes C/C"/>
    <n v="0.28000000000000003"/>
    <n v="0"/>
    <n v="3212"/>
  </r>
  <r>
    <x v="0"/>
    <x v="5"/>
    <x v="1"/>
    <x v="162"/>
    <x v="141"/>
    <x v="141"/>
    <s v="CHARGES"/>
    <x v="0"/>
    <s v="3221.002"/>
    <s v="Intérêts compensatoires / créances en faveur ctb."/>
    <n v="0.04"/>
    <n v="0"/>
    <n v="3221"/>
  </r>
  <r>
    <x v="0"/>
    <x v="5"/>
    <x v="1"/>
    <x v="162"/>
    <x v="141"/>
    <x v="141"/>
    <s v="CHARGES"/>
    <x v="0"/>
    <s v="3212.004"/>
    <s v="Intérêts rémun./perçu trop tôt sur acomptes C/C"/>
    <n v="2.69"/>
    <n v="0"/>
    <n v="3212"/>
  </r>
  <r>
    <x v="0"/>
    <x v="5"/>
    <x v="1"/>
    <x v="162"/>
    <x v="141"/>
    <x v="141"/>
    <s v="CHARGES"/>
    <x v="1"/>
    <s v="3301.001"/>
    <s v="Défalcations, abandons de solde PP et IS"/>
    <n v="0.24"/>
    <n v="0"/>
    <n v="3301"/>
  </r>
  <r>
    <x v="0"/>
    <x v="5"/>
    <x v="1"/>
    <x v="162"/>
    <x v="141"/>
    <x v="141"/>
    <s v="CHARGES"/>
    <x v="1"/>
    <s v="3301.001"/>
    <s v="Défalcations, abandons de solde PP et IS"/>
    <n v="0.03"/>
    <n v="0"/>
    <n v="3301"/>
  </r>
  <r>
    <x v="0"/>
    <x v="5"/>
    <x v="1"/>
    <x v="162"/>
    <x v="141"/>
    <x v="141"/>
    <s v="CHARGES"/>
    <x v="0"/>
    <s v="3212.002"/>
    <s v="Intérêts bonifiés/trop perçu acompte C/C"/>
    <n v="-0.01"/>
    <n v="0"/>
    <n v="3212"/>
  </r>
  <r>
    <x v="0"/>
    <x v="5"/>
    <x v="1"/>
    <x v="162"/>
    <x v="141"/>
    <x v="141"/>
    <s v="CHARGES"/>
    <x v="0"/>
    <s v="3221.002"/>
    <s v="Intérêts compensatoires / créances en faveur ctb."/>
    <n v="0.25"/>
    <n v="0"/>
    <n v="3221"/>
  </r>
  <r>
    <x v="0"/>
    <x v="5"/>
    <x v="1"/>
    <x v="162"/>
    <x v="141"/>
    <x v="141"/>
    <s v="CHARGES"/>
    <x v="0"/>
    <s v="3212.004"/>
    <s v="Intérêts rémun./perçu trop tôt sur acomptes C/C"/>
    <n v="-0.24"/>
    <n v="0"/>
    <n v="3212"/>
  </r>
  <r>
    <x v="0"/>
    <x v="5"/>
    <x v="1"/>
    <x v="162"/>
    <x v="141"/>
    <x v="141"/>
    <s v="CHARGES"/>
    <x v="0"/>
    <s v="3221.002"/>
    <s v="Intérêts compensatoires / créances en faveur ctb."/>
    <n v="-0.2"/>
    <n v="0"/>
    <n v="3221"/>
  </r>
  <r>
    <x v="0"/>
    <x v="5"/>
    <x v="1"/>
    <x v="162"/>
    <x v="141"/>
    <x v="141"/>
    <s v="CHARGES"/>
    <x v="1"/>
    <s v="3301.001"/>
    <s v="Défalcations, abandons de solde PP et IS"/>
    <n v="0.03"/>
    <n v="0"/>
    <n v="3301"/>
  </r>
  <r>
    <x v="0"/>
    <x v="5"/>
    <x v="1"/>
    <x v="162"/>
    <x v="141"/>
    <x v="141"/>
    <s v="CHARGES"/>
    <x v="0"/>
    <s v="3212.004"/>
    <s v="Intérêts rémun./perçu trop tôt sur acomptes C/C"/>
    <n v="0.15"/>
    <n v="0"/>
    <n v="3212"/>
  </r>
  <r>
    <x v="0"/>
    <x v="5"/>
    <x v="1"/>
    <x v="162"/>
    <x v="141"/>
    <x v="141"/>
    <s v="REVENUS"/>
    <x v="2"/>
    <s v="4001.007"/>
    <s v="Acompte impôt sur revenu"/>
    <n v="0"/>
    <n v="232059.12"/>
    <n v="4001"/>
  </r>
  <r>
    <x v="0"/>
    <x v="5"/>
    <x v="1"/>
    <x v="162"/>
    <x v="141"/>
    <x v="141"/>
    <s v="REVENUS"/>
    <x v="6"/>
    <s v="4211.001"/>
    <s v="Intérêts de retard sur factures"/>
    <n v="0"/>
    <n v="14.94"/>
    <n v="4211"/>
  </r>
  <r>
    <x v="0"/>
    <x v="5"/>
    <x v="1"/>
    <x v="162"/>
    <x v="141"/>
    <x v="141"/>
    <s v="REVENUS"/>
    <x v="3"/>
    <s v="4002.007"/>
    <s v="Acompte impôt sur fortune"/>
    <n v="0"/>
    <n v="-40706.300000000003"/>
    <n v="4002"/>
  </r>
  <r>
    <x v="0"/>
    <x v="5"/>
    <x v="1"/>
    <x v="162"/>
    <x v="141"/>
    <x v="141"/>
    <s v="REVENUS"/>
    <x v="2"/>
    <s v="4001.001"/>
    <s v="Impôt revenu"/>
    <n v="0"/>
    <n v="2440064.35"/>
    <n v="4001"/>
  </r>
  <r>
    <x v="0"/>
    <x v="5"/>
    <x v="1"/>
    <x v="162"/>
    <x v="141"/>
    <x v="141"/>
    <s v="REVENUS"/>
    <x v="2"/>
    <s v="4001.002"/>
    <s v="Impôt complément s/revenu PP"/>
    <n v="0"/>
    <n v="528487.15"/>
    <n v="4001"/>
  </r>
  <r>
    <x v="0"/>
    <x v="5"/>
    <x v="1"/>
    <x v="162"/>
    <x v="141"/>
    <x v="141"/>
    <s v="REVENUS"/>
    <x v="3"/>
    <s v="4002.001"/>
    <s v="Impôt ordinaire s/fortune PP"/>
    <n v="0"/>
    <n v="175648.05"/>
    <n v="4002"/>
  </r>
  <r>
    <x v="0"/>
    <x v="5"/>
    <x v="1"/>
    <x v="162"/>
    <x v="141"/>
    <x v="141"/>
    <s v="REVENUS"/>
    <x v="3"/>
    <s v="4002.002"/>
    <s v="Impôt complémentaire s/fortune PP"/>
    <n v="0"/>
    <n v="83064.95"/>
    <n v="4002"/>
  </r>
  <r>
    <x v="0"/>
    <x v="5"/>
    <x v="1"/>
    <x v="162"/>
    <x v="141"/>
    <x v="141"/>
    <s v="REVENUS"/>
    <x v="6"/>
    <s v="4211.002"/>
    <s v="Intérêts de retard sur acomptes"/>
    <n v="0"/>
    <n v="14650"/>
    <n v="4211"/>
  </r>
  <r>
    <x v="0"/>
    <x v="5"/>
    <x v="1"/>
    <x v="162"/>
    <x v="141"/>
    <x v="141"/>
    <s v="REVENUS"/>
    <x v="2"/>
    <s v="4001.007"/>
    <s v="Acompte impôt sur revenu"/>
    <n v="0"/>
    <n v="-358526.82"/>
    <n v="4001"/>
  </r>
  <r>
    <x v="0"/>
    <x v="5"/>
    <x v="1"/>
    <x v="162"/>
    <x v="141"/>
    <x v="141"/>
    <s v="REVENUS"/>
    <x v="6"/>
    <s v="4211.001"/>
    <s v="Intérêts de retard sur factures"/>
    <n v="0"/>
    <n v="10932.91"/>
    <n v="4211"/>
  </r>
  <r>
    <x v="0"/>
    <x v="5"/>
    <x v="1"/>
    <x v="162"/>
    <x v="141"/>
    <x v="141"/>
    <s v="REVENUS"/>
    <x v="6"/>
    <s v="4221.003"/>
    <s v="Intérêts compensat. / acomptes en faveur du fisc"/>
    <n v="0"/>
    <n v="296.2"/>
    <n v="4221"/>
  </r>
  <r>
    <x v="0"/>
    <x v="5"/>
    <x v="1"/>
    <x v="162"/>
    <x v="141"/>
    <x v="141"/>
    <s v="REVENUS"/>
    <x v="3"/>
    <s v="4002.007"/>
    <s v="Acompte impôt sur fortune"/>
    <n v="0"/>
    <n v="35676.879999999997"/>
    <n v="4002"/>
  </r>
  <r>
    <x v="0"/>
    <x v="5"/>
    <x v="1"/>
    <x v="162"/>
    <x v="141"/>
    <x v="141"/>
    <s v="REVENUS"/>
    <x v="7"/>
    <s v="4184.000"/>
    <s v="Frais de poursuite"/>
    <n v="0"/>
    <n v="1938.6"/>
    <n v="4184"/>
  </r>
  <r>
    <x v="0"/>
    <x v="5"/>
    <x v="1"/>
    <x v="162"/>
    <x v="141"/>
    <x v="141"/>
    <s v="REVENUS"/>
    <x v="7"/>
    <s v="4184.000"/>
    <s v="Frais de poursuite"/>
    <n v="0"/>
    <n v="4.25"/>
    <n v="4184"/>
  </r>
  <r>
    <x v="0"/>
    <x v="5"/>
    <x v="1"/>
    <x v="162"/>
    <x v="141"/>
    <x v="141"/>
    <s v="REVENUS"/>
    <x v="9"/>
    <s v="4031.001"/>
    <s v="Impôt sur les gains immobiliers"/>
    <n v="0"/>
    <n v="102752.3"/>
    <n v="4031"/>
  </r>
  <r>
    <x v="0"/>
    <x v="5"/>
    <x v="1"/>
    <x v="162"/>
    <x v="141"/>
    <x v="141"/>
    <s v="REVENUS"/>
    <x v="2"/>
    <s v="4001.003"/>
    <s v="Impôt s/prest. cap. PP"/>
    <n v="0"/>
    <n v="49075.3"/>
    <n v="4001"/>
  </r>
  <r>
    <x v="0"/>
    <x v="5"/>
    <x v="1"/>
    <x v="162"/>
    <x v="141"/>
    <x v="141"/>
    <s v="REVENUS"/>
    <x v="10"/>
    <s v="4041.001"/>
    <s v="Droits de mutation"/>
    <n v="0"/>
    <n v="86650.55"/>
    <n v="4041"/>
  </r>
  <r>
    <x v="0"/>
    <x v="5"/>
    <x v="1"/>
    <x v="162"/>
    <x v="141"/>
    <x v="141"/>
    <s v="REVENUS"/>
    <x v="2"/>
    <s v="4001.007"/>
    <s v="Acompte impôt sur revenu"/>
    <n v="0"/>
    <n v="3257.79"/>
    <n v="4001"/>
  </r>
  <r>
    <x v="0"/>
    <x v="5"/>
    <x v="1"/>
    <x v="162"/>
    <x v="141"/>
    <x v="141"/>
    <s v="REVENUS"/>
    <x v="3"/>
    <s v="4002.007"/>
    <s v="Acompte impôt sur fortune"/>
    <n v="0"/>
    <n v="939.36"/>
    <n v="4002"/>
  </r>
  <r>
    <x v="0"/>
    <x v="5"/>
    <x v="1"/>
    <x v="162"/>
    <x v="141"/>
    <x v="141"/>
    <s v="REVENUS"/>
    <x v="2"/>
    <s v="4001.007"/>
    <s v="Acompte impôt sur revenu"/>
    <n v="0"/>
    <n v="2344.15"/>
    <n v="4001"/>
  </r>
  <r>
    <x v="0"/>
    <x v="5"/>
    <x v="1"/>
    <x v="162"/>
    <x v="141"/>
    <x v="141"/>
    <s v="REVENUS"/>
    <x v="3"/>
    <s v="4002.007"/>
    <s v="Acompte impôt sur fortune"/>
    <n v="0"/>
    <n v="820.8"/>
    <n v="4002"/>
  </r>
  <r>
    <x v="0"/>
    <x v="5"/>
    <x v="1"/>
    <x v="162"/>
    <x v="141"/>
    <x v="141"/>
    <s v="REVENUS"/>
    <x v="2"/>
    <s v="4001.007"/>
    <s v="Acompte impôt sur revenu"/>
    <n v="0"/>
    <n v="177.65"/>
    <n v="4001"/>
  </r>
  <r>
    <x v="0"/>
    <x v="5"/>
    <x v="1"/>
    <x v="162"/>
    <x v="141"/>
    <x v="141"/>
    <s v="REVENUS"/>
    <x v="3"/>
    <s v="4002.007"/>
    <s v="Acompte impôt sur fortune"/>
    <n v="0"/>
    <n v="505.1"/>
    <n v="4002"/>
  </r>
  <r>
    <x v="0"/>
    <x v="5"/>
    <x v="1"/>
    <x v="162"/>
    <x v="141"/>
    <x v="141"/>
    <s v="REVENUS"/>
    <x v="3"/>
    <s v="4002.007"/>
    <s v="Acompte impôt sur fortune"/>
    <n v="0"/>
    <n v="-2299.61"/>
    <n v="4002"/>
  </r>
  <r>
    <x v="0"/>
    <x v="5"/>
    <x v="1"/>
    <x v="162"/>
    <x v="141"/>
    <x v="141"/>
    <s v="REVENUS"/>
    <x v="3"/>
    <s v="4002.007"/>
    <s v="Acompte impôt sur fortune"/>
    <n v="0"/>
    <n v="-4.95"/>
    <n v="4002"/>
  </r>
  <r>
    <x v="0"/>
    <x v="5"/>
    <x v="1"/>
    <x v="162"/>
    <x v="141"/>
    <x v="141"/>
    <s v="REVENUS"/>
    <x v="5"/>
    <s v="4061.000"/>
    <s v="Impôt sur les chiens"/>
    <n v="0"/>
    <n v="4160"/>
    <n v="4061"/>
  </r>
  <r>
    <x v="0"/>
    <x v="5"/>
    <x v="1"/>
    <x v="162"/>
    <x v="141"/>
    <x v="141"/>
    <s v="REVENUS"/>
    <x v="2"/>
    <s v="4001.007"/>
    <s v="Acompte impôt sur revenu"/>
    <n v="0"/>
    <n v="18933.16"/>
    <n v="4001"/>
  </r>
  <r>
    <x v="0"/>
    <x v="5"/>
    <x v="1"/>
    <x v="162"/>
    <x v="141"/>
    <x v="141"/>
    <s v="REVENUS"/>
    <x v="2"/>
    <s v="4001.007"/>
    <s v="Acompte impôt sur revenu"/>
    <n v="0"/>
    <n v="6.75"/>
    <n v="4001"/>
  </r>
  <r>
    <x v="0"/>
    <x v="5"/>
    <x v="1"/>
    <x v="162"/>
    <x v="141"/>
    <x v="141"/>
    <s v="REVENUS"/>
    <x v="6"/>
    <s v="4221.002"/>
    <s v="Intérêts compensat. sur impôts distincts"/>
    <n v="0"/>
    <n v="11.48"/>
    <n v="4221"/>
  </r>
  <r>
    <x v="0"/>
    <x v="5"/>
    <x v="1"/>
    <x v="162"/>
    <x v="141"/>
    <x v="141"/>
    <s v="REVENUS"/>
    <x v="2"/>
    <s v="4001.001"/>
    <s v="Impôt revenu"/>
    <n v="0"/>
    <n v="-282534.65000000002"/>
    <n v="4001"/>
  </r>
  <r>
    <x v="0"/>
    <x v="5"/>
    <x v="1"/>
    <x v="162"/>
    <x v="141"/>
    <x v="141"/>
    <s v="REVENUS"/>
    <x v="3"/>
    <s v="4002.001"/>
    <s v="Impôt ordinaire s/fortune PP"/>
    <n v="0"/>
    <n v="3046.4"/>
    <n v="4002"/>
  </r>
  <r>
    <x v="0"/>
    <x v="5"/>
    <x v="1"/>
    <x v="162"/>
    <x v="141"/>
    <x v="141"/>
    <s v="REVENUS"/>
    <x v="7"/>
    <s v="4184.000"/>
    <s v="Frais de poursuite"/>
    <n v="0"/>
    <n v="174"/>
    <n v="4184"/>
  </r>
  <r>
    <x v="0"/>
    <x v="5"/>
    <x v="1"/>
    <x v="162"/>
    <x v="141"/>
    <x v="141"/>
    <s v="REVENUS"/>
    <x v="2"/>
    <s v="4001.001"/>
    <s v="Impôt revenu"/>
    <n v="0"/>
    <n v="642.25"/>
    <n v="4001"/>
  </r>
  <r>
    <x v="0"/>
    <x v="5"/>
    <x v="1"/>
    <x v="162"/>
    <x v="141"/>
    <x v="141"/>
    <s v="REVENUS"/>
    <x v="3"/>
    <s v="4002.001"/>
    <s v="Impôt ordinaire s/fortune PP"/>
    <n v="0"/>
    <n v="1223.5"/>
    <n v="4002"/>
  </r>
  <r>
    <x v="0"/>
    <x v="5"/>
    <x v="1"/>
    <x v="162"/>
    <x v="141"/>
    <x v="141"/>
    <s v="REVENUS"/>
    <x v="2"/>
    <s v="4001.001"/>
    <s v="Impôt revenu"/>
    <n v="0"/>
    <n v="4006.8"/>
    <n v="4001"/>
  </r>
  <r>
    <x v="0"/>
    <x v="5"/>
    <x v="1"/>
    <x v="162"/>
    <x v="141"/>
    <x v="141"/>
    <s v="REVENUS"/>
    <x v="6"/>
    <s v="4211.002"/>
    <s v="Intérêts de retard sur acomptes"/>
    <n v="0"/>
    <n v="4.8600000000000003"/>
    <n v="4211"/>
  </r>
  <r>
    <x v="0"/>
    <x v="5"/>
    <x v="1"/>
    <x v="162"/>
    <x v="141"/>
    <x v="141"/>
    <s v="REVENUS"/>
    <x v="2"/>
    <s v="4001.002"/>
    <s v="Impôt complément s/revenu PP"/>
    <n v="0"/>
    <n v="-40333.75"/>
    <n v="4001"/>
  </r>
  <r>
    <x v="0"/>
    <x v="5"/>
    <x v="1"/>
    <x v="162"/>
    <x v="141"/>
    <x v="141"/>
    <s v="REVENUS"/>
    <x v="3"/>
    <s v="4002.001"/>
    <s v="Impôt ordinaire s/fortune PP"/>
    <n v="0"/>
    <n v="-32924.15"/>
    <n v="4002"/>
  </r>
  <r>
    <x v="0"/>
    <x v="5"/>
    <x v="1"/>
    <x v="162"/>
    <x v="141"/>
    <x v="141"/>
    <s v="REVENUS"/>
    <x v="3"/>
    <s v="4002.002"/>
    <s v="Impôt complémentaire s/fortune PP"/>
    <n v="0"/>
    <n v="-12308.45"/>
    <n v="4002"/>
  </r>
  <r>
    <x v="0"/>
    <x v="5"/>
    <x v="1"/>
    <x v="162"/>
    <x v="141"/>
    <x v="141"/>
    <s v="REVENUS"/>
    <x v="4"/>
    <s v="4051.001"/>
    <s v="Impôt sur les successions"/>
    <n v="0"/>
    <n v="9743.7999999999993"/>
    <n v="4051"/>
  </r>
  <r>
    <x v="0"/>
    <x v="5"/>
    <x v="1"/>
    <x v="162"/>
    <x v="141"/>
    <x v="141"/>
    <s v="REVENUS"/>
    <x v="6"/>
    <s v="4221.002"/>
    <s v="Intérêts compensat. sur impôts distincts"/>
    <n v="0"/>
    <n v="13.04"/>
    <n v="4221"/>
  </r>
  <r>
    <x v="0"/>
    <x v="5"/>
    <x v="1"/>
    <x v="162"/>
    <x v="141"/>
    <x v="141"/>
    <s v="REVENUS"/>
    <x v="6"/>
    <s v="4211.001"/>
    <s v="Intérêts de retard sur factures"/>
    <n v="0"/>
    <n v="90.52"/>
    <n v="4211"/>
  </r>
  <r>
    <x v="0"/>
    <x v="5"/>
    <x v="1"/>
    <x v="162"/>
    <x v="141"/>
    <x v="141"/>
    <s v="REVENUS"/>
    <x v="8"/>
    <s v="4091.001"/>
    <s v="Impôt récupéré après défalcations"/>
    <n v="0"/>
    <n v="2396.9899999999998"/>
    <n v="4091"/>
  </r>
  <r>
    <x v="0"/>
    <x v="5"/>
    <x v="1"/>
    <x v="162"/>
    <x v="141"/>
    <x v="141"/>
    <s v="REVENUS"/>
    <x v="2"/>
    <s v="4001.001"/>
    <s v="Impôt revenu"/>
    <n v="0"/>
    <n v="729.1"/>
    <n v="4001"/>
  </r>
  <r>
    <x v="0"/>
    <x v="5"/>
    <x v="1"/>
    <x v="162"/>
    <x v="141"/>
    <x v="141"/>
    <s v="REVENUS"/>
    <x v="3"/>
    <s v="4002.001"/>
    <s v="Impôt ordinaire s/fortune PP"/>
    <n v="0"/>
    <n v="546.25"/>
    <n v="4002"/>
  </r>
  <r>
    <x v="0"/>
    <x v="5"/>
    <x v="1"/>
    <x v="162"/>
    <x v="141"/>
    <x v="141"/>
    <s v="REVENUS"/>
    <x v="6"/>
    <s v="4211.002"/>
    <s v="Intérêts de retard sur acomptes"/>
    <n v="0"/>
    <n v="1.18"/>
    <n v="4211"/>
  </r>
  <r>
    <x v="0"/>
    <x v="5"/>
    <x v="1"/>
    <x v="162"/>
    <x v="141"/>
    <x v="141"/>
    <s v="REVENUS"/>
    <x v="2"/>
    <s v="4001.001"/>
    <s v="Impôt revenu"/>
    <n v="0"/>
    <n v="164.7"/>
    <n v="4001"/>
  </r>
  <r>
    <x v="0"/>
    <x v="5"/>
    <x v="1"/>
    <x v="162"/>
    <x v="141"/>
    <x v="141"/>
    <s v="REVENUS"/>
    <x v="3"/>
    <s v="4002.001"/>
    <s v="Impôt ordinaire s/fortune PP"/>
    <n v="0"/>
    <n v="124.2"/>
    <n v="4002"/>
  </r>
  <r>
    <x v="0"/>
    <x v="5"/>
    <x v="1"/>
    <x v="162"/>
    <x v="141"/>
    <x v="141"/>
    <s v="REVENUS"/>
    <x v="2"/>
    <s v="4001.001"/>
    <s v="Impôt revenu"/>
    <n v="0"/>
    <n v="764.8"/>
    <n v="4001"/>
  </r>
  <r>
    <x v="0"/>
    <x v="5"/>
    <x v="1"/>
    <x v="162"/>
    <x v="141"/>
    <x v="141"/>
    <s v="REVENUS"/>
    <x v="6"/>
    <s v="4211.002"/>
    <s v="Intérêts de retard sur acomptes"/>
    <n v="0"/>
    <n v="15.27"/>
    <n v="4211"/>
  </r>
  <r>
    <x v="0"/>
    <x v="5"/>
    <x v="1"/>
    <x v="162"/>
    <x v="141"/>
    <x v="141"/>
    <s v="REVENUS"/>
    <x v="6"/>
    <s v="4221.003"/>
    <s v="Intérêts compensat. / acomptes en faveur du fisc"/>
    <n v="0"/>
    <n v="1.32"/>
    <n v="4221"/>
  </r>
  <r>
    <x v="0"/>
    <x v="5"/>
    <x v="1"/>
    <x v="162"/>
    <x v="141"/>
    <x v="141"/>
    <s v="REVENUS"/>
    <x v="2"/>
    <s v="4001.002"/>
    <s v="Impôt complément s/revenu PP"/>
    <n v="0"/>
    <n v="4636.05"/>
    <n v="4001"/>
  </r>
  <r>
    <x v="0"/>
    <x v="5"/>
    <x v="1"/>
    <x v="162"/>
    <x v="141"/>
    <x v="141"/>
    <s v="REVENUS"/>
    <x v="3"/>
    <s v="4002.001"/>
    <s v="Impôt ordinaire s/fortune PP"/>
    <n v="0"/>
    <n v="160.65"/>
    <n v="4002"/>
  </r>
  <r>
    <x v="0"/>
    <x v="5"/>
    <x v="1"/>
    <x v="162"/>
    <x v="141"/>
    <x v="141"/>
    <s v="REVENUS"/>
    <x v="3"/>
    <s v="4002.002"/>
    <s v="Impôt complémentaire s/fortune PP"/>
    <n v="0"/>
    <n v="2246.0500000000002"/>
    <n v="4002"/>
  </r>
  <r>
    <x v="0"/>
    <x v="5"/>
    <x v="1"/>
    <x v="162"/>
    <x v="141"/>
    <x v="141"/>
    <s v="REVENUS"/>
    <x v="6"/>
    <s v="4221.003"/>
    <s v="Intérêts compensat. / acomptes en faveur du fisc"/>
    <n v="0"/>
    <n v="0.03"/>
    <n v="4221"/>
  </r>
  <r>
    <x v="0"/>
    <x v="5"/>
    <x v="1"/>
    <x v="162"/>
    <x v="141"/>
    <x v="141"/>
    <s v="REVENUS"/>
    <x v="3"/>
    <s v="4002.002"/>
    <s v="Impôt complémentaire s/fortune PP"/>
    <n v="0"/>
    <n v="121.55"/>
    <n v="4002"/>
  </r>
  <r>
    <x v="0"/>
    <x v="5"/>
    <x v="1"/>
    <x v="162"/>
    <x v="141"/>
    <x v="141"/>
    <s v="REVENUS"/>
    <x v="6"/>
    <s v="4221.003"/>
    <s v="Intérêts compensat. / acomptes en faveur du fisc"/>
    <n v="0"/>
    <n v="0.44"/>
    <n v="4221"/>
  </r>
  <r>
    <x v="0"/>
    <x v="5"/>
    <x v="1"/>
    <x v="162"/>
    <x v="141"/>
    <x v="141"/>
    <s v="REVENUS"/>
    <x v="6"/>
    <s v="4221.003"/>
    <s v="Intérêts compensat. / acomptes en faveur du fisc"/>
    <n v="0"/>
    <n v="0.03"/>
    <n v="4221"/>
  </r>
  <r>
    <x v="0"/>
    <x v="5"/>
    <x v="1"/>
    <x v="162"/>
    <x v="141"/>
    <x v="141"/>
    <s v="REVENUS"/>
    <x v="2"/>
    <s v="4001.005"/>
    <s v="Amende de soustract. Impôt"/>
    <n v="0"/>
    <n v="17200"/>
    <n v="4001"/>
  </r>
  <r>
    <x v="0"/>
    <x v="5"/>
    <x v="1"/>
    <x v="162"/>
    <x v="141"/>
    <x v="141"/>
    <s v="REVENUS"/>
    <x v="6"/>
    <s v="4211.002"/>
    <s v="Intérêts de retard sur acomptes"/>
    <n v="0"/>
    <n v="15.87"/>
    <n v="4211"/>
  </r>
  <r>
    <x v="0"/>
    <x v="5"/>
    <x v="1"/>
    <x v="162"/>
    <x v="141"/>
    <x v="141"/>
    <s v="REVENUS"/>
    <x v="2"/>
    <s v="4001.003"/>
    <s v="Impôt s/prest. cap. PP"/>
    <n v="0"/>
    <n v="-6611"/>
    <n v="4001"/>
  </r>
  <r>
    <x v="0"/>
    <x v="5"/>
    <x v="1"/>
    <x v="163"/>
    <x v="142"/>
    <x v="142"/>
    <s v="CHARGES"/>
    <x v="0"/>
    <s v="3212.004"/>
    <s v="Intérêts rémun./perçu trop tôt sur acomptes C/C"/>
    <n v="1471"/>
    <n v="0"/>
    <n v="3212"/>
  </r>
  <r>
    <x v="0"/>
    <x v="5"/>
    <x v="1"/>
    <x v="163"/>
    <x v="142"/>
    <x v="142"/>
    <s v="CHARGES"/>
    <x v="0"/>
    <s v="3221.002"/>
    <s v="Intérêts compensatoires / créances en faveur ctb."/>
    <n v="527.74"/>
    <n v="0"/>
    <n v="3221"/>
  </r>
  <r>
    <x v="0"/>
    <x v="5"/>
    <x v="1"/>
    <x v="163"/>
    <x v="142"/>
    <x v="142"/>
    <s v="CHARGES"/>
    <x v="1"/>
    <s v="3301.001"/>
    <s v="Défalcations, abandons de solde PP et IS"/>
    <n v="34249.199999999997"/>
    <n v="0"/>
    <n v="3301"/>
  </r>
  <r>
    <x v="0"/>
    <x v="5"/>
    <x v="1"/>
    <x v="163"/>
    <x v="142"/>
    <x v="142"/>
    <s v="CHARGES"/>
    <x v="1"/>
    <s v="3301.001"/>
    <s v="Défalcations, abandons de solde PP et IS"/>
    <n v="2663.2"/>
    <n v="0"/>
    <n v="3301"/>
  </r>
  <r>
    <x v="0"/>
    <x v="5"/>
    <x v="1"/>
    <x v="163"/>
    <x v="142"/>
    <x v="142"/>
    <s v="CHARGES"/>
    <x v="1"/>
    <s v="3301.001"/>
    <s v="Défalcations, abandons de solde PP et IS"/>
    <n v="5222.1400000000003"/>
    <n v="0"/>
    <n v="3301"/>
  </r>
  <r>
    <x v="0"/>
    <x v="5"/>
    <x v="1"/>
    <x v="163"/>
    <x v="142"/>
    <x v="142"/>
    <s v="CHARGES"/>
    <x v="0"/>
    <s v="3212.002"/>
    <s v="Intérêts bonifiés/trop perçu acompte C/C"/>
    <n v="265.49"/>
    <n v="0"/>
    <n v="3212"/>
  </r>
  <r>
    <x v="0"/>
    <x v="5"/>
    <x v="1"/>
    <x v="163"/>
    <x v="142"/>
    <x v="142"/>
    <s v="CHARGES"/>
    <x v="0"/>
    <s v="3212.004"/>
    <s v="Intérêts rémun./perçu trop tôt sur acomptes C/C"/>
    <n v="3.34"/>
    <n v="0"/>
    <n v="3212"/>
  </r>
  <r>
    <x v="0"/>
    <x v="5"/>
    <x v="1"/>
    <x v="163"/>
    <x v="142"/>
    <x v="142"/>
    <s v="CHARGES"/>
    <x v="1"/>
    <s v="3301.001"/>
    <s v="Défalcations, abandons de solde PP et IS"/>
    <n v="3.32"/>
    <n v="0"/>
    <n v="3301"/>
  </r>
  <r>
    <x v="0"/>
    <x v="5"/>
    <x v="1"/>
    <x v="163"/>
    <x v="142"/>
    <x v="142"/>
    <s v="CHARGES"/>
    <x v="1"/>
    <s v="3301.001"/>
    <s v="Défalcations, abandons de solde PP et IS"/>
    <n v="0.41"/>
    <n v="0"/>
    <n v="3301"/>
  </r>
  <r>
    <x v="0"/>
    <x v="5"/>
    <x v="1"/>
    <x v="163"/>
    <x v="142"/>
    <x v="142"/>
    <s v="CHARGES"/>
    <x v="0"/>
    <s v="3212.004"/>
    <s v="Intérêts rémun./perçu trop tôt sur acomptes C/C"/>
    <n v="20.190000000000001"/>
    <n v="0"/>
    <n v="3212"/>
  </r>
  <r>
    <x v="0"/>
    <x v="5"/>
    <x v="1"/>
    <x v="163"/>
    <x v="142"/>
    <x v="142"/>
    <s v="CHARGES"/>
    <x v="0"/>
    <s v="3221.002"/>
    <s v="Intérêts compensatoires / créances en faveur ctb."/>
    <n v="4.3"/>
    <n v="0"/>
    <n v="3221"/>
  </r>
  <r>
    <x v="0"/>
    <x v="5"/>
    <x v="1"/>
    <x v="163"/>
    <x v="142"/>
    <x v="142"/>
    <s v="CHARGES"/>
    <x v="0"/>
    <s v="3212.004"/>
    <s v="Intérêts rémun./perçu trop tôt sur acomptes C/C"/>
    <n v="5.7"/>
    <n v="0"/>
    <n v="3212"/>
  </r>
  <r>
    <x v="0"/>
    <x v="5"/>
    <x v="1"/>
    <x v="163"/>
    <x v="142"/>
    <x v="142"/>
    <s v="CHARGES"/>
    <x v="0"/>
    <s v="3221.002"/>
    <s v="Intérêts compensatoires / créances en faveur ctb."/>
    <n v="3.3"/>
    <n v="0"/>
    <n v="3221"/>
  </r>
  <r>
    <x v="0"/>
    <x v="5"/>
    <x v="1"/>
    <x v="163"/>
    <x v="142"/>
    <x v="142"/>
    <s v="CHARGES"/>
    <x v="0"/>
    <s v="3212.002"/>
    <s v="Intérêts bonifiés/trop perçu acompte C/C"/>
    <n v="0.03"/>
    <n v="0"/>
    <n v="3212"/>
  </r>
  <r>
    <x v="0"/>
    <x v="5"/>
    <x v="1"/>
    <x v="163"/>
    <x v="142"/>
    <x v="142"/>
    <s v="CHARGES"/>
    <x v="0"/>
    <s v="3221.002"/>
    <s v="Intérêts compensatoires / créances en faveur ctb."/>
    <n v="0.01"/>
    <n v="0"/>
    <n v="3221"/>
  </r>
  <r>
    <x v="0"/>
    <x v="5"/>
    <x v="1"/>
    <x v="163"/>
    <x v="142"/>
    <x v="142"/>
    <s v="CHARGES"/>
    <x v="0"/>
    <s v="3212.004"/>
    <s v="Intérêts rémun./perçu trop tôt sur acomptes C/C"/>
    <n v="62.78"/>
    <n v="0"/>
    <n v="3212"/>
  </r>
  <r>
    <x v="0"/>
    <x v="5"/>
    <x v="1"/>
    <x v="163"/>
    <x v="142"/>
    <x v="142"/>
    <s v="CHARGES"/>
    <x v="0"/>
    <s v="3221.002"/>
    <s v="Intérêts compensatoires / créances en faveur ctb."/>
    <n v="0.19"/>
    <n v="0"/>
    <n v="3221"/>
  </r>
  <r>
    <x v="0"/>
    <x v="5"/>
    <x v="1"/>
    <x v="163"/>
    <x v="142"/>
    <x v="142"/>
    <s v="CHARGES"/>
    <x v="0"/>
    <s v="3212.004"/>
    <s v="Intérêts rémun./perçu trop tôt sur acomptes C/C"/>
    <n v="0.75"/>
    <n v="0"/>
    <n v="3212"/>
  </r>
  <r>
    <x v="0"/>
    <x v="5"/>
    <x v="1"/>
    <x v="163"/>
    <x v="142"/>
    <x v="142"/>
    <s v="CHARGES"/>
    <x v="1"/>
    <s v="3301.001"/>
    <s v="Défalcations, abandons de solde PP et IS"/>
    <n v="-1.35"/>
    <n v="0"/>
    <n v="3301"/>
  </r>
  <r>
    <x v="0"/>
    <x v="5"/>
    <x v="1"/>
    <x v="163"/>
    <x v="142"/>
    <x v="142"/>
    <s v="CHARGES"/>
    <x v="0"/>
    <s v="3221.002"/>
    <s v="Intérêts compensatoires / créances en faveur ctb."/>
    <n v="6.25"/>
    <n v="0"/>
    <n v="3221"/>
  </r>
  <r>
    <x v="0"/>
    <x v="5"/>
    <x v="1"/>
    <x v="163"/>
    <x v="142"/>
    <x v="142"/>
    <s v="CHARGES"/>
    <x v="0"/>
    <s v="3212.002"/>
    <s v="Intérêts bonifiés/trop perçu acompte C/C"/>
    <n v="-4.33"/>
    <n v="0"/>
    <n v="3212"/>
  </r>
  <r>
    <x v="0"/>
    <x v="5"/>
    <x v="1"/>
    <x v="163"/>
    <x v="142"/>
    <x v="142"/>
    <s v="REVENUS"/>
    <x v="2"/>
    <s v="4001.007"/>
    <s v="Acompte impôt sur revenu"/>
    <n v="0"/>
    <n v="1349741.56"/>
    <n v="4001"/>
  </r>
  <r>
    <x v="0"/>
    <x v="5"/>
    <x v="1"/>
    <x v="163"/>
    <x v="142"/>
    <x v="142"/>
    <s v="REVENUS"/>
    <x v="3"/>
    <s v="4002.007"/>
    <s v="Acompte impôt sur fortune"/>
    <n v="0"/>
    <n v="416645.77"/>
    <n v="4002"/>
  </r>
  <r>
    <x v="0"/>
    <x v="5"/>
    <x v="1"/>
    <x v="163"/>
    <x v="142"/>
    <x v="142"/>
    <s v="REVENUS"/>
    <x v="3"/>
    <s v="4002.007"/>
    <s v="Acompte impôt sur fortune"/>
    <n v="0"/>
    <n v="2054.3200000000002"/>
    <n v="4002"/>
  </r>
  <r>
    <x v="0"/>
    <x v="5"/>
    <x v="1"/>
    <x v="163"/>
    <x v="142"/>
    <x v="142"/>
    <s v="REVENUS"/>
    <x v="2"/>
    <s v="4001.007"/>
    <s v="Acompte impôt sur revenu"/>
    <n v="0"/>
    <n v="-1111071.23"/>
    <n v="4001"/>
  </r>
  <r>
    <x v="0"/>
    <x v="5"/>
    <x v="1"/>
    <x v="163"/>
    <x v="142"/>
    <x v="142"/>
    <s v="REVENUS"/>
    <x v="3"/>
    <s v="4002.007"/>
    <s v="Acompte impôt sur fortune"/>
    <n v="0"/>
    <n v="-352307.34"/>
    <n v="4002"/>
  </r>
  <r>
    <x v="0"/>
    <x v="5"/>
    <x v="1"/>
    <x v="163"/>
    <x v="142"/>
    <x v="142"/>
    <s v="REVENUS"/>
    <x v="2"/>
    <s v="4001.001"/>
    <s v="Impôt revenu"/>
    <n v="0"/>
    <n v="4514090.5999999996"/>
    <n v="4001"/>
  </r>
  <r>
    <x v="0"/>
    <x v="5"/>
    <x v="1"/>
    <x v="163"/>
    <x v="142"/>
    <x v="142"/>
    <s v="REVENUS"/>
    <x v="3"/>
    <s v="4002.001"/>
    <s v="Impôt ordinaire s/fortune PP"/>
    <n v="0"/>
    <n v="1115028.2"/>
    <n v="4002"/>
  </r>
  <r>
    <x v="0"/>
    <x v="5"/>
    <x v="1"/>
    <x v="163"/>
    <x v="142"/>
    <x v="142"/>
    <s v="REVENUS"/>
    <x v="6"/>
    <s v="4211.001"/>
    <s v="Intérêts de retard sur factures"/>
    <n v="0"/>
    <n v="20520.23"/>
    <n v="4211"/>
  </r>
  <r>
    <x v="0"/>
    <x v="5"/>
    <x v="1"/>
    <x v="163"/>
    <x v="142"/>
    <x v="142"/>
    <s v="REVENUS"/>
    <x v="6"/>
    <s v="4211.002"/>
    <s v="Intérêts de retard sur acomptes"/>
    <n v="0"/>
    <n v="27596.76"/>
    <n v="4211"/>
  </r>
  <r>
    <x v="0"/>
    <x v="5"/>
    <x v="1"/>
    <x v="163"/>
    <x v="142"/>
    <x v="142"/>
    <s v="REVENUS"/>
    <x v="6"/>
    <s v="4221.003"/>
    <s v="Intérêts compensat. / acomptes en faveur du fisc"/>
    <n v="0"/>
    <n v="239.93"/>
    <n v="4221"/>
  </r>
  <r>
    <x v="0"/>
    <x v="5"/>
    <x v="1"/>
    <x v="163"/>
    <x v="142"/>
    <x v="142"/>
    <s v="REVENUS"/>
    <x v="6"/>
    <s v="4211.001"/>
    <s v="Intérêts de retard sur factures"/>
    <n v="0"/>
    <n v="78.989999999999995"/>
    <n v="4211"/>
  </r>
  <r>
    <x v="0"/>
    <x v="5"/>
    <x v="1"/>
    <x v="163"/>
    <x v="142"/>
    <x v="142"/>
    <s v="REVENUS"/>
    <x v="7"/>
    <s v="4184.000"/>
    <s v="Frais de poursuite"/>
    <n v="0"/>
    <n v="2721.02"/>
    <n v="4184"/>
  </r>
  <r>
    <x v="0"/>
    <x v="5"/>
    <x v="1"/>
    <x v="163"/>
    <x v="142"/>
    <x v="142"/>
    <s v="REVENUS"/>
    <x v="3"/>
    <s v="4002.001"/>
    <s v="Impôt ordinaire s/fortune PP"/>
    <n v="0"/>
    <n v="17457.849999999999"/>
    <n v="4002"/>
  </r>
  <r>
    <x v="0"/>
    <x v="5"/>
    <x v="1"/>
    <x v="163"/>
    <x v="142"/>
    <x v="142"/>
    <s v="REVENUS"/>
    <x v="6"/>
    <s v="4221.003"/>
    <s v="Intérêts compensat. / acomptes en faveur du fisc"/>
    <n v="0"/>
    <n v="-10.64"/>
    <n v="4221"/>
  </r>
  <r>
    <x v="0"/>
    <x v="5"/>
    <x v="1"/>
    <x v="163"/>
    <x v="142"/>
    <x v="142"/>
    <s v="REVENUS"/>
    <x v="2"/>
    <s v="4001.001"/>
    <s v="Impôt revenu"/>
    <n v="0"/>
    <n v="-550613.1"/>
    <n v="4001"/>
  </r>
  <r>
    <x v="0"/>
    <x v="5"/>
    <x v="1"/>
    <x v="163"/>
    <x v="142"/>
    <x v="142"/>
    <s v="REVENUS"/>
    <x v="2"/>
    <s v="4001.002"/>
    <s v="Impôt complément s/revenu PP"/>
    <n v="0"/>
    <n v="1247369.1000000001"/>
    <n v="4001"/>
  </r>
  <r>
    <x v="0"/>
    <x v="5"/>
    <x v="1"/>
    <x v="163"/>
    <x v="142"/>
    <x v="142"/>
    <s v="REVENUS"/>
    <x v="3"/>
    <s v="4002.002"/>
    <s v="Impôt complémentaire s/fortune PP"/>
    <n v="0"/>
    <n v="263656.34999999998"/>
    <n v="4002"/>
  </r>
  <r>
    <x v="0"/>
    <x v="5"/>
    <x v="1"/>
    <x v="163"/>
    <x v="142"/>
    <x v="142"/>
    <s v="REVENUS"/>
    <x v="2"/>
    <s v="4001.001"/>
    <s v="Impôt revenu"/>
    <n v="0"/>
    <n v="18061.2"/>
    <n v="4001"/>
  </r>
  <r>
    <x v="0"/>
    <x v="5"/>
    <x v="1"/>
    <x v="163"/>
    <x v="142"/>
    <x v="142"/>
    <s v="REVENUS"/>
    <x v="6"/>
    <s v="4221.003"/>
    <s v="Intérêts compensat. / acomptes en faveur du fisc"/>
    <n v="0"/>
    <n v="11.06"/>
    <n v="4221"/>
  </r>
  <r>
    <x v="0"/>
    <x v="5"/>
    <x v="1"/>
    <x v="163"/>
    <x v="142"/>
    <x v="142"/>
    <s v="REVENUS"/>
    <x v="10"/>
    <s v="4041.001"/>
    <s v="Droits de mutation"/>
    <n v="0"/>
    <n v="180406.65"/>
    <n v="4041"/>
  </r>
  <r>
    <x v="0"/>
    <x v="5"/>
    <x v="1"/>
    <x v="163"/>
    <x v="142"/>
    <x v="142"/>
    <s v="REVENUS"/>
    <x v="2"/>
    <s v="4001.003"/>
    <s v="Impôt s/prest. cap. PP"/>
    <n v="0"/>
    <n v="250106.15"/>
    <n v="4001"/>
  </r>
  <r>
    <x v="0"/>
    <x v="5"/>
    <x v="1"/>
    <x v="163"/>
    <x v="142"/>
    <x v="142"/>
    <s v="REVENUS"/>
    <x v="9"/>
    <s v="4031.001"/>
    <s v="Impôt sur les gains immobiliers"/>
    <n v="0"/>
    <n v="195659.1"/>
    <n v="4031"/>
  </r>
  <r>
    <x v="0"/>
    <x v="5"/>
    <x v="1"/>
    <x v="163"/>
    <x v="142"/>
    <x v="142"/>
    <s v="REVENUS"/>
    <x v="9"/>
    <s v="4031.002"/>
    <s v="Complément impôt sur les gains immobiliers"/>
    <n v="0"/>
    <n v="22644.65"/>
    <n v="4031"/>
  </r>
  <r>
    <x v="0"/>
    <x v="5"/>
    <x v="1"/>
    <x v="163"/>
    <x v="142"/>
    <x v="142"/>
    <s v="REVENUS"/>
    <x v="6"/>
    <s v="4221.002"/>
    <s v="Intérêts compensat. sur impôts distincts"/>
    <n v="0"/>
    <n v="454.26"/>
    <n v="4221"/>
  </r>
  <r>
    <x v="0"/>
    <x v="5"/>
    <x v="1"/>
    <x v="163"/>
    <x v="142"/>
    <x v="142"/>
    <s v="REVENUS"/>
    <x v="3"/>
    <s v="4002.001"/>
    <s v="Impôt ordinaire s/fortune PP"/>
    <n v="0"/>
    <n v="-95813.7"/>
    <n v="4002"/>
  </r>
  <r>
    <x v="0"/>
    <x v="5"/>
    <x v="1"/>
    <x v="163"/>
    <x v="142"/>
    <x v="142"/>
    <s v="REVENUS"/>
    <x v="2"/>
    <s v="4001.001"/>
    <s v="Impôt revenu"/>
    <n v="0"/>
    <n v="5167"/>
    <n v="4001"/>
  </r>
  <r>
    <x v="0"/>
    <x v="5"/>
    <x v="1"/>
    <x v="163"/>
    <x v="142"/>
    <x v="142"/>
    <s v="REVENUS"/>
    <x v="6"/>
    <s v="4221.003"/>
    <s v="Intérêts compensat. / acomptes en faveur du fisc"/>
    <n v="0"/>
    <n v="0.41"/>
    <n v="4221"/>
  </r>
  <r>
    <x v="0"/>
    <x v="5"/>
    <x v="1"/>
    <x v="163"/>
    <x v="142"/>
    <x v="142"/>
    <s v="REVENUS"/>
    <x v="2"/>
    <s v="4001.002"/>
    <s v="Impôt complément s/revenu PP"/>
    <n v="0"/>
    <n v="-51535.95"/>
    <n v="4001"/>
  </r>
  <r>
    <x v="0"/>
    <x v="5"/>
    <x v="1"/>
    <x v="163"/>
    <x v="142"/>
    <x v="142"/>
    <s v="REVENUS"/>
    <x v="4"/>
    <s v="4051.001"/>
    <s v="Impôt sur les successions"/>
    <n v="0"/>
    <n v="1382831.9"/>
    <n v="4051"/>
  </r>
  <r>
    <x v="0"/>
    <x v="5"/>
    <x v="1"/>
    <x v="163"/>
    <x v="142"/>
    <x v="142"/>
    <s v="REVENUS"/>
    <x v="2"/>
    <s v="4001.001"/>
    <s v="Impôt revenu"/>
    <n v="0"/>
    <n v="85318.95"/>
    <n v="4001"/>
  </r>
  <r>
    <x v="0"/>
    <x v="5"/>
    <x v="1"/>
    <x v="163"/>
    <x v="142"/>
    <x v="142"/>
    <s v="REVENUS"/>
    <x v="2"/>
    <s v="4001.007"/>
    <s v="Acompte impôt sur revenu"/>
    <n v="0"/>
    <n v="-28285.21"/>
    <n v="4001"/>
  </r>
  <r>
    <x v="0"/>
    <x v="5"/>
    <x v="1"/>
    <x v="163"/>
    <x v="142"/>
    <x v="142"/>
    <s v="REVENUS"/>
    <x v="6"/>
    <s v="4211.002"/>
    <s v="Intérêts de retard sur acomptes"/>
    <n v="0"/>
    <n v="681.09"/>
    <n v="4211"/>
  </r>
  <r>
    <x v="0"/>
    <x v="5"/>
    <x v="1"/>
    <x v="163"/>
    <x v="142"/>
    <x v="142"/>
    <s v="REVENUS"/>
    <x v="6"/>
    <s v="4211.001"/>
    <s v="Intérêts de retard sur factures"/>
    <n v="0"/>
    <n v="146.55000000000001"/>
    <n v="4211"/>
  </r>
  <r>
    <x v="0"/>
    <x v="5"/>
    <x v="1"/>
    <x v="163"/>
    <x v="142"/>
    <x v="142"/>
    <s v="REVENUS"/>
    <x v="12"/>
    <s v="4004.007"/>
    <s v="Acompte spécial étrangers"/>
    <n v="0"/>
    <n v="135508.6"/>
    <n v="4004"/>
  </r>
  <r>
    <x v="0"/>
    <x v="5"/>
    <x v="1"/>
    <x v="163"/>
    <x v="142"/>
    <x v="142"/>
    <s v="REVENUS"/>
    <x v="3"/>
    <s v="4002.007"/>
    <s v="Acompte impôt sur fortune"/>
    <n v="0"/>
    <n v="-14.55"/>
    <n v="4002"/>
  </r>
  <r>
    <x v="0"/>
    <x v="5"/>
    <x v="1"/>
    <x v="163"/>
    <x v="142"/>
    <x v="142"/>
    <s v="REVENUS"/>
    <x v="3"/>
    <s v="4002.001"/>
    <s v="Impôt ordinaire s/fortune PP"/>
    <n v="0"/>
    <n v="1983.85"/>
    <n v="4002"/>
  </r>
  <r>
    <x v="0"/>
    <x v="5"/>
    <x v="1"/>
    <x v="163"/>
    <x v="142"/>
    <x v="142"/>
    <s v="REVENUS"/>
    <x v="2"/>
    <s v="4001.007"/>
    <s v="Acompte impôt sur revenu"/>
    <n v="0"/>
    <n v="-1623.65"/>
    <n v="4001"/>
  </r>
  <r>
    <x v="0"/>
    <x v="5"/>
    <x v="1"/>
    <x v="163"/>
    <x v="142"/>
    <x v="142"/>
    <s v="REVENUS"/>
    <x v="3"/>
    <s v="4002.007"/>
    <s v="Acompte impôt sur fortune"/>
    <n v="0"/>
    <n v="-1157.4000000000001"/>
    <n v="4002"/>
  </r>
  <r>
    <x v="0"/>
    <x v="5"/>
    <x v="1"/>
    <x v="163"/>
    <x v="142"/>
    <x v="142"/>
    <s v="REVENUS"/>
    <x v="2"/>
    <s v="4001.002"/>
    <s v="Impôt complément s/revenu PP"/>
    <n v="0"/>
    <n v="118582.55"/>
    <n v="4001"/>
  </r>
  <r>
    <x v="0"/>
    <x v="5"/>
    <x v="1"/>
    <x v="163"/>
    <x v="142"/>
    <x v="142"/>
    <s v="REVENUS"/>
    <x v="3"/>
    <s v="4002.002"/>
    <s v="Impôt complémentaire s/fortune PP"/>
    <n v="0"/>
    <n v="34935.449999999997"/>
    <n v="4002"/>
  </r>
  <r>
    <x v="0"/>
    <x v="5"/>
    <x v="1"/>
    <x v="163"/>
    <x v="142"/>
    <x v="142"/>
    <s v="REVENUS"/>
    <x v="3"/>
    <s v="4002.001"/>
    <s v="Impôt ordinaire s/fortune PP"/>
    <n v="0"/>
    <n v="688.05"/>
    <n v="4002"/>
  </r>
  <r>
    <x v="0"/>
    <x v="5"/>
    <x v="1"/>
    <x v="163"/>
    <x v="142"/>
    <x v="142"/>
    <s v="REVENUS"/>
    <x v="3"/>
    <s v="4002.007"/>
    <s v="Acompte impôt sur fortune"/>
    <n v="0"/>
    <n v="-1033.75"/>
    <n v="4002"/>
  </r>
  <r>
    <x v="0"/>
    <x v="5"/>
    <x v="1"/>
    <x v="163"/>
    <x v="142"/>
    <x v="142"/>
    <s v="REVENUS"/>
    <x v="3"/>
    <s v="4002.007"/>
    <s v="Acompte impôt sur fortune"/>
    <n v="0"/>
    <n v="-91.3"/>
    <n v="4002"/>
  </r>
  <r>
    <x v="0"/>
    <x v="5"/>
    <x v="1"/>
    <x v="163"/>
    <x v="142"/>
    <x v="142"/>
    <s v="REVENUS"/>
    <x v="2"/>
    <s v="4001.001"/>
    <s v="Impôt revenu"/>
    <n v="0"/>
    <n v="980.95"/>
    <n v="4001"/>
  </r>
  <r>
    <x v="0"/>
    <x v="5"/>
    <x v="1"/>
    <x v="163"/>
    <x v="142"/>
    <x v="142"/>
    <s v="REVENUS"/>
    <x v="3"/>
    <s v="4002.001"/>
    <s v="Impôt ordinaire s/fortune PP"/>
    <n v="0"/>
    <n v="1086.05"/>
    <n v="4002"/>
  </r>
  <r>
    <x v="0"/>
    <x v="5"/>
    <x v="1"/>
    <x v="163"/>
    <x v="142"/>
    <x v="142"/>
    <s v="REVENUS"/>
    <x v="2"/>
    <s v="4001.007"/>
    <s v="Acompte impôt sur revenu"/>
    <n v="0"/>
    <n v="-3486.45"/>
    <n v="4001"/>
  </r>
  <r>
    <x v="0"/>
    <x v="5"/>
    <x v="1"/>
    <x v="163"/>
    <x v="142"/>
    <x v="142"/>
    <s v="REVENUS"/>
    <x v="3"/>
    <s v="4002.007"/>
    <s v="Acompte impôt sur fortune"/>
    <n v="0"/>
    <n v="-243.7"/>
    <n v="4002"/>
  </r>
  <r>
    <x v="0"/>
    <x v="5"/>
    <x v="1"/>
    <x v="163"/>
    <x v="142"/>
    <x v="142"/>
    <s v="REVENUS"/>
    <x v="3"/>
    <s v="4002.002"/>
    <s v="Impôt complémentaire s/fortune PP"/>
    <n v="0"/>
    <n v="-7561.05"/>
    <n v="4002"/>
  </r>
  <r>
    <x v="0"/>
    <x v="5"/>
    <x v="1"/>
    <x v="163"/>
    <x v="142"/>
    <x v="142"/>
    <s v="REVENUS"/>
    <x v="6"/>
    <s v="4211.002"/>
    <s v="Intérêts de retard sur acomptes"/>
    <n v="0"/>
    <n v="0.08"/>
    <n v="4211"/>
  </r>
  <r>
    <x v="0"/>
    <x v="5"/>
    <x v="1"/>
    <x v="163"/>
    <x v="142"/>
    <x v="142"/>
    <s v="REVENUS"/>
    <x v="2"/>
    <s v="4001.007"/>
    <s v="Acompte impôt sur revenu"/>
    <n v="0"/>
    <n v="-508.1"/>
    <n v="4001"/>
  </r>
  <r>
    <x v="0"/>
    <x v="5"/>
    <x v="1"/>
    <x v="163"/>
    <x v="142"/>
    <x v="142"/>
    <s v="REVENUS"/>
    <x v="3"/>
    <s v="4002.007"/>
    <s v="Acompte impôt sur fortune"/>
    <n v="0"/>
    <n v="-502.7"/>
    <n v="4002"/>
  </r>
  <r>
    <x v="0"/>
    <x v="5"/>
    <x v="1"/>
    <x v="163"/>
    <x v="142"/>
    <x v="142"/>
    <s v="REVENUS"/>
    <x v="4"/>
    <s v="4051.002"/>
    <s v="Impôt sur les donations"/>
    <n v="0"/>
    <n v="197903.5"/>
    <n v="4051"/>
  </r>
  <r>
    <x v="0"/>
    <x v="5"/>
    <x v="1"/>
    <x v="163"/>
    <x v="142"/>
    <x v="142"/>
    <s v="REVENUS"/>
    <x v="5"/>
    <s v="4061.000"/>
    <s v="Impôt sur les chiens"/>
    <n v="0"/>
    <n v="13800"/>
    <n v="4061"/>
  </r>
  <r>
    <x v="0"/>
    <x v="5"/>
    <x v="1"/>
    <x v="163"/>
    <x v="142"/>
    <x v="142"/>
    <s v="REVENUS"/>
    <x v="4"/>
    <s v="4051.001"/>
    <s v="Impôt sur les successions"/>
    <n v="0"/>
    <n v="4825.8999999999996"/>
    <n v="4051"/>
  </r>
  <r>
    <x v="0"/>
    <x v="5"/>
    <x v="1"/>
    <x v="163"/>
    <x v="142"/>
    <x v="142"/>
    <s v="REVENUS"/>
    <x v="6"/>
    <s v="4221.002"/>
    <s v="Intérêts compensat. sur impôts distincts"/>
    <n v="0"/>
    <n v="4.46"/>
    <n v="4221"/>
  </r>
  <r>
    <x v="0"/>
    <x v="5"/>
    <x v="1"/>
    <x v="163"/>
    <x v="142"/>
    <x v="142"/>
    <s v="REVENUS"/>
    <x v="3"/>
    <s v="4002.001"/>
    <s v="Impôt ordinaire s/fortune PP"/>
    <n v="0"/>
    <n v="2784.95"/>
    <n v="4002"/>
  </r>
  <r>
    <x v="0"/>
    <x v="5"/>
    <x v="1"/>
    <x v="163"/>
    <x v="142"/>
    <x v="142"/>
    <s v="REVENUS"/>
    <x v="2"/>
    <s v="4001.003"/>
    <s v="Impôt s/prest. cap. PP"/>
    <n v="0"/>
    <n v="-389553.65"/>
    <n v="4001"/>
  </r>
  <r>
    <x v="0"/>
    <x v="5"/>
    <x v="1"/>
    <x v="163"/>
    <x v="142"/>
    <x v="142"/>
    <s v="REVENUS"/>
    <x v="2"/>
    <s v="4001.007"/>
    <s v="Acompte impôt sur revenu"/>
    <n v="0"/>
    <n v="-3698.4"/>
    <n v="4001"/>
  </r>
  <r>
    <x v="0"/>
    <x v="5"/>
    <x v="1"/>
    <x v="163"/>
    <x v="142"/>
    <x v="142"/>
    <s v="REVENUS"/>
    <x v="6"/>
    <s v="4211.002"/>
    <s v="Intérêts de retard sur acomptes"/>
    <n v="0"/>
    <n v="486.41"/>
    <n v="4211"/>
  </r>
  <r>
    <x v="0"/>
    <x v="5"/>
    <x v="1"/>
    <x v="163"/>
    <x v="142"/>
    <x v="142"/>
    <s v="REVENUS"/>
    <x v="6"/>
    <s v="4211.001"/>
    <s v="Intérêts de retard sur factures"/>
    <n v="0"/>
    <n v="2.1"/>
    <n v="4211"/>
  </r>
  <r>
    <x v="0"/>
    <x v="5"/>
    <x v="1"/>
    <x v="163"/>
    <x v="142"/>
    <x v="142"/>
    <s v="REVENUS"/>
    <x v="6"/>
    <s v="4211.001"/>
    <s v="Intérêts de retard sur factures"/>
    <n v="0"/>
    <n v="1.81"/>
    <n v="4211"/>
  </r>
  <r>
    <x v="0"/>
    <x v="5"/>
    <x v="1"/>
    <x v="163"/>
    <x v="142"/>
    <x v="142"/>
    <s v="REVENUS"/>
    <x v="8"/>
    <s v="4091.001"/>
    <s v="Impôt récupéré après défalcations"/>
    <n v="0"/>
    <n v="10535.84"/>
    <n v="4091"/>
  </r>
  <r>
    <x v="0"/>
    <x v="5"/>
    <x v="1"/>
    <x v="163"/>
    <x v="142"/>
    <x v="142"/>
    <s v="REVENUS"/>
    <x v="7"/>
    <s v="4184.000"/>
    <s v="Frais de poursuite"/>
    <n v="0"/>
    <n v="2.65"/>
    <n v="4184"/>
  </r>
  <r>
    <x v="0"/>
    <x v="5"/>
    <x v="1"/>
    <x v="163"/>
    <x v="142"/>
    <x v="142"/>
    <s v="REVENUS"/>
    <x v="6"/>
    <s v="4211.001"/>
    <s v="Intérêts de retard sur factures"/>
    <n v="0"/>
    <n v="-15.5"/>
    <n v="4211"/>
  </r>
  <r>
    <x v="0"/>
    <x v="5"/>
    <x v="1"/>
    <x v="163"/>
    <x v="142"/>
    <x v="142"/>
    <s v="REVENUS"/>
    <x v="6"/>
    <s v="4211.002"/>
    <s v="Intérêts de retard sur acomptes"/>
    <n v="0"/>
    <n v="-0.81"/>
    <n v="4211"/>
  </r>
  <r>
    <x v="0"/>
    <x v="5"/>
    <x v="1"/>
    <x v="163"/>
    <x v="142"/>
    <x v="142"/>
    <s v="REVENUS"/>
    <x v="6"/>
    <s v="4221.003"/>
    <s v="Intérêts compensat. / acomptes en faveur du fisc"/>
    <n v="0"/>
    <n v="375.37"/>
    <n v="4221"/>
  </r>
  <r>
    <x v="0"/>
    <x v="5"/>
    <x v="1"/>
    <x v="163"/>
    <x v="142"/>
    <x v="142"/>
    <s v="REVENUS"/>
    <x v="6"/>
    <s v="4211.001"/>
    <s v="Intérêts de retard sur factures"/>
    <n v="0"/>
    <n v="1.96"/>
    <n v="4211"/>
  </r>
  <r>
    <x v="0"/>
    <x v="5"/>
    <x v="1"/>
    <x v="163"/>
    <x v="142"/>
    <x v="142"/>
    <s v="REVENUS"/>
    <x v="3"/>
    <s v="4002.002"/>
    <s v="Impôt complémentaire s/fortune PP"/>
    <n v="0"/>
    <n v="577.25"/>
    <n v="4002"/>
  </r>
  <r>
    <x v="0"/>
    <x v="5"/>
    <x v="1"/>
    <x v="163"/>
    <x v="142"/>
    <x v="142"/>
    <s v="REVENUS"/>
    <x v="7"/>
    <s v="4184.000"/>
    <s v="Frais de poursuite"/>
    <n v="0"/>
    <n v="273.33999999999997"/>
    <n v="4184"/>
  </r>
  <r>
    <x v="0"/>
    <x v="5"/>
    <x v="1"/>
    <x v="163"/>
    <x v="142"/>
    <x v="142"/>
    <s v="REVENUS"/>
    <x v="8"/>
    <s v="4091.001"/>
    <s v="Impôt récupéré après défalcations"/>
    <n v="0"/>
    <n v="3085.18"/>
    <n v="4091"/>
  </r>
  <r>
    <x v="0"/>
    <x v="5"/>
    <x v="1"/>
    <x v="163"/>
    <x v="142"/>
    <x v="142"/>
    <s v="REVENUS"/>
    <x v="12"/>
    <s v="4004.000"/>
    <s v="Impôt spécial étrangers"/>
    <n v="0"/>
    <n v="181695.15"/>
    <n v="4004"/>
  </r>
  <r>
    <x v="0"/>
    <x v="5"/>
    <x v="1"/>
    <x v="163"/>
    <x v="142"/>
    <x v="142"/>
    <s v="REVENUS"/>
    <x v="2"/>
    <s v="4001.002"/>
    <s v="Impôt complément s/revenu PP"/>
    <n v="0"/>
    <n v="1395.55"/>
    <n v="4001"/>
  </r>
  <r>
    <x v="0"/>
    <x v="5"/>
    <x v="1"/>
    <x v="163"/>
    <x v="142"/>
    <x v="142"/>
    <s v="REVENUS"/>
    <x v="3"/>
    <s v="4002.002"/>
    <s v="Impôt complémentaire s/fortune PP"/>
    <n v="0"/>
    <n v="617.15"/>
    <n v="4002"/>
  </r>
  <r>
    <x v="0"/>
    <x v="5"/>
    <x v="1"/>
    <x v="163"/>
    <x v="142"/>
    <x v="142"/>
    <s v="REVENUS"/>
    <x v="6"/>
    <s v="4221.002"/>
    <s v="Intérêts compensat. sur impôts distincts"/>
    <n v="0"/>
    <n v="-2.36"/>
    <n v="4221"/>
  </r>
  <r>
    <x v="0"/>
    <x v="5"/>
    <x v="1"/>
    <x v="163"/>
    <x v="142"/>
    <x v="142"/>
    <s v="REVENUS"/>
    <x v="2"/>
    <s v="4001.001"/>
    <s v="Impôt revenu"/>
    <n v="0"/>
    <n v="241.2"/>
    <n v="4001"/>
  </r>
  <r>
    <x v="0"/>
    <x v="5"/>
    <x v="1"/>
    <x v="164"/>
    <x v="143"/>
    <x v="143"/>
    <s v="CHARGES"/>
    <x v="1"/>
    <s v="3301.001"/>
    <s v="Défalcations, abandons de solde PP et IS"/>
    <n v="0.16"/>
    <n v="0"/>
    <n v="3301"/>
  </r>
  <r>
    <x v="0"/>
    <x v="5"/>
    <x v="1"/>
    <x v="164"/>
    <x v="143"/>
    <x v="143"/>
    <s v="REVENUS"/>
    <x v="6"/>
    <s v="4211.001"/>
    <s v="Intérêts de retard sur factures"/>
    <n v="0"/>
    <n v="0.12"/>
    <n v="4211"/>
  </r>
  <r>
    <x v="0"/>
    <x v="5"/>
    <x v="1"/>
    <x v="164"/>
    <x v="143"/>
    <x v="143"/>
    <s v="REVENUS"/>
    <x v="9"/>
    <s v="4031.001"/>
    <s v="Impôt sur les gains immobiliers"/>
    <n v="0"/>
    <n v="20303.5"/>
    <n v="4031"/>
  </r>
  <r>
    <x v="0"/>
    <x v="5"/>
    <x v="1"/>
    <x v="164"/>
    <x v="143"/>
    <x v="143"/>
    <s v="REVENUS"/>
    <x v="6"/>
    <s v="4221.002"/>
    <s v="Intérêts compensat. sur impôts distincts"/>
    <n v="0"/>
    <n v="0.04"/>
    <n v="4221"/>
  </r>
  <r>
    <x v="0"/>
    <x v="5"/>
    <x v="1"/>
    <x v="165"/>
    <x v="144"/>
    <x v="144"/>
    <s v="CHARGES"/>
    <x v="1"/>
    <s v="3301.001"/>
    <s v="Défalcations, abandons de solde PP et IS"/>
    <n v="-73.989999999999995"/>
    <n v="0"/>
    <n v="3301"/>
  </r>
  <r>
    <x v="0"/>
    <x v="5"/>
    <x v="1"/>
    <x v="165"/>
    <x v="144"/>
    <x v="144"/>
    <s v="CHARGES"/>
    <x v="0"/>
    <s v="3221.002"/>
    <s v="Intérêts compensatoires / créances en faveur ctb."/>
    <n v="93.61"/>
    <n v="0"/>
    <n v="3221"/>
  </r>
  <r>
    <x v="0"/>
    <x v="5"/>
    <x v="1"/>
    <x v="165"/>
    <x v="144"/>
    <x v="144"/>
    <s v="CHARGES"/>
    <x v="0"/>
    <s v="3212.004"/>
    <s v="Intérêts rémun./perçu trop tôt sur acomptes C/C"/>
    <n v="381.98"/>
    <n v="0"/>
    <n v="3212"/>
  </r>
  <r>
    <x v="0"/>
    <x v="5"/>
    <x v="1"/>
    <x v="165"/>
    <x v="144"/>
    <x v="144"/>
    <s v="CHARGES"/>
    <x v="0"/>
    <s v="3212.002"/>
    <s v="Intérêts bonifiés/trop perçu acompte C/C"/>
    <n v="89.05"/>
    <n v="0"/>
    <n v="3212"/>
  </r>
  <r>
    <x v="0"/>
    <x v="5"/>
    <x v="1"/>
    <x v="165"/>
    <x v="144"/>
    <x v="144"/>
    <s v="CHARGES"/>
    <x v="0"/>
    <s v="3212.004"/>
    <s v="Intérêts rémun./perçu trop tôt sur acomptes C/C"/>
    <n v="2.31"/>
    <n v="0"/>
    <n v="3212"/>
  </r>
  <r>
    <x v="0"/>
    <x v="5"/>
    <x v="1"/>
    <x v="165"/>
    <x v="144"/>
    <x v="144"/>
    <s v="CHARGES"/>
    <x v="0"/>
    <s v="3212.004"/>
    <s v="Intérêts rémun./perçu trop tôt sur acomptes C/C"/>
    <n v="0.01"/>
    <n v="0"/>
    <n v="3212"/>
  </r>
  <r>
    <x v="0"/>
    <x v="5"/>
    <x v="1"/>
    <x v="165"/>
    <x v="144"/>
    <x v="144"/>
    <s v="CHARGES"/>
    <x v="0"/>
    <s v="3212.004"/>
    <s v="Intérêts rémun./perçu trop tôt sur acomptes C/C"/>
    <n v="1.02"/>
    <n v="0"/>
    <n v="3212"/>
  </r>
  <r>
    <x v="0"/>
    <x v="5"/>
    <x v="1"/>
    <x v="165"/>
    <x v="144"/>
    <x v="144"/>
    <s v="CHARGES"/>
    <x v="0"/>
    <s v="3221.002"/>
    <s v="Intérêts compensatoires / créances en faveur ctb."/>
    <n v="0.45"/>
    <n v="0"/>
    <n v="3221"/>
  </r>
  <r>
    <x v="0"/>
    <x v="5"/>
    <x v="1"/>
    <x v="165"/>
    <x v="144"/>
    <x v="144"/>
    <s v="CHARGES"/>
    <x v="1"/>
    <s v="3301.001"/>
    <s v="Défalcations, abandons de solde PP et IS"/>
    <n v="0.14000000000000001"/>
    <n v="0"/>
    <n v="3301"/>
  </r>
  <r>
    <x v="0"/>
    <x v="5"/>
    <x v="1"/>
    <x v="165"/>
    <x v="144"/>
    <x v="144"/>
    <s v="CHARGES"/>
    <x v="1"/>
    <s v="3301.003"/>
    <s v="Remises PP et IS"/>
    <n v="3942.55"/>
    <n v="0"/>
    <n v="3301"/>
  </r>
  <r>
    <x v="0"/>
    <x v="5"/>
    <x v="1"/>
    <x v="165"/>
    <x v="144"/>
    <x v="144"/>
    <s v="CHARGES"/>
    <x v="0"/>
    <s v="3212.004"/>
    <s v="Intérêts rémun./perçu trop tôt sur acomptes C/C"/>
    <n v="0.45"/>
    <n v="0"/>
    <n v="3212"/>
  </r>
  <r>
    <x v="0"/>
    <x v="5"/>
    <x v="1"/>
    <x v="165"/>
    <x v="144"/>
    <x v="144"/>
    <s v="CHARGES"/>
    <x v="1"/>
    <s v="3301.001"/>
    <s v="Défalcations, abandons de solde PP et IS"/>
    <n v="0.61"/>
    <n v="0"/>
    <n v="3301"/>
  </r>
  <r>
    <x v="0"/>
    <x v="5"/>
    <x v="1"/>
    <x v="165"/>
    <x v="144"/>
    <x v="144"/>
    <s v="CHARGES"/>
    <x v="0"/>
    <s v="3221.002"/>
    <s v="Intérêts compensatoires / créances en faveur ctb."/>
    <n v="1.88"/>
    <n v="0"/>
    <n v="3221"/>
  </r>
  <r>
    <x v="0"/>
    <x v="5"/>
    <x v="1"/>
    <x v="165"/>
    <x v="144"/>
    <x v="144"/>
    <s v="REVENUS"/>
    <x v="2"/>
    <s v="4001.007"/>
    <s v="Acompte impôt sur revenu"/>
    <n v="0"/>
    <n v="-307998.71999999997"/>
    <n v="4001"/>
  </r>
  <r>
    <x v="0"/>
    <x v="5"/>
    <x v="1"/>
    <x v="165"/>
    <x v="144"/>
    <x v="144"/>
    <s v="REVENUS"/>
    <x v="2"/>
    <s v="4001.001"/>
    <s v="Impôt revenu"/>
    <n v="0"/>
    <n v="1659769.85"/>
    <n v="4001"/>
  </r>
  <r>
    <x v="0"/>
    <x v="5"/>
    <x v="1"/>
    <x v="165"/>
    <x v="144"/>
    <x v="144"/>
    <s v="REVENUS"/>
    <x v="2"/>
    <s v="4001.007"/>
    <s v="Acompte impôt sur revenu"/>
    <n v="0"/>
    <n v="570230.98"/>
    <n v="4001"/>
  </r>
  <r>
    <x v="0"/>
    <x v="5"/>
    <x v="1"/>
    <x v="165"/>
    <x v="144"/>
    <x v="144"/>
    <s v="REVENUS"/>
    <x v="3"/>
    <s v="4002.007"/>
    <s v="Acompte impôt sur fortune"/>
    <n v="0"/>
    <n v="235377.5"/>
    <n v="4002"/>
  </r>
  <r>
    <x v="0"/>
    <x v="5"/>
    <x v="1"/>
    <x v="165"/>
    <x v="144"/>
    <x v="144"/>
    <s v="REVENUS"/>
    <x v="6"/>
    <s v="4211.002"/>
    <s v="Intérêts de retard sur acomptes"/>
    <n v="0"/>
    <n v="11955.34"/>
    <n v="4211"/>
  </r>
  <r>
    <x v="0"/>
    <x v="5"/>
    <x v="1"/>
    <x v="165"/>
    <x v="144"/>
    <x v="144"/>
    <s v="REVENUS"/>
    <x v="6"/>
    <s v="4221.003"/>
    <s v="Intérêts compensat. / acomptes en faveur du fisc"/>
    <n v="0"/>
    <n v="167.81"/>
    <n v="4221"/>
  </r>
  <r>
    <x v="0"/>
    <x v="5"/>
    <x v="1"/>
    <x v="165"/>
    <x v="144"/>
    <x v="144"/>
    <s v="REVENUS"/>
    <x v="2"/>
    <s v="4001.003"/>
    <s v="Impôt s/prest. cap. PP"/>
    <n v="0"/>
    <n v="-5833.55"/>
    <n v="4001"/>
  </r>
  <r>
    <x v="0"/>
    <x v="5"/>
    <x v="1"/>
    <x v="165"/>
    <x v="144"/>
    <x v="144"/>
    <s v="REVENUS"/>
    <x v="3"/>
    <s v="4002.007"/>
    <s v="Acompte impôt sur fortune"/>
    <n v="0"/>
    <n v="-67564.570000000007"/>
    <n v="4002"/>
  </r>
  <r>
    <x v="0"/>
    <x v="5"/>
    <x v="1"/>
    <x v="165"/>
    <x v="144"/>
    <x v="144"/>
    <s v="REVENUS"/>
    <x v="6"/>
    <s v="4221.002"/>
    <s v="Intérêts compensat. sur impôts distincts"/>
    <n v="0"/>
    <n v="-7.02"/>
    <n v="4221"/>
  </r>
  <r>
    <x v="0"/>
    <x v="5"/>
    <x v="1"/>
    <x v="165"/>
    <x v="144"/>
    <x v="144"/>
    <s v="REVENUS"/>
    <x v="3"/>
    <s v="4002.001"/>
    <s v="Impôt ordinaire s/fortune PP"/>
    <n v="0"/>
    <n v="314325.7"/>
    <n v="4002"/>
  </r>
  <r>
    <x v="0"/>
    <x v="5"/>
    <x v="1"/>
    <x v="165"/>
    <x v="144"/>
    <x v="144"/>
    <s v="REVENUS"/>
    <x v="9"/>
    <s v="4031.001"/>
    <s v="Impôt sur les gains immobiliers"/>
    <n v="0"/>
    <n v="111804.6"/>
    <n v="4031"/>
  </r>
  <r>
    <x v="0"/>
    <x v="5"/>
    <x v="1"/>
    <x v="165"/>
    <x v="144"/>
    <x v="144"/>
    <s v="REVENUS"/>
    <x v="2"/>
    <s v="4001.003"/>
    <s v="Impôt s/prest. cap. PP"/>
    <n v="0"/>
    <n v="132949.15"/>
    <n v="4001"/>
  </r>
  <r>
    <x v="0"/>
    <x v="5"/>
    <x v="1"/>
    <x v="165"/>
    <x v="144"/>
    <x v="144"/>
    <s v="REVENUS"/>
    <x v="10"/>
    <s v="4041.001"/>
    <s v="Droits de mutation"/>
    <n v="0"/>
    <n v="158128.6"/>
    <n v="4041"/>
  </r>
  <r>
    <x v="0"/>
    <x v="5"/>
    <x v="1"/>
    <x v="165"/>
    <x v="144"/>
    <x v="144"/>
    <s v="REVENUS"/>
    <x v="6"/>
    <s v="4211.001"/>
    <s v="Intérêts de retard sur factures"/>
    <n v="0"/>
    <n v="6701.05"/>
    <n v="4211"/>
  </r>
  <r>
    <x v="0"/>
    <x v="5"/>
    <x v="1"/>
    <x v="165"/>
    <x v="144"/>
    <x v="144"/>
    <s v="REVENUS"/>
    <x v="2"/>
    <s v="4001.002"/>
    <s v="Impôt complément s/revenu PP"/>
    <n v="0"/>
    <n v="737919.25"/>
    <n v="4001"/>
  </r>
  <r>
    <x v="0"/>
    <x v="5"/>
    <x v="1"/>
    <x v="165"/>
    <x v="144"/>
    <x v="144"/>
    <s v="REVENUS"/>
    <x v="7"/>
    <s v="4184.000"/>
    <s v="Frais de poursuite"/>
    <n v="0"/>
    <n v="344.09"/>
    <n v="4184"/>
  </r>
  <r>
    <x v="0"/>
    <x v="5"/>
    <x v="1"/>
    <x v="165"/>
    <x v="144"/>
    <x v="144"/>
    <s v="REVENUS"/>
    <x v="2"/>
    <s v="4001.007"/>
    <s v="Acompte impôt sur revenu"/>
    <n v="0"/>
    <n v="-1.05"/>
    <n v="4001"/>
  </r>
  <r>
    <x v="0"/>
    <x v="5"/>
    <x v="1"/>
    <x v="165"/>
    <x v="144"/>
    <x v="144"/>
    <s v="REVENUS"/>
    <x v="3"/>
    <s v="4002.007"/>
    <s v="Acompte impôt sur fortune"/>
    <n v="0"/>
    <n v="-6433.5"/>
    <n v="4002"/>
  </r>
  <r>
    <x v="0"/>
    <x v="5"/>
    <x v="1"/>
    <x v="165"/>
    <x v="144"/>
    <x v="144"/>
    <s v="REVENUS"/>
    <x v="4"/>
    <s v="4051.002"/>
    <s v="Impôt sur les donations"/>
    <n v="0"/>
    <n v="18318"/>
    <n v="4051"/>
  </r>
  <r>
    <x v="0"/>
    <x v="5"/>
    <x v="1"/>
    <x v="165"/>
    <x v="144"/>
    <x v="144"/>
    <s v="REVENUS"/>
    <x v="12"/>
    <s v="4004.007"/>
    <s v="Acompte spécial étrangers"/>
    <n v="0"/>
    <n v="12762.8"/>
    <n v="4004"/>
  </r>
  <r>
    <x v="0"/>
    <x v="5"/>
    <x v="1"/>
    <x v="165"/>
    <x v="144"/>
    <x v="144"/>
    <s v="REVENUS"/>
    <x v="3"/>
    <s v="4002.007"/>
    <s v="Acompte impôt sur fortune"/>
    <n v="0"/>
    <n v="-3927.72"/>
    <n v="4002"/>
  </r>
  <r>
    <x v="0"/>
    <x v="5"/>
    <x v="1"/>
    <x v="165"/>
    <x v="144"/>
    <x v="144"/>
    <s v="REVENUS"/>
    <x v="3"/>
    <s v="4002.007"/>
    <s v="Acompte impôt sur fortune"/>
    <n v="0"/>
    <n v="-2.15"/>
    <n v="4002"/>
  </r>
  <r>
    <x v="0"/>
    <x v="5"/>
    <x v="1"/>
    <x v="165"/>
    <x v="144"/>
    <x v="144"/>
    <s v="REVENUS"/>
    <x v="2"/>
    <s v="4001.007"/>
    <s v="Acompte impôt sur revenu"/>
    <n v="0"/>
    <n v="-3996.09"/>
    <n v="4001"/>
  </r>
  <r>
    <x v="0"/>
    <x v="5"/>
    <x v="1"/>
    <x v="165"/>
    <x v="144"/>
    <x v="144"/>
    <s v="REVENUS"/>
    <x v="2"/>
    <s v="4001.007"/>
    <s v="Acompte impôt sur revenu"/>
    <n v="0"/>
    <n v="-1241.7"/>
    <n v="4001"/>
  </r>
  <r>
    <x v="0"/>
    <x v="5"/>
    <x v="1"/>
    <x v="165"/>
    <x v="144"/>
    <x v="144"/>
    <s v="REVENUS"/>
    <x v="2"/>
    <s v="4001.001"/>
    <s v="Impôt revenu"/>
    <n v="0"/>
    <n v="-54313.4"/>
    <n v="4001"/>
  </r>
  <r>
    <x v="0"/>
    <x v="5"/>
    <x v="1"/>
    <x v="165"/>
    <x v="144"/>
    <x v="144"/>
    <s v="REVENUS"/>
    <x v="2"/>
    <s v="4001.001"/>
    <s v="Impôt revenu"/>
    <n v="0"/>
    <n v="1933.85"/>
    <n v="4001"/>
  </r>
  <r>
    <x v="0"/>
    <x v="5"/>
    <x v="1"/>
    <x v="165"/>
    <x v="144"/>
    <x v="144"/>
    <s v="REVENUS"/>
    <x v="3"/>
    <s v="4002.001"/>
    <s v="Impôt ordinaire s/fortune PP"/>
    <n v="0"/>
    <n v="12826.1"/>
    <n v="4002"/>
  </r>
  <r>
    <x v="0"/>
    <x v="5"/>
    <x v="1"/>
    <x v="165"/>
    <x v="144"/>
    <x v="144"/>
    <s v="REVENUS"/>
    <x v="3"/>
    <s v="4002.001"/>
    <s v="Impôt ordinaire s/fortune PP"/>
    <n v="0"/>
    <n v="-211.55"/>
    <n v="4002"/>
  </r>
  <r>
    <x v="0"/>
    <x v="5"/>
    <x v="1"/>
    <x v="165"/>
    <x v="144"/>
    <x v="144"/>
    <s v="REVENUS"/>
    <x v="3"/>
    <s v="4002.002"/>
    <s v="Impôt complémentaire s/fortune PP"/>
    <n v="0"/>
    <n v="67057.05"/>
    <n v="4002"/>
  </r>
  <r>
    <x v="0"/>
    <x v="5"/>
    <x v="1"/>
    <x v="165"/>
    <x v="144"/>
    <x v="144"/>
    <s v="REVENUS"/>
    <x v="2"/>
    <s v="4001.001"/>
    <s v="Impôt revenu"/>
    <n v="0"/>
    <n v="3129"/>
    <n v="4001"/>
  </r>
  <r>
    <x v="0"/>
    <x v="5"/>
    <x v="1"/>
    <x v="165"/>
    <x v="144"/>
    <x v="144"/>
    <s v="REVENUS"/>
    <x v="6"/>
    <s v="4221.002"/>
    <s v="Intérêts compensat. sur impôts distincts"/>
    <n v="0"/>
    <n v="70.67"/>
    <n v="4221"/>
  </r>
  <r>
    <x v="0"/>
    <x v="5"/>
    <x v="1"/>
    <x v="165"/>
    <x v="144"/>
    <x v="144"/>
    <s v="REVENUS"/>
    <x v="4"/>
    <s v="4051.001"/>
    <s v="Impôt sur les successions"/>
    <n v="0"/>
    <n v="55083.6"/>
    <n v="4051"/>
  </r>
  <r>
    <x v="0"/>
    <x v="5"/>
    <x v="1"/>
    <x v="165"/>
    <x v="144"/>
    <x v="144"/>
    <s v="REVENUS"/>
    <x v="3"/>
    <s v="4002.001"/>
    <s v="Impôt ordinaire s/fortune PP"/>
    <n v="0"/>
    <n v="89.75"/>
    <n v="4002"/>
  </r>
  <r>
    <x v="0"/>
    <x v="5"/>
    <x v="1"/>
    <x v="165"/>
    <x v="144"/>
    <x v="144"/>
    <s v="REVENUS"/>
    <x v="6"/>
    <s v="4221.003"/>
    <s v="Intérêts compensat. / acomptes en faveur du fisc"/>
    <n v="0"/>
    <n v="0.14000000000000001"/>
    <n v="4221"/>
  </r>
  <r>
    <x v="0"/>
    <x v="5"/>
    <x v="1"/>
    <x v="165"/>
    <x v="144"/>
    <x v="144"/>
    <s v="REVENUS"/>
    <x v="2"/>
    <s v="4001.001"/>
    <s v="Impôt revenu"/>
    <n v="0"/>
    <n v="701.1"/>
    <n v="4001"/>
  </r>
  <r>
    <x v="0"/>
    <x v="5"/>
    <x v="1"/>
    <x v="165"/>
    <x v="144"/>
    <x v="144"/>
    <s v="REVENUS"/>
    <x v="3"/>
    <s v="4002.001"/>
    <s v="Impôt ordinaire s/fortune PP"/>
    <n v="0"/>
    <n v="5521.7"/>
    <n v="4002"/>
  </r>
  <r>
    <x v="0"/>
    <x v="5"/>
    <x v="1"/>
    <x v="165"/>
    <x v="144"/>
    <x v="144"/>
    <s v="REVENUS"/>
    <x v="12"/>
    <s v="4004.000"/>
    <s v="Impôt spécial étrangers"/>
    <n v="0"/>
    <n v="-50596.35"/>
    <n v="4004"/>
  </r>
  <r>
    <x v="0"/>
    <x v="5"/>
    <x v="1"/>
    <x v="165"/>
    <x v="144"/>
    <x v="144"/>
    <s v="REVENUS"/>
    <x v="12"/>
    <s v="4004.000"/>
    <s v="Impôt spécial étrangers"/>
    <n v="0"/>
    <n v="161387.79999999999"/>
    <n v="4004"/>
  </r>
  <r>
    <x v="0"/>
    <x v="5"/>
    <x v="1"/>
    <x v="165"/>
    <x v="144"/>
    <x v="144"/>
    <s v="REVENUS"/>
    <x v="8"/>
    <s v="4091.001"/>
    <s v="Impôt récupéré après défalcations"/>
    <n v="0"/>
    <n v="123.98"/>
    <n v="4091"/>
  </r>
  <r>
    <x v="0"/>
    <x v="5"/>
    <x v="1"/>
    <x v="165"/>
    <x v="144"/>
    <x v="144"/>
    <s v="REVENUS"/>
    <x v="6"/>
    <s v="4211.002"/>
    <s v="Intérêts de retard sur acomptes"/>
    <n v="0"/>
    <n v="95.2"/>
    <n v="4211"/>
  </r>
  <r>
    <x v="0"/>
    <x v="5"/>
    <x v="1"/>
    <x v="165"/>
    <x v="144"/>
    <x v="144"/>
    <s v="REVENUS"/>
    <x v="6"/>
    <s v="4221.003"/>
    <s v="Intérêts compensat. / acomptes en faveur du fisc"/>
    <n v="0"/>
    <n v="0.28000000000000003"/>
    <n v="4221"/>
  </r>
  <r>
    <x v="0"/>
    <x v="5"/>
    <x v="1"/>
    <x v="165"/>
    <x v="144"/>
    <x v="144"/>
    <s v="REVENUS"/>
    <x v="6"/>
    <s v="4211.001"/>
    <s v="Intérêts de retard sur factures"/>
    <n v="0"/>
    <n v="0.33"/>
    <n v="4211"/>
  </r>
  <r>
    <x v="0"/>
    <x v="5"/>
    <x v="1"/>
    <x v="165"/>
    <x v="144"/>
    <x v="144"/>
    <s v="REVENUS"/>
    <x v="7"/>
    <s v="4184.000"/>
    <s v="Frais de poursuite"/>
    <n v="0"/>
    <n v="37.090000000000003"/>
    <n v="4184"/>
  </r>
  <r>
    <x v="0"/>
    <x v="5"/>
    <x v="1"/>
    <x v="165"/>
    <x v="144"/>
    <x v="144"/>
    <s v="REVENUS"/>
    <x v="2"/>
    <s v="4001.002"/>
    <s v="Impôt complément s/revenu PP"/>
    <n v="0"/>
    <n v="-4998.1499999999996"/>
    <n v="4001"/>
  </r>
  <r>
    <x v="0"/>
    <x v="5"/>
    <x v="1"/>
    <x v="166"/>
    <x v="135"/>
    <x v="135"/>
    <s v="CHARGES"/>
    <x v="0"/>
    <s v="3212.002"/>
    <s v="Intérêts bonifiés/trop perçu acompte C/C"/>
    <n v="4.12"/>
    <n v="0"/>
    <n v="3212"/>
  </r>
  <r>
    <x v="0"/>
    <x v="5"/>
    <x v="1"/>
    <x v="166"/>
    <x v="135"/>
    <x v="135"/>
    <s v="CHARGES"/>
    <x v="0"/>
    <s v="3212.004"/>
    <s v="Intérêts rémun./perçu trop tôt sur acomptes C/C"/>
    <n v="-14.77"/>
    <n v="0"/>
    <n v="3212"/>
  </r>
  <r>
    <x v="0"/>
    <x v="5"/>
    <x v="1"/>
    <x v="166"/>
    <x v="135"/>
    <x v="135"/>
    <s v="CHARGES"/>
    <x v="0"/>
    <s v="3221.002"/>
    <s v="Intérêts compensatoires / créances en faveur ctb."/>
    <n v="-10.81"/>
    <n v="0"/>
    <n v="3221"/>
  </r>
  <r>
    <x v="0"/>
    <x v="5"/>
    <x v="1"/>
    <x v="166"/>
    <x v="135"/>
    <x v="135"/>
    <s v="CHARGES"/>
    <x v="1"/>
    <s v="3301.001"/>
    <s v="Défalcations, abandons de solde PP et IS"/>
    <n v="1.69"/>
    <n v="0"/>
    <n v="3301"/>
  </r>
  <r>
    <x v="0"/>
    <x v="5"/>
    <x v="1"/>
    <x v="166"/>
    <x v="135"/>
    <x v="135"/>
    <s v="CHARGES"/>
    <x v="0"/>
    <s v="3221.002"/>
    <s v="Intérêts compensatoires / créances en faveur ctb."/>
    <n v="0.01"/>
    <n v="0"/>
    <n v="3221"/>
  </r>
  <r>
    <x v="0"/>
    <x v="5"/>
    <x v="1"/>
    <x v="166"/>
    <x v="135"/>
    <x v="135"/>
    <s v="REVENUS"/>
    <x v="2"/>
    <s v="4001.001"/>
    <s v="Impôt revenu"/>
    <n v="0"/>
    <n v="-98000.45"/>
    <n v="4001"/>
  </r>
  <r>
    <x v="0"/>
    <x v="5"/>
    <x v="1"/>
    <x v="166"/>
    <x v="135"/>
    <x v="135"/>
    <s v="REVENUS"/>
    <x v="2"/>
    <s v="4001.002"/>
    <s v="Impôt complément s/revenu PP"/>
    <n v="0"/>
    <n v="115270.5"/>
    <n v="4001"/>
  </r>
  <r>
    <x v="0"/>
    <x v="5"/>
    <x v="1"/>
    <x v="166"/>
    <x v="135"/>
    <x v="135"/>
    <s v="REVENUS"/>
    <x v="3"/>
    <s v="4002.002"/>
    <s v="Impôt complémentaire s/fortune PP"/>
    <n v="0"/>
    <n v="50964.9"/>
    <n v="4002"/>
  </r>
  <r>
    <x v="0"/>
    <x v="5"/>
    <x v="1"/>
    <x v="166"/>
    <x v="135"/>
    <x v="135"/>
    <s v="REVENUS"/>
    <x v="6"/>
    <s v="4211.001"/>
    <s v="Intérêts de retard sur factures"/>
    <n v="0"/>
    <n v="5671.49"/>
    <n v="4211"/>
  </r>
  <r>
    <x v="0"/>
    <x v="5"/>
    <x v="1"/>
    <x v="166"/>
    <x v="135"/>
    <x v="135"/>
    <s v="REVENUS"/>
    <x v="6"/>
    <s v="4211.002"/>
    <s v="Intérêts de retard sur acomptes"/>
    <n v="0"/>
    <n v="0.32"/>
    <n v="4211"/>
  </r>
  <r>
    <x v="0"/>
    <x v="5"/>
    <x v="1"/>
    <x v="166"/>
    <x v="135"/>
    <x v="135"/>
    <s v="REVENUS"/>
    <x v="6"/>
    <s v="4221.003"/>
    <s v="Intérêts compensat. / acomptes en faveur du fisc"/>
    <n v="0"/>
    <n v="39.39"/>
    <n v="4221"/>
  </r>
  <r>
    <x v="0"/>
    <x v="5"/>
    <x v="1"/>
    <x v="166"/>
    <x v="135"/>
    <x v="135"/>
    <s v="REVENUS"/>
    <x v="2"/>
    <s v="4001.002"/>
    <s v="Impôt complément s/revenu PP"/>
    <n v="0"/>
    <n v="-12869.3"/>
    <n v="4001"/>
  </r>
  <r>
    <x v="0"/>
    <x v="5"/>
    <x v="1"/>
    <x v="166"/>
    <x v="135"/>
    <x v="135"/>
    <s v="REVENUS"/>
    <x v="3"/>
    <s v="4002.002"/>
    <s v="Impôt complémentaire s/fortune PP"/>
    <n v="0"/>
    <n v="-8294.1"/>
    <n v="4002"/>
  </r>
  <r>
    <x v="0"/>
    <x v="5"/>
    <x v="1"/>
    <x v="166"/>
    <x v="135"/>
    <x v="135"/>
    <s v="REVENUS"/>
    <x v="3"/>
    <s v="4002.001"/>
    <s v="Impôt ordinaire s/fortune PP"/>
    <n v="0"/>
    <n v="-26607.35"/>
    <n v="4002"/>
  </r>
  <r>
    <x v="0"/>
    <x v="5"/>
    <x v="1"/>
    <x v="167"/>
    <x v="145"/>
    <x v="145"/>
    <s v="CHARGES"/>
    <x v="0"/>
    <s v="3212.002"/>
    <s v="Intérêts bonifiés/trop perçu acompte C/C"/>
    <n v="630.79999999999995"/>
    <n v="0"/>
    <n v="3212"/>
  </r>
  <r>
    <x v="0"/>
    <x v="5"/>
    <x v="1"/>
    <x v="167"/>
    <x v="145"/>
    <x v="145"/>
    <s v="CHARGES"/>
    <x v="0"/>
    <s v="3212.004"/>
    <s v="Intérêts rémun./perçu trop tôt sur acomptes C/C"/>
    <n v="6122.94"/>
    <n v="0"/>
    <n v="3212"/>
  </r>
  <r>
    <x v="0"/>
    <x v="5"/>
    <x v="1"/>
    <x v="167"/>
    <x v="145"/>
    <x v="145"/>
    <s v="CHARGES"/>
    <x v="0"/>
    <s v="3221.002"/>
    <s v="Intérêts compensatoires / créances en faveur ctb."/>
    <n v="1818.5"/>
    <n v="0"/>
    <n v="3221"/>
  </r>
  <r>
    <x v="0"/>
    <x v="5"/>
    <x v="1"/>
    <x v="167"/>
    <x v="145"/>
    <x v="145"/>
    <s v="CHARGES"/>
    <x v="1"/>
    <s v="3301.001"/>
    <s v="Défalcations, abandons de solde PP et IS"/>
    <n v="461782.62"/>
    <n v="0"/>
    <n v="3301"/>
  </r>
  <r>
    <x v="0"/>
    <x v="5"/>
    <x v="1"/>
    <x v="167"/>
    <x v="145"/>
    <x v="145"/>
    <s v="CHARGES"/>
    <x v="1"/>
    <s v="3301.003"/>
    <s v="Remises PP et IS"/>
    <n v="18680.45"/>
    <n v="0"/>
    <n v="3301"/>
  </r>
  <r>
    <x v="0"/>
    <x v="5"/>
    <x v="1"/>
    <x v="167"/>
    <x v="145"/>
    <x v="145"/>
    <s v="CHARGES"/>
    <x v="0"/>
    <s v="3212.004"/>
    <s v="Intérêts rémun./perçu trop tôt sur acomptes C/C"/>
    <n v="276.77999999999997"/>
    <n v="0"/>
    <n v="3212"/>
  </r>
  <r>
    <x v="0"/>
    <x v="5"/>
    <x v="1"/>
    <x v="167"/>
    <x v="145"/>
    <x v="145"/>
    <s v="CHARGES"/>
    <x v="1"/>
    <s v="3301.001"/>
    <s v="Défalcations, abandons de solde PP et IS"/>
    <n v="55.58"/>
    <n v="0"/>
    <n v="3301"/>
  </r>
  <r>
    <x v="0"/>
    <x v="5"/>
    <x v="1"/>
    <x v="167"/>
    <x v="145"/>
    <x v="145"/>
    <s v="CHARGES"/>
    <x v="0"/>
    <s v="3212.004"/>
    <s v="Intérêts rémun./perçu trop tôt sur acomptes C/C"/>
    <n v="2.27"/>
    <n v="0"/>
    <n v="3212"/>
  </r>
  <r>
    <x v="0"/>
    <x v="5"/>
    <x v="1"/>
    <x v="167"/>
    <x v="145"/>
    <x v="145"/>
    <s v="CHARGES"/>
    <x v="1"/>
    <s v="3301.001"/>
    <s v="Défalcations, abandons de solde PP et IS"/>
    <n v="0.81"/>
    <n v="0"/>
    <n v="3301"/>
  </r>
  <r>
    <x v="0"/>
    <x v="5"/>
    <x v="1"/>
    <x v="167"/>
    <x v="145"/>
    <x v="145"/>
    <s v="CHARGES"/>
    <x v="0"/>
    <s v="3212.004"/>
    <s v="Intérêts rémun./perçu trop tôt sur acomptes C/C"/>
    <n v="-27.11"/>
    <n v="0"/>
    <n v="3212"/>
  </r>
  <r>
    <x v="0"/>
    <x v="5"/>
    <x v="1"/>
    <x v="167"/>
    <x v="145"/>
    <x v="145"/>
    <s v="CHARGES"/>
    <x v="0"/>
    <s v="3221.002"/>
    <s v="Intérêts compensatoires / créances en faveur ctb."/>
    <n v="-8.64"/>
    <n v="0"/>
    <n v="3221"/>
  </r>
  <r>
    <x v="0"/>
    <x v="5"/>
    <x v="1"/>
    <x v="167"/>
    <x v="145"/>
    <x v="145"/>
    <s v="CHARGES"/>
    <x v="1"/>
    <s v="3301.001"/>
    <s v="Défalcations, abandons de solde PP et IS"/>
    <n v="2387.79"/>
    <n v="0"/>
    <n v="3301"/>
  </r>
  <r>
    <x v="0"/>
    <x v="5"/>
    <x v="1"/>
    <x v="167"/>
    <x v="145"/>
    <x v="145"/>
    <s v="CHARGES"/>
    <x v="0"/>
    <s v="3221.002"/>
    <s v="Intérêts compensatoires / créances en faveur ctb."/>
    <n v="67.23"/>
    <n v="0"/>
    <n v="3221"/>
  </r>
  <r>
    <x v="0"/>
    <x v="5"/>
    <x v="1"/>
    <x v="167"/>
    <x v="145"/>
    <x v="145"/>
    <s v="CHARGES"/>
    <x v="0"/>
    <s v="3212.002"/>
    <s v="Intérêts bonifiés/trop perçu acompte C/C"/>
    <n v="200.06"/>
    <n v="0"/>
    <n v="3212"/>
  </r>
  <r>
    <x v="0"/>
    <x v="5"/>
    <x v="1"/>
    <x v="167"/>
    <x v="145"/>
    <x v="145"/>
    <s v="CHARGES"/>
    <x v="0"/>
    <s v="3212.004"/>
    <s v="Intérêts rémun./perçu trop tôt sur acomptes C/C"/>
    <n v="47.44"/>
    <n v="0"/>
    <n v="3212"/>
  </r>
  <r>
    <x v="0"/>
    <x v="5"/>
    <x v="1"/>
    <x v="167"/>
    <x v="145"/>
    <x v="145"/>
    <s v="CHARGES"/>
    <x v="0"/>
    <s v="3212.004"/>
    <s v="Intérêts rémun./perçu trop tôt sur acomptes C/C"/>
    <n v="13.24"/>
    <n v="0"/>
    <n v="3212"/>
  </r>
  <r>
    <x v="0"/>
    <x v="5"/>
    <x v="1"/>
    <x v="167"/>
    <x v="145"/>
    <x v="145"/>
    <s v="CHARGES"/>
    <x v="0"/>
    <s v="3221.002"/>
    <s v="Intérêts compensatoires / créances en faveur ctb."/>
    <n v="1.28"/>
    <n v="0"/>
    <n v="3221"/>
  </r>
  <r>
    <x v="0"/>
    <x v="5"/>
    <x v="1"/>
    <x v="167"/>
    <x v="145"/>
    <x v="145"/>
    <s v="CHARGES"/>
    <x v="0"/>
    <s v="3212.002"/>
    <s v="Intérêts bonifiés/trop perçu acompte C/C"/>
    <n v="1.37"/>
    <n v="0"/>
    <n v="3212"/>
  </r>
  <r>
    <x v="0"/>
    <x v="5"/>
    <x v="1"/>
    <x v="167"/>
    <x v="145"/>
    <x v="145"/>
    <s v="CHARGES"/>
    <x v="0"/>
    <s v="3212.004"/>
    <s v="Intérêts rémun./perçu trop tôt sur acomptes C/C"/>
    <n v="11.74"/>
    <n v="0"/>
    <n v="3212"/>
  </r>
  <r>
    <x v="0"/>
    <x v="5"/>
    <x v="1"/>
    <x v="167"/>
    <x v="145"/>
    <x v="145"/>
    <s v="CHARGES"/>
    <x v="0"/>
    <s v="3221.002"/>
    <s v="Intérêts compensatoires / créances en faveur ctb."/>
    <n v="8.0500000000000007"/>
    <n v="0"/>
    <n v="3221"/>
  </r>
  <r>
    <x v="0"/>
    <x v="5"/>
    <x v="1"/>
    <x v="167"/>
    <x v="145"/>
    <x v="145"/>
    <s v="CHARGES"/>
    <x v="1"/>
    <s v="3301.001"/>
    <s v="Défalcations, abandons de solde PP et IS"/>
    <n v="17.600000000000001"/>
    <n v="0"/>
    <n v="3301"/>
  </r>
  <r>
    <x v="0"/>
    <x v="5"/>
    <x v="1"/>
    <x v="167"/>
    <x v="145"/>
    <x v="145"/>
    <s v="CHARGES"/>
    <x v="0"/>
    <s v="3212.002"/>
    <s v="Intérêts bonifiés/trop perçu acompte C/C"/>
    <n v="42.27"/>
    <n v="0"/>
    <n v="3212"/>
  </r>
  <r>
    <x v="0"/>
    <x v="5"/>
    <x v="1"/>
    <x v="167"/>
    <x v="145"/>
    <x v="145"/>
    <s v="CHARGES"/>
    <x v="1"/>
    <s v="3301.001"/>
    <s v="Défalcations, abandons de solde PP et IS"/>
    <n v="460988.39"/>
    <n v="0"/>
    <n v="3301"/>
  </r>
  <r>
    <x v="0"/>
    <x v="5"/>
    <x v="1"/>
    <x v="167"/>
    <x v="145"/>
    <x v="145"/>
    <s v="CHARGES"/>
    <x v="0"/>
    <s v="3221.002"/>
    <s v="Intérêts compensatoires / créances en faveur ctb."/>
    <n v="4.1100000000000003"/>
    <n v="0"/>
    <n v="3221"/>
  </r>
  <r>
    <x v="0"/>
    <x v="5"/>
    <x v="1"/>
    <x v="167"/>
    <x v="145"/>
    <x v="145"/>
    <s v="CHARGES"/>
    <x v="1"/>
    <s v="3301.001"/>
    <s v="Défalcations, abandons de solde PP et IS"/>
    <n v="272.93"/>
    <n v="0"/>
    <n v="3301"/>
  </r>
  <r>
    <x v="0"/>
    <x v="5"/>
    <x v="1"/>
    <x v="167"/>
    <x v="145"/>
    <x v="145"/>
    <s v="CHARGES"/>
    <x v="0"/>
    <s v="3221.002"/>
    <s v="Intérêts compensatoires / créances en faveur ctb."/>
    <n v="31.71"/>
    <n v="0"/>
    <n v="3221"/>
  </r>
  <r>
    <x v="0"/>
    <x v="5"/>
    <x v="1"/>
    <x v="167"/>
    <x v="145"/>
    <x v="145"/>
    <s v="CHARGES"/>
    <x v="0"/>
    <s v="3212.004"/>
    <s v="Intérêts rémun./perçu trop tôt sur acomptes C/C"/>
    <n v="1.06"/>
    <n v="0"/>
    <n v="3212"/>
  </r>
  <r>
    <x v="0"/>
    <x v="5"/>
    <x v="1"/>
    <x v="167"/>
    <x v="145"/>
    <x v="145"/>
    <s v="CHARGES"/>
    <x v="0"/>
    <s v="3221.002"/>
    <s v="Intérêts compensatoires / créances en faveur ctb."/>
    <n v="0.64"/>
    <n v="0"/>
    <n v="3221"/>
  </r>
  <r>
    <x v="0"/>
    <x v="5"/>
    <x v="1"/>
    <x v="167"/>
    <x v="145"/>
    <x v="145"/>
    <s v="CHARGES"/>
    <x v="0"/>
    <s v="3212.002"/>
    <s v="Intérêts bonifiés/trop perçu acompte C/C"/>
    <n v="-0.01"/>
    <n v="0"/>
    <n v="3212"/>
  </r>
  <r>
    <x v="0"/>
    <x v="5"/>
    <x v="1"/>
    <x v="167"/>
    <x v="145"/>
    <x v="145"/>
    <s v="CHARGES"/>
    <x v="0"/>
    <s v="3212.004"/>
    <s v="Intérêts rémun./perçu trop tôt sur acomptes C/C"/>
    <n v="-1.04"/>
    <n v="0"/>
    <n v="3212"/>
  </r>
  <r>
    <x v="0"/>
    <x v="5"/>
    <x v="1"/>
    <x v="167"/>
    <x v="145"/>
    <x v="145"/>
    <s v="CHARGES"/>
    <x v="0"/>
    <s v="3221.002"/>
    <s v="Intérêts compensatoires / créances en faveur ctb."/>
    <n v="-0.7"/>
    <n v="0"/>
    <n v="3221"/>
  </r>
  <r>
    <x v="0"/>
    <x v="5"/>
    <x v="1"/>
    <x v="167"/>
    <x v="145"/>
    <x v="145"/>
    <s v="CHARGES"/>
    <x v="1"/>
    <s v="3301.001"/>
    <s v="Défalcations, abandons de solde PP et IS"/>
    <n v="-0.02"/>
    <n v="0"/>
    <n v="3301"/>
  </r>
  <r>
    <x v="0"/>
    <x v="5"/>
    <x v="1"/>
    <x v="167"/>
    <x v="145"/>
    <x v="145"/>
    <s v="CHARGES"/>
    <x v="0"/>
    <s v="3212.002"/>
    <s v="Intérêts bonifiés/trop perçu acompte C/C"/>
    <n v="-0.18"/>
    <n v="0"/>
    <n v="3212"/>
  </r>
  <r>
    <x v="0"/>
    <x v="5"/>
    <x v="1"/>
    <x v="167"/>
    <x v="145"/>
    <x v="145"/>
    <s v="CHARGES"/>
    <x v="1"/>
    <s v="3301.001"/>
    <s v="Défalcations, abandons de solde PP et IS"/>
    <n v="-2.35"/>
    <n v="0"/>
    <n v="3301"/>
  </r>
  <r>
    <x v="0"/>
    <x v="5"/>
    <x v="1"/>
    <x v="167"/>
    <x v="145"/>
    <x v="145"/>
    <s v="CHARGES"/>
    <x v="0"/>
    <s v="3212.002"/>
    <s v="Intérêts bonifiés/trop perçu acompte C/C"/>
    <n v="3.78"/>
    <n v="0"/>
    <n v="3212"/>
  </r>
  <r>
    <x v="0"/>
    <x v="5"/>
    <x v="1"/>
    <x v="167"/>
    <x v="145"/>
    <x v="145"/>
    <s v="CHARGES"/>
    <x v="0"/>
    <s v="3212.004"/>
    <s v="Intérêts rémun./perçu trop tôt sur acomptes C/C"/>
    <n v="0.54"/>
    <n v="0"/>
    <n v="3212"/>
  </r>
  <r>
    <x v="0"/>
    <x v="5"/>
    <x v="1"/>
    <x v="167"/>
    <x v="145"/>
    <x v="145"/>
    <s v="CHARGES"/>
    <x v="0"/>
    <s v="3221.002"/>
    <s v="Intérêts compensatoires / créances en faveur ctb."/>
    <n v="0.51"/>
    <n v="0"/>
    <n v="3221"/>
  </r>
  <r>
    <x v="0"/>
    <x v="5"/>
    <x v="1"/>
    <x v="167"/>
    <x v="145"/>
    <x v="145"/>
    <s v="CHARGES"/>
    <x v="0"/>
    <s v="3212.004"/>
    <s v="Intérêts rémun./perçu trop tôt sur acomptes C/C"/>
    <n v="-0.08"/>
    <n v="0"/>
    <n v="3212"/>
  </r>
  <r>
    <x v="0"/>
    <x v="5"/>
    <x v="1"/>
    <x v="167"/>
    <x v="145"/>
    <x v="145"/>
    <s v="CHARGES"/>
    <x v="0"/>
    <s v="3221.002"/>
    <s v="Intérêts compensatoires / créances en faveur ctb."/>
    <n v="-0.19"/>
    <n v="0"/>
    <n v="3221"/>
  </r>
  <r>
    <x v="0"/>
    <x v="5"/>
    <x v="1"/>
    <x v="167"/>
    <x v="145"/>
    <x v="145"/>
    <s v="CHARGES"/>
    <x v="1"/>
    <s v="3301.001"/>
    <s v="Défalcations, abandons de solde PP et IS"/>
    <n v="-0.03"/>
    <n v="0"/>
    <n v="3301"/>
  </r>
  <r>
    <x v="0"/>
    <x v="5"/>
    <x v="1"/>
    <x v="167"/>
    <x v="145"/>
    <x v="145"/>
    <s v="CHARGES"/>
    <x v="0"/>
    <s v="3221.002"/>
    <s v="Intérêts compensatoires / créances en faveur ctb."/>
    <n v="0.02"/>
    <n v="0"/>
    <n v="3221"/>
  </r>
  <r>
    <x v="0"/>
    <x v="5"/>
    <x v="1"/>
    <x v="167"/>
    <x v="145"/>
    <x v="145"/>
    <s v="CHARGES"/>
    <x v="1"/>
    <s v="3301.001"/>
    <s v="Défalcations, abandons de solde PP et IS"/>
    <n v="-0.09"/>
    <n v="0"/>
    <n v="3301"/>
  </r>
  <r>
    <x v="0"/>
    <x v="5"/>
    <x v="1"/>
    <x v="167"/>
    <x v="145"/>
    <x v="145"/>
    <s v="CHARGES"/>
    <x v="1"/>
    <s v="3301.001"/>
    <s v="Défalcations, abandons de solde PP et IS"/>
    <n v="0.11"/>
    <n v="0"/>
    <n v="3301"/>
  </r>
  <r>
    <x v="0"/>
    <x v="5"/>
    <x v="1"/>
    <x v="167"/>
    <x v="145"/>
    <x v="145"/>
    <s v="REVENUS"/>
    <x v="2"/>
    <s v="4001.007"/>
    <s v="Acompte impôt sur revenu"/>
    <n v="0"/>
    <n v="5211633.66"/>
    <n v="4001"/>
  </r>
  <r>
    <x v="0"/>
    <x v="5"/>
    <x v="1"/>
    <x v="167"/>
    <x v="145"/>
    <x v="145"/>
    <s v="REVENUS"/>
    <x v="3"/>
    <s v="4002.007"/>
    <s v="Acompte impôt sur fortune"/>
    <n v="0"/>
    <n v="1559025.64"/>
    <n v="4002"/>
  </r>
  <r>
    <x v="0"/>
    <x v="5"/>
    <x v="1"/>
    <x v="167"/>
    <x v="145"/>
    <x v="145"/>
    <s v="REVENUS"/>
    <x v="6"/>
    <s v="4211.001"/>
    <s v="Intérêts de retard sur factures"/>
    <n v="0"/>
    <n v="223673.52"/>
    <n v="4211"/>
  </r>
  <r>
    <x v="0"/>
    <x v="5"/>
    <x v="1"/>
    <x v="167"/>
    <x v="145"/>
    <x v="145"/>
    <s v="REVENUS"/>
    <x v="2"/>
    <s v="4001.007"/>
    <s v="Acompte impôt sur revenu"/>
    <n v="0"/>
    <n v="-322257.83"/>
    <n v="4001"/>
  </r>
  <r>
    <x v="0"/>
    <x v="5"/>
    <x v="1"/>
    <x v="167"/>
    <x v="145"/>
    <x v="145"/>
    <s v="REVENUS"/>
    <x v="3"/>
    <s v="4002.007"/>
    <s v="Acompte impôt sur fortune"/>
    <n v="0"/>
    <n v="-60070.19"/>
    <n v="4002"/>
  </r>
  <r>
    <x v="0"/>
    <x v="5"/>
    <x v="1"/>
    <x v="167"/>
    <x v="145"/>
    <x v="145"/>
    <s v="REVENUS"/>
    <x v="2"/>
    <s v="4001.001"/>
    <s v="Impôt revenu"/>
    <n v="0"/>
    <n v="-3726514.3"/>
    <n v="4001"/>
  </r>
  <r>
    <x v="0"/>
    <x v="5"/>
    <x v="1"/>
    <x v="167"/>
    <x v="145"/>
    <x v="145"/>
    <s v="REVENUS"/>
    <x v="2"/>
    <s v="4001.007"/>
    <s v="Acompte impôt sur revenu"/>
    <n v="0"/>
    <n v="-4947665.2699999996"/>
    <n v="4001"/>
  </r>
  <r>
    <x v="0"/>
    <x v="5"/>
    <x v="1"/>
    <x v="167"/>
    <x v="145"/>
    <x v="145"/>
    <s v="REVENUS"/>
    <x v="3"/>
    <s v="4002.001"/>
    <s v="Impôt ordinaire s/fortune PP"/>
    <n v="0"/>
    <n v="-270574.65000000002"/>
    <n v="4002"/>
  </r>
  <r>
    <x v="0"/>
    <x v="5"/>
    <x v="1"/>
    <x v="167"/>
    <x v="145"/>
    <x v="145"/>
    <s v="REVENUS"/>
    <x v="3"/>
    <s v="4002.007"/>
    <s v="Acompte impôt sur fortune"/>
    <n v="0"/>
    <n v="-1169069.82"/>
    <n v="4002"/>
  </r>
  <r>
    <x v="0"/>
    <x v="5"/>
    <x v="1"/>
    <x v="167"/>
    <x v="145"/>
    <x v="145"/>
    <s v="REVENUS"/>
    <x v="2"/>
    <s v="4001.001"/>
    <s v="Impôt revenu"/>
    <n v="0"/>
    <n v="29926161.399999999"/>
    <n v="4001"/>
  </r>
  <r>
    <x v="0"/>
    <x v="5"/>
    <x v="1"/>
    <x v="167"/>
    <x v="145"/>
    <x v="145"/>
    <s v="REVENUS"/>
    <x v="2"/>
    <s v="4001.002"/>
    <s v="Impôt complément s/revenu PP"/>
    <n v="0"/>
    <n v="7834340"/>
    <n v="4001"/>
  </r>
  <r>
    <x v="0"/>
    <x v="5"/>
    <x v="1"/>
    <x v="167"/>
    <x v="145"/>
    <x v="145"/>
    <s v="REVENUS"/>
    <x v="3"/>
    <s v="4002.001"/>
    <s v="Impôt ordinaire s/fortune PP"/>
    <n v="0"/>
    <n v="3799030.65"/>
    <n v="4002"/>
  </r>
  <r>
    <x v="0"/>
    <x v="5"/>
    <x v="1"/>
    <x v="167"/>
    <x v="145"/>
    <x v="145"/>
    <s v="REVENUS"/>
    <x v="3"/>
    <s v="4002.002"/>
    <s v="Impôt complémentaire s/fortune PP"/>
    <n v="0"/>
    <n v="1475052"/>
    <n v="4002"/>
  </r>
  <r>
    <x v="0"/>
    <x v="5"/>
    <x v="1"/>
    <x v="167"/>
    <x v="145"/>
    <x v="145"/>
    <s v="REVENUS"/>
    <x v="6"/>
    <s v="4211.002"/>
    <s v="Intérêts de retard sur acomptes"/>
    <n v="0"/>
    <n v="162680.13"/>
    <n v="4211"/>
  </r>
  <r>
    <x v="0"/>
    <x v="5"/>
    <x v="1"/>
    <x v="167"/>
    <x v="145"/>
    <x v="145"/>
    <s v="REVENUS"/>
    <x v="6"/>
    <s v="4221.003"/>
    <s v="Intérêts compensat. / acomptes en faveur du fisc"/>
    <n v="0"/>
    <n v="6446.69"/>
    <n v="4221"/>
  </r>
  <r>
    <x v="0"/>
    <x v="5"/>
    <x v="1"/>
    <x v="167"/>
    <x v="145"/>
    <x v="145"/>
    <s v="REVENUS"/>
    <x v="2"/>
    <s v="4001.001"/>
    <s v="Impôt revenu"/>
    <n v="0"/>
    <n v="745178.8"/>
    <n v="4001"/>
  </r>
  <r>
    <x v="0"/>
    <x v="5"/>
    <x v="1"/>
    <x v="167"/>
    <x v="145"/>
    <x v="145"/>
    <s v="REVENUS"/>
    <x v="3"/>
    <s v="4002.001"/>
    <s v="Impôt ordinaire s/fortune PP"/>
    <n v="0"/>
    <n v="163403.65"/>
    <n v="4002"/>
  </r>
  <r>
    <x v="0"/>
    <x v="5"/>
    <x v="1"/>
    <x v="167"/>
    <x v="145"/>
    <x v="145"/>
    <s v="REVENUS"/>
    <x v="6"/>
    <s v="4211.002"/>
    <s v="Intérêts de retard sur acomptes"/>
    <n v="0"/>
    <n v="4671.1000000000004"/>
    <n v="4211"/>
  </r>
  <r>
    <x v="0"/>
    <x v="5"/>
    <x v="1"/>
    <x v="167"/>
    <x v="145"/>
    <x v="145"/>
    <s v="REVENUS"/>
    <x v="6"/>
    <s v="4221.003"/>
    <s v="Intérêts compensat. / acomptes en faveur du fisc"/>
    <n v="0"/>
    <n v="69.84"/>
    <n v="4221"/>
  </r>
  <r>
    <x v="0"/>
    <x v="5"/>
    <x v="1"/>
    <x v="167"/>
    <x v="145"/>
    <x v="145"/>
    <s v="REVENUS"/>
    <x v="2"/>
    <s v="4001.003"/>
    <s v="Impôt s/prest. cap. PP"/>
    <n v="0"/>
    <n v="-51693.35"/>
    <n v="4001"/>
  </r>
  <r>
    <x v="0"/>
    <x v="5"/>
    <x v="1"/>
    <x v="167"/>
    <x v="145"/>
    <x v="145"/>
    <s v="REVENUS"/>
    <x v="9"/>
    <s v="4031.001"/>
    <s v="Impôt sur les gains immobiliers"/>
    <n v="0"/>
    <n v="1851465.75"/>
    <n v="4031"/>
  </r>
  <r>
    <x v="0"/>
    <x v="5"/>
    <x v="1"/>
    <x v="167"/>
    <x v="145"/>
    <x v="145"/>
    <s v="REVENUS"/>
    <x v="7"/>
    <s v="4184.000"/>
    <s v="Frais de poursuite"/>
    <n v="0"/>
    <n v="34595.019999999997"/>
    <n v="4184"/>
  </r>
  <r>
    <x v="0"/>
    <x v="5"/>
    <x v="1"/>
    <x v="167"/>
    <x v="145"/>
    <x v="145"/>
    <s v="REVENUS"/>
    <x v="6"/>
    <s v="4221.002"/>
    <s v="Intérêts compensat. sur impôts distincts"/>
    <n v="0"/>
    <n v="1097.23"/>
    <n v="4221"/>
  </r>
  <r>
    <x v="0"/>
    <x v="5"/>
    <x v="1"/>
    <x v="167"/>
    <x v="145"/>
    <x v="145"/>
    <s v="REVENUS"/>
    <x v="3"/>
    <s v="4002.001"/>
    <s v="Impôt ordinaire s/fortune PP"/>
    <n v="0"/>
    <n v="4863.3999999999996"/>
    <n v="4002"/>
  </r>
  <r>
    <x v="0"/>
    <x v="5"/>
    <x v="1"/>
    <x v="167"/>
    <x v="145"/>
    <x v="145"/>
    <s v="REVENUS"/>
    <x v="3"/>
    <s v="4002.007"/>
    <s v="Acompte impôt sur fortune"/>
    <n v="0"/>
    <n v="-1954.42"/>
    <n v="4002"/>
  </r>
  <r>
    <x v="0"/>
    <x v="5"/>
    <x v="1"/>
    <x v="167"/>
    <x v="145"/>
    <x v="145"/>
    <s v="REVENUS"/>
    <x v="6"/>
    <s v="4221.003"/>
    <s v="Intérêts compensat. / acomptes en faveur du fisc"/>
    <n v="0"/>
    <n v="9.1199999999999992"/>
    <n v="4221"/>
  </r>
  <r>
    <x v="0"/>
    <x v="5"/>
    <x v="1"/>
    <x v="167"/>
    <x v="145"/>
    <x v="145"/>
    <s v="REVENUS"/>
    <x v="2"/>
    <s v="4001.002"/>
    <s v="Impôt complément s/revenu PP"/>
    <n v="0"/>
    <n v="-456373.4"/>
    <n v="4001"/>
  </r>
  <r>
    <x v="0"/>
    <x v="5"/>
    <x v="1"/>
    <x v="167"/>
    <x v="145"/>
    <x v="145"/>
    <s v="REVENUS"/>
    <x v="2"/>
    <s v="4001.003"/>
    <s v="Impôt s/prest. cap. PP"/>
    <n v="0"/>
    <n v="721684"/>
    <n v="4001"/>
  </r>
  <r>
    <x v="0"/>
    <x v="5"/>
    <x v="1"/>
    <x v="167"/>
    <x v="145"/>
    <x v="145"/>
    <s v="REVENUS"/>
    <x v="10"/>
    <s v="4041.001"/>
    <s v="Droits de mutation"/>
    <n v="0"/>
    <n v="636712.4"/>
    <n v="4041"/>
  </r>
  <r>
    <x v="0"/>
    <x v="5"/>
    <x v="1"/>
    <x v="167"/>
    <x v="145"/>
    <x v="145"/>
    <s v="REVENUS"/>
    <x v="2"/>
    <s v="4001.001"/>
    <s v="Impôt revenu"/>
    <n v="0"/>
    <n v="52151.85"/>
    <n v="4001"/>
  </r>
  <r>
    <x v="0"/>
    <x v="5"/>
    <x v="1"/>
    <x v="167"/>
    <x v="145"/>
    <x v="145"/>
    <s v="REVENUS"/>
    <x v="2"/>
    <s v="4001.007"/>
    <s v="Acompte impôt sur revenu"/>
    <n v="0"/>
    <n v="2885.81"/>
    <n v="4001"/>
  </r>
  <r>
    <x v="0"/>
    <x v="5"/>
    <x v="1"/>
    <x v="167"/>
    <x v="145"/>
    <x v="145"/>
    <s v="REVENUS"/>
    <x v="3"/>
    <s v="4002.001"/>
    <s v="Impôt ordinaire s/fortune PP"/>
    <n v="0"/>
    <n v="12036.3"/>
    <n v="4002"/>
  </r>
  <r>
    <x v="0"/>
    <x v="5"/>
    <x v="1"/>
    <x v="167"/>
    <x v="145"/>
    <x v="145"/>
    <s v="REVENUS"/>
    <x v="3"/>
    <s v="4002.007"/>
    <s v="Acompte impôt sur fortune"/>
    <n v="0"/>
    <n v="-1944.07"/>
    <n v="4002"/>
  </r>
  <r>
    <x v="0"/>
    <x v="5"/>
    <x v="1"/>
    <x v="167"/>
    <x v="145"/>
    <x v="145"/>
    <s v="REVENUS"/>
    <x v="6"/>
    <s v="4221.003"/>
    <s v="Intérêts compensat. / acomptes en faveur du fisc"/>
    <n v="0"/>
    <n v="50.47"/>
    <n v="4221"/>
  </r>
  <r>
    <x v="0"/>
    <x v="5"/>
    <x v="1"/>
    <x v="167"/>
    <x v="145"/>
    <x v="145"/>
    <s v="REVENUS"/>
    <x v="2"/>
    <s v="4001.002"/>
    <s v="Impôt complément s/revenu PP"/>
    <n v="0"/>
    <n v="214355.4"/>
    <n v="4001"/>
  </r>
  <r>
    <x v="0"/>
    <x v="5"/>
    <x v="1"/>
    <x v="167"/>
    <x v="145"/>
    <x v="145"/>
    <s v="REVENUS"/>
    <x v="3"/>
    <s v="4002.002"/>
    <s v="Impôt complémentaire s/fortune PP"/>
    <n v="0"/>
    <n v="65602.25"/>
    <n v="4002"/>
  </r>
  <r>
    <x v="0"/>
    <x v="5"/>
    <x v="1"/>
    <x v="167"/>
    <x v="145"/>
    <x v="145"/>
    <s v="REVENUS"/>
    <x v="2"/>
    <s v="4001.001"/>
    <s v="Impôt revenu"/>
    <n v="0"/>
    <n v="113976.55"/>
    <n v="4001"/>
  </r>
  <r>
    <x v="0"/>
    <x v="5"/>
    <x v="1"/>
    <x v="167"/>
    <x v="145"/>
    <x v="145"/>
    <s v="REVENUS"/>
    <x v="2"/>
    <s v="4001.002"/>
    <s v="Impôt complément s/revenu PP"/>
    <n v="0"/>
    <n v="28974.25"/>
    <n v="4001"/>
  </r>
  <r>
    <x v="0"/>
    <x v="5"/>
    <x v="1"/>
    <x v="167"/>
    <x v="145"/>
    <x v="145"/>
    <s v="REVENUS"/>
    <x v="3"/>
    <s v="4002.001"/>
    <s v="Impôt ordinaire s/fortune PP"/>
    <n v="0"/>
    <n v="42884.55"/>
    <n v="4002"/>
  </r>
  <r>
    <x v="0"/>
    <x v="5"/>
    <x v="1"/>
    <x v="167"/>
    <x v="145"/>
    <x v="145"/>
    <s v="REVENUS"/>
    <x v="3"/>
    <s v="4002.002"/>
    <s v="Impôt complémentaire s/fortune PP"/>
    <n v="0"/>
    <n v="8695.4500000000007"/>
    <n v="4002"/>
  </r>
  <r>
    <x v="0"/>
    <x v="5"/>
    <x v="1"/>
    <x v="167"/>
    <x v="145"/>
    <x v="145"/>
    <s v="REVENUS"/>
    <x v="6"/>
    <s v="4211.002"/>
    <s v="Intérêts de retard sur acomptes"/>
    <n v="0"/>
    <n v="43.77"/>
    <n v="4211"/>
  </r>
  <r>
    <x v="0"/>
    <x v="5"/>
    <x v="1"/>
    <x v="167"/>
    <x v="145"/>
    <x v="145"/>
    <s v="REVENUS"/>
    <x v="2"/>
    <s v="4001.001"/>
    <s v="Impôt revenu"/>
    <n v="0"/>
    <n v="14279.4"/>
    <n v="4001"/>
  </r>
  <r>
    <x v="0"/>
    <x v="5"/>
    <x v="1"/>
    <x v="167"/>
    <x v="145"/>
    <x v="145"/>
    <s v="REVENUS"/>
    <x v="6"/>
    <s v="4211.001"/>
    <s v="Intérêts de retard sur factures"/>
    <n v="0"/>
    <n v="6183.51"/>
    <n v="4211"/>
  </r>
  <r>
    <x v="0"/>
    <x v="5"/>
    <x v="1"/>
    <x v="167"/>
    <x v="145"/>
    <x v="145"/>
    <s v="REVENUS"/>
    <x v="6"/>
    <s v="4211.001"/>
    <s v="Intérêts de retard sur factures"/>
    <n v="0"/>
    <n v="2.95"/>
    <n v="4211"/>
  </r>
  <r>
    <x v="0"/>
    <x v="5"/>
    <x v="1"/>
    <x v="167"/>
    <x v="145"/>
    <x v="145"/>
    <s v="REVENUS"/>
    <x v="4"/>
    <s v="4051.002"/>
    <s v="Impôt sur les donations"/>
    <n v="0"/>
    <n v="343946.1"/>
    <n v="4051"/>
  </r>
  <r>
    <x v="0"/>
    <x v="5"/>
    <x v="1"/>
    <x v="167"/>
    <x v="145"/>
    <x v="145"/>
    <s v="REVENUS"/>
    <x v="7"/>
    <s v="4184.000"/>
    <s v="Frais de poursuite"/>
    <n v="0"/>
    <n v="5634.22"/>
    <n v="4184"/>
  </r>
  <r>
    <x v="0"/>
    <x v="5"/>
    <x v="1"/>
    <x v="167"/>
    <x v="145"/>
    <x v="145"/>
    <s v="REVENUS"/>
    <x v="2"/>
    <s v="4001.001"/>
    <s v="Impôt revenu"/>
    <n v="0"/>
    <n v="30937.5"/>
    <n v="4001"/>
  </r>
  <r>
    <x v="0"/>
    <x v="5"/>
    <x v="1"/>
    <x v="167"/>
    <x v="145"/>
    <x v="145"/>
    <s v="REVENUS"/>
    <x v="2"/>
    <s v="4001.007"/>
    <s v="Acompte impôt sur revenu"/>
    <n v="0"/>
    <n v="-22321.98"/>
    <n v="4001"/>
  </r>
  <r>
    <x v="0"/>
    <x v="5"/>
    <x v="1"/>
    <x v="167"/>
    <x v="145"/>
    <x v="145"/>
    <s v="REVENUS"/>
    <x v="3"/>
    <s v="4002.001"/>
    <s v="Impôt ordinaire s/fortune PP"/>
    <n v="0"/>
    <n v="7624"/>
    <n v="4002"/>
  </r>
  <r>
    <x v="0"/>
    <x v="5"/>
    <x v="1"/>
    <x v="167"/>
    <x v="145"/>
    <x v="145"/>
    <s v="REVENUS"/>
    <x v="3"/>
    <s v="4002.007"/>
    <s v="Acompte impôt sur fortune"/>
    <n v="0"/>
    <n v="-1505.86"/>
    <n v="4002"/>
  </r>
  <r>
    <x v="0"/>
    <x v="5"/>
    <x v="1"/>
    <x v="167"/>
    <x v="145"/>
    <x v="145"/>
    <s v="REVENUS"/>
    <x v="6"/>
    <s v="4221.003"/>
    <s v="Intérêts compensat. / acomptes en faveur du fisc"/>
    <n v="0"/>
    <n v="161.4"/>
    <n v="4221"/>
  </r>
  <r>
    <x v="0"/>
    <x v="5"/>
    <x v="1"/>
    <x v="167"/>
    <x v="145"/>
    <x v="145"/>
    <s v="REVENUS"/>
    <x v="3"/>
    <s v="4002.002"/>
    <s v="Impôt complémentaire s/fortune PP"/>
    <n v="0"/>
    <n v="-120975.6"/>
    <n v="4002"/>
  </r>
  <r>
    <x v="0"/>
    <x v="5"/>
    <x v="1"/>
    <x v="167"/>
    <x v="145"/>
    <x v="145"/>
    <s v="REVENUS"/>
    <x v="8"/>
    <s v="4091.001"/>
    <s v="Impôt récupéré après défalcations"/>
    <n v="0"/>
    <n v="94549.62"/>
    <n v="4091"/>
  </r>
  <r>
    <x v="0"/>
    <x v="5"/>
    <x v="1"/>
    <x v="167"/>
    <x v="145"/>
    <x v="145"/>
    <s v="REVENUS"/>
    <x v="7"/>
    <s v="4184.000"/>
    <s v="Frais de poursuite"/>
    <n v="0"/>
    <n v="308.62"/>
    <n v="4184"/>
  </r>
  <r>
    <x v="0"/>
    <x v="5"/>
    <x v="1"/>
    <x v="167"/>
    <x v="145"/>
    <x v="145"/>
    <s v="REVENUS"/>
    <x v="6"/>
    <s v="4211.001"/>
    <s v="Intérêts de retard sur factures"/>
    <n v="0"/>
    <n v="5.94"/>
    <n v="4211"/>
  </r>
  <r>
    <x v="0"/>
    <x v="5"/>
    <x v="1"/>
    <x v="167"/>
    <x v="145"/>
    <x v="145"/>
    <s v="REVENUS"/>
    <x v="4"/>
    <s v="4051.001"/>
    <s v="Impôt sur les successions"/>
    <n v="0"/>
    <n v="1165900.5"/>
    <n v="4051"/>
  </r>
  <r>
    <x v="0"/>
    <x v="5"/>
    <x v="1"/>
    <x v="167"/>
    <x v="145"/>
    <x v="145"/>
    <s v="REVENUS"/>
    <x v="12"/>
    <s v="4004.007"/>
    <s v="Acompte spécial étrangers"/>
    <n v="0"/>
    <n v="59657.599999999999"/>
    <n v="4004"/>
  </r>
  <r>
    <x v="0"/>
    <x v="5"/>
    <x v="1"/>
    <x v="167"/>
    <x v="145"/>
    <x v="145"/>
    <s v="REVENUS"/>
    <x v="2"/>
    <s v="4001.007"/>
    <s v="Acompte impôt sur revenu"/>
    <n v="0"/>
    <n v="-8197.76"/>
    <n v="4001"/>
  </r>
  <r>
    <x v="0"/>
    <x v="5"/>
    <x v="1"/>
    <x v="167"/>
    <x v="145"/>
    <x v="145"/>
    <s v="REVENUS"/>
    <x v="3"/>
    <s v="4002.007"/>
    <s v="Acompte impôt sur fortune"/>
    <n v="0"/>
    <n v="14915.22"/>
    <n v="4002"/>
  </r>
  <r>
    <x v="0"/>
    <x v="5"/>
    <x v="1"/>
    <x v="167"/>
    <x v="145"/>
    <x v="145"/>
    <s v="REVENUS"/>
    <x v="14"/>
    <s v="4003.010"/>
    <s v="IS - Employés et sourciers étrangers"/>
    <n v="0"/>
    <n v="1004.25"/>
    <n v="4003"/>
  </r>
  <r>
    <x v="0"/>
    <x v="5"/>
    <x v="1"/>
    <x v="167"/>
    <x v="145"/>
    <x v="145"/>
    <s v="REVENUS"/>
    <x v="2"/>
    <s v="4001.007"/>
    <s v="Acompte impôt sur revenu"/>
    <n v="0"/>
    <n v="-605.59"/>
    <n v="4001"/>
  </r>
  <r>
    <x v="0"/>
    <x v="5"/>
    <x v="1"/>
    <x v="167"/>
    <x v="145"/>
    <x v="145"/>
    <s v="REVENUS"/>
    <x v="6"/>
    <s v="4211.001"/>
    <s v="Intérêts de retard sur factures"/>
    <n v="0"/>
    <n v="1598.39"/>
    <n v="4211"/>
  </r>
  <r>
    <x v="0"/>
    <x v="5"/>
    <x v="1"/>
    <x v="167"/>
    <x v="145"/>
    <x v="145"/>
    <s v="REVENUS"/>
    <x v="6"/>
    <s v="4211.002"/>
    <s v="Intérêts de retard sur acomptes"/>
    <n v="0"/>
    <n v="591.54999999999995"/>
    <n v="4211"/>
  </r>
  <r>
    <x v="0"/>
    <x v="5"/>
    <x v="1"/>
    <x v="167"/>
    <x v="145"/>
    <x v="145"/>
    <s v="REVENUS"/>
    <x v="6"/>
    <s v="4211.002"/>
    <s v="Intérêts de retard sur acomptes"/>
    <n v="0"/>
    <n v="19.809999999999999"/>
    <n v="4211"/>
  </r>
  <r>
    <x v="0"/>
    <x v="5"/>
    <x v="1"/>
    <x v="167"/>
    <x v="145"/>
    <x v="145"/>
    <s v="REVENUS"/>
    <x v="6"/>
    <s v="4211.001"/>
    <s v="Intérêts de retard sur factures"/>
    <n v="0"/>
    <n v="77.569999999999993"/>
    <n v="4211"/>
  </r>
  <r>
    <x v="0"/>
    <x v="5"/>
    <x v="1"/>
    <x v="167"/>
    <x v="145"/>
    <x v="145"/>
    <s v="REVENUS"/>
    <x v="2"/>
    <s v="4001.007"/>
    <s v="Acompte impôt sur revenu"/>
    <n v="0"/>
    <n v="-633.88"/>
    <n v="4001"/>
  </r>
  <r>
    <x v="0"/>
    <x v="5"/>
    <x v="1"/>
    <x v="167"/>
    <x v="145"/>
    <x v="145"/>
    <s v="REVENUS"/>
    <x v="3"/>
    <s v="4002.007"/>
    <s v="Acompte impôt sur fortune"/>
    <n v="0"/>
    <n v="-769.65"/>
    <n v="4002"/>
  </r>
  <r>
    <x v="0"/>
    <x v="5"/>
    <x v="1"/>
    <x v="167"/>
    <x v="145"/>
    <x v="145"/>
    <s v="REVENUS"/>
    <x v="2"/>
    <s v="4001.007"/>
    <s v="Acompte impôt sur revenu"/>
    <n v="0"/>
    <n v="39137.26"/>
    <n v="4001"/>
  </r>
  <r>
    <x v="0"/>
    <x v="5"/>
    <x v="1"/>
    <x v="167"/>
    <x v="145"/>
    <x v="145"/>
    <s v="REVENUS"/>
    <x v="3"/>
    <s v="4002.007"/>
    <s v="Acompte impôt sur fortune"/>
    <n v="0"/>
    <n v="13119.38"/>
    <n v="4002"/>
  </r>
  <r>
    <x v="0"/>
    <x v="5"/>
    <x v="1"/>
    <x v="167"/>
    <x v="145"/>
    <x v="145"/>
    <s v="REVENUS"/>
    <x v="6"/>
    <s v="4211.002"/>
    <s v="Intérêts de retard sur acomptes"/>
    <n v="0"/>
    <n v="138.22"/>
    <n v="4211"/>
  </r>
  <r>
    <x v="0"/>
    <x v="5"/>
    <x v="1"/>
    <x v="167"/>
    <x v="145"/>
    <x v="145"/>
    <s v="REVENUS"/>
    <x v="6"/>
    <s v="4221.003"/>
    <s v="Intérêts compensat. / acomptes en faveur du fisc"/>
    <n v="0"/>
    <n v="19.95"/>
    <n v="4221"/>
  </r>
  <r>
    <x v="0"/>
    <x v="5"/>
    <x v="1"/>
    <x v="167"/>
    <x v="145"/>
    <x v="145"/>
    <s v="REVENUS"/>
    <x v="6"/>
    <s v="4211.002"/>
    <s v="Intérêts de retard sur acomptes"/>
    <n v="0"/>
    <n v="-1.7"/>
    <n v="4211"/>
  </r>
  <r>
    <x v="0"/>
    <x v="5"/>
    <x v="1"/>
    <x v="167"/>
    <x v="145"/>
    <x v="145"/>
    <s v="REVENUS"/>
    <x v="6"/>
    <s v="4221.003"/>
    <s v="Intérêts compensat. / acomptes en faveur du fisc"/>
    <n v="0"/>
    <n v="-7.34"/>
    <n v="4221"/>
  </r>
  <r>
    <x v="0"/>
    <x v="5"/>
    <x v="1"/>
    <x v="167"/>
    <x v="145"/>
    <x v="145"/>
    <s v="REVENUS"/>
    <x v="10"/>
    <s v="4041.002"/>
    <s v="Complément droit de mutation"/>
    <n v="0"/>
    <n v="1111.75"/>
    <n v="4041"/>
  </r>
  <r>
    <x v="0"/>
    <x v="5"/>
    <x v="1"/>
    <x v="167"/>
    <x v="145"/>
    <x v="145"/>
    <s v="REVENUS"/>
    <x v="2"/>
    <s v="4001.001"/>
    <s v="Impôt revenu"/>
    <n v="0"/>
    <n v="1004.65"/>
    <n v="4001"/>
  </r>
  <r>
    <x v="0"/>
    <x v="5"/>
    <x v="1"/>
    <x v="167"/>
    <x v="145"/>
    <x v="145"/>
    <s v="REVENUS"/>
    <x v="3"/>
    <s v="4002.001"/>
    <s v="Impôt ordinaire s/fortune PP"/>
    <n v="0"/>
    <n v="892.55"/>
    <n v="4002"/>
  </r>
  <r>
    <x v="0"/>
    <x v="5"/>
    <x v="1"/>
    <x v="167"/>
    <x v="145"/>
    <x v="145"/>
    <s v="REVENUS"/>
    <x v="2"/>
    <s v="4001.001"/>
    <s v="Impôt revenu"/>
    <n v="0"/>
    <n v="-420.55"/>
    <n v="4001"/>
  </r>
  <r>
    <x v="0"/>
    <x v="5"/>
    <x v="1"/>
    <x v="167"/>
    <x v="145"/>
    <x v="145"/>
    <s v="REVENUS"/>
    <x v="3"/>
    <s v="4002.001"/>
    <s v="Impôt ordinaire s/fortune PP"/>
    <n v="0"/>
    <n v="-1055.6500000000001"/>
    <n v="4002"/>
  </r>
  <r>
    <x v="0"/>
    <x v="5"/>
    <x v="1"/>
    <x v="167"/>
    <x v="145"/>
    <x v="145"/>
    <s v="REVENUS"/>
    <x v="6"/>
    <s v="4221.003"/>
    <s v="Intérêts compensat. / acomptes en faveur du fisc"/>
    <n v="0"/>
    <n v="-0.02"/>
    <n v="4221"/>
  </r>
  <r>
    <x v="0"/>
    <x v="5"/>
    <x v="1"/>
    <x v="167"/>
    <x v="145"/>
    <x v="145"/>
    <s v="REVENUS"/>
    <x v="2"/>
    <s v="4001.002"/>
    <s v="Impôt complément s/revenu PP"/>
    <n v="0"/>
    <n v="7916.8"/>
    <n v="4001"/>
  </r>
  <r>
    <x v="0"/>
    <x v="5"/>
    <x v="1"/>
    <x v="167"/>
    <x v="145"/>
    <x v="145"/>
    <s v="REVENUS"/>
    <x v="3"/>
    <s v="4002.002"/>
    <s v="Impôt complémentaire s/fortune PP"/>
    <n v="0"/>
    <n v="6144.7"/>
    <n v="4002"/>
  </r>
  <r>
    <x v="0"/>
    <x v="5"/>
    <x v="1"/>
    <x v="167"/>
    <x v="145"/>
    <x v="145"/>
    <s v="REVENUS"/>
    <x v="6"/>
    <s v="4211.001"/>
    <s v="Intérêts de retard sur factures"/>
    <n v="0"/>
    <n v="195.69"/>
    <n v="4211"/>
  </r>
  <r>
    <x v="0"/>
    <x v="5"/>
    <x v="1"/>
    <x v="167"/>
    <x v="145"/>
    <x v="145"/>
    <s v="REVENUS"/>
    <x v="9"/>
    <s v="4031.001"/>
    <s v="Impôt sur les gains immobiliers"/>
    <n v="0"/>
    <n v="69176.25"/>
    <n v="4031"/>
  </r>
  <r>
    <x v="0"/>
    <x v="5"/>
    <x v="1"/>
    <x v="167"/>
    <x v="145"/>
    <x v="145"/>
    <s v="REVENUS"/>
    <x v="2"/>
    <s v="4001.007"/>
    <s v="Acompte impôt sur revenu"/>
    <n v="0"/>
    <n v="-24195.65"/>
    <n v="4001"/>
  </r>
  <r>
    <x v="0"/>
    <x v="5"/>
    <x v="1"/>
    <x v="167"/>
    <x v="145"/>
    <x v="145"/>
    <s v="REVENUS"/>
    <x v="3"/>
    <s v="4002.007"/>
    <s v="Acompte impôt sur fortune"/>
    <n v="0"/>
    <n v="-3223.3"/>
    <n v="4002"/>
  </r>
  <r>
    <x v="0"/>
    <x v="5"/>
    <x v="1"/>
    <x v="167"/>
    <x v="145"/>
    <x v="145"/>
    <s v="REVENUS"/>
    <x v="8"/>
    <s v="4091.001"/>
    <s v="Impôt récupéré après défalcations"/>
    <n v="0"/>
    <n v="20840.82"/>
    <n v="4091"/>
  </r>
  <r>
    <x v="0"/>
    <x v="5"/>
    <x v="1"/>
    <x v="167"/>
    <x v="145"/>
    <x v="145"/>
    <s v="REVENUS"/>
    <x v="13"/>
    <s v="4371.013"/>
    <s v="Amende soustraction LMSD"/>
    <n v="0"/>
    <n v="1564.5"/>
    <n v="4371"/>
  </r>
  <r>
    <x v="0"/>
    <x v="5"/>
    <x v="1"/>
    <x v="167"/>
    <x v="145"/>
    <x v="145"/>
    <s v="REVENUS"/>
    <x v="6"/>
    <s v="4211.001"/>
    <s v="Intérêts de retard sur factures"/>
    <n v="0"/>
    <n v="0.16"/>
    <n v="4211"/>
  </r>
  <r>
    <x v="0"/>
    <x v="5"/>
    <x v="1"/>
    <x v="167"/>
    <x v="145"/>
    <x v="145"/>
    <s v="REVENUS"/>
    <x v="7"/>
    <s v="4184.000"/>
    <s v="Frais de poursuite"/>
    <n v="0"/>
    <n v="116.6"/>
    <n v="4184"/>
  </r>
  <r>
    <x v="0"/>
    <x v="5"/>
    <x v="1"/>
    <x v="167"/>
    <x v="145"/>
    <x v="145"/>
    <s v="REVENUS"/>
    <x v="3"/>
    <s v="4002.002"/>
    <s v="Impôt complémentaire s/fortune PP"/>
    <n v="0"/>
    <n v="87.35"/>
    <n v="4002"/>
  </r>
  <r>
    <x v="0"/>
    <x v="5"/>
    <x v="1"/>
    <x v="167"/>
    <x v="145"/>
    <x v="145"/>
    <s v="REVENUS"/>
    <x v="12"/>
    <s v="4004.000"/>
    <s v="Impôt spécial étrangers"/>
    <n v="0"/>
    <n v="435568.6"/>
    <n v="4004"/>
  </r>
  <r>
    <x v="0"/>
    <x v="5"/>
    <x v="1"/>
    <x v="167"/>
    <x v="145"/>
    <x v="145"/>
    <s v="REVENUS"/>
    <x v="3"/>
    <s v="4002.001"/>
    <s v="Impôt ordinaire s/fortune PP"/>
    <n v="0"/>
    <n v="-23.8"/>
    <n v="4002"/>
  </r>
  <r>
    <x v="0"/>
    <x v="5"/>
    <x v="1"/>
    <x v="167"/>
    <x v="145"/>
    <x v="145"/>
    <s v="REVENUS"/>
    <x v="6"/>
    <s v="4211.001"/>
    <s v="Intérêts de retard sur factures"/>
    <n v="0"/>
    <n v="0.03"/>
    <n v="4211"/>
  </r>
  <r>
    <x v="0"/>
    <x v="5"/>
    <x v="1"/>
    <x v="167"/>
    <x v="145"/>
    <x v="145"/>
    <s v="REVENUS"/>
    <x v="4"/>
    <s v="4051.001"/>
    <s v="Impôt sur les successions"/>
    <n v="0"/>
    <n v="56019.5"/>
    <n v="4051"/>
  </r>
  <r>
    <x v="0"/>
    <x v="5"/>
    <x v="1"/>
    <x v="167"/>
    <x v="145"/>
    <x v="145"/>
    <s v="REVENUS"/>
    <x v="6"/>
    <s v="4221.002"/>
    <s v="Intérêts compensat. sur impôts distincts"/>
    <n v="0"/>
    <n v="33.5"/>
    <n v="4221"/>
  </r>
  <r>
    <x v="0"/>
    <x v="5"/>
    <x v="1"/>
    <x v="167"/>
    <x v="145"/>
    <x v="145"/>
    <s v="REVENUS"/>
    <x v="7"/>
    <s v="4184.000"/>
    <s v="Frais de poursuite"/>
    <n v="0"/>
    <n v="-0.31"/>
    <n v="4184"/>
  </r>
  <r>
    <x v="0"/>
    <x v="5"/>
    <x v="1"/>
    <x v="167"/>
    <x v="145"/>
    <x v="145"/>
    <s v="REVENUS"/>
    <x v="2"/>
    <s v="4001.002"/>
    <s v="Impôt complément s/revenu PP"/>
    <n v="0"/>
    <n v="39201.050000000003"/>
    <n v="4001"/>
  </r>
  <r>
    <x v="0"/>
    <x v="5"/>
    <x v="1"/>
    <x v="167"/>
    <x v="145"/>
    <x v="145"/>
    <s v="REVENUS"/>
    <x v="3"/>
    <s v="4002.002"/>
    <s v="Impôt complémentaire s/fortune PP"/>
    <n v="0"/>
    <n v="2146.6999999999998"/>
    <n v="4002"/>
  </r>
  <r>
    <x v="0"/>
    <x v="5"/>
    <x v="1"/>
    <x v="167"/>
    <x v="145"/>
    <x v="145"/>
    <s v="REVENUS"/>
    <x v="2"/>
    <s v="4001.001"/>
    <s v="Impôt revenu"/>
    <n v="0"/>
    <n v="1861.1"/>
    <n v="4001"/>
  </r>
  <r>
    <x v="0"/>
    <x v="5"/>
    <x v="1"/>
    <x v="167"/>
    <x v="145"/>
    <x v="145"/>
    <s v="REVENUS"/>
    <x v="3"/>
    <s v="4002.001"/>
    <s v="Impôt ordinaire s/fortune PP"/>
    <n v="0"/>
    <n v="670.75"/>
    <n v="4002"/>
  </r>
  <r>
    <x v="0"/>
    <x v="5"/>
    <x v="1"/>
    <x v="167"/>
    <x v="145"/>
    <x v="145"/>
    <s v="REVENUS"/>
    <x v="6"/>
    <s v="4211.002"/>
    <s v="Intérêts de retard sur acomptes"/>
    <n v="0"/>
    <n v="1.5"/>
    <n v="4211"/>
  </r>
  <r>
    <x v="0"/>
    <x v="5"/>
    <x v="1"/>
    <x v="167"/>
    <x v="145"/>
    <x v="145"/>
    <s v="REVENUS"/>
    <x v="2"/>
    <s v="4001.001"/>
    <s v="Impôt revenu"/>
    <n v="0"/>
    <n v="-2669.6"/>
    <n v="4001"/>
  </r>
  <r>
    <x v="0"/>
    <x v="5"/>
    <x v="1"/>
    <x v="167"/>
    <x v="145"/>
    <x v="145"/>
    <s v="REVENUS"/>
    <x v="3"/>
    <s v="4002.001"/>
    <s v="Impôt ordinaire s/fortune PP"/>
    <n v="0"/>
    <n v="-608"/>
    <n v="4002"/>
  </r>
  <r>
    <x v="0"/>
    <x v="5"/>
    <x v="1"/>
    <x v="167"/>
    <x v="145"/>
    <x v="145"/>
    <s v="REVENUS"/>
    <x v="3"/>
    <s v="4002.002"/>
    <s v="Impôt complémentaire s/fortune PP"/>
    <n v="0"/>
    <n v="-298.7"/>
    <n v="4002"/>
  </r>
  <r>
    <x v="0"/>
    <x v="5"/>
    <x v="1"/>
    <x v="167"/>
    <x v="145"/>
    <x v="145"/>
    <s v="REVENUS"/>
    <x v="6"/>
    <s v="4211.001"/>
    <s v="Intérêts de retard sur factures"/>
    <n v="0"/>
    <n v="-1.0900000000000001"/>
    <n v="4211"/>
  </r>
  <r>
    <x v="0"/>
    <x v="5"/>
    <x v="1"/>
    <x v="167"/>
    <x v="145"/>
    <x v="145"/>
    <s v="REVENUS"/>
    <x v="6"/>
    <s v="4221.003"/>
    <s v="Intérêts compensat. / acomptes en faveur du fisc"/>
    <n v="0"/>
    <n v="-2.85"/>
    <n v="4221"/>
  </r>
  <r>
    <x v="0"/>
    <x v="5"/>
    <x v="1"/>
    <x v="167"/>
    <x v="145"/>
    <x v="145"/>
    <s v="REVENUS"/>
    <x v="6"/>
    <s v="4211.002"/>
    <s v="Intérêts de retard sur acomptes"/>
    <n v="0"/>
    <n v="0.59"/>
    <n v="4211"/>
  </r>
  <r>
    <x v="0"/>
    <x v="5"/>
    <x v="1"/>
    <x v="167"/>
    <x v="145"/>
    <x v="145"/>
    <s v="REVENUS"/>
    <x v="2"/>
    <s v="4001.007"/>
    <s v="Acompte impôt sur revenu"/>
    <n v="0"/>
    <n v="-76.150000000000006"/>
    <n v="4001"/>
  </r>
  <r>
    <x v="0"/>
    <x v="5"/>
    <x v="1"/>
    <x v="167"/>
    <x v="145"/>
    <x v="145"/>
    <s v="REVENUS"/>
    <x v="2"/>
    <s v="4001.001"/>
    <s v="Impôt revenu"/>
    <n v="0"/>
    <n v="-15.25"/>
    <n v="4001"/>
  </r>
  <r>
    <x v="0"/>
    <x v="5"/>
    <x v="1"/>
    <x v="167"/>
    <x v="145"/>
    <x v="145"/>
    <s v="REVENUS"/>
    <x v="2"/>
    <s v="4001.002"/>
    <s v="Impôt complément s/revenu PP"/>
    <n v="0"/>
    <n v="-776.65"/>
    <n v="4001"/>
  </r>
  <r>
    <x v="0"/>
    <x v="5"/>
    <x v="1"/>
    <x v="167"/>
    <x v="145"/>
    <x v="145"/>
    <s v="REVENUS"/>
    <x v="3"/>
    <s v="4002.001"/>
    <s v="Impôt ordinaire s/fortune PP"/>
    <n v="0"/>
    <n v="-508.7"/>
    <n v="4002"/>
  </r>
  <r>
    <x v="0"/>
    <x v="5"/>
    <x v="1"/>
    <x v="167"/>
    <x v="145"/>
    <x v="145"/>
    <s v="REVENUS"/>
    <x v="3"/>
    <s v="4002.002"/>
    <s v="Impôt complémentaire s/fortune PP"/>
    <n v="0"/>
    <n v="-1000.05"/>
    <n v="4002"/>
  </r>
  <r>
    <x v="0"/>
    <x v="5"/>
    <x v="1"/>
    <x v="167"/>
    <x v="145"/>
    <x v="145"/>
    <s v="REVENUS"/>
    <x v="6"/>
    <s v="4211.001"/>
    <s v="Intérêts de retard sur factures"/>
    <n v="0"/>
    <n v="-0.09"/>
    <n v="4211"/>
  </r>
  <r>
    <x v="0"/>
    <x v="5"/>
    <x v="1"/>
    <x v="167"/>
    <x v="145"/>
    <x v="145"/>
    <s v="REVENUS"/>
    <x v="6"/>
    <s v="4211.002"/>
    <s v="Intérêts de retard sur acomptes"/>
    <n v="0"/>
    <n v="-28.65"/>
    <n v="4211"/>
  </r>
  <r>
    <x v="0"/>
    <x v="5"/>
    <x v="1"/>
    <x v="167"/>
    <x v="145"/>
    <x v="145"/>
    <s v="REVENUS"/>
    <x v="6"/>
    <s v="4221.003"/>
    <s v="Intérêts compensat. / acomptes en faveur du fisc"/>
    <n v="0"/>
    <n v="-2.69"/>
    <n v="4221"/>
  </r>
  <r>
    <x v="0"/>
    <x v="5"/>
    <x v="1"/>
    <x v="167"/>
    <x v="145"/>
    <x v="145"/>
    <s v="REVENUS"/>
    <x v="4"/>
    <s v="4051.001"/>
    <s v="Impôt sur les successions"/>
    <n v="0"/>
    <n v="9363"/>
    <n v="4051"/>
  </r>
  <r>
    <x v="0"/>
    <x v="5"/>
    <x v="1"/>
    <x v="167"/>
    <x v="145"/>
    <x v="145"/>
    <s v="REVENUS"/>
    <x v="6"/>
    <s v="4221.002"/>
    <s v="Intérêts compensat. sur impôts distincts"/>
    <n v="0"/>
    <n v="6.81"/>
    <n v="4221"/>
  </r>
  <r>
    <x v="0"/>
    <x v="5"/>
    <x v="1"/>
    <x v="167"/>
    <x v="145"/>
    <x v="145"/>
    <s v="REVENUS"/>
    <x v="8"/>
    <s v="4091.001"/>
    <s v="Impôt récupéré après défalcations"/>
    <n v="0"/>
    <n v="368"/>
    <n v="4091"/>
  </r>
  <r>
    <x v="0"/>
    <x v="5"/>
    <x v="1"/>
    <x v="167"/>
    <x v="145"/>
    <x v="145"/>
    <s v="REVENUS"/>
    <x v="9"/>
    <s v="4031.002"/>
    <s v="Complément impôt sur les gains immobiliers"/>
    <n v="0"/>
    <n v="17202.75"/>
    <n v="4031"/>
  </r>
  <r>
    <x v="0"/>
    <x v="5"/>
    <x v="1"/>
    <x v="167"/>
    <x v="145"/>
    <x v="145"/>
    <s v="REVENUS"/>
    <x v="6"/>
    <s v="4221.003"/>
    <s v="Intérêts compensat. / acomptes en faveur du fisc"/>
    <n v="0"/>
    <n v="0.11"/>
    <n v="4221"/>
  </r>
  <r>
    <x v="0"/>
    <x v="5"/>
    <x v="1"/>
    <x v="167"/>
    <x v="145"/>
    <x v="145"/>
    <s v="REVENUS"/>
    <x v="2"/>
    <s v="4001.002"/>
    <s v="Impôt complément s/revenu PP"/>
    <n v="0"/>
    <n v="2961.45"/>
    <n v="4001"/>
  </r>
  <r>
    <x v="0"/>
    <x v="5"/>
    <x v="1"/>
    <x v="167"/>
    <x v="145"/>
    <x v="145"/>
    <s v="REVENUS"/>
    <x v="12"/>
    <s v="4004.007"/>
    <s v="Acompte spécial étrangers"/>
    <n v="0"/>
    <n v="-26461"/>
    <n v="4004"/>
  </r>
  <r>
    <x v="0"/>
    <x v="5"/>
    <x v="1"/>
    <x v="167"/>
    <x v="145"/>
    <x v="145"/>
    <s v="REVENUS"/>
    <x v="6"/>
    <s v="4211.002"/>
    <s v="Intérêts de retard sur acomptes"/>
    <n v="0"/>
    <n v="-2.02"/>
    <n v="4211"/>
  </r>
  <r>
    <x v="0"/>
    <x v="5"/>
    <x v="1"/>
    <x v="167"/>
    <x v="145"/>
    <x v="145"/>
    <s v="REVENUS"/>
    <x v="2"/>
    <s v="4001.002"/>
    <s v="Impôt complément s/revenu PP"/>
    <n v="0"/>
    <n v="273.75"/>
    <n v="4001"/>
  </r>
  <r>
    <x v="0"/>
    <x v="5"/>
    <x v="1"/>
    <x v="167"/>
    <x v="145"/>
    <x v="145"/>
    <s v="REVENUS"/>
    <x v="3"/>
    <s v="4002.002"/>
    <s v="Impôt complémentaire s/fortune PP"/>
    <n v="0"/>
    <n v="33.299999999999997"/>
    <n v="4002"/>
  </r>
  <r>
    <x v="0"/>
    <x v="5"/>
    <x v="1"/>
    <x v="168"/>
    <x v="146"/>
    <x v="146"/>
    <s v="CHARGES"/>
    <x v="0"/>
    <s v="3212.004"/>
    <s v="Intérêts rémun./perçu trop tôt sur acomptes C/C"/>
    <n v="76.16"/>
    <n v="0"/>
    <n v="3212"/>
  </r>
  <r>
    <x v="0"/>
    <x v="5"/>
    <x v="1"/>
    <x v="168"/>
    <x v="146"/>
    <x v="146"/>
    <s v="CHARGES"/>
    <x v="0"/>
    <s v="3212.004"/>
    <s v="Intérêts rémun./perçu trop tôt sur acomptes C/C"/>
    <n v="2361.64"/>
    <n v="0"/>
    <n v="3212"/>
  </r>
  <r>
    <x v="0"/>
    <x v="5"/>
    <x v="1"/>
    <x v="168"/>
    <x v="146"/>
    <x v="146"/>
    <s v="CHARGES"/>
    <x v="1"/>
    <s v="3301.001"/>
    <s v="Défalcations, abandons de solde PP et IS"/>
    <n v="146106.85"/>
    <n v="0"/>
    <n v="3301"/>
  </r>
  <r>
    <x v="0"/>
    <x v="5"/>
    <x v="1"/>
    <x v="168"/>
    <x v="146"/>
    <x v="146"/>
    <s v="CHARGES"/>
    <x v="0"/>
    <s v="3212.004"/>
    <s v="Intérêts rémun./perçu trop tôt sur acomptes C/C"/>
    <n v="25.88"/>
    <n v="0"/>
    <n v="3212"/>
  </r>
  <r>
    <x v="0"/>
    <x v="5"/>
    <x v="1"/>
    <x v="168"/>
    <x v="146"/>
    <x v="146"/>
    <s v="CHARGES"/>
    <x v="0"/>
    <s v="3221.002"/>
    <s v="Intérêts compensatoires / créances en faveur ctb."/>
    <n v="4.97"/>
    <n v="0"/>
    <n v="3221"/>
  </r>
  <r>
    <x v="0"/>
    <x v="5"/>
    <x v="1"/>
    <x v="168"/>
    <x v="146"/>
    <x v="146"/>
    <s v="CHARGES"/>
    <x v="0"/>
    <s v="3221.002"/>
    <s v="Intérêts compensatoires / créances en faveur ctb."/>
    <n v="42.41"/>
    <n v="0"/>
    <n v="3221"/>
  </r>
  <r>
    <x v="0"/>
    <x v="5"/>
    <x v="1"/>
    <x v="168"/>
    <x v="146"/>
    <x v="146"/>
    <s v="CHARGES"/>
    <x v="0"/>
    <s v="3221.002"/>
    <s v="Intérêts compensatoires / créances en faveur ctb."/>
    <n v="928.89"/>
    <n v="0"/>
    <n v="3221"/>
  </r>
  <r>
    <x v="0"/>
    <x v="5"/>
    <x v="1"/>
    <x v="168"/>
    <x v="146"/>
    <x v="146"/>
    <s v="CHARGES"/>
    <x v="0"/>
    <s v="3212.002"/>
    <s v="Intérêts bonifiés/trop perçu acompte C/C"/>
    <n v="39.700000000000003"/>
    <n v="0"/>
    <n v="3212"/>
  </r>
  <r>
    <x v="0"/>
    <x v="5"/>
    <x v="1"/>
    <x v="168"/>
    <x v="146"/>
    <x v="146"/>
    <s v="CHARGES"/>
    <x v="0"/>
    <s v="3212.004"/>
    <s v="Intérêts rémun./perçu trop tôt sur acomptes C/C"/>
    <n v="2.09"/>
    <n v="0"/>
    <n v="3212"/>
  </r>
  <r>
    <x v="0"/>
    <x v="5"/>
    <x v="1"/>
    <x v="168"/>
    <x v="146"/>
    <x v="146"/>
    <s v="CHARGES"/>
    <x v="0"/>
    <s v="3221.002"/>
    <s v="Intérêts compensatoires / créances en faveur ctb."/>
    <n v="-0.05"/>
    <n v="0"/>
    <n v="3221"/>
  </r>
  <r>
    <x v="0"/>
    <x v="5"/>
    <x v="1"/>
    <x v="168"/>
    <x v="146"/>
    <x v="146"/>
    <s v="CHARGES"/>
    <x v="1"/>
    <s v="3301.001"/>
    <s v="Défalcations, abandons de solde PP et IS"/>
    <n v="-16.190000000000001"/>
    <n v="0"/>
    <n v="3301"/>
  </r>
  <r>
    <x v="0"/>
    <x v="5"/>
    <x v="1"/>
    <x v="168"/>
    <x v="146"/>
    <x v="146"/>
    <s v="CHARGES"/>
    <x v="1"/>
    <s v="3301.001"/>
    <s v="Défalcations, abandons de solde PP et IS"/>
    <n v="1.7"/>
    <n v="0"/>
    <n v="3301"/>
  </r>
  <r>
    <x v="0"/>
    <x v="5"/>
    <x v="1"/>
    <x v="168"/>
    <x v="146"/>
    <x v="146"/>
    <s v="CHARGES"/>
    <x v="0"/>
    <s v="3212.004"/>
    <s v="Intérêts rémun./perçu trop tôt sur acomptes C/C"/>
    <n v="5.37"/>
    <n v="0"/>
    <n v="3212"/>
  </r>
  <r>
    <x v="0"/>
    <x v="5"/>
    <x v="1"/>
    <x v="168"/>
    <x v="146"/>
    <x v="146"/>
    <s v="CHARGES"/>
    <x v="0"/>
    <s v="3221.002"/>
    <s v="Intérêts compensatoires / créances en faveur ctb."/>
    <n v="1.39"/>
    <n v="0"/>
    <n v="3221"/>
  </r>
  <r>
    <x v="0"/>
    <x v="5"/>
    <x v="1"/>
    <x v="168"/>
    <x v="146"/>
    <x v="146"/>
    <s v="CHARGES"/>
    <x v="0"/>
    <s v="3212.002"/>
    <s v="Intérêts bonifiés/trop perçu acompte C/C"/>
    <n v="-21.84"/>
    <n v="0"/>
    <n v="3212"/>
  </r>
  <r>
    <x v="0"/>
    <x v="5"/>
    <x v="1"/>
    <x v="168"/>
    <x v="146"/>
    <x v="146"/>
    <s v="CHARGES"/>
    <x v="1"/>
    <s v="3301.001"/>
    <s v="Défalcations, abandons de solde PP et IS"/>
    <n v="9.02"/>
    <n v="0"/>
    <n v="3301"/>
  </r>
  <r>
    <x v="0"/>
    <x v="5"/>
    <x v="1"/>
    <x v="168"/>
    <x v="146"/>
    <x v="146"/>
    <s v="CHARGES"/>
    <x v="0"/>
    <s v="3212.002"/>
    <s v="Intérêts bonifiés/trop perçu acompte C/C"/>
    <n v="-0.01"/>
    <n v="0"/>
    <n v="3212"/>
  </r>
  <r>
    <x v="0"/>
    <x v="5"/>
    <x v="1"/>
    <x v="168"/>
    <x v="146"/>
    <x v="146"/>
    <s v="CHARGES"/>
    <x v="1"/>
    <s v="3301.001"/>
    <s v="Défalcations, abandons de solde PP et IS"/>
    <n v="0.91"/>
    <n v="0"/>
    <n v="3301"/>
  </r>
  <r>
    <x v="0"/>
    <x v="5"/>
    <x v="1"/>
    <x v="168"/>
    <x v="146"/>
    <x v="146"/>
    <s v="CHARGES"/>
    <x v="0"/>
    <s v="3212.002"/>
    <s v="Intérêts bonifiés/trop perçu acompte C/C"/>
    <n v="1.0900000000000001"/>
    <n v="0"/>
    <n v="3212"/>
  </r>
  <r>
    <x v="0"/>
    <x v="5"/>
    <x v="1"/>
    <x v="168"/>
    <x v="146"/>
    <x v="146"/>
    <s v="CHARGES"/>
    <x v="1"/>
    <s v="3301.001"/>
    <s v="Défalcations, abandons de solde PP et IS"/>
    <n v="28228.49"/>
    <n v="0"/>
    <n v="3301"/>
  </r>
  <r>
    <x v="0"/>
    <x v="5"/>
    <x v="1"/>
    <x v="168"/>
    <x v="146"/>
    <x v="146"/>
    <s v="CHARGES"/>
    <x v="0"/>
    <s v="3212.004"/>
    <s v="Intérêts rémun./perçu trop tôt sur acomptes C/C"/>
    <n v="3.75"/>
    <n v="0"/>
    <n v="3212"/>
  </r>
  <r>
    <x v="0"/>
    <x v="5"/>
    <x v="1"/>
    <x v="168"/>
    <x v="146"/>
    <x v="146"/>
    <s v="CHARGES"/>
    <x v="0"/>
    <s v="3221.002"/>
    <s v="Intérêts compensatoires / créances en faveur ctb."/>
    <n v="0.84"/>
    <n v="0"/>
    <n v="3221"/>
  </r>
  <r>
    <x v="0"/>
    <x v="5"/>
    <x v="1"/>
    <x v="168"/>
    <x v="146"/>
    <x v="146"/>
    <s v="CHARGES"/>
    <x v="0"/>
    <s v="3212.004"/>
    <s v="Intérêts rémun./perçu trop tôt sur acomptes C/C"/>
    <n v="0.55000000000000004"/>
    <n v="0"/>
    <n v="3212"/>
  </r>
  <r>
    <x v="0"/>
    <x v="5"/>
    <x v="1"/>
    <x v="168"/>
    <x v="146"/>
    <x v="146"/>
    <s v="CHARGES"/>
    <x v="1"/>
    <s v="3301.001"/>
    <s v="Défalcations, abandons de solde PP et IS"/>
    <n v="0.56000000000000005"/>
    <n v="0"/>
    <n v="3301"/>
  </r>
  <r>
    <x v="0"/>
    <x v="5"/>
    <x v="1"/>
    <x v="168"/>
    <x v="146"/>
    <x v="146"/>
    <s v="CHARGES"/>
    <x v="0"/>
    <s v="3212.004"/>
    <s v="Intérêts rémun./perçu trop tôt sur acomptes C/C"/>
    <n v="0.12"/>
    <n v="0"/>
    <n v="3212"/>
  </r>
  <r>
    <x v="0"/>
    <x v="5"/>
    <x v="1"/>
    <x v="168"/>
    <x v="146"/>
    <x v="146"/>
    <s v="CHARGES"/>
    <x v="0"/>
    <s v="3221.002"/>
    <s v="Intérêts compensatoires / créances en faveur ctb."/>
    <n v="0.05"/>
    <n v="0"/>
    <n v="3221"/>
  </r>
  <r>
    <x v="0"/>
    <x v="5"/>
    <x v="1"/>
    <x v="168"/>
    <x v="146"/>
    <x v="146"/>
    <s v="CHARGES"/>
    <x v="0"/>
    <s v="3212.002"/>
    <s v="Intérêts bonifiés/trop perçu acompte C/C"/>
    <n v="0.5"/>
    <n v="0"/>
    <n v="3212"/>
  </r>
  <r>
    <x v="0"/>
    <x v="5"/>
    <x v="1"/>
    <x v="168"/>
    <x v="146"/>
    <x v="146"/>
    <s v="CHARGES"/>
    <x v="1"/>
    <s v="3301.003"/>
    <s v="Remises PP et IS"/>
    <n v="5521.78"/>
    <n v="0"/>
    <n v="3301"/>
  </r>
  <r>
    <x v="0"/>
    <x v="5"/>
    <x v="1"/>
    <x v="168"/>
    <x v="146"/>
    <x v="146"/>
    <s v="REVENUS"/>
    <x v="2"/>
    <s v="4001.007"/>
    <s v="Acompte impôt sur revenu"/>
    <n v="0"/>
    <n v="1487328.95"/>
    <n v="4001"/>
  </r>
  <r>
    <x v="0"/>
    <x v="5"/>
    <x v="1"/>
    <x v="168"/>
    <x v="146"/>
    <x v="146"/>
    <s v="REVENUS"/>
    <x v="3"/>
    <s v="4002.007"/>
    <s v="Acompte impôt sur fortune"/>
    <n v="0"/>
    <n v="509230.12"/>
    <n v="4002"/>
  </r>
  <r>
    <x v="0"/>
    <x v="5"/>
    <x v="1"/>
    <x v="168"/>
    <x v="146"/>
    <x v="146"/>
    <s v="REVENUS"/>
    <x v="2"/>
    <s v="4001.001"/>
    <s v="Impôt revenu"/>
    <n v="0"/>
    <n v="150037.6"/>
    <n v="4001"/>
  </r>
  <r>
    <x v="0"/>
    <x v="5"/>
    <x v="1"/>
    <x v="168"/>
    <x v="146"/>
    <x v="146"/>
    <s v="REVENUS"/>
    <x v="2"/>
    <s v="4001.007"/>
    <s v="Acompte impôt sur revenu"/>
    <n v="0"/>
    <n v="43409.18"/>
    <n v="4001"/>
  </r>
  <r>
    <x v="0"/>
    <x v="5"/>
    <x v="1"/>
    <x v="168"/>
    <x v="146"/>
    <x v="146"/>
    <s v="REVENUS"/>
    <x v="3"/>
    <s v="4002.001"/>
    <s v="Impôt ordinaire s/fortune PP"/>
    <n v="0"/>
    <n v="51592.65"/>
    <n v="4002"/>
  </r>
  <r>
    <x v="0"/>
    <x v="5"/>
    <x v="1"/>
    <x v="168"/>
    <x v="146"/>
    <x v="146"/>
    <s v="REVENUS"/>
    <x v="3"/>
    <s v="4002.007"/>
    <s v="Acompte impôt sur fortune"/>
    <n v="0"/>
    <n v="-12594.28"/>
    <n v="4002"/>
  </r>
  <r>
    <x v="0"/>
    <x v="5"/>
    <x v="1"/>
    <x v="168"/>
    <x v="146"/>
    <x v="146"/>
    <s v="REVENUS"/>
    <x v="6"/>
    <s v="4211.002"/>
    <s v="Intérêts de retard sur acomptes"/>
    <n v="0"/>
    <n v="1710.17"/>
    <n v="4211"/>
  </r>
  <r>
    <x v="0"/>
    <x v="5"/>
    <x v="1"/>
    <x v="168"/>
    <x v="146"/>
    <x v="146"/>
    <s v="REVENUS"/>
    <x v="3"/>
    <s v="4002.007"/>
    <s v="Acompte impôt sur fortune"/>
    <n v="0"/>
    <n v="-205.4"/>
    <n v="4002"/>
  </r>
  <r>
    <x v="0"/>
    <x v="5"/>
    <x v="1"/>
    <x v="168"/>
    <x v="146"/>
    <x v="146"/>
    <s v="REVENUS"/>
    <x v="2"/>
    <s v="4001.007"/>
    <s v="Acompte impôt sur revenu"/>
    <n v="0"/>
    <n v="-2029333.88"/>
    <n v="4001"/>
  </r>
  <r>
    <x v="0"/>
    <x v="5"/>
    <x v="1"/>
    <x v="168"/>
    <x v="146"/>
    <x v="146"/>
    <s v="REVENUS"/>
    <x v="3"/>
    <s v="4002.007"/>
    <s v="Acompte impôt sur fortune"/>
    <n v="0"/>
    <n v="-980768.67"/>
    <n v="4002"/>
  </r>
  <r>
    <x v="0"/>
    <x v="5"/>
    <x v="1"/>
    <x v="168"/>
    <x v="146"/>
    <x v="146"/>
    <s v="REVENUS"/>
    <x v="2"/>
    <s v="4001.001"/>
    <s v="Impôt revenu"/>
    <n v="0"/>
    <n v="10273186.85"/>
    <n v="4001"/>
  </r>
  <r>
    <x v="0"/>
    <x v="5"/>
    <x v="1"/>
    <x v="168"/>
    <x v="146"/>
    <x v="146"/>
    <s v="REVENUS"/>
    <x v="2"/>
    <s v="4001.002"/>
    <s v="Impôt complément s/revenu PP"/>
    <n v="0"/>
    <n v="2672438.35"/>
    <n v="4001"/>
  </r>
  <r>
    <x v="0"/>
    <x v="5"/>
    <x v="1"/>
    <x v="168"/>
    <x v="146"/>
    <x v="146"/>
    <s v="REVENUS"/>
    <x v="3"/>
    <s v="4002.001"/>
    <s v="Impôt ordinaire s/fortune PP"/>
    <n v="0"/>
    <n v="1765526.5"/>
    <n v="4002"/>
  </r>
  <r>
    <x v="0"/>
    <x v="5"/>
    <x v="1"/>
    <x v="168"/>
    <x v="146"/>
    <x v="146"/>
    <s v="REVENUS"/>
    <x v="3"/>
    <s v="4002.002"/>
    <s v="Impôt complémentaire s/fortune PP"/>
    <n v="0"/>
    <n v="561898.80000000005"/>
    <n v="4002"/>
  </r>
  <r>
    <x v="0"/>
    <x v="5"/>
    <x v="1"/>
    <x v="168"/>
    <x v="146"/>
    <x v="146"/>
    <s v="REVENUS"/>
    <x v="7"/>
    <s v="4184.000"/>
    <s v="Frais de poursuite"/>
    <n v="0"/>
    <n v="11019.34"/>
    <n v="4184"/>
  </r>
  <r>
    <x v="0"/>
    <x v="5"/>
    <x v="1"/>
    <x v="168"/>
    <x v="146"/>
    <x v="146"/>
    <s v="REVENUS"/>
    <x v="6"/>
    <s v="4211.001"/>
    <s v="Intérêts de retard sur factures"/>
    <n v="0"/>
    <n v="65786.09"/>
    <n v="4211"/>
  </r>
  <r>
    <x v="0"/>
    <x v="5"/>
    <x v="1"/>
    <x v="168"/>
    <x v="146"/>
    <x v="146"/>
    <s v="REVENUS"/>
    <x v="6"/>
    <s v="4211.002"/>
    <s v="Intérêts de retard sur acomptes"/>
    <n v="0"/>
    <n v="58597.04"/>
    <n v="4211"/>
  </r>
  <r>
    <x v="0"/>
    <x v="5"/>
    <x v="1"/>
    <x v="168"/>
    <x v="146"/>
    <x v="146"/>
    <s v="REVENUS"/>
    <x v="6"/>
    <s v="4221.003"/>
    <s v="Intérêts compensat. / acomptes en faveur du fisc"/>
    <n v="0"/>
    <n v="2666.33"/>
    <n v="4221"/>
  </r>
  <r>
    <x v="0"/>
    <x v="5"/>
    <x v="1"/>
    <x v="168"/>
    <x v="146"/>
    <x v="146"/>
    <s v="REVENUS"/>
    <x v="2"/>
    <s v="4001.001"/>
    <s v="Impôt revenu"/>
    <n v="0"/>
    <n v="5680.65"/>
    <n v="4001"/>
  </r>
  <r>
    <x v="0"/>
    <x v="5"/>
    <x v="1"/>
    <x v="168"/>
    <x v="146"/>
    <x v="146"/>
    <s v="REVENUS"/>
    <x v="2"/>
    <s v="4001.007"/>
    <s v="Acompte impôt sur revenu"/>
    <n v="0"/>
    <n v="18173.73"/>
    <n v="4001"/>
  </r>
  <r>
    <x v="0"/>
    <x v="5"/>
    <x v="1"/>
    <x v="168"/>
    <x v="146"/>
    <x v="146"/>
    <s v="REVENUS"/>
    <x v="3"/>
    <s v="4002.001"/>
    <s v="Impôt ordinaire s/fortune PP"/>
    <n v="0"/>
    <n v="10194.549999999999"/>
    <n v="4002"/>
  </r>
  <r>
    <x v="0"/>
    <x v="5"/>
    <x v="1"/>
    <x v="168"/>
    <x v="146"/>
    <x v="146"/>
    <s v="REVENUS"/>
    <x v="3"/>
    <s v="4002.007"/>
    <s v="Acompte impôt sur fortune"/>
    <n v="0"/>
    <n v="-575.20000000000005"/>
    <n v="4002"/>
  </r>
  <r>
    <x v="0"/>
    <x v="5"/>
    <x v="1"/>
    <x v="168"/>
    <x v="146"/>
    <x v="146"/>
    <s v="REVENUS"/>
    <x v="6"/>
    <s v="4221.003"/>
    <s v="Intérêts compensat. / acomptes en faveur du fisc"/>
    <n v="0"/>
    <n v="21.45"/>
    <n v="4221"/>
  </r>
  <r>
    <x v="0"/>
    <x v="5"/>
    <x v="1"/>
    <x v="168"/>
    <x v="146"/>
    <x v="146"/>
    <s v="REVENUS"/>
    <x v="2"/>
    <s v="4001.002"/>
    <s v="Impôt complément s/revenu PP"/>
    <n v="0"/>
    <n v="12689.5"/>
    <n v="4001"/>
  </r>
  <r>
    <x v="0"/>
    <x v="5"/>
    <x v="1"/>
    <x v="168"/>
    <x v="146"/>
    <x v="146"/>
    <s v="REVENUS"/>
    <x v="3"/>
    <s v="4002.002"/>
    <s v="Impôt complémentaire s/fortune PP"/>
    <n v="0"/>
    <n v="6170.45"/>
    <n v="4002"/>
  </r>
  <r>
    <x v="0"/>
    <x v="5"/>
    <x v="1"/>
    <x v="168"/>
    <x v="146"/>
    <x v="146"/>
    <s v="REVENUS"/>
    <x v="2"/>
    <s v="4001.001"/>
    <s v="Impôt revenu"/>
    <n v="0"/>
    <n v="-908468.25"/>
    <n v="4001"/>
  </r>
  <r>
    <x v="0"/>
    <x v="5"/>
    <x v="1"/>
    <x v="168"/>
    <x v="146"/>
    <x v="146"/>
    <s v="REVENUS"/>
    <x v="3"/>
    <s v="4002.001"/>
    <s v="Impôt ordinaire s/fortune PP"/>
    <n v="0"/>
    <n v="-109107.65"/>
    <n v="4002"/>
  </r>
  <r>
    <x v="0"/>
    <x v="5"/>
    <x v="1"/>
    <x v="168"/>
    <x v="146"/>
    <x v="146"/>
    <s v="REVENUS"/>
    <x v="6"/>
    <s v="4211.001"/>
    <s v="Intérêts de retard sur factures"/>
    <n v="0"/>
    <n v="-13.71"/>
    <n v="4211"/>
  </r>
  <r>
    <x v="0"/>
    <x v="5"/>
    <x v="1"/>
    <x v="168"/>
    <x v="146"/>
    <x v="146"/>
    <s v="REVENUS"/>
    <x v="2"/>
    <s v="4001.003"/>
    <s v="Impôt s/prest. cap. PP"/>
    <n v="0"/>
    <n v="683155.85"/>
    <n v="4001"/>
  </r>
  <r>
    <x v="0"/>
    <x v="5"/>
    <x v="1"/>
    <x v="168"/>
    <x v="146"/>
    <x v="146"/>
    <s v="REVENUS"/>
    <x v="3"/>
    <s v="4002.002"/>
    <s v="Impôt complémentaire s/fortune PP"/>
    <n v="0"/>
    <n v="2643.6"/>
    <n v="4002"/>
  </r>
  <r>
    <x v="0"/>
    <x v="5"/>
    <x v="1"/>
    <x v="168"/>
    <x v="146"/>
    <x v="146"/>
    <s v="REVENUS"/>
    <x v="6"/>
    <s v="4211.001"/>
    <s v="Intérêts de retard sur factures"/>
    <n v="0"/>
    <n v="140.69999999999999"/>
    <n v="4211"/>
  </r>
  <r>
    <x v="0"/>
    <x v="5"/>
    <x v="1"/>
    <x v="168"/>
    <x v="146"/>
    <x v="146"/>
    <s v="REVENUS"/>
    <x v="3"/>
    <s v="4002.007"/>
    <s v="Acompte impôt sur fortune"/>
    <n v="0"/>
    <n v="696.38"/>
    <n v="4002"/>
  </r>
  <r>
    <x v="0"/>
    <x v="5"/>
    <x v="1"/>
    <x v="168"/>
    <x v="146"/>
    <x v="146"/>
    <s v="REVENUS"/>
    <x v="2"/>
    <s v="4001.003"/>
    <s v="Impôt s/prest. cap. PP"/>
    <n v="0"/>
    <n v="-23608.6"/>
    <n v="4001"/>
  </r>
  <r>
    <x v="0"/>
    <x v="5"/>
    <x v="1"/>
    <x v="168"/>
    <x v="146"/>
    <x v="146"/>
    <s v="REVENUS"/>
    <x v="6"/>
    <s v="4221.002"/>
    <s v="Intérêts compensat. sur impôts distincts"/>
    <n v="0"/>
    <n v="-6.28"/>
    <n v="4221"/>
  </r>
  <r>
    <x v="0"/>
    <x v="5"/>
    <x v="1"/>
    <x v="168"/>
    <x v="146"/>
    <x v="146"/>
    <s v="REVENUS"/>
    <x v="6"/>
    <s v="4221.002"/>
    <s v="Intérêts compensat. sur impôts distincts"/>
    <n v="0"/>
    <n v="151.61000000000001"/>
    <n v="4221"/>
  </r>
  <r>
    <x v="0"/>
    <x v="5"/>
    <x v="1"/>
    <x v="168"/>
    <x v="146"/>
    <x v="146"/>
    <s v="REVENUS"/>
    <x v="10"/>
    <s v="4041.001"/>
    <s v="Droits de mutation"/>
    <n v="0"/>
    <n v="360143.4"/>
    <n v="4041"/>
  </r>
  <r>
    <x v="0"/>
    <x v="5"/>
    <x v="1"/>
    <x v="168"/>
    <x v="146"/>
    <x v="146"/>
    <s v="REVENUS"/>
    <x v="2"/>
    <s v="4001.007"/>
    <s v="Acompte impôt sur revenu"/>
    <n v="0"/>
    <n v="-376.3"/>
    <n v="4001"/>
  </r>
  <r>
    <x v="0"/>
    <x v="5"/>
    <x v="1"/>
    <x v="168"/>
    <x v="146"/>
    <x v="146"/>
    <s v="REVENUS"/>
    <x v="2"/>
    <s v="4001.001"/>
    <s v="Impôt revenu"/>
    <n v="0"/>
    <n v="8886.6"/>
    <n v="4001"/>
  </r>
  <r>
    <x v="0"/>
    <x v="5"/>
    <x v="1"/>
    <x v="168"/>
    <x v="146"/>
    <x v="146"/>
    <s v="REVENUS"/>
    <x v="3"/>
    <s v="4002.001"/>
    <s v="Impôt ordinaire s/fortune PP"/>
    <n v="0"/>
    <n v="5327.15"/>
    <n v="4002"/>
  </r>
  <r>
    <x v="0"/>
    <x v="5"/>
    <x v="1"/>
    <x v="168"/>
    <x v="146"/>
    <x v="146"/>
    <s v="REVENUS"/>
    <x v="3"/>
    <s v="4002.007"/>
    <s v="Acompte impôt sur fortune"/>
    <n v="0"/>
    <n v="-3063.54"/>
    <n v="4002"/>
  </r>
  <r>
    <x v="0"/>
    <x v="5"/>
    <x v="1"/>
    <x v="168"/>
    <x v="146"/>
    <x v="146"/>
    <s v="REVENUS"/>
    <x v="2"/>
    <s v="4001.007"/>
    <s v="Acompte impôt sur revenu"/>
    <n v="0"/>
    <n v="-1823.86"/>
    <n v="4001"/>
  </r>
  <r>
    <x v="0"/>
    <x v="5"/>
    <x v="1"/>
    <x v="168"/>
    <x v="146"/>
    <x v="146"/>
    <s v="REVENUS"/>
    <x v="7"/>
    <s v="4184.000"/>
    <s v="Frais de poursuite"/>
    <n v="0"/>
    <n v="169.2"/>
    <n v="4184"/>
  </r>
  <r>
    <x v="0"/>
    <x v="5"/>
    <x v="1"/>
    <x v="168"/>
    <x v="146"/>
    <x v="146"/>
    <s v="REVENUS"/>
    <x v="2"/>
    <s v="4001.002"/>
    <s v="Impôt complément s/revenu PP"/>
    <n v="0"/>
    <n v="35684.15"/>
    <n v="4001"/>
  </r>
  <r>
    <x v="0"/>
    <x v="5"/>
    <x v="1"/>
    <x v="168"/>
    <x v="146"/>
    <x v="146"/>
    <s v="REVENUS"/>
    <x v="12"/>
    <s v="4004.007"/>
    <s v="Acompte spécial étrangers"/>
    <n v="0"/>
    <n v="125173.61"/>
    <n v="4004"/>
  </r>
  <r>
    <x v="0"/>
    <x v="5"/>
    <x v="1"/>
    <x v="168"/>
    <x v="146"/>
    <x v="146"/>
    <s v="REVENUS"/>
    <x v="2"/>
    <s v="4001.007"/>
    <s v="Acompte impôt sur revenu"/>
    <n v="0"/>
    <n v="290.10000000000002"/>
    <n v="4001"/>
  </r>
  <r>
    <x v="0"/>
    <x v="5"/>
    <x v="1"/>
    <x v="168"/>
    <x v="146"/>
    <x v="146"/>
    <s v="REVENUS"/>
    <x v="3"/>
    <s v="4002.007"/>
    <s v="Acompte impôt sur fortune"/>
    <n v="0"/>
    <n v="31.03"/>
    <n v="4002"/>
  </r>
  <r>
    <x v="0"/>
    <x v="5"/>
    <x v="1"/>
    <x v="168"/>
    <x v="146"/>
    <x v="146"/>
    <s v="REVENUS"/>
    <x v="6"/>
    <s v="4211.001"/>
    <s v="Intérêts de retard sur factures"/>
    <n v="0"/>
    <n v="157.04"/>
    <n v="4211"/>
  </r>
  <r>
    <x v="0"/>
    <x v="5"/>
    <x v="1"/>
    <x v="168"/>
    <x v="146"/>
    <x v="146"/>
    <s v="REVENUS"/>
    <x v="2"/>
    <s v="4001.007"/>
    <s v="Acompte impôt sur revenu"/>
    <n v="0"/>
    <n v="-25374.45"/>
    <n v="4001"/>
  </r>
  <r>
    <x v="0"/>
    <x v="5"/>
    <x v="1"/>
    <x v="168"/>
    <x v="146"/>
    <x v="146"/>
    <s v="REVENUS"/>
    <x v="9"/>
    <s v="4031.001"/>
    <s v="Impôt sur les gains immobiliers"/>
    <n v="0"/>
    <n v="-4308.2"/>
    <n v="4031"/>
  </r>
  <r>
    <x v="0"/>
    <x v="5"/>
    <x v="1"/>
    <x v="168"/>
    <x v="146"/>
    <x v="146"/>
    <s v="REVENUS"/>
    <x v="2"/>
    <s v="4001.003"/>
    <s v="Impôt s/prest. cap. PP"/>
    <n v="0"/>
    <n v="-15764.5"/>
    <n v="4001"/>
  </r>
  <r>
    <x v="0"/>
    <x v="5"/>
    <x v="1"/>
    <x v="168"/>
    <x v="146"/>
    <x v="146"/>
    <s v="REVENUS"/>
    <x v="6"/>
    <s v="4221.002"/>
    <s v="Intérêts compensat. sur impôts distincts"/>
    <n v="0"/>
    <n v="-188.52"/>
    <n v="4221"/>
  </r>
  <r>
    <x v="0"/>
    <x v="5"/>
    <x v="1"/>
    <x v="168"/>
    <x v="146"/>
    <x v="146"/>
    <s v="REVENUS"/>
    <x v="6"/>
    <s v="4211.002"/>
    <s v="Intérêts de retard sur acomptes"/>
    <n v="0"/>
    <n v="-3.22"/>
    <n v="4211"/>
  </r>
  <r>
    <x v="0"/>
    <x v="5"/>
    <x v="1"/>
    <x v="168"/>
    <x v="146"/>
    <x v="146"/>
    <s v="REVENUS"/>
    <x v="6"/>
    <s v="4221.003"/>
    <s v="Intérêts compensat. / acomptes en faveur du fisc"/>
    <n v="0"/>
    <n v="-0.92"/>
    <n v="4221"/>
  </r>
  <r>
    <x v="0"/>
    <x v="5"/>
    <x v="1"/>
    <x v="168"/>
    <x v="146"/>
    <x v="146"/>
    <s v="REVENUS"/>
    <x v="6"/>
    <s v="4211.001"/>
    <s v="Intérêts de retard sur factures"/>
    <n v="0"/>
    <n v="195.11"/>
    <n v="4211"/>
  </r>
  <r>
    <x v="0"/>
    <x v="5"/>
    <x v="1"/>
    <x v="168"/>
    <x v="146"/>
    <x v="146"/>
    <s v="REVENUS"/>
    <x v="6"/>
    <s v="4221.003"/>
    <s v="Intérêts compensat. / acomptes en faveur du fisc"/>
    <n v="0"/>
    <n v="13.83"/>
    <n v="4221"/>
  </r>
  <r>
    <x v="0"/>
    <x v="5"/>
    <x v="1"/>
    <x v="168"/>
    <x v="146"/>
    <x v="146"/>
    <s v="REVENUS"/>
    <x v="6"/>
    <s v="4211.002"/>
    <s v="Intérêts de retard sur acomptes"/>
    <n v="0"/>
    <n v="232.61"/>
    <n v="4211"/>
  </r>
  <r>
    <x v="0"/>
    <x v="5"/>
    <x v="1"/>
    <x v="168"/>
    <x v="146"/>
    <x v="146"/>
    <s v="REVENUS"/>
    <x v="2"/>
    <s v="4001.002"/>
    <s v="Impôt complément s/revenu PP"/>
    <n v="0"/>
    <n v="-89965.8"/>
    <n v="4001"/>
  </r>
  <r>
    <x v="0"/>
    <x v="5"/>
    <x v="1"/>
    <x v="168"/>
    <x v="146"/>
    <x v="146"/>
    <s v="REVENUS"/>
    <x v="3"/>
    <s v="4002.002"/>
    <s v="Impôt complémentaire s/fortune PP"/>
    <n v="0"/>
    <n v="-13071.8"/>
    <n v="4002"/>
  </r>
  <r>
    <x v="0"/>
    <x v="5"/>
    <x v="1"/>
    <x v="168"/>
    <x v="146"/>
    <x v="146"/>
    <s v="REVENUS"/>
    <x v="2"/>
    <s v="4001.001"/>
    <s v="Impôt revenu"/>
    <n v="0"/>
    <n v="51250.35"/>
    <n v="4001"/>
  </r>
  <r>
    <x v="0"/>
    <x v="5"/>
    <x v="1"/>
    <x v="168"/>
    <x v="146"/>
    <x v="146"/>
    <s v="REVENUS"/>
    <x v="6"/>
    <s v="4211.002"/>
    <s v="Intérêts de retard sur acomptes"/>
    <n v="0"/>
    <n v="700.29"/>
    <n v="4211"/>
  </r>
  <r>
    <x v="0"/>
    <x v="5"/>
    <x v="1"/>
    <x v="168"/>
    <x v="146"/>
    <x v="146"/>
    <s v="REVENUS"/>
    <x v="6"/>
    <s v="4221.003"/>
    <s v="Intérêts compensat. / acomptes en faveur du fisc"/>
    <n v="0"/>
    <n v="0.51"/>
    <n v="4221"/>
  </r>
  <r>
    <x v="0"/>
    <x v="5"/>
    <x v="1"/>
    <x v="168"/>
    <x v="146"/>
    <x v="146"/>
    <s v="REVENUS"/>
    <x v="9"/>
    <s v="4031.001"/>
    <s v="Impôt sur les gains immobiliers"/>
    <n v="0"/>
    <n v="296410.8"/>
    <n v="4031"/>
  </r>
  <r>
    <x v="0"/>
    <x v="5"/>
    <x v="1"/>
    <x v="168"/>
    <x v="146"/>
    <x v="146"/>
    <s v="REVENUS"/>
    <x v="6"/>
    <s v="4211.002"/>
    <s v="Intérêts de retard sur acomptes"/>
    <n v="0"/>
    <n v="198"/>
    <n v="4211"/>
  </r>
  <r>
    <x v="0"/>
    <x v="5"/>
    <x v="1"/>
    <x v="168"/>
    <x v="146"/>
    <x v="146"/>
    <s v="REVENUS"/>
    <x v="4"/>
    <s v="4051.001"/>
    <s v="Impôt sur les successions"/>
    <n v="0"/>
    <n v="90172"/>
    <n v="4051"/>
  </r>
  <r>
    <x v="0"/>
    <x v="5"/>
    <x v="1"/>
    <x v="168"/>
    <x v="146"/>
    <x v="146"/>
    <s v="REVENUS"/>
    <x v="8"/>
    <s v="4091.001"/>
    <s v="Impôt récupéré après défalcations"/>
    <n v="0"/>
    <n v="5088.34"/>
    <n v="4091"/>
  </r>
  <r>
    <x v="0"/>
    <x v="5"/>
    <x v="1"/>
    <x v="168"/>
    <x v="146"/>
    <x v="146"/>
    <s v="REVENUS"/>
    <x v="3"/>
    <s v="4002.001"/>
    <s v="Impôt ordinaire s/fortune PP"/>
    <n v="0"/>
    <n v="3997.15"/>
    <n v="4002"/>
  </r>
  <r>
    <x v="0"/>
    <x v="5"/>
    <x v="1"/>
    <x v="168"/>
    <x v="146"/>
    <x v="146"/>
    <s v="REVENUS"/>
    <x v="2"/>
    <s v="4001.001"/>
    <s v="Impôt revenu"/>
    <n v="0"/>
    <n v="174.9"/>
    <n v="4001"/>
  </r>
  <r>
    <x v="0"/>
    <x v="5"/>
    <x v="1"/>
    <x v="168"/>
    <x v="146"/>
    <x v="146"/>
    <s v="REVENUS"/>
    <x v="2"/>
    <s v="4001.007"/>
    <s v="Acompte impôt sur revenu"/>
    <n v="0"/>
    <n v="-369.1"/>
    <n v="4001"/>
  </r>
  <r>
    <x v="0"/>
    <x v="5"/>
    <x v="1"/>
    <x v="168"/>
    <x v="146"/>
    <x v="146"/>
    <s v="REVENUS"/>
    <x v="3"/>
    <s v="4002.001"/>
    <s v="Impôt ordinaire s/fortune PP"/>
    <n v="0"/>
    <n v="165.3"/>
    <n v="4002"/>
  </r>
  <r>
    <x v="0"/>
    <x v="5"/>
    <x v="1"/>
    <x v="168"/>
    <x v="146"/>
    <x v="146"/>
    <s v="REVENUS"/>
    <x v="7"/>
    <s v="4184.000"/>
    <s v="Frais de poursuite"/>
    <n v="0"/>
    <n v="-0.12"/>
    <n v="4184"/>
  </r>
  <r>
    <x v="0"/>
    <x v="5"/>
    <x v="1"/>
    <x v="168"/>
    <x v="146"/>
    <x v="146"/>
    <s v="REVENUS"/>
    <x v="4"/>
    <s v="4051.002"/>
    <s v="Impôt sur les donations"/>
    <n v="0"/>
    <n v="0"/>
    <n v="4051"/>
  </r>
  <r>
    <x v="0"/>
    <x v="5"/>
    <x v="1"/>
    <x v="168"/>
    <x v="146"/>
    <x v="146"/>
    <s v="REVENUS"/>
    <x v="6"/>
    <s v="4221.003"/>
    <s v="Intérêts compensat. / acomptes en faveur du fisc"/>
    <n v="0"/>
    <n v="0.24"/>
    <n v="4221"/>
  </r>
  <r>
    <x v="0"/>
    <x v="5"/>
    <x v="1"/>
    <x v="168"/>
    <x v="146"/>
    <x v="146"/>
    <s v="REVENUS"/>
    <x v="7"/>
    <s v="4184.000"/>
    <s v="Frais de poursuite"/>
    <n v="0"/>
    <n v="18.93"/>
    <n v="4184"/>
  </r>
  <r>
    <x v="0"/>
    <x v="5"/>
    <x v="1"/>
    <x v="168"/>
    <x v="146"/>
    <x v="146"/>
    <s v="REVENUS"/>
    <x v="7"/>
    <s v="4184.000"/>
    <s v="Frais de poursuite"/>
    <n v="0"/>
    <n v="149.87"/>
    <n v="4184"/>
  </r>
  <r>
    <x v="0"/>
    <x v="5"/>
    <x v="1"/>
    <x v="168"/>
    <x v="146"/>
    <x v="146"/>
    <s v="REVENUS"/>
    <x v="8"/>
    <s v="4091.001"/>
    <s v="Impôt récupéré après défalcations"/>
    <n v="0"/>
    <n v="27468.46"/>
    <n v="4091"/>
  </r>
  <r>
    <x v="0"/>
    <x v="5"/>
    <x v="1"/>
    <x v="168"/>
    <x v="146"/>
    <x v="146"/>
    <s v="REVENUS"/>
    <x v="6"/>
    <s v="4221.003"/>
    <s v="Intérêts compensat. / acomptes en faveur du fisc"/>
    <n v="0"/>
    <n v="1.1499999999999999"/>
    <n v="4221"/>
  </r>
  <r>
    <x v="0"/>
    <x v="5"/>
    <x v="1"/>
    <x v="168"/>
    <x v="146"/>
    <x v="146"/>
    <s v="REVENUS"/>
    <x v="6"/>
    <s v="4211.001"/>
    <s v="Intérêts de retard sur factures"/>
    <n v="0"/>
    <n v="15.52"/>
    <n v="4211"/>
  </r>
  <r>
    <x v="0"/>
    <x v="5"/>
    <x v="1"/>
    <x v="168"/>
    <x v="146"/>
    <x v="146"/>
    <s v="REVENUS"/>
    <x v="5"/>
    <s v="4061.000"/>
    <s v="Impôt sur les chiens"/>
    <n v="0"/>
    <n v="17955"/>
    <n v="4061"/>
  </r>
  <r>
    <x v="0"/>
    <x v="5"/>
    <x v="1"/>
    <x v="168"/>
    <x v="146"/>
    <x v="146"/>
    <s v="REVENUS"/>
    <x v="12"/>
    <s v="4004.000"/>
    <s v="Impôt spécial étrangers"/>
    <n v="0"/>
    <n v="322180.59999999998"/>
    <n v="4004"/>
  </r>
  <r>
    <x v="0"/>
    <x v="5"/>
    <x v="1"/>
    <x v="168"/>
    <x v="146"/>
    <x v="146"/>
    <s v="REVENUS"/>
    <x v="2"/>
    <s v="4001.001"/>
    <s v="Impôt revenu"/>
    <n v="0"/>
    <n v="559.20000000000005"/>
    <n v="4001"/>
  </r>
  <r>
    <x v="0"/>
    <x v="5"/>
    <x v="1"/>
    <x v="168"/>
    <x v="146"/>
    <x v="146"/>
    <s v="REVENUS"/>
    <x v="3"/>
    <s v="4002.001"/>
    <s v="Impôt ordinaire s/fortune PP"/>
    <n v="0"/>
    <n v="151.19999999999999"/>
    <n v="4002"/>
  </r>
  <r>
    <x v="0"/>
    <x v="5"/>
    <x v="1"/>
    <x v="168"/>
    <x v="146"/>
    <x v="146"/>
    <s v="REVENUS"/>
    <x v="6"/>
    <s v="4211.002"/>
    <s v="Intérêts de retard sur acomptes"/>
    <n v="0"/>
    <n v="0"/>
    <n v="4211"/>
  </r>
  <r>
    <x v="0"/>
    <x v="5"/>
    <x v="1"/>
    <x v="168"/>
    <x v="146"/>
    <x v="146"/>
    <s v="REVENUS"/>
    <x v="7"/>
    <s v="4184.000"/>
    <s v="Frais de poursuite"/>
    <n v="0"/>
    <n v="34.64"/>
    <n v="4184"/>
  </r>
  <r>
    <x v="0"/>
    <x v="5"/>
    <x v="1"/>
    <x v="168"/>
    <x v="146"/>
    <x v="146"/>
    <s v="REVENUS"/>
    <x v="2"/>
    <s v="4001.005"/>
    <s v="Amende de soustract. Impôt"/>
    <n v="0"/>
    <n v="14050"/>
    <n v="4001"/>
  </r>
  <r>
    <x v="0"/>
    <x v="5"/>
    <x v="1"/>
    <x v="168"/>
    <x v="146"/>
    <x v="146"/>
    <s v="REVENUS"/>
    <x v="2"/>
    <s v="4001.002"/>
    <s v="Impôt complément s/revenu PP"/>
    <n v="0"/>
    <n v="521"/>
    <n v="4001"/>
  </r>
  <r>
    <x v="0"/>
    <x v="5"/>
    <x v="1"/>
    <x v="168"/>
    <x v="146"/>
    <x v="146"/>
    <s v="REVENUS"/>
    <x v="2"/>
    <s v="4001.003"/>
    <s v="Impôt s/prest. cap. PP"/>
    <n v="0"/>
    <n v="36.700000000000003"/>
    <n v="4001"/>
  </r>
  <r>
    <x v="0"/>
    <x v="5"/>
    <x v="1"/>
    <x v="168"/>
    <x v="146"/>
    <x v="146"/>
    <s v="REVENUS"/>
    <x v="6"/>
    <s v="4221.002"/>
    <s v="Intérêts compensat. sur impôts distincts"/>
    <n v="0"/>
    <n v="0.16"/>
    <n v="4221"/>
  </r>
  <r>
    <x v="0"/>
    <x v="5"/>
    <x v="1"/>
    <x v="169"/>
    <x v="147"/>
    <x v="147"/>
    <s v="CHARGES"/>
    <x v="1"/>
    <s v="3301.001"/>
    <s v="Défalcations, abandons de solde PP et IS"/>
    <n v="19.79"/>
    <n v="0"/>
    <n v="3301"/>
  </r>
  <r>
    <x v="0"/>
    <x v="5"/>
    <x v="1"/>
    <x v="169"/>
    <x v="147"/>
    <x v="147"/>
    <s v="CHARGES"/>
    <x v="0"/>
    <s v="3212.004"/>
    <s v="Intérêts rémun./perçu trop tôt sur acomptes C/C"/>
    <n v="210.19"/>
    <n v="0"/>
    <n v="3212"/>
  </r>
  <r>
    <x v="0"/>
    <x v="5"/>
    <x v="1"/>
    <x v="169"/>
    <x v="147"/>
    <x v="147"/>
    <s v="CHARGES"/>
    <x v="0"/>
    <s v="3221.002"/>
    <s v="Intérêts compensatoires / créances en faveur ctb."/>
    <n v="94.98"/>
    <n v="0"/>
    <n v="3221"/>
  </r>
  <r>
    <x v="0"/>
    <x v="5"/>
    <x v="1"/>
    <x v="169"/>
    <x v="147"/>
    <x v="147"/>
    <s v="CHARGES"/>
    <x v="0"/>
    <s v="3212.002"/>
    <s v="Intérêts bonifiés/trop perçu acompte C/C"/>
    <n v="1.76"/>
    <n v="0"/>
    <n v="3212"/>
  </r>
  <r>
    <x v="0"/>
    <x v="5"/>
    <x v="1"/>
    <x v="169"/>
    <x v="147"/>
    <x v="147"/>
    <s v="CHARGES"/>
    <x v="1"/>
    <s v="3301.001"/>
    <s v="Défalcations, abandons de solde PP et IS"/>
    <n v="0.16"/>
    <n v="0"/>
    <n v="3301"/>
  </r>
  <r>
    <x v="0"/>
    <x v="5"/>
    <x v="1"/>
    <x v="169"/>
    <x v="147"/>
    <x v="147"/>
    <s v="CHARGES"/>
    <x v="0"/>
    <s v="3212.004"/>
    <s v="Intérêts rémun./perçu trop tôt sur acomptes C/C"/>
    <n v="2.2999999999999998"/>
    <n v="0"/>
    <n v="3212"/>
  </r>
  <r>
    <x v="0"/>
    <x v="5"/>
    <x v="1"/>
    <x v="169"/>
    <x v="147"/>
    <x v="147"/>
    <s v="CHARGES"/>
    <x v="1"/>
    <s v="3301.001"/>
    <s v="Défalcations, abandons de solde PP et IS"/>
    <n v="0.66"/>
    <n v="0"/>
    <n v="3301"/>
  </r>
  <r>
    <x v="0"/>
    <x v="5"/>
    <x v="1"/>
    <x v="169"/>
    <x v="147"/>
    <x v="147"/>
    <s v="CHARGES"/>
    <x v="0"/>
    <s v="3212.004"/>
    <s v="Intérêts rémun./perçu trop tôt sur acomptes C/C"/>
    <n v="0.33"/>
    <n v="0"/>
    <n v="3212"/>
  </r>
  <r>
    <x v="0"/>
    <x v="5"/>
    <x v="1"/>
    <x v="169"/>
    <x v="147"/>
    <x v="147"/>
    <s v="CHARGES"/>
    <x v="0"/>
    <s v="3221.002"/>
    <s v="Intérêts compensatoires / créances en faveur ctb."/>
    <n v="0.63"/>
    <n v="0"/>
    <n v="3221"/>
  </r>
  <r>
    <x v="0"/>
    <x v="5"/>
    <x v="1"/>
    <x v="169"/>
    <x v="147"/>
    <x v="147"/>
    <s v="CHARGES"/>
    <x v="0"/>
    <s v="3212.004"/>
    <s v="Intérêts rémun./perçu trop tôt sur acomptes C/C"/>
    <n v="0.1"/>
    <n v="0"/>
    <n v="3212"/>
  </r>
  <r>
    <x v="0"/>
    <x v="5"/>
    <x v="1"/>
    <x v="169"/>
    <x v="147"/>
    <x v="147"/>
    <s v="CHARGES"/>
    <x v="0"/>
    <s v="3221.002"/>
    <s v="Intérêts compensatoires / créances en faveur ctb."/>
    <n v="0.01"/>
    <n v="0"/>
    <n v="3221"/>
  </r>
  <r>
    <x v="0"/>
    <x v="5"/>
    <x v="1"/>
    <x v="169"/>
    <x v="147"/>
    <x v="147"/>
    <s v="REVENUS"/>
    <x v="2"/>
    <s v="4001.007"/>
    <s v="Acompte impôt sur revenu"/>
    <n v="0"/>
    <n v="190240.09"/>
    <n v="4001"/>
  </r>
  <r>
    <x v="0"/>
    <x v="5"/>
    <x v="1"/>
    <x v="169"/>
    <x v="147"/>
    <x v="147"/>
    <s v="REVENUS"/>
    <x v="3"/>
    <s v="4002.007"/>
    <s v="Acompte impôt sur fortune"/>
    <n v="0"/>
    <n v="60068.99"/>
    <n v="4002"/>
  </r>
  <r>
    <x v="0"/>
    <x v="5"/>
    <x v="1"/>
    <x v="169"/>
    <x v="147"/>
    <x v="147"/>
    <s v="REVENUS"/>
    <x v="2"/>
    <s v="4001.001"/>
    <s v="Impôt revenu"/>
    <n v="0"/>
    <n v="869969.9"/>
    <n v="4001"/>
  </r>
  <r>
    <x v="0"/>
    <x v="5"/>
    <x v="1"/>
    <x v="169"/>
    <x v="147"/>
    <x v="147"/>
    <s v="REVENUS"/>
    <x v="3"/>
    <s v="4002.001"/>
    <s v="Impôt ordinaire s/fortune PP"/>
    <n v="0"/>
    <n v="130529.7"/>
    <n v="4002"/>
  </r>
  <r>
    <x v="0"/>
    <x v="5"/>
    <x v="1"/>
    <x v="169"/>
    <x v="147"/>
    <x v="147"/>
    <s v="REVENUS"/>
    <x v="6"/>
    <s v="4211.001"/>
    <s v="Intérêts de retard sur factures"/>
    <n v="0"/>
    <n v="2639.92"/>
    <n v="4211"/>
  </r>
  <r>
    <x v="0"/>
    <x v="5"/>
    <x v="1"/>
    <x v="169"/>
    <x v="147"/>
    <x v="147"/>
    <s v="REVENUS"/>
    <x v="2"/>
    <s v="4001.007"/>
    <s v="Acompte impôt sur revenu"/>
    <n v="0"/>
    <n v="-243296.73"/>
    <n v="4001"/>
  </r>
  <r>
    <x v="0"/>
    <x v="5"/>
    <x v="1"/>
    <x v="169"/>
    <x v="147"/>
    <x v="147"/>
    <s v="REVENUS"/>
    <x v="3"/>
    <s v="4002.007"/>
    <s v="Acompte impôt sur fortune"/>
    <n v="0"/>
    <n v="-33977.68"/>
    <n v="4002"/>
  </r>
  <r>
    <x v="0"/>
    <x v="5"/>
    <x v="1"/>
    <x v="169"/>
    <x v="147"/>
    <x v="147"/>
    <s v="REVENUS"/>
    <x v="6"/>
    <s v="4211.002"/>
    <s v="Intérêts de retard sur acomptes"/>
    <n v="0"/>
    <n v="3644.85"/>
    <n v="4211"/>
  </r>
  <r>
    <x v="0"/>
    <x v="5"/>
    <x v="1"/>
    <x v="169"/>
    <x v="147"/>
    <x v="147"/>
    <s v="REVENUS"/>
    <x v="6"/>
    <s v="4221.003"/>
    <s v="Intérêts compensat. / acomptes en faveur du fisc"/>
    <n v="0"/>
    <n v="34.85"/>
    <n v="4221"/>
  </r>
  <r>
    <x v="0"/>
    <x v="5"/>
    <x v="1"/>
    <x v="169"/>
    <x v="147"/>
    <x v="147"/>
    <s v="REVENUS"/>
    <x v="2"/>
    <s v="4001.002"/>
    <s v="Impôt complément s/revenu PP"/>
    <n v="0"/>
    <n v="72858.25"/>
    <n v="4001"/>
  </r>
  <r>
    <x v="0"/>
    <x v="5"/>
    <x v="1"/>
    <x v="169"/>
    <x v="147"/>
    <x v="147"/>
    <s v="REVENUS"/>
    <x v="7"/>
    <s v="4184.000"/>
    <s v="Frais de poursuite"/>
    <n v="0"/>
    <n v="629.57000000000005"/>
    <n v="4184"/>
  </r>
  <r>
    <x v="0"/>
    <x v="5"/>
    <x v="1"/>
    <x v="169"/>
    <x v="147"/>
    <x v="147"/>
    <s v="REVENUS"/>
    <x v="3"/>
    <s v="4002.002"/>
    <s v="Impôt complémentaire s/fortune PP"/>
    <n v="0"/>
    <n v="8655.4500000000007"/>
    <n v="4002"/>
  </r>
  <r>
    <x v="0"/>
    <x v="5"/>
    <x v="1"/>
    <x v="169"/>
    <x v="147"/>
    <x v="147"/>
    <s v="REVENUS"/>
    <x v="2"/>
    <s v="4001.005"/>
    <s v="Amende de soustract. Impôt"/>
    <n v="0"/>
    <n v="6500"/>
    <n v="4001"/>
  </r>
  <r>
    <x v="0"/>
    <x v="5"/>
    <x v="1"/>
    <x v="169"/>
    <x v="147"/>
    <x v="147"/>
    <s v="REVENUS"/>
    <x v="11"/>
    <s v="4198.000"/>
    <s v="Contributions communales"/>
    <n v="0"/>
    <n v="82646.05"/>
    <n v="4198"/>
  </r>
  <r>
    <x v="0"/>
    <x v="5"/>
    <x v="1"/>
    <x v="169"/>
    <x v="147"/>
    <x v="147"/>
    <s v="REVENUS"/>
    <x v="2"/>
    <s v="4001.007"/>
    <s v="Acompte impôt sur revenu"/>
    <n v="0"/>
    <n v="-4.55"/>
    <n v="4001"/>
  </r>
  <r>
    <x v="0"/>
    <x v="5"/>
    <x v="1"/>
    <x v="169"/>
    <x v="147"/>
    <x v="147"/>
    <s v="REVENUS"/>
    <x v="3"/>
    <s v="4002.007"/>
    <s v="Acompte impôt sur fortune"/>
    <n v="0"/>
    <n v="-34.35"/>
    <n v="4002"/>
  </r>
  <r>
    <x v="0"/>
    <x v="5"/>
    <x v="1"/>
    <x v="169"/>
    <x v="147"/>
    <x v="147"/>
    <s v="REVENUS"/>
    <x v="6"/>
    <s v="4211.001"/>
    <s v="Intérêts de retard sur factures"/>
    <n v="0"/>
    <n v="0.26"/>
    <n v="4211"/>
  </r>
  <r>
    <x v="0"/>
    <x v="5"/>
    <x v="1"/>
    <x v="169"/>
    <x v="147"/>
    <x v="147"/>
    <s v="REVENUS"/>
    <x v="3"/>
    <s v="4002.001"/>
    <s v="Impôt ordinaire s/fortune PP"/>
    <n v="0"/>
    <n v="3558.85"/>
    <n v="4002"/>
  </r>
  <r>
    <x v="0"/>
    <x v="5"/>
    <x v="1"/>
    <x v="169"/>
    <x v="147"/>
    <x v="147"/>
    <s v="REVENUS"/>
    <x v="3"/>
    <s v="4002.007"/>
    <s v="Acompte impôt sur fortune"/>
    <n v="0"/>
    <n v="-206.38"/>
    <n v="4002"/>
  </r>
  <r>
    <x v="0"/>
    <x v="5"/>
    <x v="1"/>
    <x v="169"/>
    <x v="147"/>
    <x v="147"/>
    <s v="REVENUS"/>
    <x v="6"/>
    <s v="4211.002"/>
    <s v="Intérêts de retard sur acomptes"/>
    <n v="0"/>
    <n v="1.78"/>
    <n v="4211"/>
  </r>
  <r>
    <x v="0"/>
    <x v="5"/>
    <x v="1"/>
    <x v="169"/>
    <x v="147"/>
    <x v="147"/>
    <s v="REVENUS"/>
    <x v="6"/>
    <s v="4221.003"/>
    <s v="Intérêts compensat. / acomptes en faveur du fisc"/>
    <n v="0"/>
    <n v="0.05"/>
    <n v="4221"/>
  </r>
  <r>
    <x v="0"/>
    <x v="5"/>
    <x v="1"/>
    <x v="169"/>
    <x v="147"/>
    <x v="147"/>
    <s v="REVENUS"/>
    <x v="3"/>
    <s v="4002.007"/>
    <s v="Acompte impôt sur fortune"/>
    <n v="0"/>
    <n v="708.8"/>
    <n v="4002"/>
  </r>
  <r>
    <x v="0"/>
    <x v="5"/>
    <x v="1"/>
    <x v="169"/>
    <x v="147"/>
    <x v="147"/>
    <s v="REVENUS"/>
    <x v="2"/>
    <s v="4001.001"/>
    <s v="Impôt revenu"/>
    <n v="0"/>
    <n v="1095.7"/>
    <n v="4001"/>
  </r>
  <r>
    <x v="0"/>
    <x v="5"/>
    <x v="1"/>
    <x v="169"/>
    <x v="147"/>
    <x v="147"/>
    <s v="REVENUS"/>
    <x v="3"/>
    <s v="4002.001"/>
    <s v="Impôt ordinaire s/fortune PP"/>
    <n v="0"/>
    <n v="3158"/>
    <n v="4002"/>
  </r>
  <r>
    <x v="0"/>
    <x v="5"/>
    <x v="1"/>
    <x v="169"/>
    <x v="147"/>
    <x v="147"/>
    <s v="REVENUS"/>
    <x v="6"/>
    <s v="4221.003"/>
    <s v="Intérêts compensat. / acomptes en faveur du fisc"/>
    <n v="0"/>
    <n v="7.89"/>
    <n v="4221"/>
  </r>
  <r>
    <x v="0"/>
    <x v="5"/>
    <x v="1"/>
    <x v="169"/>
    <x v="147"/>
    <x v="147"/>
    <s v="REVENUS"/>
    <x v="2"/>
    <s v="4001.007"/>
    <s v="Acompte impôt sur revenu"/>
    <n v="0"/>
    <n v="-182.22"/>
    <n v="4001"/>
  </r>
  <r>
    <x v="0"/>
    <x v="5"/>
    <x v="1"/>
    <x v="169"/>
    <x v="147"/>
    <x v="147"/>
    <s v="REVENUS"/>
    <x v="3"/>
    <s v="4002.001"/>
    <s v="Impôt ordinaire s/fortune PP"/>
    <n v="0"/>
    <n v="-115.35"/>
    <n v="4002"/>
  </r>
  <r>
    <x v="0"/>
    <x v="5"/>
    <x v="1"/>
    <x v="169"/>
    <x v="147"/>
    <x v="147"/>
    <s v="REVENUS"/>
    <x v="2"/>
    <s v="4001.001"/>
    <s v="Impôt revenu"/>
    <n v="0"/>
    <n v="-20371.55"/>
    <n v="4001"/>
  </r>
  <r>
    <x v="0"/>
    <x v="5"/>
    <x v="1"/>
    <x v="169"/>
    <x v="147"/>
    <x v="147"/>
    <s v="REVENUS"/>
    <x v="2"/>
    <s v="4001.003"/>
    <s v="Impôt s/prest. cap. PP"/>
    <n v="0"/>
    <n v="9920.7999999999993"/>
    <n v="4001"/>
  </r>
  <r>
    <x v="0"/>
    <x v="5"/>
    <x v="1"/>
    <x v="169"/>
    <x v="147"/>
    <x v="147"/>
    <s v="REVENUS"/>
    <x v="6"/>
    <s v="4221.002"/>
    <s v="Intérêts compensat. sur impôts distincts"/>
    <n v="0"/>
    <n v="0.13"/>
    <n v="4221"/>
  </r>
  <r>
    <x v="0"/>
    <x v="5"/>
    <x v="1"/>
    <x v="169"/>
    <x v="147"/>
    <x v="147"/>
    <s v="REVENUS"/>
    <x v="2"/>
    <s v="4001.001"/>
    <s v="Impôt revenu"/>
    <n v="0"/>
    <n v="3734.15"/>
    <n v="4001"/>
  </r>
  <r>
    <x v="0"/>
    <x v="5"/>
    <x v="1"/>
    <x v="169"/>
    <x v="147"/>
    <x v="147"/>
    <s v="REVENUS"/>
    <x v="2"/>
    <s v="4001.001"/>
    <s v="Impôt revenu"/>
    <n v="0"/>
    <n v="0"/>
    <n v="4001"/>
  </r>
  <r>
    <x v="0"/>
    <x v="5"/>
    <x v="1"/>
    <x v="169"/>
    <x v="147"/>
    <x v="147"/>
    <s v="REVENUS"/>
    <x v="3"/>
    <s v="4002.001"/>
    <s v="Impôt ordinaire s/fortune PP"/>
    <n v="0"/>
    <n v="0"/>
    <n v="4002"/>
  </r>
  <r>
    <x v="0"/>
    <x v="5"/>
    <x v="1"/>
    <x v="169"/>
    <x v="147"/>
    <x v="147"/>
    <s v="REVENUS"/>
    <x v="6"/>
    <s v="4211.002"/>
    <s v="Intérêts de retard sur acomptes"/>
    <n v="0"/>
    <n v="0.41"/>
    <n v="4211"/>
  </r>
  <r>
    <x v="0"/>
    <x v="5"/>
    <x v="1"/>
    <x v="169"/>
    <x v="147"/>
    <x v="147"/>
    <s v="REVENUS"/>
    <x v="3"/>
    <s v="4002.001"/>
    <s v="Impôt ordinaire s/fortune PP"/>
    <n v="0"/>
    <n v="1651.95"/>
    <n v="4002"/>
  </r>
  <r>
    <x v="0"/>
    <x v="5"/>
    <x v="1"/>
    <x v="169"/>
    <x v="147"/>
    <x v="147"/>
    <s v="REVENUS"/>
    <x v="6"/>
    <s v="4211.002"/>
    <s v="Intérêts de retard sur acomptes"/>
    <n v="0"/>
    <n v="13.63"/>
    <n v="4211"/>
  </r>
  <r>
    <x v="0"/>
    <x v="5"/>
    <x v="1"/>
    <x v="169"/>
    <x v="147"/>
    <x v="147"/>
    <s v="REVENUS"/>
    <x v="7"/>
    <s v="4184.000"/>
    <s v="Frais de poursuite"/>
    <n v="0"/>
    <n v="67.89"/>
    <n v="4184"/>
  </r>
  <r>
    <x v="0"/>
    <x v="5"/>
    <x v="1"/>
    <x v="169"/>
    <x v="147"/>
    <x v="147"/>
    <s v="REVENUS"/>
    <x v="2"/>
    <s v="4001.001"/>
    <s v="Impôt revenu"/>
    <n v="0"/>
    <n v="88.85"/>
    <n v="4001"/>
  </r>
  <r>
    <x v="0"/>
    <x v="5"/>
    <x v="1"/>
    <x v="169"/>
    <x v="147"/>
    <x v="147"/>
    <s v="REVENUS"/>
    <x v="3"/>
    <s v="4002.001"/>
    <s v="Impôt ordinaire s/fortune PP"/>
    <n v="0"/>
    <n v="71"/>
    <n v="4002"/>
  </r>
  <r>
    <x v="0"/>
    <x v="5"/>
    <x v="1"/>
    <x v="169"/>
    <x v="147"/>
    <x v="147"/>
    <s v="REVENUS"/>
    <x v="5"/>
    <s v="4061.000"/>
    <s v="Impôt sur les chiens"/>
    <n v="0"/>
    <n v="2950"/>
    <n v="4061"/>
  </r>
  <r>
    <x v="0"/>
    <x v="5"/>
    <x v="1"/>
    <x v="169"/>
    <x v="147"/>
    <x v="147"/>
    <s v="REVENUS"/>
    <x v="2"/>
    <s v="4001.001"/>
    <s v="Impôt revenu"/>
    <n v="0"/>
    <n v="756.15"/>
    <n v="4001"/>
  </r>
  <r>
    <x v="0"/>
    <x v="5"/>
    <x v="1"/>
    <x v="169"/>
    <x v="147"/>
    <x v="147"/>
    <s v="REVENUS"/>
    <x v="10"/>
    <s v="4041.001"/>
    <s v="Droits de mutation"/>
    <n v="0"/>
    <n v="24420"/>
    <n v="4041"/>
  </r>
  <r>
    <x v="0"/>
    <x v="5"/>
    <x v="1"/>
    <x v="169"/>
    <x v="147"/>
    <x v="147"/>
    <s v="REVENUS"/>
    <x v="2"/>
    <s v="4001.002"/>
    <s v="Impôt complément s/revenu PP"/>
    <n v="0"/>
    <n v="31.45"/>
    <n v="4001"/>
  </r>
  <r>
    <x v="0"/>
    <x v="5"/>
    <x v="1"/>
    <x v="169"/>
    <x v="147"/>
    <x v="147"/>
    <s v="REVENUS"/>
    <x v="3"/>
    <s v="4002.002"/>
    <s v="Impôt complémentaire s/fortune PP"/>
    <n v="0"/>
    <n v="10.1"/>
    <n v="4002"/>
  </r>
  <r>
    <x v="0"/>
    <x v="5"/>
    <x v="1"/>
    <x v="169"/>
    <x v="147"/>
    <x v="147"/>
    <s v="REVENUS"/>
    <x v="6"/>
    <s v="4211.001"/>
    <s v="Intérêts de retard sur factures"/>
    <n v="0"/>
    <n v="0.28999999999999998"/>
    <n v="4211"/>
  </r>
  <r>
    <x v="0"/>
    <x v="5"/>
    <x v="1"/>
    <x v="169"/>
    <x v="147"/>
    <x v="147"/>
    <s v="REVENUS"/>
    <x v="9"/>
    <s v="4031.002"/>
    <s v="Complément impôt sur les gains immobiliers"/>
    <n v="0"/>
    <n v="1730.6"/>
    <n v="4031"/>
  </r>
  <r>
    <x v="0"/>
    <x v="5"/>
    <x v="1"/>
    <x v="170"/>
    <x v="148"/>
    <x v="148"/>
    <s v="CHARGES"/>
    <x v="0"/>
    <s v="3212.002"/>
    <s v="Intérêts bonifiés/trop perçu acompte C/C"/>
    <n v="29.19"/>
    <n v="0"/>
    <n v="3212"/>
  </r>
  <r>
    <x v="0"/>
    <x v="5"/>
    <x v="1"/>
    <x v="170"/>
    <x v="148"/>
    <x v="148"/>
    <s v="CHARGES"/>
    <x v="1"/>
    <s v="3301.001"/>
    <s v="Défalcations, abandons de solde PP et IS"/>
    <n v="4410.4399999999996"/>
    <n v="0"/>
    <n v="3301"/>
  </r>
  <r>
    <x v="0"/>
    <x v="5"/>
    <x v="1"/>
    <x v="170"/>
    <x v="148"/>
    <x v="148"/>
    <s v="CHARGES"/>
    <x v="1"/>
    <s v="3301.001"/>
    <s v="Défalcations, abandons de solde PP et IS"/>
    <n v="-198.41"/>
    <n v="0"/>
    <n v="3301"/>
  </r>
  <r>
    <x v="0"/>
    <x v="5"/>
    <x v="1"/>
    <x v="170"/>
    <x v="148"/>
    <x v="148"/>
    <s v="CHARGES"/>
    <x v="0"/>
    <s v="3212.004"/>
    <s v="Intérêts rémun./perçu trop tôt sur acomptes C/C"/>
    <n v="242.48"/>
    <n v="0"/>
    <n v="3212"/>
  </r>
  <r>
    <x v="0"/>
    <x v="5"/>
    <x v="1"/>
    <x v="170"/>
    <x v="148"/>
    <x v="148"/>
    <s v="CHARGES"/>
    <x v="0"/>
    <s v="3221.002"/>
    <s v="Intérêts compensatoires / créances en faveur ctb."/>
    <n v="125.29"/>
    <n v="0"/>
    <n v="3221"/>
  </r>
  <r>
    <x v="0"/>
    <x v="5"/>
    <x v="1"/>
    <x v="170"/>
    <x v="148"/>
    <x v="148"/>
    <s v="CHARGES"/>
    <x v="0"/>
    <s v="3212.004"/>
    <s v="Intérêts rémun./perçu trop tôt sur acomptes C/C"/>
    <n v="0.02"/>
    <n v="0"/>
    <n v="3212"/>
  </r>
  <r>
    <x v="0"/>
    <x v="5"/>
    <x v="1"/>
    <x v="170"/>
    <x v="148"/>
    <x v="148"/>
    <s v="CHARGES"/>
    <x v="0"/>
    <s v="3221.002"/>
    <s v="Intérêts compensatoires / créances en faveur ctb."/>
    <n v="0.01"/>
    <n v="0"/>
    <n v="3221"/>
  </r>
  <r>
    <x v="0"/>
    <x v="5"/>
    <x v="1"/>
    <x v="170"/>
    <x v="148"/>
    <x v="148"/>
    <s v="CHARGES"/>
    <x v="1"/>
    <s v="3301.001"/>
    <s v="Défalcations, abandons de solde PP et IS"/>
    <n v="0.04"/>
    <n v="0"/>
    <n v="3301"/>
  </r>
  <r>
    <x v="0"/>
    <x v="5"/>
    <x v="1"/>
    <x v="170"/>
    <x v="148"/>
    <x v="148"/>
    <s v="CHARGES"/>
    <x v="0"/>
    <s v="3212.002"/>
    <s v="Intérêts bonifiés/trop perçu acompte C/C"/>
    <n v="0.51"/>
    <n v="0"/>
    <n v="3212"/>
  </r>
  <r>
    <x v="0"/>
    <x v="5"/>
    <x v="1"/>
    <x v="170"/>
    <x v="148"/>
    <x v="148"/>
    <s v="CHARGES"/>
    <x v="0"/>
    <s v="3212.004"/>
    <s v="Intérêts rémun./perçu trop tôt sur acomptes C/C"/>
    <n v="6.07"/>
    <n v="0"/>
    <n v="3212"/>
  </r>
  <r>
    <x v="0"/>
    <x v="5"/>
    <x v="1"/>
    <x v="170"/>
    <x v="148"/>
    <x v="148"/>
    <s v="CHARGES"/>
    <x v="0"/>
    <s v="3221.002"/>
    <s v="Intérêts compensatoires / créances en faveur ctb."/>
    <n v="16.809999999999999"/>
    <n v="0"/>
    <n v="3221"/>
  </r>
  <r>
    <x v="0"/>
    <x v="5"/>
    <x v="1"/>
    <x v="170"/>
    <x v="148"/>
    <x v="148"/>
    <s v="CHARGES"/>
    <x v="0"/>
    <s v="3212.004"/>
    <s v="Intérêts rémun./perçu trop tôt sur acomptes C/C"/>
    <n v="1.6"/>
    <n v="0"/>
    <n v="3212"/>
  </r>
  <r>
    <x v="0"/>
    <x v="5"/>
    <x v="1"/>
    <x v="170"/>
    <x v="148"/>
    <x v="148"/>
    <s v="CHARGES"/>
    <x v="0"/>
    <s v="3221.002"/>
    <s v="Intérêts compensatoires / créances en faveur ctb."/>
    <n v="1.44"/>
    <n v="0"/>
    <n v="3221"/>
  </r>
  <r>
    <x v="0"/>
    <x v="5"/>
    <x v="1"/>
    <x v="170"/>
    <x v="148"/>
    <x v="148"/>
    <s v="CHARGES"/>
    <x v="0"/>
    <s v="3212.004"/>
    <s v="Intérêts rémun./perçu trop tôt sur acomptes C/C"/>
    <n v="0.11"/>
    <n v="0"/>
    <n v="3212"/>
  </r>
  <r>
    <x v="0"/>
    <x v="5"/>
    <x v="1"/>
    <x v="170"/>
    <x v="148"/>
    <x v="148"/>
    <s v="CHARGES"/>
    <x v="0"/>
    <s v="3221.002"/>
    <s v="Intérêts compensatoires / créances en faveur ctb."/>
    <n v="0.14000000000000001"/>
    <n v="0"/>
    <n v="3221"/>
  </r>
  <r>
    <x v="0"/>
    <x v="5"/>
    <x v="1"/>
    <x v="170"/>
    <x v="148"/>
    <x v="148"/>
    <s v="CHARGES"/>
    <x v="1"/>
    <s v="3301.001"/>
    <s v="Défalcations, abandons de solde PP et IS"/>
    <n v="0.01"/>
    <n v="0"/>
    <n v="3301"/>
  </r>
  <r>
    <x v="0"/>
    <x v="5"/>
    <x v="1"/>
    <x v="170"/>
    <x v="148"/>
    <x v="148"/>
    <s v="REVENUS"/>
    <x v="3"/>
    <s v="4002.007"/>
    <s v="Acompte impôt sur fortune"/>
    <n v="0"/>
    <n v="20.12"/>
    <n v="4002"/>
  </r>
  <r>
    <x v="0"/>
    <x v="5"/>
    <x v="1"/>
    <x v="170"/>
    <x v="148"/>
    <x v="148"/>
    <s v="REVENUS"/>
    <x v="3"/>
    <s v="4002.007"/>
    <s v="Acompte impôt sur fortune"/>
    <n v="0"/>
    <n v="300.52"/>
    <n v="4002"/>
  </r>
  <r>
    <x v="0"/>
    <x v="5"/>
    <x v="1"/>
    <x v="170"/>
    <x v="148"/>
    <x v="148"/>
    <s v="REVENUS"/>
    <x v="4"/>
    <s v="4051.001"/>
    <s v="Impôt sur les successions"/>
    <n v="0"/>
    <n v="35988.6"/>
    <n v="4051"/>
  </r>
  <r>
    <x v="0"/>
    <x v="5"/>
    <x v="1"/>
    <x v="170"/>
    <x v="148"/>
    <x v="148"/>
    <s v="REVENUS"/>
    <x v="6"/>
    <s v="4211.001"/>
    <s v="Intérêts de retard sur factures"/>
    <n v="0"/>
    <n v="1565.81"/>
    <n v="4211"/>
  </r>
  <r>
    <x v="0"/>
    <x v="5"/>
    <x v="1"/>
    <x v="170"/>
    <x v="148"/>
    <x v="148"/>
    <s v="REVENUS"/>
    <x v="6"/>
    <s v="4221.002"/>
    <s v="Intérêts compensat. sur impôts distincts"/>
    <n v="0"/>
    <n v="3.61"/>
    <n v="4221"/>
  </r>
  <r>
    <x v="0"/>
    <x v="5"/>
    <x v="1"/>
    <x v="170"/>
    <x v="148"/>
    <x v="148"/>
    <s v="REVENUS"/>
    <x v="7"/>
    <s v="4184.000"/>
    <s v="Frais de poursuite"/>
    <n v="0"/>
    <n v="73.760000000000005"/>
    <n v="4184"/>
  </r>
  <r>
    <x v="0"/>
    <x v="5"/>
    <x v="1"/>
    <x v="170"/>
    <x v="148"/>
    <x v="148"/>
    <s v="REVENUS"/>
    <x v="3"/>
    <s v="4002.007"/>
    <s v="Acompte impôt sur fortune"/>
    <n v="0"/>
    <n v="-60303.03"/>
    <n v="4002"/>
  </r>
  <r>
    <x v="0"/>
    <x v="5"/>
    <x v="1"/>
    <x v="170"/>
    <x v="148"/>
    <x v="148"/>
    <s v="REVENUS"/>
    <x v="2"/>
    <s v="4001.001"/>
    <s v="Impôt revenu"/>
    <n v="0"/>
    <n v="830378.05"/>
    <n v="4001"/>
  </r>
  <r>
    <x v="0"/>
    <x v="5"/>
    <x v="1"/>
    <x v="170"/>
    <x v="148"/>
    <x v="148"/>
    <s v="REVENUS"/>
    <x v="2"/>
    <s v="4001.007"/>
    <s v="Acompte impôt sur revenu"/>
    <n v="0"/>
    <n v="128495.21"/>
    <n v="4001"/>
  </r>
  <r>
    <x v="0"/>
    <x v="5"/>
    <x v="1"/>
    <x v="170"/>
    <x v="148"/>
    <x v="148"/>
    <s v="REVENUS"/>
    <x v="3"/>
    <s v="4002.001"/>
    <s v="Impôt ordinaire s/fortune PP"/>
    <n v="0"/>
    <n v="173105.05"/>
    <n v="4002"/>
  </r>
  <r>
    <x v="0"/>
    <x v="5"/>
    <x v="1"/>
    <x v="170"/>
    <x v="148"/>
    <x v="148"/>
    <s v="REVENUS"/>
    <x v="3"/>
    <s v="4002.007"/>
    <s v="Acompte impôt sur fortune"/>
    <n v="0"/>
    <n v="43575.08"/>
    <n v="4002"/>
  </r>
  <r>
    <x v="0"/>
    <x v="5"/>
    <x v="1"/>
    <x v="170"/>
    <x v="148"/>
    <x v="148"/>
    <s v="REVENUS"/>
    <x v="6"/>
    <s v="4211.002"/>
    <s v="Intérêts de retard sur acomptes"/>
    <n v="0"/>
    <n v="5192.9799999999996"/>
    <n v="4211"/>
  </r>
  <r>
    <x v="0"/>
    <x v="5"/>
    <x v="1"/>
    <x v="170"/>
    <x v="148"/>
    <x v="148"/>
    <s v="REVENUS"/>
    <x v="2"/>
    <s v="4001.001"/>
    <s v="Impôt revenu"/>
    <n v="0"/>
    <n v="18227.8"/>
    <n v="4001"/>
  </r>
  <r>
    <x v="0"/>
    <x v="5"/>
    <x v="1"/>
    <x v="170"/>
    <x v="148"/>
    <x v="148"/>
    <s v="REVENUS"/>
    <x v="3"/>
    <s v="4002.001"/>
    <s v="Impôt ordinaire s/fortune PP"/>
    <n v="0"/>
    <n v="5826.7"/>
    <n v="4002"/>
  </r>
  <r>
    <x v="0"/>
    <x v="5"/>
    <x v="1"/>
    <x v="170"/>
    <x v="148"/>
    <x v="148"/>
    <s v="REVENUS"/>
    <x v="6"/>
    <s v="4211.002"/>
    <s v="Intérêts de retard sur acomptes"/>
    <n v="0"/>
    <n v="102.01"/>
    <n v="4211"/>
  </r>
  <r>
    <x v="0"/>
    <x v="5"/>
    <x v="1"/>
    <x v="170"/>
    <x v="148"/>
    <x v="148"/>
    <s v="REVENUS"/>
    <x v="6"/>
    <s v="4221.003"/>
    <s v="Intérêts compensat. / acomptes en faveur du fisc"/>
    <n v="0"/>
    <n v="2.83"/>
    <n v="4221"/>
  </r>
  <r>
    <x v="0"/>
    <x v="5"/>
    <x v="1"/>
    <x v="170"/>
    <x v="148"/>
    <x v="148"/>
    <s v="REVENUS"/>
    <x v="2"/>
    <s v="4001.007"/>
    <s v="Acompte impôt sur revenu"/>
    <n v="0"/>
    <n v="-245147.15"/>
    <n v="4001"/>
  </r>
  <r>
    <x v="0"/>
    <x v="5"/>
    <x v="1"/>
    <x v="170"/>
    <x v="148"/>
    <x v="148"/>
    <s v="REVENUS"/>
    <x v="2"/>
    <s v="4001.002"/>
    <s v="Impôt complément s/revenu PP"/>
    <n v="0"/>
    <n v="127940.15"/>
    <n v="4001"/>
  </r>
  <r>
    <x v="0"/>
    <x v="5"/>
    <x v="1"/>
    <x v="170"/>
    <x v="148"/>
    <x v="148"/>
    <s v="REVENUS"/>
    <x v="3"/>
    <s v="4002.002"/>
    <s v="Impôt complémentaire s/fortune PP"/>
    <n v="0"/>
    <n v="51116.35"/>
    <n v="4002"/>
  </r>
  <r>
    <x v="0"/>
    <x v="5"/>
    <x v="1"/>
    <x v="170"/>
    <x v="148"/>
    <x v="148"/>
    <s v="REVENUS"/>
    <x v="3"/>
    <s v="4002.001"/>
    <s v="Impôt ordinaire s/fortune PP"/>
    <n v="0"/>
    <n v="-39015.1"/>
    <n v="4002"/>
  </r>
  <r>
    <x v="0"/>
    <x v="5"/>
    <x v="1"/>
    <x v="170"/>
    <x v="148"/>
    <x v="148"/>
    <s v="REVENUS"/>
    <x v="6"/>
    <s v="4221.003"/>
    <s v="Intérêts compensat. / acomptes en faveur du fisc"/>
    <n v="0"/>
    <n v="51.15"/>
    <n v="4221"/>
  </r>
  <r>
    <x v="0"/>
    <x v="5"/>
    <x v="1"/>
    <x v="170"/>
    <x v="148"/>
    <x v="148"/>
    <s v="REVENUS"/>
    <x v="2"/>
    <s v="4001.001"/>
    <s v="Impôt revenu"/>
    <n v="0"/>
    <n v="4050.9"/>
    <n v="4001"/>
  </r>
  <r>
    <x v="0"/>
    <x v="5"/>
    <x v="1"/>
    <x v="170"/>
    <x v="148"/>
    <x v="148"/>
    <s v="REVENUS"/>
    <x v="2"/>
    <s v="4001.007"/>
    <s v="Acompte impôt sur revenu"/>
    <n v="0"/>
    <n v="-907.55"/>
    <n v="4001"/>
  </r>
  <r>
    <x v="0"/>
    <x v="5"/>
    <x v="1"/>
    <x v="170"/>
    <x v="148"/>
    <x v="148"/>
    <s v="REVENUS"/>
    <x v="3"/>
    <s v="4002.001"/>
    <s v="Impôt ordinaire s/fortune PP"/>
    <n v="0"/>
    <n v="613.04999999999995"/>
    <n v="4002"/>
  </r>
  <r>
    <x v="0"/>
    <x v="5"/>
    <x v="1"/>
    <x v="170"/>
    <x v="148"/>
    <x v="148"/>
    <s v="REVENUS"/>
    <x v="3"/>
    <s v="4002.007"/>
    <s v="Acompte impôt sur fortune"/>
    <n v="0"/>
    <n v="-848.47"/>
    <n v="4002"/>
  </r>
  <r>
    <x v="0"/>
    <x v="5"/>
    <x v="1"/>
    <x v="170"/>
    <x v="148"/>
    <x v="148"/>
    <s v="REVENUS"/>
    <x v="6"/>
    <s v="4211.002"/>
    <s v="Intérêts de retard sur acomptes"/>
    <n v="0"/>
    <n v="0.01"/>
    <n v="4211"/>
  </r>
  <r>
    <x v="0"/>
    <x v="5"/>
    <x v="1"/>
    <x v="170"/>
    <x v="148"/>
    <x v="148"/>
    <s v="REVENUS"/>
    <x v="6"/>
    <s v="4221.003"/>
    <s v="Intérêts compensat. / acomptes en faveur du fisc"/>
    <n v="0"/>
    <n v="0.04"/>
    <n v="4221"/>
  </r>
  <r>
    <x v="0"/>
    <x v="5"/>
    <x v="1"/>
    <x v="170"/>
    <x v="148"/>
    <x v="148"/>
    <s v="REVENUS"/>
    <x v="2"/>
    <s v="4001.007"/>
    <s v="Acompte impôt sur revenu"/>
    <n v="0"/>
    <n v="2724.2"/>
    <n v="4001"/>
  </r>
  <r>
    <x v="0"/>
    <x v="5"/>
    <x v="1"/>
    <x v="170"/>
    <x v="148"/>
    <x v="148"/>
    <s v="REVENUS"/>
    <x v="7"/>
    <s v="4184.000"/>
    <s v="Frais de poursuite"/>
    <n v="0"/>
    <n v="642.86"/>
    <n v="4184"/>
  </r>
  <r>
    <x v="0"/>
    <x v="5"/>
    <x v="1"/>
    <x v="170"/>
    <x v="148"/>
    <x v="148"/>
    <s v="REVENUS"/>
    <x v="2"/>
    <s v="4001.003"/>
    <s v="Impôt s/prest. cap. PP"/>
    <n v="0"/>
    <n v="26390.95"/>
    <n v="4001"/>
  </r>
  <r>
    <x v="0"/>
    <x v="5"/>
    <x v="1"/>
    <x v="170"/>
    <x v="148"/>
    <x v="148"/>
    <s v="REVENUS"/>
    <x v="10"/>
    <s v="4041.001"/>
    <s v="Droits de mutation"/>
    <n v="0"/>
    <n v="56475.65"/>
    <n v="4041"/>
  </r>
  <r>
    <x v="0"/>
    <x v="5"/>
    <x v="1"/>
    <x v="170"/>
    <x v="148"/>
    <x v="148"/>
    <s v="REVENUS"/>
    <x v="2"/>
    <s v="4001.007"/>
    <s v="Acompte impôt sur revenu"/>
    <n v="0"/>
    <n v="507.25"/>
    <n v="4001"/>
  </r>
  <r>
    <x v="0"/>
    <x v="5"/>
    <x v="1"/>
    <x v="170"/>
    <x v="148"/>
    <x v="148"/>
    <s v="REVENUS"/>
    <x v="2"/>
    <s v="4001.002"/>
    <s v="Impôt complément s/revenu PP"/>
    <n v="0"/>
    <n v="918.2"/>
    <n v="4001"/>
  </r>
  <r>
    <x v="0"/>
    <x v="5"/>
    <x v="1"/>
    <x v="170"/>
    <x v="148"/>
    <x v="148"/>
    <s v="REVENUS"/>
    <x v="3"/>
    <s v="4002.002"/>
    <s v="Impôt complémentaire s/fortune PP"/>
    <n v="0"/>
    <n v="214.5"/>
    <n v="4002"/>
  </r>
  <r>
    <x v="0"/>
    <x v="5"/>
    <x v="1"/>
    <x v="170"/>
    <x v="148"/>
    <x v="148"/>
    <s v="REVENUS"/>
    <x v="2"/>
    <s v="4001.002"/>
    <s v="Impôt complément s/revenu PP"/>
    <n v="0"/>
    <n v="55.8"/>
    <n v="4001"/>
  </r>
  <r>
    <x v="0"/>
    <x v="5"/>
    <x v="1"/>
    <x v="170"/>
    <x v="148"/>
    <x v="148"/>
    <s v="REVENUS"/>
    <x v="3"/>
    <s v="4002.002"/>
    <s v="Impôt complémentaire s/fortune PP"/>
    <n v="0"/>
    <n v="117.45"/>
    <n v="4002"/>
  </r>
  <r>
    <x v="0"/>
    <x v="5"/>
    <x v="1"/>
    <x v="170"/>
    <x v="148"/>
    <x v="148"/>
    <s v="REVENUS"/>
    <x v="9"/>
    <s v="4031.001"/>
    <s v="Impôt sur les gains immobiliers"/>
    <n v="0"/>
    <n v="19294.45"/>
    <n v="4031"/>
  </r>
  <r>
    <x v="0"/>
    <x v="5"/>
    <x v="1"/>
    <x v="170"/>
    <x v="148"/>
    <x v="148"/>
    <s v="REVENUS"/>
    <x v="3"/>
    <s v="4002.001"/>
    <s v="Impôt ordinaire s/fortune PP"/>
    <n v="0"/>
    <n v="220.85"/>
    <n v="4002"/>
  </r>
  <r>
    <x v="0"/>
    <x v="5"/>
    <x v="1"/>
    <x v="170"/>
    <x v="148"/>
    <x v="148"/>
    <s v="REVENUS"/>
    <x v="6"/>
    <s v="4211.002"/>
    <s v="Intérêts de retard sur acomptes"/>
    <n v="0"/>
    <n v="173.45"/>
    <n v="4211"/>
  </r>
  <r>
    <x v="0"/>
    <x v="5"/>
    <x v="1"/>
    <x v="170"/>
    <x v="148"/>
    <x v="148"/>
    <s v="REVENUS"/>
    <x v="6"/>
    <s v="4211.001"/>
    <s v="Intérêts de retard sur factures"/>
    <n v="0"/>
    <n v="77.41"/>
    <n v="4211"/>
  </r>
  <r>
    <x v="0"/>
    <x v="5"/>
    <x v="1"/>
    <x v="170"/>
    <x v="148"/>
    <x v="148"/>
    <s v="REVENUS"/>
    <x v="5"/>
    <s v="4061.000"/>
    <s v="Impôt sur les chiens"/>
    <n v="0"/>
    <n v="1175"/>
    <n v="4061"/>
  </r>
  <r>
    <x v="0"/>
    <x v="5"/>
    <x v="1"/>
    <x v="170"/>
    <x v="148"/>
    <x v="148"/>
    <s v="REVENUS"/>
    <x v="2"/>
    <s v="4001.001"/>
    <s v="Impôt revenu"/>
    <n v="0"/>
    <n v="3875"/>
    <n v="4001"/>
  </r>
  <r>
    <x v="0"/>
    <x v="5"/>
    <x v="1"/>
    <x v="170"/>
    <x v="148"/>
    <x v="148"/>
    <s v="REVENUS"/>
    <x v="2"/>
    <s v="4001.001"/>
    <s v="Impôt revenu"/>
    <n v="0"/>
    <n v="-39470.199999999997"/>
    <n v="4001"/>
  </r>
  <r>
    <x v="0"/>
    <x v="5"/>
    <x v="1"/>
    <x v="170"/>
    <x v="148"/>
    <x v="148"/>
    <s v="REVENUS"/>
    <x v="6"/>
    <s v="4221.003"/>
    <s v="Intérêts compensat. / acomptes en faveur du fisc"/>
    <n v="0"/>
    <n v="0.01"/>
    <n v="4221"/>
  </r>
  <r>
    <x v="0"/>
    <x v="5"/>
    <x v="1"/>
    <x v="170"/>
    <x v="148"/>
    <x v="148"/>
    <s v="REVENUS"/>
    <x v="2"/>
    <s v="4001.002"/>
    <s v="Impôt complément s/revenu PP"/>
    <n v="0"/>
    <n v="20.9"/>
    <n v="4001"/>
  </r>
  <r>
    <x v="0"/>
    <x v="5"/>
    <x v="1"/>
    <x v="170"/>
    <x v="148"/>
    <x v="148"/>
    <s v="REVENUS"/>
    <x v="3"/>
    <s v="4002.002"/>
    <s v="Impôt complémentaire s/fortune PP"/>
    <n v="0"/>
    <n v="45.6"/>
    <n v="4002"/>
  </r>
  <r>
    <x v="0"/>
    <x v="5"/>
    <x v="1"/>
    <x v="170"/>
    <x v="148"/>
    <x v="148"/>
    <s v="REVENUS"/>
    <x v="4"/>
    <s v="4051.001"/>
    <s v="Impôt sur les successions"/>
    <n v="0"/>
    <n v="53503.199999999997"/>
    <n v="4051"/>
  </r>
  <r>
    <x v="0"/>
    <x v="5"/>
    <x v="1"/>
    <x v="170"/>
    <x v="148"/>
    <x v="148"/>
    <s v="REVENUS"/>
    <x v="6"/>
    <s v="4211.001"/>
    <s v="Intérêts de retard sur factures"/>
    <n v="0"/>
    <n v="0.65"/>
    <n v="4211"/>
  </r>
  <r>
    <x v="0"/>
    <x v="5"/>
    <x v="1"/>
    <x v="170"/>
    <x v="148"/>
    <x v="148"/>
    <s v="REVENUS"/>
    <x v="2"/>
    <s v="4001.003"/>
    <s v="Impôt s/prest. cap. PP"/>
    <n v="0"/>
    <n v="-1356.25"/>
    <n v="4001"/>
  </r>
  <r>
    <x v="0"/>
    <x v="5"/>
    <x v="1"/>
    <x v="171"/>
    <x v="149"/>
    <x v="149"/>
    <s v="CHARGES"/>
    <x v="0"/>
    <s v="3212.002"/>
    <s v="Intérêts bonifiés/trop perçu acompte C/C"/>
    <n v="125.36"/>
    <n v="0"/>
    <n v="3212"/>
  </r>
  <r>
    <x v="0"/>
    <x v="5"/>
    <x v="1"/>
    <x v="171"/>
    <x v="149"/>
    <x v="149"/>
    <s v="CHARGES"/>
    <x v="0"/>
    <s v="3212.004"/>
    <s v="Intérêts rémun./perçu trop tôt sur acomptes C/C"/>
    <n v="2515.2199999999998"/>
    <n v="0"/>
    <n v="3212"/>
  </r>
  <r>
    <x v="0"/>
    <x v="5"/>
    <x v="1"/>
    <x v="171"/>
    <x v="149"/>
    <x v="149"/>
    <s v="CHARGES"/>
    <x v="0"/>
    <s v="3221.002"/>
    <s v="Intérêts compensatoires / créances en faveur ctb."/>
    <n v="475.81"/>
    <n v="0"/>
    <n v="3221"/>
  </r>
  <r>
    <x v="0"/>
    <x v="5"/>
    <x v="1"/>
    <x v="171"/>
    <x v="149"/>
    <x v="149"/>
    <s v="CHARGES"/>
    <x v="1"/>
    <s v="3301.001"/>
    <s v="Défalcations, abandons de solde PP et IS"/>
    <n v="149484.9"/>
    <n v="0"/>
    <n v="3301"/>
  </r>
  <r>
    <x v="0"/>
    <x v="5"/>
    <x v="1"/>
    <x v="171"/>
    <x v="149"/>
    <x v="149"/>
    <s v="CHARGES"/>
    <x v="1"/>
    <s v="3301.001"/>
    <s v="Défalcations, abandons de solde PP et IS"/>
    <n v="4.13"/>
    <n v="0"/>
    <n v="3301"/>
  </r>
  <r>
    <x v="0"/>
    <x v="5"/>
    <x v="1"/>
    <x v="171"/>
    <x v="149"/>
    <x v="149"/>
    <s v="CHARGES"/>
    <x v="0"/>
    <s v="3212.004"/>
    <s v="Intérêts rémun./perçu trop tôt sur acomptes C/C"/>
    <n v="6.91"/>
    <n v="0"/>
    <n v="3212"/>
  </r>
  <r>
    <x v="0"/>
    <x v="5"/>
    <x v="1"/>
    <x v="171"/>
    <x v="149"/>
    <x v="149"/>
    <s v="CHARGES"/>
    <x v="0"/>
    <s v="3221.002"/>
    <s v="Intérêts compensatoires / créances en faveur ctb."/>
    <n v="2.38"/>
    <n v="0"/>
    <n v="3221"/>
  </r>
  <r>
    <x v="0"/>
    <x v="5"/>
    <x v="1"/>
    <x v="171"/>
    <x v="149"/>
    <x v="149"/>
    <s v="CHARGES"/>
    <x v="1"/>
    <s v="3301.001"/>
    <s v="Défalcations, abandons de solde PP et IS"/>
    <n v="-1.23"/>
    <n v="0"/>
    <n v="3301"/>
  </r>
  <r>
    <x v="0"/>
    <x v="5"/>
    <x v="1"/>
    <x v="171"/>
    <x v="149"/>
    <x v="149"/>
    <s v="CHARGES"/>
    <x v="0"/>
    <s v="3212.004"/>
    <s v="Intérêts rémun./perçu trop tôt sur acomptes C/C"/>
    <n v="51.55"/>
    <n v="0"/>
    <n v="3212"/>
  </r>
  <r>
    <x v="0"/>
    <x v="5"/>
    <x v="1"/>
    <x v="171"/>
    <x v="149"/>
    <x v="149"/>
    <s v="CHARGES"/>
    <x v="0"/>
    <s v="3221.002"/>
    <s v="Intérêts compensatoires / créances en faveur ctb."/>
    <n v="12.49"/>
    <n v="0"/>
    <n v="3221"/>
  </r>
  <r>
    <x v="0"/>
    <x v="5"/>
    <x v="1"/>
    <x v="171"/>
    <x v="149"/>
    <x v="149"/>
    <s v="CHARGES"/>
    <x v="0"/>
    <s v="3212.004"/>
    <s v="Intérêts rémun./perçu trop tôt sur acomptes C/C"/>
    <n v="7.47"/>
    <n v="0"/>
    <n v="3212"/>
  </r>
  <r>
    <x v="0"/>
    <x v="5"/>
    <x v="1"/>
    <x v="171"/>
    <x v="149"/>
    <x v="149"/>
    <s v="CHARGES"/>
    <x v="0"/>
    <s v="3221.002"/>
    <s v="Intérêts compensatoires / créances en faveur ctb."/>
    <n v="6.51"/>
    <n v="0"/>
    <n v="3221"/>
  </r>
  <r>
    <x v="0"/>
    <x v="5"/>
    <x v="1"/>
    <x v="171"/>
    <x v="149"/>
    <x v="149"/>
    <s v="CHARGES"/>
    <x v="1"/>
    <s v="3301.001"/>
    <s v="Défalcations, abandons de solde PP et IS"/>
    <n v="0.16"/>
    <n v="0"/>
    <n v="3301"/>
  </r>
  <r>
    <x v="0"/>
    <x v="5"/>
    <x v="1"/>
    <x v="171"/>
    <x v="149"/>
    <x v="149"/>
    <s v="CHARGES"/>
    <x v="0"/>
    <s v="3212.002"/>
    <s v="Intérêts bonifiés/trop perçu acompte C/C"/>
    <n v="0.5"/>
    <n v="0"/>
    <n v="3212"/>
  </r>
  <r>
    <x v="0"/>
    <x v="5"/>
    <x v="1"/>
    <x v="171"/>
    <x v="149"/>
    <x v="149"/>
    <s v="CHARGES"/>
    <x v="0"/>
    <s v="3212.004"/>
    <s v="Intérêts rémun./perçu trop tôt sur acomptes C/C"/>
    <n v="0.56999999999999995"/>
    <n v="0"/>
    <n v="3212"/>
  </r>
  <r>
    <x v="0"/>
    <x v="5"/>
    <x v="1"/>
    <x v="171"/>
    <x v="149"/>
    <x v="149"/>
    <s v="CHARGES"/>
    <x v="0"/>
    <s v="3221.002"/>
    <s v="Intérêts compensatoires / créances en faveur ctb."/>
    <n v="0.13"/>
    <n v="0"/>
    <n v="3221"/>
  </r>
  <r>
    <x v="0"/>
    <x v="5"/>
    <x v="1"/>
    <x v="171"/>
    <x v="149"/>
    <x v="149"/>
    <s v="CHARGES"/>
    <x v="0"/>
    <s v="3212.002"/>
    <s v="Intérêts bonifiés/trop perçu acompte C/C"/>
    <n v="2.2999999999999998"/>
    <n v="0"/>
    <n v="3212"/>
  </r>
  <r>
    <x v="0"/>
    <x v="5"/>
    <x v="1"/>
    <x v="171"/>
    <x v="149"/>
    <x v="149"/>
    <s v="CHARGES"/>
    <x v="0"/>
    <s v="3212.002"/>
    <s v="Intérêts bonifiés/trop perçu acompte C/C"/>
    <n v="2.5299999999999998"/>
    <n v="0"/>
    <n v="3212"/>
  </r>
  <r>
    <x v="0"/>
    <x v="5"/>
    <x v="1"/>
    <x v="171"/>
    <x v="149"/>
    <x v="149"/>
    <s v="CHARGES"/>
    <x v="0"/>
    <s v="3212.004"/>
    <s v="Intérêts rémun./perçu trop tôt sur acomptes C/C"/>
    <n v="5.88"/>
    <n v="0"/>
    <n v="3212"/>
  </r>
  <r>
    <x v="0"/>
    <x v="5"/>
    <x v="1"/>
    <x v="171"/>
    <x v="149"/>
    <x v="149"/>
    <s v="CHARGES"/>
    <x v="0"/>
    <s v="3221.002"/>
    <s v="Intérêts compensatoires / créances en faveur ctb."/>
    <n v="0.55000000000000004"/>
    <n v="0"/>
    <n v="3221"/>
  </r>
  <r>
    <x v="0"/>
    <x v="5"/>
    <x v="1"/>
    <x v="171"/>
    <x v="149"/>
    <x v="149"/>
    <s v="CHARGES"/>
    <x v="1"/>
    <s v="3301.001"/>
    <s v="Défalcations, abandons de solde PP et IS"/>
    <n v="1.36"/>
    <n v="0"/>
    <n v="3301"/>
  </r>
  <r>
    <x v="0"/>
    <x v="5"/>
    <x v="1"/>
    <x v="171"/>
    <x v="149"/>
    <x v="149"/>
    <s v="CHARGES"/>
    <x v="0"/>
    <s v="3212.004"/>
    <s v="Intérêts rémun./perçu trop tôt sur acomptes C/C"/>
    <n v="6.88"/>
    <n v="0"/>
    <n v="3212"/>
  </r>
  <r>
    <x v="0"/>
    <x v="5"/>
    <x v="1"/>
    <x v="171"/>
    <x v="149"/>
    <x v="149"/>
    <s v="CHARGES"/>
    <x v="0"/>
    <s v="3221.002"/>
    <s v="Intérêts compensatoires / créances en faveur ctb."/>
    <n v="3.37"/>
    <n v="0"/>
    <n v="3221"/>
  </r>
  <r>
    <x v="0"/>
    <x v="5"/>
    <x v="1"/>
    <x v="171"/>
    <x v="149"/>
    <x v="149"/>
    <s v="CHARGES"/>
    <x v="1"/>
    <s v="3301.001"/>
    <s v="Défalcations, abandons de solde PP et IS"/>
    <n v="20.12"/>
    <n v="0"/>
    <n v="3301"/>
  </r>
  <r>
    <x v="0"/>
    <x v="5"/>
    <x v="1"/>
    <x v="171"/>
    <x v="149"/>
    <x v="149"/>
    <s v="CHARGES"/>
    <x v="1"/>
    <s v="3301.003"/>
    <s v="Remises PP et IS"/>
    <n v="6358.23"/>
    <n v="0"/>
    <n v="3301"/>
  </r>
  <r>
    <x v="0"/>
    <x v="5"/>
    <x v="1"/>
    <x v="171"/>
    <x v="149"/>
    <x v="149"/>
    <s v="CHARGES"/>
    <x v="0"/>
    <s v="3212.004"/>
    <s v="Intérêts rémun./perçu trop tôt sur acomptes C/C"/>
    <n v="0.73"/>
    <n v="0"/>
    <n v="3212"/>
  </r>
  <r>
    <x v="0"/>
    <x v="5"/>
    <x v="1"/>
    <x v="171"/>
    <x v="149"/>
    <x v="149"/>
    <s v="CHARGES"/>
    <x v="0"/>
    <s v="3221.002"/>
    <s v="Intérêts compensatoires / créances en faveur ctb."/>
    <n v="0.67"/>
    <n v="0"/>
    <n v="3221"/>
  </r>
  <r>
    <x v="0"/>
    <x v="5"/>
    <x v="1"/>
    <x v="171"/>
    <x v="149"/>
    <x v="149"/>
    <s v="CHARGES"/>
    <x v="1"/>
    <s v="3301.001"/>
    <s v="Défalcations, abandons de solde PP et IS"/>
    <n v="13435.31"/>
    <n v="0"/>
    <n v="3301"/>
  </r>
  <r>
    <x v="0"/>
    <x v="5"/>
    <x v="1"/>
    <x v="171"/>
    <x v="149"/>
    <x v="149"/>
    <s v="REVENUS"/>
    <x v="2"/>
    <s v="4001.007"/>
    <s v="Acompte impôt sur revenu"/>
    <n v="0"/>
    <n v="2576711.36"/>
    <n v="4001"/>
  </r>
  <r>
    <x v="0"/>
    <x v="5"/>
    <x v="1"/>
    <x v="171"/>
    <x v="149"/>
    <x v="149"/>
    <s v="REVENUS"/>
    <x v="2"/>
    <s v="4001.007"/>
    <s v="Acompte impôt sur revenu"/>
    <n v="0"/>
    <n v="-1985585.51"/>
    <n v="4001"/>
  </r>
  <r>
    <x v="0"/>
    <x v="5"/>
    <x v="1"/>
    <x v="171"/>
    <x v="149"/>
    <x v="149"/>
    <s v="REVENUS"/>
    <x v="3"/>
    <s v="4002.007"/>
    <s v="Acompte impôt sur fortune"/>
    <n v="0"/>
    <n v="-751306.77"/>
    <n v="4002"/>
  </r>
  <r>
    <x v="0"/>
    <x v="5"/>
    <x v="1"/>
    <x v="171"/>
    <x v="149"/>
    <x v="149"/>
    <s v="REVENUS"/>
    <x v="2"/>
    <s v="4001.001"/>
    <s v="Impôt revenu"/>
    <n v="0"/>
    <n v="9948051.9499999993"/>
    <n v="4001"/>
  </r>
  <r>
    <x v="0"/>
    <x v="5"/>
    <x v="1"/>
    <x v="171"/>
    <x v="149"/>
    <x v="149"/>
    <s v="REVENUS"/>
    <x v="2"/>
    <s v="4001.002"/>
    <s v="Impôt complément s/revenu PP"/>
    <n v="0"/>
    <n v="2505895.5499999998"/>
    <n v="4001"/>
  </r>
  <r>
    <x v="0"/>
    <x v="5"/>
    <x v="1"/>
    <x v="171"/>
    <x v="149"/>
    <x v="149"/>
    <s v="REVENUS"/>
    <x v="3"/>
    <s v="4002.001"/>
    <s v="Impôt ordinaire s/fortune PP"/>
    <n v="0"/>
    <n v="2228308.85"/>
    <n v="4002"/>
  </r>
  <r>
    <x v="0"/>
    <x v="5"/>
    <x v="1"/>
    <x v="171"/>
    <x v="149"/>
    <x v="149"/>
    <s v="REVENUS"/>
    <x v="3"/>
    <s v="4002.002"/>
    <s v="Impôt complémentaire s/fortune PP"/>
    <n v="0"/>
    <n v="784902.15"/>
    <n v="4002"/>
  </r>
  <r>
    <x v="0"/>
    <x v="5"/>
    <x v="1"/>
    <x v="171"/>
    <x v="149"/>
    <x v="149"/>
    <s v="REVENUS"/>
    <x v="3"/>
    <s v="4002.007"/>
    <s v="Acompte impôt sur fortune"/>
    <n v="0"/>
    <n v="913690.19"/>
    <n v="4002"/>
  </r>
  <r>
    <x v="0"/>
    <x v="5"/>
    <x v="1"/>
    <x v="171"/>
    <x v="149"/>
    <x v="149"/>
    <s v="REVENUS"/>
    <x v="4"/>
    <s v="4051.001"/>
    <s v="Impôt sur les successions"/>
    <n v="0"/>
    <n v="564314.69999999995"/>
    <n v="4051"/>
  </r>
  <r>
    <x v="0"/>
    <x v="5"/>
    <x v="1"/>
    <x v="171"/>
    <x v="149"/>
    <x v="149"/>
    <s v="REVENUS"/>
    <x v="6"/>
    <s v="4211.001"/>
    <s v="Intérêts de retard sur factures"/>
    <n v="0"/>
    <n v="63267.64"/>
    <n v="4211"/>
  </r>
  <r>
    <x v="0"/>
    <x v="5"/>
    <x v="1"/>
    <x v="171"/>
    <x v="149"/>
    <x v="149"/>
    <s v="REVENUS"/>
    <x v="6"/>
    <s v="4211.002"/>
    <s v="Intérêts de retard sur acomptes"/>
    <n v="0"/>
    <n v="61212.22"/>
    <n v="4211"/>
  </r>
  <r>
    <x v="0"/>
    <x v="5"/>
    <x v="1"/>
    <x v="171"/>
    <x v="149"/>
    <x v="149"/>
    <s v="REVENUS"/>
    <x v="6"/>
    <s v="4221.003"/>
    <s v="Intérêts compensat. / acomptes en faveur du fisc"/>
    <n v="0"/>
    <n v="1700.93"/>
    <n v="4221"/>
  </r>
  <r>
    <x v="0"/>
    <x v="5"/>
    <x v="1"/>
    <x v="171"/>
    <x v="149"/>
    <x v="149"/>
    <s v="REVENUS"/>
    <x v="2"/>
    <s v="4001.001"/>
    <s v="Impôt revenu"/>
    <n v="0"/>
    <n v="89042.45"/>
    <n v="4001"/>
  </r>
  <r>
    <x v="0"/>
    <x v="5"/>
    <x v="1"/>
    <x v="171"/>
    <x v="149"/>
    <x v="149"/>
    <s v="REVENUS"/>
    <x v="2"/>
    <s v="4001.007"/>
    <s v="Acompte impôt sur revenu"/>
    <n v="0"/>
    <n v="-3997.7"/>
    <n v="4001"/>
  </r>
  <r>
    <x v="0"/>
    <x v="5"/>
    <x v="1"/>
    <x v="171"/>
    <x v="149"/>
    <x v="149"/>
    <s v="REVENUS"/>
    <x v="3"/>
    <s v="4002.001"/>
    <s v="Impôt ordinaire s/fortune PP"/>
    <n v="0"/>
    <n v="35276.25"/>
    <n v="4002"/>
  </r>
  <r>
    <x v="0"/>
    <x v="5"/>
    <x v="1"/>
    <x v="171"/>
    <x v="149"/>
    <x v="149"/>
    <s v="REVENUS"/>
    <x v="3"/>
    <s v="4002.007"/>
    <s v="Acompte impôt sur fortune"/>
    <n v="0"/>
    <n v="-366.19"/>
    <n v="4002"/>
  </r>
  <r>
    <x v="0"/>
    <x v="5"/>
    <x v="1"/>
    <x v="171"/>
    <x v="149"/>
    <x v="149"/>
    <s v="REVENUS"/>
    <x v="6"/>
    <s v="4221.003"/>
    <s v="Intérêts compensat. / acomptes en faveur du fisc"/>
    <n v="0"/>
    <n v="35.520000000000003"/>
    <n v="4221"/>
  </r>
  <r>
    <x v="0"/>
    <x v="5"/>
    <x v="1"/>
    <x v="171"/>
    <x v="149"/>
    <x v="149"/>
    <s v="REVENUS"/>
    <x v="2"/>
    <s v="4001.001"/>
    <s v="Impôt revenu"/>
    <n v="0"/>
    <n v="-1186243.55"/>
    <n v="4001"/>
  </r>
  <r>
    <x v="0"/>
    <x v="5"/>
    <x v="1"/>
    <x v="171"/>
    <x v="149"/>
    <x v="149"/>
    <s v="REVENUS"/>
    <x v="2"/>
    <s v="4001.002"/>
    <s v="Impôt complément s/revenu PP"/>
    <n v="0"/>
    <n v="-78681.350000000006"/>
    <n v="4001"/>
  </r>
  <r>
    <x v="0"/>
    <x v="5"/>
    <x v="1"/>
    <x v="171"/>
    <x v="149"/>
    <x v="149"/>
    <s v="REVENUS"/>
    <x v="3"/>
    <s v="4002.001"/>
    <s v="Impôt ordinaire s/fortune PP"/>
    <n v="0"/>
    <n v="-196998.5"/>
    <n v="4002"/>
  </r>
  <r>
    <x v="0"/>
    <x v="5"/>
    <x v="1"/>
    <x v="171"/>
    <x v="149"/>
    <x v="149"/>
    <s v="REVENUS"/>
    <x v="3"/>
    <s v="4002.002"/>
    <s v="Impôt complémentaire s/fortune PP"/>
    <n v="0"/>
    <n v="-178205"/>
    <n v="4002"/>
  </r>
  <r>
    <x v="0"/>
    <x v="5"/>
    <x v="1"/>
    <x v="171"/>
    <x v="149"/>
    <x v="149"/>
    <s v="REVENUS"/>
    <x v="6"/>
    <s v="4211.001"/>
    <s v="Intérêts de retard sur factures"/>
    <n v="0"/>
    <n v="-67.12"/>
    <n v="4211"/>
  </r>
  <r>
    <x v="0"/>
    <x v="5"/>
    <x v="1"/>
    <x v="171"/>
    <x v="149"/>
    <x v="149"/>
    <s v="REVENUS"/>
    <x v="6"/>
    <s v="4211.002"/>
    <s v="Intérêts de retard sur acomptes"/>
    <n v="0"/>
    <n v="101.93"/>
    <n v="4211"/>
  </r>
  <r>
    <x v="0"/>
    <x v="5"/>
    <x v="1"/>
    <x v="171"/>
    <x v="149"/>
    <x v="149"/>
    <s v="REVENUS"/>
    <x v="6"/>
    <s v="4221.003"/>
    <s v="Intérêts compensat. / acomptes en faveur du fisc"/>
    <n v="0"/>
    <n v="7.76"/>
    <n v="4221"/>
  </r>
  <r>
    <x v="0"/>
    <x v="5"/>
    <x v="1"/>
    <x v="171"/>
    <x v="149"/>
    <x v="149"/>
    <s v="REVENUS"/>
    <x v="7"/>
    <s v="4184.000"/>
    <s v="Frais de poursuite"/>
    <n v="0"/>
    <n v="11037.12"/>
    <n v="4184"/>
  </r>
  <r>
    <x v="0"/>
    <x v="5"/>
    <x v="1"/>
    <x v="171"/>
    <x v="149"/>
    <x v="149"/>
    <s v="REVENUS"/>
    <x v="12"/>
    <s v="4004.007"/>
    <s v="Acompte spécial étrangers"/>
    <n v="0"/>
    <n v="-69790.100000000006"/>
    <n v="4004"/>
  </r>
  <r>
    <x v="0"/>
    <x v="5"/>
    <x v="1"/>
    <x v="171"/>
    <x v="149"/>
    <x v="149"/>
    <s v="REVENUS"/>
    <x v="12"/>
    <s v="4004.007"/>
    <s v="Acompte spécial étrangers"/>
    <n v="0"/>
    <n v="60971.22"/>
    <n v="4004"/>
  </r>
  <r>
    <x v="0"/>
    <x v="5"/>
    <x v="1"/>
    <x v="171"/>
    <x v="149"/>
    <x v="149"/>
    <s v="REVENUS"/>
    <x v="2"/>
    <s v="4001.003"/>
    <s v="Impôt s/prest. cap. PP"/>
    <n v="0"/>
    <n v="-18078.05"/>
    <n v="4001"/>
  </r>
  <r>
    <x v="0"/>
    <x v="5"/>
    <x v="1"/>
    <x v="171"/>
    <x v="149"/>
    <x v="149"/>
    <s v="REVENUS"/>
    <x v="6"/>
    <s v="4221.002"/>
    <s v="Intérêts compensat. sur impôts distincts"/>
    <n v="0"/>
    <n v="-14.03"/>
    <n v="4221"/>
  </r>
  <r>
    <x v="0"/>
    <x v="5"/>
    <x v="1"/>
    <x v="171"/>
    <x v="149"/>
    <x v="149"/>
    <s v="REVENUS"/>
    <x v="5"/>
    <s v="4061.000"/>
    <s v="Impôt sur les chiens"/>
    <n v="0"/>
    <n v="45900"/>
    <n v="4061"/>
  </r>
  <r>
    <x v="0"/>
    <x v="5"/>
    <x v="1"/>
    <x v="171"/>
    <x v="149"/>
    <x v="149"/>
    <s v="REVENUS"/>
    <x v="2"/>
    <s v="4001.001"/>
    <s v="Impôt revenu"/>
    <n v="0"/>
    <n v="3020.5"/>
    <n v="4001"/>
  </r>
  <r>
    <x v="0"/>
    <x v="5"/>
    <x v="1"/>
    <x v="171"/>
    <x v="149"/>
    <x v="149"/>
    <s v="REVENUS"/>
    <x v="3"/>
    <s v="4002.001"/>
    <s v="Impôt ordinaire s/fortune PP"/>
    <n v="0"/>
    <n v="2497.4"/>
    <n v="4002"/>
  </r>
  <r>
    <x v="0"/>
    <x v="5"/>
    <x v="1"/>
    <x v="171"/>
    <x v="149"/>
    <x v="149"/>
    <s v="REVENUS"/>
    <x v="2"/>
    <s v="4001.003"/>
    <s v="Impôt s/prest. cap. PP"/>
    <n v="0"/>
    <n v="210025"/>
    <n v="4001"/>
  </r>
  <r>
    <x v="0"/>
    <x v="5"/>
    <x v="1"/>
    <x v="171"/>
    <x v="149"/>
    <x v="149"/>
    <s v="REVENUS"/>
    <x v="6"/>
    <s v="4221.002"/>
    <s v="Intérêts compensat. sur impôts distincts"/>
    <n v="0"/>
    <n v="553.91"/>
    <n v="4221"/>
  </r>
  <r>
    <x v="0"/>
    <x v="5"/>
    <x v="1"/>
    <x v="171"/>
    <x v="149"/>
    <x v="149"/>
    <s v="REVENUS"/>
    <x v="7"/>
    <s v="4184.000"/>
    <s v="Frais de poursuite"/>
    <n v="0"/>
    <n v="110.95"/>
    <n v="4184"/>
  </r>
  <r>
    <x v="0"/>
    <x v="5"/>
    <x v="1"/>
    <x v="171"/>
    <x v="149"/>
    <x v="149"/>
    <s v="REVENUS"/>
    <x v="8"/>
    <s v="4091.001"/>
    <s v="Impôt récupéré après défalcations"/>
    <n v="0"/>
    <n v="-3494.25"/>
    <n v="4091"/>
  </r>
  <r>
    <x v="0"/>
    <x v="5"/>
    <x v="1"/>
    <x v="171"/>
    <x v="149"/>
    <x v="149"/>
    <s v="REVENUS"/>
    <x v="10"/>
    <s v="4041.001"/>
    <s v="Droits de mutation"/>
    <n v="0"/>
    <n v="679919.8"/>
    <n v="4041"/>
  </r>
  <r>
    <x v="0"/>
    <x v="5"/>
    <x v="1"/>
    <x v="171"/>
    <x v="149"/>
    <x v="149"/>
    <s v="REVENUS"/>
    <x v="2"/>
    <s v="4001.001"/>
    <s v="Impôt revenu"/>
    <n v="0"/>
    <n v="23983.3"/>
    <n v="4001"/>
  </r>
  <r>
    <x v="0"/>
    <x v="5"/>
    <x v="1"/>
    <x v="171"/>
    <x v="149"/>
    <x v="149"/>
    <s v="REVENUS"/>
    <x v="2"/>
    <s v="4001.007"/>
    <s v="Acompte impôt sur revenu"/>
    <n v="0"/>
    <n v="-15815.46"/>
    <n v="4001"/>
  </r>
  <r>
    <x v="0"/>
    <x v="5"/>
    <x v="1"/>
    <x v="171"/>
    <x v="149"/>
    <x v="149"/>
    <s v="REVENUS"/>
    <x v="3"/>
    <s v="4002.001"/>
    <s v="Impôt ordinaire s/fortune PP"/>
    <n v="0"/>
    <n v="9022.5"/>
    <n v="4002"/>
  </r>
  <r>
    <x v="0"/>
    <x v="5"/>
    <x v="1"/>
    <x v="171"/>
    <x v="149"/>
    <x v="149"/>
    <s v="REVENUS"/>
    <x v="3"/>
    <s v="4002.007"/>
    <s v="Acompte impôt sur fortune"/>
    <n v="0"/>
    <n v="5876.81"/>
    <n v="4002"/>
  </r>
  <r>
    <x v="0"/>
    <x v="5"/>
    <x v="1"/>
    <x v="171"/>
    <x v="149"/>
    <x v="149"/>
    <s v="REVENUS"/>
    <x v="6"/>
    <s v="4221.003"/>
    <s v="Intérêts compensat. / acomptes en faveur du fisc"/>
    <n v="0"/>
    <n v="0.31"/>
    <n v="4221"/>
  </r>
  <r>
    <x v="0"/>
    <x v="5"/>
    <x v="1"/>
    <x v="171"/>
    <x v="149"/>
    <x v="149"/>
    <s v="REVENUS"/>
    <x v="3"/>
    <s v="4002.007"/>
    <s v="Acompte impôt sur fortune"/>
    <n v="0"/>
    <n v="-4840.57"/>
    <n v="4002"/>
  </r>
  <r>
    <x v="0"/>
    <x v="5"/>
    <x v="1"/>
    <x v="171"/>
    <x v="149"/>
    <x v="149"/>
    <s v="REVENUS"/>
    <x v="9"/>
    <s v="4031.001"/>
    <s v="Impôt sur les gains immobiliers"/>
    <n v="0"/>
    <n v="743917.15"/>
    <n v="4031"/>
  </r>
  <r>
    <x v="0"/>
    <x v="5"/>
    <x v="1"/>
    <x v="171"/>
    <x v="149"/>
    <x v="149"/>
    <s v="REVENUS"/>
    <x v="3"/>
    <s v="4002.007"/>
    <s v="Acompte impôt sur fortune"/>
    <n v="0"/>
    <n v="-2439.75"/>
    <n v="4002"/>
  </r>
  <r>
    <x v="0"/>
    <x v="5"/>
    <x v="1"/>
    <x v="171"/>
    <x v="149"/>
    <x v="149"/>
    <s v="REVENUS"/>
    <x v="3"/>
    <s v="4002.001"/>
    <s v="Impôt ordinaire s/fortune PP"/>
    <n v="0"/>
    <n v="6470.45"/>
    <n v="4002"/>
  </r>
  <r>
    <x v="0"/>
    <x v="5"/>
    <x v="1"/>
    <x v="171"/>
    <x v="149"/>
    <x v="149"/>
    <s v="REVENUS"/>
    <x v="6"/>
    <s v="4211.002"/>
    <s v="Intérêts de retard sur acomptes"/>
    <n v="0"/>
    <n v="405.45"/>
    <n v="4211"/>
  </r>
  <r>
    <x v="0"/>
    <x v="5"/>
    <x v="1"/>
    <x v="171"/>
    <x v="149"/>
    <x v="149"/>
    <s v="REVENUS"/>
    <x v="2"/>
    <s v="4001.007"/>
    <s v="Acompte impôt sur revenu"/>
    <n v="0"/>
    <n v="-939.12"/>
    <n v="4001"/>
  </r>
  <r>
    <x v="0"/>
    <x v="5"/>
    <x v="1"/>
    <x v="171"/>
    <x v="149"/>
    <x v="149"/>
    <s v="REVENUS"/>
    <x v="4"/>
    <s v="4051.002"/>
    <s v="Impôt sur les donations"/>
    <n v="0"/>
    <n v="160704.6"/>
    <n v="4051"/>
  </r>
  <r>
    <x v="0"/>
    <x v="5"/>
    <x v="1"/>
    <x v="171"/>
    <x v="149"/>
    <x v="149"/>
    <s v="REVENUS"/>
    <x v="6"/>
    <s v="4211.001"/>
    <s v="Intérêts de retard sur factures"/>
    <n v="0"/>
    <n v="246.51"/>
    <n v="4211"/>
  </r>
  <r>
    <x v="0"/>
    <x v="5"/>
    <x v="1"/>
    <x v="171"/>
    <x v="149"/>
    <x v="149"/>
    <s v="REVENUS"/>
    <x v="3"/>
    <s v="4002.002"/>
    <s v="Impôt complémentaire s/fortune PP"/>
    <n v="0"/>
    <n v="11857.35"/>
    <n v="4002"/>
  </r>
  <r>
    <x v="0"/>
    <x v="5"/>
    <x v="1"/>
    <x v="171"/>
    <x v="149"/>
    <x v="149"/>
    <s v="REVENUS"/>
    <x v="2"/>
    <s v="4001.007"/>
    <s v="Acompte impôt sur revenu"/>
    <n v="0"/>
    <n v="2438.3200000000002"/>
    <n v="4001"/>
  </r>
  <r>
    <x v="0"/>
    <x v="5"/>
    <x v="1"/>
    <x v="171"/>
    <x v="149"/>
    <x v="149"/>
    <s v="REVENUS"/>
    <x v="3"/>
    <s v="4002.007"/>
    <s v="Acompte impôt sur fortune"/>
    <n v="0"/>
    <n v="1077.95"/>
    <n v="4002"/>
  </r>
  <r>
    <x v="0"/>
    <x v="5"/>
    <x v="1"/>
    <x v="171"/>
    <x v="149"/>
    <x v="149"/>
    <s v="REVENUS"/>
    <x v="2"/>
    <s v="4001.002"/>
    <s v="Impôt complément s/revenu PP"/>
    <n v="0"/>
    <n v="17605.3"/>
    <n v="4001"/>
  </r>
  <r>
    <x v="0"/>
    <x v="5"/>
    <x v="1"/>
    <x v="171"/>
    <x v="149"/>
    <x v="149"/>
    <s v="REVENUS"/>
    <x v="2"/>
    <s v="4001.001"/>
    <s v="Impôt revenu"/>
    <n v="0"/>
    <n v="2344.4499999999998"/>
    <n v="4001"/>
  </r>
  <r>
    <x v="0"/>
    <x v="5"/>
    <x v="1"/>
    <x v="171"/>
    <x v="149"/>
    <x v="149"/>
    <s v="REVENUS"/>
    <x v="2"/>
    <s v="4001.002"/>
    <s v="Impôt complément s/revenu PP"/>
    <n v="0"/>
    <n v="147.80000000000001"/>
    <n v="4001"/>
  </r>
  <r>
    <x v="0"/>
    <x v="5"/>
    <x v="1"/>
    <x v="171"/>
    <x v="149"/>
    <x v="149"/>
    <s v="REVENUS"/>
    <x v="3"/>
    <s v="4002.001"/>
    <s v="Impôt ordinaire s/fortune PP"/>
    <n v="0"/>
    <n v="1716.4"/>
    <n v="4002"/>
  </r>
  <r>
    <x v="0"/>
    <x v="5"/>
    <x v="1"/>
    <x v="171"/>
    <x v="149"/>
    <x v="149"/>
    <s v="REVENUS"/>
    <x v="3"/>
    <s v="4002.002"/>
    <s v="Impôt complémentaire s/fortune PP"/>
    <n v="0"/>
    <n v="205.05"/>
    <n v="4002"/>
  </r>
  <r>
    <x v="0"/>
    <x v="5"/>
    <x v="1"/>
    <x v="171"/>
    <x v="149"/>
    <x v="149"/>
    <s v="REVENUS"/>
    <x v="6"/>
    <s v="4211.001"/>
    <s v="Intérêts de retard sur factures"/>
    <n v="0"/>
    <n v="2.4500000000000002"/>
    <n v="4211"/>
  </r>
  <r>
    <x v="0"/>
    <x v="5"/>
    <x v="1"/>
    <x v="171"/>
    <x v="149"/>
    <x v="149"/>
    <s v="REVENUS"/>
    <x v="3"/>
    <s v="4002.002"/>
    <s v="Impôt complémentaire s/fortune PP"/>
    <n v="0"/>
    <n v="2932"/>
    <n v="4002"/>
  </r>
  <r>
    <x v="0"/>
    <x v="5"/>
    <x v="1"/>
    <x v="171"/>
    <x v="149"/>
    <x v="149"/>
    <s v="REVENUS"/>
    <x v="6"/>
    <s v="4211.001"/>
    <s v="Intérêts de retard sur factures"/>
    <n v="0"/>
    <n v="58.79"/>
    <n v="4211"/>
  </r>
  <r>
    <x v="0"/>
    <x v="5"/>
    <x v="1"/>
    <x v="171"/>
    <x v="149"/>
    <x v="149"/>
    <s v="REVENUS"/>
    <x v="6"/>
    <s v="4211.002"/>
    <s v="Intérêts de retard sur acomptes"/>
    <n v="0"/>
    <n v="98.14"/>
    <n v="4211"/>
  </r>
  <r>
    <x v="0"/>
    <x v="5"/>
    <x v="1"/>
    <x v="171"/>
    <x v="149"/>
    <x v="149"/>
    <s v="REVENUS"/>
    <x v="2"/>
    <s v="4001.007"/>
    <s v="Acompte impôt sur revenu"/>
    <n v="0"/>
    <n v="-6058.61"/>
    <n v="4001"/>
  </r>
  <r>
    <x v="0"/>
    <x v="5"/>
    <x v="1"/>
    <x v="171"/>
    <x v="149"/>
    <x v="149"/>
    <s v="REVENUS"/>
    <x v="2"/>
    <s v="4001.007"/>
    <s v="Acompte impôt sur revenu"/>
    <n v="0"/>
    <n v="275.41000000000003"/>
    <n v="4001"/>
  </r>
  <r>
    <x v="0"/>
    <x v="5"/>
    <x v="1"/>
    <x v="171"/>
    <x v="149"/>
    <x v="149"/>
    <s v="REVENUS"/>
    <x v="3"/>
    <s v="4002.007"/>
    <s v="Acompte impôt sur fortune"/>
    <n v="0"/>
    <n v="68.97"/>
    <n v="4002"/>
  </r>
  <r>
    <x v="0"/>
    <x v="5"/>
    <x v="1"/>
    <x v="171"/>
    <x v="149"/>
    <x v="149"/>
    <s v="REVENUS"/>
    <x v="3"/>
    <s v="4002.007"/>
    <s v="Acompte impôt sur fortune"/>
    <n v="0"/>
    <n v="-0.15"/>
    <n v="4002"/>
  </r>
  <r>
    <x v="0"/>
    <x v="5"/>
    <x v="1"/>
    <x v="171"/>
    <x v="149"/>
    <x v="149"/>
    <s v="REVENUS"/>
    <x v="2"/>
    <s v="4001.002"/>
    <s v="Impôt complément s/revenu PP"/>
    <n v="0"/>
    <n v="12158.85"/>
    <n v="4001"/>
  </r>
  <r>
    <x v="0"/>
    <x v="5"/>
    <x v="1"/>
    <x v="171"/>
    <x v="149"/>
    <x v="149"/>
    <s v="REVENUS"/>
    <x v="2"/>
    <s v="4001.001"/>
    <s v="Impôt revenu"/>
    <n v="0"/>
    <n v="19209.8"/>
    <n v="4001"/>
  </r>
  <r>
    <x v="0"/>
    <x v="5"/>
    <x v="1"/>
    <x v="171"/>
    <x v="149"/>
    <x v="149"/>
    <s v="REVENUS"/>
    <x v="6"/>
    <s v="4221.003"/>
    <s v="Intérêts compensat. / acomptes en faveur du fisc"/>
    <n v="0"/>
    <n v="1.37"/>
    <n v="4221"/>
  </r>
  <r>
    <x v="0"/>
    <x v="5"/>
    <x v="1"/>
    <x v="171"/>
    <x v="149"/>
    <x v="149"/>
    <s v="REVENUS"/>
    <x v="8"/>
    <s v="4091.001"/>
    <s v="Impôt récupéré après défalcations"/>
    <n v="0"/>
    <n v="24284.62"/>
    <n v="4091"/>
  </r>
  <r>
    <x v="0"/>
    <x v="5"/>
    <x v="1"/>
    <x v="171"/>
    <x v="149"/>
    <x v="149"/>
    <s v="REVENUS"/>
    <x v="6"/>
    <s v="4221.003"/>
    <s v="Intérêts compensat. / acomptes en faveur du fisc"/>
    <n v="0"/>
    <n v="0.89"/>
    <n v="4221"/>
  </r>
  <r>
    <x v="0"/>
    <x v="5"/>
    <x v="1"/>
    <x v="171"/>
    <x v="149"/>
    <x v="149"/>
    <s v="REVENUS"/>
    <x v="6"/>
    <s v="4211.002"/>
    <s v="Intérêts de retard sur acomptes"/>
    <n v="0"/>
    <n v="14.2"/>
    <n v="4211"/>
  </r>
  <r>
    <x v="0"/>
    <x v="5"/>
    <x v="1"/>
    <x v="171"/>
    <x v="149"/>
    <x v="149"/>
    <s v="REVENUS"/>
    <x v="12"/>
    <s v="4004.000"/>
    <s v="Impôt spécial étrangers"/>
    <n v="0"/>
    <n v="-46220.65"/>
    <n v="4004"/>
  </r>
  <r>
    <x v="0"/>
    <x v="5"/>
    <x v="1"/>
    <x v="171"/>
    <x v="149"/>
    <x v="149"/>
    <s v="REVENUS"/>
    <x v="12"/>
    <s v="4004.000"/>
    <s v="Impôt spécial étrangers"/>
    <n v="0"/>
    <n v="817156.4"/>
    <n v="4004"/>
  </r>
  <r>
    <x v="0"/>
    <x v="5"/>
    <x v="1"/>
    <x v="171"/>
    <x v="149"/>
    <x v="149"/>
    <s v="REVENUS"/>
    <x v="2"/>
    <s v="4001.001"/>
    <s v="Impôt revenu"/>
    <n v="0"/>
    <n v="402.25"/>
    <n v="4001"/>
  </r>
  <r>
    <x v="0"/>
    <x v="5"/>
    <x v="1"/>
    <x v="171"/>
    <x v="149"/>
    <x v="149"/>
    <s v="REVENUS"/>
    <x v="3"/>
    <s v="4002.001"/>
    <s v="Impôt ordinaire s/fortune PP"/>
    <n v="0"/>
    <n v="231.15"/>
    <n v="4002"/>
  </r>
  <r>
    <x v="0"/>
    <x v="5"/>
    <x v="1"/>
    <x v="171"/>
    <x v="149"/>
    <x v="149"/>
    <s v="REVENUS"/>
    <x v="6"/>
    <s v="4211.002"/>
    <s v="Intérêts de retard sur acomptes"/>
    <n v="0"/>
    <n v="3.66"/>
    <n v="4211"/>
  </r>
  <r>
    <x v="0"/>
    <x v="5"/>
    <x v="1"/>
    <x v="171"/>
    <x v="149"/>
    <x v="149"/>
    <s v="REVENUS"/>
    <x v="6"/>
    <s v="4211.001"/>
    <s v="Intérêts de retard sur factures"/>
    <n v="0"/>
    <n v="5.22"/>
    <n v="4211"/>
  </r>
  <r>
    <x v="0"/>
    <x v="5"/>
    <x v="1"/>
    <x v="171"/>
    <x v="149"/>
    <x v="149"/>
    <s v="REVENUS"/>
    <x v="7"/>
    <s v="4184.000"/>
    <s v="Frais de poursuite"/>
    <n v="0"/>
    <n v="1300.3499999999999"/>
    <n v="4184"/>
  </r>
  <r>
    <x v="0"/>
    <x v="5"/>
    <x v="1"/>
    <x v="171"/>
    <x v="149"/>
    <x v="149"/>
    <s v="REVENUS"/>
    <x v="6"/>
    <s v="4211.002"/>
    <s v="Intérêts de retard sur acomptes"/>
    <n v="0"/>
    <n v="151.09"/>
    <n v="4211"/>
  </r>
  <r>
    <x v="0"/>
    <x v="5"/>
    <x v="1"/>
    <x v="171"/>
    <x v="149"/>
    <x v="149"/>
    <s v="REVENUS"/>
    <x v="13"/>
    <s v="4371.013"/>
    <s v="Amende soustraction LMSD"/>
    <n v="0"/>
    <n v="1056.8"/>
    <n v="4371"/>
  </r>
  <r>
    <x v="0"/>
    <x v="5"/>
    <x v="1"/>
    <x v="171"/>
    <x v="149"/>
    <x v="149"/>
    <s v="REVENUS"/>
    <x v="4"/>
    <s v="4051.002"/>
    <s v="Impôt sur les donations"/>
    <n v="0"/>
    <n v="39374.9"/>
    <n v="4051"/>
  </r>
  <r>
    <x v="0"/>
    <x v="5"/>
    <x v="1"/>
    <x v="171"/>
    <x v="149"/>
    <x v="149"/>
    <s v="REVENUS"/>
    <x v="2"/>
    <s v="4001.007"/>
    <s v="Acompte impôt sur revenu"/>
    <n v="0"/>
    <n v="-843.6"/>
    <n v="4001"/>
  </r>
  <r>
    <x v="0"/>
    <x v="5"/>
    <x v="1"/>
    <x v="171"/>
    <x v="149"/>
    <x v="149"/>
    <s v="REVENUS"/>
    <x v="3"/>
    <s v="4002.007"/>
    <s v="Acompte impôt sur fortune"/>
    <n v="0"/>
    <n v="-331.7"/>
    <n v="4002"/>
  </r>
  <r>
    <x v="0"/>
    <x v="5"/>
    <x v="1"/>
    <x v="171"/>
    <x v="149"/>
    <x v="149"/>
    <s v="REVENUS"/>
    <x v="2"/>
    <s v="4001.002"/>
    <s v="Impôt complément s/revenu PP"/>
    <n v="0"/>
    <n v="7741.3"/>
    <n v="4001"/>
  </r>
  <r>
    <x v="0"/>
    <x v="5"/>
    <x v="1"/>
    <x v="171"/>
    <x v="149"/>
    <x v="149"/>
    <s v="REVENUS"/>
    <x v="3"/>
    <s v="4002.002"/>
    <s v="Impôt complémentaire s/fortune PP"/>
    <n v="0"/>
    <n v="325.64999999999998"/>
    <n v="4002"/>
  </r>
  <r>
    <x v="0"/>
    <x v="5"/>
    <x v="1"/>
    <x v="171"/>
    <x v="149"/>
    <x v="149"/>
    <s v="REVENUS"/>
    <x v="2"/>
    <s v="4001.002"/>
    <s v="Impôt complément s/revenu PP"/>
    <n v="0"/>
    <n v="660.7"/>
    <n v="4001"/>
  </r>
  <r>
    <x v="0"/>
    <x v="5"/>
    <x v="1"/>
    <x v="171"/>
    <x v="149"/>
    <x v="149"/>
    <s v="REVENUS"/>
    <x v="3"/>
    <s v="4002.002"/>
    <s v="Impôt complémentaire s/fortune PP"/>
    <n v="0"/>
    <n v="636.04999999999995"/>
    <n v="4002"/>
  </r>
  <r>
    <x v="0"/>
    <x v="5"/>
    <x v="1"/>
    <x v="171"/>
    <x v="149"/>
    <x v="149"/>
    <s v="REVENUS"/>
    <x v="7"/>
    <s v="4184.000"/>
    <s v="Frais de poursuite"/>
    <n v="0"/>
    <n v="9.18"/>
    <n v="4184"/>
  </r>
  <r>
    <x v="0"/>
    <x v="5"/>
    <x v="1"/>
    <x v="171"/>
    <x v="149"/>
    <x v="149"/>
    <s v="REVENUS"/>
    <x v="7"/>
    <s v="4184.000"/>
    <s v="Frais de poursuite"/>
    <n v="0"/>
    <n v="19.239999999999998"/>
    <n v="4184"/>
  </r>
  <r>
    <x v="0"/>
    <x v="5"/>
    <x v="1"/>
    <x v="171"/>
    <x v="149"/>
    <x v="149"/>
    <s v="REVENUS"/>
    <x v="9"/>
    <s v="4031.002"/>
    <s v="Complément impôt sur les gains immobiliers"/>
    <n v="0"/>
    <n v="876.65"/>
    <n v="4031"/>
  </r>
  <r>
    <x v="0"/>
    <x v="5"/>
    <x v="1"/>
    <x v="171"/>
    <x v="149"/>
    <x v="149"/>
    <s v="REVENUS"/>
    <x v="6"/>
    <s v="4211.002"/>
    <s v="Intérêts de retard sur acomptes"/>
    <n v="0"/>
    <n v="43.73"/>
    <n v="4211"/>
  </r>
  <r>
    <x v="0"/>
    <x v="5"/>
    <x v="1"/>
    <x v="172"/>
    <x v="135"/>
    <x v="135"/>
    <s v="CHARGES"/>
    <x v="0"/>
    <s v="3221.002"/>
    <s v="Intérêts compensatoires / créances en faveur ctb."/>
    <n v="-0.02"/>
    <n v="0"/>
    <n v="3221"/>
  </r>
  <r>
    <x v="0"/>
    <x v="5"/>
    <x v="1"/>
    <x v="172"/>
    <x v="135"/>
    <x v="135"/>
    <s v="REVENUS"/>
    <x v="3"/>
    <s v="4002.001"/>
    <s v="Impôt ordinaire s/fortune PP"/>
    <n v="0"/>
    <n v="-77.45"/>
    <n v="4002"/>
  </r>
  <r>
    <x v="0"/>
    <x v="5"/>
    <x v="1"/>
    <x v="172"/>
    <x v="135"/>
    <x v="135"/>
    <s v="REVENUS"/>
    <x v="3"/>
    <s v="4002.002"/>
    <s v="Impôt complémentaire s/fortune PP"/>
    <n v="0"/>
    <n v="87.8"/>
    <n v="4002"/>
  </r>
  <r>
    <x v="0"/>
    <x v="5"/>
    <x v="1"/>
    <x v="172"/>
    <x v="135"/>
    <x v="135"/>
    <s v="REVENUS"/>
    <x v="6"/>
    <s v="4211.001"/>
    <s v="Intérêts de retard sur factures"/>
    <n v="0"/>
    <n v="1.1599999999999999"/>
    <n v="4211"/>
  </r>
  <r>
    <x v="0"/>
    <x v="8"/>
    <x v="8"/>
    <x v="173"/>
    <x v="150"/>
    <x v="150"/>
    <s v="CHARGES"/>
    <x v="1"/>
    <s v="3301.001"/>
    <s v="Défalcations, abandons de solde PP et IS"/>
    <n v="0.73"/>
    <n v="0"/>
    <n v="3301"/>
  </r>
  <r>
    <x v="0"/>
    <x v="8"/>
    <x v="8"/>
    <x v="173"/>
    <x v="150"/>
    <x v="150"/>
    <s v="CHARGES"/>
    <x v="0"/>
    <s v="3212.002"/>
    <s v="Intérêts bonifiés/trop perçu acompte C/C"/>
    <n v="-356.24"/>
    <n v="0"/>
    <n v="3212"/>
  </r>
  <r>
    <x v="0"/>
    <x v="8"/>
    <x v="8"/>
    <x v="173"/>
    <x v="150"/>
    <x v="150"/>
    <s v="CHARGES"/>
    <x v="0"/>
    <s v="3212.004"/>
    <s v="Intérêts rémun./perçu trop tôt sur acomptes C/C"/>
    <n v="3639.16"/>
    <n v="0"/>
    <n v="3212"/>
  </r>
  <r>
    <x v="0"/>
    <x v="8"/>
    <x v="8"/>
    <x v="173"/>
    <x v="150"/>
    <x v="150"/>
    <s v="CHARGES"/>
    <x v="0"/>
    <s v="3221.002"/>
    <s v="Intérêts compensatoires / créances en faveur ctb."/>
    <n v="2413.88"/>
    <n v="0"/>
    <n v="3221"/>
  </r>
  <r>
    <x v="0"/>
    <x v="8"/>
    <x v="8"/>
    <x v="173"/>
    <x v="150"/>
    <x v="150"/>
    <s v="CHARGES"/>
    <x v="1"/>
    <s v="3301.001"/>
    <s v="Défalcations, abandons de solde PP et IS"/>
    <n v="37026.019999999997"/>
    <n v="0"/>
    <n v="3301"/>
  </r>
  <r>
    <x v="0"/>
    <x v="8"/>
    <x v="8"/>
    <x v="173"/>
    <x v="150"/>
    <x v="150"/>
    <s v="CHARGES"/>
    <x v="0"/>
    <s v="3212.004"/>
    <s v="Intérêts rémun./perçu trop tôt sur acomptes C/C"/>
    <n v="36.799999999999997"/>
    <n v="0"/>
    <n v="3212"/>
  </r>
  <r>
    <x v="0"/>
    <x v="8"/>
    <x v="8"/>
    <x v="173"/>
    <x v="150"/>
    <x v="150"/>
    <s v="CHARGES"/>
    <x v="0"/>
    <s v="3221.002"/>
    <s v="Intérêts compensatoires / créances en faveur ctb."/>
    <n v="21.24"/>
    <n v="0"/>
    <n v="3221"/>
  </r>
  <r>
    <x v="0"/>
    <x v="8"/>
    <x v="8"/>
    <x v="173"/>
    <x v="150"/>
    <x v="150"/>
    <s v="CHARGES"/>
    <x v="1"/>
    <s v="3301.001"/>
    <s v="Défalcations, abandons de solde PP et IS"/>
    <n v="3765.87"/>
    <n v="0"/>
    <n v="3301"/>
  </r>
  <r>
    <x v="0"/>
    <x v="8"/>
    <x v="8"/>
    <x v="173"/>
    <x v="150"/>
    <x v="150"/>
    <s v="CHARGES"/>
    <x v="0"/>
    <s v="3212.004"/>
    <s v="Intérêts rémun./perçu trop tôt sur acomptes C/C"/>
    <n v="103.45"/>
    <n v="0"/>
    <n v="3212"/>
  </r>
  <r>
    <x v="0"/>
    <x v="8"/>
    <x v="8"/>
    <x v="173"/>
    <x v="150"/>
    <x v="150"/>
    <s v="CHARGES"/>
    <x v="0"/>
    <s v="3212.004"/>
    <s v="Intérêts rémun./perçu trop tôt sur acomptes C/C"/>
    <n v="4.28"/>
    <n v="0"/>
    <n v="3212"/>
  </r>
  <r>
    <x v="0"/>
    <x v="8"/>
    <x v="8"/>
    <x v="173"/>
    <x v="150"/>
    <x v="150"/>
    <s v="CHARGES"/>
    <x v="1"/>
    <s v="3301.001"/>
    <s v="Défalcations, abandons de solde PP et IS"/>
    <n v="0.77"/>
    <n v="0"/>
    <n v="3301"/>
  </r>
  <r>
    <x v="0"/>
    <x v="8"/>
    <x v="8"/>
    <x v="173"/>
    <x v="150"/>
    <x v="150"/>
    <s v="CHARGES"/>
    <x v="1"/>
    <s v="3301.001"/>
    <s v="Défalcations, abandons de solde PP et IS"/>
    <n v="1971.7"/>
    <n v="0"/>
    <n v="3301"/>
  </r>
  <r>
    <x v="0"/>
    <x v="8"/>
    <x v="8"/>
    <x v="173"/>
    <x v="150"/>
    <x v="150"/>
    <s v="CHARGES"/>
    <x v="0"/>
    <s v="3212.004"/>
    <s v="Intérêts rémun./perçu trop tôt sur acomptes C/C"/>
    <n v="13.7"/>
    <n v="0"/>
    <n v="3212"/>
  </r>
  <r>
    <x v="0"/>
    <x v="8"/>
    <x v="8"/>
    <x v="173"/>
    <x v="150"/>
    <x v="150"/>
    <s v="CHARGES"/>
    <x v="0"/>
    <s v="3221.002"/>
    <s v="Intérêts compensatoires / créances en faveur ctb."/>
    <n v="12.31"/>
    <n v="0"/>
    <n v="3221"/>
  </r>
  <r>
    <x v="0"/>
    <x v="8"/>
    <x v="8"/>
    <x v="173"/>
    <x v="150"/>
    <x v="150"/>
    <s v="CHARGES"/>
    <x v="0"/>
    <s v="3212.002"/>
    <s v="Intérêts bonifiés/trop perçu acompte C/C"/>
    <n v="53.99"/>
    <n v="0"/>
    <n v="3212"/>
  </r>
  <r>
    <x v="0"/>
    <x v="8"/>
    <x v="8"/>
    <x v="173"/>
    <x v="150"/>
    <x v="150"/>
    <s v="CHARGES"/>
    <x v="1"/>
    <s v="3301.001"/>
    <s v="Défalcations, abandons de solde PP et IS"/>
    <n v="8.49"/>
    <n v="0"/>
    <n v="3301"/>
  </r>
  <r>
    <x v="0"/>
    <x v="8"/>
    <x v="8"/>
    <x v="173"/>
    <x v="150"/>
    <x v="150"/>
    <s v="CHARGES"/>
    <x v="1"/>
    <s v="3301.003"/>
    <s v="Remises PP et IS"/>
    <n v="2941.39"/>
    <n v="0"/>
    <n v="3301"/>
  </r>
  <r>
    <x v="0"/>
    <x v="8"/>
    <x v="8"/>
    <x v="173"/>
    <x v="150"/>
    <x v="150"/>
    <s v="CHARGES"/>
    <x v="0"/>
    <s v="3221.002"/>
    <s v="Intérêts compensatoires / créances en faveur ctb."/>
    <n v="3.17"/>
    <n v="0"/>
    <n v="3221"/>
  </r>
  <r>
    <x v="0"/>
    <x v="8"/>
    <x v="8"/>
    <x v="173"/>
    <x v="150"/>
    <x v="150"/>
    <s v="CHARGES"/>
    <x v="0"/>
    <s v="3212.002"/>
    <s v="Intérêts bonifiés/trop perçu acompte C/C"/>
    <n v="0.09"/>
    <n v="0"/>
    <n v="3212"/>
  </r>
  <r>
    <x v="0"/>
    <x v="8"/>
    <x v="8"/>
    <x v="173"/>
    <x v="150"/>
    <x v="150"/>
    <s v="CHARGES"/>
    <x v="0"/>
    <s v="3212.002"/>
    <s v="Intérêts bonifiés/trop perçu acompte C/C"/>
    <n v="-0.44"/>
    <n v="0"/>
    <n v="3212"/>
  </r>
  <r>
    <x v="0"/>
    <x v="8"/>
    <x v="8"/>
    <x v="173"/>
    <x v="150"/>
    <x v="150"/>
    <s v="CHARGES"/>
    <x v="1"/>
    <s v="3301.001"/>
    <s v="Défalcations, abandons de solde PP et IS"/>
    <n v="5.57"/>
    <n v="0"/>
    <n v="3301"/>
  </r>
  <r>
    <x v="0"/>
    <x v="8"/>
    <x v="8"/>
    <x v="173"/>
    <x v="150"/>
    <x v="150"/>
    <s v="CHARGES"/>
    <x v="0"/>
    <s v="3212.004"/>
    <s v="Intérêts rémun./perçu trop tôt sur acomptes C/C"/>
    <n v="0.02"/>
    <n v="0"/>
    <n v="3212"/>
  </r>
  <r>
    <x v="0"/>
    <x v="8"/>
    <x v="8"/>
    <x v="173"/>
    <x v="150"/>
    <x v="150"/>
    <s v="CHARGES"/>
    <x v="0"/>
    <s v="3221.002"/>
    <s v="Intérêts compensatoires / créances en faveur ctb."/>
    <n v="0.01"/>
    <n v="0"/>
    <n v="3221"/>
  </r>
  <r>
    <x v="0"/>
    <x v="8"/>
    <x v="8"/>
    <x v="173"/>
    <x v="150"/>
    <x v="150"/>
    <s v="CHARGES"/>
    <x v="1"/>
    <s v="3301.001"/>
    <s v="Défalcations, abandons de solde PP et IS"/>
    <n v="0.02"/>
    <n v="0"/>
    <n v="3301"/>
  </r>
  <r>
    <x v="0"/>
    <x v="8"/>
    <x v="8"/>
    <x v="173"/>
    <x v="150"/>
    <x v="150"/>
    <s v="CHARGES"/>
    <x v="0"/>
    <s v="3212.004"/>
    <s v="Intérêts rémun./perçu trop tôt sur acomptes C/C"/>
    <n v="0.01"/>
    <n v="0"/>
    <n v="3212"/>
  </r>
  <r>
    <x v="0"/>
    <x v="8"/>
    <x v="8"/>
    <x v="173"/>
    <x v="150"/>
    <x v="150"/>
    <s v="CHARGES"/>
    <x v="0"/>
    <s v="3221.002"/>
    <s v="Intérêts compensatoires / créances en faveur ctb."/>
    <n v="-0.01"/>
    <n v="0"/>
    <n v="3221"/>
  </r>
  <r>
    <x v="0"/>
    <x v="8"/>
    <x v="8"/>
    <x v="173"/>
    <x v="150"/>
    <x v="150"/>
    <s v="CHARGES"/>
    <x v="1"/>
    <s v="3301.001"/>
    <s v="Défalcations, abandons de solde PP et IS"/>
    <n v="-0.56000000000000005"/>
    <n v="0"/>
    <n v="3301"/>
  </r>
  <r>
    <x v="0"/>
    <x v="8"/>
    <x v="8"/>
    <x v="173"/>
    <x v="150"/>
    <x v="150"/>
    <s v="CHARGES"/>
    <x v="0"/>
    <s v="3212.002"/>
    <s v="Intérêts bonifiés/trop perçu acompte C/C"/>
    <n v="-0.01"/>
    <n v="0"/>
    <n v="3212"/>
  </r>
  <r>
    <x v="0"/>
    <x v="8"/>
    <x v="8"/>
    <x v="173"/>
    <x v="150"/>
    <x v="150"/>
    <s v="CHARGES"/>
    <x v="0"/>
    <s v="3221.002"/>
    <s v="Intérêts compensatoires / créances en faveur ctb."/>
    <n v="5.75"/>
    <n v="0"/>
    <n v="3221"/>
  </r>
  <r>
    <x v="0"/>
    <x v="8"/>
    <x v="8"/>
    <x v="173"/>
    <x v="150"/>
    <x v="150"/>
    <s v="CHARGES"/>
    <x v="0"/>
    <s v="3212.004"/>
    <s v="Intérêts rémun./perçu trop tôt sur acomptes C/C"/>
    <n v="0.09"/>
    <n v="0"/>
    <n v="3212"/>
  </r>
  <r>
    <x v="0"/>
    <x v="8"/>
    <x v="8"/>
    <x v="173"/>
    <x v="150"/>
    <x v="150"/>
    <s v="CHARGES"/>
    <x v="0"/>
    <s v="3221.002"/>
    <s v="Intérêts compensatoires / créances en faveur ctb."/>
    <n v="0.18"/>
    <n v="0"/>
    <n v="3221"/>
  </r>
  <r>
    <x v="0"/>
    <x v="8"/>
    <x v="8"/>
    <x v="173"/>
    <x v="150"/>
    <x v="150"/>
    <s v="CHARGES"/>
    <x v="0"/>
    <s v="3212.002"/>
    <s v="Intérêts bonifiés/trop perçu acompte C/C"/>
    <n v="-180.13"/>
    <n v="0"/>
    <n v="3212"/>
  </r>
  <r>
    <x v="0"/>
    <x v="8"/>
    <x v="8"/>
    <x v="173"/>
    <x v="150"/>
    <x v="150"/>
    <s v="CHARGES"/>
    <x v="0"/>
    <s v="3212.004"/>
    <s v="Intérêts rémun./perçu trop tôt sur acomptes C/C"/>
    <n v="-4.63"/>
    <n v="0"/>
    <n v="3212"/>
  </r>
  <r>
    <x v="0"/>
    <x v="8"/>
    <x v="8"/>
    <x v="173"/>
    <x v="150"/>
    <x v="150"/>
    <s v="CHARGES"/>
    <x v="0"/>
    <s v="3221.002"/>
    <s v="Intérêts compensatoires / créances en faveur ctb."/>
    <n v="-4.17"/>
    <n v="0"/>
    <n v="3221"/>
  </r>
  <r>
    <x v="0"/>
    <x v="8"/>
    <x v="8"/>
    <x v="173"/>
    <x v="150"/>
    <x v="150"/>
    <s v="CHARGES"/>
    <x v="1"/>
    <s v="3301.001"/>
    <s v="Défalcations, abandons de solde PP et IS"/>
    <n v="-0.12"/>
    <n v="0"/>
    <n v="3301"/>
  </r>
  <r>
    <x v="0"/>
    <x v="8"/>
    <x v="8"/>
    <x v="173"/>
    <x v="150"/>
    <x v="150"/>
    <s v="REVENUS"/>
    <x v="2"/>
    <s v="4001.003"/>
    <s v="Impôt s/prest. cap. PP"/>
    <n v="0"/>
    <n v="385136.4"/>
    <n v="4001"/>
  </r>
  <r>
    <x v="0"/>
    <x v="8"/>
    <x v="8"/>
    <x v="173"/>
    <x v="150"/>
    <x v="150"/>
    <s v="REVENUS"/>
    <x v="6"/>
    <s v="4211.001"/>
    <s v="Intérêts de retard sur factures"/>
    <n v="0"/>
    <n v="0.03"/>
    <n v="4211"/>
  </r>
  <r>
    <x v="0"/>
    <x v="8"/>
    <x v="8"/>
    <x v="173"/>
    <x v="150"/>
    <x v="150"/>
    <s v="REVENUS"/>
    <x v="2"/>
    <s v="4001.001"/>
    <s v="Impôt revenu"/>
    <n v="0"/>
    <n v="10526160.449999999"/>
    <n v="4001"/>
  </r>
  <r>
    <x v="0"/>
    <x v="8"/>
    <x v="8"/>
    <x v="173"/>
    <x v="150"/>
    <x v="150"/>
    <s v="REVENUS"/>
    <x v="2"/>
    <s v="4001.002"/>
    <s v="Impôt complément s/revenu PP"/>
    <n v="0"/>
    <n v="5110003.5"/>
    <n v="4001"/>
  </r>
  <r>
    <x v="0"/>
    <x v="8"/>
    <x v="8"/>
    <x v="173"/>
    <x v="150"/>
    <x v="150"/>
    <s v="REVENUS"/>
    <x v="2"/>
    <s v="4001.007"/>
    <s v="Acompte impôt sur revenu"/>
    <n v="0"/>
    <n v="-1995182.17"/>
    <n v="4001"/>
  </r>
  <r>
    <x v="0"/>
    <x v="8"/>
    <x v="8"/>
    <x v="173"/>
    <x v="150"/>
    <x v="150"/>
    <s v="REVENUS"/>
    <x v="3"/>
    <s v="4002.001"/>
    <s v="Impôt ordinaire s/fortune PP"/>
    <n v="0"/>
    <n v="2023417.9"/>
    <n v="4002"/>
  </r>
  <r>
    <x v="0"/>
    <x v="8"/>
    <x v="8"/>
    <x v="173"/>
    <x v="150"/>
    <x v="150"/>
    <s v="REVENUS"/>
    <x v="3"/>
    <s v="4002.002"/>
    <s v="Impôt complémentaire s/fortune PP"/>
    <n v="0"/>
    <n v="1781555.3"/>
    <n v="4002"/>
  </r>
  <r>
    <x v="0"/>
    <x v="8"/>
    <x v="8"/>
    <x v="173"/>
    <x v="150"/>
    <x v="150"/>
    <s v="REVENUS"/>
    <x v="3"/>
    <s v="4002.007"/>
    <s v="Acompte impôt sur fortune"/>
    <n v="0"/>
    <n v="-124442.92"/>
    <n v="4002"/>
  </r>
  <r>
    <x v="0"/>
    <x v="8"/>
    <x v="8"/>
    <x v="173"/>
    <x v="150"/>
    <x v="150"/>
    <s v="REVENUS"/>
    <x v="4"/>
    <s v="4051.001"/>
    <s v="Impôt sur les successions"/>
    <n v="0"/>
    <n v="303714.40000000002"/>
    <n v="4051"/>
  </r>
  <r>
    <x v="0"/>
    <x v="8"/>
    <x v="8"/>
    <x v="173"/>
    <x v="150"/>
    <x v="150"/>
    <s v="REVENUS"/>
    <x v="6"/>
    <s v="4211.001"/>
    <s v="Intérêts de retard sur factures"/>
    <n v="0"/>
    <n v="48135.21"/>
    <n v="4211"/>
  </r>
  <r>
    <x v="0"/>
    <x v="8"/>
    <x v="8"/>
    <x v="173"/>
    <x v="150"/>
    <x v="150"/>
    <s v="REVENUS"/>
    <x v="6"/>
    <s v="4211.002"/>
    <s v="Intérêts de retard sur acomptes"/>
    <n v="0"/>
    <n v="97903.89"/>
    <n v="4211"/>
  </r>
  <r>
    <x v="0"/>
    <x v="8"/>
    <x v="8"/>
    <x v="173"/>
    <x v="150"/>
    <x v="150"/>
    <s v="REVENUS"/>
    <x v="6"/>
    <s v="4221.002"/>
    <s v="Intérêts compensat. sur impôts distincts"/>
    <n v="0"/>
    <n v="1544.28"/>
    <n v="4221"/>
  </r>
  <r>
    <x v="0"/>
    <x v="8"/>
    <x v="8"/>
    <x v="173"/>
    <x v="150"/>
    <x v="150"/>
    <s v="REVENUS"/>
    <x v="6"/>
    <s v="4221.003"/>
    <s v="Intérêts compensat. / acomptes en faveur du fisc"/>
    <n v="0"/>
    <n v="3295.45"/>
    <n v="4221"/>
  </r>
  <r>
    <x v="0"/>
    <x v="8"/>
    <x v="8"/>
    <x v="173"/>
    <x v="150"/>
    <x v="150"/>
    <s v="REVENUS"/>
    <x v="13"/>
    <s v="4371.013"/>
    <s v="Amende soustraction LMSD"/>
    <n v="0"/>
    <n v="12701.5"/>
    <n v="4371"/>
  </r>
  <r>
    <x v="0"/>
    <x v="8"/>
    <x v="8"/>
    <x v="173"/>
    <x v="150"/>
    <x v="150"/>
    <s v="REVENUS"/>
    <x v="6"/>
    <s v="4211.001"/>
    <s v="Intérêts de retard sur factures"/>
    <n v="0"/>
    <n v="943.3"/>
    <n v="4211"/>
  </r>
  <r>
    <x v="0"/>
    <x v="8"/>
    <x v="8"/>
    <x v="173"/>
    <x v="150"/>
    <x v="150"/>
    <s v="REVENUS"/>
    <x v="2"/>
    <s v="4001.001"/>
    <s v="Impôt revenu"/>
    <n v="0"/>
    <n v="71011.399999999994"/>
    <n v="4001"/>
  </r>
  <r>
    <x v="0"/>
    <x v="8"/>
    <x v="8"/>
    <x v="173"/>
    <x v="150"/>
    <x v="150"/>
    <s v="REVENUS"/>
    <x v="2"/>
    <s v="4001.007"/>
    <s v="Acompte impôt sur revenu"/>
    <n v="0"/>
    <n v="5020.95"/>
    <n v="4001"/>
  </r>
  <r>
    <x v="0"/>
    <x v="8"/>
    <x v="8"/>
    <x v="173"/>
    <x v="150"/>
    <x v="150"/>
    <s v="REVENUS"/>
    <x v="3"/>
    <s v="4002.001"/>
    <s v="Impôt ordinaire s/fortune PP"/>
    <n v="0"/>
    <n v="27054.5"/>
    <n v="4002"/>
  </r>
  <r>
    <x v="0"/>
    <x v="8"/>
    <x v="8"/>
    <x v="173"/>
    <x v="150"/>
    <x v="150"/>
    <s v="REVENUS"/>
    <x v="3"/>
    <s v="4002.007"/>
    <s v="Acompte impôt sur fortune"/>
    <n v="0"/>
    <n v="280.99"/>
    <n v="4002"/>
  </r>
  <r>
    <x v="0"/>
    <x v="8"/>
    <x v="8"/>
    <x v="173"/>
    <x v="150"/>
    <x v="150"/>
    <s v="REVENUS"/>
    <x v="2"/>
    <s v="4001.001"/>
    <s v="Impôt revenu"/>
    <n v="0"/>
    <n v="95574.1"/>
    <n v="4001"/>
  </r>
  <r>
    <x v="0"/>
    <x v="8"/>
    <x v="8"/>
    <x v="173"/>
    <x v="150"/>
    <x v="150"/>
    <s v="REVENUS"/>
    <x v="2"/>
    <s v="4001.002"/>
    <s v="Impôt complément s/revenu PP"/>
    <n v="0"/>
    <n v="49856.7"/>
    <n v="4001"/>
  </r>
  <r>
    <x v="0"/>
    <x v="8"/>
    <x v="8"/>
    <x v="173"/>
    <x v="150"/>
    <x v="150"/>
    <s v="REVENUS"/>
    <x v="2"/>
    <s v="4001.001"/>
    <s v="Impôt revenu"/>
    <n v="0"/>
    <n v="7744.9"/>
    <n v="4001"/>
  </r>
  <r>
    <x v="0"/>
    <x v="8"/>
    <x v="8"/>
    <x v="173"/>
    <x v="150"/>
    <x v="150"/>
    <s v="REVENUS"/>
    <x v="2"/>
    <s v="4001.003"/>
    <s v="Impôt s/prest. cap. PP"/>
    <n v="0"/>
    <n v="-1026.8"/>
    <n v="4001"/>
  </r>
  <r>
    <x v="0"/>
    <x v="8"/>
    <x v="8"/>
    <x v="173"/>
    <x v="150"/>
    <x v="150"/>
    <s v="REVENUS"/>
    <x v="3"/>
    <s v="4002.001"/>
    <s v="Impôt ordinaire s/fortune PP"/>
    <n v="0"/>
    <n v="2681.05"/>
    <n v="4002"/>
  </r>
  <r>
    <x v="0"/>
    <x v="8"/>
    <x v="8"/>
    <x v="173"/>
    <x v="150"/>
    <x v="150"/>
    <s v="REVENUS"/>
    <x v="6"/>
    <s v="4221.003"/>
    <s v="Intérêts compensat. / acomptes en faveur du fisc"/>
    <n v="0"/>
    <n v="2.84"/>
    <n v="4221"/>
  </r>
  <r>
    <x v="0"/>
    <x v="8"/>
    <x v="8"/>
    <x v="173"/>
    <x v="150"/>
    <x v="150"/>
    <s v="REVENUS"/>
    <x v="9"/>
    <s v="4031.001"/>
    <s v="Impôt sur les gains immobiliers"/>
    <n v="0"/>
    <n v="578758.5"/>
    <n v="4031"/>
  </r>
  <r>
    <x v="0"/>
    <x v="8"/>
    <x v="8"/>
    <x v="173"/>
    <x v="150"/>
    <x v="150"/>
    <s v="REVENUS"/>
    <x v="6"/>
    <s v="4211.002"/>
    <s v="Intérêts de retard sur acomptes"/>
    <n v="0"/>
    <n v="115.32"/>
    <n v="4211"/>
  </r>
  <r>
    <x v="0"/>
    <x v="8"/>
    <x v="8"/>
    <x v="173"/>
    <x v="150"/>
    <x v="150"/>
    <s v="REVENUS"/>
    <x v="7"/>
    <s v="4184.000"/>
    <s v="Frais de poursuite"/>
    <n v="0"/>
    <n v="3493.62"/>
    <n v="4184"/>
  </r>
  <r>
    <x v="0"/>
    <x v="8"/>
    <x v="8"/>
    <x v="173"/>
    <x v="150"/>
    <x v="150"/>
    <s v="REVENUS"/>
    <x v="6"/>
    <s v="4221.003"/>
    <s v="Intérêts compensat. / acomptes en faveur du fisc"/>
    <n v="0"/>
    <n v="29.69"/>
    <n v="4221"/>
  </r>
  <r>
    <x v="0"/>
    <x v="8"/>
    <x v="8"/>
    <x v="173"/>
    <x v="150"/>
    <x v="150"/>
    <s v="REVENUS"/>
    <x v="2"/>
    <s v="4001.007"/>
    <s v="Acompte impôt sur revenu"/>
    <n v="0"/>
    <n v="-8310.2000000000007"/>
    <n v="4001"/>
  </r>
  <r>
    <x v="0"/>
    <x v="8"/>
    <x v="8"/>
    <x v="173"/>
    <x v="150"/>
    <x v="150"/>
    <s v="REVENUS"/>
    <x v="3"/>
    <s v="4002.007"/>
    <s v="Acompte impôt sur fortune"/>
    <n v="0"/>
    <n v="-1309.9000000000001"/>
    <n v="4002"/>
  </r>
  <r>
    <x v="0"/>
    <x v="8"/>
    <x v="8"/>
    <x v="173"/>
    <x v="150"/>
    <x v="150"/>
    <s v="REVENUS"/>
    <x v="2"/>
    <s v="4001.001"/>
    <s v="Impôt revenu"/>
    <n v="0"/>
    <n v="43991.45"/>
    <n v="4001"/>
  </r>
  <r>
    <x v="0"/>
    <x v="8"/>
    <x v="8"/>
    <x v="173"/>
    <x v="150"/>
    <x v="150"/>
    <s v="REVENUS"/>
    <x v="3"/>
    <s v="4002.001"/>
    <s v="Impôt ordinaire s/fortune PP"/>
    <n v="0"/>
    <n v="34627.699999999997"/>
    <n v="4002"/>
  </r>
  <r>
    <x v="0"/>
    <x v="8"/>
    <x v="8"/>
    <x v="173"/>
    <x v="150"/>
    <x v="150"/>
    <s v="REVENUS"/>
    <x v="3"/>
    <s v="4002.001"/>
    <s v="Impôt ordinaire s/fortune PP"/>
    <n v="0"/>
    <n v="75845.149999999994"/>
    <n v="4002"/>
  </r>
  <r>
    <x v="0"/>
    <x v="8"/>
    <x v="8"/>
    <x v="173"/>
    <x v="150"/>
    <x v="150"/>
    <s v="REVENUS"/>
    <x v="6"/>
    <s v="4211.002"/>
    <s v="Intérêts de retard sur acomptes"/>
    <n v="0"/>
    <n v="1329.06"/>
    <n v="4211"/>
  </r>
  <r>
    <x v="0"/>
    <x v="8"/>
    <x v="8"/>
    <x v="173"/>
    <x v="150"/>
    <x v="150"/>
    <s v="REVENUS"/>
    <x v="10"/>
    <s v="4041.002"/>
    <s v="Complément droit de mutation"/>
    <n v="0"/>
    <n v="6.6"/>
    <n v="4041"/>
  </r>
  <r>
    <x v="0"/>
    <x v="8"/>
    <x v="8"/>
    <x v="173"/>
    <x v="150"/>
    <x v="150"/>
    <s v="REVENUS"/>
    <x v="2"/>
    <s v="4001.007"/>
    <s v="Acompte impôt sur revenu"/>
    <n v="0"/>
    <n v="-30043"/>
    <n v="4001"/>
  </r>
  <r>
    <x v="0"/>
    <x v="8"/>
    <x v="8"/>
    <x v="173"/>
    <x v="150"/>
    <x v="150"/>
    <s v="REVENUS"/>
    <x v="3"/>
    <s v="4002.007"/>
    <s v="Acompte impôt sur fortune"/>
    <n v="0"/>
    <n v="-18426.98"/>
    <n v="4002"/>
  </r>
  <r>
    <x v="0"/>
    <x v="8"/>
    <x v="8"/>
    <x v="173"/>
    <x v="150"/>
    <x v="150"/>
    <s v="REVENUS"/>
    <x v="2"/>
    <s v="4001.007"/>
    <s v="Acompte impôt sur revenu"/>
    <n v="0"/>
    <n v="-10900.59"/>
    <n v="4001"/>
  </r>
  <r>
    <x v="0"/>
    <x v="8"/>
    <x v="8"/>
    <x v="173"/>
    <x v="150"/>
    <x v="150"/>
    <s v="REVENUS"/>
    <x v="3"/>
    <s v="4002.002"/>
    <s v="Impôt complémentaire s/fortune PP"/>
    <n v="0"/>
    <n v="19074.099999999999"/>
    <n v="4002"/>
  </r>
  <r>
    <x v="0"/>
    <x v="8"/>
    <x v="8"/>
    <x v="173"/>
    <x v="150"/>
    <x v="150"/>
    <s v="REVENUS"/>
    <x v="3"/>
    <s v="4002.007"/>
    <s v="Acompte impôt sur fortune"/>
    <n v="0"/>
    <n v="9259.7000000000007"/>
    <n v="4002"/>
  </r>
  <r>
    <x v="0"/>
    <x v="8"/>
    <x v="8"/>
    <x v="173"/>
    <x v="150"/>
    <x v="150"/>
    <s v="REVENUS"/>
    <x v="7"/>
    <s v="4184.000"/>
    <s v="Frais de poursuite"/>
    <n v="0"/>
    <n v="513.26"/>
    <n v="4184"/>
  </r>
  <r>
    <x v="0"/>
    <x v="8"/>
    <x v="8"/>
    <x v="173"/>
    <x v="150"/>
    <x v="150"/>
    <s v="REVENUS"/>
    <x v="7"/>
    <s v="4184.000"/>
    <s v="Frais de poursuite"/>
    <n v="0"/>
    <n v="153.93"/>
    <n v="4184"/>
  </r>
  <r>
    <x v="0"/>
    <x v="8"/>
    <x v="8"/>
    <x v="173"/>
    <x v="150"/>
    <x v="150"/>
    <s v="REVENUS"/>
    <x v="2"/>
    <s v="4001.007"/>
    <s v="Acompte impôt sur revenu"/>
    <n v="0"/>
    <n v="-11784.75"/>
    <n v="4001"/>
  </r>
  <r>
    <x v="0"/>
    <x v="8"/>
    <x v="8"/>
    <x v="173"/>
    <x v="150"/>
    <x v="150"/>
    <s v="REVENUS"/>
    <x v="3"/>
    <s v="4002.007"/>
    <s v="Acompte impôt sur fortune"/>
    <n v="0"/>
    <n v="-6739.76"/>
    <n v="4002"/>
  </r>
  <r>
    <x v="0"/>
    <x v="8"/>
    <x v="8"/>
    <x v="173"/>
    <x v="150"/>
    <x v="150"/>
    <s v="REVENUS"/>
    <x v="6"/>
    <s v="4221.003"/>
    <s v="Intérêts compensat. / acomptes en faveur du fisc"/>
    <n v="0"/>
    <n v="12.13"/>
    <n v="4221"/>
  </r>
  <r>
    <x v="0"/>
    <x v="8"/>
    <x v="8"/>
    <x v="173"/>
    <x v="150"/>
    <x v="150"/>
    <s v="REVENUS"/>
    <x v="10"/>
    <s v="4041.001"/>
    <s v="Droits de mutation"/>
    <n v="0"/>
    <n v="586519.9"/>
    <n v="4041"/>
  </r>
  <r>
    <x v="0"/>
    <x v="8"/>
    <x v="8"/>
    <x v="173"/>
    <x v="150"/>
    <x v="150"/>
    <s v="REVENUS"/>
    <x v="12"/>
    <s v="4004.000"/>
    <s v="Impôt spécial étrangers"/>
    <n v="0"/>
    <n v="331296.90000000002"/>
    <n v="4004"/>
  </r>
  <r>
    <x v="0"/>
    <x v="8"/>
    <x v="8"/>
    <x v="173"/>
    <x v="150"/>
    <x v="150"/>
    <s v="REVENUS"/>
    <x v="12"/>
    <s v="4004.007"/>
    <s v="Acompte spécial étrangers"/>
    <n v="0"/>
    <n v="217309.45"/>
    <n v="4004"/>
  </r>
  <r>
    <x v="0"/>
    <x v="8"/>
    <x v="8"/>
    <x v="173"/>
    <x v="150"/>
    <x v="150"/>
    <s v="REVENUS"/>
    <x v="2"/>
    <s v="4001.007"/>
    <s v="Acompte impôt sur revenu"/>
    <n v="0"/>
    <n v="4335.25"/>
    <n v="4001"/>
  </r>
  <r>
    <x v="0"/>
    <x v="8"/>
    <x v="8"/>
    <x v="173"/>
    <x v="150"/>
    <x v="150"/>
    <s v="REVENUS"/>
    <x v="3"/>
    <s v="4002.007"/>
    <s v="Acompte impôt sur fortune"/>
    <n v="0"/>
    <n v="793.1"/>
    <n v="4002"/>
  </r>
  <r>
    <x v="0"/>
    <x v="8"/>
    <x v="8"/>
    <x v="173"/>
    <x v="150"/>
    <x v="150"/>
    <s v="REVENUS"/>
    <x v="2"/>
    <s v="4001.007"/>
    <s v="Acompte impôt sur revenu"/>
    <n v="0"/>
    <n v="-9223.2999999999993"/>
    <n v="4001"/>
  </r>
  <r>
    <x v="0"/>
    <x v="8"/>
    <x v="8"/>
    <x v="173"/>
    <x v="150"/>
    <x v="150"/>
    <s v="REVENUS"/>
    <x v="3"/>
    <s v="4002.007"/>
    <s v="Acompte impôt sur fortune"/>
    <n v="0"/>
    <n v="79.91"/>
    <n v="4002"/>
  </r>
  <r>
    <x v="0"/>
    <x v="8"/>
    <x v="8"/>
    <x v="173"/>
    <x v="150"/>
    <x v="150"/>
    <s v="REVENUS"/>
    <x v="6"/>
    <s v="4211.001"/>
    <s v="Intérêts de retard sur factures"/>
    <n v="0"/>
    <n v="5.87"/>
    <n v="4211"/>
  </r>
  <r>
    <x v="0"/>
    <x v="8"/>
    <x v="8"/>
    <x v="173"/>
    <x v="150"/>
    <x v="150"/>
    <s v="REVENUS"/>
    <x v="2"/>
    <s v="4001.002"/>
    <s v="Impôt complément s/revenu PP"/>
    <n v="0"/>
    <n v="3809.85"/>
    <n v="4001"/>
  </r>
  <r>
    <x v="0"/>
    <x v="8"/>
    <x v="8"/>
    <x v="173"/>
    <x v="150"/>
    <x v="150"/>
    <s v="REVENUS"/>
    <x v="3"/>
    <s v="4002.002"/>
    <s v="Impôt complémentaire s/fortune PP"/>
    <n v="0"/>
    <n v="6085.6"/>
    <n v="4002"/>
  </r>
  <r>
    <x v="0"/>
    <x v="8"/>
    <x v="8"/>
    <x v="173"/>
    <x v="150"/>
    <x v="150"/>
    <s v="REVENUS"/>
    <x v="6"/>
    <s v="4211.001"/>
    <s v="Intérêts de retard sur factures"/>
    <n v="0"/>
    <n v="408.84"/>
    <n v="4211"/>
  </r>
  <r>
    <x v="0"/>
    <x v="8"/>
    <x v="8"/>
    <x v="173"/>
    <x v="150"/>
    <x v="150"/>
    <s v="REVENUS"/>
    <x v="3"/>
    <s v="4002.007"/>
    <s v="Acompte impôt sur fortune"/>
    <n v="0"/>
    <n v="-1262.3499999999999"/>
    <n v="4002"/>
  </r>
  <r>
    <x v="0"/>
    <x v="8"/>
    <x v="8"/>
    <x v="173"/>
    <x v="150"/>
    <x v="150"/>
    <s v="REVENUS"/>
    <x v="6"/>
    <s v="4211.001"/>
    <s v="Intérêts de retard sur factures"/>
    <n v="0"/>
    <n v="-0.01"/>
    <n v="4211"/>
  </r>
  <r>
    <x v="0"/>
    <x v="8"/>
    <x v="8"/>
    <x v="173"/>
    <x v="150"/>
    <x v="150"/>
    <s v="REVENUS"/>
    <x v="6"/>
    <s v="4211.002"/>
    <s v="Intérêts de retard sur acomptes"/>
    <n v="0"/>
    <n v="24.26"/>
    <n v="4211"/>
  </r>
  <r>
    <x v="0"/>
    <x v="8"/>
    <x v="8"/>
    <x v="173"/>
    <x v="150"/>
    <x v="150"/>
    <s v="REVENUS"/>
    <x v="6"/>
    <s v="4221.003"/>
    <s v="Intérêts compensat. / acomptes en faveur du fisc"/>
    <n v="0"/>
    <n v="5.14"/>
    <n v="4221"/>
  </r>
  <r>
    <x v="0"/>
    <x v="8"/>
    <x v="8"/>
    <x v="173"/>
    <x v="150"/>
    <x v="150"/>
    <s v="REVENUS"/>
    <x v="2"/>
    <s v="4001.007"/>
    <s v="Acompte impôt sur revenu"/>
    <n v="0"/>
    <n v="-4012.55"/>
    <n v="4001"/>
  </r>
  <r>
    <x v="0"/>
    <x v="8"/>
    <x v="8"/>
    <x v="173"/>
    <x v="150"/>
    <x v="150"/>
    <s v="REVENUS"/>
    <x v="8"/>
    <s v="4091.001"/>
    <s v="Impôt récupéré après défalcations"/>
    <n v="0"/>
    <n v="1839.84"/>
    <n v="4091"/>
  </r>
  <r>
    <x v="0"/>
    <x v="8"/>
    <x v="8"/>
    <x v="173"/>
    <x v="150"/>
    <x v="150"/>
    <s v="REVENUS"/>
    <x v="3"/>
    <s v="4002.001"/>
    <s v="Impôt ordinaire s/fortune PP"/>
    <n v="0"/>
    <n v="647.20000000000005"/>
    <n v="4002"/>
  </r>
  <r>
    <x v="0"/>
    <x v="8"/>
    <x v="8"/>
    <x v="173"/>
    <x v="150"/>
    <x v="150"/>
    <s v="REVENUS"/>
    <x v="6"/>
    <s v="4211.002"/>
    <s v="Intérêts de retard sur acomptes"/>
    <n v="0"/>
    <n v="0.05"/>
    <n v="4211"/>
  </r>
  <r>
    <x v="0"/>
    <x v="8"/>
    <x v="8"/>
    <x v="173"/>
    <x v="150"/>
    <x v="150"/>
    <s v="REVENUS"/>
    <x v="9"/>
    <s v="4031.002"/>
    <s v="Complément impôt sur les gains immobiliers"/>
    <n v="0"/>
    <n v="102206.9"/>
    <n v="4031"/>
  </r>
  <r>
    <x v="0"/>
    <x v="8"/>
    <x v="8"/>
    <x v="173"/>
    <x v="150"/>
    <x v="150"/>
    <s v="REVENUS"/>
    <x v="6"/>
    <s v="4211.002"/>
    <s v="Intérêts de retard sur acomptes"/>
    <n v="0"/>
    <n v="43.57"/>
    <n v="4211"/>
  </r>
  <r>
    <x v="0"/>
    <x v="8"/>
    <x v="8"/>
    <x v="173"/>
    <x v="150"/>
    <x v="150"/>
    <s v="REVENUS"/>
    <x v="2"/>
    <s v="4001.001"/>
    <s v="Impôt revenu"/>
    <n v="0"/>
    <n v="-1032"/>
    <n v="4001"/>
  </r>
  <r>
    <x v="0"/>
    <x v="8"/>
    <x v="8"/>
    <x v="173"/>
    <x v="150"/>
    <x v="150"/>
    <s v="REVENUS"/>
    <x v="3"/>
    <s v="4002.001"/>
    <s v="Impôt ordinaire s/fortune PP"/>
    <n v="0"/>
    <n v="-102"/>
    <n v="4002"/>
  </r>
  <r>
    <x v="0"/>
    <x v="8"/>
    <x v="8"/>
    <x v="173"/>
    <x v="150"/>
    <x v="150"/>
    <s v="REVENUS"/>
    <x v="6"/>
    <s v="4211.001"/>
    <s v="Intérêts de retard sur factures"/>
    <n v="0"/>
    <n v="0.01"/>
    <n v="4211"/>
  </r>
  <r>
    <x v="0"/>
    <x v="8"/>
    <x v="8"/>
    <x v="173"/>
    <x v="150"/>
    <x v="150"/>
    <s v="REVENUS"/>
    <x v="6"/>
    <s v="4211.002"/>
    <s v="Intérêts de retard sur acomptes"/>
    <n v="0"/>
    <n v="0.01"/>
    <n v="4211"/>
  </r>
  <r>
    <x v="0"/>
    <x v="8"/>
    <x v="8"/>
    <x v="173"/>
    <x v="150"/>
    <x v="150"/>
    <s v="REVENUS"/>
    <x v="6"/>
    <s v="4221.003"/>
    <s v="Intérêts compensat. / acomptes en faveur du fisc"/>
    <n v="0"/>
    <n v="0.02"/>
    <n v="4221"/>
  </r>
  <r>
    <x v="0"/>
    <x v="8"/>
    <x v="8"/>
    <x v="173"/>
    <x v="150"/>
    <x v="150"/>
    <s v="REVENUS"/>
    <x v="2"/>
    <s v="4001.001"/>
    <s v="Impôt revenu"/>
    <n v="0"/>
    <n v="-6055.3"/>
    <n v="4001"/>
  </r>
  <r>
    <x v="0"/>
    <x v="8"/>
    <x v="8"/>
    <x v="173"/>
    <x v="150"/>
    <x v="150"/>
    <s v="REVENUS"/>
    <x v="3"/>
    <s v="4002.001"/>
    <s v="Impôt ordinaire s/fortune PP"/>
    <n v="0"/>
    <n v="-644.54999999999995"/>
    <n v="4002"/>
  </r>
  <r>
    <x v="0"/>
    <x v="8"/>
    <x v="8"/>
    <x v="173"/>
    <x v="150"/>
    <x v="150"/>
    <s v="REVENUS"/>
    <x v="6"/>
    <s v="4221.003"/>
    <s v="Intérêts compensat. / acomptes en faveur du fisc"/>
    <n v="0"/>
    <n v="0.03"/>
    <n v="4221"/>
  </r>
  <r>
    <x v="0"/>
    <x v="8"/>
    <x v="8"/>
    <x v="173"/>
    <x v="150"/>
    <x v="150"/>
    <s v="REVENUS"/>
    <x v="2"/>
    <s v="4001.002"/>
    <s v="Impôt complément s/revenu PP"/>
    <n v="0"/>
    <n v="7517.5"/>
    <n v="4001"/>
  </r>
  <r>
    <x v="0"/>
    <x v="8"/>
    <x v="8"/>
    <x v="173"/>
    <x v="150"/>
    <x v="150"/>
    <s v="REVENUS"/>
    <x v="3"/>
    <s v="4002.002"/>
    <s v="Impôt complémentaire s/fortune PP"/>
    <n v="0"/>
    <n v="1597.75"/>
    <n v="4002"/>
  </r>
  <r>
    <x v="0"/>
    <x v="8"/>
    <x v="8"/>
    <x v="173"/>
    <x v="150"/>
    <x v="150"/>
    <s v="REVENUS"/>
    <x v="6"/>
    <s v="4211.001"/>
    <s v="Intérêts de retard sur factures"/>
    <n v="0"/>
    <n v="122.73"/>
    <n v="4211"/>
  </r>
  <r>
    <x v="0"/>
    <x v="8"/>
    <x v="8"/>
    <x v="173"/>
    <x v="150"/>
    <x v="150"/>
    <s v="REVENUS"/>
    <x v="2"/>
    <s v="4001.001"/>
    <s v="Impôt revenu"/>
    <n v="0"/>
    <n v="-53423.95"/>
    <n v="4001"/>
  </r>
  <r>
    <x v="0"/>
    <x v="8"/>
    <x v="8"/>
    <x v="173"/>
    <x v="150"/>
    <x v="150"/>
    <s v="REVENUS"/>
    <x v="3"/>
    <s v="4002.001"/>
    <s v="Impôt ordinaire s/fortune PP"/>
    <n v="0"/>
    <n v="-7459.2"/>
    <n v="4002"/>
  </r>
  <r>
    <x v="0"/>
    <x v="8"/>
    <x v="8"/>
    <x v="173"/>
    <x v="150"/>
    <x v="150"/>
    <s v="REVENUS"/>
    <x v="7"/>
    <s v="4184.000"/>
    <s v="Frais de poursuite"/>
    <n v="0"/>
    <n v="0.33"/>
    <n v="4184"/>
  </r>
  <r>
    <x v="0"/>
    <x v="8"/>
    <x v="8"/>
    <x v="173"/>
    <x v="150"/>
    <x v="150"/>
    <s v="REVENUS"/>
    <x v="8"/>
    <s v="4091.001"/>
    <s v="Impôt récupéré après défalcations"/>
    <n v="0"/>
    <n v="8219.9"/>
    <n v="4091"/>
  </r>
  <r>
    <x v="0"/>
    <x v="8"/>
    <x v="8"/>
    <x v="173"/>
    <x v="150"/>
    <x v="150"/>
    <s v="REVENUS"/>
    <x v="2"/>
    <s v="4001.001"/>
    <s v="Impôt revenu"/>
    <n v="0"/>
    <n v="6050.9"/>
    <n v="4001"/>
  </r>
  <r>
    <x v="0"/>
    <x v="8"/>
    <x v="8"/>
    <x v="173"/>
    <x v="150"/>
    <x v="150"/>
    <s v="REVENUS"/>
    <x v="3"/>
    <s v="4002.001"/>
    <s v="Impôt ordinaire s/fortune PP"/>
    <n v="0"/>
    <n v="662.7"/>
    <n v="4002"/>
  </r>
  <r>
    <x v="0"/>
    <x v="8"/>
    <x v="8"/>
    <x v="173"/>
    <x v="150"/>
    <x v="150"/>
    <s v="REVENUS"/>
    <x v="6"/>
    <s v="4211.002"/>
    <s v="Intérêts de retard sur acomptes"/>
    <n v="0"/>
    <n v="35.770000000000003"/>
    <n v="4211"/>
  </r>
  <r>
    <x v="0"/>
    <x v="8"/>
    <x v="8"/>
    <x v="173"/>
    <x v="150"/>
    <x v="150"/>
    <s v="REVENUS"/>
    <x v="4"/>
    <s v="4051.002"/>
    <s v="Impôt sur les donations"/>
    <n v="0"/>
    <n v="30021.3"/>
    <n v="4051"/>
  </r>
  <r>
    <x v="0"/>
    <x v="8"/>
    <x v="8"/>
    <x v="173"/>
    <x v="150"/>
    <x v="150"/>
    <s v="REVENUS"/>
    <x v="4"/>
    <s v="4051.001"/>
    <s v="Impôt sur les successions"/>
    <n v="0"/>
    <n v="-369.9"/>
    <n v="4051"/>
  </r>
  <r>
    <x v="0"/>
    <x v="8"/>
    <x v="8"/>
    <x v="173"/>
    <x v="150"/>
    <x v="150"/>
    <s v="REVENUS"/>
    <x v="6"/>
    <s v="4221.002"/>
    <s v="Intérêts compensat. sur impôts distincts"/>
    <n v="0"/>
    <n v="-0.69"/>
    <n v="4221"/>
  </r>
  <r>
    <x v="0"/>
    <x v="8"/>
    <x v="8"/>
    <x v="173"/>
    <x v="150"/>
    <x v="150"/>
    <s v="REVENUS"/>
    <x v="2"/>
    <s v="4001.002"/>
    <s v="Impôt complément s/revenu PP"/>
    <n v="0"/>
    <n v="-1315.9"/>
    <n v="4001"/>
  </r>
  <r>
    <x v="0"/>
    <x v="8"/>
    <x v="8"/>
    <x v="173"/>
    <x v="150"/>
    <x v="150"/>
    <s v="REVENUS"/>
    <x v="3"/>
    <s v="4002.002"/>
    <s v="Impôt complémentaire s/fortune PP"/>
    <n v="0"/>
    <n v="-3265.7"/>
    <n v="4002"/>
  </r>
  <r>
    <x v="0"/>
    <x v="8"/>
    <x v="8"/>
    <x v="173"/>
    <x v="150"/>
    <x v="150"/>
    <s v="REVENUS"/>
    <x v="6"/>
    <s v="4221.003"/>
    <s v="Intérêts compensat. / acomptes en faveur du fisc"/>
    <n v="0"/>
    <n v="0.7"/>
    <n v="4221"/>
  </r>
  <r>
    <x v="0"/>
    <x v="8"/>
    <x v="8"/>
    <x v="173"/>
    <x v="150"/>
    <x v="150"/>
    <s v="REVENUS"/>
    <x v="2"/>
    <s v="4001.002"/>
    <s v="Impôt complément s/revenu PP"/>
    <n v="0"/>
    <n v="732"/>
    <n v="4001"/>
  </r>
  <r>
    <x v="0"/>
    <x v="8"/>
    <x v="8"/>
    <x v="173"/>
    <x v="150"/>
    <x v="150"/>
    <s v="REVENUS"/>
    <x v="3"/>
    <s v="4002.002"/>
    <s v="Impôt complémentaire s/fortune PP"/>
    <n v="0"/>
    <n v="269.85000000000002"/>
    <n v="4002"/>
  </r>
  <r>
    <x v="0"/>
    <x v="8"/>
    <x v="8"/>
    <x v="173"/>
    <x v="150"/>
    <x v="150"/>
    <s v="REVENUS"/>
    <x v="6"/>
    <s v="4211.001"/>
    <s v="Intérêts de retard sur factures"/>
    <n v="0"/>
    <n v="-0.57999999999999996"/>
    <n v="4211"/>
  </r>
  <r>
    <x v="0"/>
    <x v="8"/>
    <x v="8"/>
    <x v="173"/>
    <x v="150"/>
    <x v="150"/>
    <s v="REVENUS"/>
    <x v="6"/>
    <s v="4211.002"/>
    <s v="Intérêts de retard sur acomptes"/>
    <n v="0"/>
    <n v="-0.11"/>
    <n v="4211"/>
  </r>
  <r>
    <x v="0"/>
    <x v="8"/>
    <x v="8"/>
    <x v="173"/>
    <x v="150"/>
    <x v="150"/>
    <s v="REVENUS"/>
    <x v="6"/>
    <s v="4221.003"/>
    <s v="Intérêts compensat. / acomptes en faveur du fisc"/>
    <n v="0"/>
    <n v="-2.4"/>
    <n v="4221"/>
  </r>
  <r>
    <x v="0"/>
    <x v="5"/>
    <x v="1"/>
    <x v="174"/>
    <x v="151"/>
    <x v="151"/>
    <s v="CHARGES"/>
    <x v="0"/>
    <s v="3212.002"/>
    <s v="Intérêts bonifiés/trop perçu acompte C/C"/>
    <n v="5.72"/>
    <n v="0"/>
    <n v="3212"/>
  </r>
  <r>
    <x v="0"/>
    <x v="5"/>
    <x v="1"/>
    <x v="174"/>
    <x v="151"/>
    <x v="151"/>
    <s v="CHARGES"/>
    <x v="0"/>
    <s v="3212.004"/>
    <s v="Intérêts rémun./perçu trop tôt sur acomptes C/C"/>
    <n v="588.36"/>
    <n v="0"/>
    <n v="3212"/>
  </r>
  <r>
    <x v="0"/>
    <x v="5"/>
    <x v="1"/>
    <x v="174"/>
    <x v="151"/>
    <x v="151"/>
    <s v="CHARGES"/>
    <x v="0"/>
    <s v="3221.002"/>
    <s v="Intérêts compensatoires / créances en faveur ctb."/>
    <n v="189.75"/>
    <n v="0"/>
    <n v="3221"/>
  </r>
  <r>
    <x v="0"/>
    <x v="5"/>
    <x v="1"/>
    <x v="174"/>
    <x v="151"/>
    <x v="151"/>
    <s v="CHARGES"/>
    <x v="1"/>
    <s v="3301.001"/>
    <s v="Défalcations, abandons de solde PP et IS"/>
    <n v="52371.59"/>
    <n v="0"/>
    <n v="3301"/>
  </r>
  <r>
    <x v="0"/>
    <x v="5"/>
    <x v="1"/>
    <x v="174"/>
    <x v="151"/>
    <x v="151"/>
    <s v="CHARGES"/>
    <x v="1"/>
    <s v="3301.001"/>
    <s v="Défalcations, abandons de solde PP et IS"/>
    <n v="0.77"/>
    <n v="0"/>
    <n v="3301"/>
  </r>
  <r>
    <x v="0"/>
    <x v="5"/>
    <x v="1"/>
    <x v="174"/>
    <x v="151"/>
    <x v="151"/>
    <s v="CHARGES"/>
    <x v="0"/>
    <s v="3212.004"/>
    <s v="Intérêts rémun./perçu trop tôt sur acomptes C/C"/>
    <n v="0.71"/>
    <n v="0"/>
    <n v="3212"/>
  </r>
  <r>
    <x v="0"/>
    <x v="5"/>
    <x v="1"/>
    <x v="174"/>
    <x v="151"/>
    <x v="151"/>
    <s v="CHARGES"/>
    <x v="0"/>
    <s v="3221.002"/>
    <s v="Intérêts compensatoires / créances en faveur ctb."/>
    <n v="0.66"/>
    <n v="0"/>
    <n v="3221"/>
  </r>
  <r>
    <x v="0"/>
    <x v="5"/>
    <x v="1"/>
    <x v="174"/>
    <x v="151"/>
    <x v="151"/>
    <s v="CHARGES"/>
    <x v="0"/>
    <s v="3212.004"/>
    <s v="Intérêts rémun./perçu trop tôt sur acomptes C/C"/>
    <n v="1.41"/>
    <n v="0"/>
    <n v="3212"/>
  </r>
  <r>
    <x v="0"/>
    <x v="5"/>
    <x v="1"/>
    <x v="174"/>
    <x v="151"/>
    <x v="151"/>
    <s v="CHARGES"/>
    <x v="0"/>
    <s v="3221.002"/>
    <s v="Intérêts compensatoires / créances en faveur ctb."/>
    <n v="-0.4"/>
    <n v="0"/>
    <n v="3221"/>
  </r>
  <r>
    <x v="0"/>
    <x v="5"/>
    <x v="1"/>
    <x v="174"/>
    <x v="151"/>
    <x v="151"/>
    <s v="CHARGES"/>
    <x v="1"/>
    <s v="3301.001"/>
    <s v="Défalcations, abandons de solde PP et IS"/>
    <n v="0.11"/>
    <n v="0"/>
    <n v="3301"/>
  </r>
  <r>
    <x v="0"/>
    <x v="5"/>
    <x v="1"/>
    <x v="174"/>
    <x v="151"/>
    <x v="151"/>
    <s v="CHARGES"/>
    <x v="0"/>
    <s v="3212.002"/>
    <s v="Intérêts bonifiés/trop perçu acompte C/C"/>
    <n v="0.05"/>
    <n v="0"/>
    <n v="3212"/>
  </r>
  <r>
    <x v="0"/>
    <x v="5"/>
    <x v="1"/>
    <x v="174"/>
    <x v="151"/>
    <x v="151"/>
    <s v="CHARGES"/>
    <x v="0"/>
    <s v="3212.004"/>
    <s v="Intérêts rémun./perçu trop tôt sur acomptes C/C"/>
    <n v="0.26"/>
    <n v="0"/>
    <n v="3212"/>
  </r>
  <r>
    <x v="0"/>
    <x v="5"/>
    <x v="1"/>
    <x v="174"/>
    <x v="151"/>
    <x v="151"/>
    <s v="CHARGES"/>
    <x v="0"/>
    <s v="3221.002"/>
    <s v="Intérêts compensatoires / créances en faveur ctb."/>
    <n v="0.18"/>
    <n v="0"/>
    <n v="3221"/>
  </r>
  <r>
    <x v="0"/>
    <x v="5"/>
    <x v="1"/>
    <x v="174"/>
    <x v="151"/>
    <x v="151"/>
    <s v="CHARGES"/>
    <x v="0"/>
    <s v="3212.002"/>
    <s v="Intérêts bonifiés/trop perçu acompte C/C"/>
    <n v="0.01"/>
    <n v="0"/>
    <n v="3212"/>
  </r>
  <r>
    <x v="0"/>
    <x v="5"/>
    <x v="1"/>
    <x v="174"/>
    <x v="151"/>
    <x v="151"/>
    <s v="CHARGES"/>
    <x v="0"/>
    <s v="3212.004"/>
    <s v="Intérêts rémun./perçu trop tôt sur acomptes C/C"/>
    <n v="0.74"/>
    <n v="0"/>
    <n v="3212"/>
  </r>
  <r>
    <x v="0"/>
    <x v="5"/>
    <x v="1"/>
    <x v="174"/>
    <x v="151"/>
    <x v="151"/>
    <s v="CHARGES"/>
    <x v="1"/>
    <s v="3301.001"/>
    <s v="Défalcations, abandons de solde PP et IS"/>
    <n v="0.64"/>
    <n v="0"/>
    <n v="3301"/>
  </r>
  <r>
    <x v="0"/>
    <x v="5"/>
    <x v="1"/>
    <x v="174"/>
    <x v="151"/>
    <x v="151"/>
    <s v="CHARGES"/>
    <x v="1"/>
    <s v="3301.003"/>
    <s v="Remises PP et IS"/>
    <n v="1519.48"/>
    <n v="0"/>
    <n v="3301"/>
  </r>
  <r>
    <x v="0"/>
    <x v="5"/>
    <x v="1"/>
    <x v="174"/>
    <x v="151"/>
    <x v="151"/>
    <s v="CHARGES"/>
    <x v="0"/>
    <s v="3212.004"/>
    <s v="Intérêts rémun./perçu trop tôt sur acomptes C/C"/>
    <n v="5.97"/>
    <n v="0"/>
    <n v="3212"/>
  </r>
  <r>
    <x v="0"/>
    <x v="5"/>
    <x v="1"/>
    <x v="174"/>
    <x v="151"/>
    <x v="151"/>
    <s v="CHARGES"/>
    <x v="0"/>
    <s v="3221.002"/>
    <s v="Intérêts compensatoires / créances en faveur ctb."/>
    <n v="2.85"/>
    <n v="0"/>
    <n v="3221"/>
  </r>
  <r>
    <x v="0"/>
    <x v="5"/>
    <x v="1"/>
    <x v="174"/>
    <x v="151"/>
    <x v="151"/>
    <s v="CHARGES"/>
    <x v="1"/>
    <s v="3301.001"/>
    <s v="Défalcations, abandons de solde PP et IS"/>
    <n v="1618.18"/>
    <n v="0"/>
    <n v="3301"/>
  </r>
  <r>
    <x v="0"/>
    <x v="5"/>
    <x v="1"/>
    <x v="174"/>
    <x v="151"/>
    <x v="151"/>
    <s v="CHARGES"/>
    <x v="0"/>
    <s v="3221.002"/>
    <s v="Intérêts compensatoires / créances en faveur ctb."/>
    <n v="0.96"/>
    <n v="0"/>
    <n v="3221"/>
  </r>
  <r>
    <x v="0"/>
    <x v="5"/>
    <x v="1"/>
    <x v="174"/>
    <x v="151"/>
    <x v="151"/>
    <s v="CHARGES"/>
    <x v="1"/>
    <s v="3301.001"/>
    <s v="Défalcations, abandons de solde PP et IS"/>
    <n v="0.1"/>
    <n v="0"/>
    <n v="3301"/>
  </r>
  <r>
    <x v="0"/>
    <x v="5"/>
    <x v="1"/>
    <x v="174"/>
    <x v="151"/>
    <x v="151"/>
    <s v="CHARGES"/>
    <x v="1"/>
    <s v="3301.001"/>
    <s v="Défalcations, abandons de solde PP et IS"/>
    <n v="0.15"/>
    <n v="0"/>
    <n v="3301"/>
  </r>
  <r>
    <x v="0"/>
    <x v="5"/>
    <x v="1"/>
    <x v="174"/>
    <x v="151"/>
    <x v="151"/>
    <s v="CHARGES"/>
    <x v="0"/>
    <s v="3212.002"/>
    <s v="Intérêts bonifiés/trop perçu acompte C/C"/>
    <n v="5.72"/>
    <n v="0"/>
    <n v="3212"/>
  </r>
  <r>
    <x v="0"/>
    <x v="5"/>
    <x v="1"/>
    <x v="174"/>
    <x v="151"/>
    <x v="151"/>
    <s v="REVENUS"/>
    <x v="2"/>
    <s v="4001.007"/>
    <s v="Acompte impôt sur revenu"/>
    <n v="0"/>
    <n v="-681563.74"/>
    <n v="4001"/>
  </r>
  <r>
    <x v="0"/>
    <x v="5"/>
    <x v="1"/>
    <x v="174"/>
    <x v="151"/>
    <x v="151"/>
    <s v="REVENUS"/>
    <x v="3"/>
    <s v="4002.007"/>
    <s v="Acompte impôt sur fortune"/>
    <n v="0"/>
    <n v="-191096.94"/>
    <n v="4002"/>
  </r>
  <r>
    <x v="0"/>
    <x v="5"/>
    <x v="1"/>
    <x v="174"/>
    <x v="151"/>
    <x v="151"/>
    <s v="REVENUS"/>
    <x v="2"/>
    <s v="4001.001"/>
    <s v="Impôt revenu"/>
    <n v="0"/>
    <n v="3531799.8"/>
    <n v="4001"/>
  </r>
  <r>
    <x v="0"/>
    <x v="5"/>
    <x v="1"/>
    <x v="174"/>
    <x v="151"/>
    <x v="151"/>
    <s v="REVENUS"/>
    <x v="2"/>
    <s v="4001.002"/>
    <s v="Impôt complément s/revenu PP"/>
    <n v="0"/>
    <n v="502220.15"/>
    <n v="4001"/>
  </r>
  <r>
    <x v="0"/>
    <x v="5"/>
    <x v="1"/>
    <x v="174"/>
    <x v="151"/>
    <x v="151"/>
    <s v="REVENUS"/>
    <x v="2"/>
    <s v="4001.007"/>
    <s v="Acompte impôt sur revenu"/>
    <n v="0"/>
    <n v="507657.9"/>
    <n v="4001"/>
  </r>
  <r>
    <x v="0"/>
    <x v="5"/>
    <x v="1"/>
    <x v="174"/>
    <x v="151"/>
    <x v="151"/>
    <s v="REVENUS"/>
    <x v="3"/>
    <s v="4002.001"/>
    <s v="Impôt ordinaire s/fortune PP"/>
    <n v="0"/>
    <n v="438782"/>
    <n v="4002"/>
  </r>
  <r>
    <x v="0"/>
    <x v="5"/>
    <x v="1"/>
    <x v="174"/>
    <x v="151"/>
    <x v="151"/>
    <s v="REVENUS"/>
    <x v="10"/>
    <s v="4041.001"/>
    <s v="Droits de mutation"/>
    <n v="0"/>
    <n v="271270.95"/>
    <n v="4041"/>
  </r>
  <r>
    <x v="0"/>
    <x v="5"/>
    <x v="1"/>
    <x v="174"/>
    <x v="151"/>
    <x v="151"/>
    <s v="REVENUS"/>
    <x v="6"/>
    <s v="4211.001"/>
    <s v="Intérêts de retard sur factures"/>
    <n v="0"/>
    <n v="15375.94"/>
    <n v="4211"/>
  </r>
  <r>
    <x v="0"/>
    <x v="5"/>
    <x v="1"/>
    <x v="174"/>
    <x v="151"/>
    <x v="151"/>
    <s v="REVENUS"/>
    <x v="6"/>
    <s v="4211.002"/>
    <s v="Intérêts de retard sur acomptes"/>
    <n v="0"/>
    <n v="23681.19"/>
    <n v="4211"/>
  </r>
  <r>
    <x v="0"/>
    <x v="5"/>
    <x v="1"/>
    <x v="174"/>
    <x v="151"/>
    <x v="151"/>
    <s v="REVENUS"/>
    <x v="6"/>
    <s v="4221.003"/>
    <s v="Intérêts compensat. / acomptes en faveur du fisc"/>
    <n v="0"/>
    <n v="552.59"/>
    <n v="4221"/>
  </r>
  <r>
    <x v="0"/>
    <x v="5"/>
    <x v="1"/>
    <x v="174"/>
    <x v="151"/>
    <x v="151"/>
    <s v="REVENUS"/>
    <x v="6"/>
    <s v="4211.001"/>
    <s v="Intérêts de retard sur factures"/>
    <n v="0"/>
    <n v="6.01"/>
    <n v="4211"/>
  </r>
  <r>
    <x v="0"/>
    <x v="5"/>
    <x v="1"/>
    <x v="174"/>
    <x v="151"/>
    <x v="151"/>
    <s v="REVENUS"/>
    <x v="2"/>
    <s v="4001.003"/>
    <s v="Impôt s/prest. cap. PP"/>
    <n v="0"/>
    <n v="146777"/>
    <n v="4001"/>
  </r>
  <r>
    <x v="0"/>
    <x v="5"/>
    <x v="1"/>
    <x v="174"/>
    <x v="151"/>
    <x v="151"/>
    <s v="REVENUS"/>
    <x v="3"/>
    <s v="4002.007"/>
    <s v="Acompte impôt sur fortune"/>
    <n v="0"/>
    <n v="221406.19"/>
    <n v="4002"/>
  </r>
  <r>
    <x v="0"/>
    <x v="5"/>
    <x v="1"/>
    <x v="174"/>
    <x v="151"/>
    <x v="151"/>
    <s v="REVENUS"/>
    <x v="6"/>
    <s v="4221.002"/>
    <s v="Intérêts compensat. sur impôts distincts"/>
    <n v="0"/>
    <n v="5.6"/>
    <n v="4221"/>
  </r>
  <r>
    <x v="0"/>
    <x v="5"/>
    <x v="1"/>
    <x v="174"/>
    <x v="151"/>
    <x v="151"/>
    <s v="REVENUS"/>
    <x v="5"/>
    <s v="4061.000"/>
    <s v="Impôt sur les chiens"/>
    <n v="0"/>
    <n v="3435"/>
    <n v="4061"/>
  </r>
  <r>
    <x v="0"/>
    <x v="5"/>
    <x v="1"/>
    <x v="174"/>
    <x v="151"/>
    <x v="151"/>
    <s v="REVENUS"/>
    <x v="3"/>
    <s v="4002.002"/>
    <s v="Impôt complémentaire s/fortune PP"/>
    <n v="0"/>
    <n v="161592.5"/>
    <n v="4002"/>
  </r>
  <r>
    <x v="0"/>
    <x v="5"/>
    <x v="1"/>
    <x v="174"/>
    <x v="151"/>
    <x v="151"/>
    <s v="REVENUS"/>
    <x v="7"/>
    <s v="4184.000"/>
    <s v="Frais de poursuite"/>
    <n v="0"/>
    <n v="5675.1"/>
    <n v="4184"/>
  </r>
  <r>
    <x v="0"/>
    <x v="5"/>
    <x v="1"/>
    <x v="174"/>
    <x v="151"/>
    <x v="151"/>
    <s v="REVENUS"/>
    <x v="6"/>
    <s v="4211.002"/>
    <s v="Intérêts de retard sur acomptes"/>
    <n v="0"/>
    <n v="21.31"/>
    <n v="4211"/>
  </r>
  <r>
    <x v="0"/>
    <x v="5"/>
    <x v="1"/>
    <x v="174"/>
    <x v="151"/>
    <x v="151"/>
    <s v="REVENUS"/>
    <x v="2"/>
    <s v="4001.001"/>
    <s v="Impôt revenu"/>
    <n v="0"/>
    <n v="1841"/>
    <n v="4001"/>
  </r>
  <r>
    <x v="0"/>
    <x v="5"/>
    <x v="1"/>
    <x v="174"/>
    <x v="151"/>
    <x v="151"/>
    <s v="REVENUS"/>
    <x v="3"/>
    <s v="4002.001"/>
    <s v="Impôt ordinaire s/fortune PP"/>
    <n v="0"/>
    <n v="39.799999999999997"/>
    <n v="4002"/>
  </r>
  <r>
    <x v="0"/>
    <x v="5"/>
    <x v="1"/>
    <x v="174"/>
    <x v="151"/>
    <x v="151"/>
    <s v="REVENUS"/>
    <x v="3"/>
    <s v="4002.007"/>
    <s v="Acompte impôt sur fortune"/>
    <n v="0"/>
    <n v="-14815.58"/>
    <n v="4002"/>
  </r>
  <r>
    <x v="0"/>
    <x v="5"/>
    <x v="1"/>
    <x v="174"/>
    <x v="151"/>
    <x v="151"/>
    <s v="REVENUS"/>
    <x v="6"/>
    <s v="4221.003"/>
    <s v="Intérêts compensat. / acomptes en faveur du fisc"/>
    <n v="0"/>
    <n v="0.23"/>
    <n v="4221"/>
  </r>
  <r>
    <x v="0"/>
    <x v="5"/>
    <x v="1"/>
    <x v="174"/>
    <x v="151"/>
    <x v="151"/>
    <s v="REVENUS"/>
    <x v="6"/>
    <s v="4211.001"/>
    <s v="Intérêts de retard sur factures"/>
    <n v="0"/>
    <n v="62.73"/>
    <n v="4211"/>
  </r>
  <r>
    <x v="0"/>
    <x v="5"/>
    <x v="1"/>
    <x v="174"/>
    <x v="151"/>
    <x v="151"/>
    <s v="REVENUS"/>
    <x v="2"/>
    <s v="4001.001"/>
    <s v="Impôt revenu"/>
    <n v="0"/>
    <n v="-26090.7"/>
    <n v="4001"/>
  </r>
  <r>
    <x v="0"/>
    <x v="5"/>
    <x v="1"/>
    <x v="174"/>
    <x v="151"/>
    <x v="151"/>
    <s v="REVENUS"/>
    <x v="2"/>
    <s v="4001.007"/>
    <s v="Acompte impôt sur revenu"/>
    <n v="0"/>
    <n v="42413.45"/>
    <n v="4001"/>
  </r>
  <r>
    <x v="0"/>
    <x v="5"/>
    <x v="1"/>
    <x v="174"/>
    <x v="151"/>
    <x v="151"/>
    <s v="REVENUS"/>
    <x v="3"/>
    <s v="4002.001"/>
    <s v="Impôt ordinaire s/fortune PP"/>
    <n v="0"/>
    <n v="-12835.05"/>
    <n v="4002"/>
  </r>
  <r>
    <x v="0"/>
    <x v="5"/>
    <x v="1"/>
    <x v="174"/>
    <x v="151"/>
    <x v="151"/>
    <s v="REVENUS"/>
    <x v="3"/>
    <s v="4002.007"/>
    <s v="Acompte impôt sur fortune"/>
    <n v="0"/>
    <n v="72170.22"/>
    <n v="4002"/>
  </r>
  <r>
    <x v="0"/>
    <x v="5"/>
    <x v="1"/>
    <x v="174"/>
    <x v="151"/>
    <x v="151"/>
    <s v="REVENUS"/>
    <x v="9"/>
    <s v="4031.001"/>
    <s v="Impôt sur les gains immobiliers"/>
    <n v="0"/>
    <n v="28857.95"/>
    <n v="4031"/>
  </r>
  <r>
    <x v="0"/>
    <x v="5"/>
    <x v="1"/>
    <x v="174"/>
    <x v="151"/>
    <x v="151"/>
    <s v="REVENUS"/>
    <x v="2"/>
    <s v="4001.001"/>
    <s v="Impôt revenu"/>
    <n v="0"/>
    <n v="56.55"/>
    <n v="4001"/>
  </r>
  <r>
    <x v="0"/>
    <x v="5"/>
    <x v="1"/>
    <x v="174"/>
    <x v="151"/>
    <x v="151"/>
    <s v="REVENUS"/>
    <x v="6"/>
    <s v="4221.003"/>
    <s v="Intérêts compensat. / acomptes en faveur du fisc"/>
    <n v="0"/>
    <n v="0.11"/>
    <n v="4221"/>
  </r>
  <r>
    <x v="0"/>
    <x v="5"/>
    <x v="1"/>
    <x v="174"/>
    <x v="151"/>
    <x v="151"/>
    <s v="REVENUS"/>
    <x v="2"/>
    <s v="4001.007"/>
    <s v="Acompte impôt sur revenu"/>
    <n v="0"/>
    <n v="975.55"/>
    <n v="4001"/>
  </r>
  <r>
    <x v="0"/>
    <x v="5"/>
    <x v="1"/>
    <x v="174"/>
    <x v="151"/>
    <x v="151"/>
    <s v="REVENUS"/>
    <x v="2"/>
    <s v="4001.007"/>
    <s v="Acompte impôt sur revenu"/>
    <n v="0"/>
    <n v="1292.22"/>
    <n v="4001"/>
  </r>
  <r>
    <x v="0"/>
    <x v="5"/>
    <x v="1"/>
    <x v="174"/>
    <x v="151"/>
    <x v="151"/>
    <s v="REVENUS"/>
    <x v="3"/>
    <s v="4002.007"/>
    <s v="Acompte impôt sur fortune"/>
    <n v="0"/>
    <n v="1415.1"/>
    <n v="4002"/>
  </r>
  <r>
    <x v="0"/>
    <x v="5"/>
    <x v="1"/>
    <x v="174"/>
    <x v="151"/>
    <x v="151"/>
    <s v="REVENUS"/>
    <x v="12"/>
    <s v="4004.007"/>
    <s v="Acompte spécial étrangers"/>
    <n v="0"/>
    <n v="3468.8"/>
    <n v="4004"/>
  </r>
  <r>
    <x v="0"/>
    <x v="5"/>
    <x v="1"/>
    <x v="174"/>
    <x v="151"/>
    <x v="151"/>
    <s v="REVENUS"/>
    <x v="3"/>
    <s v="4002.007"/>
    <s v="Acompte impôt sur fortune"/>
    <n v="0"/>
    <n v="771.79"/>
    <n v="4002"/>
  </r>
  <r>
    <x v="0"/>
    <x v="5"/>
    <x v="1"/>
    <x v="174"/>
    <x v="151"/>
    <x v="151"/>
    <s v="REVENUS"/>
    <x v="3"/>
    <s v="4002.001"/>
    <s v="Impôt ordinaire s/fortune PP"/>
    <n v="0"/>
    <n v="-54946.55"/>
    <n v="4002"/>
  </r>
  <r>
    <x v="0"/>
    <x v="5"/>
    <x v="1"/>
    <x v="174"/>
    <x v="151"/>
    <x v="151"/>
    <s v="REVENUS"/>
    <x v="2"/>
    <s v="4001.001"/>
    <s v="Impôt revenu"/>
    <n v="0"/>
    <n v="-199643.95"/>
    <n v="4001"/>
  </r>
  <r>
    <x v="0"/>
    <x v="5"/>
    <x v="1"/>
    <x v="174"/>
    <x v="151"/>
    <x v="151"/>
    <s v="REVENUS"/>
    <x v="2"/>
    <s v="4001.007"/>
    <s v="Acompte impôt sur revenu"/>
    <n v="0"/>
    <n v="906.26"/>
    <n v="4001"/>
  </r>
  <r>
    <x v="0"/>
    <x v="5"/>
    <x v="1"/>
    <x v="174"/>
    <x v="151"/>
    <x v="151"/>
    <s v="REVENUS"/>
    <x v="2"/>
    <s v="4001.007"/>
    <s v="Acompte impôt sur revenu"/>
    <n v="0"/>
    <n v="4774.71"/>
    <n v="4001"/>
  </r>
  <r>
    <x v="0"/>
    <x v="5"/>
    <x v="1"/>
    <x v="174"/>
    <x v="151"/>
    <x v="151"/>
    <s v="REVENUS"/>
    <x v="3"/>
    <s v="4002.007"/>
    <s v="Acompte impôt sur fortune"/>
    <n v="0"/>
    <n v="2375.65"/>
    <n v="4002"/>
  </r>
  <r>
    <x v="0"/>
    <x v="5"/>
    <x v="1"/>
    <x v="174"/>
    <x v="151"/>
    <x v="151"/>
    <s v="REVENUS"/>
    <x v="6"/>
    <s v="4221.003"/>
    <s v="Intérêts compensat. / acomptes en faveur du fisc"/>
    <n v="0"/>
    <n v="1.07"/>
    <n v="4221"/>
  </r>
  <r>
    <x v="0"/>
    <x v="5"/>
    <x v="1"/>
    <x v="174"/>
    <x v="151"/>
    <x v="151"/>
    <s v="REVENUS"/>
    <x v="7"/>
    <s v="4184.000"/>
    <s v="Frais de poursuite"/>
    <n v="0"/>
    <n v="26.98"/>
    <n v="4184"/>
  </r>
  <r>
    <x v="0"/>
    <x v="5"/>
    <x v="1"/>
    <x v="174"/>
    <x v="151"/>
    <x v="151"/>
    <s v="REVENUS"/>
    <x v="8"/>
    <s v="4091.001"/>
    <s v="Impôt récupéré après défalcations"/>
    <n v="0"/>
    <n v="18131.16"/>
    <n v="4091"/>
  </r>
  <r>
    <x v="0"/>
    <x v="5"/>
    <x v="1"/>
    <x v="174"/>
    <x v="151"/>
    <x v="151"/>
    <s v="REVENUS"/>
    <x v="6"/>
    <s v="4211.002"/>
    <s v="Intérêts de retard sur acomptes"/>
    <n v="0"/>
    <n v="1.86"/>
    <n v="4211"/>
  </r>
  <r>
    <x v="0"/>
    <x v="5"/>
    <x v="1"/>
    <x v="174"/>
    <x v="151"/>
    <x v="151"/>
    <s v="REVENUS"/>
    <x v="6"/>
    <s v="4221.003"/>
    <s v="Intérêts compensat. / acomptes en faveur du fisc"/>
    <n v="0"/>
    <n v="-0.33"/>
    <n v="4221"/>
  </r>
  <r>
    <x v="0"/>
    <x v="5"/>
    <x v="1"/>
    <x v="174"/>
    <x v="151"/>
    <x v="151"/>
    <s v="REVENUS"/>
    <x v="7"/>
    <s v="4184.000"/>
    <s v="Frais de poursuite"/>
    <n v="0"/>
    <n v="345.22"/>
    <n v="4184"/>
  </r>
  <r>
    <x v="0"/>
    <x v="5"/>
    <x v="1"/>
    <x v="174"/>
    <x v="151"/>
    <x v="151"/>
    <s v="REVENUS"/>
    <x v="2"/>
    <s v="4001.002"/>
    <s v="Impôt complément s/revenu PP"/>
    <n v="0"/>
    <n v="370.6"/>
    <n v="4001"/>
  </r>
  <r>
    <x v="0"/>
    <x v="5"/>
    <x v="1"/>
    <x v="174"/>
    <x v="151"/>
    <x v="151"/>
    <s v="REVENUS"/>
    <x v="3"/>
    <s v="4002.002"/>
    <s v="Impôt complémentaire s/fortune PP"/>
    <n v="0"/>
    <n v="1108.5999999999999"/>
    <n v="4002"/>
  </r>
  <r>
    <x v="0"/>
    <x v="5"/>
    <x v="1"/>
    <x v="174"/>
    <x v="151"/>
    <x v="151"/>
    <s v="REVENUS"/>
    <x v="2"/>
    <s v="4001.007"/>
    <s v="Acompte impôt sur revenu"/>
    <n v="0"/>
    <n v="32.450000000000003"/>
    <n v="4001"/>
  </r>
  <r>
    <x v="0"/>
    <x v="5"/>
    <x v="1"/>
    <x v="174"/>
    <x v="151"/>
    <x v="151"/>
    <s v="REVENUS"/>
    <x v="3"/>
    <s v="4002.007"/>
    <s v="Acompte impôt sur fortune"/>
    <n v="0"/>
    <n v="35.450000000000003"/>
    <n v="4002"/>
  </r>
  <r>
    <x v="0"/>
    <x v="5"/>
    <x v="1"/>
    <x v="174"/>
    <x v="151"/>
    <x v="151"/>
    <s v="REVENUS"/>
    <x v="3"/>
    <s v="4002.001"/>
    <s v="Impôt ordinaire s/fortune PP"/>
    <n v="0"/>
    <n v="276.89999999999998"/>
    <n v="4002"/>
  </r>
  <r>
    <x v="0"/>
    <x v="5"/>
    <x v="1"/>
    <x v="174"/>
    <x v="151"/>
    <x v="151"/>
    <s v="REVENUS"/>
    <x v="2"/>
    <s v="4001.002"/>
    <s v="Impôt complément s/revenu PP"/>
    <n v="0"/>
    <n v="34853.5"/>
    <n v="4001"/>
  </r>
  <r>
    <x v="0"/>
    <x v="5"/>
    <x v="1"/>
    <x v="174"/>
    <x v="151"/>
    <x v="151"/>
    <s v="REVENUS"/>
    <x v="3"/>
    <s v="4002.002"/>
    <s v="Impôt complémentaire s/fortune PP"/>
    <n v="0"/>
    <n v="17070.75"/>
    <n v="4002"/>
  </r>
  <r>
    <x v="0"/>
    <x v="5"/>
    <x v="1"/>
    <x v="174"/>
    <x v="151"/>
    <x v="151"/>
    <s v="REVENUS"/>
    <x v="6"/>
    <s v="4211.002"/>
    <s v="Intérêts de retard sur acomptes"/>
    <n v="0"/>
    <n v="23.04"/>
    <n v="4211"/>
  </r>
  <r>
    <x v="0"/>
    <x v="5"/>
    <x v="1"/>
    <x v="174"/>
    <x v="151"/>
    <x v="151"/>
    <s v="REVENUS"/>
    <x v="2"/>
    <s v="4001.002"/>
    <s v="Impôt complément s/revenu PP"/>
    <n v="0"/>
    <n v="899.4"/>
    <n v="4001"/>
  </r>
  <r>
    <x v="0"/>
    <x v="5"/>
    <x v="1"/>
    <x v="174"/>
    <x v="151"/>
    <x v="151"/>
    <s v="REVENUS"/>
    <x v="3"/>
    <s v="4002.002"/>
    <s v="Impôt complémentaire s/fortune PP"/>
    <n v="0"/>
    <n v="305"/>
    <n v="4002"/>
  </r>
  <r>
    <x v="0"/>
    <x v="5"/>
    <x v="1"/>
    <x v="174"/>
    <x v="151"/>
    <x v="151"/>
    <s v="REVENUS"/>
    <x v="2"/>
    <s v="4001.007"/>
    <s v="Acompte impôt sur revenu"/>
    <n v="0"/>
    <n v="-3352.15"/>
    <n v="4001"/>
  </r>
  <r>
    <x v="0"/>
    <x v="5"/>
    <x v="1"/>
    <x v="174"/>
    <x v="151"/>
    <x v="151"/>
    <s v="REVENUS"/>
    <x v="3"/>
    <s v="4002.007"/>
    <s v="Acompte impôt sur fortune"/>
    <n v="0"/>
    <n v="-2906.25"/>
    <n v="4002"/>
  </r>
  <r>
    <x v="0"/>
    <x v="5"/>
    <x v="1"/>
    <x v="174"/>
    <x v="151"/>
    <x v="151"/>
    <s v="REVENUS"/>
    <x v="2"/>
    <s v="4001.001"/>
    <s v="Impôt revenu"/>
    <n v="0"/>
    <n v="3952.35"/>
    <n v="4001"/>
  </r>
  <r>
    <x v="0"/>
    <x v="5"/>
    <x v="1"/>
    <x v="174"/>
    <x v="151"/>
    <x v="151"/>
    <s v="REVENUS"/>
    <x v="3"/>
    <s v="4002.001"/>
    <s v="Impôt ordinaire s/fortune PP"/>
    <n v="0"/>
    <n v="2986.3"/>
    <n v="4002"/>
  </r>
  <r>
    <x v="0"/>
    <x v="5"/>
    <x v="1"/>
    <x v="174"/>
    <x v="151"/>
    <x v="151"/>
    <s v="REVENUS"/>
    <x v="6"/>
    <s v="4211.001"/>
    <s v="Intérêts de retard sur factures"/>
    <n v="0"/>
    <n v="-0.03"/>
    <n v="4211"/>
  </r>
  <r>
    <x v="0"/>
    <x v="5"/>
    <x v="1"/>
    <x v="174"/>
    <x v="151"/>
    <x v="151"/>
    <s v="REVENUS"/>
    <x v="6"/>
    <s v="4221.003"/>
    <s v="Intérêts compensat. / acomptes en faveur du fisc"/>
    <n v="0"/>
    <n v="0.09"/>
    <n v="4221"/>
  </r>
  <r>
    <x v="0"/>
    <x v="5"/>
    <x v="1"/>
    <x v="174"/>
    <x v="151"/>
    <x v="151"/>
    <s v="REVENUS"/>
    <x v="9"/>
    <s v="4031.002"/>
    <s v="Complément impôt sur les gains immobiliers"/>
    <n v="0"/>
    <n v="11233.55"/>
    <n v="4031"/>
  </r>
  <r>
    <x v="0"/>
    <x v="5"/>
    <x v="1"/>
    <x v="174"/>
    <x v="151"/>
    <x v="151"/>
    <s v="REVENUS"/>
    <x v="6"/>
    <s v="4211.002"/>
    <s v="Intérêts de retard sur acomptes"/>
    <n v="0"/>
    <n v="7.0000000000000007E-2"/>
    <n v="4211"/>
  </r>
  <r>
    <x v="0"/>
    <x v="5"/>
    <x v="1"/>
    <x v="174"/>
    <x v="151"/>
    <x v="151"/>
    <s v="REVENUS"/>
    <x v="12"/>
    <s v="4004.000"/>
    <s v="Impôt spécial étrangers"/>
    <n v="0"/>
    <n v="27320.35"/>
    <n v="4004"/>
  </r>
  <r>
    <x v="0"/>
    <x v="5"/>
    <x v="1"/>
    <x v="174"/>
    <x v="151"/>
    <x v="151"/>
    <s v="REVENUS"/>
    <x v="2"/>
    <s v="4001.002"/>
    <s v="Impôt complément s/revenu PP"/>
    <n v="0"/>
    <n v="-3308.65"/>
    <n v="4001"/>
  </r>
  <r>
    <x v="0"/>
    <x v="5"/>
    <x v="1"/>
    <x v="174"/>
    <x v="151"/>
    <x v="151"/>
    <s v="REVENUS"/>
    <x v="3"/>
    <s v="4002.002"/>
    <s v="Impôt complémentaire s/fortune PP"/>
    <n v="0"/>
    <n v="-1900.05"/>
    <n v="4002"/>
  </r>
  <r>
    <x v="0"/>
    <x v="5"/>
    <x v="1"/>
    <x v="174"/>
    <x v="151"/>
    <x v="151"/>
    <s v="REVENUS"/>
    <x v="6"/>
    <s v="4211.002"/>
    <s v="Intérêts de retard sur acomptes"/>
    <n v="0"/>
    <n v="28.26"/>
    <n v="4211"/>
  </r>
  <r>
    <x v="0"/>
    <x v="5"/>
    <x v="1"/>
    <x v="174"/>
    <x v="151"/>
    <x v="151"/>
    <s v="REVENUS"/>
    <x v="8"/>
    <s v="4091.001"/>
    <s v="Impôt récupéré après défalcations"/>
    <n v="0"/>
    <n v="1120.67"/>
    <n v="4091"/>
  </r>
  <r>
    <x v="0"/>
    <x v="5"/>
    <x v="1"/>
    <x v="175"/>
    <x v="152"/>
    <x v="152"/>
    <s v="CHARGES"/>
    <x v="0"/>
    <s v="3212.002"/>
    <s v="Intérêts bonifiés/trop perçu acompte C/C"/>
    <n v="7.62"/>
    <n v="0"/>
    <n v="3212"/>
  </r>
  <r>
    <x v="0"/>
    <x v="5"/>
    <x v="1"/>
    <x v="175"/>
    <x v="152"/>
    <x v="152"/>
    <s v="REVENUS"/>
    <x v="9"/>
    <s v="4031.001"/>
    <s v="Impôt sur les gains immobiliers"/>
    <n v="0"/>
    <n v="29908.799999999999"/>
    <n v="4031"/>
  </r>
  <r>
    <x v="0"/>
    <x v="8"/>
    <x v="8"/>
    <x v="176"/>
    <x v="153"/>
    <x v="153"/>
    <s v="CHARGES"/>
    <x v="0"/>
    <s v="3212.004"/>
    <s v="Intérêts rémun./perçu trop tôt sur acomptes C/C"/>
    <n v="-5295.27"/>
    <n v="0"/>
    <n v="3212"/>
  </r>
  <r>
    <x v="0"/>
    <x v="8"/>
    <x v="8"/>
    <x v="176"/>
    <x v="153"/>
    <x v="153"/>
    <s v="CHARGES"/>
    <x v="0"/>
    <s v="3221.002"/>
    <s v="Intérêts compensatoires / créances en faveur ctb."/>
    <n v="71.67"/>
    <n v="0"/>
    <n v="3221"/>
  </r>
  <r>
    <x v="0"/>
    <x v="8"/>
    <x v="8"/>
    <x v="176"/>
    <x v="153"/>
    <x v="153"/>
    <s v="CHARGES"/>
    <x v="1"/>
    <s v="3301.001"/>
    <s v="Défalcations, abandons de solde PP et IS"/>
    <n v="25150.959999999999"/>
    <n v="0"/>
    <n v="3301"/>
  </r>
  <r>
    <x v="0"/>
    <x v="8"/>
    <x v="8"/>
    <x v="176"/>
    <x v="153"/>
    <x v="153"/>
    <s v="CHARGES"/>
    <x v="1"/>
    <s v="3301.001"/>
    <s v="Défalcations, abandons de solde PP et IS"/>
    <n v="5.12"/>
    <n v="0"/>
    <n v="3301"/>
  </r>
  <r>
    <x v="0"/>
    <x v="8"/>
    <x v="8"/>
    <x v="176"/>
    <x v="153"/>
    <x v="153"/>
    <s v="CHARGES"/>
    <x v="0"/>
    <s v="3212.004"/>
    <s v="Intérêts rémun./perçu trop tôt sur acomptes C/C"/>
    <n v="6.78"/>
    <n v="0"/>
    <n v="3212"/>
  </r>
  <r>
    <x v="0"/>
    <x v="8"/>
    <x v="8"/>
    <x v="176"/>
    <x v="153"/>
    <x v="153"/>
    <s v="CHARGES"/>
    <x v="0"/>
    <s v="3221.002"/>
    <s v="Intérêts compensatoires / créances en faveur ctb."/>
    <n v="1.79"/>
    <n v="0"/>
    <n v="3221"/>
  </r>
  <r>
    <x v="0"/>
    <x v="8"/>
    <x v="8"/>
    <x v="176"/>
    <x v="153"/>
    <x v="153"/>
    <s v="CHARGES"/>
    <x v="0"/>
    <s v="3212.002"/>
    <s v="Intérêts bonifiés/trop perçu acompte C/C"/>
    <n v="495.5"/>
    <n v="0"/>
    <n v="3212"/>
  </r>
  <r>
    <x v="0"/>
    <x v="8"/>
    <x v="8"/>
    <x v="176"/>
    <x v="153"/>
    <x v="153"/>
    <s v="CHARGES"/>
    <x v="0"/>
    <s v="3212.004"/>
    <s v="Intérêts rémun./perçu trop tôt sur acomptes C/C"/>
    <n v="5689.74"/>
    <n v="0"/>
    <n v="3212"/>
  </r>
  <r>
    <x v="0"/>
    <x v="8"/>
    <x v="8"/>
    <x v="176"/>
    <x v="153"/>
    <x v="153"/>
    <s v="CHARGES"/>
    <x v="0"/>
    <s v="3212.002"/>
    <s v="Intérêts bonifiés/trop perçu acompte C/C"/>
    <n v="0.43"/>
    <n v="0"/>
    <n v="3212"/>
  </r>
  <r>
    <x v="0"/>
    <x v="8"/>
    <x v="8"/>
    <x v="176"/>
    <x v="153"/>
    <x v="153"/>
    <s v="CHARGES"/>
    <x v="1"/>
    <s v="3301.001"/>
    <s v="Défalcations, abandons de solde PP et IS"/>
    <n v="8.43"/>
    <n v="0"/>
    <n v="3301"/>
  </r>
  <r>
    <x v="0"/>
    <x v="8"/>
    <x v="8"/>
    <x v="176"/>
    <x v="153"/>
    <x v="153"/>
    <s v="CHARGES"/>
    <x v="0"/>
    <s v="3212.004"/>
    <s v="Intérêts rémun./perçu trop tôt sur acomptes C/C"/>
    <n v="4.08"/>
    <n v="0"/>
    <n v="3212"/>
  </r>
  <r>
    <x v="0"/>
    <x v="8"/>
    <x v="8"/>
    <x v="176"/>
    <x v="153"/>
    <x v="153"/>
    <s v="CHARGES"/>
    <x v="0"/>
    <s v="3221.002"/>
    <s v="Intérêts compensatoires / créances en faveur ctb."/>
    <n v="3.68"/>
    <n v="0"/>
    <n v="3221"/>
  </r>
  <r>
    <x v="0"/>
    <x v="8"/>
    <x v="8"/>
    <x v="176"/>
    <x v="153"/>
    <x v="153"/>
    <s v="CHARGES"/>
    <x v="0"/>
    <s v="3212.004"/>
    <s v="Intérêts rémun./perçu trop tôt sur acomptes C/C"/>
    <n v="0.43"/>
    <n v="0"/>
    <n v="3212"/>
  </r>
  <r>
    <x v="0"/>
    <x v="8"/>
    <x v="8"/>
    <x v="176"/>
    <x v="153"/>
    <x v="153"/>
    <s v="CHARGES"/>
    <x v="0"/>
    <s v="3221.002"/>
    <s v="Intérêts compensatoires / créances en faveur ctb."/>
    <n v="0.28999999999999998"/>
    <n v="0"/>
    <n v="3221"/>
  </r>
  <r>
    <x v="0"/>
    <x v="8"/>
    <x v="8"/>
    <x v="176"/>
    <x v="153"/>
    <x v="153"/>
    <s v="CHARGES"/>
    <x v="0"/>
    <s v="3212.002"/>
    <s v="Intérêts bonifiés/trop perçu acompte C/C"/>
    <n v="0.36"/>
    <n v="0"/>
    <n v="3212"/>
  </r>
  <r>
    <x v="0"/>
    <x v="8"/>
    <x v="8"/>
    <x v="176"/>
    <x v="153"/>
    <x v="153"/>
    <s v="CHARGES"/>
    <x v="1"/>
    <s v="3301.001"/>
    <s v="Défalcations, abandons de solde PP et IS"/>
    <n v="2.83"/>
    <n v="0"/>
    <n v="3301"/>
  </r>
  <r>
    <x v="0"/>
    <x v="8"/>
    <x v="8"/>
    <x v="176"/>
    <x v="153"/>
    <x v="153"/>
    <s v="CHARGES"/>
    <x v="0"/>
    <s v="3221.002"/>
    <s v="Intérêts compensatoires / créances en faveur ctb."/>
    <n v="0.1"/>
    <n v="0"/>
    <n v="3221"/>
  </r>
  <r>
    <x v="0"/>
    <x v="8"/>
    <x v="8"/>
    <x v="176"/>
    <x v="153"/>
    <x v="153"/>
    <s v="CHARGES"/>
    <x v="1"/>
    <s v="3301.001"/>
    <s v="Défalcations, abandons de solde PP et IS"/>
    <n v="-1040.74"/>
    <n v="0"/>
    <n v="3301"/>
  </r>
  <r>
    <x v="0"/>
    <x v="8"/>
    <x v="8"/>
    <x v="176"/>
    <x v="153"/>
    <x v="153"/>
    <s v="CHARGES"/>
    <x v="0"/>
    <s v="3212.004"/>
    <s v="Intérêts rémun./perçu trop tôt sur acomptes C/C"/>
    <n v="0.01"/>
    <n v="0"/>
    <n v="3212"/>
  </r>
  <r>
    <x v="0"/>
    <x v="8"/>
    <x v="8"/>
    <x v="176"/>
    <x v="153"/>
    <x v="153"/>
    <s v="CHARGES"/>
    <x v="0"/>
    <s v="3221.002"/>
    <s v="Intérêts compensatoires / créances en faveur ctb."/>
    <n v="0.32"/>
    <n v="0"/>
    <n v="3221"/>
  </r>
  <r>
    <x v="0"/>
    <x v="8"/>
    <x v="8"/>
    <x v="176"/>
    <x v="153"/>
    <x v="153"/>
    <s v="REVENUS"/>
    <x v="6"/>
    <s v="4211.001"/>
    <s v="Intérêts de retard sur factures"/>
    <n v="0"/>
    <n v="1052.92"/>
    <n v="4211"/>
  </r>
  <r>
    <x v="0"/>
    <x v="8"/>
    <x v="8"/>
    <x v="176"/>
    <x v="153"/>
    <x v="153"/>
    <s v="REVENUS"/>
    <x v="2"/>
    <s v="4001.001"/>
    <s v="Impôt revenu"/>
    <n v="0"/>
    <n v="1493245"/>
    <n v="4001"/>
  </r>
  <r>
    <x v="0"/>
    <x v="8"/>
    <x v="8"/>
    <x v="176"/>
    <x v="153"/>
    <x v="153"/>
    <s v="REVENUS"/>
    <x v="2"/>
    <s v="4001.007"/>
    <s v="Acompte impôt sur revenu"/>
    <n v="0"/>
    <n v="-157825.46"/>
    <n v="4001"/>
  </r>
  <r>
    <x v="0"/>
    <x v="8"/>
    <x v="8"/>
    <x v="176"/>
    <x v="153"/>
    <x v="153"/>
    <s v="REVENUS"/>
    <x v="3"/>
    <s v="4002.001"/>
    <s v="Impôt ordinaire s/fortune PP"/>
    <n v="0"/>
    <n v="194920.95"/>
    <n v="4002"/>
  </r>
  <r>
    <x v="0"/>
    <x v="8"/>
    <x v="8"/>
    <x v="176"/>
    <x v="153"/>
    <x v="153"/>
    <s v="REVENUS"/>
    <x v="3"/>
    <s v="4002.007"/>
    <s v="Acompte impôt sur fortune"/>
    <n v="0"/>
    <n v="-33002.93"/>
    <n v="4002"/>
  </r>
  <r>
    <x v="0"/>
    <x v="8"/>
    <x v="8"/>
    <x v="176"/>
    <x v="153"/>
    <x v="153"/>
    <s v="REVENUS"/>
    <x v="6"/>
    <s v="4211.001"/>
    <s v="Intérêts de retard sur factures"/>
    <n v="0"/>
    <n v="17718.02"/>
    <n v="4211"/>
  </r>
  <r>
    <x v="0"/>
    <x v="8"/>
    <x v="8"/>
    <x v="176"/>
    <x v="153"/>
    <x v="153"/>
    <s v="REVENUS"/>
    <x v="6"/>
    <s v="4221.003"/>
    <s v="Intérêts compensat. / acomptes en faveur du fisc"/>
    <n v="0"/>
    <n v="1326.67"/>
    <n v="4221"/>
  </r>
  <r>
    <x v="0"/>
    <x v="8"/>
    <x v="8"/>
    <x v="176"/>
    <x v="153"/>
    <x v="153"/>
    <s v="REVENUS"/>
    <x v="2"/>
    <s v="4001.007"/>
    <s v="Acompte impôt sur revenu"/>
    <n v="0"/>
    <n v="-8408.2999999999993"/>
    <n v="4001"/>
  </r>
  <r>
    <x v="0"/>
    <x v="8"/>
    <x v="8"/>
    <x v="176"/>
    <x v="153"/>
    <x v="153"/>
    <s v="REVENUS"/>
    <x v="3"/>
    <s v="4002.007"/>
    <s v="Acompte impôt sur fortune"/>
    <n v="0"/>
    <n v="-1229.55"/>
    <n v="4002"/>
  </r>
  <r>
    <x v="0"/>
    <x v="8"/>
    <x v="8"/>
    <x v="176"/>
    <x v="153"/>
    <x v="153"/>
    <s v="REVENUS"/>
    <x v="2"/>
    <s v="4001.001"/>
    <s v="Impôt revenu"/>
    <n v="0"/>
    <n v="24491.95"/>
    <n v="4001"/>
  </r>
  <r>
    <x v="0"/>
    <x v="8"/>
    <x v="8"/>
    <x v="176"/>
    <x v="153"/>
    <x v="153"/>
    <s v="REVENUS"/>
    <x v="3"/>
    <s v="4002.001"/>
    <s v="Impôt ordinaire s/fortune PP"/>
    <n v="0"/>
    <n v="3105.6"/>
    <n v="4002"/>
  </r>
  <r>
    <x v="0"/>
    <x v="8"/>
    <x v="8"/>
    <x v="176"/>
    <x v="153"/>
    <x v="153"/>
    <s v="REVENUS"/>
    <x v="6"/>
    <s v="4221.003"/>
    <s v="Intérêts compensat. / acomptes en faveur du fisc"/>
    <n v="0"/>
    <n v="8.9700000000000006"/>
    <n v="4221"/>
  </r>
  <r>
    <x v="0"/>
    <x v="8"/>
    <x v="8"/>
    <x v="176"/>
    <x v="153"/>
    <x v="153"/>
    <s v="REVENUS"/>
    <x v="2"/>
    <s v="4001.001"/>
    <s v="Impôt revenu"/>
    <n v="0"/>
    <n v="38186.25"/>
    <n v="4001"/>
  </r>
  <r>
    <x v="0"/>
    <x v="8"/>
    <x v="8"/>
    <x v="176"/>
    <x v="153"/>
    <x v="153"/>
    <s v="REVENUS"/>
    <x v="2"/>
    <s v="4001.007"/>
    <s v="Acompte impôt sur revenu"/>
    <n v="0"/>
    <n v="231.04"/>
    <n v="4001"/>
  </r>
  <r>
    <x v="0"/>
    <x v="8"/>
    <x v="8"/>
    <x v="176"/>
    <x v="153"/>
    <x v="153"/>
    <s v="REVENUS"/>
    <x v="3"/>
    <s v="4002.001"/>
    <s v="Impôt ordinaire s/fortune PP"/>
    <n v="0"/>
    <n v="4109.3"/>
    <n v="4002"/>
  </r>
  <r>
    <x v="0"/>
    <x v="8"/>
    <x v="8"/>
    <x v="176"/>
    <x v="153"/>
    <x v="153"/>
    <s v="REVENUS"/>
    <x v="3"/>
    <s v="4002.007"/>
    <s v="Acompte impôt sur fortune"/>
    <n v="0"/>
    <n v="806.26"/>
    <n v="4002"/>
  </r>
  <r>
    <x v="0"/>
    <x v="8"/>
    <x v="8"/>
    <x v="176"/>
    <x v="153"/>
    <x v="153"/>
    <s v="REVENUS"/>
    <x v="6"/>
    <s v="4211.002"/>
    <s v="Intérêts de retard sur acomptes"/>
    <n v="0"/>
    <n v="21605.98"/>
    <n v="4211"/>
  </r>
  <r>
    <x v="0"/>
    <x v="8"/>
    <x v="8"/>
    <x v="176"/>
    <x v="153"/>
    <x v="153"/>
    <s v="REVENUS"/>
    <x v="2"/>
    <s v="4001.003"/>
    <s v="Impôt s/prest. cap. PP"/>
    <n v="0"/>
    <n v="47027.25"/>
    <n v="4001"/>
  </r>
  <r>
    <x v="0"/>
    <x v="8"/>
    <x v="8"/>
    <x v="176"/>
    <x v="153"/>
    <x v="153"/>
    <s v="REVENUS"/>
    <x v="7"/>
    <s v="4184.000"/>
    <s v="Frais de poursuite"/>
    <n v="0"/>
    <n v="1772.75"/>
    <n v="4184"/>
  </r>
  <r>
    <x v="0"/>
    <x v="8"/>
    <x v="8"/>
    <x v="176"/>
    <x v="153"/>
    <x v="153"/>
    <s v="REVENUS"/>
    <x v="6"/>
    <s v="4221.002"/>
    <s v="Intérêts compensat. sur impôts distincts"/>
    <n v="0"/>
    <n v="18.649999999999999"/>
    <n v="4221"/>
  </r>
  <r>
    <x v="0"/>
    <x v="8"/>
    <x v="8"/>
    <x v="176"/>
    <x v="153"/>
    <x v="153"/>
    <s v="REVENUS"/>
    <x v="9"/>
    <s v="4031.001"/>
    <s v="Impôt sur les gains immobiliers"/>
    <n v="0"/>
    <n v="112130.1"/>
    <n v="4031"/>
  </r>
  <r>
    <x v="0"/>
    <x v="8"/>
    <x v="8"/>
    <x v="176"/>
    <x v="153"/>
    <x v="153"/>
    <s v="REVENUS"/>
    <x v="3"/>
    <s v="4002.002"/>
    <s v="Impôt complémentaire s/fortune PP"/>
    <n v="0"/>
    <n v="5684.15"/>
    <n v="4002"/>
  </r>
  <r>
    <x v="0"/>
    <x v="8"/>
    <x v="8"/>
    <x v="176"/>
    <x v="153"/>
    <x v="153"/>
    <s v="REVENUS"/>
    <x v="2"/>
    <s v="4001.007"/>
    <s v="Acompte impôt sur revenu"/>
    <n v="0"/>
    <n v="8422.15"/>
    <n v="4001"/>
  </r>
  <r>
    <x v="0"/>
    <x v="8"/>
    <x v="8"/>
    <x v="176"/>
    <x v="153"/>
    <x v="153"/>
    <s v="REVENUS"/>
    <x v="3"/>
    <s v="4002.007"/>
    <s v="Acompte impôt sur fortune"/>
    <n v="0"/>
    <n v="-1387.94"/>
    <n v="4002"/>
  </r>
  <r>
    <x v="0"/>
    <x v="8"/>
    <x v="8"/>
    <x v="176"/>
    <x v="153"/>
    <x v="153"/>
    <s v="REVENUS"/>
    <x v="2"/>
    <s v="4001.002"/>
    <s v="Impôt complément s/revenu PP"/>
    <n v="0"/>
    <n v="111137"/>
    <n v="4001"/>
  </r>
  <r>
    <x v="0"/>
    <x v="8"/>
    <x v="8"/>
    <x v="176"/>
    <x v="153"/>
    <x v="153"/>
    <s v="REVENUS"/>
    <x v="2"/>
    <s v="4001.007"/>
    <s v="Acompte impôt sur revenu"/>
    <n v="0"/>
    <n v="2299.2199999999998"/>
    <n v="4001"/>
  </r>
  <r>
    <x v="0"/>
    <x v="8"/>
    <x v="8"/>
    <x v="176"/>
    <x v="153"/>
    <x v="153"/>
    <s v="REVENUS"/>
    <x v="3"/>
    <s v="4002.007"/>
    <s v="Acompte impôt sur fortune"/>
    <n v="0"/>
    <n v="1992.95"/>
    <n v="4002"/>
  </r>
  <r>
    <x v="0"/>
    <x v="8"/>
    <x v="8"/>
    <x v="176"/>
    <x v="153"/>
    <x v="153"/>
    <s v="REVENUS"/>
    <x v="2"/>
    <s v="4001.002"/>
    <s v="Impôt complément s/revenu PP"/>
    <n v="0"/>
    <n v="407573.2"/>
    <n v="4001"/>
  </r>
  <r>
    <x v="0"/>
    <x v="8"/>
    <x v="8"/>
    <x v="176"/>
    <x v="153"/>
    <x v="153"/>
    <s v="REVENUS"/>
    <x v="2"/>
    <s v="4001.005"/>
    <s v="Amende de soustract. Impôt"/>
    <n v="0"/>
    <n v="14250"/>
    <n v="4001"/>
  </r>
  <r>
    <x v="0"/>
    <x v="8"/>
    <x v="8"/>
    <x v="176"/>
    <x v="153"/>
    <x v="153"/>
    <s v="REVENUS"/>
    <x v="3"/>
    <s v="4002.002"/>
    <s v="Impôt complémentaire s/fortune PP"/>
    <n v="0"/>
    <n v="84465.7"/>
    <n v="4002"/>
  </r>
  <r>
    <x v="0"/>
    <x v="8"/>
    <x v="8"/>
    <x v="176"/>
    <x v="153"/>
    <x v="153"/>
    <s v="REVENUS"/>
    <x v="2"/>
    <s v="4001.002"/>
    <s v="Impôt complément s/revenu PP"/>
    <n v="0"/>
    <n v="-31.55"/>
    <n v="4001"/>
  </r>
  <r>
    <x v="0"/>
    <x v="8"/>
    <x v="8"/>
    <x v="176"/>
    <x v="153"/>
    <x v="153"/>
    <s v="REVENUS"/>
    <x v="3"/>
    <s v="4002.007"/>
    <s v="Acompte impôt sur fortune"/>
    <n v="0"/>
    <n v="7283.25"/>
    <n v="4002"/>
  </r>
  <r>
    <x v="0"/>
    <x v="8"/>
    <x v="8"/>
    <x v="176"/>
    <x v="153"/>
    <x v="153"/>
    <s v="REVENUS"/>
    <x v="2"/>
    <s v="4001.007"/>
    <s v="Acompte impôt sur revenu"/>
    <n v="0"/>
    <n v="9.6999999999999993"/>
    <n v="4001"/>
  </r>
  <r>
    <x v="0"/>
    <x v="8"/>
    <x v="8"/>
    <x v="176"/>
    <x v="153"/>
    <x v="153"/>
    <s v="REVENUS"/>
    <x v="3"/>
    <s v="4002.007"/>
    <s v="Acompte impôt sur fortune"/>
    <n v="0"/>
    <n v="-206.4"/>
    <n v="4002"/>
  </r>
  <r>
    <x v="0"/>
    <x v="8"/>
    <x v="8"/>
    <x v="176"/>
    <x v="153"/>
    <x v="153"/>
    <s v="REVENUS"/>
    <x v="2"/>
    <s v="4001.007"/>
    <s v="Acompte impôt sur revenu"/>
    <n v="0"/>
    <n v="29975.7"/>
    <n v="4001"/>
  </r>
  <r>
    <x v="0"/>
    <x v="8"/>
    <x v="8"/>
    <x v="176"/>
    <x v="153"/>
    <x v="153"/>
    <s v="REVENUS"/>
    <x v="6"/>
    <s v="4221.003"/>
    <s v="Intérêts compensat. / acomptes en faveur du fisc"/>
    <n v="0"/>
    <n v="31.99"/>
    <n v="4221"/>
  </r>
  <r>
    <x v="0"/>
    <x v="8"/>
    <x v="8"/>
    <x v="176"/>
    <x v="153"/>
    <x v="153"/>
    <s v="REVENUS"/>
    <x v="2"/>
    <s v="4001.002"/>
    <s v="Impôt complément s/revenu PP"/>
    <n v="0"/>
    <n v="8033.9"/>
    <n v="4001"/>
  </r>
  <r>
    <x v="0"/>
    <x v="8"/>
    <x v="8"/>
    <x v="176"/>
    <x v="153"/>
    <x v="153"/>
    <s v="REVENUS"/>
    <x v="3"/>
    <s v="4002.002"/>
    <s v="Impôt complémentaire s/fortune PP"/>
    <n v="0"/>
    <n v="502.3"/>
    <n v="4002"/>
  </r>
  <r>
    <x v="0"/>
    <x v="8"/>
    <x v="8"/>
    <x v="176"/>
    <x v="153"/>
    <x v="153"/>
    <s v="REVENUS"/>
    <x v="2"/>
    <s v="4001.001"/>
    <s v="Impôt revenu"/>
    <n v="0"/>
    <n v="29311.85"/>
    <n v="4001"/>
  </r>
  <r>
    <x v="0"/>
    <x v="8"/>
    <x v="8"/>
    <x v="176"/>
    <x v="153"/>
    <x v="153"/>
    <s v="REVENUS"/>
    <x v="3"/>
    <s v="4002.001"/>
    <s v="Impôt ordinaire s/fortune PP"/>
    <n v="0"/>
    <n v="3287.4"/>
    <n v="4002"/>
  </r>
  <r>
    <x v="0"/>
    <x v="8"/>
    <x v="8"/>
    <x v="176"/>
    <x v="153"/>
    <x v="153"/>
    <s v="REVENUS"/>
    <x v="6"/>
    <s v="4211.002"/>
    <s v="Intérêts de retard sur acomptes"/>
    <n v="0"/>
    <n v="283.56"/>
    <n v="4211"/>
  </r>
  <r>
    <x v="0"/>
    <x v="8"/>
    <x v="8"/>
    <x v="176"/>
    <x v="153"/>
    <x v="153"/>
    <s v="REVENUS"/>
    <x v="6"/>
    <s v="4211.001"/>
    <s v="Intérêts de retard sur factures"/>
    <n v="0"/>
    <n v="27.57"/>
    <n v="4211"/>
  </r>
  <r>
    <x v="0"/>
    <x v="8"/>
    <x v="8"/>
    <x v="176"/>
    <x v="153"/>
    <x v="153"/>
    <s v="REVENUS"/>
    <x v="6"/>
    <s v="4221.003"/>
    <s v="Intérêts compensat. / acomptes en faveur du fisc"/>
    <n v="0"/>
    <n v="15.84"/>
    <n v="4221"/>
  </r>
  <r>
    <x v="0"/>
    <x v="8"/>
    <x v="8"/>
    <x v="176"/>
    <x v="153"/>
    <x v="153"/>
    <s v="REVENUS"/>
    <x v="6"/>
    <s v="4211.002"/>
    <s v="Intérêts de retard sur acomptes"/>
    <n v="0"/>
    <n v="198.67"/>
    <n v="4211"/>
  </r>
  <r>
    <x v="0"/>
    <x v="8"/>
    <x v="8"/>
    <x v="176"/>
    <x v="153"/>
    <x v="153"/>
    <s v="REVENUS"/>
    <x v="6"/>
    <s v="4211.001"/>
    <s v="Intérêts de retard sur factures"/>
    <n v="0"/>
    <n v="58.7"/>
    <n v="4211"/>
  </r>
  <r>
    <x v="0"/>
    <x v="8"/>
    <x v="8"/>
    <x v="176"/>
    <x v="153"/>
    <x v="153"/>
    <s v="REVENUS"/>
    <x v="6"/>
    <s v="4211.002"/>
    <s v="Intérêts de retard sur acomptes"/>
    <n v="0"/>
    <n v="402.7"/>
    <n v="4211"/>
  </r>
  <r>
    <x v="0"/>
    <x v="8"/>
    <x v="8"/>
    <x v="176"/>
    <x v="153"/>
    <x v="153"/>
    <s v="REVENUS"/>
    <x v="10"/>
    <s v="4041.001"/>
    <s v="Droits de mutation"/>
    <n v="0"/>
    <n v="176720.05"/>
    <n v="4041"/>
  </r>
  <r>
    <x v="0"/>
    <x v="8"/>
    <x v="8"/>
    <x v="176"/>
    <x v="153"/>
    <x v="153"/>
    <s v="REVENUS"/>
    <x v="3"/>
    <s v="4002.001"/>
    <s v="Impôt ordinaire s/fortune PP"/>
    <n v="0"/>
    <n v="-951.85"/>
    <n v="4002"/>
  </r>
  <r>
    <x v="0"/>
    <x v="8"/>
    <x v="8"/>
    <x v="176"/>
    <x v="153"/>
    <x v="153"/>
    <s v="REVENUS"/>
    <x v="6"/>
    <s v="4211.002"/>
    <s v="Intérêts de retard sur acomptes"/>
    <n v="0"/>
    <n v="0.48"/>
    <n v="4211"/>
  </r>
  <r>
    <x v="0"/>
    <x v="8"/>
    <x v="8"/>
    <x v="176"/>
    <x v="153"/>
    <x v="153"/>
    <s v="REVENUS"/>
    <x v="7"/>
    <s v="4184.000"/>
    <s v="Frais de poursuite"/>
    <n v="0"/>
    <n v="5.42"/>
    <n v="4184"/>
  </r>
  <r>
    <x v="0"/>
    <x v="8"/>
    <x v="8"/>
    <x v="176"/>
    <x v="153"/>
    <x v="153"/>
    <s v="REVENUS"/>
    <x v="3"/>
    <s v="4002.002"/>
    <s v="Impôt complémentaire s/fortune PP"/>
    <n v="0"/>
    <n v="1601.9"/>
    <n v="4002"/>
  </r>
  <r>
    <x v="0"/>
    <x v="8"/>
    <x v="8"/>
    <x v="176"/>
    <x v="153"/>
    <x v="153"/>
    <s v="REVENUS"/>
    <x v="6"/>
    <s v="4211.001"/>
    <s v="Intérêts de retard sur factures"/>
    <n v="0"/>
    <n v="0.04"/>
    <n v="4211"/>
  </r>
  <r>
    <x v="0"/>
    <x v="8"/>
    <x v="8"/>
    <x v="176"/>
    <x v="153"/>
    <x v="153"/>
    <s v="REVENUS"/>
    <x v="8"/>
    <s v="4091.001"/>
    <s v="Impôt récupéré après défalcations"/>
    <n v="0"/>
    <n v="8244.7000000000007"/>
    <n v="4091"/>
  </r>
  <r>
    <x v="0"/>
    <x v="8"/>
    <x v="8"/>
    <x v="176"/>
    <x v="153"/>
    <x v="153"/>
    <s v="REVENUS"/>
    <x v="2"/>
    <s v="4001.003"/>
    <s v="Impôt s/prest. cap. PP"/>
    <n v="0"/>
    <n v="715.8"/>
    <n v="4001"/>
  </r>
  <r>
    <x v="0"/>
    <x v="8"/>
    <x v="8"/>
    <x v="176"/>
    <x v="153"/>
    <x v="153"/>
    <s v="REVENUS"/>
    <x v="7"/>
    <s v="4184.000"/>
    <s v="Frais de poursuite"/>
    <n v="0"/>
    <n v="516.86"/>
    <n v="4184"/>
  </r>
  <r>
    <x v="0"/>
    <x v="8"/>
    <x v="8"/>
    <x v="176"/>
    <x v="153"/>
    <x v="153"/>
    <s v="REVENUS"/>
    <x v="2"/>
    <s v="4001.001"/>
    <s v="Impôt revenu"/>
    <n v="0"/>
    <n v="-1463.95"/>
    <n v="4001"/>
  </r>
  <r>
    <x v="0"/>
    <x v="8"/>
    <x v="8"/>
    <x v="176"/>
    <x v="153"/>
    <x v="153"/>
    <s v="REVENUS"/>
    <x v="2"/>
    <s v="4001.001"/>
    <s v="Impôt revenu"/>
    <n v="0"/>
    <n v="3131.5"/>
    <n v="4001"/>
  </r>
  <r>
    <x v="0"/>
    <x v="8"/>
    <x v="8"/>
    <x v="176"/>
    <x v="153"/>
    <x v="153"/>
    <s v="REVENUS"/>
    <x v="6"/>
    <s v="4211.002"/>
    <s v="Intérêts de retard sur acomptes"/>
    <n v="0"/>
    <n v="18.11"/>
    <n v="4211"/>
  </r>
  <r>
    <x v="0"/>
    <x v="8"/>
    <x v="8"/>
    <x v="176"/>
    <x v="153"/>
    <x v="153"/>
    <s v="REVENUS"/>
    <x v="7"/>
    <s v="4184.000"/>
    <s v="Frais de poursuite"/>
    <n v="0"/>
    <n v="25.07"/>
    <n v="4184"/>
  </r>
  <r>
    <x v="0"/>
    <x v="8"/>
    <x v="8"/>
    <x v="176"/>
    <x v="153"/>
    <x v="153"/>
    <s v="REVENUS"/>
    <x v="10"/>
    <s v="4041.002"/>
    <s v="Complément droit de mutation"/>
    <n v="0"/>
    <n v="3.2"/>
    <n v="4041"/>
  </r>
  <r>
    <x v="0"/>
    <x v="8"/>
    <x v="8"/>
    <x v="176"/>
    <x v="153"/>
    <x v="153"/>
    <s v="REVENUS"/>
    <x v="5"/>
    <s v="4061.000"/>
    <s v="Impôt sur les chiens"/>
    <n v="0"/>
    <n v="4120"/>
    <n v="4061"/>
  </r>
  <r>
    <x v="0"/>
    <x v="8"/>
    <x v="8"/>
    <x v="176"/>
    <x v="153"/>
    <x v="153"/>
    <s v="REVENUS"/>
    <x v="2"/>
    <s v="4001.005"/>
    <s v="Amende de soustract. Impôt"/>
    <n v="0"/>
    <n v="4400"/>
    <n v="4001"/>
  </r>
  <r>
    <x v="0"/>
    <x v="8"/>
    <x v="8"/>
    <x v="176"/>
    <x v="153"/>
    <x v="153"/>
    <s v="REVENUS"/>
    <x v="2"/>
    <s v="4001.002"/>
    <s v="Impôt complément s/revenu PP"/>
    <n v="0"/>
    <n v="2340.1"/>
    <n v="4001"/>
  </r>
  <r>
    <x v="0"/>
    <x v="8"/>
    <x v="8"/>
    <x v="176"/>
    <x v="153"/>
    <x v="153"/>
    <s v="REVENUS"/>
    <x v="3"/>
    <s v="4002.001"/>
    <s v="Impôt ordinaire s/fortune PP"/>
    <n v="0"/>
    <n v="1995.55"/>
    <n v="4002"/>
  </r>
  <r>
    <x v="0"/>
    <x v="8"/>
    <x v="8"/>
    <x v="176"/>
    <x v="153"/>
    <x v="153"/>
    <s v="REVENUS"/>
    <x v="6"/>
    <s v="4211.001"/>
    <s v="Intérêts de retard sur factures"/>
    <n v="0"/>
    <n v="3.43"/>
    <n v="4211"/>
  </r>
  <r>
    <x v="0"/>
    <x v="5"/>
    <x v="1"/>
    <x v="177"/>
    <x v="154"/>
    <x v="154"/>
    <s v="CHARGES"/>
    <x v="0"/>
    <s v="3212.002"/>
    <s v="Intérêts bonifiés/trop perçu acompte C/C"/>
    <n v="3.19"/>
    <n v="0"/>
    <n v="3212"/>
  </r>
  <r>
    <x v="0"/>
    <x v="5"/>
    <x v="1"/>
    <x v="177"/>
    <x v="154"/>
    <x v="154"/>
    <s v="CHARGES"/>
    <x v="0"/>
    <s v="3212.004"/>
    <s v="Intérêts rémun./perçu trop tôt sur acomptes C/C"/>
    <n v="214.72"/>
    <n v="0"/>
    <n v="3212"/>
  </r>
  <r>
    <x v="0"/>
    <x v="5"/>
    <x v="1"/>
    <x v="177"/>
    <x v="154"/>
    <x v="154"/>
    <s v="CHARGES"/>
    <x v="0"/>
    <s v="3221.002"/>
    <s v="Intérêts compensatoires / créances en faveur ctb."/>
    <n v="82.06"/>
    <n v="0"/>
    <n v="3221"/>
  </r>
  <r>
    <x v="0"/>
    <x v="5"/>
    <x v="1"/>
    <x v="177"/>
    <x v="154"/>
    <x v="154"/>
    <s v="CHARGES"/>
    <x v="1"/>
    <s v="3301.001"/>
    <s v="Défalcations, abandons de solde PP et IS"/>
    <n v="8867.07"/>
    <n v="0"/>
    <n v="3301"/>
  </r>
  <r>
    <x v="0"/>
    <x v="5"/>
    <x v="1"/>
    <x v="177"/>
    <x v="154"/>
    <x v="154"/>
    <s v="CHARGES"/>
    <x v="1"/>
    <s v="3301.001"/>
    <s v="Défalcations, abandons de solde PP et IS"/>
    <n v="0.69"/>
    <n v="0"/>
    <n v="3301"/>
  </r>
  <r>
    <x v="0"/>
    <x v="5"/>
    <x v="1"/>
    <x v="177"/>
    <x v="154"/>
    <x v="154"/>
    <s v="CHARGES"/>
    <x v="0"/>
    <s v="3212.004"/>
    <s v="Intérêts rémun./perçu trop tôt sur acomptes C/C"/>
    <n v="0.09"/>
    <n v="0"/>
    <n v="3212"/>
  </r>
  <r>
    <x v="0"/>
    <x v="5"/>
    <x v="1"/>
    <x v="177"/>
    <x v="154"/>
    <x v="154"/>
    <s v="CHARGES"/>
    <x v="0"/>
    <s v="3212.004"/>
    <s v="Intérêts rémun./perçu trop tôt sur acomptes C/C"/>
    <n v="19.47"/>
    <n v="0"/>
    <n v="3212"/>
  </r>
  <r>
    <x v="0"/>
    <x v="5"/>
    <x v="1"/>
    <x v="177"/>
    <x v="154"/>
    <x v="154"/>
    <s v="CHARGES"/>
    <x v="1"/>
    <s v="3301.003"/>
    <s v="Remises PP et IS"/>
    <n v="8410.6"/>
    <n v="0"/>
    <n v="3301"/>
  </r>
  <r>
    <x v="0"/>
    <x v="5"/>
    <x v="1"/>
    <x v="177"/>
    <x v="154"/>
    <x v="154"/>
    <s v="CHARGES"/>
    <x v="0"/>
    <s v="3212.004"/>
    <s v="Intérêts rémun./perçu trop tôt sur acomptes C/C"/>
    <n v="4.9400000000000004"/>
    <n v="0"/>
    <n v="3212"/>
  </r>
  <r>
    <x v="0"/>
    <x v="5"/>
    <x v="1"/>
    <x v="177"/>
    <x v="154"/>
    <x v="154"/>
    <s v="CHARGES"/>
    <x v="0"/>
    <s v="3221.002"/>
    <s v="Intérêts compensatoires / créances en faveur ctb."/>
    <n v="0.04"/>
    <n v="0"/>
    <n v="3221"/>
  </r>
  <r>
    <x v="0"/>
    <x v="5"/>
    <x v="1"/>
    <x v="177"/>
    <x v="154"/>
    <x v="154"/>
    <s v="CHARGES"/>
    <x v="0"/>
    <s v="3212.004"/>
    <s v="Intérêts rémun./perçu trop tôt sur acomptes C/C"/>
    <n v="0.01"/>
    <n v="0"/>
    <n v="3212"/>
  </r>
  <r>
    <x v="0"/>
    <x v="5"/>
    <x v="1"/>
    <x v="177"/>
    <x v="154"/>
    <x v="154"/>
    <s v="CHARGES"/>
    <x v="1"/>
    <s v="3301.001"/>
    <s v="Défalcations, abandons de solde PP et IS"/>
    <n v="-0.02"/>
    <n v="0"/>
    <n v="3301"/>
  </r>
  <r>
    <x v="0"/>
    <x v="5"/>
    <x v="1"/>
    <x v="177"/>
    <x v="154"/>
    <x v="154"/>
    <s v="CHARGES"/>
    <x v="0"/>
    <s v="3221.002"/>
    <s v="Intérêts compensatoires / créances en faveur ctb."/>
    <n v="1.25"/>
    <n v="0"/>
    <n v="3221"/>
  </r>
  <r>
    <x v="0"/>
    <x v="5"/>
    <x v="1"/>
    <x v="177"/>
    <x v="154"/>
    <x v="154"/>
    <s v="CHARGES"/>
    <x v="0"/>
    <s v="3212.002"/>
    <s v="Intérêts bonifiés/trop perçu acompte C/C"/>
    <n v="-0.01"/>
    <n v="0"/>
    <n v="3212"/>
  </r>
  <r>
    <x v="0"/>
    <x v="5"/>
    <x v="1"/>
    <x v="177"/>
    <x v="154"/>
    <x v="154"/>
    <s v="CHARGES"/>
    <x v="0"/>
    <s v="3221.002"/>
    <s v="Intérêts compensatoires / créances en faveur ctb."/>
    <n v="-0.49"/>
    <n v="0"/>
    <n v="3221"/>
  </r>
  <r>
    <x v="0"/>
    <x v="5"/>
    <x v="1"/>
    <x v="177"/>
    <x v="154"/>
    <x v="154"/>
    <s v="CHARGES"/>
    <x v="0"/>
    <s v="3212.004"/>
    <s v="Intérêts rémun./perçu trop tôt sur acomptes C/C"/>
    <n v="0.01"/>
    <n v="0"/>
    <n v="3212"/>
  </r>
  <r>
    <x v="0"/>
    <x v="5"/>
    <x v="1"/>
    <x v="177"/>
    <x v="154"/>
    <x v="154"/>
    <s v="CHARGES"/>
    <x v="0"/>
    <s v="3212.002"/>
    <s v="Intérêts bonifiés/trop perçu acompte C/C"/>
    <n v="0.63"/>
    <n v="0"/>
    <n v="3212"/>
  </r>
  <r>
    <x v="0"/>
    <x v="5"/>
    <x v="1"/>
    <x v="177"/>
    <x v="154"/>
    <x v="154"/>
    <s v="CHARGES"/>
    <x v="1"/>
    <s v="3301.001"/>
    <s v="Défalcations, abandons de solde PP et IS"/>
    <n v="0.1"/>
    <n v="0"/>
    <n v="3301"/>
  </r>
  <r>
    <x v="0"/>
    <x v="5"/>
    <x v="1"/>
    <x v="177"/>
    <x v="154"/>
    <x v="154"/>
    <s v="REVENUS"/>
    <x v="2"/>
    <s v="4001.007"/>
    <s v="Acompte impôt sur revenu"/>
    <n v="0"/>
    <n v="-312751.86"/>
    <n v="4001"/>
  </r>
  <r>
    <x v="0"/>
    <x v="5"/>
    <x v="1"/>
    <x v="177"/>
    <x v="154"/>
    <x v="154"/>
    <s v="REVENUS"/>
    <x v="2"/>
    <s v="4001.001"/>
    <s v="Impôt revenu"/>
    <n v="0"/>
    <n v="1018539.8"/>
    <n v="4001"/>
  </r>
  <r>
    <x v="0"/>
    <x v="5"/>
    <x v="1"/>
    <x v="177"/>
    <x v="154"/>
    <x v="154"/>
    <s v="REVENUS"/>
    <x v="2"/>
    <s v="4001.007"/>
    <s v="Acompte impôt sur revenu"/>
    <n v="0"/>
    <n v="193985.32"/>
    <n v="4001"/>
  </r>
  <r>
    <x v="0"/>
    <x v="5"/>
    <x v="1"/>
    <x v="177"/>
    <x v="154"/>
    <x v="154"/>
    <s v="REVENUS"/>
    <x v="6"/>
    <s v="4211.001"/>
    <s v="Intérêts de retard sur factures"/>
    <n v="0"/>
    <n v="14329.14"/>
    <n v="4211"/>
  </r>
  <r>
    <x v="0"/>
    <x v="5"/>
    <x v="1"/>
    <x v="177"/>
    <x v="154"/>
    <x v="154"/>
    <s v="REVENUS"/>
    <x v="3"/>
    <s v="4002.007"/>
    <s v="Acompte impôt sur fortune"/>
    <n v="0"/>
    <n v="160425.69"/>
    <n v="4002"/>
  </r>
  <r>
    <x v="0"/>
    <x v="5"/>
    <x v="1"/>
    <x v="177"/>
    <x v="154"/>
    <x v="154"/>
    <s v="REVENUS"/>
    <x v="3"/>
    <s v="4002.007"/>
    <s v="Acompte impôt sur fortune"/>
    <n v="0"/>
    <n v="-114524.63"/>
    <n v="4002"/>
  </r>
  <r>
    <x v="0"/>
    <x v="5"/>
    <x v="1"/>
    <x v="177"/>
    <x v="154"/>
    <x v="154"/>
    <s v="REVENUS"/>
    <x v="3"/>
    <s v="4002.001"/>
    <s v="Impôt ordinaire s/fortune PP"/>
    <n v="0"/>
    <n v="-13241.5"/>
    <n v="4002"/>
  </r>
  <r>
    <x v="0"/>
    <x v="5"/>
    <x v="1"/>
    <x v="177"/>
    <x v="154"/>
    <x v="154"/>
    <s v="REVENUS"/>
    <x v="6"/>
    <s v="4211.002"/>
    <s v="Intérêts de retard sur acomptes"/>
    <n v="0"/>
    <n v="9307.67"/>
    <n v="4211"/>
  </r>
  <r>
    <x v="0"/>
    <x v="5"/>
    <x v="1"/>
    <x v="177"/>
    <x v="154"/>
    <x v="154"/>
    <s v="REVENUS"/>
    <x v="6"/>
    <s v="4221.003"/>
    <s v="Intérêts compensat. / acomptes en faveur du fisc"/>
    <n v="0"/>
    <n v="169.38"/>
    <n v="4221"/>
  </r>
  <r>
    <x v="0"/>
    <x v="5"/>
    <x v="1"/>
    <x v="177"/>
    <x v="154"/>
    <x v="154"/>
    <s v="REVENUS"/>
    <x v="2"/>
    <s v="4001.002"/>
    <s v="Impôt complément s/revenu PP"/>
    <n v="0"/>
    <n v="1342118.7"/>
    <n v="4001"/>
  </r>
  <r>
    <x v="0"/>
    <x v="5"/>
    <x v="1"/>
    <x v="177"/>
    <x v="154"/>
    <x v="154"/>
    <s v="REVENUS"/>
    <x v="2"/>
    <s v="4001.003"/>
    <s v="Impôt s/prest. cap. PP"/>
    <n v="0"/>
    <n v="48534.15"/>
    <n v="4001"/>
  </r>
  <r>
    <x v="0"/>
    <x v="5"/>
    <x v="1"/>
    <x v="177"/>
    <x v="154"/>
    <x v="154"/>
    <s v="REVENUS"/>
    <x v="3"/>
    <s v="4002.002"/>
    <s v="Impôt complémentaire s/fortune PP"/>
    <n v="0"/>
    <n v="535217.69999999995"/>
    <n v="4002"/>
  </r>
  <r>
    <x v="0"/>
    <x v="5"/>
    <x v="1"/>
    <x v="177"/>
    <x v="154"/>
    <x v="154"/>
    <s v="REVENUS"/>
    <x v="9"/>
    <s v="4031.001"/>
    <s v="Impôt sur les gains immobiliers"/>
    <n v="0"/>
    <n v="51803.95"/>
    <n v="4031"/>
  </r>
  <r>
    <x v="0"/>
    <x v="5"/>
    <x v="1"/>
    <x v="177"/>
    <x v="154"/>
    <x v="154"/>
    <s v="REVENUS"/>
    <x v="6"/>
    <s v="4221.002"/>
    <s v="Intérêts compensat. sur impôts distincts"/>
    <n v="0"/>
    <n v="41.26"/>
    <n v="4221"/>
  </r>
  <r>
    <x v="0"/>
    <x v="5"/>
    <x v="1"/>
    <x v="177"/>
    <x v="154"/>
    <x v="154"/>
    <s v="REVENUS"/>
    <x v="7"/>
    <s v="4184.000"/>
    <s v="Frais de poursuite"/>
    <n v="0"/>
    <n v="1474.56"/>
    <n v="4184"/>
  </r>
  <r>
    <x v="0"/>
    <x v="5"/>
    <x v="1"/>
    <x v="177"/>
    <x v="154"/>
    <x v="154"/>
    <s v="REVENUS"/>
    <x v="4"/>
    <s v="4051.001"/>
    <s v="Impôt sur les successions"/>
    <n v="0"/>
    <n v="8344.7999999999993"/>
    <n v="4051"/>
  </r>
  <r>
    <x v="0"/>
    <x v="5"/>
    <x v="1"/>
    <x v="177"/>
    <x v="154"/>
    <x v="154"/>
    <s v="REVENUS"/>
    <x v="3"/>
    <s v="4002.007"/>
    <s v="Acompte impôt sur fortune"/>
    <n v="0"/>
    <n v="0"/>
    <n v="4002"/>
  </r>
  <r>
    <x v="0"/>
    <x v="5"/>
    <x v="1"/>
    <x v="177"/>
    <x v="154"/>
    <x v="154"/>
    <s v="REVENUS"/>
    <x v="2"/>
    <s v="4001.007"/>
    <s v="Acompte impôt sur revenu"/>
    <n v="0"/>
    <n v="0"/>
    <n v="4001"/>
  </r>
  <r>
    <x v="0"/>
    <x v="5"/>
    <x v="1"/>
    <x v="177"/>
    <x v="154"/>
    <x v="154"/>
    <s v="REVENUS"/>
    <x v="2"/>
    <s v="4001.007"/>
    <s v="Acompte impôt sur revenu"/>
    <n v="0"/>
    <n v="-6.55"/>
    <n v="4001"/>
  </r>
  <r>
    <x v="0"/>
    <x v="5"/>
    <x v="1"/>
    <x v="177"/>
    <x v="154"/>
    <x v="154"/>
    <s v="REVENUS"/>
    <x v="3"/>
    <s v="4002.007"/>
    <s v="Acompte impôt sur fortune"/>
    <n v="0"/>
    <n v="199.55"/>
    <n v="4002"/>
  </r>
  <r>
    <x v="0"/>
    <x v="5"/>
    <x v="1"/>
    <x v="177"/>
    <x v="154"/>
    <x v="154"/>
    <s v="REVENUS"/>
    <x v="5"/>
    <s v="4061.000"/>
    <s v="Impôt sur les chiens"/>
    <n v="0"/>
    <n v="3600"/>
    <n v="4061"/>
  </r>
  <r>
    <x v="0"/>
    <x v="5"/>
    <x v="1"/>
    <x v="177"/>
    <x v="154"/>
    <x v="154"/>
    <s v="REVENUS"/>
    <x v="2"/>
    <s v="4001.003"/>
    <s v="Impôt s/prest. cap. PP"/>
    <n v="0"/>
    <n v="90.85"/>
    <n v="4001"/>
  </r>
  <r>
    <x v="0"/>
    <x v="5"/>
    <x v="1"/>
    <x v="177"/>
    <x v="154"/>
    <x v="154"/>
    <s v="REVENUS"/>
    <x v="6"/>
    <s v="4221.002"/>
    <s v="Intérêts compensat. sur impôts distincts"/>
    <n v="0"/>
    <n v="0.13"/>
    <n v="4221"/>
  </r>
  <r>
    <x v="0"/>
    <x v="5"/>
    <x v="1"/>
    <x v="177"/>
    <x v="154"/>
    <x v="154"/>
    <s v="REVENUS"/>
    <x v="2"/>
    <s v="4001.007"/>
    <s v="Acompte impôt sur revenu"/>
    <n v="0"/>
    <n v="-5.3"/>
    <n v="4001"/>
  </r>
  <r>
    <x v="0"/>
    <x v="5"/>
    <x v="1"/>
    <x v="177"/>
    <x v="154"/>
    <x v="154"/>
    <s v="REVENUS"/>
    <x v="3"/>
    <s v="4002.007"/>
    <s v="Acompte impôt sur fortune"/>
    <n v="0"/>
    <n v="-1.8"/>
    <n v="4002"/>
  </r>
  <r>
    <x v="0"/>
    <x v="5"/>
    <x v="1"/>
    <x v="177"/>
    <x v="154"/>
    <x v="154"/>
    <s v="REVENUS"/>
    <x v="3"/>
    <s v="4002.007"/>
    <s v="Acompte impôt sur fortune"/>
    <n v="0"/>
    <n v="2088.96"/>
    <n v="4002"/>
  </r>
  <r>
    <x v="0"/>
    <x v="5"/>
    <x v="1"/>
    <x v="177"/>
    <x v="154"/>
    <x v="154"/>
    <s v="REVENUS"/>
    <x v="2"/>
    <s v="4001.001"/>
    <s v="Impôt revenu"/>
    <n v="0"/>
    <n v="12004.7"/>
    <n v="4001"/>
  </r>
  <r>
    <x v="0"/>
    <x v="5"/>
    <x v="1"/>
    <x v="177"/>
    <x v="154"/>
    <x v="154"/>
    <s v="REVENUS"/>
    <x v="3"/>
    <s v="4002.001"/>
    <s v="Impôt ordinaire s/fortune PP"/>
    <n v="0"/>
    <n v="8042.85"/>
    <n v="4002"/>
  </r>
  <r>
    <x v="0"/>
    <x v="5"/>
    <x v="1"/>
    <x v="177"/>
    <x v="154"/>
    <x v="154"/>
    <s v="REVENUS"/>
    <x v="2"/>
    <s v="4001.007"/>
    <s v="Acompte impôt sur revenu"/>
    <n v="0"/>
    <n v="-441.84"/>
    <n v="4001"/>
  </r>
  <r>
    <x v="0"/>
    <x v="5"/>
    <x v="1"/>
    <x v="177"/>
    <x v="154"/>
    <x v="154"/>
    <s v="REVENUS"/>
    <x v="2"/>
    <s v="4001.001"/>
    <s v="Impôt revenu"/>
    <n v="0"/>
    <n v="-825278.6"/>
    <n v="4001"/>
  </r>
  <r>
    <x v="0"/>
    <x v="5"/>
    <x v="1"/>
    <x v="177"/>
    <x v="154"/>
    <x v="154"/>
    <s v="REVENUS"/>
    <x v="3"/>
    <s v="4002.001"/>
    <s v="Impôt ordinaire s/fortune PP"/>
    <n v="0"/>
    <n v="-204157.95"/>
    <n v="4002"/>
  </r>
  <r>
    <x v="0"/>
    <x v="5"/>
    <x v="1"/>
    <x v="177"/>
    <x v="154"/>
    <x v="154"/>
    <s v="REVENUS"/>
    <x v="6"/>
    <s v="4211.001"/>
    <s v="Intérêts de retard sur factures"/>
    <n v="0"/>
    <n v="4.17"/>
    <n v="4211"/>
  </r>
  <r>
    <x v="0"/>
    <x v="5"/>
    <x v="1"/>
    <x v="177"/>
    <x v="154"/>
    <x v="154"/>
    <s v="REVENUS"/>
    <x v="2"/>
    <s v="4001.003"/>
    <s v="Impôt s/prest. cap. PP"/>
    <n v="0"/>
    <n v="-2803.15"/>
    <n v="4001"/>
  </r>
  <r>
    <x v="0"/>
    <x v="5"/>
    <x v="1"/>
    <x v="177"/>
    <x v="154"/>
    <x v="154"/>
    <s v="REVENUS"/>
    <x v="11"/>
    <s v="4198.000"/>
    <s v="Contributions communales"/>
    <n v="0"/>
    <n v="129134.8"/>
    <n v="4198"/>
  </r>
  <r>
    <x v="0"/>
    <x v="5"/>
    <x v="1"/>
    <x v="177"/>
    <x v="154"/>
    <x v="154"/>
    <s v="REVENUS"/>
    <x v="10"/>
    <s v="4041.001"/>
    <s v="Droits de mutation"/>
    <n v="0"/>
    <n v="37024.1"/>
    <n v="4041"/>
  </r>
  <r>
    <x v="0"/>
    <x v="5"/>
    <x v="1"/>
    <x v="177"/>
    <x v="154"/>
    <x v="154"/>
    <s v="REVENUS"/>
    <x v="2"/>
    <s v="4001.001"/>
    <s v="Impôt revenu"/>
    <n v="0"/>
    <n v="-5645.35"/>
    <n v="4001"/>
  </r>
  <r>
    <x v="0"/>
    <x v="5"/>
    <x v="1"/>
    <x v="177"/>
    <x v="154"/>
    <x v="154"/>
    <s v="REVENUS"/>
    <x v="3"/>
    <s v="4002.001"/>
    <s v="Impôt ordinaire s/fortune PP"/>
    <n v="0"/>
    <n v="-5277.7"/>
    <n v="4002"/>
  </r>
  <r>
    <x v="0"/>
    <x v="5"/>
    <x v="1"/>
    <x v="177"/>
    <x v="154"/>
    <x v="154"/>
    <s v="REVENUS"/>
    <x v="7"/>
    <s v="4184.000"/>
    <s v="Frais de poursuite"/>
    <n v="0"/>
    <n v="178.84"/>
    <n v="4184"/>
  </r>
  <r>
    <x v="0"/>
    <x v="5"/>
    <x v="1"/>
    <x v="177"/>
    <x v="154"/>
    <x v="154"/>
    <s v="REVENUS"/>
    <x v="3"/>
    <s v="4002.002"/>
    <s v="Impôt complémentaire s/fortune PP"/>
    <n v="0"/>
    <n v="384.85"/>
    <n v="4002"/>
  </r>
  <r>
    <x v="0"/>
    <x v="5"/>
    <x v="1"/>
    <x v="177"/>
    <x v="154"/>
    <x v="154"/>
    <s v="REVENUS"/>
    <x v="2"/>
    <s v="4001.001"/>
    <s v="Impôt revenu"/>
    <n v="0"/>
    <n v="41.05"/>
    <n v="4001"/>
  </r>
  <r>
    <x v="0"/>
    <x v="5"/>
    <x v="1"/>
    <x v="177"/>
    <x v="154"/>
    <x v="154"/>
    <s v="REVENUS"/>
    <x v="3"/>
    <s v="4002.001"/>
    <s v="Impôt ordinaire s/fortune PP"/>
    <n v="0"/>
    <n v="16.75"/>
    <n v="4002"/>
  </r>
  <r>
    <x v="0"/>
    <x v="5"/>
    <x v="1"/>
    <x v="177"/>
    <x v="154"/>
    <x v="154"/>
    <s v="REVENUS"/>
    <x v="3"/>
    <s v="4002.007"/>
    <s v="Acompte impôt sur fortune"/>
    <n v="0"/>
    <n v="-17.649999999999999"/>
    <n v="4002"/>
  </r>
  <r>
    <x v="0"/>
    <x v="5"/>
    <x v="1"/>
    <x v="177"/>
    <x v="154"/>
    <x v="154"/>
    <s v="REVENUS"/>
    <x v="2"/>
    <s v="4001.002"/>
    <s v="Impôt complément s/revenu PP"/>
    <n v="0"/>
    <n v="-47311.199999999997"/>
    <n v="4001"/>
  </r>
  <r>
    <x v="0"/>
    <x v="5"/>
    <x v="1"/>
    <x v="177"/>
    <x v="154"/>
    <x v="154"/>
    <s v="REVENUS"/>
    <x v="6"/>
    <s v="4211.002"/>
    <s v="Intérêts de retard sur acomptes"/>
    <n v="0"/>
    <n v="5.25"/>
    <n v="4211"/>
  </r>
  <r>
    <x v="0"/>
    <x v="5"/>
    <x v="1"/>
    <x v="177"/>
    <x v="154"/>
    <x v="154"/>
    <s v="REVENUS"/>
    <x v="6"/>
    <s v="4211.001"/>
    <s v="Intérêts de retard sur factures"/>
    <n v="0"/>
    <n v="3.19"/>
    <n v="4211"/>
  </r>
  <r>
    <x v="0"/>
    <x v="5"/>
    <x v="1"/>
    <x v="177"/>
    <x v="154"/>
    <x v="154"/>
    <s v="REVENUS"/>
    <x v="3"/>
    <s v="4002.002"/>
    <s v="Impôt complémentaire s/fortune PP"/>
    <n v="0"/>
    <n v="-11718.6"/>
    <n v="4002"/>
  </r>
  <r>
    <x v="0"/>
    <x v="5"/>
    <x v="1"/>
    <x v="177"/>
    <x v="154"/>
    <x v="154"/>
    <s v="REVENUS"/>
    <x v="2"/>
    <s v="4001.001"/>
    <s v="Impôt revenu"/>
    <n v="0"/>
    <n v="34.450000000000003"/>
    <n v="4001"/>
  </r>
  <r>
    <x v="0"/>
    <x v="5"/>
    <x v="1"/>
    <x v="177"/>
    <x v="154"/>
    <x v="154"/>
    <s v="REVENUS"/>
    <x v="3"/>
    <s v="4002.001"/>
    <s v="Impôt ordinaire s/fortune PP"/>
    <n v="0"/>
    <n v="18.8"/>
    <n v="4002"/>
  </r>
  <r>
    <x v="0"/>
    <x v="5"/>
    <x v="1"/>
    <x v="177"/>
    <x v="154"/>
    <x v="154"/>
    <s v="REVENUS"/>
    <x v="7"/>
    <s v="4184.000"/>
    <s v="Frais de poursuite"/>
    <n v="0"/>
    <n v="0.31"/>
    <n v="4184"/>
  </r>
  <r>
    <x v="0"/>
    <x v="5"/>
    <x v="1"/>
    <x v="177"/>
    <x v="154"/>
    <x v="154"/>
    <s v="REVENUS"/>
    <x v="6"/>
    <s v="4221.003"/>
    <s v="Intérêts compensat. / acomptes en faveur du fisc"/>
    <n v="0"/>
    <n v="0.26"/>
    <n v="4221"/>
  </r>
  <r>
    <x v="0"/>
    <x v="5"/>
    <x v="1"/>
    <x v="177"/>
    <x v="154"/>
    <x v="154"/>
    <s v="REVENUS"/>
    <x v="4"/>
    <s v="4051.002"/>
    <s v="Impôt sur les donations"/>
    <n v="0"/>
    <n v="70035"/>
    <n v="4051"/>
  </r>
  <r>
    <x v="0"/>
    <x v="5"/>
    <x v="1"/>
    <x v="177"/>
    <x v="154"/>
    <x v="154"/>
    <s v="REVENUS"/>
    <x v="2"/>
    <s v="4001.002"/>
    <s v="Impôt complément s/revenu PP"/>
    <n v="0"/>
    <n v="6522.75"/>
    <n v="4001"/>
  </r>
  <r>
    <x v="0"/>
    <x v="5"/>
    <x v="1"/>
    <x v="177"/>
    <x v="154"/>
    <x v="154"/>
    <s v="REVENUS"/>
    <x v="3"/>
    <s v="4002.002"/>
    <s v="Impôt complémentaire s/fortune PP"/>
    <n v="0"/>
    <n v="7745.65"/>
    <n v="4002"/>
  </r>
  <r>
    <x v="0"/>
    <x v="5"/>
    <x v="1"/>
    <x v="177"/>
    <x v="154"/>
    <x v="154"/>
    <s v="REVENUS"/>
    <x v="6"/>
    <s v="4211.002"/>
    <s v="Intérêts de retard sur acomptes"/>
    <n v="0"/>
    <n v="-0.1"/>
    <n v="4211"/>
  </r>
  <r>
    <x v="0"/>
    <x v="5"/>
    <x v="1"/>
    <x v="177"/>
    <x v="154"/>
    <x v="154"/>
    <s v="REVENUS"/>
    <x v="6"/>
    <s v="4221.003"/>
    <s v="Intérêts compensat. / acomptes en faveur du fisc"/>
    <n v="0"/>
    <n v="0.24"/>
    <n v="4221"/>
  </r>
  <r>
    <x v="0"/>
    <x v="5"/>
    <x v="1"/>
    <x v="177"/>
    <x v="154"/>
    <x v="154"/>
    <s v="REVENUS"/>
    <x v="6"/>
    <s v="4211.002"/>
    <s v="Intérêts de retard sur acomptes"/>
    <n v="0"/>
    <n v="19.04"/>
    <n v="4211"/>
  </r>
  <r>
    <x v="0"/>
    <x v="5"/>
    <x v="1"/>
    <x v="177"/>
    <x v="154"/>
    <x v="154"/>
    <s v="REVENUS"/>
    <x v="6"/>
    <s v="4221.003"/>
    <s v="Intérêts compensat. / acomptes en faveur du fisc"/>
    <n v="0"/>
    <n v="0.1"/>
    <n v="4221"/>
  </r>
  <r>
    <x v="0"/>
    <x v="5"/>
    <x v="1"/>
    <x v="177"/>
    <x v="154"/>
    <x v="154"/>
    <s v="REVENUS"/>
    <x v="2"/>
    <s v="4001.002"/>
    <s v="Impôt complément s/revenu PP"/>
    <n v="0"/>
    <n v="1315.6"/>
    <n v="4001"/>
  </r>
  <r>
    <x v="0"/>
    <x v="5"/>
    <x v="1"/>
    <x v="177"/>
    <x v="154"/>
    <x v="154"/>
    <s v="REVENUS"/>
    <x v="8"/>
    <s v="4091.001"/>
    <s v="Impôt récupéré après défalcations"/>
    <n v="0"/>
    <n v="3767.87"/>
    <n v="4091"/>
  </r>
  <r>
    <x v="0"/>
    <x v="5"/>
    <x v="1"/>
    <x v="178"/>
    <x v="155"/>
    <x v="155"/>
    <s v="CHARGES"/>
    <x v="0"/>
    <s v="3212.004"/>
    <s v="Intérêts rémun./perçu trop tôt sur acomptes C/C"/>
    <n v="1405.51"/>
    <n v="0"/>
    <n v="3212"/>
  </r>
  <r>
    <x v="0"/>
    <x v="5"/>
    <x v="1"/>
    <x v="178"/>
    <x v="155"/>
    <x v="155"/>
    <s v="CHARGES"/>
    <x v="0"/>
    <s v="3221.002"/>
    <s v="Intérêts compensatoires / créances en faveur ctb."/>
    <n v="326.60000000000002"/>
    <n v="0"/>
    <n v="3221"/>
  </r>
  <r>
    <x v="0"/>
    <x v="5"/>
    <x v="1"/>
    <x v="178"/>
    <x v="155"/>
    <x v="155"/>
    <s v="CHARGES"/>
    <x v="1"/>
    <s v="3301.001"/>
    <s v="Défalcations, abandons de solde PP et IS"/>
    <n v="7797.37"/>
    <n v="0"/>
    <n v="3301"/>
  </r>
  <r>
    <x v="0"/>
    <x v="5"/>
    <x v="1"/>
    <x v="178"/>
    <x v="155"/>
    <x v="155"/>
    <s v="CHARGES"/>
    <x v="0"/>
    <s v="3212.002"/>
    <s v="Intérêts bonifiés/trop perçu acompte C/C"/>
    <n v="-2.5499999999999998"/>
    <n v="0"/>
    <n v="3212"/>
  </r>
  <r>
    <x v="0"/>
    <x v="5"/>
    <x v="1"/>
    <x v="178"/>
    <x v="155"/>
    <x v="155"/>
    <s v="CHARGES"/>
    <x v="0"/>
    <s v="3212.002"/>
    <s v="Intérêts bonifiés/trop perçu acompte C/C"/>
    <n v="1.97"/>
    <n v="0"/>
    <n v="3212"/>
  </r>
  <r>
    <x v="0"/>
    <x v="5"/>
    <x v="1"/>
    <x v="178"/>
    <x v="155"/>
    <x v="155"/>
    <s v="CHARGES"/>
    <x v="0"/>
    <s v="3212.004"/>
    <s v="Intérêts rémun./perçu trop tôt sur acomptes C/C"/>
    <n v="7.31"/>
    <n v="0"/>
    <n v="3212"/>
  </r>
  <r>
    <x v="0"/>
    <x v="5"/>
    <x v="1"/>
    <x v="178"/>
    <x v="155"/>
    <x v="155"/>
    <s v="CHARGES"/>
    <x v="0"/>
    <s v="3221.002"/>
    <s v="Intérêts compensatoires / créances en faveur ctb."/>
    <n v="6.53"/>
    <n v="0"/>
    <n v="3221"/>
  </r>
  <r>
    <x v="0"/>
    <x v="5"/>
    <x v="1"/>
    <x v="178"/>
    <x v="155"/>
    <x v="155"/>
    <s v="CHARGES"/>
    <x v="1"/>
    <s v="3301.001"/>
    <s v="Défalcations, abandons de solde PP et IS"/>
    <n v="114.06"/>
    <n v="0"/>
    <n v="3301"/>
  </r>
  <r>
    <x v="0"/>
    <x v="5"/>
    <x v="1"/>
    <x v="178"/>
    <x v="155"/>
    <x v="155"/>
    <s v="CHARGES"/>
    <x v="0"/>
    <s v="3212.004"/>
    <s v="Intérêts rémun./perçu trop tôt sur acomptes C/C"/>
    <n v="-0.15"/>
    <n v="0"/>
    <n v="3212"/>
  </r>
  <r>
    <x v="0"/>
    <x v="5"/>
    <x v="1"/>
    <x v="178"/>
    <x v="155"/>
    <x v="155"/>
    <s v="CHARGES"/>
    <x v="0"/>
    <s v="3221.002"/>
    <s v="Intérêts compensatoires / créances en faveur ctb."/>
    <n v="-0.24"/>
    <n v="0"/>
    <n v="3221"/>
  </r>
  <r>
    <x v="0"/>
    <x v="5"/>
    <x v="1"/>
    <x v="178"/>
    <x v="155"/>
    <x v="155"/>
    <s v="CHARGES"/>
    <x v="0"/>
    <s v="3212.004"/>
    <s v="Intérêts rémun./perçu trop tôt sur acomptes C/C"/>
    <n v="0.65"/>
    <n v="0"/>
    <n v="3212"/>
  </r>
  <r>
    <x v="0"/>
    <x v="5"/>
    <x v="1"/>
    <x v="178"/>
    <x v="155"/>
    <x v="155"/>
    <s v="CHARGES"/>
    <x v="0"/>
    <s v="3221.002"/>
    <s v="Intérêts compensatoires / créances en faveur ctb."/>
    <n v="0.76"/>
    <n v="0"/>
    <n v="3221"/>
  </r>
  <r>
    <x v="0"/>
    <x v="5"/>
    <x v="1"/>
    <x v="178"/>
    <x v="155"/>
    <x v="155"/>
    <s v="CHARGES"/>
    <x v="0"/>
    <s v="3212.002"/>
    <s v="Intérêts bonifiés/trop perçu acompte C/C"/>
    <n v="0.09"/>
    <n v="0"/>
    <n v="3212"/>
  </r>
  <r>
    <x v="0"/>
    <x v="5"/>
    <x v="1"/>
    <x v="178"/>
    <x v="155"/>
    <x v="155"/>
    <s v="CHARGES"/>
    <x v="0"/>
    <s v="3212.004"/>
    <s v="Intérêts rémun./perçu trop tôt sur acomptes C/C"/>
    <n v="0.94"/>
    <n v="0"/>
    <n v="3212"/>
  </r>
  <r>
    <x v="0"/>
    <x v="5"/>
    <x v="1"/>
    <x v="178"/>
    <x v="155"/>
    <x v="155"/>
    <s v="CHARGES"/>
    <x v="0"/>
    <s v="3221.002"/>
    <s v="Intérêts compensatoires / créances en faveur ctb."/>
    <n v="0.65"/>
    <n v="0"/>
    <n v="3221"/>
  </r>
  <r>
    <x v="0"/>
    <x v="5"/>
    <x v="1"/>
    <x v="178"/>
    <x v="155"/>
    <x v="155"/>
    <s v="CHARGES"/>
    <x v="0"/>
    <s v="3212.004"/>
    <s v="Intérêts rémun./perçu trop tôt sur acomptes C/C"/>
    <n v="-0.01"/>
    <n v="0"/>
    <n v="3212"/>
  </r>
  <r>
    <x v="0"/>
    <x v="5"/>
    <x v="1"/>
    <x v="178"/>
    <x v="155"/>
    <x v="155"/>
    <s v="REVENUS"/>
    <x v="2"/>
    <s v="4001.007"/>
    <s v="Acompte impôt sur revenu"/>
    <n v="0"/>
    <n v="-717290.06"/>
    <n v="4001"/>
  </r>
  <r>
    <x v="0"/>
    <x v="5"/>
    <x v="1"/>
    <x v="178"/>
    <x v="155"/>
    <x v="155"/>
    <s v="REVENUS"/>
    <x v="3"/>
    <s v="4002.007"/>
    <s v="Acompte impôt sur fortune"/>
    <n v="0"/>
    <n v="-262888.78999999998"/>
    <n v="4002"/>
  </r>
  <r>
    <x v="0"/>
    <x v="5"/>
    <x v="1"/>
    <x v="178"/>
    <x v="155"/>
    <x v="155"/>
    <s v="REVENUS"/>
    <x v="2"/>
    <s v="4001.001"/>
    <s v="Impôt revenu"/>
    <n v="0"/>
    <n v="2173473.7999999998"/>
    <n v="4001"/>
  </r>
  <r>
    <x v="0"/>
    <x v="5"/>
    <x v="1"/>
    <x v="178"/>
    <x v="155"/>
    <x v="155"/>
    <s v="REVENUS"/>
    <x v="3"/>
    <s v="4002.001"/>
    <s v="Impôt ordinaire s/fortune PP"/>
    <n v="0"/>
    <n v="502400.95"/>
    <n v="4002"/>
  </r>
  <r>
    <x v="0"/>
    <x v="5"/>
    <x v="1"/>
    <x v="178"/>
    <x v="155"/>
    <x v="155"/>
    <s v="REVENUS"/>
    <x v="10"/>
    <s v="4041.001"/>
    <s v="Droits de mutation"/>
    <n v="0"/>
    <n v="209616.65"/>
    <n v="4041"/>
  </r>
  <r>
    <x v="0"/>
    <x v="5"/>
    <x v="1"/>
    <x v="178"/>
    <x v="155"/>
    <x v="155"/>
    <s v="REVENUS"/>
    <x v="2"/>
    <s v="4001.002"/>
    <s v="Impôt complément s/revenu PP"/>
    <n v="0"/>
    <n v="859292.6"/>
    <n v="4001"/>
  </r>
  <r>
    <x v="0"/>
    <x v="5"/>
    <x v="1"/>
    <x v="178"/>
    <x v="155"/>
    <x v="155"/>
    <s v="REVENUS"/>
    <x v="3"/>
    <s v="4002.002"/>
    <s v="Impôt complémentaire s/fortune PP"/>
    <n v="0"/>
    <n v="202322.65"/>
    <n v="4002"/>
  </r>
  <r>
    <x v="0"/>
    <x v="5"/>
    <x v="1"/>
    <x v="178"/>
    <x v="155"/>
    <x v="155"/>
    <s v="REVENUS"/>
    <x v="2"/>
    <s v="4001.007"/>
    <s v="Acompte impôt sur revenu"/>
    <n v="0"/>
    <n v="726075.23"/>
    <n v="4001"/>
  </r>
  <r>
    <x v="0"/>
    <x v="5"/>
    <x v="1"/>
    <x v="178"/>
    <x v="155"/>
    <x v="155"/>
    <s v="REVENUS"/>
    <x v="3"/>
    <s v="4002.007"/>
    <s v="Acompte impôt sur fortune"/>
    <n v="0"/>
    <n v="237083.47"/>
    <n v="4002"/>
  </r>
  <r>
    <x v="0"/>
    <x v="5"/>
    <x v="1"/>
    <x v="178"/>
    <x v="155"/>
    <x v="155"/>
    <s v="REVENUS"/>
    <x v="6"/>
    <s v="4211.002"/>
    <s v="Intérêts de retard sur acomptes"/>
    <n v="0"/>
    <n v="13130.89"/>
    <n v="4211"/>
  </r>
  <r>
    <x v="0"/>
    <x v="5"/>
    <x v="1"/>
    <x v="178"/>
    <x v="155"/>
    <x v="155"/>
    <s v="REVENUS"/>
    <x v="6"/>
    <s v="4221.003"/>
    <s v="Intérêts compensat. / acomptes en faveur du fisc"/>
    <n v="0"/>
    <n v="899.95"/>
    <n v="4221"/>
  </r>
  <r>
    <x v="0"/>
    <x v="5"/>
    <x v="1"/>
    <x v="178"/>
    <x v="155"/>
    <x v="155"/>
    <s v="REVENUS"/>
    <x v="2"/>
    <s v="4001.003"/>
    <s v="Impôt s/prest. cap. PP"/>
    <n v="0"/>
    <n v="46234.75"/>
    <n v="4001"/>
  </r>
  <r>
    <x v="0"/>
    <x v="5"/>
    <x v="1"/>
    <x v="178"/>
    <x v="155"/>
    <x v="155"/>
    <s v="REVENUS"/>
    <x v="6"/>
    <s v="4211.001"/>
    <s v="Intérêts de retard sur factures"/>
    <n v="0"/>
    <n v="3071.1"/>
    <n v="4211"/>
  </r>
  <r>
    <x v="0"/>
    <x v="5"/>
    <x v="1"/>
    <x v="178"/>
    <x v="155"/>
    <x v="155"/>
    <s v="REVENUS"/>
    <x v="2"/>
    <s v="4001.007"/>
    <s v="Acompte impôt sur revenu"/>
    <n v="0"/>
    <n v="-1582.35"/>
    <n v="4001"/>
  </r>
  <r>
    <x v="0"/>
    <x v="5"/>
    <x v="1"/>
    <x v="178"/>
    <x v="155"/>
    <x v="155"/>
    <s v="REVENUS"/>
    <x v="5"/>
    <s v="4061.000"/>
    <s v="Impôt sur les chiens"/>
    <n v="0"/>
    <n v="5850"/>
    <n v="4061"/>
  </r>
  <r>
    <x v="0"/>
    <x v="5"/>
    <x v="1"/>
    <x v="178"/>
    <x v="155"/>
    <x v="155"/>
    <s v="REVENUS"/>
    <x v="3"/>
    <s v="4002.007"/>
    <s v="Acompte impôt sur fortune"/>
    <n v="0"/>
    <n v="-254.13"/>
    <n v="4002"/>
  </r>
  <r>
    <x v="0"/>
    <x v="5"/>
    <x v="1"/>
    <x v="178"/>
    <x v="155"/>
    <x v="155"/>
    <s v="REVENUS"/>
    <x v="2"/>
    <s v="4001.007"/>
    <s v="Acompte impôt sur revenu"/>
    <n v="0"/>
    <n v="838.45"/>
    <n v="4001"/>
  </r>
  <r>
    <x v="0"/>
    <x v="5"/>
    <x v="1"/>
    <x v="178"/>
    <x v="155"/>
    <x v="155"/>
    <s v="REVENUS"/>
    <x v="3"/>
    <s v="4002.007"/>
    <s v="Acompte impôt sur fortune"/>
    <n v="0"/>
    <n v="606.9"/>
    <n v="4002"/>
  </r>
  <r>
    <x v="0"/>
    <x v="5"/>
    <x v="1"/>
    <x v="178"/>
    <x v="155"/>
    <x v="155"/>
    <s v="REVENUS"/>
    <x v="6"/>
    <s v="4211.001"/>
    <s v="Intérêts de retard sur factures"/>
    <n v="0"/>
    <n v="74.5"/>
    <n v="4211"/>
  </r>
  <r>
    <x v="0"/>
    <x v="5"/>
    <x v="1"/>
    <x v="178"/>
    <x v="155"/>
    <x v="155"/>
    <s v="REVENUS"/>
    <x v="12"/>
    <s v="4004.007"/>
    <s v="Acompte spécial étrangers"/>
    <n v="0"/>
    <n v="-912.9"/>
    <n v="4004"/>
  </r>
  <r>
    <x v="0"/>
    <x v="5"/>
    <x v="1"/>
    <x v="178"/>
    <x v="155"/>
    <x v="155"/>
    <s v="REVENUS"/>
    <x v="3"/>
    <s v="4002.007"/>
    <s v="Acompte impôt sur fortune"/>
    <n v="0"/>
    <n v="-9399.9500000000007"/>
    <n v="4002"/>
  </r>
  <r>
    <x v="0"/>
    <x v="5"/>
    <x v="1"/>
    <x v="178"/>
    <x v="155"/>
    <x v="155"/>
    <s v="REVENUS"/>
    <x v="2"/>
    <s v="4001.001"/>
    <s v="Impôt revenu"/>
    <n v="0"/>
    <n v="-98696.1"/>
    <n v="4001"/>
  </r>
  <r>
    <x v="0"/>
    <x v="5"/>
    <x v="1"/>
    <x v="178"/>
    <x v="155"/>
    <x v="155"/>
    <s v="REVENUS"/>
    <x v="3"/>
    <s v="4002.001"/>
    <s v="Impôt ordinaire s/fortune PP"/>
    <n v="0"/>
    <n v="-1655.8"/>
    <n v="4002"/>
  </r>
  <r>
    <x v="0"/>
    <x v="5"/>
    <x v="1"/>
    <x v="178"/>
    <x v="155"/>
    <x v="155"/>
    <s v="REVENUS"/>
    <x v="6"/>
    <s v="4211.002"/>
    <s v="Intérêts de retard sur acomptes"/>
    <n v="0"/>
    <n v="-0.56000000000000005"/>
    <n v="4211"/>
  </r>
  <r>
    <x v="0"/>
    <x v="5"/>
    <x v="1"/>
    <x v="178"/>
    <x v="155"/>
    <x v="155"/>
    <s v="REVENUS"/>
    <x v="2"/>
    <s v="4001.002"/>
    <s v="Impôt complément s/revenu PP"/>
    <n v="0"/>
    <n v="-18158.5"/>
    <n v="4001"/>
  </r>
  <r>
    <x v="0"/>
    <x v="5"/>
    <x v="1"/>
    <x v="178"/>
    <x v="155"/>
    <x v="155"/>
    <s v="REVENUS"/>
    <x v="3"/>
    <s v="4002.002"/>
    <s v="Impôt complémentaire s/fortune PP"/>
    <n v="0"/>
    <n v="-1268.25"/>
    <n v="4002"/>
  </r>
  <r>
    <x v="0"/>
    <x v="5"/>
    <x v="1"/>
    <x v="178"/>
    <x v="155"/>
    <x v="155"/>
    <s v="REVENUS"/>
    <x v="6"/>
    <s v="4221.002"/>
    <s v="Intérêts compensat. sur impôts distincts"/>
    <n v="0"/>
    <n v="8.36"/>
    <n v="4221"/>
  </r>
  <r>
    <x v="0"/>
    <x v="5"/>
    <x v="1"/>
    <x v="178"/>
    <x v="155"/>
    <x v="155"/>
    <s v="REVENUS"/>
    <x v="7"/>
    <s v="4184.000"/>
    <s v="Frais de poursuite"/>
    <n v="0"/>
    <n v="437.03"/>
    <n v="4184"/>
  </r>
  <r>
    <x v="0"/>
    <x v="5"/>
    <x v="1"/>
    <x v="178"/>
    <x v="155"/>
    <x v="155"/>
    <s v="REVENUS"/>
    <x v="2"/>
    <s v="4001.001"/>
    <s v="Impôt revenu"/>
    <n v="0"/>
    <n v="10709"/>
    <n v="4001"/>
  </r>
  <r>
    <x v="0"/>
    <x v="5"/>
    <x v="1"/>
    <x v="178"/>
    <x v="155"/>
    <x v="155"/>
    <s v="REVENUS"/>
    <x v="2"/>
    <s v="4001.002"/>
    <s v="Impôt complément s/revenu PP"/>
    <n v="0"/>
    <n v="6229.7"/>
    <n v="4001"/>
  </r>
  <r>
    <x v="0"/>
    <x v="5"/>
    <x v="1"/>
    <x v="178"/>
    <x v="155"/>
    <x v="155"/>
    <s v="REVENUS"/>
    <x v="3"/>
    <s v="4002.001"/>
    <s v="Impôt ordinaire s/fortune PP"/>
    <n v="0"/>
    <n v="9309.4"/>
    <n v="4002"/>
  </r>
  <r>
    <x v="0"/>
    <x v="5"/>
    <x v="1"/>
    <x v="178"/>
    <x v="155"/>
    <x v="155"/>
    <s v="REVENUS"/>
    <x v="3"/>
    <s v="4002.002"/>
    <s v="Impôt complémentaire s/fortune PP"/>
    <n v="0"/>
    <n v="10541.75"/>
    <n v="4002"/>
  </r>
  <r>
    <x v="0"/>
    <x v="5"/>
    <x v="1"/>
    <x v="178"/>
    <x v="155"/>
    <x v="155"/>
    <s v="REVENUS"/>
    <x v="6"/>
    <s v="4211.002"/>
    <s v="Intérêts de retard sur acomptes"/>
    <n v="0"/>
    <n v="127.36"/>
    <n v="4211"/>
  </r>
  <r>
    <x v="0"/>
    <x v="5"/>
    <x v="1"/>
    <x v="178"/>
    <x v="155"/>
    <x v="155"/>
    <s v="REVENUS"/>
    <x v="6"/>
    <s v="4221.003"/>
    <s v="Intérêts compensat. / acomptes en faveur du fisc"/>
    <n v="0"/>
    <n v="78.16"/>
    <n v="4221"/>
  </r>
  <r>
    <x v="0"/>
    <x v="5"/>
    <x v="1"/>
    <x v="178"/>
    <x v="155"/>
    <x v="155"/>
    <s v="REVENUS"/>
    <x v="2"/>
    <s v="4001.001"/>
    <s v="Impôt revenu"/>
    <n v="0"/>
    <n v="-4530.3999999999996"/>
    <n v="4001"/>
  </r>
  <r>
    <x v="0"/>
    <x v="5"/>
    <x v="1"/>
    <x v="178"/>
    <x v="155"/>
    <x v="155"/>
    <s v="REVENUS"/>
    <x v="3"/>
    <s v="4002.001"/>
    <s v="Impôt ordinaire s/fortune PP"/>
    <n v="0"/>
    <n v="-1770.05"/>
    <n v="4002"/>
  </r>
  <r>
    <x v="0"/>
    <x v="5"/>
    <x v="1"/>
    <x v="178"/>
    <x v="155"/>
    <x v="155"/>
    <s v="REVENUS"/>
    <x v="3"/>
    <s v="4002.002"/>
    <s v="Impôt complémentaire s/fortune PP"/>
    <n v="0"/>
    <n v="-1370.45"/>
    <n v="4002"/>
  </r>
  <r>
    <x v="0"/>
    <x v="5"/>
    <x v="1"/>
    <x v="178"/>
    <x v="155"/>
    <x v="155"/>
    <s v="REVENUS"/>
    <x v="6"/>
    <s v="4211.001"/>
    <s v="Intérêts de retard sur factures"/>
    <n v="0"/>
    <n v="-31.31"/>
    <n v="4211"/>
  </r>
  <r>
    <x v="0"/>
    <x v="5"/>
    <x v="1"/>
    <x v="178"/>
    <x v="155"/>
    <x v="155"/>
    <s v="REVENUS"/>
    <x v="6"/>
    <s v="4211.002"/>
    <s v="Intérêts de retard sur acomptes"/>
    <n v="0"/>
    <n v="-94.1"/>
    <n v="4211"/>
  </r>
  <r>
    <x v="0"/>
    <x v="5"/>
    <x v="1"/>
    <x v="178"/>
    <x v="155"/>
    <x v="155"/>
    <s v="REVENUS"/>
    <x v="6"/>
    <s v="4221.003"/>
    <s v="Intérêts compensat. / acomptes en faveur du fisc"/>
    <n v="0"/>
    <n v="-67.92"/>
    <n v="4221"/>
  </r>
  <r>
    <x v="0"/>
    <x v="5"/>
    <x v="1"/>
    <x v="178"/>
    <x v="155"/>
    <x v="155"/>
    <s v="REVENUS"/>
    <x v="2"/>
    <s v="4001.001"/>
    <s v="Impôt revenu"/>
    <n v="0"/>
    <n v="1316.85"/>
    <n v="4001"/>
  </r>
  <r>
    <x v="0"/>
    <x v="5"/>
    <x v="1"/>
    <x v="178"/>
    <x v="155"/>
    <x v="155"/>
    <s v="REVENUS"/>
    <x v="2"/>
    <s v="4001.007"/>
    <s v="Acompte impôt sur revenu"/>
    <n v="0"/>
    <n v="-638.05999999999995"/>
    <n v="4001"/>
  </r>
  <r>
    <x v="0"/>
    <x v="5"/>
    <x v="1"/>
    <x v="178"/>
    <x v="155"/>
    <x v="155"/>
    <s v="REVENUS"/>
    <x v="3"/>
    <s v="4002.001"/>
    <s v="Impôt ordinaire s/fortune PP"/>
    <n v="0"/>
    <n v="745.3"/>
    <n v="4002"/>
  </r>
  <r>
    <x v="0"/>
    <x v="5"/>
    <x v="1"/>
    <x v="178"/>
    <x v="155"/>
    <x v="155"/>
    <s v="REVENUS"/>
    <x v="6"/>
    <s v="4211.002"/>
    <s v="Intérêts de retard sur acomptes"/>
    <n v="0"/>
    <n v="3.38"/>
    <n v="4211"/>
  </r>
  <r>
    <x v="0"/>
    <x v="5"/>
    <x v="1"/>
    <x v="178"/>
    <x v="155"/>
    <x v="155"/>
    <s v="REVENUS"/>
    <x v="2"/>
    <s v="4001.001"/>
    <s v="Impôt revenu"/>
    <n v="0"/>
    <n v="3662.85"/>
    <n v="4001"/>
  </r>
  <r>
    <x v="0"/>
    <x v="5"/>
    <x v="1"/>
    <x v="178"/>
    <x v="155"/>
    <x v="155"/>
    <s v="REVENUS"/>
    <x v="3"/>
    <s v="4002.001"/>
    <s v="Impôt ordinaire s/fortune PP"/>
    <n v="0"/>
    <n v="502.7"/>
    <n v="4002"/>
  </r>
  <r>
    <x v="0"/>
    <x v="5"/>
    <x v="1"/>
    <x v="178"/>
    <x v="155"/>
    <x v="155"/>
    <s v="REVENUS"/>
    <x v="6"/>
    <s v="4211.002"/>
    <s v="Intérêts de retard sur acomptes"/>
    <n v="0"/>
    <n v="10.51"/>
    <n v="4211"/>
  </r>
  <r>
    <x v="0"/>
    <x v="5"/>
    <x v="1"/>
    <x v="178"/>
    <x v="155"/>
    <x v="155"/>
    <s v="REVENUS"/>
    <x v="12"/>
    <s v="4004.000"/>
    <s v="Impôt spécial étrangers"/>
    <n v="0"/>
    <n v="45256.25"/>
    <n v="4004"/>
  </r>
  <r>
    <x v="0"/>
    <x v="5"/>
    <x v="1"/>
    <x v="178"/>
    <x v="155"/>
    <x v="155"/>
    <s v="REVENUS"/>
    <x v="9"/>
    <s v="4031.001"/>
    <s v="Impôt sur les gains immobiliers"/>
    <n v="0"/>
    <n v="133408.65"/>
    <n v="4031"/>
  </r>
  <r>
    <x v="0"/>
    <x v="5"/>
    <x v="1"/>
    <x v="178"/>
    <x v="155"/>
    <x v="155"/>
    <s v="REVENUS"/>
    <x v="6"/>
    <s v="4221.003"/>
    <s v="Intérêts compensat. / acomptes en faveur du fisc"/>
    <n v="0"/>
    <n v="0.39"/>
    <n v="4221"/>
  </r>
  <r>
    <x v="0"/>
    <x v="5"/>
    <x v="1"/>
    <x v="178"/>
    <x v="155"/>
    <x v="155"/>
    <s v="REVENUS"/>
    <x v="8"/>
    <s v="4091.001"/>
    <s v="Impôt récupéré après défalcations"/>
    <n v="0"/>
    <n v="977.34"/>
    <n v="4091"/>
  </r>
  <r>
    <x v="0"/>
    <x v="5"/>
    <x v="1"/>
    <x v="179"/>
    <x v="156"/>
    <x v="156"/>
    <s v="CHARGES"/>
    <x v="0"/>
    <s v="3212.002"/>
    <s v="Intérêts bonifiés/trop perçu acompte C/C"/>
    <n v="30.08"/>
    <n v="0"/>
    <n v="3212"/>
  </r>
  <r>
    <x v="0"/>
    <x v="5"/>
    <x v="1"/>
    <x v="179"/>
    <x v="156"/>
    <x v="156"/>
    <s v="CHARGES"/>
    <x v="1"/>
    <s v="3301.001"/>
    <s v="Défalcations, abandons de solde PP et IS"/>
    <n v="8163.32"/>
    <n v="0"/>
    <n v="3301"/>
  </r>
  <r>
    <x v="0"/>
    <x v="5"/>
    <x v="1"/>
    <x v="179"/>
    <x v="156"/>
    <x v="156"/>
    <s v="CHARGES"/>
    <x v="0"/>
    <s v="3212.004"/>
    <s v="Intérêts rémun./perçu trop tôt sur acomptes C/C"/>
    <n v="274.7"/>
    <n v="0"/>
    <n v="3212"/>
  </r>
  <r>
    <x v="0"/>
    <x v="5"/>
    <x v="1"/>
    <x v="179"/>
    <x v="156"/>
    <x v="156"/>
    <s v="CHARGES"/>
    <x v="0"/>
    <s v="3221.002"/>
    <s v="Intérêts compensatoires / créances en faveur ctb."/>
    <n v="91.03"/>
    <n v="0"/>
    <n v="3221"/>
  </r>
  <r>
    <x v="0"/>
    <x v="5"/>
    <x v="1"/>
    <x v="179"/>
    <x v="156"/>
    <x v="156"/>
    <s v="CHARGES"/>
    <x v="1"/>
    <s v="3301.001"/>
    <s v="Défalcations, abandons de solde PP et IS"/>
    <n v="1.8"/>
    <n v="0"/>
    <n v="3301"/>
  </r>
  <r>
    <x v="0"/>
    <x v="5"/>
    <x v="1"/>
    <x v="179"/>
    <x v="156"/>
    <x v="156"/>
    <s v="CHARGES"/>
    <x v="1"/>
    <s v="3301.001"/>
    <s v="Défalcations, abandons de solde PP et IS"/>
    <n v="0.56999999999999995"/>
    <n v="0"/>
    <n v="3301"/>
  </r>
  <r>
    <x v="0"/>
    <x v="5"/>
    <x v="1"/>
    <x v="179"/>
    <x v="156"/>
    <x v="156"/>
    <s v="CHARGES"/>
    <x v="0"/>
    <s v="3212.004"/>
    <s v="Intérêts rémun./perçu trop tôt sur acomptes C/C"/>
    <n v="3.75"/>
    <n v="0"/>
    <n v="3212"/>
  </r>
  <r>
    <x v="0"/>
    <x v="5"/>
    <x v="1"/>
    <x v="179"/>
    <x v="156"/>
    <x v="156"/>
    <s v="CHARGES"/>
    <x v="0"/>
    <s v="3221.002"/>
    <s v="Intérêts compensatoires / créances en faveur ctb."/>
    <n v="0.08"/>
    <n v="0"/>
    <n v="3221"/>
  </r>
  <r>
    <x v="0"/>
    <x v="5"/>
    <x v="1"/>
    <x v="179"/>
    <x v="156"/>
    <x v="156"/>
    <s v="CHARGES"/>
    <x v="0"/>
    <s v="3212.004"/>
    <s v="Intérêts rémun./perçu trop tôt sur acomptes C/C"/>
    <n v="0.41"/>
    <n v="0"/>
    <n v="3212"/>
  </r>
  <r>
    <x v="0"/>
    <x v="5"/>
    <x v="1"/>
    <x v="179"/>
    <x v="156"/>
    <x v="156"/>
    <s v="CHARGES"/>
    <x v="0"/>
    <s v="3221.002"/>
    <s v="Intérêts compensatoires / créances en faveur ctb."/>
    <n v="0.26"/>
    <n v="0"/>
    <n v="3221"/>
  </r>
  <r>
    <x v="0"/>
    <x v="5"/>
    <x v="1"/>
    <x v="179"/>
    <x v="156"/>
    <x v="156"/>
    <s v="CHARGES"/>
    <x v="1"/>
    <s v="3301.001"/>
    <s v="Défalcations, abandons de solde PP et IS"/>
    <n v="0.17"/>
    <n v="0"/>
    <n v="3301"/>
  </r>
  <r>
    <x v="0"/>
    <x v="5"/>
    <x v="1"/>
    <x v="179"/>
    <x v="156"/>
    <x v="156"/>
    <s v="CHARGES"/>
    <x v="1"/>
    <s v="3301.003"/>
    <s v="Remises PP et IS"/>
    <n v="21347.25"/>
    <n v="0"/>
    <n v="3301"/>
  </r>
  <r>
    <x v="0"/>
    <x v="5"/>
    <x v="1"/>
    <x v="179"/>
    <x v="156"/>
    <x v="156"/>
    <s v="CHARGES"/>
    <x v="0"/>
    <s v="3212.004"/>
    <s v="Intérêts rémun./perçu trop tôt sur acomptes C/C"/>
    <n v="0.53"/>
    <n v="0"/>
    <n v="3212"/>
  </r>
  <r>
    <x v="0"/>
    <x v="5"/>
    <x v="1"/>
    <x v="179"/>
    <x v="156"/>
    <x v="156"/>
    <s v="CHARGES"/>
    <x v="0"/>
    <s v="3221.002"/>
    <s v="Intérêts compensatoires / créances en faveur ctb."/>
    <n v="0.03"/>
    <n v="0"/>
    <n v="3221"/>
  </r>
  <r>
    <x v="0"/>
    <x v="5"/>
    <x v="1"/>
    <x v="179"/>
    <x v="156"/>
    <x v="156"/>
    <s v="REVENUS"/>
    <x v="9"/>
    <s v="4031.001"/>
    <s v="Impôt sur les gains immobiliers"/>
    <n v="0"/>
    <n v="81561.55"/>
    <n v="4031"/>
  </r>
  <r>
    <x v="0"/>
    <x v="5"/>
    <x v="1"/>
    <x v="179"/>
    <x v="156"/>
    <x v="156"/>
    <s v="REVENUS"/>
    <x v="6"/>
    <s v="4211.001"/>
    <s v="Intérêts de retard sur factures"/>
    <n v="0"/>
    <n v="1966.43"/>
    <n v="4211"/>
  </r>
  <r>
    <x v="0"/>
    <x v="5"/>
    <x v="1"/>
    <x v="179"/>
    <x v="156"/>
    <x v="156"/>
    <s v="REVENUS"/>
    <x v="6"/>
    <s v="4221.002"/>
    <s v="Intérêts compensat. sur impôts distincts"/>
    <n v="0"/>
    <n v="6"/>
    <n v="4221"/>
  </r>
  <r>
    <x v="0"/>
    <x v="5"/>
    <x v="1"/>
    <x v="179"/>
    <x v="156"/>
    <x v="156"/>
    <s v="REVENUS"/>
    <x v="2"/>
    <s v="4001.007"/>
    <s v="Acompte impôt sur revenu"/>
    <n v="0"/>
    <n v="-239605.2"/>
    <n v="4001"/>
  </r>
  <r>
    <x v="0"/>
    <x v="5"/>
    <x v="1"/>
    <x v="179"/>
    <x v="156"/>
    <x v="156"/>
    <s v="REVENUS"/>
    <x v="3"/>
    <s v="4002.007"/>
    <s v="Acompte impôt sur fortune"/>
    <n v="0"/>
    <n v="-60525.5"/>
    <n v="4002"/>
  </r>
  <r>
    <x v="0"/>
    <x v="5"/>
    <x v="1"/>
    <x v="179"/>
    <x v="156"/>
    <x v="156"/>
    <s v="REVENUS"/>
    <x v="3"/>
    <s v="4002.001"/>
    <s v="Impôt ordinaire s/fortune PP"/>
    <n v="0"/>
    <n v="149988.04999999999"/>
    <n v="4002"/>
  </r>
  <r>
    <x v="0"/>
    <x v="5"/>
    <x v="1"/>
    <x v="179"/>
    <x v="156"/>
    <x v="156"/>
    <s v="REVENUS"/>
    <x v="3"/>
    <s v="4002.002"/>
    <s v="Impôt complémentaire s/fortune PP"/>
    <n v="0"/>
    <n v="23675.3"/>
    <n v="4002"/>
  </r>
  <r>
    <x v="0"/>
    <x v="5"/>
    <x v="1"/>
    <x v="179"/>
    <x v="156"/>
    <x v="156"/>
    <s v="REVENUS"/>
    <x v="6"/>
    <s v="4211.002"/>
    <s v="Intérêts de retard sur acomptes"/>
    <n v="0"/>
    <n v="6564.02"/>
    <n v="4211"/>
  </r>
  <r>
    <x v="0"/>
    <x v="5"/>
    <x v="1"/>
    <x v="179"/>
    <x v="156"/>
    <x v="156"/>
    <s v="REVENUS"/>
    <x v="2"/>
    <s v="4001.001"/>
    <s v="Impôt revenu"/>
    <n v="0"/>
    <n v="1047484.7"/>
    <n v="4001"/>
  </r>
  <r>
    <x v="0"/>
    <x v="5"/>
    <x v="1"/>
    <x v="179"/>
    <x v="156"/>
    <x v="156"/>
    <s v="REVENUS"/>
    <x v="2"/>
    <s v="4001.002"/>
    <s v="Impôt complément s/revenu PP"/>
    <n v="0"/>
    <n v="87240.9"/>
    <n v="4001"/>
  </r>
  <r>
    <x v="0"/>
    <x v="5"/>
    <x v="1"/>
    <x v="179"/>
    <x v="156"/>
    <x v="156"/>
    <s v="REVENUS"/>
    <x v="2"/>
    <s v="4001.007"/>
    <s v="Acompte impôt sur revenu"/>
    <n v="0"/>
    <n v="232811.2"/>
    <n v="4001"/>
  </r>
  <r>
    <x v="0"/>
    <x v="5"/>
    <x v="1"/>
    <x v="179"/>
    <x v="156"/>
    <x v="156"/>
    <s v="REVENUS"/>
    <x v="3"/>
    <s v="4002.007"/>
    <s v="Acompte impôt sur fortune"/>
    <n v="0"/>
    <n v="38259.4"/>
    <n v="4002"/>
  </r>
  <r>
    <x v="0"/>
    <x v="5"/>
    <x v="1"/>
    <x v="179"/>
    <x v="156"/>
    <x v="156"/>
    <s v="REVENUS"/>
    <x v="6"/>
    <s v="4221.003"/>
    <s v="Intérêts compensat. / acomptes en faveur du fisc"/>
    <n v="0"/>
    <n v="96.4"/>
    <n v="4221"/>
  </r>
  <r>
    <x v="0"/>
    <x v="5"/>
    <x v="1"/>
    <x v="179"/>
    <x v="156"/>
    <x v="156"/>
    <s v="REVENUS"/>
    <x v="2"/>
    <s v="4001.003"/>
    <s v="Impôt s/prest. cap. PP"/>
    <n v="0"/>
    <n v="15175.1"/>
    <n v="4001"/>
  </r>
  <r>
    <x v="0"/>
    <x v="5"/>
    <x v="1"/>
    <x v="179"/>
    <x v="156"/>
    <x v="156"/>
    <s v="REVENUS"/>
    <x v="6"/>
    <s v="4211.001"/>
    <s v="Intérêts de retard sur factures"/>
    <n v="0"/>
    <n v="0.85"/>
    <n v="4211"/>
  </r>
  <r>
    <x v="0"/>
    <x v="5"/>
    <x v="1"/>
    <x v="179"/>
    <x v="156"/>
    <x v="156"/>
    <s v="REVENUS"/>
    <x v="7"/>
    <s v="4184.000"/>
    <s v="Frais de poursuite"/>
    <n v="0"/>
    <n v="29.89"/>
    <n v="4184"/>
  </r>
  <r>
    <x v="0"/>
    <x v="5"/>
    <x v="1"/>
    <x v="179"/>
    <x v="156"/>
    <x v="156"/>
    <s v="REVENUS"/>
    <x v="2"/>
    <s v="4001.001"/>
    <s v="Impôt revenu"/>
    <n v="0"/>
    <n v="2242.0500000000002"/>
    <n v="4001"/>
  </r>
  <r>
    <x v="0"/>
    <x v="5"/>
    <x v="1"/>
    <x v="179"/>
    <x v="156"/>
    <x v="156"/>
    <s v="REVENUS"/>
    <x v="3"/>
    <s v="4002.001"/>
    <s v="Impôt ordinaire s/fortune PP"/>
    <n v="0"/>
    <n v="544.75"/>
    <n v="4002"/>
  </r>
  <r>
    <x v="0"/>
    <x v="5"/>
    <x v="1"/>
    <x v="179"/>
    <x v="156"/>
    <x v="156"/>
    <s v="REVENUS"/>
    <x v="6"/>
    <s v="4211.002"/>
    <s v="Intérêts de retard sur acomptes"/>
    <n v="0"/>
    <n v="36.229999999999997"/>
    <n v="4211"/>
  </r>
  <r>
    <x v="0"/>
    <x v="5"/>
    <x v="1"/>
    <x v="179"/>
    <x v="156"/>
    <x v="156"/>
    <s v="REVENUS"/>
    <x v="6"/>
    <s v="4221.003"/>
    <s v="Intérêts compensat. / acomptes en faveur du fisc"/>
    <n v="0"/>
    <n v="0.71"/>
    <n v="4221"/>
  </r>
  <r>
    <x v="0"/>
    <x v="5"/>
    <x v="1"/>
    <x v="179"/>
    <x v="156"/>
    <x v="156"/>
    <s v="REVENUS"/>
    <x v="7"/>
    <s v="4184.000"/>
    <s v="Frais de poursuite"/>
    <n v="0"/>
    <n v="715.72"/>
    <n v="4184"/>
  </r>
  <r>
    <x v="0"/>
    <x v="5"/>
    <x v="1"/>
    <x v="179"/>
    <x v="156"/>
    <x v="156"/>
    <s v="REVENUS"/>
    <x v="4"/>
    <s v="4051.002"/>
    <s v="Impôt sur les donations"/>
    <n v="0"/>
    <n v="-5434.1"/>
    <n v="4051"/>
  </r>
  <r>
    <x v="0"/>
    <x v="5"/>
    <x v="1"/>
    <x v="179"/>
    <x v="156"/>
    <x v="156"/>
    <s v="REVENUS"/>
    <x v="2"/>
    <s v="4001.007"/>
    <s v="Acompte impôt sur revenu"/>
    <n v="0"/>
    <n v="536.20000000000005"/>
    <n v="4001"/>
  </r>
  <r>
    <x v="0"/>
    <x v="5"/>
    <x v="1"/>
    <x v="179"/>
    <x v="156"/>
    <x v="156"/>
    <s v="REVENUS"/>
    <x v="3"/>
    <s v="4002.007"/>
    <s v="Acompte impôt sur fortune"/>
    <n v="0"/>
    <n v="65.45"/>
    <n v="4002"/>
  </r>
  <r>
    <x v="0"/>
    <x v="5"/>
    <x v="1"/>
    <x v="179"/>
    <x v="156"/>
    <x v="156"/>
    <s v="REVENUS"/>
    <x v="3"/>
    <s v="4002.007"/>
    <s v="Acompte impôt sur fortune"/>
    <n v="0"/>
    <n v="-145.15"/>
    <n v="4002"/>
  </r>
  <r>
    <x v="0"/>
    <x v="5"/>
    <x v="1"/>
    <x v="179"/>
    <x v="156"/>
    <x v="156"/>
    <s v="REVENUS"/>
    <x v="6"/>
    <s v="4211.001"/>
    <s v="Intérêts de retard sur factures"/>
    <n v="0"/>
    <n v="140.85"/>
    <n v="4211"/>
  </r>
  <r>
    <x v="0"/>
    <x v="5"/>
    <x v="1"/>
    <x v="179"/>
    <x v="156"/>
    <x v="156"/>
    <s v="REVENUS"/>
    <x v="2"/>
    <s v="4001.001"/>
    <s v="Impôt revenu"/>
    <n v="0"/>
    <n v="4097.1499999999996"/>
    <n v="4001"/>
  </r>
  <r>
    <x v="0"/>
    <x v="5"/>
    <x v="1"/>
    <x v="179"/>
    <x v="156"/>
    <x v="156"/>
    <s v="REVENUS"/>
    <x v="2"/>
    <s v="4001.007"/>
    <s v="Acompte impôt sur revenu"/>
    <n v="0"/>
    <n v="-724.6"/>
    <n v="4001"/>
  </r>
  <r>
    <x v="0"/>
    <x v="5"/>
    <x v="1"/>
    <x v="179"/>
    <x v="156"/>
    <x v="156"/>
    <s v="REVENUS"/>
    <x v="3"/>
    <s v="4002.007"/>
    <s v="Acompte impôt sur fortune"/>
    <n v="0"/>
    <n v="220.3"/>
    <n v="4002"/>
  </r>
  <r>
    <x v="0"/>
    <x v="5"/>
    <x v="1"/>
    <x v="179"/>
    <x v="156"/>
    <x v="156"/>
    <s v="REVENUS"/>
    <x v="2"/>
    <s v="4001.001"/>
    <s v="Impôt revenu"/>
    <n v="0"/>
    <n v="-19068"/>
    <n v="4001"/>
  </r>
  <r>
    <x v="0"/>
    <x v="5"/>
    <x v="1"/>
    <x v="179"/>
    <x v="156"/>
    <x v="156"/>
    <s v="REVENUS"/>
    <x v="2"/>
    <s v="4001.002"/>
    <s v="Impôt complément s/revenu PP"/>
    <n v="0"/>
    <n v="-1661.6"/>
    <n v="4001"/>
  </r>
  <r>
    <x v="0"/>
    <x v="5"/>
    <x v="1"/>
    <x v="179"/>
    <x v="156"/>
    <x v="156"/>
    <s v="REVENUS"/>
    <x v="3"/>
    <s v="4002.001"/>
    <s v="Impôt ordinaire s/fortune PP"/>
    <n v="0"/>
    <n v="-129"/>
    <n v="4002"/>
  </r>
  <r>
    <x v="0"/>
    <x v="5"/>
    <x v="1"/>
    <x v="179"/>
    <x v="156"/>
    <x v="156"/>
    <s v="REVENUS"/>
    <x v="3"/>
    <s v="4002.001"/>
    <s v="Impôt ordinaire s/fortune PP"/>
    <n v="0"/>
    <n v="2664.3"/>
    <n v="4002"/>
  </r>
  <r>
    <x v="0"/>
    <x v="5"/>
    <x v="1"/>
    <x v="179"/>
    <x v="156"/>
    <x v="156"/>
    <s v="REVENUS"/>
    <x v="2"/>
    <s v="4001.007"/>
    <s v="Acompte impôt sur revenu"/>
    <n v="0"/>
    <n v="340.25"/>
    <n v="4001"/>
  </r>
  <r>
    <x v="0"/>
    <x v="5"/>
    <x v="1"/>
    <x v="179"/>
    <x v="156"/>
    <x v="156"/>
    <s v="REVENUS"/>
    <x v="2"/>
    <s v="4001.007"/>
    <s v="Acompte impôt sur revenu"/>
    <n v="0"/>
    <n v="0"/>
    <n v="4001"/>
  </r>
  <r>
    <x v="0"/>
    <x v="5"/>
    <x v="1"/>
    <x v="179"/>
    <x v="156"/>
    <x v="156"/>
    <s v="REVENUS"/>
    <x v="10"/>
    <s v="4041.001"/>
    <s v="Droits de mutation"/>
    <n v="0"/>
    <n v="70372.5"/>
    <n v="4041"/>
  </r>
  <r>
    <x v="0"/>
    <x v="5"/>
    <x v="1"/>
    <x v="179"/>
    <x v="156"/>
    <x v="156"/>
    <s v="REVENUS"/>
    <x v="3"/>
    <s v="4002.002"/>
    <s v="Impôt complémentaire s/fortune PP"/>
    <n v="0"/>
    <n v="18.3"/>
    <n v="4002"/>
  </r>
  <r>
    <x v="0"/>
    <x v="5"/>
    <x v="1"/>
    <x v="179"/>
    <x v="156"/>
    <x v="156"/>
    <s v="REVENUS"/>
    <x v="2"/>
    <s v="4001.001"/>
    <s v="Impôt revenu"/>
    <n v="0"/>
    <n v="3702.05"/>
    <n v="4001"/>
  </r>
  <r>
    <x v="0"/>
    <x v="5"/>
    <x v="1"/>
    <x v="179"/>
    <x v="156"/>
    <x v="156"/>
    <s v="REVENUS"/>
    <x v="3"/>
    <s v="4002.001"/>
    <s v="Impôt ordinaire s/fortune PP"/>
    <n v="0"/>
    <n v="1325.35"/>
    <n v="4002"/>
  </r>
  <r>
    <x v="0"/>
    <x v="5"/>
    <x v="1"/>
    <x v="179"/>
    <x v="156"/>
    <x v="156"/>
    <s v="REVENUS"/>
    <x v="6"/>
    <s v="4211.002"/>
    <s v="Intérêts de retard sur acomptes"/>
    <n v="0"/>
    <n v="1.63"/>
    <n v="4211"/>
  </r>
  <r>
    <x v="0"/>
    <x v="5"/>
    <x v="1"/>
    <x v="179"/>
    <x v="156"/>
    <x v="156"/>
    <s v="REVENUS"/>
    <x v="6"/>
    <s v="4221.003"/>
    <s v="Intérêts compensat. / acomptes en faveur du fisc"/>
    <n v="0"/>
    <n v="0.95"/>
    <n v="4221"/>
  </r>
  <r>
    <x v="0"/>
    <x v="5"/>
    <x v="1"/>
    <x v="179"/>
    <x v="156"/>
    <x v="156"/>
    <s v="REVENUS"/>
    <x v="6"/>
    <s v="4211.001"/>
    <s v="Intérêts de retard sur factures"/>
    <n v="0"/>
    <n v="4.13"/>
    <n v="4211"/>
  </r>
  <r>
    <x v="0"/>
    <x v="5"/>
    <x v="1"/>
    <x v="179"/>
    <x v="156"/>
    <x v="156"/>
    <s v="REVENUS"/>
    <x v="7"/>
    <s v="4184.000"/>
    <s v="Frais de poursuite"/>
    <n v="0"/>
    <n v="2.67"/>
    <n v="4184"/>
  </r>
  <r>
    <x v="0"/>
    <x v="5"/>
    <x v="1"/>
    <x v="179"/>
    <x v="156"/>
    <x v="156"/>
    <s v="REVENUS"/>
    <x v="6"/>
    <s v="4211.002"/>
    <s v="Intérêts de retard sur acomptes"/>
    <n v="0"/>
    <n v="48.36"/>
    <n v="4211"/>
  </r>
  <r>
    <x v="0"/>
    <x v="5"/>
    <x v="1"/>
    <x v="179"/>
    <x v="156"/>
    <x v="156"/>
    <s v="REVENUS"/>
    <x v="6"/>
    <s v="4221.003"/>
    <s v="Intérêts compensat. / acomptes en faveur du fisc"/>
    <n v="0"/>
    <n v="1.86"/>
    <n v="4221"/>
  </r>
  <r>
    <x v="0"/>
    <x v="5"/>
    <x v="1"/>
    <x v="179"/>
    <x v="156"/>
    <x v="156"/>
    <s v="REVENUS"/>
    <x v="6"/>
    <s v="4221.003"/>
    <s v="Intérêts compensat. / acomptes en faveur du fisc"/>
    <n v="0"/>
    <n v="1.66"/>
    <n v="4221"/>
  </r>
  <r>
    <x v="0"/>
    <x v="5"/>
    <x v="1"/>
    <x v="179"/>
    <x v="156"/>
    <x v="156"/>
    <s v="REVENUS"/>
    <x v="5"/>
    <s v="4061.000"/>
    <s v="Impôt sur les chiens"/>
    <n v="0"/>
    <n v="3850"/>
    <n v="4061"/>
  </r>
  <r>
    <x v="0"/>
    <x v="5"/>
    <x v="1"/>
    <x v="179"/>
    <x v="156"/>
    <x v="156"/>
    <s v="REVENUS"/>
    <x v="2"/>
    <s v="4001.007"/>
    <s v="Acompte impôt sur revenu"/>
    <n v="0"/>
    <n v="64"/>
    <n v="4001"/>
  </r>
  <r>
    <x v="0"/>
    <x v="5"/>
    <x v="1"/>
    <x v="179"/>
    <x v="156"/>
    <x v="156"/>
    <s v="REVENUS"/>
    <x v="3"/>
    <s v="4002.007"/>
    <s v="Acompte impôt sur fortune"/>
    <n v="0"/>
    <n v="10.7"/>
    <n v="4002"/>
  </r>
  <r>
    <x v="0"/>
    <x v="5"/>
    <x v="1"/>
    <x v="179"/>
    <x v="156"/>
    <x v="156"/>
    <s v="REVENUS"/>
    <x v="2"/>
    <s v="4001.002"/>
    <s v="Impôt complément s/revenu PP"/>
    <n v="0"/>
    <n v="25.8"/>
    <n v="4001"/>
  </r>
  <r>
    <x v="0"/>
    <x v="5"/>
    <x v="1"/>
    <x v="179"/>
    <x v="156"/>
    <x v="156"/>
    <s v="REVENUS"/>
    <x v="2"/>
    <s v="4001.003"/>
    <s v="Impôt s/prest. cap. PP"/>
    <n v="0"/>
    <n v="-867.5"/>
    <n v="4001"/>
  </r>
  <r>
    <x v="0"/>
    <x v="5"/>
    <x v="1"/>
    <x v="180"/>
    <x v="157"/>
    <x v="157"/>
    <s v="CHARGES"/>
    <x v="1"/>
    <s v="3301.001"/>
    <s v="Défalcations, abandons de solde PP et IS"/>
    <n v="0.03"/>
    <n v="0"/>
    <n v="3301"/>
  </r>
  <r>
    <x v="0"/>
    <x v="5"/>
    <x v="1"/>
    <x v="180"/>
    <x v="157"/>
    <x v="157"/>
    <s v="CHARGES"/>
    <x v="0"/>
    <s v="3212.002"/>
    <s v="Intérêts bonifiés/trop perçu acompte C/C"/>
    <n v="18.66"/>
    <n v="0"/>
    <n v="3212"/>
  </r>
  <r>
    <x v="0"/>
    <x v="5"/>
    <x v="1"/>
    <x v="180"/>
    <x v="157"/>
    <x v="157"/>
    <s v="CHARGES"/>
    <x v="0"/>
    <s v="3212.004"/>
    <s v="Intérêts rémun./perçu trop tôt sur acomptes C/C"/>
    <n v="508.89"/>
    <n v="0"/>
    <n v="3212"/>
  </r>
  <r>
    <x v="0"/>
    <x v="5"/>
    <x v="1"/>
    <x v="180"/>
    <x v="157"/>
    <x v="157"/>
    <s v="CHARGES"/>
    <x v="0"/>
    <s v="3221.002"/>
    <s v="Intérêts compensatoires / créances en faveur ctb."/>
    <n v="222.91"/>
    <n v="0"/>
    <n v="3221"/>
  </r>
  <r>
    <x v="0"/>
    <x v="5"/>
    <x v="1"/>
    <x v="180"/>
    <x v="157"/>
    <x v="157"/>
    <s v="CHARGES"/>
    <x v="1"/>
    <s v="3301.001"/>
    <s v="Défalcations, abandons de solde PP et IS"/>
    <n v="51656.78"/>
    <n v="0"/>
    <n v="3301"/>
  </r>
  <r>
    <x v="0"/>
    <x v="5"/>
    <x v="1"/>
    <x v="180"/>
    <x v="157"/>
    <x v="157"/>
    <s v="CHARGES"/>
    <x v="0"/>
    <s v="3212.004"/>
    <s v="Intérêts rémun./perçu trop tôt sur acomptes C/C"/>
    <n v="6.09"/>
    <n v="0"/>
    <n v="3212"/>
  </r>
  <r>
    <x v="0"/>
    <x v="5"/>
    <x v="1"/>
    <x v="180"/>
    <x v="157"/>
    <x v="157"/>
    <s v="CHARGES"/>
    <x v="1"/>
    <s v="3301.001"/>
    <s v="Défalcations, abandons de solde PP et IS"/>
    <n v="1.97"/>
    <n v="0"/>
    <n v="3301"/>
  </r>
  <r>
    <x v="0"/>
    <x v="5"/>
    <x v="1"/>
    <x v="180"/>
    <x v="157"/>
    <x v="157"/>
    <s v="CHARGES"/>
    <x v="0"/>
    <s v="3212.004"/>
    <s v="Intérêts rémun./perçu trop tôt sur acomptes C/C"/>
    <n v="2.23"/>
    <n v="0"/>
    <n v="3212"/>
  </r>
  <r>
    <x v="0"/>
    <x v="5"/>
    <x v="1"/>
    <x v="180"/>
    <x v="157"/>
    <x v="157"/>
    <s v="CHARGES"/>
    <x v="0"/>
    <s v="3221.002"/>
    <s v="Intérêts compensatoires / créances en faveur ctb."/>
    <n v="3.37"/>
    <n v="0"/>
    <n v="3221"/>
  </r>
  <r>
    <x v="0"/>
    <x v="5"/>
    <x v="1"/>
    <x v="180"/>
    <x v="157"/>
    <x v="157"/>
    <s v="CHARGES"/>
    <x v="1"/>
    <s v="3301.001"/>
    <s v="Défalcations, abandons de solde PP et IS"/>
    <n v="0.06"/>
    <n v="0"/>
    <n v="3301"/>
  </r>
  <r>
    <x v="0"/>
    <x v="5"/>
    <x v="1"/>
    <x v="180"/>
    <x v="157"/>
    <x v="157"/>
    <s v="CHARGES"/>
    <x v="0"/>
    <s v="3212.004"/>
    <s v="Intérêts rémun./perçu trop tôt sur acomptes C/C"/>
    <n v="0.04"/>
    <n v="0"/>
    <n v="3212"/>
  </r>
  <r>
    <x v="0"/>
    <x v="5"/>
    <x v="1"/>
    <x v="180"/>
    <x v="157"/>
    <x v="157"/>
    <s v="CHARGES"/>
    <x v="0"/>
    <s v="3212.004"/>
    <s v="Intérêts rémun./perçu trop tôt sur acomptes C/C"/>
    <n v="0.8"/>
    <n v="0"/>
    <n v="3212"/>
  </r>
  <r>
    <x v="0"/>
    <x v="5"/>
    <x v="1"/>
    <x v="180"/>
    <x v="157"/>
    <x v="157"/>
    <s v="CHARGES"/>
    <x v="0"/>
    <s v="3221.002"/>
    <s v="Intérêts compensatoires / créances en faveur ctb."/>
    <n v="-0.26"/>
    <n v="0"/>
    <n v="3221"/>
  </r>
  <r>
    <x v="0"/>
    <x v="5"/>
    <x v="1"/>
    <x v="180"/>
    <x v="157"/>
    <x v="157"/>
    <s v="CHARGES"/>
    <x v="0"/>
    <s v="3212.002"/>
    <s v="Intérêts bonifiés/trop perçu acompte C/C"/>
    <n v="-0.01"/>
    <n v="0"/>
    <n v="3212"/>
  </r>
  <r>
    <x v="0"/>
    <x v="5"/>
    <x v="1"/>
    <x v="180"/>
    <x v="157"/>
    <x v="157"/>
    <s v="CHARGES"/>
    <x v="1"/>
    <s v="3301.001"/>
    <s v="Défalcations, abandons de solde PP et IS"/>
    <n v="0.19"/>
    <n v="0"/>
    <n v="3301"/>
  </r>
  <r>
    <x v="0"/>
    <x v="5"/>
    <x v="1"/>
    <x v="180"/>
    <x v="157"/>
    <x v="157"/>
    <s v="CHARGES"/>
    <x v="1"/>
    <s v="3301.001"/>
    <s v="Défalcations, abandons de solde PP et IS"/>
    <n v="1.65"/>
    <n v="0"/>
    <n v="3301"/>
  </r>
  <r>
    <x v="0"/>
    <x v="5"/>
    <x v="1"/>
    <x v="180"/>
    <x v="157"/>
    <x v="157"/>
    <s v="CHARGES"/>
    <x v="0"/>
    <s v="3221.002"/>
    <s v="Intérêts compensatoires / créances en faveur ctb."/>
    <n v="0.21"/>
    <n v="0"/>
    <n v="3221"/>
  </r>
  <r>
    <x v="0"/>
    <x v="5"/>
    <x v="1"/>
    <x v="180"/>
    <x v="157"/>
    <x v="157"/>
    <s v="CHARGES"/>
    <x v="1"/>
    <s v="3301.001"/>
    <s v="Défalcations, abandons de solde PP et IS"/>
    <n v="96.24"/>
    <n v="0"/>
    <n v="3301"/>
  </r>
  <r>
    <x v="0"/>
    <x v="5"/>
    <x v="1"/>
    <x v="180"/>
    <x v="157"/>
    <x v="157"/>
    <s v="CHARGES"/>
    <x v="1"/>
    <s v="3301.003"/>
    <s v="Remises PP et IS"/>
    <n v="775.71"/>
    <n v="0"/>
    <n v="3301"/>
  </r>
  <r>
    <x v="0"/>
    <x v="5"/>
    <x v="1"/>
    <x v="180"/>
    <x v="157"/>
    <x v="157"/>
    <s v="CHARGES"/>
    <x v="0"/>
    <s v="3221.002"/>
    <s v="Intérêts compensatoires / créances en faveur ctb."/>
    <n v="0.03"/>
    <n v="0"/>
    <n v="3221"/>
  </r>
  <r>
    <x v="0"/>
    <x v="5"/>
    <x v="1"/>
    <x v="180"/>
    <x v="157"/>
    <x v="157"/>
    <s v="CHARGES"/>
    <x v="0"/>
    <s v="3212.004"/>
    <s v="Intérêts rémun./perçu trop tôt sur acomptes C/C"/>
    <n v="8.19"/>
    <n v="0"/>
    <n v="3212"/>
  </r>
  <r>
    <x v="0"/>
    <x v="5"/>
    <x v="1"/>
    <x v="180"/>
    <x v="157"/>
    <x v="157"/>
    <s v="CHARGES"/>
    <x v="0"/>
    <s v="3221.002"/>
    <s v="Intérêts compensatoires / créances en faveur ctb."/>
    <n v="5.52"/>
    <n v="0"/>
    <n v="3221"/>
  </r>
  <r>
    <x v="0"/>
    <x v="5"/>
    <x v="1"/>
    <x v="180"/>
    <x v="157"/>
    <x v="157"/>
    <s v="REVENUS"/>
    <x v="2"/>
    <s v="4001.007"/>
    <s v="Acompte impôt sur revenu"/>
    <n v="0"/>
    <n v="1740062.04"/>
    <n v="4001"/>
  </r>
  <r>
    <x v="0"/>
    <x v="5"/>
    <x v="1"/>
    <x v="180"/>
    <x v="157"/>
    <x v="157"/>
    <s v="REVENUS"/>
    <x v="6"/>
    <s v="4211.001"/>
    <s v="Intérêts de retard sur factures"/>
    <n v="0"/>
    <n v="19987.63"/>
    <n v="4211"/>
  </r>
  <r>
    <x v="0"/>
    <x v="5"/>
    <x v="1"/>
    <x v="180"/>
    <x v="157"/>
    <x v="157"/>
    <s v="REVENUS"/>
    <x v="6"/>
    <s v="4211.001"/>
    <s v="Intérêts de retard sur factures"/>
    <n v="0"/>
    <n v="1.27"/>
    <n v="4211"/>
  </r>
  <r>
    <x v="0"/>
    <x v="5"/>
    <x v="1"/>
    <x v="180"/>
    <x v="157"/>
    <x v="157"/>
    <s v="REVENUS"/>
    <x v="2"/>
    <s v="4001.007"/>
    <s v="Acompte impôt sur revenu"/>
    <n v="0"/>
    <n v="-1023952.28"/>
    <n v="4001"/>
  </r>
  <r>
    <x v="0"/>
    <x v="5"/>
    <x v="1"/>
    <x v="180"/>
    <x v="157"/>
    <x v="157"/>
    <s v="REVENUS"/>
    <x v="3"/>
    <s v="4002.007"/>
    <s v="Acompte impôt sur fortune"/>
    <n v="0"/>
    <n v="-183997.24"/>
    <n v="4002"/>
  </r>
  <r>
    <x v="0"/>
    <x v="5"/>
    <x v="1"/>
    <x v="180"/>
    <x v="157"/>
    <x v="157"/>
    <s v="REVENUS"/>
    <x v="2"/>
    <s v="4001.001"/>
    <s v="Impôt revenu"/>
    <n v="0"/>
    <n v="3516139.75"/>
    <n v="4001"/>
  </r>
  <r>
    <x v="0"/>
    <x v="5"/>
    <x v="1"/>
    <x v="180"/>
    <x v="157"/>
    <x v="157"/>
    <s v="REVENUS"/>
    <x v="2"/>
    <s v="4001.002"/>
    <s v="Impôt complément s/revenu PP"/>
    <n v="0"/>
    <n v="1067277.1000000001"/>
    <n v="4001"/>
  </r>
  <r>
    <x v="0"/>
    <x v="5"/>
    <x v="1"/>
    <x v="180"/>
    <x v="157"/>
    <x v="157"/>
    <s v="REVENUS"/>
    <x v="3"/>
    <s v="4002.001"/>
    <s v="Impôt ordinaire s/fortune PP"/>
    <n v="0"/>
    <n v="499051.9"/>
    <n v="4002"/>
  </r>
  <r>
    <x v="0"/>
    <x v="5"/>
    <x v="1"/>
    <x v="180"/>
    <x v="157"/>
    <x v="157"/>
    <s v="REVENUS"/>
    <x v="3"/>
    <s v="4002.002"/>
    <s v="Impôt complémentaire s/fortune PP"/>
    <n v="0"/>
    <n v="160475.65"/>
    <n v="4002"/>
  </r>
  <r>
    <x v="0"/>
    <x v="5"/>
    <x v="1"/>
    <x v="180"/>
    <x v="157"/>
    <x v="157"/>
    <s v="REVENUS"/>
    <x v="3"/>
    <s v="4002.007"/>
    <s v="Acompte impôt sur fortune"/>
    <n v="0"/>
    <n v="230218.03"/>
    <n v="4002"/>
  </r>
  <r>
    <x v="0"/>
    <x v="5"/>
    <x v="1"/>
    <x v="180"/>
    <x v="157"/>
    <x v="157"/>
    <s v="REVENUS"/>
    <x v="10"/>
    <s v="4041.001"/>
    <s v="Droits de mutation"/>
    <n v="0"/>
    <n v="125396.25"/>
    <n v="4041"/>
  </r>
  <r>
    <x v="0"/>
    <x v="5"/>
    <x v="1"/>
    <x v="180"/>
    <x v="157"/>
    <x v="157"/>
    <s v="REVENUS"/>
    <x v="6"/>
    <s v="4211.002"/>
    <s v="Intérêts de retard sur acomptes"/>
    <n v="0"/>
    <n v="23537.15"/>
    <n v="4211"/>
  </r>
  <r>
    <x v="0"/>
    <x v="5"/>
    <x v="1"/>
    <x v="180"/>
    <x v="157"/>
    <x v="157"/>
    <s v="REVENUS"/>
    <x v="6"/>
    <s v="4221.003"/>
    <s v="Intérêts compensat. / acomptes en faveur du fisc"/>
    <n v="0"/>
    <n v="526.99"/>
    <n v="4221"/>
  </r>
  <r>
    <x v="0"/>
    <x v="5"/>
    <x v="1"/>
    <x v="180"/>
    <x v="157"/>
    <x v="157"/>
    <s v="REVENUS"/>
    <x v="3"/>
    <s v="4002.001"/>
    <s v="Impôt ordinaire s/fortune PP"/>
    <n v="0"/>
    <n v="8255.6"/>
    <n v="4002"/>
  </r>
  <r>
    <x v="0"/>
    <x v="5"/>
    <x v="1"/>
    <x v="180"/>
    <x v="157"/>
    <x v="157"/>
    <s v="REVENUS"/>
    <x v="6"/>
    <s v="4221.003"/>
    <s v="Intérêts compensat. / acomptes en faveur du fisc"/>
    <n v="0"/>
    <n v="1.97"/>
    <n v="4221"/>
  </r>
  <r>
    <x v="0"/>
    <x v="5"/>
    <x v="1"/>
    <x v="180"/>
    <x v="157"/>
    <x v="157"/>
    <s v="REVENUS"/>
    <x v="3"/>
    <s v="4002.001"/>
    <s v="Impôt ordinaire s/fortune PP"/>
    <n v="0"/>
    <n v="8948.7999999999993"/>
    <n v="4002"/>
  </r>
  <r>
    <x v="0"/>
    <x v="5"/>
    <x v="1"/>
    <x v="180"/>
    <x v="157"/>
    <x v="157"/>
    <s v="REVENUS"/>
    <x v="3"/>
    <s v="4002.007"/>
    <s v="Acompte impôt sur fortune"/>
    <n v="0"/>
    <n v="-822.7"/>
    <n v="4002"/>
  </r>
  <r>
    <x v="0"/>
    <x v="5"/>
    <x v="1"/>
    <x v="180"/>
    <x v="157"/>
    <x v="157"/>
    <s v="REVENUS"/>
    <x v="7"/>
    <s v="4184.000"/>
    <s v="Frais de poursuite"/>
    <n v="0"/>
    <n v="2407.38"/>
    <n v="4184"/>
  </r>
  <r>
    <x v="0"/>
    <x v="5"/>
    <x v="1"/>
    <x v="180"/>
    <x v="157"/>
    <x v="157"/>
    <s v="REVENUS"/>
    <x v="2"/>
    <s v="4001.001"/>
    <s v="Impôt revenu"/>
    <n v="0"/>
    <n v="-380047.9"/>
    <n v="4001"/>
  </r>
  <r>
    <x v="0"/>
    <x v="5"/>
    <x v="1"/>
    <x v="180"/>
    <x v="157"/>
    <x v="157"/>
    <s v="REVENUS"/>
    <x v="6"/>
    <s v="4211.002"/>
    <s v="Intérêts de retard sur acomptes"/>
    <n v="0"/>
    <n v="-1.35"/>
    <n v="4211"/>
  </r>
  <r>
    <x v="0"/>
    <x v="5"/>
    <x v="1"/>
    <x v="180"/>
    <x v="157"/>
    <x v="157"/>
    <s v="REVENUS"/>
    <x v="6"/>
    <s v="4221.003"/>
    <s v="Intérêts compensat. / acomptes en faveur du fisc"/>
    <n v="0"/>
    <n v="-0.49"/>
    <n v="4221"/>
  </r>
  <r>
    <x v="0"/>
    <x v="5"/>
    <x v="1"/>
    <x v="180"/>
    <x v="157"/>
    <x v="157"/>
    <s v="REVENUS"/>
    <x v="2"/>
    <s v="4001.003"/>
    <s v="Impôt s/prest. cap. PP"/>
    <n v="0"/>
    <n v="217233.45"/>
    <n v="4001"/>
  </r>
  <r>
    <x v="0"/>
    <x v="5"/>
    <x v="1"/>
    <x v="180"/>
    <x v="157"/>
    <x v="157"/>
    <s v="REVENUS"/>
    <x v="9"/>
    <s v="4031.001"/>
    <s v="Impôt sur les gains immobiliers"/>
    <n v="0"/>
    <n v="189406.9"/>
    <n v="4031"/>
  </r>
  <r>
    <x v="0"/>
    <x v="5"/>
    <x v="1"/>
    <x v="180"/>
    <x v="157"/>
    <x v="157"/>
    <s v="REVENUS"/>
    <x v="6"/>
    <s v="4221.002"/>
    <s v="Intérêts compensat. sur impôts distincts"/>
    <n v="0"/>
    <n v="923.7"/>
    <n v="4221"/>
  </r>
  <r>
    <x v="0"/>
    <x v="5"/>
    <x v="1"/>
    <x v="180"/>
    <x v="157"/>
    <x v="157"/>
    <s v="REVENUS"/>
    <x v="11"/>
    <s v="4198.000"/>
    <s v="Contributions communales"/>
    <n v="0"/>
    <n v="391045.6"/>
    <n v="4198"/>
  </r>
  <r>
    <x v="0"/>
    <x v="5"/>
    <x v="1"/>
    <x v="180"/>
    <x v="157"/>
    <x v="157"/>
    <s v="REVENUS"/>
    <x v="2"/>
    <s v="4001.007"/>
    <s v="Acompte impôt sur revenu"/>
    <n v="0"/>
    <n v="664.5"/>
    <n v="4001"/>
  </r>
  <r>
    <x v="0"/>
    <x v="5"/>
    <x v="1"/>
    <x v="180"/>
    <x v="157"/>
    <x v="157"/>
    <s v="REVENUS"/>
    <x v="3"/>
    <s v="4002.007"/>
    <s v="Acompte impôt sur fortune"/>
    <n v="0"/>
    <n v="-108.75"/>
    <n v="4002"/>
  </r>
  <r>
    <x v="0"/>
    <x v="5"/>
    <x v="1"/>
    <x v="180"/>
    <x v="157"/>
    <x v="157"/>
    <s v="REVENUS"/>
    <x v="2"/>
    <s v="4001.007"/>
    <s v="Acompte impôt sur revenu"/>
    <n v="0"/>
    <n v="54.35"/>
    <n v="4001"/>
  </r>
  <r>
    <x v="0"/>
    <x v="5"/>
    <x v="1"/>
    <x v="180"/>
    <x v="157"/>
    <x v="157"/>
    <s v="REVENUS"/>
    <x v="3"/>
    <s v="4002.007"/>
    <s v="Acompte impôt sur fortune"/>
    <n v="0"/>
    <n v="-755.65"/>
    <n v="4002"/>
  </r>
  <r>
    <x v="0"/>
    <x v="5"/>
    <x v="1"/>
    <x v="180"/>
    <x v="157"/>
    <x v="157"/>
    <s v="REVENUS"/>
    <x v="12"/>
    <s v="4004.007"/>
    <s v="Acompte spécial étrangers"/>
    <n v="0"/>
    <n v="-1384.8"/>
    <n v="4004"/>
  </r>
  <r>
    <x v="0"/>
    <x v="5"/>
    <x v="1"/>
    <x v="180"/>
    <x v="157"/>
    <x v="157"/>
    <s v="REVENUS"/>
    <x v="2"/>
    <s v="4001.007"/>
    <s v="Acompte impôt sur revenu"/>
    <n v="0"/>
    <n v="805.45"/>
    <n v="4001"/>
  </r>
  <r>
    <x v="0"/>
    <x v="5"/>
    <x v="1"/>
    <x v="180"/>
    <x v="157"/>
    <x v="157"/>
    <s v="REVENUS"/>
    <x v="3"/>
    <s v="4002.007"/>
    <s v="Acompte impôt sur fortune"/>
    <n v="0"/>
    <n v="519"/>
    <n v="4002"/>
  </r>
  <r>
    <x v="0"/>
    <x v="5"/>
    <x v="1"/>
    <x v="180"/>
    <x v="157"/>
    <x v="157"/>
    <s v="REVENUS"/>
    <x v="2"/>
    <s v="4001.001"/>
    <s v="Impôt revenu"/>
    <n v="0"/>
    <n v="1552.9"/>
    <n v="4001"/>
  </r>
  <r>
    <x v="0"/>
    <x v="5"/>
    <x v="1"/>
    <x v="180"/>
    <x v="157"/>
    <x v="157"/>
    <s v="REVENUS"/>
    <x v="3"/>
    <s v="4002.001"/>
    <s v="Impôt ordinaire s/fortune PP"/>
    <n v="0"/>
    <n v="804.7"/>
    <n v="4002"/>
  </r>
  <r>
    <x v="0"/>
    <x v="5"/>
    <x v="1"/>
    <x v="180"/>
    <x v="157"/>
    <x v="157"/>
    <s v="REVENUS"/>
    <x v="3"/>
    <s v="4002.007"/>
    <s v="Acompte impôt sur fortune"/>
    <n v="0"/>
    <n v="-98.95"/>
    <n v="4002"/>
  </r>
  <r>
    <x v="0"/>
    <x v="5"/>
    <x v="1"/>
    <x v="180"/>
    <x v="157"/>
    <x v="157"/>
    <s v="REVENUS"/>
    <x v="6"/>
    <s v="4211.002"/>
    <s v="Intérêts de retard sur acomptes"/>
    <n v="0"/>
    <n v="0.11"/>
    <n v="4211"/>
  </r>
  <r>
    <x v="0"/>
    <x v="5"/>
    <x v="1"/>
    <x v="180"/>
    <x v="157"/>
    <x v="157"/>
    <s v="REVENUS"/>
    <x v="2"/>
    <s v="4001.007"/>
    <s v="Acompte impôt sur revenu"/>
    <n v="0"/>
    <n v="781.9"/>
    <n v="4001"/>
  </r>
  <r>
    <x v="0"/>
    <x v="5"/>
    <x v="1"/>
    <x v="180"/>
    <x v="157"/>
    <x v="157"/>
    <s v="REVENUS"/>
    <x v="2"/>
    <s v="4001.007"/>
    <s v="Acompte impôt sur revenu"/>
    <n v="0"/>
    <n v="169.9"/>
    <n v="4001"/>
  </r>
  <r>
    <x v="0"/>
    <x v="5"/>
    <x v="1"/>
    <x v="180"/>
    <x v="157"/>
    <x v="157"/>
    <s v="REVENUS"/>
    <x v="2"/>
    <s v="4001.007"/>
    <s v="Acompte impôt sur revenu"/>
    <n v="0"/>
    <n v="13.45"/>
    <n v="4001"/>
  </r>
  <r>
    <x v="0"/>
    <x v="5"/>
    <x v="1"/>
    <x v="180"/>
    <x v="157"/>
    <x v="157"/>
    <s v="REVENUS"/>
    <x v="7"/>
    <s v="4184.000"/>
    <s v="Frais de poursuite"/>
    <n v="0"/>
    <n v="168.82"/>
    <n v="4184"/>
  </r>
  <r>
    <x v="0"/>
    <x v="5"/>
    <x v="1"/>
    <x v="180"/>
    <x v="157"/>
    <x v="157"/>
    <s v="REVENUS"/>
    <x v="2"/>
    <s v="4001.002"/>
    <s v="Impôt complément s/revenu PP"/>
    <n v="0"/>
    <n v="-11664.85"/>
    <n v="4001"/>
  </r>
  <r>
    <x v="0"/>
    <x v="5"/>
    <x v="1"/>
    <x v="180"/>
    <x v="157"/>
    <x v="157"/>
    <s v="REVENUS"/>
    <x v="3"/>
    <s v="4002.001"/>
    <s v="Impôt ordinaire s/fortune PP"/>
    <n v="0"/>
    <n v="-66708.55"/>
    <n v="4002"/>
  </r>
  <r>
    <x v="0"/>
    <x v="5"/>
    <x v="1"/>
    <x v="180"/>
    <x v="157"/>
    <x v="157"/>
    <s v="REVENUS"/>
    <x v="3"/>
    <s v="4002.002"/>
    <s v="Impôt complémentaire s/fortune PP"/>
    <n v="0"/>
    <n v="-1611.55"/>
    <n v="4002"/>
  </r>
  <r>
    <x v="0"/>
    <x v="5"/>
    <x v="1"/>
    <x v="180"/>
    <x v="157"/>
    <x v="157"/>
    <s v="REVENUS"/>
    <x v="7"/>
    <s v="4184.000"/>
    <s v="Frais de poursuite"/>
    <n v="0"/>
    <n v="1.8"/>
    <n v="4184"/>
  </r>
  <r>
    <x v="0"/>
    <x v="5"/>
    <x v="1"/>
    <x v="180"/>
    <x v="157"/>
    <x v="157"/>
    <s v="REVENUS"/>
    <x v="2"/>
    <s v="4001.001"/>
    <s v="Impôt revenu"/>
    <n v="0"/>
    <n v="2488.65"/>
    <n v="4001"/>
  </r>
  <r>
    <x v="0"/>
    <x v="5"/>
    <x v="1"/>
    <x v="180"/>
    <x v="157"/>
    <x v="157"/>
    <s v="REVENUS"/>
    <x v="6"/>
    <s v="4211.002"/>
    <s v="Intérêts de retard sur acomptes"/>
    <n v="0"/>
    <n v="337.83"/>
    <n v="4211"/>
  </r>
  <r>
    <x v="0"/>
    <x v="5"/>
    <x v="1"/>
    <x v="180"/>
    <x v="157"/>
    <x v="157"/>
    <s v="REVENUS"/>
    <x v="4"/>
    <s v="4051.001"/>
    <s v="Impôt sur les successions"/>
    <n v="0"/>
    <n v="37934.400000000001"/>
    <n v="4051"/>
  </r>
  <r>
    <x v="0"/>
    <x v="5"/>
    <x v="1"/>
    <x v="180"/>
    <x v="157"/>
    <x v="157"/>
    <s v="REVENUS"/>
    <x v="6"/>
    <s v="4221.003"/>
    <s v="Intérêts compensat. / acomptes en faveur du fisc"/>
    <n v="0"/>
    <n v="0.67"/>
    <n v="4221"/>
  </r>
  <r>
    <x v="0"/>
    <x v="5"/>
    <x v="1"/>
    <x v="180"/>
    <x v="157"/>
    <x v="157"/>
    <s v="REVENUS"/>
    <x v="6"/>
    <s v="4211.001"/>
    <s v="Intérêts de retard sur factures"/>
    <n v="0"/>
    <n v="1.79"/>
    <n v="4211"/>
  </r>
  <r>
    <x v="0"/>
    <x v="5"/>
    <x v="1"/>
    <x v="180"/>
    <x v="157"/>
    <x v="157"/>
    <s v="REVENUS"/>
    <x v="2"/>
    <s v="4001.001"/>
    <s v="Impôt revenu"/>
    <n v="0"/>
    <n v="73.650000000000006"/>
    <n v="4001"/>
  </r>
  <r>
    <x v="0"/>
    <x v="5"/>
    <x v="1"/>
    <x v="180"/>
    <x v="157"/>
    <x v="157"/>
    <s v="REVENUS"/>
    <x v="3"/>
    <s v="4002.007"/>
    <s v="Acompte impôt sur fortune"/>
    <n v="0"/>
    <n v="-14.45"/>
    <n v="4002"/>
  </r>
  <r>
    <x v="0"/>
    <x v="5"/>
    <x v="1"/>
    <x v="180"/>
    <x v="157"/>
    <x v="157"/>
    <s v="REVENUS"/>
    <x v="5"/>
    <s v="4061.000"/>
    <s v="Impôt sur les chiens"/>
    <n v="0"/>
    <n v="7170"/>
    <n v="4061"/>
  </r>
  <r>
    <x v="0"/>
    <x v="5"/>
    <x v="1"/>
    <x v="180"/>
    <x v="157"/>
    <x v="157"/>
    <s v="REVENUS"/>
    <x v="3"/>
    <s v="4002.001"/>
    <s v="Impôt ordinaire s/fortune PP"/>
    <n v="0"/>
    <n v="4011"/>
    <n v="4002"/>
  </r>
  <r>
    <x v="0"/>
    <x v="5"/>
    <x v="1"/>
    <x v="180"/>
    <x v="157"/>
    <x v="157"/>
    <s v="REVENUS"/>
    <x v="6"/>
    <s v="4221.003"/>
    <s v="Intérêts compensat. / acomptes en faveur du fisc"/>
    <n v="0"/>
    <n v="1.55"/>
    <n v="4221"/>
  </r>
  <r>
    <x v="0"/>
    <x v="5"/>
    <x v="1"/>
    <x v="180"/>
    <x v="157"/>
    <x v="157"/>
    <s v="REVENUS"/>
    <x v="2"/>
    <s v="4001.001"/>
    <s v="Impôt revenu"/>
    <n v="0"/>
    <n v="980.3"/>
    <n v="4001"/>
  </r>
  <r>
    <x v="0"/>
    <x v="5"/>
    <x v="1"/>
    <x v="180"/>
    <x v="157"/>
    <x v="157"/>
    <s v="REVENUS"/>
    <x v="6"/>
    <s v="4211.002"/>
    <s v="Intérêts de retard sur acomptes"/>
    <n v="0"/>
    <n v="2.42"/>
    <n v="4211"/>
  </r>
  <r>
    <x v="0"/>
    <x v="5"/>
    <x v="1"/>
    <x v="180"/>
    <x v="157"/>
    <x v="157"/>
    <s v="REVENUS"/>
    <x v="8"/>
    <s v="4091.001"/>
    <s v="Impôt récupéré après défalcations"/>
    <n v="0"/>
    <n v="96.24"/>
    <n v="4091"/>
  </r>
  <r>
    <x v="0"/>
    <x v="5"/>
    <x v="1"/>
    <x v="180"/>
    <x v="157"/>
    <x v="157"/>
    <s v="REVENUS"/>
    <x v="10"/>
    <s v="4041.002"/>
    <s v="Complément droit de mutation"/>
    <n v="0"/>
    <n v="0"/>
    <n v="4041"/>
  </r>
  <r>
    <x v="0"/>
    <x v="5"/>
    <x v="1"/>
    <x v="180"/>
    <x v="157"/>
    <x v="157"/>
    <s v="REVENUS"/>
    <x v="2"/>
    <s v="4001.001"/>
    <s v="Impôt revenu"/>
    <n v="0"/>
    <n v="6930.25"/>
    <n v="4001"/>
  </r>
  <r>
    <x v="0"/>
    <x v="5"/>
    <x v="1"/>
    <x v="180"/>
    <x v="157"/>
    <x v="157"/>
    <s v="REVENUS"/>
    <x v="6"/>
    <s v="4211.002"/>
    <s v="Intérêts de retard sur acomptes"/>
    <n v="0"/>
    <n v="6.38"/>
    <n v="4211"/>
  </r>
  <r>
    <x v="0"/>
    <x v="5"/>
    <x v="1"/>
    <x v="180"/>
    <x v="157"/>
    <x v="157"/>
    <s v="REVENUS"/>
    <x v="12"/>
    <s v="4004.000"/>
    <s v="Impôt spécial étrangers"/>
    <n v="0"/>
    <n v="67395.25"/>
    <n v="4004"/>
  </r>
  <r>
    <x v="0"/>
    <x v="5"/>
    <x v="1"/>
    <x v="180"/>
    <x v="157"/>
    <x v="157"/>
    <s v="REVENUS"/>
    <x v="3"/>
    <s v="4002.002"/>
    <s v="Impôt complémentaire s/fortune PP"/>
    <n v="0"/>
    <n v="986.75"/>
    <n v="4002"/>
  </r>
  <r>
    <x v="0"/>
    <x v="5"/>
    <x v="1"/>
    <x v="180"/>
    <x v="157"/>
    <x v="157"/>
    <s v="REVENUS"/>
    <x v="6"/>
    <s v="4211.001"/>
    <s v="Intérêts de retard sur factures"/>
    <n v="0"/>
    <n v="0.61"/>
    <n v="4211"/>
  </r>
  <r>
    <x v="0"/>
    <x v="5"/>
    <x v="1"/>
    <x v="180"/>
    <x v="157"/>
    <x v="157"/>
    <s v="REVENUS"/>
    <x v="2"/>
    <s v="4001.003"/>
    <s v="Impôt s/prest. cap. PP"/>
    <n v="0"/>
    <n v="-1265.5999999999999"/>
    <n v="4001"/>
  </r>
  <r>
    <x v="0"/>
    <x v="5"/>
    <x v="1"/>
    <x v="180"/>
    <x v="157"/>
    <x v="157"/>
    <s v="REVENUS"/>
    <x v="2"/>
    <s v="4001.002"/>
    <s v="Impôt complément s/revenu PP"/>
    <n v="0"/>
    <n v="54.75"/>
    <n v="4001"/>
  </r>
  <r>
    <x v="0"/>
    <x v="5"/>
    <x v="1"/>
    <x v="180"/>
    <x v="157"/>
    <x v="157"/>
    <s v="REVENUS"/>
    <x v="3"/>
    <s v="4002.002"/>
    <s v="Impôt complémentaire s/fortune PP"/>
    <n v="0"/>
    <n v="48"/>
    <n v="4002"/>
  </r>
  <r>
    <x v="0"/>
    <x v="4"/>
    <x v="4"/>
    <x v="181"/>
    <x v="158"/>
    <x v="158"/>
    <s v="CHARGES"/>
    <x v="1"/>
    <s v="3301.001"/>
    <s v="Défalcations, abandons de solde PP et IS"/>
    <n v="43.56"/>
    <n v="0"/>
    <n v="3301"/>
  </r>
  <r>
    <x v="0"/>
    <x v="4"/>
    <x v="4"/>
    <x v="181"/>
    <x v="158"/>
    <x v="158"/>
    <s v="CHARGES"/>
    <x v="0"/>
    <s v="3212.004"/>
    <s v="Intérêts rémun./perçu trop tôt sur acomptes C/C"/>
    <n v="56.51"/>
    <n v="0"/>
    <n v="3212"/>
  </r>
  <r>
    <x v="0"/>
    <x v="4"/>
    <x v="4"/>
    <x v="181"/>
    <x v="158"/>
    <x v="158"/>
    <s v="CHARGES"/>
    <x v="0"/>
    <s v="3221.002"/>
    <s v="Intérêts compensatoires / créances en faveur ctb."/>
    <n v="13.54"/>
    <n v="0"/>
    <n v="3221"/>
  </r>
  <r>
    <x v="0"/>
    <x v="4"/>
    <x v="4"/>
    <x v="181"/>
    <x v="158"/>
    <x v="158"/>
    <s v="CHARGES"/>
    <x v="0"/>
    <s v="3212.004"/>
    <s v="Intérêts rémun./perçu trop tôt sur acomptes C/C"/>
    <n v="0.01"/>
    <n v="0"/>
    <n v="3212"/>
  </r>
  <r>
    <x v="0"/>
    <x v="4"/>
    <x v="4"/>
    <x v="181"/>
    <x v="158"/>
    <x v="158"/>
    <s v="CHARGES"/>
    <x v="1"/>
    <s v="3301.001"/>
    <s v="Défalcations, abandons de solde PP et IS"/>
    <n v="0.25"/>
    <n v="0"/>
    <n v="3301"/>
  </r>
  <r>
    <x v="0"/>
    <x v="4"/>
    <x v="4"/>
    <x v="181"/>
    <x v="158"/>
    <x v="158"/>
    <s v="CHARGES"/>
    <x v="0"/>
    <s v="3212.004"/>
    <s v="Intérêts rémun./perçu trop tôt sur acomptes C/C"/>
    <n v="0.02"/>
    <n v="0"/>
    <n v="3212"/>
  </r>
  <r>
    <x v="0"/>
    <x v="4"/>
    <x v="4"/>
    <x v="181"/>
    <x v="158"/>
    <x v="158"/>
    <s v="CHARGES"/>
    <x v="0"/>
    <s v="3221.002"/>
    <s v="Intérêts compensatoires / créances en faveur ctb."/>
    <n v="0.03"/>
    <n v="0"/>
    <n v="3221"/>
  </r>
  <r>
    <x v="0"/>
    <x v="4"/>
    <x v="4"/>
    <x v="181"/>
    <x v="158"/>
    <x v="158"/>
    <s v="CHARGES"/>
    <x v="0"/>
    <s v="3212.002"/>
    <s v="Intérêts bonifiés/trop perçu acompte C/C"/>
    <n v="3.59"/>
    <n v="0"/>
    <n v="3212"/>
  </r>
  <r>
    <x v="0"/>
    <x v="4"/>
    <x v="4"/>
    <x v="181"/>
    <x v="158"/>
    <x v="158"/>
    <s v="CHARGES"/>
    <x v="0"/>
    <s v="3212.004"/>
    <s v="Intérêts rémun./perçu trop tôt sur acomptes C/C"/>
    <n v="0.1"/>
    <n v="0"/>
    <n v="3212"/>
  </r>
  <r>
    <x v="0"/>
    <x v="4"/>
    <x v="4"/>
    <x v="181"/>
    <x v="158"/>
    <x v="158"/>
    <s v="CHARGES"/>
    <x v="0"/>
    <s v="3221.002"/>
    <s v="Intérêts compensatoires / créances en faveur ctb."/>
    <n v="0.03"/>
    <n v="0"/>
    <n v="3221"/>
  </r>
  <r>
    <x v="0"/>
    <x v="4"/>
    <x v="4"/>
    <x v="181"/>
    <x v="158"/>
    <x v="158"/>
    <s v="REVENUS"/>
    <x v="2"/>
    <s v="4001.007"/>
    <s v="Acompte impôt sur revenu"/>
    <n v="0"/>
    <n v="116666.63"/>
    <n v="4001"/>
  </r>
  <r>
    <x v="0"/>
    <x v="4"/>
    <x v="4"/>
    <x v="181"/>
    <x v="158"/>
    <x v="158"/>
    <s v="REVENUS"/>
    <x v="3"/>
    <s v="4002.007"/>
    <s v="Acompte impôt sur fortune"/>
    <n v="0"/>
    <n v="5567.81"/>
    <n v="4002"/>
  </r>
  <r>
    <x v="0"/>
    <x v="4"/>
    <x v="4"/>
    <x v="181"/>
    <x v="158"/>
    <x v="158"/>
    <s v="REVENUS"/>
    <x v="2"/>
    <s v="4001.007"/>
    <s v="Acompte impôt sur revenu"/>
    <n v="0"/>
    <n v="-1085.7"/>
    <n v="4001"/>
  </r>
  <r>
    <x v="0"/>
    <x v="4"/>
    <x v="4"/>
    <x v="181"/>
    <x v="158"/>
    <x v="158"/>
    <s v="REVENUS"/>
    <x v="3"/>
    <s v="4002.007"/>
    <s v="Acompte impôt sur fortune"/>
    <n v="0"/>
    <n v="-120.3"/>
    <n v="4002"/>
  </r>
  <r>
    <x v="0"/>
    <x v="4"/>
    <x v="4"/>
    <x v="181"/>
    <x v="158"/>
    <x v="158"/>
    <s v="REVENUS"/>
    <x v="2"/>
    <s v="4001.007"/>
    <s v="Acompte impôt sur revenu"/>
    <n v="0"/>
    <n v="39.01"/>
    <n v="4001"/>
  </r>
  <r>
    <x v="0"/>
    <x v="4"/>
    <x v="4"/>
    <x v="181"/>
    <x v="158"/>
    <x v="158"/>
    <s v="REVENUS"/>
    <x v="3"/>
    <s v="4002.007"/>
    <s v="Acompte impôt sur fortune"/>
    <n v="0"/>
    <n v="1.5"/>
    <n v="4002"/>
  </r>
  <r>
    <x v="0"/>
    <x v="4"/>
    <x v="4"/>
    <x v="181"/>
    <x v="158"/>
    <x v="158"/>
    <s v="REVENUS"/>
    <x v="3"/>
    <s v="4002.007"/>
    <s v="Acompte impôt sur fortune"/>
    <n v="0"/>
    <n v="12.5"/>
    <n v="4002"/>
  </r>
  <r>
    <x v="0"/>
    <x v="4"/>
    <x v="4"/>
    <x v="181"/>
    <x v="158"/>
    <x v="158"/>
    <s v="REVENUS"/>
    <x v="3"/>
    <s v="4002.007"/>
    <s v="Acompte impôt sur fortune"/>
    <n v="0"/>
    <n v="507.05"/>
    <n v="4002"/>
  </r>
  <r>
    <x v="0"/>
    <x v="4"/>
    <x v="4"/>
    <x v="181"/>
    <x v="158"/>
    <x v="158"/>
    <s v="REVENUS"/>
    <x v="2"/>
    <s v="4001.007"/>
    <s v="Acompte impôt sur revenu"/>
    <n v="0"/>
    <n v="1.2"/>
    <n v="4001"/>
  </r>
  <r>
    <x v="0"/>
    <x v="4"/>
    <x v="4"/>
    <x v="181"/>
    <x v="158"/>
    <x v="158"/>
    <s v="REVENUS"/>
    <x v="5"/>
    <s v="4061.000"/>
    <s v="Impôt sur les chiens"/>
    <n v="0"/>
    <n v="3800"/>
    <n v="4061"/>
  </r>
  <r>
    <x v="0"/>
    <x v="4"/>
    <x v="4"/>
    <x v="181"/>
    <x v="158"/>
    <x v="158"/>
    <s v="REVENUS"/>
    <x v="2"/>
    <s v="4001.003"/>
    <s v="Impôt s/prest. cap. PP"/>
    <n v="0"/>
    <n v="15460.25"/>
    <n v="4001"/>
  </r>
  <r>
    <x v="0"/>
    <x v="4"/>
    <x v="4"/>
    <x v="181"/>
    <x v="158"/>
    <x v="158"/>
    <s v="REVENUS"/>
    <x v="2"/>
    <s v="4001.007"/>
    <s v="Acompte impôt sur revenu"/>
    <n v="0"/>
    <n v="3120.7"/>
    <n v="4001"/>
  </r>
  <r>
    <x v="0"/>
    <x v="4"/>
    <x v="4"/>
    <x v="181"/>
    <x v="158"/>
    <x v="158"/>
    <s v="REVENUS"/>
    <x v="7"/>
    <s v="4184.000"/>
    <s v="Frais de poursuite"/>
    <n v="0"/>
    <n v="46.21"/>
    <n v="4184"/>
  </r>
  <r>
    <x v="0"/>
    <x v="4"/>
    <x v="4"/>
    <x v="181"/>
    <x v="158"/>
    <x v="158"/>
    <s v="REVENUS"/>
    <x v="6"/>
    <s v="4211.001"/>
    <s v="Intérêts de retard sur factures"/>
    <n v="0"/>
    <n v="91.98"/>
    <n v="4211"/>
  </r>
  <r>
    <x v="0"/>
    <x v="4"/>
    <x v="4"/>
    <x v="181"/>
    <x v="158"/>
    <x v="158"/>
    <s v="REVENUS"/>
    <x v="6"/>
    <s v="4221.002"/>
    <s v="Intérêts compensat. sur impôts distincts"/>
    <n v="0"/>
    <n v="7.35"/>
    <n v="4221"/>
  </r>
  <r>
    <x v="0"/>
    <x v="4"/>
    <x v="4"/>
    <x v="181"/>
    <x v="158"/>
    <x v="158"/>
    <s v="REVENUS"/>
    <x v="2"/>
    <s v="4001.001"/>
    <s v="Impôt revenu"/>
    <n v="0"/>
    <n v="463536.65"/>
    <n v="4001"/>
  </r>
  <r>
    <x v="0"/>
    <x v="4"/>
    <x v="4"/>
    <x v="181"/>
    <x v="158"/>
    <x v="158"/>
    <s v="REVENUS"/>
    <x v="3"/>
    <s v="4002.001"/>
    <s v="Impôt ordinaire s/fortune PP"/>
    <n v="0"/>
    <n v="30174.95"/>
    <n v="4002"/>
  </r>
  <r>
    <x v="0"/>
    <x v="4"/>
    <x v="4"/>
    <x v="181"/>
    <x v="158"/>
    <x v="158"/>
    <s v="REVENUS"/>
    <x v="6"/>
    <s v="4211.002"/>
    <s v="Intérêts de retard sur acomptes"/>
    <n v="0"/>
    <n v="2434.71"/>
    <n v="4211"/>
  </r>
  <r>
    <x v="0"/>
    <x v="4"/>
    <x v="4"/>
    <x v="181"/>
    <x v="158"/>
    <x v="158"/>
    <s v="REVENUS"/>
    <x v="2"/>
    <s v="4001.001"/>
    <s v="Impôt revenu"/>
    <n v="0"/>
    <n v="302.05"/>
    <n v="4001"/>
  </r>
  <r>
    <x v="0"/>
    <x v="4"/>
    <x v="4"/>
    <x v="181"/>
    <x v="158"/>
    <x v="158"/>
    <s v="REVENUS"/>
    <x v="3"/>
    <s v="4002.001"/>
    <s v="Impôt ordinaire s/fortune PP"/>
    <n v="0"/>
    <n v="70.3"/>
    <n v="4002"/>
  </r>
  <r>
    <x v="0"/>
    <x v="4"/>
    <x v="4"/>
    <x v="181"/>
    <x v="158"/>
    <x v="158"/>
    <s v="REVENUS"/>
    <x v="6"/>
    <s v="4211.002"/>
    <s v="Intérêts de retard sur acomptes"/>
    <n v="0"/>
    <n v="0.47"/>
    <n v="4211"/>
  </r>
  <r>
    <x v="0"/>
    <x v="4"/>
    <x v="4"/>
    <x v="181"/>
    <x v="158"/>
    <x v="158"/>
    <s v="REVENUS"/>
    <x v="6"/>
    <s v="4221.003"/>
    <s v="Intérêts compensat. / acomptes en faveur du fisc"/>
    <n v="0"/>
    <n v="18.07"/>
    <n v="4221"/>
  </r>
  <r>
    <x v="0"/>
    <x v="4"/>
    <x v="4"/>
    <x v="181"/>
    <x v="158"/>
    <x v="158"/>
    <s v="REVENUS"/>
    <x v="10"/>
    <s v="4041.001"/>
    <s v="Droits de mutation"/>
    <n v="0"/>
    <n v="16555"/>
    <n v="4041"/>
  </r>
  <r>
    <x v="0"/>
    <x v="4"/>
    <x v="4"/>
    <x v="181"/>
    <x v="158"/>
    <x v="158"/>
    <s v="REVENUS"/>
    <x v="2"/>
    <s v="4001.002"/>
    <s v="Impôt complément s/revenu PP"/>
    <n v="0"/>
    <n v="13322.6"/>
    <n v="4001"/>
  </r>
  <r>
    <x v="0"/>
    <x v="4"/>
    <x v="4"/>
    <x v="181"/>
    <x v="158"/>
    <x v="158"/>
    <s v="REVENUS"/>
    <x v="3"/>
    <s v="4002.002"/>
    <s v="Impôt complémentaire s/fortune PP"/>
    <n v="0"/>
    <n v="1409.95"/>
    <n v="4002"/>
  </r>
  <r>
    <x v="0"/>
    <x v="4"/>
    <x v="4"/>
    <x v="181"/>
    <x v="158"/>
    <x v="158"/>
    <s v="REVENUS"/>
    <x v="2"/>
    <s v="4001.001"/>
    <s v="Impôt revenu"/>
    <n v="0"/>
    <n v="1282.3499999999999"/>
    <n v="4001"/>
  </r>
  <r>
    <x v="0"/>
    <x v="4"/>
    <x v="4"/>
    <x v="181"/>
    <x v="158"/>
    <x v="158"/>
    <s v="REVENUS"/>
    <x v="2"/>
    <s v="4001.007"/>
    <s v="Acompte impôt sur revenu"/>
    <n v="0"/>
    <n v="-198.85"/>
    <n v="4001"/>
  </r>
  <r>
    <x v="0"/>
    <x v="4"/>
    <x v="4"/>
    <x v="181"/>
    <x v="158"/>
    <x v="158"/>
    <s v="REVENUS"/>
    <x v="3"/>
    <s v="4002.001"/>
    <s v="Impôt ordinaire s/fortune PP"/>
    <n v="0"/>
    <n v="281.14999999999998"/>
    <n v="4002"/>
  </r>
  <r>
    <x v="0"/>
    <x v="4"/>
    <x v="4"/>
    <x v="181"/>
    <x v="158"/>
    <x v="158"/>
    <s v="REVENUS"/>
    <x v="3"/>
    <s v="4002.007"/>
    <s v="Acompte impôt sur fortune"/>
    <n v="0"/>
    <n v="-286.8"/>
    <n v="4002"/>
  </r>
  <r>
    <x v="0"/>
    <x v="4"/>
    <x v="4"/>
    <x v="181"/>
    <x v="158"/>
    <x v="158"/>
    <s v="REVENUS"/>
    <x v="6"/>
    <s v="4221.003"/>
    <s v="Intérêts compensat. / acomptes en faveur du fisc"/>
    <n v="0"/>
    <n v="0.25"/>
    <n v="4221"/>
  </r>
  <r>
    <x v="0"/>
    <x v="4"/>
    <x v="4"/>
    <x v="181"/>
    <x v="158"/>
    <x v="158"/>
    <s v="REVENUS"/>
    <x v="2"/>
    <s v="4001.001"/>
    <s v="Impôt revenu"/>
    <n v="0"/>
    <n v="672.4"/>
    <n v="4001"/>
  </r>
  <r>
    <x v="0"/>
    <x v="4"/>
    <x v="4"/>
    <x v="181"/>
    <x v="158"/>
    <x v="158"/>
    <s v="REVENUS"/>
    <x v="6"/>
    <s v="4211.002"/>
    <s v="Intérêts de retard sur acomptes"/>
    <n v="0"/>
    <n v="4.2"/>
    <n v="4211"/>
  </r>
  <r>
    <x v="0"/>
    <x v="4"/>
    <x v="4"/>
    <x v="181"/>
    <x v="158"/>
    <x v="158"/>
    <s v="REVENUS"/>
    <x v="3"/>
    <s v="4002.001"/>
    <s v="Impôt ordinaire s/fortune PP"/>
    <n v="0"/>
    <n v="5.7"/>
    <n v="4002"/>
  </r>
  <r>
    <x v="0"/>
    <x v="4"/>
    <x v="4"/>
    <x v="181"/>
    <x v="158"/>
    <x v="158"/>
    <s v="REVENUS"/>
    <x v="2"/>
    <s v="4001.001"/>
    <s v="Impôt revenu"/>
    <n v="0"/>
    <n v="13.5"/>
    <n v="4001"/>
  </r>
  <r>
    <x v="0"/>
    <x v="4"/>
    <x v="4"/>
    <x v="181"/>
    <x v="158"/>
    <x v="158"/>
    <s v="REVENUS"/>
    <x v="3"/>
    <s v="4002.001"/>
    <s v="Impôt ordinaire s/fortune PP"/>
    <n v="0"/>
    <n v="52.8"/>
    <n v="4002"/>
  </r>
  <r>
    <x v="0"/>
    <x v="4"/>
    <x v="4"/>
    <x v="181"/>
    <x v="158"/>
    <x v="158"/>
    <s v="REVENUS"/>
    <x v="9"/>
    <s v="4031.001"/>
    <s v="Impôt sur les gains immobiliers"/>
    <n v="0"/>
    <n v="6543.15"/>
    <n v="4031"/>
  </r>
  <r>
    <x v="0"/>
    <x v="3"/>
    <x v="3"/>
    <x v="182"/>
    <x v="159"/>
    <x v="159"/>
    <s v="CHARGES"/>
    <x v="1"/>
    <s v="3301.001"/>
    <s v="Défalcations, abandons de solde PP et IS"/>
    <n v="2228.9499999999998"/>
    <n v="0"/>
    <n v="3301"/>
  </r>
  <r>
    <x v="0"/>
    <x v="3"/>
    <x v="3"/>
    <x v="182"/>
    <x v="159"/>
    <x v="159"/>
    <s v="CHARGES"/>
    <x v="1"/>
    <s v="3301.001"/>
    <s v="Défalcations, abandons de solde PP et IS"/>
    <n v="5924.12"/>
    <n v="0"/>
    <n v="3301"/>
  </r>
  <r>
    <x v="0"/>
    <x v="3"/>
    <x v="3"/>
    <x v="182"/>
    <x v="159"/>
    <x v="159"/>
    <s v="REVENUS"/>
    <x v="8"/>
    <s v="4091.001"/>
    <s v="Impôt récupéré après défalcations"/>
    <n v="0"/>
    <n v="1724.27"/>
    <n v="4091"/>
  </r>
  <r>
    <x v="0"/>
    <x v="3"/>
    <x v="3"/>
    <x v="182"/>
    <x v="159"/>
    <x v="159"/>
    <s v="REVENUS"/>
    <x v="6"/>
    <s v="4211.001"/>
    <s v="Intérêts de retard sur factures"/>
    <n v="0"/>
    <n v="98.08"/>
    <n v="4211"/>
  </r>
  <r>
    <x v="0"/>
    <x v="3"/>
    <x v="3"/>
    <x v="182"/>
    <x v="159"/>
    <x v="159"/>
    <s v="REVENUS"/>
    <x v="8"/>
    <s v="4091.001"/>
    <s v="Impôt récupéré après défalcations"/>
    <n v="0"/>
    <n v="5924.12"/>
    <n v="4091"/>
  </r>
  <r>
    <x v="0"/>
    <x v="3"/>
    <x v="3"/>
    <x v="182"/>
    <x v="159"/>
    <x v="159"/>
    <s v="REVENUS"/>
    <x v="2"/>
    <s v="4001.003"/>
    <s v="Impôt s/prest. cap. PP"/>
    <n v="0"/>
    <n v="-1790.85"/>
    <n v="4001"/>
  </r>
  <r>
    <x v="0"/>
    <x v="3"/>
    <x v="3"/>
    <x v="182"/>
    <x v="159"/>
    <x v="159"/>
    <s v="REVENUS"/>
    <x v="6"/>
    <s v="4211.001"/>
    <s v="Intérêts de retard sur factures"/>
    <n v="0"/>
    <n v="-9.41"/>
    <n v="4211"/>
  </r>
  <r>
    <x v="0"/>
    <x v="3"/>
    <x v="3"/>
    <x v="182"/>
    <x v="159"/>
    <x v="159"/>
    <s v="REVENUS"/>
    <x v="2"/>
    <s v="4001.007"/>
    <s v="Acompte impôt sur revenu"/>
    <n v="0"/>
    <n v="-12.6"/>
    <n v="4001"/>
  </r>
  <r>
    <x v="0"/>
    <x v="3"/>
    <x v="3"/>
    <x v="182"/>
    <x v="159"/>
    <x v="159"/>
    <s v="REVENUS"/>
    <x v="3"/>
    <s v="4002.007"/>
    <s v="Acompte impôt sur fortune"/>
    <n v="0"/>
    <n v="-12.5"/>
    <n v="4002"/>
  </r>
  <r>
    <x v="0"/>
    <x v="3"/>
    <x v="3"/>
    <x v="183"/>
    <x v="160"/>
    <x v="160"/>
    <s v="CHARGES"/>
    <x v="1"/>
    <s v="3301.001"/>
    <s v="Défalcations, abandons de solde PP et IS"/>
    <n v="17747.22"/>
    <n v="0"/>
    <n v="3301"/>
  </r>
  <r>
    <x v="0"/>
    <x v="3"/>
    <x v="3"/>
    <x v="183"/>
    <x v="160"/>
    <x v="160"/>
    <s v="CHARGES"/>
    <x v="0"/>
    <s v="3212.004"/>
    <s v="Intérêts rémun./perçu trop tôt sur acomptes C/C"/>
    <n v="84.32"/>
    <n v="0"/>
    <n v="3212"/>
  </r>
  <r>
    <x v="0"/>
    <x v="3"/>
    <x v="3"/>
    <x v="183"/>
    <x v="160"/>
    <x v="160"/>
    <s v="CHARGES"/>
    <x v="0"/>
    <s v="3221.002"/>
    <s v="Intérêts compensatoires / créances en faveur ctb."/>
    <n v="46.63"/>
    <n v="0"/>
    <n v="3221"/>
  </r>
  <r>
    <x v="0"/>
    <x v="3"/>
    <x v="3"/>
    <x v="183"/>
    <x v="160"/>
    <x v="160"/>
    <s v="CHARGES"/>
    <x v="0"/>
    <s v="3212.004"/>
    <s v="Intérêts rémun./perçu trop tôt sur acomptes C/C"/>
    <n v="1.21"/>
    <n v="0"/>
    <n v="3212"/>
  </r>
  <r>
    <x v="0"/>
    <x v="3"/>
    <x v="3"/>
    <x v="183"/>
    <x v="160"/>
    <x v="160"/>
    <s v="CHARGES"/>
    <x v="0"/>
    <s v="3212.004"/>
    <s v="Intérêts rémun./perçu trop tôt sur acomptes C/C"/>
    <n v="0.22"/>
    <n v="0"/>
    <n v="3212"/>
  </r>
  <r>
    <x v="0"/>
    <x v="3"/>
    <x v="3"/>
    <x v="183"/>
    <x v="160"/>
    <x v="160"/>
    <s v="CHARGES"/>
    <x v="0"/>
    <s v="3221.002"/>
    <s v="Intérêts compensatoires / créances en faveur ctb."/>
    <n v="0.05"/>
    <n v="0"/>
    <n v="3221"/>
  </r>
  <r>
    <x v="0"/>
    <x v="3"/>
    <x v="3"/>
    <x v="183"/>
    <x v="160"/>
    <x v="160"/>
    <s v="CHARGES"/>
    <x v="1"/>
    <s v="3301.001"/>
    <s v="Défalcations, abandons de solde PP et IS"/>
    <n v="0.25"/>
    <n v="0"/>
    <n v="3301"/>
  </r>
  <r>
    <x v="0"/>
    <x v="3"/>
    <x v="3"/>
    <x v="183"/>
    <x v="160"/>
    <x v="160"/>
    <s v="CHARGES"/>
    <x v="0"/>
    <s v="3212.002"/>
    <s v="Intérêts bonifiés/trop perçu acompte C/C"/>
    <n v="0.4"/>
    <n v="0"/>
    <n v="3212"/>
  </r>
  <r>
    <x v="0"/>
    <x v="3"/>
    <x v="3"/>
    <x v="183"/>
    <x v="160"/>
    <x v="160"/>
    <s v="REVENUS"/>
    <x v="2"/>
    <s v="4001.001"/>
    <s v="Impôt revenu"/>
    <n v="0"/>
    <n v="30.4"/>
    <n v="4001"/>
  </r>
  <r>
    <x v="0"/>
    <x v="3"/>
    <x v="3"/>
    <x v="183"/>
    <x v="160"/>
    <x v="160"/>
    <s v="REVENUS"/>
    <x v="3"/>
    <s v="4002.001"/>
    <s v="Impôt ordinaire s/fortune PP"/>
    <n v="0"/>
    <n v="14.6"/>
    <n v="4002"/>
  </r>
  <r>
    <x v="0"/>
    <x v="3"/>
    <x v="3"/>
    <x v="183"/>
    <x v="160"/>
    <x v="160"/>
    <s v="REVENUS"/>
    <x v="2"/>
    <s v="4001.007"/>
    <s v="Acompte impôt sur revenu"/>
    <n v="0"/>
    <n v="33344.269999999997"/>
    <n v="4001"/>
  </r>
  <r>
    <x v="0"/>
    <x v="3"/>
    <x v="3"/>
    <x v="183"/>
    <x v="160"/>
    <x v="160"/>
    <s v="REVENUS"/>
    <x v="6"/>
    <s v="4211.001"/>
    <s v="Intérêts de retard sur factures"/>
    <n v="0"/>
    <n v="2852.04"/>
    <n v="4211"/>
  </r>
  <r>
    <x v="0"/>
    <x v="3"/>
    <x v="3"/>
    <x v="183"/>
    <x v="160"/>
    <x v="160"/>
    <s v="REVENUS"/>
    <x v="2"/>
    <s v="4001.001"/>
    <s v="Impôt revenu"/>
    <n v="0"/>
    <n v="445940.3"/>
    <n v="4001"/>
  </r>
  <r>
    <x v="0"/>
    <x v="3"/>
    <x v="3"/>
    <x v="183"/>
    <x v="160"/>
    <x v="160"/>
    <s v="REVENUS"/>
    <x v="7"/>
    <s v="4184.000"/>
    <s v="Frais de poursuite"/>
    <n v="0"/>
    <n v="1088.8800000000001"/>
    <n v="4184"/>
  </r>
  <r>
    <x v="0"/>
    <x v="3"/>
    <x v="3"/>
    <x v="183"/>
    <x v="160"/>
    <x v="160"/>
    <s v="REVENUS"/>
    <x v="6"/>
    <s v="4211.002"/>
    <s v="Intérêts de retard sur acomptes"/>
    <n v="0"/>
    <n v="1949.38"/>
    <n v="4211"/>
  </r>
  <r>
    <x v="0"/>
    <x v="3"/>
    <x v="3"/>
    <x v="183"/>
    <x v="160"/>
    <x v="160"/>
    <s v="REVENUS"/>
    <x v="2"/>
    <s v="4001.002"/>
    <s v="Impôt complément s/revenu PP"/>
    <n v="0"/>
    <n v="91243.75"/>
    <n v="4001"/>
  </r>
  <r>
    <x v="0"/>
    <x v="3"/>
    <x v="3"/>
    <x v="183"/>
    <x v="160"/>
    <x v="160"/>
    <s v="REVENUS"/>
    <x v="3"/>
    <s v="4002.001"/>
    <s v="Impôt ordinaire s/fortune PP"/>
    <n v="0"/>
    <n v="47169.7"/>
    <n v="4002"/>
  </r>
  <r>
    <x v="0"/>
    <x v="3"/>
    <x v="3"/>
    <x v="183"/>
    <x v="160"/>
    <x v="160"/>
    <s v="REVENUS"/>
    <x v="3"/>
    <s v="4002.002"/>
    <s v="Impôt complémentaire s/fortune PP"/>
    <n v="0"/>
    <n v="1309.4000000000001"/>
    <n v="4002"/>
  </r>
  <r>
    <x v="0"/>
    <x v="3"/>
    <x v="3"/>
    <x v="183"/>
    <x v="160"/>
    <x v="160"/>
    <s v="REVENUS"/>
    <x v="6"/>
    <s v="4221.003"/>
    <s v="Intérêts compensat. / acomptes en faveur du fisc"/>
    <n v="0"/>
    <n v="59.46"/>
    <n v="4221"/>
  </r>
  <r>
    <x v="0"/>
    <x v="3"/>
    <x v="3"/>
    <x v="183"/>
    <x v="160"/>
    <x v="160"/>
    <s v="REVENUS"/>
    <x v="2"/>
    <s v="4001.007"/>
    <s v="Acompte impôt sur revenu"/>
    <n v="0"/>
    <n v="-155756.76"/>
    <n v="4001"/>
  </r>
  <r>
    <x v="0"/>
    <x v="3"/>
    <x v="3"/>
    <x v="183"/>
    <x v="160"/>
    <x v="160"/>
    <s v="REVENUS"/>
    <x v="3"/>
    <s v="4002.001"/>
    <s v="Impôt ordinaire s/fortune PP"/>
    <n v="0"/>
    <n v="576.75"/>
    <n v="4002"/>
  </r>
  <r>
    <x v="0"/>
    <x v="3"/>
    <x v="3"/>
    <x v="183"/>
    <x v="160"/>
    <x v="160"/>
    <s v="REVENUS"/>
    <x v="6"/>
    <s v="4211.002"/>
    <s v="Intérêts de retard sur acomptes"/>
    <n v="0"/>
    <n v="2.8"/>
    <n v="4211"/>
  </r>
  <r>
    <x v="0"/>
    <x v="3"/>
    <x v="3"/>
    <x v="183"/>
    <x v="160"/>
    <x v="160"/>
    <s v="REVENUS"/>
    <x v="3"/>
    <s v="4002.007"/>
    <s v="Acompte impôt sur fortune"/>
    <n v="0"/>
    <n v="2093.39"/>
    <n v="4002"/>
  </r>
  <r>
    <x v="0"/>
    <x v="3"/>
    <x v="3"/>
    <x v="183"/>
    <x v="160"/>
    <x v="160"/>
    <s v="REVENUS"/>
    <x v="2"/>
    <s v="4001.007"/>
    <s v="Acompte impôt sur revenu"/>
    <n v="0"/>
    <n v="117.35"/>
    <n v="4001"/>
  </r>
  <r>
    <x v="0"/>
    <x v="3"/>
    <x v="3"/>
    <x v="183"/>
    <x v="160"/>
    <x v="160"/>
    <s v="REVENUS"/>
    <x v="3"/>
    <s v="4002.007"/>
    <s v="Acompte impôt sur fortune"/>
    <n v="0"/>
    <n v="-539.70000000000005"/>
    <n v="4002"/>
  </r>
  <r>
    <x v="0"/>
    <x v="3"/>
    <x v="3"/>
    <x v="183"/>
    <x v="160"/>
    <x v="160"/>
    <s v="REVENUS"/>
    <x v="3"/>
    <s v="4002.007"/>
    <s v="Acompte impôt sur fortune"/>
    <n v="0"/>
    <n v="17"/>
    <n v="4002"/>
  </r>
  <r>
    <x v="0"/>
    <x v="3"/>
    <x v="3"/>
    <x v="183"/>
    <x v="160"/>
    <x v="160"/>
    <s v="REVENUS"/>
    <x v="3"/>
    <s v="4002.007"/>
    <s v="Acompte impôt sur fortune"/>
    <n v="0"/>
    <n v="48.75"/>
    <n v="4002"/>
  </r>
  <r>
    <x v="0"/>
    <x v="3"/>
    <x v="3"/>
    <x v="183"/>
    <x v="160"/>
    <x v="160"/>
    <s v="REVENUS"/>
    <x v="2"/>
    <s v="4001.007"/>
    <s v="Acompte impôt sur revenu"/>
    <n v="0"/>
    <n v="45.4"/>
    <n v="4001"/>
  </r>
  <r>
    <x v="0"/>
    <x v="3"/>
    <x v="3"/>
    <x v="183"/>
    <x v="160"/>
    <x v="160"/>
    <s v="REVENUS"/>
    <x v="3"/>
    <s v="4002.007"/>
    <s v="Acompte impôt sur fortune"/>
    <n v="0"/>
    <n v="-17148.2"/>
    <n v="4002"/>
  </r>
  <r>
    <x v="0"/>
    <x v="3"/>
    <x v="3"/>
    <x v="183"/>
    <x v="160"/>
    <x v="160"/>
    <s v="REVENUS"/>
    <x v="3"/>
    <s v="4002.007"/>
    <s v="Acompte impôt sur fortune"/>
    <n v="0"/>
    <n v="-0.75"/>
    <n v="4002"/>
  </r>
  <r>
    <x v="0"/>
    <x v="3"/>
    <x v="3"/>
    <x v="183"/>
    <x v="160"/>
    <x v="160"/>
    <s v="REVENUS"/>
    <x v="2"/>
    <s v="4001.007"/>
    <s v="Acompte impôt sur revenu"/>
    <n v="0"/>
    <n v="-178.95"/>
    <n v="4001"/>
  </r>
  <r>
    <x v="0"/>
    <x v="3"/>
    <x v="3"/>
    <x v="183"/>
    <x v="160"/>
    <x v="160"/>
    <s v="REVENUS"/>
    <x v="2"/>
    <s v="4001.007"/>
    <s v="Acompte impôt sur revenu"/>
    <n v="0"/>
    <n v="29.34"/>
    <n v="4001"/>
  </r>
  <r>
    <x v="0"/>
    <x v="3"/>
    <x v="3"/>
    <x v="183"/>
    <x v="160"/>
    <x v="160"/>
    <s v="REVENUS"/>
    <x v="2"/>
    <s v="4001.003"/>
    <s v="Impôt s/prest. cap. PP"/>
    <n v="0"/>
    <n v="-2025"/>
    <n v="4001"/>
  </r>
  <r>
    <x v="0"/>
    <x v="3"/>
    <x v="3"/>
    <x v="183"/>
    <x v="160"/>
    <x v="160"/>
    <s v="REVENUS"/>
    <x v="2"/>
    <s v="4001.003"/>
    <s v="Impôt s/prest. cap. PP"/>
    <n v="0"/>
    <n v="7263.6"/>
    <n v="4001"/>
  </r>
  <r>
    <x v="0"/>
    <x v="3"/>
    <x v="3"/>
    <x v="183"/>
    <x v="160"/>
    <x v="160"/>
    <s v="REVENUS"/>
    <x v="6"/>
    <s v="4221.002"/>
    <s v="Intérêts compensat. sur impôts distincts"/>
    <n v="0"/>
    <n v="18.95"/>
    <n v="4221"/>
  </r>
  <r>
    <x v="0"/>
    <x v="3"/>
    <x v="3"/>
    <x v="183"/>
    <x v="160"/>
    <x v="160"/>
    <s v="REVENUS"/>
    <x v="2"/>
    <s v="4001.001"/>
    <s v="Impôt revenu"/>
    <n v="0"/>
    <n v="10195.299999999999"/>
    <n v="4001"/>
  </r>
  <r>
    <x v="0"/>
    <x v="3"/>
    <x v="3"/>
    <x v="183"/>
    <x v="160"/>
    <x v="160"/>
    <s v="REVENUS"/>
    <x v="3"/>
    <s v="4002.001"/>
    <s v="Impôt ordinaire s/fortune PP"/>
    <n v="0"/>
    <n v="165.95"/>
    <n v="4002"/>
  </r>
  <r>
    <x v="0"/>
    <x v="3"/>
    <x v="3"/>
    <x v="183"/>
    <x v="160"/>
    <x v="160"/>
    <s v="REVENUS"/>
    <x v="10"/>
    <s v="4041.001"/>
    <s v="Droits de mutation"/>
    <n v="0"/>
    <n v="9427.15"/>
    <n v="4041"/>
  </r>
  <r>
    <x v="0"/>
    <x v="3"/>
    <x v="3"/>
    <x v="183"/>
    <x v="160"/>
    <x v="160"/>
    <s v="REVENUS"/>
    <x v="2"/>
    <s v="4001.001"/>
    <s v="Impôt revenu"/>
    <n v="0"/>
    <n v="39.200000000000003"/>
    <n v="4001"/>
  </r>
  <r>
    <x v="0"/>
    <x v="3"/>
    <x v="3"/>
    <x v="183"/>
    <x v="160"/>
    <x v="160"/>
    <s v="REVENUS"/>
    <x v="3"/>
    <s v="4002.001"/>
    <s v="Impôt ordinaire s/fortune PP"/>
    <n v="0"/>
    <n v="33.950000000000003"/>
    <n v="4002"/>
  </r>
  <r>
    <x v="0"/>
    <x v="3"/>
    <x v="3"/>
    <x v="183"/>
    <x v="160"/>
    <x v="160"/>
    <s v="REVENUS"/>
    <x v="6"/>
    <s v="4221.003"/>
    <s v="Intérêts compensat. / acomptes en faveur du fisc"/>
    <n v="0"/>
    <n v="0.18"/>
    <n v="4221"/>
  </r>
  <r>
    <x v="0"/>
    <x v="3"/>
    <x v="3"/>
    <x v="183"/>
    <x v="160"/>
    <x v="160"/>
    <s v="REVENUS"/>
    <x v="5"/>
    <s v="4061.000"/>
    <s v="Impôt sur les chiens"/>
    <n v="0"/>
    <n v="990"/>
    <n v="4061"/>
  </r>
  <r>
    <x v="0"/>
    <x v="3"/>
    <x v="3"/>
    <x v="183"/>
    <x v="160"/>
    <x v="160"/>
    <s v="REVENUS"/>
    <x v="2"/>
    <s v="4001.001"/>
    <s v="Impôt revenu"/>
    <n v="0"/>
    <n v="-55531.45"/>
    <n v="4001"/>
  </r>
  <r>
    <x v="0"/>
    <x v="3"/>
    <x v="3"/>
    <x v="183"/>
    <x v="160"/>
    <x v="160"/>
    <s v="REVENUS"/>
    <x v="9"/>
    <s v="4031.001"/>
    <s v="Impôt sur les gains immobiliers"/>
    <n v="0"/>
    <n v="11775.6"/>
    <n v="4031"/>
  </r>
  <r>
    <x v="0"/>
    <x v="3"/>
    <x v="3"/>
    <x v="183"/>
    <x v="160"/>
    <x v="160"/>
    <s v="REVENUS"/>
    <x v="2"/>
    <s v="4001.001"/>
    <s v="Impôt revenu"/>
    <n v="0"/>
    <n v="171.15"/>
    <n v="4001"/>
  </r>
  <r>
    <x v="0"/>
    <x v="3"/>
    <x v="3"/>
    <x v="183"/>
    <x v="160"/>
    <x v="160"/>
    <s v="REVENUS"/>
    <x v="6"/>
    <s v="4211.002"/>
    <s v="Intérêts de retard sur acomptes"/>
    <n v="0"/>
    <n v="426.21"/>
    <n v="4211"/>
  </r>
  <r>
    <x v="0"/>
    <x v="3"/>
    <x v="3"/>
    <x v="183"/>
    <x v="160"/>
    <x v="160"/>
    <s v="REVENUS"/>
    <x v="6"/>
    <s v="4221.003"/>
    <s v="Intérêts compensat. / acomptes en faveur du fisc"/>
    <n v="0"/>
    <n v="12.61"/>
    <n v="4221"/>
  </r>
  <r>
    <x v="0"/>
    <x v="3"/>
    <x v="3"/>
    <x v="183"/>
    <x v="160"/>
    <x v="160"/>
    <s v="REVENUS"/>
    <x v="2"/>
    <s v="4001.002"/>
    <s v="Impôt complément s/revenu PP"/>
    <n v="0"/>
    <n v="-5038.3"/>
    <n v="4001"/>
  </r>
  <r>
    <x v="0"/>
    <x v="3"/>
    <x v="3"/>
    <x v="183"/>
    <x v="160"/>
    <x v="160"/>
    <s v="REVENUS"/>
    <x v="3"/>
    <s v="4002.001"/>
    <s v="Impôt ordinaire s/fortune PP"/>
    <n v="0"/>
    <n v="-116.55"/>
    <n v="4002"/>
  </r>
  <r>
    <x v="0"/>
    <x v="3"/>
    <x v="3"/>
    <x v="183"/>
    <x v="160"/>
    <x v="160"/>
    <s v="REVENUS"/>
    <x v="3"/>
    <s v="4002.002"/>
    <s v="Impôt complémentaire s/fortune PP"/>
    <n v="0"/>
    <n v="-54.45"/>
    <n v="4002"/>
  </r>
  <r>
    <x v="0"/>
    <x v="3"/>
    <x v="3"/>
    <x v="183"/>
    <x v="160"/>
    <x v="160"/>
    <s v="REVENUS"/>
    <x v="6"/>
    <s v="4211.001"/>
    <s v="Intérêts de retard sur factures"/>
    <n v="0"/>
    <n v="0.11"/>
    <n v="4211"/>
  </r>
  <r>
    <x v="0"/>
    <x v="4"/>
    <x v="4"/>
    <x v="184"/>
    <x v="161"/>
    <x v="161"/>
    <s v="REVENUS"/>
    <x v="7"/>
    <s v="4184.000"/>
    <s v="Frais de poursuite"/>
    <n v="0"/>
    <n v="87.07"/>
    <n v="4184"/>
  </r>
  <r>
    <x v="0"/>
    <x v="3"/>
    <x v="3"/>
    <x v="185"/>
    <x v="162"/>
    <x v="162"/>
    <s v="CHARGES"/>
    <x v="1"/>
    <s v="3301.001"/>
    <s v="Défalcations, abandons de solde PP et IS"/>
    <n v="82.17"/>
    <n v="0"/>
    <n v="3301"/>
  </r>
  <r>
    <x v="0"/>
    <x v="3"/>
    <x v="3"/>
    <x v="185"/>
    <x v="162"/>
    <x v="162"/>
    <s v="CHARGES"/>
    <x v="0"/>
    <s v="3212.004"/>
    <s v="Intérêts rémun./perçu trop tôt sur acomptes C/C"/>
    <n v="76.400000000000006"/>
    <n v="0"/>
    <n v="3212"/>
  </r>
  <r>
    <x v="0"/>
    <x v="3"/>
    <x v="3"/>
    <x v="185"/>
    <x v="162"/>
    <x v="162"/>
    <s v="CHARGES"/>
    <x v="0"/>
    <s v="3221.002"/>
    <s v="Intérêts compensatoires / créances en faveur ctb."/>
    <n v="35.090000000000003"/>
    <n v="0"/>
    <n v="3221"/>
  </r>
  <r>
    <x v="0"/>
    <x v="3"/>
    <x v="3"/>
    <x v="185"/>
    <x v="162"/>
    <x v="162"/>
    <s v="CHARGES"/>
    <x v="0"/>
    <s v="3212.002"/>
    <s v="Intérêts bonifiés/trop perçu acompte C/C"/>
    <n v="-4.21"/>
    <n v="0"/>
    <n v="3212"/>
  </r>
  <r>
    <x v="0"/>
    <x v="3"/>
    <x v="3"/>
    <x v="185"/>
    <x v="162"/>
    <x v="162"/>
    <s v="CHARGES"/>
    <x v="0"/>
    <s v="3212.004"/>
    <s v="Intérêts rémun./perçu trop tôt sur acomptes C/C"/>
    <n v="1.57"/>
    <n v="0"/>
    <n v="3212"/>
  </r>
  <r>
    <x v="0"/>
    <x v="3"/>
    <x v="3"/>
    <x v="185"/>
    <x v="162"/>
    <x v="162"/>
    <s v="CHARGES"/>
    <x v="0"/>
    <s v="3212.004"/>
    <s v="Intérêts rémun./perçu trop tôt sur acomptes C/C"/>
    <n v="0.05"/>
    <n v="0"/>
    <n v="3212"/>
  </r>
  <r>
    <x v="0"/>
    <x v="3"/>
    <x v="3"/>
    <x v="185"/>
    <x v="162"/>
    <x v="162"/>
    <s v="CHARGES"/>
    <x v="0"/>
    <s v="3221.002"/>
    <s v="Intérêts compensatoires / créances en faveur ctb."/>
    <n v="0.02"/>
    <n v="0"/>
    <n v="3221"/>
  </r>
  <r>
    <x v="0"/>
    <x v="3"/>
    <x v="3"/>
    <x v="185"/>
    <x v="162"/>
    <x v="162"/>
    <s v="CHARGES"/>
    <x v="1"/>
    <s v="3301.001"/>
    <s v="Défalcations, abandons de solde PP et IS"/>
    <n v="0.02"/>
    <n v="0"/>
    <n v="3301"/>
  </r>
  <r>
    <x v="0"/>
    <x v="3"/>
    <x v="3"/>
    <x v="185"/>
    <x v="162"/>
    <x v="162"/>
    <s v="REVENUS"/>
    <x v="2"/>
    <s v="4001.007"/>
    <s v="Acompte impôt sur revenu"/>
    <n v="0"/>
    <n v="-142493.82999999999"/>
    <n v="4001"/>
  </r>
  <r>
    <x v="0"/>
    <x v="3"/>
    <x v="3"/>
    <x v="185"/>
    <x v="162"/>
    <x v="162"/>
    <s v="REVENUS"/>
    <x v="2"/>
    <s v="4001.001"/>
    <s v="Impôt revenu"/>
    <n v="0"/>
    <n v="397523"/>
    <n v="4001"/>
  </r>
  <r>
    <x v="0"/>
    <x v="3"/>
    <x v="3"/>
    <x v="185"/>
    <x v="162"/>
    <x v="162"/>
    <s v="REVENUS"/>
    <x v="2"/>
    <s v="4001.003"/>
    <s v="Impôt s/prest. cap. PP"/>
    <n v="0"/>
    <n v="67387.05"/>
    <n v="4001"/>
  </r>
  <r>
    <x v="0"/>
    <x v="3"/>
    <x v="3"/>
    <x v="185"/>
    <x v="162"/>
    <x v="162"/>
    <s v="REVENUS"/>
    <x v="6"/>
    <s v="4211.002"/>
    <s v="Intérêts de retard sur acomptes"/>
    <n v="0"/>
    <n v="1708.45"/>
    <n v="4211"/>
  </r>
  <r>
    <x v="0"/>
    <x v="3"/>
    <x v="3"/>
    <x v="185"/>
    <x v="162"/>
    <x v="162"/>
    <s v="REVENUS"/>
    <x v="6"/>
    <s v="4221.003"/>
    <s v="Intérêts compensat. / acomptes en faveur du fisc"/>
    <n v="0"/>
    <n v="137"/>
    <n v="4221"/>
  </r>
  <r>
    <x v="0"/>
    <x v="3"/>
    <x v="3"/>
    <x v="185"/>
    <x v="162"/>
    <x v="162"/>
    <s v="REVENUS"/>
    <x v="3"/>
    <s v="4002.007"/>
    <s v="Acompte impôt sur fortune"/>
    <n v="0"/>
    <n v="-27743.360000000001"/>
    <n v="4002"/>
  </r>
  <r>
    <x v="0"/>
    <x v="3"/>
    <x v="3"/>
    <x v="185"/>
    <x v="162"/>
    <x v="162"/>
    <s v="REVENUS"/>
    <x v="2"/>
    <s v="4001.007"/>
    <s v="Acompte impôt sur revenu"/>
    <n v="0"/>
    <n v="77827.14"/>
    <n v="4001"/>
  </r>
  <r>
    <x v="0"/>
    <x v="3"/>
    <x v="3"/>
    <x v="185"/>
    <x v="162"/>
    <x v="162"/>
    <s v="REVENUS"/>
    <x v="3"/>
    <s v="4002.001"/>
    <s v="Impôt ordinaire s/fortune PP"/>
    <n v="0"/>
    <n v="55247.05"/>
    <n v="4002"/>
  </r>
  <r>
    <x v="0"/>
    <x v="3"/>
    <x v="3"/>
    <x v="185"/>
    <x v="162"/>
    <x v="162"/>
    <s v="REVENUS"/>
    <x v="3"/>
    <s v="4002.007"/>
    <s v="Acompte impôt sur fortune"/>
    <n v="0"/>
    <n v="14068.37"/>
    <n v="4002"/>
  </r>
  <r>
    <x v="0"/>
    <x v="3"/>
    <x v="3"/>
    <x v="185"/>
    <x v="162"/>
    <x v="162"/>
    <s v="REVENUS"/>
    <x v="3"/>
    <s v="4002.007"/>
    <s v="Acompte impôt sur fortune"/>
    <n v="0"/>
    <n v="68.16"/>
    <n v="4002"/>
  </r>
  <r>
    <x v="0"/>
    <x v="3"/>
    <x v="3"/>
    <x v="185"/>
    <x v="162"/>
    <x v="162"/>
    <s v="REVENUS"/>
    <x v="6"/>
    <s v="4211.001"/>
    <s v="Intérêts de retard sur factures"/>
    <n v="0"/>
    <n v="899.65"/>
    <n v="4211"/>
  </r>
  <r>
    <x v="0"/>
    <x v="3"/>
    <x v="3"/>
    <x v="185"/>
    <x v="162"/>
    <x v="162"/>
    <s v="REVENUS"/>
    <x v="2"/>
    <s v="4001.002"/>
    <s v="Impôt complément s/revenu PP"/>
    <n v="0"/>
    <n v="46922.95"/>
    <n v="4001"/>
  </r>
  <r>
    <x v="0"/>
    <x v="3"/>
    <x v="3"/>
    <x v="185"/>
    <x v="162"/>
    <x v="162"/>
    <s v="REVENUS"/>
    <x v="3"/>
    <s v="4002.007"/>
    <s v="Acompte impôt sur fortune"/>
    <n v="0"/>
    <n v="-3.4"/>
    <n v="4002"/>
  </r>
  <r>
    <x v="0"/>
    <x v="3"/>
    <x v="3"/>
    <x v="185"/>
    <x v="162"/>
    <x v="162"/>
    <s v="REVENUS"/>
    <x v="2"/>
    <s v="4001.007"/>
    <s v="Acompte impôt sur revenu"/>
    <n v="0"/>
    <n v="0"/>
    <n v="4001"/>
  </r>
  <r>
    <x v="0"/>
    <x v="3"/>
    <x v="3"/>
    <x v="185"/>
    <x v="162"/>
    <x v="162"/>
    <s v="REVENUS"/>
    <x v="3"/>
    <s v="4002.007"/>
    <s v="Acompte impôt sur fortune"/>
    <n v="0"/>
    <n v="0"/>
    <n v="4002"/>
  </r>
  <r>
    <x v="0"/>
    <x v="3"/>
    <x v="3"/>
    <x v="185"/>
    <x v="162"/>
    <x v="162"/>
    <s v="REVENUS"/>
    <x v="2"/>
    <s v="4001.007"/>
    <s v="Acompte impôt sur revenu"/>
    <n v="0"/>
    <n v="-6.45"/>
    <n v="4001"/>
  </r>
  <r>
    <x v="0"/>
    <x v="3"/>
    <x v="3"/>
    <x v="185"/>
    <x v="162"/>
    <x v="162"/>
    <s v="REVENUS"/>
    <x v="3"/>
    <s v="4002.007"/>
    <s v="Acompte impôt sur fortune"/>
    <n v="0"/>
    <n v="-11.11"/>
    <n v="4002"/>
  </r>
  <r>
    <x v="0"/>
    <x v="3"/>
    <x v="3"/>
    <x v="185"/>
    <x v="162"/>
    <x v="162"/>
    <s v="REVENUS"/>
    <x v="2"/>
    <s v="4001.007"/>
    <s v="Acompte impôt sur revenu"/>
    <n v="0"/>
    <n v="76"/>
    <n v="4001"/>
  </r>
  <r>
    <x v="0"/>
    <x v="3"/>
    <x v="3"/>
    <x v="185"/>
    <x v="162"/>
    <x v="162"/>
    <s v="REVENUS"/>
    <x v="2"/>
    <s v="4001.001"/>
    <s v="Impôt revenu"/>
    <n v="0"/>
    <n v="2914.3"/>
    <n v="4001"/>
  </r>
  <r>
    <x v="0"/>
    <x v="3"/>
    <x v="3"/>
    <x v="185"/>
    <x v="162"/>
    <x v="162"/>
    <s v="REVENUS"/>
    <x v="3"/>
    <s v="4002.001"/>
    <s v="Impôt ordinaire s/fortune PP"/>
    <n v="0"/>
    <n v="568.45000000000005"/>
    <n v="4002"/>
  </r>
  <r>
    <x v="0"/>
    <x v="3"/>
    <x v="3"/>
    <x v="185"/>
    <x v="162"/>
    <x v="162"/>
    <s v="REVENUS"/>
    <x v="6"/>
    <s v="4221.002"/>
    <s v="Intérêts compensat. sur impôts distincts"/>
    <n v="0"/>
    <n v="0.35"/>
    <n v="4221"/>
  </r>
  <r>
    <x v="0"/>
    <x v="3"/>
    <x v="3"/>
    <x v="185"/>
    <x v="162"/>
    <x v="162"/>
    <s v="REVENUS"/>
    <x v="10"/>
    <s v="4041.001"/>
    <s v="Droits de mutation"/>
    <n v="0"/>
    <n v="14300"/>
    <n v="4041"/>
  </r>
  <r>
    <x v="0"/>
    <x v="3"/>
    <x v="3"/>
    <x v="185"/>
    <x v="162"/>
    <x v="162"/>
    <s v="REVENUS"/>
    <x v="5"/>
    <s v="4061.000"/>
    <s v="Impôt sur les chiens"/>
    <n v="0"/>
    <n v="1690"/>
    <n v="4061"/>
  </r>
  <r>
    <x v="0"/>
    <x v="3"/>
    <x v="3"/>
    <x v="185"/>
    <x v="162"/>
    <x v="162"/>
    <s v="REVENUS"/>
    <x v="3"/>
    <s v="4002.002"/>
    <s v="Impôt complémentaire s/fortune PP"/>
    <n v="0"/>
    <n v="16617.5"/>
    <n v="4002"/>
  </r>
  <r>
    <x v="0"/>
    <x v="3"/>
    <x v="3"/>
    <x v="185"/>
    <x v="162"/>
    <x v="162"/>
    <s v="REVENUS"/>
    <x v="2"/>
    <s v="4001.001"/>
    <s v="Impôt revenu"/>
    <n v="0"/>
    <n v="186.75"/>
    <n v="4001"/>
  </r>
  <r>
    <x v="0"/>
    <x v="3"/>
    <x v="3"/>
    <x v="185"/>
    <x v="162"/>
    <x v="162"/>
    <s v="REVENUS"/>
    <x v="3"/>
    <s v="4002.001"/>
    <s v="Impôt ordinaire s/fortune PP"/>
    <n v="0"/>
    <n v="301.3"/>
    <n v="4002"/>
  </r>
  <r>
    <x v="0"/>
    <x v="3"/>
    <x v="3"/>
    <x v="185"/>
    <x v="162"/>
    <x v="162"/>
    <s v="REVENUS"/>
    <x v="2"/>
    <s v="4001.001"/>
    <s v="Impôt revenu"/>
    <n v="0"/>
    <n v="34.5"/>
    <n v="4001"/>
  </r>
  <r>
    <x v="0"/>
    <x v="3"/>
    <x v="3"/>
    <x v="185"/>
    <x v="162"/>
    <x v="162"/>
    <s v="REVENUS"/>
    <x v="3"/>
    <s v="4002.001"/>
    <s v="Impôt ordinaire s/fortune PP"/>
    <n v="0"/>
    <n v="42.85"/>
    <n v="4002"/>
  </r>
  <r>
    <x v="0"/>
    <x v="3"/>
    <x v="3"/>
    <x v="185"/>
    <x v="162"/>
    <x v="162"/>
    <s v="REVENUS"/>
    <x v="6"/>
    <s v="4221.003"/>
    <s v="Intérêts compensat. / acomptes en faveur du fisc"/>
    <n v="0"/>
    <n v="0.02"/>
    <n v="4221"/>
  </r>
  <r>
    <x v="0"/>
    <x v="3"/>
    <x v="3"/>
    <x v="185"/>
    <x v="162"/>
    <x v="162"/>
    <s v="REVENUS"/>
    <x v="9"/>
    <s v="4031.001"/>
    <s v="Impôt sur les gains immobiliers"/>
    <n v="0"/>
    <n v="9668.75"/>
    <n v="4031"/>
  </r>
  <r>
    <x v="0"/>
    <x v="3"/>
    <x v="3"/>
    <x v="185"/>
    <x v="162"/>
    <x v="162"/>
    <s v="REVENUS"/>
    <x v="2"/>
    <s v="4001.001"/>
    <s v="Impôt revenu"/>
    <n v="0"/>
    <n v="-8843.5"/>
    <n v="4001"/>
  </r>
  <r>
    <x v="0"/>
    <x v="3"/>
    <x v="3"/>
    <x v="185"/>
    <x v="162"/>
    <x v="162"/>
    <s v="REVENUS"/>
    <x v="3"/>
    <s v="4002.001"/>
    <s v="Impôt ordinaire s/fortune PP"/>
    <n v="0"/>
    <n v="-3777.65"/>
    <n v="4002"/>
  </r>
  <r>
    <x v="0"/>
    <x v="3"/>
    <x v="3"/>
    <x v="185"/>
    <x v="162"/>
    <x v="162"/>
    <s v="REVENUS"/>
    <x v="2"/>
    <s v="4001.001"/>
    <s v="Impôt revenu"/>
    <n v="0"/>
    <n v="-24079.85"/>
    <n v="4001"/>
  </r>
  <r>
    <x v="0"/>
    <x v="3"/>
    <x v="3"/>
    <x v="185"/>
    <x v="162"/>
    <x v="162"/>
    <s v="REVENUS"/>
    <x v="2"/>
    <s v="4001.002"/>
    <s v="Impôt complément s/revenu PP"/>
    <n v="0"/>
    <n v="-4286.1499999999996"/>
    <n v="4001"/>
  </r>
  <r>
    <x v="0"/>
    <x v="3"/>
    <x v="3"/>
    <x v="185"/>
    <x v="162"/>
    <x v="162"/>
    <s v="REVENUS"/>
    <x v="3"/>
    <s v="4002.001"/>
    <s v="Impôt ordinaire s/fortune PP"/>
    <n v="0"/>
    <n v="-7190.55"/>
    <n v="4002"/>
  </r>
  <r>
    <x v="0"/>
    <x v="3"/>
    <x v="3"/>
    <x v="185"/>
    <x v="162"/>
    <x v="162"/>
    <s v="REVENUS"/>
    <x v="3"/>
    <s v="4002.002"/>
    <s v="Impôt complémentaire s/fortune PP"/>
    <n v="0"/>
    <n v="-1675.45"/>
    <n v="4002"/>
  </r>
  <r>
    <x v="0"/>
    <x v="3"/>
    <x v="3"/>
    <x v="185"/>
    <x v="162"/>
    <x v="162"/>
    <s v="REVENUS"/>
    <x v="10"/>
    <s v="4041.002"/>
    <s v="Complément droit de mutation"/>
    <n v="0"/>
    <n v="12351.9"/>
    <n v="4041"/>
  </r>
  <r>
    <x v="0"/>
    <x v="3"/>
    <x v="3"/>
    <x v="185"/>
    <x v="162"/>
    <x v="162"/>
    <s v="REVENUS"/>
    <x v="9"/>
    <s v="4031.002"/>
    <s v="Complément impôt sur les gains immobiliers"/>
    <n v="0"/>
    <n v="16570.5"/>
    <n v="4031"/>
  </r>
  <r>
    <x v="0"/>
    <x v="3"/>
    <x v="3"/>
    <x v="185"/>
    <x v="162"/>
    <x v="162"/>
    <s v="REVENUS"/>
    <x v="2"/>
    <s v="4001.001"/>
    <s v="Impôt revenu"/>
    <n v="0"/>
    <n v="13.8"/>
    <n v="4001"/>
  </r>
  <r>
    <x v="0"/>
    <x v="3"/>
    <x v="3"/>
    <x v="185"/>
    <x v="162"/>
    <x v="162"/>
    <s v="REVENUS"/>
    <x v="3"/>
    <s v="4002.001"/>
    <s v="Impôt ordinaire s/fortune PP"/>
    <n v="0"/>
    <n v="3.6"/>
    <n v="4002"/>
  </r>
  <r>
    <x v="0"/>
    <x v="3"/>
    <x v="3"/>
    <x v="185"/>
    <x v="162"/>
    <x v="162"/>
    <s v="REVENUS"/>
    <x v="6"/>
    <s v="4211.002"/>
    <s v="Intérêts de retard sur acomptes"/>
    <n v="0"/>
    <n v="7.0000000000000007E-2"/>
    <n v="4211"/>
  </r>
  <r>
    <x v="0"/>
    <x v="3"/>
    <x v="3"/>
    <x v="185"/>
    <x v="162"/>
    <x v="162"/>
    <s v="REVENUS"/>
    <x v="7"/>
    <s v="4184.000"/>
    <s v="Frais de poursuite"/>
    <n v="0"/>
    <n v="23.52"/>
    <n v="4184"/>
  </r>
  <r>
    <x v="0"/>
    <x v="3"/>
    <x v="3"/>
    <x v="186"/>
    <x v="159"/>
    <x v="159"/>
    <s v="CHARGES"/>
    <x v="0"/>
    <s v="3212.004"/>
    <s v="Intérêts rémun./perçu trop tôt sur acomptes C/C"/>
    <n v="0.31"/>
    <n v="0"/>
    <n v="3212"/>
  </r>
  <r>
    <x v="0"/>
    <x v="3"/>
    <x v="3"/>
    <x v="186"/>
    <x v="159"/>
    <x v="159"/>
    <s v="CHARGES"/>
    <x v="0"/>
    <s v="3221.002"/>
    <s v="Intérêts compensatoires / créances en faveur ctb."/>
    <n v="1.27"/>
    <n v="0"/>
    <n v="3221"/>
  </r>
  <r>
    <x v="0"/>
    <x v="3"/>
    <x v="3"/>
    <x v="186"/>
    <x v="159"/>
    <x v="159"/>
    <s v="REVENUS"/>
    <x v="2"/>
    <s v="4001.007"/>
    <s v="Acompte impôt sur revenu"/>
    <n v="0"/>
    <n v="-5508.7"/>
    <n v="4001"/>
  </r>
  <r>
    <x v="0"/>
    <x v="3"/>
    <x v="3"/>
    <x v="186"/>
    <x v="159"/>
    <x v="159"/>
    <s v="REVENUS"/>
    <x v="2"/>
    <s v="4001.001"/>
    <s v="Impôt revenu"/>
    <n v="0"/>
    <n v="5361.2"/>
    <n v="4001"/>
  </r>
  <r>
    <x v="0"/>
    <x v="3"/>
    <x v="3"/>
    <x v="186"/>
    <x v="159"/>
    <x v="159"/>
    <s v="REVENUS"/>
    <x v="2"/>
    <s v="4001.007"/>
    <s v="Acompte impôt sur revenu"/>
    <n v="0"/>
    <n v="-152.88999999999999"/>
    <n v="4001"/>
  </r>
  <r>
    <x v="0"/>
    <x v="3"/>
    <x v="3"/>
    <x v="187"/>
    <x v="159"/>
    <x v="159"/>
    <s v="CHARGES"/>
    <x v="1"/>
    <s v="3301.001"/>
    <s v="Défalcations, abandons de solde PP et IS"/>
    <n v="4417.2299999999996"/>
    <n v="0"/>
    <n v="3301"/>
  </r>
  <r>
    <x v="0"/>
    <x v="3"/>
    <x v="3"/>
    <x v="187"/>
    <x v="159"/>
    <x v="159"/>
    <s v="REVENUS"/>
    <x v="2"/>
    <s v="4001.007"/>
    <s v="Acompte impôt sur revenu"/>
    <n v="0"/>
    <n v="-4793.3999999999996"/>
    <n v="4001"/>
  </r>
  <r>
    <x v="0"/>
    <x v="3"/>
    <x v="3"/>
    <x v="187"/>
    <x v="159"/>
    <x v="159"/>
    <s v="REVENUS"/>
    <x v="3"/>
    <s v="4002.007"/>
    <s v="Acompte impôt sur fortune"/>
    <n v="0"/>
    <n v="-82.2"/>
    <n v="4002"/>
  </r>
  <r>
    <x v="0"/>
    <x v="3"/>
    <x v="3"/>
    <x v="187"/>
    <x v="159"/>
    <x v="159"/>
    <s v="REVENUS"/>
    <x v="2"/>
    <s v="4001.001"/>
    <s v="Impôt revenu"/>
    <n v="0"/>
    <n v="2009.7"/>
    <n v="4001"/>
  </r>
  <r>
    <x v="0"/>
    <x v="3"/>
    <x v="3"/>
    <x v="187"/>
    <x v="159"/>
    <x v="159"/>
    <s v="REVENUS"/>
    <x v="6"/>
    <s v="4211.002"/>
    <s v="Intérêts de retard sur acomptes"/>
    <n v="0"/>
    <n v="246.62"/>
    <n v="4211"/>
  </r>
  <r>
    <x v="0"/>
    <x v="3"/>
    <x v="3"/>
    <x v="187"/>
    <x v="159"/>
    <x v="159"/>
    <s v="REVENUS"/>
    <x v="7"/>
    <s v="4184.000"/>
    <s v="Frais de poursuite"/>
    <n v="0"/>
    <n v="115.46"/>
    <n v="4184"/>
  </r>
  <r>
    <x v="0"/>
    <x v="3"/>
    <x v="3"/>
    <x v="187"/>
    <x v="159"/>
    <x v="159"/>
    <s v="REVENUS"/>
    <x v="6"/>
    <s v="4211.001"/>
    <s v="Intérêts de retard sur factures"/>
    <n v="0"/>
    <n v="278.20999999999998"/>
    <n v="4211"/>
  </r>
  <r>
    <x v="0"/>
    <x v="3"/>
    <x v="3"/>
    <x v="187"/>
    <x v="159"/>
    <x v="159"/>
    <s v="REVENUS"/>
    <x v="8"/>
    <s v="4091.001"/>
    <s v="Impôt récupéré après défalcations"/>
    <n v="0"/>
    <n v="4417.2299999999996"/>
    <n v="4091"/>
  </r>
  <r>
    <x v="0"/>
    <x v="3"/>
    <x v="3"/>
    <x v="188"/>
    <x v="163"/>
    <x v="163"/>
    <s v="CHARGES"/>
    <x v="1"/>
    <s v="3301.001"/>
    <s v="Défalcations, abandons de solde PP et IS"/>
    <n v="8785.66"/>
    <n v="0"/>
    <n v="3301"/>
  </r>
  <r>
    <x v="0"/>
    <x v="3"/>
    <x v="3"/>
    <x v="188"/>
    <x v="163"/>
    <x v="163"/>
    <s v="CHARGES"/>
    <x v="0"/>
    <s v="3212.004"/>
    <s v="Intérêts rémun./perçu trop tôt sur acomptes C/C"/>
    <n v="96.37"/>
    <n v="0"/>
    <n v="3212"/>
  </r>
  <r>
    <x v="0"/>
    <x v="3"/>
    <x v="3"/>
    <x v="188"/>
    <x v="163"/>
    <x v="163"/>
    <s v="CHARGES"/>
    <x v="0"/>
    <s v="3221.002"/>
    <s v="Intérêts compensatoires / créances en faveur ctb."/>
    <n v="40.6"/>
    <n v="0"/>
    <n v="3221"/>
  </r>
  <r>
    <x v="0"/>
    <x v="3"/>
    <x v="3"/>
    <x v="188"/>
    <x v="163"/>
    <x v="163"/>
    <s v="CHARGES"/>
    <x v="1"/>
    <s v="3301.001"/>
    <s v="Défalcations, abandons de solde PP et IS"/>
    <n v="0.06"/>
    <n v="0"/>
    <n v="3301"/>
  </r>
  <r>
    <x v="0"/>
    <x v="3"/>
    <x v="3"/>
    <x v="188"/>
    <x v="163"/>
    <x v="163"/>
    <s v="CHARGES"/>
    <x v="0"/>
    <s v="3212.002"/>
    <s v="Intérêts bonifiés/trop perçu acompte C/C"/>
    <n v="0.02"/>
    <n v="0"/>
    <n v="3212"/>
  </r>
  <r>
    <x v="0"/>
    <x v="3"/>
    <x v="3"/>
    <x v="188"/>
    <x v="163"/>
    <x v="163"/>
    <s v="CHARGES"/>
    <x v="0"/>
    <s v="3212.004"/>
    <s v="Intérêts rémun./perçu trop tôt sur acomptes C/C"/>
    <n v="1.45"/>
    <n v="0"/>
    <n v="3212"/>
  </r>
  <r>
    <x v="0"/>
    <x v="3"/>
    <x v="3"/>
    <x v="188"/>
    <x v="163"/>
    <x v="163"/>
    <s v="CHARGES"/>
    <x v="0"/>
    <s v="3221.002"/>
    <s v="Intérêts compensatoires / créances en faveur ctb."/>
    <n v="0.01"/>
    <n v="0"/>
    <n v="3221"/>
  </r>
  <r>
    <x v="0"/>
    <x v="3"/>
    <x v="3"/>
    <x v="188"/>
    <x v="163"/>
    <x v="163"/>
    <s v="CHARGES"/>
    <x v="0"/>
    <s v="3212.004"/>
    <s v="Intérêts rémun./perçu trop tôt sur acomptes C/C"/>
    <n v="1.04"/>
    <n v="0"/>
    <n v="3212"/>
  </r>
  <r>
    <x v="0"/>
    <x v="3"/>
    <x v="3"/>
    <x v="188"/>
    <x v="163"/>
    <x v="163"/>
    <s v="CHARGES"/>
    <x v="0"/>
    <s v="3221.002"/>
    <s v="Intérêts compensatoires / créances en faveur ctb."/>
    <n v="0.05"/>
    <n v="0"/>
    <n v="3221"/>
  </r>
  <r>
    <x v="0"/>
    <x v="3"/>
    <x v="3"/>
    <x v="188"/>
    <x v="163"/>
    <x v="163"/>
    <s v="CHARGES"/>
    <x v="0"/>
    <s v="3212.004"/>
    <s v="Intérêts rémun./perçu trop tôt sur acomptes C/C"/>
    <n v="0.03"/>
    <n v="0"/>
    <n v="3212"/>
  </r>
  <r>
    <x v="0"/>
    <x v="3"/>
    <x v="3"/>
    <x v="188"/>
    <x v="163"/>
    <x v="163"/>
    <s v="CHARGES"/>
    <x v="1"/>
    <s v="3301.001"/>
    <s v="Défalcations, abandons de solde PP et IS"/>
    <n v="0.06"/>
    <n v="0"/>
    <n v="3301"/>
  </r>
  <r>
    <x v="0"/>
    <x v="3"/>
    <x v="3"/>
    <x v="188"/>
    <x v="163"/>
    <x v="163"/>
    <s v="REVENUS"/>
    <x v="2"/>
    <s v="4001.007"/>
    <s v="Acompte impôt sur revenu"/>
    <n v="0"/>
    <n v="-152699.97"/>
    <n v="4001"/>
  </r>
  <r>
    <x v="0"/>
    <x v="3"/>
    <x v="3"/>
    <x v="188"/>
    <x v="163"/>
    <x v="163"/>
    <s v="REVENUS"/>
    <x v="3"/>
    <s v="4002.007"/>
    <s v="Acompte impôt sur fortune"/>
    <n v="0"/>
    <n v="-59539.22"/>
    <n v="4002"/>
  </r>
  <r>
    <x v="0"/>
    <x v="3"/>
    <x v="3"/>
    <x v="188"/>
    <x v="163"/>
    <x v="163"/>
    <s v="REVENUS"/>
    <x v="2"/>
    <s v="4001.001"/>
    <s v="Impôt revenu"/>
    <n v="0"/>
    <n v="555790.30000000005"/>
    <n v="4001"/>
  </r>
  <r>
    <x v="0"/>
    <x v="3"/>
    <x v="3"/>
    <x v="188"/>
    <x v="163"/>
    <x v="163"/>
    <s v="REVENUS"/>
    <x v="3"/>
    <s v="4002.001"/>
    <s v="Impôt ordinaire s/fortune PP"/>
    <n v="0"/>
    <n v="131584.29999999999"/>
    <n v="4002"/>
  </r>
  <r>
    <x v="0"/>
    <x v="3"/>
    <x v="3"/>
    <x v="188"/>
    <x v="163"/>
    <x v="163"/>
    <s v="REVENUS"/>
    <x v="6"/>
    <s v="4211.002"/>
    <s v="Intérêts de retard sur acomptes"/>
    <n v="0"/>
    <n v="3183.09"/>
    <n v="4211"/>
  </r>
  <r>
    <x v="0"/>
    <x v="3"/>
    <x v="3"/>
    <x v="188"/>
    <x v="163"/>
    <x v="163"/>
    <s v="REVENUS"/>
    <x v="6"/>
    <s v="4221.003"/>
    <s v="Intérêts compensat. / acomptes en faveur du fisc"/>
    <n v="0"/>
    <n v="72.38"/>
    <n v="4221"/>
  </r>
  <r>
    <x v="0"/>
    <x v="3"/>
    <x v="3"/>
    <x v="188"/>
    <x v="163"/>
    <x v="163"/>
    <s v="REVENUS"/>
    <x v="6"/>
    <s v="4211.001"/>
    <s v="Intérêts de retard sur factures"/>
    <n v="0"/>
    <n v="1124.7"/>
    <n v="4211"/>
  </r>
  <r>
    <x v="0"/>
    <x v="3"/>
    <x v="3"/>
    <x v="188"/>
    <x v="163"/>
    <x v="163"/>
    <s v="REVENUS"/>
    <x v="7"/>
    <s v="4184.000"/>
    <s v="Frais de poursuite"/>
    <n v="0"/>
    <n v="1016.92"/>
    <n v="4184"/>
  </r>
  <r>
    <x v="0"/>
    <x v="3"/>
    <x v="3"/>
    <x v="188"/>
    <x v="163"/>
    <x v="163"/>
    <s v="REVENUS"/>
    <x v="2"/>
    <s v="4001.007"/>
    <s v="Acompte impôt sur revenu"/>
    <n v="0"/>
    <n v="120673.74"/>
    <n v="4001"/>
  </r>
  <r>
    <x v="0"/>
    <x v="3"/>
    <x v="3"/>
    <x v="188"/>
    <x v="163"/>
    <x v="163"/>
    <s v="REVENUS"/>
    <x v="3"/>
    <s v="4002.007"/>
    <s v="Acompte impôt sur fortune"/>
    <n v="0"/>
    <n v="30436.87"/>
    <n v="4002"/>
  </r>
  <r>
    <x v="0"/>
    <x v="3"/>
    <x v="3"/>
    <x v="188"/>
    <x v="163"/>
    <x v="163"/>
    <s v="REVENUS"/>
    <x v="2"/>
    <s v="4001.002"/>
    <s v="Impôt complément s/revenu PP"/>
    <n v="0"/>
    <n v="56719.75"/>
    <n v="4001"/>
  </r>
  <r>
    <x v="0"/>
    <x v="3"/>
    <x v="3"/>
    <x v="188"/>
    <x v="163"/>
    <x v="163"/>
    <s v="REVENUS"/>
    <x v="3"/>
    <s v="4002.002"/>
    <s v="Impôt complémentaire s/fortune PP"/>
    <n v="0"/>
    <n v="4964.8500000000004"/>
    <n v="4002"/>
  </r>
  <r>
    <x v="0"/>
    <x v="3"/>
    <x v="3"/>
    <x v="188"/>
    <x v="163"/>
    <x v="163"/>
    <s v="REVENUS"/>
    <x v="2"/>
    <s v="4001.007"/>
    <s v="Acompte impôt sur revenu"/>
    <n v="0"/>
    <n v="5575.71"/>
    <n v="4001"/>
  </r>
  <r>
    <x v="0"/>
    <x v="3"/>
    <x v="3"/>
    <x v="188"/>
    <x v="163"/>
    <x v="163"/>
    <s v="REVENUS"/>
    <x v="3"/>
    <s v="4002.007"/>
    <s v="Acompte impôt sur fortune"/>
    <n v="0"/>
    <n v="373.65"/>
    <n v="4002"/>
  </r>
  <r>
    <x v="0"/>
    <x v="3"/>
    <x v="3"/>
    <x v="188"/>
    <x v="163"/>
    <x v="163"/>
    <s v="REVENUS"/>
    <x v="3"/>
    <s v="4002.007"/>
    <s v="Acompte impôt sur fortune"/>
    <n v="0"/>
    <n v="4.2"/>
    <n v="4002"/>
  </r>
  <r>
    <x v="0"/>
    <x v="3"/>
    <x v="3"/>
    <x v="188"/>
    <x v="163"/>
    <x v="163"/>
    <s v="REVENUS"/>
    <x v="3"/>
    <s v="4002.007"/>
    <s v="Acompte impôt sur fortune"/>
    <n v="0"/>
    <n v="828.2"/>
    <n v="4002"/>
  </r>
  <r>
    <x v="0"/>
    <x v="3"/>
    <x v="3"/>
    <x v="188"/>
    <x v="163"/>
    <x v="163"/>
    <s v="REVENUS"/>
    <x v="6"/>
    <s v="4211.001"/>
    <s v="Intérêts de retard sur factures"/>
    <n v="0"/>
    <n v="0.06"/>
    <n v="4211"/>
  </r>
  <r>
    <x v="0"/>
    <x v="3"/>
    <x v="3"/>
    <x v="188"/>
    <x v="163"/>
    <x v="163"/>
    <s v="REVENUS"/>
    <x v="2"/>
    <s v="4001.007"/>
    <s v="Acompte impôt sur revenu"/>
    <n v="0"/>
    <n v="-10.95"/>
    <n v="4001"/>
  </r>
  <r>
    <x v="0"/>
    <x v="3"/>
    <x v="3"/>
    <x v="188"/>
    <x v="163"/>
    <x v="163"/>
    <s v="REVENUS"/>
    <x v="3"/>
    <s v="4002.007"/>
    <s v="Acompte impôt sur fortune"/>
    <n v="0"/>
    <n v="92"/>
    <n v="4002"/>
  </r>
  <r>
    <x v="0"/>
    <x v="3"/>
    <x v="3"/>
    <x v="188"/>
    <x v="163"/>
    <x v="163"/>
    <s v="REVENUS"/>
    <x v="2"/>
    <s v="4001.007"/>
    <s v="Acompte impôt sur revenu"/>
    <n v="0"/>
    <n v="2435.5"/>
    <n v="4001"/>
  </r>
  <r>
    <x v="0"/>
    <x v="3"/>
    <x v="3"/>
    <x v="188"/>
    <x v="163"/>
    <x v="163"/>
    <s v="REVENUS"/>
    <x v="2"/>
    <s v="4001.003"/>
    <s v="Impôt s/prest. cap. PP"/>
    <n v="0"/>
    <n v="6629.15"/>
    <n v="4001"/>
  </r>
  <r>
    <x v="0"/>
    <x v="3"/>
    <x v="3"/>
    <x v="188"/>
    <x v="163"/>
    <x v="163"/>
    <s v="REVENUS"/>
    <x v="4"/>
    <s v="4051.001"/>
    <s v="Impôt sur les successions"/>
    <n v="0"/>
    <n v="4.8"/>
    <n v="4051"/>
  </r>
  <r>
    <x v="0"/>
    <x v="3"/>
    <x v="3"/>
    <x v="188"/>
    <x v="163"/>
    <x v="163"/>
    <s v="REVENUS"/>
    <x v="6"/>
    <s v="4221.002"/>
    <s v="Intérêts compensat. sur impôts distincts"/>
    <n v="0"/>
    <n v="18.12"/>
    <n v="4221"/>
  </r>
  <r>
    <x v="0"/>
    <x v="3"/>
    <x v="3"/>
    <x v="188"/>
    <x v="163"/>
    <x v="163"/>
    <s v="REVENUS"/>
    <x v="2"/>
    <s v="4001.001"/>
    <s v="Impôt revenu"/>
    <n v="0"/>
    <n v="1415.2"/>
    <n v="4001"/>
  </r>
  <r>
    <x v="0"/>
    <x v="3"/>
    <x v="3"/>
    <x v="188"/>
    <x v="163"/>
    <x v="163"/>
    <s v="REVENUS"/>
    <x v="3"/>
    <s v="4002.001"/>
    <s v="Impôt ordinaire s/fortune PP"/>
    <n v="0"/>
    <n v="565.35"/>
    <n v="4002"/>
  </r>
  <r>
    <x v="0"/>
    <x v="3"/>
    <x v="3"/>
    <x v="188"/>
    <x v="163"/>
    <x v="163"/>
    <s v="REVENUS"/>
    <x v="2"/>
    <s v="4001.001"/>
    <s v="Impôt revenu"/>
    <n v="0"/>
    <n v="749.7"/>
    <n v="4001"/>
  </r>
  <r>
    <x v="0"/>
    <x v="3"/>
    <x v="3"/>
    <x v="188"/>
    <x v="163"/>
    <x v="163"/>
    <s v="REVENUS"/>
    <x v="3"/>
    <s v="4002.001"/>
    <s v="Impôt ordinaire s/fortune PP"/>
    <n v="0"/>
    <n v="1767.1"/>
    <n v="4002"/>
  </r>
  <r>
    <x v="0"/>
    <x v="3"/>
    <x v="3"/>
    <x v="188"/>
    <x v="163"/>
    <x v="163"/>
    <s v="REVENUS"/>
    <x v="9"/>
    <s v="4031.001"/>
    <s v="Impôt sur les gains immobiliers"/>
    <n v="0"/>
    <n v="23453.599999999999"/>
    <n v="4031"/>
  </r>
  <r>
    <x v="0"/>
    <x v="3"/>
    <x v="3"/>
    <x v="188"/>
    <x v="163"/>
    <x v="163"/>
    <s v="REVENUS"/>
    <x v="10"/>
    <s v="4041.001"/>
    <s v="Droits de mutation"/>
    <n v="0"/>
    <n v="8856.4"/>
    <n v="4041"/>
  </r>
  <r>
    <x v="0"/>
    <x v="3"/>
    <x v="3"/>
    <x v="188"/>
    <x v="163"/>
    <x v="163"/>
    <s v="REVENUS"/>
    <x v="2"/>
    <s v="4001.001"/>
    <s v="Impôt revenu"/>
    <n v="0"/>
    <n v="455.55"/>
    <n v="4001"/>
  </r>
  <r>
    <x v="0"/>
    <x v="3"/>
    <x v="3"/>
    <x v="188"/>
    <x v="163"/>
    <x v="163"/>
    <s v="REVENUS"/>
    <x v="3"/>
    <s v="4002.001"/>
    <s v="Impôt ordinaire s/fortune PP"/>
    <n v="0"/>
    <n v="40.25"/>
    <n v="4002"/>
  </r>
  <r>
    <x v="0"/>
    <x v="3"/>
    <x v="3"/>
    <x v="188"/>
    <x v="163"/>
    <x v="163"/>
    <s v="REVENUS"/>
    <x v="6"/>
    <s v="4221.003"/>
    <s v="Intérêts compensat. / acomptes en faveur du fisc"/>
    <n v="0"/>
    <n v="0.06"/>
    <n v="4221"/>
  </r>
  <r>
    <x v="0"/>
    <x v="3"/>
    <x v="3"/>
    <x v="188"/>
    <x v="163"/>
    <x v="163"/>
    <s v="REVENUS"/>
    <x v="2"/>
    <s v="4001.002"/>
    <s v="Impôt complément s/revenu PP"/>
    <n v="0"/>
    <n v="53.5"/>
    <n v="4001"/>
  </r>
  <r>
    <x v="0"/>
    <x v="3"/>
    <x v="3"/>
    <x v="188"/>
    <x v="163"/>
    <x v="163"/>
    <s v="REVENUS"/>
    <x v="3"/>
    <s v="4002.002"/>
    <s v="Impôt complémentaire s/fortune PP"/>
    <n v="0"/>
    <n v="7.15"/>
    <n v="4002"/>
  </r>
  <r>
    <x v="0"/>
    <x v="4"/>
    <x v="4"/>
    <x v="189"/>
    <x v="161"/>
    <x v="161"/>
    <s v="REVENUS"/>
    <x v="7"/>
    <s v="4184.000"/>
    <s v="Frais de poursuite"/>
    <n v="0"/>
    <n v="14.22"/>
    <n v="4184"/>
  </r>
  <r>
    <x v="0"/>
    <x v="3"/>
    <x v="3"/>
    <x v="190"/>
    <x v="164"/>
    <x v="164"/>
    <s v="CHARGES"/>
    <x v="0"/>
    <s v="3212.004"/>
    <s v="Intérêts rémun./perçu trop tôt sur acomptes C/C"/>
    <n v="104.55"/>
    <n v="0"/>
    <n v="3212"/>
  </r>
  <r>
    <x v="0"/>
    <x v="3"/>
    <x v="3"/>
    <x v="190"/>
    <x v="164"/>
    <x v="164"/>
    <s v="CHARGES"/>
    <x v="0"/>
    <s v="3221.002"/>
    <s v="Intérêts compensatoires / créances en faveur ctb."/>
    <n v="53.07"/>
    <n v="0"/>
    <n v="3221"/>
  </r>
  <r>
    <x v="0"/>
    <x v="3"/>
    <x v="3"/>
    <x v="190"/>
    <x v="164"/>
    <x v="164"/>
    <s v="CHARGES"/>
    <x v="1"/>
    <s v="3301.001"/>
    <s v="Défalcations, abandons de solde PP et IS"/>
    <n v="13643.95"/>
    <n v="0"/>
    <n v="3301"/>
  </r>
  <r>
    <x v="0"/>
    <x v="3"/>
    <x v="3"/>
    <x v="190"/>
    <x v="164"/>
    <x v="164"/>
    <s v="CHARGES"/>
    <x v="0"/>
    <s v="3212.004"/>
    <s v="Intérêts rémun./perçu trop tôt sur acomptes C/C"/>
    <n v="0.13"/>
    <n v="0"/>
    <n v="3212"/>
  </r>
  <r>
    <x v="0"/>
    <x v="3"/>
    <x v="3"/>
    <x v="190"/>
    <x v="164"/>
    <x v="164"/>
    <s v="CHARGES"/>
    <x v="0"/>
    <s v="3212.004"/>
    <s v="Intérêts rémun./perçu trop tôt sur acomptes C/C"/>
    <n v="0.36"/>
    <n v="0"/>
    <n v="3212"/>
  </r>
  <r>
    <x v="0"/>
    <x v="3"/>
    <x v="3"/>
    <x v="190"/>
    <x v="164"/>
    <x v="164"/>
    <s v="CHARGES"/>
    <x v="0"/>
    <s v="3212.002"/>
    <s v="Intérêts bonifiés/trop perçu acompte C/C"/>
    <n v="15.81"/>
    <n v="0"/>
    <n v="3212"/>
  </r>
  <r>
    <x v="0"/>
    <x v="3"/>
    <x v="3"/>
    <x v="190"/>
    <x v="164"/>
    <x v="164"/>
    <s v="CHARGES"/>
    <x v="0"/>
    <s v="3212.004"/>
    <s v="Intérêts rémun./perçu trop tôt sur acomptes C/C"/>
    <n v="0.09"/>
    <n v="0"/>
    <n v="3212"/>
  </r>
  <r>
    <x v="0"/>
    <x v="3"/>
    <x v="3"/>
    <x v="190"/>
    <x v="164"/>
    <x v="164"/>
    <s v="CHARGES"/>
    <x v="1"/>
    <s v="3301.001"/>
    <s v="Défalcations, abandons de solde PP et IS"/>
    <n v="0.01"/>
    <n v="0"/>
    <n v="3301"/>
  </r>
  <r>
    <x v="0"/>
    <x v="3"/>
    <x v="3"/>
    <x v="190"/>
    <x v="164"/>
    <x v="164"/>
    <s v="CHARGES"/>
    <x v="1"/>
    <s v="3301.001"/>
    <s v="Défalcations, abandons de solde PP et IS"/>
    <n v="1.36"/>
    <n v="0"/>
    <n v="3301"/>
  </r>
  <r>
    <x v="0"/>
    <x v="3"/>
    <x v="3"/>
    <x v="190"/>
    <x v="164"/>
    <x v="164"/>
    <s v="CHARGES"/>
    <x v="0"/>
    <s v="3212.004"/>
    <s v="Intérêts rémun./perçu trop tôt sur acomptes C/C"/>
    <n v="0.45"/>
    <n v="0"/>
    <n v="3212"/>
  </r>
  <r>
    <x v="0"/>
    <x v="3"/>
    <x v="3"/>
    <x v="190"/>
    <x v="164"/>
    <x v="164"/>
    <s v="CHARGES"/>
    <x v="0"/>
    <s v="3221.002"/>
    <s v="Intérêts compensatoires / créances en faveur ctb."/>
    <n v="0.04"/>
    <n v="0"/>
    <n v="3221"/>
  </r>
  <r>
    <x v="0"/>
    <x v="3"/>
    <x v="3"/>
    <x v="190"/>
    <x v="164"/>
    <x v="164"/>
    <s v="CHARGES"/>
    <x v="1"/>
    <s v="3301.001"/>
    <s v="Défalcations, abandons de solde PP et IS"/>
    <n v="3751.76"/>
    <n v="0"/>
    <n v="3301"/>
  </r>
  <r>
    <x v="0"/>
    <x v="3"/>
    <x v="3"/>
    <x v="190"/>
    <x v="164"/>
    <x v="164"/>
    <s v="REVENUS"/>
    <x v="2"/>
    <s v="4001.007"/>
    <s v="Acompte impôt sur revenu"/>
    <n v="0"/>
    <n v="-206428.02"/>
    <n v="4001"/>
  </r>
  <r>
    <x v="0"/>
    <x v="3"/>
    <x v="3"/>
    <x v="190"/>
    <x v="164"/>
    <x v="164"/>
    <s v="REVENUS"/>
    <x v="3"/>
    <s v="4002.007"/>
    <s v="Acompte impôt sur fortune"/>
    <n v="0"/>
    <n v="-36846.589999999997"/>
    <n v="4002"/>
  </r>
  <r>
    <x v="0"/>
    <x v="3"/>
    <x v="3"/>
    <x v="190"/>
    <x v="164"/>
    <x v="164"/>
    <s v="REVENUS"/>
    <x v="2"/>
    <s v="4001.001"/>
    <s v="Impôt revenu"/>
    <n v="0"/>
    <n v="411046.9"/>
    <n v="4001"/>
  </r>
  <r>
    <x v="0"/>
    <x v="3"/>
    <x v="3"/>
    <x v="190"/>
    <x v="164"/>
    <x v="164"/>
    <s v="REVENUS"/>
    <x v="2"/>
    <s v="4001.007"/>
    <s v="Acompte impôt sur revenu"/>
    <n v="0"/>
    <n v="110685.87"/>
    <n v="4001"/>
  </r>
  <r>
    <x v="0"/>
    <x v="3"/>
    <x v="3"/>
    <x v="190"/>
    <x v="164"/>
    <x v="164"/>
    <s v="REVENUS"/>
    <x v="3"/>
    <s v="4002.001"/>
    <s v="Impôt ordinaire s/fortune PP"/>
    <n v="0"/>
    <n v="56470.75"/>
    <n v="4002"/>
  </r>
  <r>
    <x v="0"/>
    <x v="3"/>
    <x v="3"/>
    <x v="190"/>
    <x v="164"/>
    <x v="164"/>
    <s v="REVENUS"/>
    <x v="3"/>
    <s v="4002.007"/>
    <s v="Acompte impôt sur fortune"/>
    <n v="0"/>
    <n v="8686.0499999999993"/>
    <n v="4002"/>
  </r>
  <r>
    <x v="0"/>
    <x v="3"/>
    <x v="3"/>
    <x v="190"/>
    <x v="164"/>
    <x v="164"/>
    <s v="REVENUS"/>
    <x v="10"/>
    <s v="4041.001"/>
    <s v="Droits de mutation"/>
    <n v="0"/>
    <n v="21780"/>
    <n v="4041"/>
  </r>
  <r>
    <x v="0"/>
    <x v="3"/>
    <x v="3"/>
    <x v="190"/>
    <x v="164"/>
    <x v="164"/>
    <s v="REVENUS"/>
    <x v="6"/>
    <s v="4211.002"/>
    <s v="Intérêts de retard sur acomptes"/>
    <n v="0"/>
    <n v="3365.19"/>
    <n v="4211"/>
  </r>
  <r>
    <x v="0"/>
    <x v="3"/>
    <x v="3"/>
    <x v="190"/>
    <x v="164"/>
    <x v="164"/>
    <s v="REVENUS"/>
    <x v="6"/>
    <s v="4221.003"/>
    <s v="Intérêts compensat. / acomptes en faveur du fisc"/>
    <n v="0"/>
    <n v="84.42"/>
    <n v="4221"/>
  </r>
  <r>
    <x v="0"/>
    <x v="3"/>
    <x v="3"/>
    <x v="190"/>
    <x v="164"/>
    <x v="164"/>
    <s v="REVENUS"/>
    <x v="6"/>
    <s v="4211.001"/>
    <s v="Intérêts de retard sur factures"/>
    <n v="0"/>
    <n v="1252.76"/>
    <n v="4211"/>
  </r>
  <r>
    <x v="0"/>
    <x v="3"/>
    <x v="3"/>
    <x v="190"/>
    <x v="164"/>
    <x v="164"/>
    <s v="REVENUS"/>
    <x v="7"/>
    <s v="4184.000"/>
    <s v="Frais de poursuite"/>
    <n v="0"/>
    <n v="934.34"/>
    <n v="4184"/>
  </r>
  <r>
    <x v="0"/>
    <x v="3"/>
    <x v="3"/>
    <x v="190"/>
    <x v="164"/>
    <x v="164"/>
    <s v="REVENUS"/>
    <x v="2"/>
    <s v="4001.002"/>
    <s v="Impôt complément s/revenu PP"/>
    <n v="0"/>
    <n v="56443.15"/>
    <n v="4001"/>
  </r>
  <r>
    <x v="0"/>
    <x v="3"/>
    <x v="3"/>
    <x v="190"/>
    <x v="164"/>
    <x v="164"/>
    <s v="REVENUS"/>
    <x v="3"/>
    <s v="4002.001"/>
    <s v="Impôt ordinaire s/fortune PP"/>
    <n v="0"/>
    <n v="1590.65"/>
    <n v="4002"/>
  </r>
  <r>
    <x v="0"/>
    <x v="3"/>
    <x v="3"/>
    <x v="190"/>
    <x v="164"/>
    <x v="164"/>
    <s v="REVENUS"/>
    <x v="2"/>
    <s v="4001.007"/>
    <s v="Acompte impôt sur revenu"/>
    <n v="0"/>
    <n v="114.55"/>
    <n v="4001"/>
  </r>
  <r>
    <x v="0"/>
    <x v="3"/>
    <x v="3"/>
    <x v="190"/>
    <x v="164"/>
    <x v="164"/>
    <s v="REVENUS"/>
    <x v="3"/>
    <s v="4002.007"/>
    <s v="Acompte impôt sur fortune"/>
    <n v="0"/>
    <n v="-27.4"/>
    <n v="4002"/>
  </r>
  <r>
    <x v="0"/>
    <x v="3"/>
    <x v="3"/>
    <x v="190"/>
    <x v="164"/>
    <x v="164"/>
    <s v="REVENUS"/>
    <x v="6"/>
    <s v="4211.002"/>
    <s v="Intérêts de retard sur acomptes"/>
    <n v="0"/>
    <n v="5.08"/>
    <n v="4211"/>
  </r>
  <r>
    <x v="0"/>
    <x v="3"/>
    <x v="3"/>
    <x v="190"/>
    <x v="164"/>
    <x v="164"/>
    <s v="REVENUS"/>
    <x v="3"/>
    <s v="4002.007"/>
    <s v="Acompte impôt sur fortune"/>
    <n v="0"/>
    <n v="973.1"/>
    <n v="4002"/>
  </r>
  <r>
    <x v="0"/>
    <x v="3"/>
    <x v="3"/>
    <x v="190"/>
    <x v="164"/>
    <x v="164"/>
    <s v="REVENUS"/>
    <x v="3"/>
    <s v="4002.007"/>
    <s v="Acompte impôt sur fortune"/>
    <n v="0"/>
    <n v="826.45"/>
    <n v="4002"/>
  </r>
  <r>
    <x v="0"/>
    <x v="3"/>
    <x v="3"/>
    <x v="190"/>
    <x v="164"/>
    <x v="164"/>
    <s v="REVENUS"/>
    <x v="2"/>
    <s v="4001.007"/>
    <s v="Acompte impôt sur revenu"/>
    <n v="0"/>
    <n v="-188.35"/>
    <n v="4001"/>
  </r>
  <r>
    <x v="0"/>
    <x v="3"/>
    <x v="3"/>
    <x v="190"/>
    <x v="164"/>
    <x v="164"/>
    <s v="REVENUS"/>
    <x v="2"/>
    <s v="4001.007"/>
    <s v="Acompte impôt sur revenu"/>
    <n v="0"/>
    <n v="842.9"/>
    <n v="4001"/>
  </r>
  <r>
    <x v="0"/>
    <x v="3"/>
    <x v="3"/>
    <x v="190"/>
    <x v="164"/>
    <x v="164"/>
    <s v="REVENUS"/>
    <x v="2"/>
    <s v="4001.001"/>
    <s v="Impôt revenu"/>
    <n v="0"/>
    <n v="840.1"/>
    <n v="4001"/>
  </r>
  <r>
    <x v="0"/>
    <x v="3"/>
    <x v="3"/>
    <x v="190"/>
    <x v="164"/>
    <x v="164"/>
    <s v="REVENUS"/>
    <x v="3"/>
    <s v="4002.001"/>
    <s v="Impôt ordinaire s/fortune PP"/>
    <n v="0"/>
    <n v="713.3"/>
    <n v="4002"/>
  </r>
  <r>
    <x v="0"/>
    <x v="3"/>
    <x v="3"/>
    <x v="190"/>
    <x v="164"/>
    <x v="164"/>
    <s v="REVENUS"/>
    <x v="9"/>
    <s v="4031.001"/>
    <s v="Impôt sur les gains immobiliers"/>
    <n v="0"/>
    <n v="36520.65"/>
    <n v="4031"/>
  </r>
  <r>
    <x v="0"/>
    <x v="3"/>
    <x v="3"/>
    <x v="190"/>
    <x v="164"/>
    <x v="164"/>
    <s v="REVENUS"/>
    <x v="6"/>
    <s v="4221.002"/>
    <s v="Intérêts compensat. sur impôts distincts"/>
    <n v="0"/>
    <n v="1.06"/>
    <n v="4221"/>
  </r>
  <r>
    <x v="0"/>
    <x v="3"/>
    <x v="3"/>
    <x v="190"/>
    <x v="164"/>
    <x v="164"/>
    <s v="REVENUS"/>
    <x v="2"/>
    <s v="4001.003"/>
    <s v="Impôt s/prest. cap. PP"/>
    <n v="0"/>
    <n v="18003.95"/>
    <n v="4001"/>
  </r>
  <r>
    <x v="0"/>
    <x v="3"/>
    <x v="3"/>
    <x v="190"/>
    <x v="164"/>
    <x v="164"/>
    <s v="REVENUS"/>
    <x v="3"/>
    <s v="4002.001"/>
    <s v="Impôt ordinaire s/fortune PP"/>
    <n v="0"/>
    <n v="156.30000000000001"/>
    <n v="4002"/>
  </r>
  <r>
    <x v="0"/>
    <x v="3"/>
    <x v="3"/>
    <x v="190"/>
    <x v="164"/>
    <x v="164"/>
    <s v="REVENUS"/>
    <x v="3"/>
    <s v="4002.001"/>
    <s v="Impôt ordinaire s/fortune PP"/>
    <n v="0"/>
    <n v="736.95"/>
    <n v="4002"/>
  </r>
  <r>
    <x v="0"/>
    <x v="3"/>
    <x v="3"/>
    <x v="190"/>
    <x v="164"/>
    <x v="164"/>
    <s v="REVENUS"/>
    <x v="6"/>
    <s v="4221.003"/>
    <s v="Intérêts compensat. / acomptes en faveur du fisc"/>
    <n v="0"/>
    <n v="0.01"/>
    <n v="4221"/>
  </r>
  <r>
    <x v="0"/>
    <x v="3"/>
    <x v="3"/>
    <x v="190"/>
    <x v="164"/>
    <x v="164"/>
    <s v="REVENUS"/>
    <x v="6"/>
    <s v="4211.001"/>
    <s v="Intérêts de retard sur factures"/>
    <n v="0"/>
    <n v="1.19"/>
    <n v="4211"/>
  </r>
  <r>
    <x v="0"/>
    <x v="3"/>
    <x v="3"/>
    <x v="190"/>
    <x v="164"/>
    <x v="164"/>
    <s v="REVENUS"/>
    <x v="2"/>
    <s v="4001.001"/>
    <s v="Impôt revenu"/>
    <n v="0"/>
    <n v="913.95"/>
    <n v="4001"/>
  </r>
  <r>
    <x v="0"/>
    <x v="3"/>
    <x v="3"/>
    <x v="190"/>
    <x v="164"/>
    <x v="164"/>
    <s v="REVENUS"/>
    <x v="8"/>
    <s v="4091.001"/>
    <s v="Impôt récupéré après défalcations"/>
    <n v="0"/>
    <n v="3281.56"/>
    <n v="4091"/>
  </r>
  <r>
    <x v="0"/>
    <x v="3"/>
    <x v="3"/>
    <x v="190"/>
    <x v="164"/>
    <x v="164"/>
    <s v="REVENUS"/>
    <x v="8"/>
    <s v="4091.001"/>
    <s v="Impôt récupéré après défalcations"/>
    <n v="0"/>
    <n v="5152.49"/>
    <n v="4091"/>
  </r>
  <r>
    <x v="0"/>
    <x v="3"/>
    <x v="3"/>
    <x v="190"/>
    <x v="164"/>
    <x v="164"/>
    <s v="REVENUS"/>
    <x v="5"/>
    <s v="4061.000"/>
    <s v="Impôt sur les chiens"/>
    <n v="0"/>
    <n v="2250"/>
    <n v="4061"/>
  </r>
  <r>
    <x v="0"/>
    <x v="3"/>
    <x v="3"/>
    <x v="190"/>
    <x v="164"/>
    <x v="164"/>
    <s v="REVENUS"/>
    <x v="7"/>
    <s v="4184.000"/>
    <s v="Frais de poursuite"/>
    <n v="0"/>
    <n v="40.89"/>
    <n v="4184"/>
  </r>
  <r>
    <x v="0"/>
    <x v="3"/>
    <x v="3"/>
    <x v="190"/>
    <x v="164"/>
    <x v="164"/>
    <s v="REVENUS"/>
    <x v="3"/>
    <s v="4002.002"/>
    <s v="Impôt complémentaire s/fortune PP"/>
    <n v="0"/>
    <n v="15757"/>
    <n v="4002"/>
  </r>
  <r>
    <x v="0"/>
    <x v="3"/>
    <x v="3"/>
    <x v="190"/>
    <x v="164"/>
    <x v="164"/>
    <s v="REVENUS"/>
    <x v="2"/>
    <s v="4001.001"/>
    <s v="Impôt revenu"/>
    <n v="0"/>
    <n v="696.9"/>
    <n v="4001"/>
  </r>
  <r>
    <x v="0"/>
    <x v="3"/>
    <x v="3"/>
    <x v="190"/>
    <x v="164"/>
    <x v="164"/>
    <s v="REVENUS"/>
    <x v="6"/>
    <s v="4221.003"/>
    <s v="Intérêts compensat. / acomptes en faveur du fisc"/>
    <n v="0"/>
    <n v="0.17"/>
    <n v="4221"/>
  </r>
  <r>
    <x v="0"/>
    <x v="3"/>
    <x v="3"/>
    <x v="191"/>
    <x v="159"/>
    <x v="159"/>
    <s v="CHARGES"/>
    <x v="0"/>
    <s v="3212.002"/>
    <s v="Intérêts bonifiés/trop perçu acompte C/C"/>
    <n v="-5.46"/>
    <n v="0"/>
    <n v="3212"/>
  </r>
  <r>
    <x v="0"/>
    <x v="3"/>
    <x v="3"/>
    <x v="191"/>
    <x v="159"/>
    <x v="159"/>
    <s v="CHARGES"/>
    <x v="0"/>
    <s v="3212.002"/>
    <s v="Intérêts bonifiés/trop perçu acompte C/C"/>
    <n v="0.03"/>
    <n v="0"/>
    <n v="3212"/>
  </r>
  <r>
    <x v="0"/>
    <x v="3"/>
    <x v="3"/>
    <x v="191"/>
    <x v="159"/>
    <x v="159"/>
    <s v="CHARGES"/>
    <x v="0"/>
    <s v="3221.002"/>
    <s v="Intérêts compensatoires / créances en faveur ctb."/>
    <n v="0.05"/>
    <n v="0"/>
    <n v="3221"/>
  </r>
  <r>
    <x v="0"/>
    <x v="3"/>
    <x v="3"/>
    <x v="191"/>
    <x v="159"/>
    <x v="159"/>
    <s v="CHARGES"/>
    <x v="0"/>
    <s v="3212.004"/>
    <s v="Intérêts rémun./perçu trop tôt sur acomptes C/C"/>
    <n v="-0.16"/>
    <n v="0"/>
    <n v="3212"/>
  </r>
  <r>
    <x v="0"/>
    <x v="3"/>
    <x v="3"/>
    <x v="191"/>
    <x v="159"/>
    <x v="159"/>
    <s v="CHARGES"/>
    <x v="0"/>
    <s v="3221.002"/>
    <s v="Intérêts compensatoires / créances en faveur ctb."/>
    <n v="-15.97"/>
    <n v="0"/>
    <n v="3221"/>
  </r>
  <r>
    <x v="0"/>
    <x v="3"/>
    <x v="3"/>
    <x v="191"/>
    <x v="159"/>
    <x v="159"/>
    <s v="CHARGES"/>
    <x v="1"/>
    <s v="3301.001"/>
    <s v="Défalcations, abandons de solde PP et IS"/>
    <n v="0.02"/>
    <n v="0"/>
    <n v="3301"/>
  </r>
  <r>
    <x v="0"/>
    <x v="3"/>
    <x v="3"/>
    <x v="191"/>
    <x v="159"/>
    <x v="159"/>
    <s v="CHARGES"/>
    <x v="1"/>
    <s v="3301.001"/>
    <s v="Défalcations, abandons de solde PP et IS"/>
    <n v="3.14"/>
    <n v="0"/>
    <n v="3301"/>
  </r>
  <r>
    <x v="0"/>
    <x v="3"/>
    <x v="3"/>
    <x v="191"/>
    <x v="159"/>
    <x v="159"/>
    <s v="CHARGES"/>
    <x v="1"/>
    <s v="3301.001"/>
    <s v="Défalcations, abandons de solde PP et IS"/>
    <n v="0.02"/>
    <n v="0"/>
    <n v="3301"/>
  </r>
  <r>
    <x v="0"/>
    <x v="3"/>
    <x v="3"/>
    <x v="191"/>
    <x v="159"/>
    <x v="159"/>
    <s v="REVENUS"/>
    <x v="2"/>
    <s v="4001.007"/>
    <s v="Acompte impôt sur revenu"/>
    <n v="0"/>
    <n v="28.96"/>
    <n v="4001"/>
  </r>
  <r>
    <x v="0"/>
    <x v="3"/>
    <x v="3"/>
    <x v="191"/>
    <x v="159"/>
    <x v="159"/>
    <s v="REVENUS"/>
    <x v="3"/>
    <s v="4002.007"/>
    <s v="Acompte impôt sur fortune"/>
    <n v="0"/>
    <n v="-24.2"/>
    <n v="4002"/>
  </r>
  <r>
    <x v="0"/>
    <x v="3"/>
    <x v="3"/>
    <x v="191"/>
    <x v="159"/>
    <x v="159"/>
    <s v="REVENUS"/>
    <x v="2"/>
    <s v="4001.001"/>
    <s v="Impôt revenu"/>
    <n v="0"/>
    <n v="-39942.550000000003"/>
    <n v="4001"/>
  </r>
  <r>
    <x v="0"/>
    <x v="3"/>
    <x v="3"/>
    <x v="191"/>
    <x v="159"/>
    <x v="159"/>
    <s v="REVENUS"/>
    <x v="2"/>
    <s v="4001.007"/>
    <s v="Acompte impôt sur revenu"/>
    <n v="0"/>
    <n v="-16994.849999999999"/>
    <n v="4001"/>
  </r>
  <r>
    <x v="0"/>
    <x v="3"/>
    <x v="3"/>
    <x v="191"/>
    <x v="159"/>
    <x v="159"/>
    <s v="REVENUS"/>
    <x v="3"/>
    <s v="4002.001"/>
    <s v="Impôt ordinaire s/fortune PP"/>
    <n v="0"/>
    <n v="-4583.55"/>
    <n v="4002"/>
  </r>
  <r>
    <x v="0"/>
    <x v="3"/>
    <x v="3"/>
    <x v="191"/>
    <x v="159"/>
    <x v="159"/>
    <s v="REVENUS"/>
    <x v="3"/>
    <s v="4002.007"/>
    <s v="Acompte impôt sur fortune"/>
    <n v="0"/>
    <n v="-1661.92"/>
    <n v="4002"/>
  </r>
  <r>
    <x v="0"/>
    <x v="3"/>
    <x v="3"/>
    <x v="191"/>
    <x v="159"/>
    <x v="159"/>
    <s v="REVENUS"/>
    <x v="6"/>
    <s v="4211.002"/>
    <s v="Intérêts de retard sur acomptes"/>
    <n v="0"/>
    <n v="3.24"/>
    <n v="4211"/>
  </r>
  <r>
    <x v="0"/>
    <x v="3"/>
    <x v="3"/>
    <x v="191"/>
    <x v="159"/>
    <x v="159"/>
    <s v="REVENUS"/>
    <x v="6"/>
    <s v="4221.003"/>
    <s v="Intérêts compensat. / acomptes en faveur du fisc"/>
    <n v="0"/>
    <n v="0.03"/>
    <n v="4221"/>
  </r>
  <r>
    <x v="0"/>
    <x v="3"/>
    <x v="3"/>
    <x v="191"/>
    <x v="159"/>
    <x v="159"/>
    <s v="REVENUS"/>
    <x v="2"/>
    <s v="4001.002"/>
    <s v="Impôt complément s/revenu PP"/>
    <n v="0"/>
    <n v="48802.45"/>
    <n v="4001"/>
  </r>
  <r>
    <x v="0"/>
    <x v="3"/>
    <x v="3"/>
    <x v="191"/>
    <x v="159"/>
    <x v="159"/>
    <s v="REVENUS"/>
    <x v="3"/>
    <s v="4002.002"/>
    <s v="Impôt complémentaire s/fortune PP"/>
    <n v="0"/>
    <n v="4583.8"/>
    <n v="4002"/>
  </r>
  <r>
    <x v="0"/>
    <x v="3"/>
    <x v="3"/>
    <x v="191"/>
    <x v="159"/>
    <x v="159"/>
    <s v="REVENUS"/>
    <x v="6"/>
    <s v="4211.001"/>
    <s v="Intérêts de retard sur factures"/>
    <n v="0"/>
    <n v="1146.7"/>
    <n v="4211"/>
  </r>
  <r>
    <x v="0"/>
    <x v="3"/>
    <x v="3"/>
    <x v="191"/>
    <x v="159"/>
    <x v="159"/>
    <s v="REVENUS"/>
    <x v="6"/>
    <s v="4211.002"/>
    <s v="Intérêts de retard sur acomptes"/>
    <n v="0"/>
    <n v="858.22"/>
    <n v="4211"/>
  </r>
  <r>
    <x v="0"/>
    <x v="3"/>
    <x v="3"/>
    <x v="191"/>
    <x v="159"/>
    <x v="159"/>
    <s v="REVENUS"/>
    <x v="6"/>
    <s v="4221.003"/>
    <s v="Intérêts compensat. / acomptes en faveur du fisc"/>
    <n v="0"/>
    <n v="32.67"/>
    <n v="4221"/>
  </r>
  <r>
    <x v="0"/>
    <x v="3"/>
    <x v="3"/>
    <x v="191"/>
    <x v="159"/>
    <x v="159"/>
    <s v="REVENUS"/>
    <x v="6"/>
    <s v="4211.001"/>
    <s v="Intérêts de retard sur factures"/>
    <n v="0"/>
    <n v="1.1499999999999999"/>
    <n v="4211"/>
  </r>
  <r>
    <x v="0"/>
    <x v="3"/>
    <x v="3"/>
    <x v="191"/>
    <x v="159"/>
    <x v="159"/>
    <s v="REVENUS"/>
    <x v="7"/>
    <s v="4184.000"/>
    <s v="Frais de poursuite"/>
    <n v="0"/>
    <n v="122.17"/>
    <n v="4184"/>
  </r>
  <r>
    <x v="0"/>
    <x v="3"/>
    <x v="3"/>
    <x v="191"/>
    <x v="159"/>
    <x v="159"/>
    <s v="REVENUS"/>
    <x v="2"/>
    <s v="4001.001"/>
    <s v="Impôt revenu"/>
    <n v="0"/>
    <n v="10182.15"/>
    <n v="4001"/>
  </r>
  <r>
    <x v="0"/>
    <x v="3"/>
    <x v="3"/>
    <x v="191"/>
    <x v="159"/>
    <x v="159"/>
    <s v="REVENUS"/>
    <x v="2"/>
    <s v="4001.003"/>
    <s v="Impôt s/prest. cap. PP"/>
    <n v="0"/>
    <n v="3874.4"/>
    <n v="4001"/>
  </r>
  <r>
    <x v="0"/>
    <x v="3"/>
    <x v="3"/>
    <x v="191"/>
    <x v="159"/>
    <x v="159"/>
    <s v="REVENUS"/>
    <x v="2"/>
    <s v="4001.007"/>
    <s v="Acompte impôt sur revenu"/>
    <n v="0"/>
    <n v="-40.159999999999997"/>
    <n v="4001"/>
  </r>
  <r>
    <x v="0"/>
    <x v="3"/>
    <x v="3"/>
    <x v="191"/>
    <x v="159"/>
    <x v="159"/>
    <s v="REVENUS"/>
    <x v="3"/>
    <s v="4002.001"/>
    <s v="Impôt ordinaire s/fortune PP"/>
    <n v="0"/>
    <n v="1155.5"/>
    <n v="4002"/>
  </r>
  <r>
    <x v="0"/>
    <x v="3"/>
    <x v="3"/>
    <x v="191"/>
    <x v="159"/>
    <x v="159"/>
    <s v="REVENUS"/>
    <x v="3"/>
    <s v="4002.007"/>
    <s v="Acompte impôt sur fortune"/>
    <n v="0"/>
    <n v="-7.88"/>
    <n v="4002"/>
  </r>
  <r>
    <x v="0"/>
    <x v="3"/>
    <x v="3"/>
    <x v="192"/>
    <x v="165"/>
    <x v="165"/>
    <s v="CHARGES"/>
    <x v="1"/>
    <s v="3301.001"/>
    <s v="Défalcations, abandons de solde PP et IS"/>
    <n v="16963.330000000002"/>
    <n v="0"/>
    <n v="3301"/>
  </r>
  <r>
    <x v="0"/>
    <x v="3"/>
    <x v="3"/>
    <x v="192"/>
    <x v="165"/>
    <x v="165"/>
    <s v="CHARGES"/>
    <x v="0"/>
    <s v="3212.004"/>
    <s v="Intérêts rémun./perçu trop tôt sur acomptes C/C"/>
    <n v="168.68"/>
    <n v="0"/>
    <n v="3212"/>
  </r>
  <r>
    <x v="0"/>
    <x v="3"/>
    <x v="3"/>
    <x v="192"/>
    <x v="165"/>
    <x v="165"/>
    <s v="CHARGES"/>
    <x v="0"/>
    <s v="3221.002"/>
    <s v="Intérêts compensatoires / créances en faveur ctb."/>
    <n v="64.459999999999994"/>
    <n v="0"/>
    <n v="3221"/>
  </r>
  <r>
    <x v="0"/>
    <x v="3"/>
    <x v="3"/>
    <x v="192"/>
    <x v="165"/>
    <x v="165"/>
    <s v="CHARGES"/>
    <x v="0"/>
    <s v="3212.002"/>
    <s v="Intérêts bonifiés/trop perçu acompte C/C"/>
    <n v="0.01"/>
    <n v="0"/>
    <n v="3212"/>
  </r>
  <r>
    <x v="0"/>
    <x v="3"/>
    <x v="3"/>
    <x v="192"/>
    <x v="165"/>
    <x v="165"/>
    <s v="CHARGES"/>
    <x v="0"/>
    <s v="3212.004"/>
    <s v="Intérêts rémun./perçu trop tôt sur acomptes C/C"/>
    <n v="0.16"/>
    <n v="0"/>
    <n v="3212"/>
  </r>
  <r>
    <x v="0"/>
    <x v="3"/>
    <x v="3"/>
    <x v="192"/>
    <x v="165"/>
    <x v="165"/>
    <s v="CHARGES"/>
    <x v="1"/>
    <s v="3301.001"/>
    <s v="Défalcations, abandons de solde PP et IS"/>
    <n v="0.62"/>
    <n v="0"/>
    <n v="3301"/>
  </r>
  <r>
    <x v="0"/>
    <x v="3"/>
    <x v="3"/>
    <x v="192"/>
    <x v="165"/>
    <x v="165"/>
    <s v="CHARGES"/>
    <x v="0"/>
    <s v="3212.002"/>
    <s v="Intérêts bonifiés/trop perçu acompte C/C"/>
    <n v="0.34"/>
    <n v="0"/>
    <n v="3212"/>
  </r>
  <r>
    <x v="0"/>
    <x v="3"/>
    <x v="3"/>
    <x v="192"/>
    <x v="165"/>
    <x v="165"/>
    <s v="CHARGES"/>
    <x v="0"/>
    <s v="3212.004"/>
    <s v="Intérêts rémun./perçu trop tôt sur acomptes C/C"/>
    <n v="0.53"/>
    <n v="0"/>
    <n v="3212"/>
  </r>
  <r>
    <x v="0"/>
    <x v="3"/>
    <x v="3"/>
    <x v="192"/>
    <x v="165"/>
    <x v="165"/>
    <s v="CHARGES"/>
    <x v="0"/>
    <s v="3221.002"/>
    <s v="Intérêts compensatoires / créances en faveur ctb."/>
    <n v="0.31"/>
    <n v="0"/>
    <n v="3221"/>
  </r>
  <r>
    <x v="0"/>
    <x v="3"/>
    <x v="3"/>
    <x v="192"/>
    <x v="165"/>
    <x v="165"/>
    <s v="CHARGES"/>
    <x v="1"/>
    <s v="3301.001"/>
    <s v="Défalcations, abandons de solde PP et IS"/>
    <n v="0.03"/>
    <n v="0"/>
    <n v="3301"/>
  </r>
  <r>
    <x v="0"/>
    <x v="3"/>
    <x v="3"/>
    <x v="192"/>
    <x v="165"/>
    <x v="165"/>
    <s v="CHARGES"/>
    <x v="0"/>
    <s v="3212.004"/>
    <s v="Intérêts rémun./perçu trop tôt sur acomptes C/C"/>
    <n v="0.06"/>
    <n v="0"/>
    <n v="3212"/>
  </r>
  <r>
    <x v="0"/>
    <x v="3"/>
    <x v="3"/>
    <x v="192"/>
    <x v="165"/>
    <x v="165"/>
    <s v="CHARGES"/>
    <x v="0"/>
    <s v="3221.002"/>
    <s v="Intérêts compensatoires / créances en faveur ctb."/>
    <n v="0.02"/>
    <n v="0"/>
    <n v="3221"/>
  </r>
  <r>
    <x v="0"/>
    <x v="3"/>
    <x v="3"/>
    <x v="192"/>
    <x v="165"/>
    <x v="165"/>
    <s v="CHARGES"/>
    <x v="1"/>
    <s v="3301.001"/>
    <s v="Défalcations, abandons de solde PP et IS"/>
    <n v="0.02"/>
    <n v="0"/>
    <n v="3301"/>
  </r>
  <r>
    <x v="0"/>
    <x v="3"/>
    <x v="3"/>
    <x v="192"/>
    <x v="165"/>
    <x v="165"/>
    <s v="CHARGES"/>
    <x v="0"/>
    <s v="3212.004"/>
    <s v="Intérêts rémun./perçu trop tôt sur acomptes C/C"/>
    <n v="0.01"/>
    <n v="0"/>
    <n v="3212"/>
  </r>
  <r>
    <x v="0"/>
    <x v="3"/>
    <x v="3"/>
    <x v="192"/>
    <x v="165"/>
    <x v="165"/>
    <s v="CHARGES"/>
    <x v="0"/>
    <s v="3221.002"/>
    <s v="Intérêts compensatoires / créances en faveur ctb."/>
    <n v="0.01"/>
    <n v="0"/>
    <n v="3221"/>
  </r>
  <r>
    <x v="0"/>
    <x v="3"/>
    <x v="3"/>
    <x v="192"/>
    <x v="165"/>
    <x v="165"/>
    <s v="REVENUS"/>
    <x v="6"/>
    <s v="4211.001"/>
    <s v="Intérêts de retard sur factures"/>
    <n v="0"/>
    <n v="2208.6999999999998"/>
    <n v="4211"/>
  </r>
  <r>
    <x v="0"/>
    <x v="3"/>
    <x v="3"/>
    <x v="192"/>
    <x v="165"/>
    <x v="165"/>
    <s v="REVENUS"/>
    <x v="2"/>
    <s v="4001.007"/>
    <s v="Acompte impôt sur revenu"/>
    <n v="0"/>
    <n v="-176213.26"/>
    <n v="4001"/>
  </r>
  <r>
    <x v="0"/>
    <x v="3"/>
    <x v="3"/>
    <x v="192"/>
    <x v="165"/>
    <x v="165"/>
    <s v="REVENUS"/>
    <x v="3"/>
    <s v="4002.007"/>
    <s v="Acompte impôt sur fortune"/>
    <n v="0"/>
    <n v="-32072.97"/>
    <n v="4002"/>
  </r>
  <r>
    <x v="0"/>
    <x v="3"/>
    <x v="3"/>
    <x v="192"/>
    <x v="165"/>
    <x v="165"/>
    <s v="REVENUS"/>
    <x v="2"/>
    <s v="4001.001"/>
    <s v="Impôt revenu"/>
    <n v="0"/>
    <n v="666982.05000000005"/>
    <n v="4001"/>
  </r>
  <r>
    <x v="0"/>
    <x v="3"/>
    <x v="3"/>
    <x v="192"/>
    <x v="165"/>
    <x v="165"/>
    <s v="REVENUS"/>
    <x v="2"/>
    <s v="4001.007"/>
    <s v="Acompte impôt sur revenu"/>
    <n v="0"/>
    <n v="84697.33"/>
    <n v="4001"/>
  </r>
  <r>
    <x v="0"/>
    <x v="3"/>
    <x v="3"/>
    <x v="192"/>
    <x v="165"/>
    <x v="165"/>
    <s v="REVENUS"/>
    <x v="3"/>
    <s v="4002.007"/>
    <s v="Acompte impôt sur fortune"/>
    <n v="0"/>
    <n v="14790.17"/>
    <n v="4002"/>
  </r>
  <r>
    <x v="0"/>
    <x v="3"/>
    <x v="3"/>
    <x v="192"/>
    <x v="165"/>
    <x v="165"/>
    <s v="REVENUS"/>
    <x v="7"/>
    <s v="4184.000"/>
    <s v="Frais de poursuite"/>
    <n v="0"/>
    <n v="659.06"/>
    <n v="4184"/>
  </r>
  <r>
    <x v="0"/>
    <x v="3"/>
    <x v="3"/>
    <x v="192"/>
    <x v="165"/>
    <x v="165"/>
    <s v="REVENUS"/>
    <x v="6"/>
    <s v="4221.003"/>
    <s v="Intérêts compensat. / acomptes en faveur du fisc"/>
    <n v="0"/>
    <n v="163.61000000000001"/>
    <n v="4221"/>
  </r>
  <r>
    <x v="0"/>
    <x v="3"/>
    <x v="3"/>
    <x v="192"/>
    <x v="165"/>
    <x v="165"/>
    <s v="REVENUS"/>
    <x v="3"/>
    <s v="4002.001"/>
    <s v="Impôt ordinaire s/fortune PP"/>
    <n v="0"/>
    <n v="87940.45"/>
    <n v="4002"/>
  </r>
  <r>
    <x v="0"/>
    <x v="3"/>
    <x v="3"/>
    <x v="192"/>
    <x v="165"/>
    <x v="165"/>
    <s v="REVENUS"/>
    <x v="6"/>
    <s v="4211.002"/>
    <s v="Intérêts de retard sur acomptes"/>
    <n v="0"/>
    <n v="4500.5"/>
    <n v="4211"/>
  </r>
  <r>
    <x v="0"/>
    <x v="3"/>
    <x v="3"/>
    <x v="192"/>
    <x v="165"/>
    <x v="165"/>
    <s v="REVENUS"/>
    <x v="2"/>
    <s v="4001.007"/>
    <s v="Acompte impôt sur revenu"/>
    <n v="0"/>
    <n v="160.44999999999999"/>
    <n v="4001"/>
  </r>
  <r>
    <x v="0"/>
    <x v="3"/>
    <x v="3"/>
    <x v="192"/>
    <x v="165"/>
    <x v="165"/>
    <s v="REVENUS"/>
    <x v="3"/>
    <s v="4002.007"/>
    <s v="Acompte impôt sur fortune"/>
    <n v="0"/>
    <n v="265.7"/>
    <n v="4002"/>
  </r>
  <r>
    <x v="0"/>
    <x v="3"/>
    <x v="3"/>
    <x v="192"/>
    <x v="165"/>
    <x v="165"/>
    <s v="REVENUS"/>
    <x v="2"/>
    <s v="4001.002"/>
    <s v="Impôt complément s/revenu PP"/>
    <n v="0"/>
    <n v="70669.45"/>
    <n v="4001"/>
  </r>
  <r>
    <x v="0"/>
    <x v="3"/>
    <x v="3"/>
    <x v="192"/>
    <x v="165"/>
    <x v="165"/>
    <s v="REVENUS"/>
    <x v="3"/>
    <s v="4002.001"/>
    <s v="Impôt ordinaire s/fortune PP"/>
    <n v="0"/>
    <n v="-76.599999999999994"/>
    <n v="4002"/>
  </r>
  <r>
    <x v="0"/>
    <x v="3"/>
    <x v="3"/>
    <x v="192"/>
    <x v="165"/>
    <x v="165"/>
    <s v="REVENUS"/>
    <x v="3"/>
    <s v="4002.002"/>
    <s v="Impôt complémentaire s/fortune PP"/>
    <n v="0"/>
    <n v="20.45"/>
    <n v="4002"/>
  </r>
  <r>
    <x v="0"/>
    <x v="3"/>
    <x v="3"/>
    <x v="192"/>
    <x v="165"/>
    <x v="165"/>
    <s v="REVENUS"/>
    <x v="2"/>
    <s v="4001.001"/>
    <s v="Impôt revenu"/>
    <n v="0"/>
    <n v="327.55"/>
    <n v="4001"/>
  </r>
  <r>
    <x v="0"/>
    <x v="3"/>
    <x v="3"/>
    <x v="192"/>
    <x v="165"/>
    <x v="165"/>
    <s v="REVENUS"/>
    <x v="2"/>
    <s v="4001.002"/>
    <s v="Impôt complément s/revenu PP"/>
    <n v="0"/>
    <n v="50.35"/>
    <n v="4001"/>
  </r>
  <r>
    <x v="0"/>
    <x v="3"/>
    <x v="3"/>
    <x v="192"/>
    <x v="165"/>
    <x v="165"/>
    <s v="REVENUS"/>
    <x v="6"/>
    <s v="4211.002"/>
    <s v="Intérêts de retard sur acomptes"/>
    <n v="0"/>
    <n v="-5.95"/>
    <n v="4211"/>
  </r>
  <r>
    <x v="0"/>
    <x v="3"/>
    <x v="3"/>
    <x v="192"/>
    <x v="165"/>
    <x v="165"/>
    <s v="REVENUS"/>
    <x v="3"/>
    <s v="4002.007"/>
    <s v="Acompte impôt sur fortune"/>
    <n v="0"/>
    <n v="-877.9"/>
    <n v="4002"/>
  </r>
  <r>
    <x v="0"/>
    <x v="3"/>
    <x v="3"/>
    <x v="192"/>
    <x v="165"/>
    <x v="165"/>
    <s v="REVENUS"/>
    <x v="2"/>
    <s v="4001.001"/>
    <s v="Impôt revenu"/>
    <n v="0"/>
    <n v="2336.85"/>
    <n v="4001"/>
  </r>
  <r>
    <x v="0"/>
    <x v="3"/>
    <x v="3"/>
    <x v="192"/>
    <x v="165"/>
    <x v="165"/>
    <s v="REVENUS"/>
    <x v="2"/>
    <s v="4001.007"/>
    <s v="Acompte impôt sur revenu"/>
    <n v="0"/>
    <n v="-1252.45"/>
    <n v="4001"/>
  </r>
  <r>
    <x v="0"/>
    <x v="3"/>
    <x v="3"/>
    <x v="192"/>
    <x v="165"/>
    <x v="165"/>
    <s v="REVENUS"/>
    <x v="3"/>
    <s v="4002.001"/>
    <s v="Impôt ordinaire s/fortune PP"/>
    <n v="0"/>
    <n v="2145.6999999999998"/>
    <n v="4002"/>
  </r>
  <r>
    <x v="0"/>
    <x v="3"/>
    <x v="3"/>
    <x v="192"/>
    <x v="165"/>
    <x v="165"/>
    <s v="REVENUS"/>
    <x v="6"/>
    <s v="4221.003"/>
    <s v="Intérêts compensat. / acomptes en faveur du fisc"/>
    <n v="0"/>
    <n v="0.62"/>
    <n v="4221"/>
  </r>
  <r>
    <x v="0"/>
    <x v="3"/>
    <x v="3"/>
    <x v="192"/>
    <x v="165"/>
    <x v="165"/>
    <s v="REVENUS"/>
    <x v="3"/>
    <s v="4002.007"/>
    <s v="Acompte impôt sur fortune"/>
    <n v="0"/>
    <n v="-61.4"/>
    <n v="4002"/>
  </r>
  <r>
    <x v="0"/>
    <x v="3"/>
    <x v="3"/>
    <x v="192"/>
    <x v="165"/>
    <x v="165"/>
    <s v="REVENUS"/>
    <x v="2"/>
    <s v="4001.007"/>
    <s v="Acompte impôt sur revenu"/>
    <n v="0"/>
    <n v="-1308.75"/>
    <n v="4001"/>
  </r>
  <r>
    <x v="0"/>
    <x v="3"/>
    <x v="3"/>
    <x v="192"/>
    <x v="165"/>
    <x v="165"/>
    <s v="REVENUS"/>
    <x v="3"/>
    <s v="4002.002"/>
    <s v="Impôt complémentaire s/fortune PP"/>
    <n v="0"/>
    <n v="16535.25"/>
    <n v="4002"/>
  </r>
  <r>
    <x v="0"/>
    <x v="3"/>
    <x v="3"/>
    <x v="192"/>
    <x v="165"/>
    <x v="165"/>
    <s v="REVENUS"/>
    <x v="2"/>
    <s v="4001.003"/>
    <s v="Impôt s/prest. cap. PP"/>
    <n v="0"/>
    <n v="15051.1"/>
    <n v="4001"/>
  </r>
  <r>
    <x v="0"/>
    <x v="3"/>
    <x v="3"/>
    <x v="192"/>
    <x v="165"/>
    <x v="165"/>
    <s v="REVENUS"/>
    <x v="10"/>
    <s v="4041.001"/>
    <s v="Droits de mutation"/>
    <n v="0"/>
    <n v="8946.2999999999993"/>
    <n v="4041"/>
  </r>
  <r>
    <x v="0"/>
    <x v="3"/>
    <x v="3"/>
    <x v="192"/>
    <x v="165"/>
    <x v="165"/>
    <s v="REVENUS"/>
    <x v="6"/>
    <s v="4221.002"/>
    <s v="Intérêts compensat. sur impôts distincts"/>
    <n v="0"/>
    <n v="3.65"/>
    <n v="4221"/>
  </r>
  <r>
    <x v="0"/>
    <x v="3"/>
    <x v="3"/>
    <x v="192"/>
    <x v="165"/>
    <x v="165"/>
    <s v="REVENUS"/>
    <x v="2"/>
    <s v="4001.001"/>
    <s v="Impôt revenu"/>
    <n v="0"/>
    <n v="529.79999999999995"/>
    <n v="4001"/>
  </r>
  <r>
    <x v="0"/>
    <x v="3"/>
    <x v="3"/>
    <x v="192"/>
    <x v="165"/>
    <x v="165"/>
    <s v="REVENUS"/>
    <x v="3"/>
    <s v="4002.001"/>
    <s v="Impôt ordinaire s/fortune PP"/>
    <n v="0"/>
    <n v="225.05"/>
    <n v="4002"/>
  </r>
  <r>
    <x v="0"/>
    <x v="3"/>
    <x v="3"/>
    <x v="192"/>
    <x v="165"/>
    <x v="165"/>
    <s v="REVENUS"/>
    <x v="6"/>
    <s v="4211.002"/>
    <s v="Intérêts de retard sur acomptes"/>
    <n v="0"/>
    <n v="0.94"/>
    <n v="4211"/>
  </r>
  <r>
    <x v="0"/>
    <x v="3"/>
    <x v="3"/>
    <x v="192"/>
    <x v="165"/>
    <x v="165"/>
    <s v="REVENUS"/>
    <x v="2"/>
    <s v="4001.007"/>
    <s v="Acompte impôt sur revenu"/>
    <n v="0"/>
    <n v="-1.2"/>
    <n v="4001"/>
  </r>
  <r>
    <x v="0"/>
    <x v="3"/>
    <x v="3"/>
    <x v="192"/>
    <x v="165"/>
    <x v="165"/>
    <s v="REVENUS"/>
    <x v="3"/>
    <s v="4002.001"/>
    <s v="Impôt ordinaire s/fortune PP"/>
    <n v="0"/>
    <n v="31.65"/>
    <n v="4002"/>
  </r>
  <r>
    <x v="0"/>
    <x v="3"/>
    <x v="3"/>
    <x v="192"/>
    <x v="165"/>
    <x v="165"/>
    <s v="REVENUS"/>
    <x v="3"/>
    <s v="4002.007"/>
    <s v="Acompte impôt sur fortune"/>
    <n v="0"/>
    <n v="-26.85"/>
    <n v="4002"/>
  </r>
  <r>
    <x v="0"/>
    <x v="3"/>
    <x v="3"/>
    <x v="192"/>
    <x v="165"/>
    <x v="165"/>
    <s v="REVENUS"/>
    <x v="6"/>
    <s v="4211.001"/>
    <s v="Intérêts de retard sur factures"/>
    <n v="0"/>
    <n v="0.97"/>
    <n v="4211"/>
  </r>
  <r>
    <x v="0"/>
    <x v="3"/>
    <x v="3"/>
    <x v="192"/>
    <x v="165"/>
    <x v="165"/>
    <s v="REVENUS"/>
    <x v="4"/>
    <s v="4051.001"/>
    <s v="Impôt sur les successions"/>
    <n v="0"/>
    <n v="5892.3"/>
    <n v="4051"/>
  </r>
  <r>
    <x v="0"/>
    <x v="3"/>
    <x v="3"/>
    <x v="192"/>
    <x v="165"/>
    <x v="165"/>
    <s v="REVENUS"/>
    <x v="5"/>
    <s v="4061.000"/>
    <s v="Impôt sur les chiens"/>
    <n v="0"/>
    <n v="1325"/>
    <n v="4061"/>
  </r>
  <r>
    <x v="0"/>
    <x v="3"/>
    <x v="3"/>
    <x v="192"/>
    <x v="165"/>
    <x v="165"/>
    <s v="REVENUS"/>
    <x v="6"/>
    <s v="4221.003"/>
    <s v="Intérêts compensat. / acomptes en faveur du fisc"/>
    <n v="0"/>
    <n v="0.03"/>
    <n v="4221"/>
  </r>
  <r>
    <x v="0"/>
    <x v="3"/>
    <x v="3"/>
    <x v="192"/>
    <x v="165"/>
    <x v="165"/>
    <s v="REVENUS"/>
    <x v="2"/>
    <s v="4001.001"/>
    <s v="Impôt revenu"/>
    <n v="0"/>
    <n v="102.6"/>
    <n v="4001"/>
  </r>
  <r>
    <x v="0"/>
    <x v="3"/>
    <x v="3"/>
    <x v="192"/>
    <x v="165"/>
    <x v="165"/>
    <s v="REVENUS"/>
    <x v="6"/>
    <s v="4221.003"/>
    <s v="Intérêts compensat. / acomptes en faveur du fisc"/>
    <n v="0"/>
    <n v="0.02"/>
    <n v="4221"/>
  </r>
  <r>
    <x v="0"/>
    <x v="3"/>
    <x v="3"/>
    <x v="192"/>
    <x v="165"/>
    <x v="165"/>
    <s v="REVENUS"/>
    <x v="2"/>
    <s v="4001.001"/>
    <s v="Impôt revenu"/>
    <n v="0"/>
    <n v="-12016.5"/>
    <n v="4001"/>
  </r>
  <r>
    <x v="0"/>
    <x v="3"/>
    <x v="3"/>
    <x v="192"/>
    <x v="165"/>
    <x v="165"/>
    <s v="REVENUS"/>
    <x v="3"/>
    <s v="4002.001"/>
    <s v="Impôt ordinaire s/fortune PP"/>
    <n v="0"/>
    <n v="-3607.45"/>
    <n v="4002"/>
  </r>
  <r>
    <x v="0"/>
    <x v="3"/>
    <x v="3"/>
    <x v="192"/>
    <x v="165"/>
    <x v="165"/>
    <s v="REVENUS"/>
    <x v="9"/>
    <s v="4031.001"/>
    <s v="Impôt sur les gains immobiliers"/>
    <n v="0"/>
    <n v="4401.95"/>
    <n v="4031"/>
  </r>
  <r>
    <x v="0"/>
    <x v="3"/>
    <x v="3"/>
    <x v="193"/>
    <x v="166"/>
    <x v="166"/>
    <s v="CHARGES"/>
    <x v="0"/>
    <s v="3212.004"/>
    <s v="Intérêts rémun./perçu trop tôt sur acomptes C/C"/>
    <n v="50.01"/>
    <n v="0"/>
    <n v="3212"/>
  </r>
  <r>
    <x v="0"/>
    <x v="3"/>
    <x v="3"/>
    <x v="193"/>
    <x v="166"/>
    <x v="166"/>
    <s v="CHARGES"/>
    <x v="1"/>
    <s v="3301.001"/>
    <s v="Défalcations, abandons de solde PP et IS"/>
    <n v="999.17"/>
    <n v="0"/>
    <n v="3301"/>
  </r>
  <r>
    <x v="0"/>
    <x v="3"/>
    <x v="3"/>
    <x v="193"/>
    <x v="166"/>
    <x v="166"/>
    <s v="CHARGES"/>
    <x v="0"/>
    <s v="3221.002"/>
    <s v="Intérêts compensatoires / créances en faveur ctb."/>
    <n v="5.17"/>
    <n v="0"/>
    <n v="3221"/>
  </r>
  <r>
    <x v="0"/>
    <x v="3"/>
    <x v="3"/>
    <x v="193"/>
    <x v="166"/>
    <x v="166"/>
    <s v="CHARGES"/>
    <x v="0"/>
    <s v="3212.004"/>
    <s v="Intérêts rémun./perçu trop tôt sur acomptes C/C"/>
    <n v="0.09"/>
    <n v="0"/>
    <n v="3212"/>
  </r>
  <r>
    <x v="0"/>
    <x v="3"/>
    <x v="3"/>
    <x v="193"/>
    <x v="166"/>
    <x v="166"/>
    <s v="CHARGES"/>
    <x v="0"/>
    <s v="3212.004"/>
    <s v="Intérêts rémun./perçu trop tôt sur acomptes C/C"/>
    <n v="0.28000000000000003"/>
    <n v="0"/>
    <n v="3212"/>
  </r>
  <r>
    <x v="0"/>
    <x v="3"/>
    <x v="3"/>
    <x v="193"/>
    <x v="166"/>
    <x v="166"/>
    <s v="CHARGES"/>
    <x v="0"/>
    <s v="3221.002"/>
    <s v="Intérêts compensatoires / créances en faveur ctb."/>
    <n v="0.03"/>
    <n v="0"/>
    <n v="3221"/>
  </r>
  <r>
    <x v="0"/>
    <x v="3"/>
    <x v="3"/>
    <x v="193"/>
    <x v="166"/>
    <x v="166"/>
    <s v="CHARGES"/>
    <x v="1"/>
    <s v="3301.001"/>
    <s v="Défalcations, abandons de solde PP et IS"/>
    <n v="0.01"/>
    <n v="0"/>
    <n v="3301"/>
  </r>
  <r>
    <x v="0"/>
    <x v="3"/>
    <x v="3"/>
    <x v="193"/>
    <x v="166"/>
    <x v="166"/>
    <s v="CHARGES"/>
    <x v="0"/>
    <s v="3221.002"/>
    <s v="Intérêts compensatoires / créances en faveur ctb."/>
    <n v="0.23"/>
    <n v="0"/>
    <n v="3221"/>
  </r>
  <r>
    <x v="0"/>
    <x v="3"/>
    <x v="3"/>
    <x v="193"/>
    <x v="166"/>
    <x v="166"/>
    <s v="REVENUS"/>
    <x v="2"/>
    <s v="4001.007"/>
    <s v="Acompte impôt sur revenu"/>
    <n v="0"/>
    <n v="32551.62"/>
    <n v="4001"/>
  </r>
  <r>
    <x v="0"/>
    <x v="3"/>
    <x v="3"/>
    <x v="193"/>
    <x v="166"/>
    <x v="166"/>
    <s v="REVENUS"/>
    <x v="10"/>
    <s v="4041.001"/>
    <s v="Droits de mutation"/>
    <n v="0"/>
    <n v="950.4"/>
    <n v="4041"/>
  </r>
  <r>
    <x v="0"/>
    <x v="3"/>
    <x v="3"/>
    <x v="193"/>
    <x v="166"/>
    <x v="166"/>
    <s v="REVENUS"/>
    <x v="3"/>
    <s v="4002.007"/>
    <s v="Acompte impôt sur fortune"/>
    <n v="0"/>
    <n v="12992.86"/>
    <n v="4002"/>
  </r>
  <r>
    <x v="0"/>
    <x v="3"/>
    <x v="3"/>
    <x v="193"/>
    <x v="166"/>
    <x v="166"/>
    <s v="REVENUS"/>
    <x v="3"/>
    <s v="4002.007"/>
    <s v="Acompte impôt sur fortune"/>
    <n v="0"/>
    <n v="50.6"/>
    <n v="4002"/>
  </r>
  <r>
    <x v="0"/>
    <x v="3"/>
    <x v="3"/>
    <x v="193"/>
    <x v="166"/>
    <x v="166"/>
    <s v="REVENUS"/>
    <x v="3"/>
    <s v="4002.007"/>
    <s v="Acompte impôt sur fortune"/>
    <n v="0"/>
    <n v="0"/>
    <n v="4002"/>
  </r>
  <r>
    <x v="0"/>
    <x v="3"/>
    <x v="3"/>
    <x v="193"/>
    <x v="166"/>
    <x v="166"/>
    <s v="REVENUS"/>
    <x v="2"/>
    <s v="4001.007"/>
    <s v="Acompte impôt sur revenu"/>
    <n v="0"/>
    <n v="-17.399999999999999"/>
    <n v="4001"/>
  </r>
  <r>
    <x v="0"/>
    <x v="3"/>
    <x v="3"/>
    <x v="193"/>
    <x v="166"/>
    <x v="166"/>
    <s v="REVENUS"/>
    <x v="2"/>
    <s v="4001.007"/>
    <s v="Acompte impôt sur revenu"/>
    <n v="0"/>
    <n v="0"/>
    <n v="4001"/>
  </r>
  <r>
    <x v="0"/>
    <x v="3"/>
    <x v="3"/>
    <x v="193"/>
    <x v="166"/>
    <x v="166"/>
    <s v="REVENUS"/>
    <x v="2"/>
    <s v="4001.001"/>
    <s v="Impôt revenu"/>
    <n v="0"/>
    <n v="147580.75"/>
    <n v="4001"/>
  </r>
  <r>
    <x v="0"/>
    <x v="3"/>
    <x v="3"/>
    <x v="193"/>
    <x v="166"/>
    <x v="166"/>
    <s v="REVENUS"/>
    <x v="3"/>
    <s v="4002.001"/>
    <s v="Impôt ordinaire s/fortune PP"/>
    <n v="0"/>
    <n v="25835.3"/>
    <n v="4002"/>
  </r>
  <r>
    <x v="0"/>
    <x v="3"/>
    <x v="3"/>
    <x v="193"/>
    <x v="166"/>
    <x v="166"/>
    <s v="REVENUS"/>
    <x v="2"/>
    <s v="4001.003"/>
    <s v="Impôt s/prest. cap. PP"/>
    <n v="0"/>
    <n v="1053.5"/>
    <n v="4001"/>
  </r>
  <r>
    <x v="0"/>
    <x v="3"/>
    <x v="3"/>
    <x v="193"/>
    <x v="166"/>
    <x v="166"/>
    <s v="REVENUS"/>
    <x v="6"/>
    <s v="4221.002"/>
    <s v="Intérêts compensat. sur impôts distincts"/>
    <n v="0"/>
    <n v="7.0000000000000007E-2"/>
    <n v="4221"/>
  </r>
  <r>
    <x v="0"/>
    <x v="3"/>
    <x v="3"/>
    <x v="193"/>
    <x v="166"/>
    <x v="166"/>
    <s v="REVENUS"/>
    <x v="6"/>
    <s v="4221.003"/>
    <s v="Intérêts compensat. / acomptes en faveur du fisc"/>
    <n v="0"/>
    <n v="10.119999999999999"/>
    <n v="4221"/>
  </r>
  <r>
    <x v="0"/>
    <x v="3"/>
    <x v="3"/>
    <x v="193"/>
    <x v="166"/>
    <x v="166"/>
    <s v="REVENUS"/>
    <x v="6"/>
    <s v="4211.002"/>
    <s v="Intérêts de retard sur acomptes"/>
    <n v="0"/>
    <n v="500.12"/>
    <n v="4211"/>
  </r>
  <r>
    <x v="0"/>
    <x v="3"/>
    <x v="3"/>
    <x v="193"/>
    <x v="166"/>
    <x v="166"/>
    <s v="REVENUS"/>
    <x v="2"/>
    <s v="4001.001"/>
    <s v="Impôt revenu"/>
    <n v="0"/>
    <n v="909.05"/>
    <n v="4001"/>
  </r>
  <r>
    <x v="0"/>
    <x v="3"/>
    <x v="3"/>
    <x v="193"/>
    <x v="166"/>
    <x v="166"/>
    <s v="REVENUS"/>
    <x v="3"/>
    <s v="4002.001"/>
    <s v="Impôt ordinaire s/fortune PP"/>
    <n v="0"/>
    <n v="836.1"/>
    <n v="4002"/>
  </r>
  <r>
    <x v="0"/>
    <x v="3"/>
    <x v="3"/>
    <x v="193"/>
    <x v="166"/>
    <x v="166"/>
    <s v="REVENUS"/>
    <x v="6"/>
    <s v="4211.001"/>
    <s v="Intérêts de retard sur factures"/>
    <n v="0"/>
    <n v="20.74"/>
    <n v="4211"/>
  </r>
  <r>
    <x v="0"/>
    <x v="3"/>
    <x v="3"/>
    <x v="193"/>
    <x v="166"/>
    <x v="166"/>
    <s v="REVENUS"/>
    <x v="2"/>
    <s v="4001.002"/>
    <s v="Impôt complément s/revenu PP"/>
    <n v="0"/>
    <n v="9084.2000000000007"/>
    <n v="4001"/>
  </r>
  <r>
    <x v="0"/>
    <x v="3"/>
    <x v="3"/>
    <x v="193"/>
    <x v="166"/>
    <x v="166"/>
    <s v="REVENUS"/>
    <x v="2"/>
    <s v="4001.001"/>
    <s v="Impôt revenu"/>
    <n v="0"/>
    <n v="146.1"/>
    <n v="4001"/>
  </r>
  <r>
    <x v="0"/>
    <x v="3"/>
    <x v="3"/>
    <x v="193"/>
    <x v="166"/>
    <x v="166"/>
    <s v="REVENUS"/>
    <x v="3"/>
    <s v="4002.001"/>
    <s v="Impôt ordinaire s/fortune PP"/>
    <n v="0"/>
    <n v="339.9"/>
    <n v="4002"/>
  </r>
  <r>
    <x v="0"/>
    <x v="3"/>
    <x v="3"/>
    <x v="193"/>
    <x v="166"/>
    <x v="166"/>
    <s v="REVENUS"/>
    <x v="5"/>
    <s v="4061.000"/>
    <s v="Impôt sur les chiens"/>
    <n v="0"/>
    <n v="360"/>
    <n v="4061"/>
  </r>
  <r>
    <x v="0"/>
    <x v="3"/>
    <x v="3"/>
    <x v="193"/>
    <x v="166"/>
    <x v="166"/>
    <s v="REVENUS"/>
    <x v="6"/>
    <s v="4221.003"/>
    <s v="Intérêts compensat. / acomptes en faveur du fisc"/>
    <n v="0"/>
    <n v="0.01"/>
    <n v="4221"/>
  </r>
  <r>
    <x v="0"/>
    <x v="3"/>
    <x v="3"/>
    <x v="193"/>
    <x v="166"/>
    <x v="166"/>
    <s v="REVENUS"/>
    <x v="3"/>
    <s v="4002.002"/>
    <s v="Impôt complémentaire s/fortune PP"/>
    <n v="0"/>
    <n v="183.6"/>
    <n v="4002"/>
  </r>
  <r>
    <x v="0"/>
    <x v="3"/>
    <x v="3"/>
    <x v="193"/>
    <x v="166"/>
    <x v="166"/>
    <s v="REVENUS"/>
    <x v="7"/>
    <s v="4184.000"/>
    <s v="Frais de poursuite"/>
    <n v="0"/>
    <n v="73.900000000000006"/>
    <n v="4184"/>
  </r>
  <r>
    <x v="0"/>
    <x v="3"/>
    <x v="3"/>
    <x v="194"/>
    <x v="159"/>
    <x v="159"/>
    <s v="CHARGES"/>
    <x v="1"/>
    <s v="3301.001"/>
    <s v="Défalcations, abandons de solde PP et IS"/>
    <n v="2.87"/>
    <n v="0"/>
    <n v="3301"/>
  </r>
  <r>
    <x v="0"/>
    <x v="3"/>
    <x v="3"/>
    <x v="194"/>
    <x v="159"/>
    <x v="159"/>
    <s v="CHARGES"/>
    <x v="0"/>
    <s v="3212.004"/>
    <s v="Intérêts rémun./perçu trop tôt sur acomptes C/C"/>
    <n v="883.53"/>
    <n v="0"/>
    <n v="3212"/>
  </r>
  <r>
    <x v="0"/>
    <x v="3"/>
    <x v="3"/>
    <x v="194"/>
    <x v="159"/>
    <x v="159"/>
    <s v="CHARGES"/>
    <x v="0"/>
    <s v="3221.002"/>
    <s v="Intérêts compensatoires / créances en faveur ctb."/>
    <n v="387.73"/>
    <n v="0"/>
    <n v="3221"/>
  </r>
  <r>
    <x v="0"/>
    <x v="3"/>
    <x v="3"/>
    <x v="194"/>
    <x v="159"/>
    <x v="159"/>
    <s v="CHARGES"/>
    <x v="1"/>
    <s v="3301.001"/>
    <s v="Défalcations, abandons de solde PP et IS"/>
    <n v="107261.24"/>
    <n v="0"/>
    <n v="3301"/>
  </r>
  <r>
    <x v="0"/>
    <x v="3"/>
    <x v="3"/>
    <x v="194"/>
    <x v="159"/>
    <x v="159"/>
    <s v="CHARGES"/>
    <x v="0"/>
    <s v="3212.004"/>
    <s v="Intérêts rémun./perçu trop tôt sur acomptes C/C"/>
    <n v="42.49"/>
    <n v="0"/>
    <n v="3212"/>
  </r>
  <r>
    <x v="0"/>
    <x v="3"/>
    <x v="3"/>
    <x v="194"/>
    <x v="159"/>
    <x v="159"/>
    <s v="CHARGES"/>
    <x v="0"/>
    <s v="3221.002"/>
    <s v="Intérêts compensatoires / créances en faveur ctb."/>
    <n v="12.81"/>
    <n v="0"/>
    <n v="3221"/>
  </r>
  <r>
    <x v="0"/>
    <x v="3"/>
    <x v="3"/>
    <x v="194"/>
    <x v="159"/>
    <x v="159"/>
    <s v="CHARGES"/>
    <x v="1"/>
    <s v="3301.001"/>
    <s v="Défalcations, abandons de solde PP et IS"/>
    <n v="2.75"/>
    <n v="0"/>
    <n v="3301"/>
  </r>
  <r>
    <x v="0"/>
    <x v="3"/>
    <x v="3"/>
    <x v="194"/>
    <x v="159"/>
    <x v="159"/>
    <s v="CHARGES"/>
    <x v="1"/>
    <s v="3301.001"/>
    <s v="Défalcations, abandons de solde PP et IS"/>
    <n v="4.8899999999999997"/>
    <n v="0"/>
    <n v="3301"/>
  </r>
  <r>
    <x v="0"/>
    <x v="3"/>
    <x v="3"/>
    <x v="194"/>
    <x v="159"/>
    <x v="159"/>
    <s v="CHARGES"/>
    <x v="0"/>
    <s v="3212.002"/>
    <s v="Intérêts bonifiés/trop perçu acompte C/C"/>
    <n v="0.42"/>
    <n v="0"/>
    <n v="3212"/>
  </r>
  <r>
    <x v="0"/>
    <x v="3"/>
    <x v="3"/>
    <x v="194"/>
    <x v="159"/>
    <x v="159"/>
    <s v="CHARGES"/>
    <x v="0"/>
    <s v="3212.004"/>
    <s v="Intérêts rémun./perçu trop tôt sur acomptes C/C"/>
    <n v="12.65"/>
    <n v="0"/>
    <n v="3212"/>
  </r>
  <r>
    <x v="0"/>
    <x v="3"/>
    <x v="3"/>
    <x v="194"/>
    <x v="159"/>
    <x v="159"/>
    <s v="CHARGES"/>
    <x v="0"/>
    <s v="3221.002"/>
    <s v="Intérêts compensatoires / créances en faveur ctb."/>
    <n v="2.21"/>
    <n v="0"/>
    <n v="3221"/>
  </r>
  <r>
    <x v="0"/>
    <x v="3"/>
    <x v="3"/>
    <x v="194"/>
    <x v="159"/>
    <x v="159"/>
    <s v="CHARGES"/>
    <x v="0"/>
    <s v="3212.002"/>
    <s v="Intérêts bonifiés/trop perçu acompte C/C"/>
    <n v="54.16"/>
    <n v="0"/>
    <n v="3212"/>
  </r>
  <r>
    <x v="0"/>
    <x v="3"/>
    <x v="3"/>
    <x v="194"/>
    <x v="159"/>
    <x v="159"/>
    <s v="CHARGES"/>
    <x v="1"/>
    <s v="3301.003"/>
    <s v="Remises PP et IS"/>
    <n v="14942.61"/>
    <n v="0"/>
    <n v="3301"/>
  </r>
  <r>
    <x v="0"/>
    <x v="3"/>
    <x v="3"/>
    <x v="194"/>
    <x v="159"/>
    <x v="159"/>
    <s v="CHARGES"/>
    <x v="0"/>
    <s v="3212.004"/>
    <s v="Intérêts rémun./perçu trop tôt sur acomptes C/C"/>
    <n v="0.12"/>
    <n v="0"/>
    <n v="3212"/>
  </r>
  <r>
    <x v="0"/>
    <x v="3"/>
    <x v="3"/>
    <x v="194"/>
    <x v="159"/>
    <x v="159"/>
    <s v="CHARGES"/>
    <x v="1"/>
    <s v="3301.001"/>
    <s v="Défalcations, abandons de solde PP et IS"/>
    <n v="0.33"/>
    <n v="0"/>
    <n v="3301"/>
  </r>
  <r>
    <x v="0"/>
    <x v="3"/>
    <x v="3"/>
    <x v="194"/>
    <x v="159"/>
    <x v="159"/>
    <s v="CHARGES"/>
    <x v="0"/>
    <s v="3212.004"/>
    <s v="Intérêts rémun./perçu trop tôt sur acomptes C/C"/>
    <n v="-8.07"/>
    <n v="0"/>
    <n v="3212"/>
  </r>
  <r>
    <x v="0"/>
    <x v="3"/>
    <x v="3"/>
    <x v="194"/>
    <x v="159"/>
    <x v="159"/>
    <s v="CHARGES"/>
    <x v="0"/>
    <s v="3221.002"/>
    <s v="Intérêts compensatoires / créances en faveur ctb."/>
    <n v="0.37"/>
    <n v="0"/>
    <n v="3221"/>
  </r>
  <r>
    <x v="0"/>
    <x v="3"/>
    <x v="3"/>
    <x v="194"/>
    <x v="159"/>
    <x v="159"/>
    <s v="CHARGES"/>
    <x v="1"/>
    <s v="3301.001"/>
    <s v="Défalcations, abandons de solde PP et IS"/>
    <n v="-1600.7"/>
    <n v="0"/>
    <n v="3301"/>
  </r>
  <r>
    <x v="0"/>
    <x v="3"/>
    <x v="3"/>
    <x v="194"/>
    <x v="159"/>
    <x v="159"/>
    <s v="CHARGES"/>
    <x v="0"/>
    <s v="3212.004"/>
    <s v="Intérêts rémun./perçu trop tôt sur acomptes C/C"/>
    <n v="4.97"/>
    <n v="0"/>
    <n v="3212"/>
  </r>
  <r>
    <x v="0"/>
    <x v="3"/>
    <x v="3"/>
    <x v="194"/>
    <x v="159"/>
    <x v="159"/>
    <s v="CHARGES"/>
    <x v="0"/>
    <s v="3221.002"/>
    <s v="Intérêts compensatoires / créances en faveur ctb."/>
    <n v="5.79"/>
    <n v="0"/>
    <n v="3221"/>
  </r>
  <r>
    <x v="0"/>
    <x v="3"/>
    <x v="3"/>
    <x v="194"/>
    <x v="159"/>
    <x v="159"/>
    <s v="CHARGES"/>
    <x v="0"/>
    <s v="3221.002"/>
    <s v="Intérêts compensatoires / créances en faveur ctb."/>
    <n v="0"/>
    <n v="0"/>
    <n v="3221"/>
  </r>
  <r>
    <x v="0"/>
    <x v="3"/>
    <x v="3"/>
    <x v="194"/>
    <x v="159"/>
    <x v="159"/>
    <s v="CHARGES"/>
    <x v="0"/>
    <s v="3212.002"/>
    <s v="Intérêts bonifiés/trop perçu acompte C/C"/>
    <n v="0.97"/>
    <n v="0"/>
    <n v="3212"/>
  </r>
  <r>
    <x v="0"/>
    <x v="3"/>
    <x v="3"/>
    <x v="194"/>
    <x v="159"/>
    <x v="159"/>
    <s v="CHARGES"/>
    <x v="0"/>
    <s v="3212.004"/>
    <s v="Intérêts rémun./perçu trop tôt sur acomptes C/C"/>
    <n v="6.73"/>
    <n v="0"/>
    <n v="3212"/>
  </r>
  <r>
    <x v="0"/>
    <x v="3"/>
    <x v="3"/>
    <x v="194"/>
    <x v="159"/>
    <x v="159"/>
    <s v="CHARGES"/>
    <x v="1"/>
    <s v="3301.001"/>
    <s v="Défalcations, abandons de solde PP et IS"/>
    <n v="0.09"/>
    <n v="0"/>
    <n v="3301"/>
  </r>
  <r>
    <x v="0"/>
    <x v="3"/>
    <x v="3"/>
    <x v="194"/>
    <x v="159"/>
    <x v="159"/>
    <s v="CHARGES"/>
    <x v="0"/>
    <s v="3221.002"/>
    <s v="Intérêts compensatoires / créances en faveur ctb."/>
    <n v="5.57"/>
    <n v="0"/>
    <n v="3221"/>
  </r>
  <r>
    <x v="0"/>
    <x v="3"/>
    <x v="3"/>
    <x v="194"/>
    <x v="159"/>
    <x v="159"/>
    <s v="CHARGES"/>
    <x v="0"/>
    <s v="3221.002"/>
    <s v="Intérêts compensatoires / créances en faveur ctb."/>
    <n v="-0.18"/>
    <n v="0"/>
    <n v="3221"/>
  </r>
  <r>
    <x v="0"/>
    <x v="3"/>
    <x v="3"/>
    <x v="194"/>
    <x v="159"/>
    <x v="159"/>
    <s v="CHARGES"/>
    <x v="0"/>
    <s v="3212.002"/>
    <s v="Intérêts bonifiés/trop perçu acompte C/C"/>
    <n v="0.03"/>
    <n v="0"/>
    <n v="3212"/>
  </r>
  <r>
    <x v="0"/>
    <x v="3"/>
    <x v="3"/>
    <x v="194"/>
    <x v="159"/>
    <x v="159"/>
    <s v="CHARGES"/>
    <x v="1"/>
    <s v="3301.001"/>
    <s v="Défalcations, abandons de solde PP et IS"/>
    <n v="18284.48"/>
    <n v="0"/>
    <n v="3301"/>
  </r>
  <r>
    <x v="0"/>
    <x v="3"/>
    <x v="3"/>
    <x v="194"/>
    <x v="159"/>
    <x v="159"/>
    <s v="CHARGES"/>
    <x v="0"/>
    <s v="3212.004"/>
    <s v="Intérêts rémun./perçu trop tôt sur acomptes C/C"/>
    <n v="0.21"/>
    <n v="0"/>
    <n v="3212"/>
  </r>
  <r>
    <x v="0"/>
    <x v="3"/>
    <x v="3"/>
    <x v="194"/>
    <x v="159"/>
    <x v="159"/>
    <s v="CHARGES"/>
    <x v="0"/>
    <s v="3221.002"/>
    <s v="Intérêts compensatoires / créances en faveur ctb."/>
    <n v="0.3"/>
    <n v="0"/>
    <n v="3221"/>
  </r>
  <r>
    <x v="0"/>
    <x v="3"/>
    <x v="3"/>
    <x v="194"/>
    <x v="159"/>
    <x v="159"/>
    <s v="REVENUS"/>
    <x v="2"/>
    <s v="4001.003"/>
    <s v="Impôt s/prest. cap. PP"/>
    <n v="0"/>
    <n v="40.200000000000003"/>
    <n v="4001"/>
  </r>
  <r>
    <x v="0"/>
    <x v="3"/>
    <x v="3"/>
    <x v="194"/>
    <x v="159"/>
    <x v="159"/>
    <s v="REVENUS"/>
    <x v="6"/>
    <s v="4211.001"/>
    <s v="Intérêts de retard sur factures"/>
    <n v="0"/>
    <n v="22.52"/>
    <n v="4211"/>
  </r>
  <r>
    <x v="0"/>
    <x v="3"/>
    <x v="3"/>
    <x v="194"/>
    <x v="159"/>
    <x v="159"/>
    <s v="REVENUS"/>
    <x v="6"/>
    <s v="4221.002"/>
    <s v="Intérêts compensat. sur impôts distincts"/>
    <n v="0"/>
    <n v="0.12"/>
    <n v="4221"/>
  </r>
  <r>
    <x v="0"/>
    <x v="3"/>
    <x v="3"/>
    <x v="194"/>
    <x v="159"/>
    <x v="159"/>
    <s v="REVENUS"/>
    <x v="2"/>
    <s v="4001.007"/>
    <s v="Acompte impôt sur revenu"/>
    <n v="0"/>
    <n v="-1106193.1000000001"/>
    <n v="4001"/>
  </r>
  <r>
    <x v="0"/>
    <x v="3"/>
    <x v="3"/>
    <x v="194"/>
    <x v="159"/>
    <x v="159"/>
    <s v="REVENUS"/>
    <x v="3"/>
    <s v="4002.007"/>
    <s v="Acompte impôt sur fortune"/>
    <n v="0"/>
    <n v="-198961.74"/>
    <n v="4002"/>
  </r>
  <r>
    <x v="0"/>
    <x v="3"/>
    <x v="3"/>
    <x v="194"/>
    <x v="159"/>
    <x v="159"/>
    <s v="REVENUS"/>
    <x v="2"/>
    <s v="4001.001"/>
    <s v="Impôt revenu"/>
    <n v="0"/>
    <n v="4516865"/>
    <n v="4001"/>
  </r>
  <r>
    <x v="0"/>
    <x v="3"/>
    <x v="3"/>
    <x v="194"/>
    <x v="159"/>
    <x v="159"/>
    <s v="REVENUS"/>
    <x v="2"/>
    <s v="4001.003"/>
    <s v="Impôt s/prest. cap. PP"/>
    <n v="0"/>
    <n v="115070.85"/>
    <n v="4001"/>
  </r>
  <r>
    <x v="0"/>
    <x v="3"/>
    <x v="3"/>
    <x v="194"/>
    <x v="159"/>
    <x v="159"/>
    <s v="REVENUS"/>
    <x v="2"/>
    <s v="4001.007"/>
    <s v="Acompte impôt sur revenu"/>
    <n v="0"/>
    <n v="538512.62"/>
    <n v="4001"/>
  </r>
  <r>
    <x v="0"/>
    <x v="3"/>
    <x v="3"/>
    <x v="194"/>
    <x v="159"/>
    <x v="159"/>
    <s v="REVENUS"/>
    <x v="3"/>
    <s v="4002.001"/>
    <s v="Impôt ordinaire s/fortune PP"/>
    <n v="0"/>
    <n v="513343.55"/>
    <n v="4002"/>
  </r>
  <r>
    <x v="0"/>
    <x v="3"/>
    <x v="3"/>
    <x v="194"/>
    <x v="159"/>
    <x v="159"/>
    <s v="REVENUS"/>
    <x v="3"/>
    <s v="4002.007"/>
    <s v="Acompte impôt sur fortune"/>
    <n v="0"/>
    <n v="83501.279999999999"/>
    <n v="4002"/>
  </r>
  <r>
    <x v="0"/>
    <x v="3"/>
    <x v="3"/>
    <x v="194"/>
    <x v="159"/>
    <x v="159"/>
    <s v="REVENUS"/>
    <x v="6"/>
    <s v="4211.001"/>
    <s v="Intérêts de retard sur factures"/>
    <n v="0"/>
    <n v="24385.16"/>
    <n v="4211"/>
  </r>
  <r>
    <x v="0"/>
    <x v="3"/>
    <x v="3"/>
    <x v="194"/>
    <x v="159"/>
    <x v="159"/>
    <s v="REVENUS"/>
    <x v="6"/>
    <s v="4221.003"/>
    <s v="Intérêts compensat. / acomptes en faveur du fisc"/>
    <n v="0"/>
    <n v="476.44"/>
    <n v="4221"/>
  </r>
  <r>
    <x v="0"/>
    <x v="3"/>
    <x v="3"/>
    <x v="194"/>
    <x v="159"/>
    <x v="159"/>
    <s v="REVENUS"/>
    <x v="7"/>
    <s v="4184.000"/>
    <s v="Frais de poursuite"/>
    <n v="0"/>
    <n v="13450.37"/>
    <n v="4184"/>
  </r>
  <r>
    <x v="0"/>
    <x v="3"/>
    <x v="3"/>
    <x v="194"/>
    <x v="159"/>
    <x v="159"/>
    <s v="REVENUS"/>
    <x v="6"/>
    <s v="4211.002"/>
    <s v="Intérêts de retard sur acomptes"/>
    <n v="0"/>
    <n v="36622.44"/>
    <n v="4211"/>
  </r>
  <r>
    <x v="0"/>
    <x v="3"/>
    <x v="3"/>
    <x v="194"/>
    <x v="159"/>
    <x v="159"/>
    <s v="REVENUS"/>
    <x v="2"/>
    <s v="4001.001"/>
    <s v="Impôt revenu"/>
    <n v="0"/>
    <n v="61837.9"/>
    <n v="4001"/>
  </r>
  <r>
    <x v="0"/>
    <x v="3"/>
    <x v="3"/>
    <x v="194"/>
    <x v="159"/>
    <x v="159"/>
    <s v="REVENUS"/>
    <x v="2"/>
    <s v="4001.007"/>
    <s v="Acompte impôt sur revenu"/>
    <n v="0"/>
    <n v="-28155.57"/>
    <n v="4001"/>
  </r>
  <r>
    <x v="0"/>
    <x v="3"/>
    <x v="3"/>
    <x v="194"/>
    <x v="159"/>
    <x v="159"/>
    <s v="REVENUS"/>
    <x v="3"/>
    <s v="4002.001"/>
    <s v="Impôt ordinaire s/fortune PP"/>
    <n v="0"/>
    <n v="21211.7"/>
    <n v="4002"/>
  </r>
  <r>
    <x v="0"/>
    <x v="3"/>
    <x v="3"/>
    <x v="194"/>
    <x v="159"/>
    <x v="159"/>
    <s v="REVENUS"/>
    <x v="3"/>
    <s v="4002.007"/>
    <s v="Acompte impôt sur fortune"/>
    <n v="0"/>
    <n v="-2864.08"/>
    <n v="4002"/>
  </r>
  <r>
    <x v="0"/>
    <x v="3"/>
    <x v="3"/>
    <x v="194"/>
    <x v="159"/>
    <x v="159"/>
    <s v="REVENUS"/>
    <x v="6"/>
    <s v="4221.003"/>
    <s v="Intérêts compensat. / acomptes en faveur du fisc"/>
    <n v="0"/>
    <n v="5.47"/>
    <n v="4221"/>
  </r>
  <r>
    <x v="0"/>
    <x v="3"/>
    <x v="3"/>
    <x v="194"/>
    <x v="159"/>
    <x v="159"/>
    <s v="REVENUS"/>
    <x v="9"/>
    <s v="4031.001"/>
    <s v="Impôt sur les gains immobiliers"/>
    <n v="0"/>
    <n v="194174.7"/>
    <n v="4031"/>
  </r>
  <r>
    <x v="0"/>
    <x v="3"/>
    <x v="3"/>
    <x v="194"/>
    <x v="159"/>
    <x v="159"/>
    <s v="REVENUS"/>
    <x v="6"/>
    <s v="4221.002"/>
    <s v="Intérêts compensat. sur impôts distincts"/>
    <n v="0"/>
    <n v="77.31"/>
    <n v="4221"/>
  </r>
  <r>
    <x v="0"/>
    <x v="3"/>
    <x v="3"/>
    <x v="194"/>
    <x v="159"/>
    <x v="159"/>
    <s v="REVENUS"/>
    <x v="8"/>
    <s v="4091.001"/>
    <s v="Impôt récupéré après défalcations"/>
    <n v="0"/>
    <n v="24699.360000000001"/>
    <n v="4091"/>
  </r>
  <r>
    <x v="0"/>
    <x v="3"/>
    <x v="3"/>
    <x v="194"/>
    <x v="159"/>
    <x v="159"/>
    <s v="REVENUS"/>
    <x v="6"/>
    <s v="4211.001"/>
    <s v="Intérêts de retard sur factures"/>
    <n v="0"/>
    <n v="1.1000000000000001"/>
    <n v="4211"/>
  </r>
  <r>
    <x v="0"/>
    <x v="3"/>
    <x v="3"/>
    <x v="194"/>
    <x v="159"/>
    <x v="159"/>
    <s v="REVENUS"/>
    <x v="2"/>
    <s v="4001.001"/>
    <s v="Impôt revenu"/>
    <n v="0"/>
    <n v="21864.6"/>
    <n v="4001"/>
  </r>
  <r>
    <x v="0"/>
    <x v="3"/>
    <x v="3"/>
    <x v="194"/>
    <x v="159"/>
    <x v="159"/>
    <s v="REVENUS"/>
    <x v="2"/>
    <s v="4001.007"/>
    <s v="Acompte impôt sur revenu"/>
    <n v="0"/>
    <n v="908.26"/>
    <n v="4001"/>
  </r>
  <r>
    <x v="0"/>
    <x v="3"/>
    <x v="3"/>
    <x v="194"/>
    <x v="159"/>
    <x v="159"/>
    <s v="REVENUS"/>
    <x v="3"/>
    <s v="4002.001"/>
    <s v="Impôt ordinaire s/fortune PP"/>
    <n v="0"/>
    <n v="3685.85"/>
    <n v="4002"/>
  </r>
  <r>
    <x v="0"/>
    <x v="3"/>
    <x v="3"/>
    <x v="194"/>
    <x v="159"/>
    <x v="159"/>
    <s v="REVENUS"/>
    <x v="6"/>
    <s v="4211.002"/>
    <s v="Intérêts de retard sur acomptes"/>
    <n v="0"/>
    <n v="601.57000000000005"/>
    <n v="4211"/>
  </r>
  <r>
    <x v="0"/>
    <x v="3"/>
    <x v="3"/>
    <x v="194"/>
    <x v="159"/>
    <x v="159"/>
    <s v="REVENUS"/>
    <x v="6"/>
    <s v="4221.003"/>
    <s v="Intérêts compensat. / acomptes en faveur du fisc"/>
    <n v="0"/>
    <n v="3.8"/>
    <n v="4221"/>
  </r>
  <r>
    <x v="0"/>
    <x v="3"/>
    <x v="3"/>
    <x v="194"/>
    <x v="159"/>
    <x v="159"/>
    <s v="REVENUS"/>
    <x v="10"/>
    <s v="4041.001"/>
    <s v="Droits de mutation"/>
    <n v="0"/>
    <n v="175695.35"/>
    <n v="4041"/>
  </r>
  <r>
    <x v="0"/>
    <x v="3"/>
    <x v="3"/>
    <x v="194"/>
    <x v="159"/>
    <x v="159"/>
    <s v="REVENUS"/>
    <x v="3"/>
    <s v="4002.001"/>
    <s v="Impôt ordinaire s/fortune PP"/>
    <n v="0"/>
    <n v="3950.3"/>
    <n v="4002"/>
  </r>
  <r>
    <x v="0"/>
    <x v="3"/>
    <x v="3"/>
    <x v="194"/>
    <x v="159"/>
    <x v="159"/>
    <s v="REVENUS"/>
    <x v="6"/>
    <s v="4221.003"/>
    <s v="Intérêts compensat. / acomptes en faveur du fisc"/>
    <n v="0"/>
    <n v="3.78"/>
    <n v="4221"/>
  </r>
  <r>
    <x v="0"/>
    <x v="3"/>
    <x v="3"/>
    <x v="194"/>
    <x v="159"/>
    <x v="159"/>
    <s v="REVENUS"/>
    <x v="3"/>
    <s v="4002.002"/>
    <s v="Impôt complémentaire s/fortune PP"/>
    <n v="0"/>
    <n v="8794.6"/>
    <n v="4002"/>
  </r>
  <r>
    <x v="0"/>
    <x v="3"/>
    <x v="3"/>
    <x v="194"/>
    <x v="159"/>
    <x v="159"/>
    <s v="REVENUS"/>
    <x v="6"/>
    <s v="4211.001"/>
    <s v="Intérêts de retard sur factures"/>
    <n v="0"/>
    <n v="94.88"/>
    <n v="4211"/>
  </r>
  <r>
    <x v="0"/>
    <x v="3"/>
    <x v="3"/>
    <x v="194"/>
    <x v="159"/>
    <x v="159"/>
    <s v="REVENUS"/>
    <x v="2"/>
    <s v="4001.007"/>
    <s v="Acompte impôt sur revenu"/>
    <n v="0"/>
    <n v="7682.46"/>
    <n v="4001"/>
  </r>
  <r>
    <x v="0"/>
    <x v="3"/>
    <x v="3"/>
    <x v="194"/>
    <x v="159"/>
    <x v="159"/>
    <s v="REVENUS"/>
    <x v="3"/>
    <s v="4002.007"/>
    <s v="Acompte impôt sur fortune"/>
    <n v="0"/>
    <n v="-638.47"/>
    <n v="4002"/>
  </r>
  <r>
    <x v="0"/>
    <x v="3"/>
    <x v="3"/>
    <x v="194"/>
    <x v="159"/>
    <x v="159"/>
    <s v="REVENUS"/>
    <x v="2"/>
    <s v="4001.002"/>
    <s v="Impôt complément s/revenu PP"/>
    <n v="0"/>
    <n v="628595.15"/>
    <n v="4001"/>
  </r>
  <r>
    <x v="0"/>
    <x v="3"/>
    <x v="3"/>
    <x v="194"/>
    <x v="159"/>
    <x v="159"/>
    <s v="REVENUS"/>
    <x v="3"/>
    <s v="4002.002"/>
    <s v="Impôt complémentaire s/fortune PP"/>
    <n v="0"/>
    <n v="60755.15"/>
    <n v="4002"/>
  </r>
  <r>
    <x v="0"/>
    <x v="3"/>
    <x v="3"/>
    <x v="194"/>
    <x v="159"/>
    <x v="159"/>
    <s v="REVENUS"/>
    <x v="5"/>
    <s v="4061.000"/>
    <s v="Impôt sur les chiens"/>
    <n v="0"/>
    <n v="27400"/>
    <n v="4061"/>
  </r>
  <r>
    <x v="0"/>
    <x v="3"/>
    <x v="3"/>
    <x v="194"/>
    <x v="159"/>
    <x v="159"/>
    <s v="REVENUS"/>
    <x v="2"/>
    <s v="4001.002"/>
    <s v="Impôt complément s/revenu PP"/>
    <n v="0"/>
    <n v="6015.65"/>
    <n v="4001"/>
  </r>
  <r>
    <x v="0"/>
    <x v="3"/>
    <x v="3"/>
    <x v="194"/>
    <x v="159"/>
    <x v="159"/>
    <s v="REVENUS"/>
    <x v="3"/>
    <s v="4002.002"/>
    <s v="Impôt complémentaire s/fortune PP"/>
    <n v="0"/>
    <n v="1784.35"/>
    <n v="4002"/>
  </r>
  <r>
    <x v="0"/>
    <x v="3"/>
    <x v="3"/>
    <x v="194"/>
    <x v="159"/>
    <x v="159"/>
    <s v="REVENUS"/>
    <x v="2"/>
    <s v="4001.002"/>
    <s v="Impôt complément s/revenu PP"/>
    <n v="0"/>
    <n v="1324.15"/>
    <n v="4001"/>
  </r>
  <r>
    <x v="0"/>
    <x v="3"/>
    <x v="3"/>
    <x v="194"/>
    <x v="159"/>
    <x v="159"/>
    <s v="REVENUS"/>
    <x v="3"/>
    <s v="4002.007"/>
    <s v="Acompte impôt sur fortune"/>
    <n v="0"/>
    <n v="238.18"/>
    <n v="4002"/>
  </r>
  <r>
    <x v="0"/>
    <x v="3"/>
    <x v="3"/>
    <x v="194"/>
    <x v="159"/>
    <x v="159"/>
    <s v="REVENUS"/>
    <x v="2"/>
    <s v="4001.007"/>
    <s v="Acompte impôt sur revenu"/>
    <n v="0"/>
    <n v="579.66"/>
    <n v="4001"/>
  </r>
  <r>
    <x v="0"/>
    <x v="3"/>
    <x v="3"/>
    <x v="194"/>
    <x v="159"/>
    <x v="159"/>
    <s v="REVENUS"/>
    <x v="3"/>
    <s v="4002.007"/>
    <s v="Acompte impôt sur fortune"/>
    <n v="0"/>
    <n v="220.15"/>
    <n v="4002"/>
  </r>
  <r>
    <x v="0"/>
    <x v="3"/>
    <x v="3"/>
    <x v="194"/>
    <x v="159"/>
    <x v="159"/>
    <s v="REVENUS"/>
    <x v="3"/>
    <s v="4002.007"/>
    <s v="Acompte impôt sur fortune"/>
    <n v="0"/>
    <n v="630.04999999999995"/>
    <n v="4002"/>
  </r>
  <r>
    <x v="0"/>
    <x v="3"/>
    <x v="3"/>
    <x v="194"/>
    <x v="159"/>
    <x v="159"/>
    <s v="REVENUS"/>
    <x v="2"/>
    <s v="4001.007"/>
    <s v="Acompte impôt sur revenu"/>
    <n v="0"/>
    <n v="-3990.29"/>
    <n v="4001"/>
  </r>
  <r>
    <x v="0"/>
    <x v="3"/>
    <x v="3"/>
    <x v="194"/>
    <x v="159"/>
    <x v="159"/>
    <s v="REVENUS"/>
    <x v="10"/>
    <s v="4041.002"/>
    <s v="Complément droit de mutation"/>
    <n v="0"/>
    <n v="950.4"/>
    <n v="4041"/>
  </r>
  <r>
    <x v="0"/>
    <x v="3"/>
    <x v="3"/>
    <x v="194"/>
    <x v="159"/>
    <x v="159"/>
    <s v="REVENUS"/>
    <x v="2"/>
    <s v="4001.007"/>
    <s v="Acompte impôt sur revenu"/>
    <n v="0"/>
    <n v="-3.75"/>
    <n v="4001"/>
  </r>
  <r>
    <x v="0"/>
    <x v="3"/>
    <x v="3"/>
    <x v="194"/>
    <x v="159"/>
    <x v="159"/>
    <s v="REVENUS"/>
    <x v="3"/>
    <s v="4002.007"/>
    <s v="Acompte impôt sur fortune"/>
    <n v="0"/>
    <n v="-198.45"/>
    <n v="4002"/>
  </r>
  <r>
    <x v="0"/>
    <x v="3"/>
    <x v="3"/>
    <x v="194"/>
    <x v="159"/>
    <x v="159"/>
    <s v="REVENUS"/>
    <x v="2"/>
    <s v="4001.001"/>
    <s v="Impôt revenu"/>
    <n v="0"/>
    <n v="-72.599999999999994"/>
    <n v="4001"/>
  </r>
  <r>
    <x v="0"/>
    <x v="3"/>
    <x v="3"/>
    <x v="194"/>
    <x v="159"/>
    <x v="159"/>
    <s v="REVENUS"/>
    <x v="3"/>
    <s v="4002.001"/>
    <s v="Impôt ordinaire s/fortune PP"/>
    <n v="0"/>
    <n v="-517.95000000000005"/>
    <n v="4002"/>
  </r>
  <r>
    <x v="0"/>
    <x v="3"/>
    <x v="3"/>
    <x v="194"/>
    <x v="159"/>
    <x v="159"/>
    <s v="REVENUS"/>
    <x v="6"/>
    <s v="4221.003"/>
    <s v="Intérêts compensat. / acomptes en faveur du fisc"/>
    <n v="0"/>
    <n v="0.37"/>
    <n v="4221"/>
  </r>
  <r>
    <x v="0"/>
    <x v="3"/>
    <x v="3"/>
    <x v="194"/>
    <x v="159"/>
    <x v="159"/>
    <s v="REVENUS"/>
    <x v="2"/>
    <s v="4001.001"/>
    <s v="Impôt revenu"/>
    <n v="0"/>
    <n v="-81705.7"/>
    <n v="4001"/>
  </r>
  <r>
    <x v="0"/>
    <x v="3"/>
    <x v="3"/>
    <x v="194"/>
    <x v="159"/>
    <x v="159"/>
    <s v="REVENUS"/>
    <x v="6"/>
    <s v="4221.003"/>
    <s v="Intérêts compensat. / acomptes en faveur du fisc"/>
    <n v="0"/>
    <n v="-2.97"/>
    <n v="4221"/>
  </r>
  <r>
    <x v="0"/>
    <x v="3"/>
    <x v="3"/>
    <x v="194"/>
    <x v="159"/>
    <x v="159"/>
    <s v="REVENUS"/>
    <x v="6"/>
    <s v="4221.003"/>
    <s v="Intérêts compensat. / acomptes en faveur du fisc"/>
    <n v="0"/>
    <n v="7.12"/>
    <n v="4221"/>
  </r>
  <r>
    <x v="0"/>
    <x v="3"/>
    <x v="3"/>
    <x v="194"/>
    <x v="159"/>
    <x v="159"/>
    <s v="REVENUS"/>
    <x v="6"/>
    <s v="4211.002"/>
    <s v="Intérêts de retard sur acomptes"/>
    <n v="0"/>
    <n v="-6.46"/>
    <n v="4211"/>
  </r>
  <r>
    <x v="0"/>
    <x v="3"/>
    <x v="3"/>
    <x v="194"/>
    <x v="159"/>
    <x v="159"/>
    <s v="REVENUS"/>
    <x v="6"/>
    <s v="4211.002"/>
    <s v="Intérêts de retard sur acomptes"/>
    <n v="0"/>
    <n v="268.49"/>
    <n v="4211"/>
  </r>
  <r>
    <x v="0"/>
    <x v="3"/>
    <x v="3"/>
    <x v="194"/>
    <x v="159"/>
    <x v="159"/>
    <s v="REVENUS"/>
    <x v="6"/>
    <s v="4211.001"/>
    <s v="Intérêts de retard sur factures"/>
    <n v="0"/>
    <n v="24.9"/>
    <n v="4211"/>
  </r>
  <r>
    <x v="0"/>
    <x v="3"/>
    <x v="3"/>
    <x v="194"/>
    <x v="159"/>
    <x v="159"/>
    <s v="REVENUS"/>
    <x v="2"/>
    <s v="4001.001"/>
    <s v="Impôt revenu"/>
    <n v="0"/>
    <n v="-148820.20000000001"/>
    <n v="4001"/>
  </r>
  <r>
    <x v="0"/>
    <x v="3"/>
    <x v="3"/>
    <x v="194"/>
    <x v="159"/>
    <x v="159"/>
    <s v="REVENUS"/>
    <x v="3"/>
    <s v="4002.001"/>
    <s v="Impôt ordinaire s/fortune PP"/>
    <n v="0"/>
    <n v="-4394.2"/>
    <n v="4002"/>
  </r>
  <r>
    <x v="0"/>
    <x v="3"/>
    <x v="3"/>
    <x v="194"/>
    <x v="159"/>
    <x v="159"/>
    <s v="REVENUS"/>
    <x v="2"/>
    <s v="4001.001"/>
    <s v="Impôt revenu"/>
    <n v="0"/>
    <n v="13966.05"/>
    <n v="4001"/>
  </r>
  <r>
    <x v="0"/>
    <x v="3"/>
    <x v="3"/>
    <x v="194"/>
    <x v="159"/>
    <x v="159"/>
    <s v="REVENUS"/>
    <x v="6"/>
    <s v="4211.002"/>
    <s v="Intérêts de retard sur acomptes"/>
    <n v="0"/>
    <n v="31.33"/>
    <n v="4211"/>
  </r>
  <r>
    <x v="0"/>
    <x v="3"/>
    <x v="3"/>
    <x v="194"/>
    <x v="159"/>
    <x v="159"/>
    <s v="REVENUS"/>
    <x v="2"/>
    <s v="4001.001"/>
    <s v="Impôt revenu"/>
    <n v="0"/>
    <n v="45011.45"/>
    <n v="4001"/>
  </r>
  <r>
    <x v="0"/>
    <x v="3"/>
    <x v="3"/>
    <x v="194"/>
    <x v="159"/>
    <x v="159"/>
    <s v="REVENUS"/>
    <x v="3"/>
    <s v="4002.001"/>
    <s v="Impôt ordinaire s/fortune PP"/>
    <n v="0"/>
    <n v="9463.0499999999993"/>
    <n v="4002"/>
  </r>
  <r>
    <x v="0"/>
    <x v="3"/>
    <x v="3"/>
    <x v="194"/>
    <x v="159"/>
    <x v="159"/>
    <s v="REVENUS"/>
    <x v="2"/>
    <s v="4001.002"/>
    <s v="Impôt complément s/revenu PP"/>
    <n v="0"/>
    <n v="-8441.2999999999993"/>
    <n v="4001"/>
  </r>
  <r>
    <x v="0"/>
    <x v="3"/>
    <x v="3"/>
    <x v="194"/>
    <x v="159"/>
    <x v="159"/>
    <s v="REVENUS"/>
    <x v="11"/>
    <s v="4198.000"/>
    <s v="Contributions communales"/>
    <n v="0"/>
    <n v="435354.6"/>
    <n v="4198"/>
  </r>
  <r>
    <x v="0"/>
    <x v="3"/>
    <x v="3"/>
    <x v="194"/>
    <x v="159"/>
    <x v="159"/>
    <s v="REVENUS"/>
    <x v="2"/>
    <s v="4001.003"/>
    <s v="Impôt s/prest. cap. PP"/>
    <n v="0"/>
    <n v="-644.9"/>
    <n v="4001"/>
  </r>
  <r>
    <x v="0"/>
    <x v="3"/>
    <x v="3"/>
    <x v="194"/>
    <x v="159"/>
    <x v="159"/>
    <s v="REVENUS"/>
    <x v="4"/>
    <s v="4051.001"/>
    <s v="Impôt sur les successions"/>
    <n v="0"/>
    <n v="48168.6"/>
    <n v="4051"/>
  </r>
  <r>
    <x v="0"/>
    <x v="3"/>
    <x v="3"/>
    <x v="194"/>
    <x v="159"/>
    <x v="159"/>
    <s v="REVENUS"/>
    <x v="3"/>
    <s v="4002.001"/>
    <s v="Impôt ordinaire s/fortune PP"/>
    <n v="0"/>
    <n v="-1130.8"/>
    <n v="4002"/>
  </r>
  <r>
    <x v="0"/>
    <x v="3"/>
    <x v="3"/>
    <x v="194"/>
    <x v="159"/>
    <x v="159"/>
    <s v="REVENUS"/>
    <x v="2"/>
    <s v="4001.002"/>
    <s v="Impôt complément s/revenu PP"/>
    <n v="0"/>
    <n v="424.25"/>
    <n v="4001"/>
  </r>
  <r>
    <x v="0"/>
    <x v="3"/>
    <x v="3"/>
    <x v="194"/>
    <x v="159"/>
    <x v="159"/>
    <s v="REVENUS"/>
    <x v="3"/>
    <s v="4002.002"/>
    <s v="Impôt complémentaire s/fortune PP"/>
    <n v="0"/>
    <n v="1382.85"/>
    <n v="4002"/>
  </r>
  <r>
    <x v="0"/>
    <x v="3"/>
    <x v="3"/>
    <x v="194"/>
    <x v="159"/>
    <x v="159"/>
    <s v="REVENUS"/>
    <x v="6"/>
    <s v="4211.001"/>
    <s v="Intérêts de retard sur factures"/>
    <n v="0"/>
    <n v="7.95"/>
    <n v="4211"/>
  </r>
  <r>
    <x v="0"/>
    <x v="3"/>
    <x v="3"/>
    <x v="194"/>
    <x v="159"/>
    <x v="159"/>
    <s v="REVENUS"/>
    <x v="6"/>
    <s v="4211.002"/>
    <s v="Intérêts de retard sur acomptes"/>
    <n v="0"/>
    <n v="262.2"/>
    <n v="4211"/>
  </r>
  <r>
    <x v="0"/>
    <x v="3"/>
    <x v="3"/>
    <x v="194"/>
    <x v="159"/>
    <x v="159"/>
    <s v="REVENUS"/>
    <x v="3"/>
    <s v="4002.002"/>
    <s v="Impôt complémentaire s/fortune PP"/>
    <n v="0"/>
    <n v="-370.8"/>
    <n v="4002"/>
  </r>
  <r>
    <x v="0"/>
    <x v="3"/>
    <x v="3"/>
    <x v="194"/>
    <x v="159"/>
    <x v="159"/>
    <s v="REVENUS"/>
    <x v="6"/>
    <s v="4211.001"/>
    <s v="Intérêts de retard sur factures"/>
    <n v="0"/>
    <n v="-0.23"/>
    <n v="4211"/>
  </r>
  <r>
    <x v="0"/>
    <x v="3"/>
    <x v="3"/>
    <x v="194"/>
    <x v="159"/>
    <x v="159"/>
    <s v="REVENUS"/>
    <x v="7"/>
    <s v="4184.000"/>
    <s v="Frais de poursuite"/>
    <n v="0"/>
    <n v="268.86"/>
    <n v="4184"/>
  </r>
  <r>
    <x v="0"/>
    <x v="3"/>
    <x v="3"/>
    <x v="194"/>
    <x v="159"/>
    <x v="159"/>
    <s v="REVENUS"/>
    <x v="8"/>
    <s v="4091.001"/>
    <s v="Impôt récupéré après défalcations"/>
    <n v="0"/>
    <n v="3183.99"/>
    <n v="4091"/>
  </r>
  <r>
    <x v="0"/>
    <x v="3"/>
    <x v="3"/>
    <x v="194"/>
    <x v="159"/>
    <x v="159"/>
    <s v="REVENUS"/>
    <x v="2"/>
    <s v="4001.002"/>
    <s v="Impôt complément s/revenu PP"/>
    <n v="0"/>
    <n v="11769.4"/>
    <n v="4001"/>
  </r>
  <r>
    <x v="0"/>
    <x v="3"/>
    <x v="3"/>
    <x v="194"/>
    <x v="159"/>
    <x v="159"/>
    <s v="REVENUS"/>
    <x v="2"/>
    <s v="4001.007"/>
    <s v="Acompte impôt sur revenu"/>
    <n v="0"/>
    <n v="-11821.05"/>
    <n v="4001"/>
  </r>
  <r>
    <x v="0"/>
    <x v="3"/>
    <x v="3"/>
    <x v="194"/>
    <x v="159"/>
    <x v="159"/>
    <s v="REVENUS"/>
    <x v="3"/>
    <s v="4002.007"/>
    <s v="Acompte impôt sur fortune"/>
    <n v="0"/>
    <n v="-2962.1"/>
    <n v="4002"/>
  </r>
  <r>
    <x v="0"/>
    <x v="3"/>
    <x v="3"/>
    <x v="194"/>
    <x v="159"/>
    <x v="159"/>
    <s v="REVENUS"/>
    <x v="3"/>
    <s v="4002.002"/>
    <s v="Impôt complémentaire s/fortune PP"/>
    <n v="0"/>
    <n v="475.8"/>
    <n v="4002"/>
  </r>
  <r>
    <x v="0"/>
    <x v="3"/>
    <x v="3"/>
    <x v="194"/>
    <x v="159"/>
    <x v="159"/>
    <s v="REVENUS"/>
    <x v="9"/>
    <s v="4031.002"/>
    <s v="Complément impôt sur les gains immobiliers"/>
    <n v="0"/>
    <n v="1691.95"/>
    <n v="4031"/>
  </r>
  <r>
    <x v="0"/>
    <x v="3"/>
    <x v="3"/>
    <x v="194"/>
    <x v="159"/>
    <x v="159"/>
    <s v="REVENUS"/>
    <x v="2"/>
    <s v="4001.002"/>
    <s v="Impôt complément s/revenu PP"/>
    <n v="0"/>
    <n v="191"/>
    <n v="4001"/>
  </r>
  <r>
    <x v="0"/>
    <x v="3"/>
    <x v="3"/>
    <x v="194"/>
    <x v="159"/>
    <x v="159"/>
    <s v="REVENUS"/>
    <x v="3"/>
    <s v="4002.002"/>
    <s v="Impôt complémentaire s/fortune PP"/>
    <n v="0"/>
    <n v="268.7"/>
    <n v="4002"/>
  </r>
  <r>
    <x v="0"/>
    <x v="3"/>
    <x v="3"/>
    <x v="194"/>
    <x v="159"/>
    <x v="159"/>
    <s v="REVENUS"/>
    <x v="2"/>
    <s v="4001.007"/>
    <s v="Acompte impôt sur revenu"/>
    <n v="0"/>
    <n v="-1244.3499999999999"/>
    <n v="4001"/>
  </r>
  <r>
    <x v="0"/>
    <x v="3"/>
    <x v="3"/>
    <x v="194"/>
    <x v="159"/>
    <x v="159"/>
    <s v="REVENUS"/>
    <x v="8"/>
    <s v="4091.001"/>
    <s v="Impôt récupéré après défalcations"/>
    <n v="0"/>
    <n v="453.2"/>
    <n v="4091"/>
  </r>
  <r>
    <x v="0"/>
    <x v="3"/>
    <x v="3"/>
    <x v="194"/>
    <x v="159"/>
    <x v="159"/>
    <s v="REVENUS"/>
    <x v="6"/>
    <s v="4211.002"/>
    <s v="Intérêts de retard sur acomptes"/>
    <n v="0"/>
    <n v="2.89"/>
    <n v="4211"/>
  </r>
  <r>
    <x v="0"/>
    <x v="3"/>
    <x v="3"/>
    <x v="194"/>
    <x v="159"/>
    <x v="159"/>
    <s v="REVENUS"/>
    <x v="4"/>
    <s v="4051.002"/>
    <s v="Impôt sur les donations"/>
    <n v="0"/>
    <n v="4604.3999999999996"/>
    <n v="4051"/>
  </r>
  <r>
    <x v="0"/>
    <x v="3"/>
    <x v="3"/>
    <x v="194"/>
    <x v="159"/>
    <x v="159"/>
    <s v="REVENUS"/>
    <x v="2"/>
    <s v="4001.001"/>
    <s v="Impôt revenu"/>
    <n v="0"/>
    <n v="497.2"/>
    <n v="4001"/>
  </r>
  <r>
    <x v="0"/>
    <x v="4"/>
    <x v="4"/>
    <x v="195"/>
    <x v="161"/>
    <x v="161"/>
    <s v="CHARGES"/>
    <x v="1"/>
    <s v="3301.001"/>
    <s v="Défalcations, abandons de solde PP et IS"/>
    <n v="36938.19"/>
    <n v="0"/>
    <n v="3301"/>
  </r>
  <r>
    <x v="0"/>
    <x v="4"/>
    <x v="4"/>
    <x v="195"/>
    <x v="161"/>
    <x v="161"/>
    <s v="REVENUS"/>
    <x v="8"/>
    <s v="4091.001"/>
    <s v="Impôt récupéré après défalcations"/>
    <n v="0"/>
    <n v="-1880.65"/>
    <n v="4091"/>
  </r>
  <r>
    <x v="0"/>
    <x v="4"/>
    <x v="4"/>
    <x v="195"/>
    <x v="161"/>
    <x v="161"/>
    <s v="REVENUS"/>
    <x v="7"/>
    <s v="4184.000"/>
    <s v="Frais de poursuite"/>
    <n v="0"/>
    <n v="93.58"/>
    <n v="4184"/>
  </r>
  <r>
    <x v="0"/>
    <x v="4"/>
    <x v="4"/>
    <x v="196"/>
    <x v="88"/>
    <x v="88"/>
    <s v="REVENUS"/>
    <x v="4"/>
    <s v="4051.001"/>
    <s v="Impôt sur les successions"/>
    <n v="0"/>
    <n v="-0.8"/>
    <n v="4051"/>
  </r>
  <r>
    <x v="0"/>
    <x v="3"/>
    <x v="3"/>
    <x v="197"/>
    <x v="167"/>
    <x v="167"/>
    <s v="CHARGES"/>
    <x v="0"/>
    <s v="3212.004"/>
    <s v="Intérêts rémun./perçu trop tôt sur acomptes C/C"/>
    <n v="23.13"/>
    <n v="0"/>
    <n v="3212"/>
  </r>
  <r>
    <x v="0"/>
    <x v="3"/>
    <x v="3"/>
    <x v="197"/>
    <x v="167"/>
    <x v="167"/>
    <s v="CHARGES"/>
    <x v="0"/>
    <s v="3221.002"/>
    <s v="Intérêts compensatoires / créances en faveur ctb."/>
    <n v="18.38"/>
    <n v="0"/>
    <n v="3221"/>
  </r>
  <r>
    <x v="0"/>
    <x v="3"/>
    <x v="3"/>
    <x v="197"/>
    <x v="167"/>
    <x v="167"/>
    <s v="CHARGES"/>
    <x v="0"/>
    <s v="3212.002"/>
    <s v="Intérêts bonifiés/trop perçu acompte C/C"/>
    <n v="19.32"/>
    <n v="0"/>
    <n v="3212"/>
  </r>
  <r>
    <x v="0"/>
    <x v="3"/>
    <x v="3"/>
    <x v="197"/>
    <x v="167"/>
    <x v="167"/>
    <s v="CHARGES"/>
    <x v="0"/>
    <s v="3212.004"/>
    <s v="Intérêts rémun./perçu trop tôt sur acomptes C/C"/>
    <n v="1111.58"/>
    <n v="0"/>
    <n v="3212"/>
  </r>
  <r>
    <x v="0"/>
    <x v="3"/>
    <x v="3"/>
    <x v="197"/>
    <x v="167"/>
    <x v="167"/>
    <s v="CHARGES"/>
    <x v="0"/>
    <s v="3221.002"/>
    <s v="Intérêts compensatoires / créances en faveur ctb."/>
    <n v="473.39"/>
    <n v="0"/>
    <n v="3221"/>
  </r>
  <r>
    <x v="0"/>
    <x v="3"/>
    <x v="3"/>
    <x v="197"/>
    <x v="167"/>
    <x v="167"/>
    <s v="CHARGES"/>
    <x v="1"/>
    <s v="3301.001"/>
    <s v="Défalcations, abandons de solde PP et IS"/>
    <n v="285786.78999999998"/>
    <n v="0"/>
    <n v="3301"/>
  </r>
  <r>
    <x v="0"/>
    <x v="3"/>
    <x v="3"/>
    <x v="197"/>
    <x v="167"/>
    <x v="167"/>
    <s v="CHARGES"/>
    <x v="0"/>
    <s v="3212.004"/>
    <s v="Intérêts rémun./perçu trop tôt sur acomptes C/C"/>
    <n v="26.18"/>
    <n v="0"/>
    <n v="3212"/>
  </r>
  <r>
    <x v="0"/>
    <x v="3"/>
    <x v="3"/>
    <x v="197"/>
    <x v="167"/>
    <x v="167"/>
    <s v="CHARGES"/>
    <x v="0"/>
    <s v="3212.004"/>
    <s v="Intérêts rémun./perçu trop tôt sur acomptes C/C"/>
    <n v="4.6900000000000004"/>
    <n v="0"/>
    <n v="3212"/>
  </r>
  <r>
    <x v="0"/>
    <x v="3"/>
    <x v="3"/>
    <x v="197"/>
    <x v="167"/>
    <x v="167"/>
    <s v="CHARGES"/>
    <x v="0"/>
    <s v="3212.004"/>
    <s v="Intérêts rémun./perçu trop tôt sur acomptes C/C"/>
    <n v="0.75"/>
    <n v="0"/>
    <n v="3212"/>
  </r>
  <r>
    <x v="0"/>
    <x v="3"/>
    <x v="3"/>
    <x v="197"/>
    <x v="167"/>
    <x v="167"/>
    <s v="CHARGES"/>
    <x v="1"/>
    <s v="3301.001"/>
    <s v="Défalcations, abandons de solde PP et IS"/>
    <n v="-935.28"/>
    <n v="0"/>
    <n v="3301"/>
  </r>
  <r>
    <x v="0"/>
    <x v="3"/>
    <x v="3"/>
    <x v="197"/>
    <x v="167"/>
    <x v="167"/>
    <s v="CHARGES"/>
    <x v="0"/>
    <s v="3221.002"/>
    <s v="Intérêts compensatoires / créances en faveur ctb."/>
    <n v="9.08"/>
    <n v="0"/>
    <n v="3221"/>
  </r>
  <r>
    <x v="0"/>
    <x v="3"/>
    <x v="3"/>
    <x v="197"/>
    <x v="167"/>
    <x v="167"/>
    <s v="CHARGES"/>
    <x v="0"/>
    <s v="3221.002"/>
    <s v="Intérêts compensatoires / créances en faveur ctb."/>
    <n v="15.23"/>
    <n v="0"/>
    <n v="3221"/>
  </r>
  <r>
    <x v="0"/>
    <x v="3"/>
    <x v="3"/>
    <x v="197"/>
    <x v="167"/>
    <x v="167"/>
    <s v="CHARGES"/>
    <x v="1"/>
    <s v="3301.001"/>
    <s v="Défalcations, abandons de solde PP et IS"/>
    <n v="3.79"/>
    <n v="0"/>
    <n v="3301"/>
  </r>
  <r>
    <x v="0"/>
    <x v="3"/>
    <x v="3"/>
    <x v="197"/>
    <x v="167"/>
    <x v="167"/>
    <s v="CHARGES"/>
    <x v="0"/>
    <s v="3212.004"/>
    <s v="Intérêts rémun./perçu trop tôt sur acomptes C/C"/>
    <n v="18.68"/>
    <n v="0"/>
    <n v="3212"/>
  </r>
  <r>
    <x v="0"/>
    <x v="3"/>
    <x v="3"/>
    <x v="197"/>
    <x v="167"/>
    <x v="167"/>
    <s v="CHARGES"/>
    <x v="0"/>
    <s v="3221.002"/>
    <s v="Intérêts compensatoires / créances en faveur ctb."/>
    <n v="19.440000000000001"/>
    <n v="0"/>
    <n v="3221"/>
  </r>
  <r>
    <x v="0"/>
    <x v="3"/>
    <x v="3"/>
    <x v="197"/>
    <x v="167"/>
    <x v="167"/>
    <s v="CHARGES"/>
    <x v="1"/>
    <s v="3301.001"/>
    <s v="Défalcations, abandons de solde PP et IS"/>
    <n v="579.54"/>
    <n v="0"/>
    <n v="3301"/>
  </r>
  <r>
    <x v="0"/>
    <x v="3"/>
    <x v="3"/>
    <x v="197"/>
    <x v="167"/>
    <x v="167"/>
    <s v="CHARGES"/>
    <x v="1"/>
    <s v="3301.001"/>
    <s v="Défalcations, abandons de solde PP et IS"/>
    <n v="6.95"/>
    <n v="0"/>
    <n v="3301"/>
  </r>
  <r>
    <x v="0"/>
    <x v="3"/>
    <x v="3"/>
    <x v="197"/>
    <x v="167"/>
    <x v="167"/>
    <s v="CHARGES"/>
    <x v="1"/>
    <s v="3301.001"/>
    <s v="Défalcations, abandons de solde PP et IS"/>
    <n v="-2.15"/>
    <n v="0"/>
    <n v="3301"/>
  </r>
  <r>
    <x v="0"/>
    <x v="3"/>
    <x v="3"/>
    <x v="197"/>
    <x v="167"/>
    <x v="167"/>
    <s v="CHARGES"/>
    <x v="1"/>
    <s v="3301.001"/>
    <s v="Défalcations, abandons de solde PP et IS"/>
    <n v="4.6900000000000004"/>
    <n v="0"/>
    <n v="3301"/>
  </r>
  <r>
    <x v="0"/>
    <x v="3"/>
    <x v="3"/>
    <x v="197"/>
    <x v="167"/>
    <x v="167"/>
    <s v="CHARGES"/>
    <x v="0"/>
    <s v="3221.002"/>
    <s v="Intérêts compensatoires / créances en faveur ctb."/>
    <n v="2.31"/>
    <n v="0"/>
    <n v="3221"/>
  </r>
  <r>
    <x v="0"/>
    <x v="3"/>
    <x v="3"/>
    <x v="197"/>
    <x v="167"/>
    <x v="167"/>
    <s v="CHARGES"/>
    <x v="1"/>
    <s v="3301.001"/>
    <s v="Défalcations, abandons de solde PP et IS"/>
    <n v="39350.93"/>
    <n v="0"/>
    <n v="3301"/>
  </r>
  <r>
    <x v="0"/>
    <x v="3"/>
    <x v="3"/>
    <x v="197"/>
    <x v="167"/>
    <x v="167"/>
    <s v="CHARGES"/>
    <x v="0"/>
    <s v="3212.002"/>
    <s v="Intérêts bonifiés/trop perçu acompte C/C"/>
    <n v="0.01"/>
    <n v="0"/>
    <n v="3212"/>
  </r>
  <r>
    <x v="0"/>
    <x v="3"/>
    <x v="3"/>
    <x v="197"/>
    <x v="167"/>
    <x v="167"/>
    <s v="CHARGES"/>
    <x v="0"/>
    <s v="3212.002"/>
    <s v="Intérêts bonifiés/trop perçu acompte C/C"/>
    <n v="0.31"/>
    <n v="0"/>
    <n v="3212"/>
  </r>
  <r>
    <x v="0"/>
    <x v="3"/>
    <x v="3"/>
    <x v="197"/>
    <x v="167"/>
    <x v="167"/>
    <s v="CHARGES"/>
    <x v="1"/>
    <s v="3301.003"/>
    <s v="Remises PP et IS"/>
    <n v="677.45"/>
    <n v="0"/>
    <n v="3301"/>
  </r>
  <r>
    <x v="0"/>
    <x v="3"/>
    <x v="3"/>
    <x v="197"/>
    <x v="167"/>
    <x v="167"/>
    <s v="CHARGES"/>
    <x v="0"/>
    <s v="3221.002"/>
    <s v="Intérêts compensatoires / créances en faveur ctb."/>
    <n v="0.01"/>
    <n v="0"/>
    <n v="3221"/>
  </r>
  <r>
    <x v="0"/>
    <x v="3"/>
    <x v="3"/>
    <x v="197"/>
    <x v="167"/>
    <x v="167"/>
    <s v="CHARGES"/>
    <x v="0"/>
    <s v="3212.002"/>
    <s v="Intérêts bonifiés/trop perçu acompte C/C"/>
    <n v="0.02"/>
    <n v="0"/>
    <n v="3212"/>
  </r>
  <r>
    <x v="0"/>
    <x v="3"/>
    <x v="3"/>
    <x v="197"/>
    <x v="167"/>
    <x v="167"/>
    <s v="CHARGES"/>
    <x v="1"/>
    <s v="3301.001"/>
    <s v="Défalcations, abandons de solde PP et IS"/>
    <n v="0.02"/>
    <n v="0"/>
    <n v="3301"/>
  </r>
  <r>
    <x v="0"/>
    <x v="3"/>
    <x v="3"/>
    <x v="197"/>
    <x v="167"/>
    <x v="167"/>
    <s v="CHARGES"/>
    <x v="0"/>
    <s v="3212.002"/>
    <s v="Intérêts bonifiés/trop perçu acompte C/C"/>
    <n v="0.03"/>
    <n v="0"/>
    <n v="3212"/>
  </r>
  <r>
    <x v="0"/>
    <x v="3"/>
    <x v="3"/>
    <x v="197"/>
    <x v="167"/>
    <x v="167"/>
    <s v="CHARGES"/>
    <x v="0"/>
    <s v="3212.004"/>
    <s v="Intérêts rémun./perçu trop tôt sur acomptes C/C"/>
    <n v="0.02"/>
    <n v="0"/>
    <n v="3212"/>
  </r>
  <r>
    <x v="0"/>
    <x v="3"/>
    <x v="3"/>
    <x v="197"/>
    <x v="167"/>
    <x v="167"/>
    <s v="REVENUS"/>
    <x v="2"/>
    <s v="4001.001"/>
    <s v="Impôt revenu"/>
    <n v="0"/>
    <n v="67978.600000000006"/>
    <n v="4001"/>
  </r>
  <r>
    <x v="0"/>
    <x v="3"/>
    <x v="3"/>
    <x v="197"/>
    <x v="167"/>
    <x v="167"/>
    <s v="REVENUS"/>
    <x v="6"/>
    <s v="4211.002"/>
    <s v="Intérêts de retard sur acomptes"/>
    <n v="0"/>
    <n v="221.44"/>
    <n v="4211"/>
  </r>
  <r>
    <x v="0"/>
    <x v="3"/>
    <x v="3"/>
    <x v="197"/>
    <x v="167"/>
    <x v="167"/>
    <s v="REVENUS"/>
    <x v="6"/>
    <s v="4221.003"/>
    <s v="Intérêts compensat. / acomptes en faveur du fisc"/>
    <n v="0"/>
    <n v="16.54"/>
    <n v="4221"/>
  </r>
  <r>
    <x v="0"/>
    <x v="3"/>
    <x v="3"/>
    <x v="197"/>
    <x v="167"/>
    <x v="167"/>
    <s v="REVENUS"/>
    <x v="2"/>
    <s v="4001.001"/>
    <s v="Impôt revenu"/>
    <n v="0"/>
    <n v="109311.5"/>
    <n v="4001"/>
  </r>
  <r>
    <x v="0"/>
    <x v="3"/>
    <x v="3"/>
    <x v="197"/>
    <x v="167"/>
    <x v="167"/>
    <s v="REVENUS"/>
    <x v="3"/>
    <s v="4002.001"/>
    <s v="Impôt ordinaire s/fortune PP"/>
    <n v="0"/>
    <n v="22515.85"/>
    <n v="4002"/>
  </r>
  <r>
    <x v="0"/>
    <x v="3"/>
    <x v="3"/>
    <x v="197"/>
    <x v="167"/>
    <x v="167"/>
    <s v="REVENUS"/>
    <x v="6"/>
    <s v="4221.003"/>
    <s v="Intérêts compensat. / acomptes en faveur du fisc"/>
    <n v="0"/>
    <n v="27.57"/>
    <n v="4221"/>
  </r>
  <r>
    <x v="0"/>
    <x v="3"/>
    <x v="3"/>
    <x v="197"/>
    <x v="167"/>
    <x v="167"/>
    <s v="REVENUS"/>
    <x v="2"/>
    <s v="4001.007"/>
    <s v="Acompte impôt sur revenu"/>
    <n v="0"/>
    <n v="-1606858.75"/>
    <n v="4001"/>
  </r>
  <r>
    <x v="0"/>
    <x v="3"/>
    <x v="3"/>
    <x v="197"/>
    <x v="167"/>
    <x v="167"/>
    <s v="REVENUS"/>
    <x v="3"/>
    <s v="4002.007"/>
    <s v="Acompte impôt sur fortune"/>
    <n v="0"/>
    <n v="-316410.74"/>
    <n v="4002"/>
  </r>
  <r>
    <x v="0"/>
    <x v="3"/>
    <x v="3"/>
    <x v="197"/>
    <x v="167"/>
    <x v="167"/>
    <s v="REVENUS"/>
    <x v="2"/>
    <s v="4001.001"/>
    <s v="Impôt revenu"/>
    <n v="0"/>
    <n v="68330.8"/>
    <n v="4001"/>
  </r>
  <r>
    <x v="0"/>
    <x v="3"/>
    <x v="3"/>
    <x v="197"/>
    <x v="167"/>
    <x v="167"/>
    <s v="REVENUS"/>
    <x v="2"/>
    <s v="4001.007"/>
    <s v="Acompte impôt sur revenu"/>
    <n v="0"/>
    <n v="-25001.69"/>
    <n v="4001"/>
  </r>
  <r>
    <x v="0"/>
    <x v="3"/>
    <x v="3"/>
    <x v="197"/>
    <x v="167"/>
    <x v="167"/>
    <s v="REVENUS"/>
    <x v="3"/>
    <s v="4002.001"/>
    <s v="Impôt ordinaire s/fortune PP"/>
    <n v="0"/>
    <n v="14852.35"/>
    <n v="4002"/>
  </r>
  <r>
    <x v="0"/>
    <x v="3"/>
    <x v="3"/>
    <x v="197"/>
    <x v="167"/>
    <x v="167"/>
    <s v="REVENUS"/>
    <x v="3"/>
    <s v="4002.007"/>
    <s v="Acompte impôt sur fortune"/>
    <n v="0"/>
    <n v="-2531.1"/>
    <n v="4002"/>
  </r>
  <r>
    <x v="0"/>
    <x v="3"/>
    <x v="3"/>
    <x v="197"/>
    <x v="167"/>
    <x v="167"/>
    <s v="REVENUS"/>
    <x v="6"/>
    <s v="4211.002"/>
    <s v="Intérêts de retard sur acomptes"/>
    <n v="0"/>
    <n v="959.01"/>
    <n v="4211"/>
  </r>
  <r>
    <x v="0"/>
    <x v="3"/>
    <x v="3"/>
    <x v="197"/>
    <x v="167"/>
    <x v="167"/>
    <s v="REVENUS"/>
    <x v="6"/>
    <s v="4221.003"/>
    <s v="Intérêts compensat. / acomptes en faveur du fisc"/>
    <n v="0"/>
    <n v="9.2899999999999991"/>
    <n v="4221"/>
  </r>
  <r>
    <x v="0"/>
    <x v="3"/>
    <x v="3"/>
    <x v="197"/>
    <x v="167"/>
    <x v="167"/>
    <s v="REVENUS"/>
    <x v="2"/>
    <s v="4001.001"/>
    <s v="Impôt revenu"/>
    <n v="0"/>
    <n v="6628248.6500000004"/>
    <n v="4001"/>
  </r>
  <r>
    <x v="0"/>
    <x v="3"/>
    <x v="3"/>
    <x v="197"/>
    <x v="167"/>
    <x v="167"/>
    <s v="REVENUS"/>
    <x v="2"/>
    <s v="4001.002"/>
    <s v="Impôt complément s/revenu PP"/>
    <n v="0"/>
    <n v="1010823.75"/>
    <n v="4001"/>
  </r>
  <r>
    <x v="0"/>
    <x v="3"/>
    <x v="3"/>
    <x v="197"/>
    <x v="167"/>
    <x v="167"/>
    <s v="REVENUS"/>
    <x v="2"/>
    <s v="4001.007"/>
    <s v="Acompte impôt sur revenu"/>
    <n v="0"/>
    <n v="735617.8"/>
    <n v="4001"/>
  </r>
  <r>
    <x v="0"/>
    <x v="3"/>
    <x v="3"/>
    <x v="197"/>
    <x v="167"/>
    <x v="167"/>
    <s v="REVENUS"/>
    <x v="3"/>
    <s v="4002.001"/>
    <s v="Impôt ordinaire s/fortune PP"/>
    <n v="0"/>
    <n v="767786"/>
    <n v="4002"/>
  </r>
  <r>
    <x v="0"/>
    <x v="3"/>
    <x v="3"/>
    <x v="197"/>
    <x v="167"/>
    <x v="167"/>
    <s v="REVENUS"/>
    <x v="3"/>
    <s v="4002.007"/>
    <s v="Acompte impôt sur fortune"/>
    <n v="0"/>
    <n v="140640.39000000001"/>
    <n v="4002"/>
  </r>
  <r>
    <x v="0"/>
    <x v="3"/>
    <x v="3"/>
    <x v="197"/>
    <x v="167"/>
    <x v="167"/>
    <s v="REVENUS"/>
    <x v="6"/>
    <s v="4211.001"/>
    <s v="Intérêts de retard sur factures"/>
    <n v="0"/>
    <n v="48187.519999999997"/>
    <n v="4211"/>
  </r>
  <r>
    <x v="0"/>
    <x v="3"/>
    <x v="3"/>
    <x v="197"/>
    <x v="167"/>
    <x v="167"/>
    <s v="REVENUS"/>
    <x v="6"/>
    <s v="4211.002"/>
    <s v="Intérêts de retard sur acomptes"/>
    <n v="0"/>
    <n v="55494.8"/>
    <n v="4211"/>
  </r>
  <r>
    <x v="0"/>
    <x v="3"/>
    <x v="3"/>
    <x v="197"/>
    <x v="167"/>
    <x v="167"/>
    <s v="REVENUS"/>
    <x v="6"/>
    <s v="4221.003"/>
    <s v="Intérêts compensat. / acomptes en faveur du fisc"/>
    <n v="0"/>
    <n v="1553.68"/>
    <n v="4221"/>
  </r>
  <r>
    <x v="0"/>
    <x v="3"/>
    <x v="3"/>
    <x v="197"/>
    <x v="167"/>
    <x v="167"/>
    <s v="REVENUS"/>
    <x v="7"/>
    <s v="4184.000"/>
    <s v="Frais de poursuite"/>
    <n v="0"/>
    <n v="30554.62"/>
    <n v="4184"/>
  </r>
  <r>
    <x v="0"/>
    <x v="3"/>
    <x v="3"/>
    <x v="197"/>
    <x v="167"/>
    <x v="167"/>
    <s v="REVENUS"/>
    <x v="8"/>
    <s v="4091.001"/>
    <s v="Impôt récupéré après défalcations"/>
    <n v="0"/>
    <n v="39543.360000000001"/>
    <n v="4091"/>
  </r>
  <r>
    <x v="0"/>
    <x v="3"/>
    <x v="3"/>
    <x v="197"/>
    <x v="167"/>
    <x v="167"/>
    <s v="REVENUS"/>
    <x v="7"/>
    <s v="4184.000"/>
    <s v="Frais de poursuite"/>
    <n v="0"/>
    <n v="1229.0999999999999"/>
    <n v="4184"/>
  </r>
  <r>
    <x v="0"/>
    <x v="3"/>
    <x v="3"/>
    <x v="197"/>
    <x v="167"/>
    <x v="167"/>
    <s v="REVENUS"/>
    <x v="2"/>
    <s v="4001.007"/>
    <s v="Acompte impôt sur revenu"/>
    <n v="0"/>
    <n v="-25507.19"/>
    <n v="4001"/>
  </r>
  <r>
    <x v="0"/>
    <x v="3"/>
    <x v="3"/>
    <x v="197"/>
    <x v="167"/>
    <x v="167"/>
    <s v="REVENUS"/>
    <x v="3"/>
    <s v="4002.001"/>
    <s v="Impôt ordinaire s/fortune PP"/>
    <n v="0"/>
    <n v="20412.599999999999"/>
    <n v="4002"/>
  </r>
  <r>
    <x v="0"/>
    <x v="3"/>
    <x v="3"/>
    <x v="197"/>
    <x v="167"/>
    <x v="167"/>
    <s v="REVENUS"/>
    <x v="3"/>
    <s v="4002.007"/>
    <s v="Acompte impôt sur fortune"/>
    <n v="0"/>
    <n v="-8151.81"/>
    <n v="4002"/>
  </r>
  <r>
    <x v="0"/>
    <x v="3"/>
    <x v="3"/>
    <x v="197"/>
    <x v="167"/>
    <x v="167"/>
    <s v="REVENUS"/>
    <x v="2"/>
    <s v="4001.007"/>
    <s v="Acompte impôt sur revenu"/>
    <n v="0"/>
    <n v="44038.43"/>
    <n v="4001"/>
  </r>
  <r>
    <x v="0"/>
    <x v="3"/>
    <x v="3"/>
    <x v="197"/>
    <x v="167"/>
    <x v="167"/>
    <s v="REVENUS"/>
    <x v="3"/>
    <s v="4002.007"/>
    <s v="Acompte impôt sur fortune"/>
    <n v="0"/>
    <n v="6395.08"/>
    <n v="4002"/>
  </r>
  <r>
    <x v="0"/>
    <x v="3"/>
    <x v="3"/>
    <x v="197"/>
    <x v="167"/>
    <x v="167"/>
    <s v="REVENUS"/>
    <x v="2"/>
    <s v="4001.001"/>
    <s v="Impôt revenu"/>
    <n v="0"/>
    <n v="-88953.9"/>
    <n v="4001"/>
  </r>
  <r>
    <x v="0"/>
    <x v="3"/>
    <x v="3"/>
    <x v="197"/>
    <x v="167"/>
    <x v="167"/>
    <s v="REVENUS"/>
    <x v="2"/>
    <s v="4001.001"/>
    <s v="Impôt revenu"/>
    <n v="0"/>
    <n v="18837.150000000001"/>
    <n v="4001"/>
  </r>
  <r>
    <x v="0"/>
    <x v="3"/>
    <x v="3"/>
    <x v="197"/>
    <x v="167"/>
    <x v="167"/>
    <s v="REVENUS"/>
    <x v="3"/>
    <s v="4002.001"/>
    <s v="Impôt ordinaire s/fortune PP"/>
    <n v="0"/>
    <n v="12279.7"/>
    <n v="4002"/>
  </r>
  <r>
    <x v="0"/>
    <x v="3"/>
    <x v="3"/>
    <x v="197"/>
    <x v="167"/>
    <x v="167"/>
    <s v="REVENUS"/>
    <x v="6"/>
    <s v="4211.002"/>
    <s v="Intérêts de retard sur acomptes"/>
    <n v="0"/>
    <n v="83.15"/>
    <n v="4211"/>
  </r>
  <r>
    <x v="0"/>
    <x v="3"/>
    <x v="3"/>
    <x v="197"/>
    <x v="167"/>
    <x v="167"/>
    <s v="REVENUS"/>
    <x v="2"/>
    <s v="4001.001"/>
    <s v="Impôt revenu"/>
    <n v="0"/>
    <n v="-285069"/>
    <n v="4001"/>
  </r>
  <r>
    <x v="0"/>
    <x v="3"/>
    <x v="3"/>
    <x v="197"/>
    <x v="167"/>
    <x v="167"/>
    <s v="REVENUS"/>
    <x v="6"/>
    <s v="4211.001"/>
    <s v="Intérêts de retard sur factures"/>
    <n v="0"/>
    <n v="-19.32"/>
    <n v="4211"/>
  </r>
  <r>
    <x v="0"/>
    <x v="3"/>
    <x v="3"/>
    <x v="197"/>
    <x v="167"/>
    <x v="167"/>
    <s v="REVENUS"/>
    <x v="6"/>
    <s v="4211.002"/>
    <s v="Intérêts de retard sur acomptes"/>
    <n v="0"/>
    <n v="-96.33"/>
    <n v="4211"/>
  </r>
  <r>
    <x v="0"/>
    <x v="3"/>
    <x v="3"/>
    <x v="197"/>
    <x v="167"/>
    <x v="167"/>
    <s v="REVENUS"/>
    <x v="6"/>
    <s v="4221.003"/>
    <s v="Intérêts compensat. / acomptes en faveur du fisc"/>
    <n v="0"/>
    <n v="-12.47"/>
    <n v="4221"/>
  </r>
  <r>
    <x v="0"/>
    <x v="3"/>
    <x v="3"/>
    <x v="197"/>
    <x v="167"/>
    <x v="167"/>
    <s v="REVENUS"/>
    <x v="2"/>
    <s v="4001.003"/>
    <s v="Impôt s/prest. cap. PP"/>
    <n v="0"/>
    <n v="197984"/>
    <n v="4001"/>
  </r>
  <r>
    <x v="0"/>
    <x v="3"/>
    <x v="3"/>
    <x v="197"/>
    <x v="167"/>
    <x v="167"/>
    <s v="REVENUS"/>
    <x v="3"/>
    <s v="4002.002"/>
    <s v="Impôt complémentaire s/fortune PP"/>
    <n v="0"/>
    <n v="179174.65"/>
    <n v="4002"/>
  </r>
  <r>
    <x v="0"/>
    <x v="3"/>
    <x v="3"/>
    <x v="197"/>
    <x v="167"/>
    <x v="167"/>
    <s v="REVENUS"/>
    <x v="8"/>
    <s v="4091.001"/>
    <s v="Impôt récupéré après défalcations"/>
    <n v="0"/>
    <n v="13891.05"/>
    <n v="4091"/>
  </r>
  <r>
    <x v="0"/>
    <x v="3"/>
    <x v="3"/>
    <x v="197"/>
    <x v="167"/>
    <x v="167"/>
    <s v="REVENUS"/>
    <x v="3"/>
    <s v="4002.001"/>
    <s v="Impôt ordinaire s/fortune PP"/>
    <n v="0"/>
    <n v="-45376.1"/>
    <n v="4002"/>
  </r>
  <r>
    <x v="0"/>
    <x v="3"/>
    <x v="3"/>
    <x v="197"/>
    <x v="167"/>
    <x v="167"/>
    <s v="REVENUS"/>
    <x v="2"/>
    <s v="4001.002"/>
    <s v="Impôt complément s/revenu PP"/>
    <n v="0"/>
    <n v="16291.75"/>
    <n v="4001"/>
  </r>
  <r>
    <x v="0"/>
    <x v="3"/>
    <x v="3"/>
    <x v="197"/>
    <x v="167"/>
    <x v="167"/>
    <s v="REVENUS"/>
    <x v="3"/>
    <s v="4002.002"/>
    <s v="Impôt complémentaire s/fortune PP"/>
    <n v="0"/>
    <n v="2197"/>
    <n v="4002"/>
  </r>
  <r>
    <x v="0"/>
    <x v="3"/>
    <x v="3"/>
    <x v="197"/>
    <x v="167"/>
    <x v="167"/>
    <s v="REVENUS"/>
    <x v="2"/>
    <s v="4001.003"/>
    <s v="Impôt s/prest. cap. PP"/>
    <n v="0"/>
    <n v="-2267.1"/>
    <n v="4001"/>
  </r>
  <r>
    <x v="0"/>
    <x v="3"/>
    <x v="3"/>
    <x v="197"/>
    <x v="167"/>
    <x v="167"/>
    <s v="REVENUS"/>
    <x v="6"/>
    <s v="4211.001"/>
    <s v="Intérêts de retard sur factures"/>
    <n v="0"/>
    <n v="15.25"/>
    <n v="4211"/>
  </r>
  <r>
    <x v="0"/>
    <x v="3"/>
    <x v="3"/>
    <x v="197"/>
    <x v="167"/>
    <x v="167"/>
    <s v="REVENUS"/>
    <x v="10"/>
    <s v="4041.001"/>
    <s v="Droits de mutation"/>
    <n v="0"/>
    <n v="309022.90000000002"/>
    <n v="4041"/>
  </r>
  <r>
    <x v="0"/>
    <x v="3"/>
    <x v="3"/>
    <x v="197"/>
    <x v="167"/>
    <x v="167"/>
    <s v="REVENUS"/>
    <x v="2"/>
    <s v="4001.002"/>
    <s v="Impôt complément s/revenu PP"/>
    <n v="0"/>
    <n v="18309.099999999999"/>
    <n v="4001"/>
  </r>
  <r>
    <x v="0"/>
    <x v="3"/>
    <x v="3"/>
    <x v="197"/>
    <x v="167"/>
    <x v="167"/>
    <s v="REVENUS"/>
    <x v="6"/>
    <s v="4211.002"/>
    <s v="Intérêts de retard sur acomptes"/>
    <n v="0"/>
    <n v="1179.0999999999999"/>
    <n v="4211"/>
  </r>
  <r>
    <x v="0"/>
    <x v="3"/>
    <x v="3"/>
    <x v="197"/>
    <x v="167"/>
    <x v="167"/>
    <s v="REVENUS"/>
    <x v="5"/>
    <s v="4061.000"/>
    <s v="Impôt sur les chiens"/>
    <n v="0"/>
    <n v="41580"/>
    <n v="4061"/>
  </r>
  <r>
    <x v="0"/>
    <x v="3"/>
    <x v="3"/>
    <x v="197"/>
    <x v="167"/>
    <x v="167"/>
    <s v="REVENUS"/>
    <x v="2"/>
    <s v="4001.007"/>
    <s v="Acompte impôt sur revenu"/>
    <n v="0"/>
    <n v="5309.9"/>
    <n v="4001"/>
  </r>
  <r>
    <x v="0"/>
    <x v="3"/>
    <x v="3"/>
    <x v="197"/>
    <x v="167"/>
    <x v="167"/>
    <s v="REVENUS"/>
    <x v="3"/>
    <s v="4002.007"/>
    <s v="Acompte impôt sur fortune"/>
    <n v="0"/>
    <n v="-312.18"/>
    <n v="4002"/>
  </r>
  <r>
    <x v="0"/>
    <x v="3"/>
    <x v="3"/>
    <x v="197"/>
    <x v="167"/>
    <x v="167"/>
    <s v="REVENUS"/>
    <x v="6"/>
    <s v="4221.003"/>
    <s v="Intérêts compensat. / acomptes en faveur du fisc"/>
    <n v="0"/>
    <n v="2.66"/>
    <n v="4221"/>
  </r>
  <r>
    <x v="0"/>
    <x v="3"/>
    <x v="3"/>
    <x v="197"/>
    <x v="167"/>
    <x v="167"/>
    <s v="REVENUS"/>
    <x v="6"/>
    <s v="4211.001"/>
    <s v="Intérêts de retard sur factures"/>
    <n v="0"/>
    <n v="238.41"/>
    <n v="4211"/>
  </r>
  <r>
    <x v="0"/>
    <x v="3"/>
    <x v="3"/>
    <x v="197"/>
    <x v="167"/>
    <x v="167"/>
    <s v="REVENUS"/>
    <x v="9"/>
    <s v="4031.001"/>
    <s v="Impôt sur les gains immobiliers"/>
    <n v="0"/>
    <n v="320012.75"/>
    <n v="4031"/>
  </r>
  <r>
    <x v="0"/>
    <x v="3"/>
    <x v="3"/>
    <x v="197"/>
    <x v="167"/>
    <x v="167"/>
    <s v="REVENUS"/>
    <x v="6"/>
    <s v="4221.002"/>
    <s v="Intérêts compensat. sur impôts distincts"/>
    <n v="0"/>
    <n v="302.39999999999998"/>
    <n v="4221"/>
  </r>
  <r>
    <x v="0"/>
    <x v="3"/>
    <x v="3"/>
    <x v="197"/>
    <x v="167"/>
    <x v="167"/>
    <s v="REVENUS"/>
    <x v="2"/>
    <s v="4001.007"/>
    <s v="Acompte impôt sur revenu"/>
    <n v="0"/>
    <n v="902.95"/>
    <n v="4001"/>
  </r>
  <r>
    <x v="0"/>
    <x v="3"/>
    <x v="3"/>
    <x v="197"/>
    <x v="167"/>
    <x v="167"/>
    <s v="REVENUS"/>
    <x v="3"/>
    <s v="4002.007"/>
    <s v="Acompte impôt sur fortune"/>
    <n v="0"/>
    <n v="-6.31"/>
    <n v="4002"/>
  </r>
  <r>
    <x v="0"/>
    <x v="3"/>
    <x v="3"/>
    <x v="197"/>
    <x v="167"/>
    <x v="167"/>
    <s v="REVENUS"/>
    <x v="3"/>
    <s v="4002.001"/>
    <s v="Impôt ordinaire s/fortune PP"/>
    <n v="0"/>
    <n v="413.05"/>
    <n v="4002"/>
  </r>
  <r>
    <x v="0"/>
    <x v="3"/>
    <x v="3"/>
    <x v="197"/>
    <x v="167"/>
    <x v="167"/>
    <s v="REVENUS"/>
    <x v="2"/>
    <s v="4001.003"/>
    <s v="Impôt s/prest. cap. PP"/>
    <n v="0"/>
    <n v="-3547.95"/>
    <n v="4001"/>
  </r>
  <r>
    <x v="0"/>
    <x v="3"/>
    <x v="3"/>
    <x v="197"/>
    <x v="167"/>
    <x v="167"/>
    <s v="REVENUS"/>
    <x v="6"/>
    <s v="4211.001"/>
    <s v="Intérêts de retard sur factures"/>
    <n v="0"/>
    <n v="-13.73"/>
    <n v="4211"/>
  </r>
  <r>
    <x v="0"/>
    <x v="3"/>
    <x v="3"/>
    <x v="197"/>
    <x v="167"/>
    <x v="167"/>
    <s v="REVENUS"/>
    <x v="6"/>
    <s v="4221.002"/>
    <s v="Intérêts compensat. sur impôts distincts"/>
    <n v="0"/>
    <n v="-2.12"/>
    <n v="4221"/>
  </r>
  <r>
    <x v="0"/>
    <x v="3"/>
    <x v="3"/>
    <x v="197"/>
    <x v="167"/>
    <x v="167"/>
    <s v="REVENUS"/>
    <x v="2"/>
    <s v="4001.002"/>
    <s v="Impôt complément s/revenu PP"/>
    <n v="0"/>
    <n v="-13893.1"/>
    <n v="4001"/>
  </r>
  <r>
    <x v="0"/>
    <x v="3"/>
    <x v="3"/>
    <x v="197"/>
    <x v="167"/>
    <x v="167"/>
    <s v="REVENUS"/>
    <x v="3"/>
    <s v="4002.001"/>
    <s v="Impôt ordinaire s/fortune PP"/>
    <n v="0"/>
    <n v="-9525"/>
    <n v="4002"/>
  </r>
  <r>
    <x v="0"/>
    <x v="3"/>
    <x v="3"/>
    <x v="197"/>
    <x v="167"/>
    <x v="167"/>
    <s v="REVENUS"/>
    <x v="2"/>
    <s v="4001.002"/>
    <s v="Impôt complément s/revenu PP"/>
    <n v="0"/>
    <n v="-89345.85"/>
    <n v="4001"/>
  </r>
  <r>
    <x v="0"/>
    <x v="3"/>
    <x v="3"/>
    <x v="197"/>
    <x v="167"/>
    <x v="167"/>
    <s v="REVENUS"/>
    <x v="3"/>
    <s v="4002.002"/>
    <s v="Impôt complémentaire s/fortune PP"/>
    <n v="0"/>
    <n v="-50821.8"/>
    <n v="4002"/>
  </r>
  <r>
    <x v="0"/>
    <x v="3"/>
    <x v="3"/>
    <x v="197"/>
    <x v="167"/>
    <x v="167"/>
    <s v="REVENUS"/>
    <x v="2"/>
    <s v="4001.007"/>
    <s v="Acompte impôt sur revenu"/>
    <n v="0"/>
    <n v="-618.28"/>
    <n v="4001"/>
  </r>
  <r>
    <x v="0"/>
    <x v="3"/>
    <x v="3"/>
    <x v="197"/>
    <x v="167"/>
    <x v="167"/>
    <s v="REVENUS"/>
    <x v="3"/>
    <s v="4002.007"/>
    <s v="Acompte impôt sur fortune"/>
    <n v="0"/>
    <n v="793.75"/>
    <n v="4002"/>
  </r>
  <r>
    <x v="0"/>
    <x v="3"/>
    <x v="3"/>
    <x v="197"/>
    <x v="167"/>
    <x v="167"/>
    <s v="REVENUS"/>
    <x v="5"/>
    <s v="4061.000"/>
    <s v="Impôt sur les chiens"/>
    <n v="0"/>
    <n v="-480"/>
    <n v="4061"/>
  </r>
  <r>
    <x v="0"/>
    <x v="3"/>
    <x v="3"/>
    <x v="197"/>
    <x v="167"/>
    <x v="167"/>
    <s v="REVENUS"/>
    <x v="3"/>
    <s v="4002.002"/>
    <s v="Impôt complémentaire s/fortune PP"/>
    <n v="0"/>
    <n v="5536.95"/>
    <n v="4002"/>
  </r>
  <r>
    <x v="0"/>
    <x v="3"/>
    <x v="3"/>
    <x v="197"/>
    <x v="167"/>
    <x v="167"/>
    <s v="REVENUS"/>
    <x v="3"/>
    <s v="4002.002"/>
    <s v="Impôt complémentaire s/fortune PP"/>
    <n v="0"/>
    <n v="1652.2"/>
    <n v="4002"/>
  </r>
  <r>
    <x v="0"/>
    <x v="3"/>
    <x v="3"/>
    <x v="197"/>
    <x v="167"/>
    <x v="167"/>
    <s v="REVENUS"/>
    <x v="7"/>
    <s v="4184.000"/>
    <s v="Frais de poursuite"/>
    <n v="0"/>
    <n v="1.1499999999999999"/>
    <n v="4184"/>
  </r>
  <r>
    <x v="0"/>
    <x v="3"/>
    <x v="3"/>
    <x v="197"/>
    <x v="167"/>
    <x v="167"/>
    <s v="REVENUS"/>
    <x v="4"/>
    <s v="4051.002"/>
    <s v="Impôt sur les donations"/>
    <n v="0"/>
    <n v="12921.3"/>
    <n v="4051"/>
  </r>
  <r>
    <x v="0"/>
    <x v="3"/>
    <x v="3"/>
    <x v="197"/>
    <x v="167"/>
    <x v="167"/>
    <s v="REVENUS"/>
    <x v="6"/>
    <s v="4211.002"/>
    <s v="Intérêts de retard sur acomptes"/>
    <n v="0"/>
    <n v="-0.01"/>
    <n v="4211"/>
  </r>
  <r>
    <x v="0"/>
    <x v="3"/>
    <x v="3"/>
    <x v="197"/>
    <x v="167"/>
    <x v="167"/>
    <s v="REVENUS"/>
    <x v="6"/>
    <s v="4221.003"/>
    <s v="Intérêts compensat. / acomptes en faveur du fisc"/>
    <n v="0"/>
    <n v="0.3"/>
    <n v="4221"/>
  </r>
  <r>
    <x v="0"/>
    <x v="3"/>
    <x v="3"/>
    <x v="197"/>
    <x v="167"/>
    <x v="167"/>
    <s v="REVENUS"/>
    <x v="6"/>
    <s v="4211.001"/>
    <s v="Intérêts de retard sur factures"/>
    <n v="0"/>
    <n v="129.75"/>
    <n v="4211"/>
  </r>
  <r>
    <x v="0"/>
    <x v="3"/>
    <x v="3"/>
    <x v="197"/>
    <x v="167"/>
    <x v="167"/>
    <s v="REVENUS"/>
    <x v="2"/>
    <s v="4001.001"/>
    <s v="Impôt revenu"/>
    <n v="0"/>
    <n v="1821.2"/>
    <n v="4001"/>
  </r>
  <r>
    <x v="0"/>
    <x v="3"/>
    <x v="3"/>
    <x v="197"/>
    <x v="167"/>
    <x v="167"/>
    <s v="REVENUS"/>
    <x v="4"/>
    <s v="4051.001"/>
    <s v="Impôt sur les successions"/>
    <n v="0"/>
    <n v="237485.9"/>
    <n v="4051"/>
  </r>
  <r>
    <x v="0"/>
    <x v="3"/>
    <x v="3"/>
    <x v="197"/>
    <x v="167"/>
    <x v="167"/>
    <s v="REVENUS"/>
    <x v="2"/>
    <s v="4001.002"/>
    <s v="Impôt complément s/revenu PP"/>
    <n v="0"/>
    <n v="4080.3"/>
    <n v="4001"/>
  </r>
  <r>
    <x v="0"/>
    <x v="3"/>
    <x v="3"/>
    <x v="197"/>
    <x v="167"/>
    <x v="167"/>
    <s v="REVENUS"/>
    <x v="6"/>
    <s v="4211.001"/>
    <s v="Intérêts de retard sur factures"/>
    <n v="0"/>
    <n v="11.46"/>
    <n v="4211"/>
  </r>
  <r>
    <x v="0"/>
    <x v="3"/>
    <x v="3"/>
    <x v="197"/>
    <x v="167"/>
    <x v="167"/>
    <s v="REVENUS"/>
    <x v="3"/>
    <s v="4002.002"/>
    <s v="Impôt complémentaire s/fortune PP"/>
    <n v="0"/>
    <n v="305.25"/>
    <n v="4002"/>
  </r>
  <r>
    <x v="0"/>
    <x v="3"/>
    <x v="3"/>
    <x v="197"/>
    <x v="167"/>
    <x v="167"/>
    <s v="REVENUS"/>
    <x v="9"/>
    <s v="4031.002"/>
    <s v="Complément impôt sur les gains immobiliers"/>
    <n v="0"/>
    <n v="18839.349999999999"/>
    <n v="4031"/>
  </r>
  <r>
    <x v="0"/>
    <x v="3"/>
    <x v="3"/>
    <x v="197"/>
    <x v="167"/>
    <x v="167"/>
    <s v="REVENUS"/>
    <x v="2"/>
    <s v="4001.002"/>
    <s v="Impôt complément s/revenu PP"/>
    <n v="0"/>
    <n v="3426.4"/>
    <n v="4001"/>
  </r>
  <r>
    <x v="0"/>
    <x v="3"/>
    <x v="3"/>
    <x v="197"/>
    <x v="167"/>
    <x v="167"/>
    <s v="REVENUS"/>
    <x v="6"/>
    <s v="4221.003"/>
    <s v="Intérêts compensat. / acomptes en faveur du fisc"/>
    <n v="0"/>
    <n v="0.02"/>
    <n v="4221"/>
  </r>
  <r>
    <x v="0"/>
    <x v="3"/>
    <x v="3"/>
    <x v="197"/>
    <x v="167"/>
    <x v="167"/>
    <s v="REVENUS"/>
    <x v="7"/>
    <s v="4184.000"/>
    <s v="Frais de poursuite"/>
    <n v="0"/>
    <n v="10.16"/>
    <n v="4184"/>
  </r>
  <r>
    <x v="0"/>
    <x v="3"/>
    <x v="3"/>
    <x v="197"/>
    <x v="167"/>
    <x v="167"/>
    <s v="REVENUS"/>
    <x v="3"/>
    <s v="4002.002"/>
    <s v="Impôt complémentaire s/fortune PP"/>
    <n v="0"/>
    <n v="-3732.15"/>
    <n v="4002"/>
  </r>
  <r>
    <x v="0"/>
    <x v="4"/>
    <x v="4"/>
    <x v="198"/>
    <x v="168"/>
    <x v="168"/>
    <s v="CHARGES"/>
    <x v="0"/>
    <s v="3212.004"/>
    <s v="Intérêts rémun./perçu trop tôt sur acomptes C/C"/>
    <n v="144.24"/>
    <n v="0"/>
    <n v="3212"/>
  </r>
  <r>
    <x v="0"/>
    <x v="4"/>
    <x v="4"/>
    <x v="198"/>
    <x v="168"/>
    <x v="168"/>
    <s v="CHARGES"/>
    <x v="0"/>
    <s v="3221.002"/>
    <s v="Intérêts compensatoires / créances en faveur ctb."/>
    <n v="130.47999999999999"/>
    <n v="0"/>
    <n v="3221"/>
  </r>
  <r>
    <x v="0"/>
    <x v="4"/>
    <x v="4"/>
    <x v="198"/>
    <x v="168"/>
    <x v="168"/>
    <s v="CHARGES"/>
    <x v="1"/>
    <s v="3301.001"/>
    <s v="Défalcations, abandons de solde PP et IS"/>
    <n v="2760.04"/>
    <n v="0"/>
    <n v="3301"/>
  </r>
  <r>
    <x v="0"/>
    <x v="4"/>
    <x v="4"/>
    <x v="198"/>
    <x v="168"/>
    <x v="168"/>
    <s v="CHARGES"/>
    <x v="0"/>
    <s v="3212.004"/>
    <s v="Intérêts rémun./perçu trop tôt sur acomptes C/C"/>
    <n v="0.2"/>
    <n v="0"/>
    <n v="3212"/>
  </r>
  <r>
    <x v="0"/>
    <x v="4"/>
    <x v="4"/>
    <x v="198"/>
    <x v="168"/>
    <x v="168"/>
    <s v="CHARGES"/>
    <x v="1"/>
    <s v="3301.001"/>
    <s v="Défalcations, abandons de solde PP et IS"/>
    <n v="0.02"/>
    <n v="0"/>
    <n v="3301"/>
  </r>
  <r>
    <x v="0"/>
    <x v="4"/>
    <x v="4"/>
    <x v="198"/>
    <x v="168"/>
    <x v="168"/>
    <s v="CHARGES"/>
    <x v="0"/>
    <s v="3212.004"/>
    <s v="Intérêts rémun./perçu trop tôt sur acomptes C/C"/>
    <n v="2.46"/>
    <n v="0"/>
    <n v="3212"/>
  </r>
  <r>
    <x v="0"/>
    <x v="4"/>
    <x v="4"/>
    <x v="198"/>
    <x v="168"/>
    <x v="168"/>
    <s v="CHARGES"/>
    <x v="0"/>
    <s v="3221.002"/>
    <s v="Intérêts compensatoires / créances en faveur ctb."/>
    <n v="1.8"/>
    <n v="0"/>
    <n v="3221"/>
  </r>
  <r>
    <x v="0"/>
    <x v="4"/>
    <x v="4"/>
    <x v="198"/>
    <x v="168"/>
    <x v="168"/>
    <s v="CHARGES"/>
    <x v="1"/>
    <s v="3301.001"/>
    <s v="Défalcations, abandons de solde PP et IS"/>
    <n v="0.05"/>
    <n v="0"/>
    <n v="3301"/>
  </r>
  <r>
    <x v="0"/>
    <x v="4"/>
    <x v="4"/>
    <x v="198"/>
    <x v="168"/>
    <x v="168"/>
    <s v="CHARGES"/>
    <x v="0"/>
    <s v="3212.004"/>
    <s v="Intérêts rémun./perçu trop tôt sur acomptes C/C"/>
    <n v="2.09"/>
    <n v="0"/>
    <n v="3212"/>
  </r>
  <r>
    <x v="0"/>
    <x v="4"/>
    <x v="4"/>
    <x v="198"/>
    <x v="168"/>
    <x v="168"/>
    <s v="CHARGES"/>
    <x v="1"/>
    <s v="3301.001"/>
    <s v="Défalcations, abandons de solde PP et IS"/>
    <n v="0.24"/>
    <n v="0"/>
    <n v="3301"/>
  </r>
  <r>
    <x v="0"/>
    <x v="4"/>
    <x v="4"/>
    <x v="198"/>
    <x v="168"/>
    <x v="168"/>
    <s v="CHARGES"/>
    <x v="0"/>
    <s v="3212.002"/>
    <s v="Intérêts bonifiés/trop perçu acompte C/C"/>
    <n v="0.76"/>
    <n v="0"/>
    <n v="3212"/>
  </r>
  <r>
    <x v="0"/>
    <x v="4"/>
    <x v="4"/>
    <x v="198"/>
    <x v="168"/>
    <x v="168"/>
    <s v="CHARGES"/>
    <x v="1"/>
    <s v="3301.003"/>
    <s v="Remises PP et IS"/>
    <n v="11953.55"/>
    <n v="0"/>
    <n v="3301"/>
  </r>
  <r>
    <x v="0"/>
    <x v="4"/>
    <x v="4"/>
    <x v="198"/>
    <x v="168"/>
    <x v="168"/>
    <s v="CHARGES"/>
    <x v="0"/>
    <s v="3221.002"/>
    <s v="Intérêts compensatoires / créances en faveur ctb."/>
    <n v="7.0000000000000007E-2"/>
    <n v="0"/>
    <n v="3221"/>
  </r>
  <r>
    <x v="0"/>
    <x v="4"/>
    <x v="4"/>
    <x v="198"/>
    <x v="168"/>
    <x v="168"/>
    <s v="CHARGES"/>
    <x v="1"/>
    <s v="3301.001"/>
    <s v="Défalcations, abandons de solde PP et IS"/>
    <n v="27156.61"/>
    <n v="0"/>
    <n v="3301"/>
  </r>
  <r>
    <x v="0"/>
    <x v="4"/>
    <x v="4"/>
    <x v="198"/>
    <x v="168"/>
    <x v="168"/>
    <s v="REVENUS"/>
    <x v="2"/>
    <s v="4001.001"/>
    <s v="Impôt revenu"/>
    <n v="0"/>
    <n v="555622.25"/>
    <n v="4001"/>
  </r>
  <r>
    <x v="0"/>
    <x v="4"/>
    <x v="4"/>
    <x v="198"/>
    <x v="168"/>
    <x v="168"/>
    <s v="REVENUS"/>
    <x v="2"/>
    <s v="4001.007"/>
    <s v="Acompte impôt sur revenu"/>
    <n v="0"/>
    <n v="-60456.08"/>
    <n v="4001"/>
  </r>
  <r>
    <x v="0"/>
    <x v="4"/>
    <x v="4"/>
    <x v="198"/>
    <x v="168"/>
    <x v="168"/>
    <s v="REVENUS"/>
    <x v="3"/>
    <s v="4002.001"/>
    <s v="Impôt ordinaire s/fortune PP"/>
    <n v="0"/>
    <n v="57690.5"/>
    <n v="4002"/>
  </r>
  <r>
    <x v="0"/>
    <x v="4"/>
    <x v="4"/>
    <x v="198"/>
    <x v="168"/>
    <x v="168"/>
    <s v="REVENUS"/>
    <x v="3"/>
    <s v="4002.007"/>
    <s v="Acompte impôt sur fortune"/>
    <n v="0"/>
    <n v="-11229.54"/>
    <n v="4002"/>
  </r>
  <r>
    <x v="0"/>
    <x v="4"/>
    <x v="4"/>
    <x v="198"/>
    <x v="168"/>
    <x v="168"/>
    <s v="REVENUS"/>
    <x v="10"/>
    <s v="4041.001"/>
    <s v="Droits de mutation"/>
    <n v="0"/>
    <n v="41969.2"/>
    <n v="4041"/>
  </r>
  <r>
    <x v="0"/>
    <x v="4"/>
    <x v="4"/>
    <x v="198"/>
    <x v="168"/>
    <x v="168"/>
    <s v="REVENUS"/>
    <x v="6"/>
    <s v="4211.002"/>
    <s v="Intérêts de retard sur acomptes"/>
    <n v="0"/>
    <n v="3860.22"/>
    <n v="4211"/>
  </r>
  <r>
    <x v="0"/>
    <x v="4"/>
    <x v="4"/>
    <x v="198"/>
    <x v="168"/>
    <x v="168"/>
    <s v="REVENUS"/>
    <x v="6"/>
    <s v="4221.003"/>
    <s v="Intérêts compensat. / acomptes en faveur du fisc"/>
    <n v="0"/>
    <n v="74.83"/>
    <n v="4221"/>
  </r>
  <r>
    <x v="0"/>
    <x v="4"/>
    <x v="4"/>
    <x v="198"/>
    <x v="168"/>
    <x v="168"/>
    <s v="REVENUS"/>
    <x v="6"/>
    <s v="4211.002"/>
    <s v="Intérêts de retard sur acomptes"/>
    <n v="0"/>
    <n v="4.0599999999999996"/>
    <n v="4211"/>
  </r>
  <r>
    <x v="0"/>
    <x v="4"/>
    <x v="4"/>
    <x v="198"/>
    <x v="168"/>
    <x v="168"/>
    <s v="REVENUS"/>
    <x v="6"/>
    <s v="4221.003"/>
    <s v="Intérêts compensat. / acomptes en faveur du fisc"/>
    <n v="0"/>
    <n v="0.02"/>
    <n v="4221"/>
  </r>
  <r>
    <x v="0"/>
    <x v="4"/>
    <x v="4"/>
    <x v="198"/>
    <x v="168"/>
    <x v="168"/>
    <s v="REVENUS"/>
    <x v="2"/>
    <s v="4001.001"/>
    <s v="Impôt revenu"/>
    <n v="0"/>
    <n v="867.45"/>
    <n v="4001"/>
  </r>
  <r>
    <x v="0"/>
    <x v="4"/>
    <x v="4"/>
    <x v="198"/>
    <x v="168"/>
    <x v="168"/>
    <s v="REVENUS"/>
    <x v="2"/>
    <s v="4001.007"/>
    <s v="Acompte impôt sur revenu"/>
    <n v="0"/>
    <n v="-962.93"/>
    <n v="4001"/>
  </r>
  <r>
    <x v="0"/>
    <x v="4"/>
    <x v="4"/>
    <x v="198"/>
    <x v="168"/>
    <x v="168"/>
    <s v="REVENUS"/>
    <x v="3"/>
    <s v="4002.001"/>
    <s v="Impôt ordinaire s/fortune PP"/>
    <n v="0"/>
    <n v="1593.9"/>
    <n v="4002"/>
  </r>
  <r>
    <x v="0"/>
    <x v="4"/>
    <x v="4"/>
    <x v="198"/>
    <x v="168"/>
    <x v="168"/>
    <s v="REVENUS"/>
    <x v="3"/>
    <s v="4002.007"/>
    <s v="Acompte impôt sur fortune"/>
    <n v="0"/>
    <n v="-526.35"/>
    <n v="4002"/>
  </r>
  <r>
    <x v="0"/>
    <x v="4"/>
    <x v="4"/>
    <x v="198"/>
    <x v="168"/>
    <x v="168"/>
    <s v="REVENUS"/>
    <x v="6"/>
    <s v="4211.002"/>
    <s v="Intérêts de retard sur acomptes"/>
    <n v="0"/>
    <n v="13.78"/>
    <n v="4211"/>
  </r>
  <r>
    <x v="0"/>
    <x v="4"/>
    <x v="4"/>
    <x v="198"/>
    <x v="168"/>
    <x v="168"/>
    <s v="REVENUS"/>
    <x v="6"/>
    <s v="4221.003"/>
    <s v="Intérêts compensat. / acomptes en faveur du fisc"/>
    <n v="0"/>
    <n v="0.05"/>
    <n v="4221"/>
  </r>
  <r>
    <x v="0"/>
    <x v="4"/>
    <x v="4"/>
    <x v="198"/>
    <x v="168"/>
    <x v="168"/>
    <s v="REVENUS"/>
    <x v="6"/>
    <s v="4211.001"/>
    <s v="Intérêts de retard sur factures"/>
    <n v="0"/>
    <n v="2444"/>
    <n v="4211"/>
  </r>
  <r>
    <x v="0"/>
    <x v="4"/>
    <x v="4"/>
    <x v="198"/>
    <x v="168"/>
    <x v="168"/>
    <s v="REVENUS"/>
    <x v="2"/>
    <s v="4001.007"/>
    <s v="Acompte impôt sur revenu"/>
    <n v="0"/>
    <n v="-744.3"/>
    <n v="4001"/>
  </r>
  <r>
    <x v="0"/>
    <x v="4"/>
    <x v="4"/>
    <x v="198"/>
    <x v="168"/>
    <x v="168"/>
    <s v="REVENUS"/>
    <x v="3"/>
    <s v="4002.007"/>
    <s v="Acompte impôt sur fortune"/>
    <n v="0"/>
    <n v="-135.05000000000001"/>
    <n v="4002"/>
  </r>
  <r>
    <x v="0"/>
    <x v="4"/>
    <x v="4"/>
    <x v="198"/>
    <x v="168"/>
    <x v="168"/>
    <s v="REVENUS"/>
    <x v="2"/>
    <s v="4001.001"/>
    <s v="Impôt revenu"/>
    <n v="0"/>
    <n v="4553.2"/>
    <n v="4001"/>
  </r>
  <r>
    <x v="0"/>
    <x v="4"/>
    <x v="4"/>
    <x v="198"/>
    <x v="168"/>
    <x v="168"/>
    <s v="REVENUS"/>
    <x v="3"/>
    <s v="4002.001"/>
    <s v="Impôt ordinaire s/fortune PP"/>
    <n v="0"/>
    <n v="2074.85"/>
    <n v="4002"/>
  </r>
  <r>
    <x v="0"/>
    <x v="4"/>
    <x v="4"/>
    <x v="198"/>
    <x v="168"/>
    <x v="168"/>
    <s v="REVENUS"/>
    <x v="7"/>
    <s v="4184.000"/>
    <s v="Frais de poursuite"/>
    <n v="0"/>
    <n v="265.55"/>
    <n v="4184"/>
  </r>
  <r>
    <x v="0"/>
    <x v="4"/>
    <x v="4"/>
    <x v="198"/>
    <x v="168"/>
    <x v="168"/>
    <s v="REVENUS"/>
    <x v="6"/>
    <s v="4221.003"/>
    <s v="Intérêts compensat. / acomptes en faveur du fisc"/>
    <n v="0"/>
    <n v="0.24"/>
    <n v="4221"/>
  </r>
  <r>
    <x v="0"/>
    <x v="4"/>
    <x v="4"/>
    <x v="198"/>
    <x v="168"/>
    <x v="168"/>
    <s v="REVENUS"/>
    <x v="8"/>
    <s v="4091.001"/>
    <s v="Impôt récupéré après défalcations"/>
    <n v="0"/>
    <n v="27156.61"/>
    <n v="4091"/>
  </r>
  <r>
    <x v="0"/>
    <x v="4"/>
    <x v="4"/>
    <x v="198"/>
    <x v="168"/>
    <x v="168"/>
    <s v="REVENUS"/>
    <x v="2"/>
    <s v="4001.007"/>
    <s v="Acompte impôt sur revenu"/>
    <n v="0"/>
    <n v="1097.03"/>
    <n v="4001"/>
  </r>
  <r>
    <x v="0"/>
    <x v="4"/>
    <x v="4"/>
    <x v="198"/>
    <x v="168"/>
    <x v="168"/>
    <s v="REVENUS"/>
    <x v="3"/>
    <s v="4002.007"/>
    <s v="Acompte impôt sur fortune"/>
    <n v="0"/>
    <n v="135.52000000000001"/>
    <n v="4002"/>
  </r>
  <r>
    <x v="0"/>
    <x v="4"/>
    <x v="4"/>
    <x v="198"/>
    <x v="168"/>
    <x v="168"/>
    <s v="REVENUS"/>
    <x v="2"/>
    <s v="4001.007"/>
    <s v="Acompte impôt sur revenu"/>
    <n v="0"/>
    <n v="-1.55"/>
    <n v="4001"/>
  </r>
  <r>
    <x v="0"/>
    <x v="4"/>
    <x v="4"/>
    <x v="198"/>
    <x v="168"/>
    <x v="168"/>
    <s v="REVENUS"/>
    <x v="3"/>
    <s v="4002.007"/>
    <s v="Acompte impôt sur fortune"/>
    <n v="0"/>
    <n v="0"/>
    <n v="4002"/>
  </r>
  <r>
    <x v="0"/>
    <x v="4"/>
    <x v="4"/>
    <x v="198"/>
    <x v="168"/>
    <x v="168"/>
    <s v="REVENUS"/>
    <x v="2"/>
    <s v="4001.007"/>
    <s v="Acompte impôt sur revenu"/>
    <n v="0"/>
    <n v="2046.85"/>
    <n v="4001"/>
  </r>
  <r>
    <x v="0"/>
    <x v="4"/>
    <x v="4"/>
    <x v="198"/>
    <x v="168"/>
    <x v="168"/>
    <s v="REVENUS"/>
    <x v="3"/>
    <s v="4002.007"/>
    <s v="Acompte impôt sur fortune"/>
    <n v="0"/>
    <n v="-417.55"/>
    <n v="4002"/>
  </r>
  <r>
    <x v="0"/>
    <x v="4"/>
    <x v="4"/>
    <x v="198"/>
    <x v="168"/>
    <x v="168"/>
    <s v="REVENUS"/>
    <x v="2"/>
    <s v="4001.007"/>
    <s v="Acompte impôt sur revenu"/>
    <n v="0"/>
    <n v="5.5"/>
    <n v="4001"/>
  </r>
  <r>
    <x v="0"/>
    <x v="4"/>
    <x v="4"/>
    <x v="198"/>
    <x v="168"/>
    <x v="168"/>
    <s v="REVENUS"/>
    <x v="3"/>
    <s v="4002.007"/>
    <s v="Acompte impôt sur fortune"/>
    <n v="0"/>
    <n v="-0.1"/>
    <n v="4002"/>
  </r>
  <r>
    <x v="0"/>
    <x v="4"/>
    <x v="4"/>
    <x v="198"/>
    <x v="168"/>
    <x v="168"/>
    <s v="REVENUS"/>
    <x v="2"/>
    <s v="4001.003"/>
    <s v="Impôt s/prest. cap. PP"/>
    <n v="0"/>
    <n v="22781.200000000001"/>
    <n v="4001"/>
  </r>
  <r>
    <x v="0"/>
    <x v="4"/>
    <x v="4"/>
    <x v="198"/>
    <x v="168"/>
    <x v="168"/>
    <s v="REVENUS"/>
    <x v="6"/>
    <s v="4221.002"/>
    <s v="Intérêts compensat. sur impôts distincts"/>
    <n v="0"/>
    <n v="17.53"/>
    <n v="4221"/>
  </r>
  <r>
    <x v="0"/>
    <x v="4"/>
    <x v="4"/>
    <x v="198"/>
    <x v="168"/>
    <x v="168"/>
    <s v="REVENUS"/>
    <x v="7"/>
    <s v="4184.000"/>
    <s v="Frais de poursuite"/>
    <n v="0"/>
    <n v="326.60000000000002"/>
    <n v="4184"/>
  </r>
  <r>
    <x v="0"/>
    <x v="4"/>
    <x v="4"/>
    <x v="198"/>
    <x v="168"/>
    <x v="168"/>
    <s v="REVENUS"/>
    <x v="2"/>
    <s v="4001.002"/>
    <s v="Impôt complément s/revenu PP"/>
    <n v="0"/>
    <n v="31154.1"/>
    <n v="4001"/>
  </r>
  <r>
    <x v="0"/>
    <x v="4"/>
    <x v="4"/>
    <x v="198"/>
    <x v="168"/>
    <x v="168"/>
    <s v="REVENUS"/>
    <x v="3"/>
    <s v="4002.002"/>
    <s v="Impôt complémentaire s/fortune PP"/>
    <n v="0"/>
    <n v="20926.7"/>
    <n v="4002"/>
  </r>
  <r>
    <x v="0"/>
    <x v="4"/>
    <x v="4"/>
    <x v="198"/>
    <x v="168"/>
    <x v="168"/>
    <s v="REVENUS"/>
    <x v="6"/>
    <s v="4211.001"/>
    <s v="Intérêts de retard sur factures"/>
    <n v="0"/>
    <n v="0.36"/>
    <n v="4211"/>
  </r>
  <r>
    <x v="0"/>
    <x v="4"/>
    <x v="4"/>
    <x v="198"/>
    <x v="168"/>
    <x v="168"/>
    <s v="REVENUS"/>
    <x v="2"/>
    <s v="4001.001"/>
    <s v="Impôt revenu"/>
    <n v="0"/>
    <n v="205.35"/>
    <n v="4001"/>
  </r>
  <r>
    <x v="0"/>
    <x v="4"/>
    <x v="4"/>
    <x v="198"/>
    <x v="168"/>
    <x v="168"/>
    <s v="REVENUS"/>
    <x v="3"/>
    <s v="4002.001"/>
    <s v="Impôt ordinaire s/fortune PP"/>
    <n v="0"/>
    <n v="9.4"/>
    <n v="4002"/>
  </r>
  <r>
    <x v="0"/>
    <x v="4"/>
    <x v="4"/>
    <x v="198"/>
    <x v="168"/>
    <x v="168"/>
    <s v="REVENUS"/>
    <x v="9"/>
    <s v="4031.001"/>
    <s v="Impôt sur les gains immobiliers"/>
    <n v="0"/>
    <n v="60938.6"/>
    <n v="4031"/>
  </r>
  <r>
    <x v="0"/>
    <x v="4"/>
    <x v="4"/>
    <x v="198"/>
    <x v="168"/>
    <x v="168"/>
    <s v="REVENUS"/>
    <x v="5"/>
    <s v="4061.000"/>
    <s v="Impôt sur les chiens"/>
    <n v="0"/>
    <n v="2150"/>
    <n v="4061"/>
  </r>
  <r>
    <x v="0"/>
    <x v="4"/>
    <x v="4"/>
    <x v="198"/>
    <x v="168"/>
    <x v="168"/>
    <s v="REVENUS"/>
    <x v="2"/>
    <s v="4001.001"/>
    <s v="Impôt revenu"/>
    <n v="0"/>
    <n v="161.05000000000001"/>
    <n v="4001"/>
  </r>
  <r>
    <x v="0"/>
    <x v="4"/>
    <x v="4"/>
    <x v="198"/>
    <x v="168"/>
    <x v="168"/>
    <s v="REVENUS"/>
    <x v="3"/>
    <s v="4002.001"/>
    <s v="Impôt ordinaire s/fortune PP"/>
    <n v="0"/>
    <n v="6.2"/>
    <n v="4002"/>
  </r>
  <r>
    <x v="0"/>
    <x v="4"/>
    <x v="4"/>
    <x v="198"/>
    <x v="168"/>
    <x v="168"/>
    <s v="REVENUS"/>
    <x v="2"/>
    <s v="4001.002"/>
    <s v="Impôt complément s/revenu PP"/>
    <n v="0"/>
    <n v="186.35"/>
    <n v="4001"/>
  </r>
  <r>
    <x v="0"/>
    <x v="4"/>
    <x v="4"/>
    <x v="198"/>
    <x v="168"/>
    <x v="168"/>
    <s v="REVENUS"/>
    <x v="3"/>
    <s v="4002.002"/>
    <s v="Impôt complémentaire s/fortune PP"/>
    <n v="0"/>
    <n v="20.350000000000001"/>
    <n v="4002"/>
  </r>
  <r>
    <x v="0"/>
    <x v="4"/>
    <x v="4"/>
    <x v="199"/>
    <x v="161"/>
    <x v="161"/>
    <s v="CHARGES"/>
    <x v="1"/>
    <s v="3301.001"/>
    <s v="Défalcations, abandons de solde PP et IS"/>
    <n v="1.65"/>
    <n v="0"/>
    <n v="3301"/>
  </r>
  <r>
    <x v="0"/>
    <x v="4"/>
    <x v="4"/>
    <x v="199"/>
    <x v="161"/>
    <x v="161"/>
    <s v="CHARGES"/>
    <x v="0"/>
    <s v="3212.004"/>
    <s v="Intérêts rémun./perçu trop tôt sur acomptes C/C"/>
    <n v="-1.46"/>
    <n v="0"/>
    <n v="3212"/>
  </r>
  <r>
    <x v="0"/>
    <x v="4"/>
    <x v="4"/>
    <x v="199"/>
    <x v="161"/>
    <x v="161"/>
    <s v="CHARGES"/>
    <x v="0"/>
    <s v="3221.002"/>
    <s v="Intérêts compensatoires / créances en faveur ctb."/>
    <n v="-0.47"/>
    <n v="0"/>
    <n v="3221"/>
  </r>
  <r>
    <x v="0"/>
    <x v="4"/>
    <x v="4"/>
    <x v="199"/>
    <x v="161"/>
    <x v="161"/>
    <s v="REVENUS"/>
    <x v="6"/>
    <s v="4211.001"/>
    <s v="Intérêts de retard sur factures"/>
    <n v="0"/>
    <n v="101.1"/>
    <n v="4211"/>
  </r>
  <r>
    <x v="0"/>
    <x v="4"/>
    <x v="4"/>
    <x v="199"/>
    <x v="161"/>
    <x v="161"/>
    <s v="REVENUS"/>
    <x v="7"/>
    <s v="4184.000"/>
    <s v="Frais de poursuite"/>
    <n v="0"/>
    <n v="53.18"/>
    <n v="4184"/>
  </r>
  <r>
    <x v="0"/>
    <x v="4"/>
    <x v="4"/>
    <x v="199"/>
    <x v="161"/>
    <x v="161"/>
    <s v="REVENUS"/>
    <x v="2"/>
    <s v="4001.001"/>
    <s v="Impôt revenu"/>
    <n v="0"/>
    <n v="-9601.5"/>
    <n v="4001"/>
  </r>
  <r>
    <x v="0"/>
    <x v="4"/>
    <x v="4"/>
    <x v="199"/>
    <x v="161"/>
    <x v="161"/>
    <s v="REVENUS"/>
    <x v="2"/>
    <s v="4001.002"/>
    <s v="Impôt complément s/revenu PP"/>
    <n v="0"/>
    <n v="9901.75"/>
    <n v="4001"/>
  </r>
  <r>
    <x v="0"/>
    <x v="4"/>
    <x v="4"/>
    <x v="199"/>
    <x v="161"/>
    <x v="161"/>
    <s v="REVENUS"/>
    <x v="3"/>
    <s v="4002.001"/>
    <s v="Impôt ordinaire s/fortune PP"/>
    <n v="0"/>
    <n v="-66.25"/>
    <n v="4002"/>
  </r>
  <r>
    <x v="0"/>
    <x v="4"/>
    <x v="4"/>
    <x v="199"/>
    <x v="161"/>
    <x v="161"/>
    <s v="REVENUS"/>
    <x v="3"/>
    <s v="4002.002"/>
    <s v="Impôt complémentaire s/fortune PP"/>
    <n v="0"/>
    <n v="253.85"/>
    <n v="4002"/>
  </r>
  <r>
    <x v="0"/>
    <x v="4"/>
    <x v="4"/>
    <x v="199"/>
    <x v="161"/>
    <x v="161"/>
    <s v="REVENUS"/>
    <x v="6"/>
    <s v="4211.002"/>
    <s v="Intérêts de retard sur acomptes"/>
    <n v="0"/>
    <n v="0.02"/>
    <n v="4211"/>
  </r>
  <r>
    <x v="0"/>
    <x v="3"/>
    <x v="3"/>
    <x v="200"/>
    <x v="169"/>
    <x v="169"/>
    <s v="CHARGES"/>
    <x v="0"/>
    <s v="3212.004"/>
    <s v="Intérêts rémun./perçu trop tôt sur acomptes C/C"/>
    <n v="98.85"/>
    <n v="0"/>
    <n v="3212"/>
  </r>
  <r>
    <x v="0"/>
    <x v="3"/>
    <x v="3"/>
    <x v="200"/>
    <x v="169"/>
    <x v="169"/>
    <s v="CHARGES"/>
    <x v="0"/>
    <s v="3221.002"/>
    <s v="Intérêts compensatoires / créances en faveur ctb."/>
    <n v="34.9"/>
    <n v="0"/>
    <n v="3221"/>
  </r>
  <r>
    <x v="0"/>
    <x v="3"/>
    <x v="3"/>
    <x v="200"/>
    <x v="169"/>
    <x v="169"/>
    <s v="CHARGES"/>
    <x v="1"/>
    <s v="3301.001"/>
    <s v="Défalcations, abandons de solde PP et IS"/>
    <n v="2717.33"/>
    <n v="0"/>
    <n v="3301"/>
  </r>
  <r>
    <x v="0"/>
    <x v="3"/>
    <x v="3"/>
    <x v="200"/>
    <x v="169"/>
    <x v="169"/>
    <s v="CHARGES"/>
    <x v="0"/>
    <s v="3212.002"/>
    <s v="Intérêts bonifiés/trop perçu acompte C/C"/>
    <n v="0.13"/>
    <n v="0"/>
    <n v="3212"/>
  </r>
  <r>
    <x v="0"/>
    <x v="3"/>
    <x v="3"/>
    <x v="200"/>
    <x v="169"/>
    <x v="169"/>
    <s v="CHARGES"/>
    <x v="0"/>
    <s v="3212.004"/>
    <s v="Intérêts rémun./perçu trop tôt sur acomptes C/C"/>
    <n v="2.4300000000000002"/>
    <n v="0"/>
    <n v="3212"/>
  </r>
  <r>
    <x v="0"/>
    <x v="3"/>
    <x v="3"/>
    <x v="200"/>
    <x v="169"/>
    <x v="169"/>
    <s v="REVENUS"/>
    <x v="2"/>
    <s v="4001.007"/>
    <s v="Acompte impôt sur revenu"/>
    <n v="0"/>
    <n v="-112546.88"/>
    <n v="4001"/>
  </r>
  <r>
    <x v="0"/>
    <x v="3"/>
    <x v="3"/>
    <x v="200"/>
    <x v="169"/>
    <x v="169"/>
    <s v="REVENUS"/>
    <x v="3"/>
    <s v="4002.007"/>
    <s v="Acompte impôt sur fortune"/>
    <n v="0"/>
    <n v="-15689.16"/>
    <n v="4002"/>
  </r>
  <r>
    <x v="0"/>
    <x v="3"/>
    <x v="3"/>
    <x v="200"/>
    <x v="169"/>
    <x v="169"/>
    <s v="REVENUS"/>
    <x v="2"/>
    <s v="4001.001"/>
    <s v="Impôt revenu"/>
    <n v="0"/>
    <n v="282683.09999999998"/>
    <n v="4001"/>
  </r>
  <r>
    <x v="0"/>
    <x v="3"/>
    <x v="3"/>
    <x v="200"/>
    <x v="169"/>
    <x v="169"/>
    <s v="REVENUS"/>
    <x v="3"/>
    <s v="4002.001"/>
    <s v="Impôt ordinaire s/fortune PP"/>
    <n v="0"/>
    <n v="32642"/>
    <n v="4002"/>
  </r>
  <r>
    <x v="0"/>
    <x v="3"/>
    <x v="3"/>
    <x v="200"/>
    <x v="169"/>
    <x v="169"/>
    <s v="REVENUS"/>
    <x v="6"/>
    <s v="4221.003"/>
    <s v="Intérêts compensat. / acomptes en faveur du fisc"/>
    <n v="0"/>
    <n v="57.06"/>
    <n v="4221"/>
  </r>
  <r>
    <x v="0"/>
    <x v="3"/>
    <x v="3"/>
    <x v="200"/>
    <x v="169"/>
    <x v="169"/>
    <s v="REVENUS"/>
    <x v="7"/>
    <s v="4184.000"/>
    <s v="Frais de poursuite"/>
    <n v="0"/>
    <n v="662.29"/>
    <n v="4184"/>
  </r>
  <r>
    <x v="0"/>
    <x v="3"/>
    <x v="3"/>
    <x v="200"/>
    <x v="169"/>
    <x v="169"/>
    <s v="REVENUS"/>
    <x v="6"/>
    <s v="4211.002"/>
    <s v="Intérêts de retard sur acomptes"/>
    <n v="0"/>
    <n v="1515.96"/>
    <n v="4211"/>
  </r>
  <r>
    <x v="0"/>
    <x v="3"/>
    <x v="3"/>
    <x v="200"/>
    <x v="169"/>
    <x v="169"/>
    <s v="REVENUS"/>
    <x v="2"/>
    <s v="4001.007"/>
    <s v="Acompte impôt sur revenu"/>
    <n v="0"/>
    <n v="131976.10999999999"/>
    <n v="4001"/>
  </r>
  <r>
    <x v="0"/>
    <x v="3"/>
    <x v="3"/>
    <x v="200"/>
    <x v="169"/>
    <x v="169"/>
    <s v="REVENUS"/>
    <x v="6"/>
    <s v="4211.001"/>
    <s v="Intérêts de retard sur factures"/>
    <n v="0"/>
    <n v="663.6"/>
    <n v="4211"/>
  </r>
  <r>
    <x v="0"/>
    <x v="3"/>
    <x v="3"/>
    <x v="200"/>
    <x v="169"/>
    <x v="169"/>
    <s v="REVENUS"/>
    <x v="3"/>
    <s v="4002.007"/>
    <s v="Acompte impôt sur fortune"/>
    <n v="0"/>
    <n v="4523.34"/>
    <n v="4002"/>
  </r>
  <r>
    <x v="0"/>
    <x v="3"/>
    <x v="3"/>
    <x v="200"/>
    <x v="169"/>
    <x v="169"/>
    <s v="REVENUS"/>
    <x v="2"/>
    <s v="4001.002"/>
    <s v="Impôt complément s/revenu PP"/>
    <n v="0"/>
    <n v="7937.6"/>
    <n v="4001"/>
  </r>
  <r>
    <x v="0"/>
    <x v="3"/>
    <x v="3"/>
    <x v="200"/>
    <x v="169"/>
    <x v="169"/>
    <s v="REVENUS"/>
    <x v="3"/>
    <s v="4002.002"/>
    <s v="Impôt complémentaire s/fortune PP"/>
    <n v="0"/>
    <n v="410.95"/>
    <n v="4002"/>
  </r>
  <r>
    <x v="0"/>
    <x v="3"/>
    <x v="3"/>
    <x v="200"/>
    <x v="169"/>
    <x v="169"/>
    <s v="REVENUS"/>
    <x v="3"/>
    <s v="4002.007"/>
    <s v="Acompte impôt sur fortune"/>
    <n v="0"/>
    <n v="-1513.63"/>
    <n v="4002"/>
  </r>
  <r>
    <x v="0"/>
    <x v="3"/>
    <x v="3"/>
    <x v="200"/>
    <x v="169"/>
    <x v="169"/>
    <s v="REVENUS"/>
    <x v="2"/>
    <s v="4001.007"/>
    <s v="Acompte impôt sur revenu"/>
    <n v="0"/>
    <n v="77.25"/>
    <n v="4001"/>
  </r>
  <r>
    <x v="0"/>
    <x v="3"/>
    <x v="3"/>
    <x v="200"/>
    <x v="169"/>
    <x v="169"/>
    <s v="REVENUS"/>
    <x v="4"/>
    <s v="4051.001"/>
    <s v="Impôt sur les successions"/>
    <n v="0"/>
    <n v="1149.2"/>
    <n v="4051"/>
  </r>
  <r>
    <x v="0"/>
    <x v="3"/>
    <x v="3"/>
    <x v="200"/>
    <x v="169"/>
    <x v="169"/>
    <s v="REVENUS"/>
    <x v="6"/>
    <s v="4221.002"/>
    <s v="Intérêts compensat. sur impôts distincts"/>
    <n v="0"/>
    <n v="3.52"/>
    <n v="4221"/>
  </r>
  <r>
    <x v="0"/>
    <x v="3"/>
    <x v="3"/>
    <x v="200"/>
    <x v="169"/>
    <x v="169"/>
    <s v="REVENUS"/>
    <x v="2"/>
    <s v="4001.001"/>
    <s v="Impôt revenu"/>
    <n v="0"/>
    <n v="3704.8"/>
    <n v="4001"/>
  </r>
  <r>
    <x v="0"/>
    <x v="3"/>
    <x v="3"/>
    <x v="200"/>
    <x v="169"/>
    <x v="169"/>
    <s v="REVENUS"/>
    <x v="2"/>
    <s v="4001.003"/>
    <s v="Impôt s/prest. cap. PP"/>
    <n v="0"/>
    <n v="591.6"/>
    <n v="4001"/>
  </r>
  <r>
    <x v="0"/>
    <x v="3"/>
    <x v="3"/>
    <x v="200"/>
    <x v="169"/>
    <x v="169"/>
    <s v="REVENUS"/>
    <x v="3"/>
    <s v="4002.001"/>
    <s v="Impôt ordinaire s/fortune PP"/>
    <n v="0"/>
    <n v="873.7"/>
    <n v="4002"/>
  </r>
  <r>
    <x v="0"/>
    <x v="3"/>
    <x v="3"/>
    <x v="200"/>
    <x v="169"/>
    <x v="169"/>
    <s v="REVENUS"/>
    <x v="5"/>
    <s v="4061.000"/>
    <s v="Impôt sur les chiens"/>
    <n v="0"/>
    <n v="1225"/>
    <n v="4061"/>
  </r>
  <r>
    <x v="0"/>
    <x v="3"/>
    <x v="3"/>
    <x v="200"/>
    <x v="169"/>
    <x v="169"/>
    <s v="REVENUS"/>
    <x v="9"/>
    <s v="4031.001"/>
    <s v="Impôt sur les gains immobiliers"/>
    <n v="0"/>
    <n v="3217.9"/>
    <n v="4031"/>
  </r>
  <r>
    <x v="0"/>
    <x v="3"/>
    <x v="3"/>
    <x v="200"/>
    <x v="169"/>
    <x v="169"/>
    <s v="REVENUS"/>
    <x v="6"/>
    <s v="4211.002"/>
    <s v="Intérêts de retard sur acomptes"/>
    <n v="0"/>
    <n v="10.18"/>
    <n v="4211"/>
  </r>
  <r>
    <x v="0"/>
    <x v="3"/>
    <x v="3"/>
    <x v="201"/>
    <x v="170"/>
    <x v="170"/>
    <s v="CHARGES"/>
    <x v="1"/>
    <s v="3301.001"/>
    <s v="Défalcations, abandons de solde PP et IS"/>
    <n v="2512.0700000000002"/>
    <n v="0"/>
    <n v="3301"/>
  </r>
  <r>
    <x v="0"/>
    <x v="3"/>
    <x v="3"/>
    <x v="201"/>
    <x v="170"/>
    <x v="170"/>
    <s v="CHARGES"/>
    <x v="0"/>
    <s v="3212.004"/>
    <s v="Intérêts rémun./perçu trop tôt sur acomptes C/C"/>
    <n v="40.630000000000003"/>
    <n v="0"/>
    <n v="3212"/>
  </r>
  <r>
    <x v="0"/>
    <x v="3"/>
    <x v="3"/>
    <x v="201"/>
    <x v="170"/>
    <x v="170"/>
    <s v="CHARGES"/>
    <x v="0"/>
    <s v="3221.002"/>
    <s v="Intérêts compensatoires / créances en faveur ctb."/>
    <n v="31.82"/>
    <n v="0"/>
    <n v="3221"/>
  </r>
  <r>
    <x v="0"/>
    <x v="3"/>
    <x v="3"/>
    <x v="201"/>
    <x v="170"/>
    <x v="170"/>
    <s v="CHARGES"/>
    <x v="0"/>
    <s v="3212.004"/>
    <s v="Intérêts rémun./perçu trop tôt sur acomptes C/C"/>
    <n v="0.06"/>
    <n v="0"/>
    <n v="3212"/>
  </r>
  <r>
    <x v="0"/>
    <x v="3"/>
    <x v="3"/>
    <x v="201"/>
    <x v="170"/>
    <x v="170"/>
    <s v="CHARGES"/>
    <x v="0"/>
    <s v="3221.002"/>
    <s v="Intérêts compensatoires / créances en faveur ctb."/>
    <n v="0.1"/>
    <n v="0"/>
    <n v="3221"/>
  </r>
  <r>
    <x v="0"/>
    <x v="3"/>
    <x v="3"/>
    <x v="201"/>
    <x v="170"/>
    <x v="170"/>
    <s v="CHARGES"/>
    <x v="1"/>
    <s v="3301.001"/>
    <s v="Défalcations, abandons de solde PP et IS"/>
    <n v="0.48"/>
    <n v="0"/>
    <n v="3301"/>
  </r>
  <r>
    <x v="0"/>
    <x v="3"/>
    <x v="3"/>
    <x v="201"/>
    <x v="170"/>
    <x v="170"/>
    <s v="REVENUS"/>
    <x v="3"/>
    <s v="4002.001"/>
    <s v="Impôt ordinaire s/fortune PP"/>
    <n v="0"/>
    <n v="27905.7"/>
    <n v="4002"/>
  </r>
  <r>
    <x v="0"/>
    <x v="3"/>
    <x v="3"/>
    <x v="201"/>
    <x v="170"/>
    <x v="170"/>
    <s v="REVENUS"/>
    <x v="6"/>
    <s v="4211.001"/>
    <s v="Intérêts de retard sur factures"/>
    <n v="0"/>
    <n v="152.84"/>
    <n v="4211"/>
  </r>
  <r>
    <x v="0"/>
    <x v="3"/>
    <x v="3"/>
    <x v="201"/>
    <x v="170"/>
    <x v="170"/>
    <s v="REVENUS"/>
    <x v="6"/>
    <s v="4211.002"/>
    <s v="Intérêts de retard sur acomptes"/>
    <n v="0"/>
    <n v="226.71"/>
    <n v="4211"/>
  </r>
  <r>
    <x v="0"/>
    <x v="3"/>
    <x v="3"/>
    <x v="201"/>
    <x v="170"/>
    <x v="170"/>
    <s v="REVENUS"/>
    <x v="2"/>
    <s v="4001.007"/>
    <s v="Acompte impôt sur revenu"/>
    <n v="0"/>
    <n v="187062.59"/>
    <n v="4001"/>
  </r>
  <r>
    <x v="0"/>
    <x v="3"/>
    <x v="3"/>
    <x v="201"/>
    <x v="170"/>
    <x v="170"/>
    <s v="REVENUS"/>
    <x v="2"/>
    <s v="4001.007"/>
    <s v="Acompte impôt sur revenu"/>
    <n v="0"/>
    <n v="-71867.83"/>
    <n v="4001"/>
  </r>
  <r>
    <x v="0"/>
    <x v="3"/>
    <x v="3"/>
    <x v="201"/>
    <x v="170"/>
    <x v="170"/>
    <s v="REVENUS"/>
    <x v="3"/>
    <s v="4002.007"/>
    <s v="Acompte impôt sur fortune"/>
    <n v="0"/>
    <n v="-30824.13"/>
    <n v="4002"/>
  </r>
  <r>
    <x v="0"/>
    <x v="3"/>
    <x v="3"/>
    <x v="201"/>
    <x v="170"/>
    <x v="170"/>
    <s v="REVENUS"/>
    <x v="2"/>
    <s v="4001.001"/>
    <s v="Impôt revenu"/>
    <n v="0"/>
    <n v="125809.8"/>
    <n v="4001"/>
  </r>
  <r>
    <x v="0"/>
    <x v="3"/>
    <x v="3"/>
    <x v="201"/>
    <x v="170"/>
    <x v="170"/>
    <s v="REVENUS"/>
    <x v="3"/>
    <s v="4002.007"/>
    <s v="Acompte impôt sur fortune"/>
    <n v="0"/>
    <n v="70629.67"/>
    <n v="4002"/>
  </r>
  <r>
    <x v="0"/>
    <x v="3"/>
    <x v="3"/>
    <x v="201"/>
    <x v="170"/>
    <x v="170"/>
    <s v="REVENUS"/>
    <x v="6"/>
    <s v="4221.003"/>
    <s v="Intérêts compensat. / acomptes en faveur du fisc"/>
    <n v="0"/>
    <n v="102.05"/>
    <n v="4221"/>
  </r>
  <r>
    <x v="0"/>
    <x v="3"/>
    <x v="3"/>
    <x v="201"/>
    <x v="170"/>
    <x v="170"/>
    <s v="REVENUS"/>
    <x v="2"/>
    <s v="4001.007"/>
    <s v="Acompte impôt sur revenu"/>
    <n v="0"/>
    <n v="539.45000000000005"/>
    <n v="4001"/>
  </r>
  <r>
    <x v="0"/>
    <x v="3"/>
    <x v="3"/>
    <x v="201"/>
    <x v="170"/>
    <x v="170"/>
    <s v="REVENUS"/>
    <x v="7"/>
    <s v="4184.000"/>
    <s v="Frais de poursuite"/>
    <n v="0"/>
    <n v="95.06"/>
    <n v="4184"/>
  </r>
  <r>
    <x v="0"/>
    <x v="3"/>
    <x v="3"/>
    <x v="201"/>
    <x v="170"/>
    <x v="170"/>
    <s v="REVENUS"/>
    <x v="2"/>
    <s v="4001.001"/>
    <s v="Impôt revenu"/>
    <n v="0"/>
    <n v="703.4"/>
    <n v="4001"/>
  </r>
  <r>
    <x v="0"/>
    <x v="3"/>
    <x v="3"/>
    <x v="201"/>
    <x v="170"/>
    <x v="170"/>
    <s v="REVENUS"/>
    <x v="6"/>
    <s v="4211.002"/>
    <s v="Intérêts de retard sur acomptes"/>
    <n v="0"/>
    <n v="0.04"/>
    <n v="4211"/>
  </r>
  <r>
    <x v="0"/>
    <x v="3"/>
    <x v="3"/>
    <x v="201"/>
    <x v="170"/>
    <x v="170"/>
    <s v="REVENUS"/>
    <x v="6"/>
    <s v="4221.003"/>
    <s v="Intérêts compensat. / acomptes en faveur du fisc"/>
    <n v="0"/>
    <n v="0.57999999999999996"/>
    <n v="4221"/>
  </r>
  <r>
    <x v="0"/>
    <x v="3"/>
    <x v="3"/>
    <x v="201"/>
    <x v="170"/>
    <x v="170"/>
    <s v="REVENUS"/>
    <x v="7"/>
    <s v="4184.000"/>
    <s v="Frais de poursuite"/>
    <n v="0"/>
    <n v="50.22"/>
    <n v="4184"/>
  </r>
  <r>
    <x v="0"/>
    <x v="3"/>
    <x v="3"/>
    <x v="201"/>
    <x v="170"/>
    <x v="170"/>
    <s v="REVENUS"/>
    <x v="2"/>
    <s v="4001.002"/>
    <s v="Impôt complément s/revenu PP"/>
    <n v="0"/>
    <n v="8045.25"/>
    <n v="4001"/>
  </r>
  <r>
    <x v="0"/>
    <x v="3"/>
    <x v="3"/>
    <x v="201"/>
    <x v="170"/>
    <x v="170"/>
    <s v="REVENUS"/>
    <x v="3"/>
    <s v="4002.002"/>
    <s v="Impôt complémentaire s/fortune PP"/>
    <n v="0"/>
    <n v="1825.1"/>
    <n v="4002"/>
  </r>
  <r>
    <x v="0"/>
    <x v="3"/>
    <x v="3"/>
    <x v="201"/>
    <x v="170"/>
    <x v="170"/>
    <s v="REVENUS"/>
    <x v="2"/>
    <s v="4001.007"/>
    <s v="Acompte impôt sur revenu"/>
    <n v="0"/>
    <n v="-316.23"/>
    <n v="4001"/>
  </r>
  <r>
    <x v="0"/>
    <x v="3"/>
    <x v="3"/>
    <x v="202"/>
    <x v="159"/>
    <x v="159"/>
    <s v="CHARGES"/>
    <x v="0"/>
    <s v="3212.004"/>
    <s v="Intérêts rémun./perçu trop tôt sur acomptes C/C"/>
    <n v="0.92"/>
    <n v="0"/>
    <n v="3212"/>
  </r>
  <r>
    <x v="0"/>
    <x v="3"/>
    <x v="3"/>
    <x v="202"/>
    <x v="159"/>
    <x v="159"/>
    <s v="CHARGES"/>
    <x v="1"/>
    <s v="3301.001"/>
    <s v="Défalcations, abandons de solde PP et IS"/>
    <n v="6.44"/>
    <n v="0"/>
    <n v="3301"/>
  </r>
  <r>
    <x v="0"/>
    <x v="3"/>
    <x v="3"/>
    <x v="202"/>
    <x v="159"/>
    <x v="159"/>
    <s v="REVENUS"/>
    <x v="8"/>
    <s v="4091.001"/>
    <s v="Impôt récupéré après défalcations"/>
    <n v="0"/>
    <n v="1997.62"/>
    <n v="4091"/>
  </r>
  <r>
    <x v="0"/>
    <x v="3"/>
    <x v="3"/>
    <x v="202"/>
    <x v="159"/>
    <x v="159"/>
    <s v="REVENUS"/>
    <x v="2"/>
    <s v="4001.007"/>
    <s v="Acompte impôt sur revenu"/>
    <n v="0"/>
    <n v="-1066.4100000000001"/>
    <n v="4001"/>
  </r>
  <r>
    <x v="0"/>
    <x v="3"/>
    <x v="3"/>
    <x v="202"/>
    <x v="159"/>
    <x v="159"/>
    <s v="REVENUS"/>
    <x v="3"/>
    <s v="4002.007"/>
    <s v="Acompte impôt sur fortune"/>
    <n v="0"/>
    <n v="-108.09"/>
    <n v="4002"/>
  </r>
  <r>
    <x v="0"/>
    <x v="3"/>
    <x v="3"/>
    <x v="202"/>
    <x v="159"/>
    <x v="159"/>
    <s v="REVENUS"/>
    <x v="2"/>
    <s v="4001.001"/>
    <s v="Impôt revenu"/>
    <n v="0"/>
    <n v="1804.85"/>
    <n v="4001"/>
  </r>
  <r>
    <x v="0"/>
    <x v="3"/>
    <x v="3"/>
    <x v="202"/>
    <x v="159"/>
    <x v="159"/>
    <s v="REVENUS"/>
    <x v="2"/>
    <s v="4001.007"/>
    <s v="Acompte impôt sur revenu"/>
    <n v="0"/>
    <n v="-238.41"/>
    <n v="4001"/>
  </r>
  <r>
    <x v="0"/>
    <x v="3"/>
    <x v="3"/>
    <x v="202"/>
    <x v="159"/>
    <x v="159"/>
    <s v="REVENUS"/>
    <x v="3"/>
    <s v="4002.001"/>
    <s v="Impôt ordinaire s/fortune PP"/>
    <n v="0"/>
    <n v="2311.5"/>
    <n v="4002"/>
  </r>
  <r>
    <x v="0"/>
    <x v="3"/>
    <x v="3"/>
    <x v="202"/>
    <x v="159"/>
    <x v="159"/>
    <s v="REVENUS"/>
    <x v="3"/>
    <s v="4002.007"/>
    <s v="Acompte impôt sur fortune"/>
    <n v="0"/>
    <n v="-305.33999999999997"/>
    <n v="4002"/>
  </r>
  <r>
    <x v="0"/>
    <x v="3"/>
    <x v="3"/>
    <x v="202"/>
    <x v="159"/>
    <x v="159"/>
    <s v="REVENUS"/>
    <x v="6"/>
    <s v="4211.002"/>
    <s v="Intérêts de retard sur acomptes"/>
    <n v="0"/>
    <n v="0.11"/>
    <n v="4211"/>
  </r>
  <r>
    <x v="0"/>
    <x v="3"/>
    <x v="3"/>
    <x v="202"/>
    <x v="159"/>
    <x v="159"/>
    <s v="REVENUS"/>
    <x v="6"/>
    <s v="4221.003"/>
    <s v="Intérêts compensat. / acomptes en faveur du fisc"/>
    <n v="0"/>
    <n v="6.44"/>
    <n v="4221"/>
  </r>
  <r>
    <x v="0"/>
    <x v="4"/>
    <x v="4"/>
    <x v="203"/>
    <x v="161"/>
    <x v="161"/>
    <s v="CHARGES"/>
    <x v="0"/>
    <s v="3212.004"/>
    <s v="Intérêts rémun./perçu trop tôt sur acomptes C/C"/>
    <n v="22.69"/>
    <n v="0"/>
    <n v="3212"/>
  </r>
  <r>
    <x v="0"/>
    <x v="4"/>
    <x v="4"/>
    <x v="203"/>
    <x v="161"/>
    <x v="161"/>
    <s v="CHARGES"/>
    <x v="0"/>
    <s v="3221.002"/>
    <s v="Intérêts compensatoires / créances en faveur ctb."/>
    <n v="76.650000000000006"/>
    <n v="0"/>
    <n v="3221"/>
  </r>
  <r>
    <x v="0"/>
    <x v="4"/>
    <x v="4"/>
    <x v="203"/>
    <x v="161"/>
    <x v="161"/>
    <s v="CHARGES"/>
    <x v="1"/>
    <s v="3301.001"/>
    <s v="Défalcations, abandons de solde PP et IS"/>
    <n v="9.7200000000000006"/>
    <n v="0"/>
    <n v="3301"/>
  </r>
  <r>
    <x v="0"/>
    <x v="4"/>
    <x v="4"/>
    <x v="203"/>
    <x v="161"/>
    <x v="161"/>
    <s v="CHARGES"/>
    <x v="0"/>
    <s v="3212.002"/>
    <s v="Intérêts bonifiés/trop perçu acompte C/C"/>
    <n v="7.32"/>
    <n v="0"/>
    <n v="3212"/>
  </r>
  <r>
    <x v="0"/>
    <x v="4"/>
    <x v="4"/>
    <x v="203"/>
    <x v="161"/>
    <x v="161"/>
    <s v="REVENUS"/>
    <x v="2"/>
    <s v="4001.001"/>
    <s v="Impôt revenu"/>
    <n v="0"/>
    <n v="-51185.95"/>
    <n v="4001"/>
  </r>
  <r>
    <x v="0"/>
    <x v="4"/>
    <x v="4"/>
    <x v="203"/>
    <x v="161"/>
    <x v="161"/>
    <s v="REVENUS"/>
    <x v="2"/>
    <s v="4001.003"/>
    <s v="Impôt s/prest. cap. PP"/>
    <n v="0"/>
    <n v="63892.6"/>
    <n v="4001"/>
  </r>
  <r>
    <x v="0"/>
    <x v="4"/>
    <x v="4"/>
    <x v="203"/>
    <x v="161"/>
    <x v="161"/>
    <s v="REVENUS"/>
    <x v="2"/>
    <s v="4001.007"/>
    <s v="Acompte impôt sur revenu"/>
    <n v="0"/>
    <n v="-4156.09"/>
    <n v="4001"/>
  </r>
  <r>
    <x v="0"/>
    <x v="4"/>
    <x v="4"/>
    <x v="203"/>
    <x v="161"/>
    <x v="161"/>
    <s v="REVENUS"/>
    <x v="3"/>
    <s v="4002.001"/>
    <s v="Impôt ordinaire s/fortune PP"/>
    <n v="0"/>
    <n v="-2040.5"/>
    <n v="4002"/>
  </r>
  <r>
    <x v="0"/>
    <x v="4"/>
    <x v="4"/>
    <x v="203"/>
    <x v="161"/>
    <x v="161"/>
    <s v="REVENUS"/>
    <x v="3"/>
    <s v="4002.007"/>
    <s v="Acompte impôt sur fortune"/>
    <n v="0"/>
    <n v="-617.05999999999995"/>
    <n v="4002"/>
  </r>
  <r>
    <x v="0"/>
    <x v="4"/>
    <x v="4"/>
    <x v="203"/>
    <x v="161"/>
    <x v="161"/>
    <s v="REVENUS"/>
    <x v="7"/>
    <s v="4184.000"/>
    <s v="Frais de poursuite"/>
    <n v="0"/>
    <n v="17.03"/>
    <n v="4184"/>
  </r>
  <r>
    <x v="0"/>
    <x v="4"/>
    <x v="4"/>
    <x v="203"/>
    <x v="161"/>
    <x v="161"/>
    <s v="REVENUS"/>
    <x v="6"/>
    <s v="4211.001"/>
    <s v="Intérêts de retard sur factures"/>
    <n v="0"/>
    <n v="446.63"/>
    <n v="4211"/>
  </r>
  <r>
    <x v="0"/>
    <x v="4"/>
    <x v="4"/>
    <x v="203"/>
    <x v="161"/>
    <x v="161"/>
    <s v="REVENUS"/>
    <x v="2"/>
    <s v="4001.002"/>
    <s v="Impôt complément s/revenu PP"/>
    <n v="0"/>
    <n v="52646.7"/>
    <n v="4001"/>
  </r>
  <r>
    <x v="0"/>
    <x v="4"/>
    <x v="4"/>
    <x v="203"/>
    <x v="161"/>
    <x v="161"/>
    <s v="REVENUS"/>
    <x v="3"/>
    <s v="4002.002"/>
    <s v="Impôt complémentaire s/fortune PP"/>
    <n v="0"/>
    <n v="3450.75"/>
    <n v="4002"/>
  </r>
  <r>
    <x v="0"/>
    <x v="4"/>
    <x v="4"/>
    <x v="203"/>
    <x v="161"/>
    <x v="161"/>
    <s v="REVENUS"/>
    <x v="6"/>
    <s v="4221.003"/>
    <s v="Intérêts compensat. / acomptes en faveur du fisc"/>
    <n v="0"/>
    <n v="7.65"/>
    <n v="4221"/>
  </r>
  <r>
    <x v="0"/>
    <x v="4"/>
    <x v="4"/>
    <x v="203"/>
    <x v="161"/>
    <x v="161"/>
    <s v="REVENUS"/>
    <x v="6"/>
    <s v="4211.002"/>
    <s v="Intérêts de retard sur acomptes"/>
    <n v="0"/>
    <n v="46.95"/>
    <n v="4211"/>
  </r>
  <r>
    <x v="0"/>
    <x v="3"/>
    <x v="3"/>
    <x v="204"/>
    <x v="171"/>
    <x v="171"/>
    <s v="CHARGES"/>
    <x v="0"/>
    <s v="3221.002"/>
    <s v="Intérêts compensatoires / créances en faveur ctb."/>
    <n v="0.27"/>
    <n v="0"/>
    <n v="3221"/>
  </r>
  <r>
    <x v="0"/>
    <x v="3"/>
    <x v="3"/>
    <x v="204"/>
    <x v="171"/>
    <x v="171"/>
    <s v="CHARGES"/>
    <x v="1"/>
    <s v="3301.001"/>
    <s v="Défalcations, abandons de solde PP et IS"/>
    <n v="0.38"/>
    <n v="0"/>
    <n v="3301"/>
  </r>
  <r>
    <x v="0"/>
    <x v="3"/>
    <x v="3"/>
    <x v="204"/>
    <x v="171"/>
    <x v="171"/>
    <s v="CHARGES"/>
    <x v="0"/>
    <s v="3212.004"/>
    <s v="Intérêts rémun./perçu trop tôt sur acomptes C/C"/>
    <n v="46.47"/>
    <n v="0"/>
    <n v="3212"/>
  </r>
  <r>
    <x v="0"/>
    <x v="3"/>
    <x v="3"/>
    <x v="204"/>
    <x v="171"/>
    <x v="171"/>
    <s v="CHARGES"/>
    <x v="0"/>
    <s v="3221.002"/>
    <s v="Intérêts compensatoires / créances en faveur ctb."/>
    <n v="15.8"/>
    <n v="0"/>
    <n v="3221"/>
  </r>
  <r>
    <x v="0"/>
    <x v="3"/>
    <x v="3"/>
    <x v="204"/>
    <x v="171"/>
    <x v="171"/>
    <s v="CHARGES"/>
    <x v="1"/>
    <s v="3301.001"/>
    <s v="Défalcations, abandons de solde PP et IS"/>
    <n v="2168.7800000000002"/>
    <n v="0"/>
    <n v="3301"/>
  </r>
  <r>
    <x v="0"/>
    <x v="3"/>
    <x v="3"/>
    <x v="204"/>
    <x v="171"/>
    <x v="171"/>
    <s v="CHARGES"/>
    <x v="1"/>
    <s v="3301.001"/>
    <s v="Défalcations, abandons de solde PP et IS"/>
    <n v="1.19"/>
    <n v="0"/>
    <n v="3301"/>
  </r>
  <r>
    <x v="0"/>
    <x v="3"/>
    <x v="3"/>
    <x v="204"/>
    <x v="171"/>
    <x v="171"/>
    <s v="CHARGES"/>
    <x v="0"/>
    <s v="3212.002"/>
    <s v="Intérêts bonifiés/trop perçu acompte C/C"/>
    <n v="-0.08"/>
    <n v="0"/>
    <n v="3212"/>
  </r>
  <r>
    <x v="0"/>
    <x v="3"/>
    <x v="3"/>
    <x v="204"/>
    <x v="171"/>
    <x v="171"/>
    <s v="CHARGES"/>
    <x v="0"/>
    <s v="3212.004"/>
    <s v="Intérêts rémun./perçu trop tôt sur acomptes C/C"/>
    <n v="1.1299999999999999"/>
    <n v="0"/>
    <n v="3212"/>
  </r>
  <r>
    <x v="0"/>
    <x v="3"/>
    <x v="3"/>
    <x v="204"/>
    <x v="171"/>
    <x v="171"/>
    <s v="CHARGES"/>
    <x v="0"/>
    <s v="3221.002"/>
    <s v="Intérêts compensatoires / créances en faveur ctb."/>
    <n v="2.2999999999999998"/>
    <n v="0"/>
    <n v="3221"/>
  </r>
  <r>
    <x v="0"/>
    <x v="3"/>
    <x v="3"/>
    <x v="204"/>
    <x v="171"/>
    <x v="171"/>
    <s v="CHARGES"/>
    <x v="0"/>
    <s v="3212.004"/>
    <s v="Intérêts rémun./perçu trop tôt sur acomptes C/C"/>
    <n v="0.52"/>
    <n v="0"/>
    <n v="3212"/>
  </r>
  <r>
    <x v="0"/>
    <x v="3"/>
    <x v="3"/>
    <x v="204"/>
    <x v="171"/>
    <x v="171"/>
    <s v="CHARGES"/>
    <x v="0"/>
    <s v="3212.002"/>
    <s v="Intérêts bonifiés/trop perçu acompte C/C"/>
    <n v="-0.02"/>
    <n v="0"/>
    <n v="3212"/>
  </r>
  <r>
    <x v="0"/>
    <x v="3"/>
    <x v="3"/>
    <x v="204"/>
    <x v="171"/>
    <x v="171"/>
    <s v="CHARGES"/>
    <x v="0"/>
    <s v="3221.002"/>
    <s v="Intérêts compensatoires / créances en faveur ctb."/>
    <n v="-0.03"/>
    <n v="0"/>
    <n v="3221"/>
  </r>
  <r>
    <x v="0"/>
    <x v="3"/>
    <x v="3"/>
    <x v="204"/>
    <x v="171"/>
    <x v="171"/>
    <s v="CHARGES"/>
    <x v="1"/>
    <s v="3301.001"/>
    <s v="Défalcations, abandons de solde PP et IS"/>
    <n v="-0.02"/>
    <n v="0"/>
    <n v="3301"/>
  </r>
  <r>
    <x v="0"/>
    <x v="3"/>
    <x v="3"/>
    <x v="204"/>
    <x v="171"/>
    <x v="171"/>
    <s v="CHARGES"/>
    <x v="0"/>
    <s v="3221.002"/>
    <s v="Intérêts compensatoires / créances en faveur ctb."/>
    <n v="0.01"/>
    <n v="0"/>
    <n v="3221"/>
  </r>
  <r>
    <x v="0"/>
    <x v="3"/>
    <x v="3"/>
    <x v="204"/>
    <x v="171"/>
    <x v="171"/>
    <s v="CHARGES"/>
    <x v="0"/>
    <s v="3212.004"/>
    <s v="Intérêts rémun./perçu trop tôt sur acomptes C/C"/>
    <n v="0.02"/>
    <n v="0"/>
    <n v="3212"/>
  </r>
  <r>
    <x v="0"/>
    <x v="3"/>
    <x v="3"/>
    <x v="204"/>
    <x v="171"/>
    <x v="171"/>
    <s v="REVENUS"/>
    <x v="2"/>
    <s v="4001.003"/>
    <s v="Impôt s/prest. cap. PP"/>
    <n v="0"/>
    <n v="3794.6"/>
    <n v="4001"/>
  </r>
  <r>
    <x v="0"/>
    <x v="3"/>
    <x v="3"/>
    <x v="204"/>
    <x v="171"/>
    <x v="171"/>
    <s v="REVENUS"/>
    <x v="2"/>
    <s v="4001.007"/>
    <s v="Acompte impôt sur revenu"/>
    <n v="0"/>
    <n v="35282.519999999997"/>
    <n v="4001"/>
  </r>
  <r>
    <x v="0"/>
    <x v="3"/>
    <x v="3"/>
    <x v="204"/>
    <x v="171"/>
    <x v="171"/>
    <s v="REVENUS"/>
    <x v="2"/>
    <s v="4001.001"/>
    <s v="Impôt revenu"/>
    <n v="0"/>
    <n v="734.7"/>
    <n v="4001"/>
  </r>
  <r>
    <x v="0"/>
    <x v="3"/>
    <x v="3"/>
    <x v="204"/>
    <x v="171"/>
    <x v="171"/>
    <s v="REVENUS"/>
    <x v="3"/>
    <s v="4002.001"/>
    <s v="Impôt ordinaire s/fortune PP"/>
    <n v="0"/>
    <n v="1047.55"/>
    <n v="4002"/>
  </r>
  <r>
    <x v="0"/>
    <x v="3"/>
    <x v="3"/>
    <x v="204"/>
    <x v="171"/>
    <x v="171"/>
    <s v="REVENUS"/>
    <x v="3"/>
    <s v="4002.007"/>
    <s v="Acompte impôt sur fortune"/>
    <n v="0"/>
    <n v="9.31"/>
    <n v="4002"/>
  </r>
  <r>
    <x v="0"/>
    <x v="3"/>
    <x v="3"/>
    <x v="204"/>
    <x v="171"/>
    <x v="171"/>
    <s v="REVENUS"/>
    <x v="6"/>
    <s v="4221.003"/>
    <s v="Intérêts compensat. / acomptes en faveur du fisc"/>
    <n v="0"/>
    <n v="0.43"/>
    <n v="4221"/>
  </r>
  <r>
    <x v="0"/>
    <x v="3"/>
    <x v="3"/>
    <x v="204"/>
    <x v="171"/>
    <x v="171"/>
    <s v="REVENUS"/>
    <x v="9"/>
    <s v="4031.001"/>
    <s v="Impôt sur les gains immobiliers"/>
    <n v="0"/>
    <n v="11217.45"/>
    <n v="4031"/>
  </r>
  <r>
    <x v="0"/>
    <x v="3"/>
    <x v="3"/>
    <x v="204"/>
    <x v="171"/>
    <x v="171"/>
    <s v="REVENUS"/>
    <x v="2"/>
    <s v="4001.007"/>
    <s v="Acompte impôt sur revenu"/>
    <n v="0"/>
    <n v="-66141.009999999995"/>
    <n v="4001"/>
  </r>
  <r>
    <x v="0"/>
    <x v="3"/>
    <x v="3"/>
    <x v="204"/>
    <x v="171"/>
    <x v="171"/>
    <s v="REVENUS"/>
    <x v="3"/>
    <s v="4002.007"/>
    <s v="Acompte impôt sur fortune"/>
    <n v="0"/>
    <n v="-16048.53"/>
    <n v="4002"/>
  </r>
  <r>
    <x v="0"/>
    <x v="3"/>
    <x v="3"/>
    <x v="204"/>
    <x v="171"/>
    <x v="171"/>
    <s v="REVENUS"/>
    <x v="2"/>
    <s v="4001.001"/>
    <s v="Impôt revenu"/>
    <n v="0"/>
    <n v="203599.9"/>
    <n v="4001"/>
  </r>
  <r>
    <x v="0"/>
    <x v="3"/>
    <x v="3"/>
    <x v="204"/>
    <x v="171"/>
    <x v="171"/>
    <s v="REVENUS"/>
    <x v="3"/>
    <s v="4002.001"/>
    <s v="Impôt ordinaire s/fortune PP"/>
    <n v="0"/>
    <n v="35675.85"/>
    <n v="4002"/>
  </r>
  <r>
    <x v="0"/>
    <x v="3"/>
    <x v="3"/>
    <x v="204"/>
    <x v="171"/>
    <x v="171"/>
    <s v="REVENUS"/>
    <x v="6"/>
    <s v="4211.002"/>
    <s v="Intérêts de retard sur acomptes"/>
    <n v="0"/>
    <n v="1248.6199999999999"/>
    <n v="4211"/>
  </r>
  <r>
    <x v="0"/>
    <x v="3"/>
    <x v="3"/>
    <x v="204"/>
    <x v="171"/>
    <x v="171"/>
    <s v="REVENUS"/>
    <x v="3"/>
    <s v="4002.007"/>
    <s v="Acompte impôt sur fortune"/>
    <n v="0"/>
    <n v="15932.01"/>
    <n v="4002"/>
  </r>
  <r>
    <x v="0"/>
    <x v="3"/>
    <x v="3"/>
    <x v="204"/>
    <x v="171"/>
    <x v="171"/>
    <s v="REVENUS"/>
    <x v="6"/>
    <s v="4221.003"/>
    <s v="Intérêts compensat. / acomptes en faveur du fisc"/>
    <n v="0"/>
    <n v="37.25"/>
    <n v="4221"/>
  </r>
  <r>
    <x v="0"/>
    <x v="3"/>
    <x v="3"/>
    <x v="204"/>
    <x v="171"/>
    <x v="171"/>
    <s v="REVENUS"/>
    <x v="3"/>
    <s v="4002.001"/>
    <s v="Impôt ordinaire s/fortune PP"/>
    <n v="0"/>
    <n v="1416.55"/>
    <n v="4002"/>
  </r>
  <r>
    <x v="0"/>
    <x v="3"/>
    <x v="3"/>
    <x v="204"/>
    <x v="171"/>
    <x v="171"/>
    <s v="REVENUS"/>
    <x v="3"/>
    <s v="4002.007"/>
    <s v="Acompte impôt sur fortune"/>
    <n v="0"/>
    <n v="-363.41"/>
    <n v="4002"/>
  </r>
  <r>
    <x v="0"/>
    <x v="3"/>
    <x v="3"/>
    <x v="204"/>
    <x v="171"/>
    <x v="171"/>
    <s v="REVENUS"/>
    <x v="6"/>
    <s v="4211.002"/>
    <s v="Intérêts de retard sur acomptes"/>
    <n v="0"/>
    <n v="1.52"/>
    <n v="4211"/>
  </r>
  <r>
    <x v="0"/>
    <x v="3"/>
    <x v="3"/>
    <x v="204"/>
    <x v="171"/>
    <x v="171"/>
    <s v="REVENUS"/>
    <x v="6"/>
    <s v="4221.003"/>
    <s v="Intérêts compensat. / acomptes en faveur du fisc"/>
    <n v="0"/>
    <n v="0.92"/>
    <n v="4221"/>
  </r>
  <r>
    <x v="0"/>
    <x v="3"/>
    <x v="3"/>
    <x v="204"/>
    <x v="171"/>
    <x v="171"/>
    <s v="REVENUS"/>
    <x v="4"/>
    <s v="4051.001"/>
    <s v="Impôt sur les successions"/>
    <n v="0"/>
    <n v="11060.8"/>
    <n v="4051"/>
  </r>
  <r>
    <x v="0"/>
    <x v="3"/>
    <x v="3"/>
    <x v="204"/>
    <x v="171"/>
    <x v="171"/>
    <s v="REVENUS"/>
    <x v="7"/>
    <s v="4184.000"/>
    <s v="Frais de poursuite"/>
    <n v="0"/>
    <n v="175.62"/>
    <n v="4184"/>
  </r>
  <r>
    <x v="0"/>
    <x v="3"/>
    <x v="3"/>
    <x v="204"/>
    <x v="171"/>
    <x v="171"/>
    <s v="REVENUS"/>
    <x v="6"/>
    <s v="4211.001"/>
    <s v="Intérêts de retard sur factures"/>
    <n v="0"/>
    <n v="146.63999999999999"/>
    <n v="4211"/>
  </r>
  <r>
    <x v="0"/>
    <x v="3"/>
    <x v="3"/>
    <x v="204"/>
    <x v="171"/>
    <x v="171"/>
    <s v="REVENUS"/>
    <x v="3"/>
    <s v="4002.007"/>
    <s v="Acompte impôt sur fortune"/>
    <n v="0"/>
    <n v="79.790000000000006"/>
    <n v="4002"/>
  </r>
  <r>
    <x v="0"/>
    <x v="3"/>
    <x v="3"/>
    <x v="204"/>
    <x v="171"/>
    <x v="171"/>
    <s v="REVENUS"/>
    <x v="2"/>
    <s v="4001.007"/>
    <s v="Acompte impôt sur revenu"/>
    <n v="0"/>
    <n v="340.23"/>
    <n v="4001"/>
  </r>
  <r>
    <x v="0"/>
    <x v="3"/>
    <x v="3"/>
    <x v="204"/>
    <x v="171"/>
    <x v="171"/>
    <s v="REVENUS"/>
    <x v="3"/>
    <s v="4002.007"/>
    <s v="Acompte impôt sur fortune"/>
    <n v="0"/>
    <n v="56.8"/>
    <n v="4002"/>
  </r>
  <r>
    <x v="0"/>
    <x v="3"/>
    <x v="3"/>
    <x v="204"/>
    <x v="171"/>
    <x v="171"/>
    <s v="REVENUS"/>
    <x v="2"/>
    <s v="4001.007"/>
    <s v="Acompte impôt sur revenu"/>
    <n v="0"/>
    <n v="261.75"/>
    <n v="4001"/>
  </r>
  <r>
    <x v="0"/>
    <x v="3"/>
    <x v="3"/>
    <x v="204"/>
    <x v="171"/>
    <x v="171"/>
    <s v="REVENUS"/>
    <x v="6"/>
    <s v="4211.001"/>
    <s v="Intérêts de retard sur factures"/>
    <n v="0"/>
    <n v="1.18"/>
    <n v="4211"/>
  </r>
  <r>
    <x v="0"/>
    <x v="3"/>
    <x v="3"/>
    <x v="204"/>
    <x v="171"/>
    <x v="171"/>
    <s v="REVENUS"/>
    <x v="2"/>
    <s v="4001.007"/>
    <s v="Acompte impôt sur revenu"/>
    <n v="0"/>
    <n v="482.85"/>
    <n v="4001"/>
  </r>
  <r>
    <x v="0"/>
    <x v="3"/>
    <x v="3"/>
    <x v="204"/>
    <x v="171"/>
    <x v="171"/>
    <s v="REVENUS"/>
    <x v="2"/>
    <s v="4001.007"/>
    <s v="Acompte impôt sur revenu"/>
    <n v="0"/>
    <n v="-5242.59"/>
    <n v="4001"/>
  </r>
  <r>
    <x v="0"/>
    <x v="3"/>
    <x v="3"/>
    <x v="204"/>
    <x v="171"/>
    <x v="171"/>
    <s v="REVENUS"/>
    <x v="10"/>
    <s v="4041.001"/>
    <s v="Droits de mutation"/>
    <n v="0"/>
    <n v="13276.15"/>
    <n v="4041"/>
  </r>
  <r>
    <x v="0"/>
    <x v="3"/>
    <x v="3"/>
    <x v="204"/>
    <x v="171"/>
    <x v="171"/>
    <s v="REVENUS"/>
    <x v="2"/>
    <s v="4001.001"/>
    <s v="Impôt revenu"/>
    <n v="0"/>
    <n v="4237.05"/>
    <n v="4001"/>
  </r>
  <r>
    <x v="0"/>
    <x v="3"/>
    <x v="3"/>
    <x v="204"/>
    <x v="171"/>
    <x v="171"/>
    <s v="REVENUS"/>
    <x v="2"/>
    <s v="4001.002"/>
    <s v="Impôt complément s/revenu PP"/>
    <n v="0"/>
    <n v="5221.45"/>
    <n v="4001"/>
  </r>
  <r>
    <x v="0"/>
    <x v="3"/>
    <x v="3"/>
    <x v="204"/>
    <x v="171"/>
    <x v="171"/>
    <s v="REVENUS"/>
    <x v="3"/>
    <s v="4002.002"/>
    <s v="Impôt complémentaire s/fortune PP"/>
    <n v="0"/>
    <n v="2410.35"/>
    <n v="4002"/>
  </r>
  <r>
    <x v="0"/>
    <x v="3"/>
    <x v="3"/>
    <x v="204"/>
    <x v="171"/>
    <x v="171"/>
    <s v="REVENUS"/>
    <x v="6"/>
    <s v="4221.002"/>
    <s v="Intérêts compensat. sur impôts distincts"/>
    <n v="0"/>
    <n v="0.67"/>
    <n v="4221"/>
  </r>
  <r>
    <x v="0"/>
    <x v="3"/>
    <x v="3"/>
    <x v="204"/>
    <x v="171"/>
    <x v="171"/>
    <s v="REVENUS"/>
    <x v="2"/>
    <s v="4001.002"/>
    <s v="Impôt complément s/revenu PP"/>
    <n v="0"/>
    <n v="447.45"/>
    <n v="4001"/>
  </r>
  <r>
    <x v="0"/>
    <x v="3"/>
    <x v="3"/>
    <x v="204"/>
    <x v="171"/>
    <x v="171"/>
    <s v="REVENUS"/>
    <x v="3"/>
    <s v="4002.002"/>
    <s v="Impôt complémentaire s/fortune PP"/>
    <n v="0"/>
    <n v="57.65"/>
    <n v="4002"/>
  </r>
  <r>
    <x v="0"/>
    <x v="3"/>
    <x v="3"/>
    <x v="204"/>
    <x v="171"/>
    <x v="171"/>
    <s v="REVENUS"/>
    <x v="2"/>
    <s v="4001.007"/>
    <s v="Acompte impôt sur revenu"/>
    <n v="0"/>
    <n v="-3.99"/>
    <n v="4001"/>
  </r>
  <r>
    <x v="0"/>
    <x v="3"/>
    <x v="3"/>
    <x v="204"/>
    <x v="171"/>
    <x v="171"/>
    <s v="REVENUS"/>
    <x v="3"/>
    <s v="4002.007"/>
    <s v="Acompte impôt sur fortune"/>
    <n v="0"/>
    <n v="-0.69"/>
    <n v="4002"/>
  </r>
  <r>
    <x v="0"/>
    <x v="3"/>
    <x v="3"/>
    <x v="204"/>
    <x v="171"/>
    <x v="171"/>
    <s v="REVENUS"/>
    <x v="2"/>
    <s v="4001.001"/>
    <s v="Impôt revenu"/>
    <n v="0"/>
    <n v="-824.5"/>
    <n v="4001"/>
  </r>
  <r>
    <x v="0"/>
    <x v="3"/>
    <x v="3"/>
    <x v="204"/>
    <x v="171"/>
    <x v="171"/>
    <s v="REVENUS"/>
    <x v="3"/>
    <s v="4002.001"/>
    <s v="Impôt ordinaire s/fortune PP"/>
    <n v="0"/>
    <n v="-124.85"/>
    <n v="4002"/>
  </r>
  <r>
    <x v="0"/>
    <x v="3"/>
    <x v="3"/>
    <x v="204"/>
    <x v="171"/>
    <x v="171"/>
    <s v="REVENUS"/>
    <x v="6"/>
    <s v="4211.002"/>
    <s v="Intérêts de retard sur acomptes"/>
    <n v="0"/>
    <n v="-3.2"/>
    <n v="4211"/>
  </r>
  <r>
    <x v="0"/>
    <x v="3"/>
    <x v="3"/>
    <x v="204"/>
    <x v="171"/>
    <x v="171"/>
    <s v="REVENUS"/>
    <x v="6"/>
    <s v="4221.003"/>
    <s v="Intérêts compensat. / acomptes en faveur du fisc"/>
    <n v="0"/>
    <n v="-0.03"/>
    <n v="4221"/>
  </r>
  <r>
    <x v="0"/>
    <x v="3"/>
    <x v="3"/>
    <x v="204"/>
    <x v="171"/>
    <x v="171"/>
    <s v="REVENUS"/>
    <x v="6"/>
    <s v="4211.001"/>
    <s v="Intérêts de retard sur factures"/>
    <n v="0"/>
    <n v="-1.1200000000000001"/>
    <n v="4211"/>
  </r>
  <r>
    <x v="0"/>
    <x v="3"/>
    <x v="3"/>
    <x v="204"/>
    <x v="171"/>
    <x v="171"/>
    <s v="REVENUS"/>
    <x v="2"/>
    <s v="4001.001"/>
    <s v="Impôt revenu"/>
    <n v="0"/>
    <n v="14.5"/>
    <n v="4001"/>
  </r>
  <r>
    <x v="0"/>
    <x v="3"/>
    <x v="3"/>
    <x v="204"/>
    <x v="171"/>
    <x v="171"/>
    <s v="REVENUS"/>
    <x v="3"/>
    <s v="4002.001"/>
    <s v="Impôt ordinaire s/fortune PP"/>
    <n v="0"/>
    <n v="1.95"/>
    <n v="4002"/>
  </r>
  <r>
    <x v="0"/>
    <x v="3"/>
    <x v="3"/>
    <x v="204"/>
    <x v="171"/>
    <x v="171"/>
    <s v="REVENUS"/>
    <x v="5"/>
    <s v="4061.000"/>
    <s v="Impôt sur les chiens"/>
    <n v="0"/>
    <n v="450"/>
    <n v="4061"/>
  </r>
  <r>
    <x v="0"/>
    <x v="3"/>
    <x v="3"/>
    <x v="204"/>
    <x v="171"/>
    <x v="171"/>
    <s v="REVENUS"/>
    <x v="2"/>
    <s v="4001.002"/>
    <s v="Impôt complément s/revenu PP"/>
    <n v="0"/>
    <n v="203.95"/>
    <n v="4001"/>
  </r>
  <r>
    <x v="0"/>
    <x v="3"/>
    <x v="3"/>
    <x v="204"/>
    <x v="171"/>
    <x v="171"/>
    <s v="REVENUS"/>
    <x v="3"/>
    <s v="4002.002"/>
    <s v="Impôt complémentaire s/fortune PP"/>
    <n v="0"/>
    <n v="682.4"/>
    <n v="4002"/>
  </r>
  <r>
    <x v="0"/>
    <x v="3"/>
    <x v="3"/>
    <x v="204"/>
    <x v="171"/>
    <x v="171"/>
    <s v="REVENUS"/>
    <x v="6"/>
    <s v="4211.001"/>
    <s v="Intérêts de retard sur factures"/>
    <n v="0"/>
    <n v="1.57"/>
    <n v="4211"/>
  </r>
  <r>
    <x v="0"/>
    <x v="3"/>
    <x v="3"/>
    <x v="204"/>
    <x v="171"/>
    <x v="171"/>
    <s v="REVENUS"/>
    <x v="2"/>
    <s v="4001.002"/>
    <s v="Impôt complément s/revenu PP"/>
    <n v="0"/>
    <n v="245.6"/>
    <n v="4001"/>
  </r>
  <r>
    <x v="0"/>
    <x v="3"/>
    <x v="3"/>
    <x v="204"/>
    <x v="171"/>
    <x v="171"/>
    <s v="REVENUS"/>
    <x v="3"/>
    <s v="4002.002"/>
    <s v="Impôt complémentaire s/fortune PP"/>
    <n v="0"/>
    <n v="126.3"/>
    <n v="4002"/>
  </r>
  <r>
    <x v="0"/>
    <x v="3"/>
    <x v="3"/>
    <x v="204"/>
    <x v="171"/>
    <x v="171"/>
    <s v="REVENUS"/>
    <x v="6"/>
    <s v="4211.002"/>
    <s v="Intérêts de retard sur acomptes"/>
    <n v="0"/>
    <n v="1.17"/>
    <n v="4211"/>
  </r>
  <r>
    <x v="0"/>
    <x v="3"/>
    <x v="3"/>
    <x v="204"/>
    <x v="171"/>
    <x v="171"/>
    <s v="REVENUS"/>
    <x v="2"/>
    <s v="4001.001"/>
    <s v="Impôt revenu"/>
    <n v="0"/>
    <n v="231.5"/>
    <n v="4001"/>
  </r>
  <r>
    <x v="0"/>
    <x v="3"/>
    <x v="3"/>
    <x v="204"/>
    <x v="171"/>
    <x v="171"/>
    <s v="REVENUS"/>
    <x v="3"/>
    <s v="4002.001"/>
    <s v="Impôt ordinaire s/fortune PP"/>
    <n v="0"/>
    <n v="104.2"/>
    <n v="4002"/>
  </r>
  <r>
    <x v="0"/>
    <x v="3"/>
    <x v="3"/>
    <x v="205"/>
    <x v="172"/>
    <x v="172"/>
    <s v="CHARGES"/>
    <x v="1"/>
    <s v="3301.001"/>
    <s v="Défalcations, abandons de solde PP et IS"/>
    <n v="166.99"/>
    <n v="0"/>
    <n v="3301"/>
  </r>
  <r>
    <x v="0"/>
    <x v="3"/>
    <x v="3"/>
    <x v="205"/>
    <x v="172"/>
    <x v="172"/>
    <s v="CHARGES"/>
    <x v="1"/>
    <s v="3301.001"/>
    <s v="Défalcations, abandons de solde PP et IS"/>
    <n v="233.7"/>
    <n v="0"/>
    <n v="3301"/>
  </r>
  <r>
    <x v="0"/>
    <x v="3"/>
    <x v="3"/>
    <x v="205"/>
    <x v="172"/>
    <x v="172"/>
    <s v="CHARGES"/>
    <x v="0"/>
    <s v="3212.004"/>
    <s v="Intérêts rémun./perçu trop tôt sur acomptes C/C"/>
    <n v="231.15"/>
    <n v="0"/>
    <n v="3212"/>
  </r>
  <r>
    <x v="0"/>
    <x v="3"/>
    <x v="3"/>
    <x v="205"/>
    <x v="172"/>
    <x v="172"/>
    <s v="CHARGES"/>
    <x v="0"/>
    <s v="3221.002"/>
    <s v="Intérêts compensatoires / créances en faveur ctb."/>
    <n v="102.81"/>
    <n v="0"/>
    <n v="3221"/>
  </r>
  <r>
    <x v="0"/>
    <x v="3"/>
    <x v="3"/>
    <x v="205"/>
    <x v="172"/>
    <x v="172"/>
    <s v="CHARGES"/>
    <x v="0"/>
    <s v="3212.004"/>
    <s v="Intérêts rémun./perçu trop tôt sur acomptes C/C"/>
    <n v="4.5199999999999996"/>
    <n v="0"/>
    <n v="3212"/>
  </r>
  <r>
    <x v="0"/>
    <x v="3"/>
    <x v="3"/>
    <x v="205"/>
    <x v="172"/>
    <x v="172"/>
    <s v="CHARGES"/>
    <x v="0"/>
    <s v="3221.002"/>
    <s v="Intérêts compensatoires / créances en faveur ctb."/>
    <n v="3.35"/>
    <n v="0"/>
    <n v="3221"/>
  </r>
  <r>
    <x v="0"/>
    <x v="3"/>
    <x v="3"/>
    <x v="205"/>
    <x v="172"/>
    <x v="172"/>
    <s v="CHARGES"/>
    <x v="0"/>
    <s v="3212.002"/>
    <s v="Intérêts bonifiés/trop perçu acompte C/C"/>
    <n v="0.99"/>
    <n v="0"/>
    <n v="3212"/>
  </r>
  <r>
    <x v="0"/>
    <x v="3"/>
    <x v="3"/>
    <x v="205"/>
    <x v="172"/>
    <x v="172"/>
    <s v="CHARGES"/>
    <x v="1"/>
    <s v="3301.001"/>
    <s v="Défalcations, abandons de solde PP et IS"/>
    <n v="1.67"/>
    <n v="0"/>
    <n v="3301"/>
  </r>
  <r>
    <x v="0"/>
    <x v="3"/>
    <x v="3"/>
    <x v="205"/>
    <x v="172"/>
    <x v="172"/>
    <s v="CHARGES"/>
    <x v="1"/>
    <s v="3301.001"/>
    <s v="Défalcations, abandons de solde PP et IS"/>
    <n v="2.21"/>
    <n v="0"/>
    <n v="3301"/>
  </r>
  <r>
    <x v="0"/>
    <x v="3"/>
    <x v="3"/>
    <x v="205"/>
    <x v="172"/>
    <x v="172"/>
    <s v="CHARGES"/>
    <x v="0"/>
    <s v="3212.004"/>
    <s v="Intérêts rémun./perçu trop tôt sur acomptes C/C"/>
    <n v="0.21"/>
    <n v="0"/>
    <n v="3212"/>
  </r>
  <r>
    <x v="0"/>
    <x v="3"/>
    <x v="3"/>
    <x v="205"/>
    <x v="172"/>
    <x v="172"/>
    <s v="CHARGES"/>
    <x v="0"/>
    <s v="3221.002"/>
    <s v="Intérêts compensatoires / créances en faveur ctb."/>
    <n v="0.02"/>
    <n v="0"/>
    <n v="3221"/>
  </r>
  <r>
    <x v="0"/>
    <x v="3"/>
    <x v="3"/>
    <x v="205"/>
    <x v="172"/>
    <x v="172"/>
    <s v="CHARGES"/>
    <x v="0"/>
    <s v="3212.004"/>
    <s v="Intérêts rémun./perçu trop tôt sur acomptes C/C"/>
    <n v="0.22"/>
    <n v="0"/>
    <n v="3212"/>
  </r>
  <r>
    <x v="0"/>
    <x v="3"/>
    <x v="3"/>
    <x v="205"/>
    <x v="172"/>
    <x v="172"/>
    <s v="CHARGES"/>
    <x v="0"/>
    <s v="3221.002"/>
    <s v="Intérêts compensatoires / créances en faveur ctb."/>
    <n v="0.06"/>
    <n v="0"/>
    <n v="3221"/>
  </r>
  <r>
    <x v="0"/>
    <x v="3"/>
    <x v="3"/>
    <x v="205"/>
    <x v="172"/>
    <x v="172"/>
    <s v="CHARGES"/>
    <x v="1"/>
    <s v="3301.001"/>
    <s v="Défalcations, abandons de solde PP et IS"/>
    <n v="881.93"/>
    <n v="0"/>
    <n v="3301"/>
  </r>
  <r>
    <x v="0"/>
    <x v="3"/>
    <x v="3"/>
    <x v="205"/>
    <x v="172"/>
    <x v="172"/>
    <s v="CHARGES"/>
    <x v="0"/>
    <s v="3221.002"/>
    <s v="Intérêts compensatoires / créances en faveur ctb."/>
    <n v="1.32"/>
    <n v="0"/>
    <n v="3221"/>
  </r>
  <r>
    <x v="0"/>
    <x v="3"/>
    <x v="3"/>
    <x v="205"/>
    <x v="172"/>
    <x v="172"/>
    <s v="CHARGES"/>
    <x v="0"/>
    <s v="3212.004"/>
    <s v="Intérêts rémun./perçu trop tôt sur acomptes C/C"/>
    <n v="0.51"/>
    <n v="0"/>
    <n v="3212"/>
  </r>
  <r>
    <x v="0"/>
    <x v="3"/>
    <x v="3"/>
    <x v="205"/>
    <x v="172"/>
    <x v="172"/>
    <s v="REVENUS"/>
    <x v="6"/>
    <s v="4211.001"/>
    <s v="Intérêts de retard sur factures"/>
    <n v="0"/>
    <n v="4029.14"/>
    <n v="4211"/>
  </r>
  <r>
    <x v="0"/>
    <x v="3"/>
    <x v="3"/>
    <x v="205"/>
    <x v="172"/>
    <x v="172"/>
    <s v="REVENUS"/>
    <x v="3"/>
    <s v="4002.007"/>
    <s v="Acompte impôt sur fortune"/>
    <n v="0"/>
    <n v="-336.5"/>
    <n v="4002"/>
  </r>
  <r>
    <x v="0"/>
    <x v="3"/>
    <x v="3"/>
    <x v="205"/>
    <x v="172"/>
    <x v="172"/>
    <s v="REVENUS"/>
    <x v="2"/>
    <s v="4001.007"/>
    <s v="Acompte impôt sur revenu"/>
    <n v="0"/>
    <n v="-463140.77"/>
    <n v="4001"/>
  </r>
  <r>
    <x v="0"/>
    <x v="3"/>
    <x v="3"/>
    <x v="205"/>
    <x v="172"/>
    <x v="172"/>
    <s v="REVENUS"/>
    <x v="2"/>
    <s v="4001.001"/>
    <s v="Impôt revenu"/>
    <n v="0"/>
    <n v="1320691.3500000001"/>
    <n v="4001"/>
  </r>
  <r>
    <x v="0"/>
    <x v="3"/>
    <x v="3"/>
    <x v="205"/>
    <x v="172"/>
    <x v="172"/>
    <s v="REVENUS"/>
    <x v="6"/>
    <s v="4211.002"/>
    <s v="Intérêts de retard sur acomptes"/>
    <n v="0"/>
    <n v="15440.06"/>
    <n v="4211"/>
  </r>
  <r>
    <x v="0"/>
    <x v="3"/>
    <x v="3"/>
    <x v="205"/>
    <x v="172"/>
    <x v="172"/>
    <s v="REVENUS"/>
    <x v="6"/>
    <s v="4221.003"/>
    <s v="Intérêts compensat. / acomptes en faveur du fisc"/>
    <n v="0"/>
    <n v="155.32"/>
    <n v="4221"/>
  </r>
  <r>
    <x v="0"/>
    <x v="3"/>
    <x v="3"/>
    <x v="205"/>
    <x v="172"/>
    <x v="172"/>
    <s v="REVENUS"/>
    <x v="2"/>
    <s v="4001.001"/>
    <s v="Impôt revenu"/>
    <n v="0"/>
    <n v="0"/>
    <n v="4001"/>
  </r>
  <r>
    <x v="0"/>
    <x v="3"/>
    <x v="3"/>
    <x v="205"/>
    <x v="172"/>
    <x v="172"/>
    <s v="REVENUS"/>
    <x v="3"/>
    <s v="4002.001"/>
    <s v="Impôt ordinaire s/fortune PP"/>
    <n v="0"/>
    <n v="51.65"/>
    <n v="4002"/>
  </r>
  <r>
    <x v="0"/>
    <x v="3"/>
    <x v="3"/>
    <x v="205"/>
    <x v="172"/>
    <x v="172"/>
    <s v="REVENUS"/>
    <x v="6"/>
    <s v="4211.002"/>
    <s v="Intérêts de retard sur acomptes"/>
    <n v="0"/>
    <n v="1.51"/>
    <n v="4211"/>
  </r>
  <r>
    <x v="0"/>
    <x v="3"/>
    <x v="3"/>
    <x v="205"/>
    <x v="172"/>
    <x v="172"/>
    <s v="REVENUS"/>
    <x v="6"/>
    <s v="4221.003"/>
    <s v="Intérêts compensat. / acomptes en faveur du fisc"/>
    <n v="0"/>
    <n v="0.78"/>
    <n v="4221"/>
  </r>
  <r>
    <x v="0"/>
    <x v="3"/>
    <x v="3"/>
    <x v="205"/>
    <x v="172"/>
    <x v="172"/>
    <s v="REVENUS"/>
    <x v="6"/>
    <s v="4211.001"/>
    <s v="Intérêts de retard sur factures"/>
    <n v="0"/>
    <n v="0"/>
    <n v="4211"/>
  </r>
  <r>
    <x v="0"/>
    <x v="3"/>
    <x v="3"/>
    <x v="205"/>
    <x v="172"/>
    <x v="172"/>
    <s v="REVENUS"/>
    <x v="3"/>
    <s v="4002.001"/>
    <s v="Impôt ordinaire s/fortune PP"/>
    <n v="0"/>
    <n v="115893.05"/>
    <n v="4002"/>
  </r>
  <r>
    <x v="0"/>
    <x v="3"/>
    <x v="3"/>
    <x v="205"/>
    <x v="172"/>
    <x v="172"/>
    <s v="REVENUS"/>
    <x v="3"/>
    <s v="4002.007"/>
    <s v="Acompte impôt sur fortune"/>
    <n v="0"/>
    <n v="-45013.14"/>
    <n v="4002"/>
  </r>
  <r>
    <x v="0"/>
    <x v="3"/>
    <x v="3"/>
    <x v="205"/>
    <x v="172"/>
    <x v="172"/>
    <s v="REVENUS"/>
    <x v="2"/>
    <s v="4001.007"/>
    <s v="Acompte impôt sur revenu"/>
    <n v="0"/>
    <n v="162186.35999999999"/>
    <n v="4001"/>
  </r>
  <r>
    <x v="0"/>
    <x v="3"/>
    <x v="3"/>
    <x v="205"/>
    <x v="172"/>
    <x v="172"/>
    <s v="REVENUS"/>
    <x v="3"/>
    <s v="4002.007"/>
    <s v="Acompte impôt sur fortune"/>
    <n v="0"/>
    <n v="28866.33"/>
    <n v="4002"/>
  </r>
  <r>
    <x v="0"/>
    <x v="3"/>
    <x v="3"/>
    <x v="205"/>
    <x v="172"/>
    <x v="172"/>
    <s v="REVENUS"/>
    <x v="5"/>
    <s v="4061.000"/>
    <s v="Impôt sur les chiens"/>
    <n v="0"/>
    <n v="6150"/>
    <n v="4061"/>
  </r>
  <r>
    <x v="0"/>
    <x v="3"/>
    <x v="3"/>
    <x v="205"/>
    <x v="172"/>
    <x v="172"/>
    <s v="REVENUS"/>
    <x v="7"/>
    <s v="4184.000"/>
    <s v="Frais de poursuite"/>
    <n v="0"/>
    <n v="2422.56"/>
    <n v="4184"/>
  </r>
  <r>
    <x v="0"/>
    <x v="3"/>
    <x v="3"/>
    <x v="205"/>
    <x v="172"/>
    <x v="172"/>
    <s v="REVENUS"/>
    <x v="7"/>
    <s v="4184.000"/>
    <s v="Frais de poursuite"/>
    <n v="0"/>
    <n v="79.209999999999994"/>
    <n v="4184"/>
  </r>
  <r>
    <x v="0"/>
    <x v="3"/>
    <x v="3"/>
    <x v="205"/>
    <x v="172"/>
    <x v="172"/>
    <s v="REVENUS"/>
    <x v="2"/>
    <s v="4001.002"/>
    <s v="Impôt complément s/revenu PP"/>
    <n v="0"/>
    <n v="85657.75"/>
    <n v="4001"/>
  </r>
  <r>
    <x v="0"/>
    <x v="3"/>
    <x v="3"/>
    <x v="205"/>
    <x v="172"/>
    <x v="172"/>
    <s v="REVENUS"/>
    <x v="3"/>
    <s v="4002.002"/>
    <s v="Impôt complémentaire s/fortune PP"/>
    <n v="0"/>
    <n v="6382.05"/>
    <n v="4002"/>
  </r>
  <r>
    <x v="0"/>
    <x v="3"/>
    <x v="3"/>
    <x v="205"/>
    <x v="172"/>
    <x v="172"/>
    <s v="REVENUS"/>
    <x v="2"/>
    <s v="4001.007"/>
    <s v="Acompte impôt sur revenu"/>
    <n v="0"/>
    <n v="-1072.6099999999999"/>
    <n v="4001"/>
  </r>
  <r>
    <x v="0"/>
    <x v="3"/>
    <x v="3"/>
    <x v="205"/>
    <x v="172"/>
    <x v="172"/>
    <s v="REVENUS"/>
    <x v="3"/>
    <s v="4002.007"/>
    <s v="Acompte impôt sur fortune"/>
    <n v="0"/>
    <n v="-588.47"/>
    <n v="4002"/>
  </r>
  <r>
    <x v="0"/>
    <x v="3"/>
    <x v="3"/>
    <x v="205"/>
    <x v="172"/>
    <x v="172"/>
    <s v="REVENUS"/>
    <x v="6"/>
    <s v="4211.001"/>
    <s v="Intérêts de retard sur factures"/>
    <n v="0"/>
    <n v="41.19"/>
    <n v="4211"/>
  </r>
  <r>
    <x v="0"/>
    <x v="3"/>
    <x v="3"/>
    <x v="205"/>
    <x v="172"/>
    <x v="172"/>
    <s v="REVENUS"/>
    <x v="3"/>
    <s v="4002.001"/>
    <s v="Impôt ordinaire s/fortune PP"/>
    <n v="0"/>
    <n v="4204.3999999999996"/>
    <n v="4002"/>
  </r>
  <r>
    <x v="0"/>
    <x v="3"/>
    <x v="3"/>
    <x v="205"/>
    <x v="172"/>
    <x v="172"/>
    <s v="REVENUS"/>
    <x v="6"/>
    <s v="4221.003"/>
    <s v="Intérêts compensat. / acomptes en faveur du fisc"/>
    <n v="0"/>
    <n v="5.36"/>
    <n v="4221"/>
  </r>
  <r>
    <x v="0"/>
    <x v="3"/>
    <x v="3"/>
    <x v="205"/>
    <x v="172"/>
    <x v="172"/>
    <s v="REVENUS"/>
    <x v="7"/>
    <s v="4184.000"/>
    <s v="Frais de poursuite"/>
    <n v="0"/>
    <n v="3.22"/>
    <n v="4184"/>
  </r>
  <r>
    <x v="0"/>
    <x v="3"/>
    <x v="3"/>
    <x v="205"/>
    <x v="172"/>
    <x v="172"/>
    <s v="REVENUS"/>
    <x v="3"/>
    <s v="4002.007"/>
    <s v="Acompte impôt sur fortune"/>
    <n v="0"/>
    <n v="752.7"/>
    <n v="4002"/>
  </r>
  <r>
    <x v="0"/>
    <x v="3"/>
    <x v="3"/>
    <x v="205"/>
    <x v="172"/>
    <x v="172"/>
    <s v="REVENUS"/>
    <x v="2"/>
    <s v="4001.007"/>
    <s v="Acompte impôt sur revenu"/>
    <n v="0"/>
    <n v="-14.65"/>
    <n v="4001"/>
  </r>
  <r>
    <x v="0"/>
    <x v="3"/>
    <x v="3"/>
    <x v="205"/>
    <x v="172"/>
    <x v="172"/>
    <s v="REVENUS"/>
    <x v="3"/>
    <s v="4002.007"/>
    <s v="Acompte impôt sur fortune"/>
    <n v="0"/>
    <n v="-7.45"/>
    <n v="4002"/>
  </r>
  <r>
    <x v="0"/>
    <x v="3"/>
    <x v="3"/>
    <x v="205"/>
    <x v="172"/>
    <x v="172"/>
    <s v="REVENUS"/>
    <x v="3"/>
    <s v="4002.007"/>
    <s v="Acompte impôt sur fortune"/>
    <n v="0"/>
    <n v="-859.22"/>
    <n v="4002"/>
  </r>
  <r>
    <x v="0"/>
    <x v="3"/>
    <x v="3"/>
    <x v="205"/>
    <x v="172"/>
    <x v="172"/>
    <s v="REVENUS"/>
    <x v="2"/>
    <s v="4001.007"/>
    <s v="Acompte impôt sur revenu"/>
    <n v="0"/>
    <n v="326.7"/>
    <n v="4001"/>
  </r>
  <r>
    <x v="0"/>
    <x v="3"/>
    <x v="3"/>
    <x v="205"/>
    <x v="172"/>
    <x v="172"/>
    <s v="REVENUS"/>
    <x v="3"/>
    <s v="4002.007"/>
    <s v="Acompte impôt sur fortune"/>
    <n v="0"/>
    <n v="-224.8"/>
    <n v="4002"/>
  </r>
  <r>
    <x v="0"/>
    <x v="3"/>
    <x v="3"/>
    <x v="205"/>
    <x v="172"/>
    <x v="172"/>
    <s v="REVENUS"/>
    <x v="2"/>
    <s v="4001.007"/>
    <s v="Acompte impôt sur revenu"/>
    <n v="0"/>
    <n v="-6758.41"/>
    <n v="4001"/>
  </r>
  <r>
    <x v="0"/>
    <x v="3"/>
    <x v="3"/>
    <x v="205"/>
    <x v="172"/>
    <x v="172"/>
    <s v="REVENUS"/>
    <x v="2"/>
    <s v="4001.007"/>
    <s v="Acompte impôt sur revenu"/>
    <n v="0"/>
    <n v="-473.35"/>
    <n v="4001"/>
  </r>
  <r>
    <x v="0"/>
    <x v="3"/>
    <x v="3"/>
    <x v="205"/>
    <x v="172"/>
    <x v="172"/>
    <s v="REVENUS"/>
    <x v="2"/>
    <s v="4001.003"/>
    <s v="Impôt s/prest. cap. PP"/>
    <n v="0"/>
    <n v="28748.400000000001"/>
    <n v="4001"/>
  </r>
  <r>
    <x v="0"/>
    <x v="3"/>
    <x v="3"/>
    <x v="205"/>
    <x v="172"/>
    <x v="172"/>
    <s v="REVENUS"/>
    <x v="2"/>
    <s v="4001.002"/>
    <s v="Impôt complément s/revenu PP"/>
    <n v="0"/>
    <n v="510.25"/>
    <n v="4001"/>
  </r>
  <r>
    <x v="0"/>
    <x v="3"/>
    <x v="3"/>
    <x v="205"/>
    <x v="172"/>
    <x v="172"/>
    <s v="REVENUS"/>
    <x v="3"/>
    <s v="4002.002"/>
    <s v="Impôt complémentaire s/fortune PP"/>
    <n v="0"/>
    <n v="387.25"/>
    <n v="4002"/>
  </r>
  <r>
    <x v="0"/>
    <x v="3"/>
    <x v="3"/>
    <x v="205"/>
    <x v="172"/>
    <x v="172"/>
    <s v="REVENUS"/>
    <x v="6"/>
    <s v="4211.001"/>
    <s v="Intérêts de retard sur factures"/>
    <n v="0"/>
    <n v="4.3099999999999996"/>
    <n v="4211"/>
  </r>
  <r>
    <x v="0"/>
    <x v="3"/>
    <x v="3"/>
    <x v="205"/>
    <x v="172"/>
    <x v="172"/>
    <s v="REVENUS"/>
    <x v="6"/>
    <s v="4211.001"/>
    <s v="Intérêts de retard sur factures"/>
    <n v="0"/>
    <n v="10.130000000000001"/>
    <n v="4211"/>
  </r>
  <r>
    <x v="0"/>
    <x v="3"/>
    <x v="3"/>
    <x v="205"/>
    <x v="172"/>
    <x v="172"/>
    <s v="REVENUS"/>
    <x v="4"/>
    <s v="4051.001"/>
    <s v="Impôt sur les successions"/>
    <n v="0"/>
    <n v="94.8"/>
    <n v="4051"/>
  </r>
  <r>
    <x v="0"/>
    <x v="3"/>
    <x v="3"/>
    <x v="205"/>
    <x v="172"/>
    <x v="172"/>
    <s v="REVENUS"/>
    <x v="6"/>
    <s v="4221.002"/>
    <s v="Intérêts compensat. sur impôts distincts"/>
    <n v="0"/>
    <n v="0.13"/>
    <n v="4221"/>
  </r>
  <r>
    <x v="0"/>
    <x v="3"/>
    <x v="3"/>
    <x v="205"/>
    <x v="172"/>
    <x v="172"/>
    <s v="REVENUS"/>
    <x v="3"/>
    <s v="4002.001"/>
    <s v="Impôt ordinaire s/fortune PP"/>
    <n v="0"/>
    <n v="1537.75"/>
    <n v="4002"/>
  </r>
  <r>
    <x v="0"/>
    <x v="3"/>
    <x v="3"/>
    <x v="205"/>
    <x v="172"/>
    <x v="172"/>
    <s v="REVENUS"/>
    <x v="6"/>
    <s v="4211.002"/>
    <s v="Intérêts de retard sur acomptes"/>
    <n v="0"/>
    <n v="2.1"/>
    <n v="4211"/>
  </r>
  <r>
    <x v="0"/>
    <x v="3"/>
    <x v="3"/>
    <x v="205"/>
    <x v="172"/>
    <x v="172"/>
    <s v="REVENUS"/>
    <x v="2"/>
    <s v="4001.001"/>
    <s v="Impôt revenu"/>
    <n v="0"/>
    <n v="7394.75"/>
    <n v="4001"/>
  </r>
  <r>
    <x v="0"/>
    <x v="3"/>
    <x v="3"/>
    <x v="205"/>
    <x v="172"/>
    <x v="172"/>
    <s v="REVENUS"/>
    <x v="6"/>
    <s v="4211.002"/>
    <s v="Intérêts de retard sur acomptes"/>
    <n v="0"/>
    <n v="133.1"/>
    <n v="4211"/>
  </r>
  <r>
    <x v="0"/>
    <x v="3"/>
    <x v="3"/>
    <x v="205"/>
    <x v="172"/>
    <x v="172"/>
    <s v="REVENUS"/>
    <x v="10"/>
    <s v="4041.001"/>
    <s v="Droits de mutation"/>
    <n v="0"/>
    <n v="66597.45"/>
    <n v="4041"/>
  </r>
  <r>
    <x v="0"/>
    <x v="3"/>
    <x v="3"/>
    <x v="205"/>
    <x v="172"/>
    <x v="172"/>
    <s v="REVENUS"/>
    <x v="2"/>
    <s v="4001.001"/>
    <s v="Impôt revenu"/>
    <n v="0"/>
    <n v="1031.7"/>
    <n v="4001"/>
  </r>
  <r>
    <x v="0"/>
    <x v="3"/>
    <x v="3"/>
    <x v="205"/>
    <x v="172"/>
    <x v="172"/>
    <s v="REVENUS"/>
    <x v="6"/>
    <s v="4211.002"/>
    <s v="Intérêts de retard sur acomptes"/>
    <n v="0"/>
    <n v="76.16"/>
    <n v="4211"/>
  </r>
  <r>
    <x v="0"/>
    <x v="3"/>
    <x v="3"/>
    <x v="205"/>
    <x v="172"/>
    <x v="172"/>
    <s v="REVENUS"/>
    <x v="6"/>
    <s v="4221.002"/>
    <s v="Intérêts compensat. sur impôts distincts"/>
    <n v="0"/>
    <n v="1.69"/>
    <n v="4221"/>
  </r>
  <r>
    <x v="0"/>
    <x v="3"/>
    <x v="3"/>
    <x v="205"/>
    <x v="172"/>
    <x v="172"/>
    <s v="REVENUS"/>
    <x v="3"/>
    <s v="4002.001"/>
    <s v="Impôt ordinaire s/fortune PP"/>
    <n v="0"/>
    <n v="213.8"/>
    <n v="4002"/>
  </r>
  <r>
    <x v="0"/>
    <x v="3"/>
    <x v="3"/>
    <x v="205"/>
    <x v="172"/>
    <x v="172"/>
    <s v="REVENUS"/>
    <x v="6"/>
    <s v="4221.003"/>
    <s v="Intérêts compensat. / acomptes en faveur du fisc"/>
    <n v="0"/>
    <n v="0.34"/>
    <n v="4221"/>
  </r>
  <r>
    <x v="0"/>
    <x v="3"/>
    <x v="3"/>
    <x v="205"/>
    <x v="172"/>
    <x v="172"/>
    <s v="REVENUS"/>
    <x v="3"/>
    <s v="4002.002"/>
    <s v="Impôt complémentaire s/fortune PP"/>
    <n v="0"/>
    <n v="131.35"/>
    <n v="4002"/>
  </r>
  <r>
    <x v="0"/>
    <x v="3"/>
    <x v="3"/>
    <x v="205"/>
    <x v="172"/>
    <x v="172"/>
    <s v="REVENUS"/>
    <x v="3"/>
    <s v="4002.001"/>
    <s v="Impôt ordinaire s/fortune PP"/>
    <n v="0"/>
    <n v="556.45000000000005"/>
    <n v="4002"/>
  </r>
  <r>
    <x v="0"/>
    <x v="3"/>
    <x v="3"/>
    <x v="205"/>
    <x v="172"/>
    <x v="172"/>
    <s v="REVENUS"/>
    <x v="6"/>
    <s v="4221.003"/>
    <s v="Intérêts compensat. / acomptes en faveur du fisc"/>
    <n v="0"/>
    <n v="0.95"/>
    <n v="4221"/>
  </r>
  <r>
    <x v="0"/>
    <x v="3"/>
    <x v="3"/>
    <x v="205"/>
    <x v="172"/>
    <x v="172"/>
    <s v="REVENUS"/>
    <x v="2"/>
    <s v="4001.001"/>
    <s v="Impôt revenu"/>
    <n v="0"/>
    <n v="5114.45"/>
    <n v="4001"/>
  </r>
  <r>
    <x v="0"/>
    <x v="3"/>
    <x v="3"/>
    <x v="205"/>
    <x v="172"/>
    <x v="172"/>
    <s v="REVENUS"/>
    <x v="9"/>
    <s v="4031.001"/>
    <s v="Impôt sur les gains immobiliers"/>
    <n v="0"/>
    <n v="27137.200000000001"/>
    <n v="4031"/>
  </r>
  <r>
    <x v="0"/>
    <x v="3"/>
    <x v="3"/>
    <x v="205"/>
    <x v="172"/>
    <x v="172"/>
    <s v="REVENUS"/>
    <x v="2"/>
    <s v="4001.002"/>
    <s v="Impôt complément s/revenu PP"/>
    <n v="0"/>
    <n v="445.3"/>
    <n v="4001"/>
  </r>
  <r>
    <x v="0"/>
    <x v="3"/>
    <x v="3"/>
    <x v="205"/>
    <x v="172"/>
    <x v="172"/>
    <s v="REVENUS"/>
    <x v="3"/>
    <s v="4002.002"/>
    <s v="Impôt complémentaire s/fortune PP"/>
    <n v="0"/>
    <n v="307.45"/>
    <n v="4002"/>
  </r>
  <r>
    <x v="0"/>
    <x v="4"/>
    <x v="4"/>
    <x v="206"/>
    <x v="161"/>
    <x v="161"/>
    <s v="CHARGES"/>
    <x v="0"/>
    <s v="3212.004"/>
    <s v="Intérêts rémun./perçu trop tôt sur acomptes C/C"/>
    <n v="1038.32"/>
    <n v="0"/>
    <n v="3212"/>
  </r>
  <r>
    <x v="0"/>
    <x v="4"/>
    <x v="4"/>
    <x v="206"/>
    <x v="161"/>
    <x v="161"/>
    <s v="CHARGES"/>
    <x v="0"/>
    <s v="3221.002"/>
    <s v="Intérêts compensatoires / créances en faveur ctb."/>
    <n v="692"/>
    <n v="0"/>
    <n v="3221"/>
  </r>
  <r>
    <x v="0"/>
    <x v="4"/>
    <x v="4"/>
    <x v="206"/>
    <x v="161"/>
    <x v="161"/>
    <s v="CHARGES"/>
    <x v="1"/>
    <s v="3301.001"/>
    <s v="Défalcations, abandons de solde PP et IS"/>
    <n v="61192.59"/>
    <n v="0"/>
    <n v="3301"/>
  </r>
  <r>
    <x v="0"/>
    <x v="4"/>
    <x v="4"/>
    <x v="206"/>
    <x v="161"/>
    <x v="161"/>
    <s v="CHARGES"/>
    <x v="0"/>
    <s v="3212.004"/>
    <s v="Intérêts rémun./perçu trop tôt sur acomptes C/C"/>
    <n v="22"/>
    <n v="0"/>
    <n v="3212"/>
  </r>
  <r>
    <x v="0"/>
    <x v="4"/>
    <x v="4"/>
    <x v="206"/>
    <x v="161"/>
    <x v="161"/>
    <s v="CHARGES"/>
    <x v="0"/>
    <s v="3221.002"/>
    <s v="Intérêts compensatoires / créances en faveur ctb."/>
    <n v="17.16"/>
    <n v="0"/>
    <n v="3221"/>
  </r>
  <r>
    <x v="0"/>
    <x v="4"/>
    <x v="4"/>
    <x v="206"/>
    <x v="161"/>
    <x v="161"/>
    <s v="CHARGES"/>
    <x v="1"/>
    <s v="3301.001"/>
    <s v="Défalcations, abandons de solde PP et IS"/>
    <n v="4.05"/>
    <n v="0"/>
    <n v="3301"/>
  </r>
  <r>
    <x v="0"/>
    <x v="4"/>
    <x v="4"/>
    <x v="206"/>
    <x v="161"/>
    <x v="161"/>
    <s v="CHARGES"/>
    <x v="0"/>
    <s v="3212.002"/>
    <s v="Intérêts bonifiés/trop perçu acompte C/C"/>
    <n v="18.62"/>
    <n v="0"/>
    <n v="3212"/>
  </r>
  <r>
    <x v="0"/>
    <x v="4"/>
    <x v="4"/>
    <x v="206"/>
    <x v="161"/>
    <x v="161"/>
    <s v="CHARGES"/>
    <x v="0"/>
    <s v="3212.002"/>
    <s v="Intérêts bonifiés/trop perçu acompte C/C"/>
    <n v="16.760000000000002"/>
    <n v="0"/>
    <n v="3212"/>
  </r>
  <r>
    <x v="0"/>
    <x v="4"/>
    <x v="4"/>
    <x v="206"/>
    <x v="161"/>
    <x v="161"/>
    <s v="CHARGES"/>
    <x v="1"/>
    <s v="3301.001"/>
    <s v="Défalcations, abandons de solde PP et IS"/>
    <n v="9.9"/>
    <n v="0"/>
    <n v="3301"/>
  </r>
  <r>
    <x v="0"/>
    <x v="4"/>
    <x v="4"/>
    <x v="206"/>
    <x v="161"/>
    <x v="161"/>
    <s v="CHARGES"/>
    <x v="1"/>
    <s v="3301.001"/>
    <s v="Défalcations, abandons de solde PP et IS"/>
    <n v="23905.67"/>
    <n v="0"/>
    <n v="3301"/>
  </r>
  <r>
    <x v="0"/>
    <x v="4"/>
    <x v="4"/>
    <x v="206"/>
    <x v="161"/>
    <x v="161"/>
    <s v="CHARGES"/>
    <x v="1"/>
    <s v="3301.001"/>
    <s v="Défalcations, abandons de solde PP et IS"/>
    <n v="0.28999999999999998"/>
    <n v="0"/>
    <n v="3301"/>
  </r>
  <r>
    <x v="0"/>
    <x v="4"/>
    <x v="4"/>
    <x v="206"/>
    <x v="161"/>
    <x v="161"/>
    <s v="CHARGES"/>
    <x v="0"/>
    <s v="3212.004"/>
    <s v="Intérêts rémun./perçu trop tôt sur acomptes C/C"/>
    <n v="9.6300000000000008"/>
    <n v="0"/>
    <n v="3212"/>
  </r>
  <r>
    <x v="0"/>
    <x v="4"/>
    <x v="4"/>
    <x v="206"/>
    <x v="161"/>
    <x v="161"/>
    <s v="CHARGES"/>
    <x v="0"/>
    <s v="3221.002"/>
    <s v="Intérêts compensatoires / créances en faveur ctb."/>
    <n v="4.0999999999999996"/>
    <n v="0"/>
    <n v="3221"/>
  </r>
  <r>
    <x v="0"/>
    <x v="4"/>
    <x v="4"/>
    <x v="206"/>
    <x v="161"/>
    <x v="161"/>
    <s v="CHARGES"/>
    <x v="0"/>
    <s v="3212.004"/>
    <s v="Intérêts rémun./perçu trop tôt sur acomptes C/C"/>
    <n v="1.24"/>
    <n v="0"/>
    <n v="3212"/>
  </r>
  <r>
    <x v="0"/>
    <x v="4"/>
    <x v="4"/>
    <x v="206"/>
    <x v="161"/>
    <x v="161"/>
    <s v="CHARGES"/>
    <x v="0"/>
    <s v="3221.002"/>
    <s v="Intérêts compensatoires / créances en faveur ctb."/>
    <n v="0.48"/>
    <n v="0"/>
    <n v="3221"/>
  </r>
  <r>
    <x v="0"/>
    <x v="4"/>
    <x v="4"/>
    <x v="206"/>
    <x v="161"/>
    <x v="161"/>
    <s v="CHARGES"/>
    <x v="1"/>
    <s v="3301.001"/>
    <s v="Défalcations, abandons de solde PP et IS"/>
    <n v="886.67"/>
    <n v="0"/>
    <n v="3301"/>
  </r>
  <r>
    <x v="0"/>
    <x v="4"/>
    <x v="4"/>
    <x v="206"/>
    <x v="161"/>
    <x v="161"/>
    <s v="CHARGES"/>
    <x v="0"/>
    <s v="3212.004"/>
    <s v="Intérêts rémun./perçu trop tôt sur acomptes C/C"/>
    <n v="1.92"/>
    <n v="0"/>
    <n v="3212"/>
  </r>
  <r>
    <x v="0"/>
    <x v="4"/>
    <x v="4"/>
    <x v="206"/>
    <x v="161"/>
    <x v="161"/>
    <s v="CHARGES"/>
    <x v="0"/>
    <s v="3212.004"/>
    <s v="Intérêts rémun./perçu trop tôt sur acomptes C/C"/>
    <n v="0.03"/>
    <n v="0"/>
    <n v="3212"/>
  </r>
  <r>
    <x v="0"/>
    <x v="4"/>
    <x v="4"/>
    <x v="206"/>
    <x v="161"/>
    <x v="161"/>
    <s v="CHARGES"/>
    <x v="0"/>
    <s v="3212.004"/>
    <s v="Intérêts rémun./perçu trop tôt sur acomptes C/C"/>
    <n v="0.54"/>
    <n v="0"/>
    <n v="3212"/>
  </r>
  <r>
    <x v="0"/>
    <x v="4"/>
    <x v="4"/>
    <x v="206"/>
    <x v="161"/>
    <x v="161"/>
    <s v="CHARGES"/>
    <x v="0"/>
    <s v="3221.002"/>
    <s v="Intérêts compensatoires / créances en faveur ctb."/>
    <n v="0.06"/>
    <n v="0"/>
    <n v="3221"/>
  </r>
  <r>
    <x v="0"/>
    <x v="4"/>
    <x v="4"/>
    <x v="206"/>
    <x v="161"/>
    <x v="161"/>
    <s v="CHARGES"/>
    <x v="0"/>
    <s v="3221.002"/>
    <s v="Intérêts compensatoires / créances en faveur ctb."/>
    <n v="0.36"/>
    <n v="0"/>
    <n v="3221"/>
  </r>
  <r>
    <x v="0"/>
    <x v="4"/>
    <x v="4"/>
    <x v="206"/>
    <x v="161"/>
    <x v="161"/>
    <s v="CHARGES"/>
    <x v="1"/>
    <s v="3301.001"/>
    <s v="Défalcations, abandons de solde PP et IS"/>
    <n v="0.22"/>
    <n v="0"/>
    <n v="3301"/>
  </r>
  <r>
    <x v="0"/>
    <x v="4"/>
    <x v="4"/>
    <x v="206"/>
    <x v="161"/>
    <x v="161"/>
    <s v="CHARGES"/>
    <x v="1"/>
    <s v="3301.001"/>
    <s v="Défalcations, abandons de solde PP et IS"/>
    <n v="0.02"/>
    <n v="0"/>
    <n v="3301"/>
  </r>
  <r>
    <x v="0"/>
    <x v="4"/>
    <x v="4"/>
    <x v="206"/>
    <x v="161"/>
    <x v="161"/>
    <s v="REVENUS"/>
    <x v="6"/>
    <s v="4211.001"/>
    <s v="Intérêts de retard sur factures"/>
    <n v="0"/>
    <n v="9741.44"/>
    <n v="4211"/>
  </r>
  <r>
    <x v="0"/>
    <x v="4"/>
    <x v="4"/>
    <x v="206"/>
    <x v="161"/>
    <x v="161"/>
    <s v="REVENUS"/>
    <x v="2"/>
    <s v="4001.001"/>
    <s v="Impôt revenu"/>
    <n v="0"/>
    <n v="4154512.55"/>
    <n v="4001"/>
  </r>
  <r>
    <x v="0"/>
    <x v="4"/>
    <x v="4"/>
    <x v="206"/>
    <x v="161"/>
    <x v="161"/>
    <s v="REVENUS"/>
    <x v="2"/>
    <s v="4001.003"/>
    <s v="Impôt s/prest. cap. PP"/>
    <n v="0"/>
    <n v="105197.75"/>
    <n v="4001"/>
  </r>
  <r>
    <x v="0"/>
    <x v="4"/>
    <x v="4"/>
    <x v="206"/>
    <x v="161"/>
    <x v="161"/>
    <s v="REVENUS"/>
    <x v="2"/>
    <s v="4001.007"/>
    <s v="Acompte impôt sur revenu"/>
    <n v="0"/>
    <n v="-637744.47"/>
    <n v="4001"/>
  </r>
  <r>
    <x v="0"/>
    <x v="4"/>
    <x v="4"/>
    <x v="206"/>
    <x v="161"/>
    <x v="161"/>
    <s v="REVENUS"/>
    <x v="3"/>
    <s v="4002.001"/>
    <s v="Impôt ordinaire s/fortune PP"/>
    <n v="0"/>
    <n v="511871.35"/>
    <n v="4002"/>
  </r>
  <r>
    <x v="0"/>
    <x v="4"/>
    <x v="4"/>
    <x v="206"/>
    <x v="161"/>
    <x v="161"/>
    <s v="REVENUS"/>
    <x v="3"/>
    <s v="4002.007"/>
    <s v="Acompte impôt sur fortune"/>
    <n v="0"/>
    <n v="-138262.54999999999"/>
    <n v="4002"/>
  </r>
  <r>
    <x v="0"/>
    <x v="4"/>
    <x v="4"/>
    <x v="206"/>
    <x v="161"/>
    <x v="161"/>
    <s v="REVENUS"/>
    <x v="6"/>
    <s v="4211.002"/>
    <s v="Intérêts de retard sur acomptes"/>
    <n v="0"/>
    <n v="35190.980000000003"/>
    <n v="4211"/>
  </r>
  <r>
    <x v="0"/>
    <x v="4"/>
    <x v="4"/>
    <x v="206"/>
    <x v="161"/>
    <x v="161"/>
    <s v="REVENUS"/>
    <x v="6"/>
    <s v="4221.003"/>
    <s v="Intérêts compensat. / acomptes en faveur du fisc"/>
    <n v="0"/>
    <n v="539.66999999999996"/>
    <n v="4221"/>
  </r>
  <r>
    <x v="0"/>
    <x v="4"/>
    <x v="4"/>
    <x v="206"/>
    <x v="161"/>
    <x v="161"/>
    <s v="REVENUS"/>
    <x v="2"/>
    <s v="4001.002"/>
    <s v="Impôt complément s/revenu PP"/>
    <n v="0"/>
    <n v="345244.35"/>
    <n v="4001"/>
  </r>
  <r>
    <x v="0"/>
    <x v="4"/>
    <x v="4"/>
    <x v="206"/>
    <x v="161"/>
    <x v="161"/>
    <s v="REVENUS"/>
    <x v="3"/>
    <s v="4002.002"/>
    <s v="Impôt complémentaire s/fortune PP"/>
    <n v="0"/>
    <n v="67994.5"/>
    <n v="4002"/>
  </r>
  <r>
    <x v="0"/>
    <x v="4"/>
    <x v="4"/>
    <x v="206"/>
    <x v="161"/>
    <x v="161"/>
    <s v="REVENUS"/>
    <x v="7"/>
    <s v="4184.000"/>
    <s v="Frais de poursuite"/>
    <n v="0"/>
    <n v="5640.88"/>
    <n v="4184"/>
  </r>
  <r>
    <x v="0"/>
    <x v="4"/>
    <x v="4"/>
    <x v="206"/>
    <x v="161"/>
    <x v="161"/>
    <s v="REVENUS"/>
    <x v="2"/>
    <s v="4001.001"/>
    <s v="Impôt revenu"/>
    <n v="0"/>
    <n v="25307.3"/>
    <n v="4001"/>
  </r>
  <r>
    <x v="0"/>
    <x v="4"/>
    <x v="4"/>
    <x v="206"/>
    <x v="161"/>
    <x v="161"/>
    <s v="REVENUS"/>
    <x v="2"/>
    <s v="4001.007"/>
    <s v="Acompte impôt sur revenu"/>
    <n v="0"/>
    <n v="8762.6299999999992"/>
    <n v="4001"/>
  </r>
  <r>
    <x v="0"/>
    <x v="4"/>
    <x v="4"/>
    <x v="206"/>
    <x v="161"/>
    <x v="161"/>
    <s v="REVENUS"/>
    <x v="3"/>
    <s v="4002.001"/>
    <s v="Impôt ordinaire s/fortune PP"/>
    <n v="0"/>
    <n v="9766.7999999999993"/>
    <n v="4002"/>
  </r>
  <r>
    <x v="0"/>
    <x v="4"/>
    <x v="4"/>
    <x v="206"/>
    <x v="161"/>
    <x v="161"/>
    <s v="REVENUS"/>
    <x v="3"/>
    <s v="4002.007"/>
    <s v="Acompte impôt sur fortune"/>
    <n v="0"/>
    <n v="1534.97"/>
    <n v="4002"/>
  </r>
  <r>
    <x v="0"/>
    <x v="4"/>
    <x v="4"/>
    <x v="206"/>
    <x v="161"/>
    <x v="161"/>
    <s v="REVENUS"/>
    <x v="3"/>
    <s v="4002.001"/>
    <s v="Impôt ordinaire s/fortune PP"/>
    <n v="0"/>
    <n v="17331.599999999999"/>
    <n v="4002"/>
  </r>
  <r>
    <x v="0"/>
    <x v="4"/>
    <x v="4"/>
    <x v="206"/>
    <x v="161"/>
    <x v="161"/>
    <s v="REVENUS"/>
    <x v="6"/>
    <s v="4211.002"/>
    <s v="Intérêts de retard sur acomptes"/>
    <n v="0"/>
    <n v="433.87"/>
    <n v="4211"/>
  </r>
  <r>
    <x v="0"/>
    <x v="4"/>
    <x v="4"/>
    <x v="206"/>
    <x v="161"/>
    <x v="161"/>
    <s v="REVENUS"/>
    <x v="10"/>
    <s v="4041.001"/>
    <s v="Droits de mutation"/>
    <n v="0"/>
    <n v="187084.75"/>
    <n v="4041"/>
  </r>
  <r>
    <x v="0"/>
    <x v="4"/>
    <x v="4"/>
    <x v="206"/>
    <x v="161"/>
    <x v="161"/>
    <s v="REVENUS"/>
    <x v="2"/>
    <s v="4001.001"/>
    <s v="Impôt revenu"/>
    <n v="0"/>
    <n v="11580.4"/>
    <n v="4001"/>
  </r>
  <r>
    <x v="0"/>
    <x v="4"/>
    <x v="4"/>
    <x v="206"/>
    <x v="161"/>
    <x v="161"/>
    <s v="REVENUS"/>
    <x v="2"/>
    <s v="4001.002"/>
    <s v="Impôt complément s/revenu PP"/>
    <n v="0"/>
    <n v="11171"/>
    <n v="4001"/>
  </r>
  <r>
    <x v="0"/>
    <x v="4"/>
    <x v="4"/>
    <x v="206"/>
    <x v="161"/>
    <x v="161"/>
    <s v="REVENUS"/>
    <x v="3"/>
    <s v="4002.001"/>
    <s v="Impôt ordinaire s/fortune PP"/>
    <n v="0"/>
    <n v="2514.1999999999998"/>
    <n v="4002"/>
  </r>
  <r>
    <x v="0"/>
    <x v="4"/>
    <x v="4"/>
    <x v="206"/>
    <x v="161"/>
    <x v="161"/>
    <s v="REVENUS"/>
    <x v="3"/>
    <s v="4002.002"/>
    <s v="Impôt complémentaire s/fortune PP"/>
    <n v="0"/>
    <n v="1587"/>
    <n v="4002"/>
  </r>
  <r>
    <x v="0"/>
    <x v="4"/>
    <x v="4"/>
    <x v="206"/>
    <x v="161"/>
    <x v="161"/>
    <s v="REVENUS"/>
    <x v="6"/>
    <s v="4211.001"/>
    <s v="Intérêts de retard sur factures"/>
    <n v="0"/>
    <n v="122.63"/>
    <n v="4211"/>
  </r>
  <r>
    <x v="0"/>
    <x v="4"/>
    <x v="4"/>
    <x v="206"/>
    <x v="161"/>
    <x v="161"/>
    <s v="REVENUS"/>
    <x v="6"/>
    <s v="4221.003"/>
    <s v="Intérêts compensat. / acomptes en faveur du fisc"/>
    <n v="0"/>
    <n v="5"/>
    <n v="4221"/>
  </r>
  <r>
    <x v="0"/>
    <x v="4"/>
    <x v="4"/>
    <x v="206"/>
    <x v="161"/>
    <x v="161"/>
    <s v="REVENUS"/>
    <x v="9"/>
    <s v="4031.001"/>
    <s v="Impôt sur les gains immobiliers"/>
    <n v="0"/>
    <n v="133540.75"/>
    <n v="4031"/>
  </r>
  <r>
    <x v="0"/>
    <x v="4"/>
    <x v="4"/>
    <x v="206"/>
    <x v="161"/>
    <x v="161"/>
    <s v="REVENUS"/>
    <x v="7"/>
    <s v="4184.000"/>
    <s v="Frais de poursuite"/>
    <n v="0"/>
    <n v="1.45"/>
    <n v="4184"/>
  </r>
  <r>
    <x v="0"/>
    <x v="4"/>
    <x v="4"/>
    <x v="206"/>
    <x v="161"/>
    <x v="161"/>
    <s v="REVENUS"/>
    <x v="2"/>
    <s v="4001.007"/>
    <s v="Acompte impôt sur revenu"/>
    <n v="0"/>
    <n v="-5829.08"/>
    <n v="4001"/>
  </r>
  <r>
    <x v="0"/>
    <x v="4"/>
    <x v="4"/>
    <x v="206"/>
    <x v="161"/>
    <x v="161"/>
    <s v="REVENUS"/>
    <x v="3"/>
    <s v="4002.007"/>
    <s v="Acompte impôt sur fortune"/>
    <n v="0"/>
    <n v="-2994.1"/>
    <n v="4002"/>
  </r>
  <r>
    <x v="0"/>
    <x v="4"/>
    <x v="4"/>
    <x v="206"/>
    <x v="161"/>
    <x v="161"/>
    <s v="REVENUS"/>
    <x v="2"/>
    <s v="4001.001"/>
    <s v="Impôt revenu"/>
    <n v="0"/>
    <n v="60862.7"/>
    <n v="4001"/>
  </r>
  <r>
    <x v="0"/>
    <x v="4"/>
    <x v="4"/>
    <x v="206"/>
    <x v="161"/>
    <x v="161"/>
    <s v="REVENUS"/>
    <x v="2"/>
    <s v="4001.007"/>
    <s v="Acompte impôt sur revenu"/>
    <n v="0"/>
    <n v="-4381.87"/>
    <n v="4001"/>
  </r>
  <r>
    <x v="0"/>
    <x v="4"/>
    <x v="4"/>
    <x v="206"/>
    <x v="161"/>
    <x v="161"/>
    <s v="REVENUS"/>
    <x v="3"/>
    <s v="4002.007"/>
    <s v="Acompte impôt sur fortune"/>
    <n v="0"/>
    <n v="298.16000000000003"/>
    <n v="4002"/>
  </r>
  <r>
    <x v="0"/>
    <x v="4"/>
    <x v="4"/>
    <x v="206"/>
    <x v="161"/>
    <x v="161"/>
    <s v="REVENUS"/>
    <x v="7"/>
    <s v="4184.000"/>
    <s v="Frais de poursuite"/>
    <n v="0"/>
    <n v="267.37"/>
    <n v="4184"/>
  </r>
  <r>
    <x v="0"/>
    <x v="4"/>
    <x v="4"/>
    <x v="206"/>
    <x v="161"/>
    <x v="161"/>
    <s v="REVENUS"/>
    <x v="5"/>
    <s v="4061.000"/>
    <s v="Impôt sur les chiens"/>
    <n v="0"/>
    <n v="30850"/>
    <n v="4061"/>
  </r>
  <r>
    <x v="0"/>
    <x v="4"/>
    <x v="4"/>
    <x v="206"/>
    <x v="161"/>
    <x v="161"/>
    <s v="REVENUS"/>
    <x v="6"/>
    <s v="4211.002"/>
    <s v="Intérêts de retard sur acomptes"/>
    <n v="0"/>
    <n v="38.22"/>
    <n v="4211"/>
  </r>
  <r>
    <x v="0"/>
    <x v="4"/>
    <x v="4"/>
    <x v="206"/>
    <x v="161"/>
    <x v="161"/>
    <s v="REVENUS"/>
    <x v="6"/>
    <s v="4221.003"/>
    <s v="Intérêts compensat. / acomptes en faveur du fisc"/>
    <n v="0"/>
    <n v="9.9600000000000009"/>
    <n v="4221"/>
  </r>
  <r>
    <x v="0"/>
    <x v="4"/>
    <x v="4"/>
    <x v="206"/>
    <x v="161"/>
    <x v="161"/>
    <s v="REVENUS"/>
    <x v="7"/>
    <s v="4184.000"/>
    <s v="Frais de poursuite"/>
    <n v="0"/>
    <n v="86.31"/>
    <n v="4184"/>
  </r>
  <r>
    <x v="0"/>
    <x v="4"/>
    <x v="4"/>
    <x v="206"/>
    <x v="161"/>
    <x v="161"/>
    <s v="REVENUS"/>
    <x v="7"/>
    <s v="4184.000"/>
    <s v="Frais de poursuite"/>
    <n v="0"/>
    <n v="2189.66"/>
    <n v="4184"/>
  </r>
  <r>
    <x v="0"/>
    <x v="4"/>
    <x v="4"/>
    <x v="206"/>
    <x v="161"/>
    <x v="161"/>
    <s v="REVENUS"/>
    <x v="6"/>
    <s v="4221.003"/>
    <s v="Intérêts compensat. / acomptes en faveur du fisc"/>
    <n v="0"/>
    <n v="13.75"/>
    <n v="4221"/>
  </r>
  <r>
    <x v="0"/>
    <x v="4"/>
    <x v="4"/>
    <x v="206"/>
    <x v="161"/>
    <x v="161"/>
    <s v="REVENUS"/>
    <x v="6"/>
    <s v="4211.001"/>
    <s v="Intérêts de retard sur factures"/>
    <n v="0"/>
    <n v="288.95"/>
    <n v="4211"/>
  </r>
  <r>
    <x v="0"/>
    <x v="4"/>
    <x v="4"/>
    <x v="206"/>
    <x v="161"/>
    <x v="161"/>
    <s v="REVENUS"/>
    <x v="2"/>
    <s v="4001.007"/>
    <s v="Acompte impôt sur revenu"/>
    <n v="0"/>
    <n v="-15137.41"/>
    <n v="4001"/>
  </r>
  <r>
    <x v="0"/>
    <x v="4"/>
    <x v="4"/>
    <x v="206"/>
    <x v="161"/>
    <x v="161"/>
    <s v="REVENUS"/>
    <x v="3"/>
    <s v="4002.007"/>
    <s v="Acompte impôt sur fortune"/>
    <n v="0"/>
    <n v="-88.98"/>
    <n v="4002"/>
  </r>
  <r>
    <x v="0"/>
    <x v="4"/>
    <x v="4"/>
    <x v="206"/>
    <x v="161"/>
    <x v="161"/>
    <s v="REVENUS"/>
    <x v="3"/>
    <s v="4002.007"/>
    <s v="Acompte impôt sur fortune"/>
    <n v="0"/>
    <n v="2789.32"/>
    <n v="4002"/>
  </r>
  <r>
    <x v="0"/>
    <x v="4"/>
    <x v="4"/>
    <x v="206"/>
    <x v="161"/>
    <x v="161"/>
    <s v="REVENUS"/>
    <x v="2"/>
    <s v="4001.007"/>
    <s v="Acompte impôt sur revenu"/>
    <n v="0"/>
    <n v="447.85"/>
    <n v="4001"/>
  </r>
  <r>
    <x v="0"/>
    <x v="4"/>
    <x v="4"/>
    <x v="206"/>
    <x v="161"/>
    <x v="161"/>
    <s v="REVENUS"/>
    <x v="2"/>
    <s v="4001.007"/>
    <s v="Acompte impôt sur revenu"/>
    <n v="0"/>
    <n v="20501.669999999998"/>
    <n v="4001"/>
  </r>
  <r>
    <x v="0"/>
    <x v="4"/>
    <x v="4"/>
    <x v="206"/>
    <x v="161"/>
    <x v="161"/>
    <s v="REVENUS"/>
    <x v="11"/>
    <s v="4198.000"/>
    <s v="Contributions communales"/>
    <n v="0"/>
    <n v="393380.7"/>
    <n v="4198"/>
  </r>
  <r>
    <x v="0"/>
    <x v="4"/>
    <x v="4"/>
    <x v="206"/>
    <x v="161"/>
    <x v="161"/>
    <s v="REVENUS"/>
    <x v="3"/>
    <s v="4002.002"/>
    <s v="Impôt complémentaire s/fortune PP"/>
    <n v="0"/>
    <n v="5715.75"/>
    <n v="4002"/>
  </r>
  <r>
    <x v="0"/>
    <x v="4"/>
    <x v="4"/>
    <x v="206"/>
    <x v="161"/>
    <x v="161"/>
    <s v="REVENUS"/>
    <x v="2"/>
    <s v="4001.001"/>
    <s v="Impôt revenu"/>
    <n v="0"/>
    <n v="3678.85"/>
    <n v="4001"/>
  </r>
  <r>
    <x v="0"/>
    <x v="4"/>
    <x v="4"/>
    <x v="206"/>
    <x v="161"/>
    <x v="161"/>
    <s v="REVENUS"/>
    <x v="6"/>
    <s v="4211.002"/>
    <s v="Intérêts de retard sur acomptes"/>
    <n v="0"/>
    <n v="25.68"/>
    <n v="4211"/>
  </r>
  <r>
    <x v="0"/>
    <x v="4"/>
    <x v="4"/>
    <x v="206"/>
    <x v="161"/>
    <x v="161"/>
    <s v="REVENUS"/>
    <x v="6"/>
    <s v="4221.003"/>
    <s v="Intérêts compensat. / acomptes en faveur du fisc"/>
    <n v="0"/>
    <n v="0.25"/>
    <n v="4221"/>
  </r>
  <r>
    <x v="0"/>
    <x v="4"/>
    <x v="4"/>
    <x v="206"/>
    <x v="161"/>
    <x v="161"/>
    <s v="REVENUS"/>
    <x v="2"/>
    <s v="4001.007"/>
    <s v="Acompte impôt sur revenu"/>
    <n v="0"/>
    <n v="138.44999999999999"/>
    <n v="4001"/>
  </r>
  <r>
    <x v="0"/>
    <x v="4"/>
    <x v="4"/>
    <x v="206"/>
    <x v="161"/>
    <x v="161"/>
    <s v="REVENUS"/>
    <x v="3"/>
    <s v="4002.007"/>
    <s v="Acompte impôt sur fortune"/>
    <n v="0"/>
    <n v="47.4"/>
    <n v="4002"/>
  </r>
  <r>
    <x v="0"/>
    <x v="4"/>
    <x v="4"/>
    <x v="206"/>
    <x v="161"/>
    <x v="161"/>
    <s v="REVENUS"/>
    <x v="3"/>
    <s v="4002.007"/>
    <s v="Acompte impôt sur fortune"/>
    <n v="0"/>
    <n v="116.35"/>
    <n v="4002"/>
  </r>
  <r>
    <x v="0"/>
    <x v="4"/>
    <x v="4"/>
    <x v="206"/>
    <x v="161"/>
    <x v="161"/>
    <s v="REVENUS"/>
    <x v="6"/>
    <s v="4211.001"/>
    <s v="Intérêts de retard sur factures"/>
    <n v="0"/>
    <n v="4.5"/>
    <n v="4211"/>
  </r>
  <r>
    <x v="0"/>
    <x v="4"/>
    <x v="4"/>
    <x v="206"/>
    <x v="161"/>
    <x v="161"/>
    <s v="REVENUS"/>
    <x v="6"/>
    <s v="4221.002"/>
    <s v="Intérêts compensat. sur impôts distincts"/>
    <n v="0"/>
    <n v="78.06"/>
    <n v="4221"/>
  </r>
  <r>
    <x v="0"/>
    <x v="4"/>
    <x v="4"/>
    <x v="206"/>
    <x v="161"/>
    <x v="161"/>
    <s v="REVENUS"/>
    <x v="6"/>
    <s v="4211.002"/>
    <s v="Intérêts de retard sur acomptes"/>
    <n v="0"/>
    <n v="61.69"/>
    <n v="4211"/>
  </r>
  <r>
    <x v="0"/>
    <x v="4"/>
    <x v="4"/>
    <x v="206"/>
    <x v="161"/>
    <x v="161"/>
    <s v="REVENUS"/>
    <x v="3"/>
    <s v="4002.001"/>
    <s v="Impôt ordinaire s/fortune PP"/>
    <n v="0"/>
    <n v="2178.9499999999998"/>
    <n v="4002"/>
  </r>
  <r>
    <x v="0"/>
    <x v="4"/>
    <x v="4"/>
    <x v="206"/>
    <x v="161"/>
    <x v="161"/>
    <s v="REVENUS"/>
    <x v="8"/>
    <s v="4091.001"/>
    <s v="Impôt récupéré après défalcations"/>
    <n v="0"/>
    <n v="6191.19"/>
    <n v="4091"/>
  </r>
  <r>
    <x v="0"/>
    <x v="4"/>
    <x v="4"/>
    <x v="206"/>
    <x v="161"/>
    <x v="161"/>
    <s v="REVENUS"/>
    <x v="2"/>
    <s v="4001.002"/>
    <s v="Impôt complément s/revenu PP"/>
    <n v="0"/>
    <n v="1687.85"/>
    <n v="4001"/>
  </r>
  <r>
    <x v="0"/>
    <x v="4"/>
    <x v="4"/>
    <x v="206"/>
    <x v="161"/>
    <x v="161"/>
    <s v="REVENUS"/>
    <x v="3"/>
    <s v="4002.002"/>
    <s v="Impôt complémentaire s/fortune PP"/>
    <n v="0"/>
    <n v="608.20000000000005"/>
    <n v="4002"/>
  </r>
  <r>
    <x v="0"/>
    <x v="4"/>
    <x v="4"/>
    <x v="206"/>
    <x v="161"/>
    <x v="161"/>
    <s v="REVENUS"/>
    <x v="6"/>
    <s v="4211.001"/>
    <s v="Intérêts de retard sur factures"/>
    <n v="0"/>
    <n v="9.1"/>
    <n v="4211"/>
  </r>
  <r>
    <x v="0"/>
    <x v="4"/>
    <x v="4"/>
    <x v="206"/>
    <x v="161"/>
    <x v="161"/>
    <s v="REVENUS"/>
    <x v="2"/>
    <s v="4001.002"/>
    <s v="Impôt complément s/revenu PP"/>
    <n v="0"/>
    <n v="19696.25"/>
    <n v="4001"/>
  </r>
  <r>
    <x v="0"/>
    <x v="4"/>
    <x v="4"/>
    <x v="206"/>
    <x v="161"/>
    <x v="161"/>
    <s v="REVENUS"/>
    <x v="2"/>
    <s v="4001.001"/>
    <s v="Impôt revenu"/>
    <n v="0"/>
    <n v="61.65"/>
    <n v="4001"/>
  </r>
  <r>
    <x v="0"/>
    <x v="4"/>
    <x v="4"/>
    <x v="206"/>
    <x v="161"/>
    <x v="161"/>
    <s v="REVENUS"/>
    <x v="3"/>
    <s v="4002.001"/>
    <s v="Impôt ordinaire s/fortune PP"/>
    <n v="0"/>
    <n v="91.05"/>
    <n v="4002"/>
  </r>
  <r>
    <x v="0"/>
    <x v="4"/>
    <x v="4"/>
    <x v="206"/>
    <x v="161"/>
    <x v="161"/>
    <s v="REVENUS"/>
    <x v="2"/>
    <s v="4001.001"/>
    <s v="Impôt revenu"/>
    <n v="0"/>
    <n v="893.75"/>
    <n v="4001"/>
  </r>
  <r>
    <x v="0"/>
    <x v="4"/>
    <x v="4"/>
    <x v="206"/>
    <x v="161"/>
    <x v="161"/>
    <s v="REVENUS"/>
    <x v="3"/>
    <s v="4002.001"/>
    <s v="Impôt ordinaire s/fortune PP"/>
    <n v="0"/>
    <n v="433.55"/>
    <n v="4002"/>
  </r>
  <r>
    <x v="0"/>
    <x v="4"/>
    <x v="4"/>
    <x v="206"/>
    <x v="161"/>
    <x v="161"/>
    <s v="REVENUS"/>
    <x v="6"/>
    <s v="4221.003"/>
    <s v="Intérêts compensat. / acomptes en faveur du fisc"/>
    <n v="0"/>
    <n v="0.25"/>
    <n v="4221"/>
  </r>
  <r>
    <x v="0"/>
    <x v="4"/>
    <x v="4"/>
    <x v="206"/>
    <x v="161"/>
    <x v="161"/>
    <s v="REVENUS"/>
    <x v="8"/>
    <s v="4091.001"/>
    <s v="Impôt récupéré après défalcations"/>
    <n v="0"/>
    <n v="5673.34"/>
    <n v="4091"/>
  </r>
  <r>
    <x v="0"/>
    <x v="4"/>
    <x v="4"/>
    <x v="206"/>
    <x v="161"/>
    <x v="161"/>
    <s v="REVENUS"/>
    <x v="4"/>
    <s v="4051.002"/>
    <s v="Impôt sur les donations"/>
    <n v="0"/>
    <n v="19088.7"/>
    <n v="4051"/>
  </r>
  <r>
    <x v="0"/>
    <x v="4"/>
    <x v="4"/>
    <x v="206"/>
    <x v="161"/>
    <x v="161"/>
    <s v="REVENUS"/>
    <x v="3"/>
    <s v="4002.002"/>
    <s v="Impôt complémentaire s/fortune PP"/>
    <n v="0"/>
    <n v="194.55"/>
    <n v="4002"/>
  </r>
  <r>
    <x v="0"/>
    <x v="4"/>
    <x v="4"/>
    <x v="206"/>
    <x v="161"/>
    <x v="161"/>
    <s v="REVENUS"/>
    <x v="3"/>
    <s v="4002.001"/>
    <s v="Impôt ordinaire s/fortune PP"/>
    <n v="0"/>
    <n v="23.65"/>
    <n v="4002"/>
  </r>
  <r>
    <x v="0"/>
    <x v="4"/>
    <x v="4"/>
    <x v="206"/>
    <x v="161"/>
    <x v="161"/>
    <s v="REVENUS"/>
    <x v="7"/>
    <s v="4184.000"/>
    <s v="Frais de poursuite"/>
    <n v="0"/>
    <n v="11.72"/>
    <n v="4184"/>
  </r>
  <r>
    <x v="0"/>
    <x v="4"/>
    <x v="4"/>
    <x v="206"/>
    <x v="161"/>
    <x v="161"/>
    <s v="REVENUS"/>
    <x v="2"/>
    <s v="4001.001"/>
    <s v="Impôt revenu"/>
    <n v="0"/>
    <n v="-121.4"/>
    <n v="4001"/>
  </r>
  <r>
    <x v="0"/>
    <x v="4"/>
    <x v="4"/>
    <x v="206"/>
    <x v="161"/>
    <x v="161"/>
    <s v="REVENUS"/>
    <x v="3"/>
    <s v="4002.001"/>
    <s v="Impôt ordinaire s/fortune PP"/>
    <n v="0"/>
    <n v="-128.44999999999999"/>
    <n v="4002"/>
  </r>
  <r>
    <x v="0"/>
    <x v="4"/>
    <x v="4"/>
    <x v="206"/>
    <x v="161"/>
    <x v="161"/>
    <s v="REVENUS"/>
    <x v="6"/>
    <s v="4211.002"/>
    <s v="Intérêts de retard sur acomptes"/>
    <n v="0"/>
    <n v="0.56000000000000005"/>
    <n v="4211"/>
  </r>
  <r>
    <x v="0"/>
    <x v="4"/>
    <x v="4"/>
    <x v="206"/>
    <x v="161"/>
    <x v="161"/>
    <s v="REVENUS"/>
    <x v="6"/>
    <s v="4221.003"/>
    <s v="Intérêts compensat. / acomptes en faveur du fisc"/>
    <n v="0"/>
    <n v="0.02"/>
    <n v="4221"/>
  </r>
  <r>
    <x v="0"/>
    <x v="4"/>
    <x v="4"/>
    <x v="206"/>
    <x v="161"/>
    <x v="161"/>
    <s v="REVENUS"/>
    <x v="2"/>
    <s v="4001.003"/>
    <s v="Impôt s/prest. cap. PP"/>
    <n v="0"/>
    <n v="190.3"/>
    <n v="4001"/>
  </r>
  <r>
    <x v="0"/>
    <x v="4"/>
    <x v="4"/>
    <x v="206"/>
    <x v="161"/>
    <x v="161"/>
    <s v="REVENUS"/>
    <x v="6"/>
    <s v="4221.002"/>
    <s v="Intérêts compensat. sur impôts distincts"/>
    <n v="0"/>
    <n v="0.02"/>
    <n v="4221"/>
  </r>
  <r>
    <x v="0"/>
    <x v="4"/>
    <x v="4"/>
    <x v="206"/>
    <x v="161"/>
    <x v="161"/>
    <s v="REVENUS"/>
    <x v="4"/>
    <s v="4051.001"/>
    <s v="Impôt sur les successions"/>
    <n v="0"/>
    <n v="2969.3"/>
    <n v="4051"/>
  </r>
  <r>
    <x v="0"/>
    <x v="4"/>
    <x v="4"/>
    <x v="206"/>
    <x v="161"/>
    <x v="161"/>
    <s v="REVENUS"/>
    <x v="6"/>
    <s v="4221.002"/>
    <s v="Intérêts compensat. sur impôts distincts"/>
    <n v="0"/>
    <n v="8.84"/>
    <n v="4221"/>
  </r>
  <r>
    <x v="0"/>
    <x v="4"/>
    <x v="4"/>
    <x v="206"/>
    <x v="161"/>
    <x v="161"/>
    <s v="REVENUS"/>
    <x v="4"/>
    <s v="4051.001"/>
    <s v="Impôt sur les successions"/>
    <n v="0"/>
    <n v="122254.7"/>
    <n v="4051"/>
  </r>
  <r>
    <x v="0"/>
    <x v="2"/>
    <x v="2"/>
    <x v="207"/>
    <x v="173"/>
    <x v="173"/>
    <s v="CHARGES"/>
    <x v="1"/>
    <s v="3301.001"/>
    <s v="Défalcations, abandons de solde PP et IS"/>
    <n v="11166.03"/>
    <n v="0"/>
    <n v="3301"/>
  </r>
  <r>
    <x v="0"/>
    <x v="2"/>
    <x v="2"/>
    <x v="207"/>
    <x v="173"/>
    <x v="173"/>
    <s v="CHARGES"/>
    <x v="0"/>
    <s v="3212.004"/>
    <s v="Intérêts rémun./perçu trop tôt sur acomptes C/C"/>
    <n v="125"/>
    <n v="0"/>
    <n v="3212"/>
  </r>
  <r>
    <x v="0"/>
    <x v="2"/>
    <x v="2"/>
    <x v="207"/>
    <x v="173"/>
    <x v="173"/>
    <s v="CHARGES"/>
    <x v="0"/>
    <s v="3221.002"/>
    <s v="Intérêts compensatoires / créances en faveur ctb."/>
    <n v="140.08000000000001"/>
    <n v="0"/>
    <n v="3221"/>
  </r>
  <r>
    <x v="0"/>
    <x v="2"/>
    <x v="2"/>
    <x v="207"/>
    <x v="173"/>
    <x v="173"/>
    <s v="CHARGES"/>
    <x v="0"/>
    <s v="3212.002"/>
    <s v="Intérêts bonifiés/trop perçu acompte C/C"/>
    <n v="-96.7"/>
    <n v="0"/>
    <n v="3212"/>
  </r>
  <r>
    <x v="0"/>
    <x v="2"/>
    <x v="2"/>
    <x v="207"/>
    <x v="173"/>
    <x v="173"/>
    <s v="REVENUS"/>
    <x v="6"/>
    <s v="4211.001"/>
    <s v="Intérêts de retard sur factures"/>
    <n v="0"/>
    <n v="7141.36"/>
    <n v="4211"/>
  </r>
  <r>
    <x v="0"/>
    <x v="2"/>
    <x v="2"/>
    <x v="207"/>
    <x v="173"/>
    <x v="173"/>
    <s v="REVENUS"/>
    <x v="2"/>
    <s v="4001.001"/>
    <s v="Impôt revenu"/>
    <n v="0"/>
    <n v="-249573.4"/>
    <n v="4001"/>
  </r>
  <r>
    <x v="0"/>
    <x v="2"/>
    <x v="2"/>
    <x v="207"/>
    <x v="173"/>
    <x v="173"/>
    <s v="REVENUS"/>
    <x v="2"/>
    <s v="4001.002"/>
    <s v="Impôt complément s/revenu PP"/>
    <n v="0"/>
    <n v="1063769.55"/>
    <n v="4001"/>
  </r>
  <r>
    <x v="0"/>
    <x v="2"/>
    <x v="2"/>
    <x v="207"/>
    <x v="173"/>
    <x v="173"/>
    <s v="REVENUS"/>
    <x v="2"/>
    <s v="4001.007"/>
    <s v="Acompte impôt sur revenu"/>
    <n v="0"/>
    <n v="-191809.42"/>
    <n v="4001"/>
  </r>
  <r>
    <x v="0"/>
    <x v="2"/>
    <x v="2"/>
    <x v="207"/>
    <x v="173"/>
    <x v="173"/>
    <s v="REVENUS"/>
    <x v="3"/>
    <s v="4002.001"/>
    <s v="Impôt ordinaire s/fortune PP"/>
    <n v="0"/>
    <n v="-142742.95000000001"/>
    <n v="4002"/>
  </r>
  <r>
    <x v="0"/>
    <x v="2"/>
    <x v="2"/>
    <x v="207"/>
    <x v="173"/>
    <x v="173"/>
    <s v="REVENUS"/>
    <x v="3"/>
    <s v="4002.002"/>
    <s v="Impôt complémentaire s/fortune PP"/>
    <n v="0"/>
    <n v="335310.90000000002"/>
    <n v="4002"/>
  </r>
  <r>
    <x v="0"/>
    <x v="2"/>
    <x v="2"/>
    <x v="207"/>
    <x v="173"/>
    <x v="173"/>
    <s v="REVENUS"/>
    <x v="3"/>
    <s v="4002.007"/>
    <s v="Acompte impôt sur fortune"/>
    <n v="0"/>
    <n v="-79626.48"/>
    <n v="4002"/>
  </r>
  <r>
    <x v="0"/>
    <x v="2"/>
    <x v="2"/>
    <x v="207"/>
    <x v="173"/>
    <x v="173"/>
    <s v="REVENUS"/>
    <x v="6"/>
    <s v="4211.002"/>
    <s v="Intérêts de retard sur acomptes"/>
    <n v="0"/>
    <n v="2383.12"/>
    <n v="4211"/>
  </r>
  <r>
    <x v="0"/>
    <x v="2"/>
    <x v="2"/>
    <x v="207"/>
    <x v="173"/>
    <x v="173"/>
    <s v="REVENUS"/>
    <x v="6"/>
    <s v="4221.003"/>
    <s v="Intérêts compensat. / acomptes en faveur du fisc"/>
    <n v="0"/>
    <n v="232.28"/>
    <n v="4221"/>
  </r>
  <r>
    <x v="0"/>
    <x v="2"/>
    <x v="2"/>
    <x v="207"/>
    <x v="173"/>
    <x v="173"/>
    <s v="REVENUS"/>
    <x v="2"/>
    <s v="4001.003"/>
    <s v="Impôt s/prest. cap. PP"/>
    <n v="0"/>
    <n v="22086.3"/>
    <n v="4001"/>
  </r>
  <r>
    <x v="0"/>
    <x v="2"/>
    <x v="2"/>
    <x v="207"/>
    <x v="173"/>
    <x v="173"/>
    <s v="REVENUS"/>
    <x v="7"/>
    <s v="4184.000"/>
    <s v="Frais de poursuite"/>
    <n v="0"/>
    <n v="524.5"/>
    <n v="4184"/>
  </r>
  <r>
    <x v="0"/>
    <x v="2"/>
    <x v="2"/>
    <x v="207"/>
    <x v="173"/>
    <x v="173"/>
    <s v="REVENUS"/>
    <x v="2"/>
    <s v="4001.007"/>
    <s v="Acompte impôt sur revenu"/>
    <n v="0"/>
    <n v="0"/>
    <n v="4001"/>
  </r>
  <r>
    <x v="0"/>
    <x v="2"/>
    <x v="2"/>
    <x v="207"/>
    <x v="173"/>
    <x v="173"/>
    <s v="REVENUS"/>
    <x v="3"/>
    <s v="4002.007"/>
    <s v="Acompte impôt sur fortune"/>
    <n v="0"/>
    <n v="0"/>
    <n v="4002"/>
  </r>
  <r>
    <x v="0"/>
    <x v="2"/>
    <x v="2"/>
    <x v="207"/>
    <x v="173"/>
    <x v="173"/>
    <s v="REVENUS"/>
    <x v="12"/>
    <s v="4004.007"/>
    <s v="Acompte spécial étrangers"/>
    <n v="0"/>
    <n v="-434.6"/>
    <n v="4004"/>
  </r>
  <r>
    <x v="0"/>
    <x v="2"/>
    <x v="2"/>
    <x v="207"/>
    <x v="173"/>
    <x v="173"/>
    <s v="REVENUS"/>
    <x v="11"/>
    <s v="4198.000"/>
    <s v="Contributions communales"/>
    <n v="0"/>
    <n v="71123.600000000006"/>
    <n v="4198"/>
  </r>
  <r>
    <x v="0"/>
    <x v="2"/>
    <x v="2"/>
    <x v="207"/>
    <x v="173"/>
    <x v="173"/>
    <s v="REVENUS"/>
    <x v="9"/>
    <s v="4031.001"/>
    <s v="Impôt sur les gains immobiliers"/>
    <n v="0"/>
    <n v="49413.95"/>
    <n v="4031"/>
  </r>
  <r>
    <x v="0"/>
    <x v="2"/>
    <x v="2"/>
    <x v="207"/>
    <x v="173"/>
    <x v="173"/>
    <s v="REVENUS"/>
    <x v="10"/>
    <s v="4041.001"/>
    <s v="Droits de mutation"/>
    <n v="0"/>
    <n v="61307.8"/>
    <n v="4041"/>
  </r>
  <r>
    <x v="0"/>
    <x v="2"/>
    <x v="2"/>
    <x v="207"/>
    <x v="173"/>
    <x v="173"/>
    <s v="REVENUS"/>
    <x v="10"/>
    <s v="4041.002"/>
    <s v="Complément droit de mutation"/>
    <n v="0"/>
    <n v="75.599999999999994"/>
    <n v="4041"/>
  </r>
  <r>
    <x v="0"/>
    <x v="2"/>
    <x v="2"/>
    <x v="207"/>
    <x v="173"/>
    <x v="173"/>
    <s v="REVENUS"/>
    <x v="6"/>
    <s v="4211.001"/>
    <s v="Intérêts de retard sur factures"/>
    <n v="0"/>
    <n v="0.05"/>
    <n v="4211"/>
  </r>
  <r>
    <x v="0"/>
    <x v="2"/>
    <x v="2"/>
    <x v="207"/>
    <x v="173"/>
    <x v="173"/>
    <s v="REVENUS"/>
    <x v="6"/>
    <s v="4221.002"/>
    <s v="Intérêts compensat. sur impôts distincts"/>
    <n v="0"/>
    <n v="11.22"/>
    <n v="4221"/>
  </r>
  <r>
    <x v="0"/>
    <x v="2"/>
    <x v="2"/>
    <x v="207"/>
    <x v="173"/>
    <x v="173"/>
    <s v="REVENUS"/>
    <x v="5"/>
    <s v="4061.000"/>
    <s v="Impôt sur les chiens"/>
    <n v="0"/>
    <n v="900"/>
    <n v="4061"/>
  </r>
  <r>
    <x v="0"/>
    <x v="2"/>
    <x v="2"/>
    <x v="207"/>
    <x v="173"/>
    <x v="173"/>
    <s v="REVENUS"/>
    <x v="12"/>
    <s v="4004.000"/>
    <s v="Impôt spécial étrangers"/>
    <n v="0"/>
    <n v="65478.85"/>
    <n v="4004"/>
  </r>
  <r>
    <x v="0"/>
    <x v="2"/>
    <x v="2"/>
    <x v="207"/>
    <x v="173"/>
    <x v="173"/>
    <s v="REVENUS"/>
    <x v="3"/>
    <s v="4002.001"/>
    <s v="Impôt ordinaire s/fortune PP"/>
    <n v="0"/>
    <n v="61.2"/>
    <n v="4002"/>
  </r>
  <r>
    <x v="0"/>
    <x v="2"/>
    <x v="2"/>
    <x v="207"/>
    <x v="173"/>
    <x v="173"/>
    <s v="REVENUS"/>
    <x v="6"/>
    <s v="4211.002"/>
    <s v="Intérêts de retard sur acomptes"/>
    <n v="0"/>
    <n v="2.13"/>
    <n v="4211"/>
  </r>
  <r>
    <x v="0"/>
    <x v="2"/>
    <x v="2"/>
    <x v="207"/>
    <x v="173"/>
    <x v="173"/>
    <s v="REVENUS"/>
    <x v="9"/>
    <s v="4031.002"/>
    <s v="Complément impôt sur les gains immobiliers"/>
    <n v="0"/>
    <n v="8513.6"/>
    <n v="4031"/>
  </r>
  <r>
    <x v="0"/>
    <x v="2"/>
    <x v="2"/>
    <x v="208"/>
    <x v="174"/>
    <x v="174"/>
    <s v="CHARGES"/>
    <x v="0"/>
    <s v="3212.002"/>
    <s v="Intérêts bonifiés/trop perçu acompte C/C"/>
    <n v="103.8"/>
    <n v="0"/>
    <n v="3212"/>
  </r>
  <r>
    <x v="0"/>
    <x v="2"/>
    <x v="2"/>
    <x v="208"/>
    <x v="174"/>
    <x v="174"/>
    <s v="CHARGES"/>
    <x v="0"/>
    <s v="3212.004"/>
    <s v="Intérêts rémun./perçu trop tôt sur acomptes C/C"/>
    <n v="1306.98"/>
    <n v="0"/>
    <n v="3212"/>
  </r>
  <r>
    <x v="0"/>
    <x v="2"/>
    <x v="2"/>
    <x v="208"/>
    <x v="174"/>
    <x v="174"/>
    <s v="CHARGES"/>
    <x v="0"/>
    <s v="3221.002"/>
    <s v="Intérêts compensatoires / créances en faveur ctb."/>
    <n v="141.94"/>
    <n v="0"/>
    <n v="3221"/>
  </r>
  <r>
    <x v="0"/>
    <x v="2"/>
    <x v="2"/>
    <x v="208"/>
    <x v="174"/>
    <x v="174"/>
    <s v="CHARGES"/>
    <x v="1"/>
    <s v="3301.001"/>
    <s v="Défalcations, abandons de solde PP et IS"/>
    <n v="26640.77"/>
    <n v="0"/>
    <n v="3301"/>
  </r>
  <r>
    <x v="0"/>
    <x v="2"/>
    <x v="2"/>
    <x v="208"/>
    <x v="174"/>
    <x v="174"/>
    <s v="CHARGES"/>
    <x v="1"/>
    <s v="3301.001"/>
    <s v="Défalcations, abandons de solde PP et IS"/>
    <n v="8569.2900000000009"/>
    <n v="0"/>
    <n v="3301"/>
  </r>
  <r>
    <x v="0"/>
    <x v="2"/>
    <x v="2"/>
    <x v="208"/>
    <x v="174"/>
    <x v="174"/>
    <s v="CHARGES"/>
    <x v="0"/>
    <s v="3212.004"/>
    <s v="Intérêts rémun./perçu trop tôt sur acomptes C/C"/>
    <n v="3.26"/>
    <n v="0"/>
    <n v="3212"/>
  </r>
  <r>
    <x v="0"/>
    <x v="2"/>
    <x v="2"/>
    <x v="208"/>
    <x v="174"/>
    <x v="174"/>
    <s v="CHARGES"/>
    <x v="0"/>
    <s v="3221.002"/>
    <s v="Intérêts compensatoires / créances en faveur ctb."/>
    <n v="3.63"/>
    <n v="0"/>
    <n v="3221"/>
  </r>
  <r>
    <x v="0"/>
    <x v="2"/>
    <x v="2"/>
    <x v="208"/>
    <x v="174"/>
    <x v="174"/>
    <s v="CHARGES"/>
    <x v="0"/>
    <s v="3212.004"/>
    <s v="Intérêts rémun./perçu trop tôt sur acomptes C/C"/>
    <n v="1.0900000000000001"/>
    <n v="0"/>
    <n v="3212"/>
  </r>
  <r>
    <x v="0"/>
    <x v="2"/>
    <x v="2"/>
    <x v="208"/>
    <x v="174"/>
    <x v="174"/>
    <s v="CHARGES"/>
    <x v="1"/>
    <s v="3301.001"/>
    <s v="Défalcations, abandons de solde PP et IS"/>
    <n v="0.75"/>
    <n v="0"/>
    <n v="3301"/>
  </r>
  <r>
    <x v="0"/>
    <x v="2"/>
    <x v="2"/>
    <x v="208"/>
    <x v="174"/>
    <x v="174"/>
    <s v="CHARGES"/>
    <x v="0"/>
    <s v="3212.004"/>
    <s v="Intérêts rémun./perçu trop tôt sur acomptes C/C"/>
    <n v="16.8"/>
    <n v="0"/>
    <n v="3212"/>
  </r>
  <r>
    <x v="0"/>
    <x v="2"/>
    <x v="2"/>
    <x v="208"/>
    <x v="174"/>
    <x v="174"/>
    <s v="CHARGES"/>
    <x v="0"/>
    <s v="3212.004"/>
    <s v="Intérêts rémun./perçu trop tôt sur acomptes C/C"/>
    <n v="0.9"/>
    <n v="0"/>
    <n v="3212"/>
  </r>
  <r>
    <x v="0"/>
    <x v="2"/>
    <x v="2"/>
    <x v="208"/>
    <x v="174"/>
    <x v="174"/>
    <s v="CHARGES"/>
    <x v="0"/>
    <s v="3221.002"/>
    <s v="Intérêts compensatoires / créances en faveur ctb."/>
    <n v="7.0000000000000007E-2"/>
    <n v="0"/>
    <n v="3221"/>
  </r>
  <r>
    <x v="0"/>
    <x v="2"/>
    <x v="2"/>
    <x v="208"/>
    <x v="174"/>
    <x v="174"/>
    <s v="CHARGES"/>
    <x v="1"/>
    <s v="3301.003"/>
    <s v="Remises PP et IS"/>
    <n v="1111.68"/>
    <n v="0"/>
    <n v="3301"/>
  </r>
  <r>
    <x v="0"/>
    <x v="2"/>
    <x v="2"/>
    <x v="208"/>
    <x v="174"/>
    <x v="174"/>
    <s v="CHARGES"/>
    <x v="0"/>
    <s v="3221.002"/>
    <s v="Intérêts compensatoires / créances en faveur ctb."/>
    <n v="1.07"/>
    <n v="0"/>
    <n v="3221"/>
  </r>
  <r>
    <x v="0"/>
    <x v="2"/>
    <x v="2"/>
    <x v="208"/>
    <x v="174"/>
    <x v="174"/>
    <s v="CHARGES"/>
    <x v="0"/>
    <s v="3221.002"/>
    <s v="Intérêts compensatoires / créances en faveur ctb."/>
    <n v="7.0000000000000007E-2"/>
    <n v="0"/>
    <n v="3221"/>
  </r>
  <r>
    <x v="0"/>
    <x v="2"/>
    <x v="2"/>
    <x v="208"/>
    <x v="174"/>
    <x v="174"/>
    <s v="CHARGES"/>
    <x v="0"/>
    <s v="3221.002"/>
    <s v="Intérêts compensatoires / créances en faveur ctb."/>
    <n v="9.59"/>
    <n v="0"/>
    <n v="3221"/>
  </r>
  <r>
    <x v="0"/>
    <x v="2"/>
    <x v="2"/>
    <x v="208"/>
    <x v="174"/>
    <x v="174"/>
    <s v="CHARGES"/>
    <x v="1"/>
    <s v="3301.001"/>
    <s v="Défalcations, abandons de solde PP et IS"/>
    <n v="0.01"/>
    <n v="0"/>
    <n v="3301"/>
  </r>
  <r>
    <x v="0"/>
    <x v="2"/>
    <x v="2"/>
    <x v="208"/>
    <x v="174"/>
    <x v="174"/>
    <s v="CHARGES"/>
    <x v="0"/>
    <s v="3212.004"/>
    <s v="Intérêts rémun./perçu trop tôt sur acomptes C/C"/>
    <n v="0.08"/>
    <n v="0"/>
    <n v="3212"/>
  </r>
  <r>
    <x v="0"/>
    <x v="2"/>
    <x v="2"/>
    <x v="208"/>
    <x v="174"/>
    <x v="174"/>
    <s v="CHARGES"/>
    <x v="0"/>
    <s v="3221.002"/>
    <s v="Intérêts compensatoires / créances en faveur ctb."/>
    <n v="0.02"/>
    <n v="0"/>
    <n v="3221"/>
  </r>
  <r>
    <x v="0"/>
    <x v="2"/>
    <x v="2"/>
    <x v="208"/>
    <x v="174"/>
    <x v="174"/>
    <s v="CHARGES"/>
    <x v="1"/>
    <s v="3301.001"/>
    <s v="Défalcations, abandons de solde PP et IS"/>
    <n v="0.46"/>
    <n v="0"/>
    <n v="3301"/>
  </r>
  <r>
    <x v="0"/>
    <x v="2"/>
    <x v="2"/>
    <x v="208"/>
    <x v="174"/>
    <x v="174"/>
    <s v="CHARGES"/>
    <x v="0"/>
    <s v="3212.004"/>
    <s v="Intérêts rémun./perçu trop tôt sur acomptes C/C"/>
    <n v="0.05"/>
    <n v="0"/>
    <n v="3212"/>
  </r>
  <r>
    <x v="0"/>
    <x v="2"/>
    <x v="2"/>
    <x v="208"/>
    <x v="174"/>
    <x v="174"/>
    <s v="CHARGES"/>
    <x v="1"/>
    <s v="3301.001"/>
    <s v="Défalcations, abandons de solde PP et IS"/>
    <n v="0.11"/>
    <n v="0"/>
    <n v="3301"/>
  </r>
  <r>
    <x v="0"/>
    <x v="2"/>
    <x v="2"/>
    <x v="208"/>
    <x v="174"/>
    <x v="174"/>
    <s v="CHARGES"/>
    <x v="1"/>
    <s v="3301.001"/>
    <s v="Défalcations, abandons de solde PP et IS"/>
    <n v="0.04"/>
    <n v="0"/>
    <n v="3301"/>
  </r>
  <r>
    <x v="0"/>
    <x v="2"/>
    <x v="2"/>
    <x v="208"/>
    <x v="174"/>
    <x v="174"/>
    <s v="CHARGES"/>
    <x v="1"/>
    <s v="3301.001"/>
    <s v="Défalcations, abandons de solde PP et IS"/>
    <n v="0.61"/>
    <n v="0"/>
    <n v="3301"/>
  </r>
  <r>
    <x v="0"/>
    <x v="2"/>
    <x v="2"/>
    <x v="208"/>
    <x v="174"/>
    <x v="174"/>
    <s v="REVENUS"/>
    <x v="2"/>
    <s v="4001.007"/>
    <s v="Acompte impôt sur revenu"/>
    <n v="0"/>
    <n v="326251.74"/>
    <n v="4001"/>
  </r>
  <r>
    <x v="0"/>
    <x v="2"/>
    <x v="2"/>
    <x v="208"/>
    <x v="174"/>
    <x v="174"/>
    <s v="REVENUS"/>
    <x v="3"/>
    <s v="4002.007"/>
    <s v="Acompte impôt sur fortune"/>
    <n v="0"/>
    <n v="153782.04999999999"/>
    <n v="4002"/>
  </r>
  <r>
    <x v="0"/>
    <x v="2"/>
    <x v="2"/>
    <x v="208"/>
    <x v="174"/>
    <x v="174"/>
    <s v="REVENUS"/>
    <x v="2"/>
    <s v="4001.001"/>
    <s v="Impôt revenu"/>
    <n v="0"/>
    <n v="5709023.7999999998"/>
    <n v="4001"/>
  </r>
  <r>
    <x v="0"/>
    <x v="2"/>
    <x v="2"/>
    <x v="208"/>
    <x v="174"/>
    <x v="174"/>
    <s v="REVENUS"/>
    <x v="2"/>
    <s v="4001.002"/>
    <s v="Impôt complément s/revenu PP"/>
    <n v="0"/>
    <n v="1414365.75"/>
    <n v="4001"/>
  </r>
  <r>
    <x v="0"/>
    <x v="2"/>
    <x v="2"/>
    <x v="208"/>
    <x v="174"/>
    <x v="174"/>
    <s v="REVENUS"/>
    <x v="3"/>
    <s v="4002.001"/>
    <s v="Impôt ordinaire s/fortune PP"/>
    <n v="0"/>
    <n v="847238.65"/>
    <n v="4002"/>
  </r>
  <r>
    <x v="0"/>
    <x v="2"/>
    <x v="2"/>
    <x v="208"/>
    <x v="174"/>
    <x v="174"/>
    <s v="REVENUS"/>
    <x v="9"/>
    <s v="4031.001"/>
    <s v="Impôt sur les gains immobiliers"/>
    <n v="0"/>
    <n v="347811.7"/>
    <n v="4031"/>
  </r>
  <r>
    <x v="0"/>
    <x v="2"/>
    <x v="2"/>
    <x v="208"/>
    <x v="174"/>
    <x v="174"/>
    <s v="REVENUS"/>
    <x v="10"/>
    <s v="4041.001"/>
    <s v="Droits de mutation"/>
    <n v="0"/>
    <n v="468030.45"/>
    <n v="4041"/>
  </r>
  <r>
    <x v="0"/>
    <x v="2"/>
    <x v="2"/>
    <x v="208"/>
    <x v="174"/>
    <x v="174"/>
    <s v="REVENUS"/>
    <x v="11"/>
    <s v="4198.000"/>
    <s v="Contributions communales"/>
    <n v="0"/>
    <n v="1166776.3"/>
    <n v="4198"/>
  </r>
  <r>
    <x v="0"/>
    <x v="2"/>
    <x v="2"/>
    <x v="208"/>
    <x v="174"/>
    <x v="174"/>
    <s v="REVENUS"/>
    <x v="6"/>
    <s v="4211.001"/>
    <s v="Intérêts de retard sur factures"/>
    <n v="0"/>
    <n v="27326.33"/>
    <n v="4211"/>
  </r>
  <r>
    <x v="0"/>
    <x v="2"/>
    <x v="2"/>
    <x v="208"/>
    <x v="174"/>
    <x v="174"/>
    <s v="REVENUS"/>
    <x v="6"/>
    <s v="4211.002"/>
    <s v="Intérêts de retard sur acomptes"/>
    <n v="0"/>
    <n v="36754.07"/>
    <n v="4211"/>
  </r>
  <r>
    <x v="0"/>
    <x v="2"/>
    <x v="2"/>
    <x v="208"/>
    <x v="174"/>
    <x v="174"/>
    <s v="REVENUS"/>
    <x v="6"/>
    <s v="4221.002"/>
    <s v="Intérêts compensat. sur impôts distincts"/>
    <n v="0"/>
    <n v="120.89"/>
    <n v="4221"/>
  </r>
  <r>
    <x v="0"/>
    <x v="2"/>
    <x v="2"/>
    <x v="208"/>
    <x v="174"/>
    <x v="174"/>
    <s v="REVENUS"/>
    <x v="6"/>
    <s v="4221.003"/>
    <s v="Intérêts compensat. / acomptes en faveur du fisc"/>
    <n v="0"/>
    <n v="816.67"/>
    <n v="4221"/>
  </r>
  <r>
    <x v="0"/>
    <x v="2"/>
    <x v="2"/>
    <x v="208"/>
    <x v="174"/>
    <x v="174"/>
    <s v="REVENUS"/>
    <x v="2"/>
    <s v="4001.001"/>
    <s v="Impôt revenu"/>
    <n v="0"/>
    <n v="4773.95"/>
    <n v="4001"/>
  </r>
  <r>
    <x v="0"/>
    <x v="2"/>
    <x v="2"/>
    <x v="208"/>
    <x v="174"/>
    <x v="174"/>
    <s v="REVENUS"/>
    <x v="3"/>
    <s v="4002.001"/>
    <s v="Impôt ordinaire s/fortune PP"/>
    <n v="0"/>
    <n v="1993.75"/>
    <n v="4002"/>
  </r>
  <r>
    <x v="0"/>
    <x v="2"/>
    <x v="2"/>
    <x v="208"/>
    <x v="174"/>
    <x v="174"/>
    <s v="REVENUS"/>
    <x v="3"/>
    <s v="4002.001"/>
    <s v="Impôt ordinaire s/fortune PP"/>
    <n v="0"/>
    <n v="2705.8"/>
    <n v="4002"/>
  </r>
  <r>
    <x v="0"/>
    <x v="2"/>
    <x v="2"/>
    <x v="208"/>
    <x v="174"/>
    <x v="174"/>
    <s v="REVENUS"/>
    <x v="6"/>
    <s v="4211.002"/>
    <s v="Intérêts de retard sur acomptes"/>
    <n v="0"/>
    <n v="47.09"/>
    <n v="4211"/>
  </r>
  <r>
    <x v="0"/>
    <x v="2"/>
    <x v="2"/>
    <x v="208"/>
    <x v="174"/>
    <x v="174"/>
    <s v="REVENUS"/>
    <x v="6"/>
    <s v="4221.003"/>
    <s v="Intérêts compensat. / acomptes en faveur du fisc"/>
    <n v="0"/>
    <n v="2"/>
    <n v="4221"/>
  </r>
  <r>
    <x v="0"/>
    <x v="2"/>
    <x v="2"/>
    <x v="208"/>
    <x v="174"/>
    <x v="174"/>
    <s v="REVENUS"/>
    <x v="3"/>
    <s v="4002.002"/>
    <s v="Impôt complémentaire s/fortune PP"/>
    <n v="0"/>
    <n v="459724.1"/>
    <n v="4002"/>
  </r>
  <r>
    <x v="0"/>
    <x v="2"/>
    <x v="2"/>
    <x v="208"/>
    <x v="174"/>
    <x v="174"/>
    <s v="REVENUS"/>
    <x v="7"/>
    <s v="4184.000"/>
    <s v="Frais de poursuite"/>
    <n v="0"/>
    <n v="3951.34"/>
    <n v="4184"/>
  </r>
  <r>
    <x v="0"/>
    <x v="2"/>
    <x v="2"/>
    <x v="208"/>
    <x v="174"/>
    <x v="174"/>
    <s v="REVENUS"/>
    <x v="2"/>
    <s v="4001.001"/>
    <s v="Impôt revenu"/>
    <n v="0"/>
    <n v="1444.2"/>
    <n v="4001"/>
  </r>
  <r>
    <x v="0"/>
    <x v="2"/>
    <x v="2"/>
    <x v="208"/>
    <x v="174"/>
    <x v="174"/>
    <s v="REVENUS"/>
    <x v="2"/>
    <s v="4001.007"/>
    <s v="Acompte impôt sur revenu"/>
    <n v="0"/>
    <n v="-174.7"/>
    <n v="4001"/>
  </r>
  <r>
    <x v="0"/>
    <x v="2"/>
    <x v="2"/>
    <x v="208"/>
    <x v="174"/>
    <x v="174"/>
    <s v="REVENUS"/>
    <x v="3"/>
    <s v="4002.001"/>
    <s v="Impôt ordinaire s/fortune PP"/>
    <n v="0"/>
    <n v="3987.25"/>
    <n v="4002"/>
  </r>
  <r>
    <x v="0"/>
    <x v="2"/>
    <x v="2"/>
    <x v="208"/>
    <x v="174"/>
    <x v="174"/>
    <s v="REVENUS"/>
    <x v="3"/>
    <s v="4002.007"/>
    <s v="Acompte impôt sur fortune"/>
    <n v="0"/>
    <n v="-1683.06"/>
    <n v="4002"/>
  </r>
  <r>
    <x v="0"/>
    <x v="2"/>
    <x v="2"/>
    <x v="208"/>
    <x v="174"/>
    <x v="174"/>
    <s v="REVENUS"/>
    <x v="2"/>
    <s v="4001.003"/>
    <s v="Impôt s/prest. cap. PP"/>
    <n v="0"/>
    <n v="157372.20000000001"/>
    <n v="4001"/>
  </r>
  <r>
    <x v="0"/>
    <x v="2"/>
    <x v="2"/>
    <x v="208"/>
    <x v="174"/>
    <x v="174"/>
    <s v="REVENUS"/>
    <x v="2"/>
    <s v="4001.001"/>
    <s v="Impôt revenu"/>
    <n v="0"/>
    <n v="2402.0500000000002"/>
    <n v="4001"/>
  </r>
  <r>
    <x v="0"/>
    <x v="2"/>
    <x v="2"/>
    <x v="208"/>
    <x v="174"/>
    <x v="174"/>
    <s v="REVENUS"/>
    <x v="2"/>
    <s v="4001.002"/>
    <s v="Impôt complément s/revenu PP"/>
    <n v="0"/>
    <n v="509.2"/>
    <n v="4001"/>
  </r>
  <r>
    <x v="0"/>
    <x v="2"/>
    <x v="2"/>
    <x v="208"/>
    <x v="174"/>
    <x v="174"/>
    <s v="REVENUS"/>
    <x v="3"/>
    <s v="4002.001"/>
    <s v="Impôt ordinaire s/fortune PP"/>
    <n v="0"/>
    <n v="1509.85"/>
    <n v="4002"/>
  </r>
  <r>
    <x v="0"/>
    <x v="2"/>
    <x v="2"/>
    <x v="208"/>
    <x v="174"/>
    <x v="174"/>
    <s v="REVENUS"/>
    <x v="3"/>
    <s v="4002.002"/>
    <s v="Impôt complémentaire s/fortune PP"/>
    <n v="0"/>
    <n v="373.9"/>
    <n v="4002"/>
  </r>
  <r>
    <x v="0"/>
    <x v="2"/>
    <x v="2"/>
    <x v="208"/>
    <x v="174"/>
    <x v="174"/>
    <s v="REVENUS"/>
    <x v="2"/>
    <s v="4001.007"/>
    <s v="Acompte impôt sur revenu"/>
    <n v="0"/>
    <n v="-4068.82"/>
    <n v="4001"/>
  </r>
  <r>
    <x v="0"/>
    <x v="2"/>
    <x v="2"/>
    <x v="208"/>
    <x v="174"/>
    <x v="174"/>
    <s v="REVENUS"/>
    <x v="3"/>
    <s v="4002.007"/>
    <s v="Acompte impôt sur fortune"/>
    <n v="0"/>
    <n v="-3022.51"/>
    <n v="4002"/>
  </r>
  <r>
    <x v="0"/>
    <x v="2"/>
    <x v="2"/>
    <x v="208"/>
    <x v="174"/>
    <x v="174"/>
    <s v="REVENUS"/>
    <x v="3"/>
    <s v="4002.001"/>
    <s v="Impôt ordinaire s/fortune PP"/>
    <n v="0"/>
    <n v="157.05000000000001"/>
    <n v="4002"/>
  </r>
  <r>
    <x v="0"/>
    <x v="2"/>
    <x v="2"/>
    <x v="208"/>
    <x v="174"/>
    <x v="174"/>
    <s v="REVENUS"/>
    <x v="8"/>
    <s v="4091.001"/>
    <s v="Impôt récupéré après défalcations"/>
    <n v="0"/>
    <n v="4945.6000000000004"/>
    <n v="4091"/>
  </r>
  <r>
    <x v="0"/>
    <x v="2"/>
    <x v="2"/>
    <x v="208"/>
    <x v="174"/>
    <x v="174"/>
    <s v="REVENUS"/>
    <x v="12"/>
    <s v="4004.000"/>
    <s v="Impôt spécial étrangers"/>
    <n v="0"/>
    <n v="441992.5"/>
    <n v="4004"/>
  </r>
  <r>
    <x v="0"/>
    <x v="2"/>
    <x v="2"/>
    <x v="208"/>
    <x v="174"/>
    <x v="174"/>
    <s v="REVENUS"/>
    <x v="12"/>
    <s v="4004.007"/>
    <s v="Acompte spécial étrangers"/>
    <n v="0"/>
    <n v="-64448.800000000003"/>
    <n v="4004"/>
  </r>
  <r>
    <x v="0"/>
    <x v="2"/>
    <x v="2"/>
    <x v="208"/>
    <x v="174"/>
    <x v="174"/>
    <s v="REVENUS"/>
    <x v="2"/>
    <s v="4001.007"/>
    <s v="Acompte impôt sur revenu"/>
    <n v="0"/>
    <n v="-690.25"/>
    <n v="4001"/>
  </r>
  <r>
    <x v="0"/>
    <x v="2"/>
    <x v="2"/>
    <x v="208"/>
    <x v="174"/>
    <x v="174"/>
    <s v="REVENUS"/>
    <x v="3"/>
    <s v="4002.007"/>
    <s v="Acompte impôt sur fortune"/>
    <n v="0"/>
    <n v="-176.4"/>
    <n v="4002"/>
  </r>
  <r>
    <x v="0"/>
    <x v="2"/>
    <x v="2"/>
    <x v="208"/>
    <x v="174"/>
    <x v="174"/>
    <s v="REVENUS"/>
    <x v="2"/>
    <s v="4001.007"/>
    <s v="Acompte impôt sur revenu"/>
    <n v="0"/>
    <n v="799.55"/>
    <n v="4001"/>
  </r>
  <r>
    <x v="0"/>
    <x v="2"/>
    <x v="2"/>
    <x v="208"/>
    <x v="174"/>
    <x v="174"/>
    <s v="REVENUS"/>
    <x v="3"/>
    <s v="4002.007"/>
    <s v="Acompte impôt sur fortune"/>
    <n v="0"/>
    <n v="167.4"/>
    <n v="4002"/>
  </r>
  <r>
    <x v="0"/>
    <x v="2"/>
    <x v="2"/>
    <x v="208"/>
    <x v="174"/>
    <x v="174"/>
    <s v="REVENUS"/>
    <x v="3"/>
    <s v="4002.007"/>
    <s v="Acompte impôt sur fortune"/>
    <n v="0"/>
    <n v="-72.900000000000006"/>
    <n v="4002"/>
  </r>
  <r>
    <x v="0"/>
    <x v="2"/>
    <x v="2"/>
    <x v="208"/>
    <x v="174"/>
    <x v="174"/>
    <s v="REVENUS"/>
    <x v="2"/>
    <s v="4001.007"/>
    <s v="Acompte impôt sur revenu"/>
    <n v="0"/>
    <n v="-100.05"/>
    <n v="4001"/>
  </r>
  <r>
    <x v="0"/>
    <x v="2"/>
    <x v="2"/>
    <x v="208"/>
    <x v="174"/>
    <x v="174"/>
    <s v="REVENUS"/>
    <x v="2"/>
    <s v="4001.007"/>
    <s v="Acompte impôt sur revenu"/>
    <n v="0"/>
    <n v="-377.05"/>
    <n v="4001"/>
  </r>
  <r>
    <x v="0"/>
    <x v="2"/>
    <x v="2"/>
    <x v="208"/>
    <x v="174"/>
    <x v="174"/>
    <s v="REVENUS"/>
    <x v="3"/>
    <s v="4002.007"/>
    <s v="Acompte impôt sur fortune"/>
    <n v="0"/>
    <n v="-34.74"/>
    <n v="4002"/>
  </r>
  <r>
    <x v="0"/>
    <x v="2"/>
    <x v="2"/>
    <x v="208"/>
    <x v="174"/>
    <x v="174"/>
    <s v="REVENUS"/>
    <x v="2"/>
    <s v="4001.007"/>
    <s v="Acompte impôt sur revenu"/>
    <n v="0"/>
    <n v="-8550.4"/>
    <n v="4001"/>
  </r>
  <r>
    <x v="0"/>
    <x v="2"/>
    <x v="2"/>
    <x v="208"/>
    <x v="174"/>
    <x v="174"/>
    <s v="REVENUS"/>
    <x v="3"/>
    <s v="4002.007"/>
    <s v="Acompte impôt sur fortune"/>
    <n v="0"/>
    <n v="-10067.6"/>
    <n v="4002"/>
  </r>
  <r>
    <x v="0"/>
    <x v="2"/>
    <x v="2"/>
    <x v="208"/>
    <x v="174"/>
    <x v="174"/>
    <s v="REVENUS"/>
    <x v="8"/>
    <s v="4091.001"/>
    <s v="Impôt récupéré après défalcations"/>
    <n v="0"/>
    <n v="4957.7299999999996"/>
    <n v="4091"/>
  </r>
  <r>
    <x v="0"/>
    <x v="2"/>
    <x v="2"/>
    <x v="208"/>
    <x v="174"/>
    <x v="174"/>
    <s v="REVENUS"/>
    <x v="6"/>
    <s v="4211.001"/>
    <s v="Intérêts de retard sur factures"/>
    <n v="0"/>
    <n v="2.97"/>
    <n v="4211"/>
  </r>
  <r>
    <x v="0"/>
    <x v="2"/>
    <x v="2"/>
    <x v="208"/>
    <x v="174"/>
    <x v="174"/>
    <s v="REVENUS"/>
    <x v="6"/>
    <s v="4211.001"/>
    <s v="Intérêts de retard sur factures"/>
    <n v="0"/>
    <n v="3.16"/>
    <n v="4211"/>
  </r>
  <r>
    <x v="0"/>
    <x v="2"/>
    <x v="2"/>
    <x v="208"/>
    <x v="174"/>
    <x v="174"/>
    <s v="REVENUS"/>
    <x v="2"/>
    <s v="4001.001"/>
    <s v="Impôt revenu"/>
    <n v="0"/>
    <n v="5426.45"/>
    <n v="4001"/>
  </r>
  <r>
    <x v="0"/>
    <x v="2"/>
    <x v="2"/>
    <x v="208"/>
    <x v="174"/>
    <x v="174"/>
    <s v="REVENUS"/>
    <x v="2"/>
    <s v="4001.007"/>
    <s v="Acompte impôt sur revenu"/>
    <n v="0"/>
    <n v="-176"/>
    <n v="4001"/>
  </r>
  <r>
    <x v="0"/>
    <x v="2"/>
    <x v="2"/>
    <x v="208"/>
    <x v="174"/>
    <x v="174"/>
    <s v="REVENUS"/>
    <x v="3"/>
    <s v="4002.007"/>
    <s v="Acompte impôt sur fortune"/>
    <n v="0"/>
    <n v="-184.2"/>
    <n v="4002"/>
  </r>
  <r>
    <x v="0"/>
    <x v="2"/>
    <x v="2"/>
    <x v="208"/>
    <x v="174"/>
    <x v="174"/>
    <s v="REVENUS"/>
    <x v="6"/>
    <s v="4221.003"/>
    <s v="Intérêts compensat. / acomptes en faveur du fisc"/>
    <n v="0"/>
    <n v="0.02"/>
    <n v="4221"/>
  </r>
  <r>
    <x v="0"/>
    <x v="2"/>
    <x v="2"/>
    <x v="208"/>
    <x v="174"/>
    <x v="174"/>
    <s v="REVENUS"/>
    <x v="2"/>
    <s v="4001.001"/>
    <s v="Impôt revenu"/>
    <n v="0"/>
    <n v="418.9"/>
    <n v="4001"/>
  </r>
  <r>
    <x v="0"/>
    <x v="2"/>
    <x v="2"/>
    <x v="208"/>
    <x v="174"/>
    <x v="174"/>
    <s v="REVENUS"/>
    <x v="2"/>
    <s v="4001.001"/>
    <s v="Impôt revenu"/>
    <n v="0"/>
    <n v="1039.75"/>
    <n v="4001"/>
  </r>
  <r>
    <x v="0"/>
    <x v="2"/>
    <x v="2"/>
    <x v="208"/>
    <x v="174"/>
    <x v="174"/>
    <s v="REVENUS"/>
    <x v="6"/>
    <s v="4211.002"/>
    <s v="Intérêts de retard sur acomptes"/>
    <n v="0"/>
    <n v="0.44"/>
    <n v="4211"/>
  </r>
  <r>
    <x v="0"/>
    <x v="2"/>
    <x v="2"/>
    <x v="208"/>
    <x v="174"/>
    <x v="174"/>
    <s v="REVENUS"/>
    <x v="6"/>
    <s v="4211.002"/>
    <s v="Intérêts de retard sur acomptes"/>
    <n v="0"/>
    <n v="15.65"/>
    <n v="4211"/>
  </r>
  <r>
    <x v="0"/>
    <x v="2"/>
    <x v="2"/>
    <x v="208"/>
    <x v="174"/>
    <x v="174"/>
    <s v="REVENUS"/>
    <x v="3"/>
    <s v="4002.001"/>
    <s v="Impôt ordinaire s/fortune PP"/>
    <n v="0"/>
    <n v="244.4"/>
    <n v="4002"/>
  </r>
  <r>
    <x v="0"/>
    <x v="2"/>
    <x v="2"/>
    <x v="208"/>
    <x v="174"/>
    <x v="174"/>
    <s v="REVENUS"/>
    <x v="6"/>
    <s v="4211.002"/>
    <s v="Intérêts de retard sur acomptes"/>
    <n v="0"/>
    <n v="21.98"/>
    <n v="4211"/>
  </r>
  <r>
    <x v="0"/>
    <x v="2"/>
    <x v="2"/>
    <x v="208"/>
    <x v="174"/>
    <x v="174"/>
    <s v="REVENUS"/>
    <x v="6"/>
    <s v="4221.003"/>
    <s v="Intérêts compensat. / acomptes en faveur du fisc"/>
    <n v="0"/>
    <n v="0.28000000000000003"/>
    <n v="4221"/>
  </r>
  <r>
    <x v="0"/>
    <x v="2"/>
    <x v="2"/>
    <x v="208"/>
    <x v="174"/>
    <x v="174"/>
    <s v="REVENUS"/>
    <x v="6"/>
    <s v="4211.002"/>
    <s v="Intérêts de retard sur acomptes"/>
    <n v="0"/>
    <n v="15.52"/>
    <n v="4211"/>
  </r>
  <r>
    <x v="0"/>
    <x v="2"/>
    <x v="2"/>
    <x v="208"/>
    <x v="174"/>
    <x v="174"/>
    <s v="REVENUS"/>
    <x v="6"/>
    <s v="4221.003"/>
    <s v="Intérêts compensat. / acomptes en faveur du fisc"/>
    <n v="0"/>
    <n v="7.0000000000000007E-2"/>
    <n v="4221"/>
  </r>
  <r>
    <x v="0"/>
    <x v="2"/>
    <x v="2"/>
    <x v="208"/>
    <x v="174"/>
    <x v="174"/>
    <s v="REVENUS"/>
    <x v="2"/>
    <s v="4001.005"/>
    <s v="Amende de soustract. Impôt"/>
    <n v="0"/>
    <n v="-250"/>
    <n v="4001"/>
  </r>
  <r>
    <x v="0"/>
    <x v="2"/>
    <x v="2"/>
    <x v="208"/>
    <x v="174"/>
    <x v="174"/>
    <s v="REVENUS"/>
    <x v="6"/>
    <s v="4221.003"/>
    <s v="Intérêts compensat. / acomptes en faveur du fisc"/>
    <n v="0"/>
    <n v="0.11"/>
    <n v="4221"/>
  </r>
  <r>
    <x v="0"/>
    <x v="2"/>
    <x v="2"/>
    <x v="208"/>
    <x v="174"/>
    <x v="174"/>
    <s v="REVENUS"/>
    <x v="9"/>
    <s v="4031.002"/>
    <s v="Complément impôt sur les gains immobiliers"/>
    <n v="0"/>
    <n v="5587.15"/>
    <n v="4031"/>
  </r>
  <r>
    <x v="0"/>
    <x v="2"/>
    <x v="2"/>
    <x v="208"/>
    <x v="174"/>
    <x v="174"/>
    <s v="REVENUS"/>
    <x v="6"/>
    <s v="4221.003"/>
    <s v="Intérêts compensat. / acomptes en faveur du fisc"/>
    <n v="0"/>
    <n v="0.61"/>
    <n v="4221"/>
  </r>
  <r>
    <x v="0"/>
    <x v="2"/>
    <x v="2"/>
    <x v="208"/>
    <x v="174"/>
    <x v="174"/>
    <s v="REVENUS"/>
    <x v="2"/>
    <s v="4001.002"/>
    <s v="Impôt complément s/revenu PP"/>
    <n v="0"/>
    <n v="98.75"/>
    <n v="4001"/>
  </r>
  <r>
    <x v="0"/>
    <x v="2"/>
    <x v="2"/>
    <x v="208"/>
    <x v="174"/>
    <x v="174"/>
    <s v="REVENUS"/>
    <x v="3"/>
    <s v="4002.002"/>
    <s v="Impôt complémentaire s/fortune PP"/>
    <n v="0"/>
    <n v="135.1"/>
    <n v="4002"/>
  </r>
  <r>
    <x v="0"/>
    <x v="2"/>
    <x v="2"/>
    <x v="208"/>
    <x v="174"/>
    <x v="174"/>
    <s v="REVENUS"/>
    <x v="3"/>
    <s v="4002.002"/>
    <s v="Impôt complémentaire s/fortune PP"/>
    <n v="0"/>
    <n v="469.75"/>
    <n v="4002"/>
  </r>
  <r>
    <x v="0"/>
    <x v="2"/>
    <x v="2"/>
    <x v="208"/>
    <x v="174"/>
    <x v="174"/>
    <s v="REVENUS"/>
    <x v="6"/>
    <s v="4211.001"/>
    <s v="Intérêts de retard sur factures"/>
    <n v="0"/>
    <n v="38.549999999999997"/>
    <n v="4211"/>
  </r>
  <r>
    <x v="0"/>
    <x v="2"/>
    <x v="2"/>
    <x v="208"/>
    <x v="174"/>
    <x v="174"/>
    <s v="REVENUS"/>
    <x v="6"/>
    <s v="4211.002"/>
    <s v="Intérêts de retard sur acomptes"/>
    <n v="0"/>
    <n v="34.950000000000003"/>
    <n v="4211"/>
  </r>
  <r>
    <x v="0"/>
    <x v="2"/>
    <x v="2"/>
    <x v="208"/>
    <x v="174"/>
    <x v="174"/>
    <s v="REVENUS"/>
    <x v="4"/>
    <s v="4051.001"/>
    <s v="Impôt sur les successions"/>
    <n v="0"/>
    <n v="18531.8"/>
    <n v="4051"/>
  </r>
  <r>
    <x v="0"/>
    <x v="2"/>
    <x v="2"/>
    <x v="208"/>
    <x v="174"/>
    <x v="174"/>
    <s v="REVENUS"/>
    <x v="7"/>
    <s v="4184.000"/>
    <s v="Frais de poursuite"/>
    <n v="0"/>
    <n v="7.86"/>
    <n v="4184"/>
  </r>
  <r>
    <x v="0"/>
    <x v="2"/>
    <x v="2"/>
    <x v="209"/>
    <x v="175"/>
    <x v="175"/>
    <s v="CHARGES"/>
    <x v="1"/>
    <s v="3301.001"/>
    <s v="Défalcations, abandons de solde PP et IS"/>
    <n v="89488.97"/>
    <n v="0"/>
    <n v="3301"/>
  </r>
  <r>
    <x v="0"/>
    <x v="2"/>
    <x v="2"/>
    <x v="209"/>
    <x v="175"/>
    <x v="175"/>
    <s v="CHARGES"/>
    <x v="0"/>
    <s v="3221.002"/>
    <s v="Intérêts compensatoires / créances en faveur ctb."/>
    <n v="109.6"/>
    <n v="0"/>
    <n v="3221"/>
  </r>
  <r>
    <x v="0"/>
    <x v="2"/>
    <x v="2"/>
    <x v="209"/>
    <x v="175"/>
    <x v="175"/>
    <s v="CHARGES"/>
    <x v="0"/>
    <s v="3212.002"/>
    <s v="Intérêts bonifiés/trop perçu acompte C/C"/>
    <n v="-24.64"/>
    <n v="0"/>
    <n v="3212"/>
  </r>
  <r>
    <x v="0"/>
    <x v="2"/>
    <x v="2"/>
    <x v="209"/>
    <x v="175"/>
    <x v="175"/>
    <s v="CHARGES"/>
    <x v="0"/>
    <s v="3212.004"/>
    <s v="Intérêts rémun./perçu trop tôt sur acomptes C/C"/>
    <n v="296.72000000000003"/>
    <n v="0"/>
    <n v="3212"/>
  </r>
  <r>
    <x v="0"/>
    <x v="2"/>
    <x v="2"/>
    <x v="209"/>
    <x v="175"/>
    <x v="175"/>
    <s v="CHARGES"/>
    <x v="0"/>
    <s v="3212.004"/>
    <s v="Intérêts rémun./perçu trop tôt sur acomptes C/C"/>
    <n v="0.02"/>
    <n v="0"/>
    <n v="3212"/>
  </r>
  <r>
    <x v="0"/>
    <x v="2"/>
    <x v="2"/>
    <x v="209"/>
    <x v="175"/>
    <x v="175"/>
    <s v="CHARGES"/>
    <x v="0"/>
    <s v="3221.002"/>
    <s v="Intérêts compensatoires / créances en faveur ctb."/>
    <n v="0.03"/>
    <n v="0"/>
    <n v="3221"/>
  </r>
  <r>
    <x v="0"/>
    <x v="2"/>
    <x v="2"/>
    <x v="209"/>
    <x v="175"/>
    <x v="175"/>
    <s v="CHARGES"/>
    <x v="0"/>
    <s v="3212.004"/>
    <s v="Intérêts rémun./perçu trop tôt sur acomptes C/C"/>
    <n v="0.03"/>
    <n v="0"/>
    <n v="3212"/>
  </r>
  <r>
    <x v="0"/>
    <x v="2"/>
    <x v="2"/>
    <x v="209"/>
    <x v="175"/>
    <x v="175"/>
    <s v="CHARGES"/>
    <x v="1"/>
    <s v="3301.001"/>
    <s v="Défalcations, abandons de solde PP et IS"/>
    <n v="0.12"/>
    <n v="0"/>
    <n v="3301"/>
  </r>
  <r>
    <x v="0"/>
    <x v="2"/>
    <x v="2"/>
    <x v="209"/>
    <x v="175"/>
    <x v="175"/>
    <s v="CHARGES"/>
    <x v="1"/>
    <s v="3301.001"/>
    <s v="Défalcations, abandons de solde PP et IS"/>
    <n v="0.03"/>
    <n v="0"/>
    <n v="3301"/>
  </r>
  <r>
    <x v="0"/>
    <x v="2"/>
    <x v="2"/>
    <x v="209"/>
    <x v="175"/>
    <x v="175"/>
    <s v="CHARGES"/>
    <x v="0"/>
    <s v="3212.004"/>
    <s v="Intérêts rémun./perçu trop tôt sur acomptes C/C"/>
    <n v="1.07"/>
    <n v="0"/>
    <n v="3212"/>
  </r>
  <r>
    <x v="0"/>
    <x v="2"/>
    <x v="2"/>
    <x v="209"/>
    <x v="175"/>
    <x v="175"/>
    <s v="CHARGES"/>
    <x v="0"/>
    <s v="3221.002"/>
    <s v="Intérêts compensatoires / créances en faveur ctb."/>
    <n v="0.08"/>
    <n v="0"/>
    <n v="3221"/>
  </r>
  <r>
    <x v="0"/>
    <x v="2"/>
    <x v="2"/>
    <x v="209"/>
    <x v="175"/>
    <x v="175"/>
    <s v="CHARGES"/>
    <x v="0"/>
    <s v="3221.002"/>
    <s v="Intérêts compensatoires / créances en faveur ctb."/>
    <n v="0.01"/>
    <n v="0"/>
    <n v="3221"/>
  </r>
  <r>
    <x v="0"/>
    <x v="2"/>
    <x v="2"/>
    <x v="209"/>
    <x v="175"/>
    <x v="175"/>
    <s v="CHARGES"/>
    <x v="0"/>
    <s v="3212.004"/>
    <s v="Intérêts rémun./perçu trop tôt sur acomptes C/C"/>
    <n v="0.66"/>
    <n v="0"/>
    <n v="3212"/>
  </r>
  <r>
    <x v="0"/>
    <x v="2"/>
    <x v="2"/>
    <x v="209"/>
    <x v="175"/>
    <x v="175"/>
    <s v="CHARGES"/>
    <x v="0"/>
    <s v="3221.002"/>
    <s v="Intérêts compensatoires / créances en faveur ctb."/>
    <n v="0.02"/>
    <n v="0"/>
    <n v="3221"/>
  </r>
  <r>
    <x v="0"/>
    <x v="2"/>
    <x v="2"/>
    <x v="209"/>
    <x v="175"/>
    <x v="175"/>
    <s v="CHARGES"/>
    <x v="1"/>
    <s v="3301.001"/>
    <s v="Défalcations, abandons de solde PP et IS"/>
    <n v="4174.34"/>
    <n v="0"/>
    <n v="3301"/>
  </r>
  <r>
    <x v="0"/>
    <x v="2"/>
    <x v="2"/>
    <x v="209"/>
    <x v="175"/>
    <x v="175"/>
    <s v="CHARGES"/>
    <x v="1"/>
    <s v="3301.001"/>
    <s v="Défalcations, abandons de solde PP et IS"/>
    <n v="-14.26"/>
    <n v="0"/>
    <n v="3301"/>
  </r>
  <r>
    <x v="0"/>
    <x v="2"/>
    <x v="2"/>
    <x v="209"/>
    <x v="175"/>
    <x v="175"/>
    <s v="REVENUS"/>
    <x v="2"/>
    <s v="4001.001"/>
    <s v="Impôt revenu"/>
    <n v="0"/>
    <n v="3075884.8"/>
    <n v="4001"/>
  </r>
  <r>
    <x v="0"/>
    <x v="2"/>
    <x v="2"/>
    <x v="209"/>
    <x v="175"/>
    <x v="175"/>
    <s v="REVENUS"/>
    <x v="2"/>
    <s v="4001.007"/>
    <s v="Acompte impôt sur revenu"/>
    <n v="0"/>
    <n v="173298.28"/>
    <n v="4001"/>
  </r>
  <r>
    <x v="0"/>
    <x v="2"/>
    <x v="2"/>
    <x v="209"/>
    <x v="175"/>
    <x v="175"/>
    <s v="REVENUS"/>
    <x v="3"/>
    <s v="4002.001"/>
    <s v="Impôt ordinaire s/fortune PP"/>
    <n v="0"/>
    <n v="343162.55"/>
    <n v="4002"/>
  </r>
  <r>
    <x v="0"/>
    <x v="2"/>
    <x v="2"/>
    <x v="209"/>
    <x v="175"/>
    <x v="175"/>
    <s v="REVENUS"/>
    <x v="3"/>
    <s v="4002.007"/>
    <s v="Acompte impôt sur fortune"/>
    <n v="0"/>
    <n v="10465.26"/>
    <n v="4002"/>
  </r>
  <r>
    <x v="0"/>
    <x v="2"/>
    <x v="2"/>
    <x v="209"/>
    <x v="175"/>
    <x v="175"/>
    <s v="REVENUS"/>
    <x v="6"/>
    <s v="4211.001"/>
    <s v="Intérêts de retard sur factures"/>
    <n v="0"/>
    <n v="31012"/>
    <n v="4211"/>
  </r>
  <r>
    <x v="0"/>
    <x v="2"/>
    <x v="2"/>
    <x v="209"/>
    <x v="175"/>
    <x v="175"/>
    <s v="REVENUS"/>
    <x v="6"/>
    <s v="4211.002"/>
    <s v="Intérêts de retard sur acomptes"/>
    <n v="0"/>
    <n v="22131.14"/>
    <n v="4211"/>
  </r>
  <r>
    <x v="0"/>
    <x v="2"/>
    <x v="2"/>
    <x v="209"/>
    <x v="175"/>
    <x v="175"/>
    <s v="REVENUS"/>
    <x v="6"/>
    <s v="4221.003"/>
    <s v="Intérêts compensat. / acomptes en faveur du fisc"/>
    <n v="0"/>
    <n v="734.72"/>
    <n v="4221"/>
  </r>
  <r>
    <x v="0"/>
    <x v="2"/>
    <x v="2"/>
    <x v="209"/>
    <x v="175"/>
    <x v="175"/>
    <s v="REVENUS"/>
    <x v="2"/>
    <s v="4001.007"/>
    <s v="Acompte impôt sur revenu"/>
    <n v="0"/>
    <n v="-797.63"/>
    <n v="4001"/>
  </r>
  <r>
    <x v="0"/>
    <x v="2"/>
    <x v="2"/>
    <x v="209"/>
    <x v="175"/>
    <x v="175"/>
    <s v="REVENUS"/>
    <x v="2"/>
    <s v="4001.002"/>
    <s v="Impôt complément s/revenu PP"/>
    <n v="0"/>
    <n v="496729.25"/>
    <n v="4001"/>
  </r>
  <r>
    <x v="0"/>
    <x v="2"/>
    <x v="2"/>
    <x v="209"/>
    <x v="175"/>
    <x v="175"/>
    <s v="REVENUS"/>
    <x v="2"/>
    <s v="4001.003"/>
    <s v="Impôt s/prest. cap. PP"/>
    <n v="0"/>
    <n v="85237.55"/>
    <n v="4001"/>
  </r>
  <r>
    <x v="0"/>
    <x v="2"/>
    <x v="2"/>
    <x v="209"/>
    <x v="175"/>
    <x v="175"/>
    <s v="REVENUS"/>
    <x v="3"/>
    <s v="4002.002"/>
    <s v="Impôt complémentaire s/fortune PP"/>
    <n v="0"/>
    <n v="148283"/>
    <n v="4002"/>
  </r>
  <r>
    <x v="0"/>
    <x v="2"/>
    <x v="2"/>
    <x v="209"/>
    <x v="175"/>
    <x v="175"/>
    <s v="REVENUS"/>
    <x v="9"/>
    <s v="4031.001"/>
    <s v="Impôt sur les gains immobiliers"/>
    <n v="0"/>
    <n v="244553.75"/>
    <n v="4031"/>
  </r>
  <r>
    <x v="0"/>
    <x v="2"/>
    <x v="2"/>
    <x v="209"/>
    <x v="175"/>
    <x v="175"/>
    <s v="REVENUS"/>
    <x v="11"/>
    <s v="4198.000"/>
    <s v="Contributions communales"/>
    <n v="0"/>
    <n v="448182.3"/>
    <n v="4198"/>
  </r>
  <r>
    <x v="0"/>
    <x v="2"/>
    <x v="2"/>
    <x v="209"/>
    <x v="175"/>
    <x v="175"/>
    <s v="REVENUS"/>
    <x v="6"/>
    <s v="4221.002"/>
    <s v="Intérêts compensat. sur impôts distincts"/>
    <n v="0"/>
    <n v="263.42"/>
    <n v="4221"/>
  </r>
  <r>
    <x v="0"/>
    <x v="2"/>
    <x v="2"/>
    <x v="209"/>
    <x v="175"/>
    <x v="175"/>
    <s v="REVENUS"/>
    <x v="7"/>
    <s v="4184.000"/>
    <s v="Frais de poursuite"/>
    <n v="0"/>
    <n v="2368.6999999999998"/>
    <n v="4184"/>
  </r>
  <r>
    <x v="0"/>
    <x v="2"/>
    <x v="2"/>
    <x v="209"/>
    <x v="175"/>
    <x v="175"/>
    <s v="REVENUS"/>
    <x v="10"/>
    <s v="4041.001"/>
    <s v="Droits de mutation"/>
    <n v="0"/>
    <n v="249844.4"/>
    <n v="4041"/>
  </r>
  <r>
    <x v="0"/>
    <x v="2"/>
    <x v="2"/>
    <x v="209"/>
    <x v="175"/>
    <x v="175"/>
    <s v="REVENUS"/>
    <x v="3"/>
    <s v="4002.001"/>
    <s v="Impôt ordinaire s/fortune PP"/>
    <n v="0"/>
    <n v="298.35000000000002"/>
    <n v="4002"/>
  </r>
  <r>
    <x v="0"/>
    <x v="2"/>
    <x v="2"/>
    <x v="209"/>
    <x v="175"/>
    <x v="175"/>
    <s v="REVENUS"/>
    <x v="3"/>
    <s v="4002.007"/>
    <s v="Acompte impôt sur fortune"/>
    <n v="0"/>
    <n v="-980.65"/>
    <n v="4002"/>
  </r>
  <r>
    <x v="0"/>
    <x v="2"/>
    <x v="2"/>
    <x v="209"/>
    <x v="175"/>
    <x v="175"/>
    <s v="REVENUS"/>
    <x v="2"/>
    <s v="4001.007"/>
    <s v="Acompte impôt sur revenu"/>
    <n v="0"/>
    <n v="808"/>
    <n v="4001"/>
  </r>
  <r>
    <x v="0"/>
    <x v="2"/>
    <x v="2"/>
    <x v="209"/>
    <x v="175"/>
    <x v="175"/>
    <s v="REVENUS"/>
    <x v="12"/>
    <s v="4004.007"/>
    <s v="Acompte spécial étrangers"/>
    <n v="0"/>
    <n v="-31857.05"/>
    <n v="4004"/>
  </r>
  <r>
    <x v="0"/>
    <x v="2"/>
    <x v="2"/>
    <x v="209"/>
    <x v="175"/>
    <x v="175"/>
    <s v="REVENUS"/>
    <x v="3"/>
    <s v="4002.007"/>
    <s v="Acompte impôt sur fortune"/>
    <n v="0"/>
    <n v="27.3"/>
    <n v="4002"/>
  </r>
  <r>
    <x v="0"/>
    <x v="2"/>
    <x v="2"/>
    <x v="209"/>
    <x v="175"/>
    <x v="175"/>
    <s v="REVENUS"/>
    <x v="3"/>
    <s v="4002.007"/>
    <s v="Acompte impôt sur fortune"/>
    <n v="0"/>
    <n v="-4"/>
    <n v="4002"/>
  </r>
  <r>
    <x v="0"/>
    <x v="2"/>
    <x v="2"/>
    <x v="209"/>
    <x v="175"/>
    <x v="175"/>
    <s v="REVENUS"/>
    <x v="2"/>
    <s v="4001.007"/>
    <s v="Acompte impôt sur revenu"/>
    <n v="0"/>
    <n v="465.55"/>
    <n v="4001"/>
  </r>
  <r>
    <x v="0"/>
    <x v="2"/>
    <x v="2"/>
    <x v="209"/>
    <x v="175"/>
    <x v="175"/>
    <s v="REVENUS"/>
    <x v="2"/>
    <s v="4001.007"/>
    <s v="Acompte impôt sur revenu"/>
    <n v="0"/>
    <n v="-3.3"/>
    <n v="4001"/>
  </r>
  <r>
    <x v="0"/>
    <x v="2"/>
    <x v="2"/>
    <x v="209"/>
    <x v="175"/>
    <x v="175"/>
    <s v="REVENUS"/>
    <x v="2"/>
    <s v="4001.007"/>
    <s v="Acompte impôt sur revenu"/>
    <n v="0"/>
    <n v="-146.05000000000001"/>
    <n v="4001"/>
  </r>
  <r>
    <x v="0"/>
    <x v="2"/>
    <x v="2"/>
    <x v="209"/>
    <x v="175"/>
    <x v="175"/>
    <s v="REVENUS"/>
    <x v="3"/>
    <s v="4002.007"/>
    <s v="Acompte impôt sur fortune"/>
    <n v="0"/>
    <n v="-40.200000000000003"/>
    <n v="4002"/>
  </r>
  <r>
    <x v="0"/>
    <x v="2"/>
    <x v="2"/>
    <x v="209"/>
    <x v="175"/>
    <x v="175"/>
    <s v="REVENUS"/>
    <x v="3"/>
    <s v="4002.007"/>
    <s v="Acompte impôt sur fortune"/>
    <n v="0"/>
    <n v="281.14999999999998"/>
    <n v="4002"/>
  </r>
  <r>
    <x v="0"/>
    <x v="2"/>
    <x v="2"/>
    <x v="209"/>
    <x v="175"/>
    <x v="175"/>
    <s v="REVENUS"/>
    <x v="2"/>
    <s v="4001.001"/>
    <s v="Impôt revenu"/>
    <n v="0"/>
    <n v="12991.85"/>
    <n v="4001"/>
  </r>
  <r>
    <x v="0"/>
    <x v="2"/>
    <x v="2"/>
    <x v="209"/>
    <x v="175"/>
    <x v="175"/>
    <s v="REVENUS"/>
    <x v="3"/>
    <s v="4002.001"/>
    <s v="Impôt ordinaire s/fortune PP"/>
    <n v="0"/>
    <n v="247.15"/>
    <n v="4002"/>
  </r>
  <r>
    <x v="0"/>
    <x v="2"/>
    <x v="2"/>
    <x v="209"/>
    <x v="175"/>
    <x v="175"/>
    <s v="REVENUS"/>
    <x v="6"/>
    <s v="4211.002"/>
    <s v="Intérêts de retard sur acomptes"/>
    <n v="0"/>
    <n v="0.15"/>
    <n v="4211"/>
  </r>
  <r>
    <x v="0"/>
    <x v="2"/>
    <x v="2"/>
    <x v="209"/>
    <x v="175"/>
    <x v="175"/>
    <s v="REVENUS"/>
    <x v="6"/>
    <s v="4221.003"/>
    <s v="Intérêts compensat. / acomptes en faveur du fisc"/>
    <n v="0"/>
    <n v="17.93"/>
    <n v="4221"/>
  </r>
  <r>
    <x v="0"/>
    <x v="2"/>
    <x v="2"/>
    <x v="209"/>
    <x v="175"/>
    <x v="175"/>
    <s v="REVENUS"/>
    <x v="2"/>
    <s v="4001.001"/>
    <s v="Impôt revenu"/>
    <n v="0"/>
    <n v="59.75"/>
    <n v="4001"/>
  </r>
  <r>
    <x v="0"/>
    <x v="2"/>
    <x v="2"/>
    <x v="209"/>
    <x v="175"/>
    <x v="175"/>
    <s v="REVENUS"/>
    <x v="6"/>
    <s v="4211.002"/>
    <s v="Intérêts de retard sur acomptes"/>
    <n v="0"/>
    <n v="4.2300000000000004"/>
    <n v="4211"/>
  </r>
  <r>
    <x v="0"/>
    <x v="2"/>
    <x v="2"/>
    <x v="209"/>
    <x v="175"/>
    <x v="175"/>
    <s v="REVENUS"/>
    <x v="6"/>
    <s v="4221.003"/>
    <s v="Intérêts compensat. / acomptes en faveur du fisc"/>
    <n v="0"/>
    <n v="0.03"/>
    <n v="4221"/>
  </r>
  <r>
    <x v="0"/>
    <x v="2"/>
    <x v="2"/>
    <x v="209"/>
    <x v="175"/>
    <x v="175"/>
    <s v="REVENUS"/>
    <x v="2"/>
    <s v="4001.001"/>
    <s v="Impôt revenu"/>
    <n v="0"/>
    <n v="392.55"/>
    <n v="4001"/>
  </r>
  <r>
    <x v="0"/>
    <x v="2"/>
    <x v="2"/>
    <x v="209"/>
    <x v="175"/>
    <x v="175"/>
    <s v="REVENUS"/>
    <x v="3"/>
    <s v="4002.001"/>
    <s v="Impôt ordinaire s/fortune PP"/>
    <n v="0"/>
    <n v="201.7"/>
    <n v="4002"/>
  </r>
  <r>
    <x v="0"/>
    <x v="2"/>
    <x v="2"/>
    <x v="209"/>
    <x v="175"/>
    <x v="175"/>
    <s v="REVENUS"/>
    <x v="8"/>
    <s v="4091.001"/>
    <s v="Impôt récupéré après défalcations"/>
    <n v="0"/>
    <n v="2636.92"/>
    <n v="4091"/>
  </r>
  <r>
    <x v="0"/>
    <x v="2"/>
    <x v="2"/>
    <x v="209"/>
    <x v="175"/>
    <x v="175"/>
    <s v="REVENUS"/>
    <x v="5"/>
    <s v="4061.000"/>
    <s v="Impôt sur les chiens"/>
    <n v="0"/>
    <n v="14040"/>
    <n v="4061"/>
  </r>
  <r>
    <x v="0"/>
    <x v="2"/>
    <x v="2"/>
    <x v="209"/>
    <x v="175"/>
    <x v="175"/>
    <s v="REVENUS"/>
    <x v="7"/>
    <s v="4184.000"/>
    <s v="Frais de poursuite"/>
    <n v="0"/>
    <n v="61.08"/>
    <n v="4184"/>
  </r>
  <r>
    <x v="0"/>
    <x v="2"/>
    <x v="2"/>
    <x v="209"/>
    <x v="175"/>
    <x v="175"/>
    <s v="REVENUS"/>
    <x v="8"/>
    <s v="4091.001"/>
    <s v="Impôt récupéré après défalcations"/>
    <n v="0"/>
    <n v="8028.88"/>
    <n v="4091"/>
  </r>
  <r>
    <x v="0"/>
    <x v="2"/>
    <x v="2"/>
    <x v="209"/>
    <x v="175"/>
    <x v="175"/>
    <s v="REVENUS"/>
    <x v="2"/>
    <s v="4001.002"/>
    <s v="Impôt complément s/revenu PP"/>
    <n v="0"/>
    <n v="17.75"/>
    <n v="4001"/>
  </r>
  <r>
    <x v="0"/>
    <x v="2"/>
    <x v="2"/>
    <x v="209"/>
    <x v="175"/>
    <x v="175"/>
    <s v="REVENUS"/>
    <x v="3"/>
    <s v="4002.002"/>
    <s v="Impôt complémentaire s/fortune PP"/>
    <n v="0"/>
    <n v="5.8"/>
    <n v="4002"/>
  </r>
  <r>
    <x v="0"/>
    <x v="2"/>
    <x v="2"/>
    <x v="209"/>
    <x v="175"/>
    <x v="175"/>
    <s v="REVENUS"/>
    <x v="4"/>
    <s v="4051.001"/>
    <s v="Impôt sur les successions"/>
    <n v="0"/>
    <n v="8122.8"/>
    <n v="4051"/>
  </r>
  <r>
    <x v="0"/>
    <x v="2"/>
    <x v="2"/>
    <x v="209"/>
    <x v="175"/>
    <x v="175"/>
    <s v="REVENUS"/>
    <x v="2"/>
    <s v="4001.001"/>
    <s v="Impôt revenu"/>
    <n v="0"/>
    <n v="1186.1500000000001"/>
    <n v="4001"/>
  </r>
  <r>
    <x v="0"/>
    <x v="2"/>
    <x v="2"/>
    <x v="209"/>
    <x v="175"/>
    <x v="175"/>
    <s v="REVENUS"/>
    <x v="3"/>
    <s v="4002.001"/>
    <s v="Impôt ordinaire s/fortune PP"/>
    <n v="0"/>
    <n v="293.39999999999998"/>
    <n v="4002"/>
  </r>
  <r>
    <x v="0"/>
    <x v="2"/>
    <x v="2"/>
    <x v="209"/>
    <x v="175"/>
    <x v="175"/>
    <s v="REVENUS"/>
    <x v="6"/>
    <s v="4211.002"/>
    <s v="Intérêts de retard sur acomptes"/>
    <n v="0"/>
    <n v="0.08"/>
    <n v="4211"/>
  </r>
  <r>
    <x v="0"/>
    <x v="2"/>
    <x v="2"/>
    <x v="209"/>
    <x v="175"/>
    <x v="175"/>
    <s v="REVENUS"/>
    <x v="6"/>
    <s v="4211.002"/>
    <s v="Intérêts de retard sur acomptes"/>
    <n v="0"/>
    <n v="-90.54"/>
    <n v="4211"/>
  </r>
  <r>
    <x v="0"/>
    <x v="2"/>
    <x v="2"/>
    <x v="209"/>
    <x v="175"/>
    <x v="175"/>
    <s v="REVENUS"/>
    <x v="12"/>
    <s v="4004.000"/>
    <s v="Impôt spécial étrangers"/>
    <n v="0"/>
    <n v="33511.5"/>
    <n v="4004"/>
  </r>
  <r>
    <x v="0"/>
    <x v="2"/>
    <x v="2"/>
    <x v="209"/>
    <x v="175"/>
    <x v="175"/>
    <s v="REVENUS"/>
    <x v="2"/>
    <s v="4001.002"/>
    <s v="Impôt complément s/revenu PP"/>
    <n v="0"/>
    <n v="120.75"/>
    <n v="4001"/>
  </r>
  <r>
    <x v="0"/>
    <x v="2"/>
    <x v="2"/>
    <x v="209"/>
    <x v="175"/>
    <x v="175"/>
    <s v="REVENUS"/>
    <x v="7"/>
    <s v="4184.000"/>
    <s v="Frais de poursuite"/>
    <n v="0"/>
    <n v="3.08"/>
    <n v="4184"/>
  </r>
  <r>
    <x v="0"/>
    <x v="2"/>
    <x v="2"/>
    <x v="209"/>
    <x v="175"/>
    <x v="175"/>
    <s v="REVENUS"/>
    <x v="6"/>
    <s v="4211.001"/>
    <s v="Intérêts de retard sur factures"/>
    <n v="0"/>
    <n v="1.44"/>
    <n v="4211"/>
  </r>
  <r>
    <x v="0"/>
    <x v="2"/>
    <x v="2"/>
    <x v="210"/>
    <x v="176"/>
    <x v="176"/>
    <s v="CHARGES"/>
    <x v="0"/>
    <s v="3212.004"/>
    <s v="Intérêts rémun./perçu trop tôt sur acomptes C/C"/>
    <n v="749.75"/>
    <n v="0"/>
    <n v="3212"/>
  </r>
  <r>
    <x v="0"/>
    <x v="2"/>
    <x v="2"/>
    <x v="210"/>
    <x v="176"/>
    <x v="176"/>
    <s v="CHARGES"/>
    <x v="1"/>
    <s v="3301.001"/>
    <s v="Défalcations, abandons de solde PP et IS"/>
    <n v="26884.17"/>
    <n v="0"/>
    <n v="3301"/>
  </r>
  <r>
    <x v="0"/>
    <x v="2"/>
    <x v="2"/>
    <x v="210"/>
    <x v="176"/>
    <x v="176"/>
    <s v="CHARGES"/>
    <x v="0"/>
    <s v="3212.004"/>
    <s v="Intérêts rémun./perçu trop tôt sur acomptes C/C"/>
    <n v="8.43"/>
    <n v="0"/>
    <n v="3212"/>
  </r>
  <r>
    <x v="0"/>
    <x v="2"/>
    <x v="2"/>
    <x v="210"/>
    <x v="176"/>
    <x v="176"/>
    <s v="CHARGES"/>
    <x v="0"/>
    <s v="3221.002"/>
    <s v="Intérêts compensatoires / créances en faveur ctb."/>
    <n v="6.8"/>
    <n v="0"/>
    <n v="3221"/>
  </r>
  <r>
    <x v="0"/>
    <x v="2"/>
    <x v="2"/>
    <x v="210"/>
    <x v="176"/>
    <x v="176"/>
    <s v="CHARGES"/>
    <x v="0"/>
    <s v="3221.002"/>
    <s v="Intérêts compensatoires / créances en faveur ctb."/>
    <n v="226.72"/>
    <n v="0"/>
    <n v="3221"/>
  </r>
  <r>
    <x v="0"/>
    <x v="2"/>
    <x v="2"/>
    <x v="210"/>
    <x v="176"/>
    <x v="176"/>
    <s v="CHARGES"/>
    <x v="0"/>
    <s v="3212.002"/>
    <s v="Intérêts bonifiés/trop perçu acompte C/C"/>
    <n v="27.3"/>
    <n v="0"/>
    <n v="3212"/>
  </r>
  <r>
    <x v="0"/>
    <x v="2"/>
    <x v="2"/>
    <x v="210"/>
    <x v="176"/>
    <x v="176"/>
    <s v="CHARGES"/>
    <x v="0"/>
    <s v="3212.004"/>
    <s v="Intérêts rémun./perçu trop tôt sur acomptes C/C"/>
    <n v="4.26"/>
    <n v="0"/>
    <n v="3212"/>
  </r>
  <r>
    <x v="0"/>
    <x v="2"/>
    <x v="2"/>
    <x v="210"/>
    <x v="176"/>
    <x v="176"/>
    <s v="CHARGES"/>
    <x v="0"/>
    <s v="3221.002"/>
    <s v="Intérêts compensatoires / créances en faveur ctb."/>
    <n v="1.31"/>
    <n v="0"/>
    <n v="3221"/>
  </r>
  <r>
    <x v="0"/>
    <x v="2"/>
    <x v="2"/>
    <x v="210"/>
    <x v="176"/>
    <x v="176"/>
    <s v="CHARGES"/>
    <x v="1"/>
    <s v="3301.001"/>
    <s v="Défalcations, abandons de solde PP et IS"/>
    <n v="17963.87"/>
    <n v="0"/>
    <n v="3301"/>
  </r>
  <r>
    <x v="0"/>
    <x v="2"/>
    <x v="2"/>
    <x v="210"/>
    <x v="176"/>
    <x v="176"/>
    <s v="CHARGES"/>
    <x v="1"/>
    <s v="3301.001"/>
    <s v="Défalcations, abandons de solde PP et IS"/>
    <n v="0.1"/>
    <n v="0"/>
    <n v="3301"/>
  </r>
  <r>
    <x v="0"/>
    <x v="2"/>
    <x v="2"/>
    <x v="210"/>
    <x v="176"/>
    <x v="176"/>
    <s v="CHARGES"/>
    <x v="1"/>
    <s v="3301.001"/>
    <s v="Défalcations, abandons de solde PP et IS"/>
    <n v="-7.0000000000000007E-2"/>
    <n v="0"/>
    <n v="3301"/>
  </r>
  <r>
    <x v="0"/>
    <x v="2"/>
    <x v="2"/>
    <x v="210"/>
    <x v="176"/>
    <x v="176"/>
    <s v="CHARGES"/>
    <x v="0"/>
    <s v="3212.004"/>
    <s v="Intérêts rémun./perçu trop tôt sur acomptes C/C"/>
    <n v="-0.32"/>
    <n v="0"/>
    <n v="3212"/>
  </r>
  <r>
    <x v="0"/>
    <x v="2"/>
    <x v="2"/>
    <x v="210"/>
    <x v="176"/>
    <x v="176"/>
    <s v="CHARGES"/>
    <x v="0"/>
    <s v="3221.002"/>
    <s v="Intérêts compensatoires / créances en faveur ctb."/>
    <n v="-0.18"/>
    <n v="0"/>
    <n v="3221"/>
  </r>
  <r>
    <x v="0"/>
    <x v="2"/>
    <x v="2"/>
    <x v="210"/>
    <x v="176"/>
    <x v="176"/>
    <s v="CHARGES"/>
    <x v="0"/>
    <s v="3212.002"/>
    <s v="Intérêts bonifiés/trop perçu acompte C/C"/>
    <n v="-0.01"/>
    <n v="0"/>
    <n v="3212"/>
  </r>
  <r>
    <x v="0"/>
    <x v="2"/>
    <x v="2"/>
    <x v="210"/>
    <x v="176"/>
    <x v="176"/>
    <s v="CHARGES"/>
    <x v="0"/>
    <s v="3212.004"/>
    <s v="Intérêts rémun./perçu trop tôt sur acomptes C/C"/>
    <n v="0.15"/>
    <n v="0"/>
    <n v="3212"/>
  </r>
  <r>
    <x v="0"/>
    <x v="2"/>
    <x v="2"/>
    <x v="210"/>
    <x v="176"/>
    <x v="176"/>
    <s v="CHARGES"/>
    <x v="0"/>
    <s v="3212.002"/>
    <s v="Intérêts bonifiés/trop perçu acompte C/C"/>
    <n v="0.09"/>
    <n v="0"/>
    <n v="3212"/>
  </r>
  <r>
    <x v="0"/>
    <x v="2"/>
    <x v="2"/>
    <x v="210"/>
    <x v="176"/>
    <x v="176"/>
    <s v="CHARGES"/>
    <x v="0"/>
    <s v="3212.004"/>
    <s v="Intérêts rémun./perçu trop tôt sur acomptes C/C"/>
    <n v="0.01"/>
    <n v="0"/>
    <n v="3212"/>
  </r>
  <r>
    <x v="0"/>
    <x v="2"/>
    <x v="2"/>
    <x v="210"/>
    <x v="176"/>
    <x v="176"/>
    <s v="CHARGES"/>
    <x v="0"/>
    <s v="3221.002"/>
    <s v="Intérêts compensatoires / créances en faveur ctb."/>
    <n v="0.06"/>
    <n v="0"/>
    <n v="3221"/>
  </r>
  <r>
    <x v="0"/>
    <x v="2"/>
    <x v="2"/>
    <x v="210"/>
    <x v="176"/>
    <x v="176"/>
    <s v="CHARGES"/>
    <x v="1"/>
    <s v="3301.001"/>
    <s v="Défalcations, abandons de solde PP et IS"/>
    <n v="-0.01"/>
    <n v="0"/>
    <n v="3301"/>
  </r>
  <r>
    <x v="0"/>
    <x v="2"/>
    <x v="2"/>
    <x v="210"/>
    <x v="176"/>
    <x v="176"/>
    <s v="REVENUS"/>
    <x v="2"/>
    <s v="4001.007"/>
    <s v="Acompte impôt sur revenu"/>
    <n v="0"/>
    <n v="1050026.23"/>
    <n v="4001"/>
  </r>
  <r>
    <x v="0"/>
    <x v="2"/>
    <x v="2"/>
    <x v="210"/>
    <x v="176"/>
    <x v="176"/>
    <s v="REVENUS"/>
    <x v="2"/>
    <s v="4001.001"/>
    <s v="Impôt revenu"/>
    <n v="0"/>
    <n v="3422206.6"/>
    <n v="4001"/>
  </r>
  <r>
    <x v="0"/>
    <x v="2"/>
    <x v="2"/>
    <x v="210"/>
    <x v="176"/>
    <x v="176"/>
    <s v="REVENUS"/>
    <x v="2"/>
    <s v="4001.002"/>
    <s v="Impôt complément s/revenu PP"/>
    <n v="0"/>
    <n v="1119183.8999999999"/>
    <n v="4001"/>
  </r>
  <r>
    <x v="0"/>
    <x v="2"/>
    <x v="2"/>
    <x v="210"/>
    <x v="176"/>
    <x v="176"/>
    <s v="REVENUS"/>
    <x v="3"/>
    <s v="4002.001"/>
    <s v="Impôt ordinaire s/fortune PP"/>
    <n v="0"/>
    <n v="780457.8"/>
    <n v="4002"/>
  </r>
  <r>
    <x v="0"/>
    <x v="2"/>
    <x v="2"/>
    <x v="210"/>
    <x v="176"/>
    <x v="176"/>
    <s v="REVENUS"/>
    <x v="3"/>
    <s v="4002.002"/>
    <s v="Impôt complémentaire s/fortune PP"/>
    <n v="0"/>
    <n v="373002.35"/>
    <n v="4002"/>
  </r>
  <r>
    <x v="0"/>
    <x v="2"/>
    <x v="2"/>
    <x v="210"/>
    <x v="176"/>
    <x v="176"/>
    <s v="REVENUS"/>
    <x v="3"/>
    <s v="4002.007"/>
    <s v="Acompte impôt sur fortune"/>
    <n v="0"/>
    <n v="932011.33"/>
    <n v="4002"/>
  </r>
  <r>
    <x v="0"/>
    <x v="2"/>
    <x v="2"/>
    <x v="210"/>
    <x v="176"/>
    <x v="176"/>
    <s v="REVENUS"/>
    <x v="6"/>
    <s v="4211.001"/>
    <s v="Intérêts de retard sur factures"/>
    <n v="0"/>
    <n v="22318.33"/>
    <n v="4211"/>
  </r>
  <r>
    <x v="0"/>
    <x v="2"/>
    <x v="2"/>
    <x v="210"/>
    <x v="176"/>
    <x v="176"/>
    <s v="REVENUS"/>
    <x v="6"/>
    <s v="4211.002"/>
    <s v="Intérêts de retard sur acomptes"/>
    <n v="0"/>
    <n v="24467.73"/>
    <n v="4211"/>
  </r>
  <r>
    <x v="0"/>
    <x v="2"/>
    <x v="2"/>
    <x v="210"/>
    <x v="176"/>
    <x v="176"/>
    <s v="REVENUS"/>
    <x v="6"/>
    <s v="4221.003"/>
    <s v="Intérêts compensat. / acomptes en faveur du fisc"/>
    <n v="0"/>
    <n v="650.96"/>
    <n v="4221"/>
  </r>
  <r>
    <x v="0"/>
    <x v="2"/>
    <x v="2"/>
    <x v="210"/>
    <x v="176"/>
    <x v="176"/>
    <s v="REVENUS"/>
    <x v="2"/>
    <s v="4001.001"/>
    <s v="Impôt revenu"/>
    <n v="0"/>
    <n v="-30910.7"/>
    <n v="4001"/>
  </r>
  <r>
    <x v="0"/>
    <x v="2"/>
    <x v="2"/>
    <x v="210"/>
    <x v="176"/>
    <x v="176"/>
    <s v="REVENUS"/>
    <x v="2"/>
    <s v="4001.007"/>
    <s v="Acompte impôt sur revenu"/>
    <n v="0"/>
    <n v="-5491.01"/>
    <n v="4001"/>
  </r>
  <r>
    <x v="0"/>
    <x v="2"/>
    <x v="2"/>
    <x v="210"/>
    <x v="176"/>
    <x v="176"/>
    <s v="REVENUS"/>
    <x v="3"/>
    <s v="4002.001"/>
    <s v="Impôt ordinaire s/fortune PP"/>
    <n v="0"/>
    <n v="11781.25"/>
    <n v="4002"/>
  </r>
  <r>
    <x v="0"/>
    <x v="2"/>
    <x v="2"/>
    <x v="210"/>
    <x v="176"/>
    <x v="176"/>
    <s v="REVENUS"/>
    <x v="3"/>
    <s v="4002.007"/>
    <s v="Acompte impôt sur fortune"/>
    <n v="0"/>
    <n v="-2395.34"/>
    <n v="4002"/>
  </r>
  <r>
    <x v="0"/>
    <x v="2"/>
    <x v="2"/>
    <x v="210"/>
    <x v="176"/>
    <x v="176"/>
    <s v="REVENUS"/>
    <x v="7"/>
    <s v="4184.000"/>
    <s v="Frais de poursuite"/>
    <n v="0"/>
    <n v="3713.16"/>
    <n v="4184"/>
  </r>
  <r>
    <x v="0"/>
    <x v="2"/>
    <x v="2"/>
    <x v="210"/>
    <x v="176"/>
    <x v="176"/>
    <s v="REVENUS"/>
    <x v="2"/>
    <s v="4001.003"/>
    <s v="Impôt s/prest. cap. PP"/>
    <n v="0"/>
    <n v="156834"/>
    <n v="4001"/>
  </r>
  <r>
    <x v="0"/>
    <x v="2"/>
    <x v="2"/>
    <x v="210"/>
    <x v="176"/>
    <x v="176"/>
    <s v="REVENUS"/>
    <x v="6"/>
    <s v="4221.002"/>
    <s v="Intérêts compensat. sur impôts distincts"/>
    <n v="0"/>
    <n v="9.1300000000000008"/>
    <n v="4221"/>
  </r>
  <r>
    <x v="0"/>
    <x v="2"/>
    <x v="2"/>
    <x v="210"/>
    <x v="176"/>
    <x v="176"/>
    <s v="REVENUS"/>
    <x v="11"/>
    <s v="4198.000"/>
    <s v="Contributions communales"/>
    <n v="0"/>
    <n v="733420.4"/>
    <n v="4198"/>
  </r>
  <r>
    <x v="0"/>
    <x v="2"/>
    <x v="2"/>
    <x v="210"/>
    <x v="176"/>
    <x v="176"/>
    <s v="REVENUS"/>
    <x v="2"/>
    <s v="4001.001"/>
    <s v="Impôt revenu"/>
    <n v="0"/>
    <n v="2206.1"/>
    <n v="4001"/>
  </r>
  <r>
    <x v="0"/>
    <x v="2"/>
    <x v="2"/>
    <x v="210"/>
    <x v="176"/>
    <x v="176"/>
    <s v="REVENUS"/>
    <x v="3"/>
    <s v="4002.001"/>
    <s v="Impôt ordinaire s/fortune PP"/>
    <n v="0"/>
    <n v="694.3"/>
    <n v="4002"/>
  </r>
  <r>
    <x v="0"/>
    <x v="2"/>
    <x v="2"/>
    <x v="210"/>
    <x v="176"/>
    <x v="176"/>
    <s v="REVENUS"/>
    <x v="3"/>
    <s v="4002.007"/>
    <s v="Acompte impôt sur fortune"/>
    <n v="0"/>
    <n v="-166.85"/>
    <n v="4002"/>
  </r>
  <r>
    <x v="0"/>
    <x v="2"/>
    <x v="2"/>
    <x v="210"/>
    <x v="176"/>
    <x v="176"/>
    <s v="REVENUS"/>
    <x v="4"/>
    <s v="4051.001"/>
    <s v="Impôt sur les successions"/>
    <n v="0"/>
    <n v="308.89999999999998"/>
    <n v="4051"/>
  </r>
  <r>
    <x v="0"/>
    <x v="2"/>
    <x v="2"/>
    <x v="210"/>
    <x v="176"/>
    <x v="176"/>
    <s v="REVENUS"/>
    <x v="9"/>
    <s v="4031.001"/>
    <s v="Impôt sur les gains immobiliers"/>
    <n v="0"/>
    <n v="114279.7"/>
    <n v="4031"/>
  </r>
  <r>
    <x v="0"/>
    <x v="2"/>
    <x v="2"/>
    <x v="210"/>
    <x v="176"/>
    <x v="176"/>
    <s v="REVENUS"/>
    <x v="8"/>
    <s v="4091.001"/>
    <s v="Impôt récupéré après défalcations"/>
    <n v="0"/>
    <n v="64539.12"/>
    <n v="4091"/>
  </r>
  <r>
    <x v="0"/>
    <x v="2"/>
    <x v="2"/>
    <x v="210"/>
    <x v="176"/>
    <x v="176"/>
    <s v="REVENUS"/>
    <x v="2"/>
    <s v="4001.007"/>
    <s v="Acompte impôt sur revenu"/>
    <n v="0"/>
    <n v="-2070.0100000000002"/>
    <n v="4001"/>
  </r>
  <r>
    <x v="0"/>
    <x v="2"/>
    <x v="2"/>
    <x v="210"/>
    <x v="176"/>
    <x v="176"/>
    <s v="REVENUS"/>
    <x v="6"/>
    <s v="4221.003"/>
    <s v="Intérêts compensat. / acomptes en faveur du fisc"/>
    <n v="0"/>
    <n v="-30.15"/>
    <n v="4221"/>
  </r>
  <r>
    <x v="0"/>
    <x v="2"/>
    <x v="2"/>
    <x v="210"/>
    <x v="176"/>
    <x v="176"/>
    <s v="REVENUS"/>
    <x v="2"/>
    <s v="4001.002"/>
    <s v="Impôt complément s/revenu PP"/>
    <n v="0"/>
    <n v="2028.95"/>
    <n v="4001"/>
  </r>
  <r>
    <x v="0"/>
    <x v="2"/>
    <x v="2"/>
    <x v="210"/>
    <x v="176"/>
    <x v="176"/>
    <s v="REVENUS"/>
    <x v="3"/>
    <s v="4002.002"/>
    <s v="Impôt complémentaire s/fortune PP"/>
    <n v="0"/>
    <n v="1729.55"/>
    <n v="4002"/>
  </r>
  <r>
    <x v="0"/>
    <x v="2"/>
    <x v="2"/>
    <x v="210"/>
    <x v="176"/>
    <x v="176"/>
    <s v="REVENUS"/>
    <x v="12"/>
    <s v="4004.007"/>
    <s v="Acompte spécial étrangers"/>
    <n v="0"/>
    <n v="104775.35"/>
    <n v="4004"/>
  </r>
  <r>
    <x v="0"/>
    <x v="2"/>
    <x v="2"/>
    <x v="210"/>
    <x v="176"/>
    <x v="176"/>
    <s v="REVENUS"/>
    <x v="3"/>
    <s v="4002.007"/>
    <s v="Acompte impôt sur fortune"/>
    <n v="0"/>
    <n v="-15.5"/>
    <n v="4002"/>
  </r>
  <r>
    <x v="0"/>
    <x v="2"/>
    <x v="2"/>
    <x v="210"/>
    <x v="176"/>
    <x v="176"/>
    <s v="REVENUS"/>
    <x v="3"/>
    <s v="4002.007"/>
    <s v="Acompte impôt sur fortune"/>
    <n v="0"/>
    <n v="69.150000000000006"/>
    <n v="4002"/>
  </r>
  <r>
    <x v="0"/>
    <x v="2"/>
    <x v="2"/>
    <x v="210"/>
    <x v="176"/>
    <x v="176"/>
    <s v="REVENUS"/>
    <x v="5"/>
    <s v="4061.000"/>
    <s v="Impôt sur les chiens"/>
    <n v="0"/>
    <n v="13350"/>
    <n v="4061"/>
  </r>
  <r>
    <x v="0"/>
    <x v="2"/>
    <x v="2"/>
    <x v="210"/>
    <x v="176"/>
    <x v="176"/>
    <s v="REVENUS"/>
    <x v="2"/>
    <s v="4001.007"/>
    <s v="Acompte impôt sur revenu"/>
    <n v="0"/>
    <n v="-158.9"/>
    <n v="4001"/>
  </r>
  <r>
    <x v="0"/>
    <x v="2"/>
    <x v="2"/>
    <x v="210"/>
    <x v="176"/>
    <x v="176"/>
    <s v="REVENUS"/>
    <x v="3"/>
    <s v="4002.007"/>
    <s v="Acompte impôt sur fortune"/>
    <n v="0"/>
    <n v="-532.15"/>
    <n v="4002"/>
  </r>
  <r>
    <x v="0"/>
    <x v="2"/>
    <x v="2"/>
    <x v="210"/>
    <x v="176"/>
    <x v="176"/>
    <s v="REVENUS"/>
    <x v="6"/>
    <s v="4221.003"/>
    <s v="Intérêts compensat. / acomptes en faveur du fisc"/>
    <n v="0"/>
    <n v="-7.0000000000000007E-2"/>
    <n v="4221"/>
  </r>
  <r>
    <x v="0"/>
    <x v="2"/>
    <x v="2"/>
    <x v="210"/>
    <x v="176"/>
    <x v="176"/>
    <s v="REVENUS"/>
    <x v="10"/>
    <s v="4041.001"/>
    <s v="Droits de mutation"/>
    <n v="0"/>
    <n v="227281.25"/>
    <n v="4041"/>
  </r>
  <r>
    <x v="0"/>
    <x v="2"/>
    <x v="2"/>
    <x v="210"/>
    <x v="176"/>
    <x v="176"/>
    <s v="REVENUS"/>
    <x v="2"/>
    <s v="4001.001"/>
    <s v="Impôt revenu"/>
    <n v="0"/>
    <n v="-930.15"/>
    <n v="4001"/>
  </r>
  <r>
    <x v="0"/>
    <x v="2"/>
    <x v="2"/>
    <x v="210"/>
    <x v="176"/>
    <x v="176"/>
    <s v="REVENUS"/>
    <x v="6"/>
    <s v="4221.003"/>
    <s v="Intérêts compensat. / acomptes en faveur du fisc"/>
    <n v="0"/>
    <n v="-0.9"/>
    <n v="4221"/>
  </r>
  <r>
    <x v="0"/>
    <x v="2"/>
    <x v="2"/>
    <x v="210"/>
    <x v="176"/>
    <x v="176"/>
    <s v="REVENUS"/>
    <x v="6"/>
    <s v="4211.002"/>
    <s v="Intérêts de retard sur acomptes"/>
    <n v="0"/>
    <n v="0.12"/>
    <n v="4211"/>
  </r>
  <r>
    <x v="0"/>
    <x v="2"/>
    <x v="2"/>
    <x v="210"/>
    <x v="176"/>
    <x v="176"/>
    <s v="REVENUS"/>
    <x v="2"/>
    <s v="4001.007"/>
    <s v="Acompte impôt sur revenu"/>
    <n v="0"/>
    <n v="-252.7"/>
    <n v="4001"/>
  </r>
  <r>
    <x v="0"/>
    <x v="2"/>
    <x v="2"/>
    <x v="210"/>
    <x v="176"/>
    <x v="176"/>
    <s v="REVENUS"/>
    <x v="3"/>
    <s v="4002.007"/>
    <s v="Acompte impôt sur fortune"/>
    <n v="0"/>
    <n v="-31.6"/>
    <n v="4002"/>
  </r>
  <r>
    <x v="0"/>
    <x v="2"/>
    <x v="2"/>
    <x v="210"/>
    <x v="176"/>
    <x v="176"/>
    <s v="REVENUS"/>
    <x v="12"/>
    <s v="4004.000"/>
    <s v="Impôt spécial étrangers"/>
    <n v="0"/>
    <n v="276432.45"/>
    <n v="4004"/>
  </r>
  <r>
    <x v="0"/>
    <x v="2"/>
    <x v="2"/>
    <x v="210"/>
    <x v="176"/>
    <x v="176"/>
    <s v="REVENUS"/>
    <x v="2"/>
    <s v="4001.007"/>
    <s v="Acompte impôt sur revenu"/>
    <n v="0"/>
    <n v="-2924.95"/>
    <n v="4001"/>
  </r>
  <r>
    <x v="0"/>
    <x v="2"/>
    <x v="2"/>
    <x v="210"/>
    <x v="176"/>
    <x v="176"/>
    <s v="REVENUS"/>
    <x v="3"/>
    <s v="4002.007"/>
    <s v="Acompte impôt sur fortune"/>
    <n v="0"/>
    <n v="-52.55"/>
    <n v="4002"/>
  </r>
  <r>
    <x v="0"/>
    <x v="2"/>
    <x v="2"/>
    <x v="210"/>
    <x v="176"/>
    <x v="176"/>
    <s v="REVENUS"/>
    <x v="8"/>
    <s v="4091.001"/>
    <s v="Impôt récupéré après défalcations"/>
    <n v="0"/>
    <n v="5198.29"/>
    <n v="4091"/>
  </r>
  <r>
    <x v="0"/>
    <x v="2"/>
    <x v="2"/>
    <x v="210"/>
    <x v="176"/>
    <x v="176"/>
    <s v="REVENUS"/>
    <x v="2"/>
    <s v="4001.002"/>
    <s v="Impôt complément s/revenu PP"/>
    <n v="0"/>
    <n v="-2195.1999999999998"/>
    <n v="4001"/>
  </r>
  <r>
    <x v="0"/>
    <x v="2"/>
    <x v="2"/>
    <x v="210"/>
    <x v="176"/>
    <x v="176"/>
    <s v="REVENUS"/>
    <x v="6"/>
    <s v="4211.001"/>
    <s v="Intérêts de retard sur factures"/>
    <n v="0"/>
    <n v="-8.02"/>
    <n v="4211"/>
  </r>
  <r>
    <x v="0"/>
    <x v="2"/>
    <x v="2"/>
    <x v="210"/>
    <x v="176"/>
    <x v="176"/>
    <s v="REVENUS"/>
    <x v="6"/>
    <s v="4211.001"/>
    <s v="Intérêts de retard sur factures"/>
    <n v="0"/>
    <n v="0.56000000000000005"/>
    <n v="4211"/>
  </r>
  <r>
    <x v="0"/>
    <x v="2"/>
    <x v="2"/>
    <x v="210"/>
    <x v="176"/>
    <x v="176"/>
    <s v="REVENUS"/>
    <x v="6"/>
    <s v="4211.002"/>
    <s v="Intérêts de retard sur acomptes"/>
    <n v="0"/>
    <n v="411.31"/>
    <n v="4211"/>
  </r>
  <r>
    <x v="0"/>
    <x v="2"/>
    <x v="2"/>
    <x v="210"/>
    <x v="176"/>
    <x v="176"/>
    <s v="REVENUS"/>
    <x v="3"/>
    <s v="4002.001"/>
    <s v="Impôt ordinaire s/fortune PP"/>
    <n v="0"/>
    <n v="-378.8"/>
    <n v="4002"/>
  </r>
  <r>
    <x v="0"/>
    <x v="2"/>
    <x v="2"/>
    <x v="210"/>
    <x v="176"/>
    <x v="176"/>
    <s v="REVENUS"/>
    <x v="3"/>
    <s v="4002.001"/>
    <s v="Impôt ordinaire s/fortune PP"/>
    <n v="0"/>
    <n v="103.35"/>
    <n v="4002"/>
  </r>
  <r>
    <x v="0"/>
    <x v="2"/>
    <x v="2"/>
    <x v="210"/>
    <x v="176"/>
    <x v="176"/>
    <s v="REVENUS"/>
    <x v="9"/>
    <s v="4031.002"/>
    <s v="Complément impôt sur les gains immobiliers"/>
    <n v="0"/>
    <n v="11673.3"/>
    <n v="4031"/>
  </r>
  <r>
    <x v="0"/>
    <x v="2"/>
    <x v="2"/>
    <x v="210"/>
    <x v="176"/>
    <x v="176"/>
    <s v="REVENUS"/>
    <x v="10"/>
    <s v="4041.002"/>
    <s v="Complément droit de mutation"/>
    <n v="0"/>
    <n v="14410"/>
    <n v="4041"/>
  </r>
  <r>
    <x v="0"/>
    <x v="2"/>
    <x v="2"/>
    <x v="210"/>
    <x v="176"/>
    <x v="176"/>
    <s v="REVENUS"/>
    <x v="3"/>
    <s v="4002.001"/>
    <s v="Impôt ordinaire s/fortune PP"/>
    <n v="0"/>
    <n v="-71.25"/>
    <n v="4002"/>
  </r>
  <r>
    <x v="0"/>
    <x v="2"/>
    <x v="2"/>
    <x v="210"/>
    <x v="176"/>
    <x v="176"/>
    <s v="REVENUS"/>
    <x v="3"/>
    <s v="4002.002"/>
    <s v="Impôt complémentaire s/fortune PP"/>
    <n v="0"/>
    <n v="71.25"/>
    <n v="4002"/>
  </r>
  <r>
    <x v="0"/>
    <x v="2"/>
    <x v="2"/>
    <x v="210"/>
    <x v="176"/>
    <x v="176"/>
    <s v="REVENUS"/>
    <x v="6"/>
    <s v="4211.002"/>
    <s v="Intérêts de retard sur acomptes"/>
    <n v="0"/>
    <n v="-0.74"/>
    <n v="4211"/>
  </r>
  <r>
    <x v="0"/>
    <x v="2"/>
    <x v="2"/>
    <x v="210"/>
    <x v="176"/>
    <x v="176"/>
    <s v="REVENUS"/>
    <x v="6"/>
    <s v="4221.003"/>
    <s v="Intérêts compensat. / acomptes en faveur du fisc"/>
    <n v="0"/>
    <n v="-0.01"/>
    <n v="4221"/>
  </r>
  <r>
    <x v="0"/>
    <x v="2"/>
    <x v="2"/>
    <x v="210"/>
    <x v="176"/>
    <x v="176"/>
    <s v="REVENUS"/>
    <x v="2"/>
    <s v="4001.002"/>
    <s v="Impôt complément s/revenu PP"/>
    <n v="0"/>
    <n v="75571.25"/>
    <n v="4001"/>
  </r>
  <r>
    <x v="0"/>
    <x v="2"/>
    <x v="2"/>
    <x v="210"/>
    <x v="176"/>
    <x v="176"/>
    <s v="REVENUS"/>
    <x v="3"/>
    <s v="4002.002"/>
    <s v="Impôt complémentaire s/fortune PP"/>
    <n v="0"/>
    <n v="391.2"/>
    <n v="4002"/>
  </r>
  <r>
    <x v="0"/>
    <x v="2"/>
    <x v="2"/>
    <x v="210"/>
    <x v="176"/>
    <x v="176"/>
    <s v="REVENUS"/>
    <x v="6"/>
    <s v="4211.001"/>
    <s v="Intérêts de retard sur factures"/>
    <n v="0"/>
    <n v="89.61"/>
    <n v="4211"/>
  </r>
  <r>
    <x v="0"/>
    <x v="2"/>
    <x v="2"/>
    <x v="211"/>
    <x v="177"/>
    <x v="177"/>
    <s v="CHARGES"/>
    <x v="0"/>
    <s v="3212.004"/>
    <s v="Intérêts rémun./perçu trop tôt sur acomptes C/C"/>
    <n v="330.29"/>
    <n v="0"/>
    <n v="3212"/>
  </r>
  <r>
    <x v="0"/>
    <x v="2"/>
    <x v="2"/>
    <x v="211"/>
    <x v="177"/>
    <x v="177"/>
    <s v="CHARGES"/>
    <x v="0"/>
    <s v="3221.002"/>
    <s v="Intérêts compensatoires / créances en faveur ctb."/>
    <n v="79.680000000000007"/>
    <n v="0"/>
    <n v="3221"/>
  </r>
  <r>
    <x v="0"/>
    <x v="2"/>
    <x v="2"/>
    <x v="211"/>
    <x v="177"/>
    <x v="177"/>
    <s v="CHARGES"/>
    <x v="1"/>
    <s v="3301.001"/>
    <s v="Défalcations, abandons de solde PP et IS"/>
    <n v="462.35"/>
    <n v="0"/>
    <n v="3301"/>
  </r>
  <r>
    <x v="0"/>
    <x v="2"/>
    <x v="2"/>
    <x v="211"/>
    <x v="177"/>
    <x v="177"/>
    <s v="CHARGES"/>
    <x v="0"/>
    <s v="3212.002"/>
    <s v="Intérêts bonifiés/trop perçu acompte C/C"/>
    <n v="65.040000000000006"/>
    <n v="0"/>
    <n v="3212"/>
  </r>
  <r>
    <x v="0"/>
    <x v="2"/>
    <x v="2"/>
    <x v="211"/>
    <x v="177"/>
    <x v="177"/>
    <s v="CHARGES"/>
    <x v="0"/>
    <s v="3221.002"/>
    <s v="Intérêts compensatoires / créances en faveur ctb."/>
    <n v="0.01"/>
    <n v="0"/>
    <n v="3221"/>
  </r>
  <r>
    <x v="0"/>
    <x v="2"/>
    <x v="2"/>
    <x v="211"/>
    <x v="177"/>
    <x v="177"/>
    <s v="CHARGES"/>
    <x v="0"/>
    <s v="3212.004"/>
    <s v="Intérêts rémun./perçu trop tôt sur acomptes C/C"/>
    <n v="0.03"/>
    <n v="0"/>
    <n v="3212"/>
  </r>
  <r>
    <x v="0"/>
    <x v="2"/>
    <x v="2"/>
    <x v="211"/>
    <x v="177"/>
    <x v="177"/>
    <s v="REVENUS"/>
    <x v="2"/>
    <s v="4001.001"/>
    <s v="Impôt revenu"/>
    <n v="0"/>
    <n v="1971863.05"/>
    <n v="4001"/>
  </r>
  <r>
    <x v="0"/>
    <x v="2"/>
    <x v="2"/>
    <x v="211"/>
    <x v="177"/>
    <x v="177"/>
    <s v="REVENUS"/>
    <x v="2"/>
    <s v="4001.007"/>
    <s v="Acompte impôt sur revenu"/>
    <n v="0"/>
    <n v="94249.919999999998"/>
    <n v="4001"/>
  </r>
  <r>
    <x v="0"/>
    <x v="2"/>
    <x v="2"/>
    <x v="211"/>
    <x v="177"/>
    <x v="177"/>
    <s v="REVENUS"/>
    <x v="3"/>
    <s v="4002.001"/>
    <s v="Impôt ordinaire s/fortune PP"/>
    <n v="0"/>
    <n v="255924.7"/>
    <n v="4002"/>
  </r>
  <r>
    <x v="0"/>
    <x v="2"/>
    <x v="2"/>
    <x v="211"/>
    <x v="177"/>
    <x v="177"/>
    <s v="REVENUS"/>
    <x v="3"/>
    <s v="4002.007"/>
    <s v="Acompte impôt sur fortune"/>
    <n v="0"/>
    <n v="34875.81"/>
    <n v="4002"/>
  </r>
  <r>
    <x v="0"/>
    <x v="2"/>
    <x v="2"/>
    <x v="211"/>
    <x v="177"/>
    <x v="177"/>
    <s v="REVENUS"/>
    <x v="6"/>
    <s v="4211.001"/>
    <s v="Intérêts de retard sur factures"/>
    <n v="0"/>
    <n v="42854.77"/>
    <n v="4211"/>
  </r>
  <r>
    <x v="0"/>
    <x v="2"/>
    <x v="2"/>
    <x v="211"/>
    <x v="177"/>
    <x v="177"/>
    <s v="REVENUS"/>
    <x v="6"/>
    <s v="4211.002"/>
    <s v="Intérêts de retard sur acomptes"/>
    <n v="0"/>
    <n v="11962.33"/>
    <n v="4211"/>
  </r>
  <r>
    <x v="0"/>
    <x v="2"/>
    <x v="2"/>
    <x v="211"/>
    <x v="177"/>
    <x v="177"/>
    <s v="REVENUS"/>
    <x v="2"/>
    <s v="4001.002"/>
    <s v="Impôt complément s/revenu PP"/>
    <n v="0"/>
    <n v="974445.95"/>
    <n v="4001"/>
  </r>
  <r>
    <x v="0"/>
    <x v="2"/>
    <x v="2"/>
    <x v="211"/>
    <x v="177"/>
    <x v="177"/>
    <s v="REVENUS"/>
    <x v="3"/>
    <s v="4002.002"/>
    <s v="Impôt complémentaire s/fortune PP"/>
    <n v="0"/>
    <n v="213031.3"/>
    <n v="4002"/>
  </r>
  <r>
    <x v="0"/>
    <x v="2"/>
    <x v="2"/>
    <x v="211"/>
    <x v="177"/>
    <x v="177"/>
    <s v="REVENUS"/>
    <x v="6"/>
    <s v="4221.003"/>
    <s v="Intérêts compensat. / acomptes en faveur du fisc"/>
    <n v="0"/>
    <n v="792.98"/>
    <n v="4221"/>
  </r>
  <r>
    <x v="0"/>
    <x v="2"/>
    <x v="2"/>
    <x v="211"/>
    <x v="177"/>
    <x v="177"/>
    <s v="REVENUS"/>
    <x v="2"/>
    <s v="4001.003"/>
    <s v="Impôt s/prest. cap. PP"/>
    <n v="0"/>
    <n v="281947.59999999998"/>
    <n v="4001"/>
  </r>
  <r>
    <x v="0"/>
    <x v="2"/>
    <x v="2"/>
    <x v="211"/>
    <x v="177"/>
    <x v="177"/>
    <s v="REVENUS"/>
    <x v="10"/>
    <s v="4041.001"/>
    <s v="Droits de mutation"/>
    <n v="0"/>
    <n v="197846"/>
    <n v="4041"/>
  </r>
  <r>
    <x v="0"/>
    <x v="2"/>
    <x v="2"/>
    <x v="211"/>
    <x v="177"/>
    <x v="177"/>
    <s v="REVENUS"/>
    <x v="7"/>
    <s v="4184.000"/>
    <s v="Frais de poursuite"/>
    <n v="0"/>
    <n v="878.73"/>
    <n v="4184"/>
  </r>
  <r>
    <x v="0"/>
    <x v="2"/>
    <x v="2"/>
    <x v="211"/>
    <x v="177"/>
    <x v="177"/>
    <s v="REVENUS"/>
    <x v="5"/>
    <s v="4061.000"/>
    <s v="Impôt sur les chiens"/>
    <n v="0"/>
    <n v="1905"/>
    <n v="4061"/>
  </r>
  <r>
    <x v="0"/>
    <x v="2"/>
    <x v="2"/>
    <x v="211"/>
    <x v="177"/>
    <x v="177"/>
    <s v="REVENUS"/>
    <x v="6"/>
    <s v="4221.002"/>
    <s v="Intérêts compensat. sur impôts distincts"/>
    <n v="0"/>
    <n v="0.03"/>
    <n v="4221"/>
  </r>
  <r>
    <x v="0"/>
    <x v="2"/>
    <x v="2"/>
    <x v="211"/>
    <x v="177"/>
    <x v="177"/>
    <s v="REVENUS"/>
    <x v="3"/>
    <s v="4002.001"/>
    <s v="Impôt ordinaire s/fortune PP"/>
    <n v="0"/>
    <n v="134.6"/>
    <n v="4002"/>
  </r>
  <r>
    <x v="0"/>
    <x v="2"/>
    <x v="2"/>
    <x v="211"/>
    <x v="177"/>
    <x v="177"/>
    <s v="REVENUS"/>
    <x v="3"/>
    <s v="4002.007"/>
    <s v="Acompte impôt sur fortune"/>
    <n v="0"/>
    <n v="-8"/>
    <n v="4002"/>
  </r>
  <r>
    <x v="0"/>
    <x v="2"/>
    <x v="2"/>
    <x v="211"/>
    <x v="177"/>
    <x v="177"/>
    <s v="REVENUS"/>
    <x v="6"/>
    <s v="4211.002"/>
    <s v="Intérêts de retard sur acomptes"/>
    <n v="0"/>
    <n v="1.1200000000000001"/>
    <n v="4211"/>
  </r>
  <r>
    <x v="0"/>
    <x v="2"/>
    <x v="2"/>
    <x v="211"/>
    <x v="177"/>
    <x v="177"/>
    <s v="REVENUS"/>
    <x v="12"/>
    <s v="4004.007"/>
    <s v="Acompte spécial étrangers"/>
    <n v="0"/>
    <n v="2061.5"/>
    <n v="4004"/>
  </r>
  <r>
    <x v="0"/>
    <x v="2"/>
    <x v="2"/>
    <x v="211"/>
    <x v="177"/>
    <x v="177"/>
    <s v="REVENUS"/>
    <x v="9"/>
    <s v="4031.001"/>
    <s v="Impôt sur les gains immobiliers"/>
    <n v="0"/>
    <n v="111895.95"/>
    <n v="4031"/>
  </r>
  <r>
    <x v="0"/>
    <x v="2"/>
    <x v="2"/>
    <x v="211"/>
    <x v="177"/>
    <x v="177"/>
    <s v="REVENUS"/>
    <x v="3"/>
    <s v="4002.007"/>
    <s v="Acompte impôt sur fortune"/>
    <n v="0"/>
    <n v="31.75"/>
    <n v="4002"/>
  </r>
  <r>
    <x v="0"/>
    <x v="2"/>
    <x v="2"/>
    <x v="211"/>
    <x v="177"/>
    <x v="177"/>
    <s v="REVENUS"/>
    <x v="7"/>
    <s v="4184.000"/>
    <s v="Frais de poursuite"/>
    <n v="0"/>
    <n v="36.369999999999997"/>
    <n v="4184"/>
  </r>
  <r>
    <x v="0"/>
    <x v="2"/>
    <x v="2"/>
    <x v="211"/>
    <x v="177"/>
    <x v="177"/>
    <s v="REVENUS"/>
    <x v="11"/>
    <s v="4198.000"/>
    <s v="Contributions communales"/>
    <n v="0"/>
    <n v="219132.75"/>
    <n v="4198"/>
  </r>
  <r>
    <x v="0"/>
    <x v="2"/>
    <x v="2"/>
    <x v="211"/>
    <x v="177"/>
    <x v="177"/>
    <s v="REVENUS"/>
    <x v="9"/>
    <s v="4031.002"/>
    <s v="Complément impôt sur les gains immobiliers"/>
    <n v="0"/>
    <n v="1837.9"/>
    <n v="4031"/>
  </r>
  <r>
    <x v="0"/>
    <x v="2"/>
    <x v="2"/>
    <x v="211"/>
    <x v="177"/>
    <x v="177"/>
    <s v="REVENUS"/>
    <x v="2"/>
    <s v="4001.007"/>
    <s v="Acompte impôt sur revenu"/>
    <n v="0"/>
    <n v="-25.65"/>
    <n v="4001"/>
  </r>
  <r>
    <x v="0"/>
    <x v="2"/>
    <x v="2"/>
    <x v="211"/>
    <x v="177"/>
    <x v="177"/>
    <s v="REVENUS"/>
    <x v="8"/>
    <s v="4091.001"/>
    <s v="Impôt récupéré après défalcations"/>
    <n v="0"/>
    <n v="108.53"/>
    <n v="4091"/>
  </r>
  <r>
    <x v="0"/>
    <x v="2"/>
    <x v="2"/>
    <x v="211"/>
    <x v="177"/>
    <x v="177"/>
    <s v="REVENUS"/>
    <x v="3"/>
    <s v="4002.001"/>
    <s v="Impôt ordinaire s/fortune PP"/>
    <n v="0"/>
    <n v="25.9"/>
    <n v="4002"/>
  </r>
  <r>
    <x v="0"/>
    <x v="2"/>
    <x v="2"/>
    <x v="211"/>
    <x v="177"/>
    <x v="177"/>
    <s v="REVENUS"/>
    <x v="6"/>
    <s v="4211.002"/>
    <s v="Intérêts de retard sur acomptes"/>
    <n v="0"/>
    <n v="0.59"/>
    <n v="4211"/>
  </r>
  <r>
    <x v="0"/>
    <x v="2"/>
    <x v="2"/>
    <x v="211"/>
    <x v="177"/>
    <x v="177"/>
    <s v="REVENUS"/>
    <x v="10"/>
    <s v="4041.002"/>
    <s v="Complément droit de mutation"/>
    <n v="0"/>
    <n v="4950"/>
    <n v="4041"/>
  </r>
  <r>
    <x v="0"/>
    <x v="2"/>
    <x v="2"/>
    <x v="211"/>
    <x v="177"/>
    <x v="177"/>
    <s v="REVENUS"/>
    <x v="3"/>
    <s v="4002.002"/>
    <s v="Impôt complémentaire s/fortune PP"/>
    <n v="0"/>
    <n v="37.4"/>
    <n v="4002"/>
  </r>
  <r>
    <x v="0"/>
    <x v="2"/>
    <x v="2"/>
    <x v="211"/>
    <x v="177"/>
    <x v="177"/>
    <s v="REVENUS"/>
    <x v="8"/>
    <s v="4091.001"/>
    <s v="Impôt récupéré après défalcations"/>
    <n v="0"/>
    <n v="34.5"/>
    <n v="4091"/>
  </r>
  <r>
    <x v="0"/>
    <x v="2"/>
    <x v="2"/>
    <x v="211"/>
    <x v="177"/>
    <x v="177"/>
    <s v="REVENUS"/>
    <x v="12"/>
    <s v="4004.000"/>
    <s v="Impôt spécial étrangers"/>
    <n v="0"/>
    <n v="36762.35"/>
    <n v="4004"/>
  </r>
  <r>
    <x v="0"/>
    <x v="2"/>
    <x v="2"/>
    <x v="212"/>
    <x v="178"/>
    <x v="178"/>
    <s v="CHARGES"/>
    <x v="0"/>
    <s v="3212.004"/>
    <s v="Intérêts rémun./perçu trop tôt sur acomptes C/C"/>
    <n v="604.4"/>
    <n v="0"/>
    <n v="3212"/>
  </r>
  <r>
    <x v="0"/>
    <x v="2"/>
    <x v="2"/>
    <x v="212"/>
    <x v="178"/>
    <x v="178"/>
    <s v="CHARGES"/>
    <x v="0"/>
    <s v="3221.002"/>
    <s v="Intérêts compensatoires / créances en faveur ctb."/>
    <n v="165.47"/>
    <n v="0"/>
    <n v="3221"/>
  </r>
  <r>
    <x v="0"/>
    <x v="2"/>
    <x v="2"/>
    <x v="212"/>
    <x v="178"/>
    <x v="178"/>
    <s v="CHARGES"/>
    <x v="1"/>
    <s v="3301.001"/>
    <s v="Défalcations, abandons de solde PP et IS"/>
    <n v="29025.66"/>
    <n v="0"/>
    <n v="3301"/>
  </r>
  <r>
    <x v="0"/>
    <x v="2"/>
    <x v="2"/>
    <x v="212"/>
    <x v="178"/>
    <x v="178"/>
    <s v="CHARGES"/>
    <x v="0"/>
    <s v="3212.002"/>
    <s v="Intérêts bonifiés/trop perçu acompte C/C"/>
    <n v="43.99"/>
    <n v="0"/>
    <n v="3212"/>
  </r>
  <r>
    <x v="0"/>
    <x v="2"/>
    <x v="2"/>
    <x v="212"/>
    <x v="178"/>
    <x v="178"/>
    <s v="CHARGES"/>
    <x v="0"/>
    <s v="3212.004"/>
    <s v="Intérêts rémun./perçu trop tôt sur acomptes C/C"/>
    <n v="0.18"/>
    <n v="0"/>
    <n v="3212"/>
  </r>
  <r>
    <x v="0"/>
    <x v="2"/>
    <x v="2"/>
    <x v="212"/>
    <x v="178"/>
    <x v="178"/>
    <s v="CHARGES"/>
    <x v="0"/>
    <s v="3221.002"/>
    <s v="Intérêts compensatoires / créances en faveur ctb."/>
    <n v="0.27"/>
    <n v="0"/>
    <n v="3221"/>
  </r>
  <r>
    <x v="0"/>
    <x v="2"/>
    <x v="2"/>
    <x v="212"/>
    <x v="178"/>
    <x v="178"/>
    <s v="CHARGES"/>
    <x v="0"/>
    <s v="3212.002"/>
    <s v="Intérêts bonifiés/trop perçu acompte C/C"/>
    <n v="9.9600000000000009"/>
    <n v="0"/>
    <n v="3212"/>
  </r>
  <r>
    <x v="0"/>
    <x v="2"/>
    <x v="2"/>
    <x v="212"/>
    <x v="178"/>
    <x v="178"/>
    <s v="CHARGES"/>
    <x v="0"/>
    <s v="3212.004"/>
    <s v="Intérêts rémun./perçu trop tôt sur acomptes C/C"/>
    <n v="6.93"/>
    <n v="0"/>
    <n v="3212"/>
  </r>
  <r>
    <x v="0"/>
    <x v="2"/>
    <x v="2"/>
    <x v="212"/>
    <x v="178"/>
    <x v="178"/>
    <s v="CHARGES"/>
    <x v="0"/>
    <s v="3221.002"/>
    <s v="Intérêts compensatoires / créances en faveur ctb."/>
    <n v="8.23"/>
    <n v="0"/>
    <n v="3221"/>
  </r>
  <r>
    <x v="0"/>
    <x v="2"/>
    <x v="2"/>
    <x v="212"/>
    <x v="178"/>
    <x v="178"/>
    <s v="CHARGES"/>
    <x v="1"/>
    <s v="3301.001"/>
    <s v="Défalcations, abandons de solde PP et IS"/>
    <n v="0.04"/>
    <n v="0"/>
    <n v="3301"/>
  </r>
  <r>
    <x v="0"/>
    <x v="2"/>
    <x v="2"/>
    <x v="212"/>
    <x v="178"/>
    <x v="178"/>
    <s v="REVENUS"/>
    <x v="2"/>
    <s v="4001.001"/>
    <s v="Impôt revenu"/>
    <n v="0"/>
    <n v="2734087.9"/>
    <n v="4001"/>
  </r>
  <r>
    <x v="0"/>
    <x v="2"/>
    <x v="2"/>
    <x v="212"/>
    <x v="178"/>
    <x v="178"/>
    <s v="REVENUS"/>
    <x v="2"/>
    <s v="4001.007"/>
    <s v="Acompte impôt sur revenu"/>
    <n v="0"/>
    <n v="120275.35"/>
    <n v="4001"/>
  </r>
  <r>
    <x v="0"/>
    <x v="2"/>
    <x v="2"/>
    <x v="212"/>
    <x v="178"/>
    <x v="178"/>
    <s v="REVENUS"/>
    <x v="3"/>
    <s v="4002.001"/>
    <s v="Impôt ordinaire s/fortune PP"/>
    <n v="0"/>
    <n v="473910.35"/>
    <n v="4002"/>
  </r>
  <r>
    <x v="0"/>
    <x v="2"/>
    <x v="2"/>
    <x v="212"/>
    <x v="178"/>
    <x v="178"/>
    <s v="REVENUS"/>
    <x v="3"/>
    <s v="4002.007"/>
    <s v="Acompte impôt sur fortune"/>
    <n v="0"/>
    <n v="8842.6"/>
    <n v="4002"/>
  </r>
  <r>
    <x v="0"/>
    <x v="2"/>
    <x v="2"/>
    <x v="212"/>
    <x v="178"/>
    <x v="178"/>
    <s v="REVENUS"/>
    <x v="6"/>
    <s v="4211.001"/>
    <s v="Intérêts de retard sur factures"/>
    <n v="0"/>
    <n v="34680.639999999999"/>
    <n v="4211"/>
  </r>
  <r>
    <x v="0"/>
    <x v="2"/>
    <x v="2"/>
    <x v="212"/>
    <x v="178"/>
    <x v="178"/>
    <s v="REVENUS"/>
    <x v="6"/>
    <s v="4211.002"/>
    <s v="Intérêts de retard sur acomptes"/>
    <n v="0"/>
    <n v="13978.2"/>
    <n v="4211"/>
  </r>
  <r>
    <x v="0"/>
    <x v="2"/>
    <x v="2"/>
    <x v="212"/>
    <x v="178"/>
    <x v="178"/>
    <s v="REVENUS"/>
    <x v="6"/>
    <s v="4221.003"/>
    <s v="Intérêts compensat. / acomptes en faveur du fisc"/>
    <n v="0"/>
    <n v="1360.46"/>
    <n v="4221"/>
  </r>
  <r>
    <x v="0"/>
    <x v="2"/>
    <x v="2"/>
    <x v="212"/>
    <x v="178"/>
    <x v="178"/>
    <s v="REVENUS"/>
    <x v="2"/>
    <s v="4001.002"/>
    <s v="Impôt complément s/revenu PP"/>
    <n v="0"/>
    <n v="974615.65"/>
    <n v="4001"/>
  </r>
  <r>
    <x v="0"/>
    <x v="2"/>
    <x v="2"/>
    <x v="212"/>
    <x v="178"/>
    <x v="178"/>
    <s v="REVENUS"/>
    <x v="3"/>
    <s v="4002.002"/>
    <s v="Impôt complémentaire s/fortune PP"/>
    <n v="0"/>
    <n v="127514.15"/>
    <n v="4002"/>
  </r>
  <r>
    <x v="0"/>
    <x v="2"/>
    <x v="2"/>
    <x v="212"/>
    <x v="178"/>
    <x v="178"/>
    <s v="REVENUS"/>
    <x v="7"/>
    <s v="4184.000"/>
    <s v="Frais de poursuite"/>
    <n v="0"/>
    <n v="1503.64"/>
    <n v="4184"/>
  </r>
  <r>
    <x v="0"/>
    <x v="2"/>
    <x v="2"/>
    <x v="212"/>
    <x v="178"/>
    <x v="178"/>
    <s v="REVENUS"/>
    <x v="2"/>
    <s v="4001.003"/>
    <s v="Impôt s/prest. cap. PP"/>
    <n v="0"/>
    <n v="186552.85"/>
    <n v="4001"/>
  </r>
  <r>
    <x v="0"/>
    <x v="2"/>
    <x v="2"/>
    <x v="212"/>
    <x v="178"/>
    <x v="178"/>
    <s v="REVENUS"/>
    <x v="10"/>
    <s v="4041.001"/>
    <s v="Droits de mutation"/>
    <n v="0"/>
    <n v="152020"/>
    <n v="4041"/>
  </r>
  <r>
    <x v="0"/>
    <x v="2"/>
    <x v="2"/>
    <x v="212"/>
    <x v="178"/>
    <x v="178"/>
    <s v="REVENUS"/>
    <x v="6"/>
    <s v="4221.002"/>
    <s v="Intérêts compensat. sur impôts distincts"/>
    <n v="0"/>
    <n v="10.94"/>
    <n v="4221"/>
  </r>
  <r>
    <x v="0"/>
    <x v="2"/>
    <x v="2"/>
    <x v="212"/>
    <x v="178"/>
    <x v="178"/>
    <s v="REVENUS"/>
    <x v="11"/>
    <s v="4198.000"/>
    <s v="Contributions communales"/>
    <n v="0"/>
    <n v="387497.7"/>
    <n v="4198"/>
  </r>
  <r>
    <x v="0"/>
    <x v="2"/>
    <x v="2"/>
    <x v="212"/>
    <x v="178"/>
    <x v="178"/>
    <s v="REVENUS"/>
    <x v="3"/>
    <s v="4002.007"/>
    <s v="Acompte impôt sur fortune"/>
    <n v="0"/>
    <n v="-46.4"/>
    <n v="4002"/>
  </r>
  <r>
    <x v="0"/>
    <x v="2"/>
    <x v="2"/>
    <x v="212"/>
    <x v="178"/>
    <x v="178"/>
    <s v="REVENUS"/>
    <x v="3"/>
    <s v="4002.007"/>
    <s v="Acompte impôt sur fortune"/>
    <n v="0"/>
    <n v="1355.6"/>
    <n v="4002"/>
  </r>
  <r>
    <x v="0"/>
    <x v="2"/>
    <x v="2"/>
    <x v="212"/>
    <x v="178"/>
    <x v="178"/>
    <s v="REVENUS"/>
    <x v="2"/>
    <s v="4001.007"/>
    <s v="Acompte impôt sur revenu"/>
    <n v="0"/>
    <n v="2341.4"/>
    <n v="4001"/>
  </r>
  <r>
    <x v="0"/>
    <x v="2"/>
    <x v="2"/>
    <x v="212"/>
    <x v="178"/>
    <x v="178"/>
    <s v="REVENUS"/>
    <x v="3"/>
    <s v="4002.007"/>
    <s v="Acompte impôt sur fortune"/>
    <n v="0"/>
    <n v="-8.6999999999999993"/>
    <n v="4002"/>
  </r>
  <r>
    <x v="0"/>
    <x v="2"/>
    <x v="2"/>
    <x v="212"/>
    <x v="178"/>
    <x v="178"/>
    <s v="REVENUS"/>
    <x v="9"/>
    <s v="4031.001"/>
    <s v="Impôt sur les gains immobiliers"/>
    <n v="0"/>
    <n v="89834.7"/>
    <n v="4031"/>
  </r>
  <r>
    <x v="0"/>
    <x v="2"/>
    <x v="2"/>
    <x v="212"/>
    <x v="178"/>
    <x v="178"/>
    <s v="REVENUS"/>
    <x v="5"/>
    <s v="4061.000"/>
    <s v="Impôt sur les chiens"/>
    <n v="0"/>
    <n v="4575"/>
    <n v="4061"/>
  </r>
  <r>
    <x v="0"/>
    <x v="2"/>
    <x v="2"/>
    <x v="212"/>
    <x v="178"/>
    <x v="178"/>
    <s v="REVENUS"/>
    <x v="4"/>
    <s v="4051.001"/>
    <s v="Impôt sur les successions"/>
    <n v="0"/>
    <n v="1914"/>
    <n v="4051"/>
  </r>
  <r>
    <x v="0"/>
    <x v="2"/>
    <x v="2"/>
    <x v="212"/>
    <x v="178"/>
    <x v="178"/>
    <s v="REVENUS"/>
    <x v="2"/>
    <s v="4001.007"/>
    <s v="Acompte impôt sur revenu"/>
    <n v="0"/>
    <n v="-141.05000000000001"/>
    <n v="4001"/>
  </r>
  <r>
    <x v="0"/>
    <x v="2"/>
    <x v="2"/>
    <x v="212"/>
    <x v="178"/>
    <x v="178"/>
    <s v="REVENUS"/>
    <x v="3"/>
    <s v="4002.001"/>
    <s v="Impôt ordinaire s/fortune PP"/>
    <n v="0"/>
    <n v="407.65"/>
    <n v="4002"/>
  </r>
  <r>
    <x v="0"/>
    <x v="2"/>
    <x v="2"/>
    <x v="212"/>
    <x v="178"/>
    <x v="178"/>
    <s v="REVENUS"/>
    <x v="2"/>
    <s v="4001.007"/>
    <s v="Acompte impôt sur revenu"/>
    <n v="0"/>
    <n v="-3668.3"/>
    <n v="4001"/>
  </r>
  <r>
    <x v="0"/>
    <x v="2"/>
    <x v="2"/>
    <x v="212"/>
    <x v="178"/>
    <x v="178"/>
    <s v="REVENUS"/>
    <x v="3"/>
    <s v="4002.007"/>
    <s v="Acompte impôt sur fortune"/>
    <n v="0"/>
    <n v="-960.85"/>
    <n v="4002"/>
  </r>
  <r>
    <x v="0"/>
    <x v="2"/>
    <x v="2"/>
    <x v="212"/>
    <x v="178"/>
    <x v="178"/>
    <s v="REVENUS"/>
    <x v="2"/>
    <s v="4001.001"/>
    <s v="Impôt revenu"/>
    <n v="0"/>
    <n v="4016.8"/>
    <n v="4001"/>
  </r>
  <r>
    <x v="0"/>
    <x v="2"/>
    <x v="2"/>
    <x v="212"/>
    <x v="178"/>
    <x v="178"/>
    <s v="REVENUS"/>
    <x v="3"/>
    <s v="4002.001"/>
    <s v="Impôt ordinaire s/fortune PP"/>
    <n v="0"/>
    <n v="1810.9"/>
    <n v="4002"/>
  </r>
  <r>
    <x v="0"/>
    <x v="2"/>
    <x v="2"/>
    <x v="212"/>
    <x v="178"/>
    <x v="178"/>
    <s v="REVENUS"/>
    <x v="3"/>
    <s v="4002.002"/>
    <s v="Impôt complémentaire s/fortune PP"/>
    <n v="0"/>
    <n v="100.05"/>
    <n v="4002"/>
  </r>
  <r>
    <x v="0"/>
    <x v="2"/>
    <x v="2"/>
    <x v="212"/>
    <x v="178"/>
    <x v="178"/>
    <s v="REVENUS"/>
    <x v="6"/>
    <s v="4221.003"/>
    <s v="Intérêts compensat. / acomptes en faveur du fisc"/>
    <n v="0"/>
    <n v="3.19"/>
    <n v="4221"/>
  </r>
  <r>
    <x v="0"/>
    <x v="2"/>
    <x v="2"/>
    <x v="212"/>
    <x v="178"/>
    <x v="178"/>
    <s v="REVENUS"/>
    <x v="3"/>
    <s v="4002.001"/>
    <s v="Impôt ordinaire s/fortune PP"/>
    <n v="0"/>
    <n v="0"/>
    <n v="4002"/>
  </r>
  <r>
    <x v="0"/>
    <x v="2"/>
    <x v="2"/>
    <x v="212"/>
    <x v="178"/>
    <x v="178"/>
    <s v="REVENUS"/>
    <x v="6"/>
    <s v="4221.003"/>
    <s v="Intérêts compensat. / acomptes en faveur du fisc"/>
    <n v="0"/>
    <n v="0.04"/>
    <n v="4221"/>
  </r>
  <r>
    <x v="0"/>
    <x v="2"/>
    <x v="2"/>
    <x v="212"/>
    <x v="178"/>
    <x v="178"/>
    <s v="REVENUS"/>
    <x v="12"/>
    <s v="4004.000"/>
    <s v="Impôt spécial étrangers"/>
    <n v="0"/>
    <n v="4063.55"/>
    <n v="4004"/>
  </r>
  <r>
    <x v="0"/>
    <x v="2"/>
    <x v="2"/>
    <x v="212"/>
    <x v="178"/>
    <x v="178"/>
    <s v="REVENUS"/>
    <x v="3"/>
    <s v="4002.002"/>
    <s v="Impôt complémentaire s/fortune PP"/>
    <n v="0"/>
    <n v="147.65"/>
    <n v="4002"/>
  </r>
  <r>
    <x v="0"/>
    <x v="2"/>
    <x v="2"/>
    <x v="213"/>
    <x v="179"/>
    <x v="179"/>
    <s v="CHARGES"/>
    <x v="0"/>
    <s v="3212.002"/>
    <s v="Intérêts bonifiés/trop perçu acompte C/C"/>
    <n v="97.74"/>
    <n v="0"/>
    <n v="3212"/>
  </r>
  <r>
    <x v="0"/>
    <x v="2"/>
    <x v="2"/>
    <x v="213"/>
    <x v="179"/>
    <x v="179"/>
    <s v="CHARGES"/>
    <x v="0"/>
    <s v="3212.004"/>
    <s v="Intérêts rémun./perçu trop tôt sur acomptes C/C"/>
    <n v="543.53"/>
    <n v="0"/>
    <n v="3212"/>
  </r>
  <r>
    <x v="0"/>
    <x v="2"/>
    <x v="2"/>
    <x v="213"/>
    <x v="179"/>
    <x v="179"/>
    <s v="CHARGES"/>
    <x v="0"/>
    <s v="3221.002"/>
    <s v="Intérêts compensatoires / créances en faveur ctb."/>
    <n v="282.33"/>
    <n v="0"/>
    <n v="3221"/>
  </r>
  <r>
    <x v="0"/>
    <x v="2"/>
    <x v="2"/>
    <x v="213"/>
    <x v="179"/>
    <x v="179"/>
    <s v="CHARGES"/>
    <x v="1"/>
    <s v="3301.001"/>
    <s v="Défalcations, abandons de solde PP et IS"/>
    <n v="17702.97"/>
    <n v="0"/>
    <n v="3301"/>
  </r>
  <r>
    <x v="0"/>
    <x v="2"/>
    <x v="2"/>
    <x v="213"/>
    <x v="179"/>
    <x v="179"/>
    <s v="CHARGES"/>
    <x v="0"/>
    <s v="3212.004"/>
    <s v="Intérêts rémun./perçu trop tôt sur acomptes C/C"/>
    <n v="0.09"/>
    <n v="0"/>
    <n v="3212"/>
  </r>
  <r>
    <x v="0"/>
    <x v="2"/>
    <x v="2"/>
    <x v="213"/>
    <x v="179"/>
    <x v="179"/>
    <s v="CHARGES"/>
    <x v="1"/>
    <s v="3301.001"/>
    <s v="Défalcations, abandons de solde PP et IS"/>
    <n v="0.11"/>
    <n v="0"/>
    <n v="3301"/>
  </r>
  <r>
    <x v="0"/>
    <x v="2"/>
    <x v="2"/>
    <x v="213"/>
    <x v="179"/>
    <x v="179"/>
    <s v="CHARGES"/>
    <x v="1"/>
    <s v="3301.001"/>
    <s v="Défalcations, abandons de solde PP et IS"/>
    <n v="-0.35"/>
    <n v="0"/>
    <n v="3301"/>
  </r>
  <r>
    <x v="0"/>
    <x v="2"/>
    <x v="2"/>
    <x v="213"/>
    <x v="179"/>
    <x v="179"/>
    <s v="CHARGES"/>
    <x v="0"/>
    <s v="3212.004"/>
    <s v="Intérêts rémun./perçu trop tôt sur acomptes C/C"/>
    <n v="3.41"/>
    <n v="0"/>
    <n v="3212"/>
  </r>
  <r>
    <x v="0"/>
    <x v="2"/>
    <x v="2"/>
    <x v="213"/>
    <x v="179"/>
    <x v="179"/>
    <s v="CHARGES"/>
    <x v="0"/>
    <s v="3212.002"/>
    <s v="Intérêts bonifiés/trop perçu acompte C/C"/>
    <n v="0.01"/>
    <n v="0"/>
    <n v="3212"/>
  </r>
  <r>
    <x v="0"/>
    <x v="2"/>
    <x v="2"/>
    <x v="213"/>
    <x v="179"/>
    <x v="179"/>
    <s v="CHARGES"/>
    <x v="1"/>
    <s v="3301.001"/>
    <s v="Défalcations, abandons de solde PP et IS"/>
    <n v="0.55000000000000004"/>
    <n v="0"/>
    <n v="3301"/>
  </r>
  <r>
    <x v="0"/>
    <x v="2"/>
    <x v="2"/>
    <x v="213"/>
    <x v="179"/>
    <x v="179"/>
    <s v="CHARGES"/>
    <x v="0"/>
    <s v="3212.004"/>
    <s v="Intérêts rémun./perçu trop tôt sur acomptes C/C"/>
    <n v="7.0000000000000007E-2"/>
    <n v="0"/>
    <n v="3212"/>
  </r>
  <r>
    <x v="0"/>
    <x v="2"/>
    <x v="2"/>
    <x v="213"/>
    <x v="179"/>
    <x v="179"/>
    <s v="CHARGES"/>
    <x v="1"/>
    <s v="3301.001"/>
    <s v="Défalcations, abandons de solde PP et IS"/>
    <n v="0.1"/>
    <n v="0"/>
    <n v="3301"/>
  </r>
  <r>
    <x v="0"/>
    <x v="2"/>
    <x v="2"/>
    <x v="213"/>
    <x v="179"/>
    <x v="179"/>
    <s v="CHARGES"/>
    <x v="1"/>
    <s v="3301.001"/>
    <s v="Défalcations, abandons de solde PP et IS"/>
    <n v="0.84"/>
    <n v="0"/>
    <n v="3301"/>
  </r>
  <r>
    <x v="0"/>
    <x v="2"/>
    <x v="2"/>
    <x v="213"/>
    <x v="179"/>
    <x v="179"/>
    <s v="CHARGES"/>
    <x v="0"/>
    <s v="3212.004"/>
    <s v="Intérêts rémun./perçu trop tôt sur acomptes C/C"/>
    <n v="9.5399999999999991"/>
    <n v="0"/>
    <n v="3212"/>
  </r>
  <r>
    <x v="0"/>
    <x v="2"/>
    <x v="2"/>
    <x v="213"/>
    <x v="179"/>
    <x v="179"/>
    <s v="CHARGES"/>
    <x v="0"/>
    <s v="3221.002"/>
    <s v="Intérêts compensatoires / créances en faveur ctb."/>
    <n v="2.21"/>
    <n v="0"/>
    <n v="3221"/>
  </r>
  <r>
    <x v="0"/>
    <x v="2"/>
    <x v="2"/>
    <x v="213"/>
    <x v="179"/>
    <x v="179"/>
    <s v="CHARGES"/>
    <x v="0"/>
    <s v="3221.002"/>
    <s v="Intérêts compensatoires / créances en faveur ctb."/>
    <n v="0.02"/>
    <n v="0"/>
    <n v="3221"/>
  </r>
  <r>
    <x v="0"/>
    <x v="2"/>
    <x v="2"/>
    <x v="213"/>
    <x v="179"/>
    <x v="179"/>
    <s v="REVENUS"/>
    <x v="2"/>
    <s v="4001.001"/>
    <s v="Impôt revenu"/>
    <n v="0"/>
    <n v="2460214.1"/>
    <n v="4001"/>
  </r>
  <r>
    <x v="0"/>
    <x v="2"/>
    <x v="2"/>
    <x v="213"/>
    <x v="179"/>
    <x v="179"/>
    <s v="REVENUS"/>
    <x v="2"/>
    <s v="4001.007"/>
    <s v="Acompte impôt sur revenu"/>
    <n v="0"/>
    <n v="-310927.89"/>
    <n v="4001"/>
  </r>
  <r>
    <x v="0"/>
    <x v="2"/>
    <x v="2"/>
    <x v="213"/>
    <x v="179"/>
    <x v="179"/>
    <s v="REVENUS"/>
    <x v="9"/>
    <s v="4031.001"/>
    <s v="Impôt sur les gains immobiliers"/>
    <n v="0"/>
    <n v="93291.5"/>
    <n v="4031"/>
  </r>
  <r>
    <x v="0"/>
    <x v="2"/>
    <x v="2"/>
    <x v="213"/>
    <x v="179"/>
    <x v="179"/>
    <s v="REVENUS"/>
    <x v="6"/>
    <s v="4211.001"/>
    <s v="Intérêts de retard sur factures"/>
    <n v="0"/>
    <n v="12808.94"/>
    <n v="4211"/>
  </r>
  <r>
    <x v="0"/>
    <x v="2"/>
    <x v="2"/>
    <x v="213"/>
    <x v="179"/>
    <x v="179"/>
    <s v="REVENUS"/>
    <x v="3"/>
    <s v="4002.001"/>
    <s v="Impôt ordinaire s/fortune PP"/>
    <n v="0"/>
    <n v="445698.7"/>
    <n v="4002"/>
  </r>
  <r>
    <x v="0"/>
    <x v="2"/>
    <x v="2"/>
    <x v="213"/>
    <x v="179"/>
    <x v="179"/>
    <s v="REVENUS"/>
    <x v="3"/>
    <s v="4002.007"/>
    <s v="Acompte impôt sur fortune"/>
    <n v="0"/>
    <n v="-68820.66"/>
    <n v="4002"/>
  </r>
  <r>
    <x v="0"/>
    <x v="2"/>
    <x v="2"/>
    <x v="213"/>
    <x v="179"/>
    <x v="179"/>
    <s v="REVENUS"/>
    <x v="6"/>
    <s v="4211.002"/>
    <s v="Intérêts de retard sur acomptes"/>
    <n v="0"/>
    <n v="26521.05"/>
    <n v="4211"/>
  </r>
  <r>
    <x v="0"/>
    <x v="2"/>
    <x v="2"/>
    <x v="213"/>
    <x v="179"/>
    <x v="179"/>
    <s v="REVENUS"/>
    <x v="6"/>
    <s v="4221.003"/>
    <s v="Intérêts compensat. / acomptes en faveur du fisc"/>
    <n v="0"/>
    <n v="583.47"/>
    <n v="4221"/>
  </r>
  <r>
    <x v="0"/>
    <x v="2"/>
    <x v="2"/>
    <x v="213"/>
    <x v="179"/>
    <x v="179"/>
    <s v="REVENUS"/>
    <x v="2"/>
    <s v="4001.002"/>
    <s v="Impôt complément s/revenu PP"/>
    <n v="0"/>
    <n v="886347.75"/>
    <n v="4001"/>
  </r>
  <r>
    <x v="0"/>
    <x v="2"/>
    <x v="2"/>
    <x v="213"/>
    <x v="179"/>
    <x v="179"/>
    <s v="REVENUS"/>
    <x v="5"/>
    <s v="4061.000"/>
    <s v="Impôt sur les chiens"/>
    <n v="0"/>
    <n v="5150"/>
    <n v="4061"/>
  </r>
  <r>
    <x v="0"/>
    <x v="2"/>
    <x v="2"/>
    <x v="213"/>
    <x v="179"/>
    <x v="179"/>
    <s v="REVENUS"/>
    <x v="11"/>
    <s v="4198.000"/>
    <s v="Contributions communales"/>
    <n v="0"/>
    <n v="483444.85"/>
    <n v="4198"/>
  </r>
  <r>
    <x v="0"/>
    <x v="2"/>
    <x v="2"/>
    <x v="213"/>
    <x v="179"/>
    <x v="179"/>
    <s v="REVENUS"/>
    <x v="2"/>
    <s v="4001.003"/>
    <s v="Impôt s/prest. cap. PP"/>
    <n v="0"/>
    <n v="132517"/>
    <n v="4001"/>
  </r>
  <r>
    <x v="0"/>
    <x v="2"/>
    <x v="2"/>
    <x v="213"/>
    <x v="179"/>
    <x v="179"/>
    <s v="REVENUS"/>
    <x v="10"/>
    <s v="4041.001"/>
    <s v="Droits de mutation"/>
    <n v="0"/>
    <n v="180438.5"/>
    <n v="4041"/>
  </r>
  <r>
    <x v="0"/>
    <x v="2"/>
    <x v="2"/>
    <x v="213"/>
    <x v="179"/>
    <x v="179"/>
    <s v="REVENUS"/>
    <x v="3"/>
    <s v="4002.002"/>
    <s v="Impôt complémentaire s/fortune PP"/>
    <n v="0"/>
    <n v="144937.4"/>
    <n v="4002"/>
  </r>
  <r>
    <x v="0"/>
    <x v="2"/>
    <x v="2"/>
    <x v="213"/>
    <x v="179"/>
    <x v="179"/>
    <s v="REVENUS"/>
    <x v="7"/>
    <s v="4184.000"/>
    <s v="Frais de poursuite"/>
    <n v="0"/>
    <n v="2670.42"/>
    <n v="4184"/>
  </r>
  <r>
    <x v="0"/>
    <x v="2"/>
    <x v="2"/>
    <x v="213"/>
    <x v="179"/>
    <x v="179"/>
    <s v="REVENUS"/>
    <x v="6"/>
    <s v="4221.002"/>
    <s v="Intérêts compensat. sur impôts distincts"/>
    <n v="0"/>
    <n v="23.09"/>
    <n v="4221"/>
  </r>
  <r>
    <x v="0"/>
    <x v="2"/>
    <x v="2"/>
    <x v="213"/>
    <x v="179"/>
    <x v="179"/>
    <s v="REVENUS"/>
    <x v="2"/>
    <s v="4001.007"/>
    <s v="Acompte impôt sur revenu"/>
    <n v="0"/>
    <n v="645.95000000000005"/>
    <n v="4001"/>
  </r>
  <r>
    <x v="0"/>
    <x v="2"/>
    <x v="2"/>
    <x v="213"/>
    <x v="179"/>
    <x v="179"/>
    <s v="REVENUS"/>
    <x v="3"/>
    <s v="4002.007"/>
    <s v="Acompte impôt sur fortune"/>
    <n v="0"/>
    <n v="38.85"/>
    <n v="4002"/>
  </r>
  <r>
    <x v="0"/>
    <x v="2"/>
    <x v="2"/>
    <x v="213"/>
    <x v="179"/>
    <x v="179"/>
    <s v="REVENUS"/>
    <x v="2"/>
    <s v="4001.007"/>
    <s v="Acompte impôt sur revenu"/>
    <n v="0"/>
    <n v="-1317.1"/>
    <n v="4001"/>
  </r>
  <r>
    <x v="0"/>
    <x v="2"/>
    <x v="2"/>
    <x v="213"/>
    <x v="179"/>
    <x v="179"/>
    <s v="REVENUS"/>
    <x v="2"/>
    <s v="4001.001"/>
    <s v="Impôt revenu"/>
    <n v="0"/>
    <n v="1962.9"/>
    <n v="4001"/>
  </r>
  <r>
    <x v="0"/>
    <x v="2"/>
    <x v="2"/>
    <x v="213"/>
    <x v="179"/>
    <x v="179"/>
    <s v="REVENUS"/>
    <x v="3"/>
    <s v="4002.001"/>
    <s v="Impôt ordinaire s/fortune PP"/>
    <n v="0"/>
    <n v="67.75"/>
    <n v="4002"/>
  </r>
  <r>
    <x v="0"/>
    <x v="2"/>
    <x v="2"/>
    <x v="213"/>
    <x v="179"/>
    <x v="179"/>
    <s v="REVENUS"/>
    <x v="6"/>
    <s v="4221.003"/>
    <s v="Intérêts compensat. / acomptes en faveur du fisc"/>
    <n v="0"/>
    <n v="0.11"/>
    <n v="4221"/>
  </r>
  <r>
    <x v="0"/>
    <x v="2"/>
    <x v="2"/>
    <x v="213"/>
    <x v="179"/>
    <x v="179"/>
    <s v="REVENUS"/>
    <x v="3"/>
    <s v="4002.002"/>
    <s v="Impôt complémentaire s/fortune PP"/>
    <n v="0"/>
    <n v="-21.5"/>
    <n v="4002"/>
  </r>
  <r>
    <x v="0"/>
    <x v="2"/>
    <x v="2"/>
    <x v="213"/>
    <x v="179"/>
    <x v="179"/>
    <s v="REVENUS"/>
    <x v="6"/>
    <s v="4211.001"/>
    <s v="Intérêts de retard sur factures"/>
    <n v="0"/>
    <n v="-0.09"/>
    <n v="4211"/>
  </r>
  <r>
    <x v="0"/>
    <x v="2"/>
    <x v="2"/>
    <x v="213"/>
    <x v="179"/>
    <x v="179"/>
    <s v="REVENUS"/>
    <x v="12"/>
    <s v="4004.007"/>
    <s v="Acompte spécial étrangers"/>
    <n v="0"/>
    <n v="-335"/>
    <n v="4004"/>
  </r>
  <r>
    <x v="0"/>
    <x v="2"/>
    <x v="2"/>
    <x v="213"/>
    <x v="179"/>
    <x v="179"/>
    <s v="REVENUS"/>
    <x v="2"/>
    <s v="4001.007"/>
    <s v="Acompte impôt sur revenu"/>
    <n v="0"/>
    <n v="656.77"/>
    <n v="4001"/>
  </r>
  <r>
    <x v="0"/>
    <x v="2"/>
    <x v="2"/>
    <x v="213"/>
    <x v="179"/>
    <x v="179"/>
    <s v="REVENUS"/>
    <x v="3"/>
    <s v="4002.007"/>
    <s v="Acompte impôt sur fortune"/>
    <n v="0"/>
    <n v="-88.77"/>
    <n v="4002"/>
  </r>
  <r>
    <x v="0"/>
    <x v="2"/>
    <x v="2"/>
    <x v="213"/>
    <x v="179"/>
    <x v="179"/>
    <s v="REVENUS"/>
    <x v="2"/>
    <s v="4001.007"/>
    <s v="Acompte impôt sur revenu"/>
    <n v="0"/>
    <n v="2184.8000000000002"/>
    <n v="4001"/>
  </r>
  <r>
    <x v="0"/>
    <x v="2"/>
    <x v="2"/>
    <x v="213"/>
    <x v="179"/>
    <x v="179"/>
    <s v="REVENUS"/>
    <x v="2"/>
    <s v="4001.007"/>
    <s v="Acompte impôt sur revenu"/>
    <n v="0"/>
    <n v="4481.67"/>
    <n v="4001"/>
  </r>
  <r>
    <x v="0"/>
    <x v="2"/>
    <x v="2"/>
    <x v="213"/>
    <x v="179"/>
    <x v="179"/>
    <s v="REVENUS"/>
    <x v="3"/>
    <s v="4002.007"/>
    <s v="Acompte impôt sur fortune"/>
    <n v="0"/>
    <n v="2118.39"/>
    <n v="4002"/>
  </r>
  <r>
    <x v="0"/>
    <x v="2"/>
    <x v="2"/>
    <x v="213"/>
    <x v="179"/>
    <x v="179"/>
    <s v="REVENUS"/>
    <x v="2"/>
    <s v="4001.001"/>
    <s v="Impôt revenu"/>
    <n v="0"/>
    <n v="658.8"/>
    <n v="4001"/>
  </r>
  <r>
    <x v="0"/>
    <x v="2"/>
    <x v="2"/>
    <x v="213"/>
    <x v="179"/>
    <x v="179"/>
    <s v="REVENUS"/>
    <x v="6"/>
    <s v="4221.003"/>
    <s v="Intérêts compensat. / acomptes en faveur du fisc"/>
    <n v="0"/>
    <n v="0.25"/>
    <n v="4221"/>
  </r>
  <r>
    <x v="0"/>
    <x v="2"/>
    <x v="2"/>
    <x v="213"/>
    <x v="179"/>
    <x v="179"/>
    <s v="REVENUS"/>
    <x v="6"/>
    <s v="4211.001"/>
    <s v="Intérêts de retard sur factures"/>
    <n v="0"/>
    <n v="30.89"/>
    <n v="4211"/>
  </r>
  <r>
    <x v="0"/>
    <x v="2"/>
    <x v="2"/>
    <x v="213"/>
    <x v="179"/>
    <x v="179"/>
    <s v="REVENUS"/>
    <x v="2"/>
    <s v="4001.001"/>
    <s v="Impôt revenu"/>
    <n v="0"/>
    <n v="0"/>
    <n v="4001"/>
  </r>
  <r>
    <x v="0"/>
    <x v="2"/>
    <x v="2"/>
    <x v="213"/>
    <x v="179"/>
    <x v="179"/>
    <s v="REVENUS"/>
    <x v="3"/>
    <s v="4002.001"/>
    <s v="Impôt ordinaire s/fortune PP"/>
    <n v="0"/>
    <n v="0"/>
    <n v="4002"/>
  </r>
  <r>
    <x v="0"/>
    <x v="2"/>
    <x v="2"/>
    <x v="213"/>
    <x v="179"/>
    <x v="179"/>
    <s v="REVENUS"/>
    <x v="6"/>
    <s v="4221.003"/>
    <s v="Intérêts compensat. / acomptes en faveur du fisc"/>
    <n v="0"/>
    <n v="0.1"/>
    <n v="4221"/>
  </r>
  <r>
    <x v="0"/>
    <x v="2"/>
    <x v="2"/>
    <x v="213"/>
    <x v="179"/>
    <x v="179"/>
    <s v="REVENUS"/>
    <x v="6"/>
    <s v="4211.002"/>
    <s v="Intérêts de retard sur acomptes"/>
    <n v="0"/>
    <n v="0.03"/>
    <n v="4211"/>
  </r>
  <r>
    <x v="0"/>
    <x v="2"/>
    <x v="2"/>
    <x v="213"/>
    <x v="179"/>
    <x v="179"/>
    <s v="REVENUS"/>
    <x v="12"/>
    <s v="4004.000"/>
    <s v="Impôt spécial étrangers"/>
    <n v="0"/>
    <n v="14458.7"/>
    <n v="4004"/>
  </r>
  <r>
    <x v="0"/>
    <x v="2"/>
    <x v="2"/>
    <x v="213"/>
    <x v="179"/>
    <x v="179"/>
    <s v="REVENUS"/>
    <x v="6"/>
    <s v="4211.001"/>
    <s v="Intérêts de retard sur factures"/>
    <n v="0"/>
    <n v="0.3"/>
    <n v="4211"/>
  </r>
  <r>
    <x v="0"/>
    <x v="2"/>
    <x v="2"/>
    <x v="213"/>
    <x v="179"/>
    <x v="179"/>
    <s v="REVENUS"/>
    <x v="2"/>
    <s v="4001.002"/>
    <s v="Impôt complément s/revenu PP"/>
    <n v="0"/>
    <n v="148.6"/>
    <n v="4001"/>
  </r>
  <r>
    <x v="0"/>
    <x v="2"/>
    <x v="2"/>
    <x v="213"/>
    <x v="179"/>
    <x v="179"/>
    <s v="REVENUS"/>
    <x v="3"/>
    <s v="4002.002"/>
    <s v="Impôt complémentaire s/fortune PP"/>
    <n v="0"/>
    <n v="31.65"/>
    <n v="4002"/>
  </r>
  <r>
    <x v="0"/>
    <x v="2"/>
    <x v="2"/>
    <x v="213"/>
    <x v="179"/>
    <x v="179"/>
    <s v="REVENUS"/>
    <x v="2"/>
    <s v="4001.001"/>
    <s v="Impôt revenu"/>
    <n v="0"/>
    <n v="3216.25"/>
    <n v="4001"/>
  </r>
  <r>
    <x v="0"/>
    <x v="2"/>
    <x v="2"/>
    <x v="213"/>
    <x v="179"/>
    <x v="179"/>
    <s v="REVENUS"/>
    <x v="3"/>
    <s v="4002.001"/>
    <s v="Impôt ordinaire s/fortune PP"/>
    <n v="0"/>
    <n v="2112.4499999999998"/>
    <n v="4002"/>
  </r>
  <r>
    <x v="0"/>
    <x v="2"/>
    <x v="2"/>
    <x v="213"/>
    <x v="179"/>
    <x v="179"/>
    <s v="REVENUS"/>
    <x v="6"/>
    <s v="4211.002"/>
    <s v="Intérêts de retard sur acomptes"/>
    <n v="0"/>
    <n v="68.78"/>
    <n v="4211"/>
  </r>
  <r>
    <x v="0"/>
    <x v="2"/>
    <x v="2"/>
    <x v="213"/>
    <x v="179"/>
    <x v="179"/>
    <s v="REVENUS"/>
    <x v="6"/>
    <s v="4221.003"/>
    <s v="Intérêts compensat. / acomptes en faveur du fisc"/>
    <n v="0"/>
    <n v="0.84"/>
    <n v="4221"/>
  </r>
  <r>
    <x v="0"/>
    <x v="2"/>
    <x v="2"/>
    <x v="213"/>
    <x v="179"/>
    <x v="179"/>
    <s v="REVENUS"/>
    <x v="3"/>
    <s v="4002.007"/>
    <s v="Acompte impôt sur fortune"/>
    <n v="0"/>
    <n v="376"/>
    <n v="4002"/>
  </r>
  <r>
    <x v="0"/>
    <x v="2"/>
    <x v="2"/>
    <x v="213"/>
    <x v="179"/>
    <x v="179"/>
    <s v="REVENUS"/>
    <x v="3"/>
    <s v="4002.007"/>
    <s v="Acompte impôt sur fortune"/>
    <n v="0"/>
    <n v="-40.950000000000003"/>
    <n v="4002"/>
  </r>
  <r>
    <x v="0"/>
    <x v="2"/>
    <x v="2"/>
    <x v="213"/>
    <x v="179"/>
    <x v="179"/>
    <s v="REVENUS"/>
    <x v="2"/>
    <s v="4001.001"/>
    <s v="Impôt revenu"/>
    <n v="0"/>
    <n v="2503.9"/>
    <n v="4001"/>
  </r>
  <r>
    <x v="0"/>
    <x v="2"/>
    <x v="2"/>
    <x v="213"/>
    <x v="179"/>
    <x v="179"/>
    <s v="REVENUS"/>
    <x v="3"/>
    <s v="4002.001"/>
    <s v="Impôt ordinaire s/fortune PP"/>
    <n v="0"/>
    <n v="1013.35"/>
    <n v="4002"/>
  </r>
  <r>
    <x v="0"/>
    <x v="2"/>
    <x v="2"/>
    <x v="213"/>
    <x v="179"/>
    <x v="179"/>
    <s v="REVENUS"/>
    <x v="6"/>
    <s v="4221.003"/>
    <s v="Intérêts compensat. / acomptes en faveur du fisc"/>
    <n v="0"/>
    <n v="6.69"/>
    <n v="4221"/>
  </r>
  <r>
    <x v="0"/>
    <x v="2"/>
    <x v="2"/>
    <x v="214"/>
    <x v="180"/>
    <x v="180"/>
    <s v="CHARGES"/>
    <x v="0"/>
    <s v="3212.002"/>
    <s v="Intérêts bonifiés/trop perçu acompte C/C"/>
    <n v="50.85"/>
    <n v="0"/>
    <n v="3212"/>
  </r>
  <r>
    <x v="0"/>
    <x v="2"/>
    <x v="2"/>
    <x v="214"/>
    <x v="180"/>
    <x v="180"/>
    <s v="CHARGES"/>
    <x v="0"/>
    <s v="3212.004"/>
    <s v="Intérêts rémun./perçu trop tôt sur acomptes C/C"/>
    <n v="532.61"/>
    <n v="0"/>
    <n v="3212"/>
  </r>
  <r>
    <x v="0"/>
    <x v="2"/>
    <x v="2"/>
    <x v="214"/>
    <x v="180"/>
    <x v="180"/>
    <s v="CHARGES"/>
    <x v="0"/>
    <s v="3221.002"/>
    <s v="Intérêts compensatoires / créances en faveur ctb."/>
    <n v="251.42"/>
    <n v="0"/>
    <n v="3221"/>
  </r>
  <r>
    <x v="0"/>
    <x v="2"/>
    <x v="2"/>
    <x v="214"/>
    <x v="180"/>
    <x v="180"/>
    <s v="CHARGES"/>
    <x v="1"/>
    <s v="3301.001"/>
    <s v="Défalcations, abandons de solde PP et IS"/>
    <n v="1433.64"/>
    <n v="0"/>
    <n v="3301"/>
  </r>
  <r>
    <x v="0"/>
    <x v="2"/>
    <x v="2"/>
    <x v="214"/>
    <x v="180"/>
    <x v="180"/>
    <s v="CHARGES"/>
    <x v="0"/>
    <s v="3212.004"/>
    <s v="Intérêts rémun./perçu trop tôt sur acomptes C/C"/>
    <n v="0.01"/>
    <n v="0"/>
    <n v="3212"/>
  </r>
  <r>
    <x v="0"/>
    <x v="2"/>
    <x v="2"/>
    <x v="214"/>
    <x v="180"/>
    <x v="180"/>
    <s v="CHARGES"/>
    <x v="1"/>
    <s v="3301.001"/>
    <s v="Défalcations, abandons de solde PP et IS"/>
    <n v="0.01"/>
    <n v="0"/>
    <n v="3301"/>
  </r>
  <r>
    <x v="0"/>
    <x v="2"/>
    <x v="2"/>
    <x v="214"/>
    <x v="180"/>
    <x v="180"/>
    <s v="CHARGES"/>
    <x v="0"/>
    <s v="3221.002"/>
    <s v="Intérêts compensatoires / créances en faveur ctb."/>
    <n v="3.76"/>
    <n v="0"/>
    <n v="3221"/>
  </r>
  <r>
    <x v="0"/>
    <x v="2"/>
    <x v="2"/>
    <x v="214"/>
    <x v="180"/>
    <x v="180"/>
    <s v="REVENUS"/>
    <x v="2"/>
    <s v="4001.001"/>
    <s v="Impôt revenu"/>
    <n v="0"/>
    <n v="2934670.35"/>
    <n v="4001"/>
  </r>
  <r>
    <x v="0"/>
    <x v="2"/>
    <x v="2"/>
    <x v="214"/>
    <x v="180"/>
    <x v="180"/>
    <s v="REVENUS"/>
    <x v="2"/>
    <s v="4001.002"/>
    <s v="Impôt complément s/revenu PP"/>
    <n v="0"/>
    <n v="433291.45"/>
    <n v="4001"/>
  </r>
  <r>
    <x v="0"/>
    <x v="2"/>
    <x v="2"/>
    <x v="214"/>
    <x v="180"/>
    <x v="180"/>
    <s v="REVENUS"/>
    <x v="2"/>
    <s v="4001.007"/>
    <s v="Acompte impôt sur revenu"/>
    <n v="0"/>
    <n v="494186.71"/>
    <n v="4001"/>
  </r>
  <r>
    <x v="0"/>
    <x v="2"/>
    <x v="2"/>
    <x v="214"/>
    <x v="180"/>
    <x v="180"/>
    <s v="REVENUS"/>
    <x v="3"/>
    <s v="4002.001"/>
    <s v="Impôt ordinaire s/fortune PP"/>
    <n v="0"/>
    <n v="356179.95"/>
    <n v="4002"/>
  </r>
  <r>
    <x v="0"/>
    <x v="2"/>
    <x v="2"/>
    <x v="214"/>
    <x v="180"/>
    <x v="180"/>
    <s v="REVENUS"/>
    <x v="3"/>
    <s v="4002.002"/>
    <s v="Impôt complémentaire s/fortune PP"/>
    <n v="0"/>
    <n v="93466.4"/>
    <n v="4002"/>
  </r>
  <r>
    <x v="0"/>
    <x v="2"/>
    <x v="2"/>
    <x v="214"/>
    <x v="180"/>
    <x v="180"/>
    <s v="REVENUS"/>
    <x v="3"/>
    <s v="4002.007"/>
    <s v="Acompte impôt sur fortune"/>
    <n v="0"/>
    <n v="1153.5"/>
    <n v="4002"/>
  </r>
  <r>
    <x v="0"/>
    <x v="2"/>
    <x v="2"/>
    <x v="214"/>
    <x v="180"/>
    <x v="180"/>
    <s v="REVENUS"/>
    <x v="10"/>
    <s v="4041.001"/>
    <s v="Droits de mutation"/>
    <n v="0"/>
    <n v="220026.35"/>
    <n v="4041"/>
  </r>
  <r>
    <x v="0"/>
    <x v="2"/>
    <x v="2"/>
    <x v="214"/>
    <x v="180"/>
    <x v="180"/>
    <s v="REVENUS"/>
    <x v="11"/>
    <s v="4198.000"/>
    <s v="Contributions communales"/>
    <n v="0"/>
    <n v="393190.8"/>
    <n v="4198"/>
  </r>
  <r>
    <x v="0"/>
    <x v="2"/>
    <x v="2"/>
    <x v="214"/>
    <x v="180"/>
    <x v="180"/>
    <s v="REVENUS"/>
    <x v="6"/>
    <s v="4211.001"/>
    <s v="Intérêts de retard sur factures"/>
    <n v="0"/>
    <n v="7360.33"/>
    <n v="4211"/>
  </r>
  <r>
    <x v="0"/>
    <x v="2"/>
    <x v="2"/>
    <x v="214"/>
    <x v="180"/>
    <x v="180"/>
    <s v="REVENUS"/>
    <x v="6"/>
    <s v="4211.002"/>
    <s v="Intérêts de retard sur acomptes"/>
    <n v="0"/>
    <n v="14462.61"/>
    <n v="4211"/>
  </r>
  <r>
    <x v="0"/>
    <x v="2"/>
    <x v="2"/>
    <x v="214"/>
    <x v="180"/>
    <x v="180"/>
    <s v="REVENUS"/>
    <x v="6"/>
    <s v="4221.003"/>
    <s v="Intérêts compensat. / acomptes en faveur du fisc"/>
    <n v="0"/>
    <n v="394.12"/>
    <n v="4221"/>
  </r>
  <r>
    <x v="0"/>
    <x v="2"/>
    <x v="2"/>
    <x v="214"/>
    <x v="180"/>
    <x v="180"/>
    <s v="REVENUS"/>
    <x v="9"/>
    <s v="4031.001"/>
    <s v="Impôt sur les gains immobiliers"/>
    <n v="0"/>
    <n v="63010.45"/>
    <n v="4031"/>
  </r>
  <r>
    <x v="0"/>
    <x v="2"/>
    <x v="2"/>
    <x v="214"/>
    <x v="180"/>
    <x v="180"/>
    <s v="REVENUS"/>
    <x v="2"/>
    <s v="4001.003"/>
    <s v="Impôt s/prest. cap. PP"/>
    <n v="0"/>
    <n v="26665.65"/>
    <n v="4001"/>
  </r>
  <r>
    <x v="0"/>
    <x v="2"/>
    <x v="2"/>
    <x v="214"/>
    <x v="180"/>
    <x v="180"/>
    <s v="REVENUS"/>
    <x v="7"/>
    <s v="4184.000"/>
    <s v="Frais de poursuite"/>
    <n v="0"/>
    <n v="703.73"/>
    <n v="4184"/>
  </r>
  <r>
    <x v="0"/>
    <x v="2"/>
    <x v="2"/>
    <x v="214"/>
    <x v="180"/>
    <x v="180"/>
    <s v="REVENUS"/>
    <x v="3"/>
    <s v="4002.007"/>
    <s v="Acompte impôt sur fortune"/>
    <n v="0"/>
    <n v="-438.4"/>
    <n v="4002"/>
  </r>
  <r>
    <x v="0"/>
    <x v="2"/>
    <x v="2"/>
    <x v="214"/>
    <x v="180"/>
    <x v="180"/>
    <s v="REVENUS"/>
    <x v="2"/>
    <s v="4001.007"/>
    <s v="Acompte impôt sur revenu"/>
    <n v="0"/>
    <n v="464.15"/>
    <n v="4001"/>
  </r>
  <r>
    <x v="0"/>
    <x v="2"/>
    <x v="2"/>
    <x v="214"/>
    <x v="180"/>
    <x v="180"/>
    <s v="REVENUS"/>
    <x v="3"/>
    <s v="4002.007"/>
    <s v="Acompte impôt sur fortune"/>
    <n v="0"/>
    <n v="13.45"/>
    <n v="4002"/>
  </r>
  <r>
    <x v="0"/>
    <x v="2"/>
    <x v="2"/>
    <x v="214"/>
    <x v="180"/>
    <x v="180"/>
    <s v="REVENUS"/>
    <x v="2"/>
    <s v="4001.007"/>
    <s v="Acompte impôt sur revenu"/>
    <n v="0"/>
    <n v="-14.65"/>
    <n v="4001"/>
  </r>
  <r>
    <x v="0"/>
    <x v="2"/>
    <x v="2"/>
    <x v="214"/>
    <x v="180"/>
    <x v="180"/>
    <s v="REVENUS"/>
    <x v="3"/>
    <s v="4002.007"/>
    <s v="Acompte impôt sur fortune"/>
    <n v="0"/>
    <n v="-646.4"/>
    <n v="4002"/>
  </r>
  <r>
    <x v="0"/>
    <x v="2"/>
    <x v="2"/>
    <x v="214"/>
    <x v="180"/>
    <x v="180"/>
    <s v="REVENUS"/>
    <x v="6"/>
    <s v="4221.002"/>
    <s v="Intérêts compensat. sur impôts distincts"/>
    <n v="0"/>
    <n v="7.31"/>
    <n v="4221"/>
  </r>
  <r>
    <x v="0"/>
    <x v="2"/>
    <x v="2"/>
    <x v="214"/>
    <x v="180"/>
    <x v="180"/>
    <s v="REVENUS"/>
    <x v="3"/>
    <s v="4002.001"/>
    <s v="Impôt ordinaire s/fortune PP"/>
    <n v="0"/>
    <n v="286.60000000000002"/>
    <n v="4002"/>
  </r>
  <r>
    <x v="0"/>
    <x v="2"/>
    <x v="2"/>
    <x v="214"/>
    <x v="180"/>
    <x v="180"/>
    <s v="REVENUS"/>
    <x v="2"/>
    <s v="4001.001"/>
    <s v="Impôt revenu"/>
    <n v="0"/>
    <n v="459.3"/>
    <n v="4001"/>
  </r>
  <r>
    <x v="0"/>
    <x v="2"/>
    <x v="2"/>
    <x v="214"/>
    <x v="180"/>
    <x v="180"/>
    <s v="REVENUS"/>
    <x v="3"/>
    <s v="4002.001"/>
    <s v="Impôt ordinaire s/fortune PP"/>
    <n v="0"/>
    <n v="1067.9000000000001"/>
    <n v="4002"/>
  </r>
  <r>
    <x v="0"/>
    <x v="2"/>
    <x v="2"/>
    <x v="214"/>
    <x v="180"/>
    <x v="180"/>
    <s v="REVENUS"/>
    <x v="6"/>
    <s v="4221.003"/>
    <s v="Intérêts compensat. / acomptes en faveur du fisc"/>
    <n v="0"/>
    <n v="0.01"/>
    <n v="4221"/>
  </r>
  <r>
    <x v="0"/>
    <x v="2"/>
    <x v="2"/>
    <x v="214"/>
    <x v="180"/>
    <x v="180"/>
    <s v="REVENUS"/>
    <x v="6"/>
    <s v="4211.001"/>
    <s v="Intérêts de retard sur factures"/>
    <n v="0"/>
    <n v="2.35"/>
    <n v="4211"/>
  </r>
  <r>
    <x v="0"/>
    <x v="2"/>
    <x v="2"/>
    <x v="214"/>
    <x v="180"/>
    <x v="180"/>
    <s v="REVENUS"/>
    <x v="5"/>
    <s v="4061.000"/>
    <s v="Impôt sur les chiens"/>
    <n v="0"/>
    <n v="5080"/>
    <n v="4061"/>
  </r>
  <r>
    <x v="0"/>
    <x v="2"/>
    <x v="2"/>
    <x v="214"/>
    <x v="180"/>
    <x v="180"/>
    <s v="REVENUS"/>
    <x v="2"/>
    <s v="4001.005"/>
    <s v="Amende de soustract. Impôt"/>
    <n v="0"/>
    <n v="14800"/>
    <n v="4001"/>
  </r>
  <r>
    <x v="0"/>
    <x v="2"/>
    <x v="2"/>
    <x v="214"/>
    <x v="180"/>
    <x v="180"/>
    <s v="REVENUS"/>
    <x v="9"/>
    <s v="4031.002"/>
    <s v="Complément impôt sur les gains immobiliers"/>
    <n v="0"/>
    <n v="8711.1"/>
    <n v="4031"/>
  </r>
  <r>
    <x v="0"/>
    <x v="2"/>
    <x v="2"/>
    <x v="214"/>
    <x v="180"/>
    <x v="180"/>
    <s v="REVENUS"/>
    <x v="2"/>
    <s v="4001.001"/>
    <s v="Impôt revenu"/>
    <n v="0"/>
    <n v="898.75"/>
    <n v="4001"/>
  </r>
  <r>
    <x v="0"/>
    <x v="2"/>
    <x v="2"/>
    <x v="214"/>
    <x v="180"/>
    <x v="180"/>
    <s v="REVENUS"/>
    <x v="3"/>
    <s v="4002.001"/>
    <s v="Impôt ordinaire s/fortune PP"/>
    <n v="0"/>
    <n v="1353.55"/>
    <n v="4002"/>
  </r>
  <r>
    <x v="0"/>
    <x v="2"/>
    <x v="2"/>
    <x v="214"/>
    <x v="180"/>
    <x v="180"/>
    <s v="REVENUS"/>
    <x v="6"/>
    <s v="4211.002"/>
    <s v="Intérêts de retard sur acomptes"/>
    <n v="0"/>
    <n v="4.42"/>
    <n v="4211"/>
  </r>
  <r>
    <x v="0"/>
    <x v="2"/>
    <x v="2"/>
    <x v="214"/>
    <x v="180"/>
    <x v="180"/>
    <s v="REVENUS"/>
    <x v="6"/>
    <s v="4221.003"/>
    <s v="Intérêts compensat. / acomptes en faveur du fisc"/>
    <n v="0"/>
    <n v="0.05"/>
    <n v="4221"/>
  </r>
  <r>
    <x v="0"/>
    <x v="2"/>
    <x v="2"/>
    <x v="214"/>
    <x v="180"/>
    <x v="180"/>
    <s v="REVENUS"/>
    <x v="8"/>
    <s v="4091.001"/>
    <s v="Impôt récupéré après défalcations"/>
    <n v="0"/>
    <n v="653.21"/>
    <n v="4091"/>
  </r>
  <r>
    <x v="0"/>
    <x v="2"/>
    <x v="2"/>
    <x v="214"/>
    <x v="180"/>
    <x v="180"/>
    <s v="REVENUS"/>
    <x v="7"/>
    <s v="4184.000"/>
    <s v="Frais de poursuite"/>
    <n v="0"/>
    <n v="158.91999999999999"/>
    <n v="4184"/>
  </r>
  <r>
    <x v="0"/>
    <x v="2"/>
    <x v="2"/>
    <x v="215"/>
    <x v="181"/>
    <x v="181"/>
    <s v="CHARGES"/>
    <x v="1"/>
    <s v="3301.001"/>
    <s v="Défalcations, abandons de solde PP et IS"/>
    <n v="39820.22"/>
    <n v="0"/>
    <n v="3301"/>
  </r>
  <r>
    <x v="0"/>
    <x v="2"/>
    <x v="2"/>
    <x v="215"/>
    <x v="181"/>
    <x v="181"/>
    <s v="CHARGES"/>
    <x v="0"/>
    <s v="3212.004"/>
    <s v="Intérêts rémun./perçu trop tôt sur acomptes C/C"/>
    <n v="1149.03"/>
    <n v="0"/>
    <n v="3212"/>
  </r>
  <r>
    <x v="0"/>
    <x v="2"/>
    <x v="2"/>
    <x v="215"/>
    <x v="181"/>
    <x v="181"/>
    <s v="CHARGES"/>
    <x v="0"/>
    <s v="3221.002"/>
    <s v="Intérêts compensatoires / créances en faveur ctb."/>
    <n v="178.48"/>
    <n v="0"/>
    <n v="3221"/>
  </r>
  <r>
    <x v="0"/>
    <x v="2"/>
    <x v="2"/>
    <x v="215"/>
    <x v="181"/>
    <x v="181"/>
    <s v="CHARGES"/>
    <x v="0"/>
    <s v="3212.002"/>
    <s v="Intérêts bonifiés/trop perçu acompte C/C"/>
    <n v="5.19"/>
    <n v="0"/>
    <n v="3212"/>
  </r>
  <r>
    <x v="0"/>
    <x v="2"/>
    <x v="2"/>
    <x v="215"/>
    <x v="181"/>
    <x v="181"/>
    <s v="CHARGES"/>
    <x v="0"/>
    <s v="3212.004"/>
    <s v="Intérêts rémun./perçu trop tôt sur acomptes C/C"/>
    <n v="0.08"/>
    <n v="0"/>
    <n v="3212"/>
  </r>
  <r>
    <x v="0"/>
    <x v="2"/>
    <x v="2"/>
    <x v="215"/>
    <x v="181"/>
    <x v="181"/>
    <s v="CHARGES"/>
    <x v="0"/>
    <s v="3212.004"/>
    <s v="Intérêts rémun./perçu trop tôt sur acomptes C/C"/>
    <n v="0.08"/>
    <n v="0"/>
    <n v="3212"/>
  </r>
  <r>
    <x v="0"/>
    <x v="2"/>
    <x v="2"/>
    <x v="215"/>
    <x v="181"/>
    <x v="181"/>
    <s v="CHARGES"/>
    <x v="0"/>
    <s v="3221.002"/>
    <s v="Intérêts compensatoires / créances en faveur ctb."/>
    <n v="0.11"/>
    <n v="0"/>
    <n v="3221"/>
  </r>
  <r>
    <x v="0"/>
    <x v="2"/>
    <x v="2"/>
    <x v="215"/>
    <x v="181"/>
    <x v="181"/>
    <s v="CHARGES"/>
    <x v="1"/>
    <s v="3301.001"/>
    <s v="Défalcations, abandons de solde PP et IS"/>
    <n v="0.01"/>
    <n v="0"/>
    <n v="3301"/>
  </r>
  <r>
    <x v="0"/>
    <x v="2"/>
    <x v="2"/>
    <x v="215"/>
    <x v="181"/>
    <x v="181"/>
    <s v="CHARGES"/>
    <x v="0"/>
    <s v="3212.004"/>
    <s v="Intérêts rémun./perçu trop tôt sur acomptes C/C"/>
    <n v="0.16"/>
    <n v="0"/>
    <n v="3212"/>
  </r>
  <r>
    <x v="0"/>
    <x v="2"/>
    <x v="2"/>
    <x v="215"/>
    <x v="181"/>
    <x v="181"/>
    <s v="CHARGES"/>
    <x v="1"/>
    <s v="3301.001"/>
    <s v="Défalcations, abandons de solde PP et IS"/>
    <n v="0.35"/>
    <n v="0"/>
    <n v="3301"/>
  </r>
  <r>
    <x v="0"/>
    <x v="2"/>
    <x v="2"/>
    <x v="215"/>
    <x v="181"/>
    <x v="181"/>
    <s v="CHARGES"/>
    <x v="0"/>
    <s v="3212.004"/>
    <s v="Intérêts rémun./perçu trop tôt sur acomptes C/C"/>
    <n v="0.64"/>
    <n v="0"/>
    <n v="3212"/>
  </r>
  <r>
    <x v="0"/>
    <x v="2"/>
    <x v="2"/>
    <x v="215"/>
    <x v="181"/>
    <x v="181"/>
    <s v="CHARGES"/>
    <x v="1"/>
    <s v="3301.001"/>
    <s v="Défalcations, abandons de solde PP et IS"/>
    <n v="0"/>
    <n v="0"/>
    <n v="3301"/>
  </r>
  <r>
    <x v="0"/>
    <x v="2"/>
    <x v="2"/>
    <x v="215"/>
    <x v="181"/>
    <x v="181"/>
    <s v="CHARGES"/>
    <x v="0"/>
    <s v="3221.002"/>
    <s v="Intérêts compensatoires / créances en faveur ctb."/>
    <n v="0.12"/>
    <n v="0"/>
    <n v="3221"/>
  </r>
  <r>
    <x v="0"/>
    <x v="2"/>
    <x v="2"/>
    <x v="215"/>
    <x v="181"/>
    <x v="181"/>
    <s v="CHARGES"/>
    <x v="1"/>
    <s v="3301.001"/>
    <s v="Défalcations, abandons de solde PP et IS"/>
    <n v="4711.5200000000004"/>
    <n v="0"/>
    <n v="3301"/>
  </r>
  <r>
    <x v="0"/>
    <x v="2"/>
    <x v="2"/>
    <x v="215"/>
    <x v="181"/>
    <x v="181"/>
    <s v="CHARGES"/>
    <x v="0"/>
    <s v="3212.004"/>
    <s v="Intérêts rémun./perçu trop tôt sur acomptes C/C"/>
    <n v="1.19"/>
    <n v="0"/>
    <n v="3212"/>
  </r>
  <r>
    <x v="0"/>
    <x v="2"/>
    <x v="2"/>
    <x v="215"/>
    <x v="181"/>
    <x v="181"/>
    <s v="CHARGES"/>
    <x v="0"/>
    <s v="3221.002"/>
    <s v="Intérêts compensatoires / créances en faveur ctb."/>
    <n v="0.08"/>
    <n v="0"/>
    <n v="3221"/>
  </r>
  <r>
    <x v="0"/>
    <x v="2"/>
    <x v="2"/>
    <x v="215"/>
    <x v="181"/>
    <x v="181"/>
    <s v="REVENUS"/>
    <x v="2"/>
    <s v="4001.001"/>
    <s v="Impôt revenu"/>
    <n v="0"/>
    <n v="2927146.7"/>
    <n v="4001"/>
  </r>
  <r>
    <x v="0"/>
    <x v="2"/>
    <x v="2"/>
    <x v="215"/>
    <x v="181"/>
    <x v="181"/>
    <s v="REVENUS"/>
    <x v="2"/>
    <s v="4001.007"/>
    <s v="Acompte impôt sur revenu"/>
    <n v="0"/>
    <n v="318376.39"/>
    <n v="4001"/>
  </r>
  <r>
    <x v="0"/>
    <x v="2"/>
    <x v="2"/>
    <x v="215"/>
    <x v="181"/>
    <x v="181"/>
    <s v="REVENUS"/>
    <x v="3"/>
    <s v="4002.007"/>
    <s v="Acompte impôt sur fortune"/>
    <n v="0"/>
    <n v="91716.24"/>
    <n v="4002"/>
  </r>
  <r>
    <x v="0"/>
    <x v="2"/>
    <x v="2"/>
    <x v="215"/>
    <x v="181"/>
    <x v="181"/>
    <s v="REVENUS"/>
    <x v="6"/>
    <s v="4211.002"/>
    <s v="Intérêts de retard sur acomptes"/>
    <n v="0"/>
    <n v="13041.46"/>
    <n v="4211"/>
  </r>
  <r>
    <x v="0"/>
    <x v="2"/>
    <x v="2"/>
    <x v="215"/>
    <x v="181"/>
    <x v="181"/>
    <s v="REVENUS"/>
    <x v="6"/>
    <s v="4221.003"/>
    <s v="Intérêts compensat. / acomptes en faveur du fisc"/>
    <n v="0"/>
    <n v="380.96"/>
    <n v="4221"/>
  </r>
  <r>
    <x v="0"/>
    <x v="2"/>
    <x v="2"/>
    <x v="215"/>
    <x v="181"/>
    <x v="181"/>
    <s v="REVENUS"/>
    <x v="2"/>
    <s v="4001.003"/>
    <s v="Impôt s/prest. cap. PP"/>
    <n v="0"/>
    <n v="71691.649999999994"/>
    <n v="4001"/>
  </r>
  <r>
    <x v="0"/>
    <x v="2"/>
    <x v="2"/>
    <x v="215"/>
    <x v="181"/>
    <x v="181"/>
    <s v="REVENUS"/>
    <x v="6"/>
    <s v="4211.001"/>
    <s v="Intérêts de retard sur factures"/>
    <n v="0"/>
    <n v="13797.23"/>
    <n v="4211"/>
  </r>
  <r>
    <x v="0"/>
    <x v="2"/>
    <x v="2"/>
    <x v="215"/>
    <x v="181"/>
    <x v="181"/>
    <s v="REVENUS"/>
    <x v="3"/>
    <s v="4002.001"/>
    <s v="Impôt ordinaire s/fortune PP"/>
    <n v="0"/>
    <n v="454572.65"/>
    <n v="4002"/>
  </r>
  <r>
    <x v="0"/>
    <x v="2"/>
    <x v="2"/>
    <x v="215"/>
    <x v="181"/>
    <x v="181"/>
    <s v="REVENUS"/>
    <x v="3"/>
    <s v="4002.002"/>
    <s v="Impôt complémentaire s/fortune PP"/>
    <n v="0"/>
    <n v="197235.45"/>
    <n v="4002"/>
  </r>
  <r>
    <x v="0"/>
    <x v="2"/>
    <x v="2"/>
    <x v="215"/>
    <x v="181"/>
    <x v="181"/>
    <s v="REVENUS"/>
    <x v="10"/>
    <s v="4041.001"/>
    <s v="Droits de mutation"/>
    <n v="0"/>
    <n v="222602.95"/>
    <n v="4041"/>
  </r>
  <r>
    <x v="0"/>
    <x v="2"/>
    <x v="2"/>
    <x v="215"/>
    <x v="181"/>
    <x v="181"/>
    <s v="REVENUS"/>
    <x v="2"/>
    <s v="4001.002"/>
    <s v="Impôt complément s/revenu PP"/>
    <n v="0"/>
    <n v="685212.65"/>
    <n v="4001"/>
  </r>
  <r>
    <x v="0"/>
    <x v="2"/>
    <x v="2"/>
    <x v="215"/>
    <x v="181"/>
    <x v="181"/>
    <s v="REVENUS"/>
    <x v="7"/>
    <s v="4184.000"/>
    <s v="Frais de poursuite"/>
    <n v="0"/>
    <n v="1271.08"/>
    <n v="4184"/>
  </r>
  <r>
    <x v="0"/>
    <x v="2"/>
    <x v="2"/>
    <x v="215"/>
    <x v="181"/>
    <x v="181"/>
    <s v="REVENUS"/>
    <x v="11"/>
    <s v="4198.000"/>
    <s v="Contributions communales"/>
    <n v="0"/>
    <n v="335592"/>
    <n v="4198"/>
  </r>
  <r>
    <x v="0"/>
    <x v="2"/>
    <x v="2"/>
    <x v="215"/>
    <x v="181"/>
    <x v="181"/>
    <s v="REVENUS"/>
    <x v="2"/>
    <s v="4001.001"/>
    <s v="Impôt revenu"/>
    <n v="0"/>
    <n v="285.45"/>
    <n v="4001"/>
  </r>
  <r>
    <x v="0"/>
    <x v="2"/>
    <x v="2"/>
    <x v="215"/>
    <x v="181"/>
    <x v="181"/>
    <s v="REVENUS"/>
    <x v="3"/>
    <s v="4002.001"/>
    <s v="Impôt ordinaire s/fortune PP"/>
    <n v="0"/>
    <n v="154.65"/>
    <n v="4002"/>
  </r>
  <r>
    <x v="0"/>
    <x v="2"/>
    <x v="2"/>
    <x v="215"/>
    <x v="181"/>
    <x v="181"/>
    <s v="REVENUS"/>
    <x v="2"/>
    <s v="4001.007"/>
    <s v="Acompte impôt sur revenu"/>
    <n v="0"/>
    <n v="984.2"/>
    <n v="4001"/>
  </r>
  <r>
    <x v="0"/>
    <x v="2"/>
    <x v="2"/>
    <x v="215"/>
    <x v="181"/>
    <x v="181"/>
    <s v="REVENUS"/>
    <x v="3"/>
    <s v="4002.007"/>
    <s v="Acompte impôt sur fortune"/>
    <n v="0"/>
    <n v="-904.2"/>
    <n v="4002"/>
  </r>
  <r>
    <x v="0"/>
    <x v="2"/>
    <x v="2"/>
    <x v="215"/>
    <x v="181"/>
    <x v="181"/>
    <s v="REVENUS"/>
    <x v="6"/>
    <s v="4221.002"/>
    <s v="Intérêts compensat. sur impôts distincts"/>
    <n v="0"/>
    <n v="40.83"/>
    <n v="4221"/>
  </r>
  <r>
    <x v="0"/>
    <x v="2"/>
    <x v="2"/>
    <x v="215"/>
    <x v="181"/>
    <x v="181"/>
    <s v="REVENUS"/>
    <x v="2"/>
    <s v="4001.007"/>
    <s v="Acompte impôt sur revenu"/>
    <n v="0"/>
    <n v="-394.85"/>
    <n v="4001"/>
  </r>
  <r>
    <x v="0"/>
    <x v="2"/>
    <x v="2"/>
    <x v="215"/>
    <x v="181"/>
    <x v="181"/>
    <s v="REVENUS"/>
    <x v="3"/>
    <s v="4002.007"/>
    <s v="Acompte impôt sur fortune"/>
    <n v="0"/>
    <n v="-2.7"/>
    <n v="4002"/>
  </r>
  <r>
    <x v="0"/>
    <x v="2"/>
    <x v="2"/>
    <x v="215"/>
    <x v="181"/>
    <x v="181"/>
    <s v="REVENUS"/>
    <x v="12"/>
    <s v="4004.000"/>
    <s v="Impôt spécial étrangers"/>
    <n v="0"/>
    <n v="954042.6"/>
    <n v="4004"/>
  </r>
  <r>
    <x v="0"/>
    <x v="2"/>
    <x v="2"/>
    <x v="215"/>
    <x v="181"/>
    <x v="181"/>
    <s v="REVENUS"/>
    <x v="12"/>
    <s v="4004.007"/>
    <s v="Acompte spécial étrangers"/>
    <n v="0"/>
    <n v="-450562"/>
    <n v="4004"/>
  </r>
  <r>
    <x v="0"/>
    <x v="2"/>
    <x v="2"/>
    <x v="215"/>
    <x v="181"/>
    <x v="181"/>
    <s v="REVENUS"/>
    <x v="2"/>
    <s v="4001.007"/>
    <s v="Acompte impôt sur revenu"/>
    <n v="0"/>
    <n v="223.05"/>
    <n v="4001"/>
  </r>
  <r>
    <x v="0"/>
    <x v="2"/>
    <x v="2"/>
    <x v="215"/>
    <x v="181"/>
    <x v="181"/>
    <s v="REVENUS"/>
    <x v="3"/>
    <s v="4002.007"/>
    <s v="Acompte impôt sur fortune"/>
    <n v="0"/>
    <n v="326.10000000000002"/>
    <n v="4002"/>
  </r>
  <r>
    <x v="0"/>
    <x v="2"/>
    <x v="2"/>
    <x v="215"/>
    <x v="181"/>
    <x v="181"/>
    <s v="REVENUS"/>
    <x v="5"/>
    <s v="4061.000"/>
    <s v="Impôt sur les chiens"/>
    <n v="0"/>
    <n v="11050"/>
    <n v="4061"/>
  </r>
  <r>
    <x v="0"/>
    <x v="2"/>
    <x v="2"/>
    <x v="215"/>
    <x v="181"/>
    <x v="181"/>
    <s v="REVENUS"/>
    <x v="3"/>
    <s v="4002.001"/>
    <s v="Impôt ordinaire s/fortune PP"/>
    <n v="0"/>
    <n v="718"/>
    <n v="4002"/>
  </r>
  <r>
    <x v="0"/>
    <x v="2"/>
    <x v="2"/>
    <x v="215"/>
    <x v="181"/>
    <x v="181"/>
    <s v="REVENUS"/>
    <x v="6"/>
    <s v="4211.002"/>
    <s v="Intérêts de retard sur acomptes"/>
    <n v="0"/>
    <n v="1.01"/>
    <n v="4211"/>
  </r>
  <r>
    <x v="0"/>
    <x v="2"/>
    <x v="2"/>
    <x v="215"/>
    <x v="181"/>
    <x v="181"/>
    <s v="REVENUS"/>
    <x v="6"/>
    <s v="4221.003"/>
    <s v="Intérêts compensat. / acomptes en faveur du fisc"/>
    <n v="0"/>
    <n v="0.01"/>
    <n v="4221"/>
  </r>
  <r>
    <x v="0"/>
    <x v="2"/>
    <x v="2"/>
    <x v="215"/>
    <x v="181"/>
    <x v="181"/>
    <s v="REVENUS"/>
    <x v="9"/>
    <s v="4031.001"/>
    <s v="Impôt sur les gains immobiliers"/>
    <n v="0"/>
    <n v="143414.95000000001"/>
    <n v="4031"/>
  </r>
  <r>
    <x v="0"/>
    <x v="2"/>
    <x v="2"/>
    <x v="215"/>
    <x v="181"/>
    <x v="181"/>
    <s v="REVENUS"/>
    <x v="3"/>
    <s v="4002.007"/>
    <s v="Acompte impôt sur fortune"/>
    <n v="0"/>
    <n v="-373.25"/>
    <n v="4002"/>
  </r>
  <r>
    <x v="0"/>
    <x v="2"/>
    <x v="2"/>
    <x v="215"/>
    <x v="181"/>
    <x v="181"/>
    <s v="REVENUS"/>
    <x v="2"/>
    <s v="4001.001"/>
    <s v="Impôt revenu"/>
    <n v="0"/>
    <n v="831.8"/>
    <n v="4001"/>
  </r>
  <r>
    <x v="0"/>
    <x v="2"/>
    <x v="2"/>
    <x v="215"/>
    <x v="181"/>
    <x v="181"/>
    <s v="REVENUS"/>
    <x v="3"/>
    <s v="4002.001"/>
    <s v="Impôt ordinaire s/fortune PP"/>
    <n v="0"/>
    <n v="512.95000000000005"/>
    <n v="4002"/>
  </r>
  <r>
    <x v="0"/>
    <x v="2"/>
    <x v="2"/>
    <x v="215"/>
    <x v="181"/>
    <x v="181"/>
    <s v="REVENUS"/>
    <x v="6"/>
    <s v="4221.003"/>
    <s v="Intérêts compensat. / acomptes en faveur du fisc"/>
    <n v="0"/>
    <n v="0.35"/>
    <n v="4221"/>
  </r>
  <r>
    <x v="0"/>
    <x v="2"/>
    <x v="2"/>
    <x v="215"/>
    <x v="181"/>
    <x v="181"/>
    <s v="REVENUS"/>
    <x v="2"/>
    <s v="4001.001"/>
    <s v="Impôt revenu"/>
    <n v="0"/>
    <n v="0"/>
    <n v="4001"/>
  </r>
  <r>
    <x v="0"/>
    <x v="2"/>
    <x v="2"/>
    <x v="215"/>
    <x v="181"/>
    <x v="181"/>
    <s v="REVENUS"/>
    <x v="3"/>
    <s v="4002.001"/>
    <s v="Impôt ordinaire s/fortune PP"/>
    <n v="0"/>
    <n v="114.35"/>
    <n v="4002"/>
  </r>
  <r>
    <x v="0"/>
    <x v="2"/>
    <x v="2"/>
    <x v="215"/>
    <x v="181"/>
    <x v="181"/>
    <s v="REVENUS"/>
    <x v="6"/>
    <s v="4211.002"/>
    <s v="Intérêts de retard sur acomptes"/>
    <n v="0"/>
    <n v="0.85"/>
    <n v="4211"/>
  </r>
  <r>
    <x v="0"/>
    <x v="2"/>
    <x v="2"/>
    <x v="215"/>
    <x v="181"/>
    <x v="181"/>
    <s v="REVENUS"/>
    <x v="6"/>
    <s v="4221.003"/>
    <s v="Intérêts compensat. / acomptes en faveur du fisc"/>
    <n v="0"/>
    <n v="0"/>
    <n v="4221"/>
  </r>
  <r>
    <x v="0"/>
    <x v="2"/>
    <x v="2"/>
    <x v="215"/>
    <x v="181"/>
    <x v="181"/>
    <s v="REVENUS"/>
    <x v="9"/>
    <s v="4031.002"/>
    <s v="Complément impôt sur les gains immobiliers"/>
    <n v="0"/>
    <n v="78350.05"/>
    <n v="4031"/>
  </r>
  <r>
    <x v="0"/>
    <x v="2"/>
    <x v="2"/>
    <x v="215"/>
    <x v="181"/>
    <x v="181"/>
    <s v="REVENUS"/>
    <x v="2"/>
    <s v="4001.002"/>
    <s v="Impôt complément s/revenu PP"/>
    <n v="0"/>
    <n v="1487.4"/>
    <n v="4001"/>
  </r>
  <r>
    <x v="0"/>
    <x v="2"/>
    <x v="2"/>
    <x v="215"/>
    <x v="181"/>
    <x v="181"/>
    <s v="REVENUS"/>
    <x v="3"/>
    <s v="4002.002"/>
    <s v="Impôt complémentaire s/fortune PP"/>
    <n v="0"/>
    <n v="778.05"/>
    <n v="4002"/>
  </r>
  <r>
    <x v="0"/>
    <x v="2"/>
    <x v="2"/>
    <x v="215"/>
    <x v="181"/>
    <x v="181"/>
    <s v="REVENUS"/>
    <x v="8"/>
    <s v="4091.001"/>
    <s v="Impôt récupéré après défalcations"/>
    <n v="0"/>
    <n v="29340.35"/>
    <n v="4091"/>
  </r>
  <r>
    <x v="0"/>
    <x v="2"/>
    <x v="2"/>
    <x v="215"/>
    <x v="181"/>
    <x v="181"/>
    <s v="REVENUS"/>
    <x v="8"/>
    <s v="4091.001"/>
    <s v="Impôt récupéré après défalcations"/>
    <n v="0"/>
    <n v="11643.39"/>
    <n v="4091"/>
  </r>
  <r>
    <x v="0"/>
    <x v="2"/>
    <x v="2"/>
    <x v="215"/>
    <x v="181"/>
    <x v="181"/>
    <s v="REVENUS"/>
    <x v="2"/>
    <s v="4001.001"/>
    <s v="Impôt revenu"/>
    <n v="0"/>
    <n v="2294.65"/>
    <n v="4001"/>
  </r>
  <r>
    <x v="0"/>
    <x v="2"/>
    <x v="2"/>
    <x v="215"/>
    <x v="181"/>
    <x v="181"/>
    <s v="REVENUS"/>
    <x v="2"/>
    <s v="4001.001"/>
    <s v="Impôt revenu"/>
    <n v="0"/>
    <n v="2563.1"/>
    <n v="4001"/>
  </r>
  <r>
    <x v="0"/>
    <x v="2"/>
    <x v="2"/>
    <x v="215"/>
    <x v="181"/>
    <x v="181"/>
    <s v="REVENUS"/>
    <x v="3"/>
    <s v="4002.001"/>
    <s v="Impôt ordinaire s/fortune PP"/>
    <n v="0"/>
    <n v="1968.15"/>
    <n v="4002"/>
  </r>
  <r>
    <x v="0"/>
    <x v="2"/>
    <x v="2"/>
    <x v="215"/>
    <x v="181"/>
    <x v="181"/>
    <s v="REVENUS"/>
    <x v="6"/>
    <s v="4211.002"/>
    <s v="Intérêts de retard sur acomptes"/>
    <n v="0"/>
    <n v="31.83"/>
    <n v="4211"/>
  </r>
  <r>
    <x v="0"/>
    <x v="2"/>
    <x v="2"/>
    <x v="215"/>
    <x v="181"/>
    <x v="181"/>
    <s v="REVENUS"/>
    <x v="4"/>
    <s v="4051.001"/>
    <s v="Impôt sur les successions"/>
    <n v="0"/>
    <n v="4819.2"/>
    <n v="4051"/>
  </r>
  <r>
    <x v="0"/>
    <x v="2"/>
    <x v="2"/>
    <x v="215"/>
    <x v="181"/>
    <x v="181"/>
    <s v="REVENUS"/>
    <x v="7"/>
    <s v="4184.000"/>
    <s v="Frais de poursuite"/>
    <n v="0"/>
    <n v="43.04"/>
    <n v="4184"/>
  </r>
  <r>
    <x v="0"/>
    <x v="2"/>
    <x v="2"/>
    <x v="216"/>
    <x v="182"/>
    <x v="182"/>
    <s v="CHARGES"/>
    <x v="1"/>
    <s v="3301.001"/>
    <s v="Défalcations, abandons de solde PP et IS"/>
    <n v="2880.4"/>
    <n v="0"/>
    <n v="3301"/>
  </r>
  <r>
    <x v="0"/>
    <x v="2"/>
    <x v="2"/>
    <x v="216"/>
    <x v="182"/>
    <x v="182"/>
    <s v="CHARGES"/>
    <x v="0"/>
    <s v="3212.004"/>
    <s v="Intérêts rémun./perçu trop tôt sur acomptes C/C"/>
    <n v="144.71"/>
    <n v="0"/>
    <n v="3212"/>
  </r>
  <r>
    <x v="0"/>
    <x v="2"/>
    <x v="2"/>
    <x v="216"/>
    <x v="182"/>
    <x v="182"/>
    <s v="CHARGES"/>
    <x v="0"/>
    <s v="3221.002"/>
    <s v="Intérêts compensatoires / créances en faveur ctb."/>
    <n v="-213.4"/>
    <n v="0"/>
    <n v="3221"/>
  </r>
  <r>
    <x v="0"/>
    <x v="2"/>
    <x v="2"/>
    <x v="216"/>
    <x v="182"/>
    <x v="182"/>
    <s v="CHARGES"/>
    <x v="0"/>
    <s v="3212.002"/>
    <s v="Intérêts bonifiés/trop perçu acompte C/C"/>
    <n v="-361.06"/>
    <n v="0"/>
    <n v="3212"/>
  </r>
  <r>
    <x v="0"/>
    <x v="2"/>
    <x v="2"/>
    <x v="216"/>
    <x v="182"/>
    <x v="182"/>
    <s v="CHARGES"/>
    <x v="0"/>
    <s v="3212.004"/>
    <s v="Intérêts rémun./perçu trop tôt sur acomptes C/C"/>
    <n v="7.83"/>
    <n v="0"/>
    <n v="3212"/>
  </r>
  <r>
    <x v="0"/>
    <x v="2"/>
    <x v="2"/>
    <x v="216"/>
    <x v="182"/>
    <x v="182"/>
    <s v="CHARGES"/>
    <x v="0"/>
    <s v="3221.002"/>
    <s v="Intérêts compensatoires / créances en faveur ctb."/>
    <n v="0.33"/>
    <n v="0"/>
    <n v="3221"/>
  </r>
  <r>
    <x v="0"/>
    <x v="2"/>
    <x v="2"/>
    <x v="216"/>
    <x v="182"/>
    <x v="182"/>
    <s v="CHARGES"/>
    <x v="0"/>
    <s v="3212.004"/>
    <s v="Intérêts rémun./perçu trop tôt sur acomptes C/C"/>
    <n v="0.09"/>
    <n v="0"/>
    <n v="3212"/>
  </r>
  <r>
    <x v="0"/>
    <x v="2"/>
    <x v="2"/>
    <x v="216"/>
    <x v="182"/>
    <x v="182"/>
    <s v="CHARGES"/>
    <x v="0"/>
    <s v="3221.002"/>
    <s v="Intérêts compensatoires / créances en faveur ctb."/>
    <n v="0.14000000000000001"/>
    <n v="0"/>
    <n v="3221"/>
  </r>
  <r>
    <x v="0"/>
    <x v="2"/>
    <x v="2"/>
    <x v="216"/>
    <x v="182"/>
    <x v="182"/>
    <s v="CHARGES"/>
    <x v="0"/>
    <s v="3212.004"/>
    <s v="Intérêts rémun./perçu trop tôt sur acomptes C/C"/>
    <n v="0.01"/>
    <n v="0"/>
    <n v="3212"/>
  </r>
  <r>
    <x v="0"/>
    <x v="2"/>
    <x v="2"/>
    <x v="216"/>
    <x v="182"/>
    <x v="182"/>
    <s v="CHARGES"/>
    <x v="1"/>
    <s v="3301.001"/>
    <s v="Défalcations, abandons de solde PP et IS"/>
    <n v="818.34"/>
    <n v="0"/>
    <n v="3301"/>
  </r>
  <r>
    <x v="0"/>
    <x v="2"/>
    <x v="2"/>
    <x v="216"/>
    <x v="182"/>
    <x v="182"/>
    <s v="CHARGES"/>
    <x v="1"/>
    <s v="3301.001"/>
    <s v="Défalcations, abandons de solde PP et IS"/>
    <n v="1.62"/>
    <n v="0"/>
    <n v="3301"/>
  </r>
  <r>
    <x v="0"/>
    <x v="2"/>
    <x v="2"/>
    <x v="216"/>
    <x v="182"/>
    <x v="182"/>
    <s v="REVENUS"/>
    <x v="2"/>
    <s v="4001.001"/>
    <s v="Impôt revenu"/>
    <n v="0"/>
    <n v="1016776"/>
    <n v="4001"/>
  </r>
  <r>
    <x v="0"/>
    <x v="2"/>
    <x v="2"/>
    <x v="216"/>
    <x v="182"/>
    <x v="182"/>
    <s v="REVENUS"/>
    <x v="2"/>
    <s v="4001.003"/>
    <s v="Impôt s/prest. cap. PP"/>
    <n v="0"/>
    <n v="30048.65"/>
    <n v="4001"/>
  </r>
  <r>
    <x v="0"/>
    <x v="2"/>
    <x v="2"/>
    <x v="216"/>
    <x v="182"/>
    <x v="182"/>
    <s v="REVENUS"/>
    <x v="2"/>
    <s v="4001.007"/>
    <s v="Acompte impôt sur revenu"/>
    <n v="0"/>
    <n v="-60127.72"/>
    <n v="4001"/>
  </r>
  <r>
    <x v="0"/>
    <x v="2"/>
    <x v="2"/>
    <x v="216"/>
    <x v="182"/>
    <x v="182"/>
    <s v="REVENUS"/>
    <x v="3"/>
    <s v="4002.002"/>
    <s v="Impôt complémentaire s/fortune PP"/>
    <n v="0"/>
    <n v="37091.199999999997"/>
    <n v="4002"/>
  </r>
  <r>
    <x v="0"/>
    <x v="2"/>
    <x v="2"/>
    <x v="216"/>
    <x v="182"/>
    <x v="182"/>
    <s v="REVENUS"/>
    <x v="3"/>
    <s v="4002.007"/>
    <s v="Acompte impôt sur fortune"/>
    <n v="0"/>
    <n v="-769.47"/>
    <n v="4002"/>
  </r>
  <r>
    <x v="0"/>
    <x v="2"/>
    <x v="2"/>
    <x v="216"/>
    <x v="182"/>
    <x v="182"/>
    <s v="REVENUS"/>
    <x v="6"/>
    <s v="4211.001"/>
    <s v="Intérêts de retard sur factures"/>
    <n v="0"/>
    <n v="3358.21"/>
    <n v="4211"/>
  </r>
  <r>
    <x v="0"/>
    <x v="2"/>
    <x v="2"/>
    <x v="216"/>
    <x v="182"/>
    <x v="182"/>
    <s v="REVENUS"/>
    <x v="6"/>
    <s v="4211.002"/>
    <s v="Intérêts de retard sur acomptes"/>
    <n v="0"/>
    <n v="-2582.41"/>
    <n v="4211"/>
  </r>
  <r>
    <x v="0"/>
    <x v="2"/>
    <x v="2"/>
    <x v="216"/>
    <x v="182"/>
    <x v="182"/>
    <s v="REVENUS"/>
    <x v="6"/>
    <s v="4221.003"/>
    <s v="Intérêts compensat. / acomptes en faveur du fisc"/>
    <n v="0"/>
    <n v="155.76"/>
    <n v="4221"/>
  </r>
  <r>
    <x v="0"/>
    <x v="2"/>
    <x v="2"/>
    <x v="216"/>
    <x v="182"/>
    <x v="182"/>
    <s v="REVENUS"/>
    <x v="2"/>
    <s v="4001.002"/>
    <s v="Impôt complément s/revenu PP"/>
    <n v="0"/>
    <n v="567138.80000000005"/>
    <n v="4001"/>
  </r>
  <r>
    <x v="0"/>
    <x v="2"/>
    <x v="2"/>
    <x v="216"/>
    <x v="182"/>
    <x v="182"/>
    <s v="REVENUS"/>
    <x v="3"/>
    <s v="4002.001"/>
    <s v="Impôt ordinaire s/fortune PP"/>
    <n v="0"/>
    <n v="218347.9"/>
    <n v="4002"/>
  </r>
  <r>
    <x v="0"/>
    <x v="2"/>
    <x v="2"/>
    <x v="216"/>
    <x v="182"/>
    <x v="182"/>
    <s v="REVENUS"/>
    <x v="7"/>
    <s v="4184.000"/>
    <s v="Frais de poursuite"/>
    <n v="0"/>
    <n v="619.79"/>
    <n v="4184"/>
  </r>
  <r>
    <x v="0"/>
    <x v="2"/>
    <x v="2"/>
    <x v="216"/>
    <x v="182"/>
    <x v="182"/>
    <s v="REVENUS"/>
    <x v="6"/>
    <s v="4221.002"/>
    <s v="Intérêts compensat. sur impôts distincts"/>
    <n v="0"/>
    <n v="6"/>
    <n v="4221"/>
  </r>
  <r>
    <x v="0"/>
    <x v="2"/>
    <x v="2"/>
    <x v="216"/>
    <x v="182"/>
    <x v="182"/>
    <s v="REVENUS"/>
    <x v="2"/>
    <s v="4001.007"/>
    <s v="Acompte impôt sur revenu"/>
    <n v="0"/>
    <n v="-1757.4"/>
    <n v="4001"/>
  </r>
  <r>
    <x v="0"/>
    <x v="2"/>
    <x v="2"/>
    <x v="216"/>
    <x v="182"/>
    <x v="182"/>
    <s v="REVENUS"/>
    <x v="3"/>
    <s v="4002.007"/>
    <s v="Acompte impôt sur fortune"/>
    <n v="0"/>
    <n v="-1290.2"/>
    <n v="4002"/>
  </r>
  <r>
    <x v="0"/>
    <x v="2"/>
    <x v="2"/>
    <x v="216"/>
    <x v="182"/>
    <x v="182"/>
    <s v="REVENUS"/>
    <x v="12"/>
    <s v="4004.007"/>
    <s v="Acompte spécial étrangers"/>
    <n v="0"/>
    <n v="0"/>
    <n v="4004"/>
  </r>
  <r>
    <x v="0"/>
    <x v="2"/>
    <x v="2"/>
    <x v="216"/>
    <x v="182"/>
    <x v="182"/>
    <s v="REVENUS"/>
    <x v="3"/>
    <s v="4002.007"/>
    <s v="Acompte impôt sur fortune"/>
    <n v="0"/>
    <n v="612.71"/>
    <n v="4002"/>
  </r>
  <r>
    <x v="0"/>
    <x v="2"/>
    <x v="2"/>
    <x v="216"/>
    <x v="182"/>
    <x v="182"/>
    <s v="REVENUS"/>
    <x v="10"/>
    <s v="4041.001"/>
    <s v="Droits de mutation"/>
    <n v="0"/>
    <n v="46899"/>
    <n v="4041"/>
  </r>
  <r>
    <x v="0"/>
    <x v="2"/>
    <x v="2"/>
    <x v="216"/>
    <x v="182"/>
    <x v="182"/>
    <s v="REVENUS"/>
    <x v="9"/>
    <s v="4031.001"/>
    <s v="Impôt sur les gains immobiliers"/>
    <n v="0"/>
    <n v="2291.65"/>
    <n v="4031"/>
  </r>
  <r>
    <x v="0"/>
    <x v="2"/>
    <x v="2"/>
    <x v="216"/>
    <x v="182"/>
    <x v="182"/>
    <s v="REVENUS"/>
    <x v="7"/>
    <s v="4184.000"/>
    <s v="Frais de poursuite"/>
    <n v="0"/>
    <n v="55.92"/>
    <n v="4184"/>
  </r>
  <r>
    <x v="0"/>
    <x v="2"/>
    <x v="2"/>
    <x v="216"/>
    <x v="182"/>
    <x v="182"/>
    <s v="REVENUS"/>
    <x v="4"/>
    <s v="4051.001"/>
    <s v="Impôt sur les successions"/>
    <n v="0"/>
    <n v="5170.3"/>
    <n v="4051"/>
  </r>
  <r>
    <x v="0"/>
    <x v="2"/>
    <x v="2"/>
    <x v="216"/>
    <x v="182"/>
    <x v="182"/>
    <s v="REVENUS"/>
    <x v="2"/>
    <s v="4001.001"/>
    <s v="Impôt revenu"/>
    <n v="0"/>
    <n v="926.75"/>
    <n v="4001"/>
  </r>
  <r>
    <x v="0"/>
    <x v="2"/>
    <x v="2"/>
    <x v="216"/>
    <x v="182"/>
    <x v="182"/>
    <s v="REVENUS"/>
    <x v="2"/>
    <s v="4001.002"/>
    <s v="Impôt complément s/revenu PP"/>
    <n v="0"/>
    <n v="1183.75"/>
    <n v="4001"/>
  </r>
  <r>
    <x v="0"/>
    <x v="2"/>
    <x v="2"/>
    <x v="216"/>
    <x v="182"/>
    <x v="182"/>
    <s v="REVENUS"/>
    <x v="3"/>
    <s v="4002.001"/>
    <s v="Impôt ordinaire s/fortune PP"/>
    <n v="0"/>
    <n v="441"/>
    <n v="4002"/>
  </r>
  <r>
    <x v="0"/>
    <x v="2"/>
    <x v="2"/>
    <x v="216"/>
    <x v="182"/>
    <x v="182"/>
    <s v="REVENUS"/>
    <x v="3"/>
    <s v="4002.002"/>
    <s v="Impôt complémentaire s/fortune PP"/>
    <n v="0"/>
    <n v="675.45"/>
    <n v="4002"/>
  </r>
  <r>
    <x v="0"/>
    <x v="2"/>
    <x v="2"/>
    <x v="216"/>
    <x v="182"/>
    <x v="182"/>
    <s v="REVENUS"/>
    <x v="6"/>
    <s v="4211.001"/>
    <s v="Intérêts de retard sur factures"/>
    <n v="0"/>
    <n v="1.64"/>
    <n v="4211"/>
  </r>
  <r>
    <x v="0"/>
    <x v="2"/>
    <x v="2"/>
    <x v="216"/>
    <x v="182"/>
    <x v="182"/>
    <s v="REVENUS"/>
    <x v="6"/>
    <s v="4211.002"/>
    <s v="Intérêts de retard sur acomptes"/>
    <n v="0"/>
    <n v="37.21"/>
    <n v="4211"/>
  </r>
  <r>
    <x v="0"/>
    <x v="2"/>
    <x v="2"/>
    <x v="216"/>
    <x v="182"/>
    <x v="182"/>
    <s v="REVENUS"/>
    <x v="2"/>
    <s v="4001.001"/>
    <s v="Impôt revenu"/>
    <n v="0"/>
    <n v="12.2"/>
    <n v="4001"/>
  </r>
  <r>
    <x v="0"/>
    <x v="2"/>
    <x v="2"/>
    <x v="216"/>
    <x v="182"/>
    <x v="182"/>
    <s v="REVENUS"/>
    <x v="3"/>
    <s v="4002.001"/>
    <s v="Impôt ordinaire s/fortune PP"/>
    <n v="0"/>
    <n v="32.799999999999997"/>
    <n v="4002"/>
  </r>
  <r>
    <x v="0"/>
    <x v="2"/>
    <x v="2"/>
    <x v="216"/>
    <x v="182"/>
    <x v="182"/>
    <s v="REVENUS"/>
    <x v="2"/>
    <s v="4001.001"/>
    <s v="Impôt revenu"/>
    <n v="0"/>
    <n v="428.4"/>
    <n v="4001"/>
  </r>
  <r>
    <x v="0"/>
    <x v="2"/>
    <x v="2"/>
    <x v="216"/>
    <x v="182"/>
    <x v="182"/>
    <s v="REVENUS"/>
    <x v="3"/>
    <s v="4002.001"/>
    <s v="Impôt ordinaire s/fortune PP"/>
    <n v="0"/>
    <n v="844.3"/>
    <n v="4002"/>
  </r>
  <r>
    <x v="0"/>
    <x v="2"/>
    <x v="2"/>
    <x v="216"/>
    <x v="182"/>
    <x v="182"/>
    <s v="REVENUS"/>
    <x v="6"/>
    <s v="4211.002"/>
    <s v="Intérêts de retard sur acomptes"/>
    <n v="0"/>
    <n v="0.99"/>
    <n v="4211"/>
  </r>
  <r>
    <x v="0"/>
    <x v="2"/>
    <x v="2"/>
    <x v="216"/>
    <x v="182"/>
    <x v="182"/>
    <s v="REVENUS"/>
    <x v="6"/>
    <s v="4221.003"/>
    <s v="Intérêts compensat. / acomptes en faveur du fisc"/>
    <n v="0"/>
    <n v="0.71"/>
    <n v="4221"/>
  </r>
  <r>
    <x v="0"/>
    <x v="2"/>
    <x v="2"/>
    <x v="216"/>
    <x v="182"/>
    <x v="182"/>
    <s v="REVENUS"/>
    <x v="11"/>
    <s v="4198.000"/>
    <s v="Contributions communales"/>
    <n v="0"/>
    <n v="119684.2"/>
    <n v="4198"/>
  </r>
  <r>
    <x v="0"/>
    <x v="2"/>
    <x v="2"/>
    <x v="216"/>
    <x v="182"/>
    <x v="182"/>
    <s v="REVENUS"/>
    <x v="2"/>
    <s v="4001.007"/>
    <s v="Acompte impôt sur revenu"/>
    <n v="0"/>
    <n v="-131.94999999999999"/>
    <n v="4001"/>
  </r>
  <r>
    <x v="0"/>
    <x v="2"/>
    <x v="2"/>
    <x v="216"/>
    <x v="182"/>
    <x v="182"/>
    <s v="REVENUS"/>
    <x v="3"/>
    <s v="4002.007"/>
    <s v="Acompte impôt sur fortune"/>
    <n v="0"/>
    <n v="-499.95"/>
    <n v="4002"/>
  </r>
  <r>
    <x v="0"/>
    <x v="2"/>
    <x v="2"/>
    <x v="216"/>
    <x v="182"/>
    <x v="182"/>
    <s v="REVENUS"/>
    <x v="3"/>
    <s v="4002.001"/>
    <s v="Impôt ordinaire s/fortune PP"/>
    <n v="0"/>
    <n v="-114.8"/>
    <n v="4002"/>
  </r>
  <r>
    <x v="0"/>
    <x v="2"/>
    <x v="2"/>
    <x v="216"/>
    <x v="182"/>
    <x v="182"/>
    <s v="REVENUS"/>
    <x v="6"/>
    <s v="4211.001"/>
    <s v="Intérêts de retard sur factures"/>
    <n v="0"/>
    <n v="1.58"/>
    <n v="4211"/>
  </r>
  <r>
    <x v="0"/>
    <x v="2"/>
    <x v="2"/>
    <x v="216"/>
    <x v="182"/>
    <x v="182"/>
    <s v="REVENUS"/>
    <x v="12"/>
    <s v="4004.000"/>
    <s v="Impôt spécial étrangers"/>
    <n v="0"/>
    <n v="110957.8"/>
    <n v="4004"/>
  </r>
  <r>
    <x v="0"/>
    <x v="2"/>
    <x v="2"/>
    <x v="216"/>
    <x v="182"/>
    <x v="182"/>
    <s v="REVENUS"/>
    <x v="8"/>
    <s v="4091.001"/>
    <s v="Impôt récupéré après défalcations"/>
    <n v="0"/>
    <n v="-320.83"/>
    <n v="4091"/>
  </r>
  <r>
    <x v="0"/>
    <x v="2"/>
    <x v="2"/>
    <x v="216"/>
    <x v="182"/>
    <x v="182"/>
    <s v="REVENUS"/>
    <x v="2"/>
    <s v="4001.007"/>
    <s v="Acompte impôt sur revenu"/>
    <n v="0"/>
    <n v="-368.75"/>
    <n v="4001"/>
  </r>
  <r>
    <x v="0"/>
    <x v="2"/>
    <x v="2"/>
    <x v="217"/>
    <x v="183"/>
    <x v="183"/>
    <s v="CHARGES"/>
    <x v="0"/>
    <s v="3212.004"/>
    <s v="Intérêts rémun./perçu trop tôt sur acomptes C/C"/>
    <n v="9.18"/>
    <n v="0"/>
    <n v="3212"/>
  </r>
  <r>
    <x v="0"/>
    <x v="2"/>
    <x v="2"/>
    <x v="217"/>
    <x v="183"/>
    <x v="183"/>
    <s v="CHARGES"/>
    <x v="1"/>
    <s v="3301.001"/>
    <s v="Défalcations, abandons de solde PP et IS"/>
    <n v="591.54"/>
    <n v="0"/>
    <n v="3301"/>
  </r>
  <r>
    <x v="0"/>
    <x v="2"/>
    <x v="2"/>
    <x v="217"/>
    <x v="183"/>
    <x v="183"/>
    <s v="CHARGES"/>
    <x v="0"/>
    <s v="3212.002"/>
    <s v="Intérêts bonifiés/trop perçu acompte C/C"/>
    <n v="208.28"/>
    <n v="0"/>
    <n v="3212"/>
  </r>
  <r>
    <x v="0"/>
    <x v="2"/>
    <x v="2"/>
    <x v="217"/>
    <x v="183"/>
    <x v="183"/>
    <s v="CHARGES"/>
    <x v="0"/>
    <s v="3212.004"/>
    <s v="Intérêts rémun./perçu trop tôt sur acomptes C/C"/>
    <n v="3111.64"/>
    <n v="0"/>
    <n v="3212"/>
  </r>
  <r>
    <x v="0"/>
    <x v="2"/>
    <x v="2"/>
    <x v="217"/>
    <x v="183"/>
    <x v="183"/>
    <s v="CHARGES"/>
    <x v="0"/>
    <s v="3221.002"/>
    <s v="Intérêts compensatoires / créances en faveur ctb."/>
    <n v="911.53"/>
    <n v="0"/>
    <n v="3221"/>
  </r>
  <r>
    <x v="0"/>
    <x v="2"/>
    <x v="2"/>
    <x v="217"/>
    <x v="183"/>
    <x v="183"/>
    <s v="CHARGES"/>
    <x v="1"/>
    <s v="3301.001"/>
    <s v="Défalcations, abandons de solde PP et IS"/>
    <n v="57960.62"/>
    <n v="0"/>
    <n v="3301"/>
  </r>
  <r>
    <x v="0"/>
    <x v="2"/>
    <x v="2"/>
    <x v="217"/>
    <x v="183"/>
    <x v="183"/>
    <s v="CHARGES"/>
    <x v="0"/>
    <s v="3212.004"/>
    <s v="Intérêts rémun./perçu trop tôt sur acomptes C/C"/>
    <n v="1.1100000000000001"/>
    <n v="0"/>
    <n v="3212"/>
  </r>
  <r>
    <x v="0"/>
    <x v="2"/>
    <x v="2"/>
    <x v="217"/>
    <x v="183"/>
    <x v="183"/>
    <s v="CHARGES"/>
    <x v="0"/>
    <s v="3212.004"/>
    <s v="Intérêts rémun./perçu trop tôt sur acomptes C/C"/>
    <n v="-0.08"/>
    <n v="0"/>
    <n v="3212"/>
  </r>
  <r>
    <x v="0"/>
    <x v="2"/>
    <x v="2"/>
    <x v="217"/>
    <x v="183"/>
    <x v="183"/>
    <s v="CHARGES"/>
    <x v="1"/>
    <s v="3301.001"/>
    <s v="Défalcations, abandons de solde PP et IS"/>
    <n v="8152.04"/>
    <n v="0"/>
    <n v="3301"/>
  </r>
  <r>
    <x v="0"/>
    <x v="2"/>
    <x v="2"/>
    <x v="217"/>
    <x v="183"/>
    <x v="183"/>
    <s v="CHARGES"/>
    <x v="0"/>
    <s v="3221.002"/>
    <s v="Intérêts compensatoires / créances en faveur ctb."/>
    <n v="8.75"/>
    <n v="0"/>
    <n v="3221"/>
  </r>
  <r>
    <x v="0"/>
    <x v="2"/>
    <x v="2"/>
    <x v="217"/>
    <x v="183"/>
    <x v="183"/>
    <s v="CHARGES"/>
    <x v="0"/>
    <s v="3212.004"/>
    <s v="Intérêts rémun./perçu trop tôt sur acomptes C/C"/>
    <n v="0.02"/>
    <n v="0"/>
    <n v="3212"/>
  </r>
  <r>
    <x v="0"/>
    <x v="2"/>
    <x v="2"/>
    <x v="217"/>
    <x v="183"/>
    <x v="183"/>
    <s v="CHARGES"/>
    <x v="0"/>
    <s v="3212.004"/>
    <s v="Intérêts rémun./perçu trop tôt sur acomptes C/C"/>
    <n v="3.03"/>
    <n v="0"/>
    <n v="3212"/>
  </r>
  <r>
    <x v="0"/>
    <x v="2"/>
    <x v="2"/>
    <x v="217"/>
    <x v="183"/>
    <x v="183"/>
    <s v="CHARGES"/>
    <x v="0"/>
    <s v="3221.002"/>
    <s v="Intérêts compensatoires / créances en faveur ctb."/>
    <n v="0.03"/>
    <n v="0"/>
    <n v="3221"/>
  </r>
  <r>
    <x v="0"/>
    <x v="2"/>
    <x v="2"/>
    <x v="217"/>
    <x v="183"/>
    <x v="183"/>
    <s v="CHARGES"/>
    <x v="1"/>
    <s v="3301.001"/>
    <s v="Défalcations, abandons de solde PP et IS"/>
    <n v="0.1"/>
    <n v="0"/>
    <n v="3301"/>
  </r>
  <r>
    <x v="0"/>
    <x v="2"/>
    <x v="2"/>
    <x v="217"/>
    <x v="183"/>
    <x v="183"/>
    <s v="REVENUS"/>
    <x v="2"/>
    <s v="4001.007"/>
    <s v="Acompte impôt sur revenu"/>
    <n v="0"/>
    <n v="-1033.5999999999999"/>
    <n v="4001"/>
  </r>
  <r>
    <x v="0"/>
    <x v="2"/>
    <x v="2"/>
    <x v="217"/>
    <x v="183"/>
    <x v="183"/>
    <s v="REVENUS"/>
    <x v="3"/>
    <s v="4002.007"/>
    <s v="Acompte impôt sur fortune"/>
    <n v="0"/>
    <n v="-601.82000000000005"/>
    <n v="4002"/>
  </r>
  <r>
    <x v="0"/>
    <x v="2"/>
    <x v="2"/>
    <x v="217"/>
    <x v="183"/>
    <x v="183"/>
    <s v="REVENUS"/>
    <x v="2"/>
    <s v="4001.001"/>
    <s v="Impôt revenu"/>
    <n v="0"/>
    <n v="13674.65"/>
    <n v="4001"/>
  </r>
  <r>
    <x v="0"/>
    <x v="2"/>
    <x v="2"/>
    <x v="217"/>
    <x v="183"/>
    <x v="183"/>
    <s v="REVENUS"/>
    <x v="3"/>
    <s v="4002.001"/>
    <s v="Impôt ordinaire s/fortune PP"/>
    <n v="0"/>
    <n v="4315.8"/>
    <n v="4002"/>
  </r>
  <r>
    <x v="0"/>
    <x v="2"/>
    <x v="2"/>
    <x v="217"/>
    <x v="183"/>
    <x v="183"/>
    <s v="REVENUS"/>
    <x v="6"/>
    <s v="4221.003"/>
    <s v="Intérêts compensat. / acomptes en faveur du fisc"/>
    <n v="0"/>
    <n v="2.59"/>
    <n v="4221"/>
  </r>
  <r>
    <x v="0"/>
    <x v="2"/>
    <x v="2"/>
    <x v="217"/>
    <x v="183"/>
    <x v="183"/>
    <s v="REVENUS"/>
    <x v="2"/>
    <s v="4001.001"/>
    <s v="Impôt revenu"/>
    <n v="0"/>
    <n v="7804347.75"/>
    <n v="4001"/>
  </r>
  <r>
    <x v="0"/>
    <x v="2"/>
    <x v="2"/>
    <x v="217"/>
    <x v="183"/>
    <x v="183"/>
    <s v="REVENUS"/>
    <x v="2"/>
    <s v="4001.007"/>
    <s v="Acompte impôt sur revenu"/>
    <n v="0"/>
    <n v="-1032618.76"/>
    <n v="4001"/>
  </r>
  <r>
    <x v="0"/>
    <x v="2"/>
    <x v="2"/>
    <x v="217"/>
    <x v="183"/>
    <x v="183"/>
    <s v="REVENUS"/>
    <x v="3"/>
    <s v="4002.001"/>
    <s v="Impôt ordinaire s/fortune PP"/>
    <n v="0"/>
    <n v="1631293.55"/>
    <n v="4002"/>
  </r>
  <r>
    <x v="0"/>
    <x v="2"/>
    <x v="2"/>
    <x v="217"/>
    <x v="183"/>
    <x v="183"/>
    <s v="REVENUS"/>
    <x v="3"/>
    <s v="4002.007"/>
    <s v="Acompte impôt sur fortune"/>
    <n v="0"/>
    <n v="65717.42"/>
    <n v="4002"/>
  </r>
  <r>
    <x v="0"/>
    <x v="2"/>
    <x v="2"/>
    <x v="217"/>
    <x v="183"/>
    <x v="183"/>
    <s v="REVENUS"/>
    <x v="6"/>
    <s v="4211.001"/>
    <s v="Intérêts de retard sur factures"/>
    <n v="0"/>
    <n v="44528.98"/>
    <n v="4211"/>
  </r>
  <r>
    <x v="0"/>
    <x v="2"/>
    <x v="2"/>
    <x v="217"/>
    <x v="183"/>
    <x v="183"/>
    <s v="REVENUS"/>
    <x v="6"/>
    <s v="4211.002"/>
    <s v="Intérêts de retard sur acomptes"/>
    <n v="0"/>
    <n v="35199.26"/>
    <n v="4211"/>
  </r>
  <r>
    <x v="0"/>
    <x v="2"/>
    <x v="2"/>
    <x v="217"/>
    <x v="183"/>
    <x v="183"/>
    <s v="REVENUS"/>
    <x v="2"/>
    <s v="4001.007"/>
    <s v="Acompte impôt sur revenu"/>
    <n v="0"/>
    <n v="-678.1"/>
    <n v="4001"/>
  </r>
  <r>
    <x v="0"/>
    <x v="2"/>
    <x v="2"/>
    <x v="217"/>
    <x v="183"/>
    <x v="183"/>
    <s v="REVENUS"/>
    <x v="3"/>
    <s v="4002.007"/>
    <s v="Acompte impôt sur fortune"/>
    <n v="0"/>
    <n v="125.85"/>
    <n v="4002"/>
  </r>
  <r>
    <x v="0"/>
    <x v="2"/>
    <x v="2"/>
    <x v="217"/>
    <x v="183"/>
    <x v="183"/>
    <s v="REVENUS"/>
    <x v="2"/>
    <s v="4001.002"/>
    <s v="Impôt complément s/revenu PP"/>
    <n v="0"/>
    <n v="3025517.3"/>
    <n v="4001"/>
  </r>
  <r>
    <x v="0"/>
    <x v="2"/>
    <x v="2"/>
    <x v="217"/>
    <x v="183"/>
    <x v="183"/>
    <s v="REVENUS"/>
    <x v="3"/>
    <s v="4002.002"/>
    <s v="Impôt complémentaire s/fortune PP"/>
    <n v="0"/>
    <n v="758815.85"/>
    <n v="4002"/>
  </r>
  <r>
    <x v="0"/>
    <x v="2"/>
    <x v="2"/>
    <x v="217"/>
    <x v="183"/>
    <x v="183"/>
    <s v="REVENUS"/>
    <x v="6"/>
    <s v="4221.003"/>
    <s v="Intérêts compensat. / acomptes en faveur du fisc"/>
    <n v="0"/>
    <n v="1646.54"/>
    <n v="4221"/>
  </r>
  <r>
    <x v="0"/>
    <x v="2"/>
    <x v="2"/>
    <x v="217"/>
    <x v="183"/>
    <x v="183"/>
    <s v="REVENUS"/>
    <x v="8"/>
    <s v="4091.001"/>
    <s v="Impôt récupéré après défalcations"/>
    <n v="0"/>
    <n v="6656.69"/>
    <n v="4091"/>
  </r>
  <r>
    <x v="0"/>
    <x v="2"/>
    <x v="2"/>
    <x v="217"/>
    <x v="183"/>
    <x v="183"/>
    <s v="REVENUS"/>
    <x v="7"/>
    <s v="4184.000"/>
    <s v="Frais de poursuite"/>
    <n v="0"/>
    <n v="136.85"/>
    <n v="4184"/>
  </r>
  <r>
    <x v="0"/>
    <x v="2"/>
    <x v="2"/>
    <x v="217"/>
    <x v="183"/>
    <x v="183"/>
    <s v="REVENUS"/>
    <x v="11"/>
    <s v="4198.000"/>
    <s v="Contributions communales"/>
    <n v="0"/>
    <n v="1140262.05"/>
    <n v="4198"/>
  </r>
  <r>
    <x v="0"/>
    <x v="2"/>
    <x v="2"/>
    <x v="217"/>
    <x v="183"/>
    <x v="183"/>
    <s v="REVENUS"/>
    <x v="2"/>
    <s v="4001.003"/>
    <s v="Impôt s/prest. cap. PP"/>
    <n v="0"/>
    <n v="177196.25"/>
    <n v="4001"/>
  </r>
  <r>
    <x v="0"/>
    <x v="2"/>
    <x v="2"/>
    <x v="217"/>
    <x v="183"/>
    <x v="183"/>
    <s v="REVENUS"/>
    <x v="7"/>
    <s v="4184.000"/>
    <s v="Frais de poursuite"/>
    <n v="0"/>
    <n v="4862.99"/>
    <n v="4184"/>
  </r>
  <r>
    <x v="0"/>
    <x v="2"/>
    <x v="2"/>
    <x v="217"/>
    <x v="183"/>
    <x v="183"/>
    <s v="REVENUS"/>
    <x v="9"/>
    <s v="4031.001"/>
    <s v="Impôt sur les gains immobiliers"/>
    <n v="0"/>
    <n v="472362.75"/>
    <n v="4031"/>
  </r>
  <r>
    <x v="0"/>
    <x v="2"/>
    <x v="2"/>
    <x v="217"/>
    <x v="183"/>
    <x v="183"/>
    <s v="REVENUS"/>
    <x v="6"/>
    <s v="4221.002"/>
    <s v="Intérêts compensat. sur impôts distincts"/>
    <n v="0"/>
    <n v="39.46"/>
    <n v="4221"/>
  </r>
  <r>
    <x v="0"/>
    <x v="2"/>
    <x v="2"/>
    <x v="217"/>
    <x v="183"/>
    <x v="183"/>
    <s v="REVENUS"/>
    <x v="2"/>
    <s v="4001.002"/>
    <s v="Impôt complément s/revenu PP"/>
    <n v="0"/>
    <n v="82.7"/>
    <n v="4001"/>
  </r>
  <r>
    <x v="0"/>
    <x v="2"/>
    <x v="2"/>
    <x v="217"/>
    <x v="183"/>
    <x v="183"/>
    <s v="REVENUS"/>
    <x v="10"/>
    <s v="4041.001"/>
    <s v="Droits de mutation"/>
    <n v="0"/>
    <n v="689158.5"/>
    <n v="4041"/>
  </r>
  <r>
    <x v="0"/>
    <x v="2"/>
    <x v="2"/>
    <x v="217"/>
    <x v="183"/>
    <x v="183"/>
    <s v="REVENUS"/>
    <x v="2"/>
    <s v="4001.007"/>
    <s v="Acompte impôt sur revenu"/>
    <n v="0"/>
    <n v="-145.94999999999999"/>
    <n v="4001"/>
  </r>
  <r>
    <x v="0"/>
    <x v="2"/>
    <x v="2"/>
    <x v="217"/>
    <x v="183"/>
    <x v="183"/>
    <s v="REVENUS"/>
    <x v="3"/>
    <s v="4002.007"/>
    <s v="Acompte impôt sur fortune"/>
    <n v="0"/>
    <n v="-44.6"/>
    <n v="4002"/>
  </r>
  <r>
    <x v="0"/>
    <x v="2"/>
    <x v="2"/>
    <x v="217"/>
    <x v="183"/>
    <x v="183"/>
    <s v="REVENUS"/>
    <x v="12"/>
    <s v="4004.007"/>
    <s v="Acompte spécial étrangers"/>
    <n v="0"/>
    <n v="-28634.55"/>
    <n v="4004"/>
  </r>
  <r>
    <x v="0"/>
    <x v="2"/>
    <x v="2"/>
    <x v="217"/>
    <x v="183"/>
    <x v="183"/>
    <s v="REVENUS"/>
    <x v="3"/>
    <s v="4002.007"/>
    <s v="Acompte impôt sur fortune"/>
    <n v="0"/>
    <n v="-2189.7800000000002"/>
    <n v="4002"/>
  </r>
  <r>
    <x v="0"/>
    <x v="2"/>
    <x v="2"/>
    <x v="217"/>
    <x v="183"/>
    <x v="183"/>
    <s v="REVENUS"/>
    <x v="3"/>
    <s v="4002.001"/>
    <s v="Impôt ordinaire s/fortune PP"/>
    <n v="0"/>
    <n v="4015.45"/>
    <n v="4002"/>
  </r>
  <r>
    <x v="0"/>
    <x v="2"/>
    <x v="2"/>
    <x v="217"/>
    <x v="183"/>
    <x v="183"/>
    <s v="REVENUS"/>
    <x v="2"/>
    <s v="4001.007"/>
    <s v="Acompte impôt sur revenu"/>
    <n v="0"/>
    <n v="-10145.700000000001"/>
    <n v="4001"/>
  </r>
  <r>
    <x v="0"/>
    <x v="2"/>
    <x v="2"/>
    <x v="217"/>
    <x v="183"/>
    <x v="183"/>
    <s v="REVENUS"/>
    <x v="3"/>
    <s v="4002.007"/>
    <s v="Acompte impôt sur fortune"/>
    <n v="0"/>
    <n v="-1263.8599999999999"/>
    <n v="4002"/>
  </r>
  <r>
    <x v="0"/>
    <x v="2"/>
    <x v="2"/>
    <x v="217"/>
    <x v="183"/>
    <x v="183"/>
    <s v="REVENUS"/>
    <x v="3"/>
    <s v="4002.007"/>
    <s v="Acompte impôt sur fortune"/>
    <n v="0"/>
    <n v="-70.75"/>
    <n v="4002"/>
  </r>
  <r>
    <x v="0"/>
    <x v="2"/>
    <x v="2"/>
    <x v="217"/>
    <x v="183"/>
    <x v="183"/>
    <s v="REVENUS"/>
    <x v="3"/>
    <s v="4002.007"/>
    <s v="Acompte impôt sur fortune"/>
    <n v="0"/>
    <n v="-23.25"/>
    <n v="4002"/>
  </r>
  <r>
    <x v="0"/>
    <x v="2"/>
    <x v="2"/>
    <x v="217"/>
    <x v="183"/>
    <x v="183"/>
    <s v="REVENUS"/>
    <x v="2"/>
    <s v="4001.001"/>
    <s v="Impôt revenu"/>
    <n v="0"/>
    <n v="-12725.55"/>
    <n v="4001"/>
  </r>
  <r>
    <x v="0"/>
    <x v="2"/>
    <x v="2"/>
    <x v="217"/>
    <x v="183"/>
    <x v="183"/>
    <s v="REVENUS"/>
    <x v="3"/>
    <s v="4002.001"/>
    <s v="Impôt ordinaire s/fortune PP"/>
    <n v="0"/>
    <n v="-4033.65"/>
    <n v="4002"/>
  </r>
  <r>
    <x v="0"/>
    <x v="2"/>
    <x v="2"/>
    <x v="217"/>
    <x v="183"/>
    <x v="183"/>
    <s v="REVENUS"/>
    <x v="6"/>
    <s v="4211.002"/>
    <s v="Intérêts de retard sur acomptes"/>
    <n v="0"/>
    <n v="-7.0000000000000007E-2"/>
    <n v="4211"/>
  </r>
  <r>
    <x v="0"/>
    <x v="2"/>
    <x v="2"/>
    <x v="217"/>
    <x v="183"/>
    <x v="183"/>
    <s v="REVENUS"/>
    <x v="2"/>
    <s v="4001.007"/>
    <s v="Acompte impôt sur revenu"/>
    <n v="0"/>
    <n v="-1017.4"/>
    <n v="4001"/>
  </r>
  <r>
    <x v="0"/>
    <x v="2"/>
    <x v="2"/>
    <x v="217"/>
    <x v="183"/>
    <x v="183"/>
    <s v="REVENUS"/>
    <x v="3"/>
    <s v="4002.007"/>
    <s v="Acompte impôt sur fortune"/>
    <n v="0"/>
    <n v="-46.8"/>
    <n v="4002"/>
  </r>
  <r>
    <x v="0"/>
    <x v="2"/>
    <x v="2"/>
    <x v="217"/>
    <x v="183"/>
    <x v="183"/>
    <s v="REVENUS"/>
    <x v="2"/>
    <s v="4001.001"/>
    <s v="Impôt revenu"/>
    <n v="0"/>
    <n v="375.25"/>
    <n v="4001"/>
  </r>
  <r>
    <x v="0"/>
    <x v="2"/>
    <x v="2"/>
    <x v="217"/>
    <x v="183"/>
    <x v="183"/>
    <s v="REVENUS"/>
    <x v="3"/>
    <s v="4002.001"/>
    <s v="Impôt ordinaire s/fortune PP"/>
    <n v="0"/>
    <n v="118.2"/>
    <n v="4002"/>
  </r>
  <r>
    <x v="0"/>
    <x v="2"/>
    <x v="2"/>
    <x v="217"/>
    <x v="183"/>
    <x v="183"/>
    <s v="REVENUS"/>
    <x v="5"/>
    <s v="4061.000"/>
    <s v="Impôt sur les chiens"/>
    <n v="0"/>
    <n v="20000"/>
    <n v="4061"/>
  </r>
  <r>
    <x v="0"/>
    <x v="2"/>
    <x v="2"/>
    <x v="217"/>
    <x v="183"/>
    <x v="183"/>
    <s v="REVENUS"/>
    <x v="3"/>
    <s v="4002.001"/>
    <s v="Impôt ordinaire s/fortune PP"/>
    <n v="0"/>
    <n v="3396.95"/>
    <n v="4002"/>
  </r>
  <r>
    <x v="0"/>
    <x v="2"/>
    <x v="2"/>
    <x v="217"/>
    <x v="183"/>
    <x v="183"/>
    <s v="REVENUS"/>
    <x v="6"/>
    <s v="4211.002"/>
    <s v="Intérêts de retard sur acomptes"/>
    <n v="0"/>
    <n v="57.34"/>
    <n v="4211"/>
  </r>
  <r>
    <x v="0"/>
    <x v="2"/>
    <x v="2"/>
    <x v="217"/>
    <x v="183"/>
    <x v="183"/>
    <s v="REVENUS"/>
    <x v="3"/>
    <s v="4002.001"/>
    <s v="Impôt ordinaire s/fortune PP"/>
    <n v="0"/>
    <n v="11.9"/>
    <n v="4002"/>
  </r>
  <r>
    <x v="0"/>
    <x v="2"/>
    <x v="2"/>
    <x v="217"/>
    <x v="183"/>
    <x v="183"/>
    <s v="REVENUS"/>
    <x v="2"/>
    <s v="4001.001"/>
    <s v="Impôt revenu"/>
    <n v="0"/>
    <n v="5385.4"/>
    <n v="4001"/>
  </r>
  <r>
    <x v="0"/>
    <x v="2"/>
    <x v="2"/>
    <x v="217"/>
    <x v="183"/>
    <x v="183"/>
    <s v="REVENUS"/>
    <x v="12"/>
    <s v="4004.000"/>
    <s v="Impôt spécial étrangers"/>
    <n v="0"/>
    <n v="211029.05"/>
    <n v="4004"/>
  </r>
  <r>
    <x v="0"/>
    <x v="2"/>
    <x v="2"/>
    <x v="217"/>
    <x v="183"/>
    <x v="183"/>
    <s v="REVENUS"/>
    <x v="6"/>
    <s v="4211.002"/>
    <s v="Intérêts de retard sur acomptes"/>
    <n v="0"/>
    <n v="0.87"/>
    <n v="4211"/>
  </r>
  <r>
    <x v="0"/>
    <x v="2"/>
    <x v="2"/>
    <x v="217"/>
    <x v="183"/>
    <x v="183"/>
    <s v="REVENUS"/>
    <x v="6"/>
    <s v="4211.001"/>
    <s v="Intérêts de retard sur factures"/>
    <n v="0"/>
    <n v="0.42"/>
    <n v="4211"/>
  </r>
  <r>
    <x v="0"/>
    <x v="2"/>
    <x v="2"/>
    <x v="217"/>
    <x v="183"/>
    <x v="183"/>
    <s v="REVENUS"/>
    <x v="2"/>
    <s v="4001.007"/>
    <s v="Acompte impôt sur revenu"/>
    <n v="0"/>
    <n v="-3045.17"/>
    <n v="4001"/>
  </r>
  <r>
    <x v="0"/>
    <x v="2"/>
    <x v="2"/>
    <x v="217"/>
    <x v="183"/>
    <x v="183"/>
    <s v="REVENUS"/>
    <x v="2"/>
    <s v="4001.005"/>
    <s v="Amende de soustract. Impôt"/>
    <n v="0"/>
    <n v="26300"/>
    <n v="4001"/>
  </r>
  <r>
    <x v="0"/>
    <x v="2"/>
    <x v="2"/>
    <x v="217"/>
    <x v="183"/>
    <x v="183"/>
    <s v="REVENUS"/>
    <x v="12"/>
    <s v="4004.000"/>
    <s v="Impôt spécial étrangers"/>
    <n v="0"/>
    <n v="7111.5"/>
    <n v="4004"/>
  </r>
  <r>
    <x v="0"/>
    <x v="2"/>
    <x v="2"/>
    <x v="217"/>
    <x v="183"/>
    <x v="183"/>
    <s v="REVENUS"/>
    <x v="12"/>
    <s v="4004.007"/>
    <s v="Acompte spécial étrangers"/>
    <n v="0"/>
    <n v="-7517.9"/>
    <n v="4004"/>
  </r>
  <r>
    <x v="0"/>
    <x v="2"/>
    <x v="2"/>
    <x v="217"/>
    <x v="183"/>
    <x v="183"/>
    <s v="REVENUS"/>
    <x v="6"/>
    <s v="4211.002"/>
    <s v="Intérêts de retard sur acomptes"/>
    <n v="0"/>
    <n v="20.09"/>
    <n v="4211"/>
  </r>
  <r>
    <x v="0"/>
    <x v="2"/>
    <x v="2"/>
    <x v="217"/>
    <x v="183"/>
    <x v="183"/>
    <s v="REVENUS"/>
    <x v="9"/>
    <s v="4031.002"/>
    <s v="Complément impôt sur les gains immobiliers"/>
    <n v="0"/>
    <n v="53079.85"/>
    <n v="4031"/>
  </r>
  <r>
    <x v="0"/>
    <x v="2"/>
    <x v="2"/>
    <x v="217"/>
    <x v="183"/>
    <x v="183"/>
    <s v="REVENUS"/>
    <x v="2"/>
    <s v="4001.001"/>
    <s v="Impôt revenu"/>
    <n v="0"/>
    <n v="2111.9"/>
    <n v="4001"/>
  </r>
  <r>
    <x v="0"/>
    <x v="2"/>
    <x v="2"/>
    <x v="217"/>
    <x v="183"/>
    <x v="183"/>
    <s v="REVENUS"/>
    <x v="3"/>
    <s v="4002.001"/>
    <s v="Impôt ordinaire s/fortune PP"/>
    <n v="0"/>
    <n v="968.1"/>
    <n v="4002"/>
  </r>
  <r>
    <x v="0"/>
    <x v="2"/>
    <x v="2"/>
    <x v="217"/>
    <x v="183"/>
    <x v="183"/>
    <s v="REVENUS"/>
    <x v="6"/>
    <s v="4221.003"/>
    <s v="Intérêts compensat. / acomptes en faveur du fisc"/>
    <n v="0"/>
    <n v="0.1"/>
    <n v="4221"/>
  </r>
  <r>
    <x v="0"/>
    <x v="2"/>
    <x v="2"/>
    <x v="217"/>
    <x v="183"/>
    <x v="183"/>
    <s v="REVENUS"/>
    <x v="3"/>
    <s v="4002.001"/>
    <s v="Impôt ordinaire s/fortune PP"/>
    <n v="0"/>
    <n v="31.45"/>
    <n v="4002"/>
  </r>
  <r>
    <x v="0"/>
    <x v="2"/>
    <x v="2"/>
    <x v="217"/>
    <x v="183"/>
    <x v="183"/>
    <s v="REVENUS"/>
    <x v="8"/>
    <s v="4091.001"/>
    <s v="Impôt récupéré après défalcations"/>
    <n v="0"/>
    <n v="3967.2"/>
    <n v="4091"/>
  </r>
  <r>
    <x v="0"/>
    <x v="2"/>
    <x v="2"/>
    <x v="218"/>
    <x v="184"/>
    <x v="184"/>
    <s v="CHARGES"/>
    <x v="0"/>
    <s v="3212.002"/>
    <s v="Intérêts bonifiés/trop perçu acompte C/C"/>
    <n v="454.52"/>
    <n v="0"/>
    <n v="3212"/>
  </r>
  <r>
    <x v="0"/>
    <x v="2"/>
    <x v="2"/>
    <x v="218"/>
    <x v="184"/>
    <x v="184"/>
    <s v="CHARGES"/>
    <x v="0"/>
    <s v="3212.004"/>
    <s v="Intérêts rémun./perçu trop tôt sur acomptes C/C"/>
    <n v="3576.41"/>
    <n v="0"/>
    <n v="3212"/>
  </r>
  <r>
    <x v="0"/>
    <x v="2"/>
    <x v="2"/>
    <x v="218"/>
    <x v="184"/>
    <x v="184"/>
    <s v="CHARGES"/>
    <x v="0"/>
    <s v="3221.002"/>
    <s v="Intérêts compensatoires / créances en faveur ctb."/>
    <n v="1170.56"/>
    <n v="0"/>
    <n v="3221"/>
  </r>
  <r>
    <x v="0"/>
    <x v="2"/>
    <x v="2"/>
    <x v="218"/>
    <x v="184"/>
    <x v="184"/>
    <s v="CHARGES"/>
    <x v="1"/>
    <s v="3301.001"/>
    <s v="Défalcations, abandons de solde PP et IS"/>
    <n v="15932.06"/>
    <n v="0"/>
    <n v="3301"/>
  </r>
  <r>
    <x v="0"/>
    <x v="2"/>
    <x v="2"/>
    <x v="218"/>
    <x v="184"/>
    <x v="184"/>
    <s v="CHARGES"/>
    <x v="0"/>
    <s v="3212.004"/>
    <s v="Intérêts rémun./perçu trop tôt sur acomptes C/C"/>
    <n v="17.940000000000001"/>
    <n v="0"/>
    <n v="3212"/>
  </r>
  <r>
    <x v="0"/>
    <x v="2"/>
    <x v="2"/>
    <x v="218"/>
    <x v="184"/>
    <x v="184"/>
    <s v="CHARGES"/>
    <x v="0"/>
    <s v="3212.004"/>
    <s v="Intérêts rémun./perçu trop tôt sur acomptes C/C"/>
    <n v="3.79"/>
    <n v="0"/>
    <n v="3212"/>
  </r>
  <r>
    <x v="0"/>
    <x v="2"/>
    <x v="2"/>
    <x v="218"/>
    <x v="184"/>
    <x v="184"/>
    <s v="CHARGES"/>
    <x v="0"/>
    <s v="3221.002"/>
    <s v="Intérêts compensatoires / créances en faveur ctb."/>
    <n v="5.83"/>
    <n v="0"/>
    <n v="3221"/>
  </r>
  <r>
    <x v="0"/>
    <x v="2"/>
    <x v="2"/>
    <x v="218"/>
    <x v="184"/>
    <x v="184"/>
    <s v="CHARGES"/>
    <x v="0"/>
    <s v="3212.004"/>
    <s v="Intérêts rémun./perçu trop tôt sur acomptes C/C"/>
    <n v="0.64"/>
    <n v="0"/>
    <n v="3212"/>
  </r>
  <r>
    <x v="0"/>
    <x v="2"/>
    <x v="2"/>
    <x v="218"/>
    <x v="184"/>
    <x v="184"/>
    <s v="CHARGES"/>
    <x v="0"/>
    <s v="3221.002"/>
    <s v="Intérêts compensatoires / créances en faveur ctb."/>
    <n v="0.02"/>
    <n v="0"/>
    <n v="3221"/>
  </r>
  <r>
    <x v="0"/>
    <x v="2"/>
    <x v="2"/>
    <x v="218"/>
    <x v="184"/>
    <x v="184"/>
    <s v="CHARGES"/>
    <x v="1"/>
    <s v="3301.001"/>
    <s v="Défalcations, abandons de solde PP et IS"/>
    <n v="-38.46"/>
    <n v="0"/>
    <n v="3301"/>
  </r>
  <r>
    <x v="0"/>
    <x v="2"/>
    <x v="2"/>
    <x v="218"/>
    <x v="184"/>
    <x v="184"/>
    <s v="CHARGES"/>
    <x v="1"/>
    <s v="3301.001"/>
    <s v="Défalcations, abandons de solde PP et IS"/>
    <n v="2.0099999999999998"/>
    <n v="0"/>
    <n v="3301"/>
  </r>
  <r>
    <x v="0"/>
    <x v="2"/>
    <x v="2"/>
    <x v="218"/>
    <x v="184"/>
    <x v="184"/>
    <s v="CHARGES"/>
    <x v="1"/>
    <s v="3301.001"/>
    <s v="Défalcations, abandons de solde PP et IS"/>
    <n v="0.67"/>
    <n v="0"/>
    <n v="3301"/>
  </r>
  <r>
    <x v="0"/>
    <x v="2"/>
    <x v="2"/>
    <x v="218"/>
    <x v="184"/>
    <x v="184"/>
    <s v="CHARGES"/>
    <x v="0"/>
    <s v="3221.002"/>
    <s v="Intérêts compensatoires / créances en faveur ctb."/>
    <n v="0.41"/>
    <n v="0"/>
    <n v="3221"/>
  </r>
  <r>
    <x v="0"/>
    <x v="2"/>
    <x v="2"/>
    <x v="218"/>
    <x v="184"/>
    <x v="184"/>
    <s v="CHARGES"/>
    <x v="0"/>
    <s v="3212.004"/>
    <s v="Intérêts rémun./perçu trop tôt sur acomptes C/C"/>
    <n v="0.13"/>
    <n v="0"/>
    <n v="3212"/>
  </r>
  <r>
    <x v="0"/>
    <x v="2"/>
    <x v="2"/>
    <x v="218"/>
    <x v="184"/>
    <x v="184"/>
    <s v="CHARGES"/>
    <x v="1"/>
    <s v="3301.001"/>
    <s v="Défalcations, abandons de solde PP et IS"/>
    <n v="0.59"/>
    <n v="0"/>
    <n v="3301"/>
  </r>
  <r>
    <x v="0"/>
    <x v="2"/>
    <x v="2"/>
    <x v="218"/>
    <x v="184"/>
    <x v="184"/>
    <s v="CHARGES"/>
    <x v="1"/>
    <s v="3301.003"/>
    <s v="Remises PP et IS"/>
    <n v="492.9"/>
    <n v="0"/>
    <n v="3301"/>
  </r>
  <r>
    <x v="0"/>
    <x v="2"/>
    <x v="2"/>
    <x v="218"/>
    <x v="184"/>
    <x v="184"/>
    <s v="CHARGES"/>
    <x v="0"/>
    <s v="3212.004"/>
    <s v="Intérêts rémun./perçu trop tôt sur acomptes C/C"/>
    <n v="1.1399999999999999"/>
    <n v="0"/>
    <n v="3212"/>
  </r>
  <r>
    <x v="0"/>
    <x v="2"/>
    <x v="2"/>
    <x v="218"/>
    <x v="184"/>
    <x v="184"/>
    <s v="CHARGES"/>
    <x v="1"/>
    <s v="3301.001"/>
    <s v="Défalcations, abandons de solde PP et IS"/>
    <n v="0.45"/>
    <n v="0"/>
    <n v="3301"/>
  </r>
  <r>
    <x v="0"/>
    <x v="2"/>
    <x v="2"/>
    <x v="218"/>
    <x v="184"/>
    <x v="184"/>
    <s v="REVENUS"/>
    <x v="2"/>
    <s v="4001.007"/>
    <s v="Acompte impôt sur revenu"/>
    <n v="0"/>
    <n v="357004.16"/>
    <n v="4001"/>
  </r>
  <r>
    <x v="0"/>
    <x v="2"/>
    <x v="2"/>
    <x v="218"/>
    <x v="184"/>
    <x v="184"/>
    <s v="REVENUS"/>
    <x v="3"/>
    <s v="4002.007"/>
    <s v="Acompte impôt sur fortune"/>
    <n v="0"/>
    <n v="-188326.11"/>
    <n v="4002"/>
  </r>
  <r>
    <x v="0"/>
    <x v="2"/>
    <x v="2"/>
    <x v="218"/>
    <x v="184"/>
    <x v="184"/>
    <s v="REVENUS"/>
    <x v="2"/>
    <s v="4001.001"/>
    <s v="Impôt revenu"/>
    <n v="0"/>
    <n v="8776938.6500000004"/>
    <n v="4001"/>
  </r>
  <r>
    <x v="0"/>
    <x v="2"/>
    <x v="2"/>
    <x v="218"/>
    <x v="184"/>
    <x v="184"/>
    <s v="REVENUS"/>
    <x v="2"/>
    <s v="4001.002"/>
    <s v="Impôt complément s/revenu PP"/>
    <n v="0"/>
    <n v="3013259.9"/>
    <n v="4001"/>
  </r>
  <r>
    <x v="0"/>
    <x v="2"/>
    <x v="2"/>
    <x v="218"/>
    <x v="184"/>
    <x v="184"/>
    <s v="REVENUS"/>
    <x v="3"/>
    <s v="4002.001"/>
    <s v="Impôt ordinaire s/fortune PP"/>
    <n v="0"/>
    <n v="4250433.9000000004"/>
    <n v="4002"/>
  </r>
  <r>
    <x v="0"/>
    <x v="2"/>
    <x v="2"/>
    <x v="218"/>
    <x v="184"/>
    <x v="184"/>
    <s v="REVENUS"/>
    <x v="3"/>
    <s v="4002.002"/>
    <s v="Impôt complémentaire s/fortune PP"/>
    <n v="0"/>
    <n v="581240.19999999995"/>
    <n v="4002"/>
  </r>
  <r>
    <x v="0"/>
    <x v="2"/>
    <x v="2"/>
    <x v="218"/>
    <x v="184"/>
    <x v="184"/>
    <s v="REVENUS"/>
    <x v="6"/>
    <s v="4211.001"/>
    <s v="Intérêts de retard sur factures"/>
    <n v="0"/>
    <n v="59940.07"/>
    <n v="4211"/>
  </r>
  <r>
    <x v="0"/>
    <x v="2"/>
    <x v="2"/>
    <x v="218"/>
    <x v="184"/>
    <x v="184"/>
    <s v="REVENUS"/>
    <x v="6"/>
    <s v="4211.002"/>
    <s v="Intérêts de retard sur acomptes"/>
    <n v="0"/>
    <n v="49984.31"/>
    <n v="4211"/>
  </r>
  <r>
    <x v="0"/>
    <x v="2"/>
    <x v="2"/>
    <x v="218"/>
    <x v="184"/>
    <x v="184"/>
    <s v="REVENUS"/>
    <x v="6"/>
    <s v="4221.003"/>
    <s v="Intérêts compensat. / acomptes en faveur du fisc"/>
    <n v="0"/>
    <n v="3373.46"/>
    <n v="4221"/>
  </r>
  <r>
    <x v="0"/>
    <x v="2"/>
    <x v="2"/>
    <x v="218"/>
    <x v="184"/>
    <x v="184"/>
    <s v="REVENUS"/>
    <x v="7"/>
    <s v="4184.000"/>
    <s v="Frais de poursuite"/>
    <n v="0"/>
    <n v="3154.46"/>
    <n v="4184"/>
  </r>
  <r>
    <x v="0"/>
    <x v="2"/>
    <x v="2"/>
    <x v="218"/>
    <x v="184"/>
    <x v="184"/>
    <s v="REVENUS"/>
    <x v="11"/>
    <s v="4198.000"/>
    <s v="Contributions communales"/>
    <n v="0"/>
    <n v="1657762.7"/>
    <n v="4198"/>
  </r>
  <r>
    <x v="0"/>
    <x v="2"/>
    <x v="2"/>
    <x v="218"/>
    <x v="184"/>
    <x v="184"/>
    <s v="REVENUS"/>
    <x v="3"/>
    <s v="4002.001"/>
    <s v="Impôt ordinaire s/fortune PP"/>
    <n v="0"/>
    <n v="462.7"/>
    <n v="4002"/>
  </r>
  <r>
    <x v="0"/>
    <x v="2"/>
    <x v="2"/>
    <x v="218"/>
    <x v="184"/>
    <x v="184"/>
    <s v="REVENUS"/>
    <x v="6"/>
    <s v="4211.002"/>
    <s v="Intérêts de retard sur acomptes"/>
    <n v="0"/>
    <n v="38.53"/>
    <n v="4211"/>
  </r>
  <r>
    <x v="0"/>
    <x v="2"/>
    <x v="2"/>
    <x v="218"/>
    <x v="184"/>
    <x v="184"/>
    <s v="REVENUS"/>
    <x v="2"/>
    <s v="4001.003"/>
    <s v="Impôt s/prest. cap. PP"/>
    <n v="0"/>
    <n v="144851.6"/>
    <n v="4001"/>
  </r>
  <r>
    <x v="0"/>
    <x v="2"/>
    <x v="2"/>
    <x v="218"/>
    <x v="184"/>
    <x v="184"/>
    <s v="REVENUS"/>
    <x v="9"/>
    <s v="4031.001"/>
    <s v="Impôt sur les gains immobiliers"/>
    <n v="0"/>
    <n v="902426.7"/>
    <n v="4031"/>
  </r>
  <r>
    <x v="0"/>
    <x v="2"/>
    <x v="2"/>
    <x v="218"/>
    <x v="184"/>
    <x v="184"/>
    <s v="REVENUS"/>
    <x v="6"/>
    <s v="4221.002"/>
    <s v="Intérêts compensat. sur impôts distincts"/>
    <n v="0"/>
    <n v="235.14"/>
    <n v="4221"/>
  </r>
  <r>
    <x v="0"/>
    <x v="2"/>
    <x v="2"/>
    <x v="218"/>
    <x v="184"/>
    <x v="184"/>
    <s v="REVENUS"/>
    <x v="2"/>
    <s v="4001.007"/>
    <s v="Acompte impôt sur revenu"/>
    <n v="0"/>
    <n v="-4779.75"/>
    <n v="4001"/>
  </r>
  <r>
    <x v="0"/>
    <x v="2"/>
    <x v="2"/>
    <x v="218"/>
    <x v="184"/>
    <x v="184"/>
    <s v="REVENUS"/>
    <x v="2"/>
    <s v="4001.001"/>
    <s v="Impôt revenu"/>
    <n v="0"/>
    <n v="3961.8"/>
    <n v="4001"/>
  </r>
  <r>
    <x v="0"/>
    <x v="2"/>
    <x v="2"/>
    <x v="218"/>
    <x v="184"/>
    <x v="184"/>
    <s v="REVENUS"/>
    <x v="3"/>
    <s v="4002.001"/>
    <s v="Impôt ordinaire s/fortune PP"/>
    <n v="0"/>
    <n v="2776.45"/>
    <n v="4002"/>
  </r>
  <r>
    <x v="0"/>
    <x v="2"/>
    <x v="2"/>
    <x v="218"/>
    <x v="184"/>
    <x v="184"/>
    <s v="REVENUS"/>
    <x v="12"/>
    <s v="4004.007"/>
    <s v="Acompte spécial étrangers"/>
    <n v="0"/>
    <n v="63168.78"/>
    <n v="4004"/>
  </r>
  <r>
    <x v="0"/>
    <x v="2"/>
    <x v="2"/>
    <x v="218"/>
    <x v="184"/>
    <x v="184"/>
    <s v="REVENUS"/>
    <x v="2"/>
    <s v="4001.001"/>
    <s v="Impôt revenu"/>
    <n v="0"/>
    <n v="5446.4"/>
    <n v="4001"/>
  </r>
  <r>
    <x v="0"/>
    <x v="2"/>
    <x v="2"/>
    <x v="218"/>
    <x v="184"/>
    <x v="184"/>
    <s v="REVENUS"/>
    <x v="3"/>
    <s v="4002.001"/>
    <s v="Impôt ordinaire s/fortune PP"/>
    <n v="0"/>
    <n v="2812.6"/>
    <n v="4002"/>
  </r>
  <r>
    <x v="0"/>
    <x v="2"/>
    <x v="2"/>
    <x v="218"/>
    <x v="184"/>
    <x v="184"/>
    <s v="REVENUS"/>
    <x v="2"/>
    <s v="4001.007"/>
    <s v="Acompte impôt sur revenu"/>
    <n v="0"/>
    <n v="5560.93"/>
    <n v="4001"/>
  </r>
  <r>
    <x v="0"/>
    <x v="2"/>
    <x v="2"/>
    <x v="218"/>
    <x v="184"/>
    <x v="184"/>
    <s v="REVENUS"/>
    <x v="3"/>
    <s v="4002.007"/>
    <s v="Acompte impôt sur fortune"/>
    <n v="0"/>
    <n v="1077.3800000000001"/>
    <n v="4002"/>
  </r>
  <r>
    <x v="0"/>
    <x v="2"/>
    <x v="2"/>
    <x v="218"/>
    <x v="184"/>
    <x v="184"/>
    <s v="REVENUS"/>
    <x v="10"/>
    <s v="4041.001"/>
    <s v="Droits de mutation"/>
    <n v="0"/>
    <n v="512075.45"/>
    <n v="4041"/>
  </r>
  <r>
    <x v="0"/>
    <x v="2"/>
    <x v="2"/>
    <x v="218"/>
    <x v="184"/>
    <x v="184"/>
    <s v="REVENUS"/>
    <x v="2"/>
    <s v="4001.007"/>
    <s v="Acompte impôt sur revenu"/>
    <n v="0"/>
    <n v="2702.52"/>
    <n v="4001"/>
  </r>
  <r>
    <x v="0"/>
    <x v="2"/>
    <x v="2"/>
    <x v="218"/>
    <x v="184"/>
    <x v="184"/>
    <s v="REVENUS"/>
    <x v="3"/>
    <s v="4002.007"/>
    <s v="Acompte impôt sur fortune"/>
    <n v="0"/>
    <n v="1368.1"/>
    <n v="4002"/>
  </r>
  <r>
    <x v="0"/>
    <x v="2"/>
    <x v="2"/>
    <x v="218"/>
    <x v="184"/>
    <x v="184"/>
    <s v="REVENUS"/>
    <x v="2"/>
    <s v="4001.007"/>
    <s v="Acompte impôt sur revenu"/>
    <n v="0"/>
    <n v="-3272.4"/>
    <n v="4001"/>
  </r>
  <r>
    <x v="0"/>
    <x v="2"/>
    <x v="2"/>
    <x v="218"/>
    <x v="184"/>
    <x v="184"/>
    <s v="REVENUS"/>
    <x v="10"/>
    <s v="4041.002"/>
    <s v="Complément droit de mutation"/>
    <n v="0"/>
    <n v="17201.5"/>
    <n v="4041"/>
  </r>
  <r>
    <x v="0"/>
    <x v="2"/>
    <x v="2"/>
    <x v="218"/>
    <x v="184"/>
    <x v="184"/>
    <s v="REVENUS"/>
    <x v="6"/>
    <s v="4211.001"/>
    <s v="Intérêts de retard sur factures"/>
    <n v="0"/>
    <n v="1.54"/>
    <n v="4211"/>
  </r>
  <r>
    <x v="0"/>
    <x v="2"/>
    <x v="2"/>
    <x v="218"/>
    <x v="184"/>
    <x v="184"/>
    <s v="REVENUS"/>
    <x v="2"/>
    <s v="4001.007"/>
    <s v="Acompte impôt sur revenu"/>
    <n v="0"/>
    <n v="-155.5"/>
    <n v="4001"/>
  </r>
  <r>
    <x v="0"/>
    <x v="2"/>
    <x v="2"/>
    <x v="218"/>
    <x v="184"/>
    <x v="184"/>
    <s v="REVENUS"/>
    <x v="3"/>
    <s v="4002.007"/>
    <s v="Acompte impôt sur fortune"/>
    <n v="0"/>
    <n v="-135.65"/>
    <n v="4002"/>
  </r>
  <r>
    <x v="0"/>
    <x v="2"/>
    <x v="2"/>
    <x v="218"/>
    <x v="184"/>
    <x v="184"/>
    <s v="REVENUS"/>
    <x v="3"/>
    <s v="4002.007"/>
    <s v="Acompte impôt sur fortune"/>
    <n v="0"/>
    <n v="28.1"/>
    <n v="4002"/>
  </r>
  <r>
    <x v="0"/>
    <x v="2"/>
    <x v="2"/>
    <x v="218"/>
    <x v="184"/>
    <x v="184"/>
    <s v="REVENUS"/>
    <x v="12"/>
    <s v="4004.000"/>
    <s v="Impôt spécial étrangers"/>
    <n v="0"/>
    <n v="1057981.45"/>
    <n v="4004"/>
  </r>
  <r>
    <x v="0"/>
    <x v="2"/>
    <x v="2"/>
    <x v="218"/>
    <x v="184"/>
    <x v="184"/>
    <s v="REVENUS"/>
    <x v="3"/>
    <s v="4002.007"/>
    <s v="Acompte impôt sur fortune"/>
    <n v="0"/>
    <n v="-3151.05"/>
    <n v="4002"/>
  </r>
  <r>
    <x v="0"/>
    <x v="2"/>
    <x v="2"/>
    <x v="218"/>
    <x v="184"/>
    <x v="184"/>
    <s v="REVENUS"/>
    <x v="2"/>
    <s v="4001.007"/>
    <s v="Acompte impôt sur revenu"/>
    <n v="0"/>
    <n v="100.5"/>
    <n v="4001"/>
  </r>
  <r>
    <x v="0"/>
    <x v="2"/>
    <x v="2"/>
    <x v="218"/>
    <x v="184"/>
    <x v="184"/>
    <s v="REVENUS"/>
    <x v="2"/>
    <s v="4001.007"/>
    <s v="Acompte impôt sur revenu"/>
    <n v="0"/>
    <n v="165"/>
    <n v="4001"/>
  </r>
  <r>
    <x v="0"/>
    <x v="2"/>
    <x v="2"/>
    <x v="218"/>
    <x v="184"/>
    <x v="184"/>
    <s v="REVENUS"/>
    <x v="3"/>
    <s v="4002.007"/>
    <s v="Acompte impôt sur fortune"/>
    <n v="0"/>
    <n v="5.95"/>
    <n v="4002"/>
  </r>
  <r>
    <x v="0"/>
    <x v="2"/>
    <x v="2"/>
    <x v="218"/>
    <x v="184"/>
    <x v="184"/>
    <s v="REVENUS"/>
    <x v="3"/>
    <s v="4002.007"/>
    <s v="Acompte impôt sur fortune"/>
    <n v="0"/>
    <n v="475.15"/>
    <n v="4002"/>
  </r>
  <r>
    <x v="0"/>
    <x v="2"/>
    <x v="2"/>
    <x v="218"/>
    <x v="184"/>
    <x v="184"/>
    <s v="REVENUS"/>
    <x v="7"/>
    <s v="4184.000"/>
    <s v="Frais de poursuite"/>
    <n v="0"/>
    <n v="22.38"/>
    <n v="4184"/>
  </r>
  <r>
    <x v="0"/>
    <x v="2"/>
    <x v="2"/>
    <x v="218"/>
    <x v="184"/>
    <x v="184"/>
    <s v="REVENUS"/>
    <x v="3"/>
    <s v="4002.002"/>
    <s v="Impôt complémentaire s/fortune PP"/>
    <n v="0"/>
    <n v="189.55"/>
    <n v="4002"/>
  </r>
  <r>
    <x v="0"/>
    <x v="2"/>
    <x v="2"/>
    <x v="218"/>
    <x v="184"/>
    <x v="184"/>
    <s v="REVENUS"/>
    <x v="2"/>
    <s v="4001.001"/>
    <s v="Impôt revenu"/>
    <n v="0"/>
    <n v="4283.95"/>
    <n v="4001"/>
  </r>
  <r>
    <x v="0"/>
    <x v="2"/>
    <x v="2"/>
    <x v="218"/>
    <x v="184"/>
    <x v="184"/>
    <s v="REVENUS"/>
    <x v="3"/>
    <s v="4002.001"/>
    <s v="Impôt ordinaire s/fortune PP"/>
    <n v="0"/>
    <n v="1700.45"/>
    <n v="4002"/>
  </r>
  <r>
    <x v="0"/>
    <x v="2"/>
    <x v="2"/>
    <x v="218"/>
    <x v="184"/>
    <x v="184"/>
    <s v="REVENUS"/>
    <x v="6"/>
    <s v="4221.003"/>
    <s v="Intérêts compensat. / acomptes en faveur du fisc"/>
    <n v="0"/>
    <n v="0.18"/>
    <n v="4221"/>
  </r>
  <r>
    <x v="0"/>
    <x v="2"/>
    <x v="2"/>
    <x v="218"/>
    <x v="184"/>
    <x v="184"/>
    <s v="REVENUS"/>
    <x v="6"/>
    <s v="4211.001"/>
    <s v="Intérêts de retard sur factures"/>
    <n v="0"/>
    <n v="2.0099999999999998"/>
    <n v="4211"/>
  </r>
  <r>
    <x v="0"/>
    <x v="2"/>
    <x v="2"/>
    <x v="218"/>
    <x v="184"/>
    <x v="184"/>
    <s v="REVENUS"/>
    <x v="5"/>
    <s v="4061.000"/>
    <s v="Impôt sur les chiens"/>
    <n v="0"/>
    <n v="10400"/>
    <n v="4061"/>
  </r>
  <r>
    <x v="0"/>
    <x v="2"/>
    <x v="2"/>
    <x v="218"/>
    <x v="184"/>
    <x v="184"/>
    <s v="REVENUS"/>
    <x v="4"/>
    <s v="4051.001"/>
    <s v="Impôt sur les successions"/>
    <n v="0"/>
    <n v="93171.1"/>
    <n v="4051"/>
  </r>
  <r>
    <x v="0"/>
    <x v="2"/>
    <x v="2"/>
    <x v="218"/>
    <x v="184"/>
    <x v="184"/>
    <s v="REVENUS"/>
    <x v="6"/>
    <s v="4211.002"/>
    <s v="Intérêts de retard sur acomptes"/>
    <n v="0"/>
    <n v="21.31"/>
    <n v="4211"/>
  </r>
  <r>
    <x v="0"/>
    <x v="2"/>
    <x v="2"/>
    <x v="218"/>
    <x v="184"/>
    <x v="184"/>
    <s v="REVENUS"/>
    <x v="6"/>
    <s v="4221.003"/>
    <s v="Intérêts compensat. / acomptes en faveur du fisc"/>
    <n v="0"/>
    <n v="0.67"/>
    <n v="4221"/>
  </r>
  <r>
    <x v="0"/>
    <x v="2"/>
    <x v="2"/>
    <x v="218"/>
    <x v="184"/>
    <x v="184"/>
    <s v="REVENUS"/>
    <x v="4"/>
    <s v="4051.002"/>
    <s v="Impôt sur les donations"/>
    <n v="0"/>
    <n v="67751.8"/>
    <n v="4051"/>
  </r>
  <r>
    <x v="0"/>
    <x v="2"/>
    <x v="2"/>
    <x v="218"/>
    <x v="184"/>
    <x v="184"/>
    <s v="REVENUS"/>
    <x v="9"/>
    <s v="4031.002"/>
    <s v="Complément impôt sur les gains immobiliers"/>
    <n v="0"/>
    <n v="24950"/>
    <n v="4031"/>
  </r>
  <r>
    <x v="0"/>
    <x v="2"/>
    <x v="2"/>
    <x v="218"/>
    <x v="184"/>
    <x v="184"/>
    <s v="REVENUS"/>
    <x v="2"/>
    <s v="4001.002"/>
    <s v="Impôt complément s/revenu PP"/>
    <n v="0"/>
    <n v="749.35"/>
    <n v="4001"/>
  </r>
  <r>
    <x v="0"/>
    <x v="2"/>
    <x v="2"/>
    <x v="218"/>
    <x v="184"/>
    <x v="184"/>
    <s v="REVENUS"/>
    <x v="3"/>
    <s v="4002.002"/>
    <s v="Impôt complémentaire s/fortune PP"/>
    <n v="0"/>
    <n v="347.15"/>
    <n v="4002"/>
  </r>
  <r>
    <x v="0"/>
    <x v="2"/>
    <x v="2"/>
    <x v="218"/>
    <x v="184"/>
    <x v="184"/>
    <s v="REVENUS"/>
    <x v="8"/>
    <s v="4091.001"/>
    <s v="Impôt récupéré après défalcations"/>
    <n v="0"/>
    <n v="300.41000000000003"/>
    <n v="4091"/>
  </r>
  <r>
    <x v="0"/>
    <x v="2"/>
    <x v="2"/>
    <x v="218"/>
    <x v="184"/>
    <x v="184"/>
    <s v="REVENUS"/>
    <x v="6"/>
    <s v="4211.002"/>
    <s v="Intérêts de retard sur acomptes"/>
    <n v="0"/>
    <n v="4.09"/>
    <n v="4211"/>
  </r>
  <r>
    <x v="0"/>
    <x v="2"/>
    <x v="2"/>
    <x v="218"/>
    <x v="184"/>
    <x v="184"/>
    <s v="REVENUS"/>
    <x v="2"/>
    <s v="4001.001"/>
    <s v="Impôt revenu"/>
    <n v="0"/>
    <n v="286.55"/>
    <n v="4001"/>
  </r>
  <r>
    <x v="0"/>
    <x v="2"/>
    <x v="2"/>
    <x v="218"/>
    <x v="184"/>
    <x v="184"/>
    <s v="REVENUS"/>
    <x v="3"/>
    <s v="4002.001"/>
    <s v="Impôt ordinaire s/fortune PP"/>
    <n v="0"/>
    <n v="4.95"/>
    <n v="4002"/>
  </r>
  <r>
    <x v="0"/>
    <x v="2"/>
    <x v="2"/>
    <x v="218"/>
    <x v="184"/>
    <x v="184"/>
    <s v="REVENUS"/>
    <x v="3"/>
    <s v="4002.001"/>
    <s v="Impôt ordinaire s/fortune PP"/>
    <n v="0"/>
    <n v="306.3"/>
    <n v="4002"/>
  </r>
  <r>
    <x v="0"/>
    <x v="2"/>
    <x v="2"/>
    <x v="218"/>
    <x v="184"/>
    <x v="184"/>
    <s v="REVENUS"/>
    <x v="3"/>
    <s v="4002.002"/>
    <s v="Impôt complémentaire s/fortune PP"/>
    <n v="0"/>
    <n v="1172.3499999999999"/>
    <n v="4002"/>
  </r>
  <r>
    <x v="0"/>
    <x v="2"/>
    <x v="2"/>
    <x v="218"/>
    <x v="184"/>
    <x v="184"/>
    <s v="REVENUS"/>
    <x v="6"/>
    <s v="4211.001"/>
    <s v="Intérêts de retard sur factures"/>
    <n v="0"/>
    <n v="0.72"/>
    <n v="4211"/>
  </r>
  <r>
    <x v="0"/>
    <x v="2"/>
    <x v="2"/>
    <x v="218"/>
    <x v="184"/>
    <x v="184"/>
    <s v="REVENUS"/>
    <x v="6"/>
    <s v="4221.003"/>
    <s v="Intérêts compensat. / acomptes en faveur du fisc"/>
    <n v="0"/>
    <n v="0.59"/>
    <n v="4221"/>
  </r>
  <r>
    <x v="0"/>
    <x v="2"/>
    <x v="2"/>
    <x v="218"/>
    <x v="184"/>
    <x v="184"/>
    <s v="REVENUS"/>
    <x v="6"/>
    <s v="4211.001"/>
    <s v="Intérêts de retard sur factures"/>
    <n v="0"/>
    <n v="5.01"/>
    <n v="4211"/>
  </r>
  <r>
    <x v="0"/>
    <x v="2"/>
    <x v="2"/>
    <x v="218"/>
    <x v="184"/>
    <x v="184"/>
    <s v="REVENUS"/>
    <x v="2"/>
    <s v="4001.001"/>
    <s v="Impôt revenu"/>
    <n v="0"/>
    <n v="724.9"/>
    <n v="4001"/>
  </r>
  <r>
    <x v="0"/>
    <x v="2"/>
    <x v="2"/>
    <x v="218"/>
    <x v="184"/>
    <x v="184"/>
    <s v="REVENUS"/>
    <x v="6"/>
    <s v="4221.003"/>
    <s v="Intérêts compensat. / acomptes en faveur du fisc"/>
    <n v="0"/>
    <n v="0.45"/>
    <n v="4221"/>
  </r>
  <r>
    <x v="0"/>
    <x v="2"/>
    <x v="2"/>
    <x v="218"/>
    <x v="184"/>
    <x v="184"/>
    <s v="REVENUS"/>
    <x v="8"/>
    <s v="4091.001"/>
    <s v="Impôt récupéré après défalcations"/>
    <n v="0"/>
    <n v="21052.26"/>
    <n v="4091"/>
  </r>
  <r>
    <x v="0"/>
    <x v="2"/>
    <x v="2"/>
    <x v="219"/>
    <x v="185"/>
    <x v="185"/>
    <s v="CHARGES"/>
    <x v="0"/>
    <s v="3212.002"/>
    <s v="Intérêts bonifiés/trop perçu acompte C/C"/>
    <n v="89.24"/>
    <n v="0"/>
    <n v="3212"/>
  </r>
  <r>
    <x v="0"/>
    <x v="2"/>
    <x v="2"/>
    <x v="219"/>
    <x v="185"/>
    <x v="185"/>
    <s v="CHARGES"/>
    <x v="1"/>
    <s v="3301.001"/>
    <s v="Défalcations, abandons de solde PP et IS"/>
    <n v="17959.45"/>
    <n v="0"/>
    <n v="3301"/>
  </r>
  <r>
    <x v="0"/>
    <x v="2"/>
    <x v="2"/>
    <x v="219"/>
    <x v="185"/>
    <x v="185"/>
    <s v="CHARGES"/>
    <x v="0"/>
    <s v="3212.004"/>
    <s v="Intérêts rémun./perçu trop tôt sur acomptes C/C"/>
    <n v="1948.76"/>
    <n v="0"/>
    <n v="3212"/>
  </r>
  <r>
    <x v="0"/>
    <x v="2"/>
    <x v="2"/>
    <x v="219"/>
    <x v="185"/>
    <x v="185"/>
    <s v="CHARGES"/>
    <x v="0"/>
    <s v="3221.002"/>
    <s v="Intérêts compensatoires / créances en faveur ctb."/>
    <n v="439.63"/>
    <n v="0"/>
    <n v="3221"/>
  </r>
  <r>
    <x v="0"/>
    <x v="2"/>
    <x v="2"/>
    <x v="219"/>
    <x v="185"/>
    <x v="185"/>
    <s v="CHARGES"/>
    <x v="0"/>
    <s v="3212.004"/>
    <s v="Intérêts rémun./perçu trop tôt sur acomptes C/C"/>
    <n v="0.44"/>
    <n v="0"/>
    <n v="3212"/>
  </r>
  <r>
    <x v="0"/>
    <x v="2"/>
    <x v="2"/>
    <x v="219"/>
    <x v="185"/>
    <x v="185"/>
    <s v="CHARGES"/>
    <x v="0"/>
    <s v="3212.004"/>
    <s v="Intérêts rémun./perçu trop tôt sur acomptes C/C"/>
    <n v="1.1299999999999999"/>
    <n v="0"/>
    <n v="3212"/>
  </r>
  <r>
    <x v="0"/>
    <x v="2"/>
    <x v="2"/>
    <x v="219"/>
    <x v="185"/>
    <x v="185"/>
    <s v="CHARGES"/>
    <x v="0"/>
    <s v="3221.002"/>
    <s v="Intérêts compensatoires / créances en faveur ctb."/>
    <n v="0.71"/>
    <n v="0"/>
    <n v="3221"/>
  </r>
  <r>
    <x v="0"/>
    <x v="2"/>
    <x v="2"/>
    <x v="219"/>
    <x v="185"/>
    <x v="185"/>
    <s v="CHARGES"/>
    <x v="0"/>
    <s v="3212.004"/>
    <s v="Intérêts rémun./perçu trop tôt sur acomptes C/C"/>
    <n v="2.02"/>
    <n v="0"/>
    <n v="3212"/>
  </r>
  <r>
    <x v="0"/>
    <x v="2"/>
    <x v="2"/>
    <x v="219"/>
    <x v="185"/>
    <x v="185"/>
    <s v="CHARGES"/>
    <x v="0"/>
    <s v="3221.002"/>
    <s v="Intérêts compensatoires / créances en faveur ctb."/>
    <n v="0.44"/>
    <n v="0"/>
    <n v="3221"/>
  </r>
  <r>
    <x v="0"/>
    <x v="2"/>
    <x v="2"/>
    <x v="219"/>
    <x v="185"/>
    <x v="185"/>
    <s v="REVENUS"/>
    <x v="2"/>
    <s v="4001.007"/>
    <s v="Acompte impôt sur revenu"/>
    <n v="0"/>
    <n v="1364506.78"/>
    <n v="4001"/>
  </r>
  <r>
    <x v="0"/>
    <x v="2"/>
    <x v="2"/>
    <x v="219"/>
    <x v="185"/>
    <x v="185"/>
    <s v="REVENUS"/>
    <x v="3"/>
    <s v="4002.007"/>
    <s v="Acompte impôt sur fortune"/>
    <n v="0"/>
    <n v="2932838.83"/>
    <n v="4002"/>
  </r>
  <r>
    <x v="0"/>
    <x v="2"/>
    <x v="2"/>
    <x v="219"/>
    <x v="185"/>
    <x v="185"/>
    <s v="REVENUS"/>
    <x v="2"/>
    <s v="4001.001"/>
    <s v="Impôt revenu"/>
    <n v="0"/>
    <n v="6207756.5"/>
    <n v="4001"/>
  </r>
  <r>
    <x v="0"/>
    <x v="2"/>
    <x v="2"/>
    <x v="219"/>
    <x v="185"/>
    <x v="185"/>
    <s v="REVENUS"/>
    <x v="3"/>
    <s v="4002.001"/>
    <s v="Impôt ordinaire s/fortune PP"/>
    <n v="0"/>
    <n v="1715245.7"/>
    <n v="4002"/>
  </r>
  <r>
    <x v="0"/>
    <x v="2"/>
    <x v="2"/>
    <x v="219"/>
    <x v="185"/>
    <x v="185"/>
    <s v="REVENUS"/>
    <x v="6"/>
    <s v="4211.001"/>
    <s v="Intérêts de retard sur factures"/>
    <n v="0"/>
    <n v="51693.18"/>
    <n v="4211"/>
  </r>
  <r>
    <x v="0"/>
    <x v="2"/>
    <x v="2"/>
    <x v="219"/>
    <x v="185"/>
    <x v="185"/>
    <s v="REVENUS"/>
    <x v="6"/>
    <s v="4211.002"/>
    <s v="Intérêts de retard sur acomptes"/>
    <n v="0"/>
    <n v="38709.870000000003"/>
    <n v="4211"/>
  </r>
  <r>
    <x v="0"/>
    <x v="2"/>
    <x v="2"/>
    <x v="219"/>
    <x v="185"/>
    <x v="185"/>
    <s v="REVENUS"/>
    <x v="6"/>
    <s v="4221.003"/>
    <s v="Intérêts compensat. / acomptes en faveur du fisc"/>
    <n v="0"/>
    <n v="1113.5899999999999"/>
    <n v="4221"/>
  </r>
  <r>
    <x v="0"/>
    <x v="2"/>
    <x v="2"/>
    <x v="219"/>
    <x v="185"/>
    <x v="185"/>
    <s v="REVENUS"/>
    <x v="2"/>
    <s v="4001.002"/>
    <s v="Impôt complément s/revenu PP"/>
    <n v="0"/>
    <n v="2374173.4500000002"/>
    <n v="4001"/>
  </r>
  <r>
    <x v="0"/>
    <x v="2"/>
    <x v="2"/>
    <x v="219"/>
    <x v="185"/>
    <x v="185"/>
    <s v="REVENUS"/>
    <x v="3"/>
    <s v="4002.002"/>
    <s v="Impôt complémentaire s/fortune PP"/>
    <n v="0"/>
    <n v="464232.25"/>
    <n v="4002"/>
  </r>
  <r>
    <x v="0"/>
    <x v="2"/>
    <x v="2"/>
    <x v="219"/>
    <x v="185"/>
    <x v="185"/>
    <s v="REVENUS"/>
    <x v="2"/>
    <s v="4001.003"/>
    <s v="Impôt s/prest. cap. PP"/>
    <n v="0"/>
    <n v="191238.3"/>
    <n v="4001"/>
  </r>
  <r>
    <x v="0"/>
    <x v="2"/>
    <x v="2"/>
    <x v="219"/>
    <x v="185"/>
    <x v="185"/>
    <s v="REVENUS"/>
    <x v="10"/>
    <s v="4041.001"/>
    <s v="Droits de mutation"/>
    <n v="0"/>
    <n v="687781.55"/>
    <n v="4041"/>
  </r>
  <r>
    <x v="0"/>
    <x v="2"/>
    <x v="2"/>
    <x v="219"/>
    <x v="185"/>
    <x v="185"/>
    <s v="REVENUS"/>
    <x v="11"/>
    <s v="4198.000"/>
    <s v="Contributions communales"/>
    <n v="0"/>
    <n v="812808.05"/>
    <n v="4198"/>
  </r>
  <r>
    <x v="0"/>
    <x v="2"/>
    <x v="2"/>
    <x v="219"/>
    <x v="185"/>
    <x v="185"/>
    <s v="REVENUS"/>
    <x v="6"/>
    <s v="4221.002"/>
    <s v="Intérêts compensat. sur impôts distincts"/>
    <n v="0"/>
    <n v="1139.99"/>
    <n v="4221"/>
  </r>
  <r>
    <x v="0"/>
    <x v="2"/>
    <x v="2"/>
    <x v="219"/>
    <x v="185"/>
    <x v="185"/>
    <s v="REVENUS"/>
    <x v="7"/>
    <s v="4184.000"/>
    <s v="Frais de poursuite"/>
    <n v="0"/>
    <n v="2426.77"/>
    <n v="4184"/>
  </r>
  <r>
    <x v="0"/>
    <x v="2"/>
    <x v="2"/>
    <x v="219"/>
    <x v="185"/>
    <x v="185"/>
    <s v="REVENUS"/>
    <x v="2"/>
    <s v="4001.001"/>
    <s v="Impôt revenu"/>
    <n v="0"/>
    <n v="205.4"/>
    <n v="4001"/>
  </r>
  <r>
    <x v="0"/>
    <x v="2"/>
    <x v="2"/>
    <x v="219"/>
    <x v="185"/>
    <x v="185"/>
    <s v="REVENUS"/>
    <x v="2"/>
    <s v="4001.007"/>
    <s v="Acompte impôt sur revenu"/>
    <n v="0"/>
    <n v="3688.4"/>
    <n v="4001"/>
  </r>
  <r>
    <x v="0"/>
    <x v="2"/>
    <x v="2"/>
    <x v="219"/>
    <x v="185"/>
    <x v="185"/>
    <s v="REVENUS"/>
    <x v="3"/>
    <s v="4002.001"/>
    <s v="Impôt ordinaire s/fortune PP"/>
    <n v="0"/>
    <n v="694.7"/>
    <n v="4002"/>
  </r>
  <r>
    <x v="0"/>
    <x v="2"/>
    <x v="2"/>
    <x v="219"/>
    <x v="185"/>
    <x v="185"/>
    <s v="REVENUS"/>
    <x v="3"/>
    <s v="4002.007"/>
    <s v="Acompte impôt sur fortune"/>
    <n v="0"/>
    <n v="1696.9"/>
    <n v="4002"/>
  </r>
  <r>
    <x v="0"/>
    <x v="2"/>
    <x v="2"/>
    <x v="219"/>
    <x v="185"/>
    <x v="185"/>
    <s v="REVENUS"/>
    <x v="3"/>
    <s v="4002.007"/>
    <s v="Acompte impôt sur fortune"/>
    <n v="0"/>
    <n v="34.799999999999997"/>
    <n v="4002"/>
  </r>
  <r>
    <x v="0"/>
    <x v="2"/>
    <x v="2"/>
    <x v="219"/>
    <x v="185"/>
    <x v="185"/>
    <s v="REVENUS"/>
    <x v="12"/>
    <s v="4004.000"/>
    <s v="Impôt spécial étrangers"/>
    <n v="0"/>
    <n v="974793.6"/>
    <n v="4004"/>
  </r>
  <r>
    <x v="0"/>
    <x v="2"/>
    <x v="2"/>
    <x v="219"/>
    <x v="185"/>
    <x v="185"/>
    <s v="REVENUS"/>
    <x v="12"/>
    <s v="4004.007"/>
    <s v="Acompte spécial étrangers"/>
    <n v="0"/>
    <n v="-146740.25"/>
    <n v="4004"/>
  </r>
  <r>
    <x v="0"/>
    <x v="2"/>
    <x v="2"/>
    <x v="219"/>
    <x v="185"/>
    <x v="185"/>
    <s v="REVENUS"/>
    <x v="5"/>
    <s v="4061.000"/>
    <s v="Impôt sur les chiens"/>
    <n v="0"/>
    <n v="17050"/>
    <n v="4061"/>
  </r>
  <r>
    <x v="0"/>
    <x v="2"/>
    <x v="2"/>
    <x v="219"/>
    <x v="185"/>
    <x v="185"/>
    <s v="REVENUS"/>
    <x v="2"/>
    <s v="4001.007"/>
    <s v="Acompte impôt sur revenu"/>
    <n v="0"/>
    <n v="-813.25"/>
    <n v="4001"/>
  </r>
  <r>
    <x v="0"/>
    <x v="2"/>
    <x v="2"/>
    <x v="219"/>
    <x v="185"/>
    <x v="185"/>
    <s v="REVENUS"/>
    <x v="9"/>
    <s v="4031.001"/>
    <s v="Impôt sur les gains immobiliers"/>
    <n v="0"/>
    <n v="419690.55"/>
    <n v="4031"/>
  </r>
  <r>
    <x v="0"/>
    <x v="2"/>
    <x v="2"/>
    <x v="219"/>
    <x v="185"/>
    <x v="185"/>
    <s v="REVENUS"/>
    <x v="3"/>
    <s v="4002.007"/>
    <s v="Acompte impôt sur fortune"/>
    <n v="0"/>
    <n v="-4520.9799999999996"/>
    <n v="4002"/>
  </r>
  <r>
    <x v="0"/>
    <x v="2"/>
    <x v="2"/>
    <x v="219"/>
    <x v="185"/>
    <x v="185"/>
    <s v="REVENUS"/>
    <x v="2"/>
    <s v="4001.007"/>
    <s v="Acompte impôt sur revenu"/>
    <n v="0"/>
    <n v="876.44"/>
    <n v="4001"/>
  </r>
  <r>
    <x v="0"/>
    <x v="2"/>
    <x v="2"/>
    <x v="219"/>
    <x v="185"/>
    <x v="185"/>
    <s v="REVENUS"/>
    <x v="2"/>
    <s v="4001.007"/>
    <s v="Acompte impôt sur revenu"/>
    <n v="0"/>
    <n v="183.45"/>
    <n v="4001"/>
  </r>
  <r>
    <x v="0"/>
    <x v="2"/>
    <x v="2"/>
    <x v="219"/>
    <x v="185"/>
    <x v="185"/>
    <s v="REVENUS"/>
    <x v="3"/>
    <s v="4002.007"/>
    <s v="Acompte impôt sur fortune"/>
    <n v="0"/>
    <n v="334.95"/>
    <n v="4002"/>
  </r>
  <r>
    <x v="0"/>
    <x v="2"/>
    <x v="2"/>
    <x v="219"/>
    <x v="185"/>
    <x v="185"/>
    <s v="REVENUS"/>
    <x v="2"/>
    <s v="4001.001"/>
    <s v="Impôt revenu"/>
    <n v="0"/>
    <n v="4752.8"/>
    <n v="4001"/>
  </r>
  <r>
    <x v="0"/>
    <x v="2"/>
    <x v="2"/>
    <x v="219"/>
    <x v="185"/>
    <x v="185"/>
    <s v="REVENUS"/>
    <x v="3"/>
    <s v="4002.001"/>
    <s v="Impôt ordinaire s/fortune PP"/>
    <n v="0"/>
    <n v="970.2"/>
    <n v="4002"/>
  </r>
  <r>
    <x v="0"/>
    <x v="2"/>
    <x v="2"/>
    <x v="219"/>
    <x v="185"/>
    <x v="185"/>
    <s v="REVENUS"/>
    <x v="6"/>
    <s v="4211.002"/>
    <s v="Intérêts de retard sur acomptes"/>
    <n v="0"/>
    <n v="0.19"/>
    <n v="4211"/>
  </r>
  <r>
    <x v="0"/>
    <x v="2"/>
    <x v="2"/>
    <x v="219"/>
    <x v="185"/>
    <x v="185"/>
    <s v="REVENUS"/>
    <x v="9"/>
    <s v="4031.002"/>
    <s v="Complément impôt sur les gains immobiliers"/>
    <n v="0"/>
    <n v="26731.599999999999"/>
    <n v="4031"/>
  </r>
  <r>
    <x v="0"/>
    <x v="2"/>
    <x v="2"/>
    <x v="219"/>
    <x v="185"/>
    <x v="185"/>
    <s v="REVENUS"/>
    <x v="2"/>
    <s v="4001.001"/>
    <s v="Impôt revenu"/>
    <n v="0"/>
    <n v="1945.6"/>
    <n v="4001"/>
  </r>
  <r>
    <x v="0"/>
    <x v="2"/>
    <x v="2"/>
    <x v="219"/>
    <x v="185"/>
    <x v="185"/>
    <s v="REVENUS"/>
    <x v="3"/>
    <s v="4002.001"/>
    <s v="Impôt ordinaire s/fortune PP"/>
    <n v="0"/>
    <n v="2249.9499999999998"/>
    <n v="4002"/>
  </r>
  <r>
    <x v="0"/>
    <x v="2"/>
    <x v="2"/>
    <x v="219"/>
    <x v="185"/>
    <x v="185"/>
    <s v="REVENUS"/>
    <x v="10"/>
    <s v="4041.002"/>
    <s v="Complément droit de mutation"/>
    <n v="0"/>
    <n v="19003.3"/>
    <n v="4041"/>
  </r>
  <r>
    <x v="0"/>
    <x v="2"/>
    <x v="2"/>
    <x v="219"/>
    <x v="185"/>
    <x v="185"/>
    <s v="REVENUS"/>
    <x v="6"/>
    <s v="4211.002"/>
    <s v="Intérêts de retard sur acomptes"/>
    <n v="0"/>
    <n v="15.97"/>
    <n v="4211"/>
  </r>
  <r>
    <x v="0"/>
    <x v="2"/>
    <x v="2"/>
    <x v="219"/>
    <x v="185"/>
    <x v="185"/>
    <s v="REVENUS"/>
    <x v="4"/>
    <s v="4051.001"/>
    <s v="Impôt sur les successions"/>
    <n v="0"/>
    <n v="729.2"/>
    <n v="4051"/>
  </r>
  <r>
    <x v="0"/>
    <x v="2"/>
    <x v="2"/>
    <x v="219"/>
    <x v="185"/>
    <x v="185"/>
    <s v="REVENUS"/>
    <x v="6"/>
    <s v="4221.002"/>
    <s v="Intérêts compensat. sur impôts distincts"/>
    <n v="0"/>
    <n v="0.51"/>
    <n v="4221"/>
  </r>
  <r>
    <x v="0"/>
    <x v="2"/>
    <x v="2"/>
    <x v="219"/>
    <x v="185"/>
    <x v="185"/>
    <s v="REVENUS"/>
    <x v="4"/>
    <s v="4051.001"/>
    <s v="Impôt sur les successions"/>
    <n v="0"/>
    <n v="562745.4"/>
    <n v="4051"/>
  </r>
  <r>
    <x v="0"/>
    <x v="2"/>
    <x v="2"/>
    <x v="219"/>
    <x v="185"/>
    <x v="185"/>
    <s v="REVENUS"/>
    <x v="4"/>
    <s v="4051.002"/>
    <s v="Impôt sur les donations"/>
    <n v="0"/>
    <n v="37176.5"/>
    <n v="4051"/>
  </r>
  <r>
    <x v="0"/>
    <x v="2"/>
    <x v="2"/>
    <x v="220"/>
    <x v="186"/>
    <x v="186"/>
    <s v="CHARGES"/>
    <x v="1"/>
    <s v="3301.001"/>
    <s v="Défalcations, abandons de solde PP et IS"/>
    <n v="15263.62"/>
    <n v="0"/>
    <n v="3301"/>
  </r>
  <r>
    <x v="0"/>
    <x v="2"/>
    <x v="2"/>
    <x v="220"/>
    <x v="186"/>
    <x v="186"/>
    <s v="CHARGES"/>
    <x v="0"/>
    <s v="3212.004"/>
    <s v="Intérêts rémun./perçu trop tôt sur acomptes C/C"/>
    <n v="473.61"/>
    <n v="0"/>
    <n v="3212"/>
  </r>
  <r>
    <x v="0"/>
    <x v="2"/>
    <x v="2"/>
    <x v="220"/>
    <x v="186"/>
    <x v="186"/>
    <s v="CHARGES"/>
    <x v="0"/>
    <s v="3221.002"/>
    <s v="Intérêts compensatoires / créances en faveur ctb."/>
    <n v="168.01"/>
    <n v="0"/>
    <n v="3221"/>
  </r>
  <r>
    <x v="0"/>
    <x v="2"/>
    <x v="2"/>
    <x v="220"/>
    <x v="186"/>
    <x v="186"/>
    <s v="CHARGES"/>
    <x v="0"/>
    <s v="3212.002"/>
    <s v="Intérêts bonifiés/trop perçu acompte C/C"/>
    <n v="29.76"/>
    <n v="0"/>
    <n v="3212"/>
  </r>
  <r>
    <x v="0"/>
    <x v="2"/>
    <x v="2"/>
    <x v="220"/>
    <x v="186"/>
    <x v="186"/>
    <s v="CHARGES"/>
    <x v="0"/>
    <s v="3212.004"/>
    <s v="Intérêts rémun./perçu trop tôt sur acomptes C/C"/>
    <n v="0.2"/>
    <n v="0"/>
    <n v="3212"/>
  </r>
  <r>
    <x v="0"/>
    <x v="2"/>
    <x v="2"/>
    <x v="220"/>
    <x v="186"/>
    <x v="186"/>
    <s v="CHARGES"/>
    <x v="0"/>
    <s v="3221.002"/>
    <s v="Intérêts compensatoires / créances en faveur ctb."/>
    <n v="0.23"/>
    <n v="0"/>
    <n v="3221"/>
  </r>
  <r>
    <x v="0"/>
    <x v="2"/>
    <x v="2"/>
    <x v="220"/>
    <x v="186"/>
    <x v="186"/>
    <s v="CHARGES"/>
    <x v="1"/>
    <s v="3301.001"/>
    <s v="Défalcations, abandons de solde PP et IS"/>
    <n v="0.1"/>
    <n v="0"/>
    <n v="3301"/>
  </r>
  <r>
    <x v="0"/>
    <x v="2"/>
    <x v="2"/>
    <x v="220"/>
    <x v="186"/>
    <x v="186"/>
    <s v="REVENUS"/>
    <x v="2"/>
    <s v="4001.007"/>
    <s v="Acompte impôt sur revenu"/>
    <n v="0"/>
    <n v="-516189.86"/>
    <n v="4001"/>
  </r>
  <r>
    <x v="0"/>
    <x v="2"/>
    <x v="2"/>
    <x v="220"/>
    <x v="186"/>
    <x v="186"/>
    <s v="REVENUS"/>
    <x v="6"/>
    <s v="4211.001"/>
    <s v="Intérêts de retard sur factures"/>
    <n v="0"/>
    <n v="15708.59"/>
    <n v="4211"/>
  </r>
  <r>
    <x v="0"/>
    <x v="2"/>
    <x v="2"/>
    <x v="220"/>
    <x v="186"/>
    <x v="186"/>
    <s v="REVENUS"/>
    <x v="2"/>
    <s v="4001.001"/>
    <s v="Impôt revenu"/>
    <n v="0"/>
    <n v="2665359.65"/>
    <n v="4001"/>
  </r>
  <r>
    <x v="0"/>
    <x v="2"/>
    <x v="2"/>
    <x v="220"/>
    <x v="186"/>
    <x v="186"/>
    <s v="REVENUS"/>
    <x v="3"/>
    <s v="4002.001"/>
    <s v="Impôt ordinaire s/fortune PP"/>
    <n v="0"/>
    <n v="380849.15"/>
    <n v="4002"/>
  </r>
  <r>
    <x v="0"/>
    <x v="2"/>
    <x v="2"/>
    <x v="220"/>
    <x v="186"/>
    <x v="186"/>
    <s v="REVENUS"/>
    <x v="3"/>
    <s v="4002.007"/>
    <s v="Acompte impôt sur fortune"/>
    <n v="0"/>
    <n v="-61439.66"/>
    <n v="4002"/>
  </r>
  <r>
    <x v="0"/>
    <x v="2"/>
    <x v="2"/>
    <x v="220"/>
    <x v="186"/>
    <x v="186"/>
    <s v="REVENUS"/>
    <x v="6"/>
    <s v="4211.002"/>
    <s v="Intérêts de retard sur acomptes"/>
    <n v="0"/>
    <n v="36985.97"/>
    <n v="4211"/>
  </r>
  <r>
    <x v="0"/>
    <x v="2"/>
    <x v="2"/>
    <x v="220"/>
    <x v="186"/>
    <x v="186"/>
    <s v="REVENUS"/>
    <x v="6"/>
    <s v="4221.003"/>
    <s v="Intérêts compensat. / acomptes en faveur du fisc"/>
    <n v="0"/>
    <n v="410.5"/>
    <n v="4221"/>
  </r>
  <r>
    <x v="0"/>
    <x v="2"/>
    <x v="2"/>
    <x v="220"/>
    <x v="186"/>
    <x v="186"/>
    <s v="REVENUS"/>
    <x v="2"/>
    <s v="4001.002"/>
    <s v="Impôt complément s/revenu PP"/>
    <n v="0"/>
    <n v="938082.3"/>
    <n v="4001"/>
  </r>
  <r>
    <x v="0"/>
    <x v="2"/>
    <x v="2"/>
    <x v="220"/>
    <x v="186"/>
    <x v="186"/>
    <s v="REVENUS"/>
    <x v="3"/>
    <s v="4002.002"/>
    <s v="Impôt complémentaire s/fortune PP"/>
    <n v="0"/>
    <n v="144819.1"/>
    <n v="4002"/>
  </r>
  <r>
    <x v="0"/>
    <x v="2"/>
    <x v="2"/>
    <x v="220"/>
    <x v="186"/>
    <x v="186"/>
    <s v="REVENUS"/>
    <x v="2"/>
    <s v="4001.003"/>
    <s v="Impôt s/prest. cap. PP"/>
    <n v="0"/>
    <n v="-50530.1"/>
    <n v="4001"/>
  </r>
  <r>
    <x v="0"/>
    <x v="2"/>
    <x v="2"/>
    <x v="220"/>
    <x v="186"/>
    <x v="186"/>
    <s v="REVENUS"/>
    <x v="7"/>
    <s v="4184.000"/>
    <s v="Frais de poursuite"/>
    <n v="0"/>
    <n v="1599.7"/>
    <n v="4184"/>
  </r>
  <r>
    <x v="0"/>
    <x v="2"/>
    <x v="2"/>
    <x v="220"/>
    <x v="186"/>
    <x v="186"/>
    <s v="REVENUS"/>
    <x v="10"/>
    <s v="4041.001"/>
    <s v="Droits de mutation"/>
    <n v="0"/>
    <n v="160206.20000000001"/>
    <n v="4041"/>
  </r>
  <r>
    <x v="0"/>
    <x v="2"/>
    <x v="2"/>
    <x v="220"/>
    <x v="186"/>
    <x v="186"/>
    <s v="REVENUS"/>
    <x v="7"/>
    <s v="4184.000"/>
    <s v="Frais de poursuite"/>
    <n v="0"/>
    <n v="19.66"/>
    <n v="4184"/>
  </r>
  <r>
    <x v="0"/>
    <x v="2"/>
    <x v="2"/>
    <x v="220"/>
    <x v="186"/>
    <x v="186"/>
    <s v="REVENUS"/>
    <x v="2"/>
    <s v="4001.007"/>
    <s v="Acompte impôt sur revenu"/>
    <n v="0"/>
    <n v="0"/>
    <n v="4001"/>
  </r>
  <r>
    <x v="0"/>
    <x v="2"/>
    <x v="2"/>
    <x v="220"/>
    <x v="186"/>
    <x v="186"/>
    <s v="REVENUS"/>
    <x v="3"/>
    <s v="4002.007"/>
    <s v="Acompte impôt sur fortune"/>
    <n v="0"/>
    <n v="0"/>
    <n v="4002"/>
  </r>
  <r>
    <x v="0"/>
    <x v="2"/>
    <x v="2"/>
    <x v="220"/>
    <x v="186"/>
    <x v="186"/>
    <s v="REVENUS"/>
    <x v="2"/>
    <s v="4001.007"/>
    <s v="Acompte impôt sur revenu"/>
    <n v="0"/>
    <n v="-1579.15"/>
    <n v="4001"/>
  </r>
  <r>
    <x v="0"/>
    <x v="2"/>
    <x v="2"/>
    <x v="220"/>
    <x v="186"/>
    <x v="186"/>
    <s v="REVENUS"/>
    <x v="12"/>
    <s v="4004.007"/>
    <s v="Acompte spécial étrangers"/>
    <n v="0"/>
    <n v="-328.55"/>
    <n v="4004"/>
  </r>
  <r>
    <x v="0"/>
    <x v="2"/>
    <x v="2"/>
    <x v="220"/>
    <x v="186"/>
    <x v="186"/>
    <s v="REVENUS"/>
    <x v="2"/>
    <s v="4001.007"/>
    <s v="Acompte impôt sur revenu"/>
    <n v="0"/>
    <n v="-569.45000000000005"/>
    <n v="4001"/>
  </r>
  <r>
    <x v="0"/>
    <x v="2"/>
    <x v="2"/>
    <x v="220"/>
    <x v="186"/>
    <x v="186"/>
    <s v="REVENUS"/>
    <x v="3"/>
    <s v="4002.007"/>
    <s v="Acompte impôt sur fortune"/>
    <n v="0"/>
    <n v="-136.1"/>
    <n v="4002"/>
  </r>
  <r>
    <x v="0"/>
    <x v="2"/>
    <x v="2"/>
    <x v="220"/>
    <x v="186"/>
    <x v="186"/>
    <s v="REVENUS"/>
    <x v="3"/>
    <s v="4002.007"/>
    <s v="Acompte impôt sur fortune"/>
    <n v="0"/>
    <n v="-166.35"/>
    <n v="4002"/>
  </r>
  <r>
    <x v="0"/>
    <x v="2"/>
    <x v="2"/>
    <x v="220"/>
    <x v="186"/>
    <x v="186"/>
    <s v="REVENUS"/>
    <x v="9"/>
    <s v="4031.001"/>
    <s v="Impôt sur les gains immobiliers"/>
    <n v="0"/>
    <n v="73143.55"/>
    <n v="4031"/>
  </r>
  <r>
    <x v="0"/>
    <x v="2"/>
    <x v="2"/>
    <x v="220"/>
    <x v="186"/>
    <x v="186"/>
    <s v="REVENUS"/>
    <x v="6"/>
    <s v="4221.002"/>
    <s v="Intérêts compensat. sur impôts distincts"/>
    <n v="0"/>
    <n v="559.51"/>
    <n v="4221"/>
  </r>
  <r>
    <x v="0"/>
    <x v="2"/>
    <x v="2"/>
    <x v="220"/>
    <x v="186"/>
    <x v="186"/>
    <s v="REVENUS"/>
    <x v="2"/>
    <s v="4001.001"/>
    <s v="Impôt revenu"/>
    <n v="0"/>
    <n v="1526.15"/>
    <n v="4001"/>
  </r>
  <r>
    <x v="0"/>
    <x v="2"/>
    <x v="2"/>
    <x v="220"/>
    <x v="186"/>
    <x v="186"/>
    <s v="REVENUS"/>
    <x v="3"/>
    <s v="4002.001"/>
    <s v="Impôt ordinaire s/fortune PP"/>
    <n v="0"/>
    <n v="336.5"/>
    <n v="4002"/>
  </r>
  <r>
    <x v="0"/>
    <x v="2"/>
    <x v="2"/>
    <x v="220"/>
    <x v="186"/>
    <x v="186"/>
    <s v="REVENUS"/>
    <x v="2"/>
    <s v="4001.001"/>
    <s v="Impôt revenu"/>
    <n v="0"/>
    <n v="1589.5"/>
    <n v="4001"/>
  </r>
  <r>
    <x v="0"/>
    <x v="2"/>
    <x v="2"/>
    <x v="220"/>
    <x v="186"/>
    <x v="186"/>
    <s v="REVENUS"/>
    <x v="3"/>
    <s v="4002.001"/>
    <s v="Impôt ordinaire s/fortune PP"/>
    <n v="0"/>
    <n v="528.29999999999995"/>
    <n v="4002"/>
  </r>
  <r>
    <x v="0"/>
    <x v="2"/>
    <x v="2"/>
    <x v="220"/>
    <x v="186"/>
    <x v="186"/>
    <s v="REVENUS"/>
    <x v="6"/>
    <s v="4221.003"/>
    <s v="Intérêts compensat. / acomptes en faveur du fisc"/>
    <n v="0"/>
    <n v="2.2799999999999998"/>
    <n v="4221"/>
  </r>
  <r>
    <x v="0"/>
    <x v="2"/>
    <x v="2"/>
    <x v="220"/>
    <x v="186"/>
    <x v="186"/>
    <s v="REVENUS"/>
    <x v="11"/>
    <s v="4198.000"/>
    <s v="Contributions communales"/>
    <n v="0"/>
    <n v="274372.05"/>
    <n v="4198"/>
  </r>
  <r>
    <x v="0"/>
    <x v="2"/>
    <x v="2"/>
    <x v="220"/>
    <x v="186"/>
    <x v="186"/>
    <s v="REVENUS"/>
    <x v="5"/>
    <s v="4061.000"/>
    <s v="Impôt sur les chiens"/>
    <n v="0"/>
    <n v="4710"/>
    <n v="4061"/>
  </r>
  <r>
    <x v="0"/>
    <x v="2"/>
    <x v="2"/>
    <x v="220"/>
    <x v="186"/>
    <x v="186"/>
    <s v="REVENUS"/>
    <x v="12"/>
    <s v="4004.000"/>
    <s v="Impôt spécial étrangers"/>
    <n v="0"/>
    <n v="111111"/>
    <n v="4004"/>
  </r>
  <r>
    <x v="0"/>
    <x v="2"/>
    <x v="2"/>
    <x v="220"/>
    <x v="186"/>
    <x v="186"/>
    <s v="REVENUS"/>
    <x v="6"/>
    <s v="4221.003"/>
    <s v="Intérêts compensat. / acomptes en faveur du fisc"/>
    <n v="0"/>
    <n v="0.1"/>
    <n v="4221"/>
  </r>
  <r>
    <x v="0"/>
    <x v="2"/>
    <x v="2"/>
    <x v="221"/>
    <x v="187"/>
    <x v="187"/>
    <s v="CHARGES"/>
    <x v="0"/>
    <s v="3212.004"/>
    <s v="Intérêts rémun./perçu trop tôt sur acomptes C/C"/>
    <n v="544.27"/>
    <n v="0"/>
    <n v="3212"/>
  </r>
  <r>
    <x v="0"/>
    <x v="2"/>
    <x v="2"/>
    <x v="221"/>
    <x v="187"/>
    <x v="187"/>
    <s v="CHARGES"/>
    <x v="0"/>
    <s v="3221.002"/>
    <s v="Intérêts compensatoires / créances en faveur ctb."/>
    <n v="138.88999999999999"/>
    <n v="0"/>
    <n v="3221"/>
  </r>
  <r>
    <x v="0"/>
    <x v="2"/>
    <x v="2"/>
    <x v="221"/>
    <x v="187"/>
    <x v="187"/>
    <s v="CHARGES"/>
    <x v="1"/>
    <s v="3301.001"/>
    <s v="Défalcations, abandons de solde PP et IS"/>
    <n v="23858.13"/>
    <n v="0"/>
    <n v="3301"/>
  </r>
  <r>
    <x v="0"/>
    <x v="2"/>
    <x v="2"/>
    <x v="221"/>
    <x v="187"/>
    <x v="187"/>
    <s v="CHARGES"/>
    <x v="0"/>
    <s v="3212.004"/>
    <s v="Intérêts rémun./perçu trop tôt sur acomptes C/C"/>
    <n v="1.75"/>
    <n v="0"/>
    <n v="3212"/>
  </r>
  <r>
    <x v="0"/>
    <x v="2"/>
    <x v="2"/>
    <x v="221"/>
    <x v="187"/>
    <x v="187"/>
    <s v="CHARGES"/>
    <x v="0"/>
    <s v="3221.002"/>
    <s v="Intérêts compensatoires / créances en faveur ctb."/>
    <n v="1.1100000000000001"/>
    <n v="0"/>
    <n v="3221"/>
  </r>
  <r>
    <x v="0"/>
    <x v="2"/>
    <x v="2"/>
    <x v="221"/>
    <x v="187"/>
    <x v="187"/>
    <s v="CHARGES"/>
    <x v="1"/>
    <s v="3301.001"/>
    <s v="Défalcations, abandons de solde PP et IS"/>
    <n v="1.56"/>
    <n v="0"/>
    <n v="3301"/>
  </r>
  <r>
    <x v="0"/>
    <x v="2"/>
    <x v="2"/>
    <x v="221"/>
    <x v="187"/>
    <x v="187"/>
    <s v="CHARGES"/>
    <x v="0"/>
    <s v="3212.004"/>
    <s v="Intérêts rémun./perçu trop tôt sur acomptes C/C"/>
    <n v="1.35"/>
    <n v="0"/>
    <n v="3212"/>
  </r>
  <r>
    <x v="0"/>
    <x v="2"/>
    <x v="2"/>
    <x v="221"/>
    <x v="187"/>
    <x v="187"/>
    <s v="CHARGES"/>
    <x v="0"/>
    <s v="3221.002"/>
    <s v="Intérêts compensatoires / créances en faveur ctb."/>
    <n v="0.96"/>
    <n v="0"/>
    <n v="3221"/>
  </r>
  <r>
    <x v="0"/>
    <x v="2"/>
    <x v="2"/>
    <x v="221"/>
    <x v="187"/>
    <x v="187"/>
    <s v="CHARGES"/>
    <x v="0"/>
    <s v="3212.002"/>
    <s v="Intérêts bonifiés/trop perçu acompte C/C"/>
    <n v="10.81"/>
    <n v="0"/>
    <n v="3212"/>
  </r>
  <r>
    <x v="0"/>
    <x v="2"/>
    <x v="2"/>
    <x v="221"/>
    <x v="187"/>
    <x v="187"/>
    <s v="CHARGES"/>
    <x v="0"/>
    <s v="3212.004"/>
    <s v="Intérêts rémun./perçu trop tôt sur acomptes C/C"/>
    <n v="1.86"/>
    <n v="0"/>
    <n v="3212"/>
  </r>
  <r>
    <x v="0"/>
    <x v="2"/>
    <x v="2"/>
    <x v="221"/>
    <x v="187"/>
    <x v="187"/>
    <s v="CHARGES"/>
    <x v="0"/>
    <s v="3221.002"/>
    <s v="Intérêts compensatoires / créances en faveur ctb."/>
    <n v="2.4700000000000002"/>
    <n v="0"/>
    <n v="3221"/>
  </r>
  <r>
    <x v="0"/>
    <x v="2"/>
    <x v="2"/>
    <x v="221"/>
    <x v="187"/>
    <x v="187"/>
    <s v="CHARGES"/>
    <x v="0"/>
    <s v="3212.004"/>
    <s v="Intérêts rémun./perçu trop tôt sur acomptes C/C"/>
    <n v="0.03"/>
    <n v="0"/>
    <n v="3212"/>
  </r>
  <r>
    <x v="0"/>
    <x v="2"/>
    <x v="2"/>
    <x v="221"/>
    <x v="187"/>
    <x v="187"/>
    <s v="CHARGES"/>
    <x v="1"/>
    <s v="3301.001"/>
    <s v="Défalcations, abandons de solde PP et IS"/>
    <n v="0.02"/>
    <n v="0"/>
    <n v="3301"/>
  </r>
  <r>
    <x v="0"/>
    <x v="2"/>
    <x v="2"/>
    <x v="221"/>
    <x v="187"/>
    <x v="187"/>
    <s v="CHARGES"/>
    <x v="1"/>
    <s v="3301.003"/>
    <s v="Remises PP et IS"/>
    <n v="5643.47"/>
    <n v="0"/>
    <n v="3301"/>
  </r>
  <r>
    <x v="0"/>
    <x v="2"/>
    <x v="2"/>
    <x v="221"/>
    <x v="187"/>
    <x v="187"/>
    <s v="CHARGES"/>
    <x v="1"/>
    <s v="3301.001"/>
    <s v="Défalcations, abandons de solde PP et IS"/>
    <n v="0.01"/>
    <n v="0"/>
    <n v="3301"/>
  </r>
  <r>
    <x v="0"/>
    <x v="2"/>
    <x v="2"/>
    <x v="221"/>
    <x v="187"/>
    <x v="187"/>
    <s v="CHARGES"/>
    <x v="1"/>
    <s v="3301.001"/>
    <s v="Défalcations, abandons de solde PP et IS"/>
    <n v="67266.789999999994"/>
    <n v="0"/>
    <n v="3301"/>
  </r>
  <r>
    <x v="0"/>
    <x v="2"/>
    <x v="2"/>
    <x v="221"/>
    <x v="187"/>
    <x v="187"/>
    <s v="CHARGES"/>
    <x v="0"/>
    <s v="3221.002"/>
    <s v="Intérêts compensatoires / créances en faveur ctb."/>
    <n v="0.01"/>
    <n v="0"/>
    <n v="3221"/>
  </r>
  <r>
    <x v="0"/>
    <x v="2"/>
    <x v="2"/>
    <x v="221"/>
    <x v="187"/>
    <x v="187"/>
    <s v="CHARGES"/>
    <x v="1"/>
    <s v="3301.001"/>
    <s v="Défalcations, abandons de solde PP et IS"/>
    <n v="0.46"/>
    <n v="0"/>
    <n v="3301"/>
  </r>
  <r>
    <x v="0"/>
    <x v="2"/>
    <x v="2"/>
    <x v="221"/>
    <x v="187"/>
    <x v="187"/>
    <s v="CHARGES"/>
    <x v="0"/>
    <s v="3212.002"/>
    <s v="Intérêts bonifiés/trop perçu acompte C/C"/>
    <n v="0.01"/>
    <n v="0"/>
    <n v="3212"/>
  </r>
  <r>
    <x v="0"/>
    <x v="2"/>
    <x v="2"/>
    <x v="221"/>
    <x v="187"/>
    <x v="187"/>
    <s v="REVENUS"/>
    <x v="2"/>
    <s v="4001.001"/>
    <s v="Impôt revenu"/>
    <n v="0"/>
    <n v="2613734.2000000002"/>
    <n v="4001"/>
  </r>
  <r>
    <x v="0"/>
    <x v="2"/>
    <x v="2"/>
    <x v="221"/>
    <x v="187"/>
    <x v="187"/>
    <s v="REVENUS"/>
    <x v="2"/>
    <s v="4001.007"/>
    <s v="Acompte impôt sur revenu"/>
    <n v="0"/>
    <n v="-249504.55"/>
    <n v="4001"/>
  </r>
  <r>
    <x v="0"/>
    <x v="2"/>
    <x v="2"/>
    <x v="221"/>
    <x v="187"/>
    <x v="187"/>
    <s v="REVENUS"/>
    <x v="6"/>
    <s v="4211.001"/>
    <s v="Intérêts de retard sur factures"/>
    <n v="0"/>
    <n v="10717.06"/>
    <n v="4211"/>
  </r>
  <r>
    <x v="0"/>
    <x v="2"/>
    <x v="2"/>
    <x v="221"/>
    <x v="187"/>
    <x v="187"/>
    <s v="REVENUS"/>
    <x v="6"/>
    <s v="4211.002"/>
    <s v="Intérêts de retard sur acomptes"/>
    <n v="0"/>
    <n v="13340.78"/>
    <n v="4211"/>
  </r>
  <r>
    <x v="0"/>
    <x v="2"/>
    <x v="2"/>
    <x v="221"/>
    <x v="187"/>
    <x v="187"/>
    <s v="REVENUS"/>
    <x v="3"/>
    <s v="4002.001"/>
    <s v="Impôt ordinaire s/fortune PP"/>
    <n v="0"/>
    <n v="366540.45"/>
    <n v="4002"/>
  </r>
  <r>
    <x v="0"/>
    <x v="2"/>
    <x v="2"/>
    <x v="221"/>
    <x v="187"/>
    <x v="187"/>
    <s v="REVENUS"/>
    <x v="3"/>
    <s v="4002.007"/>
    <s v="Acompte impôt sur fortune"/>
    <n v="0"/>
    <n v="78337.06"/>
    <n v="4002"/>
  </r>
  <r>
    <x v="0"/>
    <x v="2"/>
    <x v="2"/>
    <x v="221"/>
    <x v="187"/>
    <x v="187"/>
    <s v="REVENUS"/>
    <x v="2"/>
    <s v="4001.002"/>
    <s v="Impôt complément s/revenu PP"/>
    <n v="0"/>
    <n v="673141.3"/>
    <n v="4001"/>
  </r>
  <r>
    <x v="0"/>
    <x v="2"/>
    <x v="2"/>
    <x v="221"/>
    <x v="187"/>
    <x v="187"/>
    <s v="REVENUS"/>
    <x v="3"/>
    <s v="4002.002"/>
    <s v="Impôt complémentaire s/fortune PP"/>
    <n v="0"/>
    <n v="112283.3"/>
    <n v="4002"/>
  </r>
  <r>
    <x v="0"/>
    <x v="2"/>
    <x v="2"/>
    <x v="221"/>
    <x v="187"/>
    <x v="187"/>
    <s v="REVENUS"/>
    <x v="2"/>
    <s v="4001.001"/>
    <s v="Impôt revenu"/>
    <n v="0"/>
    <n v="20387.5"/>
    <n v="4001"/>
  </r>
  <r>
    <x v="0"/>
    <x v="2"/>
    <x v="2"/>
    <x v="221"/>
    <x v="187"/>
    <x v="187"/>
    <s v="REVENUS"/>
    <x v="6"/>
    <s v="4221.003"/>
    <s v="Intérêts compensat. / acomptes en faveur du fisc"/>
    <n v="0"/>
    <n v="328.11"/>
    <n v="4221"/>
  </r>
  <r>
    <x v="0"/>
    <x v="2"/>
    <x v="2"/>
    <x v="221"/>
    <x v="187"/>
    <x v="187"/>
    <s v="REVENUS"/>
    <x v="2"/>
    <s v="4001.001"/>
    <s v="Impôt revenu"/>
    <n v="0"/>
    <n v="2278.25"/>
    <n v="4001"/>
  </r>
  <r>
    <x v="0"/>
    <x v="2"/>
    <x v="2"/>
    <x v="221"/>
    <x v="187"/>
    <x v="187"/>
    <s v="REVENUS"/>
    <x v="3"/>
    <s v="4002.001"/>
    <s v="Impôt ordinaire s/fortune PP"/>
    <n v="0"/>
    <n v="5592.65"/>
    <n v="4002"/>
  </r>
  <r>
    <x v="0"/>
    <x v="2"/>
    <x v="2"/>
    <x v="221"/>
    <x v="187"/>
    <x v="187"/>
    <s v="REVENUS"/>
    <x v="6"/>
    <s v="4211.002"/>
    <s v="Intérêts de retard sur acomptes"/>
    <n v="0"/>
    <n v="2111.67"/>
    <n v="4211"/>
  </r>
  <r>
    <x v="0"/>
    <x v="2"/>
    <x v="2"/>
    <x v="221"/>
    <x v="187"/>
    <x v="187"/>
    <s v="REVENUS"/>
    <x v="6"/>
    <s v="4221.003"/>
    <s v="Intérêts compensat. / acomptes en faveur du fisc"/>
    <n v="0"/>
    <n v="1.61"/>
    <n v="4221"/>
  </r>
  <r>
    <x v="0"/>
    <x v="2"/>
    <x v="2"/>
    <x v="221"/>
    <x v="187"/>
    <x v="187"/>
    <s v="REVENUS"/>
    <x v="3"/>
    <s v="4002.001"/>
    <s v="Impôt ordinaire s/fortune PP"/>
    <n v="0"/>
    <n v="3622.5"/>
    <n v="4002"/>
  </r>
  <r>
    <x v="0"/>
    <x v="2"/>
    <x v="2"/>
    <x v="221"/>
    <x v="187"/>
    <x v="187"/>
    <s v="REVENUS"/>
    <x v="6"/>
    <s v="4211.002"/>
    <s v="Intérêts de retard sur acomptes"/>
    <n v="0"/>
    <n v="3.22"/>
    <n v="4211"/>
  </r>
  <r>
    <x v="0"/>
    <x v="2"/>
    <x v="2"/>
    <x v="221"/>
    <x v="187"/>
    <x v="187"/>
    <s v="REVENUS"/>
    <x v="7"/>
    <s v="4184.000"/>
    <s v="Frais de poursuite"/>
    <n v="0"/>
    <n v="1612.6"/>
    <n v="4184"/>
  </r>
  <r>
    <x v="0"/>
    <x v="2"/>
    <x v="2"/>
    <x v="221"/>
    <x v="187"/>
    <x v="187"/>
    <s v="REVENUS"/>
    <x v="2"/>
    <s v="4001.003"/>
    <s v="Impôt s/prest. cap. PP"/>
    <n v="0"/>
    <n v="114818.4"/>
    <n v="4001"/>
  </r>
  <r>
    <x v="0"/>
    <x v="2"/>
    <x v="2"/>
    <x v="221"/>
    <x v="187"/>
    <x v="187"/>
    <s v="REVENUS"/>
    <x v="2"/>
    <s v="4001.001"/>
    <s v="Impôt revenu"/>
    <n v="0"/>
    <n v="4744.1000000000004"/>
    <n v="4001"/>
  </r>
  <r>
    <x v="0"/>
    <x v="2"/>
    <x v="2"/>
    <x v="221"/>
    <x v="187"/>
    <x v="187"/>
    <s v="REVENUS"/>
    <x v="2"/>
    <s v="4001.007"/>
    <s v="Acompte impôt sur revenu"/>
    <n v="0"/>
    <n v="-4365.1899999999996"/>
    <n v="4001"/>
  </r>
  <r>
    <x v="0"/>
    <x v="2"/>
    <x v="2"/>
    <x v="221"/>
    <x v="187"/>
    <x v="187"/>
    <s v="REVENUS"/>
    <x v="3"/>
    <s v="4002.001"/>
    <s v="Impôt ordinaire s/fortune PP"/>
    <n v="0"/>
    <n v="2111.4"/>
    <n v="4002"/>
  </r>
  <r>
    <x v="0"/>
    <x v="2"/>
    <x v="2"/>
    <x v="221"/>
    <x v="187"/>
    <x v="187"/>
    <s v="REVENUS"/>
    <x v="3"/>
    <s v="4002.007"/>
    <s v="Acompte impôt sur fortune"/>
    <n v="0"/>
    <n v="-149.41"/>
    <n v="4002"/>
  </r>
  <r>
    <x v="0"/>
    <x v="2"/>
    <x v="2"/>
    <x v="221"/>
    <x v="187"/>
    <x v="187"/>
    <s v="REVENUS"/>
    <x v="11"/>
    <s v="4198.000"/>
    <s v="Contributions communales"/>
    <n v="0"/>
    <n v="270975.40000000002"/>
    <n v="4198"/>
  </r>
  <r>
    <x v="0"/>
    <x v="2"/>
    <x v="2"/>
    <x v="221"/>
    <x v="187"/>
    <x v="187"/>
    <s v="REVENUS"/>
    <x v="3"/>
    <s v="4002.007"/>
    <s v="Acompte impôt sur fortune"/>
    <n v="0"/>
    <n v="-179.65"/>
    <n v="4002"/>
  </r>
  <r>
    <x v="0"/>
    <x v="2"/>
    <x v="2"/>
    <x v="221"/>
    <x v="187"/>
    <x v="187"/>
    <s v="REVENUS"/>
    <x v="12"/>
    <s v="4004.007"/>
    <s v="Acompte spécial étrangers"/>
    <n v="0"/>
    <n v="-32824.75"/>
    <n v="4004"/>
  </r>
  <r>
    <x v="0"/>
    <x v="2"/>
    <x v="2"/>
    <x v="221"/>
    <x v="187"/>
    <x v="187"/>
    <s v="REVENUS"/>
    <x v="3"/>
    <s v="4002.007"/>
    <s v="Acompte impôt sur fortune"/>
    <n v="0"/>
    <n v="102.86"/>
    <n v="4002"/>
  </r>
  <r>
    <x v="0"/>
    <x v="2"/>
    <x v="2"/>
    <x v="221"/>
    <x v="187"/>
    <x v="187"/>
    <s v="REVENUS"/>
    <x v="3"/>
    <s v="4002.007"/>
    <s v="Acompte impôt sur fortune"/>
    <n v="0"/>
    <n v="66.2"/>
    <n v="4002"/>
  </r>
  <r>
    <x v="0"/>
    <x v="2"/>
    <x v="2"/>
    <x v="221"/>
    <x v="187"/>
    <x v="187"/>
    <s v="REVENUS"/>
    <x v="2"/>
    <s v="4001.007"/>
    <s v="Acompte impôt sur revenu"/>
    <n v="0"/>
    <n v="-19211.099999999999"/>
    <n v="4001"/>
  </r>
  <r>
    <x v="0"/>
    <x v="2"/>
    <x v="2"/>
    <x v="221"/>
    <x v="187"/>
    <x v="187"/>
    <s v="REVENUS"/>
    <x v="2"/>
    <s v="4001.007"/>
    <s v="Acompte impôt sur revenu"/>
    <n v="0"/>
    <n v="33.4"/>
    <n v="4001"/>
  </r>
  <r>
    <x v="0"/>
    <x v="2"/>
    <x v="2"/>
    <x v="221"/>
    <x v="187"/>
    <x v="187"/>
    <s v="REVENUS"/>
    <x v="3"/>
    <s v="4002.007"/>
    <s v="Acompte impôt sur fortune"/>
    <n v="0"/>
    <n v="218.8"/>
    <n v="4002"/>
  </r>
  <r>
    <x v="0"/>
    <x v="2"/>
    <x v="2"/>
    <x v="221"/>
    <x v="187"/>
    <x v="187"/>
    <s v="REVENUS"/>
    <x v="10"/>
    <s v="4041.001"/>
    <s v="Droits de mutation"/>
    <n v="0"/>
    <n v="242319"/>
    <n v="4041"/>
  </r>
  <r>
    <x v="0"/>
    <x v="2"/>
    <x v="2"/>
    <x v="221"/>
    <x v="187"/>
    <x v="187"/>
    <s v="REVENUS"/>
    <x v="6"/>
    <s v="4221.002"/>
    <s v="Intérêts compensat. sur impôts distincts"/>
    <n v="0"/>
    <n v="8.4"/>
    <n v="4221"/>
  </r>
  <r>
    <x v="0"/>
    <x v="2"/>
    <x v="2"/>
    <x v="221"/>
    <x v="187"/>
    <x v="187"/>
    <s v="REVENUS"/>
    <x v="9"/>
    <s v="4031.001"/>
    <s v="Impôt sur les gains immobiliers"/>
    <n v="0"/>
    <n v="153219.35"/>
    <n v="4031"/>
  </r>
  <r>
    <x v="0"/>
    <x v="2"/>
    <x v="2"/>
    <x v="221"/>
    <x v="187"/>
    <x v="187"/>
    <s v="REVENUS"/>
    <x v="3"/>
    <s v="4002.001"/>
    <s v="Impôt ordinaire s/fortune PP"/>
    <n v="0"/>
    <n v="125.05"/>
    <n v="4002"/>
  </r>
  <r>
    <x v="0"/>
    <x v="2"/>
    <x v="2"/>
    <x v="221"/>
    <x v="187"/>
    <x v="187"/>
    <s v="REVENUS"/>
    <x v="6"/>
    <s v="4221.003"/>
    <s v="Intérêts compensat. / acomptes en faveur du fisc"/>
    <n v="0"/>
    <n v="0.02"/>
    <n v="4221"/>
  </r>
  <r>
    <x v="0"/>
    <x v="2"/>
    <x v="2"/>
    <x v="221"/>
    <x v="187"/>
    <x v="187"/>
    <s v="REVENUS"/>
    <x v="5"/>
    <s v="4061.000"/>
    <s v="Impôt sur les chiens"/>
    <n v="0"/>
    <n v="8150"/>
    <n v="4061"/>
  </r>
  <r>
    <x v="0"/>
    <x v="2"/>
    <x v="2"/>
    <x v="221"/>
    <x v="187"/>
    <x v="187"/>
    <s v="REVENUS"/>
    <x v="9"/>
    <s v="4031.002"/>
    <s v="Complément impôt sur les gains immobiliers"/>
    <n v="0"/>
    <n v="26781.25"/>
    <n v="4031"/>
  </r>
  <r>
    <x v="0"/>
    <x v="2"/>
    <x v="2"/>
    <x v="221"/>
    <x v="187"/>
    <x v="187"/>
    <s v="REVENUS"/>
    <x v="6"/>
    <s v="4211.001"/>
    <s v="Intérêts de retard sur factures"/>
    <n v="0"/>
    <n v="0.33"/>
    <n v="4211"/>
  </r>
  <r>
    <x v="0"/>
    <x v="2"/>
    <x v="2"/>
    <x v="221"/>
    <x v="187"/>
    <x v="187"/>
    <s v="REVENUS"/>
    <x v="2"/>
    <s v="4001.002"/>
    <s v="Impôt complément s/revenu PP"/>
    <n v="0"/>
    <n v="645.29999999999995"/>
    <n v="4001"/>
  </r>
  <r>
    <x v="0"/>
    <x v="2"/>
    <x v="2"/>
    <x v="221"/>
    <x v="187"/>
    <x v="187"/>
    <s v="REVENUS"/>
    <x v="3"/>
    <s v="4002.002"/>
    <s v="Impôt complémentaire s/fortune PP"/>
    <n v="0"/>
    <n v="6764.45"/>
    <n v="4002"/>
  </r>
  <r>
    <x v="0"/>
    <x v="2"/>
    <x v="2"/>
    <x v="221"/>
    <x v="187"/>
    <x v="187"/>
    <s v="REVENUS"/>
    <x v="6"/>
    <s v="4211.001"/>
    <s v="Intérêts de retard sur factures"/>
    <n v="0"/>
    <n v="6.12"/>
    <n v="4211"/>
  </r>
  <r>
    <x v="0"/>
    <x v="2"/>
    <x v="2"/>
    <x v="221"/>
    <x v="187"/>
    <x v="187"/>
    <s v="REVENUS"/>
    <x v="6"/>
    <s v="4221.003"/>
    <s v="Intérêts compensat. / acomptes en faveur du fisc"/>
    <n v="0"/>
    <n v="0.01"/>
    <n v="4221"/>
  </r>
  <r>
    <x v="0"/>
    <x v="2"/>
    <x v="2"/>
    <x v="221"/>
    <x v="187"/>
    <x v="187"/>
    <s v="REVENUS"/>
    <x v="7"/>
    <s v="4184.000"/>
    <s v="Frais de poursuite"/>
    <n v="0"/>
    <n v="21.94"/>
    <n v="4184"/>
  </r>
  <r>
    <x v="0"/>
    <x v="2"/>
    <x v="2"/>
    <x v="221"/>
    <x v="187"/>
    <x v="187"/>
    <s v="REVENUS"/>
    <x v="2"/>
    <s v="4001.002"/>
    <s v="Impôt complément s/revenu PP"/>
    <n v="0"/>
    <n v="186.6"/>
    <n v="4001"/>
  </r>
  <r>
    <x v="0"/>
    <x v="2"/>
    <x v="2"/>
    <x v="221"/>
    <x v="187"/>
    <x v="187"/>
    <s v="REVENUS"/>
    <x v="3"/>
    <s v="4002.002"/>
    <s v="Impôt complémentaire s/fortune PP"/>
    <n v="0"/>
    <n v="56"/>
    <n v="4002"/>
  </r>
  <r>
    <x v="0"/>
    <x v="2"/>
    <x v="2"/>
    <x v="221"/>
    <x v="187"/>
    <x v="187"/>
    <s v="REVENUS"/>
    <x v="7"/>
    <s v="4184.000"/>
    <s v="Frais de poursuite"/>
    <n v="0"/>
    <n v="52.59"/>
    <n v="4184"/>
  </r>
  <r>
    <x v="0"/>
    <x v="2"/>
    <x v="2"/>
    <x v="221"/>
    <x v="187"/>
    <x v="187"/>
    <s v="REVENUS"/>
    <x v="12"/>
    <s v="4004.000"/>
    <s v="Impôt spécial étrangers"/>
    <n v="0"/>
    <n v="33091.949999999997"/>
    <n v="4004"/>
  </r>
  <r>
    <x v="0"/>
    <x v="2"/>
    <x v="2"/>
    <x v="221"/>
    <x v="187"/>
    <x v="187"/>
    <s v="REVENUS"/>
    <x v="2"/>
    <s v="4001.002"/>
    <s v="Impôt complément s/revenu PP"/>
    <n v="0"/>
    <n v="953.35"/>
    <n v="4001"/>
  </r>
  <r>
    <x v="0"/>
    <x v="2"/>
    <x v="2"/>
    <x v="221"/>
    <x v="187"/>
    <x v="187"/>
    <s v="REVENUS"/>
    <x v="3"/>
    <s v="4002.002"/>
    <s v="Impôt complémentaire s/fortune PP"/>
    <n v="0"/>
    <n v="44.1"/>
    <n v="4002"/>
  </r>
  <r>
    <x v="0"/>
    <x v="2"/>
    <x v="2"/>
    <x v="221"/>
    <x v="187"/>
    <x v="187"/>
    <s v="REVENUS"/>
    <x v="6"/>
    <s v="4211.002"/>
    <s v="Intérêts de retard sur acomptes"/>
    <n v="0"/>
    <n v="0.15"/>
    <n v="4211"/>
  </r>
  <r>
    <x v="0"/>
    <x v="2"/>
    <x v="2"/>
    <x v="221"/>
    <x v="187"/>
    <x v="187"/>
    <s v="REVENUS"/>
    <x v="6"/>
    <s v="4221.003"/>
    <s v="Intérêts compensat. / acomptes en faveur du fisc"/>
    <n v="0"/>
    <n v="0.52"/>
    <n v="4221"/>
  </r>
  <r>
    <x v="0"/>
    <x v="2"/>
    <x v="2"/>
    <x v="221"/>
    <x v="187"/>
    <x v="187"/>
    <s v="REVENUS"/>
    <x v="2"/>
    <s v="4001.007"/>
    <s v="Acompte impôt sur revenu"/>
    <n v="0"/>
    <n v="-7.4"/>
    <n v="4001"/>
  </r>
  <r>
    <x v="0"/>
    <x v="2"/>
    <x v="2"/>
    <x v="222"/>
    <x v="188"/>
    <x v="188"/>
    <s v="CHARGES"/>
    <x v="0"/>
    <s v="3212.004"/>
    <s v="Intérêts rémun./perçu trop tôt sur acomptes C/C"/>
    <n v="652.85"/>
    <n v="0"/>
    <n v="3212"/>
  </r>
  <r>
    <x v="0"/>
    <x v="2"/>
    <x v="2"/>
    <x v="222"/>
    <x v="188"/>
    <x v="188"/>
    <s v="CHARGES"/>
    <x v="0"/>
    <s v="3221.002"/>
    <s v="Intérêts compensatoires / créances en faveur ctb."/>
    <n v="194.29"/>
    <n v="0"/>
    <n v="3221"/>
  </r>
  <r>
    <x v="0"/>
    <x v="2"/>
    <x v="2"/>
    <x v="222"/>
    <x v="188"/>
    <x v="188"/>
    <s v="CHARGES"/>
    <x v="1"/>
    <s v="3301.001"/>
    <s v="Défalcations, abandons de solde PP et IS"/>
    <n v="27032.35"/>
    <n v="0"/>
    <n v="3301"/>
  </r>
  <r>
    <x v="0"/>
    <x v="2"/>
    <x v="2"/>
    <x v="222"/>
    <x v="188"/>
    <x v="188"/>
    <s v="CHARGES"/>
    <x v="0"/>
    <s v="3212.002"/>
    <s v="Intérêts bonifiés/trop perçu acompte C/C"/>
    <n v="48.69"/>
    <n v="0"/>
    <n v="3212"/>
  </r>
  <r>
    <x v="0"/>
    <x v="2"/>
    <x v="2"/>
    <x v="222"/>
    <x v="188"/>
    <x v="188"/>
    <s v="CHARGES"/>
    <x v="1"/>
    <s v="3301.001"/>
    <s v="Défalcations, abandons de solde PP et IS"/>
    <n v="8919.68"/>
    <n v="0"/>
    <n v="3301"/>
  </r>
  <r>
    <x v="0"/>
    <x v="2"/>
    <x v="2"/>
    <x v="222"/>
    <x v="188"/>
    <x v="188"/>
    <s v="CHARGES"/>
    <x v="0"/>
    <s v="3212.004"/>
    <s v="Intérêts rémun./perçu trop tôt sur acomptes C/C"/>
    <n v="0.56999999999999995"/>
    <n v="0"/>
    <n v="3212"/>
  </r>
  <r>
    <x v="0"/>
    <x v="2"/>
    <x v="2"/>
    <x v="222"/>
    <x v="188"/>
    <x v="188"/>
    <s v="CHARGES"/>
    <x v="1"/>
    <s v="3301.003"/>
    <s v="Remises PP et IS"/>
    <n v="9109.68"/>
    <n v="0"/>
    <n v="3301"/>
  </r>
  <r>
    <x v="0"/>
    <x v="2"/>
    <x v="2"/>
    <x v="222"/>
    <x v="188"/>
    <x v="188"/>
    <s v="CHARGES"/>
    <x v="0"/>
    <s v="3221.002"/>
    <s v="Intérêts compensatoires / créances en faveur ctb."/>
    <n v="0.01"/>
    <n v="0"/>
    <n v="3221"/>
  </r>
  <r>
    <x v="0"/>
    <x v="2"/>
    <x v="2"/>
    <x v="222"/>
    <x v="188"/>
    <x v="188"/>
    <s v="CHARGES"/>
    <x v="0"/>
    <s v="3212.004"/>
    <s v="Intérêts rémun./perçu trop tôt sur acomptes C/C"/>
    <n v="0.28999999999999998"/>
    <n v="0"/>
    <n v="3212"/>
  </r>
  <r>
    <x v="0"/>
    <x v="2"/>
    <x v="2"/>
    <x v="222"/>
    <x v="188"/>
    <x v="188"/>
    <s v="CHARGES"/>
    <x v="0"/>
    <s v="3221.002"/>
    <s v="Intérêts compensatoires / créances en faveur ctb."/>
    <n v="0.18"/>
    <n v="0"/>
    <n v="3221"/>
  </r>
  <r>
    <x v="0"/>
    <x v="2"/>
    <x v="2"/>
    <x v="222"/>
    <x v="188"/>
    <x v="188"/>
    <s v="CHARGES"/>
    <x v="1"/>
    <s v="3301.001"/>
    <s v="Défalcations, abandons de solde PP et IS"/>
    <n v="0.02"/>
    <n v="0"/>
    <n v="3301"/>
  </r>
  <r>
    <x v="0"/>
    <x v="2"/>
    <x v="2"/>
    <x v="222"/>
    <x v="188"/>
    <x v="188"/>
    <s v="REVENUS"/>
    <x v="2"/>
    <s v="4001.007"/>
    <s v="Acompte impôt sur revenu"/>
    <n v="0"/>
    <n v="-64204.1"/>
    <n v="4001"/>
  </r>
  <r>
    <x v="0"/>
    <x v="2"/>
    <x v="2"/>
    <x v="222"/>
    <x v="188"/>
    <x v="188"/>
    <s v="REVENUS"/>
    <x v="3"/>
    <s v="4002.007"/>
    <s v="Acompte impôt sur fortune"/>
    <n v="0"/>
    <n v="67656.03"/>
    <n v="4002"/>
  </r>
  <r>
    <x v="0"/>
    <x v="2"/>
    <x v="2"/>
    <x v="222"/>
    <x v="188"/>
    <x v="188"/>
    <s v="REVENUS"/>
    <x v="3"/>
    <s v="4002.001"/>
    <s v="Impôt ordinaire s/fortune PP"/>
    <n v="0"/>
    <n v="370089.55"/>
    <n v="4002"/>
  </r>
  <r>
    <x v="0"/>
    <x v="2"/>
    <x v="2"/>
    <x v="222"/>
    <x v="188"/>
    <x v="188"/>
    <s v="REVENUS"/>
    <x v="3"/>
    <s v="4002.002"/>
    <s v="Impôt complémentaire s/fortune PP"/>
    <n v="0"/>
    <n v="91373.7"/>
    <n v="4002"/>
  </r>
  <r>
    <x v="0"/>
    <x v="2"/>
    <x v="2"/>
    <x v="222"/>
    <x v="188"/>
    <x v="188"/>
    <s v="REVENUS"/>
    <x v="6"/>
    <s v="4211.001"/>
    <s v="Intérêts de retard sur factures"/>
    <n v="0"/>
    <n v="16394.150000000001"/>
    <n v="4211"/>
  </r>
  <r>
    <x v="0"/>
    <x v="2"/>
    <x v="2"/>
    <x v="222"/>
    <x v="188"/>
    <x v="188"/>
    <s v="REVENUS"/>
    <x v="6"/>
    <s v="4221.003"/>
    <s v="Intérêts compensat. / acomptes en faveur du fisc"/>
    <n v="0"/>
    <n v="445.7"/>
    <n v="4221"/>
  </r>
  <r>
    <x v="0"/>
    <x v="2"/>
    <x v="2"/>
    <x v="222"/>
    <x v="188"/>
    <x v="188"/>
    <s v="REVENUS"/>
    <x v="2"/>
    <s v="4001.001"/>
    <s v="Impôt revenu"/>
    <n v="0"/>
    <n v="3220239.85"/>
    <n v="4001"/>
  </r>
  <r>
    <x v="0"/>
    <x v="2"/>
    <x v="2"/>
    <x v="222"/>
    <x v="188"/>
    <x v="188"/>
    <s v="REVENUS"/>
    <x v="7"/>
    <s v="4184.000"/>
    <s v="Frais de poursuite"/>
    <n v="0"/>
    <n v="2364.4699999999998"/>
    <n v="4184"/>
  </r>
  <r>
    <x v="0"/>
    <x v="2"/>
    <x v="2"/>
    <x v="222"/>
    <x v="188"/>
    <x v="188"/>
    <s v="REVENUS"/>
    <x v="6"/>
    <s v="4211.002"/>
    <s v="Intérêts de retard sur acomptes"/>
    <n v="0"/>
    <n v="19064.580000000002"/>
    <n v="4211"/>
  </r>
  <r>
    <x v="0"/>
    <x v="2"/>
    <x v="2"/>
    <x v="222"/>
    <x v="188"/>
    <x v="188"/>
    <s v="REVENUS"/>
    <x v="2"/>
    <s v="4001.002"/>
    <s v="Impôt complément s/revenu PP"/>
    <n v="0"/>
    <n v="718196.85"/>
    <n v="4001"/>
  </r>
  <r>
    <x v="0"/>
    <x v="2"/>
    <x v="2"/>
    <x v="222"/>
    <x v="188"/>
    <x v="188"/>
    <s v="REVENUS"/>
    <x v="2"/>
    <s v="4001.003"/>
    <s v="Impôt s/prest. cap. PP"/>
    <n v="0"/>
    <n v="75042.95"/>
    <n v="4001"/>
  </r>
  <r>
    <x v="0"/>
    <x v="2"/>
    <x v="2"/>
    <x v="222"/>
    <x v="188"/>
    <x v="188"/>
    <s v="REVENUS"/>
    <x v="10"/>
    <s v="4041.001"/>
    <s v="Droits de mutation"/>
    <n v="0"/>
    <n v="152738.65"/>
    <n v="4041"/>
  </r>
  <r>
    <x v="0"/>
    <x v="2"/>
    <x v="2"/>
    <x v="222"/>
    <x v="188"/>
    <x v="188"/>
    <s v="REVENUS"/>
    <x v="9"/>
    <s v="4031.001"/>
    <s v="Impôt sur les gains immobiliers"/>
    <n v="0"/>
    <n v="117075.3"/>
    <n v="4031"/>
  </r>
  <r>
    <x v="0"/>
    <x v="2"/>
    <x v="2"/>
    <x v="222"/>
    <x v="188"/>
    <x v="188"/>
    <s v="REVENUS"/>
    <x v="6"/>
    <s v="4211.001"/>
    <s v="Intérêts de retard sur factures"/>
    <n v="0"/>
    <n v="0.09"/>
    <n v="4211"/>
  </r>
  <r>
    <x v="0"/>
    <x v="2"/>
    <x v="2"/>
    <x v="222"/>
    <x v="188"/>
    <x v="188"/>
    <s v="REVENUS"/>
    <x v="6"/>
    <s v="4221.002"/>
    <s v="Intérêts compensat. sur impôts distincts"/>
    <n v="0"/>
    <n v="20.67"/>
    <n v="4221"/>
  </r>
  <r>
    <x v="0"/>
    <x v="2"/>
    <x v="2"/>
    <x v="222"/>
    <x v="188"/>
    <x v="188"/>
    <s v="REVENUS"/>
    <x v="3"/>
    <s v="4002.007"/>
    <s v="Acompte impôt sur fortune"/>
    <n v="0"/>
    <n v="0"/>
    <n v="4002"/>
  </r>
  <r>
    <x v="0"/>
    <x v="2"/>
    <x v="2"/>
    <x v="222"/>
    <x v="188"/>
    <x v="188"/>
    <s v="REVENUS"/>
    <x v="2"/>
    <s v="4001.007"/>
    <s v="Acompte impôt sur revenu"/>
    <n v="0"/>
    <n v="24.95"/>
    <n v="4001"/>
  </r>
  <r>
    <x v="0"/>
    <x v="2"/>
    <x v="2"/>
    <x v="222"/>
    <x v="188"/>
    <x v="188"/>
    <s v="REVENUS"/>
    <x v="5"/>
    <s v="4061.000"/>
    <s v="Impôt sur les chiens"/>
    <n v="0"/>
    <n v="9050"/>
    <n v="4061"/>
  </r>
  <r>
    <x v="0"/>
    <x v="2"/>
    <x v="2"/>
    <x v="222"/>
    <x v="188"/>
    <x v="188"/>
    <s v="REVENUS"/>
    <x v="2"/>
    <s v="4001.007"/>
    <s v="Acompte impôt sur revenu"/>
    <n v="0"/>
    <n v="76.2"/>
    <n v="4001"/>
  </r>
  <r>
    <x v="0"/>
    <x v="2"/>
    <x v="2"/>
    <x v="222"/>
    <x v="188"/>
    <x v="188"/>
    <s v="REVENUS"/>
    <x v="3"/>
    <s v="4002.007"/>
    <s v="Acompte impôt sur fortune"/>
    <n v="0"/>
    <n v="677.25"/>
    <n v="4002"/>
  </r>
  <r>
    <x v="0"/>
    <x v="2"/>
    <x v="2"/>
    <x v="222"/>
    <x v="188"/>
    <x v="188"/>
    <s v="REVENUS"/>
    <x v="3"/>
    <s v="4002.007"/>
    <s v="Acompte impôt sur fortune"/>
    <n v="0"/>
    <n v="-204.2"/>
    <n v="4002"/>
  </r>
  <r>
    <x v="0"/>
    <x v="2"/>
    <x v="2"/>
    <x v="222"/>
    <x v="188"/>
    <x v="188"/>
    <s v="REVENUS"/>
    <x v="3"/>
    <s v="4002.007"/>
    <s v="Acompte impôt sur fortune"/>
    <n v="0"/>
    <n v="2465.25"/>
    <n v="4002"/>
  </r>
  <r>
    <x v="0"/>
    <x v="2"/>
    <x v="2"/>
    <x v="222"/>
    <x v="188"/>
    <x v="188"/>
    <s v="REVENUS"/>
    <x v="2"/>
    <s v="4001.007"/>
    <s v="Acompte impôt sur revenu"/>
    <n v="0"/>
    <n v="-2102.6999999999998"/>
    <n v="4001"/>
  </r>
  <r>
    <x v="0"/>
    <x v="2"/>
    <x v="2"/>
    <x v="222"/>
    <x v="188"/>
    <x v="188"/>
    <s v="REVENUS"/>
    <x v="2"/>
    <s v="4001.007"/>
    <s v="Acompte impôt sur revenu"/>
    <n v="0"/>
    <n v="816.15"/>
    <n v="4001"/>
  </r>
  <r>
    <x v="0"/>
    <x v="2"/>
    <x v="2"/>
    <x v="222"/>
    <x v="188"/>
    <x v="188"/>
    <s v="REVENUS"/>
    <x v="3"/>
    <s v="4002.007"/>
    <s v="Acompte impôt sur fortune"/>
    <n v="0"/>
    <n v="-29.45"/>
    <n v="4002"/>
  </r>
  <r>
    <x v="0"/>
    <x v="2"/>
    <x v="2"/>
    <x v="222"/>
    <x v="188"/>
    <x v="188"/>
    <s v="REVENUS"/>
    <x v="8"/>
    <s v="4091.001"/>
    <s v="Impôt récupéré après défalcations"/>
    <n v="0"/>
    <n v="1163.22"/>
    <n v="4091"/>
  </r>
  <r>
    <x v="0"/>
    <x v="2"/>
    <x v="2"/>
    <x v="222"/>
    <x v="188"/>
    <x v="188"/>
    <s v="REVENUS"/>
    <x v="4"/>
    <s v="4051.001"/>
    <s v="Impôt sur les successions"/>
    <n v="0"/>
    <n v="100650"/>
    <n v="4051"/>
  </r>
  <r>
    <x v="0"/>
    <x v="2"/>
    <x v="2"/>
    <x v="222"/>
    <x v="188"/>
    <x v="188"/>
    <s v="REVENUS"/>
    <x v="7"/>
    <s v="4184.000"/>
    <s v="Frais de poursuite"/>
    <n v="0"/>
    <n v="161.54"/>
    <n v="4184"/>
  </r>
  <r>
    <x v="0"/>
    <x v="2"/>
    <x v="2"/>
    <x v="222"/>
    <x v="188"/>
    <x v="188"/>
    <s v="REVENUS"/>
    <x v="8"/>
    <s v="4091.001"/>
    <s v="Impôt récupéré après défalcations"/>
    <n v="0"/>
    <n v="100"/>
    <n v="4091"/>
  </r>
  <r>
    <x v="0"/>
    <x v="2"/>
    <x v="2"/>
    <x v="222"/>
    <x v="188"/>
    <x v="188"/>
    <s v="REVENUS"/>
    <x v="2"/>
    <s v="4001.001"/>
    <s v="Impôt revenu"/>
    <n v="0"/>
    <n v="409.35"/>
    <n v="4001"/>
  </r>
  <r>
    <x v="0"/>
    <x v="2"/>
    <x v="2"/>
    <x v="222"/>
    <x v="188"/>
    <x v="188"/>
    <s v="REVENUS"/>
    <x v="3"/>
    <s v="4002.001"/>
    <s v="Impôt ordinaire s/fortune PP"/>
    <n v="0"/>
    <n v="771.85"/>
    <n v="4002"/>
  </r>
  <r>
    <x v="0"/>
    <x v="2"/>
    <x v="2"/>
    <x v="222"/>
    <x v="188"/>
    <x v="188"/>
    <s v="REVENUS"/>
    <x v="2"/>
    <s v="4001.001"/>
    <s v="Impôt revenu"/>
    <n v="0"/>
    <n v="1327.8"/>
    <n v="4001"/>
  </r>
  <r>
    <x v="0"/>
    <x v="2"/>
    <x v="2"/>
    <x v="222"/>
    <x v="188"/>
    <x v="188"/>
    <s v="REVENUS"/>
    <x v="3"/>
    <s v="4002.001"/>
    <s v="Impôt ordinaire s/fortune PP"/>
    <n v="0"/>
    <n v="629.70000000000005"/>
    <n v="4002"/>
  </r>
  <r>
    <x v="0"/>
    <x v="2"/>
    <x v="2"/>
    <x v="222"/>
    <x v="188"/>
    <x v="188"/>
    <s v="REVENUS"/>
    <x v="2"/>
    <s v="4001.001"/>
    <s v="Impôt revenu"/>
    <n v="0"/>
    <n v="16.7"/>
    <n v="4001"/>
  </r>
  <r>
    <x v="0"/>
    <x v="2"/>
    <x v="2"/>
    <x v="222"/>
    <x v="188"/>
    <x v="188"/>
    <s v="REVENUS"/>
    <x v="6"/>
    <s v="4211.002"/>
    <s v="Intérêts de retard sur acomptes"/>
    <n v="0"/>
    <n v="0.56000000000000005"/>
    <n v="4211"/>
  </r>
  <r>
    <x v="0"/>
    <x v="2"/>
    <x v="2"/>
    <x v="222"/>
    <x v="188"/>
    <x v="188"/>
    <s v="REVENUS"/>
    <x v="6"/>
    <s v="4211.002"/>
    <s v="Intérêts de retard sur acomptes"/>
    <n v="0"/>
    <n v="0.09"/>
    <n v="4211"/>
  </r>
  <r>
    <x v="0"/>
    <x v="2"/>
    <x v="2"/>
    <x v="222"/>
    <x v="188"/>
    <x v="188"/>
    <s v="REVENUS"/>
    <x v="6"/>
    <s v="4221.003"/>
    <s v="Intérêts compensat. / acomptes en faveur du fisc"/>
    <n v="0"/>
    <n v="0.02"/>
    <n v="4221"/>
  </r>
  <r>
    <x v="0"/>
    <x v="2"/>
    <x v="2"/>
    <x v="222"/>
    <x v="188"/>
    <x v="188"/>
    <s v="REVENUS"/>
    <x v="4"/>
    <s v="4051.002"/>
    <s v="Impôt sur les donations"/>
    <n v="0"/>
    <n v="3718.8"/>
    <n v="4051"/>
  </r>
  <r>
    <x v="0"/>
    <x v="2"/>
    <x v="2"/>
    <x v="222"/>
    <x v="188"/>
    <x v="188"/>
    <s v="REVENUS"/>
    <x v="9"/>
    <s v="4031.002"/>
    <s v="Complément impôt sur les gains immobiliers"/>
    <n v="0"/>
    <n v="6767.6"/>
    <n v="4031"/>
  </r>
  <r>
    <x v="0"/>
    <x v="2"/>
    <x v="2"/>
    <x v="222"/>
    <x v="188"/>
    <x v="188"/>
    <s v="REVENUS"/>
    <x v="2"/>
    <s v="4001.001"/>
    <s v="Impôt revenu"/>
    <n v="0"/>
    <n v="67.8"/>
    <n v="4001"/>
  </r>
  <r>
    <x v="0"/>
    <x v="2"/>
    <x v="2"/>
    <x v="222"/>
    <x v="188"/>
    <x v="188"/>
    <s v="REVENUS"/>
    <x v="3"/>
    <s v="4002.001"/>
    <s v="Impôt ordinaire s/fortune PP"/>
    <n v="0"/>
    <n v="161.80000000000001"/>
    <n v="4002"/>
  </r>
  <r>
    <x v="0"/>
    <x v="2"/>
    <x v="2"/>
    <x v="222"/>
    <x v="188"/>
    <x v="188"/>
    <s v="REVENUS"/>
    <x v="6"/>
    <s v="4211.002"/>
    <s v="Intérêts de retard sur acomptes"/>
    <n v="0"/>
    <n v="4.8"/>
    <n v="4211"/>
  </r>
  <r>
    <x v="0"/>
    <x v="2"/>
    <x v="2"/>
    <x v="223"/>
    <x v="189"/>
    <x v="189"/>
    <s v="CHARGES"/>
    <x v="0"/>
    <s v="3212.004"/>
    <s v="Intérêts rémun./perçu trop tôt sur acomptes C/C"/>
    <n v="2612.6999999999998"/>
    <n v="0"/>
    <n v="3212"/>
  </r>
  <r>
    <x v="0"/>
    <x v="2"/>
    <x v="2"/>
    <x v="223"/>
    <x v="189"/>
    <x v="189"/>
    <s v="CHARGES"/>
    <x v="0"/>
    <s v="3221.002"/>
    <s v="Intérêts compensatoires / créances en faveur ctb."/>
    <n v="1176.28"/>
    <n v="0"/>
    <n v="3221"/>
  </r>
  <r>
    <x v="0"/>
    <x v="2"/>
    <x v="2"/>
    <x v="223"/>
    <x v="189"/>
    <x v="189"/>
    <s v="CHARGES"/>
    <x v="1"/>
    <s v="3301.001"/>
    <s v="Défalcations, abandons de solde PP et IS"/>
    <n v="103189.36"/>
    <n v="0"/>
    <n v="3301"/>
  </r>
  <r>
    <x v="0"/>
    <x v="2"/>
    <x v="2"/>
    <x v="223"/>
    <x v="189"/>
    <x v="189"/>
    <s v="CHARGES"/>
    <x v="0"/>
    <s v="3212.002"/>
    <s v="Intérêts bonifiés/trop perçu acompte C/C"/>
    <n v="502.94"/>
    <n v="0"/>
    <n v="3212"/>
  </r>
  <r>
    <x v="0"/>
    <x v="2"/>
    <x v="2"/>
    <x v="223"/>
    <x v="189"/>
    <x v="189"/>
    <s v="CHARGES"/>
    <x v="0"/>
    <s v="3212.004"/>
    <s v="Intérêts rémun./perçu trop tôt sur acomptes C/C"/>
    <n v="6.48"/>
    <n v="0"/>
    <n v="3212"/>
  </r>
  <r>
    <x v="0"/>
    <x v="2"/>
    <x v="2"/>
    <x v="223"/>
    <x v="189"/>
    <x v="189"/>
    <s v="CHARGES"/>
    <x v="0"/>
    <s v="3221.002"/>
    <s v="Intérêts compensatoires / créances en faveur ctb."/>
    <n v="18.899999999999999"/>
    <n v="0"/>
    <n v="3221"/>
  </r>
  <r>
    <x v="0"/>
    <x v="2"/>
    <x v="2"/>
    <x v="223"/>
    <x v="189"/>
    <x v="189"/>
    <s v="CHARGES"/>
    <x v="0"/>
    <s v="3212.004"/>
    <s v="Intérêts rémun./perçu trop tôt sur acomptes C/C"/>
    <n v="1.7"/>
    <n v="0"/>
    <n v="3212"/>
  </r>
  <r>
    <x v="0"/>
    <x v="2"/>
    <x v="2"/>
    <x v="223"/>
    <x v="189"/>
    <x v="189"/>
    <s v="CHARGES"/>
    <x v="0"/>
    <s v="3221.002"/>
    <s v="Intérêts compensatoires / créances en faveur ctb."/>
    <n v="0.92"/>
    <n v="0"/>
    <n v="3221"/>
  </r>
  <r>
    <x v="0"/>
    <x v="2"/>
    <x v="2"/>
    <x v="223"/>
    <x v="189"/>
    <x v="189"/>
    <s v="CHARGES"/>
    <x v="0"/>
    <s v="3212.004"/>
    <s v="Intérêts rémun./perçu trop tôt sur acomptes C/C"/>
    <n v="0.25"/>
    <n v="0"/>
    <n v="3212"/>
  </r>
  <r>
    <x v="0"/>
    <x v="2"/>
    <x v="2"/>
    <x v="223"/>
    <x v="189"/>
    <x v="189"/>
    <s v="CHARGES"/>
    <x v="0"/>
    <s v="3212.004"/>
    <s v="Intérêts rémun./perçu trop tôt sur acomptes C/C"/>
    <n v="0.75"/>
    <n v="0"/>
    <n v="3212"/>
  </r>
  <r>
    <x v="0"/>
    <x v="2"/>
    <x v="2"/>
    <x v="223"/>
    <x v="189"/>
    <x v="189"/>
    <s v="CHARGES"/>
    <x v="0"/>
    <s v="3212.004"/>
    <s v="Intérêts rémun./perçu trop tôt sur acomptes C/C"/>
    <n v="2.7"/>
    <n v="0"/>
    <n v="3212"/>
  </r>
  <r>
    <x v="0"/>
    <x v="2"/>
    <x v="2"/>
    <x v="223"/>
    <x v="189"/>
    <x v="189"/>
    <s v="CHARGES"/>
    <x v="1"/>
    <s v="3301.001"/>
    <s v="Défalcations, abandons de solde PP et IS"/>
    <n v="2795.37"/>
    <n v="0"/>
    <n v="3301"/>
  </r>
  <r>
    <x v="0"/>
    <x v="2"/>
    <x v="2"/>
    <x v="223"/>
    <x v="189"/>
    <x v="189"/>
    <s v="CHARGES"/>
    <x v="1"/>
    <s v="3301.001"/>
    <s v="Défalcations, abandons de solde PP et IS"/>
    <n v="0.01"/>
    <n v="0"/>
    <n v="3301"/>
  </r>
  <r>
    <x v="0"/>
    <x v="2"/>
    <x v="2"/>
    <x v="223"/>
    <x v="189"/>
    <x v="189"/>
    <s v="CHARGES"/>
    <x v="0"/>
    <s v="3212.002"/>
    <s v="Intérêts bonifiés/trop perçu acompte C/C"/>
    <n v="-3.99"/>
    <n v="0"/>
    <n v="3212"/>
  </r>
  <r>
    <x v="0"/>
    <x v="2"/>
    <x v="2"/>
    <x v="223"/>
    <x v="189"/>
    <x v="189"/>
    <s v="CHARGES"/>
    <x v="1"/>
    <s v="3301.001"/>
    <s v="Défalcations, abandons de solde PP et IS"/>
    <n v="0.44"/>
    <n v="0"/>
    <n v="3301"/>
  </r>
  <r>
    <x v="0"/>
    <x v="2"/>
    <x v="2"/>
    <x v="223"/>
    <x v="189"/>
    <x v="189"/>
    <s v="REVENUS"/>
    <x v="2"/>
    <s v="4001.007"/>
    <s v="Acompte impôt sur revenu"/>
    <n v="0"/>
    <n v="2242498.37"/>
    <n v="4001"/>
  </r>
  <r>
    <x v="0"/>
    <x v="2"/>
    <x v="2"/>
    <x v="223"/>
    <x v="189"/>
    <x v="189"/>
    <s v="REVENUS"/>
    <x v="3"/>
    <s v="4002.001"/>
    <s v="Impôt ordinaire s/fortune PP"/>
    <n v="0"/>
    <n v="2583846.75"/>
    <n v="4002"/>
  </r>
  <r>
    <x v="0"/>
    <x v="2"/>
    <x v="2"/>
    <x v="223"/>
    <x v="189"/>
    <x v="189"/>
    <s v="REVENUS"/>
    <x v="3"/>
    <s v="4002.007"/>
    <s v="Acompte impôt sur fortune"/>
    <n v="0"/>
    <n v="735529.97"/>
    <n v="4002"/>
  </r>
  <r>
    <x v="0"/>
    <x v="2"/>
    <x v="2"/>
    <x v="223"/>
    <x v="189"/>
    <x v="189"/>
    <s v="REVENUS"/>
    <x v="6"/>
    <s v="4211.002"/>
    <s v="Intérêts de retard sur acomptes"/>
    <n v="0"/>
    <n v="99644.89"/>
    <n v="4211"/>
  </r>
  <r>
    <x v="0"/>
    <x v="2"/>
    <x v="2"/>
    <x v="223"/>
    <x v="189"/>
    <x v="189"/>
    <s v="REVENUS"/>
    <x v="6"/>
    <s v="4221.003"/>
    <s v="Intérêts compensat. / acomptes en faveur du fisc"/>
    <n v="0"/>
    <n v="640.6"/>
    <n v="4221"/>
  </r>
  <r>
    <x v="0"/>
    <x v="2"/>
    <x v="2"/>
    <x v="223"/>
    <x v="189"/>
    <x v="189"/>
    <s v="REVENUS"/>
    <x v="2"/>
    <s v="4001.001"/>
    <s v="Impôt revenu"/>
    <n v="0"/>
    <n v="9682723.9000000004"/>
    <n v="4001"/>
  </r>
  <r>
    <x v="0"/>
    <x v="2"/>
    <x v="2"/>
    <x v="223"/>
    <x v="189"/>
    <x v="189"/>
    <s v="REVENUS"/>
    <x v="9"/>
    <s v="4031.001"/>
    <s v="Impôt sur les gains immobiliers"/>
    <n v="0"/>
    <n v="634826.25"/>
    <n v="4031"/>
  </r>
  <r>
    <x v="0"/>
    <x v="2"/>
    <x v="2"/>
    <x v="223"/>
    <x v="189"/>
    <x v="189"/>
    <s v="REVENUS"/>
    <x v="6"/>
    <s v="4211.001"/>
    <s v="Intérêts de retard sur factures"/>
    <n v="0"/>
    <n v="72311.199999999997"/>
    <n v="4211"/>
  </r>
  <r>
    <x v="0"/>
    <x v="2"/>
    <x v="2"/>
    <x v="223"/>
    <x v="189"/>
    <x v="189"/>
    <s v="REVENUS"/>
    <x v="2"/>
    <s v="4001.002"/>
    <s v="Impôt complément s/revenu PP"/>
    <n v="0"/>
    <n v="3763157.2"/>
    <n v="4001"/>
  </r>
  <r>
    <x v="0"/>
    <x v="2"/>
    <x v="2"/>
    <x v="223"/>
    <x v="189"/>
    <x v="189"/>
    <s v="REVENUS"/>
    <x v="3"/>
    <s v="4002.002"/>
    <s v="Impôt complémentaire s/fortune PP"/>
    <n v="0"/>
    <n v="679925.45"/>
    <n v="4002"/>
  </r>
  <r>
    <x v="0"/>
    <x v="2"/>
    <x v="2"/>
    <x v="223"/>
    <x v="189"/>
    <x v="189"/>
    <s v="REVENUS"/>
    <x v="7"/>
    <s v="4184.000"/>
    <s v="Frais de poursuite"/>
    <n v="0"/>
    <n v="5364.48"/>
    <n v="4184"/>
  </r>
  <r>
    <x v="0"/>
    <x v="2"/>
    <x v="2"/>
    <x v="223"/>
    <x v="189"/>
    <x v="189"/>
    <s v="REVENUS"/>
    <x v="11"/>
    <s v="4198.000"/>
    <s v="Contributions communales"/>
    <n v="0"/>
    <n v="1227989.8999999999"/>
    <n v="4198"/>
  </r>
  <r>
    <x v="0"/>
    <x v="2"/>
    <x v="2"/>
    <x v="223"/>
    <x v="189"/>
    <x v="189"/>
    <s v="REVENUS"/>
    <x v="7"/>
    <s v="4184.000"/>
    <s v="Frais de poursuite"/>
    <n v="0"/>
    <n v="70.150000000000006"/>
    <n v="4184"/>
  </r>
  <r>
    <x v="0"/>
    <x v="2"/>
    <x v="2"/>
    <x v="223"/>
    <x v="189"/>
    <x v="189"/>
    <s v="REVENUS"/>
    <x v="3"/>
    <s v="4002.007"/>
    <s v="Acompte impôt sur fortune"/>
    <n v="0"/>
    <n v="-1051.8499999999999"/>
    <n v="4002"/>
  </r>
  <r>
    <x v="0"/>
    <x v="2"/>
    <x v="2"/>
    <x v="223"/>
    <x v="189"/>
    <x v="189"/>
    <s v="REVENUS"/>
    <x v="3"/>
    <s v="4002.001"/>
    <s v="Impôt ordinaire s/fortune PP"/>
    <n v="0"/>
    <n v="1921.15"/>
    <n v="4002"/>
  </r>
  <r>
    <x v="0"/>
    <x v="2"/>
    <x v="2"/>
    <x v="223"/>
    <x v="189"/>
    <x v="189"/>
    <s v="REVENUS"/>
    <x v="6"/>
    <s v="4211.002"/>
    <s v="Intérêts de retard sur acomptes"/>
    <n v="0"/>
    <n v="44.7"/>
    <n v="4211"/>
  </r>
  <r>
    <x v="0"/>
    <x v="2"/>
    <x v="2"/>
    <x v="223"/>
    <x v="189"/>
    <x v="189"/>
    <s v="REVENUS"/>
    <x v="2"/>
    <s v="4001.003"/>
    <s v="Impôt s/prest. cap. PP"/>
    <n v="0"/>
    <n v="321916.55"/>
    <n v="4001"/>
  </r>
  <r>
    <x v="0"/>
    <x v="2"/>
    <x v="2"/>
    <x v="223"/>
    <x v="189"/>
    <x v="189"/>
    <s v="REVENUS"/>
    <x v="6"/>
    <s v="4221.002"/>
    <s v="Intérêts compensat. sur impôts distincts"/>
    <n v="0"/>
    <n v="638.29"/>
    <n v="4221"/>
  </r>
  <r>
    <x v="0"/>
    <x v="2"/>
    <x v="2"/>
    <x v="223"/>
    <x v="189"/>
    <x v="189"/>
    <s v="REVENUS"/>
    <x v="2"/>
    <s v="4001.001"/>
    <s v="Impôt revenu"/>
    <n v="0"/>
    <n v="86138.25"/>
    <n v="4001"/>
  </r>
  <r>
    <x v="0"/>
    <x v="2"/>
    <x v="2"/>
    <x v="223"/>
    <x v="189"/>
    <x v="189"/>
    <s v="REVENUS"/>
    <x v="2"/>
    <s v="4001.007"/>
    <s v="Acompte impôt sur revenu"/>
    <n v="0"/>
    <n v="-19557.439999999999"/>
    <n v="4001"/>
  </r>
  <r>
    <x v="0"/>
    <x v="2"/>
    <x v="2"/>
    <x v="223"/>
    <x v="189"/>
    <x v="189"/>
    <s v="REVENUS"/>
    <x v="3"/>
    <s v="4002.001"/>
    <s v="Impôt ordinaire s/fortune PP"/>
    <n v="0"/>
    <n v="15418.2"/>
    <n v="4002"/>
  </r>
  <r>
    <x v="0"/>
    <x v="2"/>
    <x v="2"/>
    <x v="223"/>
    <x v="189"/>
    <x v="189"/>
    <s v="REVENUS"/>
    <x v="3"/>
    <s v="4002.007"/>
    <s v="Acompte impôt sur fortune"/>
    <n v="0"/>
    <n v="-4217.2299999999996"/>
    <n v="4002"/>
  </r>
  <r>
    <x v="0"/>
    <x v="2"/>
    <x v="2"/>
    <x v="223"/>
    <x v="189"/>
    <x v="189"/>
    <s v="REVENUS"/>
    <x v="6"/>
    <s v="4211.002"/>
    <s v="Intérêts de retard sur acomptes"/>
    <n v="0"/>
    <n v="1163.5999999999999"/>
    <n v="4211"/>
  </r>
  <r>
    <x v="0"/>
    <x v="2"/>
    <x v="2"/>
    <x v="223"/>
    <x v="189"/>
    <x v="189"/>
    <s v="REVENUS"/>
    <x v="6"/>
    <s v="4221.003"/>
    <s v="Intérêts compensat. / acomptes en faveur du fisc"/>
    <n v="0"/>
    <n v="57.13"/>
    <n v="4221"/>
  </r>
  <r>
    <x v="0"/>
    <x v="2"/>
    <x v="2"/>
    <x v="223"/>
    <x v="189"/>
    <x v="189"/>
    <s v="REVENUS"/>
    <x v="5"/>
    <s v="4061.000"/>
    <s v="Impôt sur les chiens"/>
    <n v="0"/>
    <n v="20895"/>
    <n v="4061"/>
  </r>
  <r>
    <x v="0"/>
    <x v="2"/>
    <x v="2"/>
    <x v="223"/>
    <x v="189"/>
    <x v="189"/>
    <s v="REVENUS"/>
    <x v="12"/>
    <s v="4004.000"/>
    <s v="Impôt spécial étrangers"/>
    <n v="0"/>
    <n v="821925.25"/>
    <n v="4004"/>
  </r>
  <r>
    <x v="0"/>
    <x v="2"/>
    <x v="2"/>
    <x v="223"/>
    <x v="189"/>
    <x v="189"/>
    <s v="REVENUS"/>
    <x v="12"/>
    <s v="4004.007"/>
    <s v="Acompte spécial étrangers"/>
    <n v="0"/>
    <n v="103382.75"/>
    <n v="4004"/>
  </r>
  <r>
    <x v="0"/>
    <x v="2"/>
    <x v="2"/>
    <x v="223"/>
    <x v="189"/>
    <x v="189"/>
    <s v="REVENUS"/>
    <x v="10"/>
    <s v="4041.001"/>
    <s v="Droits de mutation"/>
    <n v="0"/>
    <n v="818498.05"/>
    <n v="4041"/>
  </r>
  <r>
    <x v="0"/>
    <x v="2"/>
    <x v="2"/>
    <x v="223"/>
    <x v="189"/>
    <x v="189"/>
    <s v="REVENUS"/>
    <x v="2"/>
    <s v="4001.007"/>
    <s v="Acompte impôt sur revenu"/>
    <n v="0"/>
    <n v="-235.25"/>
    <n v="4001"/>
  </r>
  <r>
    <x v="0"/>
    <x v="2"/>
    <x v="2"/>
    <x v="223"/>
    <x v="189"/>
    <x v="189"/>
    <s v="REVENUS"/>
    <x v="3"/>
    <s v="4002.007"/>
    <s v="Acompte impôt sur fortune"/>
    <n v="0"/>
    <n v="202.61"/>
    <n v="4002"/>
  </r>
  <r>
    <x v="0"/>
    <x v="2"/>
    <x v="2"/>
    <x v="223"/>
    <x v="189"/>
    <x v="189"/>
    <s v="REVENUS"/>
    <x v="2"/>
    <s v="4001.007"/>
    <s v="Acompte impôt sur revenu"/>
    <n v="0"/>
    <n v="-37.450000000000003"/>
    <n v="4001"/>
  </r>
  <r>
    <x v="0"/>
    <x v="2"/>
    <x v="2"/>
    <x v="223"/>
    <x v="189"/>
    <x v="189"/>
    <s v="REVENUS"/>
    <x v="4"/>
    <s v="4051.001"/>
    <s v="Impôt sur les successions"/>
    <n v="0"/>
    <n v="143605.20000000001"/>
    <n v="4051"/>
  </r>
  <r>
    <x v="0"/>
    <x v="2"/>
    <x v="2"/>
    <x v="223"/>
    <x v="189"/>
    <x v="189"/>
    <s v="REVENUS"/>
    <x v="4"/>
    <s v="4051.002"/>
    <s v="Impôt sur les donations"/>
    <n v="0"/>
    <n v="101124"/>
    <n v="4051"/>
  </r>
  <r>
    <x v="0"/>
    <x v="2"/>
    <x v="2"/>
    <x v="223"/>
    <x v="189"/>
    <x v="189"/>
    <s v="REVENUS"/>
    <x v="2"/>
    <s v="4001.001"/>
    <s v="Impôt revenu"/>
    <n v="0"/>
    <n v="34668.550000000003"/>
    <n v="4001"/>
  </r>
  <r>
    <x v="0"/>
    <x v="2"/>
    <x v="2"/>
    <x v="223"/>
    <x v="189"/>
    <x v="189"/>
    <s v="REVENUS"/>
    <x v="2"/>
    <s v="4001.007"/>
    <s v="Acompte impôt sur revenu"/>
    <n v="0"/>
    <n v="-3001.76"/>
    <n v="4001"/>
  </r>
  <r>
    <x v="0"/>
    <x v="2"/>
    <x v="2"/>
    <x v="223"/>
    <x v="189"/>
    <x v="189"/>
    <s v="REVENUS"/>
    <x v="3"/>
    <s v="4002.007"/>
    <s v="Acompte impôt sur fortune"/>
    <n v="0"/>
    <n v="35.950000000000003"/>
    <n v="4002"/>
  </r>
  <r>
    <x v="0"/>
    <x v="2"/>
    <x v="2"/>
    <x v="223"/>
    <x v="189"/>
    <x v="189"/>
    <s v="REVENUS"/>
    <x v="3"/>
    <s v="4002.007"/>
    <s v="Acompte impôt sur fortune"/>
    <n v="0"/>
    <n v="-753.15"/>
    <n v="4002"/>
  </r>
  <r>
    <x v="0"/>
    <x v="2"/>
    <x v="2"/>
    <x v="223"/>
    <x v="189"/>
    <x v="189"/>
    <s v="REVENUS"/>
    <x v="2"/>
    <s v="4001.007"/>
    <s v="Acompte impôt sur revenu"/>
    <n v="0"/>
    <n v="-706.8"/>
    <n v="4001"/>
  </r>
  <r>
    <x v="0"/>
    <x v="2"/>
    <x v="2"/>
    <x v="223"/>
    <x v="189"/>
    <x v="189"/>
    <s v="REVENUS"/>
    <x v="3"/>
    <s v="4002.007"/>
    <s v="Acompte impôt sur fortune"/>
    <n v="0"/>
    <n v="-2.75"/>
    <n v="4002"/>
  </r>
  <r>
    <x v="0"/>
    <x v="2"/>
    <x v="2"/>
    <x v="223"/>
    <x v="189"/>
    <x v="189"/>
    <s v="REVENUS"/>
    <x v="3"/>
    <s v="4002.007"/>
    <s v="Acompte impôt sur fortune"/>
    <n v="0"/>
    <n v="-41"/>
    <n v="4002"/>
  </r>
  <r>
    <x v="0"/>
    <x v="2"/>
    <x v="2"/>
    <x v="223"/>
    <x v="189"/>
    <x v="189"/>
    <s v="REVENUS"/>
    <x v="2"/>
    <s v="4001.001"/>
    <s v="Impôt revenu"/>
    <n v="0"/>
    <n v="1659.5"/>
    <n v="4001"/>
  </r>
  <r>
    <x v="0"/>
    <x v="2"/>
    <x v="2"/>
    <x v="223"/>
    <x v="189"/>
    <x v="189"/>
    <s v="REVENUS"/>
    <x v="8"/>
    <s v="4091.001"/>
    <s v="Impôt récupéré après défalcations"/>
    <n v="0"/>
    <n v="2221.9"/>
    <n v="4091"/>
  </r>
  <r>
    <x v="0"/>
    <x v="2"/>
    <x v="2"/>
    <x v="223"/>
    <x v="189"/>
    <x v="189"/>
    <s v="REVENUS"/>
    <x v="2"/>
    <s v="4001.001"/>
    <s v="Impôt revenu"/>
    <n v="0"/>
    <n v="-2126.35"/>
    <n v="4001"/>
  </r>
  <r>
    <x v="0"/>
    <x v="2"/>
    <x v="2"/>
    <x v="223"/>
    <x v="189"/>
    <x v="189"/>
    <s v="REVENUS"/>
    <x v="3"/>
    <s v="4002.001"/>
    <s v="Impôt ordinaire s/fortune PP"/>
    <n v="0"/>
    <n v="804.6"/>
    <n v="4002"/>
  </r>
  <r>
    <x v="0"/>
    <x v="2"/>
    <x v="2"/>
    <x v="223"/>
    <x v="189"/>
    <x v="189"/>
    <s v="REVENUS"/>
    <x v="6"/>
    <s v="4221.003"/>
    <s v="Intérêts compensat. / acomptes en faveur du fisc"/>
    <n v="0"/>
    <n v="0.71"/>
    <n v="4221"/>
  </r>
  <r>
    <x v="0"/>
    <x v="2"/>
    <x v="2"/>
    <x v="223"/>
    <x v="189"/>
    <x v="189"/>
    <s v="REVENUS"/>
    <x v="9"/>
    <s v="4031.002"/>
    <s v="Complément impôt sur les gains immobiliers"/>
    <n v="0"/>
    <n v="298397.15000000002"/>
    <n v="4031"/>
  </r>
  <r>
    <x v="0"/>
    <x v="2"/>
    <x v="2"/>
    <x v="223"/>
    <x v="189"/>
    <x v="189"/>
    <s v="REVENUS"/>
    <x v="3"/>
    <s v="4002.001"/>
    <s v="Impôt ordinaire s/fortune PP"/>
    <n v="0"/>
    <n v="2308.1999999999998"/>
    <n v="4002"/>
  </r>
  <r>
    <x v="0"/>
    <x v="2"/>
    <x v="2"/>
    <x v="223"/>
    <x v="189"/>
    <x v="189"/>
    <s v="REVENUS"/>
    <x v="3"/>
    <s v="4002.001"/>
    <s v="Impôt ordinaire s/fortune PP"/>
    <n v="0"/>
    <n v="161.55000000000001"/>
    <n v="4002"/>
  </r>
  <r>
    <x v="0"/>
    <x v="2"/>
    <x v="2"/>
    <x v="223"/>
    <x v="189"/>
    <x v="189"/>
    <s v="REVENUS"/>
    <x v="6"/>
    <s v="4211.002"/>
    <s v="Intérêts de retard sur acomptes"/>
    <n v="0"/>
    <n v="8.6999999999999993"/>
    <n v="4211"/>
  </r>
  <r>
    <x v="0"/>
    <x v="2"/>
    <x v="2"/>
    <x v="223"/>
    <x v="189"/>
    <x v="189"/>
    <s v="REVENUS"/>
    <x v="2"/>
    <s v="4001.007"/>
    <s v="Acompte impôt sur revenu"/>
    <n v="0"/>
    <n v="10.55"/>
    <n v="4001"/>
  </r>
  <r>
    <x v="0"/>
    <x v="2"/>
    <x v="2"/>
    <x v="223"/>
    <x v="189"/>
    <x v="189"/>
    <s v="REVENUS"/>
    <x v="6"/>
    <s v="4211.001"/>
    <s v="Intérêts de retard sur factures"/>
    <n v="0"/>
    <n v="49.75"/>
    <n v="4211"/>
  </r>
  <r>
    <x v="0"/>
    <x v="2"/>
    <x v="2"/>
    <x v="223"/>
    <x v="189"/>
    <x v="189"/>
    <s v="REVENUS"/>
    <x v="6"/>
    <s v="4211.001"/>
    <s v="Intérêts de retard sur factures"/>
    <n v="0"/>
    <n v="0.5"/>
    <n v="4211"/>
  </r>
  <r>
    <x v="0"/>
    <x v="2"/>
    <x v="2"/>
    <x v="223"/>
    <x v="189"/>
    <x v="189"/>
    <s v="REVENUS"/>
    <x v="6"/>
    <s v="4211.001"/>
    <s v="Intérêts de retard sur factures"/>
    <n v="0"/>
    <n v="1.1299999999999999"/>
    <n v="4211"/>
  </r>
  <r>
    <x v="0"/>
    <x v="2"/>
    <x v="2"/>
    <x v="223"/>
    <x v="189"/>
    <x v="189"/>
    <s v="REVENUS"/>
    <x v="6"/>
    <s v="4221.003"/>
    <s v="Intérêts compensat. / acomptes en faveur du fisc"/>
    <n v="0"/>
    <n v="19.559999999999999"/>
    <n v="4221"/>
  </r>
  <r>
    <x v="0"/>
    <x v="2"/>
    <x v="2"/>
    <x v="223"/>
    <x v="189"/>
    <x v="189"/>
    <s v="REVENUS"/>
    <x v="2"/>
    <s v="4001.001"/>
    <s v="Impôt revenu"/>
    <n v="0"/>
    <n v="152.65"/>
    <n v="4001"/>
  </r>
  <r>
    <x v="0"/>
    <x v="2"/>
    <x v="2"/>
    <x v="223"/>
    <x v="189"/>
    <x v="189"/>
    <s v="REVENUS"/>
    <x v="6"/>
    <s v="4211.001"/>
    <s v="Intérêts de retard sur factures"/>
    <n v="0"/>
    <n v="12.95"/>
    <n v="4211"/>
  </r>
  <r>
    <x v="0"/>
    <x v="2"/>
    <x v="2"/>
    <x v="223"/>
    <x v="189"/>
    <x v="189"/>
    <s v="REVENUS"/>
    <x v="6"/>
    <s v="4221.003"/>
    <s v="Intérêts compensat. / acomptes en faveur du fisc"/>
    <n v="0"/>
    <n v="0.01"/>
    <n v="4221"/>
  </r>
  <r>
    <x v="0"/>
    <x v="2"/>
    <x v="2"/>
    <x v="223"/>
    <x v="189"/>
    <x v="189"/>
    <s v="REVENUS"/>
    <x v="2"/>
    <s v="4001.002"/>
    <s v="Impôt complément s/revenu PP"/>
    <n v="0"/>
    <n v="114.7"/>
    <n v="4001"/>
  </r>
  <r>
    <x v="0"/>
    <x v="2"/>
    <x v="2"/>
    <x v="223"/>
    <x v="189"/>
    <x v="189"/>
    <s v="REVENUS"/>
    <x v="3"/>
    <s v="4002.002"/>
    <s v="Impôt complémentaire s/fortune PP"/>
    <n v="0"/>
    <n v="25.5"/>
    <n v="4002"/>
  </r>
  <r>
    <x v="0"/>
    <x v="2"/>
    <x v="2"/>
    <x v="223"/>
    <x v="189"/>
    <x v="189"/>
    <s v="REVENUS"/>
    <x v="3"/>
    <s v="4002.002"/>
    <s v="Impôt complémentaire s/fortune PP"/>
    <n v="0"/>
    <n v="126.1"/>
    <n v="4002"/>
  </r>
  <r>
    <x v="0"/>
    <x v="2"/>
    <x v="2"/>
    <x v="223"/>
    <x v="189"/>
    <x v="189"/>
    <s v="REVENUS"/>
    <x v="6"/>
    <s v="4211.002"/>
    <s v="Intérêts de retard sur acomptes"/>
    <n v="0"/>
    <n v="26"/>
    <n v="4211"/>
  </r>
  <r>
    <x v="0"/>
    <x v="2"/>
    <x v="2"/>
    <x v="224"/>
    <x v="190"/>
    <x v="190"/>
    <s v="CHARGES"/>
    <x v="0"/>
    <s v="3212.002"/>
    <s v="Intérêts bonifiés/trop perçu acompte C/C"/>
    <n v="242.09"/>
    <n v="0"/>
    <n v="3212"/>
  </r>
  <r>
    <x v="0"/>
    <x v="2"/>
    <x v="2"/>
    <x v="224"/>
    <x v="190"/>
    <x v="190"/>
    <s v="CHARGES"/>
    <x v="0"/>
    <s v="3212.004"/>
    <s v="Intérêts rémun./perçu trop tôt sur acomptes C/C"/>
    <n v="2010.18"/>
    <n v="0"/>
    <n v="3212"/>
  </r>
  <r>
    <x v="0"/>
    <x v="2"/>
    <x v="2"/>
    <x v="224"/>
    <x v="190"/>
    <x v="190"/>
    <s v="CHARGES"/>
    <x v="0"/>
    <s v="3221.002"/>
    <s v="Intérêts compensatoires / créances en faveur ctb."/>
    <n v="486.11"/>
    <n v="0"/>
    <n v="3221"/>
  </r>
  <r>
    <x v="0"/>
    <x v="2"/>
    <x v="2"/>
    <x v="224"/>
    <x v="190"/>
    <x v="190"/>
    <s v="CHARGES"/>
    <x v="1"/>
    <s v="3301.001"/>
    <s v="Défalcations, abandons de solde PP et IS"/>
    <n v="24954.71"/>
    <n v="0"/>
    <n v="3301"/>
  </r>
  <r>
    <x v="0"/>
    <x v="2"/>
    <x v="2"/>
    <x v="224"/>
    <x v="190"/>
    <x v="190"/>
    <s v="CHARGES"/>
    <x v="0"/>
    <s v="3212.004"/>
    <s v="Intérêts rémun./perçu trop tôt sur acomptes C/C"/>
    <n v="0.16"/>
    <n v="0"/>
    <n v="3212"/>
  </r>
  <r>
    <x v="0"/>
    <x v="2"/>
    <x v="2"/>
    <x v="224"/>
    <x v="190"/>
    <x v="190"/>
    <s v="CHARGES"/>
    <x v="0"/>
    <s v="3221.002"/>
    <s v="Intérêts compensatoires / créances en faveur ctb."/>
    <n v="0.1"/>
    <n v="0"/>
    <n v="3221"/>
  </r>
  <r>
    <x v="0"/>
    <x v="2"/>
    <x v="2"/>
    <x v="224"/>
    <x v="190"/>
    <x v="190"/>
    <s v="CHARGES"/>
    <x v="0"/>
    <s v="3212.004"/>
    <s v="Intérêts rémun./perçu trop tôt sur acomptes C/C"/>
    <n v="80.37"/>
    <n v="0"/>
    <n v="3212"/>
  </r>
  <r>
    <x v="0"/>
    <x v="2"/>
    <x v="2"/>
    <x v="224"/>
    <x v="190"/>
    <x v="190"/>
    <s v="CHARGES"/>
    <x v="1"/>
    <s v="3301.001"/>
    <s v="Défalcations, abandons de solde PP et IS"/>
    <n v="0.24"/>
    <n v="0"/>
    <n v="3301"/>
  </r>
  <r>
    <x v="0"/>
    <x v="2"/>
    <x v="2"/>
    <x v="224"/>
    <x v="190"/>
    <x v="190"/>
    <s v="CHARGES"/>
    <x v="1"/>
    <s v="3301.001"/>
    <s v="Défalcations, abandons de solde PP et IS"/>
    <n v="0.24"/>
    <n v="0"/>
    <n v="3301"/>
  </r>
  <r>
    <x v="0"/>
    <x v="2"/>
    <x v="2"/>
    <x v="224"/>
    <x v="190"/>
    <x v="190"/>
    <s v="CHARGES"/>
    <x v="0"/>
    <s v="3221.002"/>
    <s v="Intérêts compensatoires / créances en faveur ctb."/>
    <n v="23.7"/>
    <n v="0"/>
    <n v="3221"/>
  </r>
  <r>
    <x v="0"/>
    <x v="2"/>
    <x v="2"/>
    <x v="224"/>
    <x v="190"/>
    <x v="190"/>
    <s v="CHARGES"/>
    <x v="0"/>
    <s v="3212.004"/>
    <s v="Intérêts rémun./perçu trop tôt sur acomptes C/C"/>
    <n v="1.01"/>
    <n v="0"/>
    <n v="3212"/>
  </r>
  <r>
    <x v="0"/>
    <x v="2"/>
    <x v="2"/>
    <x v="224"/>
    <x v="190"/>
    <x v="190"/>
    <s v="CHARGES"/>
    <x v="0"/>
    <s v="3221.002"/>
    <s v="Intérêts compensatoires / créances en faveur ctb."/>
    <n v="0.88"/>
    <n v="0"/>
    <n v="3221"/>
  </r>
  <r>
    <x v="0"/>
    <x v="2"/>
    <x v="2"/>
    <x v="224"/>
    <x v="190"/>
    <x v="190"/>
    <s v="CHARGES"/>
    <x v="1"/>
    <s v="3301.001"/>
    <s v="Défalcations, abandons de solde PP et IS"/>
    <n v="1046.98"/>
    <n v="0"/>
    <n v="3301"/>
  </r>
  <r>
    <x v="0"/>
    <x v="2"/>
    <x v="2"/>
    <x v="224"/>
    <x v="190"/>
    <x v="190"/>
    <s v="CHARGES"/>
    <x v="1"/>
    <s v="3301.001"/>
    <s v="Défalcations, abandons de solde PP et IS"/>
    <n v="0.21"/>
    <n v="0"/>
    <n v="3301"/>
  </r>
  <r>
    <x v="0"/>
    <x v="2"/>
    <x v="2"/>
    <x v="224"/>
    <x v="190"/>
    <x v="190"/>
    <s v="CHARGES"/>
    <x v="0"/>
    <s v="3212.004"/>
    <s v="Intérêts rémun./perçu trop tôt sur acomptes C/C"/>
    <n v="0.49"/>
    <n v="0"/>
    <n v="3212"/>
  </r>
  <r>
    <x v="0"/>
    <x v="2"/>
    <x v="2"/>
    <x v="224"/>
    <x v="190"/>
    <x v="190"/>
    <s v="CHARGES"/>
    <x v="0"/>
    <s v="3221.002"/>
    <s v="Intérêts compensatoires / créances en faveur ctb."/>
    <n v="0.06"/>
    <n v="0"/>
    <n v="3221"/>
  </r>
  <r>
    <x v="0"/>
    <x v="2"/>
    <x v="2"/>
    <x v="224"/>
    <x v="190"/>
    <x v="190"/>
    <s v="REVENUS"/>
    <x v="2"/>
    <s v="4001.001"/>
    <s v="Impôt revenu"/>
    <n v="0"/>
    <n v="4265138.45"/>
    <n v="4001"/>
  </r>
  <r>
    <x v="0"/>
    <x v="2"/>
    <x v="2"/>
    <x v="224"/>
    <x v="190"/>
    <x v="190"/>
    <s v="REVENUS"/>
    <x v="2"/>
    <s v="4001.007"/>
    <s v="Acompte impôt sur revenu"/>
    <n v="0"/>
    <n v="1941766.78"/>
    <n v="4001"/>
  </r>
  <r>
    <x v="0"/>
    <x v="2"/>
    <x v="2"/>
    <x v="224"/>
    <x v="190"/>
    <x v="190"/>
    <s v="REVENUS"/>
    <x v="3"/>
    <s v="4002.001"/>
    <s v="Impôt ordinaire s/fortune PP"/>
    <n v="0"/>
    <n v="1092795"/>
    <n v="4002"/>
  </r>
  <r>
    <x v="0"/>
    <x v="2"/>
    <x v="2"/>
    <x v="224"/>
    <x v="190"/>
    <x v="190"/>
    <s v="REVENUS"/>
    <x v="3"/>
    <s v="4002.007"/>
    <s v="Acompte impôt sur fortune"/>
    <n v="0"/>
    <n v="412558.6"/>
    <n v="4002"/>
  </r>
  <r>
    <x v="0"/>
    <x v="2"/>
    <x v="2"/>
    <x v="224"/>
    <x v="190"/>
    <x v="190"/>
    <s v="REVENUS"/>
    <x v="6"/>
    <s v="4211.001"/>
    <s v="Intérêts de retard sur factures"/>
    <n v="0"/>
    <n v="114015.74"/>
    <n v="4211"/>
  </r>
  <r>
    <x v="0"/>
    <x v="2"/>
    <x v="2"/>
    <x v="224"/>
    <x v="190"/>
    <x v="190"/>
    <s v="REVENUS"/>
    <x v="6"/>
    <s v="4211.002"/>
    <s v="Intérêts de retard sur acomptes"/>
    <n v="0"/>
    <n v="34251.949999999997"/>
    <n v="4211"/>
  </r>
  <r>
    <x v="0"/>
    <x v="2"/>
    <x v="2"/>
    <x v="224"/>
    <x v="190"/>
    <x v="190"/>
    <s v="REVENUS"/>
    <x v="6"/>
    <s v="4221.003"/>
    <s v="Intérêts compensat. / acomptes en faveur du fisc"/>
    <n v="0"/>
    <n v="721.06"/>
    <n v="4221"/>
  </r>
  <r>
    <x v="0"/>
    <x v="2"/>
    <x v="2"/>
    <x v="224"/>
    <x v="190"/>
    <x v="190"/>
    <s v="REVENUS"/>
    <x v="2"/>
    <s v="4001.002"/>
    <s v="Impôt complément s/revenu PP"/>
    <n v="0"/>
    <n v="3456802.6"/>
    <n v="4001"/>
  </r>
  <r>
    <x v="0"/>
    <x v="2"/>
    <x v="2"/>
    <x v="224"/>
    <x v="190"/>
    <x v="190"/>
    <s v="REVENUS"/>
    <x v="7"/>
    <s v="4184.000"/>
    <s v="Frais de poursuite"/>
    <n v="0"/>
    <n v="3254.19"/>
    <n v="4184"/>
  </r>
  <r>
    <x v="0"/>
    <x v="2"/>
    <x v="2"/>
    <x v="224"/>
    <x v="190"/>
    <x v="190"/>
    <s v="REVENUS"/>
    <x v="5"/>
    <s v="4061.000"/>
    <s v="Impôt sur les chiens"/>
    <n v="0"/>
    <n v="8250"/>
    <n v="4061"/>
  </r>
  <r>
    <x v="0"/>
    <x v="2"/>
    <x v="2"/>
    <x v="224"/>
    <x v="190"/>
    <x v="190"/>
    <s v="REVENUS"/>
    <x v="3"/>
    <s v="4002.002"/>
    <s v="Impôt complémentaire s/fortune PP"/>
    <n v="0"/>
    <n v="332245.75"/>
    <n v="4002"/>
  </r>
  <r>
    <x v="0"/>
    <x v="2"/>
    <x v="2"/>
    <x v="224"/>
    <x v="190"/>
    <x v="190"/>
    <s v="REVENUS"/>
    <x v="9"/>
    <s v="4031.001"/>
    <s v="Impôt sur les gains immobiliers"/>
    <n v="0"/>
    <n v="382150"/>
    <n v="4031"/>
  </r>
  <r>
    <x v="0"/>
    <x v="2"/>
    <x v="2"/>
    <x v="224"/>
    <x v="190"/>
    <x v="190"/>
    <s v="REVENUS"/>
    <x v="2"/>
    <s v="4001.003"/>
    <s v="Impôt s/prest. cap. PP"/>
    <n v="0"/>
    <n v="181671.65"/>
    <n v="4001"/>
  </r>
  <r>
    <x v="0"/>
    <x v="2"/>
    <x v="2"/>
    <x v="224"/>
    <x v="190"/>
    <x v="190"/>
    <s v="REVENUS"/>
    <x v="10"/>
    <s v="4041.001"/>
    <s v="Droits de mutation"/>
    <n v="0"/>
    <n v="460115.9"/>
    <n v="4041"/>
  </r>
  <r>
    <x v="0"/>
    <x v="2"/>
    <x v="2"/>
    <x v="224"/>
    <x v="190"/>
    <x v="190"/>
    <s v="REVENUS"/>
    <x v="6"/>
    <s v="4221.002"/>
    <s v="Intérêts compensat. sur impôts distincts"/>
    <n v="0"/>
    <n v="-1180.6600000000001"/>
    <n v="4221"/>
  </r>
  <r>
    <x v="0"/>
    <x v="2"/>
    <x v="2"/>
    <x v="224"/>
    <x v="190"/>
    <x v="190"/>
    <s v="REVENUS"/>
    <x v="3"/>
    <s v="4002.001"/>
    <s v="Impôt ordinaire s/fortune PP"/>
    <n v="0"/>
    <n v="177.95"/>
    <n v="4002"/>
  </r>
  <r>
    <x v="0"/>
    <x v="2"/>
    <x v="2"/>
    <x v="224"/>
    <x v="190"/>
    <x v="190"/>
    <s v="REVENUS"/>
    <x v="6"/>
    <s v="4211.002"/>
    <s v="Intérêts de retard sur acomptes"/>
    <n v="0"/>
    <n v="12.14"/>
    <n v="4211"/>
  </r>
  <r>
    <x v="0"/>
    <x v="2"/>
    <x v="2"/>
    <x v="224"/>
    <x v="190"/>
    <x v="190"/>
    <s v="REVENUS"/>
    <x v="2"/>
    <s v="4001.001"/>
    <s v="Impôt revenu"/>
    <n v="0"/>
    <n v="93746.8"/>
    <n v="4001"/>
  </r>
  <r>
    <x v="0"/>
    <x v="2"/>
    <x v="2"/>
    <x v="224"/>
    <x v="190"/>
    <x v="190"/>
    <s v="REVENUS"/>
    <x v="2"/>
    <s v="4001.002"/>
    <s v="Impôt complément s/revenu PP"/>
    <n v="0"/>
    <n v="118133.1"/>
    <n v="4001"/>
  </r>
  <r>
    <x v="0"/>
    <x v="2"/>
    <x v="2"/>
    <x v="224"/>
    <x v="190"/>
    <x v="190"/>
    <s v="REVENUS"/>
    <x v="3"/>
    <s v="4002.001"/>
    <s v="Impôt ordinaire s/fortune PP"/>
    <n v="0"/>
    <n v="9064.6"/>
    <n v="4002"/>
  </r>
  <r>
    <x v="0"/>
    <x v="2"/>
    <x v="2"/>
    <x v="224"/>
    <x v="190"/>
    <x v="190"/>
    <s v="REVENUS"/>
    <x v="3"/>
    <s v="4002.002"/>
    <s v="Impôt complémentaire s/fortune PP"/>
    <n v="0"/>
    <n v="797.1"/>
    <n v="4002"/>
  </r>
  <r>
    <x v="0"/>
    <x v="2"/>
    <x v="2"/>
    <x v="224"/>
    <x v="190"/>
    <x v="190"/>
    <s v="REVENUS"/>
    <x v="6"/>
    <s v="4211.002"/>
    <s v="Intérêts de retard sur acomptes"/>
    <n v="0"/>
    <n v="254.95"/>
    <n v="4211"/>
  </r>
  <r>
    <x v="0"/>
    <x v="2"/>
    <x v="2"/>
    <x v="224"/>
    <x v="190"/>
    <x v="190"/>
    <s v="REVENUS"/>
    <x v="6"/>
    <s v="4221.003"/>
    <s v="Intérêts compensat. / acomptes en faveur du fisc"/>
    <n v="0"/>
    <n v="60.72"/>
    <n v="4221"/>
  </r>
  <r>
    <x v="0"/>
    <x v="2"/>
    <x v="2"/>
    <x v="224"/>
    <x v="190"/>
    <x v="190"/>
    <s v="REVENUS"/>
    <x v="11"/>
    <s v="4198.000"/>
    <s v="Contributions communales"/>
    <n v="0"/>
    <n v="592178.4"/>
    <n v="4198"/>
  </r>
  <r>
    <x v="0"/>
    <x v="2"/>
    <x v="2"/>
    <x v="224"/>
    <x v="190"/>
    <x v="190"/>
    <s v="REVENUS"/>
    <x v="2"/>
    <s v="4001.007"/>
    <s v="Acompte impôt sur revenu"/>
    <n v="0"/>
    <n v="4776.0200000000004"/>
    <n v="4001"/>
  </r>
  <r>
    <x v="0"/>
    <x v="2"/>
    <x v="2"/>
    <x v="224"/>
    <x v="190"/>
    <x v="190"/>
    <s v="REVENUS"/>
    <x v="3"/>
    <s v="4002.007"/>
    <s v="Acompte impôt sur fortune"/>
    <n v="0"/>
    <n v="314.45"/>
    <n v="4002"/>
  </r>
  <r>
    <x v="0"/>
    <x v="2"/>
    <x v="2"/>
    <x v="224"/>
    <x v="190"/>
    <x v="190"/>
    <s v="REVENUS"/>
    <x v="2"/>
    <s v="4001.007"/>
    <s v="Acompte impôt sur revenu"/>
    <n v="0"/>
    <n v="-250.45"/>
    <n v="4001"/>
  </r>
  <r>
    <x v="0"/>
    <x v="2"/>
    <x v="2"/>
    <x v="224"/>
    <x v="190"/>
    <x v="190"/>
    <s v="REVENUS"/>
    <x v="12"/>
    <s v="4004.007"/>
    <s v="Acompte spécial étrangers"/>
    <n v="0"/>
    <n v="136898.78"/>
    <n v="4004"/>
  </r>
  <r>
    <x v="0"/>
    <x v="2"/>
    <x v="2"/>
    <x v="224"/>
    <x v="190"/>
    <x v="190"/>
    <s v="REVENUS"/>
    <x v="3"/>
    <s v="4002.007"/>
    <s v="Acompte impôt sur fortune"/>
    <n v="0"/>
    <n v="56.75"/>
    <n v="4002"/>
  </r>
  <r>
    <x v="0"/>
    <x v="2"/>
    <x v="2"/>
    <x v="224"/>
    <x v="190"/>
    <x v="190"/>
    <s v="REVENUS"/>
    <x v="3"/>
    <s v="4002.007"/>
    <s v="Acompte impôt sur fortune"/>
    <n v="0"/>
    <n v="-4154.16"/>
    <n v="4002"/>
  </r>
  <r>
    <x v="0"/>
    <x v="2"/>
    <x v="2"/>
    <x v="224"/>
    <x v="190"/>
    <x v="190"/>
    <s v="REVENUS"/>
    <x v="6"/>
    <s v="4211.001"/>
    <s v="Intérêts de retard sur factures"/>
    <n v="0"/>
    <n v="0.17"/>
    <n v="4211"/>
  </r>
  <r>
    <x v="0"/>
    <x v="2"/>
    <x v="2"/>
    <x v="224"/>
    <x v="190"/>
    <x v="190"/>
    <s v="REVENUS"/>
    <x v="2"/>
    <s v="4001.007"/>
    <s v="Acompte impôt sur revenu"/>
    <n v="0"/>
    <n v="77414.05"/>
    <n v="4001"/>
  </r>
  <r>
    <x v="0"/>
    <x v="2"/>
    <x v="2"/>
    <x v="224"/>
    <x v="190"/>
    <x v="190"/>
    <s v="REVENUS"/>
    <x v="3"/>
    <s v="4002.007"/>
    <s v="Acompte impôt sur fortune"/>
    <n v="0"/>
    <n v="-32.049999999999997"/>
    <n v="4002"/>
  </r>
  <r>
    <x v="0"/>
    <x v="2"/>
    <x v="2"/>
    <x v="224"/>
    <x v="190"/>
    <x v="190"/>
    <s v="REVENUS"/>
    <x v="2"/>
    <s v="4001.005"/>
    <s v="Amende de soustract. Impôt"/>
    <n v="0"/>
    <n v="-3850"/>
    <n v="4001"/>
  </r>
  <r>
    <x v="0"/>
    <x v="2"/>
    <x v="2"/>
    <x v="224"/>
    <x v="190"/>
    <x v="190"/>
    <s v="REVENUS"/>
    <x v="2"/>
    <s v="4001.007"/>
    <s v="Acompte impôt sur revenu"/>
    <n v="0"/>
    <n v="-134889.9"/>
    <n v="4001"/>
  </r>
  <r>
    <x v="0"/>
    <x v="2"/>
    <x v="2"/>
    <x v="224"/>
    <x v="190"/>
    <x v="190"/>
    <s v="REVENUS"/>
    <x v="3"/>
    <s v="4002.007"/>
    <s v="Acompte impôt sur fortune"/>
    <n v="0"/>
    <n v="-583.70000000000005"/>
    <n v="4002"/>
  </r>
  <r>
    <x v="0"/>
    <x v="2"/>
    <x v="2"/>
    <x v="224"/>
    <x v="190"/>
    <x v="190"/>
    <s v="REVENUS"/>
    <x v="2"/>
    <s v="4001.001"/>
    <s v="Impôt revenu"/>
    <n v="0"/>
    <n v="0"/>
    <n v="4001"/>
  </r>
  <r>
    <x v="0"/>
    <x v="2"/>
    <x v="2"/>
    <x v="224"/>
    <x v="190"/>
    <x v="190"/>
    <s v="REVENUS"/>
    <x v="10"/>
    <s v="4041.002"/>
    <s v="Complément droit de mutation"/>
    <n v="0"/>
    <n v="6346.5"/>
    <n v="4041"/>
  </r>
  <r>
    <x v="0"/>
    <x v="2"/>
    <x v="2"/>
    <x v="224"/>
    <x v="190"/>
    <x v="190"/>
    <s v="REVENUS"/>
    <x v="2"/>
    <s v="4001.002"/>
    <s v="Impôt complément s/revenu PP"/>
    <n v="0"/>
    <n v="588.54999999999995"/>
    <n v="4001"/>
  </r>
  <r>
    <x v="0"/>
    <x v="2"/>
    <x v="2"/>
    <x v="224"/>
    <x v="190"/>
    <x v="190"/>
    <s v="REVENUS"/>
    <x v="3"/>
    <s v="4002.002"/>
    <s v="Impôt complémentaire s/fortune PP"/>
    <n v="0"/>
    <n v="438.65"/>
    <n v="4002"/>
  </r>
  <r>
    <x v="0"/>
    <x v="2"/>
    <x v="2"/>
    <x v="224"/>
    <x v="190"/>
    <x v="190"/>
    <s v="REVENUS"/>
    <x v="12"/>
    <s v="4004.000"/>
    <s v="Impôt spécial étrangers"/>
    <n v="0"/>
    <n v="208717.65"/>
    <n v="4004"/>
  </r>
  <r>
    <x v="0"/>
    <x v="2"/>
    <x v="2"/>
    <x v="224"/>
    <x v="190"/>
    <x v="190"/>
    <s v="REVENUS"/>
    <x v="3"/>
    <s v="4002.001"/>
    <s v="Impôt ordinaire s/fortune PP"/>
    <n v="0"/>
    <n v="87.85"/>
    <n v="4002"/>
  </r>
  <r>
    <x v="0"/>
    <x v="2"/>
    <x v="2"/>
    <x v="224"/>
    <x v="190"/>
    <x v="190"/>
    <s v="REVENUS"/>
    <x v="2"/>
    <s v="4001.001"/>
    <s v="Impôt revenu"/>
    <n v="0"/>
    <n v="10700.25"/>
    <n v="4001"/>
  </r>
  <r>
    <x v="0"/>
    <x v="2"/>
    <x v="2"/>
    <x v="224"/>
    <x v="190"/>
    <x v="190"/>
    <s v="REVENUS"/>
    <x v="3"/>
    <s v="4002.001"/>
    <s v="Impôt ordinaire s/fortune PP"/>
    <n v="0"/>
    <n v="818.7"/>
    <n v="4002"/>
  </r>
  <r>
    <x v="0"/>
    <x v="2"/>
    <x v="2"/>
    <x v="224"/>
    <x v="190"/>
    <x v="190"/>
    <s v="REVENUS"/>
    <x v="6"/>
    <s v="4211.002"/>
    <s v="Intérêts de retard sur acomptes"/>
    <n v="0"/>
    <n v="390.63"/>
    <n v="4211"/>
  </r>
  <r>
    <x v="0"/>
    <x v="2"/>
    <x v="2"/>
    <x v="224"/>
    <x v="190"/>
    <x v="190"/>
    <s v="REVENUS"/>
    <x v="4"/>
    <s v="4051.001"/>
    <s v="Impôt sur les successions"/>
    <n v="0"/>
    <n v="-40770.400000000001"/>
    <n v="4051"/>
  </r>
  <r>
    <x v="0"/>
    <x v="2"/>
    <x v="2"/>
    <x v="224"/>
    <x v="190"/>
    <x v="190"/>
    <s v="REVENUS"/>
    <x v="7"/>
    <s v="4184.000"/>
    <s v="Frais de poursuite"/>
    <n v="0"/>
    <n v="159.29"/>
    <n v="4184"/>
  </r>
  <r>
    <x v="0"/>
    <x v="2"/>
    <x v="2"/>
    <x v="224"/>
    <x v="190"/>
    <x v="190"/>
    <s v="REVENUS"/>
    <x v="9"/>
    <s v="4031.002"/>
    <s v="Complément impôt sur les gains immobiliers"/>
    <n v="0"/>
    <n v="1769.55"/>
    <n v="4031"/>
  </r>
  <r>
    <x v="0"/>
    <x v="2"/>
    <x v="2"/>
    <x v="224"/>
    <x v="190"/>
    <x v="190"/>
    <s v="REVENUS"/>
    <x v="6"/>
    <s v="4211.001"/>
    <s v="Intérêts de retard sur factures"/>
    <n v="0"/>
    <n v="1.18"/>
    <n v="4211"/>
  </r>
  <r>
    <x v="0"/>
    <x v="2"/>
    <x v="2"/>
    <x v="224"/>
    <x v="190"/>
    <x v="190"/>
    <s v="REVENUS"/>
    <x v="6"/>
    <s v="4221.003"/>
    <s v="Intérêts compensat. / acomptes en faveur du fisc"/>
    <n v="0"/>
    <n v="0.21"/>
    <n v="4221"/>
  </r>
  <r>
    <x v="0"/>
    <x v="2"/>
    <x v="2"/>
    <x v="224"/>
    <x v="190"/>
    <x v="190"/>
    <s v="REVENUS"/>
    <x v="2"/>
    <s v="4001.001"/>
    <s v="Impôt revenu"/>
    <n v="0"/>
    <n v="672.15"/>
    <n v="4001"/>
  </r>
  <r>
    <x v="0"/>
    <x v="2"/>
    <x v="2"/>
    <x v="224"/>
    <x v="190"/>
    <x v="190"/>
    <s v="REVENUS"/>
    <x v="8"/>
    <s v="4091.001"/>
    <s v="Impôt récupéré après défalcations"/>
    <n v="0"/>
    <n v="893.05"/>
    <n v="4091"/>
  </r>
  <r>
    <x v="0"/>
    <x v="2"/>
    <x v="2"/>
    <x v="224"/>
    <x v="190"/>
    <x v="190"/>
    <s v="REVENUS"/>
    <x v="6"/>
    <s v="4221.003"/>
    <s v="Intérêts compensat. / acomptes en faveur du fisc"/>
    <n v="0"/>
    <n v="7.0000000000000007E-2"/>
    <n v="4221"/>
  </r>
  <r>
    <x v="0"/>
    <x v="2"/>
    <x v="2"/>
    <x v="224"/>
    <x v="190"/>
    <x v="190"/>
    <s v="REVENUS"/>
    <x v="6"/>
    <s v="4211.002"/>
    <s v="Intérêts de retard sur acomptes"/>
    <n v="0"/>
    <n v="0.23"/>
    <n v="4211"/>
  </r>
  <r>
    <x v="0"/>
    <x v="2"/>
    <x v="2"/>
    <x v="224"/>
    <x v="190"/>
    <x v="190"/>
    <s v="REVENUS"/>
    <x v="8"/>
    <s v="4091.001"/>
    <s v="Impôt récupéré après défalcations"/>
    <n v="0"/>
    <n v="1153.0999999999999"/>
    <n v="4091"/>
  </r>
  <r>
    <x v="0"/>
    <x v="2"/>
    <x v="2"/>
    <x v="225"/>
    <x v="191"/>
    <x v="191"/>
    <s v="CHARGES"/>
    <x v="1"/>
    <s v="3301.001"/>
    <s v="Défalcations, abandons de solde PP et IS"/>
    <n v="21465.56"/>
    <n v="0"/>
    <n v="3301"/>
  </r>
  <r>
    <x v="0"/>
    <x v="2"/>
    <x v="2"/>
    <x v="225"/>
    <x v="191"/>
    <x v="191"/>
    <s v="CHARGES"/>
    <x v="0"/>
    <s v="3212.004"/>
    <s v="Intérêts rémun./perçu trop tôt sur acomptes C/C"/>
    <n v="1.66"/>
    <n v="0"/>
    <n v="3212"/>
  </r>
  <r>
    <x v="0"/>
    <x v="2"/>
    <x v="2"/>
    <x v="225"/>
    <x v="191"/>
    <x v="191"/>
    <s v="CHARGES"/>
    <x v="0"/>
    <s v="3221.002"/>
    <s v="Intérêts compensatoires / créances en faveur ctb."/>
    <n v="0.69"/>
    <n v="0"/>
    <n v="3221"/>
  </r>
  <r>
    <x v="0"/>
    <x v="2"/>
    <x v="2"/>
    <x v="225"/>
    <x v="191"/>
    <x v="191"/>
    <s v="CHARGES"/>
    <x v="0"/>
    <s v="3212.002"/>
    <s v="Intérêts bonifiés/trop perçu acompte C/C"/>
    <n v="42.3"/>
    <n v="0"/>
    <n v="3212"/>
  </r>
  <r>
    <x v="0"/>
    <x v="2"/>
    <x v="2"/>
    <x v="225"/>
    <x v="191"/>
    <x v="191"/>
    <s v="CHARGES"/>
    <x v="0"/>
    <s v="3212.004"/>
    <s v="Intérêts rémun./perçu trop tôt sur acomptes C/C"/>
    <n v="4236.41"/>
    <n v="0"/>
    <n v="3212"/>
  </r>
  <r>
    <x v="0"/>
    <x v="2"/>
    <x v="2"/>
    <x v="225"/>
    <x v="191"/>
    <x v="191"/>
    <s v="CHARGES"/>
    <x v="0"/>
    <s v="3221.002"/>
    <s v="Intérêts compensatoires / créances en faveur ctb."/>
    <n v="336.98"/>
    <n v="0"/>
    <n v="3221"/>
  </r>
  <r>
    <x v="0"/>
    <x v="2"/>
    <x v="2"/>
    <x v="225"/>
    <x v="191"/>
    <x v="191"/>
    <s v="CHARGES"/>
    <x v="0"/>
    <s v="3212.004"/>
    <s v="Intérêts rémun./perçu trop tôt sur acomptes C/C"/>
    <n v="0.37"/>
    <n v="0"/>
    <n v="3212"/>
  </r>
  <r>
    <x v="0"/>
    <x v="2"/>
    <x v="2"/>
    <x v="225"/>
    <x v="191"/>
    <x v="191"/>
    <s v="CHARGES"/>
    <x v="1"/>
    <s v="3301.001"/>
    <s v="Défalcations, abandons de solde PP et IS"/>
    <n v="28.47"/>
    <n v="0"/>
    <n v="3301"/>
  </r>
  <r>
    <x v="0"/>
    <x v="2"/>
    <x v="2"/>
    <x v="225"/>
    <x v="191"/>
    <x v="191"/>
    <s v="CHARGES"/>
    <x v="0"/>
    <s v="3212.004"/>
    <s v="Intérêts rémun./perçu trop tôt sur acomptes C/C"/>
    <n v="0.45"/>
    <n v="0"/>
    <n v="3212"/>
  </r>
  <r>
    <x v="0"/>
    <x v="2"/>
    <x v="2"/>
    <x v="225"/>
    <x v="191"/>
    <x v="191"/>
    <s v="CHARGES"/>
    <x v="1"/>
    <s v="3301.003"/>
    <s v="Remises PP et IS"/>
    <n v="1216.6500000000001"/>
    <n v="0"/>
    <n v="3301"/>
  </r>
  <r>
    <x v="0"/>
    <x v="2"/>
    <x v="2"/>
    <x v="225"/>
    <x v="191"/>
    <x v="191"/>
    <s v="CHARGES"/>
    <x v="1"/>
    <s v="3301.001"/>
    <s v="Défalcations, abandons de solde PP et IS"/>
    <n v="7.0000000000000007E-2"/>
    <n v="0"/>
    <n v="3301"/>
  </r>
  <r>
    <x v="0"/>
    <x v="2"/>
    <x v="2"/>
    <x v="225"/>
    <x v="191"/>
    <x v="191"/>
    <s v="CHARGES"/>
    <x v="0"/>
    <s v="3221.002"/>
    <s v="Intérêts compensatoires / créances en faveur ctb."/>
    <n v="7.0000000000000007E-2"/>
    <n v="0"/>
    <n v="3221"/>
  </r>
  <r>
    <x v="0"/>
    <x v="2"/>
    <x v="2"/>
    <x v="225"/>
    <x v="191"/>
    <x v="191"/>
    <s v="CHARGES"/>
    <x v="1"/>
    <s v="3301.001"/>
    <s v="Défalcations, abandons de solde PP et IS"/>
    <n v="7.0000000000000007E-2"/>
    <n v="0"/>
    <n v="3301"/>
  </r>
  <r>
    <x v="0"/>
    <x v="2"/>
    <x v="2"/>
    <x v="225"/>
    <x v="191"/>
    <x v="191"/>
    <s v="CHARGES"/>
    <x v="0"/>
    <s v="3212.004"/>
    <s v="Intérêts rémun./perçu trop tôt sur acomptes C/C"/>
    <n v="0.04"/>
    <n v="0"/>
    <n v="3212"/>
  </r>
  <r>
    <x v="0"/>
    <x v="2"/>
    <x v="2"/>
    <x v="225"/>
    <x v="191"/>
    <x v="191"/>
    <s v="CHARGES"/>
    <x v="0"/>
    <s v="3221.002"/>
    <s v="Intérêts compensatoires / créances en faveur ctb."/>
    <n v="-0.31"/>
    <n v="0"/>
    <n v="3221"/>
  </r>
  <r>
    <x v="0"/>
    <x v="2"/>
    <x v="2"/>
    <x v="225"/>
    <x v="191"/>
    <x v="191"/>
    <s v="CHARGES"/>
    <x v="0"/>
    <s v="3212.002"/>
    <s v="Intérêts bonifiés/trop perçu acompte C/C"/>
    <n v="0.01"/>
    <n v="0"/>
    <n v="3212"/>
  </r>
  <r>
    <x v="0"/>
    <x v="2"/>
    <x v="2"/>
    <x v="225"/>
    <x v="191"/>
    <x v="191"/>
    <s v="CHARGES"/>
    <x v="1"/>
    <s v="3301.001"/>
    <s v="Défalcations, abandons de solde PP et IS"/>
    <n v="1.81"/>
    <n v="0"/>
    <n v="3301"/>
  </r>
  <r>
    <x v="0"/>
    <x v="2"/>
    <x v="2"/>
    <x v="225"/>
    <x v="191"/>
    <x v="191"/>
    <s v="REVENUS"/>
    <x v="2"/>
    <s v="4001.007"/>
    <s v="Acompte impôt sur revenu"/>
    <n v="0"/>
    <n v="394008.08"/>
    <n v="4001"/>
  </r>
  <r>
    <x v="0"/>
    <x v="2"/>
    <x v="2"/>
    <x v="225"/>
    <x v="191"/>
    <x v="191"/>
    <s v="REVENUS"/>
    <x v="6"/>
    <s v="4211.001"/>
    <s v="Intérêts de retard sur factures"/>
    <n v="0"/>
    <n v="8509.9699999999993"/>
    <n v="4211"/>
  </r>
  <r>
    <x v="0"/>
    <x v="2"/>
    <x v="2"/>
    <x v="225"/>
    <x v="191"/>
    <x v="191"/>
    <s v="REVENUS"/>
    <x v="3"/>
    <s v="4002.007"/>
    <s v="Acompte impôt sur fortune"/>
    <n v="0"/>
    <n v="985249.65"/>
    <n v="4002"/>
  </r>
  <r>
    <x v="0"/>
    <x v="2"/>
    <x v="2"/>
    <x v="225"/>
    <x v="191"/>
    <x v="191"/>
    <s v="REVENUS"/>
    <x v="7"/>
    <s v="4184.000"/>
    <s v="Frais de poursuite"/>
    <n v="0"/>
    <n v="1982.85"/>
    <n v="4184"/>
  </r>
  <r>
    <x v="0"/>
    <x v="2"/>
    <x v="2"/>
    <x v="225"/>
    <x v="191"/>
    <x v="191"/>
    <s v="REVENUS"/>
    <x v="11"/>
    <s v="4198.000"/>
    <s v="Contributions communales"/>
    <n v="0"/>
    <n v="233064.5"/>
    <n v="4198"/>
  </r>
  <r>
    <x v="0"/>
    <x v="2"/>
    <x v="2"/>
    <x v="225"/>
    <x v="191"/>
    <x v="191"/>
    <s v="REVENUS"/>
    <x v="2"/>
    <s v="4001.001"/>
    <s v="Impôt revenu"/>
    <n v="0"/>
    <n v="2928.75"/>
    <n v="4001"/>
  </r>
  <r>
    <x v="0"/>
    <x v="2"/>
    <x v="2"/>
    <x v="225"/>
    <x v="191"/>
    <x v="191"/>
    <s v="REVENUS"/>
    <x v="3"/>
    <s v="4002.001"/>
    <s v="Impôt ordinaire s/fortune PP"/>
    <n v="0"/>
    <n v="738.95"/>
    <n v="4002"/>
  </r>
  <r>
    <x v="0"/>
    <x v="2"/>
    <x v="2"/>
    <x v="225"/>
    <x v="191"/>
    <x v="191"/>
    <s v="REVENUS"/>
    <x v="6"/>
    <s v="4211.002"/>
    <s v="Intérêts de retard sur acomptes"/>
    <n v="0"/>
    <n v="35.85"/>
    <n v="4211"/>
  </r>
  <r>
    <x v="0"/>
    <x v="2"/>
    <x v="2"/>
    <x v="225"/>
    <x v="191"/>
    <x v="191"/>
    <s v="REVENUS"/>
    <x v="2"/>
    <s v="4001.001"/>
    <s v="Impôt revenu"/>
    <n v="0"/>
    <n v="3400521.25"/>
    <n v="4001"/>
  </r>
  <r>
    <x v="0"/>
    <x v="2"/>
    <x v="2"/>
    <x v="225"/>
    <x v="191"/>
    <x v="191"/>
    <s v="REVENUS"/>
    <x v="2"/>
    <s v="4001.003"/>
    <s v="Impôt s/prest. cap. PP"/>
    <n v="0"/>
    <n v="306141.40000000002"/>
    <n v="4001"/>
  </r>
  <r>
    <x v="0"/>
    <x v="2"/>
    <x v="2"/>
    <x v="225"/>
    <x v="191"/>
    <x v="191"/>
    <s v="REVENUS"/>
    <x v="3"/>
    <s v="4002.001"/>
    <s v="Impôt ordinaire s/fortune PP"/>
    <n v="0"/>
    <n v="1362301.15"/>
    <n v="4002"/>
  </r>
  <r>
    <x v="0"/>
    <x v="2"/>
    <x v="2"/>
    <x v="225"/>
    <x v="191"/>
    <x v="191"/>
    <s v="REVENUS"/>
    <x v="6"/>
    <s v="4221.002"/>
    <s v="Intérêts compensat. sur impôts distincts"/>
    <n v="0"/>
    <n v="16.670000000000002"/>
    <n v="4221"/>
  </r>
  <r>
    <x v="0"/>
    <x v="2"/>
    <x v="2"/>
    <x v="225"/>
    <x v="191"/>
    <x v="191"/>
    <s v="REVENUS"/>
    <x v="6"/>
    <s v="4221.003"/>
    <s v="Intérêts compensat. / acomptes en faveur du fisc"/>
    <n v="0"/>
    <n v="392.61"/>
    <n v="4221"/>
  </r>
  <r>
    <x v="0"/>
    <x v="2"/>
    <x v="2"/>
    <x v="225"/>
    <x v="191"/>
    <x v="191"/>
    <s v="REVENUS"/>
    <x v="2"/>
    <s v="4001.002"/>
    <s v="Impôt complément s/revenu PP"/>
    <n v="0"/>
    <n v="652822.65"/>
    <n v="4001"/>
  </r>
  <r>
    <x v="0"/>
    <x v="2"/>
    <x v="2"/>
    <x v="225"/>
    <x v="191"/>
    <x v="191"/>
    <s v="REVENUS"/>
    <x v="3"/>
    <s v="4002.002"/>
    <s v="Impôt complémentaire s/fortune PP"/>
    <n v="0"/>
    <n v="141261.65"/>
    <n v="4002"/>
  </r>
  <r>
    <x v="0"/>
    <x v="2"/>
    <x v="2"/>
    <x v="225"/>
    <x v="191"/>
    <x v="191"/>
    <s v="REVENUS"/>
    <x v="5"/>
    <s v="4061.000"/>
    <s v="Impôt sur les chiens"/>
    <n v="0"/>
    <n v="15250"/>
    <n v="4061"/>
  </r>
  <r>
    <x v="0"/>
    <x v="2"/>
    <x v="2"/>
    <x v="225"/>
    <x v="191"/>
    <x v="191"/>
    <s v="REVENUS"/>
    <x v="6"/>
    <s v="4211.002"/>
    <s v="Intérêts de retard sur acomptes"/>
    <n v="0"/>
    <n v="13926.54"/>
    <n v="4211"/>
  </r>
  <r>
    <x v="0"/>
    <x v="2"/>
    <x v="2"/>
    <x v="225"/>
    <x v="191"/>
    <x v="191"/>
    <s v="REVENUS"/>
    <x v="7"/>
    <s v="4184.000"/>
    <s v="Frais de poursuite"/>
    <n v="0"/>
    <n v="28.48"/>
    <n v="4184"/>
  </r>
  <r>
    <x v="0"/>
    <x v="2"/>
    <x v="2"/>
    <x v="225"/>
    <x v="191"/>
    <x v="191"/>
    <s v="REVENUS"/>
    <x v="3"/>
    <s v="4002.007"/>
    <s v="Acompte impôt sur fortune"/>
    <n v="0"/>
    <n v="2664.5"/>
    <n v="4002"/>
  </r>
  <r>
    <x v="0"/>
    <x v="2"/>
    <x v="2"/>
    <x v="225"/>
    <x v="191"/>
    <x v="191"/>
    <s v="REVENUS"/>
    <x v="2"/>
    <s v="4001.007"/>
    <s v="Acompte impôt sur revenu"/>
    <n v="0"/>
    <n v="395.75"/>
    <n v="4001"/>
  </r>
  <r>
    <x v="0"/>
    <x v="2"/>
    <x v="2"/>
    <x v="225"/>
    <x v="191"/>
    <x v="191"/>
    <s v="REVENUS"/>
    <x v="12"/>
    <s v="4004.007"/>
    <s v="Acompte spécial étrangers"/>
    <n v="0"/>
    <n v="-16282.5"/>
    <n v="4004"/>
  </r>
  <r>
    <x v="0"/>
    <x v="2"/>
    <x v="2"/>
    <x v="225"/>
    <x v="191"/>
    <x v="191"/>
    <s v="REVENUS"/>
    <x v="2"/>
    <s v="4001.007"/>
    <s v="Acompte impôt sur revenu"/>
    <n v="0"/>
    <n v="-541.75"/>
    <n v="4001"/>
  </r>
  <r>
    <x v="0"/>
    <x v="2"/>
    <x v="2"/>
    <x v="225"/>
    <x v="191"/>
    <x v="191"/>
    <s v="REVENUS"/>
    <x v="3"/>
    <s v="4002.007"/>
    <s v="Acompte impôt sur fortune"/>
    <n v="0"/>
    <n v="-18.95"/>
    <n v="4002"/>
  </r>
  <r>
    <x v="0"/>
    <x v="2"/>
    <x v="2"/>
    <x v="225"/>
    <x v="191"/>
    <x v="191"/>
    <s v="REVENUS"/>
    <x v="3"/>
    <s v="4002.007"/>
    <s v="Acompte impôt sur fortune"/>
    <n v="0"/>
    <n v="1292.4000000000001"/>
    <n v="4002"/>
  </r>
  <r>
    <x v="0"/>
    <x v="2"/>
    <x v="2"/>
    <x v="225"/>
    <x v="191"/>
    <x v="191"/>
    <s v="REVENUS"/>
    <x v="3"/>
    <s v="4002.007"/>
    <s v="Acompte impôt sur fortune"/>
    <n v="0"/>
    <n v="-380.6"/>
    <n v="4002"/>
  </r>
  <r>
    <x v="0"/>
    <x v="2"/>
    <x v="2"/>
    <x v="225"/>
    <x v="191"/>
    <x v="191"/>
    <s v="REVENUS"/>
    <x v="2"/>
    <s v="4001.007"/>
    <s v="Acompte impôt sur revenu"/>
    <n v="0"/>
    <n v="-1040.51"/>
    <n v="4001"/>
  </r>
  <r>
    <x v="0"/>
    <x v="2"/>
    <x v="2"/>
    <x v="225"/>
    <x v="191"/>
    <x v="191"/>
    <s v="REVENUS"/>
    <x v="2"/>
    <s v="4001.007"/>
    <s v="Acompte impôt sur revenu"/>
    <n v="0"/>
    <n v="-1128.3"/>
    <n v="4001"/>
  </r>
  <r>
    <x v="0"/>
    <x v="2"/>
    <x v="2"/>
    <x v="225"/>
    <x v="191"/>
    <x v="191"/>
    <s v="REVENUS"/>
    <x v="3"/>
    <s v="4002.007"/>
    <s v="Acompte impôt sur fortune"/>
    <n v="0"/>
    <n v="-207.3"/>
    <n v="4002"/>
  </r>
  <r>
    <x v="0"/>
    <x v="2"/>
    <x v="2"/>
    <x v="225"/>
    <x v="191"/>
    <x v="191"/>
    <s v="REVENUS"/>
    <x v="2"/>
    <s v="4001.001"/>
    <s v="Impôt revenu"/>
    <n v="0"/>
    <n v="48.05"/>
    <n v="4001"/>
  </r>
  <r>
    <x v="0"/>
    <x v="2"/>
    <x v="2"/>
    <x v="225"/>
    <x v="191"/>
    <x v="191"/>
    <s v="REVENUS"/>
    <x v="6"/>
    <s v="4211.002"/>
    <s v="Intérêts de retard sur acomptes"/>
    <n v="0"/>
    <n v="0.96"/>
    <n v="4211"/>
  </r>
  <r>
    <x v="0"/>
    <x v="2"/>
    <x v="2"/>
    <x v="225"/>
    <x v="191"/>
    <x v="191"/>
    <s v="REVENUS"/>
    <x v="3"/>
    <s v="4002.001"/>
    <s v="Impôt ordinaire s/fortune PP"/>
    <n v="0"/>
    <n v="585.35"/>
    <n v="4002"/>
  </r>
  <r>
    <x v="0"/>
    <x v="2"/>
    <x v="2"/>
    <x v="225"/>
    <x v="191"/>
    <x v="191"/>
    <s v="REVENUS"/>
    <x v="6"/>
    <s v="4211.002"/>
    <s v="Intérêts de retard sur acomptes"/>
    <n v="0"/>
    <n v="14.86"/>
    <n v="4211"/>
  </r>
  <r>
    <x v="0"/>
    <x v="2"/>
    <x v="2"/>
    <x v="225"/>
    <x v="191"/>
    <x v="191"/>
    <s v="REVENUS"/>
    <x v="10"/>
    <s v="4041.001"/>
    <s v="Droits de mutation"/>
    <n v="0"/>
    <n v="241078.1"/>
    <n v="4041"/>
  </r>
  <r>
    <x v="0"/>
    <x v="2"/>
    <x v="2"/>
    <x v="225"/>
    <x v="191"/>
    <x v="191"/>
    <s v="REVENUS"/>
    <x v="6"/>
    <s v="4211.001"/>
    <s v="Intérêts de retard sur factures"/>
    <n v="0"/>
    <n v="33.200000000000003"/>
    <n v="4211"/>
  </r>
  <r>
    <x v="0"/>
    <x v="2"/>
    <x v="2"/>
    <x v="225"/>
    <x v="191"/>
    <x v="191"/>
    <s v="REVENUS"/>
    <x v="3"/>
    <s v="4002.001"/>
    <s v="Impôt ordinaire s/fortune PP"/>
    <n v="0"/>
    <n v="471.65"/>
    <n v="4002"/>
  </r>
  <r>
    <x v="0"/>
    <x v="2"/>
    <x v="2"/>
    <x v="225"/>
    <x v="191"/>
    <x v="191"/>
    <s v="REVENUS"/>
    <x v="3"/>
    <s v="4002.002"/>
    <s v="Impôt complémentaire s/fortune PP"/>
    <n v="0"/>
    <n v="143.15"/>
    <n v="4002"/>
  </r>
  <r>
    <x v="0"/>
    <x v="2"/>
    <x v="2"/>
    <x v="225"/>
    <x v="191"/>
    <x v="191"/>
    <s v="REVENUS"/>
    <x v="6"/>
    <s v="4211.002"/>
    <s v="Intérêts de retard sur acomptes"/>
    <n v="0"/>
    <n v="-0.01"/>
    <n v="4211"/>
  </r>
  <r>
    <x v="0"/>
    <x v="2"/>
    <x v="2"/>
    <x v="225"/>
    <x v="191"/>
    <x v="191"/>
    <s v="REVENUS"/>
    <x v="9"/>
    <s v="4031.001"/>
    <s v="Impôt sur les gains immobiliers"/>
    <n v="0"/>
    <n v="94287.3"/>
    <n v="4031"/>
  </r>
  <r>
    <x v="0"/>
    <x v="2"/>
    <x v="2"/>
    <x v="225"/>
    <x v="191"/>
    <x v="191"/>
    <s v="REVENUS"/>
    <x v="2"/>
    <s v="4001.002"/>
    <s v="Impôt complément s/revenu PP"/>
    <n v="0"/>
    <n v="1590.35"/>
    <n v="4001"/>
  </r>
  <r>
    <x v="0"/>
    <x v="2"/>
    <x v="2"/>
    <x v="225"/>
    <x v="191"/>
    <x v="191"/>
    <s v="REVENUS"/>
    <x v="3"/>
    <s v="4002.002"/>
    <s v="Impôt complémentaire s/fortune PP"/>
    <n v="0"/>
    <n v="593.85"/>
    <n v="4002"/>
  </r>
  <r>
    <x v="0"/>
    <x v="2"/>
    <x v="2"/>
    <x v="225"/>
    <x v="191"/>
    <x v="191"/>
    <s v="REVENUS"/>
    <x v="6"/>
    <s v="4221.003"/>
    <s v="Intérêts compensat. / acomptes en faveur du fisc"/>
    <n v="0"/>
    <n v="-0.17"/>
    <n v="4221"/>
  </r>
  <r>
    <x v="0"/>
    <x v="2"/>
    <x v="2"/>
    <x v="225"/>
    <x v="191"/>
    <x v="191"/>
    <s v="REVENUS"/>
    <x v="2"/>
    <s v="4001.001"/>
    <s v="Impôt revenu"/>
    <n v="0"/>
    <n v="50.8"/>
    <n v="4001"/>
  </r>
  <r>
    <x v="0"/>
    <x v="2"/>
    <x v="2"/>
    <x v="225"/>
    <x v="191"/>
    <x v="191"/>
    <s v="REVENUS"/>
    <x v="6"/>
    <s v="4211.001"/>
    <s v="Intérêts de retard sur factures"/>
    <n v="0"/>
    <n v="7.0000000000000007E-2"/>
    <n v="4211"/>
  </r>
  <r>
    <x v="0"/>
    <x v="2"/>
    <x v="2"/>
    <x v="225"/>
    <x v="191"/>
    <x v="191"/>
    <s v="REVENUS"/>
    <x v="12"/>
    <s v="4004.000"/>
    <s v="Impôt spécial étrangers"/>
    <n v="0"/>
    <n v="178527.65"/>
    <n v="4004"/>
  </r>
  <r>
    <x v="0"/>
    <x v="2"/>
    <x v="2"/>
    <x v="225"/>
    <x v="191"/>
    <x v="191"/>
    <s v="REVENUS"/>
    <x v="3"/>
    <s v="4002.001"/>
    <s v="Impôt ordinaire s/fortune PP"/>
    <n v="0"/>
    <n v="-580.54999999999995"/>
    <n v="4002"/>
  </r>
  <r>
    <x v="0"/>
    <x v="2"/>
    <x v="2"/>
    <x v="225"/>
    <x v="191"/>
    <x v="191"/>
    <s v="REVENUS"/>
    <x v="4"/>
    <s v="4051.002"/>
    <s v="Impôt sur les donations"/>
    <n v="0"/>
    <n v="12175"/>
    <n v="4051"/>
  </r>
  <r>
    <x v="0"/>
    <x v="2"/>
    <x v="2"/>
    <x v="225"/>
    <x v="191"/>
    <x v="191"/>
    <s v="REVENUS"/>
    <x v="7"/>
    <s v="4184.000"/>
    <s v="Frais de poursuite"/>
    <n v="0"/>
    <n v="0.16"/>
    <n v="4184"/>
  </r>
  <r>
    <x v="0"/>
    <x v="2"/>
    <x v="2"/>
    <x v="225"/>
    <x v="191"/>
    <x v="191"/>
    <s v="REVENUS"/>
    <x v="9"/>
    <s v="4031.002"/>
    <s v="Complément impôt sur les gains immobiliers"/>
    <n v="0"/>
    <n v="14159.45"/>
    <n v="4031"/>
  </r>
  <r>
    <x v="0"/>
    <x v="2"/>
    <x v="2"/>
    <x v="225"/>
    <x v="191"/>
    <x v="191"/>
    <s v="REVENUS"/>
    <x v="2"/>
    <s v="4001.001"/>
    <s v="Impôt revenu"/>
    <n v="0"/>
    <n v="-2677"/>
    <n v="4001"/>
  </r>
  <r>
    <x v="0"/>
    <x v="2"/>
    <x v="2"/>
    <x v="225"/>
    <x v="191"/>
    <x v="191"/>
    <s v="REVENUS"/>
    <x v="6"/>
    <s v="4221.003"/>
    <s v="Intérêts compensat. / acomptes en faveur du fisc"/>
    <n v="0"/>
    <n v="1.65"/>
    <n v="4221"/>
  </r>
  <r>
    <x v="0"/>
    <x v="2"/>
    <x v="2"/>
    <x v="225"/>
    <x v="191"/>
    <x v="191"/>
    <s v="REVENUS"/>
    <x v="2"/>
    <s v="4001.002"/>
    <s v="Impôt complément s/revenu PP"/>
    <n v="0"/>
    <n v="3762.95"/>
    <n v="4001"/>
  </r>
  <r>
    <x v="0"/>
    <x v="2"/>
    <x v="2"/>
    <x v="225"/>
    <x v="191"/>
    <x v="191"/>
    <s v="REVENUS"/>
    <x v="3"/>
    <s v="4002.002"/>
    <s v="Impôt complémentaire s/fortune PP"/>
    <n v="0"/>
    <n v="806.5"/>
    <n v="4002"/>
  </r>
  <r>
    <x v="0"/>
    <x v="2"/>
    <x v="2"/>
    <x v="225"/>
    <x v="191"/>
    <x v="191"/>
    <s v="REVENUS"/>
    <x v="6"/>
    <s v="4211.001"/>
    <s v="Intérêts de retard sur factures"/>
    <n v="0"/>
    <n v="65.47"/>
    <n v="4211"/>
  </r>
  <r>
    <x v="0"/>
    <x v="2"/>
    <x v="2"/>
    <x v="225"/>
    <x v="191"/>
    <x v="191"/>
    <s v="REVENUS"/>
    <x v="6"/>
    <s v="4211.002"/>
    <s v="Intérêts de retard sur acomptes"/>
    <n v="0"/>
    <n v="0.12"/>
    <n v="4211"/>
  </r>
  <r>
    <x v="0"/>
    <x v="2"/>
    <x v="2"/>
    <x v="225"/>
    <x v="191"/>
    <x v="191"/>
    <s v="REVENUS"/>
    <x v="2"/>
    <s v="4001.001"/>
    <s v="Impôt revenu"/>
    <n v="0"/>
    <n v="801.55"/>
    <n v="4001"/>
  </r>
  <r>
    <x v="0"/>
    <x v="2"/>
    <x v="2"/>
    <x v="225"/>
    <x v="191"/>
    <x v="191"/>
    <s v="REVENUS"/>
    <x v="6"/>
    <s v="4221.003"/>
    <s v="Intérêts compensat. / acomptes en faveur du fisc"/>
    <n v="0"/>
    <n v="0.02"/>
    <n v="4221"/>
  </r>
  <r>
    <x v="0"/>
    <x v="2"/>
    <x v="2"/>
    <x v="225"/>
    <x v="191"/>
    <x v="191"/>
    <s v="REVENUS"/>
    <x v="4"/>
    <s v="4051.001"/>
    <s v="Impôt sur les successions"/>
    <n v="0"/>
    <n v="0.7"/>
    <n v="4051"/>
  </r>
  <r>
    <x v="0"/>
    <x v="2"/>
    <x v="2"/>
    <x v="226"/>
    <x v="192"/>
    <x v="192"/>
    <s v="CHARGES"/>
    <x v="1"/>
    <s v="3301.001"/>
    <s v="Défalcations, abandons de solde PP et IS"/>
    <n v="7721.67"/>
    <n v="0"/>
    <n v="3301"/>
  </r>
  <r>
    <x v="0"/>
    <x v="2"/>
    <x v="2"/>
    <x v="226"/>
    <x v="192"/>
    <x v="192"/>
    <s v="CHARGES"/>
    <x v="0"/>
    <s v="3212.004"/>
    <s v="Intérêts rémun./perçu trop tôt sur acomptes C/C"/>
    <n v="1195.56"/>
    <n v="0"/>
    <n v="3212"/>
  </r>
  <r>
    <x v="0"/>
    <x v="2"/>
    <x v="2"/>
    <x v="226"/>
    <x v="192"/>
    <x v="192"/>
    <s v="CHARGES"/>
    <x v="0"/>
    <s v="3221.002"/>
    <s v="Intérêts compensatoires / créances en faveur ctb."/>
    <n v="547.96"/>
    <n v="0"/>
    <n v="3221"/>
  </r>
  <r>
    <x v="0"/>
    <x v="2"/>
    <x v="2"/>
    <x v="226"/>
    <x v="192"/>
    <x v="192"/>
    <s v="CHARGES"/>
    <x v="0"/>
    <s v="3212.004"/>
    <s v="Intérêts rémun./perçu trop tôt sur acomptes C/C"/>
    <n v="0.02"/>
    <n v="0"/>
    <n v="3212"/>
  </r>
  <r>
    <x v="0"/>
    <x v="2"/>
    <x v="2"/>
    <x v="226"/>
    <x v="192"/>
    <x v="192"/>
    <s v="CHARGES"/>
    <x v="0"/>
    <s v="3212.002"/>
    <s v="Intérêts bonifiés/trop perçu acompte C/C"/>
    <n v="114.48"/>
    <n v="0"/>
    <n v="3212"/>
  </r>
  <r>
    <x v="0"/>
    <x v="2"/>
    <x v="2"/>
    <x v="226"/>
    <x v="192"/>
    <x v="192"/>
    <s v="CHARGES"/>
    <x v="1"/>
    <s v="3301.001"/>
    <s v="Défalcations, abandons de solde PP et IS"/>
    <n v="2770.53"/>
    <n v="0"/>
    <n v="3301"/>
  </r>
  <r>
    <x v="0"/>
    <x v="2"/>
    <x v="2"/>
    <x v="226"/>
    <x v="192"/>
    <x v="192"/>
    <s v="CHARGES"/>
    <x v="0"/>
    <s v="3212.004"/>
    <s v="Intérêts rémun./perçu trop tôt sur acomptes C/C"/>
    <n v="1.1200000000000001"/>
    <n v="0"/>
    <n v="3212"/>
  </r>
  <r>
    <x v="0"/>
    <x v="2"/>
    <x v="2"/>
    <x v="226"/>
    <x v="192"/>
    <x v="192"/>
    <s v="CHARGES"/>
    <x v="0"/>
    <s v="3221.002"/>
    <s v="Intérêts compensatoires / créances en faveur ctb."/>
    <n v="0.46"/>
    <n v="0"/>
    <n v="3221"/>
  </r>
  <r>
    <x v="0"/>
    <x v="2"/>
    <x v="2"/>
    <x v="226"/>
    <x v="192"/>
    <x v="192"/>
    <s v="CHARGES"/>
    <x v="0"/>
    <s v="3212.004"/>
    <s v="Intérêts rémun./perçu trop tôt sur acomptes C/C"/>
    <n v="2.37"/>
    <n v="0"/>
    <n v="3212"/>
  </r>
  <r>
    <x v="0"/>
    <x v="2"/>
    <x v="2"/>
    <x v="226"/>
    <x v="192"/>
    <x v="192"/>
    <s v="CHARGES"/>
    <x v="0"/>
    <s v="3221.002"/>
    <s v="Intérêts compensatoires / créances en faveur ctb."/>
    <n v="0.09"/>
    <n v="0"/>
    <n v="3221"/>
  </r>
  <r>
    <x v="0"/>
    <x v="2"/>
    <x v="2"/>
    <x v="226"/>
    <x v="192"/>
    <x v="192"/>
    <s v="CHARGES"/>
    <x v="1"/>
    <s v="3301.001"/>
    <s v="Défalcations, abandons de solde PP et IS"/>
    <n v="0.01"/>
    <n v="0"/>
    <n v="3301"/>
  </r>
  <r>
    <x v="0"/>
    <x v="2"/>
    <x v="2"/>
    <x v="226"/>
    <x v="192"/>
    <x v="192"/>
    <s v="CHARGES"/>
    <x v="1"/>
    <s v="3301.003"/>
    <s v="Remises PP et IS"/>
    <n v="10209.85"/>
    <n v="0"/>
    <n v="3301"/>
  </r>
  <r>
    <x v="0"/>
    <x v="2"/>
    <x v="2"/>
    <x v="226"/>
    <x v="192"/>
    <x v="192"/>
    <s v="CHARGES"/>
    <x v="0"/>
    <s v="3212.004"/>
    <s v="Intérêts rémun./perçu trop tôt sur acomptes C/C"/>
    <n v="0.98"/>
    <n v="0"/>
    <n v="3212"/>
  </r>
  <r>
    <x v="0"/>
    <x v="2"/>
    <x v="2"/>
    <x v="226"/>
    <x v="192"/>
    <x v="192"/>
    <s v="CHARGES"/>
    <x v="1"/>
    <s v="3301.001"/>
    <s v="Défalcations, abandons de solde PP et IS"/>
    <n v="0.05"/>
    <n v="0"/>
    <n v="3301"/>
  </r>
  <r>
    <x v="0"/>
    <x v="2"/>
    <x v="2"/>
    <x v="226"/>
    <x v="192"/>
    <x v="192"/>
    <s v="REVENUS"/>
    <x v="2"/>
    <s v="4001.001"/>
    <s v="Impôt revenu"/>
    <n v="0"/>
    <n v="3498325.3"/>
    <n v="4001"/>
  </r>
  <r>
    <x v="0"/>
    <x v="2"/>
    <x v="2"/>
    <x v="226"/>
    <x v="192"/>
    <x v="192"/>
    <s v="REVENUS"/>
    <x v="2"/>
    <s v="4001.007"/>
    <s v="Acompte impôt sur revenu"/>
    <n v="0"/>
    <n v="203669.32"/>
    <n v="4001"/>
  </r>
  <r>
    <x v="0"/>
    <x v="2"/>
    <x v="2"/>
    <x v="226"/>
    <x v="192"/>
    <x v="192"/>
    <s v="REVENUS"/>
    <x v="3"/>
    <s v="4002.001"/>
    <s v="Impôt ordinaire s/fortune PP"/>
    <n v="0"/>
    <n v="916117.25"/>
    <n v="4002"/>
  </r>
  <r>
    <x v="0"/>
    <x v="2"/>
    <x v="2"/>
    <x v="226"/>
    <x v="192"/>
    <x v="192"/>
    <s v="REVENUS"/>
    <x v="3"/>
    <s v="4002.007"/>
    <s v="Acompte impôt sur fortune"/>
    <n v="0"/>
    <n v="16686.97"/>
    <n v="4002"/>
  </r>
  <r>
    <x v="0"/>
    <x v="2"/>
    <x v="2"/>
    <x v="226"/>
    <x v="192"/>
    <x v="192"/>
    <s v="REVENUS"/>
    <x v="6"/>
    <s v="4211.001"/>
    <s v="Intérêts de retard sur factures"/>
    <n v="0"/>
    <n v="11047.81"/>
    <n v="4211"/>
  </r>
  <r>
    <x v="0"/>
    <x v="2"/>
    <x v="2"/>
    <x v="226"/>
    <x v="192"/>
    <x v="192"/>
    <s v="REVENUS"/>
    <x v="6"/>
    <s v="4211.002"/>
    <s v="Intérêts de retard sur acomptes"/>
    <n v="0"/>
    <n v="15086.89"/>
    <n v="4211"/>
  </r>
  <r>
    <x v="0"/>
    <x v="2"/>
    <x v="2"/>
    <x v="226"/>
    <x v="192"/>
    <x v="192"/>
    <s v="REVENUS"/>
    <x v="6"/>
    <s v="4221.003"/>
    <s v="Intérêts compensat. / acomptes en faveur du fisc"/>
    <n v="0"/>
    <n v="1322.34"/>
    <n v="4221"/>
  </r>
  <r>
    <x v="0"/>
    <x v="2"/>
    <x v="2"/>
    <x v="226"/>
    <x v="192"/>
    <x v="192"/>
    <s v="REVENUS"/>
    <x v="2"/>
    <s v="4001.002"/>
    <s v="Impôt complément s/revenu PP"/>
    <n v="0"/>
    <n v="421365.95"/>
    <n v="4001"/>
  </r>
  <r>
    <x v="0"/>
    <x v="2"/>
    <x v="2"/>
    <x v="226"/>
    <x v="192"/>
    <x v="192"/>
    <s v="REVENUS"/>
    <x v="3"/>
    <s v="4002.002"/>
    <s v="Impôt complémentaire s/fortune PP"/>
    <n v="0"/>
    <n v="105080.3"/>
    <n v="4002"/>
  </r>
  <r>
    <x v="0"/>
    <x v="2"/>
    <x v="2"/>
    <x v="226"/>
    <x v="192"/>
    <x v="192"/>
    <s v="REVENUS"/>
    <x v="5"/>
    <s v="4061.000"/>
    <s v="Impôt sur les chiens"/>
    <n v="0"/>
    <n v="6160"/>
    <n v="4061"/>
  </r>
  <r>
    <x v="0"/>
    <x v="2"/>
    <x v="2"/>
    <x v="226"/>
    <x v="192"/>
    <x v="192"/>
    <s v="REVENUS"/>
    <x v="3"/>
    <s v="4002.007"/>
    <s v="Acompte impôt sur fortune"/>
    <n v="0"/>
    <n v="744"/>
    <n v="4002"/>
  </r>
  <r>
    <x v="0"/>
    <x v="2"/>
    <x v="2"/>
    <x v="226"/>
    <x v="192"/>
    <x v="192"/>
    <s v="REVENUS"/>
    <x v="3"/>
    <s v="4002.001"/>
    <s v="Impôt ordinaire s/fortune PP"/>
    <n v="0"/>
    <n v="14.55"/>
    <n v="4002"/>
  </r>
  <r>
    <x v="0"/>
    <x v="2"/>
    <x v="2"/>
    <x v="226"/>
    <x v="192"/>
    <x v="192"/>
    <s v="REVENUS"/>
    <x v="7"/>
    <s v="4184.000"/>
    <s v="Frais de poursuite"/>
    <n v="0"/>
    <n v="1517"/>
    <n v="4184"/>
  </r>
  <r>
    <x v="0"/>
    <x v="2"/>
    <x v="2"/>
    <x v="226"/>
    <x v="192"/>
    <x v="192"/>
    <s v="REVENUS"/>
    <x v="2"/>
    <s v="4001.003"/>
    <s v="Impôt s/prest. cap. PP"/>
    <n v="0"/>
    <n v="91933.7"/>
    <n v="4001"/>
  </r>
  <r>
    <x v="0"/>
    <x v="2"/>
    <x v="2"/>
    <x v="226"/>
    <x v="192"/>
    <x v="192"/>
    <s v="REVENUS"/>
    <x v="10"/>
    <s v="4041.001"/>
    <s v="Droits de mutation"/>
    <n v="0"/>
    <n v="169790.05"/>
    <n v="4041"/>
  </r>
  <r>
    <x v="0"/>
    <x v="2"/>
    <x v="2"/>
    <x v="226"/>
    <x v="192"/>
    <x v="192"/>
    <s v="REVENUS"/>
    <x v="12"/>
    <s v="4004.007"/>
    <s v="Acompte spécial étrangers"/>
    <n v="0"/>
    <n v="-76413.5"/>
    <n v="4004"/>
  </r>
  <r>
    <x v="0"/>
    <x v="2"/>
    <x v="2"/>
    <x v="226"/>
    <x v="192"/>
    <x v="192"/>
    <s v="REVENUS"/>
    <x v="8"/>
    <s v="4091.001"/>
    <s v="Impôt récupéré après défalcations"/>
    <n v="0"/>
    <n v="1506.3"/>
    <n v="4091"/>
  </r>
  <r>
    <x v="0"/>
    <x v="2"/>
    <x v="2"/>
    <x v="226"/>
    <x v="192"/>
    <x v="192"/>
    <s v="REVENUS"/>
    <x v="2"/>
    <s v="4001.007"/>
    <s v="Acompte impôt sur revenu"/>
    <n v="0"/>
    <n v="1527.35"/>
    <n v="4001"/>
  </r>
  <r>
    <x v="0"/>
    <x v="2"/>
    <x v="2"/>
    <x v="226"/>
    <x v="192"/>
    <x v="192"/>
    <s v="REVENUS"/>
    <x v="2"/>
    <s v="4001.007"/>
    <s v="Acompte impôt sur revenu"/>
    <n v="0"/>
    <n v="-499.95"/>
    <n v="4001"/>
  </r>
  <r>
    <x v="0"/>
    <x v="2"/>
    <x v="2"/>
    <x v="226"/>
    <x v="192"/>
    <x v="192"/>
    <s v="REVENUS"/>
    <x v="3"/>
    <s v="4002.007"/>
    <s v="Acompte impôt sur fortune"/>
    <n v="0"/>
    <n v="14.95"/>
    <n v="4002"/>
  </r>
  <r>
    <x v="0"/>
    <x v="2"/>
    <x v="2"/>
    <x v="226"/>
    <x v="192"/>
    <x v="192"/>
    <s v="REVENUS"/>
    <x v="3"/>
    <s v="4002.007"/>
    <s v="Acompte impôt sur fortune"/>
    <n v="0"/>
    <n v="344.41"/>
    <n v="4002"/>
  </r>
  <r>
    <x v="0"/>
    <x v="2"/>
    <x v="2"/>
    <x v="226"/>
    <x v="192"/>
    <x v="192"/>
    <s v="REVENUS"/>
    <x v="3"/>
    <s v="4002.007"/>
    <s v="Acompte impôt sur fortune"/>
    <n v="0"/>
    <n v="38.200000000000003"/>
    <n v="4002"/>
  </r>
  <r>
    <x v="0"/>
    <x v="2"/>
    <x v="2"/>
    <x v="226"/>
    <x v="192"/>
    <x v="192"/>
    <s v="REVENUS"/>
    <x v="2"/>
    <s v="4001.007"/>
    <s v="Acompte impôt sur revenu"/>
    <n v="0"/>
    <n v="371.96"/>
    <n v="4001"/>
  </r>
  <r>
    <x v="0"/>
    <x v="2"/>
    <x v="2"/>
    <x v="226"/>
    <x v="192"/>
    <x v="192"/>
    <s v="REVENUS"/>
    <x v="2"/>
    <s v="4001.007"/>
    <s v="Acompte impôt sur revenu"/>
    <n v="0"/>
    <n v="-56.95"/>
    <n v="4001"/>
  </r>
  <r>
    <x v="0"/>
    <x v="2"/>
    <x v="2"/>
    <x v="226"/>
    <x v="192"/>
    <x v="192"/>
    <s v="REVENUS"/>
    <x v="11"/>
    <s v="4198.000"/>
    <s v="Contributions communales"/>
    <n v="0"/>
    <n v="265326.25"/>
    <n v="4198"/>
  </r>
  <r>
    <x v="0"/>
    <x v="2"/>
    <x v="2"/>
    <x v="226"/>
    <x v="192"/>
    <x v="192"/>
    <s v="REVENUS"/>
    <x v="9"/>
    <s v="4031.001"/>
    <s v="Impôt sur les gains immobiliers"/>
    <n v="0"/>
    <n v="324724.65000000002"/>
    <n v="4031"/>
  </r>
  <r>
    <x v="0"/>
    <x v="2"/>
    <x v="2"/>
    <x v="226"/>
    <x v="192"/>
    <x v="192"/>
    <s v="REVENUS"/>
    <x v="10"/>
    <s v="4041.002"/>
    <s v="Complément droit de mutation"/>
    <n v="0"/>
    <n v="24429.4"/>
    <n v="4041"/>
  </r>
  <r>
    <x v="0"/>
    <x v="2"/>
    <x v="2"/>
    <x v="226"/>
    <x v="192"/>
    <x v="192"/>
    <s v="REVENUS"/>
    <x v="6"/>
    <s v="4221.002"/>
    <s v="Intérêts compensat. sur impôts distincts"/>
    <n v="0"/>
    <n v="24.05"/>
    <n v="4221"/>
  </r>
  <r>
    <x v="0"/>
    <x v="2"/>
    <x v="2"/>
    <x v="226"/>
    <x v="192"/>
    <x v="192"/>
    <s v="REVENUS"/>
    <x v="2"/>
    <s v="4001.001"/>
    <s v="Impôt revenu"/>
    <n v="0"/>
    <n v="8900.1"/>
    <n v="4001"/>
  </r>
  <r>
    <x v="0"/>
    <x v="2"/>
    <x v="2"/>
    <x v="226"/>
    <x v="192"/>
    <x v="192"/>
    <s v="REVENUS"/>
    <x v="3"/>
    <s v="4002.001"/>
    <s v="Impôt ordinaire s/fortune PP"/>
    <n v="0"/>
    <n v="4913.8500000000004"/>
    <n v="4002"/>
  </r>
  <r>
    <x v="0"/>
    <x v="2"/>
    <x v="2"/>
    <x v="226"/>
    <x v="192"/>
    <x v="192"/>
    <s v="REVENUS"/>
    <x v="6"/>
    <s v="4211.002"/>
    <s v="Intérêts de retard sur acomptes"/>
    <n v="0"/>
    <n v="20.95"/>
    <n v="4211"/>
  </r>
  <r>
    <x v="0"/>
    <x v="2"/>
    <x v="2"/>
    <x v="226"/>
    <x v="192"/>
    <x v="192"/>
    <s v="REVENUS"/>
    <x v="6"/>
    <s v="4221.003"/>
    <s v="Intérêts compensat. / acomptes en faveur du fisc"/>
    <n v="0"/>
    <n v="1.06"/>
    <n v="4221"/>
  </r>
  <r>
    <x v="0"/>
    <x v="2"/>
    <x v="2"/>
    <x v="226"/>
    <x v="192"/>
    <x v="192"/>
    <s v="REVENUS"/>
    <x v="3"/>
    <s v="4002.007"/>
    <s v="Acompte impôt sur fortune"/>
    <n v="0"/>
    <n v="-2329.1999999999998"/>
    <n v="4002"/>
  </r>
  <r>
    <x v="0"/>
    <x v="2"/>
    <x v="2"/>
    <x v="226"/>
    <x v="192"/>
    <x v="192"/>
    <s v="REVENUS"/>
    <x v="2"/>
    <s v="4001.001"/>
    <s v="Impôt revenu"/>
    <n v="0"/>
    <n v="1604.45"/>
    <n v="4001"/>
  </r>
  <r>
    <x v="0"/>
    <x v="2"/>
    <x v="2"/>
    <x v="226"/>
    <x v="192"/>
    <x v="192"/>
    <s v="REVENUS"/>
    <x v="3"/>
    <s v="4002.001"/>
    <s v="Impôt ordinaire s/fortune PP"/>
    <n v="0"/>
    <n v="1046.2"/>
    <n v="4002"/>
  </r>
  <r>
    <x v="0"/>
    <x v="2"/>
    <x v="2"/>
    <x v="226"/>
    <x v="192"/>
    <x v="192"/>
    <s v="REVENUS"/>
    <x v="6"/>
    <s v="4221.003"/>
    <s v="Intérêts compensat. / acomptes en faveur du fisc"/>
    <n v="0"/>
    <n v="0.01"/>
    <n v="4221"/>
  </r>
  <r>
    <x v="0"/>
    <x v="2"/>
    <x v="2"/>
    <x v="226"/>
    <x v="192"/>
    <x v="192"/>
    <s v="REVENUS"/>
    <x v="9"/>
    <s v="4031.002"/>
    <s v="Complément impôt sur les gains immobiliers"/>
    <n v="0"/>
    <n v="12075"/>
    <n v="4031"/>
  </r>
  <r>
    <x v="0"/>
    <x v="2"/>
    <x v="2"/>
    <x v="226"/>
    <x v="192"/>
    <x v="192"/>
    <s v="REVENUS"/>
    <x v="12"/>
    <s v="4004.000"/>
    <s v="Impôt spécial étrangers"/>
    <n v="0"/>
    <n v="400525.05"/>
    <n v="4004"/>
  </r>
  <r>
    <x v="0"/>
    <x v="2"/>
    <x v="2"/>
    <x v="226"/>
    <x v="192"/>
    <x v="192"/>
    <s v="REVENUS"/>
    <x v="6"/>
    <s v="4211.001"/>
    <s v="Intérêts de retard sur factures"/>
    <n v="0"/>
    <n v="1.94"/>
    <n v="4211"/>
  </r>
  <r>
    <x v="0"/>
    <x v="2"/>
    <x v="2"/>
    <x v="226"/>
    <x v="192"/>
    <x v="192"/>
    <s v="REVENUS"/>
    <x v="7"/>
    <s v="4184.000"/>
    <s v="Frais de poursuite"/>
    <n v="0"/>
    <n v="126.6"/>
    <n v="4184"/>
  </r>
  <r>
    <x v="0"/>
    <x v="2"/>
    <x v="2"/>
    <x v="226"/>
    <x v="192"/>
    <x v="192"/>
    <s v="REVENUS"/>
    <x v="3"/>
    <s v="4002.001"/>
    <s v="Impôt ordinaire s/fortune PP"/>
    <n v="0"/>
    <n v="270.7"/>
    <n v="4002"/>
  </r>
  <r>
    <x v="0"/>
    <x v="2"/>
    <x v="2"/>
    <x v="227"/>
    <x v="193"/>
    <x v="193"/>
    <s v="CHARGES"/>
    <x v="0"/>
    <s v="3212.002"/>
    <s v="Intérêts bonifiés/trop perçu acompte C/C"/>
    <n v="423.05"/>
    <n v="0"/>
    <n v="3212"/>
  </r>
  <r>
    <x v="0"/>
    <x v="2"/>
    <x v="2"/>
    <x v="227"/>
    <x v="193"/>
    <x v="193"/>
    <s v="CHARGES"/>
    <x v="0"/>
    <s v="3212.004"/>
    <s v="Intérêts rémun./perçu trop tôt sur acomptes C/C"/>
    <n v="3779.08"/>
    <n v="0"/>
    <n v="3212"/>
  </r>
  <r>
    <x v="0"/>
    <x v="2"/>
    <x v="2"/>
    <x v="227"/>
    <x v="193"/>
    <x v="193"/>
    <s v="CHARGES"/>
    <x v="0"/>
    <s v="3221.002"/>
    <s v="Intérêts compensatoires / créances en faveur ctb."/>
    <n v="1050.43"/>
    <n v="0"/>
    <n v="3221"/>
  </r>
  <r>
    <x v="0"/>
    <x v="2"/>
    <x v="2"/>
    <x v="227"/>
    <x v="193"/>
    <x v="193"/>
    <s v="CHARGES"/>
    <x v="1"/>
    <s v="3301.001"/>
    <s v="Défalcations, abandons de solde PP et IS"/>
    <n v="362934.36"/>
    <n v="0"/>
    <n v="3301"/>
  </r>
  <r>
    <x v="0"/>
    <x v="2"/>
    <x v="2"/>
    <x v="227"/>
    <x v="193"/>
    <x v="193"/>
    <s v="CHARGES"/>
    <x v="0"/>
    <s v="3212.004"/>
    <s v="Intérêts rémun./perçu trop tôt sur acomptes C/C"/>
    <n v="8.1199999999999992"/>
    <n v="0"/>
    <n v="3212"/>
  </r>
  <r>
    <x v="0"/>
    <x v="2"/>
    <x v="2"/>
    <x v="227"/>
    <x v="193"/>
    <x v="193"/>
    <s v="CHARGES"/>
    <x v="0"/>
    <s v="3221.002"/>
    <s v="Intérêts compensatoires / créances en faveur ctb."/>
    <n v="6.34"/>
    <n v="0"/>
    <n v="3221"/>
  </r>
  <r>
    <x v="0"/>
    <x v="2"/>
    <x v="2"/>
    <x v="227"/>
    <x v="193"/>
    <x v="193"/>
    <s v="CHARGES"/>
    <x v="0"/>
    <s v="3212.004"/>
    <s v="Intérêts rémun./perçu trop tôt sur acomptes C/C"/>
    <n v="16.600000000000001"/>
    <n v="0"/>
    <n v="3212"/>
  </r>
  <r>
    <x v="0"/>
    <x v="2"/>
    <x v="2"/>
    <x v="227"/>
    <x v="193"/>
    <x v="193"/>
    <s v="CHARGES"/>
    <x v="0"/>
    <s v="3221.002"/>
    <s v="Intérêts compensatoires / créances en faveur ctb."/>
    <n v="11.34"/>
    <n v="0"/>
    <n v="3221"/>
  </r>
  <r>
    <x v="0"/>
    <x v="2"/>
    <x v="2"/>
    <x v="227"/>
    <x v="193"/>
    <x v="193"/>
    <s v="CHARGES"/>
    <x v="1"/>
    <s v="3301.001"/>
    <s v="Défalcations, abandons de solde PP et IS"/>
    <n v="2630.26"/>
    <n v="0"/>
    <n v="3301"/>
  </r>
  <r>
    <x v="0"/>
    <x v="2"/>
    <x v="2"/>
    <x v="227"/>
    <x v="193"/>
    <x v="193"/>
    <s v="CHARGES"/>
    <x v="1"/>
    <s v="3301.001"/>
    <s v="Défalcations, abandons de solde PP et IS"/>
    <n v="274.89999999999998"/>
    <n v="0"/>
    <n v="3301"/>
  </r>
  <r>
    <x v="0"/>
    <x v="2"/>
    <x v="2"/>
    <x v="227"/>
    <x v="193"/>
    <x v="193"/>
    <s v="CHARGES"/>
    <x v="0"/>
    <s v="3212.004"/>
    <s v="Intérêts rémun./perçu trop tôt sur acomptes C/C"/>
    <n v="4.1100000000000003"/>
    <n v="0"/>
    <n v="3212"/>
  </r>
  <r>
    <x v="0"/>
    <x v="2"/>
    <x v="2"/>
    <x v="227"/>
    <x v="193"/>
    <x v="193"/>
    <s v="CHARGES"/>
    <x v="1"/>
    <s v="3301.003"/>
    <s v="Remises PP et IS"/>
    <n v="10677.73"/>
    <n v="0"/>
    <n v="3301"/>
  </r>
  <r>
    <x v="0"/>
    <x v="2"/>
    <x v="2"/>
    <x v="227"/>
    <x v="193"/>
    <x v="193"/>
    <s v="CHARGES"/>
    <x v="1"/>
    <s v="3301.001"/>
    <s v="Défalcations, abandons de solde PP et IS"/>
    <n v="314009.33"/>
    <n v="0"/>
    <n v="3301"/>
  </r>
  <r>
    <x v="0"/>
    <x v="2"/>
    <x v="2"/>
    <x v="227"/>
    <x v="193"/>
    <x v="193"/>
    <s v="CHARGES"/>
    <x v="0"/>
    <s v="3212.002"/>
    <s v="Intérêts bonifiés/trop perçu acompte C/C"/>
    <n v="0.09"/>
    <n v="0"/>
    <n v="3212"/>
  </r>
  <r>
    <x v="0"/>
    <x v="2"/>
    <x v="2"/>
    <x v="227"/>
    <x v="193"/>
    <x v="193"/>
    <s v="CHARGES"/>
    <x v="0"/>
    <s v="3212.002"/>
    <s v="Intérêts bonifiés/trop perçu acompte C/C"/>
    <n v="0.18"/>
    <n v="0"/>
    <n v="3212"/>
  </r>
  <r>
    <x v="0"/>
    <x v="2"/>
    <x v="2"/>
    <x v="227"/>
    <x v="193"/>
    <x v="193"/>
    <s v="CHARGES"/>
    <x v="1"/>
    <s v="3301.001"/>
    <s v="Défalcations, abandons de solde PP et IS"/>
    <n v="2.72"/>
    <n v="0"/>
    <n v="3301"/>
  </r>
  <r>
    <x v="0"/>
    <x v="2"/>
    <x v="2"/>
    <x v="227"/>
    <x v="193"/>
    <x v="193"/>
    <s v="CHARGES"/>
    <x v="1"/>
    <s v="3301.001"/>
    <s v="Défalcations, abandons de solde PP et IS"/>
    <n v="0"/>
    <n v="0"/>
    <n v="3301"/>
  </r>
  <r>
    <x v="0"/>
    <x v="2"/>
    <x v="2"/>
    <x v="227"/>
    <x v="193"/>
    <x v="193"/>
    <s v="CHARGES"/>
    <x v="0"/>
    <s v="3221.002"/>
    <s v="Intérêts compensatoires / créances en faveur ctb."/>
    <n v="1.53"/>
    <n v="0"/>
    <n v="3221"/>
  </r>
  <r>
    <x v="0"/>
    <x v="2"/>
    <x v="2"/>
    <x v="227"/>
    <x v="193"/>
    <x v="193"/>
    <s v="CHARGES"/>
    <x v="0"/>
    <s v="3212.004"/>
    <s v="Intérêts rémun./perçu trop tôt sur acomptes C/C"/>
    <n v="0.05"/>
    <n v="0"/>
    <n v="3212"/>
  </r>
  <r>
    <x v="0"/>
    <x v="2"/>
    <x v="2"/>
    <x v="227"/>
    <x v="193"/>
    <x v="193"/>
    <s v="CHARGES"/>
    <x v="1"/>
    <s v="3301.001"/>
    <s v="Défalcations, abandons de solde PP et IS"/>
    <n v="0.05"/>
    <n v="0"/>
    <n v="3301"/>
  </r>
  <r>
    <x v="0"/>
    <x v="2"/>
    <x v="2"/>
    <x v="227"/>
    <x v="193"/>
    <x v="193"/>
    <s v="CHARGES"/>
    <x v="0"/>
    <s v="3212.002"/>
    <s v="Intérêts bonifiés/trop perçu acompte C/C"/>
    <n v="-0.19"/>
    <n v="0"/>
    <n v="3212"/>
  </r>
  <r>
    <x v="0"/>
    <x v="2"/>
    <x v="2"/>
    <x v="227"/>
    <x v="193"/>
    <x v="193"/>
    <s v="CHARGES"/>
    <x v="0"/>
    <s v="3221.002"/>
    <s v="Intérêts compensatoires / créances en faveur ctb."/>
    <n v="-2.57"/>
    <n v="0"/>
    <n v="3221"/>
  </r>
  <r>
    <x v="0"/>
    <x v="2"/>
    <x v="2"/>
    <x v="227"/>
    <x v="193"/>
    <x v="193"/>
    <s v="CHARGES"/>
    <x v="1"/>
    <s v="3301.001"/>
    <s v="Défalcations, abandons de solde PP et IS"/>
    <n v="-0.02"/>
    <n v="0"/>
    <n v="3301"/>
  </r>
  <r>
    <x v="0"/>
    <x v="2"/>
    <x v="2"/>
    <x v="227"/>
    <x v="193"/>
    <x v="193"/>
    <s v="CHARGES"/>
    <x v="1"/>
    <s v="3301.001"/>
    <s v="Défalcations, abandons de solde PP et IS"/>
    <n v="7.36"/>
    <n v="0"/>
    <n v="3301"/>
  </r>
  <r>
    <x v="0"/>
    <x v="2"/>
    <x v="2"/>
    <x v="227"/>
    <x v="193"/>
    <x v="193"/>
    <s v="CHARGES"/>
    <x v="0"/>
    <s v="3212.004"/>
    <s v="Intérêts rémun./perçu trop tôt sur acomptes C/C"/>
    <n v="2.41"/>
    <n v="0"/>
    <n v="3212"/>
  </r>
  <r>
    <x v="0"/>
    <x v="2"/>
    <x v="2"/>
    <x v="227"/>
    <x v="193"/>
    <x v="193"/>
    <s v="CHARGES"/>
    <x v="0"/>
    <s v="3221.002"/>
    <s v="Intérêts compensatoires / créances en faveur ctb."/>
    <n v="2"/>
    <n v="0"/>
    <n v="3221"/>
  </r>
  <r>
    <x v="0"/>
    <x v="2"/>
    <x v="2"/>
    <x v="227"/>
    <x v="193"/>
    <x v="193"/>
    <s v="CHARGES"/>
    <x v="0"/>
    <s v="3212.004"/>
    <s v="Intérêts rémun./perçu trop tôt sur acomptes C/C"/>
    <n v="-1.06"/>
    <n v="0"/>
    <n v="3212"/>
  </r>
  <r>
    <x v="0"/>
    <x v="2"/>
    <x v="2"/>
    <x v="227"/>
    <x v="193"/>
    <x v="193"/>
    <s v="CHARGES"/>
    <x v="0"/>
    <s v="3212.004"/>
    <s v="Intérêts rémun./perçu trop tôt sur acomptes C/C"/>
    <n v="12.61"/>
    <n v="0"/>
    <n v="3212"/>
  </r>
  <r>
    <x v="0"/>
    <x v="2"/>
    <x v="2"/>
    <x v="227"/>
    <x v="193"/>
    <x v="193"/>
    <s v="CHARGES"/>
    <x v="0"/>
    <s v="3212.004"/>
    <s v="Intérêts rémun./perçu trop tôt sur acomptes C/C"/>
    <n v="-9.77"/>
    <n v="0"/>
    <n v="3212"/>
  </r>
  <r>
    <x v="0"/>
    <x v="2"/>
    <x v="2"/>
    <x v="227"/>
    <x v="193"/>
    <x v="193"/>
    <s v="CHARGES"/>
    <x v="1"/>
    <s v="3301.001"/>
    <s v="Défalcations, abandons de solde PP et IS"/>
    <n v="-1.92"/>
    <n v="0"/>
    <n v="3301"/>
  </r>
  <r>
    <x v="0"/>
    <x v="2"/>
    <x v="2"/>
    <x v="227"/>
    <x v="193"/>
    <x v="193"/>
    <s v="CHARGES"/>
    <x v="0"/>
    <s v="3212.002"/>
    <s v="Intérêts bonifiés/trop perçu acompte C/C"/>
    <n v="-0.05"/>
    <n v="0"/>
    <n v="3212"/>
  </r>
  <r>
    <x v="0"/>
    <x v="2"/>
    <x v="2"/>
    <x v="227"/>
    <x v="193"/>
    <x v="193"/>
    <s v="CHARGES"/>
    <x v="0"/>
    <s v="3221.002"/>
    <s v="Intérêts compensatoires / créances en faveur ctb."/>
    <n v="-0.46"/>
    <n v="0"/>
    <n v="3221"/>
  </r>
  <r>
    <x v="0"/>
    <x v="2"/>
    <x v="2"/>
    <x v="227"/>
    <x v="193"/>
    <x v="193"/>
    <s v="CHARGES"/>
    <x v="0"/>
    <s v="3221.002"/>
    <s v="Intérêts compensatoires / créances en faveur ctb."/>
    <n v="0.21"/>
    <n v="0"/>
    <n v="3221"/>
  </r>
  <r>
    <x v="0"/>
    <x v="2"/>
    <x v="2"/>
    <x v="227"/>
    <x v="193"/>
    <x v="193"/>
    <s v="REVENUS"/>
    <x v="8"/>
    <s v="4091.001"/>
    <s v="Impôt récupéré après défalcations"/>
    <n v="0"/>
    <n v="91500.98"/>
    <n v="4091"/>
  </r>
  <r>
    <x v="0"/>
    <x v="2"/>
    <x v="2"/>
    <x v="227"/>
    <x v="193"/>
    <x v="193"/>
    <s v="REVENUS"/>
    <x v="2"/>
    <s v="4001.007"/>
    <s v="Acompte impôt sur revenu"/>
    <n v="0"/>
    <n v="593455.81999999995"/>
    <n v="4001"/>
  </r>
  <r>
    <x v="0"/>
    <x v="2"/>
    <x v="2"/>
    <x v="227"/>
    <x v="193"/>
    <x v="193"/>
    <s v="REVENUS"/>
    <x v="3"/>
    <s v="4002.007"/>
    <s v="Acompte impôt sur fortune"/>
    <n v="0"/>
    <n v="2230824.9500000002"/>
    <n v="4002"/>
  </r>
  <r>
    <x v="0"/>
    <x v="2"/>
    <x v="2"/>
    <x v="227"/>
    <x v="193"/>
    <x v="193"/>
    <s v="REVENUS"/>
    <x v="6"/>
    <s v="4211.001"/>
    <s v="Intérêts de retard sur factures"/>
    <n v="0"/>
    <n v="116289.56"/>
    <n v="4211"/>
  </r>
  <r>
    <x v="0"/>
    <x v="2"/>
    <x v="2"/>
    <x v="227"/>
    <x v="193"/>
    <x v="193"/>
    <s v="REVENUS"/>
    <x v="2"/>
    <s v="4001.001"/>
    <s v="Impôt revenu"/>
    <n v="0"/>
    <n v="18694148.050000001"/>
    <n v="4001"/>
  </r>
  <r>
    <x v="0"/>
    <x v="2"/>
    <x v="2"/>
    <x v="227"/>
    <x v="193"/>
    <x v="193"/>
    <s v="REVENUS"/>
    <x v="2"/>
    <s v="4001.002"/>
    <s v="Impôt complément s/revenu PP"/>
    <n v="0"/>
    <n v="5334618.8499999996"/>
    <n v="4001"/>
  </r>
  <r>
    <x v="0"/>
    <x v="2"/>
    <x v="2"/>
    <x v="227"/>
    <x v="193"/>
    <x v="193"/>
    <s v="REVENUS"/>
    <x v="3"/>
    <s v="4002.001"/>
    <s v="Impôt ordinaire s/fortune PP"/>
    <n v="0"/>
    <n v="2280237.25"/>
    <n v="4002"/>
  </r>
  <r>
    <x v="0"/>
    <x v="2"/>
    <x v="2"/>
    <x v="227"/>
    <x v="193"/>
    <x v="193"/>
    <s v="REVENUS"/>
    <x v="3"/>
    <s v="4002.002"/>
    <s v="Impôt complémentaire s/fortune PP"/>
    <n v="0"/>
    <n v="933574.1"/>
    <n v="4002"/>
  </r>
  <r>
    <x v="0"/>
    <x v="2"/>
    <x v="2"/>
    <x v="227"/>
    <x v="193"/>
    <x v="193"/>
    <s v="REVENUS"/>
    <x v="9"/>
    <s v="4031.001"/>
    <s v="Impôt sur les gains immobiliers"/>
    <n v="0"/>
    <n v="722380.15"/>
    <n v="4031"/>
  </r>
  <r>
    <x v="0"/>
    <x v="2"/>
    <x v="2"/>
    <x v="227"/>
    <x v="193"/>
    <x v="193"/>
    <s v="REVENUS"/>
    <x v="8"/>
    <s v="4091.001"/>
    <s v="Impôt récupéré après défalcations"/>
    <n v="0"/>
    <n v="31880.34"/>
    <n v="4091"/>
  </r>
  <r>
    <x v="0"/>
    <x v="2"/>
    <x v="2"/>
    <x v="227"/>
    <x v="193"/>
    <x v="193"/>
    <s v="REVENUS"/>
    <x v="11"/>
    <s v="4198.000"/>
    <s v="Contributions communales"/>
    <n v="0"/>
    <n v="1692327.95"/>
    <n v="4198"/>
  </r>
  <r>
    <x v="0"/>
    <x v="2"/>
    <x v="2"/>
    <x v="227"/>
    <x v="193"/>
    <x v="193"/>
    <s v="REVENUS"/>
    <x v="6"/>
    <s v="4211.002"/>
    <s v="Intérêts de retard sur acomptes"/>
    <n v="0"/>
    <n v="129497.7"/>
    <n v="4211"/>
  </r>
  <r>
    <x v="0"/>
    <x v="2"/>
    <x v="2"/>
    <x v="227"/>
    <x v="193"/>
    <x v="193"/>
    <s v="REVENUS"/>
    <x v="6"/>
    <s v="4221.003"/>
    <s v="Intérêts compensat. / acomptes en faveur du fisc"/>
    <n v="0"/>
    <n v="2262.42"/>
    <n v="4221"/>
  </r>
  <r>
    <x v="0"/>
    <x v="2"/>
    <x v="2"/>
    <x v="227"/>
    <x v="193"/>
    <x v="193"/>
    <s v="REVENUS"/>
    <x v="2"/>
    <s v="4001.007"/>
    <s v="Acompte impôt sur revenu"/>
    <n v="0"/>
    <n v="12658.07"/>
    <n v="4001"/>
  </r>
  <r>
    <x v="0"/>
    <x v="2"/>
    <x v="2"/>
    <x v="227"/>
    <x v="193"/>
    <x v="193"/>
    <s v="REVENUS"/>
    <x v="3"/>
    <s v="4002.007"/>
    <s v="Acompte impôt sur fortune"/>
    <n v="0"/>
    <n v="1758.66"/>
    <n v="4002"/>
  </r>
  <r>
    <x v="0"/>
    <x v="2"/>
    <x v="2"/>
    <x v="227"/>
    <x v="193"/>
    <x v="193"/>
    <s v="REVENUS"/>
    <x v="7"/>
    <s v="4184.000"/>
    <s v="Frais de poursuite"/>
    <n v="0"/>
    <n v="36843.68"/>
    <n v="4184"/>
  </r>
  <r>
    <x v="0"/>
    <x v="2"/>
    <x v="2"/>
    <x v="227"/>
    <x v="193"/>
    <x v="193"/>
    <s v="REVENUS"/>
    <x v="6"/>
    <s v="4221.002"/>
    <s v="Intérêts compensat. sur impôts distincts"/>
    <n v="0"/>
    <n v="318.61"/>
    <n v="4221"/>
  </r>
  <r>
    <x v="0"/>
    <x v="2"/>
    <x v="2"/>
    <x v="227"/>
    <x v="193"/>
    <x v="193"/>
    <s v="REVENUS"/>
    <x v="2"/>
    <s v="4001.001"/>
    <s v="Impôt revenu"/>
    <n v="0"/>
    <n v="13657.4"/>
    <n v="4001"/>
  </r>
  <r>
    <x v="0"/>
    <x v="2"/>
    <x v="2"/>
    <x v="227"/>
    <x v="193"/>
    <x v="193"/>
    <s v="REVENUS"/>
    <x v="3"/>
    <s v="4002.001"/>
    <s v="Impôt ordinaire s/fortune PP"/>
    <n v="0"/>
    <n v="5960.05"/>
    <n v="4002"/>
  </r>
  <r>
    <x v="0"/>
    <x v="2"/>
    <x v="2"/>
    <x v="227"/>
    <x v="193"/>
    <x v="193"/>
    <s v="REVENUS"/>
    <x v="2"/>
    <s v="4001.001"/>
    <s v="Impôt revenu"/>
    <n v="0"/>
    <n v="68729.8"/>
    <n v="4001"/>
  </r>
  <r>
    <x v="0"/>
    <x v="2"/>
    <x v="2"/>
    <x v="227"/>
    <x v="193"/>
    <x v="193"/>
    <s v="REVENUS"/>
    <x v="3"/>
    <s v="4002.001"/>
    <s v="Impôt ordinaire s/fortune PP"/>
    <n v="0"/>
    <n v="21290"/>
    <n v="4002"/>
  </r>
  <r>
    <x v="0"/>
    <x v="2"/>
    <x v="2"/>
    <x v="227"/>
    <x v="193"/>
    <x v="193"/>
    <s v="REVENUS"/>
    <x v="2"/>
    <s v="4001.007"/>
    <s v="Acompte impôt sur revenu"/>
    <n v="0"/>
    <n v="-20468.400000000001"/>
    <n v="4001"/>
  </r>
  <r>
    <x v="0"/>
    <x v="2"/>
    <x v="2"/>
    <x v="227"/>
    <x v="193"/>
    <x v="193"/>
    <s v="REVENUS"/>
    <x v="3"/>
    <s v="4002.007"/>
    <s v="Acompte impôt sur fortune"/>
    <n v="0"/>
    <n v="-4313.96"/>
    <n v="4002"/>
  </r>
  <r>
    <x v="0"/>
    <x v="2"/>
    <x v="2"/>
    <x v="227"/>
    <x v="193"/>
    <x v="193"/>
    <s v="REVENUS"/>
    <x v="2"/>
    <s v="4001.003"/>
    <s v="Impôt s/prest. cap. PP"/>
    <n v="0"/>
    <n v="682150.7"/>
    <n v="4001"/>
  </r>
  <r>
    <x v="0"/>
    <x v="2"/>
    <x v="2"/>
    <x v="227"/>
    <x v="193"/>
    <x v="193"/>
    <s v="REVENUS"/>
    <x v="2"/>
    <s v="4001.007"/>
    <s v="Acompte impôt sur revenu"/>
    <n v="0"/>
    <n v="-8601.39"/>
    <n v="4001"/>
  </r>
  <r>
    <x v="0"/>
    <x v="2"/>
    <x v="2"/>
    <x v="227"/>
    <x v="193"/>
    <x v="193"/>
    <s v="REVENUS"/>
    <x v="3"/>
    <s v="4002.007"/>
    <s v="Acompte impôt sur fortune"/>
    <n v="0"/>
    <n v="7297.02"/>
    <n v="4002"/>
  </r>
  <r>
    <x v="0"/>
    <x v="2"/>
    <x v="2"/>
    <x v="227"/>
    <x v="193"/>
    <x v="193"/>
    <s v="REVENUS"/>
    <x v="6"/>
    <s v="4221.003"/>
    <s v="Intérêts compensat. / acomptes en faveur du fisc"/>
    <n v="0"/>
    <n v="4.97"/>
    <n v="4221"/>
  </r>
  <r>
    <x v="0"/>
    <x v="2"/>
    <x v="2"/>
    <x v="227"/>
    <x v="193"/>
    <x v="193"/>
    <s v="REVENUS"/>
    <x v="6"/>
    <s v="4211.001"/>
    <s v="Intérêts de retard sur factures"/>
    <n v="0"/>
    <n v="3.26"/>
    <n v="4211"/>
  </r>
  <r>
    <x v="0"/>
    <x v="2"/>
    <x v="2"/>
    <x v="227"/>
    <x v="193"/>
    <x v="193"/>
    <s v="REVENUS"/>
    <x v="2"/>
    <s v="4001.001"/>
    <s v="Impôt revenu"/>
    <n v="0"/>
    <n v="10783.25"/>
    <n v="4001"/>
  </r>
  <r>
    <x v="0"/>
    <x v="2"/>
    <x v="2"/>
    <x v="227"/>
    <x v="193"/>
    <x v="193"/>
    <s v="REVENUS"/>
    <x v="2"/>
    <s v="4001.007"/>
    <s v="Acompte impôt sur revenu"/>
    <n v="0"/>
    <n v="3439.89"/>
    <n v="4001"/>
  </r>
  <r>
    <x v="0"/>
    <x v="2"/>
    <x v="2"/>
    <x v="227"/>
    <x v="193"/>
    <x v="193"/>
    <s v="REVENUS"/>
    <x v="3"/>
    <s v="4002.001"/>
    <s v="Impôt ordinaire s/fortune PP"/>
    <n v="0"/>
    <n v="2999.1"/>
    <n v="4002"/>
  </r>
  <r>
    <x v="0"/>
    <x v="2"/>
    <x v="2"/>
    <x v="227"/>
    <x v="193"/>
    <x v="193"/>
    <s v="REVENUS"/>
    <x v="3"/>
    <s v="4002.007"/>
    <s v="Acompte impôt sur fortune"/>
    <n v="0"/>
    <n v="-231.06"/>
    <n v="4002"/>
  </r>
  <r>
    <x v="0"/>
    <x v="2"/>
    <x v="2"/>
    <x v="227"/>
    <x v="193"/>
    <x v="193"/>
    <s v="REVENUS"/>
    <x v="2"/>
    <s v="4001.001"/>
    <s v="Impôt revenu"/>
    <n v="0"/>
    <n v="-15055.8"/>
    <n v="4001"/>
  </r>
  <r>
    <x v="0"/>
    <x v="2"/>
    <x v="2"/>
    <x v="227"/>
    <x v="193"/>
    <x v="193"/>
    <s v="REVENUS"/>
    <x v="7"/>
    <s v="4184.000"/>
    <s v="Frais de poursuite"/>
    <n v="0"/>
    <n v="2245.7800000000002"/>
    <n v="4184"/>
  </r>
  <r>
    <x v="0"/>
    <x v="2"/>
    <x v="2"/>
    <x v="227"/>
    <x v="193"/>
    <x v="193"/>
    <s v="REVENUS"/>
    <x v="3"/>
    <s v="4002.002"/>
    <s v="Impôt complémentaire s/fortune PP"/>
    <n v="0"/>
    <n v="2703.75"/>
    <n v="4002"/>
  </r>
  <r>
    <x v="0"/>
    <x v="2"/>
    <x v="2"/>
    <x v="227"/>
    <x v="193"/>
    <x v="193"/>
    <s v="REVENUS"/>
    <x v="6"/>
    <s v="4211.002"/>
    <s v="Intérêts de retard sur acomptes"/>
    <n v="0"/>
    <n v="756.64"/>
    <n v="4211"/>
  </r>
  <r>
    <x v="0"/>
    <x v="2"/>
    <x v="2"/>
    <x v="227"/>
    <x v="193"/>
    <x v="193"/>
    <s v="REVENUS"/>
    <x v="12"/>
    <s v="4004.007"/>
    <s v="Acompte spécial étrangers"/>
    <n v="0"/>
    <n v="-13206.35"/>
    <n v="4004"/>
  </r>
  <r>
    <x v="0"/>
    <x v="2"/>
    <x v="2"/>
    <x v="227"/>
    <x v="193"/>
    <x v="193"/>
    <s v="REVENUS"/>
    <x v="2"/>
    <s v="4001.002"/>
    <s v="Impôt complément s/revenu PP"/>
    <n v="0"/>
    <n v="16674.05"/>
    <n v="4001"/>
  </r>
  <r>
    <x v="0"/>
    <x v="2"/>
    <x v="2"/>
    <x v="227"/>
    <x v="193"/>
    <x v="193"/>
    <s v="REVENUS"/>
    <x v="3"/>
    <s v="4002.002"/>
    <s v="Impôt complémentaire s/fortune PP"/>
    <n v="0"/>
    <n v="6386.6"/>
    <n v="4002"/>
  </r>
  <r>
    <x v="0"/>
    <x v="2"/>
    <x v="2"/>
    <x v="227"/>
    <x v="193"/>
    <x v="193"/>
    <s v="REVENUS"/>
    <x v="6"/>
    <s v="4221.003"/>
    <s v="Intérêts compensat. / acomptes en faveur du fisc"/>
    <n v="0"/>
    <n v="4.33"/>
    <n v="4221"/>
  </r>
  <r>
    <x v="0"/>
    <x v="2"/>
    <x v="2"/>
    <x v="227"/>
    <x v="193"/>
    <x v="193"/>
    <s v="REVENUS"/>
    <x v="10"/>
    <s v="4041.001"/>
    <s v="Droits de mutation"/>
    <n v="0"/>
    <n v="835033.35"/>
    <n v="4041"/>
  </r>
  <r>
    <x v="0"/>
    <x v="2"/>
    <x v="2"/>
    <x v="227"/>
    <x v="193"/>
    <x v="193"/>
    <s v="REVENUS"/>
    <x v="5"/>
    <s v="4061.000"/>
    <s v="Impôt sur les chiens"/>
    <n v="0"/>
    <n v="68700"/>
    <n v="4061"/>
  </r>
  <r>
    <x v="0"/>
    <x v="2"/>
    <x v="2"/>
    <x v="227"/>
    <x v="193"/>
    <x v="193"/>
    <s v="REVENUS"/>
    <x v="3"/>
    <s v="4002.007"/>
    <s v="Acompte impôt sur fortune"/>
    <n v="0"/>
    <n v="175.95"/>
    <n v="4002"/>
  </r>
  <r>
    <x v="0"/>
    <x v="2"/>
    <x v="2"/>
    <x v="227"/>
    <x v="193"/>
    <x v="193"/>
    <s v="REVENUS"/>
    <x v="2"/>
    <s v="4001.001"/>
    <s v="Impôt revenu"/>
    <n v="0"/>
    <n v="45589.55"/>
    <n v="4001"/>
  </r>
  <r>
    <x v="0"/>
    <x v="2"/>
    <x v="2"/>
    <x v="227"/>
    <x v="193"/>
    <x v="193"/>
    <s v="REVENUS"/>
    <x v="2"/>
    <s v="4001.007"/>
    <s v="Acompte impôt sur revenu"/>
    <n v="0"/>
    <n v="-27786.720000000001"/>
    <n v="4001"/>
  </r>
  <r>
    <x v="0"/>
    <x v="2"/>
    <x v="2"/>
    <x v="227"/>
    <x v="193"/>
    <x v="193"/>
    <s v="REVENUS"/>
    <x v="3"/>
    <s v="4002.001"/>
    <s v="Impôt ordinaire s/fortune PP"/>
    <n v="0"/>
    <n v="12092.95"/>
    <n v="4002"/>
  </r>
  <r>
    <x v="0"/>
    <x v="2"/>
    <x v="2"/>
    <x v="227"/>
    <x v="193"/>
    <x v="193"/>
    <s v="REVENUS"/>
    <x v="3"/>
    <s v="4002.007"/>
    <s v="Acompte impôt sur fortune"/>
    <n v="0"/>
    <n v="-4198.72"/>
    <n v="4002"/>
  </r>
  <r>
    <x v="0"/>
    <x v="2"/>
    <x v="2"/>
    <x v="227"/>
    <x v="193"/>
    <x v="193"/>
    <s v="REVENUS"/>
    <x v="6"/>
    <s v="4221.003"/>
    <s v="Intérêts compensat. / acomptes en faveur du fisc"/>
    <n v="0"/>
    <n v="2.8"/>
    <n v="4221"/>
  </r>
  <r>
    <x v="0"/>
    <x v="2"/>
    <x v="2"/>
    <x v="227"/>
    <x v="193"/>
    <x v="193"/>
    <s v="REVENUS"/>
    <x v="2"/>
    <s v="4001.001"/>
    <s v="Impôt revenu"/>
    <n v="0"/>
    <n v="21493.5"/>
    <n v="4001"/>
  </r>
  <r>
    <x v="0"/>
    <x v="2"/>
    <x v="2"/>
    <x v="227"/>
    <x v="193"/>
    <x v="193"/>
    <s v="REVENUS"/>
    <x v="6"/>
    <s v="4221.003"/>
    <s v="Intérêts compensat. / acomptes en faveur du fisc"/>
    <n v="0"/>
    <n v="9.2200000000000006"/>
    <n v="4221"/>
  </r>
  <r>
    <x v="0"/>
    <x v="2"/>
    <x v="2"/>
    <x v="227"/>
    <x v="193"/>
    <x v="193"/>
    <s v="REVENUS"/>
    <x v="4"/>
    <s v="4051.002"/>
    <s v="Impôt sur les donations"/>
    <n v="0"/>
    <n v="103759.9"/>
    <n v="4051"/>
  </r>
  <r>
    <x v="0"/>
    <x v="2"/>
    <x v="2"/>
    <x v="227"/>
    <x v="193"/>
    <x v="193"/>
    <s v="REVENUS"/>
    <x v="2"/>
    <s v="4001.007"/>
    <s v="Acompte impôt sur revenu"/>
    <n v="0"/>
    <n v="20787.45"/>
    <n v="4001"/>
  </r>
  <r>
    <x v="0"/>
    <x v="2"/>
    <x v="2"/>
    <x v="227"/>
    <x v="193"/>
    <x v="193"/>
    <s v="REVENUS"/>
    <x v="3"/>
    <s v="4002.007"/>
    <s v="Acompte impôt sur fortune"/>
    <n v="0"/>
    <n v="10763.45"/>
    <n v="4002"/>
  </r>
  <r>
    <x v="0"/>
    <x v="2"/>
    <x v="2"/>
    <x v="227"/>
    <x v="193"/>
    <x v="193"/>
    <s v="REVENUS"/>
    <x v="6"/>
    <s v="4211.001"/>
    <s v="Intérêts de retard sur factures"/>
    <n v="0"/>
    <n v="13.45"/>
    <n v="4211"/>
  </r>
  <r>
    <x v="0"/>
    <x v="2"/>
    <x v="2"/>
    <x v="227"/>
    <x v="193"/>
    <x v="193"/>
    <s v="REVENUS"/>
    <x v="6"/>
    <s v="4211.001"/>
    <s v="Intérêts de retard sur factures"/>
    <n v="0"/>
    <n v="480.36"/>
    <n v="4211"/>
  </r>
  <r>
    <x v="0"/>
    <x v="2"/>
    <x v="2"/>
    <x v="227"/>
    <x v="193"/>
    <x v="193"/>
    <s v="REVENUS"/>
    <x v="7"/>
    <s v="4184.000"/>
    <s v="Frais de poursuite"/>
    <n v="0"/>
    <n v="2.91"/>
    <n v="4184"/>
  </r>
  <r>
    <x v="0"/>
    <x v="2"/>
    <x v="2"/>
    <x v="227"/>
    <x v="193"/>
    <x v="193"/>
    <s v="REVENUS"/>
    <x v="2"/>
    <s v="4001.001"/>
    <s v="Impôt revenu"/>
    <n v="0"/>
    <n v="3950.35"/>
    <n v="4001"/>
  </r>
  <r>
    <x v="0"/>
    <x v="2"/>
    <x v="2"/>
    <x v="227"/>
    <x v="193"/>
    <x v="193"/>
    <s v="REVENUS"/>
    <x v="3"/>
    <s v="4002.001"/>
    <s v="Impôt ordinaire s/fortune PP"/>
    <n v="0"/>
    <n v="188.25"/>
    <n v="4002"/>
  </r>
  <r>
    <x v="0"/>
    <x v="2"/>
    <x v="2"/>
    <x v="227"/>
    <x v="193"/>
    <x v="193"/>
    <s v="REVENUS"/>
    <x v="6"/>
    <s v="4211.002"/>
    <s v="Intérêts de retard sur acomptes"/>
    <n v="0"/>
    <n v="183.38"/>
    <n v="4211"/>
  </r>
  <r>
    <x v="0"/>
    <x v="2"/>
    <x v="2"/>
    <x v="227"/>
    <x v="193"/>
    <x v="193"/>
    <s v="REVENUS"/>
    <x v="6"/>
    <s v="4221.003"/>
    <s v="Intérêts compensat. / acomptes en faveur du fisc"/>
    <n v="0"/>
    <n v="0.05"/>
    <n v="4221"/>
  </r>
  <r>
    <x v="0"/>
    <x v="2"/>
    <x v="2"/>
    <x v="227"/>
    <x v="193"/>
    <x v="193"/>
    <s v="REVENUS"/>
    <x v="3"/>
    <s v="4002.001"/>
    <s v="Impôt ordinaire s/fortune PP"/>
    <n v="0"/>
    <n v="-4971.3"/>
    <n v="4002"/>
  </r>
  <r>
    <x v="0"/>
    <x v="2"/>
    <x v="2"/>
    <x v="227"/>
    <x v="193"/>
    <x v="193"/>
    <s v="REVENUS"/>
    <x v="6"/>
    <s v="4211.002"/>
    <s v="Intérêts de retard sur acomptes"/>
    <n v="0"/>
    <n v="-0.6"/>
    <n v="4211"/>
  </r>
  <r>
    <x v="0"/>
    <x v="2"/>
    <x v="2"/>
    <x v="227"/>
    <x v="193"/>
    <x v="193"/>
    <s v="REVENUS"/>
    <x v="6"/>
    <s v="4221.003"/>
    <s v="Intérêts compensat. / acomptes en faveur du fisc"/>
    <n v="0"/>
    <n v="-0.06"/>
    <n v="4221"/>
  </r>
  <r>
    <x v="0"/>
    <x v="2"/>
    <x v="2"/>
    <x v="227"/>
    <x v="193"/>
    <x v="193"/>
    <s v="REVENUS"/>
    <x v="4"/>
    <s v="4051.001"/>
    <s v="Impôt sur les successions"/>
    <n v="0"/>
    <n v="134677.1"/>
    <n v="4051"/>
  </r>
  <r>
    <x v="0"/>
    <x v="2"/>
    <x v="2"/>
    <x v="227"/>
    <x v="193"/>
    <x v="193"/>
    <s v="REVENUS"/>
    <x v="9"/>
    <s v="4031.002"/>
    <s v="Complément impôt sur les gains immobiliers"/>
    <n v="0"/>
    <n v="44546.15"/>
    <n v="4031"/>
  </r>
  <r>
    <x v="0"/>
    <x v="2"/>
    <x v="2"/>
    <x v="227"/>
    <x v="193"/>
    <x v="193"/>
    <s v="REVENUS"/>
    <x v="2"/>
    <s v="4001.002"/>
    <s v="Impôt complément s/revenu PP"/>
    <n v="0"/>
    <n v="27.75"/>
    <n v="4001"/>
  </r>
  <r>
    <x v="0"/>
    <x v="2"/>
    <x v="2"/>
    <x v="227"/>
    <x v="193"/>
    <x v="193"/>
    <s v="REVENUS"/>
    <x v="3"/>
    <s v="4002.002"/>
    <s v="Impôt complémentaire s/fortune PP"/>
    <n v="0"/>
    <n v="2.4"/>
    <n v="4002"/>
  </r>
  <r>
    <x v="0"/>
    <x v="2"/>
    <x v="2"/>
    <x v="227"/>
    <x v="193"/>
    <x v="193"/>
    <s v="REVENUS"/>
    <x v="2"/>
    <s v="4001.002"/>
    <s v="Impôt complément s/revenu PP"/>
    <n v="0"/>
    <n v="-4677.3999999999996"/>
    <n v="4001"/>
  </r>
  <r>
    <x v="0"/>
    <x v="2"/>
    <x v="2"/>
    <x v="227"/>
    <x v="193"/>
    <x v="193"/>
    <s v="REVENUS"/>
    <x v="3"/>
    <s v="4002.002"/>
    <s v="Impôt complémentaire s/fortune PP"/>
    <n v="0"/>
    <n v="-4015.4"/>
    <n v="4002"/>
  </r>
  <r>
    <x v="0"/>
    <x v="2"/>
    <x v="2"/>
    <x v="227"/>
    <x v="193"/>
    <x v="193"/>
    <s v="REVENUS"/>
    <x v="6"/>
    <s v="4211.002"/>
    <s v="Intérêts de retard sur acomptes"/>
    <n v="0"/>
    <n v="149.47"/>
    <n v="4211"/>
  </r>
  <r>
    <x v="0"/>
    <x v="2"/>
    <x v="2"/>
    <x v="227"/>
    <x v="193"/>
    <x v="193"/>
    <s v="REVENUS"/>
    <x v="6"/>
    <s v="4221.003"/>
    <s v="Intérêts compensat. / acomptes en faveur du fisc"/>
    <n v="0"/>
    <n v="2.3199999999999998"/>
    <n v="4221"/>
  </r>
  <r>
    <x v="0"/>
    <x v="2"/>
    <x v="2"/>
    <x v="227"/>
    <x v="193"/>
    <x v="193"/>
    <s v="REVENUS"/>
    <x v="8"/>
    <s v="4091.001"/>
    <s v="Impôt récupéré après défalcations"/>
    <n v="0"/>
    <n v="1555.87"/>
    <n v="4091"/>
  </r>
  <r>
    <x v="0"/>
    <x v="2"/>
    <x v="2"/>
    <x v="227"/>
    <x v="193"/>
    <x v="193"/>
    <s v="REVENUS"/>
    <x v="6"/>
    <s v="4211.002"/>
    <s v="Intérêts de retard sur acomptes"/>
    <n v="0"/>
    <n v="35.799999999999997"/>
    <n v="4211"/>
  </r>
  <r>
    <x v="0"/>
    <x v="2"/>
    <x v="2"/>
    <x v="227"/>
    <x v="193"/>
    <x v="193"/>
    <s v="REVENUS"/>
    <x v="6"/>
    <s v="4211.002"/>
    <s v="Intérêts de retard sur acomptes"/>
    <n v="0"/>
    <n v="110.64"/>
    <n v="4211"/>
  </r>
  <r>
    <x v="0"/>
    <x v="2"/>
    <x v="2"/>
    <x v="227"/>
    <x v="193"/>
    <x v="193"/>
    <s v="REVENUS"/>
    <x v="7"/>
    <s v="4184.000"/>
    <s v="Frais de poursuite"/>
    <n v="0"/>
    <n v="0.56000000000000005"/>
    <n v="4184"/>
  </r>
  <r>
    <x v="0"/>
    <x v="2"/>
    <x v="2"/>
    <x v="227"/>
    <x v="193"/>
    <x v="193"/>
    <s v="REVENUS"/>
    <x v="12"/>
    <s v="4004.000"/>
    <s v="Impôt spécial étrangers"/>
    <n v="0"/>
    <n v="583364.94999999995"/>
    <n v="4004"/>
  </r>
  <r>
    <x v="0"/>
    <x v="2"/>
    <x v="2"/>
    <x v="227"/>
    <x v="193"/>
    <x v="193"/>
    <s v="REVENUS"/>
    <x v="6"/>
    <s v="4211.001"/>
    <s v="Intérêts de retard sur factures"/>
    <n v="0"/>
    <n v="118.61"/>
    <n v="4211"/>
  </r>
  <r>
    <x v="0"/>
    <x v="2"/>
    <x v="2"/>
    <x v="227"/>
    <x v="193"/>
    <x v="193"/>
    <s v="REVENUS"/>
    <x v="10"/>
    <s v="4041.002"/>
    <s v="Complément droit de mutation"/>
    <n v="0"/>
    <n v="24420.7"/>
    <n v="4041"/>
  </r>
  <r>
    <x v="0"/>
    <x v="2"/>
    <x v="2"/>
    <x v="227"/>
    <x v="193"/>
    <x v="193"/>
    <s v="REVENUS"/>
    <x v="3"/>
    <s v="4002.001"/>
    <s v="Impôt ordinaire s/fortune PP"/>
    <n v="0"/>
    <n v="10341.9"/>
    <n v="4002"/>
  </r>
  <r>
    <x v="0"/>
    <x v="2"/>
    <x v="2"/>
    <x v="227"/>
    <x v="193"/>
    <x v="193"/>
    <s v="REVENUS"/>
    <x v="2"/>
    <s v="4001.001"/>
    <s v="Impôt revenu"/>
    <n v="0"/>
    <n v="-11006.85"/>
    <n v="4001"/>
  </r>
  <r>
    <x v="0"/>
    <x v="2"/>
    <x v="2"/>
    <x v="227"/>
    <x v="193"/>
    <x v="193"/>
    <s v="REVENUS"/>
    <x v="6"/>
    <s v="4221.003"/>
    <s v="Intérêts compensat. / acomptes en faveur du fisc"/>
    <n v="0"/>
    <n v="-4.41"/>
    <n v="4221"/>
  </r>
  <r>
    <x v="0"/>
    <x v="2"/>
    <x v="2"/>
    <x v="227"/>
    <x v="193"/>
    <x v="193"/>
    <s v="REVENUS"/>
    <x v="2"/>
    <s v="4001.002"/>
    <s v="Impôt complément s/revenu PP"/>
    <n v="0"/>
    <n v="12612"/>
    <n v="4001"/>
  </r>
  <r>
    <x v="0"/>
    <x v="2"/>
    <x v="2"/>
    <x v="227"/>
    <x v="193"/>
    <x v="193"/>
    <s v="REVENUS"/>
    <x v="3"/>
    <s v="4002.001"/>
    <s v="Impôt ordinaire s/fortune PP"/>
    <n v="0"/>
    <n v="-4746.25"/>
    <n v="4002"/>
  </r>
  <r>
    <x v="0"/>
    <x v="2"/>
    <x v="2"/>
    <x v="227"/>
    <x v="193"/>
    <x v="193"/>
    <s v="REVENUS"/>
    <x v="2"/>
    <s v="4001.002"/>
    <s v="Impôt complément s/revenu PP"/>
    <n v="0"/>
    <n v="-357.1"/>
    <n v="4001"/>
  </r>
  <r>
    <x v="0"/>
    <x v="2"/>
    <x v="2"/>
    <x v="227"/>
    <x v="193"/>
    <x v="193"/>
    <s v="REVENUS"/>
    <x v="3"/>
    <s v="4002.002"/>
    <s v="Impôt complémentaire s/fortune PP"/>
    <n v="0"/>
    <n v="-475.05"/>
    <n v="4002"/>
  </r>
  <r>
    <x v="0"/>
    <x v="2"/>
    <x v="2"/>
    <x v="227"/>
    <x v="193"/>
    <x v="193"/>
    <s v="REVENUS"/>
    <x v="6"/>
    <s v="4211.001"/>
    <s v="Intérêts de retard sur factures"/>
    <n v="0"/>
    <n v="-3.04"/>
    <n v="4211"/>
  </r>
  <r>
    <x v="0"/>
    <x v="2"/>
    <x v="2"/>
    <x v="227"/>
    <x v="193"/>
    <x v="193"/>
    <s v="REVENUS"/>
    <x v="2"/>
    <s v="4001.002"/>
    <s v="Impôt complément s/revenu PP"/>
    <n v="0"/>
    <n v="2342"/>
    <n v="4001"/>
  </r>
  <r>
    <x v="0"/>
    <x v="2"/>
    <x v="2"/>
    <x v="227"/>
    <x v="193"/>
    <x v="193"/>
    <s v="REVENUS"/>
    <x v="3"/>
    <s v="4002.002"/>
    <s v="Impôt complémentaire s/fortune PP"/>
    <n v="0"/>
    <n v="387.05"/>
    <n v="4002"/>
  </r>
  <r>
    <x v="0"/>
    <x v="2"/>
    <x v="2"/>
    <x v="227"/>
    <x v="193"/>
    <x v="193"/>
    <s v="REVENUS"/>
    <x v="7"/>
    <s v="4184.000"/>
    <s v="Frais de poursuite"/>
    <n v="0"/>
    <n v="0"/>
    <n v="4184"/>
  </r>
  <r>
    <x v="0"/>
    <x v="2"/>
    <x v="2"/>
    <x v="227"/>
    <x v="193"/>
    <x v="193"/>
    <s v="REVENUS"/>
    <x v="6"/>
    <s v="4211.002"/>
    <s v="Intérêts de retard sur acomptes"/>
    <n v="0"/>
    <n v="-0.01"/>
    <n v="4211"/>
  </r>
  <r>
    <x v="0"/>
    <x v="2"/>
    <x v="2"/>
    <x v="227"/>
    <x v="193"/>
    <x v="193"/>
    <s v="REVENUS"/>
    <x v="6"/>
    <s v="4211.001"/>
    <s v="Intérêts de retard sur factures"/>
    <n v="0"/>
    <n v="0"/>
    <n v="4211"/>
  </r>
  <r>
    <x v="0"/>
    <x v="2"/>
    <x v="2"/>
    <x v="228"/>
    <x v="194"/>
    <x v="194"/>
    <s v="CHARGES"/>
    <x v="1"/>
    <s v="3301.001"/>
    <s v="Défalcations, abandons de solde PP et IS"/>
    <n v="654.04999999999995"/>
    <n v="0"/>
    <n v="3301"/>
  </r>
  <r>
    <x v="0"/>
    <x v="2"/>
    <x v="2"/>
    <x v="228"/>
    <x v="194"/>
    <x v="194"/>
    <s v="CHARGES"/>
    <x v="0"/>
    <s v="3212.004"/>
    <s v="Intérêts rémun./perçu trop tôt sur acomptes C/C"/>
    <n v="117.82"/>
    <n v="0"/>
    <n v="3212"/>
  </r>
  <r>
    <x v="0"/>
    <x v="2"/>
    <x v="2"/>
    <x v="228"/>
    <x v="194"/>
    <x v="194"/>
    <s v="CHARGES"/>
    <x v="0"/>
    <s v="3221.002"/>
    <s v="Intérêts compensatoires / créances en faveur ctb."/>
    <n v="50.36"/>
    <n v="0"/>
    <n v="3221"/>
  </r>
  <r>
    <x v="0"/>
    <x v="2"/>
    <x v="2"/>
    <x v="228"/>
    <x v="194"/>
    <x v="194"/>
    <s v="CHARGES"/>
    <x v="0"/>
    <s v="3212.002"/>
    <s v="Intérêts bonifiés/trop perçu acompte C/C"/>
    <n v="5.08"/>
    <n v="0"/>
    <n v="3212"/>
  </r>
  <r>
    <x v="0"/>
    <x v="2"/>
    <x v="2"/>
    <x v="228"/>
    <x v="194"/>
    <x v="194"/>
    <s v="CHARGES"/>
    <x v="1"/>
    <s v="3301.001"/>
    <s v="Défalcations, abandons de solde PP et IS"/>
    <n v="0.16"/>
    <n v="0"/>
    <n v="3301"/>
  </r>
  <r>
    <x v="0"/>
    <x v="2"/>
    <x v="2"/>
    <x v="228"/>
    <x v="194"/>
    <x v="194"/>
    <s v="CHARGES"/>
    <x v="0"/>
    <s v="3212.004"/>
    <s v="Intérêts rémun./perçu trop tôt sur acomptes C/C"/>
    <n v="0.19"/>
    <n v="0"/>
    <n v="3212"/>
  </r>
  <r>
    <x v="0"/>
    <x v="2"/>
    <x v="2"/>
    <x v="228"/>
    <x v="194"/>
    <x v="194"/>
    <s v="CHARGES"/>
    <x v="0"/>
    <s v="3221.002"/>
    <s v="Intérêts compensatoires / créances en faveur ctb."/>
    <n v="0.06"/>
    <n v="0"/>
    <n v="3221"/>
  </r>
  <r>
    <x v="0"/>
    <x v="2"/>
    <x v="2"/>
    <x v="228"/>
    <x v="194"/>
    <x v="194"/>
    <s v="CHARGES"/>
    <x v="0"/>
    <s v="3212.004"/>
    <s v="Intérêts rémun./perçu trop tôt sur acomptes C/C"/>
    <n v="0.41"/>
    <n v="0"/>
    <n v="3212"/>
  </r>
  <r>
    <x v="0"/>
    <x v="2"/>
    <x v="2"/>
    <x v="228"/>
    <x v="194"/>
    <x v="194"/>
    <s v="CHARGES"/>
    <x v="0"/>
    <s v="3221.002"/>
    <s v="Intérêts compensatoires / créances en faveur ctb."/>
    <n v="0.23"/>
    <n v="0"/>
    <n v="3221"/>
  </r>
  <r>
    <x v="0"/>
    <x v="2"/>
    <x v="2"/>
    <x v="228"/>
    <x v="194"/>
    <x v="194"/>
    <s v="CHARGES"/>
    <x v="1"/>
    <s v="3301.001"/>
    <s v="Défalcations, abandons de solde PP et IS"/>
    <n v="0.09"/>
    <n v="0"/>
    <n v="3301"/>
  </r>
  <r>
    <x v="0"/>
    <x v="2"/>
    <x v="2"/>
    <x v="228"/>
    <x v="194"/>
    <x v="194"/>
    <s v="REVENUS"/>
    <x v="2"/>
    <s v="4001.001"/>
    <s v="Impôt revenu"/>
    <n v="0"/>
    <n v="909686.75"/>
    <n v="4001"/>
  </r>
  <r>
    <x v="0"/>
    <x v="2"/>
    <x v="2"/>
    <x v="228"/>
    <x v="194"/>
    <x v="194"/>
    <s v="REVENUS"/>
    <x v="2"/>
    <s v="4001.002"/>
    <s v="Impôt complément s/revenu PP"/>
    <n v="0"/>
    <n v="153769.29999999999"/>
    <n v="4001"/>
  </r>
  <r>
    <x v="0"/>
    <x v="2"/>
    <x v="2"/>
    <x v="228"/>
    <x v="194"/>
    <x v="194"/>
    <s v="REVENUS"/>
    <x v="2"/>
    <s v="4001.007"/>
    <s v="Acompte impôt sur revenu"/>
    <n v="0"/>
    <n v="11766.97"/>
    <n v="4001"/>
  </r>
  <r>
    <x v="0"/>
    <x v="2"/>
    <x v="2"/>
    <x v="228"/>
    <x v="194"/>
    <x v="194"/>
    <s v="REVENUS"/>
    <x v="3"/>
    <s v="4002.001"/>
    <s v="Impôt ordinaire s/fortune PP"/>
    <n v="0"/>
    <n v="121511.35"/>
    <n v="4002"/>
  </r>
  <r>
    <x v="0"/>
    <x v="2"/>
    <x v="2"/>
    <x v="228"/>
    <x v="194"/>
    <x v="194"/>
    <s v="REVENUS"/>
    <x v="3"/>
    <s v="4002.002"/>
    <s v="Impôt complémentaire s/fortune PP"/>
    <n v="0"/>
    <n v="46416.800000000003"/>
    <n v="4002"/>
  </r>
  <r>
    <x v="0"/>
    <x v="2"/>
    <x v="2"/>
    <x v="228"/>
    <x v="194"/>
    <x v="194"/>
    <s v="REVENUS"/>
    <x v="10"/>
    <s v="4041.001"/>
    <s v="Droits de mutation"/>
    <n v="0"/>
    <n v="8894.9"/>
    <n v="4041"/>
  </r>
  <r>
    <x v="0"/>
    <x v="2"/>
    <x v="2"/>
    <x v="228"/>
    <x v="194"/>
    <x v="194"/>
    <s v="REVENUS"/>
    <x v="6"/>
    <s v="4211.001"/>
    <s v="Intérêts de retard sur factures"/>
    <n v="0"/>
    <n v="669.99"/>
    <n v="4211"/>
  </r>
  <r>
    <x v="0"/>
    <x v="2"/>
    <x v="2"/>
    <x v="228"/>
    <x v="194"/>
    <x v="194"/>
    <s v="REVENUS"/>
    <x v="6"/>
    <s v="4211.002"/>
    <s v="Intérêts de retard sur acomptes"/>
    <n v="0"/>
    <n v="2134.27"/>
    <n v="4211"/>
  </r>
  <r>
    <x v="0"/>
    <x v="2"/>
    <x v="2"/>
    <x v="228"/>
    <x v="194"/>
    <x v="194"/>
    <s v="REVENUS"/>
    <x v="3"/>
    <s v="4002.007"/>
    <s v="Acompte impôt sur fortune"/>
    <n v="0"/>
    <n v="13561.58"/>
    <n v="4002"/>
  </r>
  <r>
    <x v="0"/>
    <x v="2"/>
    <x v="2"/>
    <x v="228"/>
    <x v="194"/>
    <x v="194"/>
    <s v="REVENUS"/>
    <x v="11"/>
    <s v="4198.000"/>
    <s v="Contributions communales"/>
    <n v="0"/>
    <n v="75547.850000000006"/>
    <n v="4198"/>
  </r>
  <r>
    <x v="0"/>
    <x v="2"/>
    <x v="2"/>
    <x v="228"/>
    <x v="194"/>
    <x v="194"/>
    <s v="REVENUS"/>
    <x v="6"/>
    <s v="4221.003"/>
    <s v="Intérêts compensat. / acomptes en faveur du fisc"/>
    <n v="0"/>
    <n v="70.400000000000006"/>
    <n v="4221"/>
  </r>
  <r>
    <x v="0"/>
    <x v="2"/>
    <x v="2"/>
    <x v="228"/>
    <x v="194"/>
    <x v="194"/>
    <s v="REVENUS"/>
    <x v="7"/>
    <s v="4184.000"/>
    <s v="Frais de poursuite"/>
    <n v="0"/>
    <n v="131.22999999999999"/>
    <n v="4184"/>
  </r>
  <r>
    <x v="0"/>
    <x v="2"/>
    <x v="2"/>
    <x v="228"/>
    <x v="194"/>
    <x v="194"/>
    <s v="REVENUS"/>
    <x v="3"/>
    <s v="4002.007"/>
    <s v="Acompte impôt sur fortune"/>
    <n v="0"/>
    <n v="-101.6"/>
    <n v="4002"/>
  </r>
  <r>
    <x v="0"/>
    <x v="2"/>
    <x v="2"/>
    <x v="228"/>
    <x v="194"/>
    <x v="194"/>
    <s v="REVENUS"/>
    <x v="2"/>
    <s v="4001.007"/>
    <s v="Acompte impôt sur revenu"/>
    <n v="0"/>
    <n v="-31.3"/>
    <n v="4001"/>
  </r>
  <r>
    <x v="0"/>
    <x v="2"/>
    <x v="2"/>
    <x v="228"/>
    <x v="194"/>
    <x v="194"/>
    <s v="REVENUS"/>
    <x v="2"/>
    <s v="4001.007"/>
    <s v="Acompte impôt sur revenu"/>
    <n v="0"/>
    <n v="59.95"/>
    <n v="4001"/>
  </r>
  <r>
    <x v="0"/>
    <x v="2"/>
    <x v="2"/>
    <x v="228"/>
    <x v="194"/>
    <x v="194"/>
    <s v="REVENUS"/>
    <x v="3"/>
    <s v="4002.007"/>
    <s v="Acompte impôt sur fortune"/>
    <n v="0"/>
    <n v="38.97"/>
    <n v="4002"/>
  </r>
  <r>
    <x v="0"/>
    <x v="2"/>
    <x v="2"/>
    <x v="228"/>
    <x v="194"/>
    <x v="194"/>
    <s v="REVENUS"/>
    <x v="2"/>
    <s v="4001.007"/>
    <s v="Acompte impôt sur revenu"/>
    <n v="0"/>
    <n v="0"/>
    <n v="4001"/>
  </r>
  <r>
    <x v="0"/>
    <x v="2"/>
    <x v="2"/>
    <x v="228"/>
    <x v="194"/>
    <x v="194"/>
    <s v="REVENUS"/>
    <x v="2"/>
    <s v="4001.001"/>
    <s v="Impôt revenu"/>
    <n v="0"/>
    <n v="670.3"/>
    <n v="4001"/>
  </r>
  <r>
    <x v="0"/>
    <x v="2"/>
    <x v="2"/>
    <x v="228"/>
    <x v="194"/>
    <x v="194"/>
    <s v="REVENUS"/>
    <x v="6"/>
    <s v="4221.003"/>
    <s v="Intérêts compensat. / acomptes en faveur du fisc"/>
    <n v="0"/>
    <n v="0.16"/>
    <n v="4221"/>
  </r>
  <r>
    <x v="0"/>
    <x v="2"/>
    <x v="2"/>
    <x v="228"/>
    <x v="194"/>
    <x v="194"/>
    <s v="REVENUS"/>
    <x v="6"/>
    <s v="4211.002"/>
    <s v="Intérêts de retard sur acomptes"/>
    <n v="0"/>
    <n v="29.58"/>
    <n v="4211"/>
  </r>
  <r>
    <x v="0"/>
    <x v="2"/>
    <x v="2"/>
    <x v="228"/>
    <x v="194"/>
    <x v="194"/>
    <s v="REVENUS"/>
    <x v="3"/>
    <s v="4002.007"/>
    <s v="Acompte impôt sur fortune"/>
    <n v="0"/>
    <n v="0"/>
    <n v="4002"/>
  </r>
  <r>
    <x v="0"/>
    <x v="2"/>
    <x v="2"/>
    <x v="228"/>
    <x v="194"/>
    <x v="194"/>
    <s v="REVENUS"/>
    <x v="2"/>
    <s v="4001.001"/>
    <s v="Impôt revenu"/>
    <n v="0"/>
    <n v="266.95"/>
    <n v="4001"/>
  </r>
  <r>
    <x v="0"/>
    <x v="2"/>
    <x v="2"/>
    <x v="228"/>
    <x v="194"/>
    <x v="194"/>
    <s v="REVENUS"/>
    <x v="3"/>
    <s v="4002.001"/>
    <s v="Impôt ordinaire s/fortune PP"/>
    <n v="0"/>
    <n v="92.85"/>
    <n v="4002"/>
  </r>
  <r>
    <x v="0"/>
    <x v="2"/>
    <x v="2"/>
    <x v="228"/>
    <x v="194"/>
    <x v="194"/>
    <s v="REVENUS"/>
    <x v="2"/>
    <s v="4001.003"/>
    <s v="Impôt s/prest. cap. PP"/>
    <n v="0"/>
    <n v="309529.25"/>
    <n v="4001"/>
  </r>
  <r>
    <x v="0"/>
    <x v="2"/>
    <x v="2"/>
    <x v="228"/>
    <x v="194"/>
    <x v="194"/>
    <s v="REVENUS"/>
    <x v="6"/>
    <s v="4221.002"/>
    <s v="Intérêts compensat. sur impôts distincts"/>
    <n v="0"/>
    <n v="6.82"/>
    <n v="4221"/>
  </r>
  <r>
    <x v="0"/>
    <x v="2"/>
    <x v="2"/>
    <x v="228"/>
    <x v="194"/>
    <x v="194"/>
    <s v="REVENUS"/>
    <x v="2"/>
    <s v="4001.001"/>
    <s v="Impôt revenu"/>
    <n v="0"/>
    <n v="485.9"/>
    <n v="4001"/>
  </r>
  <r>
    <x v="0"/>
    <x v="2"/>
    <x v="2"/>
    <x v="228"/>
    <x v="194"/>
    <x v="194"/>
    <s v="REVENUS"/>
    <x v="3"/>
    <s v="4002.001"/>
    <s v="Impôt ordinaire s/fortune PP"/>
    <n v="0"/>
    <n v="200"/>
    <n v="4002"/>
  </r>
  <r>
    <x v="0"/>
    <x v="2"/>
    <x v="2"/>
    <x v="228"/>
    <x v="194"/>
    <x v="194"/>
    <s v="REVENUS"/>
    <x v="6"/>
    <s v="4221.003"/>
    <s v="Intérêts compensat. / acomptes en faveur du fisc"/>
    <n v="0"/>
    <n v="0.09"/>
    <n v="4221"/>
  </r>
  <r>
    <x v="0"/>
    <x v="2"/>
    <x v="2"/>
    <x v="228"/>
    <x v="194"/>
    <x v="194"/>
    <s v="REVENUS"/>
    <x v="9"/>
    <s v="4031.001"/>
    <s v="Impôt sur les gains immobiliers"/>
    <n v="0"/>
    <n v="4608.2"/>
    <n v="4031"/>
  </r>
  <r>
    <x v="0"/>
    <x v="2"/>
    <x v="2"/>
    <x v="228"/>
    <x v="194"/>
    <x v="194"/>
    <s v="REVENUS"/>
    <x v="2"/>
    <s v="4001.007"/>
    <s v="Acompte impôt sur revenu"/>
    <n v="0"/>
    <n v="-334.3"/>
    <n v="4001"/>
  </r>
  <r>
    <x v="0"/>
    <x v="2"/>
    <x v="2"/>
    <x v="228"/>
    <x v="194"/>
    <x v="194"/>
    <s v="REVENUS"/>
    <x v="3"/>
    <s v="4002.007"/>
    <s v="Acompte impôt sur fortune"/>
    <n v="0"/>
    <n v="-40.9"/>
    <n v="4002"/>
  </r>
  <r>
    <x v="0"/>
    <x v="2"/>
    <x v="2"/>
    <x v="228"/>
    <x v="194"/>
    <x v="194"/>
    <s v="REVENUS"/>
    <x v="3"/>
    <s v="4002.001"/>
    <s v="Impôt ordinaire s/fortune PP"/>
    <n v="0"/>
    <n v="131.6"/>
    <n v="4002"/>
  </r>
  <r>
    <x v="0"/>
    <x v="2"/>
    <x v="2"/>
    <x v="228"/>
    <x v="194"/>
    <x v="194"/>
    <s v="REVENUS"/>
    <x v="5"/>
    <s v="4061.000"/>
    <s v="Impôt sur les chiens"/>
    <n v="0"/>
    <n v="1650"/>
    <n v="4061"/>
  </r>
  <r>
    <x v="0"/>
    <x v="2"/>
    <x v="2"/>
    <x v="228"/>
    <x v="194"/>
    <x v="194"/>
    <s v="REVENUS"/>
    <x v="6"/>
    <s v="4211.002"/>
    <s v="Intérêts de retard sur acomptes"/>
    <n v="0"/>
    <n v="0.19"/>
    <n v="4211"/>
  </r>
  <r>
    <x v="0"/>
    <x v="2"/>
    <x v="2"/>
    <x v="229"/>
    <x v="195"/>
    <x v="195"/>
    <s v="CHARGES"/>
    <x v="1"/>
    <s v="3301.001"/>
    <s v="Défalcations, abandons de solde PP et IS"/>
    <n v="1.33"/>
    <n v="0"/>
    <n v="3301"/>
  </r>
  <r>
    <x v="0"/>
    <x v="2"/>
    <x v="2"/>
    <x v="229"/>
    <x v="195"/>
    <x v="195"/>
    <s v="CHARGES"/>
    <x v="0"/>
    <s v="3212.004"/>
    <s v="Intérêts rémun./perçu trop tôt sur acomptes C/C"/>
    <n v="2240.71"/>
    <n v="0"/>
    <n v="3212"/>
  </r>
  <r>
    <x v="0"/>
    <x v="2"/>
    <x v="2"/>
    <x v="229"/>
    <x v="195"/>
    <x v="195"/>
    <s v="CHARGES"/>
    <x v="0"/>
    <s v="3221.002"/>
    <s v="Intérêts compensatoires / créances en faveur ctb."/>
    <n v="511.37"/>
    <n v="0"/>
    <n v="3221"/>
  </r>
  <r>
    <x v="0"/>
    <x v="2"/>
    <x v="2"/>
    <x v="229"/>
    <x v="195"/>
    <x v="195"/>
    <s v="CHARGES"/>
    <x v="1"/>
    <s v="3301.001"/>
    <s v="Défalcations, abandons de solde PP et IS"/>
    <n v="30141.84"/>
    <n v="0"/>
    <n v="3301"/>
  </r>
  <r>
    <x v="0"/>
    <x v="2"/>
    <x v="2"/>
    <x v="229"/>
    <x v="195"/>
    <x v="195"/>
    <s v="CHARGES"/>
    <x v="0"/>
    <s v="3212.002"/>
    <s v="Intérêts bonifiés/trop perçu acompte C/C"/>
    <n v="907.16"/>
    <n v="0"/>
    <n v="3212"/>
  </r>
  <r>
    <x v="0"/>
    <x v="2"/>
    <x v="2"/>
    <x v="229"/>
    <x v="195"/>
    <x v="195"/>
    <s v="CHARGES"/>
    <x v="0"/>
    <s v="3212.004"/>
    <s v="Intérêts rémun./perçu trop tôt sur acomptes C/C"/>
    <n v="0.35"/>
    <n v="0"/>
    <n v="3212"/>
  </r>
  <r>
    <x v="0"/>
    <x v="2"/>
    <x v="2"/>
    <x v="229"/>
    <x v="195"/>
    <x v="195"/>
    <s v="CHARGES"/>
    <x v="0"/>
    <s v="3212.004"/>
    <s v="Intérêts rémun./perçu trop tôt sur acomptes C/C"/>
    <n v="3.51"/>
    <n v="0"/>
    <n v="3212"/>
  </r>
  <r>
    <x v="0"/>
    <x v="2"/>
    <x v="2"/>
    <x v="229"/>
    <x v="195"/>
    <x v="195"/>
    <s v="CHARGES"/>
    <x v="0"/>
    <s v="3221.002"/>
    <s v="Intérêts compensatoires / créances en faveur ctb."/>
    <n v="1.66"/>
    <n v="0"/>
    <n v="3221"/>
  </r>
  <r>
    <x v="0"/>
    <x v="2"/>
    <x v="2"/>
    <x v="229"/>
    <x v="195"/>
    <x v="195"/>
    <s v="CHARGES"/>
    <x v="0"/>
    <s v="3212.004"/>
    <s v="Intérêts rémun./perçu trop tôt sur acomptes C/C"/>
    <n v="5.44"/>
    <n v="0"/>
    <n v="3212"/>
  </r>
  <r>
    <x v="0"/>
    <x v="2"/>
    <x v="2"/>
    <x v="229"/>
    <x v="195"/>
    <x v="195"/>
    <s v="CHARGES"/>
    <x v="1"/>
    <s v="3301.001"/>
    <s v="Défalcations, abandons de solde PP et IS"/>
    <n v="29377.279999999999"/>
    <n v="0"/>
    <n v="3301"/>
  </r>
  <r>
    <x v="0"/>
    <x v="2"/>
    <x v="2"/>
    <x v="229"/>
    <x v="195"/>
    <x v="195"/>
    <s v="CHARGES"/>
    <x v="0"/>
    <s v="3212.002"/>
    <s v="Intérêts bonifiés/trop perçu acompte C/C"/>
    <n v="11.85"/>
    <n v="0"/>
    <n v="3212"/>
  </r>
  <r>
    <x v="0"/>
    <x v="2"/>
    <x v="2"/>
    <x v="229"/>
    <x v="195"/>
    <x v="195"/>
    <s v="CHARGES"/>
    <x v="0"/>
    <s v="3212.004"/>
    <s v="Intérêts rémun./perçu trop tôt sur acomptes C/C"/>
    <n v="0.36"/>
    <n v="0"/>
    <n v="3212"/>
  </r>
  <r>
    <x v="0"/>
    <x v="2"/>
    <x v="2"/>
    <x v="229"/>
    <x v="195"/>
    <x v="195"/>
    <s v="CHARGES"/>
    <x v="1"/>
    <s v="3301.001"/>
    <s v="Défalcations, abandons de solde PP et IS"/>
    <n v="0.54"/>
    <n v="0"/>
    <n v="3301"/>
  </r>
  <r>
    <x v="0"/>
    <x v="2"/>
    <x v="2"/>
    <x v="229"/>
    <x v="195"/>
    <x v="195"/>
    <s v="CHARGES"/>
    <x v="0"/>
    <s v="3221.002"/>
    <s v="Intérêts compensatoires / créances en faveur ctb."/>
    <n v="0.02"/>
    <n v="0"/>
    <n v="3221"/>
  </r>
  <r>
    <x v="0"/>
    <x v="2"/>
    <x v="2"/>
    <x v="229"/>
    <x v="195"/>
    <x v="195"/>
    <s v="CHARGES"/>
    <x v="1"/>
    <s v="3301.001"/>
    <s v="Défalcations, abandons de solde PP et IS"/>
    <n v="0.08"/>
    <n v="0"/>
    <n v="3301"/>
  </r>
  <r>
    <x v="0"/>
    <x v="2"/>
    <x v="2"/>
    <x v="229"/>
    <x v="195"/>
    <x v="195"/>
    <s v="REVENUS"/>
    <x v="2"/>
    <s v="4001.001"/>
    <s v="Impôt revenu"/>
    <n v="0"/>
    <n v="7476.1"/>
    <n v="4001"/>
  </r>
  <r>
    <x v="0"/>
    <x v="2"/>
    <x v="2"/>
    <x v="229"/>
    <x v="195"/>
    <x v="195"/>
    <s v="REVENUS"/>
    <x v="2"/>
    <s v="4001.007"/>
    <s v="Acompte impôt sur revenu"/>
    <n v="0"/>
    <n v="-6311.08"/>
    <n v="4001"/>
  </r>
  <r>
    <x v="0"/>
    <x v="2"/>
    <x v="2"/>
    <x v="229"/>
    <x v="195"/>
    <x v="195"/>
    <s v="REVENUS"/>
    <x v="3"/>
    <s v="4002.001"/>
    <s v="Impôt ordinaire s/fortune PP"/>
    <n v="0"/>
    <n v="5083.6499999999996"/>
    <n v="4002"/>
  </r>
  <r>
    <x v="0"/>
    <x v="2"/>
    <x v="2"/>
    <x v="229"/>
    <x v="195"/>
    <x v="195"/>
    <s v="REVENUS"/>
    <x v="3"/>
    <s v="4002.007"/>
    <s v="Acompte impôt sur fortune"/>
    <n v="0"/>
    <n v="-1123.6099999999999"/>
    <n v="4002"/>
  </r>
  <r>
    <x v="0"/>
    <x v="2"/>
    <x v="2"/>
    <x v="229"/>
    <x v="195"/>
    <x v="195"/>
    <s v="REVENUS"/>
    <x v="6"/>
    <s v="4221.003"/>
    <s v="Intérêts compensat. / acomptes en faveur du fisc"/>
    <n v="0"/>
    <n v="0.36"/>
    <n v="4221"/>
  </r>
  <r>
    <x v="0"/>
    <x v="2"/>
    <x v="2"/>
    <x v="229"/>
    <x v="195"/>
    <x v="195"/>
    <s v="REVENUS"/>
    <x v="2"/>
    <s v="4001.001"/>
    <s v="Impôt revenu"/>
    <n v="0"/>
    <n v="6183253.0999999996"/>
    <n v="4001"/>
  </r>
  <r>
    <x v="0"/>
    <x v="2"/>
    <x v="2"/>
    <x v="229"/>
    <x v="195"/>
    <x v="195"/>
    <s v="REVENUS"/>
    <x v="2"/>
    <s v="4001.007"/>
    <s v="Acompte impôt sur revenu"/>
    <n v="0"/>
    <n v="-18226378.170000002"/>
    <n v="4001"/>
  </r>
  <r>
    <x v="0"/>
    <x v="2"/>
    <x v="2"/>
    <x v="229"/>
    <x v="195"/>
    <x v="195"/>
    <s v="REVENUS"/>
    <x v="3"/>
    <s v="4002.001"/>
    <s v="Impôt ordinaire s/fortune PP"/>
    <n v="0"/>
    <n v="1271093.1499999999"/>
    <n v="4002"/>
  </r>
  <r>
    <x v="0"/>
    <x v="2"/>
    <x v="2"/>
    <x v="229"/>
    <x v="195"/>
    <x v="195"/>
    <s v="REVENUS"/>
    <x v="3"/>
    <s v="4002.007"/>
    <s v="Acompte impôt sur fortune"/>
    <n v="0"/>
    <n v="-4720119.24"/>
    <n v="4002"/>
  </r>
  <r>
    <x v="0"/>
    <x v="2"/>
    <x v="2"/>
    <x v="229"/>
    <x v="195"/>
    <x v="195"/>
    <s v="REVENUS"/>
    <x v="11"/>
    <s v="4198.000"/>
    <s v="Contributions communales"/>
    <n v="0"/>
    <n v="734911"/>
    <n v="4198"/>
  </r>
  <r>
    <x v="0"/>
    <x v="2"/>
    <x v="2"/>
    <x v="229"/>
    <x v="195"/>
    <x v="195"/>
    <s v="REVENUS"/>
    <x v="6"/>
    <s v="4211.001"/>
    <s v="Intérêts de retard sur factures"/>
    <n v="0"/>
    <n v="29087.41"/>
    <n v="4211"/>
  </r>
  <r>
    <x v="0"/>
    <x v="2"/>
    <x v="2"/>
    <x v="229"/>
    <x v="195"/>
    <x v="195"/>
    <s v="REVENUS"/>
    <x v="6"/>
    <s v="4211.002"/>
    <s v="Intérêts de retard sur acomptes"/>
    <n v="0"/>
    <n v="38236.42"/>
    <n v="4211"/>
  </r>
  <r>
    <x v="0"/>
    <x v="2"/>
    <x v="2"/>
    <x v="229"/>
    <x v="195"/>
    <x v="195"/>
    <s v="REVENUS"/>
    <x v="6"/>
    <s v="4221.003"/>
    <s v="Intérêts compensat. / acomptes en faveur du fisc"/>
    <n v="0"/>
    <n v="956.06"/>
    <n v="4221"/>
  </r>
  <r>
    <x v="0"/>
    <x v="2"/>
    <x v="2"/>
    <x v="229"/>
    <x v="195"/>
    <x v="195"/>
    <s v="REVENUS"/>
    <x v="2"/>
    <s v="4001.002"/>
    <s v="Impôt complément s/revenu PP"/>
    <n v="0"/>
    <n v="19187105.399999999"/>
    <n v="4001"/>
  </r>
  <r>
    <x v="0"/>
    <x v="2"/>
    <x v="2"/>
    <x v="229"/>
    <x v="195"/>
    <x v="195"/>
    <s v="REVENUS"/>
    <x v="3"/>
    <s v="4002.002"/>
    <s v="Impôt complémentaire s/fortune PP"/>
    <n v="0"/>
    <n v="4929707.05"/>
    <n v="4002"/>
  </r>
  <r>
    <x v="0"/>
    <x v="2"/>
    <x v="2"/>
    <x v="229"/>
    <x v="195"/>
    <x v="195"/>
    <s v="REVENUS"/>
    <x v="2"/>
    <s v="4001.003"/>
    <s v="Impôt s/prest. cap. PP"/>
    <n v="0"/>
    <n v="174056.3"/>
    <n v="4001"/>
  </r>
  <r>
    <x v="0"/>
    <x v="2"/>
    <x v="2"/>
    <x v="229"/>
    <x v="195"/>
    <x v="195"/>
    <s v="REVENUS"/>
    <x v="7"/>
    <s v="4184.000"/>
    <s v="Frais de poursuite"/>
    <n v="0"/>
    <n v="2634.06"/>
    <n v="4184"/>
  </r>
  <r>
    <x v="0"/>
    <x v="2"/>
    <x v="2"/>
    <x v="229"/>
    <x v="195"/>
    <x v="195"/>
    <s v="REVENUS"/>
    <x v="2"/>
    <s v="4001.007"/>
    <s v="Acompte impôt sur revenu"/>
    <n v="0"/>
    <n v="-5182.75"/>
    <n v="4001"/>
  </r>
  <r>
    <x v="0"/>
    <x v="2"/>
    <x v="2"/>
    <x v="229"/>
    <x v="195"/>
    <x v="195"/>
    <s v="REVENUS"/>
    <x v="3"/>
    <s v="4002.007"/>
    <s v="Acompte impôt sur fortune"/>
    <n v="0"/>
    <n v="-1320.65"/>
    <n v="4002"/>
  </r>
  <r>
    <x v="0"/>
    <x v="2"/>
    <x v="2"/>
    <x v="229"/>
    <x v="195"/>
    <x v="195"/>
    <s v="REVENUS"/>
    <x v="3"/>
    <s v="4002.001"/>
    <s v="Impôt ordinaire s/fortune PP"/>
    <n v="0"/>
    <n v="3024.75"/>
    <n v="4002"/>
  </r>
  <r>
    <x v="0"/>
    <x v="2"/>
    <x v="2"/>
    <x v="229"/>
    <x v="195"/>
    <x v="195"/>
    <s v="REVENUS"/>
    <x v="3"/>
    <s v="4002.007"/>
    <s v="Acompte impôt sur fortune"/>
    <n v="0"/>
    <n v="-155.4"/>
    <n v="4002"/>
  </r>
  <r>
    <x v="0"/>
    <x v="2"/>
    <x v="2"/>
    <x v="229"/>
    <x v="195"/>
    <x v="195"/>
    <s v="REVENUS"/>
    <x v="2"/>
    <s v="4001.001"/>
    <s v="Impôt revenu"/>
    <n v="0"/>
    <n v="763.95"/>
    <n v="4001"/>
  </r>
  <r>
    <x v="0"/>
    <x v="2"/>
    <x v="2"/>
    <x v="229"/>
    <x v="195"/>
    <x v="195"/>
    <s v="REVENUS"/>
    <x v="2"/>
    <s v="4001.007"/>
    <s v="Acompte impôt sur revenu"/>
    <n v="0"/>
    <n v="-632"/>
    <n v="4001"/>
  </r>
  <r>
    <x v="0"/>
    <x v="2"/>
    <x v="2"/>
    <x v="229"/>
    <x v="195"/>
    <x v="195"/>
    <s v="REVENUS"/>
    <x v="3"/>
    <s v="4002.001"/>
    <s v="Impôt ordinaire s/fortune PP"/>
    <n v="0"/>
    <n v="2305.15"/>
    <n v="4002"/>
  </r>
  <r>
    <x v="0"/>
    <x v="2"/>
    <x v="2"/>
    <x v="229"/>
    <x v="195"/>
    <x v="195"/>
    <s v="REVENUS"/>
    <x v="3"/>
    <s v="4002.007"/>
    <s v="Acompte impôt sur fortune"/>
    <n v="0"/>
    <n v="50.3"/>
    <n v="4002"/>
  </r>
  <r>
    <x v="0"/>
    <x v="2"/>
    <x v="2"/>
    <x v="229"/>
    <x v="195"/>
    <x v="195"/>
    <s v="REVENUS"/>
    <x v="10"/>
    <s v="4041.001"/>
    <s v="Droits de mutation"/>
    <n v="0"/>
    <n v="579425.19999999995"/>
    <n v="4041"/>
  </r>
  <r>
    <x v="0"/>
    <x v="2"/>
    <x v="2"/>
    <x v="229"/>
    <x v="195"/>
    <x v="195"/>
    <s v="REVENUS"/>
    <x v="2"/>
    <s v="4001.007"/>
    <s v="Acompte impôt sur revenu"/>
    <n v="0"/>
    <n v="-2612.35"/>
    <n v="4001"/>
  </r>
  <r>
    <x v="0"/>
    <x v="2"/>
    <x v="2"/>
    <x v="229"/>
    <x v="195"/>
    <x v="195"/>
    <s v="REVENUS"/>
    <x v="12"/>
    <s v="4004.000"/>
    <s v="Impôt spécial étrangers"/>
    <n v="0"/>
    <n v="742200.05"/>
    <n v="4004"/>
  </r>
  <r>
    <x v="0"/>
    <x v="2"/>
    <x v="2"/>
    <x v="229"/>
    <x v="195"/>
    <x v="195"/>
    <s v="REVENUS"/>
    <x v="12"/>
    <s v="4004.007"/>
    <s v="Acompte spécial étrangers"/>
    <n v="0"/>
    <n v="-269254.58"/>
    <n v="4004"/>
  </r>
  <r>
    <x v="0"/>
    <x v="2"/>
    <x v="2"/>
    <x v="229"/>
    <x v="195"/>
    <x v="195"/>
    <s v="REVENUS"/>
    <x v="2"/>
    <s v="4001.007"/>
    <s v="Acompte impôt sur revenu"/>
    <n v="0"/>
    <n v="232.7"/>
    <n v="4001"/>
  </r>
  <r>
    <x v="0"/>
    <x v="2"/>
    <x v="2"/>
    <x v="229"/>
    <x v="195"/>
    <x v="195"/>
    <s v="REVENUS"/>
    <x v="3"/>
    <s v="4002.007"/>
    <s v="Acompte impôt sur fortune"/>
    <n v="0"/>
    <n v="-1500.4"/>
    <n v="4002"/>
  </r>
  <r>
    <x v="0"/>
    <x v="2"/>
    <x v="2"/>
    <x v="229"/>
    <x v="195"/>
    <x v="195"/>
    <s v="REVENUS"/>
    <x v="2"/>
    <s v="4001.001"/>
    <s v="Impôt revenu"/>
    <n v="0"/>
    <n v="7725.3"/>
    <n v="4001"/>
  </r>
  <r>
    <x v="0"/>
    <x v="2"/>
    <x v="2"/>
    <x v="229"/>
    <x v="195"/>
    <x v="195"/>
    <s v="REVENUS"/>
    <x v="6"/>
    <s v="4211.002"/>
    <s v="Intérêts de retard sur acomptes"/>
    <n v="0"/>
    <n v="0.14000000000000001"/>
    <n v="4211"/>
  </r>
  <r>
    <x v="0"/>
    <x v="2"/>
    <x v="2"/>
    <x v="229"/>
    <x v="195"/>
    <x v="195"/>
    <s v="REVENUS"/>
    <x v="5"/>
    <s v="4061.000"/>
    <s v="Impôt sur les chiens"/>
    <n v="0"/>
    <n v="8100"/>
    <n v="4061"/>
  </r>
  <r>
    <x v="0"/>
    <x v="2"/>
    <x v="2"/>
    <x v="229"/>
    <x v="195"/>
    <x v="195"/>
    <s v="REVENUS"/>
    <x v="6"/>
    <s v="4221.002"/>
    <s v="Intérêts compensat. sur impôts distincts"/>
    <n v="0"/>
    <n v="302.3"/>
    <n v="4221"/>
  </r>
  <r>
    <x v="0"/>
    <x v="2"/>
    <x v="2"/>
    <x v="229"/>
    <x v="195"/>
    <x v="195"/>
    <s v="REVENUS"/>
    <x v="9"/>
    <s v="4031.001"/>
    <s v="Impôt sur les gains immobiliers"/>
    <n v="0"/>
    <n v="448780.75"/>
    <n v="4031"/>
  </r>
  <r>
    <x v="0"/>
    <x v="2"/>
    <x v="2"/>
    <x v="229"/>
    <x v="195"/>
    <x v="195"/>
    <s v="REVENUS"/>
    <x v="2"/>
    <s v="4001.001"/>
    <s v="Impôt revenu"/>
    <n v="0"/>
    <n v="5208.55"/>
    <n v="4001"/>
  </r>
  <r>
    <x v="0"/>
    <x v="2"/>
    <x v="2"/>
    <x v="229"/>
    <x v="195"/>
    <x v="195"/>
    <s v="REVENUS"/>
    <x v="3"/>
    <s v="4002.001"/>
    <s v="Impôt ordinaire s/fortune PP"/>
    <n v="0"/>
    <n v="1421.45"/>
    <n v="4002"/>
  </r>
  <r>
    <x v="0"/>
    <x v="2"/>
    <x v="2"/>
    <x v="229"/>
    <x v="195"/>
    <x v="195"/>
    <s v="REVENUS"/>
    <x v="6"/>
    <s v="4211.001"/>
    <s v="Intérêts de retard sur factures"/>
    <n v="0"/>
    <n v="0.54"/>
    <n v="4211"/>
  </r>
  <r>
    <x v="0"/>
    <x v="2"/>
    <x v="2"/>
    <x v="229"/>
    <x v="195"/>
    <x v="195"/>
    <s v="REVENUS"/>
    <x v="6"/>
    <s v="4211.002"/>
    <s v="Intérêts de retard sur acomptes"/>
    <n v="0"/>
    <n v="294.58999999999997"/>
    <n v="4211"/>
  </r>
  <r>
    <x v="0"/>
    <x v="2"/>
    <x v="2"/>
    <x v="229"/>
    <x v="195"/>
    <x v="195"/>
    <s v="REVENUS"/>
    <x v="6"/>
    <s v="4221.003"/>
    <s v="Intérêts compensat. / acomptes en faveur du fisc"/>
    <n v="0"/>
    <n v="0.08"/>
    <n v="4221"/>
  </r>
  <r>
    <x v="0"/>
    <x v="2"/>
    <x v="2"/>
    <x v="229"/>
    <x v="195"/>
    <x v="195"/>
    <s v="REVENUS"/>
    <x v="8"/>
    <s v="4091.001"/>
    <s v="Impôt récupéré après défalcations"/>
    <n v="0"/>
    <n v="29262.59"/>
    <n v="4091"/>
  </r>
  <r>
    <x v="0"/>
    <x v="2"/>
    <x v="2"/>
    <x v="229"/>
    <x v="195"/>
    <x v="195"/>
    <s v="REVENUS"/>
    <x v="4"/>
    <s v="4051.001"/>
    <s v="Impôt sur les successions"/>
    <n v="0"/>
    <n v="157066.20000000001"/>
    <n v="4051"/>
  </r>
  <r>
    <x v="0"/>
    <x v="2"/>
    <x v="2"/>
    <x v="229"/>
    <x v="195"/>
    <x v="195"/>
    <s v="REVENUS"/>
    <x v="6"/>
    <s v="4211.001"/>
    <s v="Intérêts de retard sur factures"/>
    <n v="0"/>
    <n v="17.71"/>
    <n v="4211"/>
  </r>
  <r>
    <x v="0"/>
    <x v="2"/>
    <x v="2"/>
    <x v="229"/>
    <x v="195"/>
    <x v="195"/>
    <s v="REVENUS"/>
    <x v="6"/>
    <s v="4211.002"/>
    <s v="Intérêts de retard sur acomptes"/>
    <n v="0"/>
    <n v="4.8600000000000003"/>
    <n v="4211"/>
  </r>
  <r>
    <x v="0"/>
    <x v="2"/>
    <x v="2"/>
    <x v="229"/>
    <x v="195"/>
    <x v="195"/>
    <s v="REVENUS"/>
    <x v="4"/>
    <s v="4051.002"/>
    <s v="Impôt sur les donations"/>
    <n v="0"/>
    <n v="6633"/>
    <n v="4051"/>
  </r>
  <r>
    <x v="0"/>
    <x v="2"/>
    <x v="2"/>
    <x v="229"/>
    <x v="195"/>
    <x v="195"/>
    <s v="REVENUS"/>
    <x v="2"/>
    <s v="4001.002"/>
    <s v="Impôt complément s/revenu PP"/>
    <n v="0"/>
    <n v="108.75"/>
    <n v="4001"/>
  </r>
  <r>
    <x v="0"/>
    <x v="2"/>
    <x v="2"/>
    <x v="229"/>
    <x v="195"/>
    <x v="195"/>
    <s v="REVENUS"/>
    <x v="3"/>
    <s v="4002.002"/>
    <s v="Impôt complémentaire s/fortune PP"/>
    <n v="0"/>
    <n v="61.1"/>
    <n v="4002"/>
  </r>
  <r>
    <x v="0"/>
    <x v="2"/>
    <x v="2"/>
    <x v="229"/>
    <x v="195"/>
    <x v="195"/>
    <s v="REVENUS"/>
    <x v="7"/>
    <s v="4184.000"/>
    <s v="Frais de poursuite"/>
    <n v="0"/>
    <n v="23.43"/>
    <n v="4184"/>
  </r>
  <r>
    <x v="0"/>
    <x v="2"/>
    <x v="2"/>
    <x v="230"/>
    <x v="196"/>
    <x v="196"/>
    <s v="CHARGES"/>
    <x v="1"/>
    <s v="3301.001"/>
    <s v="Défalcations, abandons de solde PP et IS"/>
    <n v="0.87"/>
    <n v="0"/>
    <n v="3301"/>
  </r>
  <r>
    <x v="0"/>
    <x v="2"/>
    <x v="2"/>
    <x v="230"/>
    <x v="196"/>
    <x v="196"/>
    <s v="CHARGES"/>
    <x v="1"/>
    <s v="3301.001"/>
    <s v="Défalcations, abandons de solde PP et IS"/>
    <n v="0.93"/>
    <n v="0"/>
    <n v="3301"/>
  </r>
  <r>
    <x v="0"/>
    <x v="2"/>
    <x v="2"/>
    <x v="230"/>
    <x v="196"/>
    <x v="196"/>
    <s v="CHARGES"/>
    <x v="1"/>
    <s v="3301.001"/>
    <s v="Défalcations, abandons de solde PP et IS"/>
    <n v="1468.3"/>
    <n v="0"/>
    <n v="3301"/>
  </r>
  <r>
    <x v="0"/>
    <x v="2"/>
    <x v="2"/>
    <x v="230"/>
    <x v="196"/>
    <x v="196"/>
    <s v="CHARGES"/>
    <x v="0"/>
    <s v="3212.002"/>
    <s v="Intérêts bonifiés/trop perçu acompte C/C"/>
    <n v="810.63"/>
    <n v="0"/>
    <n v="3212"/>
  </r>
  <r>
    <x v="0"/>
    <x v="2"/>
    <x v="2"/>
    <x v="230"/>
    <x v="196"/>
    <x v="196"/>
    <s v="CHARGES"/>
    <x v="0"/>
    <s v="3212.004"/>
    <s v="Intérêts rémun./perçu trop tôt sur acomptes C/C"/>
    <n v="14567.98"/>
    <n v="0"/>
    <n v="3212"/>
  </r>
  <r>
    <x v="0"/>
    <x v="2"/>
    <x v="2"/>
    <x v="230"/>
    <x v="196"/>
    <x v="196"/>
    <s v="CHARGES"/>
    <x v="0"/>
    <s v="3221.002"/>
    <s v="Intérêts compensatoires / créances en faveur ctb."/>
    <n v="5216.45"/>
    <n v="0"/>
    <n v="3221"/>
  </r>
  <r>
    <x v="0"/>
    <x v="2"/>
    <x v="2"/>
    <x v="230"/>
    <x v="196"/>
    <x v="196"/>
    <s v="CHARGES"/>
    <x v="1"/>
    <s v="3301.001"/>
    <s v="Défalcations, abandons de solde PP et IS"/>
    <n v="641450.42000000004"/>
    <n v="0"/>
    <n v="3301"/>
  </r>
  <r>
    <x v="0"/>
    <x v="2"/>
    <x v="2"/>
    <x v="230"/>
    <x v="196"/>
    <x v="196"/>
    <s v="CHARGES"/>
    <x v="1"/>
    <s v="3301.001"/>
    <s v="Défalcations, abandons de solde PP et IS"/>
    <n v="69982.63"/>
    <n v="0"/>
    <n v="3301"/>
  </r>
  <r>
    <x v="0"/>
    <x v="2"/>
    <x v="2"/>
    <x v="230"/>
    <x v="196"/>
    <x v="196"/>
    <s v="CHARGES"/>
    <x v="0"/>
    <s v="3212.004"/>
    <s v="Intérêts rémun./perçu trop tôt sur acomptes C/C"/>
    <n v="14.49"/>
    <n v="0"/>
    <n v="3212"/>
  </r>
  <r>
    <x v="0"/>
    <x v="2"/>
    <x v="2"/>
    <x v="230"/>
    <x v="196"/>
    <x v="196"/>
    <s v="CHARGES"/>
    <x v="0"/>
    <s v="3221.002"/>
    <s v="Intérêts compensatoires / créances en faveur ctb."/>
    <n v="3.13"/>
    <n v="0"/>
    <n v="3221"/>
  </r>
  <r>
    <x v="0"/>
    <x v="2"/>
    <x v="2"/>
    <x v="230"/>
    <x v="196"/>
    <x v="196"/>
    <s v="CHARGES"/>
    <x v="0"/>
    <s v="3212.004"/>
    <s v="Intérêts rémun./perçu trop tôt sur acomptes C/C"/>
    <n v="134.75"/>
    <n v="0"/>
    <n v="3212"/>
  </r>
  <r>
    <x v="0"/>
    <x v="2"/>
    <x v="2"/>
    <x v="230"/>
    <x v="196"/>
    <x v="196"/>
    <s v="CHARGES"/>
    <x v="0"/>
    <s v="3212.004"/>
    <s v="Intérêts rémun./perçu trop tôt sur acomptes C/C"/>
    <n v="3.21"/>
    <n v="0"/>
    <n v="3212"/>
  </r>
  <r>
    <x v="0"/>
    <x v="2"/>
    <x v="2"/>
    <x v="230"/>
    <x v="196"/>
    <x v="196"/>
    <s v="CHARGES"/>
    <x v="0"/>
    <s v="3221.002"/>
    <s v="Intérêts compensatoires / créances en faveur ctb."/>
    <n v="0.43"/>
    <n v="0"/>
    <n v="3221"/>
  </r>
  <r>
    <x v="0"/>
    <x v="2"/>
    <x v="2"/>
    <x v="230"/>
    <x v="196"/>
    <x v="196"/>
    <s v="CHARGES"/>
    <x v="0"/>
    <s v="3221.002"/>
    <s v="Intérêts compensatoires / créances en faveur ctb."/>
    <n v="21.71"/>
    <n v="0"/>
    <n v="3221"/>
  </r>
  <r>
    <x v="0"/>
    <x v="2"/>
    <x v="2"/>
    <x v="230"/>
    <x v="196"/>
    <x v="196"/>
    <s v="CHARGES"/>
    <x v="0"/>
    <s v="3212.002"/>
    <s v="Intérêts bonifiés/trop perçu acompte C/C"/>
    <n v="0.42"/>
    <n v="0"/>
    <n v="3212"/>
  </r>
  <r>
    <x v="0"/>
    <x v="2"/>
    <x v="2"/>
    <x v="230"/>
    <x v="196"/>
    <x v="196"/>
    <s v="CHARGES"/>
    <x v="0"/>
    <s v="3212.004"/>
    <s v="Intérêts rémun./perçu trop tôt sur acomptes C/C"/>
    <n v="10.98"/>
    <n v="0"/>
    <n v="3212"/>
  </r>
  <r>
    <x v="0"/>
    <x v="2"/>
    <x v="2"/>
    <x v="230"/>
    <x v="196"/>
    <x v="196"/>
    <s v="CHARGES"/>
    <x v="0"/>
    <s v="3221.002"/>
    <s v="Intérêts compensatoires / créances en faveur ctb."/>
    <n v="2.54"/>
    <n v="0"/>
    <n v="3221"/>
  </r>
  <r>
    <x v="0"/>
    <x v="2"/>
    <x v="2"/>
    <x v="230"/>
    <x v="196"/>
    <x v="196"/>
    <s v="CHARGES"/>
    <x v="1"/>
    <s v="3301.001"/>
    <s v="Défalcations, abandons de solde PP et IS"/>
    <n v="3916.9"/>
    <n v="0"/>
    <n v="3301"/>
  </r>
  <r>
    <x v="0"/>
    <x v="2"/>
    <x v="2"/>
    <x v="230"/>
    <x v="196"/>
    <x v="196"/>
    <s v="CHARGES"/>
    <x v="0"/>
    <s v="3212.004"/>
    <s v="Intérêts rémun./perçu trop tôt sur acomptes C/C"/>
    <n v="0.99"/>
    <n v="0"/>
    <n v="3212"/>
  </r>
  <r>
    <x v="0"/>
    <x v="2"/>
    <x v="2"/>
    <x v="230"/>
    <x v="196"/>
    <x v="196"/>
    <s v="CHARGES"/>
    <x v="0"/>
    <s v="3221.002"/>
    <s v="Intérêts compensatoires / créances en faveur ctb."/>
    <n v="1.79"/>
    <n v="0"/>
    <n v="3221"/>
  </r>
  <r>
    <x v="0"/>
    <x v="2"/>
    <x v="2"/>
    <x v="230"/>
    <x v="196"/>
    <x v="196"/>
    <s v="CHARGES"/>
    <x v="0"/>
    <s v="3212.004"/>
    <s v="Intérêts rémun./perçu trop tôt sur acomptes C/C"/>
    <n v="8.85"/>
    <n v="0"/>
    <n v="3212"/>
  </r>
  <r>
    <x v="0"/>
    <x v="2"/>
    <x v="2"/>
    <x v="230"/>
    <x v="196"/>
    <x v="196"/>
    <s v="CHARGES"/>
    <x v="0"/>
    <s v="3221.002"/>
    <s v="Intérêts compensatoires / créances en faveur ctb."/>
    <n v="11.22"/>
    <n v="0"/>
    <n v="3221"/>
  </r>
  <r>
    <x v="0"/>
    <x v="2"/>
    <x v="2"/>
    <x v="230"/>
    <x v="196"/>
    <x v="196"/>
    <s v="CHARGES"/>
    <x v="1"/>
    <s v="3301.003"/>
    <s v="Remises PP et IS"/>
    <n v="14745.92"/>
    <n v="0"/>
    <n v="3301"/>
  </r>
  <r>
    <x v="0"/>
    <x v="2"/>
    <x v="2"/>
    <x v="230"/>
    <x v="196"/>
    <x v="196"/>
    <s v="CHARGES"/>
    <x v="0"/>
    <s v="3212.004"/>
    <s v="Intérêts rémun./perçu trop tôt sur acomptes C/C"/>
    <n v="11.42"/>
    <n v="0"/>
    <n v="3212"/>
  </r>
  <r>
    <x v="0"/>
    <x v="2"/>
    <x v="2"/>
    <x v="230"/>
    <x v="196"/>
    <x v="196"/>
    <s v="CHARGES"/>
    <x v="0"/>
    <s v="3212.002"/>
    <s v="Intérêts bonifiés/trop perçu acompte C/C"/>
    <n v="18.059999999999999"/>
    <n v="0"/>
    <n v="3212"/>
  </r>
  <r>
    <x v="0"/>
    <x v="2"/>
    <x v="2"/>
    <x v="230"/>
    <x v="196"/>
    <x v="196"/>
    <s v="CHARGES"/>
    <x v="0"/>
    <s v="3212.002"/>
    <s v="Intérêts bonifiés/trop perçu acompte C/C"/>
    <n v="787.64"/>
    <n v="0"/>
    <n v="3212"/>
  </r>
  <r>
    <x v="0"/>
    <x v="2"/>
    <x v="2"/>
    <x v="230"/>
    <x v="196"/>
    <x v="196"/>
    <s v="CHARGES"/>
    <x v="0"/>
    <s v="3221.002"/>
    <s v="Intérêts compensatoires / créances en faveur ctb."/>
    <n v="1.31"/>
    <n v="0"/>
    <n v="3221"/>
  </r>
  <r>
    <x v="0"/>
    <x v="2"/>
    <x v="2"/>
    <x v="230"/>
    <x v="196"/>
    <x v="196"/>
    <s v="CHARGES"/>
    <x v="0"/>
    <s v="3212.004"/>
    <s v="Intérêts rémun./perçu trop tôt sur acomptes C/C"/>
    <n v="-10.199999999999999"/>
    <n v="0"/>
    <n v="3212"/>
  </r>
  <r>
    <x v="0"/>
    <x v="2"/>
    <x v="2"/>
    <x v="230"/>
    <x v="196"/>
    <x v="196"/>
    <s v="CHARGES"/>
    <x v="0"/>
    <s v="3221.002"/>
    <s v="Intérêts compensatoires / créances en faveur ctb."/>
    <n v="-0.12"/>
    <n v="0"/>
    <n v="3221"/>
  </r>
  <r>
    <x v="0"/>
    <x v="2"/>
    <x v="2"/>
    <x v="230"/>
    <x v="196"/>
    <x v="196"/>
    <s v="CHARGES"/>
    <x v="1"/>
    <s v="3301.001"/>
    <s v="Défalcations, abandons de solde PP et IS"/>
    <n v="468.03"/>
    <n v="0"/>
    <n v="3301"/>
  </r>
  <r>
    <x v="0"/>
    <x v="2"/>
    <x v="2"/>
    <x v="230"/>
    <x v="196"/>
    <x v="196"/>
    <s v="CHARGES"/>
    <x v="1"/>
    <s v="3301.001"/>
    <s v="Défalcations, abandons de solde PP et IS"/>
    <n v="-0.16"/>
    <n v="0"/>
    <n v="3301"/>
  </r>
  <r>
    <x v="0"/>
    <x v="2"/>
    <x v="2"/>
    <x v="230"/>
    <x v="196"/>
    <x v="196"/>
    <s v="CHARGES"/>
    <x v="0"/>
    <s v="3212.002"/>
    <s v="Intérêts bonifiés/trop perçu acompte C/C"/>
    <n v="1.1599999999999999"/>
    <n v="0"/>
    <n v="3212"/>
  </r>
  <r>
    <x v="0"/>
    <x v="2"/>
    <x v="2"/>
    <x v="230"/>
    <x v="196"/>
    <x v="196"/>
    <s v="CHARGES"/>
    <x v="0"/>
    <s v="3212.002"/>
    <s v="Intérêts bonifiés/trop perçu acompte C/C"/>
    <n v="-0.56000000000000005"/>
    <n v="0"/>
    <n v="3212"/>
  </r>
  <r>
    <x v="0"/>
    <x v="2"/>
    <x v="2"/>
    <x v="230"/>
    <x v="196"/>
    <x v="196"/>
    <s v="CHARGES"/>
    <x v="1"/>
    <s v="3301.001"/>
    <s v="Défalcations, abandons de solde PP et IS"/>
    <n v="0.28000000000000003"/>
    <n v="0"/>
    <n v="3301"/>
  </r>
  <r>
    <x v="0"/>
    <x v="2"/>
    <x v="2"/>
    <x v="230"/>
    <x v="196"/>
    <x v="196"/>
    <s v="CHARGES"/>
    <x v="0"/>
    <s v="3212.004"/>
    <s v="Intérêts rémun./perçu trop tôt sur acomptes C/C"/>
    <n v="0.12"/>
    <n v="0"/>
    <n v="3212"/>
  </r>
  <r>
    <x v="0"/>
    <x v="2"/>
    <x v="2"/>
    <x v="230"/>
    <x v="196"/>
    <x v="196"/>
    <s v="REVENUS"/>
    <x v="8"/>
    <s v="4091.001"/>
    <s v="Impôt récupéré après défalcations"/>
    <n v="0"/>
    <n v="108219.25"/>
    <n v="4091"/>
  </r>
  <r>
    <x v="0"/>
    <x v="2"/>
    <x v="2"/>
    <x v="230"/>
    <x v="196"/>
    <x v="196"/>
    <s v="REVENUS"/>
    <x v="2"/>
    <s v="4001.007"/>
    <s v="Acompte impôt sur revenu"/>
    <n v="0"/>
    <n v="3490125.01"/>
    <n v="4001"/>
  </r>
  <r>
    <x v="0"/>
    <x v="2"/>
    <x v="2"/>
    <x v="230"/>
    <x v="196"/>
    <x v="196"/>
    <s v="REVENUS"/>
    <x v="3"/>
    <s v="4002.007"/>
    <s v="Acompte impôt sur fortune"/>
    <n v="0"/>
    <n v="1804888.42"/>
    <n v="4002"/>
  </r>
  <r>
    <x v="0"/>
    <x v="2"/>
    <x v="2"/>
    <x v="230"/>
    <x v="196"/>
    <x v="196"/>
    <s v="REVENUS"/>
    <x v="2"/>
    <s v="4001.007"/>
    <s v="Acompte impôt sur revenu"/>
    <n v="0"/>
    <n v="-15484.11"/>
    <n v="4001"/>
  </r>
  <r>
    <x v="0"/>
    <x v="2"/>
    <x v="2"/>
    <x v="230"/>
    <x v="196"/>
    <x v="196"/>
    <s v="REVENUS"/>
    <x v="3"/>
    <s v="4002.007"/>
    <s v="Acompte impôt sur fortune"/>
    <n v="0"/>
    <n v="-3054.3"/>
    <n v="4002"/>
  </r>
  <r>
    <x v="0"/>
    <x v="2"/>
    <x v="2"/>
    <x v="230"/>
    <x v="196"/>
    <x v="196"/>
    <s v="REVENUS"/>
    <x v="6"/>
    <s v="4211.001"/>
    <s v="Intérêts de retard sur factures"/>
    <n v="0"/>
    <n v="0.42"/>
    <n v="4211"/>
  </r>
  <r>
    <x v="0"/>
    <x v="2"/>
    <x v="2"/>
    <x v="230"/>
    <x v="196"/>
    <x v="196"/>
    <s v="REVENUS"/>
    <x v="2"/>
    <s v="4001.001"/>
    <s v="Impôt revenu"/>
    <n v="0"/>
    <n v="33100.699999999997"/>
    <n v="4001"/>
  </r>
  <r>
    <x v="0"/>
    <x v="2"/>
    <x v="2"/>
    <x v="230"/>
    <x v="196"/>
    <x v="196"/>
    <s v="REVENUS"/>
    <x v="3"/>
    <s v="4002.001"/>
    <s v="Impôt ordinaire s/fortune PP"/>
    <n v="0"/>
    <n v="8778.65"/>
    <n v="4002"/>
  </r>
  <r>
    <x v="0"/>
    <x v="2"/>
    <x v="2"/>
    <x v="230"/>
    <x v="196"/>
    <x v="196"/>
    <s v="REVENUS"/>
    <x v="6"/>
    <s v="4211.002"/>
    <s v="Intérêts de retard sur acomptes"/>
    <n v="0"/>
    <n v="5.29"/>
    <n v="4211"/>
  </r>
  <r>
    <x v="0"/>
    <x v="2"/>
    <x v="2"/>
    <x v="230"/>
    <x v="196"/>
    <x v="196"/>
    <s v="REVENUS"/>
    <x v="6"/>
    <s v="4221.003"/>
    <s v="Intérêts compensat. / acomptes en faveur du fisc"/>
    <n v="0"/>
    <n v="16.16"/>
    <n v="4221"/>
  </r>
  <r>
    <x v="0"/>
    <x v="2"/>
    <x v="2"/>
    <x v="230"/>
    <x v="196"/>
    <x v="196"/>
    <s v="REVENUS"/>
    <x v="2"/>
    <s v="4001.001"/>
    <s v="Impôt revenu"/>
    <n v="0"/>
    <n v="228794.3"/>
    <n v="4001"/>
  </r>
  <r>
    <x v="0"/>
    <x v="2"/>
    <x v="2"/>
    <x v="230"/>
    <x v="196"/>
    <x v="196"/>
    <s v="REVENUS"/>
    <x v="3"/>
    <s v="4002.001"/>
    <s v="Impôt ordinaire s/fortune PP"/>
    <n v="0"/>
    <n v="58953.7"/>
    <n v="4002"/>
  </r>
  <r>
    <x v="0"/>
    <x v="2"/>
    <x v="2"/>
    <x v="230"/>
    <x v="196"/>
    <x v="196"/>
    <s v="REVENUS"/>
    <x v="6"/>
    <s v="4211.002"/>
    <s v="Intérêts de retard sur acomptes"/>
    <n v="0"/>
    <n v="4194.2299999999996"/>
    <n v="4211"/>
  </r>
  <r>
    <x v="0"/>
    <x v="2"/>
    <x v="2"/>
    <x v="230"/>
    <x v="196"/>
    <x v="196"/>
    <s v="REVENUS"/>
    <x v="6"/>
    <s v="4221.003"/>
    <s v="Intérêts compensat. / acomptes en faveur du fisc"/>
    <n v="0"/>
    <n v="18.25"/>
    <n v="4221"/>
  </r>
  <r>
    <x v="0"/>
    <x v="2"/>
    <x v="2"/>
    <x v="230"/>
    <x v="196"/>
    <x v="196"/>
    <s v="REVENUS"/>
    <x v="2"/>
    <s v="4001.001"/>
    <s v="Impôt revenu"/>
    <n v="0"/>
    <n v="40177190.549999997"/>
    <n v="4001"/>
  </r>
  <r>
    <x v="0"/>
    <x v="2"/>
    <x v="2"/>
    <x v="230"/>
    <x v="196"/>
    <x v="196"/>
    <s v="REVENUS"/>
    <x v="2"/>
    <s v="4001.002"/>
    <s v="Impôt complément s/revenu PP"/>
    <n v="0"/>
    <n v="11665159.6"/>
    <n v="4001"/>
  </r>
  <r>
    <x v="0"/>
    <x v="2"/>
    <x v="2"/>
    <x v="230"/>
    <x v="196"/>
    <x v="196"/>
    <s v="REVENUS"/>
    <x v="3"/>
    <s v="4002.001"/>
    <s v="Impôt ordinaire s/fortune PP"/>
    <n v="0"/>
    <n v="6407616.7000000002"/>
    <n v="4002"/>
  </r>
  <r>
    <x v="0"/>
    <x v="2"/>
    <x v="2"/>
    <x v="230"/>
    <x v="196"/>
    <x v="196"/>
    <s v="REVENUS"/>
    <x v="3"/>
    <s v="4002.002"/>
    <s v="Impôt complémentaire s/fortune PP"/>
    <n v="0"/>
    <n v="2155997.4"/>
    <n v="4002"/>
  </r>
  <r>
    <x v="0"/>
    <x v="2"/>
    <x v="2"/>
    <x v="230"/>
    <x v="196"/>
    <x v="196"/>
    <s v="REVENUS"/>
    <x v="10"/>
    <s v="4041.001"/>
    <s v="Droits de mutation"/>
    <n v="0"/>
    <n v="2383635.9500000002"/>
    <n v="4041"/>
  </r>
  <r>
    <x v="0"/>
    <x v="2"/>
    <x v="2"/>
    <x v="230"/>
    <x v="196"/>
    <x v="196"/>
    <s v="REVENUS"/>
    <x v="6"/>
    <s v="4211.001"/>
    <s v="Intérêts de retard sur factures"/>
    <n v="0"/>
    <n v="215048.17"/>
    <n v="4211"/>
  </r>
  <r>
    <x v="0"/>
    <x v="2"/>
    <x v="2"/>
    <x v="230"/>
    <x v="196"/>
    <x v="196"/>
    <s v="REVENUS"/>
    <x v="6"/>
    <s v="4211.002"/>
    <s v="Intérêts de retard sur acomptes"/>
    <n v="0"/>
    <n v="267380.87"/>
    <n v="4211"/>
  </r>
  <r>
    <x v="0"/>
    <x v="2"/>
    <x v="2"/>
    <x v="230"/>
    <x v="196"/>
    <x v="196"/>
    <s v="REVENUS"/>
    <x v="6"/>
    <s v="4221.003"/>
    <s v="Intérêts compensat. / acomptes en faveur du fisc"/>
    <n v="0"/>
    <n v="6044.52"/>
    <n v="4221"/>
  </r>
  <r>
    <x v="0"/>
    <x v="2"/>
    <x v="2"/>
    <x v="230"/>
    <x v="196"/>
    <x v="196"/>
    <s v="REVENUS"/>
    <x v="2"/>
    <s v="4001.007"/>
    <s v="Acompte impôt sur revenu"/>
    <n v="0"/>
    <n v="-180139.64"/>
    <n v="4001"/>
  </r>
  <r>
    <x v="0"/>
    <x v="2"/>
    <x v="2"/>
    <x v="230"/>
    <x v="196"/>
    <x v="196"/>
    <s v="REVENUS"/>
    <x v="3"/>
    <s v="4002.007"/>
    <s v="Acompte impôt sur fortune"/>
    <n v="0"/>
    <n v="-62099.11"/>
    <n v="4002"/>
  </r>
  <r>
    <x v="0"/>
    <x v="2"/>
    <x v="2"/>
    <x v="230"/>
    <x v="196"/>
    <x v="196"/>
    <s v="REVENUS"/>
    <x v="12"/>
    <s v="4004.007"/>
    <s v="Acompte spécial étrangers"/>
    <n v="0"/>
    <n v="214820.29"/>
    <n v="4004"/>
  </r>
  <r>
    <x v="0"/>
    <x v="2"/>
    <x v="2"/>
    <x v="230"/>
    <x v="196"/>
    <x v="196"/>
    <s v="REVENUS"/>
    <x v="7"/>
    <s v="4184.000"/>
    <s v="Frais de poursuite"/>
    <n v="0"/>
    <n v="42005.32"/>
    <n v="4184"/>
  </r>
  <r>
    <x v="0"/>
    <x v="2"/>
    <x v="2"/>
    <x v="230"/>
    <x v="196"/>
    <x v="196"/>
    <s v="REVENUS"/>
    <x v="7"/>
    <s v="4184.000"/>
    <s v="Frais de poursuite"/>
    <n v="0"/>
    <n v="4170.63"/>
    <n v="4184"/>
  </r>
  <r>
    <x v="0"/>
    <x v="2"/>
    <x v="2"/>
    <x v="230"/>
    <x v="196"/>
    <x v="196"/>
    <s v="REVENUS"/>
    <x v="9"/>
    <s v="4031.001"/>
    <s v="Impôt sur les gains immobiliers"/>
    <n v="0"/>
    <n v="2328568.75"/>
    <n v="4031"/>
  </r>
  <r>
    <x v="0"/>
    <x v="2"/>
    <x v="2"/>
    <x v="230"/>
    <x v="196"/>
    <x v="196"/>
    <s v="REVENUS"/>
    <x v="4"/>
    <s v="4051.001"/>
    <s v="Impôt sur les successions"/>
    <n v="0"/>
    <n v="2539667.9"/>
    <n v="4051"/>
  </r>
  <r>
    <x v="0"/>
    <x v="2"/>
    <x v="2"/>
    <x v="230"/>
    <x v="196"/>
    <x v="196"/>
    <s v="REVENUS"/>
    <x v="2"/>
    <s v="4001.007"/>
    <s v="Acompte impôt sur revenu"/>
    <n v="0"/>
    <n v="-48334.23"/>
    <n v="4001"/>
  </r>
  <r>
    <x v="0"/>
    <x v="2"/>
    <x v="2"/>
    <x v="230"/>
    <x v="196"/>
    <x v="196"/>
    <s v="REVENUS"/>
    <x v="2"/>
    <s v="4001.001"/>
    <s v="Impôt revenu"/>
    <n v="0"/>
    <n v="53347.25"/>
    <n v="4001"/>
  </r>
  <r>
    <x v="0"/>
    <x v="2"/>
    <x v="2"/>
    <x v="230"/>
    <x v="196"/>
    <x v="196"/>
    <s v="REVENUS"/>
    <x v="2"/>
    <s v="4001.002"/>
    <s v="Impôt complément s/revenu PP"/>
    <n v="0"/>
    <n v="6848.05"/>
    <n v="4001"/>
  </r>
  <r>
    <x v="0"/>
    <x v="2"/>
    <x v="2"/>
    <x v="230"/>
    <x v="196"/>
    <x v="196"/>
    <s v="REVENUS"/>
    <x v="3"/>
    <s v="4002.001"/>
    <s v="Impôt ordinaire s/fortune PP"/>
    <n v="0"/>
    <n v="19633.25"/>
    <n v="4002"/>
  </r>
  <r>
    <x v="0"/>
    <x v="2"/>
    <x v="2"/>
    <x v="230"/>
    <x v="196"/>
    <x v="196"/>
    <s v="REVENUS"/>
    <x v="3"/>
    <s v="4002.002"/>
    <s v="Impôt complémentaire s/fortune PP"/>
    <n v="0"/>
    <n v="3210.95"/>
    <n v="4002"/>
  </r>
  <r>
    <x v="0"/>
    <x v="2"/>
    <x v="2"/>
    <x v="230"/>
    <x v="196"/>
    <x v="196"/>
    <s v="REVENUS"/>
    <x v="2"/>
    <s v="4001.003"/>
    <s v="Impôt s/prest. cap. PP"/>
    <n v="0"/>
    <n v="906585.15"/>
    <n v="4001"/>
  </r>
  <r>
    <x v="0"/>
    <x v="2"/>
    <x v="2"/>
    <x v="230"/>
    <x v="196"/>
    <x v="196"/>
    <s v="REVENUS"/>
    <x v="12"/>
    <s v="4004.000"/>
    <s v="Impôt spécial étrangers"/>
    <n v="0"/>
    <n v="1697507.5"/>
    <n v="4004"/>
  </r>
  <r>
    <x v="0"/>
    <x v="2"/>
    <x v="2"/>
    <x v="230"/>
    <x v="196"/>
    <x v="196"/>
    <s v="REVENUS"/>
    <x v="11"/>
    <s v="4198.000"/>
    <s v="Contributions communales"/>
    <n v="0"/>
    <n v="4456055.8"/>
    <n v="4198"/>
  </r>
  <r>
    <x v="0"/>
    <x v="2"/>
    <x v="2"/>
    <x v="230"/>
    <x v="196"/>
    <x v="196"/>
    <s v="REVENUS"/>
    <x v="6"/>
    <s v="4221.002"/>
    <s v="Intérêts compensat. sur impôts distincts"/>
    <n v="0"/>
    <n v="3147.52"/>
    <n v="4221"/>
  </r>
  <r>
    <x v="0"/>
    <x v="2"/>
    <x v="2"/>
    <x v="230"/>
    <x v="196"/>
    <x v="196"/>
    <s v="REVENUS"/>
    <x v="2"/>
    <s v="4001.002"/>
    <s v="Impôt complément s/revenu PP"/>
    <n v="0"/>
    <n v="21563.45"/>
    <n v="4001"/>
  </r>
  <r>
    <x v="0"/>
    <x v="2"/>
    <x v="2"/>
    <x v="230"/>
    <x v="196"/>
    <x v="196"/>
    <s v="REVENUS"/>
    <x v="2"/>
    <s v="4001.007"/>
    <s v="Acompte impôt sur revenu"/>
    <n v="0"/>
    <n v="-24953.51"/>
    <n v="4001"/>
  </r>
  <r>
    <x v="0"/>
    <x v="2"/>
    <x v="2"/>
    <x v="230"/>
    <x v="196"/>
    <x v="196"/>
    <s v="REVENUS"/>
    <x v="6"/>
    <s v="4211.002"/>
    <s v="Intérêts de retard sur acomptes"/>
    <n v="0"/>
    <n v="466.97"/>
    <n v="4211"/>
  </r>
  <r>
    <x v="0"/>
    <x v="2"/>
    <x v="2"/>
    <x v="230"/>
    <x v="196"/>
    <x v="196"/>
    <s v="REVENUS"/>
    <x v="9"/>
    <s v="4031.002"/>
    <s v="Complément impôt sur les gains immobiliers"/>
    <n v="0"/>
    <n v="84342.3"/>
    <n v="4031"/>
  </r>
  <r>
    <x v="0"/>
    <x v="2"/>
    <x v="2"/>
    <x v="230"/>
    <x v="196"/>
    <x v="196"/>
    <s v="REVENUS"/>
    <x v="2"/>
    <s v="4001.001"/>
    <s v="Impôt revenu"/>
    <n v="0"/>
    <n v="5583.45"/>
    <n v="4001"/>
  </r>
  <r>
    <x v="0"/>
    <x v="2"/>
    <x v="2"/>
    <x v="230"/>
    <x v="196"/>
    <x v="196"/>
    <s v="REVENUS"/>
    <x v="2"/>
    <s v="4001.007"/>
    <s v="Acompte impôt sur revenu"/>
    <n v="0"/>
    <n v="994.3"/>
    <n v="4001"/>
  </r>
  <r>
    <x v="0"/>
    <x v="2"/>
    <x v="2"/>
    <x v="230"/>
    <x v="196"/>
    <x v="196"/>
    <s v="REVENUS"/>
    <x v="6"/>
    <s v="4211.001"/>
    <s v="Intérêts de retard sur factures"/>
    <n v="0"/>
    <n v="694.3"/>
    <n v="4211"/>
  </r>
  <r>
    <x v="0"/>
    <x v="2"/>
    <x v="2"/>
    <x v="230"/>
    <x v="196"/>
    <x v="196"/>
    <s v="REVENUS"/>
    <x v="6"/>
    <s v="4211.001"/>
    <s v="Intérêts de retard sur factures"/>
    <n v="0"/>
    <n v="38.69"/>
    <n v="4211"/>
  </r>
  <r>
    <x v="0"/>
    <x v="2"/>
    <x v="2"/>
    <x v="230"/>
    <x v="196"/>
    <x v="196"/>
    <s v="REVENUS"/>
    <x v="10"/>
    <s v="4041.002"/>
    <s v="Complément droit de mutation"/>
    <n v="0"/>
    <n v="77221.100000000006"/>
    <n v="4041"/>
  </r>
  <r>
    <x v="0"/>
    <x v="2"/>
    <x v="2"/>
    <x v="230"/>
    <x v="196"/>
    <x v="196"/>
    <s v="REVENUS"/>
    <x v="3"/>
    <s v="4002.007"/>
    <s v="Acompte impôt sur fortune"/>
    <n v="0"/>
    <n v="929.02"/>
    <n v="4002"/>
  </r>
  <r>
    <x v="0"/>
    <x v="2"/>
    <x v="2"/>
    <x v="230"/>
    <x v="196"/>
    <x v="196"/>
    <s v="REVENUS"/>
    <x v="4"/>
    <s v="4051.001"/>
    <s v="Impôt sur les successions"/>
    <n v="0"/>
    <n v="8996.2999999999993"/>
    <n v="4051"/>
  </r>
  <r>
    <x v="0"/>
    <x v="2"/>
    <x v="2"/>
    <x v="230"/>
    <x v="196"/>
    <x v="196"/>
    <s v="REVENUS"/>
    <x v="2"/>
    <s v="4001.007"/>
    <s v="Acompte impôt sur revenu"/>
    <n v="0"/>
    <n v="-9542.57"/>
    <n v="4001"/>
  </r>
  <r>
    <x v="0"/>
    <x v="2"/>
    <x v="2"/>
    <x v="230"/>
    <x v="196"/>
    <x v="196"/>
    <s v="REVENUS"/>
    <x v="4"/>
    <s v="4051.002"/>
    <s v="Impôt sur les donations"/>
    <n v="0"/>
    <n v="349673.9"/>
    <n v="4051"/>
  </r>
  <r>
    <x v="0"/>
    <x v="2"/>
    <x v="2"/>
    <x v="230"/>
    <x v="196"/>
    <x v="196"/>
    <s v="REVENUS"/>
    <x v="3"/>
    <s v="4002.007"/>
    <s v="Acompte impôt sur fortune"/>
    <n v="0"/>
    <n v="1075.8499999999999"/>
    <n v="4002"/>
  </r>
  <r>
    <x v="0"/>
    <x v="2"/>
    <x v="2"/>
    <x v="230"/>
    <x v="196"/>
    <x v="196"/>
    <s v="REVENUS"/>
    <x v="7"/>
    <s v="4184.000"/>
    <s v="Frais de poursuite"/>
    <n v="0"/>
    <n v="77.92"/>
    <n v="4184"/>
  </r>
  <r>
    <x v="0"/>
    <x v="2"/>
    <x v="2"/>
    <x v="230"/>
    <x v="196"/>
    <x v="196"/>
    <s v="REVENUS"/>
    <x v="6"/>
    <s v="4211.002"/>
    <s v="Intérêts de retard sur acomptes"/>
    <n v="0"/>
    <n v="7.01"/>
    <n v="4211"/>
  </r>
  <r>
    <x v="0"/>
    <x v="2"/>
    <x v="2"/>
    <x v="230"/>
    <x v="196"/>
    <x v="196"/>
    <s v="REVENUS"/>
    <x v="3"/>
    <s v="4002.001"/>
    <s v="Impôt ordinaire s/fortune PP"/>
    <n v="0"/>
    <n v="8634.2000000000007"/>
    <n v="4002"/>
  </r>
  <r>
    <x v="0"/>
    <x v="2"/>
    <x v="2"/>
    <x v="230"/>
    <x v="196"/>
    <x v="196"/>
    <s v="REVENUS"/>
    <x v="3"/>
    <s v="4002.007"/>
    <s v="Acompte impôt sur fortune"/>
    <n v="0"/>
    <n v="-1510.49"/>
    <n v="4002"/>
  </r>
  <r>
    <x v="0"/>
    <x v="2"/>
    <x v="2"/>
    <x v="230"/>
    <x v="196"/>
    <x v="196"/>
    <s v="REVENUS"/>
    <x v="2"/>
    <s v="4001.001"/>
    <s v="Impôt revenu"/>
    <n v="0"/>
    <n v="29219.05"/>
    <n v="4001"/>
  </r>
  <r>
    <x v="0"/>
    <x v="2"/>
    <x v="2"/>
    <x v="230"/>
    <x v="196"/>
    <x v="196"/>
    <s v="REVENUS"/>
    <x v="2"/>
    <s v="4001.007"/>
    <s v="Acompte impôt sur revenu"/>
    <n v="0"/>
    <n v="-9318.66"/>
    <n v="4001"/>
  </r>
  <r>
    <x v="0"/>
    <x v="2"/>
    <x v="2"/>
    <x v="230"/>
    <x v="196"/>
    <x v="196"/>
    <s v="REVENUS"/>
    <x v="3"/>
    <s v="4002.007"/>
    <s v="Acompte impôt sur fortune"/>
    <n v="0"/>
    <n v="444.5"/>
    <n v="4002"/>
  </r>
  <r>
    <x v="0"/>
    <x v="2"/>
    <x v="2"/>
    <x v="230"/>
    <x v="196"/>
    <x v="196"/>
    <s v="REVENUS"/>
    <x v="6"/>
    <s v="4211.001"/>
    <s v="Intérêts de retard sur factures"/>
    <n v="0"/>
    <n v="16.309999999999999"/>
    <n v="4211"/>
  </r>
  <r>
    <x v="0"/>
    <x v="2"/>
    <x v="2"/>
    <x v="230"/>
    <x v="196"/>
    <x v="196"/>
    <s v="REVENUS"/>
    <x v="3"/>
    <s v="4002.007"/>
    <s v="Acompte impôt sur fortune"/>
    <n v="0"/>
    <n v="-31603.5"/>
    <n v="4002"/>
  </r>
  <r>
    <x v="0"/>
    <x v="2"/>
    <x v="2"/>
    <x v="230"/>
    <x v="196"/>
    <x v="196"/>
    <s v="REVENUS"/>
    <x v="6"/>
    <s v="4211.002"/>
    <s v="Intérêts de retard sur acomptes"/>
    <n v="0"/>
    <n v="0.02"/>
    <n v="4211"/>
  </r>
  <r>
    <x v="0"/>
    <x v="2"/>
    <x v="2"/>
    <x v="230"/>
    <x v="196"/>
    <x v="196"/>
    <s v="REVENUS"/>
    <x v="2"/>
    <s v="4001.007"/>
    <s v="Acompte impôt sur revenu"/>
    <n v="0"/>
    <n v="54.3"/>
    <n v="4001"/>
  </r>
  <r>
    <x v="0"/>
    <x v="2"/>
    <x v="2"/>
    <x v="230"/>
    <x v="196"/>
    <x v="196"/>
    <s v="REVENUS"/>
    <x v="3"/>
    <s v="4002.007"/>
    <s v="Acompte impôt sur fortune"/>
    <n v="0"/>
    <n v="96"/>
    <n v="4002"/>
  </r>
  <r>
    <x v="0"/>
    <x v="2"/>
    <x v="2"/>
    <x v="230"/>
    <x v="196"/>
    <x v="196"/>
    <s v="REVENUS"/>
    <x v="6"/>
    <s v="4221.002"/>
    <s v="Intérêts compensat. sur impôts distincts"/>
    <n v="0"/>
    <n v="5.24"/>
    <n v="4221"/>
  </r>
  <r>
    <x v="0"/>
    <x v="2"/>
    <x v="2"/>
    <x v="230"/>
    <x v="196"/>
    <x v="196"/>
    <s v="REVENUS"/>
    <x v="2"/>
    <s v="4001.001"/>
    <s v="Impôt revenu"/>
    <n v="0"/>
    <n v="-5936.3"/>
    <n v="4001"/>
  </r>
  <r>
    <x v="0"/>
    <x v="2"/>
    <x v="2"/>
    <x v="230"/>
    <x v="196"/>
    <x v="196"/>
    <s v="REVENUS"/>
    <x v="2"/>
    <s v="4001.007"/>
    <s v="Acompte impôt sur revenu"/>
    <n v="0"/>
    <n v="-6837.25"/>
    <n v="4001"/>
  </r>
  <r>
    <x v="0"/>
    <x v="2"/>
    <x v="2"/>
    <x v="230"/>
    <x v="196"/>
    <x v="196"/>
    <s v="REVENUS"/>
    <x v="6"/>
    <s v="4211.001"/>
    <s v="Intérêts de retard sur factures"/>
    <n v="0"/>
    <n v="0.01"/>
    <n v="4211"/>
  </r>
  <r>
    <x v="0"/>
    <x v="2"/>
    <x v="2"/>
    <x v="230"/>
    <x v="196"/>
    <x v="196"/>
    <s v="REVENUS"/>
    <x v="8"/>
    <s v="4091.001"/>
    <s v="Impôt récupéré après défalcations"/>
    <n v="0"/>
    <n v="19738.599999999999"/>
    <n v="4091"/>
  </r>
  <r>
    <x v="0"/>
    <x v="2"/>
    <x v="2"/>
    <x v="230"/>
    <x v="196"/>
    <x v="196"/>
    <s v="REVENUS"/>
    <x v="3"/>
    <s v="4002.001"/>
    <s v="Impôt ordinaire s/fortune PP"/>
    <n v="0"/>
    <n v="10766.5"/>
    <n v="4002"/>
  </r>
  <r>
    <x v="0"/>
    <x v="2"/>
    <x v="2"/>
    <x v="230"/>
    <x v="196"/>
    <x v="196"/>
    <s v="REVENUS"/>
    <x v="6"/>
    <s v="4221.003"/>
    <s v="Intérêts compensat. / acomptes en faveur du fisc"/>
    <n v="0"/>
    <n v="22.36"/>
    <n v="4221"/>
  </r>
  <r>
    <x v="0"/>
    <x v="2"/>
    <x v="2"/>
    <x v="230"/>
    <x v="196"/>
    <x v="196"/>
    <s v="REVENUS"/>
    <x v="3"/>
    <s v="4002.002"/>
    <s v="Impôt complémentaire s/fortune PP"/>
    <n v="0"/>
    <n v="7349.8"/>
    <n v="4002"/>
  </r>
  <r>
    <x v="0"/>
    <x v="2"/>
    <x v="2"/>
    <x v="230"/>
    <x v="196"/>
    <x v="196"/>
    <s v="REVENUS"/>
    <x v="8"/>
    <s v="4091.001"/>
    <s v="Impôt récupéré après défalcations"/>
    <n v="0"/>
    <n v="3910.81"/>
    <n v="4091"/>
  </r>
  <r>
    <x v="0"/>
    <x v="2"/>
    <x v="2"/>
    <x v="230"/>
    <x v="196"/>
    <x v="196"/>
    <s v="REVENUS"/>
    <x v="2"/>
    <s v="4001.001"/>
    <s v="Impôt revenu"/>
    <n v="0"/>
    <n v="15404.05"/>
    <n v="4001"/>
  </r>
  <r>
    <x v="0"/>
    <x v="2"/>
    <x v="2"/>
    <x v="230"/>
    <x v="196"/>
    <x v="196"/>
    <s v="REVENUS"/>
    <x v="6"/>
    <s v="4211.002"/>
    <s v="Intérêts de retard sur acomptes"/>
    <n v="0"/>
    <n v="33.24"/>
    <n v="4211"/>
  </r>
  <r>
    <x v="0"/>
    <x v="2"/>
    <x v="2"/>
    <x v="230"/>
    <x v="196"/>
    <x v="196"/>
    <s v="REVENUS"/>
    <x v="2"/>
    <s v="4001.001"/>
    <s v="Impôt revenu"/>
    <n v="0"/>
    <n v="-380218.6"/>
    <n v="4001"/>
  </r>
  <r>
    <x v="0"/>
    <x v="2"/>
    <x v="2"/>
    <x v="230"/>
    <x v="196"/>
    <x v="196"/>
    <s v="REVENUS"/>
    <x v="3"/>
    <s v="4002.001"/>
    <s v="Impôt ordinaire s/fortune PP"/>
    <n v="0"/>
    <n v="-3823.65"/>
    <n v="4002"/>
  </r>
  <r>
    <x v="0"/>
    <x v="2"/>
    <x v="2"/>
    <x v="230"/>
    <x v="196"/>
    <x v="196"/>
    <s v="REVENUS"/>
    <x v="6"/>
    <s v="4221.003"/>
    <s v="Intérêts compensat. / acomptes en faveur du fisc"/>
    <n v="0"/>
    <n v="-6.32"/>
    <n v="4221"/>
  </r>
  <r>
    <x v="0"/>
    <x v="2"/>
    <x v="2"/>
    <x v="230"/>
    <x v="196"/>
    <x v="196"/>
    <s v="REVENUS"/>
    <x v="2"/>
    <s v="4001.002"/>
    <s v="Impôt complément s/revenu PP"/>
    <n v="0"/>
    <n v="7757.15"/>
    <n v="4001"/>
  </r>
  <r>
    <x v="0"/>
    <x v="2"/>
    <x v="2"/>
    <x v="230"/>
    <x v="196"/>
    <x v="196"/>
    <s v="REVENUS"/>
    <x v="3"/>
    <s v="4002.002"/>
    <s v="Impôt complémentaire s/fortune PP"/>
    <n v="0"/>
    <n v="5908.2"/>
    <n v="4002"/>
  </r>
  <r>
    <x v="0"/>
    <x v="2"/>
    <x v="2"/>
    <x v="230"/>
    <x v="196"/>
    <x v="196"/>
    <s v="REVENUS"/>
    <x v="6"/>
    <s v="4211.002"/>
    <s v="Intérêts de retard sur acomptes"/>
    <n v="0"/>
    <n v="17.38"/>
    <n v="4211"/>
  </r>
  <r>
    <x v="0"/>
    <x v="2"/>
    <x v="2"/>
    <x v="230"/>
    <x v="196"/>
    <x v="196"/>
    <s v="REVENUS"/>
    <x v="6"/>
    <s v="4211.001"/>
    <s v="Intérêts de retard sur factures"/>
    <n v="0"/>
    <n v="348.21"/>
    <n v="4211"/>
  </r>
  <r>
    <x v="0"/>
    <x v="2"/>
    <x v="2"/>
    <x v="230"/>
    <x v="196"/>
    <x v="196"/>
    <s v="REVENUS"/>
    <x v="6"/>
    <s v="4221.003"/>
    <s v="Intérêts compensat. / acomptes en faveur du fisc"/>
    <n v="0"/>
    <n v="0.89"/>
    <n v="4221"/>
  </r>
  <r>
    <x v="0"/>
    <x v="2"/>
    <x v="2"/>
    <x v="230"/>
    <x v="196"/>
    <x v="196"/>
    <s v="REVENUS"/>
    <x v="3"/>
    <s v="4002.007"/>
    <s v="Acompte impôt sur fortune"/>
    <n v="0"/>
    <n v="-456.1"/>
    <n v="4002"/>
  </r>
  <r>
    <x v="0"/>
    <x v="2"/>
    <x v="2"/>
    <x v="230"/>
    <x v="196"/>
    <x v="196"/>
    <s v="REVENUS"/>
    <x v="6"/>
    <s v="4221.003"/>
    <s v="Intérêts compensat. / acomptes en faveur du fisc"/>
    <n v="0"/>
    <n v="1.24"/>
    <n v="4221"/>
  </r>
  <r>
    <x v="0"/>
    <x v="2"/>
    <x v="2"/>
    <x v="230"/>
    <x v="196"/>
    <x v="196"/>
    <s v="REVENUS"/>
    <x v="2"/>
    <s v="4001.002"/>
    <s v="Impôt complément s/revenu PP"/>
    <n v="0"/>
    <n v="1502.35"/>
    <n v="4001"/>
  </r>
  <r>
    <x v="0"/>
    <x v="2"/>
    <x v="2"/>
    <x v="230"/>
    <x v="196"/>
    <x v="196"/>
    <s v="REVENUS"/>
    <x v="2"/>
    <s v="4001.002"/>
    <s v="Impôt complément s/revenu PP"/>
    <n v="0"/>
    <n v="401.3"/>
    <n v="4001"/>
  </r>
  <r>
    <x v="0"/>
    <x v="2"/>
    <x v="2"/>
    <x v="230"/>
    <x v="196"/>
    <x v="196"/>
    <s v="REVENUS"/>
    <x v="3"/>
    <s v="4002.002"/>
    <s v="Impôt complémentaire s/fortune PP"/>
    <n v="0"/>
    <n v="24.55"/>
    <n v="4002"/>
  </r>
  <r>
    <x v="0"/>
    <x v="2"/>
    <x v="2"/>
    <x v="230"/>
    <x v="196"/>
    <x v="196"/>
    <s v="REVENUS"/>
    <x v="2"/>
    <s v="4001.002"/>
    <s v="Impôt complément s/revenu PP"/>
    <n v="0"/>
    <n v="-1153.55"/>
    <n v="4001"/>
  </r>
  <r>
    <x v="0"/>
    <x v="2"/>
    <x v="2"/>
    <x v="230"/>
    <x v="196"/>
    <x v="196"/>
    <s v="REVENUS"/>
    <x v="3"/>
    <s v="4002.001"/>
    <s v="Impôt ordinaire s/fortune PP"/>
    <n v="0"/>
    <n v="-811.25"/>
    <n v="4002"/>
  </r>
  <r>
    <x v="0"/>
    <x v="2"/>
    <x v="2"/>
    <x v="230"/>
    <x v="196"/>
    <x v="196"/>
    <s v="REVENUS"/>
    <x v="3"/>
    <s v="4002.002"/>
    <s v="Impôt complémentaire s/fortune PP"/>
    <n v="0"/>
    <n v="-187.7"/>
    <n v="4002"/>
  </r>
  <r>
    <x v="0"/>
    <x v="2"/>
    <x v="2"/>
    <x v="230"/>
    <x v="196"/>
    <x v="196"/>
    <s v="REVENUS"/>
    <x v="6"/>
    <s v="4211.001"/>
    <s v="Intérêts de retard sur factures"/>
    <n v="0"/>
    <n v="-0.03"/>
    <n v="4211"/>
  </r>
  <r>
    <x v="0"/>
    <x v="2"/>
    <x v="2"/>
    <x v="230"/>
    <x v="196"/>
    <x v="196"/>
    <s v="REVENUS"/>
    <x v="6"/>
    <s v="4221.003"/>
    <s v="Intérêts compensat. / acomptes en faveur du fisc"/>
    <n v="0"/>
    <n v="-4.5999999999999996"/>
    <n v="4221"/>
  </r>
  <r>
    <x v="0"/>
    <x v="2"/>
    <x v="2"/>
    <x v="230"/>
    <x v="196"/>
    <x v="196"/>
    <s v="REVENUS"/>
    <x v="3"/>
    <s v="4002.001"/>
    <s v="Impôt ordinaire s/fortune PP"/>
    <n v="0"/>
    <n v="1256.05"/>
    <n v="4002"/>
  </r>
  <r>
    <x v="0"/>
    <x v="2"/>
    <x v="2"/>
    <x v="230"/>
    <x v="196"/>
    <x v="196"/>
    <s v="REVENUS"/>
    <x v="2"/>
    <s v="4001.003"/>
    <s v="Impôt s/prest. cap. PP"/>
    <n v="0"/>
    <n v="-4706.3999999999996"/>
    <n v="4001"/>
  </r>
  <r>
    <x v="0"/>
    <x v="2"/>
    <x v="2"/>
    <x v="230"/>
    <x v="196"/>
    <x v="196"/>
    <s v="REVENUS"/>
    <x v="8"/>
    <s v="4091.001"/>
    <s v="Impôt récupéré après défalcations"/>
    <n v="0"/>
    <n v="484.45"/>
    <n v="4091"/>
  </r>
  <r>
    <x v="0"/>
    <x v="2"/>
    <x v="2"/>
    <x v="230"/>
    <x v="196"/>
    <x v="196"/>
    <s v="REVENUS"/>
    <x v="6"/>
    <s v="4211.002"/>
    <s v="Intérêts de retard sur acomptes"/>
    <n v="0"/>
    <n v="-219.29"/>
    <n v="4211"/>
  </r>
  <r>
    <x v="0"/>
    <x v="2"/>
    <x v="2"/>
    <x v="230"/>
    <x v="196"/>
    <x v="196"/>
    <s v="REVENUS"/>
    <x v="7"/>
    <s v="4184.000"/>
    <s v="Frais de poursuite"/>
    <n v="0"/>
    <n v="-0.23"/>
    <n v="4184"/>
  </r>
  <r>
    <x v="0"/>
    <x v="2"/>
    <x v="2"/>
    <x v="230"/>
    <x v="196"/>
    <x v="196"/>
    <s v="REVENUS"/>
    <x v="7"/>
    <s v="4184.000"/>
    <s v="Frais de poursuite"/>
    <n v="0"/>
    <n v="1.5"/>
    <n v="4184"/>
  </r>
  <r>
    <x v="0"/>
    <x v="2"/>
    <x v="2"/>
    <x v="230"/>
    <x v="196"/>
    <x v="196"/>
    <s v="REVENUS"/>
    <x v="3"/>
    <s v="4002.001"/>
    <s v="Impôt ordinaire s/fortune PP"/>
    <n v="0"/>
    <n v="89.4"/>
    <n v="4002"/>
  </r>
  <r>
    <x v="0"/>
    <x v="2"/>
    <x v="2"/>
    <x v="230"/>
    <x v="196"/>
    <x v="196"/>
    <s v="REVENUS"/>
    <x v="9"/>
    <s v="4031.001"/>
    <s v="Impôt sur les gains immobiliers"/>
    <n v="0"/>
    <n v="2143943.1"/>
    <n v="4031"/>
  </r>
  <r>
    <x v="0"/>
    <x v="2"/>
    <x v="2"/>
    <x v="230"/>
    <x v="196"/>
    <x v="196"/>
    <s v="REVENUS"/>
    <x v="9"/>
    <s v="4031.002"/>
    <s v="Complément impôt sur les gains immobiliers"/>
    <n v="0"/>
    <n v="1633264.55"/>
    <n v="4031"/>
  </r>
  <r>
    <x v="0"/>
    <x v="2"/>
    <x v="2"/>
    <x v="230"/>
    <x v="196"/>
    <x v="196"/>
    <s v="REVENUS"/>
    <x v="6"/>
    <s v="4221.003"/>
    <s v="Intérêts compensat. / acomptes en faveur du fisc"/>
    <n v="0"/>
    <n v="0.45"/>
    <n v="4221"/>
  </r>
  <r>
    <x v="0"/>
    <x v="2"/>
    <x v="2"/>
    <x v="230"/>
    <x v="196"/>
    <x v="196"/>
    <s v="REVENUS"/>
    <x v="8"/>
    <s v="4091.001"/>
    <s v="Impôt récupéré après défalcations"/>
    <n v="0"/>
    <n v="1393.29"/>
    <n v="4091"/>
  </r>
  <r>
    <x v="0"/>
    <x v="2"/>
    <x v="2"/>
    <x v="230"/>
    <x v="196"/>
    <x v="196"/>
    <s v="REVENUS"/>
    <x v="2"/>
    <s v="4001.002"/>
    <s v="Impôt complément s/revenu PP"/>
    <n v="0"/>
    <n v="4789.95"/>
    <n v="4001"/>
  </r>
  <r>
    <x v="0"/>
    <x v="2"/>
    <x v="2"/>
    <x v="230"/>
    <x v="196"/>
    <x v="196"/>
    <s v="REVENUS"/>
    <x v="3"/>
    <s v="4002.002"/>
    <s v="Impôt complémentaire s/fortune PP"/>
    <n v="0"/>
    <n v="496.35"/>
    <n v="4002"/>
  </r>
  <r>
    <x v="0"/>
    <x v="2"/>
    <x v="2"/>
    <x v="231"/>
    <x v="197"/>
    <x v="197"/>
    <s v="CHARGES"/>
    <x v="0"/>
    <s v="3212.002"/>
    <s v="Intérêts bonifiés/trop perçu acompte C/C"/>
    <n v="265.12"/>
    <n v="0"/>
    <n v="3212"/>
  </r>
  <r>
    <x v="0"/>
    <x v="2"/>
    <x v="2"/>
    <x v="231"/>
    <x v="197"/>
    <x v="197"/>
    <s v="CHARGES"/>
    <x v="0"/>
    <s v="3212.004"/>
    <s v="Intérêts rémun./perçu trop tôt sur acomptes C/C"/>
    <n v="1990.17"/>
    <n v="0"/>
    <n v="3212"/>
  </r>
  <r>
    <x v="0"/>
    <x v="2"/>
    <x v="2"/>
    <x v="231"/>
    <x v="197"/>
    <x v="197"/>
    <s v="CHARGES"/>
    <x v="1"/>
    <s v="3301.001"/>
    <s v="Défalcations, abandons de solde PP et IS"/>
    <n v="175809.71"/>
    <n v="0"/>
    <n v="3301"/>
  </r>
  <r>
    <x v="0"/>
    <x v="2"/>
    <x v="2"/>
    <x v="231"/>
    <x v="197"/>
    <x v="197"/>
    <s v="CHARGES"/>
    <x v="0"/>
    <s v="3221.002"/>
    <s v="Intérêts compensatoires / créances en faveur ctb."/>
    <n v="528.01"/>
    <n v="0"/>
    <n v="3221"/>
  </r>
  <r>
    <x v="0"/>
    <x v="2"/>
    <x v="2"/>
    <x v="231"/>
    <x v="197"/>
    <x v="197"/>
    <s v="CHARGES"/>
    <x v="0"/>
    <s v="3221.002"/>
    <s v="Intérêts compensatoires / créances en faveur ctb."/>
    <n v="0.39"/>
    <n v="0"/>
    <n v="3221"/>
  </r>
  <r>
    <x v="0"/>
    <x v="2"/>
    <x v="2"/>
    <x v="231"/>
    <x v="197"/>
    <x v="197"/>
    <s v="CHARGES"/>
    <x v="1"/>
    <s v="3301.001"/>
    <s v="Défalcations, abandons de solde PP et IS"/>
    <n v="1.84"/>
    <n v="0"/>
    <n v="3301"/>
  </r>
  <r>
    <x v="0"/>
    <x v="2"/>
    <x v="2"/>
    <x v="231"/>
    <x v="197"/>
    <x v="197"/>
    <s v="CHARGES"/>
    <x v="1"/>
    <s v="3301.001"/>
    <s v="Défalcations, abandons de solde PP et IS"/>
    <n v="4093.16"/>
    <n v="0"/>
    <n v="3301"/>
  </r>
  <r>
    <x v="0"/>
    <x v="2"/>
    <x v="2"/>
    <x v="231"/>
    <x v="197"/>
    <x v="197"/>
    <s v="CHARGES"/>
    <x v="0"/>
    <s v="3212.004"/>
    <s v="Intérêts rémun./perçu trop tôt sur acomptes C/C"/>
    <n v="0.02"/>
    <n v="0"/>
    <n v="3212"/>
  </r>
  <r>
    <x v="0"/>
    <x v="2"/>
    <x v="2"/>
    <x v="231"/>
    <x v="197"/>
    <x v="197"/>
    <s v="CHARGES"/>
    <x v="0"/>
    <s v="3221.002"/>
    <s v="Intérêts compensatoires / créances en faveur ctb."/>
    <n v="0.18"/>
    <n v="0"/>
    <n v="3221"/>
  </r>
  <r>
    <x v="0"/>
    <x v="2"/>
    <x v="2"/>
    <x v="231"/>
    <x v="197"/>
    <x v="197"/>
    <s v="CHARGES"/>
    <x v="1"/>
    <s v="3301.001"/>
    <s v="Défalcations, abandons de solde PP et IS"/>
    <n v="0.43"/>
    <n v="0"/>
    <n v="3301"/>
  </r>
  <r>
    <x v="0"/>
    <x v="2"/>
    <x v="2"/>
    <x v="231"/>
    <x v="197"/>
    <x v="197"/>
    <s v="CHARGES"/>
    <x v="0"/>
    <s v="3212.004"/>
    <s v="Intérêts rémun./perçu trop tôt sur acomptes C/C"/>
    <n v="0.06"/>
    <n v="0"/>
    <n v="3212"/>
  </r>
  <r>
    <x v="0"/>
    <x v="2"/>
    <x v="2"/>
    <x v="231"/>
    <x v="197"/>
    <x v="197"/>
    <s v="CHARGES"/>
    <x v="0"/>
    <s v="3221.002"/>
    <s v="Intérêts compensatoires / créances en faveur ctb."/>
    <n v="0.05"/>
    <n v="0"/>
    <n v="3221"/>
  </r>
  <r>
    <x v="0"/>
    <x v="2"/>
    <x v="2"/>
    <x v="231"/>
    <x v="197"/>
    <x v="197"/>
    <s v="CHARGES"/>
    <x v="1"/>
    <s v="3301.003"/>
    <s v="Remises PP et IS"/>
    <n v="960.2"/>
    <n v="0"/>
    <n v="3301"/>
  </r>
  <r>
    <x v="0"/>
    <x v="2"/>
    <x v="2"/>
    <x v="231"/>
    <x v="197"/>
    <x v="197"/>
    <s v="CHARGES"/>
    <x v="0"/>
    <s v="3212.004"/>
    <s v="Intérêts rémun./perçu trop tôt sur acomptes C/C"/>
    <n v="1.02"/>
    <n v="0"/>
    <n v="3212"/>
  </r>
  <r>
    <x v="0"/>
    <x v="2"/>
    <x v="2"/>
    <x v="231"/>
    <x v="197"/>
    <x v="197"/>
    <s v="CHARGES"/>
    <x v="0"/>
    <s v="3212.004"/>
    <s v="Intérêts rémun./perçu trop tôt sur acomptes C/C"/>
    <n v="-0.34"/>
    <n v="0"/>
    <n v="3212"/>
  </r>
  <r>
    <x v="0"/>
    <x v="2"/>
    <x v="2"/>
    <x v="231"/>
    <x v="197"/>
    <x v="197"/>
    <s v="CHARGES"/>
    <x v="0"/>
    <s v="3221.002"/>
    <s v="Intérêts compensatoires / créances en faveur ctb."/>
    <n v="-0.1"/>
    <n v="0"/>
    <n v="3221"/>
  </r>
  <r>
    <x v="0"/>
    <x v="2"/>
    <x v="2"/>
    <x v="231"/>
    <x v="197"/>
    <x v="197"/>
    <s v="CHARGES"/>
    <x v="0"/>
    <s v="3212.004"/>
    <s v="Intérêts rémun./perçu trop tôt sur acomptes C/C"/>
    <n v="-0.97"/>
    <n v="0"/>
    <n v="3212"/>
  </r>
  <r>
    <x v="0"/>
    <x v="2"/>
    <x v="2"/>
    <x v="231"/>
    <x v="197"/>
    <x v="197"/>
    <s v="CHARGES"/>
    <x v="0"/>
    <s v="3221.002"/>
    <s v="Intérêts compensatoires / créances en faveur ctb."/>
    <n v="-0.01"/>
    <n v="0"/>
    <n v="3221"/>
  </r>
  <r>
    <x v="0"/>
    <x v="2"/>
    <x v="2"/>
    <x v="231"/>
    <x v="197"/>
    <x v="197"/>
    <s v="CHARGES"/>
    <x v="1"/>
    <s v="3301.001"/>
    <s v="Défalcations, abandons de solde PP et IS"/>
    <n v="-1.69"/>
    <n v="0"/>
    <n v="3301"/>
  </r>
  <r>
    <x v="0"/>
    <x v="2"/>
    <x v="2"/>
    <x v="231"/>
    <x v="197"/>
    <x v="197"/>
    <s v="CHARGES"/>
    <x v="0"/>
    <s v="3212.004"/>
    <s v="Intérêts rémun./perçu trop tôt sur acomptes C/C"/>
    <n v="0.04"/>
    <n v="0"/>
    <n v="3212"/>
  </r>
  <r>
    <x v="0"/>
    <x v="2"/>
    <x v="2"/>
    <x v="231"/>
    <x v="197"/>
    <x v="197"/>
    <s v="CHARGES"/>
    <x v="0"/>
    <s v="3212.004"/>
    <s v="Intérêts rémun./perçu trop tôt sur acomptes C/C"/>
    <n v="0.01"/>
    <n v="0"/>
    <n v="3212"/>
  </r>
  <r>
    <x v="0"/>
    <x v="2"/>
    <x v="2"/>
    <x v="231"/>
    <x v="197"/>
    <x v="197"/>
    <s v="REVENUS"/>
    <x v="2"/>
    <s v="4001.001"/>
    <s v="Impôt revenu"/>
    <n v="0"/>
    <n v="7155897.25"/>
    <n v="4001"/>
  </r>
  <r>
    <x v="0"/>
    <x v="2"/>
    <x v="2"/>
    <x v="231"/>
    <x v="197"/>
    <x v="197"/>
    <s v="REVENUS"/>
    <x v="2"/>
    <s v="4001.007"/>
    <s v="Acompte impôt sur revenu"/>
    <n v="0"/>
    <n v="1599347.4"/>
    <n v="4001"/>
  </r>
  <r>
    <x v="0"/>
    <x v="2"/>
    <x v="2"/>
    <x v="231"/>
    <x v="197"/>
    <x v="197"/>
    <s v="REVENUS"/>
    <x v="3"/>
    <s v="4002.001"/>
    <s v="Impôt ordinaire s/fortune PP"/>
    <n v="0"/>
    <n v="1429472.5"/>
    <n v="4002"/>
  </r>
  <r>
    <x v="0"/>
    <x v="2"/>
    <x v="2"/>
    <x v="231"/>
    <x v="197"/>
    <x v="197"/>
    <s v="REVENUS"/>
    <x v="3"/>
    <s v="4002.007"/>
    <s v="Acompte impôt sur fortune"/>
    <n v="0"/>
    <n v="1111443.1100000001"/>
    <n v="4002"/>
  </r>
  <r>
    <x v="0"/>
    <x v="2"/>
    <x v="2"/>
    <x v="231"/>
    <x v="197"/>
    <x v="197"/>
    <s v="REVENUS"/>
    <x v="6"/>
    <s v="4211.001"/>
    <s v="Intérêts de retard sur factures"/>
    <n v="0"/>
    <n v="43891.26"/>
    <n v="4211"/>
  </r>
  <r>
    <x v="0"/>
    <x v="2"/>
    <x v="2"/>
    <x v="231"/>
    <x v="197"/>
    <x v="197"/>
    <s v="REVENUS"/>
    <x v="6"/>
    <s v="4221.003"/>
    <s v="Intérêts compensat. / acomptes en faveur du fisc"/>
    <n v="0"/>
    <n v="2277.6799999999998"/>
    <n v="4221"/>
  </r>
  <r>
    <x v="0"/>
    <x v="2"/>
    <x v="2"/>
    <x v="231"/>
    <x v="197"/>
    <x v="197"/>
    <s v="REVENUS"/>
    <x v="2"/>
    <s v="4001.003"/>
    <s v="Impôt s/prest. cap. PP"/>
    <n v="0"/>
    <n v="486496.15"/>
    <n v="4001"/>
  </r>
  <r>
    <x v="0"/>
    <x v="2"/>
    <x v="2"/>
    <x v="231"/>
    <x v="197"/>
    <x v="197"/>
    <s v="REVENUS"/>
    <x v="6"/>
    <s v="4211.002"/>
    <s v="Intérêts de retard sur acomptes"/>
    <n v="0"/>
    <n v="63892.92"/>
    <n v="4211"/>
  </r>
  <r>
    <x v="0"/>
    <x v="2"/>
    <x v="2"/>
    <x v="231"/>
    <x v="197"/>
    <x v="197"/>
    <s v="REVENUS"/>
    <x v="9"/>
    <s v="4031.001"/>
    <s v="Impôt sur les gains immobiliers"/>
    <n v="0"/>
    <n v="593859.05000000005"/>
    <n v="4031"/>
  </r>
  <r>
    <x v="0"/>
    <x v="2"/>
    <x v="2"/>
    <x v="231"/>
    <x v="197"/>
    <x v="197"/>
    <s v="REVENUS"/>
    <x v="11"/>
    <s v="4198.000"/>
    <s v="Contributions communales"/>
    <n v="0"/>
    <n v="1324754.75"/>
    <n v="4198"/>
  </r>
  <r>
    <x v="0"/>
    <x v="2"/>
    <x v="2"/>
    <x v="231"/>
    <x v="197"/>
    <x v="197"/>
    <s v="REVENUS"/>
    <x v="2"/>
    <s v="4001.002"/>
    <s v="Impôt complément s/revenu PP"/>
    <n v="0"/>
    <n v="2847532.7"/>
    <n v="4001"/>
  </r>
  <r>
    <x v="0"/>
    <x v="2"/>
    <x v="2"/>
    <x v="231"/>
    <x v="197"/>
    <x v="197"/>
    <s v="REVENUS"/>
    <x v="3"/>
    <s v="4002.002"/>
    <s v="Impôt complémentaire s/fortune PP"/>
    <n v="0"/>
    <n v="520870.65"/>
    <n v="4002"/>
  </r>
  <r>
    <x v="0"/>
    <x v="2"/>
    <x v="2"/>
    <x v="231"/>
    <x v="197"/>
    <x v="197"/>
    <s v="REVENUS"/>
    <x v="8"/>
    <s v="4091.001"/>
    <s v="Impôt récupéré après défalcations"/>
    <n v="0"/>
    <n v="1292.8900000000001"/>
    <n v="4091"/>
  </r>
  <r>
    <x v="0"/>
    <x v="2"/>
    <x v="2"/>
    <x v="231"/>
    <x v="197"/>
    <x v="197"/>
    <s v="REVENUS"/>
    <x v="7"/>
    <s v="4184.000"/>
    <s v="Frais de poursuite"/>
    <n v="0"/>
    <n v="6670.62"/>
    <n v="4184"/>
  </r>
  <r>
    <x v="0"/>
    <x v="2"/>
    <x v="2"/>
    <x v="231"/>
    <x v="197"/>
    <x v="197"/>
    <s v="REVENUS"/>
    <x v="10"/>
    <s v="4041.001"/>
    <s v="Droits de mutation"/>
    <n v="0"/>
    <n v="395469.25"/>
    <n v="4041"/>
  </r>
  <r>
    <x v="0"/>
    <x v="2"/>
    <x v="2"/>
    <x v="231"/>
    <x v="197"/>
    <x v="197"/>
    <s v="REVENUS"/>
    <x v="2"/>
    <s v="4001.001"/>
    <s v="Impôt revenu"/>
    <n v="0"/>
    <n v="7289.05"/>
    <n v="4001"/>
  </r>
  <r>
    <x v="0"/>
    <x v="2"/>
    <x v="2"/>
    <x v="231"/>
    <x v="197"/>
    <x v="197"/>
    <s v="REVENUS"/>
    <x v="2"/>
    <s v="4001.007"/>
    <s v="Acompte impôt sur revenu"/>
    <n v="0"/>
    <n v="-594.58000000000004"/>
    <n v="4001"/>
  </r>
  <r>
    <x v="0"/>
    <x v="2"/>
    <x v="2"/>
    <x v="231"/>
    <x v="197"/>
    <x v="197"/>
    <s v="REVENUS"/>
    <x v="3"/>
    <s v="4002.001"/>
    <s v="Impôt ordinaire s/fortune PP"/>
    <n v="0"/>
    <n v="5617.9"/>
    <n v="4002"/>
  </r>
  <r>
    <x v="0"/>
    <x v="2"/>
    <x v="2"/>
    <x v="231"/>
    <x v="197"/>
    <x v="197"/>
    <s v="REVENUS"/>
    <x v="3"/>
    <s v="4002.007"/>
    <s v="Acompte impôt sur fortune"/>
    <n v="0"/>
    <n v="-1432.11"/>
    <n v="4002"/>
  </r>
  <r>
    <x v="0"/>
    <x v="2"/>
    <x v="2"/>
    <x v="231"/>
    <x v="197"/>
    <x v="197"/>
    <s v="REVENUS"/>
    <x v="6"/>
    <s v="4211.002"/>
    <s v="Intérêts de retard sur acomptes"/>
    <n v="0"/>
    <n v="8.18"/>
    <n v="4211"/>
  </r>
  <r>
    <x v="0"/>
    <x v="2"/>
    <x v="2"/>
    <x v="231"/>
    <x v="197"/>
    <x v="197"/>
    <s v="REVENUS"/>
    <x v="6"/>
    <s v="4221.003"/>
    <s v="Intérêts compensat. / acomptes en faveur du fisc"/>
    <n v="0"/>
    <n v="2.12"/>
    <n v="4221"/>
  </r>
  <r>
    <x v="0"/>
    <x v="2"/>
    <x v="2"/>
    <x v="231"/>
    <x v="197"/>
    <x v="197"/>
    <s v="REVENUS"/>
    <x v="4"/>
    <s v="4051.001"/>
    <s v="Impôt sur les successions"/>
    <n v="0"/>
    <n v="26887.8"/>
    <n v="4051"/>
  </r>
  <r>
    <x v="0"/>
    <x v="2"/>
    <x v="2"/>
    <x v="231"/>
    <x v="197"/>
    <x v="197"/>
    <s v="REVENUS"/>
    <x v="4"/>
    <s v="4051.002"/>
    <s v="Impôt sur les donations"/>
    <n v="0"/>
    <n v="34495.300000000003"/>
    <n v="4051"/>
  </r>
  <r>
    <x v="0"/>
    <x v="2"/>
    <x v="2"/>
    <x v="231"/>
    <x v="197"/>
    <x v="197"/>
    <s v="REVENUS"/>
    <x v="6"/>
    <s v="4221.002"/>
    <s v="Intérêts compensat. sur impôts distincts"/>
    <n v="0"/>
    <n v="195.66"/>
    <n v="4221"/>
  </r>
  <r>
    <x v="0"/>
    <x v="2"/>
    <x v="2"/>
    <x v="231"/>
    <x v="197"/>
    <x v="197"/>
    <s v="REVENUS"/>
    <x v="2"/>
    <s v="4001.007"/>
    <s v="Acompte impôt sur revenu"/>
    <n v="0"/>
    <n v="5927.22"/>
    <n v="4001"/>
  </r>
  <r>
    <x v="0"/>
    <x v="2"/>
    <x v="2"/>
    <x v="231"/>
    <x v="197"/>
    <x v="197"/>
    <s v="REVENUS"/>
    <x v="3"/>
    <s v="4002.007"/>
    <s v="Acompte impôt sur fortune"/>
    <n v="0"/>
    <n v="1393.55"/>
    <n v="4002"/>
  </r>
  <r>
    <x v="0"/>
    <x v="2"/>
    <x v="2"/>
    <x v="231"/>
    <x v="197"/>
    <x v="197"/>
    <s v="REVENUS"/>
    <x v="12"/>
    <s v="4004.007"/>
    <s v="Acompte spécial étrangers"/>
    <n v="0"/>
    <n v="-179986.95"/>
    <n v="4004"/>
  </r>
  <r>
    <x v="0"/>
    <x v="2"/>
    <x v="2"/>
    <x v="231"/>
    <x v="197"/>
    <x v="197"/>
    <s v="REVENUS"/>
    <x v="3"/>
    <s v="4002.007"/>
    <s v="Acompte impôt sur fortune"/>
    <n v="0"/>
    <n v="75.400000000000006"/>
    <n v="4002"/>
  </r>
  <r>
    <x v="0"/>
    <x v="2"/>
    <x v="2"/>
    <x v="231"/>
    <x v="197"/>
    <x v="197"/>
    <s v="REVENUS"/>
    <x v="3"/>
    <s v="4002.007"/>
    <s v="Acompte impôt sur fortune"/>
    <n v="0"/>
    <n v="-42.7"/>
    <n v="4002"/>
  </r>
  <r>
    <x v="0"/>
    <x v="2"/>
    <x v="2"/>
    <x v="231"/>
    <x v="197"/>
    <x v="197"/>
    <s v="REVENUS"/>
    <x v="2"/>
    <s v="4001.007"/>
    <s v="Acompte impôt sur revenu"/>
    <n v="0"/>
    <n v="-54.95"/>
    <n v="4001"/>
  </r>
  <r>
    <x v="0"/>
    <x v="2"/>
    <x v="2"/>
    <x v="231"/>
    <x v="197"/>
    <x v="197"/>
    <s v="REVENUS"/>
    <x v="2"/>
    <s v="4001.007"/>
    <s v="Acompte impôt sur revenu"/>
    <n v="0"/>
    <n v="-3.35"/>
    <n v="4001"/>
  </r>
  <r>
    <x v="0"/>
    <x v="2"/>
    <x v="2"/>
    <x v="231"/>
    <x v="197"/>
    <x v="197"/>
    <s v="REVENUS"/>
    <x v="3"/>
    <s v="4002.007"/>
    <s v="Acompte impôt sur fortune"/>
    <n v="0"/>
    <n v="-16.05"/>
    <n v="4002"/>
  </r>
  <r>
    <x v="0"/>
    <x v="2"/>
    <x v="2"/>
    <x v="231"/>
    <x v="197"/>
    <x v="197"/>
    <s v="REVENUS"/>
    <x v="3"/>
    <s v="4002.007"/>
    <s v="Acompte impôt sur fortune"/>
    <n v="0"/>
    <n v="24.7"/>
    <n v="4002"/>
  </r>
  <r>
    <x v="0"/>
    <x v="2"/>
    <x v="2"/>
    <x v="231"/>
    <x v="197"/>
    <x v="197"/>
    <s v="REVENUS"/>
    <x v="2"/>
    <s v="4001.001"/>
    <s v="Impôt revenu"/>
    <n v="0"/>
    <n v="1176.45"/>
    <n v="4001"/>
  </r>
  <r>
    <x v="0"/>
    <x v="2"/>
    <x v="2"/>
    <x v="231"/>
    <x v="197"/>
    <x v="197"/>
    <s v="REVENUS"/>
    <x v="3"/>
    <s v="4002.001"/>
    <s v="Impôt ordinaire s/fortune PP"/>
    <n v="0"/>
    <n v="387.7"/>
    <n v="4002"/>
  </r>
  <r>
    <x v="0"/>
    <x v="2"/>
    <x v="2"/>
    <x v="231"/>
    <x v="197"/>
    <x v="197"/>
    <s v="REVENUS"/>
    <x v="6"/>
    <s v="4211.002"/>
    <s v="Intérêts de retard sur acomptes"/>
    <n v="0"/>
    <n v="0.15"/>
    <n v="4211"/>
  </r>
  <r>
    <x v="0"/>
    <x v="2"/>
    <x v="2"/>
    <x v="231"/>
    <x v="197"/>
    <x v="197"/>
    <s v="REVENUS"/>
    <x v="3"/>
    <s v="4002.001"/>
    <s v="Impôt ordinaire s/fortune PP"/>
    <n v="0"/>
    <n v="815.3"/>
    <n v="4002"/>
  </r>
  <r>
    <x v="0"/>
    <x v="2"/>
    <x v="2"/>
    <x v="231"/>
    <x v="197"/>
    <x v="197"/>
    <s v="REVENUS"/>
    <x v="2"/>
    <s v="4001.002"/>
    <s v="Impôt complément s/revenu PP"/>
    <n v="0"/>
    <n v="4490.8"/>
    <n v="4001"/>
  </r>
  <r>
    <x v="0"/>
    <x v="2"/>
    <x v="2"/>
    <x v="231"/>
    <x v="197"/>
    <x v="197"/>
    <s v="REVENUS"/>
    <x v="3"/>
    <s v="4002.002"/>
    <s v="Impôt complémentaire s/fortune PP"/>
    <n v="0"/>
    <n v="273"/>
    <n v="4002"/>
  </r>
  <r>
    <x v="0"/>
    <x v="2"/>
    <x v="2"/>
    <x v="231"/>
    <x v="197"/>
    <x v="197"/>
    <s v="REVENUS"/>
    <x v="9"/>
    <s v="4031.002"/>
    <s v="Complément impôt sur les gains immobiliers"/>
    <n v="0"/>
    <n v="15537.5"/>
    <n v="4031"/>
  </r>
  <r>
    <x v="0"/>
    <x v="2"/>
    <x v="2"/>
    <x v="231"/>
    <x v="197"/>
    <x v="197"/>
    <s v="REVENUS"/>
    <x v="2"/>
    <s v="4001.001"/>
    <s v="Impôt revenu"/>
    <n v="0"/>
    <n v="4509.05"/>
    <n v="4001"/>
  </r>
  <r>
    <x v="0"/>
    <x v="2"/>
    <x v="2"/>
    <x v="231"/>
    <x v="197"/>
    <x v="197"/>
    <s v="REVENUS"/>
    <x v="6"/>
    <s v="4211.002"/>
    <s v="Intérêts de retard sur acomptes"/>
    <n v="0"/>
    <n v="13.88"/>
    <n v="4211"/>
  </r>
  <r>
    <x v="0"/>
    <x v="2"/>
    <x v="2"/>
    <x v="231"/>
    <x v="197"/>
    <x v="197"/>
    <s v="REVENUS"/>
    <x v="6"/>
    <s v="4221.003"/>
    <s v="Intérêts compensat. / acomptes en faveur du fisc"/>
    <n v="0"/>
    <n v="0.43"/>
    <n v="4221"/>
  </r>
  <r>
    <x v="0"/>
    <x v="2"/>
    <x v="2"/>
    <x v="231"/>
    <x v="197"/>
    <x v="197"/>
    <s v="REVENUS"/>
    <x v="2"/>
    <s v="4001.001"/>
    <s v="Impôt revenu"/>
    <n v="0"/>
    <n v="2169"/>
    <n v="4001"/>
  </r>
  <r>
    <x v="0"/>
    <x v="2"/>
    <x v="2"/>
    <x v="231"/>
    <x v="197"/>
    <x v="197"/>
    <s v="REVENUS"/>
    <x v="3"/>
    <s v="4002.001"/>
    <s v="Impôt ordinaire s/fortune PP"/>
    <n v="0"/>
    <n v="5936.3"/>
    <n v="4002"/>
  </r>
  <r>
    <x v="0"/>
    <x v="2"/>
    <x v="2"/>
    <x v="231"/>
    <x v="197"/>
    <x v="197"/>
    <s v="REVENUS"/>
    <x v="6"/>
    <s v="4211.002"/>
    <s v="Intérêts de retard sur acomptes"/>
    <n v="0"/>
    <n v="6.48"/>
    <n v="4211"/>
  </r>
  <r>
    <x v="0"/>
    <x v="2"/>
    <x v="2"/>
    <x v="231"/>
    <x v="197"/>
    <x v="197"/>
    <s v="REVENUS"/>
    <x v="5"/>
    <s v="4061.000"/>
    <s v="Impôt sur les chiens"/>
    <n v="0"/>
    <n v="16945"/>
    <n v="4061"/>
  </r>
  <r>
    <x v="0"/>
    <x v="2"/>
    <x v="2"/>
    <x v="231"/>
    <x v="197"/>
    <x v="197"/>
    <s v="REVENUS"/>
    <x v="2"/>
    <s v="4001.002"/>
    <s v="Impôt complément s/revenu PP"/>
    <n v="0"/>
    <n v="1403.75"/>
    <n v="4001"/>
  </r>
  <r>
    <x v="0"/>
    <x v="2"/>
    <x v="2"/>
    <x v="231"/>
    <x v="197"/>
    <x v="197"/>
    <s v="REVENUS"/>
    <x v="3"/>
    <s v="4002.002"/>
    <s v="Impôt complémentaire s/fortune PP"/>
    <n v="0"/>
    <n v="301"/>
    <n v="4002"/>
  </r>
  <r>
    <x v="0"/>
    <x v="2"/>
    <x v="2"/>
    <x v="231"/>
    <x v="197"/>
    <x v="197"/>
    <s v="REVENUS"/>
    <x v="2"/>
    <s v="4001.001"/>
    <s v="Impôt revenu"/>
    <n v="0"/>
    <n v="21497.200000000001"/>
    <n v="4001"/>
  </r>
  <r>
    <x v="0"/>
    <x v="2"/>
    <x v="2"/>
    <x v="231"/>
    <x v="197"/>
    <x v="197"/>
    <s v="REVENUS"/>
    <x v="3"/>
    <s v="4002.001"/>
    <s v="Impôt ordinaire s/fortune PP"/>
    <n v="0"/>
    <n v="4905.75"/>
    <n v="4002"/>
  </r>
  <r>
    <x v="0"/>
    <x v="2"/>
    <x v="2"/>
    <x v="231"/>
    <x v="197"/>
    <x v="197"/>
    <s v="REVENUS"/>
    <x v="6"/>
    <s v="4211.002"/>
    <s v="Intérêts de retard sur acomptes"/>
    <n v="0"/>
    <n v="1188.3900000000001"/>
    <n v="4211"/>
  </r>
  <r>
    <x v="0"/>
    <x v="2"/>
    <x v="2"/>
    <x v="231"/>
    <x v="197"/>
    <x v="197"/>
    <s v="REVENUS"/>
    <x v="2"/>
    <s v="4001.001"/>
    <s v="Impôt revenu"/>
    <n v="0"/>
    <n v="-42892.05"/>
    <n v="4001"/>
  </r>
  <r>
    <x v="0"/>
    <x v="2"/>
    <x v="2"/>
    <x v="231"/>
    <x v="197"/>
    <x v="197"/>
    <s v="REVENUS"/>
    <x v="3"/>
    <s v="4002.001"/>
    <s v="Impôt ordinaire s/fortune PP"/>
    <n v="0"/>
    <n v="-7119.85"/>
    <n v="4002"/>
  </r>
  <r>
    <x v="0"/>
    <x v="2"/>
    <x v="2"/>
    <x v="231"/>
    <x v="197"/>
    <x v="197"/>
    <s v="REVENUS"/>
    <x v="6"/>
    <s v="4221.003"/>
    <s v="Intérêts compensat. / acomptes en faveur du fisc"/>
    <n v="0"/>
    <n v="-0.1"/>
    <n v="4221"/>
  </r>
  <r>
    <x v="0"/>
    <x v="2"/>
    <x v="2"/>
    <x v="231"/>
    <x v="197"/>
    <x v="197"/>
    <s v="REVENUS"/>
    <x v="2"/>
    <s v="4001.001"/>
    <s v="Impôt revenu"/>
    <n v="0"/>
    <n v="-48564.05"/>
    <n v="4001"/>
  </r>
  <r>
    <x v="0"/>
    <x v="2"/>
    <x v="2"/>
    <x v="231"/>
    <x v="197"/>
    <x v="197"/>
    <s v="REVENUS"/>
    <x v="2"/>
    <s v="4001.002"/>
    <s v="Impôt complément s/revenu PP"/>
    <n v="0"/>
    <n v="-11962.95"/>
    <n v="4001"/>
  </r>
  <r>
    <x v="0"/>
    <x v="2"/>
    <x v="2"/>
    <x v="231"/>
    <x v="197"/>
    <x v="197"/>
    <s v="REVENUS"/>
    <x v="3"/>
    <s v="4002.001"/>
    <s v="Impôt ordinaire s/fortune PP"/>
    <n v="0"/>
    <n v="-6936.9"/>
    <n v="4002"/>
  </r>
  <r>
    <x v="0"/>
    <x v="2"/>
    <x v="2"/>
    <x v="231"/>
    <x v="197"/>
    <x v="197"/>
    <s v="REVENUS"/>
    <x v="3"/>
    <s v="4002.002"/>
    <s v="Impôt complémentaire s/fortune PP"/>
    <n v="0"/>
    <n v="-1632.7"/>
    <n v="4002"/>
  </r>
  <r>
    <x v="0"/>
    <x v="2"/>
    <x v="2"/>
    <x v="231"/>
    <x v="197"/>
    <x v="197"/>
    <s v="REVENUS"/>
    <x v="6"/>
    <s v="4211.001"/>
    <s v="Intérêts de retard sur factures"/>
    <n v="0"/>
    <n v="-0.34"/>
    <n v="4211"/>
  </r>
  <r>
    <x v="0"/>
    <x v="2"/>
    <x v="2"/>
    <x v="231"/>
    <x v="197"/>
    <x v="197"/>
    <s v="REVENUS"/>
    <x v="6"/>
    <s v="4211.002"/>
    <s v="Intérêts de retard sur acomptes"/>
    <n v="0"/>
    <n v="0.04"/>
    <n v="4211"/>
  </r>
  <r>
    <x v="0"/>
    <x v="2"/>
    <x v="2"/>
    <x v="231"/>
    <x v="197"/>
    <x v="197"/>
    <s v="REVENUS"/>
    <x v="6"/>
    <s v="4221.003"/>
    <s v="Intérêts compensat. / acomptes en faveur du fisc"/>
    <n v="0"/>
    <n v="-50.99"/>
    <n v="4221"/>
  </r>
  <r>
    <x v="0"/>
    <x v="2"/>
    <x v="2"/>
    <x v="231"/>
    <x v="197"/>
    <x v="197"/>
    <s v="REVENUS"/>
    <x v="8"/>
    <s v="4091.001"/>
    <s v="Impôt récupéré après défalcations"/>
    <n v="0"/>
    <n v="3054.84"/>
    <n v="4091"/>
  </r>
  <r>
    <x v="0"/>
    <x v="2"/>
    <x v="2"/>
    <x v="231"/>
    <x v="197"/>
    <x v="197"/>
    <s v="REVENUS"/>
    <x v="12"/>
    <s v="4004.000"/>
    <s v="Impôt spécial étrangers"/>
    <n v="0"/>
    <n v="362052.25"/>
    <n v="4004"/>
  </r>
  <r>
    <x v="0"/>
    <x v="2"/>
    <x v="2"/>
    <x v="231"/>
    <x v="197"/>
    <x v="197"/>
    <s v="REVENUS"/>
    <x v="2"/>
    <s v="4001.001"/>
    <s v="Impôt revenu"/>
    <n v="0"/>
    <n v="90.3"/>
    <n v="4001"/>
  </r>
  <r>
    <x v="0"/>
    <x v="2"/>
    <x v="2"/>
    <x v="231"/>
    <x v="197"/>
    <x v="197"/>
    <s v="REVENUS"/>
    <x v="3"/>
    <s v="4002.001"/>
    <s v="Impôt ordinaire s/fortune PP"/>
    <n v="0"/>
    <n v="84.1"/>
    <n v="4002"/>
  </r>
  <r>
    <x v="0"/>
    <x v="2"/>
    <x v="2"/>
    <x v="231"/>
    <x v="197"/>
    <x v="197"/>
    <s v="REVENUS"/>
    <x v="2"/>
    <s v="4001.007"/>
    <s v="Acompte impôt sur revenu"/>
    <n v="0"/>
    <n v="-28032.6"/>
    <n v="4001"/>
  </r>
  <r>
    <x v="0"/>
    <x v="2"/>
    <x v="2"/>
    <x v="231"/>
    <x v="197"/>
    <x v="197"/>
    <s v="REVENUS"/>
    <x v="3"/>
    <s v="4002.007"/>
    <s v="Acompte impôt sur fortune"/>
    <n v="0"/>
    <n v="-6151.95"/>
    <n v="4002"/>
  </r>
  <r>
    <x v="0"/>
    <x v="2"/>
    <x v="2"/>
    <x v="231"/>
    <x v="197"/>
    <x v="197"/>
    <s v="REVENUS"/>
    <x v="6"/>
    <s v="4211.001"/>
    <s v="Intérêts de retard sur factures"/>
    <n v="0"/>
    <n v="0.99"/>
    <n v="4211"/>
  </r>
  <r>
    <x v="0"/>
    <x v="2"/>
    <x v="2"/>
    <x v="232"/>
    <x v="198"/>
    <x v="198"/>
    <s v="CHARGES"/>
    <x v="0"/>
    <s v="3212.004"/>
    <s v="Intérêts rémun./perçu trop tôt sur acomptes C/C"/>
    <n v="510.8"/>
    <n v="0"/>
    <n v="3212"/>
  </r>
  <r>
    <x v="0"/>
    <x v="2"/>
    <x v="2"/>
    <x v="232"/>
    <x v="198"/>
    <x v="198"/>
    <s v="CHARGES"/>
    <x v="0"/>
    <s v="3221.002"/>
    <s v="Intérêts compensatoires / créances en faveur ctb."/>
    <n v="115.04"/>
    <n v="0"/>
    <n v="3221"/>
  </r>
  <r>
    <x v="0"/>
    <x v="2"/>
    <x v="2"/>
    <x v="232"/>
    <x v="198"/>
    <x v="198"/>
    <s v="CHARGES"/>
    <x v="1"/>
    <s v="3301.001"/>
    <s v="Défalcations, abandons de solde PP et IS"/>
    <n v="37548.18"/>
    <n v="0"/>
    <n v="3301"/>
  </r>
  <r>
    <x v="0"/>
    <x v="2"/>
    <x v="2"/>
    <x v="232"/>
    <x v="198"/>
    <x v="198"/>
    <s v="CHARGES"/>
    <x v="0"/>
    <s v="3212.002"/>
    <s v="Intérêts bonifiés/trop perçu acompte C/C"/>
    <n v="36.270000000000003"/>
    <n v="0"/>
    <n v="3212"/>
  </r>
  <r>
    <x v="0"/>
    <x v="2"/>
    <x v="2"/>
    <x v="232"/>
    <x v="198"/>
    <x v="198"/>
    <s v="CHARGES"/>
    <x v="1"/>
    <s v="3301.001"/>
    <s v="Défalcations, abandons de solde PP et IS"/>
    <n v="32740.44"/>
    <n v="0"/>
    <n v="3301"/>
  </r>
  <r>
    <x v="0"/>
    <x v="2"/>
    <x v="2"/>
    <x v="232"/>
    <x v="198"/>
    <x v="198"/>
    <s v="CHARGES"/>
    <x v="0"/>
    <s v="3212.004"/>
    <s v="Intérêts rémun./perçu trop tôt sur acomptes C/C"/>
    <n v="0.14000000000000001"/>
    <n v="0"/>
    <n v="3212"/>
  </r>
  <r>
    <x v="0"/>
    <x v="2"/>
    <x v="2"/>
    <x v="232"/>
    <x v="198"/>
    <x v="198"/>
    <s v="CHARGES"/>
    <x v="0"/>
    <s v="3221.002"/>
    <s v="Intérêts compensatoires / créances en faveur ctb."/>
    <n v="0.75"/>
    <n v="0"/>
    <n v="3221"/>
  </r>
  <r>
    <x v="0"/>
    <x v="2"/>
    <x v="2"/>
    <x v="232"/>
    <x v="198"/>
    <x v="198"/>
    <s v="CHARGES"/>
    <x v="0"/>
    <s v="3212.004"/>
    <s v="Intérêts rémun./perçu trop tôt sur acomptes C/C"/>
    <n v="0.12"/>
    <n v="0"/>
    <n v="3212"/>
  </r>
  <r>
    <x v="0"/>
    <x v="2"/>
    <x v="2"/>
    <x v="232"/>
    <x v="198"/>
    <x v="198"/>
    <s v="REVENUS"/>
    <x v="2"/>
    <s v="4001.001"/>
    <s v="Impôt revenu"/>
    <n v="0"/>
    <n v="2541635.9500000002"/>
    <n v="4001"/>
  </r>
  <r>
    <x v="0"/>
    <x v="2"/>
    <x v="2"/>
    <x v="232"/>
    <x v="198"/>
    <x v="198"/>
    <s v="REVENUS"/>
    <x v="2"/>
    <s v="4001.007"/>
    <s v="Acompte impôt sur revenu"/>
    <n v="0"/>
    <n v="160754.21"/>
    <n v="4001"/>
  </r>
  <r>
    <x v="0"/>
    <x v="2"/>
    <x v="2"/>
    <x v="232"/>
    <x v="198"/>
    <x v="198"/>
    <s v="REVENUS"/>
    <x v="3"/>
    <s v="4002.001"/>
    <s v="Impôt ordinaire s/fortune PP"/>
    <n v="0"/>
    <n v="440858.1"/>
    <n v="4002"/>
  </r>
  <r>
    <x v="0"/>
    <x v="2"/>
    <x v="2"/>
    <x v="232"/>
    <x v="198"/>
    <x v="198"/>
    <s v="REVENUS"/>
    <x v="3"/>
    <s v="4002.007"/>
    <s v="Acompte impôt sur fortune"/>
    <n v="0"/>
    <n v="84612.4"/>
    <n v="4002"/>
  </r>
  <r>
    <x v="0"/>
    <x v="2"/>
    <x v="2"/>
    <x v="232"/>
    <x v="198"/>
    <x v="198"/>
    <s v="REVENUS"/>
    <x v="6"/>
    <s v="4211.001"/>
    <s v="Intérêts de retard sur factures"/>
    <n v="0"/>
    <n v="41457.089999999997"/>
    <n v="4211"/>
  </r>
  <r>
    <x v="0"/>
    <x v="2"/>
    <x v="2"/>
    <x v="232"/>
    <x v="198"/>
    <x v="198"/>
    <s v="REVENUS"/>
    <x v="6"/>
    <s v="4221.003"/>
    <s v="Intérêts compensat. / acomptes en faveur du fisc"/>
    <n v="0"/>
    <n v="931.8"/>
    <n v="4221"/>
  </r>
  <r>
    <x v="0"/>
    <x v="2"/>
    <x v="2"/>
    <x v="232"/>
    <x v="198"/>
    <x v="198"/>
    <s v="REVENUS"/>
    <x v="2"/>
    <s v="4001.002"/>
    <s v="Impôt complément s/revenu PP"/>
    <n v="0"/>
    <n v="558780.6"/>
    <n v="4001"/>
  </r>
  <r>
    <x v="0"/>
    <x v="2"/>
    <x v="2"/>
    <x v="232"/>
    <x v="198"/>
    <x v="198"/>
    <s v="REVENUS"/>
    <x v="3"/>
    <s v="4002.002"/>
    <s v="Impôt complémentaire s/fortune PP"/>
    <n v="0"/>
    <n v="128839.9"/>
    <n v="4002"/>
  </r>
  <r>
    <x v="0"/>
    <x v="2"/>
    <x v="2"/>
    <x v="232"/>
    <x v="198"/>
    <x v="198"/>
    <s v="REVENUS"/>
    <x v="6"/>
    <s v="4211.002"/>
    <s v="Intérêts de retard sur acomptes"/>
    <n v="0"/>
    <n v="16292.67"/>
    <n v="4211"/>
  </r>
  <r>
    <x v="0"/>
    <x v="2"/>
    <x v="2"/>
    <x v="232"/>
    <x v="198"/>
    <x v="198"/>
    <s v="REVENUS"/>
    <x v="2"/>
    <s v="4001.003"/>
    <s v="Impôt s/prest. cap. PP"/>
    <n v="0"/>
    <n v="47073.75"/>
    <n v="4001"/>
  </r>
  <r>
    <x v="0"/>
    <x v="2"/>
    <x v="2"/>
    <x v="232"/>
    <x v="198"/>
    <x v="198"/>
    <s v="REVENUS"/>
    <x v="11"/>
    <s v="4198.000"/>
    <s v="Contributions communales"/>
    <n v="0"/>
    <n v="252111.55"/>
    <n v="4198"/>
  </r>
  <r>
    <x v="0"/>
    <x v="2"/>
    <x v="2"/>
    <x v="232"/>
    <x v="198"/>
    <x v="198"/>
    <s v="REVENUS"/>
    <x v="6"/>
    <s v="4221.002"/>
    <s v="Intérêts compensat. sur impôts distincts"/>
    <n v="0"/>
    <n v="37.46"/>
    <n v="4221"/>
  </r>
  <r>
    <x v="0"/>
    <x v="2"/>
    <x v="2"/>
    <x v="232"/>
    <x v="198"/>
    <x v="198"/>
    <s v="REVENUS"/>
    <x v="10"/>
    <s v="4041.001"/>
    <s v="Droits de mutation"/>
    <n v="0"/>
    <n v="243845.8"/>
    <n v="4041"/>
  </r>
  <r>
    <x v="0"/>
    <x v="2"/>
    <x v="2"/>
    <x v="232"/>
    <x v="198"/>
    <x v="198"/>
    <s v="REVENUS"/>
    <x v="7"/>
    <s v="4184.000"/>
    <s v="Frais de poursuite"/>
    <n v="0"/>
    <n v="2749.58"/>
    <n v="4184"/>
  </r>
  <r>
    <x v="0"/>
    <x v="2"/>
    <x v="2"/>
    <x v="232"/>
    <x v="198"/>
    <x v="198"/>
    <s v="REVENUS"/>
    <x v="9"/>
    <s v="4031.001"/>
    <s v="Impôt sur les gains immobiliers"/>
    <n v="0"/>
    <n v="234275.15"/>
    <n v="4031"/>
  </r>
  <r>
    <x v="0"/>
    <x v="2"/>
    <x v="2"/>
    <x v="232"/>
    <x v="198"/>
    <x v="198"/>
    <s v="REVENUS"/>
    <x v="2"/>
    <s v="4001.007"/>
    <s v="Acompte impôt sur revenu"/>
    <n v="0"/>
    <n v="1039.6500000000001"/>
    <n v="4001"/>
  </r>
  <r>
    <x v="0"/>
    <x v="2"/>
    <x v="2"/>
    <x v="232"/>
    <x v="198"/>
    <x v="198"/>
    <s v="REVENUS"/>
    <x v="3"/>
    <s v="4002.007"/>
    <s v="Acompte impôt sur fortune"/>
    <n v="0"/>
    <n v="286.8"/>
    <n v="4002"/>
  </r>
  <r>
    <x v="0"/>
    <x v="2"/>
    <x v="2"/>
    <x v="232"/>
    <x v="198"/>
    <x v="198"/>
    <s v="REVENUS"/>
    <x v="3"/>
    <s v="4002.007"/>
    <s v="Acompte impôt sur fortune"/>
    <n v="0"/>
    <n v="3.25"/>
    <n v="4002"/>
  </r>
  <r>
    <x v="0"/>
    <x v="2"/>
    <x v="2"/>
    <x v="232"/>
    <x v="198"/>
    <x v="198"/>
    <s v="REVENUS"/>
    <x v="2"/>
    <s v="4001.007"/>
    <s v="Acompte impôt sur revenu"/>
    <n v="0"/>
    <n v="17.8"/>
    <n v="4001"/>
  </r>
  <r>
    <x v="0"/>
    <x v="2"/>
    <x v="2"/>
    <x v="232"/>
    <x v="198"/>
    <x v="198"/>
    <s v="REVENUS"/>
    <x v="5"/>
    <s v="4061.000"/>
    <s v="Impôt sur les chiens"/>
    <n v="0"/>
    <n v="10800"/>
    <n v="4061"/>
  </r>
  <r>
    <x v="0"/>
    <x v="2"/>
    <x v="2"/>
    <x v="232"/>
    <x v="198"/>
    <x v="198"/>
    <s v="REVENUS"/>
    <x v="2"/>
    <s v="4001.001"/>
    <s v="Impôt revenu"/>
    <n v="0"/>
    <n v="2535.35"/>
    <n v="4001"/>
  </r>
  <r>
    <x v="0"/>
    <x v="2"/>
    <x v="2"/>
    <x v="232"/>
    <x v="198"/>
    <x v="198"/>
    <s v="REVENUS"/>
    <x v="3"/>
    <s v="4002.001"/>
    <s v="Impôt ordinaire s/fortune PP"/>
    <n v="0"/>
    <n v="282.7"/>
    <n v="4002"/>
  </r>
  <r>
    <x v="0"/>
    <x v="2"/>
    <x v="2"/>
    <x v="232"/>
    <x v="198"/>
    <x v="198"/>
    <s v="REVENUS"/>
    <x v="6"/>
    <s v="4211.002"/>
    <s v="Intérêts de retard sur acomptes"/>
    <n v="0"/>
    <n v="2.93"/>
    <n v="4211"/>
  </r>
  <r>
    <x v="0"/>
    <x v="2"/>
    <x v="2"/>
    <x v="232"/>
    <x v="198"/>
    <x v="198"/>
    <s v="REVENUS"/>
    <x v="3"/>
    <s v="4002.001"/>
    <s v="Impôt ordinaire s/fortune PP"/>
    <n v="0"/>
    <n v="0"/>
    <n v="4002"/>
  </r>
  <r>
    <x v="0"/>
    <x v="2"/>
    <x v="2"/>
    <x v="232"/>
    <x v="198"/>
    <x v="198"/>
    <s v="REVENUS"/>
    <x v="7"/>
    <s v="4184.000"/>
    <s v="Frais de poursuite"/>
    <n v="0"/>
    <n v="50.11"/>
    <n v="4184"/>
  </r>
  <r>
    <x v="0"/>
    <x v="2"/>
    <x v="2"/>
    <x v="232"/>
    <x v="198"/>
    <x v="198"/>
    <s v="REVENUS"/>
    <x v="4"/>
    <s v="4051.001"/>
    <s v="Impôt sur les successions"/>
    <n v="0"/>
    <n v="22827.8"/>
    <n v="4051"/>
  </r>
  <r>
    <x v="0"/>
    <x v="2"/>
    <x v="2"/>
    <x v="232"/>
    <x v="198"/>
    <x v="198"/>
    <s v="REVENUS"/>
    <x v="2"/>
    <s v="4001.007"/>
    <s v="Acompte impôt sur revenu"/>
    <n v="0"/>
    <n v="-1275.8699999999999"/>
    <n v="4001"/>
  </r>
  <r>
    <x v="0"/>
    <x v="2"/>
    <x v="2"/>
    <x v="232"/>
    <x v="198"/>
    <x v="198"/>
    <s v="REVENUS"/>
    <x v="3"/>
    <s v="4002.007"/>
    <s v="Acompte impôt sur fortune"/>
    <n v="0"/>
    <n v="-141.11000000000001"/>
    <n v="4002"/>
  </r>
  <r>
    <x v="0"/>
    <x v="2"/>
    <x v="2"/>
    <x v="232"/>
    <x v="198"/>
    <x v="198"/>
    <s v="REVENUS"/>
    <x v="2"/>
    <s v="4001.001"/>
    <s v="Impôt revenu"/>
    <n v="0"/>
    <n v="191.1"/>
    <n v="4001"/>
  </r>
  <r>
    <x v="0"/>
    <x v="2"/>
    <x v="2"/>
    <x v="232"/>
    <x v="198"/>
    <x v="198"/>
    <s v="REVENUS"/>
    <x v="2"/>
    <s v="4001.007"/>
    <s v="Acompte impôt sur revenu"/>
    <n v="0"/>
    <n v="-664.54"/>
    <n v="4001"/>
  </r>
  <r>
    <x v="0"/>
    <x v="2"/>
    <x v="2"/>
    <x v="232"/>
    <x v="198"/>
    <x v="198"/>
    <s v="REVENUS"/>
    <x v="6"/>
    <s v="4211.002"/>
    <s v="Intérêts de retard sur acomptes"/>
    <n v="0"/>
    <n v="3.6"/>
    <n v="4211"/>
  </r>
  <r>
    <x v="0"/>
    <x v="2"/>
    <x v="2"/>
    <x v="232"/>
    <x v="198"/>
    <x v="198"/>
    <s v="REVENUS"/>
    <x v="2"/>
    <s v="4001.002"/>
    <s v="Impôt complément s/revenu PP"/>
    <n v="0"/>
    <n v="18.05"/>
    <n v="4001"/>
  </r>
  <r>
    <x v="0"/>
    <x v="2"/>
    <x v="2"/>
    <x v="232"/>
    <x v="198"/>
    <x v="198"/>
    <s v="REVENUS"/>
    <x v="3"/>
    <s v="4002.002"/>
    <s v="Impôt complémentaire s/fortune PP"/>
    <n v="0"/>
    <n v="389.15"/>
    <n v="4002"/>
  </r>
  <r>
    <x v="0"/>
    <x v="2"/>
    <x v="2"/>
    <x v="232"/>
    <x v="198"/>
    <x v="198"/>
    <s v="REVENUS"/>
    <x v="6"/>
    <s v="4211.001"/>
    <s v="Intérêts de retard sur factures"/>
    <n v="0"/>
    <n v="1.55"/>
    <n v="4211"/>
  </r>
  <r>
    <x v="0"/>
    <x v="2"/>
    <x v="2"/>
    <x v="232"/>
    <x v="198"/>
    <x v="198"/>
    <s v="REVENUS"/>
    <x v="8"/>
    <s v="4091.001"/>
    <s v="Impôt récupéré après défalcations"/>
    <n v="0"/>
    <n v="540.36"/>
    <n v="4091"/>
  </r>
  <r>
    <x v="0"/>
    <x v="2"/>
    <x v="2"/>
    <x v="232"/>
    <x v="198"/>
    <x v="198"/>
    <s v="REVENUS"/>
    <x v="3"/>
    <s v="4002.001"/>
    <s v="Impôt ordinaire s/fortune PP"/>
    <n v="0"/>
    <n v="19"/>
    <n v="4002"/>
  </r>
  <r>
    <x v="0"/>
    <x v="2"/>
    <x v="2"/>
    <x v="233"/>
    <x v="199"/>
    <x v="199"/>
    <s v="CHARGES"/>
    <x v="0"/>
    <s v="3212.002"/>
    <s v="Intérêts bonifiés/trop perçu acompte C/C"/>
    <n v="72.33"/>
    <n v="0"/>
    <n v="3212"/>
  </r>
  <r>
    <x v="0"/>
    <x v="2"/>
    <x v="2"/>
    <x v="233"/>
    <x v="199"/>
    <x v="199"/>
    <s v="CHARGES"/>
    <x v="0"/>
    <s v="3212.004"/>
    <s v="Intérêts rémun./perçu trop tôt sur acomptes C/C"/>
    <n v="734.8"/>
    <n v="0"/>
    <n v="3212"/>
  </r>
  <r>
    <x v="0"/>
    <x v="2"/>
    <x v="2"/>
    <x v="233"/>
    <x v="199"/>
    <x v="199"/>
    <s v="CHARGES"/>
    <x v="0"/>
    <s v="3221.002"/>
    <s v="Intérêts compensatoires / créances en faveur ctb."/>
    <n v="144.4"/>
    <n v="0"/>
    <n v="3221"/>
  </r>
  <r>
    <x v="0"/>
    <x v="2"/>
    <x v="2"/>
    <x v="233"/>
    <x v="199"/>
    <x v="199"/>
    <s v="CHARGES"/>
    <x v="1"/>
    <s v="3301.001"/>
    <s v="Défalcations, abandons de solde PP et IS"/>
    <n v="119772.28"/>
    <n v="0"/>
    <n v="3301"/>
  </r>
  <r>
    <x v="0"/>
    <x v="2"/>
    <x v="2"/>
    <x v="233"/>
    <x v="199"/>
    <x v="199"/>
    <s v="CHARGES"/>
    <x v="1"/>
    <s v="3301.001"/>
    <s v="Défalcations, abandons de solde PP et IS"/>
    <n v="0.72"/>
    <n v="0"/>
    <n v="3301"/>
  </r>
  <r>
    <x v="0"/>
    <x v="2"/>
    <x v="2"/>
    <x v="233"/>
    <x v="199"/>
    <x v="199"/>
    <s v="CHARGES"/>
    <x v="1"/>
    <s v="3301.001"/>
    <s v="Défalcations, abandons de solde PP et IS"/>
    <n v="185.45"/>
    <n v="0"/>
    <n v="3301"/>
  </r>
  <r>
    <x v="0"/>
    <x v="2"/>
    <x v="2"/>
    <x v="233"/>
    <x v="199"/>
    <x v="199"/>
    <s v="CHARGES"/>
    <x v="0"/>
    <s v="3221.002"/>
    <s v="Intérêts compensatoires / créances en faveur ctb."/>
    <n v="0.8"/>
    <n v="0"/>
    <n v="3221"/>
  </r>
  <r>
    <x v="0"/>
    <x v="2"/>
    <x v="2"/>
    <x v="233"/>
    <x v="199"/>
    <x v="199"/>
    <s v="CHARGES"/>
    <x v="0"/>
    <s v="3212.004"/>
    <s v="Intérêts rémun./perçu trop tôt sur acomptes C/C"/>
    <n v="-0.9"/>
    <n v="0"/>
    <n v="3212"/>
  </r>
  <r>
    <x v="0"/>
    <x v="2"/>
    <x v="2"/>
    <x v="233"/>
    <x v="199"/>
    <x v="199"/>
    <s v="CHARGES"/>
    <x v="0"/>
    <s v="3221.002"/>
    <s v="Intérêts compensatoires / créances en faveur ctb."/>
    <n v="-0.05"/>
    <n v="0"/>
    <n v="3221"/>
  </r>
  <r>
    <x v="0"/>
    <x v="2"/>
    <x v="2"/>
    <x v="233"/>
    <x v="199"/>
    <x v="199"/>
    <s v="CHARGES"/>
    <x v="1"/>
    <s v="3301.001"/>
    <s v="Défalcations, abandons de solde PP et IS"/>
    <n v="-0.02"/>
    <n v="0"/>
    <n v="3301"/>
  </r>
  <r>
    <x v="0"/>
    <x v="2"/>
    <x v="2"/>
    <x v="233"/>
    <x v="199"/>
    <x v="199"/>
    <s v="CHARGES"/>
    <x v="0"/>
    <s v="3221.002"/>
    <s v="Intérêts compensatoires / créances en faveur ctb."/>
    <n v="0.6"/>
    <n v="0"/>
    <n v="3221"/>
  </r>
  <r>
    <x v="0"/>
    <x v="2"/>
    <x v="2"/>
    <x v="233"/>
    <x v="199"/>
    <x v="199"/>
    <s v="CHARGES"/>
    <x v="0"/>
    <s v="3212.004"/>
    <s v="Intérêts rémun./perçu trop tôt sur acomptes C/C"/>
    <n v="0.03"/>
    <n v="0"/>
    <n v="3212"/>
  </r>
  <r>
    <x v="0"/>
    <x v="2"/>
    <x v="2"/>
    <x v="233"/>
    <x v="199"/>
    <x v="199"/>
    <s v="CHARGES"/>
    <x v="1"/>
    <s v="3301.001"/>
    <s v="Défalcations, abandons de solde PP et IS"/>
    <n v="1505.93"/>
    <n v="0"/>
    <n v="3301"/>
  </r>
  <r>
    <x v="0"/>
    <x v="2"/>
    <x v="2"/>
    <x v="233"/>
    <x v="199"/>
    <x v="199"/>
    <s v="CHARGES"/>
    <x v="0"/>
    <s v="3212.004"/>
    <s v="Intérêts rémun./perçu trop tôt sur acomptes C/C"/>
    <n v="2.02"/>
    <n v="0"/>
    <n v="3212"/>
  </r>
  <r>
    <x v="0"/>
    <x v="2"/>
    <x v="2"/>
    <x v="233"/>
    <x v="199"/>
    <x v="199"/>
    <s v="CHARGES"/>
    <x v="1"/>
    <s v="3301.003"/>
    <s v="Remises PP et IS"/>
    <n v="2632.38"/>
    <n v="0"/>
    <n v="3301"/>
  </r>
  <r>
    <x v="0"/>
    <x v="2"/>
    <x v="2"/>
    <x v="233"/>
    <x v="199"/>
    <x v="199"/>
    <s v="CHARGES"/>
    <x v="0"/>
    <s v="3212.004"/>
    <s v="Intérêts rémun./perçu trop tôt sur acomptes C/C"/>
    <n v="0.87"/>
    <n v="0"/>
    <n v="3212"/>
  </r>
  <r>
    <x v="0"/>
    <x v="2"/>
    <x v="2"/>
    <x v="233"/>
    <x v="199"/>
    <x v="199"/>
    <s v="CHARGES"/>
    <x v="0"/>
    <s v="3221.002"/>
    <s v="Intérêts compensatoires / créances en faveur ctb."/>
    <n v="0.33"/>
    <n v="0"/>
    <n v="3221"/>
  </r>
  <r>
    <x v="0"/>
    <x v="2"/>
    <x v="2"/>
    <x v="233"/>
    <x v="199"/>
    <x v="199"/>
    <s v="CHARGES"/>
    <x v="0"/>
    <s v="3212.004"/>
    <s v="Intérêts rémun./perçu trop tôt sur acomptes C/C"/>
    <n v="0.54"/>
    <n v="0"/>
    <n v="3212"/>
  </r>
  <r>
    <x v="0"/>
    <x v="2"/>
    <x v="2"/>
    <x v="233"/>
    <x v="199"/>
    <x v="199"/>
    <s v="CHARGES"/>
    <x v="0"/>
    <s v="3212.004"/>
    <s v="Intérêts rémun./perçu trop tôt sur acomptes C/C"/>
    <n v="1.1399999999999999"/>
    <n v="0"/>
    <n v="3212"/>
  </r>
  <r>
    <x v="0"/>
    <x v="2"/>
    <x v="2"/>
    <x v="233"/>
    <x v="199"/>
    <x v="199"/>
    <s v="CHARGES"/>
    <x v="0"/>
    <s v="3221.002"/>
    <s v="Intérêts compensatoires / créances en faveur ctb."/>
    <n v="0.2"/>
    <n v="0"/>
    <n v="3221"/>
  </r>
  <r>
    <x v="0"/>
    <x v="2"/>
    <x v="2"/>
    <x v="233"/>
    <x v="199"/>
    <x v="199"/>
    <s v="CHARGES"/>
    <x v="1"/>
    <s v="3301.001"/>
    <s v="Défalcations, abandons de solde PP et IS"/>
    <n v="0.11"/>
    <n v="0"/>
    <n v="3301"/>
  </r>
  <r>
    <x v="0"/>
    <x v="2"/>
    <x v="2"/>
    <x v="233"/>
    <x v="199"/>
    <x v="199"/>
    <s v="CHARGES"/>
    <x v="0"/>
    <s v="3212.004"/>
    <s v="Intérêts rémun./perçu trop tôt sur acomptes C/C"/>
    <n v="1.5"/>
    <n v="0"/>
    <n v="3212"/>
  </r>
  <r>
    <x v="0"/>
    <x v="2"/>
    <x v="2"/>
    <x v="233"/>
    <x v="199"/>
    <x v="199"/>
    <s v="CHARGES"/>
    <x v="1"/>
    <s v="3301.001"/>
    <s v="Défalcations, abandons de solde PP et IS"/>
    <n v="0.21"/>
    <n v="0"/>
    <n v="3301"/>
  </r>
  <r>
    <x v="0"/>
    <x v="2"/>
    <x v="2"/>
    <x v="233"/>
    <x v="199"/>
    <x v="199"/>
    <s v="CHARGES"/>
    <x v="1"/>
    <s v="3301.001"/>
    <s v="Défalcations, abandons de solde PP et IS"/>
    <n v="0.02"/>
    <n v="0"/>
    <n v="3301"/>
  </r>
  <r>
    <x v="0"/>
    <x v="2"/>
    <x v="2"/>
    <x v="233"/>
    <x v="199"/>
    <x v="199"/>
    <s v="CHARGES"/>
    <x v="0"/>
    <s v="3212.004"/>
    <s v="Intérêts rémun./perçu trop tôt sur acomptes C/C"/>
    <n v="0.25"/>
    <n v="0"/>
    <n v="3212"/>
  </r>
  <r>
    <x v="0"/>
    <x v="2"/>
    <x v="2"/>
    <x v="233"/>
    <x v="199"/>
    <x v="199"/>
    <s v="CHARGES"/>
    <x v="0"/>
    <s v="3221.002"/>
    <s v="Intérêts compensatoires / créances en faveur ctb."/>
    <n v="0.16"/>
    <n v="0"/>
    <n v="3221"/>
  </r>
  <r>
    <x v="0"/>
    <x v="2"/>
    <x v="2"/>
    <x v="233"/>
    <x v="199"/>
    <x v="199"/>
    <s v="REVENUS"/>
    <x v="2"/>
    <s v="4001.007"/>
    <s v="Acompte impôt sur revenu"/>
    <n v="0"/>
    <n v="462355.14"/>
    <n v="4001"/>
  </r>
  <r>
    <x v="0"/>
    <x v="2"/>
    <x v="2"/>
    <x v="233"/>
    <x v="199"/>
    <x v="199"/>
    <s v="REVENUS"/>
    <x v="3"/>
    <s v="4002.007"/>
    <s v="Acompte impôt sur fortune"/>
    <n v="0"/>
    <n v="99267.97"/>
    <n v="4002"/>
  </r>
  <r>
    <x v="0"/>
    <x v="2"/>
    <x v="2"/>
    <x v="233"/>
    <x v="199"/>
    <x v="199"/>
    <s v="REVENUS"/>
    <x v="2"/>
    <s v="4001.001"/>
    <s v="Impôt revenu"/>
    <n v="0"/>
    <n v="3918355.85"/>
    <n v="4001"/>
  </r>
  <r>
    <x v="0"/>
    <x v="2"/>
    <x v="2"/>
    <x v="233"/>
    <x v="199"/>
    <x v="199"/>
    <s v="REVENUS"/>
    <x v="2"/>
    <s v="4001.002"/>
    <s v="Impôt complément s/revenu PP"/>
    <n v="0"/>
    <n v="804720.4"/>
    <n v="4001"/>
  </r>
  <r>
    <x v="0"/>
    <x v="2"/>
    <x v="2"/>
    <x v="233"/>
    <x v="199"/>
    <x v="199"/>
    <s v="REVENUS"/>
    <x v="3"/>
    <s v="4002.001"/>
    <s v="Impôt ordinaire s/fortune PP"/>
    <n v="0"/>
    <n v="615706.5"/>
    <n v="4002"/>
  </r>
  <r>
    <x v="0"/>
    <x v="2"/>
    <x v="2"/>
    <x v="233"/>
    <x v="199"/>
    <x v="199"/>
    <s v="REVENUS"/>
    <x v="3"/>
    <s v="4002.002"/>
    <s v="Impôt complémentaire s/fortune PP"/>
    <n v="0"/>
    <n v="119342.39999999999"/>
    <n v="4002"/>
  </r>
  <r>
    <x v="0"/>
    <x v="2"/>
    <x v="2"/>
    <x v="233"/>
    <x v="199"/>
    <x v="199"/>
    <s v="REVENUS"/>
    <x v="4"/>
    <s v="4051.001"/>
    <s v="Impôt sur les successions"/>
    <n v="0"/>
    <n v="24319"/>
    <n v="4051"/>
  </r>
  <r>
    <x v="0"/>
    <x v="2"/>
    <x v="2"/>
    <x v="233"/>
    <x v="199"/>
    <x v="199"/>
    <s v="REVENUS"/>
    <x v="6"/>
    <s v="4211.001"/>
    <s v="Intérêts de retard sur factures"/>
    <n v="0"/>
    <n v="22370.720000000001"/>
    <n v="4211"/>
  </r>
  <r>
    <x v="0"/>
    <x v="2"/>
    <x v="2"/>
    <x v="233"/>
    <x v="199"/>
    <x v="199"/>
    <s v="REVENUS"/>
    <x v="6"/>
    <s v="4221.002"/>
    <s v="Intérêts compensat. sur impôts distincts"/>
    <n v="0"/>
    <n v="109.11"/>
    <n v="4221"/>
  </r>
  <r>
    <x v="0"/>
    <x v="2"/>
    <x v="2"/>
    <x v="233"/>
    <x v="199"/>
    <x v="199"/>
    <s v="REVENUS"/>
    <x v="6"/>
    <s v="4221.003"/>
    <s v="Intérêts compensat. / acomptes en faveur du fisc"/>
    <n v="0"/>
    <n v="569.54999999999995"/>
    <n v="4221"/>
  </r>
  <r>
    <x v="0"/>
    <x v="2"/>
    <x v="2"/>
    <x v="233"/>
    <x v="199"/>
    <x v="199"/>
    <s v="REVENUS"/>
    <x v="7"/>
    <s v="4184.000"/>
    <s v="Frais de poursuite"/>
    <n v="0"/>
    <n v="14869.17"/>
    <n v="4184"/>
  </r>
  <r>
    <x v="0"/>
    <x v="2"/>
    <x v="2"/>
    <x v="233"/>
    <x v="199"/>
    <x v="199"/>
    <s v="REVENUS"/>
    <x v="6"/>
    <s v="4211.002"/>
    <s v="Intérêts de retard sur acomptes"/>
    <n v="0"/>
    <n v="36073.97"/>
    <n v="4211"/>
  </r>
  <r>
    <x v="0"/>
    <x v="2"/>
    <x v="2"/>
    <x v="233"/>
    <x v="199"/>
    <x v="199"/>
    <s v="REVENUS"/>
    <x v="9"/>
    <s v="4031.001"/>
    <s v="Impôt sur les gains immobiliers"/>
    <n v="0"/>
    <n v="153444.79999999999"/>
    <n v="4031"/>
  </r>
  <r>
    <x v="0"/>
    <x v="2"/>
    <x v="2"/>
    <x v="233"/>
    <x v="199"/>
    <x v="199"/>
    <s v="REVENUS"/>
    <x v="11"/>
    <s v="4198.000"/>
    <s v="Contributions communales"/>
    <n v="0"/>
    <n v="736174.55"/>
    <n v="4198"/>
  </r>
  <r>
    <x v="0"/>
    <x v="2"/>
    <x v="2"/>
    <x v="233"/>
    <x v="199"/>
    <x v="199"/>
    <s v="REVENUS"/>
    <x v="5"/>
    <s v="4061.000"/>
    <s v="Impôt sur les chiens"/>
    <n v="0"/>
    <n v="13200"/>
    <n v="4061"/>
  </r>
  <r>
    <x v="0"/>
    <x v="2"/>
    <x v="2"/>
    <x v="233"/>
    <x v="199"/>
    <x v="199"/>
    <s v="REVENUS"/>
    <x v="2"/>
    <s v="4001.003"/>
    <s v="Impôt s/prest. cap. PP"/>
    <n v="0"/>
    <n v="92437.7"/>
    <n v="4001"/>
  </r>
  <r>
    <x v="0"/>
    <x v="2"/>
    <x v="2"/>
    <x v="233"/>
    <x v="199"/>
    <x v="199"/>
    <s v="REVENUS"/>
    <x v="2"/>
    <s v="4001.001"/>
    <s v="Impôt revenu"/>
    <n v="0"/>
    <n v="2429.4499999999998"/>
    <n v="4001"/>
  </r>
  <r>
    <x v="0"/>
    <x v="2"/>
    <x v="2"/>
    <x v="233"/>
    <x v="199"/>
    <x v="199"/>
    <s v="REVENUS"/>
    <x v="2"/>
    <s v="4001.007"/>
    <s v="Acompte impôt sur revenu"/>
    <n v="0"/>
    <n v="2157.52"/>
    <n v="4001"/>
  </r>
  <r>
    <x v="0"/>
    <x v="2"/>
    <x v="2"/>
    <x v="233"/>
    <x v="199"/>
    <x v="199"/>
    <s v="REVENUS"/>
    <x v="3"/>
    <s v="4002.001"/>
    <s v="Impôt ordinaire s/fortune PP"/>
    <n v="0"/>
    <n v="1240.8"/>
    <n v="4002"/>
  </r>
  <r>
    <x v="0"/>
    <x v="2"/>
    <x v="2"/>
    <x v="233"/>
    <x v="199"/>
    <x v="199"/>
    <s v="REVENUS"/>
    <x v="3"/>
    <s v="4002.007"/>
    <s v="Acompte impôt sur fortune"/>
    <n v="0"/>
    <n v="837.9"/>
    <n v="4002"/>
  </r>
  <r>
    <x v="0"/>
    <x v="2"/>
    <x v="2"/>
    <x v="233"/>
    <x v="199"/>
    <x v="199"/>
    <s v="REVENUS"/>
    <x v="2"/>
    <s v="4001.001"/>
    <s v="Impôt revenu"/>
    <n v="0"/>
    <n v="4512.3999999999996"/>
    <n v="4001"/>
  </r>
  <r>
    <x v="0"/>
    <x v="2"/>
    <x v="2"/>
    <x v="233"/>
    <x v="199"/>
    <x v="199"/>
    <s v="REVENUS"/>
    <x v="6"/>
    <s v="4221.003"/>
    <s v="Intérêts compensat. / acomptes en faveur du fisc"/>
    <n v="0"/>
    <n v="0.8"/>
    <n v="4221"/>
  </r>
  <r>
    <x v="0"/>
    <x v="2"/>
    <x v="2"/>
    <x v="233"/>
    <x v="199"/>
    <x v="199"/>
    <s v="REVENUS"/>
    <x v="3"/>
    <s v="4002.001"/>
    <s v="Impôt ordinaire s/fortune PP"/>
    <n v="0"/>
    <n v="3129.4"/>
    <n v="4002"/>
  </r>
  <r>
    <x v="0"/>
    <x v="2"/>
    <x v="2"/>
    <x v="233"/>
    <x v="199"/>
    <x v="199"/>
    <s v="REVENUS"/>
    <x v="6"/>
    <s v="4211.002"/>
    <s v="Intérêts de retard sur acomptes"/>
    <n v="0"/>
    <n v="52.09"/>
    <n v="4211"/>
  </r>
  <r>
    <x v="0"/>
    <x v="2"/>
    <x v="2"/>
    <x v="233"/>
    <x v="199"/>
    <x v="199"/>
    <s v="REVENUS"/>
    <x v="10"/>
    <s v="4041.001"/>
    <s v="Droits de mutation"/>
    <n v="0"/>
    <n v="394673.9"/>
    <n v="4041"/>
  </r>
  <r>
    <x v="0"/>
    <x v="2"/>
    <x v="2"/>
    <x v="233"/>
    <x v="199"/>
    <x v="199"/>
    <s v="REVENUS"/>
    <x v="8"/>
    <s v="4091.001"/>
    <s v="Impôt récupéré après défalcations"/>
    <n v="0"/>
    <n v="11416.93"/>
    <n v="4091"/>
  </r>
  <r>
    <x v="0"/>
    <x v="2"/>
    <x v="2"/>
    <x v="233"/>
    <x v="199"/>
    <x v="199"/>
    <s v="REVENUS"/>
    <x v="7"/>
    <s v="4184.000"/>
    <s v="Frais de poursuite"/>
    <n v="0"/>
    <n v="344.69"/>
    <n v="4184"/>
  </r>
  <r>
    <x v="0"/>
    <x v="2"/>
    <x v="2"/>
    <x v="233"/>
    <x v="199"/>
    <x v="199"/>
    <s v="REVENUS"/>
    <x v="3"/>
    <s v="4002.001"/>
    <s v="Impôt ordinaire s/fortune PP"/>
    <n v="0"/>
    <n v="1948.85"/>
    <n v="4002"/>
  </r>
  <r>
    <x v="0"/>
    <x v="2"/>
    <x v="2"/>
    <x v="233"/>
    <x v="199"/>
    <x v="199"/>
    <s v="REVENUS"/>
    <x v="3"/>
    <s v="4002.007"/>
    <s v="Acompte impôt sur fortune"/>
    <n v="0"/>
    <n v="246.97"/>
    <n v="4002"/>
  </r>
  <r>
    <x v="0"/>
    <x v="2"/>
    <x v="2"/>
    <x v="233"/>
    <x v="199"/>
    <x v="199"/>
    <s v="REVENUS"/>
    <x v="6"/>
    <s v="4211.002"/>
    <s v="Intérêts de retard sur acomptes"/>
    <n v="0"/>
    <n v="0.71"/>
    <n v="4211"/>
  </r>
  <r>
    <x v="0"/>
    <x v="2"/>
    <x v="2"/>
    <x v="233"/>
    <x v="199"/>
    <x v="199"/>
    <s v="REVENUS"/>
    <x v="2"/>
    <s v="4001.001"/>
    <s v="Impôt revenu"/>
    <n v="0"/>
    <n v="2485.85"/>
    <n v="4001"/>
  </r>
  <r>
    <x v="0"/>
    <x v="2"/>
    <x v="2"/>
    <x v="233"/>
    <x v="199"/>
    <x v="199"/>
    <s v="REVENUS"/>
    <x v="2"/>
    <s v="4001.002"/>
    <s v="Impôt complément s/revenu PP"/>
    <n v="0"/>
    <n v="139.4"/>
    <n v="4001"/>
  </r>
  <r>
    <x v="0"/>
    <x v="2"/>
    <x v="2"/>
    <x v="233"/>
    <x v="199"/>
    <x v="199"/>
    <s v="REVENUS"/>
    <x v="3"/>
    <s v="4002.002"/>
    <s v="Impôt complémentaire s/fortune PP"/>
    <n v="0"/>
    <n v="218.05"/>
    <n v="4002"/>
  </r>
  <r>
    <x v="0"/>
    <x v="2"/>
    <x v="2"/>
    <x v="233"/>
    <x v="199"/>
    <x v="199"/>
    <s v="REVENUS"/>
    <x v="4"/>
    <s v="4051.002"/>
    <s v="Impôt sur les donations"/>
    <n v="0"/>
    <n v="3891.9"/>
    <n v="4051"/>
  </r>
  <r>
    <x v="0"/>
    <x v="2"/>
    <x v="2"/>
    <x v="233"/>
    <x v="199"/>
    <x v="199"/>
    <s v="REVENUS"/>
    <x v="2"/>
    <s v="4001.007"/>
    <s v="Acompte impôt sur revenu"/>
    <n v="0"/>
    <n v="436.85"/>
    <n v="4001"/>
  </r>
  <r>
    <x v="0"/>
    <x v="2"/>
    <x v="2"/>
    <x v="233"/>
    <x v="199"/>
    <x v="199"/>
    <s v="REVENUS"/>
    <x v="2"/>
    <s v="4001.002"/>
    <s v="Impôt complément s/revenu PP"/>
    <n v="0"/>
    <n v="642.85"/>
    <n v="4001"/>
  </r>
  <r>
    <x v="0"/>
    <x v="2"/>
    <x v="2"/>
    <x v="233"/>
    <x v="199"/>
    <x v="199"/>
    <s v="REVENUS"/>
    <x v="3"/>
    <s v="4002.002"/>
    <s v="Impôt complémentaire s/fortune PP"/>
    <n v="0"/>
    <n v="187.5"/>
    <n v="4002"/>
  </r>
  <r>
    <x v="0"/>
    <x v="2"/>
    <x v="2"/>
    <x v="233"/>
    <x v="199"/>
    <x v="199"/>
    <s v="REVENUS"/>
    <x v="6"/>
    <s v="4211.001"/>
    <s v="Intérêts de retard sur factures"/>
    <n v="0"/>
    <n v="6.29"/>
    <n v="4211"/>
  </r>
  <r>
    <x v="0"/>
    <x v="2"/>
    <x v="2"/>
    <x v="233"/>
    <x v="199"/>
    <x v="199"/>
    <s v="REVENUS"/>
    <x v="2"/>
    <s v="4001.007"/>
    <s v="Acompte impôt sur revenu"/>
    <n v="0"/>
    <n v="3973.98"/>
    <n v="4001"/>
  </r>
  <r>
    <x v="0"/>
    <x v="2"/>
    <x v="2"/>
    <x v="233"/>
    <x v="199"/>
    <x v="199"/>
    <s v="REVENUS"/>
    <x v="3"/>
    <s v="4002.007"/>
    <s v="Acompte impôt sur fortune"/>
    <n v="0"/>
    <n v="142.26"/>
    <n v="4002"/>
  </r>
  <r>
    <x v="0"/>
    <x v="2"/>
    <x v="2"/>
    <x v="233"/>
    <x v="199"/>
    <x v="199"/>
    <s v="REVENUS"/>
    <x v="12"/>
    <s v="4004.007"/>
    <s v="Acompte spécial étrangers"/>
    <n v="0"/>
    <n v="3996.35"/>
    <n v="4004"/>
  </r>
  <r>
    <x v="0"/>
    <x v="2"/>
    <x v="2"/>
    <x v="233"/>
    <x v="199"/>
    <x v="199"/>
    <s v="REVENUS"/>
    <x v="2"/>
    <s v="4001.007"/>
    <s v="Acompte impôt sur revenu"/>
    <n v="0"/>
    <n v="1303.7"/>
    <n v="4001"/>
  </r>
  <r>
    <x v="0"/>
    <x v="2"/>
    <x v="2"/>
    <x v="233"/>
    <x v="199"/>
    <x v="199"/>
    <s v="REVENUS"/>
    <x v="3"/>
    <s v="4002.007"/>
    <s v="Acompte impôt sur fortune"/>
    <n v="0"/>
    <n v="-539.85"/>
    <n v="4002"/>
  </r>
  <r>
    <x v="0"/>
    <x v="2"/>
    <x v="2"/>
    <x v="233"/>
    <x v="199"/>
    <x v="199"/>
    <s v="REVENUS"/>
    <x v="2"/>
    <s v="4001.002"/>
    <s v="Impôt complément s/revenu PP"/>
    <n v="0"/>
    <n v="2655.1"/>
    <n v="4001"/>
  </r>
  <r>
    <x v="0"/>
    <x v="2"/>
    <x v="2"/>
    <x v="233"/>
    <x v="199"/>
    <x v="199"/>
    <s v="REVENUS"/>
    <x v="3"/>
    <s v="4002.002"/>
    <s v="Impôt complémentaire s/fortune PP"/>
    <n v="0"/>
    <n v="1011.15"/>
    <n v="4002"/>
  </r>
  <r>
    <x v="0"/>
    <x v="2"/>
    <x v="2"/>
    <x v="233"/>
    <x v="199"/>
    <x v="199"/>
    <s v="REVENUS"/>
    <x v="6"/>
    <s v="4211.001"/>
    <s v="Intérêts de retard sur factures"/>
    <n v="0"/>
    <n v="10.89"/>
    <n v="4211"/>
  </r>
  <r>
    <x v="0"/>
    <x v="2"/>
    <x v="2"/>
    <x v="233"/>
    <x v="199"/>
    <x v="199"/>
    <s v="REVENUS"/>
    <x v="6"/>
    <s v="4211.002"/>
    <s v="Intérêts de retard sur acomptes"/>
    <n v="0"/>
    <n v="8"/>
    <n v="4211"/>
  </r>
  <r>
    <x v="0"/>
    <x v="2"/>
    <x v="2"/>
    <x v="233"/>
    <x v="199"/>
    <x v="199"/>
    <s v="REVENUS"/>
    <x v="6"/>
    <s v="4211.001"/>
    <s v="Intérêts de retard sur factures"/>
    <n v="0"/>
    <n v="1.05"/>
    <n v="4211"/>
  </r>
  <r>
    <x v="0"/>
    <x v="2"/>
    <x v="2"/>
    <x v="233"/>
    <x v="199"/>
    <x v="199"/>
    <s v="REVENUS"/>
    <x v="2"/>
    <s v="4001.001"/>
    <s v="Impôt revenu"/>
    <n v="0"/>
    <n v="-847.25"/>
    <n v="4001"/>
  </r>
  <r>
    <x v="0"/>
    <x v="2"/>
    <x v="2"/>
    <x v="233"/>
    <x v="199"/>
    <x v="199"/>
    <s v="REVENUS"/>
    <x v="3"/>
    <s v="4002.001"/>
    <s v="Impôt ordinaire s/fortune PP"/>
    <n v="0"/>
    <n v="-760.3"/>
    <n v="4002"/>
  </r>
  <r>
    <x v="0"/>
    <x v="2"/>
    <x v="2"/>
    <x v="233"/>
    <x v="199"/>
    <x v="199"/>
    <s v="REVENUS"/>
    <x v="3"/>
    <s v="4002.007"/>
    <s v="Acompte impôt sur fortune"/>
    <n v="0"/>
    <n v="4.0999999999999996"/>
    <n v="4002"/>
  </r>
  <r>
    <x v="0"/>
    <x v="2"/>
    <x v="2"/>
    <x v="233"/>
    <x v="199"/>
    <x v="199"/>
    <s v="REVENUS"/>
    <x v="2"/>
    <s v="4001.007"/>
    <s v="Acompte impôt sur revenu"/>
    <n v="0"/>
    <n v="197.8"/>
    <n v="4001"/>
  </r>
  <r>
    <x v="0"/>
    <x v="2"/>
    <x v="2"/>
    <x v="233"/>
    <x v="199"/>
    <x v="199"/>
    <s v="REVENUS"/>
    <x v="2"/>
    <s v="4001.007"/>
    <s v="Acompte impôt sur revenu"/>
    <n v="0"/>
    <n v="-851.55"/>
    <n v="4001"/>
  </r>
  <r>
    <x v="0"/>
    <x v="2"/>
    <x v="2"/>
    <x v="233"/>
    <x v="199"/>
    <x v="199"/>
    <s v="REVENUS"/>
    <x v="3"/>
    <s v="4002.007"/>
    <s v="Acompte impôt sur fortune"/>
    <n v="0"/>
    <n v="-639.45000000000005"/>
    <n v="4002"/>
  </r>
  <r>
    <x v="0"/>
    <x v="2"/>
    <x v="2"/>
    <x v="233"/>
    <x v="199"/>
    <x v="199"/>
    <s v="REVENUS"/>
    <x v="6"/>
    <s v="4221.003"/>
    <s v="Intérêts compensat. / acomptes en faveur du fisc"/>
    <n v="0"/>
    <n v="0.54"/>
    <n v="4221"/>
  </r>
  <r>
    <x v="0"/>
    <x v="2"/>
    <x v="2"/>
    <x v="233"/>
    <x v="199"/>
    <x v="199"/>
    <s v="REVENUS"/>
    <x v="2"/>
    <s v="4001.007"/>
    <s v="Acompte impôt sur revenu"/>
    <n v="0"/>
    <n v="44.85"/>
    <n v="4001"/>
  </r>
  <r>
    <x v="0"/>
    <x v="2"/>
    <x v="2"/>
    <x v="233"/>
    <x v="199"/>
    <x v="199"/>
    <s v="REVENUS"/>
    <x v="3"/>
    <s v="4002.007"/>
    <s v="Acompte impôt sur fortune"/>
    <n v="0"/>
    <n v="63.6"/>
    <n v="4002"/>
  </r>
  <r>
    <x v="0"/>
    <x v="2"/>
    <x v="2"/>
    <x v="233"/>
    <x v="199"/>
    <x v="199"/>
    <s v="REVENUS"/>
    <x v="3"/>
    <s v="4002.001"/>
    <s v="Impôt ordinaire s/fortune PP"/>
    <n v="0"/>
    <n v="20.65"/>
    <n v="4002"/>
  </r>
  <r>
    <x v="0"/>
    <x v="2"/>
    <x v="2"/>
    <x v="233"/>
    <x v="199"/>
    <x v="199"/>
    <s v="REVENUS"/>
    <x v="7"/>
    <s v="4184.000"/>
    <s v="Frais de poursuite"/>
    <n v="0"/>
    <n v="23.58"/>
    <n v="4184"/>
  </r>
  <r>
    <x v="0"/>
    <x v="2"/>
    <x v="2"/>
    <x v="233"/>
    <x v="199"/>
    <x v="199"/>
    <s v="REVENUS"/>
    <x v="3"/>
    <s v="4002.007"/>
    <s v="Acompte impôt sur fortune"/>
    <n v="0"/>
    <n v="-265.95"/>
    <n v="4002"/>
  </r>
  <r>
    <x v="0"/>
    <x v="2"/>
    <x v="2"/>
    <x v="233"/>
    <x v="199"/>
    <x v="199"/>
    <s v="REVENUS"/>
    <x v="3"/>
    <s v="4002.001"/>
    <s v="Impôt ordinaire s/fortune PP"/>
    <n v="0"/>
    <n v="1613.95"/>
    <n v="4002"/>
  </r>
  <r>
    <x v="0"/>
    <x v="2"/>
    <x v="2"/>
    <x v="233"/>
    <x v="199"/>
    <x v="199"/>
    <s v="REVENUS"/>
    <x v="2"/>
    <s v="4001.001"/>
    <s v="Impôt revenu"/>
    <n v="0"/>
    <n v="250.05"/>
    <n v="4001"/>
  </r>
  <r>
    <x v="0"/>
    <x v="2"/>
    <x v="2"/>
    <x v="233"/>
    <x v="199"/>
    <x v="199"/>
    <s v="REVENUS"/>
    <x v="3"/>
    <s v="4002.001"/>
    <s v="Impôt ordinaire s/fortune PP"/>
    <n v="0"/>
    <n v="1218.7"/>
    <n v="4002"/>
  </r>
  <r>
    <x v="0"/>
    <x v="2"/>
    <x v="2"/>
    <x v="233"/>
    <x v="199"/>
    <x v="199"/>
    <s v="REVENUS"/>
    <x v="12"/>
    <s v="4004.000"/>
    <s v="Impôt spécial étrangers"/>
    <n v="0"/>
    <n v="113299.65"/>
    <n v="4004"/>
  </r>
  <r>
    <x v="0"/>
    <x v="2"/>
    <x v="2"/>
    <x v="233"/>
    <x v="199"/>
    <x v="199"/>
    <s v="REVENUS"/>
    <x v="8"/>
    <s v="4091.001"/>
    <s v="Impôt récupéré après défalcations"/>
    <n v="0"/>
    <n v="3780.27"/>
    <n v="4091"/>
  </r>
  <r>
    <x v="0"/>
    <x v="2"/>
    <x v="2"/>
    <x v="233"/>
    <x v="199"/>
    <x v="199"/>
    <s v="REVENUS"/>
    <x v="6"/>
    <s v="4211.002"/>
    <s v="Intérêts de retard sur acomptes"/>
    <n v="0"/>
    <n v="10.27"/>
    <n v="4211"/>
  </r>
  <r>
    <x v="0"/>
    <x v="2"/>
    <x v="2"/>
    <x v="233"/>
    <x v="199"/>
    <x v="199"/>
    <s v="REVENUS"/>
    <x v="6"/>
    <s v="4211.001"/>
    <s v="Intérêts de retard sur factures"/>
    <n v="0"/>
    <n v="0.03"/>
    <n v="4211"/>
  </r>
  <r>
    <x v="0"/>
    <x v="2"/>
    <x v="2"/>
    <x v="233"/>
    <x v="199"/>
    <x v="199"/>
    <s v="REVENUS"/>
    <x v="2"/>
    <s v="4001.001"/>
    <s v="Impôt revenu"/>
    <n v="0"/>
    <n v="1508.55"/>
    <n v="4001"/>
  </r>
  <r>
    <x v="0"/>
    <x v="2"/>
    <x v="2"/>
    <x v="233"/>
    <x v="199"/>
    <x v="199"/>
    <s v="REVENUS"/>
    <x v="6"/>
    <s v="4221.003"/>
    <s v="Intérêts compensat. / acomptes en faveur du fisc"/>
    <n v="0"/>
    <n v="0.18"/>
    <n v="4221"/>
  </r>
  <r>
    <x v="0"/>
    <x v="2"/>
    <x v="2"/>
    <x v="233"/>
    <x v="199"/>
    <x v="199"/>
    <s v="REVENUS"/>
    <x v="6"/>
    <s v="4221.003"/>
    <s v="Intérêts compensat. / acomptes en faveur du fisc"/>
    <n v="0"/>
    <n v="6.85"/>
    <n v="4221"/>
  </r>
  <r>
    <x v="0"/>
    <x v="2"/>
    <x v="2"/>
    <x v="233"/>
    <x v="199"/>
    <x v="199"/>
    <s v="REVENUS"/>
    <x v="10"/>
    <s v="4041.002"/>
    <s v="Complément droit de mutation"/>
    <n v="0"/>
    <n v="4702.5"/>
    <n v="4041"/>
  </r>
  <r>
    <x v="0"/>
    <x v="2"/>
    <x v="2"/>
    <x v="233"/>
    <x v="199"/>
    <x v="199"/>
    <s v="REVENUS"/>
    <x v="3"/>
    <s v="4002.007"/>
    <s v="Acompte impôt sur fortune"/>
    <n v="0"/>
    <n v="-115.45"/>
    <n v="4002"/>
  </r>
  <r>
    <x v="0"/>
    <x v="2"/>
    <x v="2"/>
    <x v="233"/>
    <x v="199"/>
    <x v="199"/>
    <s v="REVENUS"/>
    <x v="2"/>
    <s v="4001.001"/>
    <s v="Impôt revenu"/>
    <n v="0"/>
    <n v="124.75"/>
    <n v="4001"/>
  </r>
  <r>
    <x v="0"/>
    <x v="2"/>
    <x v="2"/>
    <x v="233"/>
    <x v="199"/>
    <x v="199"/>
    <s v="REVENUS"/>
    <x v="6"/>
    <s v="4211.002"/>
    <s v="Intérêts de retard sur acomptes"/>
    <n v="0"/>
    <n v="1.05"/>
    <n v="4211"/>
  </r>
  <r>
    <x v="0"/>
    <x v="2"/>
    <x v="2"/>
    <x v="233"/>
    <x v="199"/>
    <x v="199"/>
    <s v="REVENUS"/>
    <x v="6"/>
    <s v="4221.003"/>
    <s v="Intérêts compensat. / acomptes en faveur du fisc"/>
    <n v="0"/>
    <n v="0.02"/>
    <n v="4221"/>
  </r>
  <r>
    <x v="0"/>
    <x v="2"/>
    <x v="2"/>
    <x v="233"/>
    <x v="199"/>
    <x v="199"/>
    <s v="REVENUS"/>
    <x v="6"/>
    <s v="4211.001"/>
    <s v="Intérêts de retard sur factures"/>
    <n v="0"/>
    <n v="0.49"/>
    <n v="4211"/>
  </r>
  <r>
    <x v="0"/>
    <x v="2"/>
    <x v="2"/>
    <x v="233"/>
    <x v="199"/>
    <x v="199"/>
    <s v="REVENUS"/>
    <x v="2"/>
    <s v="4001.005"/>
    <s v="Amende de soustract. Impôt"/>
    <n v="0"/>
    <n v="1050"/>
    <n v="4001"/>
  </r>
  <r>
    <x v="0"/>
    <x v="2"/>
    <x v="2"/>
    <x v="233"/>
    <x v="199"/>
    <x v="199"/>
    <s v="REVENUS"/>
    <x v="9"/>
    <s v="4031.002"/>
    <s v="Complément impôt sur les gains immobiliers"/>
    <n v="0"/>
    <n v="27318.2"/>
    <n v="4031"/>
  </r>
  <r>
    <x v="0"/>
    <x v="2"/>
    <x v="2"/>
    <x v="233"/>
    <x v="199"/>
    <x v="199"/>
    <s v="REVENUS"/>
    <x v="3"/>
    <s v="4002.001"/>
    <s v="Impôt ordinaire s/fortune PP"/>
    <n v="0"/>
    <n v="29.35"/>
    <n v="4002"/>
  </r>
  <r>
    <x v="0"/>
    <x v="2"/>
    <x v="2"/>
    <x v="234"/>
    <x v="200"/>
    <x v="200"/>
    <s v="CHARGES"/>
    <x v="0"/>
    <s v="3212.004"/>
    <s v="Intérêts rémun./perçu trop tôt sur acomptes C/C"/>
    <n v="188.28"/>
    <n v="0"/>
    <n v="3212"/>
  </r>
  <r>
    <x v="0"/>
    <x v="2"/>
    <x v="2"/>
    <x v="234"/>
    <x v="200"/>
    <x v="200"/>
    <s v="CHARGES"/>
    <x v="0"/>
    <s v="3221.002"/>
    <s v="Intérêts compensatoires / créances en faveur ctb."/>
    <n v="101.94"/>
    <n v="0"/>
    <n v="3221"/>
  </r>
  <r>
    <x v="0"/>
    <x v="2"/>
    <x v="2"/>
    <x v="234"/>
    <x v="200"/>
    <x v="200"/>
    <s v="CHARGES"/>
    <x v="1"/>
    <s v="3301.001"/>
    <s v="Défalcations, abandons de solde PP et IS"/>
    <n v="4827.2"/>
    <n v="0"/>
    <n v="3301"/>
  </r>
  <r>
    <x v="0"/>
    <x v="2"/>
    <x v="2"/>
    <x v="234"/>
    <x v="200"/>
    <x v="200"/>
    <s v="CHARGES"/>
    <x v="0"/>
    <s v="3212.002"/>
    <s v="Intérêts bonifiés/trop perçu acompte C/C"/>
    <n v="4.72"/>
    <n v="0"/>
    <n v="3212"/>
  </r>
  <r>
    <x v="0"/>
    <x v="2"/>
    <x v="2"/>
    <x v="234"/>
    <x v="200"/>
    <x v="200"/>
    <s v="CHARGES"/>
    <x v="1"/>
    <s v="3301.001"/>
    <s v="Défalcations, abandons de solde PP et IS"/>
    <n v="161.79"/>
    <n v="0"/>
    <n v="3301"/>
  </r>
  <r>
    <x v="0"/>
    <x v="2"/>
    <x v="2"/>
    <x v="234"/>
    <x v="200"/>
    <x v="200"/>
    <s v="CHARGES"/>
    <x v="0"/>
    <s v="3212.004"/>
    <s v="Intérêts rémun./perçu trop tôt sur acomptes C/C"/>
    <n v="3.84"/>
    <n v="0"/>
    <n v="3212"/>
  </r>
  <r>
    <x v="0"/>
    <x v="2"/>
    <x v="2"/>
    <x v="234"/>
    <x v="200"/>
    <x v="200"/>
    <s v="CHARGES"/>
    <x v="0"/>
    <s v="3221.002"/>
    <s v="Intérêts compensatoires / créances en faveur ctb."/>
    <n v="1.1100000000000001"/>
    <n v="0"/>
    <n v="3221"/>
  </r>
  <r>
    <x v="0"/>
    <x v="2"/>
    <x v="2"/>
    <x v="234"/>
    <x v="200"/>
    <x v="200"/>
    <s v="CHARGES"/>
    <x v="1"/>
    <s v="3301.001"/>
    <s v="Défalcations, abandons de solde PP et IS"/>
    <n v="0.01"/>
    <n v="0"/>
    <n v="3301"/>
  </r>
  <r>
    <x v="0"/>
    <x v="2"/>
    <x v="2"/>
    <x v="234"/>
    <x v="200"/>
    <x v="200"/>
    <s v="REVENUS"/>
    <x v="2"/>
    <s v="4001.001"/>
    <s v="Impôt revenu"/>
    <n v="0"/>
    <n v="910885.3"/>
    <n v="4001"/>
  </r>
  <r>
    <x v="0"/>
    <x v="2"/>
    <x v="2"/>
    <x v="234"/>
    <x v="200"/>
    <x v="200"/>
    <s v="REVENUS"/>
    <x v="2"/>
    <s v="4001.002"/>
    <s v="Impôt complément s/revenu PP"/>
    <n v="0"/>
    <n v="336834"/>
    <n v="4001"/>
  </r>
  <r>
    <x v="0"/>
    <x v="2"/>
    <x v="2"/>
    <x v="234"/>
    <x v="200"/>
    <x v="200"/>
    <s v="REVENUS"/>
    <x v="2"/>
    <s v="4001.007"/>
    <s v="Acompte impôt sur revenu"/>
    <n v="0"/>
    <n v="272240.21000000002"/>
    <n v="4001"/>
  </r>
  <r>
    <x v="0"/>
    <x v="2"/>
    <x v="2"/>
    <x v="234"/>
    <x v="200"/>
    <x v="200"/>
    <s v="REVENUS"/>
    <x v="3"/>
    <s v="4002.001"/>
    <s v="Impôt ordinaire s/fortune PP"/>
    <n v="0"/>
    <n v="195464.7"/>
    <n v="4002"/>
  </r>
  <r>
    <x v="0"/>
    <x v="2"/>
    <x v="2"/>
    <x v="234"/>
    <x v="200"/>
    <x v="200"/>
    <s v="REVENUS"/>
    <x v="3"/>
    <s v="4002.002"/>
    <s v="Impôt complémentaire s/fortune PP"/>
    <n v="0"/>
    <n v="34568.1"/>
    <n v="4002"/>
  </r>
  <r>
    <x v="0"/>
    <x v="2"/>
    <x v="2"/>
    <x v="234"/>
    <x v="200"/>
    <x v="200"/>
    <s v="REVENUS"/>
    <x v="6"/>
    <s v="4211.001"/>
    <s v="Intérêts de retard sur factures"/>
    <n v="0"/>
    <n v="5080.7"/>
    <n v="4211"/>
  </r>
  <r>
    <x v="0"/>
    <x v="2"/>
    <x v="2"/>
    <x v="234"/>
    <x v="200"/>
    <x v="200"/>
    <s v="REVENUS"/>
    <x v="6"/>
    <s v="4211.002"/>
    <s v="Intérêts de retard sur acomptes"/>
    <n v="0"/>
    <n v="8535.31"/>
    <n v="4211"/>
  </r>
  <r>
    <x v="0"/>
    <x v="2"/>
    <x v="2"/>
    <x v="234"/>
    <x v="200"/>
    <x v="200"/>
    <s v="REVENUS"/>
    <x v="3"/>
    <s v="4002.007"/>
    <s v="Acompte impôt sur fortune"/>
    <n v="0"/>
    <n v="4325.88"/>
    <n v="4002"/>
  </r>
  <r>
    <x v="0"/>
    <x v="2"/>
    <x v="2"/>
    <x v="234"/>
    <x v="200"/>
    <x v="200"/>
    <s v="REVENUS"/>
    <x v="7"/>
    <s v="4184.000"/>
    <s v="Frais de poursuite"/>
    <n v="0"/>
    <n v="729.24"/>
    <n v="4184"/>
  </r>
  <r>
    <x v="0"/>
    <x v="2"/>
    <x v="2"/>
    <x v="234"/>
    <x v="200"/>
    <x v="200"/>
    <s v="REVENUS"/>
    <x v="6"/>
    <s v="4221.003"/>
    <s v="Intérêts compensat. / acomptes en faveur du fisc"/>
    <n v="0"/>
    <n v="186.02"/>
    <n v="4221"/>
  </r>
  <r>
    <x v="0"/>
    <x v="2"/>
    <x v="2"/>
    <x v="234"/>
    <x v="200"/>
    <x v="200"/>
    <s v="REVENUS"/>
    <x v="2"/>
    <s v="4001.003"/>
    <s v="Impôt s/prest. cap. PP"/>
    <n v="0"/>
    <n v="9741.85"/>
    <n v="4001"/>
  </r>
  <r>
    <x v="0"/>
    <x v="2"/>
    <x v="2"/>
    <x v="234"/>
    <x v="200"/>
    <x v="200"/>
    <s v="REVENUS"/>
    <x v="6"/>
    <s v="4221.002"/>
    <s v="Intérêts compensat. sur impôts distincts"/>
    <n v="0"/>
    <n v="0.1"/>
    <n v="4221"/>
  </r>
  <r>
    <x v="0"/>
    <x v="2"/>
    <x v="2"/>
    <x v="234"/>
    <x v="200"/>
    <x v="200"/>
    <s v="REVENUS"/>
    <x v="10"/>
    <s v="4041.001"/>
    <s v="Droits de mutation"/>
    <n v="0"/>
    <n v="84830.65"/>
    <n v="4041"/>
  </r>
  <r>
    <x v="0"/>
    <x v="2"/>
    <x v="2"/>
    <x v="234"/>
    <x v="200"/>
    <x v="200"/>
    <s v="REVENUS"/>
    <x v="7"/>
    <s v="4184.000"/>
    <s v="Frais de poursuite"/>
    <n v="0"/>
    <n v="161.82"/>
    <n v="4184"/>
  </r>
  <r>
    <x v="0"/>
    <x v="2"/>
    <x v="2"/>
    <x v="234"/>
    <x v="200"/>
    <x v="200"/>
    <s v="REVENUS"/>
    <x v="11"/>
    <s v="4198.000"/>
    <s v="Contributions communales"/>
    <n v="0"/>
    <n v="119153.4"/>
    <n v="4198"/>
  </r>
  <r>
    <x v="0"/>
    <x v="2"/>
    <x v="2"/>
    <x v="234"/>
    <x v="200"/>
    <x v="200"/>
    <s v="REVENUS"/>
    <x v="2"/>
    <s v="4001.007"/>
    <s v="Acompte impôt sur revenu"/>
    <n v="0"/>
    <n v="2007.95"/>
    <n v="4001"/>
  </r>
  <r>
    <x v="0"/>
    <x v="2"/>
    <x v="2"/>
    <x v="234"/>
    <x v="200"/>
    <x v="200"/>
    <s v="REVENUS"/>
    <x v="3"/>
    <s v="4002.007"/>
    <s v="Acompte impôt sur fortune"/>
    <n v="0"/>
    <n v="346.3"/>
    <n v="4002"/>
  </r>
  <r>
    <x v="0"/>
    <x v="2"/>
    <x v="2"/>
    <x v="234"/>
    <x v="200"/>
    <x v="200"/>
    <s v="REVENUS"/>
    <x v="12"/>
    <s v="4004.007"/>
    <s v="Acompte spécial étrangers"/>
    <n v="0"/>
    <n v="1780.05"/>
    <n v="4004"/>
  </r>
  <r>
    <x v="0"/>
    <x v="2"/>
    <x v="2"/>
    <x v="234"/>
    <x v="200"/>
    <x v="200"/>
    <s v="REVENUS"/>
    <x v="3"/>
    <s v="4002.007"/>
    <s v="Acompte impôt sur fortune"/>
    <n v="0"/>
    <n v="87.13"/>
    <n v="4002"/>
  </r>
  <r>
    <x v="0"/>
    <x v="2"/>
    <x v="2"/>
    <x v="234"/>
    <x v="200"/>
    <x v="200"/>
    <s v="REVENUS"/>
    <x v="2"/>
    <s v="4001.007"/>
    <s v="Acompte impôt sur revenu"/>
    <n v="0"/>
    <n v="-1094.33"/>
    <n v="4001"/>
  </r>
  <r>
    <x v="0"/>
    <x v="2"/>
    <x v="2"/>
    <x v="234"/>
    <x v="200"/>
    <x v="200"/>
    <s v="REVENUS"/>
    <x v="6"/>
    <s v="4211.001"/>
    <s v="Intérêts de retard sur factures"/>
    <n v="0"/>
    <n v="17.16"/>
    <n v="4211"/>
  </r>
  <r>
    <x v="0"/>
    <x v="2"/>
    <x v="2"/>
    <x v="234"/>
    <x v="200"/>
    <x v="200"/>
    <s v="REVENUS"/>
    <x v="2"/>
    <s v="4001.001"/>
    <s v="Impôt revenu"/>
    <n v="0"/>
    <n v="4392"/>
    <n v="4001"/>
  </r>
  <r>
    <x v="0"/>
    <x v="2"/>
    <x v="2"/>
    <x v="234"/>
    <x v="200"/>
    <x v="200"/>
    <s v="REVENUS"/>
    <x v="3"/>
    <s v="4002.001"/>
    <s v="Impôt ordinaire s/fortune PP"/>
    <n v="0"/>
    <n v="1588.65"/>
    <n v="4002"/>
  </r>
  <r>
    <x v="0"/>
    <x v="2"/>
    <x v="2"/>
    <x v="234"/>
    <x v="200"/>
    <x v="200"/>
    <s v="REVENUS"/>
    <x v="5"/>
    <s v="4061.000"/>
    <s v="Impôt sur les chiens"/>
    <n v="0"/>
    <n v="2375"/>
    <n v="4061"/>
  </r>
  <r>
    <x v="0"/>
    <x v="2"/>
    <x v="2"/>
    <x v="234"/>
    <x v="200"/>
    <x v="200"/>
    <s v="REVENUS"/>
    <x v="9"/>
    <s v="4031.001"/>
    <s v="Impôt sur les gains immobiliers"/>
    <n v="0"/>
    <n v="23554.2"/>
    <n v="4031"/>
  </r>
  <r>
    <x v="0"/>
    <x v="2"/>
    <x v="2"/>
    <x v="234"/>
    <x v="200"/>
    <x v="200"/>
    <s v="REVENUS"/>
    <x v="6"/>
    <s v="4211.002"/>
    <s v="Intérêts de retard sur acomptes"/>
    <n v="0"/>
    <n v="0.01"/>
    <n v="4211"/>
  </r>
  <r>
    <x v="0"/>
    <x v="2"/>
    <x v="2"/>
    <x v="234"/>
    <x v="200"/>
    <x v="200"/>
    <s v="REVENUS"/>
    <x v="12"/>
    <s v="4004.000"/>
    <s v="Impôt spécial étrangers"/>
    <n v="0"/>
    <n v="28187.15"/>
    <n v="4004"/>
  </r>
  <r>
    <x v="0"/>
    <x v="2"/>
    <x v="2"/>
    <x v="234"/>
    <x v="200"/>
    <x v="200"/>
    <s v="REVENUS"/>
    <x v="6"/>
    <s v="4221.003"/>
    <s v="Intérêts compensat. / acomptes en faveur du fisc"/>
    <n v="0"/>
    <n v="0.01"/>
    <n v="4221"/>
  </r>
  <r>
    <x v="0"/>
    <x v="2"/>
    <x v="2"/>
    <x v="235"/>
    <x v="201"/>
    <x v="201"/>
    <s v="CHARGES"/>
    <x v="0"/>
    <s v="3212.004"/>
    <s v="Intérêts rémun./perçu trop tôt sur acomptes C/C"/>
    <n v="1756.81"/>
    <n v="0"/>
    <n v="3212"/>
  </r>
  <r>
    <x v="0"/>
    <x v="2"/>
    <x v="2"/>
    <x v="235"/>
    <x v="201"/>
    <x v="201"/>
    <s v="CHARGES"/>
    <x v="1"/>
    <s v="3301.001"/>
    <s v="Défalcations, abandons de solde PP et IS"/>
    <n v="169669.27"/>
    <n v="0"/>
    <n v="3301"/>
  </r>
  <r>
    <x v="0"/>
    <x v="2"/>
    <x v="2"/>
    <x v="235"/>
    <x v="201"/>
    <x v="201"/>
    <s v="CHARGES"/>
    <x v="0"/>
    <s v="3212.002"/>
    <s v="Intérêts bonifiés/trop perçu acompte C/C"/>
    <n v="-937.88"/>
    <n v="0"/>
    <n v="3212"/>
  </r>
  <r>
    <x v="0"/>
    <x v="2"/>
    <x v="2"/>
    <x v="235"/>
    <x v="201"/>
    <x v="201"/>
    <s v="CHARGES"/>
    <x v="0"/>
    <s v="3221.002"/>
    <s v="Intérêts compensatoires / créances en faveur ctb."/>
    <n v="477.33"/>
    <n v="0"/>
    <n v="3221"/>
  </r>
  <r>
    <x v="0"/>
    <x v="2"/>
    <x v="2"/>
    <x v="235"/>
    <x v="201"/>
    <x v="201"/>
    <s v="CHARGES"/>
    <x v="0"/>
    <s v="3212.004"/>
    <s v="Intérêts rémun./perçu trop tôt sur acomptes C/C"/>
    <n v="0.1"/>
    <n v="0"/>
    <n v="3212"/>
  </r>
  <r>
    <x v="0"/>
    <x v="2"/>
    <x v="2"/>
    <x v="235"/>
    <x v="201"/>
    <x v="201"/>
    <s v="CHARGES"/>
    <x v="0"/>
    <s v="3212.002"/>
    <s v="Intérêts bonifiés/trop perçu acompte C/C"/>
    <n v="0.04"/>
    <n v="0"/>
    <n v="3212"/>
  </r>
  <r>
    <x v="0"/>
    <x v="2"/>
    <x v="2"/>
    <x v="235"/>
    <x v="201"/>
    <x v="201"/>
    <s v="CHARGES"/>
    <x v="0"/>
    <s v="3221.002"/>
    <s v="Intérêts compensatoires / créances en faveur ctb."/>
    <n v="0.12"/>
    <n v="0"/>
    <n v="3221"/>
  </r>
  <r>
    <x v="0"/>
    <x v="2"/>
    <x v="2"/>
    <x v="235"/>
    <x v="201"/>
    <x v="201"/>
    <s v="CHARGES"/>
    <x v="1"/>
    <s v="3301.001"/>
    <s v="Défalcations, abandons de solde PP et IS"/>
    <n v="0.03"/>
    <n v="0"/>
    <n v="3301"/>
  </r>
  <r>
    <x v="0"/>
    <x v="2"/>
    <x v="2"/>
    <x v="235"/>
    <x v="201"/>
    <x v="201"/>
    <s v="CHARGES"/>
    <x v="0"/>
    <s v="3212.004"/>
    <s v="Intérêts rémun./perçu trop tôt sur acomptes C/C"/>
    <n v="0.12"/>
    <n v="0"/>
    <n v="3212"/>
  </r>
  <r>
    <x v="0"/>
    <x v="2"/>
    <x v="2"/>
    <x v="235"/>
    <x v="201"/>
    <x v="201"/>
    <s v="CHARGES"/>
    <x v="0"/>
    <s v="3221.002"/>
    <s v="Intérêts compensatoires / créances en faveur ctb."/>
    <n v="0.37"/>
    <n v="0"/>
    <n v="3221"/>
  </r>
  <r>
    <x v="0"/>
    <x v="2"/>
    <x v="2"/>
    <x v="235"/>
    <x v="201"/>
    <x v="201"/>
    <s v="CHARGES"/>
    <x v="1"/>
    <s v="3301.001"/>
    <s v="Défalcations, abandons de solde PP et IS"/>
    <n v="3935.85"/>
    <n v="0"/>
    <n v="3301"/>
  </r>
  <r>
    <x v="0"/>
    <x v="2"/>
    <x v="2"/>
    <x v="235"/>
    <x v="201"/>
    <x v="201"/>
    <s v="CHARGES"/>
    <x v="1"/>
    <s v="3301.001"/>
    <s v="Défalcations, abandons de solde PP et IS"/>
    <n v="0.01"/>
    <n v="0"/>
    <n v="3301"/>
  </r>
  <r>
    <x v="0"/>
    <x v="2"/>
    <x v="2"/>
    <x v="235"/>
    <x v="201"/>
    <x v="201"/>
    <s v="CHARGES"/>
    <x v="0"/>
    <s v="3212.004"/>
    <s v="Intérêts rémun./perçu trop tôt sur acomptes C/C"/>
    <n v="7.71"/>
    <n v="0"/>
    <n v="3212"/>
  </r>
  <r>
    <x v="0"/>
    <x v="2"/>
    <x v="2"/>
    <x v="235"/>
    <x v="201"/>
    <x v="201"/>
    <s v="CHARGES"/>
    <x v="1"/>
    <s v="3301.001"/>
    <s v="Défalcations, abandons de solde PP et IS"/>
    <n v="0.02"/>
    <n v="0"/>
    <n v="3301"/>
  </r>
  <r>
    <x v="0"/>
    <x v="2"/>
    <x v="2"/>
    <x v="235"/>
    <x v="201"/>
    <x v="201"/>
    <s v="CHARGES"/>
    <x v="0"/>
    <s v="3212.004"/>
    <s v="Intérêts rémun./perçu trop tôt sur acomptes C/C"/>
    <n v="1.24"/>
    <n v="0"/>
    <n v="3212"/>
  </r>
  <r>
    <x v="0"/>
    <x v="2"/>
    <x v="2"/>
    <x v="235"/>
    <x v="201"/>
    <x v="201"/>
    <s v="CHARGES"/>
    <x v="0"/>
    <s v="3212.004"/>
    <s v="Intérêts rémun./perçu trop tôt sur acomptes C/C"/>
    <n v="0.13"/>
    <n v="0"/>
    <n v="3212"/>
  </r>
  <r>
    <x v="0"/>
    <x v="2"/>
    <x v="2"/>
    <x v="235"/>
    <x v="201"/>
    <x v="201"/>
    <s v="CHARGES"/>
    <x v="0"/>
    <s v="3212.004"/>
    <s v="Intérêts rémun./perçu trop tôt sur acomptes C/C"/>
    <n v="0.77"/>
    <n v="0"/>
    <n v="3212"/>
  </r>
  <r>
    <x v="0"/>
    <x v="2"/>
    <x v="2"/>
    <x v="235"/>
    <x v="201"/>
    <x v="201"/>
    <s v="CHARGES"/>
    <x v="1"/>
    <s v="3301.001"/>
    <s v="Défalcations, abandons de solde PP et IS"/>
    <n v="5.42"/>
    <n v="0"/>
    <n v="3301"/>
  </r>
  <r>
    <x v="0"/>
    <x v="2"/>
    <x v="2"/>
    <x v="235"/>
    <x v="201"/>
    <x v="201"/>
    <s v="CHARGES"/>
    <x v="0"/>
    <s v="3221.002"/>
    <s v="Intérêts compensatoires / créances en faveur ctb."/>
    <n v="0.31"/>
    <n v="0"/>
    <n v="3221"/>
  </r>
  <r>
    <x v="0"/>
    <x v="2"/>
    <x v="2"/>
    <x v="235"/>
    <x v="201"/>
    <x v="201"/>
    <s v="REVENUS"/>
    <x v="2"/>
    <s v="4001.001"/>
    <s v="Impôt revenu"/>
    <n v="0"/>
    <n v="4610379.05"/>
    <n v="4001"/>
  </r>
  <r>
    <x v="0"/>
    <x v="2"/>
    <x v="2"/>
    <x v="235"/>
    <x v="201"/>
    <x v="201"/>
    <s v="REVENUS"/>
    <x v="2"/>
    <s v="4001.007"/>
    <s v="Acompte impôt sur revenu"/>
    <n v="0"/>
    <n v="-358411.8"/>
    <n v="4001"/>
  </r>
  <r>
    <x v="0"/>
    <x v="2"/>
    <x v="2"/>
    <x v="235"/>
    <x v="201"/>
    <x v="201"/>
    <s v="REVENUS"/>
    <x v="6"/>
    <s v="4211.002"/>
    <s v="Intérêts de retard sur acomptes"/>
    <n v="0"/>
    <n v="46826.28"/>
    <n v="4211"/>
  </r>
  <r>
    <x v="0"/>
    <x v="2"/>
    <x v="2"/>
    <x v="235"/>
    <x v="201"/>
    <x v="201"/>
    <s v="REVENUS"/>
    <x v="6"/>
    <s v="4221.003"/>
    <s v="Intérêts compensat. / acomptes en faveur du fisc"/>
    <n v="0"/>
    <n v="1327.32"/>
    <n v="4221"/>
  </r>
  <r>
    <x v="0"/>
    <x v="2"/>
    <x v="2"/>
    <x v="235"/>
    <x v="201"/>
    <x v="201"/>
    <s v="REVENUS"/>
    <x v="3"/>
    <s v="4002.001"/>
    <s v="Impôt ordinaire s/fortune PP"/>
    <n v="0"/>
    <n v="1372751.25"/>
    <n v="4002"/>
  </r>
  <r>
    <x v="0"/>
    <x v="2"/>
    <x v="2"/>
    <x v="235"/>
    <x v="201"/>
    <x v="201"/>
    <s v="REVENUS"/>
    <x v="3"/>
    <s v="4002.007"/>
    <s v="Acompte impôt sur fortune"/>
    <n v="0"/>
    <n v="36775.86"/>
    <n v="4002"/>
  </r>
  <r>
    <x v="0"/>
    <x v="2"/>
    <x v="2"/>
    <x v="235"/>
    <x v="201"/>
    <x v="201"/>
    <s v="REVENUS"/>
    <x v="6"/>
    <s v="4211.001"/>
    <s v="Intérêts de retard sur factures"/>
    <n v="0"/>
    <n v="21555.15"/>
    <n v="4211"/>
  </r>
  <r>
    <x v="0"/>
    <x v="2"/>
    <x v="2"/>
    <x v="235"/>
    <x v="201"/>
    <x v="201"/>
    <s v="REVENUS"/>
    <x v="2"/>
    <s v="4001.002"/>
    <s v="Impôt complément s/revenu PP"/>
    <n v="0"/>
    <n v="1463511.1"/>
    <n v="4001"/>
  </r>
  <r>
    <x v="0"/>
    <x v="2"/>
    <x v="2"/>
    <x v="235"/>
    <x v="201"/>
    <x v="201"/>
    <s v="REVENUS"/>
    <x v="3"/>
    <s v="4002.002"/>
    <s v="Impôt complémentaire s/fortune PP"/>
    <n v="0"/>
    <n v="368671.15"/>
    <n v="4002"/>
  </r>
  <r>
    <x v="0"/>
    <x v="2"/>
    <x v="2"/>
    <x v="235"/>
    <x v="201"/>
    <x v="201"/>
    <s v="REVENUS"/>
    <x v="3"/>
    <s v="4002.001"/>
    <s v="Impôt ordinaire s/fortune PP"/>
    <n v="0"/>
    <n v="1348.6"/>
    <n v="4002"/>
  </r>
  <r>
    <x v="0"/>
    <x v="2"/>
    <x v="2"/>
    <x v="235"/>
    <x v="201"/>
    <x v="201"/>
    <s v="REVENUS"/>
    <x v="6"/>
    <s v="4211.002"/>
    <s v="Intérêts de retard sur acomptes"/>
    <n v="0"/>
    <n v="23.36"/>
    <n v="4211"/>
  </r>
  <r>
    <x v="0"/>
    <x v="2"/>
    <x v="2"/>
    <x v="235"/>
    <x v="201"/>
    <x v="201"/>
    <s v="REVENUS"/>
    <x v="7"/>
    <s v="4184.000"/>
    <s v="Frais de poursuite"/>
    <n v="0"/>
    <n v="1817.17"/>
    <n v="4184"/>
  </r>
  <r>
    <x v="0"/>
    <x v="2"/>
    <x v="2"/>
    <x v="235"/>
    <x v="201"/>
    <x v="201"/>
    <s v="REVENUS"/>
    <x v="11"/>
    <s v="4198.000"/>
    <s v="Contributions communales"/>
    <n v="0"/>
    <n v="847506.65"/>
    <n v="4198"/>
  </r>
  <r>
    <x v="0"/>
    <x v="2"/>
    <x v="2"/>
    <x v="235"/>
    <x v="201"/>
    <x v="201"/>
    <s v="REVENUS"/>
    <x v="10"/>
    <s v="4041.001"/>
    <s v="Droits de mutation"/>
    <n v="0"/>
    <n v="435880.2"/>
    <n v="4041"/>
  </r>
  <r>
    <x v="0"/>
    <x v="2"/>
    <x v="2"/>
    <x v="235"/>
    <x v="201"/>
    <x v="201"/>
    <s v="REVENUS"/>
    <x v="2"/>
    <s v="4001.001"/>
    <s v="Impôt revenu"/>
    <n v="0"/>
    <n v="4457.8"/>
    <n v="4001"/>
  </r>
  <r>
    <x v="0"/>
    <x v="2"/>
    <x v="2"/>
    <x v="235"/>
    <x v="201"/>
    <x v="201"/>
    <s v="REVENUS"/>
    <x v="3"/>
    <s v="4002.001"/>
    <s v="Impôt ordinaire s/fortune PP"/>
    <n v="0"/>
    <n v="1209.0999999999999"/>
    <n v="4002"/>
  </r>
  <r>
    <x v="0"/>
    <x v="2"/>
    <x v="2"/>
    <x v="235"/>
    <x v="201"/>
    <x v="201"/>
    <s v="REVENUS"/>
    <x v="6"/>
    <s v="4211.002"/>
    <s v="Intérêts de retard sur acomptes"/>
    <n v="0"/>
    <n v="69.52"/>
    <n v="4211"/>
  </r>
  <r>
    <x v="0"/>
    <x v="2"/>
    <x v="2"/>
    <x v="235"/>
    <x v="201"/>
    <x v="201"/>
    <s v="REVENUS"/>
    <x v="6"/>
    <s v="4221.003"/>
    <s v="Intérêts compensat. / acomptes en faveur du fisc"/>
    <n v="0"/>
    <n v="4.3600000000000003"/>
    <n v="4221"/>
  </r>
  <r>
    <x v="0"/>
    <x v="2"/>
    <x v="2"/>
    <x v="235"/>
    <x v="201"/>
    <x v="201"/>
    <s v="REVENUS"/>
    <x v="2"/>
    <s v="4001.003"/>
    <s v="Impôt s/prest. cap. PP"/>
    <n v="0"/>
    <n v="98592.9"/>
    <n v="4001"/>
  </r>
  <r>
    <x v="0"/>
    <x v="2"/>
    <x v="2"/>
    <x v="235"/>
    <x v="201"/>
    <x v="201"/>
    <s v="REVENUS"/>
    <x v="5"/>
    <s v="4061.000"/>
    <s v="Impôt sur les chiens"/>
    <n v="0"/>
    <n v="8880"/>
    <n v="4061"/>
  </r>
  <r>
    <x v="0"/>
    <x v="2"/>
    <x v="2"/>
    <x v="235"/>
    <x v="201"/>
    <x v="201"/>
    <s v="REVENUS"/>
    <x v="2"/>
    <s v="4001.001"/>
    <s v="Impôt revenu"/>
    <n v="0"/>
    <n v="171.95"/>
    <n v="4001"/>
  </r>
  <r>
    <x v="0"/>
    <x v="2"/>
    <x v="2"/>
    <x v="235"/>
    <x v="201"/>
    <x v="201"/>
    <s v="REVENUS"/>
    <x v="3"/>
    <s v="4002.001"/>
    <s v="Impôt ordinaire s/fortune PP"/>
    <n v="0"/>
    <n v="162.65"/>
    <n v="4002"/>
  </r>
  <r>
    <x v="0"/>
    <x v="2"/>
    <x v="2"/>
    <x v="235"/>
    <x v="201"/>
    <x v="201"/>
    <s v="REVENUS"/>
    <x v="12"/>
    <s v="4004.007"/>
    <s v="Acompte spécial étrangers"/>
    <n v="0"/>
    <n v="5458.65"/>
    <n v="4004"/>
  </r>
  <r>
    <x v="0"/>
    <x v="2"/>
    <x v="2"/>
    <x v="235"/>
    <x v="201"/>
    <x v="201"/>
    <s v="REVENUS"/>
    <x v="2"/>
    <s v="4001.007"/>
    <s v="Acompte impôt sur revenu"/>
    <n v="0"/>
    <n v="1270.19"/>
    <n v="4001"/>
  </r>
  <r>
    <x v="0"/>
    <x v="2"/>
    <x v="2"/>
    <x v="235"/>
    <x v="201"/>
    <x v="201"/>
    <s v="REVENUS"/>
    <x v="3"/>
    <s v="4002.007"/>
    <s v="Acompte impôt sur fortune"/>
    <n v="0"/>
    <n v="-6036.66"/>
    <n v="4002"/>
  </r>
  <r>
    <x v="0"/>
    <x v="2"/>
    <x v="2"/>
    <x v="235"/>
    <x v="201"/>
    <x v="201"/>
    <s v="REVENUS"/>
    <x v="3"/>
    <s v="4002.007"/>
    <s v="Acompte impôt sur fortune"/>
    <n v="0"/>
    <n v="2657.97"/>
    <n v="4002"/>
  </r>
  <r>
    <x v="0"/>
    <x v="2"/>
    <x v="2"/>
    <x v="235"/>
    <x v="201"/>
    <x v="201"/>
    <s v="REVENUS"/>
    <x v="2"/>
    <s v="4001.007"/>
    <s v="Acompte impôt sur revenu"/>
    <n v="0"/>
    <n v="10302.209999999999"/>
    <n v="4001"/>
  </r>
  <r>
    <x v="0"/>
    <x v="2"/>
    <x v="2"/>
    <x v="235"/>
    <x v="201"/>
    <x v="201"/>
    <s v="REVENUS"/>
    <x v="3"/>
    <s v="4002.007"/>
    <s v="Acompte impôt sur fortune"/>
    <n v="0"/>
    <n v="2203.8000000000002"/>
    <n v="4002"/>
  </r>
  <r>
    <x v="0"/>
    <x v="2"/>
    <x v="2"/>
    <x v="235"/>
    <x v="201"/>
    <x v="201"/>
    <s v="REVENUS"/>
    <x v="2"/>
    <s v="4001.007"/>
    <s v="Acompte impôt sur revenu"/>
    <n v="0"/>
    <n v="-556.95000000000005"/>
    <n v="4001"/>
  </r>
  <r>
    <x v="0"/>
    <x v="2"/>
    <x v="2"/>
    <x v="235"/>
    <x v="201"/>
    <x v="201"/>
    <s v="REVENUS"/>
    <x v="3"/>
    <s v="4002.007"/>
    <s v="Acompte impôt sur fortune"/>
    <n v="0"/>
    <n v="-557.15"/>
    <n v="4002"/>
  </r>
  <r>
    <x v="0"/>
    <x v="2"/>
    <x v="2"/>
    <x v="235"/>
    <x v="201"/>
    <x v="201"/>
    <s v="REVENUS"/>
    <x v="2"/>
    <s v="4001.007"/>
    <s v="Acompte impôt sur revenu"/>
    <n v="0"/>
    <n v="1696.25"/>
    <n v="4001"/>
  </r>
  <r>
    <x v="0"/>
    <x v="2"/>
    <x v="2"/>
    <x v="235"/>
    <x v="201"/>
    <x v="201"/>
    <s v="REVENUS"/>
    <x v="3"/>
    <s v="4002.007"/>
    <s v="Acompte impôt sur fortune"/>
    <n v="0"/>
    <n v="1172.8"/>
    <n v="4002"/>
  </r>
  <r>
    <x v="0"/>
    <x v="2"/>
    <x v="2"/>
    <x v="235"/>
    <x v="201"/>
    <x v="201"/>
    <s v="REVENUS"/>
    <x v="2"/>
    <s v="4001.001"/>
    <s v="Impôt revenu"/>
    <n v="0"/>
    <n v="3337.35"/>
    <n v="4001"/>
  </r>
  <r>
    <x v="0"/>
    <x v="2"/>
    <x v="2"/>
    <x v="235"/>
    <x v="201"/>
    <x v="201"/>
    <s v="REVENUS"/>
    <x v="3"/>
    <s v="4002.001"/>
    <s v="Impôt ordinaire s/fortune PP"/>
    <n v="0"/>
    <n v="2377.15"/>
    <n v="4002"/>
  </r>
  <r>
    <x v="0"/>
    <x v="2"/>
    <x v="2"/>
    <x v="235"/>
    <x v="201"/>
    <x v="201"/>
    <s v="REVENUS"/>
    <x v="6"/>
    <s v="4221.003"/>
    <s v="Intérêts compensat. / acomptes en faveur du fisc"/>
    <n v="0"/>
    <n v="0.04"/>
    <n v="4221"/>
  </r>
  <r>
    <x v="0"/>
    <x v="2"/>
    <x v="2"/>
    <x v="235"/>
    <x v="201"/>
    <x v="201"/>
    <s v="REVENUS"/>
    <x v="2"/>
    <s v="4001.007"/>
    <s v="Acompte impôt sur revenu"/>
    <n v="0"/>
    <n v="2656.65"/>
    <n v="4001"/>
  </r>
  <r>
    <x v="0"/>
    <x v="2"/>
    <x v="2"/>
    <x v="235"/>
    <x v="201"/>
    <x v="201"/>
    <s v="REVENUS"/>
    <x v="6"/>
    <s v="4221.002"/>
    <s v="Intérêts compensat. sur impôts distincts"/>
    <n v="0"/>
    <n v="107.95"/>
    <n v="4221"/>
  </r>
  <r>
    <x v="0"/>
    <x v="2"/>
    <x v="2"/>
    <x v="235"/>
    <x v="201"/>
    <x v="201"/>
    <s v="REVENUS"/>
    <x v="7"/>
    <s v="4184.000"/>
    <s v="Frais de poursuite"/>
    <n v="0"/>
    <n v="93.66"/>
    <n v="4184"/>
  </r>
  <r>
    <x v="0"/>
    <x v="2"/>
    <x v="2"/>
    <x v="235"/>
    <x v="201"/>
    <x v="201"/>
    <s v="REVENUS"/>
    <x v="2"/>
    <s v="4001.002"/>
    <s v="Impôt complément s/revenu PP"/>
    <n v="0"/>
    <n v="155.6"/>
    <n v="4001"/>
  </r>
  <r>
    <x v="0"/>
    <x v="2"/>
    <x v="2"/>
    <x v="235"/>
    <x v="201"/>
    <x v="201"/>
    <s v="REVENUS"/>
    <x v="3"/>
    <s v="4002.002"/>
    <s v="Impôt complémentaire s/fortune PP"/>
    <n v="0"/>
    <n v="35.85"/>
    <n v="4002"/>
  </r>
  <r>
    <x v="0"/>
    <x v="2"/>
    <x v="2"/>
    <x v="235"/>
    <x v="201"/>
    <x v="201"/>
    <s v="REVENUS"/>
    <x v="6"/>
    <s v="4211.001"/>
    <s v="Intérêts de retard sur factures"/>
    <n v="0"/>
    <n v="3.82"/>
    <n v="4211"/>
  </r>
  <r>
    <x v="0"/>
    <x v="2"/>
    <x v="2"/>
    <x v="235"/>
    <x v="201"/>
    <x v="201"/>
    <s v="REVENUS"/>
    <x v="9"/>
    <s v="4031.001"/>
    <s v="Impôt sur les gains immobiliers"/>
    <n v="0"/>
    <n v="532620.6"/>
    <n v="4031"/>
  </r>
  <r>
    <x v="0"/>
    <x v="2"/>
    <x v="2"/>
    <x v="235"/>
    <x v="201"/>
    <x v="201"/>
    <s v="REVENUS"/>
    <x v="8"/>
    <s v="4091.001"/>
    <s v="Impôt récupéré après défalcations"/>
    <n v="0"/>
    <n v="161084.22"/>
    <n v="4091"/>
  </r>
  <r>
    <x v="0"/>
    <x v="2"/>
    <x v="2"/>
    <x v="235"/>
    <x v="201"/>
    <x v="201"/>
    <s v="REVENUS"/>
    <x v="6"/>
    <s v="4211.001"/>
    <s v="Intérêts de retard sur factures"/>
    <n v="0"/>
    <n v="29.63"/>
    <n v="4211"/>
  </r>
  <r>
    <x v="0"/>
    <x v="2"/>
    <x v="2"/>
    <x v="235"/>
    <x v="201"/>
    <x v="201"/>
    <s v="REVENUS"/>
    <x v="3"/>
    <s v="4002.001"/>
    <s v="Impôt ordinaire s/fortune PP"/>
    <n v="0"/>
    <n v="1241.5"/>
    <n v="4002"/>
  </r>
  <r>
    <x v="0"/>
    <x v="2"/>
    <x v="2"/>
    <x v="235"/>
    <x v="201"/>
    <x v="201"/>
    <s v="REVENUS"/>
    <x v="6"/>
    <s v="4211.002"/>
    <s v="Intérêts de retard sur acomptes"/>
    <n v="0"/>
    <n v="12.32"/>
    <n v="4211"/>
  </r>
  <r>
    <x v="0"/>
    <x v="2"/>
    <x v="2"/>
    <x v="235"/>
    <x v="201"/>
    <x v="201"/>
    <s v="REVENUS"/>
    <x v="6"/>
    <s v="4221.003"/>
    <s v="Intérêts compensat. / acomptes en faveur du fisc"/>
    <n v="0"/>
    <n v="0.01"/>
    <n v="4221"/>
  </r>
  <r>
    <x v="0"/>
    <x v="2"/>
    <x v="2"/>
    <x v="235"/>
    <x v="201"/>
    <x v="201"/>
    <s v="REVENUS"/>
    <x v="3"/>
    <s v="4002.002"/>
    <s v="Impôt complémentaire s/fortune PP"/>
    <n v="0"/>
    <n v="2702.05"/>
    <n v="4002"/>
  </r>
  <r>
    <x v="0"/>
    <x v="2"/>
    <x v="2"/>
    <x v="235"/>
    <x v="201"/>
    <x v="201"/>
    <s v="REVENUS"/>
    <x v="3"/>
    <s v="4002.001"/>
    <s v="Impôt ordinaire s/fortune PP"/>
    <n v="0"/>
    <n v="5813.7"/>
    <n v="4002"/>
  </r>
  <r>
    <x v="0"/>
    <x v="2"/>
    <x v="2"/>
    <x v="235"/>
    <x v="201"/>
    <x v="201"/>
    <s v="REVENUS"/>
    <x v="6"/>
    <s v="4221.003"/>
    <s v="Intérêts compensat. / acomptes en faveur du fisc"/>
    <n v="0"/>
    <n v="0.02"/>
    <n v="4221"/>
  </r>
  <r>
    <x v="0"/>
    <x v="2"/>
    <x v="2"/>
    <x v="235"/>
    <x v="201"/>
    <x v="201"/>
    <s v="REVENUS"/>
    <x v="12"/>
    <s v="4004.000"/>
    <s v="Impôt spécial étrangers"/>
    <n v="0"/>
    <n v="132466.70000000001"/>
    <n v="4004"/>
  </r>
  <r>
    <x v="0"/>
    <x v="2"/>
    <x v="2"/>
    <x v="235"/>
    <x v="201"/>
    <x v="201"/>
    <s v="REVENUS"/>
    <x v="2"/>
    <s v="4001.001"/>
    <s v="Impôt revenu"/>
    <n v="0"/>
    <n v="1013.7"/>
    <n v="4001"/>
  </r>
  <r>
    <x v="0"/>
    <x v="2"/>
    <x v="2"/>
    <x v="235"/>
    <x v="201"/>
    <x v="201"/>
    <s v="REVENUS"/>
    <x v="2"/>
    <s v="4001.001"/>
    <s v="Impôt revenu"/>
    <n v="0"/>
    <n v="1213.1500000000001"/>
    <n v="4001"/>
  </r>
  <r>
    <x v="0"/>
    <x v="2"/>
    <x v="2"/>
    <x v="235"/>
    <x v="201"/>
    <x v="201"/>
    <s v="REVENUS"/>
    <x v="8"/>
    <s v="4091.001"/>
    <s v="Impôt récupéré après défalcations"/>
    <n v="0"/>
    <n v="6954.87"/>
    <n v="4091"/>
  </r>
  <r>
    <x v="0"/>
    <x v="2"/>
    <x v="2"/>
    <x v="235"/>
    <x v="201"/>
    <x v="201"/>
    <s v="REVENUS"/>
    <x v="6"/>
    <s v="4211.001"/>
    <s v="Intérêts de retard sur factures"/>
    <n v="0"/>
    <n v="3.04"/>
    <n v="4211"/>
  </r>
  <r>
    <x v="0"/>
    <x v="2"/>
    <x v="2"/>
    <x v="235"/>
    <x v="201"/>
    <x v="201"/>
    <s v="REVENUS"/>
    <x v="2"/>
    <s v="4001.001"/>
    <s v="Impôt revenu"/>
    <n v="0"/>
    <n v="6034.55"/>
    <n v="4001"/>
  </r>
  <r>
    <x v="0"/>
    <x v="2"/>
    <x v="2"/>
    <x v="235"/>
    <x v="201"/>
    <x v="201"/>
    <s v="REVENUS"/>
    <x v="2"/>
    <s v="4001.001"/>
    <s v="Impôt revenu"/>
    <n v="0"/>
    <n v="1077.05"/>
    <n v="4001"/>
  </r>
  <r>
    <x v="0"/>
    <x v="2"/>
    <x v="2"/>
    <x v="235"/>
    <x v="201"/>
    <x v="201"/>
    <s v="REVENUS"/>
    <x v="3"/>
    <s v="4002.001"/>
    <s v="Impôt ordinaire s/fortune PP"/>
    <n v="0"/>
    <n v="3460.6"/>
    <n v="4002"/>
  </r>
  <r>
    <x v="0"/>
    <x v="2"/>
    <x v="2"/>
    <x v="235"/>
    <x v="201"/>
    <x v="201"/>
    <s v="REVENUS"/>
    <x v="2"/>
    <s v="4001.007"/>
    <s v="Acompte impôt sur revenu"/>
    <n v="0"/>
    <n v="455.35"/>
    <n v="4001"/>
  </r>
  <r>
    <x v="0"/>
    <x v="2"/>
    <x v="2"/>
    <x v="235"/>
    <x v="201"/>
    <x v="201"/>
    <s v="REVENUS"/>
    <x v="3"/>
    <s v="4002.007"/>
    <s v="Acompte impôt sur fortune"/>
    <n v="0"/>
    <n v="246.75"/>
    <n v="4002"/>
  </r>
  <r>
    <x v="0"/>
    <x v="2"/>
    <x v="2"/>
    <x v="235"/>
    <x v="201"/>
    <x v="201"/>
    <s v="REVENUS"/>
    <x v="6"/>
    <s v="4211.002"/>
    <s v="Intérêts de retard sur acomptes"/>
    <n v="0"/>
    <n v="0.05"/>
    <n v="4211"/>
  </r>
  <r>
    <x v="0"/>
    <x v="2"/>
    <x v="2"/>
    <x v="235"/>
    <x v="201"/>
    <x v="201"/>
    <s v="REVENUS"/>
    <x v="6"/>
    <s v="4221.003"/>
    <s v="Intérêts compensat. / acomptes en faveur du fisc"/>
    <n v="0"/>
    <n v="0.65"/>
    <n v="4221"/>
  </r>
  <r>
    <x v="0"/>
    <x v="2"/>
    <x v="2"/>
    <x v="235"/>
    <x v="201"/>
    <x v="201"/>
    <s v="REVENUS"/>
    <x v="6"/>
    <s v="4211.002"/>
    <s v="Intérêts de retard sur acomptes"/>
    <n v="0"/>
    <n v="0.46"/>
    <n v="4211"/>
  </r>
  <r>
    <x v="0"/>
    <x v="2"/>
    <x v="2"/>
    <x v="235"/>
    <x v="201"/>
    <x v="201"/>
    <s v="REVENUS"/>
    <x v="6"/>
    <s v="4211.001"/>
    <s v="Intérêts de retard sur factures"/>
    <n v="0"/>
    <n v="4.7699999999999996"/>
    <n v="4211"/>
  </r>
  <r>
    <x v="0"/>
    <x v="2"/>
    <x v="2"/>
    <x v="236"/>
    <x v="202"/>
    <x v="202"/>
    <s v="CHARGES"/>
    <x v="0"/>
    <s v="3212.002"/>
    <s v="Intérêts bonifiés/trop perçu acompte C/C"/>
    <n v="282.39999999999998"/>
    <n v="0"/>
    <n v="3212"/>
  </r>
  <r>
    <x v="0"/>
    <x v="2"/>
    <x v="2"/>
    <x v="236"/>
    <x v="202"/>
    <x v="202"/>
    <s v="CHARGES"/>
    <x v="0"/>
    <s v="3212.004"/>
    <s v="Intérêts rémun./perçu trop tôt sur acomptes C/C"/>
    <n v="6258.56"/>
    <n v="0"/>
    <n v="3212"/>
  </r>
  <r>
    <x v="0"/>
    <x v="2"/>
    <x v="2"/>
    <x v="236"/>
    <x v="202"/>
    <x v="202"/>
    <s v="CHARGES"/>
    <x v="0"/>
    <s v="3221.002"/>
    <s v="Intérêts compensatoires / créances en faveur ctb."/>
    <n v="748.62"/>
    <n v="0"/>
    <n v="3221"/>
  </r>
  <r>
    <x v="0"/>
    <x v="2"/>
    <x v="2"/>
    <x v="236"/>
    <x v="202"/>
    <x v="202"/>
    <s v="CHARGES"/>
    <x v="1"/>
    <s v="3301.001"/>
    <s v="Défalcations, abandons de solde PP et IS"/>
    <n v="54309.65"/>
    <n v="0"/>
    <n v="3301"/>
  </r>
  <r>
    <x v="0"/>
    <x v="2"/>
    <x v="2"/>
    <x v="236"/>
    <x v="202"/>
    <x v="202"/>
    <s v="CHARGES"/>
    <x v="0"/>
    <s v="3212.004"/>
    <s v="Intérêts rémun./perçu trop tôt sur acomptes C/C"/>
    <n v="0.36"/>
    <n v="0"/>
    <n v="3212"/>
  </r>
  <r>
    <x v="0"/>
    <x v="2"/>
    <x v="2"/>
    <x v="236"/>
    <x v="202"/>
    <x v="202"/>
    <s v="CHARGES"/>
    <x v="0"/>
    <s v="3221.002"/>
    <s v="Intérêts compensatoires / créances en faveur ctb."/>
    <n v="0.12"/>
    <n v="0"/>
    <n v="3221"/>
  </r>
  <r>
    <x v="0"/>
    <x v="2"/>
    <x v="2"/>
    <x v="236"/>
    <x v="202"/>
    <x v="202"/>
    <s v="CHARGES"/>
    <x v="0"/>
    <s v="3212.004"/>
    <s v="Intérêts rémun./perçu trop tôt sur acomptes C/C"/>
    <n v="0.09"/>
    <n v="0"/>
    <n v="3212"/>
  </r>
  <r>
    <x v="0"/>
    <x v="2"/>
    <x v="2"/>
    <x v="236"/>
    <x v="202"/>
    <x v="202"/>
    <s v="CHARGES"/>
    <x v="0"/>
    <s v="3212.002"/>
    <s v="Intérêts bonifiés/trop perçu acompte C/C"/>
    <n v="0.01"/>
    <n v="0"/>
    <n v="3212"/>
  </r>
  <r>
    <x v="0"/>
    <x v="2"/>
    <x v="2"/>
    <x v="236"/>
    <x v="202"/>
    <x v="202"/>
    <s v="CHARGES"/>
    <x v="1"/>
    <s v="3301.001"/>
    <s v="Défalcations, abandons de solde PP et IS"/>
    <n v="0.6"/>
    <n v="0"/>
    <n v="3301"/>
  </r>
  <r>
    <x v="0"/>
    <x v="2"/>
    <x v="2"/>
    <x v="236"/>
    <x v="202"/>
    <x v="202"/>
    <s v="CHARGES"/>
    <x v="0"/>
    <s v="3221.002"/>
    <s v="Intérêts compensatoires / créances en faveur ctb."/>
    <n v="0.1"/>
    <n v="0"/>
    <n v="3221"/>
  </r>
  <r>
    <x v="0"/>
    <x v="2"/>
    <x v="2"/>
    <x v="236"/>
    <x v="202"/>
    <x v="202"/>
    <s v="CHARGES"/>
    <x v="1"/>
    <s v="3301.001"/>
    <s v="Défalcations, abandons de solde PP et IS"/>
    <n v="0.01"/>
    <n v="0"/>
    <n v="3301"/>
  </r>
  <r>
    <x v="0"/>
    <x v="2"/>
    <x v="2"/>
    <x v="236"/>
    <x v="202"/>
    <x v="202"/>
    <s v="CHARGES"/>
    <x v="1"/>
    <s v="3301.001"/>
    <s v="Défalcations, abandons de solde PP et IS"/>
    <n v="0.19"/>
    <n v="0"/>
    <n v="3301"/>
  </r>
  <r>
    <x v="0"/>
    <x v="2"/>
    <x v="2"/>
    <x v="236"/>
    <x v="202"/>
    <x v="202"/>
    <s v="CHARGES"/>
    <x v="1"/>
    <s v="3301.001"/>
    <s v="Défalcations, abandons de solde PP et IS"/>
    <n v="64.209999999999994"/>
    <n v="0"/>
    <n v="3301"/>
  </r>
  <r>
    <x v="0"/>
    <x v="2"/>
    <x v="2"/>
    <x v="236"/>
    <x v="202"/>
    <x v="202"/>
    <s v="CHARGES"/>
    <x v="0"/>
    <s v="3212.004"/>
    <s v="Intérêts rémun./perçu trop tôt sur acomptes C/C"/>
    <n v="0.08"/>
    <n v="0"/>
    <n v="3212"/>
  </r>
  <r>
    <x v="0"/>
    <x v="2"/>
    <x v="2"/>
    <x v="236"/>
    <x v="202"/>
    <x v="202"/>
    <s v="CHARGES"/>
    <x v="0"/>
    <s v="3212.004"/>
    <s v="Intérêts rémun./perçu trop tôt sur acomptes C/C"/>
    <n v="3.98"/>
    <n v="0"/>
    <n v="3212"/>
  </r>
  <r>
    <x v="0"/>
    <x v="2"/>
    <x v="2"/>
    <x v="236"/>
    <x v="202"/>
    <x v="202"/>
    <s v="CHARGES"/>
    <x v="0"/>
    <s v="3221.002"/>
    <s v="Intérêts compensatoires / créances en faveur ctb."/>
    <n v="1"/>
    <n v="0"/>
    <n v="3221"/>
  </r>
  <r>
    <x v="0"/>
    <x v="2"/>
    <x v="2"/>
    <x v="236"/>
    <x v="202"/>
    <x v="202"/>
    <s v="CHARGES"/>
    <x v="1"/>
    <s v="3301.001"/>
    <s v="Défalcations, abandons de solde PP et IS"/>
    <n v="0.15"/>
    <n v="0"/>
    <n v="3301"/>
  </r>
  <r>
    <x v="0"/>
    <x v="2"/>
    <x v="2"/>
    <x v="236"/>
    <x v="202"/>
    <x v="202"/>
    <s v="REVENUS"/>
    <x v="2"/>
    <s v="4001.001"/>
    <s v="Impôt revenu"/>
    <n v="0"/>
    <n v="4244954.95"/>
    <n v="4001"/>
  </r>
  <r>
    <x v="0"/>
    <x v="2"/>
    <x v="2"/>
    <x v="236"/>
    <x v="202"/>
    <x v="202"/>
    <s v="REVENUS"/>
    <x v="2"/>
    <s v="4001.002"/>
    <s v="Impôt complément s/revenu PP"/>
    <n v="0"/>
    <n v="857417.3"/>
    <n v="4001"/>
  </r>
  <r>
    <x v="0"/>
    <x v="2"/>
    <x v="2"/>
    <x v="236"/>
    <x v="202"/>
    <x v="202"/>
    <s v="REVENUS"/>
    <x v="2"/>
    <s v="4001.007"/>
    <s v="Acompte impôt sur revenu"/>
    <n v="0"/>
    <n v="12341.92"/>
    <n v="4001"/>
  </r>
  <r>
    <x v="0"/>
    <x v="2"/>
    <x v="2"/>
    <x v="236"/>
    <x v="202"/>
    <x v="202"/>
    <s v="REVENUS"/>
    <x v="3"/>
    <s v="4002.001"/>
    <s v="Impôt ordinaire s/fortune PP"/>
    <n v="0"/>
    <n v="1065727"/>
    <n v="4002"/>
  </r>
  <r>
    <x v="0"/>
    <x v="2"/>
    <x v="2"/>
    <x v="236"/>
    <x v="202"/>
    <x v="202"/>
    <s v="REVENUS"/>
    <x v="3"/>
    <s v="4002.002"/>
    <s v="Impôt complémentaire s/fortune PP"/>
    <n v="0"/>
    <n v="130874.1"/>
    <n v="4002"/>
  </r>
  <r>
    <x v="0"/>
    <x v="2"/>
    <x v="2"/>
    <x v="236"/>
    <x v="202"/>
    <x v="202"/>
    <s v="REVENUS"/>
    <x v="3"/>
    <s v="4002.007"/>
    <s v="Acompte impôt sur fortune"/>
    <n v="0"/>
    <n v="-117534.74"/>
    <n v="4002"/>
  </r>
  <r>
    <x v="0"/>
    <x v="2"/>
    <x v="2"/>
    <x v="236"/>
    <x v="202"/>
    <x v="202"/>
    <s v="REVENUS"/>
    <x v="6"/>
    <s v="4211.001"/>
    <s v="Intérêts de retard sur factures"/>
    <n v="0"/>
    <n v="6070.16"/>
    <n v="4211"/>
  </r>
  <r>
    <x v="0"/>
    <x v="2"/>
    <x v="2"/>
    <x v="236"/>
    <x v="202"/>
    <x v="202"/>
    <s v="REVENUS"/>
    <x v="6"/>
    <s v="4211.002"/>
    <s v="Intérêts de retard sur acomptes"/>
    <n v="0"/>
    <n v="22680.35"/>
    <n v="4211"/>
  </r>
  <r>
    <x v="0"/>
    <x v="2"/>
    <x v="2"/>
    <x v="236"/>
    <x v="202"/>
    <x v="202"/>
    <s v="REVENUS"/>
    <x v="6"/>
    <s v="4221.003"/>
    <s v="Intérêts compensat. / acomptes en faveur du fisc"/>
    <n v="0"/>
    <n v="637.80999999999995"/>
    <n v="4221"/>
  </r>
  <r>
    <x v="0"/>
    <x v="2"/>
    <x v="2"/>
    <x v="236"/>
    <x v="202"/>
    <x v="202"/>
    <s v="REVENUS"/>
    <x v="2"/>
    <s v="4001.003"/>
    <s v="Impôt s/prest. cap. PP"/>
    <n v="0"/>
    <n v="-213844.75"/>
    <n v="4001"/>
  </r>
  <r>
    <x v="0"/>
    <x v="2"/>
    <x v="2"/>
    <x v="236"/>
    <x v="202"/>
    <x v="202"/>
    <s v="REVENUS"/>
    <x v="3"/>
    <s v="4002.001"/>
    <s v="Impôt ordinaire s/fortune PP"/>
    <n v="0"/>
    <n v="388.8"/>
    <n v="4002"/>
  </r>
  <r>
    <x v="0"/>
    <x v="2"/>
    <x v="2"/>
    <x v="236"/>
    <x v="202"/>
    <x v="202"/>
    <s v="REVENUS"/>
    <x v="3"/>
    <s v="4002.007"/>
    <s v="Acompte impôt sur fortune"/>
    <n v="0"/>
    <n v="-1383.61"/>
    <n v="4002"/>
  </r>
  <r>
    <x v="0"/>
    <x v="2"/>
    <x v="2"/>
    <x v="236"/>
    <x v="202"/>
    <x v="202"/>
    <s v="REVENUS"/>
    <x v="7"/>
    <s v="4184.000"/>
    <s v="Frais de poursuite"/>
    <n v="0"/>
    <n v="2387.84"/>
    <n v="4184"/>
  </r>
  <r>
    <x v="0"/>
    <x v="2"/>
    <x v="2"/>
    <x v="236"/>
    <x v="202"/>
    <x v="202"/>
    <s v="REVENUS"/>
    <x v="10"/>
    <s v="4041.001"/>
    <s v="Droits de mutation"/>
    <n v="0"/>
    <n v="552401.6"/>
    <n v="4041"/>
  </r>
  <r>
    <x v="0"/>
    <x v="2"/>
    <x v="2"/>
    <x v="236"/>
    <x v="202"/>
    <x v="202"/>
    <s v="REVENUS"/>
    <x v="9"/>
    <s v="4031.001"/>
    <s v="Impôt sur les gains immobiliers"/>
    <n v="0"/>
    <n v="253876.25"/>
    <n v="4031"/>
  </r>
  <r>
    <x v="0"/>
    <x v="2"/>
    <x v="2"/>
    <x v="236"/>
    <x v="202"/>
    <x v="202"/>
    <s v="REVENUS"/>
    <x v="11"/>
    <s v="4198.000"/>
    <s v="Contributions communales"/>
    <n v="0"/>
    <n v="378203.4"/>
    <n v="4198"/>
  </r>
  <r>
    <x v="0"/>
    <x v="2"/>
    <x v="2"/>
    <x v="236"/>
    <x v="202"/>
    <x v="202"/>
    <s v="REVENUS"/>
    <x v="6"/>
    <s v="4221.002"/>
    <s v="Intérêts compensat. sur impôts distincts"/>
    <n v="0"/>
    <n v="12.76"/>
    <n v="4221"/>
  </r>
  <r>
    <x v="0"/>
    <x v="2"/>
    <x v="2"/>
    <x v="236"/>
    <x v="202"/>
    <x v="202"/>
    <s v="REVENUS"/>
    <x v="2"/>
    <s v="4001.007"/>
    <s v="Acompte impôt sur revenu"/>
    <n v="0"/>
    <n v="797.75"/>
    <n v="4001"/>
  </r>
  <r>
    <x v="0"/>
    <x v="2"/>
    <x v="2"/>
    <x v="236"/>
    <x v="202"/>
    <x v="202"/>
    <s v="REVENUS"/>
    <x v="3"/>
    <s v="4002.007"/>
    <s v="Acompte impôt sur fortune"/>
    <n v="0"/>
    <n v="-24.1"/>
    <n v="4002"/>
  </r>
  <r>
    <x v="0"/>
    <x v="2"/>
    <x v="2"/>
    <x v="236"/>
    <x v="202"/>
    <x v="202"/>
    <s v="REVENUS"/>
    <x v="2"/>
    <s v="4001.007"/>
    <s v="Acompte impôt sur revenu"/>
    <n v="0"/>
    <n v="-938.85"/>
    <n v="4001"/>
  </r>
  <r>
    <x v="0"/>
    <x v="2"/>
    <x v="2"/>
    <x v="236"/>
    <x v="202"/>
    <x v="202"/>
    <s v="REVENUS"/>
    <x v="2"/>
    <s v="4001.001"/>
    <s v="Impôt revenu"/>
    <n v="0"/>
    <n v="4019.7"/>
    <n v="4001"/>
  </r>
  <r>
    <x v="0"/>
    <x v="2"/>
    <x v="2"/>
    <x v="236"/>
    <x v="202"/>
    <x v="202"/>
    <s v="REVENUS"/>
    <x v="3"/>
    <s v="4002.001"/>
    <s v="Impôt ordinaire s/fortune PP"/>
    <n v="0"/>
    <n v="2448.85"/>
    <n v="4002"/>
  </r>
  <r>
    <x v="0"/>
    <x v="2"/>
    <x v="2"/>
    <x v="236"/>
    <x v="202"/>
    <x v="202"/>
    <s v="REVENUS"/>
    <x v="6"/>
    <s v="4211.002"/>
    <s v="Intérêts de retard sur acomptes"/>
    <n v="0"/>
    <n v="213.13"/>
    <n v="4211"/>
  </r>
  <r>
    <x v="0"/>
    <x v="2"/>
    <x v="2"/>
    <x v="236"/>
    <x v="202"/>
    <x v="202"/>
    <s v="REVENUS"/>
    <x v="6"/>
    <s v="4221.003"/>
    <s v="Intérêts compensat. / acomptes en faveur du fisc"/>
    <n v="0"/>
    <n v="-2.1"/>
    <n v="4221"/>
  </r>
  <r>
    <x v="0"/>
    <x v="2"/>
    <x v="2"/>
    <x v="236"/>
    <x v="202"/>
    <x v="202"/>
    <s v="REVENUS"/>
    <x v="12"/>
    <s v="4004.007"/>
    <s v="Acompte spécial étrangers"/>
    <n v="0"/>
    <n v="-1560"/>
    <n v="4004"/>
  </r>
  <r>
    <x v="0"/>
    <x v="2"/>
    <x v="2"/>
    <x v="236"/>
    <x v="202"/>
    <x v="202"/>
    <s v="REVENUS"/>
    <x v="2"/>
    <s v="4001.007"/>
    <s v="Acompte impôt sur revenu"/>
    <n v="0"/>
    <n v="-1.7"/>
    <n v="4001"/>
  </r>
  <r>
    <x v="0"/>
    <x v="2"/>
    <x v="2"/>
    <x v="236"/>
    <x v="202"/>
    <x v="202"/>
    <s v="REVENUS"/>
    <x v="3"/>
    <s v="4002.007"/>
    <s v="Acompte impôt sur fortune"/>
    <n v="0"/>
    <n v="-0.6"/>
    <n v="4002"/>
  </r>
  <r>
    <x v="0"/>
    <x v="2"/>
    <x v="2"/>
    <x v="236"/>
    <x v="202"/>
    <x v="202"/>
    <s v="REVENUS"/>
    <x v="3"/>
    <s v="4002.007"/>
    <s v="Acompte impôt sur fortune"/>
    <n v="0"/>
    <n v="2258.81"/>
    <n v="4002"/>
  </r>
  <r>
    <x v="0"/>
    <x v="2"/>
    <x v="2"/>
    <x v="236"/>
    <x v="202"/>
    <x v="202"/>
    <s v="REVENUS"/>
    <x v="2"/>
    <s v="4001.002"/>
    <s v="Impôt complément s/revenu PP"/>
    <n v="0"/>
    <n v="1802.2"/>
    <n v="4001"/>
  </r>
  <r>
    <x v="0"/>
    <x v="2"/>
    <x v="2"/>
    <x v="236"/>
    <x v="202"/>
    <x v="202"/>
    <s v="REVENUS"/>
    <x v="2"/>
    <s v="4001.007"/>
    <s v="Acompte impôt sur revenu"/>
    <n v="0"/>
    <n v="4431.66"/>
    <n v="4001"/>
  </r>
  <r>
    <x v="0"/>
    <x v="2"/>
    <x v="2"/>
    <x v="236"/>
    <x v="202"/>
    <x v="202"/>
    <s v="REVENUS"/>
    <x v="3"/>
    <s v="4002.002"/>
    <s v="Impôt complémentaire s/fortune PP"/>
    <n v="0"/>
    <n v="3545.2"/>
    <n v="4002"/>
  </r>
  <r>
    <x v="0"/>
    <x v="2"/>
    <x v="2"/>
    <x v="236"/>
    <x v="202"/>
    <x v="202"/>
    <s v="REVENUS"/>
    <x v="2"/>
    <s v="4001.007"/>
    <s v="Acompte impôt sur revenu"/>
    <n v="0"/>
    <n v="-330.41"/>
    <n v="4001"/>
  </r>
  <r>
    <x v="0"/>
    <x v="2"/>
    <x v="2"/>
    <x v="236"/>
    <x v="202"/>
    <x v="202"/>
    <s v="REVENUS"/>
    <x v="3"/>
    <s v="4002.007"/>
    <s v="Acompte impôt sur fortune"/>
    <n v="0"/>
    <n v="-145.15"/>
    <n v="4002"/>
  </r>
  <r>
    <x v="0"/>
    <x v="2"/>
    <x v="2"/>
    <x v="236"/>
    <x v="202"/>
    <x v="202"/>
    <s v="REVENUS"/>
    <x v="3"/>
    <s v="4002.007"/>
    <s v="Acompte impôt sur fortune"/>
    <n v="0"/>
    <n v="-1383.25"/>
    <n v="4002"/>
  </r>
  <r>
    <x v="0"/>
    <x v="2"/>
    <x v="2"/>
    <x v="236"/>
    <x v="202"/>
    <x v="202"/>
    <s v="REVENUS"/>
    <x v="3"/>
    <s v="4002.001"/>
    <s v="Impôt ordinaire s/fortune PP"/>
    <n v="0"/>
    <n v="640"/>
    <n v="4002"/>
  </r>
  <r>
    <x v="0"/>
    <x v="2"/>
    <x v="2"/>
    <x v="236"/>
    <x v="202"/>
    <x v="202"/>
    <s v="REVENUS"/>
    <x v="9"/>
    <s v="4031.002"/>
    <s v="Complément impôt sur les gains immobiliers"/>
    <n v="0"/>
    <n v="4901.45"/>
    <n v="4031"/>
  </r>
  <r>
    <x v="0"/>
    <x v="2"/>
    <x v="2"/>
    <x v="236"/>
    <x v="202"/>
    <x v="202"/>
    <s v="REVENUS"/>
    <x v="2"/>
    <s v="4001.001"/>
    <s v="Impôt revenu"/>
    <n v="0"/>
    <n v="1525.25"/>
    <n v="4001"/>
  </r>
  <r>
    <x v="0"/>
    <x v="2"/>
    <x v="2"/>
    <x v="236"/>
    <x v="202"/>
    <x v="202"/>
    <s v="REVENUS"/>
    <x v="6"/>
    <s v="4221.003"/>
    <s v="Intérêts compensat. / acomptes en faveur du fisc"/>
    <n v="0"/>
    <n v="0.67"/>
    <n v="4221"/>
  </r>
  <r>
    <x v="0"/>
    <x v="2"/>
    <x v="2"/>
    <x v="236"/>
    <x v="202"/>
    <x v="202"/>
    <s v="REVENUS"/>
    <x v="4"/>
    <s v="4051.002"/>
    <s v="Impôt sur les donations"/>
    <n v="0"/>
    <n v="0"/>
    <n v="4051"/>
  </r>
  <r>
    <x v="0"/>
    <x v="2"/>
    <x v="2"/>
    <x v="236"/>
    <x v="202"/>
    <x v="202"/>
    <s v="REVENUS"/>
    <x v="8"/>
    <s v="4091.001"/>
    <s v="Impôt récupéré après défalcations"/>
    <n v="0"/>
    <n v="150.72999999999999"/>
    <n v="4091"/>
  </r>
  <r>
    <x v="0"/>
    <x v="2"/>
    <x v="2"/>
    <x v="236"/>
    <x v="202"/>
    <x v="202"/>
    <s v="REVENUS"/>
    <x v="2"/>
    <s v="4001.001"/>
    <s v="Impôt revenu"/>
    <n v="0"/>
    <n v="2710.45"/>
    <n v="4001"/>
  </r>
  <r>
    <x v="0"/>
    <x v="2"/>
    <x v="2"/>
    <x v="236"/>
    <x v="202"/>
    <x v="202"/>
    <s v="REVENUS"/>
    <x v="3"/>
    <s v="4002.001"/>
    <s v="Impôt ordinaire s/fortune PP"/>
    <n v="0"/>
    <n v="1512.3"/>
    <n v="4002"/>
  </r>
  <r>
    <x v="0"/>
    <x v="2"/>
    <x v="2"/>
    <x v="236"/>
    <x v="202"/>
    <x v="202"/>
    <s v="REVENUS"/>
    <x v="6"/>
    <s v="4221.003"/>
    <s v="Intérêts compensat. / acomptes en faveur du fisc"/>
    <n v="0"/>
    <n v="0.01"/>
    <n v="4221"/>
  </r>
  <r>
    <x v="0"/>
    <x v="2"/>
    <x v="2"/>
    <x v="236"/>
    <x v="202"/>
    <x v="202"/>
    <s v="REVENUS"/>
    <x v="2"/>
    <s v="4001.001"/>
    <s v="Impôt revenu"/>
    <n v="0"/>
    <n v="425.35"/>
    <n v="4001"/>
  </r>
  <r>
    <x v="0"/>
    <x v="2"/>
    <x v="2"/>
    <x v="236"/>
    <x v="202"/>
    <x v="202"/>
    <s v="REVENUS"/>
    <x v="6"/>
    <s v="4211.002"/>
    <s v="Intérêts de retard sur acomptes"/>
    <n v="0"/>
    <n v="0.01"/>
    <n v="4211"/>
  </r>
  <r>
    <x v="0"/>
    <x v="2"/>
    <x v="2"/>
    <x v="236"/>
    <x v="202"/>
    <x v="202"/>
    <s v="REVENUS"/>
    <x v="6"/>
    <s v="4211.001"/>
    <s v="Intérêts de retard sur factures"/>
    <n v="0"/>
    <n v="6.62"/>
    <n v="4211"/>
  </r>
  <r>
    <x v="0"/>
    <x v="2"/>
    <x v="2"/>
    <x v="236"/>
    <x v="202"/>
    <x v="202"/>
    <s v="REVENUS"/>
    <x v="6"/>
    <s v="4221.003"/>
    <s v="Intérêts compensat. / acomptes en faveur du fisc"/>
    <n v="0"/>
    <n v="0.19"/>
    <n v="4221"/>
  </r>
  <r>
    <x v="0"/>
    <x v="2"/>
    <x v="2"/>
    <x v="236"/>
    <x v="202"/>
    <x v="202"/>
    <s v="REVENUS"/>
    <x v="2"/>
    <s v="4001.001"/>
    <s v="Impôt revenu"/>
    <n v="0"/>
    <n v="500.35"/>
    <n v="4001"/>
  </r>
  <r>
    <x v="0"/>
    <x v="2"/>
    <x v="2"/>
    <x v="236"/>
    <x v="202"/>
    <x v="202"/>
    <s v="REVENUS"/>
    <x v="3"/>
    <s v="4002.001"/>
    <s v="Impôt ordinaire s/fortune PP"/>
    <n v="0"/>
    <n v="84.35"/>
    <n v="4002"/>
  </r>
  <r>
    <x v="0"/>
    <x v="2"/>
    <x v="2"/>
    <x v="236"/>
    <x v="202"/>
    <x v="202"/>
    <s v="REVENUS"/>
    <x v="6"/>
    <s v="4211.002"/>
    <s v="Intérêts de retard sur acomptes"/>
    <n v="0"/>
    <n v="5.16"/>
    <n v="4211"/>
  </r>
  <r>
    <x v="0"/>
    <x v="2"/>
    <x v="2"/>
    <x v="236"/>
    <x v="202"/>
    <x v="202"/>
    <s v="REVENUS"/>
    <x v="5"/>
    <s v="4061.000"/>
    <s v="Impôt sur les chiens"/>
    <n v="0"/>
    <n v="5650"/>
    <n v="4061"/>
  </r>
  <r>
    <x v="0"/>
    <x v="2"/>
    <x v="2"/>
    <x v="236"/>
    <x v="202"/>
    <x v="202"/>
    <s v="REVENUS"/>
    <x v="6"/>
    <s v="4211.001"/>
    <s v="Intérêts de retard sur factures"/>
    <n v="0"/>
    <n v="0.12"/>
    <n v="4211"/>
  </r>
  <r>
    <x v="0"/>
    <x v="2"/>
    <x v="2"/>
    <x v="236"/>
    <x v="202"/>
    <x v="202"/>
    <s v="REVENUS"/>
    <x v="12"/>
    <s v="4004.000"/>
    <s v="Impôt spécial étrangers"/>
    <n v="0"/>
    <n v="68114.25"/>
    <n v="4004"/>
  </r>
  <r>
    <x v="0"/>
    <x v="2"/>
    <x v="2"/>
    <x v="236"/>
    <x v="202"/>
    <x v="202"/>
    <s v="REVENUS"/>
    <x v="7"/>
    <s v="4184.000"/>
    <s v="Frais de poursuite"/>
    <n v="0"/>
    <n v="153.69"/>
    <n v="4184"/>
  </r>
  <r>
    <x v="0"/>
    <x v="2"/>
    <x v="2"/>
    <x v="236"/>
    <x v="202"/>
    <x v="202"/>
    <s v="REVENUS"/>
    <x v="6"/>
    <s v="4211.002"/>
    <s v="Intérêts de retard sur acomptes"/>
    <n v="0"/>
    <n v="1.29"/>
    <n v="4211"/>
  </r>
  <r>
    <x v="0"/>
    <x v="2"/>
    <x v="2"/>
    <x v="237"/>
    <x v="203"/>
    <x v="203"/>
    <s v="CHARGES"/>
    <x v="1"/>
    <s v="3301.001"/>
    <s v="Défalcations, abandons de solde PP et IS"/>
    <n v="39159.050000000003"/>
    <n v="0"/>
    <n v="3301"/>
  </r>
  <r>
    <x v="0"/>
    <x v="2"/>
    <x v="2"/>
    <x v="237"/>
    <x v="203"/>
    <x v="203"/>
    <s v="CHARGES"/>
    <x v="0"/>
    <s v="3212.004"/>
    <s v="Intérêts rémun./perçu trop tôt sur acomptes C/C"/>
    <n v="513.71"/>
    <n v="0"/>
    <n v="3212"/>
  </r>
  <r>
    <x v="0"/>
    <x v="2"/>
    <x v="2"/>
    <x v="237"/>
    <x v="203"/>
    <x v="203"/>
    <s v="CHARGES"/>
    <x v="0"/>
    <s v="3221.002"/>
    <s v="Intérêts compensatoires / créances en faveur ctb."/>
    <n v="285.27"/>
    <n v="0"/>
    <n v="3221"/>
  </r>
  <r>
    <x v="0"/>
    <x v="2"/>
    <x v="2"/>
    <x v="237"/>
    <x v="203"/>
    <x v="203"/>
    <s v="CHARGES"/>
    <x v="0"/>
    <s v="3212.002"/>
    <s v="Intérêts bonifiés/trop perçu acompte C/C"/>
    <n v="35.67"/>
    <n v="0"/>
    <n v="3212"/>
  </r>
  <r>
    <x v="0"/>
    <x v="2"/>
    <x v="2"/>
    <x v="237"/>
    <x v="203"/>
    <x v="203"/>
    <s v="CHARGES"/>
    <x v="1"/>
    <s v="3301.001"/>
    <s v="Défalcations, abandons de solde PP et IS"/>
    <n v="7452.88"/>
    <n v="0"/>
    <n v="3301"/>
  </r>
  <r>
    <x v="0"/>
    <x v="2"/>
    <x v="2"/>
    <x v="237"/>
    <x v="203"/>
    <x v="203"/>
    <s v="CHARGES"/>
    <x v="1"/>
    <s v="3301.001"/>
    <s v="Défalcations, abandons de solde PP et IS"/>
    <n v="0.01"/>
    <n v="0"/>
    <n v="3301"/>
  </r>
  <r>
    <x v="0"/>
    <x v="2"/>
    <x v="2"/>
    <x v="237"/>
    <x v="203"/>
    <x v="203"/>
    <s v="CHARGES"/>
    <x v="0"/>
    <s v="3221.002"/>
    <s v="Intérêts compensatoires / créances en faveur ctb."/>
    <n v="0.01"/>
    <n v="0"/>
    <n v="3221"/>
  </r>
  <r>
    <x v="0"/>
    <x v="2"/>
    <x v="2"/>
    <x v="237"/>
    <x v="203"/>
    <x v="203"/>
    <s v="CHARGES"/>
    <x v="0"/>
    <s v="3212.004"/>
    <s v="Intérêts rémun./perçu trop tôt sur acomptes C/C"/>
    <n v="0.15"/>
    <n v="0"/>
    <n v="3212"/>
  </r>
  <r>
    <x v="0"/>
    <x v="2"/>
    <x v="2"/>
    <x v="237"/>
    <x v="203"/>
    <x v="203"/>
    <s v="CHARGES"/>
    <x v="0"/>
    <s v="3221.002"/>
    <s v="Intérêts compensatoires / créances en faveur ctb."/>
    <n v="0.13"/>
    <n v="0"/>
    <n v="3221"/>
  </r>
  <r>
    <x v="0"/>
    <x v="2"/>
    <x v="2"/>
    <x v="237"/>
    <x v="203"/>
    <x v="203"/>
    <s v="CHARGES"/>
    <x v="0"/>
    <s v="3212.004"/>
    <s v="Intérêts rémun./perçu trop tôt sur acomptes C/C"/>
    <n v="1.01"/>
    <n v="0"/>
    <n v="3212"/>
  </r>
  <r>
    <x v="0"/>
    <x v="2"/>
    <x v="2"/>
    <x v="237"/>
    <x v="203"/>
    <x v="203"/>
    <s v="CHARGES"/>
    <x v="0"/>
    <s v="3221.002"/>
    <s v="Intérêts compensatoires / créances en faveur ctb."/>
    <n v="5.53"/>
    <n v="0"/>
    <n v="3221"/>
  </r>
  <r>
    <x v="0"/>
    <x v="2"/>
    <x v="2"/>
    <x v="237"/>
    <x v="203"/>
    <x v="203"/>
    <s v="CHARGES"/>
    <x v="1"/>
    <s v="3301.001"/>
    <s v="Défalcations, abandons de solde PP et IS"/>
    <n v="0.36"/>
    <n v="0"/>
    <n v="3301"/>
  </r>
  <r>
    <x v="0"/>
    <x v="2"/>
    <x v="2"/>
    <x v="237"/>
    <x v="203"/>
    <x v="203"/>
    <s v="REVENUS"/>
    <x v="2"/>
    <s v="4001.001"/>
    <s v="Impôt revenu"/>
    <n v="0"/>
    <n v="3526965.05"/>
    <n v="4001"/>
  </r>
  <r>
    <x v="0"/>
    <x v="2"/>
    <x v="2"/>
    <x v="237"/>
    <x v="203"/>
    <x v="203"/>
    <s v="REVENUS"/>
    <x v="2"/>
    <s v="4001.007"/>
    <s v="Acompte impôt sur revenu"/>
    <n v="0"/>
    <n v="-58274.080000000002"/>
    <n v="4001"/>
  </r>
  <r>
    <x v="0"/>
    <x v="2"/>
    <x v="2"/>
    <x v="237"/>
    <x v="203"/>
    <x v="203"/>
    <s v="REVENUS"/>
    <x v="3"/>
    <s v="4002.001"/>
    <s v="Impôt ordinaire s/fortune PP"/>
    <n v="0"/>
    <n v="394579.45"/>
    <n v="4002"/>
  </r>
  <r>
    <x v="0"/>
    <x v="2"/>
    <x v="2"/>
    <x v="237"/>
    <x v="203"/>
    <x v="203"/>
    <s v="REVENUS"/>
    <x v="3"/>
    <s v="4002.007"/>
    <s v="Acompte impôt sur fortune"/>
    <n v="0"/>
    <n v="7506.71"/>
    <n v="4002"/>
  </r>
  <r>
    <x v="0"/>
    <x v="2"/>
    <x v="2"/>
    <x v="237"/>
    <x v="203"/>
    <x v="203"/>
    <s v="REVENUS"/>
    <x v="6"/>
    <s v="4211.001"/>
    <s v="Intérêts de retard sur factures"/>
    <n v="0"/>
    <n v="6571.41"/>
    <n v="4211"/>
  </r>
  <r>
    <x v="0"/>
    <x v="2"/>
    <x v="2"/>
    <x v="237"/>
    <x v="203"/>
    <x v="203"/>
    <s v="REVENUS"/>
    <x v="7"/>
    <s v="4184.000"/>
    <s v="Frais de poursuite"/>
    <n v="0"/>
    <n v="2980.29"/>
    <n v="4184"/>
  </r>
  <r>
    <x v="0"/>
    <x v="2"/>
    <x v="2"/>
    <x v="237"/>
    <x v="203"/>
    <x v="203"/>
    <s v="REVENUS"/>
    <x v="2"/>
    <s v="4001.002"/>
    <s v="Impôt complément s/revenu PP"/>
    <n v="0"/>
    <n v="347786.9"/>
    <n v="4001"/>
  </r>
  <r>
    <x v="0"/>
    <x v="2"/>
    <x v="2"/>
    <x v="237"/>
    <x v="203"/>
    <x v="203"/>
    <s v="REVENUS"/>
    <x v="3"/>
    <s v="4002.002"/>
    <s v="Impôt complémentaire s/fortune PP"/>
    <n v="0"/>
    <n v="35219.4"/>
    <n v="4002"/>
  </r>
  <r>
    <x v="0"/>
    <x v="2"/>
    <x v="2"/>
    <x v="237"/>
    <x v="203"/>
    <x v="203"/>
    <s v="REVENUS"/>
    <x v="6"/>
    <s v="4211.002"/>
    <s v="Intérêts de retard sur acomptes"/>
    <n v="0"/>
    <n v="16228.29"/>
    <n v="4211"/>
  </r>
  <r>
    <x v="0"/>
    <x v="2"/>
    <x v="2"/>
    <x v="237"/>
    <x v="203"/>
    <x v="203"/>
    <s v="REVENUS"/>
    <x v="6"/>
    <s v="4221.003"/>
    <s v="Intérêts compensat. / acomptes en faveur du fisc"/>
    <n v="0"/>
    <n v="1165.24"/>
    <n v="4221"/>
  </r>
  <r>
    <x v="0"/>
    <x v="2"/>
    <x v="2"/>
    <x v="237"/>
    <x v="203"/>
    <x v="203"/>
    <s v="REVENUS"/>
    <x v="2"/>
    <s v="4001.003"/>
    <s v="Impôt s/prest. cap. PP"/>
    <n v="0"/>
    <n v="117386.15"/>
    <n v="4001"/>
  </r>
  <r>
    <x v="0"/>
    <x v="2"/>
    <x v="2"/>
    <x v="237"/>
    <x v="203"/>
    <x v="203"/>
    <s v="REVENUS"/>
    <x v="2"/>
    <s v="4001.007"/>
    <s v="Acompte impôt sur revenu"/>
    <n v="0"/>
    <n v="-805.65"/>
    <n v="4001"/>
  </r>
  <r>
    <x v="0"/>
    <x v="2"/>
    <x v="2"/>
    <x v="237"/>
    <x v="203"/>
    <x v="203"/>
    <s v="REVENUS"/>
    <x v="6"/>
    <s v="4221.002"/>
    <s v="Intérêts compensat. sur impôts distincts"/>
    <n v="0"/>
    <n v="-24.31"/>
    <n v="4221"/>
  </r>
  <r>
    <x v="0"/>
    <x v="2"/>
    <x v="2"/>
    <x v="237"/>
    <x v="203"/>
    <x v="203"/>
    <s v="REVENUS"/>
    <x v="11"/>
    <s v="4198.000"/>
    <s v="Contributions communales"/>
    <n v="0"/>
    <n v="388422.85"/>
    <n v="4198"/>
  </r>
  <r>
    <x v="0"/>
    <x v="2"/>
    <x v="2"/>
    <x v="237"/>
    <x v="203"/>
    <x v="203"/>
    <s v="REVENUS"/>
    <x v="10"/>
    <s v="4041.001"/>
    <s v="Droits de mutation"/>
    <n v="0"/>
    <n v="156897.15"/>
    <n v="4041"/>
  </r>
  <r>
    <x v="0"/>
    <x v="2"/>
    <x v="2"/>
    <x v="237"/>
    <x v="203"/>
    <x v="203"/>
    <s v="REVENUS"/>
    <x v="5"/>
    <s v="4061.000"/>
    <s v="Impôt sur les chiens"/>
    <n v="0"/>
    <n v="12950"/>
    <n v="4061"/>
  </r>
  <r>
    <x v="0"/>
    <x v="2"/>
    <x v="2"/>
    <x v="237"/>
    <x v="203"/>
    <x v="203"/>
    <s v="REVENUS"/>
    <x v="2"/>
    <s v="4001.007"/>
    <s v="Acompte impôt sur revenu"/>
    <n v="0"/>
    <n v="-3.8"/>
    <n v="4001"/>
  </r>
  <r>
    <x v="0"/>
    <x v="2"/>
    <x v="2"/>
    <x v="237"/>
    <x v="203"/>
    <x v="203"/>
    <s v="REVENUS"/>
    <x v="3"/>
    <s v="4002.007"/>
    <s v="Acompte impôt sur fortune"/>
    <n v="0"/>
    <n v="-14.6"/>
    <n v="4002"/>
  </r>
  <r>
    <x v="0"/>
    <x v="2"/>
    <x v="2"/>
    <x v="237"/>
    <x v="203"/>
    <x v="203"/>
    <s v="REVENUS"/>
    <x v="3"/>
    <s v="4002.007"/>
    <s v="Acompte impôt sur fortune"/>
    <n v="0"/>
    <n v="2.2000000000000002"/>
    <n v="4002"/>
  </r>
  <r>
    <x v="0"/>
    <x v="2"/>
    <x v="2"/>
    <x v="237"/>
    <x v="203"/>
    <x v="203"/>
    <s v="REVENUS"/>
    <x v="7"/>
    <s v="4184.000"/>
    <s v="Frais de poursuite"/>
    <n v="0"/>
    <n v="145.22999999999999"/>
    <n v="4184"/>
  </r>
  <r>
    <x v="0"/>
    <x v="2"/>
    <x v="2"/>
    <x v="237"/>
    <x v="203"/>
    <x v="203"/>
    <s v="REVENUS"/>
    <x v="9"/>
    <s v="4031.001"/>
    <s v="Impôt sur les gains immobiliers"/>
    <n v="0"/>
    <n v="98350.5"/>
    <n v="4031"/>
  </r>
  <r>
    <x v="0"/>
    <x v="2"/>
    <x v="2"/>
    <x v="237"/>
    <x v="203"/>
    <x v="203"/>
    <s v="REVENUS"/>
    <x v="3"/>
    <s v="4002.007"/>
    <s v="Acompte impôt sur fortune"/>
    <n v="0"/>
    <n v="-541.54999999999995"/>
    <n v="4002"/>
  </r>
  <r>
    <x v="0"/>
    <x v="2"/>
    <x v="2"/>
    <x v="237"/>
    <x v="203"/>
    <x v="203"/>
    <s v="REVENUS"/>
    <x v="3"/>
    <s v="4002.002"/>
    <s v="Impôt complémentaire s/fortune PP"/>
    <n v="0"/>
    <n v="-119.05"/>
    <n v="4002"/>
  </r>
  <r>
    <x v="0"/>
    <x v="2"/>
    <x v="2"/>
    <x v="237"/>
    <x v="203"/>
    <x v="203"/>
    <s v="REVENUS"/>
    <x v="6"/>
    <s v="4211.001"/>
    <s v="Intérêts de retard sur factures"/>
    <n v="0"/>
    <n v="-1.59"/>
    <n v="4211"/>
  </r>
  <r>
    <x v="0"/>
    <x v="2"/>
    <x v="2"/>
    <x v="237"/>
    <x v="203"/>
    <x v="203"/>
    <s v="REVENUS"/>
    <x v="6"/>
    <s v="4211.002"/>
    <s v="Intérêts de retard sur acomptes"/>
    <n v="0"/>
    <n v="-0.42"/>
    <n v="4211"/>
  </r>
  <r>
    <x v="0"/>
    <x v="2"/>
    <x v="2"/>
    <x v="237"/>
    <x v="203"/>
    <x v="203"/>
    <s v="REVENUS"/>
    <x v="6"/>
    <s v="4221.003"/>
    <s v="Intérêts compensat. / acomptes en faveur du fisc"/>
    <n v="0"/>
    <n v="-0.14000000000000001"/>
    <n v="4221"/>
  </r>
  <r>
    <x v="0"/>
    <x v="2"/>
    <x v="2"/>
    <x v="237"/>
    <x v="203"/>
    <x v="203"/>
    <s v="REVENUS"/>
    <x v="9"/>
    <s v="4031.002"/>
    <s v="Complément impôt sur les gains immobiliers"/>
    <n v="0"/>
    <n v="23939.5"/>
    <n v="4031"/>
  </r>
  <r>
    <x v="0"/>
    <x v="2"/>
    <x v="2"/>
    <x v="237"/>
    <x v="203"/>
    <x v="203"/>
    <s v="REVENUS"/>
    <x v="6"/>
    <s v="4211.001"/>
    <s v="Intérêts de retard sur factures"/>
    <n v="0"/>
    <n v="40.36"/>
    <n v="4211"/>
  </r>
  <r>
    <x v="0"/>
    <x v="2"/>
    <x v="2"/>
    <x v="237"/>
    <x v="203"/>
    <x v="203"/>
    <s v="REVENUS"/>
    <x v="3"/>
    <s v="4002.001"/>
    <s v="Impôt ordinaire s/fortune PP"/>
    <n v="0"/>
    <n v="53.7"/>
    <n v="4002"/>
  </r>
  <r>
    <x v="0"/>
    <x v="2"/>
    <x v="2"/>
    <x v="237"/>
    <x v="203"/>
    <x v="203"/>
    <s v="REVENUS"/>
    <x v="6"/>
    <s v="4211.002"/>
    <s v="Intérêts de retard sur acomptes"/>
    <n v="0"/>
    <n v="2.95"/>
    <n v="4211"/>
  </r>
  <r>
    <x v="0"/>
    <x v="2"/>
    <x v="2"/>
    <x v="237"/>
    <x v="203"/>
    <x v="203"/>
    <s v="REVENUS"/>
    <x v="6"/>
    <s v="4221.003"/>
    <s v="Intérêts compensat. / acomptes en faveur du fisc"/>
    <n v="0"/>
    <n v="0.01"/>
    <n v="4221"/>
  </r>
  <r>
    <x v="0"/>
    <x v="2"/>
    <x v="2"/>
    <x v="237"/>
    <x v="203"/>
    <x v="203"/>
    <s v="REVENUS"/>
    <x v="4"/>
    <s v="4051.002"/>
    <s v="Impôt sur les donations"/>
    <n v="0"/>
    <n v="1782"/>
    <n v="4051"/>
  </r>
  <r>
    <x v="0"/>
    <x v="2"/>
    <x v="2"/>
    <x v="237"/>
    <x v="203"/>
    <x v="203"/>
    <s v="REVENUS"/>
    <x v="10"/>
    <s v="4041.002"/>
    <s v="Complément droit de mutation"/>
    <n v="0"/>
    <n v="55"/>
    <n v="4041"/>
  </r>
  <r>
    <x v="0"/>
    <x v="2"/>
    <x v="2"/>
    <x v="237"/>
    <x v="203"/>
    <x v="203"/>
    <s v="REVENUS"/>
    <x v="2"/>
    <s v="4001.001"/>
    <s v="Impôt revenu"/>
    <n v="0"/>
    <n v="0"/>
    <n v="4001"/>
  </r>
  <r>
    <x v="0"/>
    <x v="2"/>
    <x v="2"/>
    <x v="237"/>
    <x v="203"/>
    <x v="203"/>
    <s v="REVENUS"/>
    <x v="3"/>
    <s v="4002.001"/>
    <s v="Impôt ordinaire s/fortune PP"/>
    <n v="0"/>
    <n v="793.3"/>
    <n v="4002"/>
  </r>
  <r>
    <x v="0"/>
    <x v="2"/>
    <x v="2"/>
    <x v="237"/>
    <x v="203"/>
    <x v="203"/>
    <s v="REVENUS"/>
    <x v="6"/>
    <s v="4211.002"/>
    <s v="Intérêts de retard sur acomptes"/>
    <n v="0"/>
    <n v="33.979999999999997"/>
    <n v="4211"/>
  </r>
  <r>
    <x v="0"/>
    <x v="2"/>
    <x v="2"/>
    <x v="237"/>
    <x v="203"/>
    <x v="203"/>
    <s v="REVENUS"/>
    <x v="6"/>
    <s v="4221.003"/>
    <s v="Intérêts compensat. / acomptes en faveur du fisc"/>
    <n v="0"/>
    <n v="0.97"/>
    <n v="4221"/>
  </r>
  <r>
    <x v="0"/>
    <x v="2"/>
    <x v="2"/>
    <x v="237"/>
    <x v="203"/>
    <x v="203"/>
    <s v="REVENUS"/>
    <x v="3"/>
    <s v="4002.007"/>
    <s v="Acompte impôt sur fortune"/>
    <n v="0"/>
    <n v="41028.6"/>
    <n v="4002"/>
  </r>
  <r>
    <x v="0"/>
    <x v="2"/>
    <x v="2"/>
    <x v="237"/>
    <x v="203"/>
    <x v="203"/>
    <s v="REVENUS"/>
    <x v="2"/>
    <s v="4001.002"/>
    <s v="Impôt complément s/revenu PP"/>
    <n v="0"/>
    <n v="2108"/>
    <n v="4001"/>
  </r>
  <r>
    <x v="0"/>
    <x v="2"/>
    <x v="2"/>
    <x v="237"/>
    <x v="203"/>
    <x v="203"/>
    <s v="REVENUS"/>
    <x v="3"/>
    <s v="4002.002"/>
    <s v="Impôt complémentaire s/fortune PP"/>
    <n v="0"/>
    <n v="94"/>
    <n v="4002"/>
  </r>
  <r>
    <x v="0"/>
    <x v="2"/>
    <x v="2"/>
    <x v="237"/>
    <x v="203"/>
    <x v="203"/>
    <s v="REVENUS"/>
    <x v="2"/>
    <s v="4001.001"/>
    <s v="Impôt revenu"/>
    <n v="0"/>
    <n v="151.1"/>
    <n v="4001"/>
  </r>
  <r>
    <x v="0"/>
    <x v="2"/>
    <x v="2"/>
    <x v="237"/>
    <x v="203"/>
    <x v="203"/>
    <s v="REVENUS"/>
    <x v="3"/>
    <s v="4002.001"/>
    <s v="Impôt ordinaire s/fortune PP"/>
    <n v="0"/>
    <n v="417.85"/>
    <n v="4002"/>
  </r>
  <r>
    <x v="0"/>
    <x v="2"/>
    <x v="2"/>
    <x v="237"/>
    <x v="203"/>
    <x v="203"/>
    <s v="REVENUS"/>
    <x v="8"/>
    <s v="4091.001"/>
    <s v="Impôt récupéré après défalcations"/>
    <n v="0"/>
    <n v="13478.82"/>
    <n v="4091"/>
  </r>
  <r>
    <x v="0"/>
    <x v="2"/>
    <x v="2"/>
    <x v="237"/>
    <x v="203"/>
    <x v="203"/>
    <s v="REVENUS"/>
    <x v="3"/>
    <s v="4002.007"/>
    <s v="Acompte impôt sur fortune"/>
    <n v="0"/>
    <n v="-35.25"/>
    <n v="4002"/>
  </r>
  <r>
    <x v="0"/>
    <x v="2"/>
    <x v="2"/>
    <x v="237"/>
    <x v="203"/>
    <x v="203"/>
    <s v="REVENUS"/>
    <x v="2"/>
    <s v="4001.002"/>
    <s v="Impôt complément s/revenu PP"/>
    <n v="0"/>
    <n v="2187.0500000000002"/>
    <n v="4001"/>
  </r>
  <r>
    <x v="0"/>
    <x v="2"/>
    <x v="2"/>
    <x v="237"/>
    <x v="203"/>
    <x v="203"/>
    <s v="REVENUS"/>
    <x v="3"/>
    <s v="4002.002"/>
    <s v="Impôt complémentaire s/fortune PP"/>
    <n v="0"/>
    <n v="194.3"/>
    <n v="4002"/>
  </r>
  <r>
    <x v="0"/>
    <x v="2"/>
    <x v="2"/>
    <x v="237"/>
    <x v="203"/>
    <x v="203"/>
    <s v="REVENUS"/>
    <x v="6"/>
    <s v="4211.002"/>
    <s v="Intérêts de retard sur acomptes"/>
    <n v="0"/>
    <n v="1.0900000000000001"/>
    <n v="4211"/>
  </r>
  <r>
    <x v="0"/>
    <x v="2"/>
    <x v="2"/>
    <x v="237"/>
    <x v="203"/>
    <x v="203"/>
    <s v="REVENUS"/>
    <x v="8"/>
    <s v="4091.001"/>
    <s v="Impôt récupéré après défalcations"/>
    <n v="0"/>
    <n v="32611.16"/>
    <n v="4091"/>
  </r>
  <r>
    <x v="0"/>
    <x v="2"/>
    <x v="2"/>
    <x v="238"/>
    <x v="204"/>
    <x v="204"/>
    <s v="CHARGES"/>
    <x v="0"/>
    <s v="3212.002"/>
    <s v="Intérêts bonifiés/trop perçu acompte C/C"/>
    <n v="121.3"/>
    <n v="0"/>
    <n v="3212"/>
  </r>
  <r>
    <x v="0"/>
    <x v="2"/>
    <x v="2"/>
    <x v="238"/>
    <x v="204"/>
    <x v="204"/>
    <s v="CHARGES"/>
    <x v="1"/>
    <s v="3301.001"/>
    <s v="Défalcations, abandons de solde PP et IS"/>
    <n v="26765.32"/>
    <n v="0"/>
    <n v="3301"/>
  </r>
  <r>
    <x v="0"/>
    <x v="2"/>
    <x v="2"/>
    <x v="238"/>
    <x v="204"/>
    <x v="204"/>
    <s v="CHARGES"/>
    <x v="0"/>
    <s v="3221.002"/>
    <s v="Intérêts compensatoires / créances en faveur ctb."/>
    <n v="133.02000000000001"/>
    <n v="0"/>
    <n v="3221"/>
  </r>
  <r>
    <x v="0"/>
    <x v="2"/>
    <x v="2"/>
    <x v="238"/>
    <x v="204"/>
    <x v="204"/>
    <s v="CHARGES"/>
    <x v="0"/>
    <s v="3212.004"/>
    <s v="Intérêts rémun./perçu trop tôt sur acomptes C/C"/>
    <n v="501.66"/>
    <n v="0"/>
    <n v="3212"/>
  </r>
  <r>
    <x v="0"/>
    <x v="2"/>
    <x v="2"/>
    <x v="238"/>
    <x v="204"/>
    <x v="204"/>
    <s v="CHARGES"/>
    <x v="0"/>
    <s v="3221.002"/>
    <s v="Intérêts compensatoires / créances en faveur ctb."/>
    <n v="0.47"/>
    <n v="0"/>
    <n v="3221"/>
  </r>
  <r>
    <x v="0"/>
    <x v="2"/>
    <x v="2"/>
    <x v="238"/>
    <x v="204"/>
    <x v="204"/>
    <s v="CHARGES"/>
    <x v="0"/>
    <s v="3212.004"/>
    <s v="Intérêts rémun./perçu trop tôt sur acomptes C/C"/>
    <n v="2.75"/>
    <n v="0"/>
    <n v="3212"/>
  </r>
  <r>
    <x v="0"/>
    <x v="2"/>
    <x v="2"/>
    <x v="238"/>
    <x v="204"/>
    <x v="204"/>
    <s v="CHARGES"/>
    <x v="1"/>
    <s v="3301.001"/>
    <s v="Défalcations, abandons de solde PP et IS"/>
    <n v="1.27"/>
    <n v="0"/>
    <n v="3301"/>
  </r>
  <r>
    <x v="0"/>
    <x v="2"/>
    <x v="2"/>
    <x v="238"/>
    <x v="204"/>
    <x v="204"/>
    <s v="CHARGES"/>
    <x v="0"/>
    <s v="3212.004"/>
    <s v="Intérêts rémun./perçu trop tôt sur acomptes C/C"/>
    <n v="0.1"/>
    <n v="0"/>
    <n v="3212"/>
  </r>
  <r>
    <x v="0"/>
    <x v="2"/>
    <x v="2"/>
    <x v="238"/>
    <x v="204"/>
    <x v="204"/>
    <s v="CHARGES"/>
    <x v="0"/>
    <s v="3221.002"/>
    <s v="Intérêts compensatoires / créances en faveur ctb."/>
    <n v="0.44"/>
    <n v="0"/>
    <n v="3221"/>
  </r>
  <r>
    <x v="0"/>
    <x v="2"/>
    <x v="2"/>
    <x v="238"/>
    <x v="204"/>
    <x v="204"/>
    <s v="CHARGES"/>
    <x v="0"/>
    <s v="3212.004"/>
    <s v="Intérêts rémun./perçu trop tôt sur acomptes C/C"/>
    <n v="0.33"/>
    <n v="0"/>
    <n v="3212"/>
  </r>
  <r>
    <x v="0"/>
    <x v="2"/>
    <x v="2"/>
    <x v="238"/>
    <x v="204"/>
    <x v="204"/>
    <s v="CHARGES"/>
    <x v="1"/>
    <s v="3301.001"/>
    <s v="Défalcations, abandons de solde PP et IS"/>
    <n v="0.37"/>
    <n v="0"/>
    <n v="3301"/>
  </r>
  <r>
    <x v="0"/>
    <x v="2"/>
    <x v="2"/>
    <x v="238"/>
    <x v="204"/>
    <x v="204"/>
    <s v="REVENUS"/>
    <x v="2"/>
    <s v="4001.007"/>
    <s v="Acompte impôt sur revenu"/>
    <n v="0"/>
    <n v="134760.04999999999"/>
    <n v="4001"/>
  </r>
  <r>
    <x v="0"/>
    <x v="2"/>
    <x v="2"/>
    <x v="238"/>
    <x v="204"/>
    <x v="204"/>
    <s v="REVENUS"/>
    <x v="2"/>
    <s v="4001.001"/>
    <s v="Impôt revenu"/>
    <n v="0"/>
    <n v="2431216.7999999998"/>
    <n v="4001"/>
  </r>
  <r>
    <x v="0"/>
    <x v="2"/>
    <x v="2"/>
    <x v="238"/>
    <x v="204"/>
    <x v="204"/>
    <s v="REVENUS"/>
    <x v="3"/>
    <s v="4002.001"/>
    <s v="Impôt ordinaire s/fortune PP"/>
    <n v="0"/>
    <n v="379727.8"/>
    <n v="4002"/>
  </r>
  <r>
    <x v="0"/>
    <x v="2"/>
    <x v="2"/>
    <x v="238"/>
    <x v="204"/>
    <x v="204"/>
    <s v="REVENUS"/>
    <x v="3"/>
    <s v="4002.007"/>
    <s v="Acompte impôt sur fortune"/>
    <n v="0"/>
    <n v="265440.03999999998"/>
    <n v="4002"/>
  </r>
  <r>
    <x v="0"/>
    <x v="2"/>
    <x v="2"/>
    <x v="238"/>
    <x v="204"/>
    <x v="204"/>
    <s v="REVENUS"/>
    <x v="6"/>
    <s v="4211.001"/>
    <s v="Intérêts de retard sur factures"/>
    <n v="0"/>
    <n v="7129.6"/>
    <n v="4211"/>
  </r>
  <r>
    <x v="0"/>
    <x v="2"/>
    <x v="2"/>
    <x v="238"/>
    <x v="204"/>
    <x v="204"/>
    <s v="REVENUS"/>
    <x v="6"/>
    <s v="4221.003"/>
    <s v="Intérêts compensat. / acomptes en faveur du fisc"/>
    <n v="0"/>
    <n v="288.5"/>
    <n v="4221"/>
  </r>
  <r>
    <x v="0"/>
    <x v="2"/>
    <x v="2"/>
    <x v="238"/>
    <x v="204"/>
    <x v="204"/>
    <s v="REVENUS"/>
    <x v="6"/>
    <s v="4211.002"/>
    <s v="Intérêts de retard sur acomptes"/>
    <n v="0"/>
    <n v="21128.53"/>
    <n v="4211"/>
  </r>
  <r>
    <x v="0"/>
    <x v="2"/>
    <x v="2"/>
    <x v="238"/>
    <x v="204"/>
    <x v="204"/>
    <s v="REVENUS"/>
    <x v="2"/>
    <s v="4001.002"/>
    <s v="Impôt complément s/revenu PP"/>
    <n v="0"/>
    <n v="660901.5"/>
    <n v="4001"/>
  </r>
  <r>
    <x v="0"/>
    <x v="2"/>
    <x v="2"/>
    <x v="238"/>
    <x v="204"/>
    <x v="204"/>
    <s v="REVENUS"/>
    <x v="2"/>
    <s v="4001.003"/>
    <s v="Impôt s/prest. cap. PP"/>
    <n v="0"/>
    <n v="62782.15"/>
    <n v="4001"/>
  </r>
  <r>
    <x v="0"/>
    <x v="2"/>
    <x v="2"/>
    <x v="238"/>
    <x v="204"/>
    <x v="204"/>
    <s v="REVENUS"/>
    <x v="3"/>
    <s v="4002.002"/>
    <s v="Impôt complémentaire s/fortune PP"/>
    <n v="0"/>
    <n v="33435"/>
    <n v="4002"/>
  </r>
  <r>
    <x v="0"/>
    <x v="2"/>
    <x v="2"/>
    <x v="238"/>
    <x v="204"/>
    <x v="204"/>
    <s v="REVENUS"/>
    <x v="9"/>
    <s v="4031.001"/>
    <s v="Impôt sur les gains immobiliers"/>
    <n v="0"/>
    <n v="166940.45000000001"/>
    <n v="4031"/>
  </r>
  <r>
    <x v="0"/>
    <x v="2"/>
    <x v="2"/>
    <x v="238"/>
    <x v="204"/>
    <x v="204"/>
    <s v="REVENUS"/>
    <x v="10"/>
    <s v="4041.001"/>
    <s v="Droits de mutation"/>
    <n v="0"/>
    <n v="351279.5"/>
    <n v="4041"/>
  </r>
  <r>
    <x v="0"/>
    <x v="2"/>
    <x v="2"/>
    <x v="238"/>
    <x v="204"/>
    <x v="204"/>
    <s v="REVENUS"/>
    <x v="2"/>
    <s v="4001.001"/>
    <s v="Impôt revenu"/>
    <n v="0"/>
    <n v="5919.3"/>
    <n v="4001"/>
  </r>
  <r>
    <x v="0"/>
    <x v="2"/>
    <x v="2"/>
    <x v="238"/>
    <x v="204"/>
    <x v="204"/>
    <s v="REVENUS"/>
    <x v="2"/>
    <s v="4001.002"/>
    <s v="Impôt complément s/revenu PP"/>
    <n v="0"/>
    <n v="7259.3"/>
    <n v="4001"/>
  </r>
  <r>
    <x v="0"/>
    <x v="2"/>
    <x v="2"/>
    <x v="238"/>
    <x v="204"/>
    <x v="204"/>
    <s v="REVENUS"/>
    <x v="3"/>
    <s v="4002.001"/>
    <s v="Impôt ordinaire s/fortune PP"/>
    <n v="0"/>
    <n v="2647.35"/>
    <n v="4002"/>
  </r>
  <r>
    <x v="0"/>
    <x v="2"/>
    <x v="2"/>
    <x v="238"/>
    <x v="204"/>
    <x v="204"/>
    <s v="REVENUS"/>
    <x v="3"/>
    <s v="4002.002"/>
    <s v="Impôt complémentaire s/fortune PP"/>
    <n v="0"/>
    <n v="2625.8"/>
    <n v="4002"/>
  </r>
  <r>
    <x v="0"/>
    <x v="2"/>
    <x v="2"/>
    <x v="238"/>
    <x v="204"/>
    <x v="204"/>
    <s v="REVENUS"/>
    <x v="11"/>
    <s v="4198.000"/>
    <s v="Contributions communales"/>
    <n v="0"/>
    <n v="282362.3"/>
    <n v="4198"/>
  </r>
  <r>
    <x v="0"/>
    <x v="2"/>
    <x v="2"/>
    <x v="238"/>
    <x v="204"/>
    <x v="204"/>
    <s v="REVENUS"/>
    <x v="7"/>
    <s v="4184.000"/>
    <s v="Frais de poursuite"/>
    <n v="0"/>
    <n v="1455.86"/>
    <n v="4184"/>
  </r>
  <r>
    <x v="0"/>
    <x v="2"/>
    <x v="2"/>
    <x v="238"/>
    <x v="204"/>
    <x v="204"/>
    <s v="REVENUS"/>
    <x v="6"/>
    <s v="4221.002"/>
    <s v="Intérêts compensat. sur impôts distincts"/>
    <n v="0"/>
    <n v="21.6"/>
    <n v="4221"/>
  </r>
  <r>
    <x v="0"/>
    <x v="2"/>
    <x v="2"/>
    <x v="238"/>
    <x v="204"/>
    <x v="204"/>
    <s v="REVENUS"/>
    <x v="2"/>
    <s v="4001.007"/>
    <s v="Acompte impôt sur revenu"/>
    <n v="0"/>
    <n v="159.69999999999999"/>
    <n v="4001"/>
  </r>
  <r>
    <x v="0"/>
    <x v="2"/>
    <x v="2"/>
    <x v="238"/>
    <x v="204"/>
    <x v="204"/>
    <s v="REVENUS"/>
    <x v="3"/>
    <s v="4002.007"/>
    <s v="Acompte impôt sur fortune"/>
    <n v="0"/>
    <n v="5.9"/>
    <n v="4002"/>
  </r>
  <r>
    <x v="0"/>
    <x v="2"/>
    <x v="2"/>
    <x v="238"/>
    <x v="204"/>
    <x v="204"/>
    <s v="REVENUS"/>
    <x v="2"/>
    <s v="4001.007"/>
    <s v="Acompte impôt sur revenu"/>
    <n v="0"/>
    <n v="485.67"/>
    <n v="4001"/>
  </r>
  <r>
    <x v="0"/>
    <x v="2"/>
    <x v="2"/>
    <x v="238"/>
    <x v="204"/>
    <x v="204"/>
    <s v="REVENUS"/>
    <x v="12"/>
    <s v="4004.007"/>
    <s v="Acompte spécial étrangers"/>
    <n v="0"/>
    <n v="-11849"/>
    <n v="4004"/>
  </r>
  <r>
    <x v="0"/>
    <x v="2"/>
    <x v="2"/>
    <x v="238"/>
    <x v="204"/>
    <x v="204"/>
    <s v="REVENUS"/>
    <x v="3"/>
    <s v="4002.007"/>
    <s v="Acompte impôt sur fortune"/>
    <n v="0"/>
    <n v="-1724.1"/>
    <n v="4002"/>
  </r>
  <r>
    <x v="0"/>
    <x v="2"/>
    <x v="2"/>
    <x v="238"/>
    <x v="204"/>
    <x v="204"/>
    <s v="REVENUS"/>
    <x v="2"/>
    <s v="4001.007"/>
    <s v="Acompte impôt sur revenu"/>
    <n v="0"/>
    <n v="2045.43"/>
    <n v="4001"/>
  </r>
  <r>
    <x v="0"/>
    <x v="2"/>
    <x v="2"/>
    <x v="238"/>
    <x v="204"/>
    <x v="204"/>
    <s v="REVENUS"/>
    <x v="2"/>
    <s v="4001.001"/>
    <s v="Impôt revenu"/>
    <n v="0"/>
    <n v="748.8"/>
    <n v="4001"/>
  </r>
  <r>
    <x v="0"/>
    <x v="2"/>
    <x v="2"/>
    <x v="238"/>
    <x v="204"/>
    <x v="204"/>
    <s v="REVENUS"/>
    <x v="3"/>
    <s v="4002.001"/>
    <s v="Impôt ordinaire s/fortune PP"/>
    <n v="0"/>
    <n v="728.05"/>
    <n v="4002"/>
  </r>
  <r>
    <x v="0"/>
    <x v="2"/>
    <x v="2"/>
    <x v="238"/>
    <x v="204"/>
    <x v="204"/>
    <s v="REVENUS"/>
    <x v="3"/>
    <s v="4002.007"/>
    <s v="Acompte impôt sur fortune"/>
    <n v="0"/>
    <n v="582.59"/>
    <n v="4002"/>
  </r>
  <r>
    <x v="0"/>
    <x v="2"/>
    <x v="2"/>
    <x v="238"/>
    <x v="204"/>
    <x v="204"/>
    <s v="REVENUS"/>
    <x v="6"/>
    <s v="4221.003"/>
    <s v="Intérêts compensat. / acomptes en faveur du fisc"/>
    <n v="0"/>
    <n v="1.22"/>
    <n v="4221"/>
  </r>
  <r>
    <x v="0"/>
    <x v="2"/>
    <x v="2"/>
    <x v="238"/>
    <x v="204"/>
    <x v="204"/>
    <s v="REVENUS"/>
    <x v="2"/>
    <s v="4001.007"/>
    <s v="Acompte impôt sur revenu"/>
    <n v="0"/>
    <n v="-1113.2"/>
    <n v="4001"/>
  </r>
  <r>
    <x v="0"/>
    <x v="2"/>
    <x v="2"/>
    <x v="238"/>
    <x v="204"/>
    <x v="204"/>
    <s v="REVENUS"/>
    <x v="3"/>
    <s v="4002.007"/>
    <s v="Acompte impôt sur fortune"/>
    <n v="0"/>
    <n v="-1187"/>
    <n v="4002"/>
  </r>
  <r>
    <x v="0"/>
    <x v="2"/>
    <x v="2"/>
    <x v="238"/>
    <x v="204"/>
    <x v="204"/>
    <s v="REVENUS"/>
    <x v="2"/>
    <s v="4001.001"/>
    <s v="Impôt revenu"/>
    <n v="0"/>
    <n v="3498.9"/>
    <n v="4001"/>
  </r>
  <r>
    <x v="0"/>
    <x v="2"/>
    <x v="2"/>
    <x v="238"/>
    <x v="204"/>
    <x v="204"/>
    <s v="REVENUS"/>
    <x v="3"/>
    <s v="4002.001"/>
    <s v="Impôt ordinaire s/fortune PP"/>
    <n v="0"/>
    <n v="2194.6"/>
    <n v="4002"/>
  </r>
  <r>
    <x v="0"/>
    <x v="2"/>
    <x v="2"/>
    <x v="238"/>
    <x v="204"/>
    <x v="204"/>
    <s v="REVENUS"/>
    <x v="6"/>
    <s v="4211.002"/>
    <s v="Intérêts de retard sur acomptes"/>
    <n v="0"/>
    <n v="202.14"/>
    <n v="4211"/>
  </r>
  <r>
    <x v="0"/>
    <x v="2"/>
    <x v="2"/>
    <x v="238"/>
    <x v="204"/>
    <x v="204"/>
    <s v="REVENUS"/>
    <x v="6"/>
    <s v="4211.002"/>
    <s v="Intérêts de retard sur acomptes"/>
    <n v="0"/>
    <n v="0.5"/>
    <n v="4211"/>
  </r>
  <r>
    <x v="0"/>
    <x v="2"/>
    <x v="2"/>
    <x v="238"/>
    <x v="204"/>
    <x v="204"/>
    <s v="REVENUS"/>
    <x v="5"/>
    <s v="4061.000"/>
    <s v="Impôt sur les chiens"/>
    <n v="0"/>
    <n v="9050"/>
    <n v="4061"/>
  </r>
  <r>
    <x v="0"/>
    <x v="2"/>
    <x v="2"/>
    <x v="238"/>
    <x v="204"/>
    <x v="204"/>
    <s v="REVENUS"/>
    <x v="12"/>
    <s v="4004.000"/>
    <s v="Impôt spécial étrangers"/>
    <n v="0"/>
    <n v="269794.59999999998"/>
    <n v="4004"/>
  </r>
  <r>
    <x v="0"/>
    <x v="2"/>
    <x v="2"/>
    <x v="238"/>
    <x v="204"/>
    <x v="204"/>
    <s v="REVENUS"/>
    <x v="8"/>
    <s v="4091.001"/>
    <s v="Impôt récupéré après défalcations"/>
    <n v="0"/>
    <n v="2456.1"/>
    <n v="4091"/>
  </r>
  <r>
    <x v="0"/>
    <x v="2"/>
    <x v="2"/>
    <x v="238"/>
    <x v="204"/>
    <x v="204"/>
    <s v="REVENUS"/>
    <x v="8"/>
    <s v="4091.001"/>
    <s v="Impôt récupéré après défalcations"/>
    <n v="0"/>
    <n v="1207.95"/>
    <n v="4091"/>
  </r>
  <r>
    <x v="0"/>
    <x v="2"/>
    <x v="2"/>
    <x v="238"/>
    <x v="204"/>
    <x v="204"/>
    <s v="REVENUS"/>
    <x v="6"/>
    <s v="4211.001"/>
    <s v="Intérêts de retard sur factures"/>
    <n v="0"/>
    <n v="0.37"/>
    <n v="4211"/>
  </r>
  <r>
    <x v="0"/>
    <x v="2"/>
    <x v="2"/>
    <x v="238"/>
    <x v="204"/>
    <x v="204"/>
    <s v="REVENUS"/>
    <x v="7"/>
    <s v="4184.000"/>
    <s v="Frais de poursuite"/>
    <n v="0"/>
    <n v="61.23"/>
    <n v="4184"/>
  </r>
  <r>
    <x v="0"/>
    <x v="2"/>
    <x v="2"/>
    <x v="238"/>
    <x v="204"/>
    <x v="204"/>
    <s v="REVENUS"/>
    <x v="2"/>
    <s v="4001.007"/>
    <s v="Acompte impôt sur revenu"/>
    <n v="0"/>
    <n v="-1489.6"/>
    <n v="4001"/>
  </r>
  <r>
    <x v="0"/>
    <x v="2"/>
    <x v="2"/>
    <x v="238"/>
    <x v="204"/>
    <x v="204"/>
    <s v="REVENUS"/>
    <x v="3"/>
    <s v="4002.007"/>
    <s v="Acompte impôt sur fortune"/>
    <n v="0"/>
    <n v="-323.8"/>
    <n v="4002"/>
  </r>
  <r>
    <x v="0"/>
    <x v="2"/>
    <x v="2"/>
    <x v="238"/>
    <x v="204"/>
    <x v="204"/>
    <s v="REVENUS"/>
    <x v="6"/>
    <s v="4221.003"/>
    <s v="Intérêts compensat. / acomptes en faveur du fisc"/>
    <n v="0"/>
    <n v="0.97"/>
    <n v="4221"/>
  </r>
  <r>
    <x v="0"/>
    <x v="2"/>
    <x v="2"/>
    <x v="238"/>
    <x v="204"/>
    <x v="204"/>
    <s v="REVENUS"/>
    <x v="6"/>
    <s v="4221.003"/>
    <s v="Intérêts compensat. / acomptes en faveur du fisc"/>
    <n v="0"/>
    <n v="0.37"/>
    <n v="4221"/>
  </r>
  <r>
    <x v="0"/>
    <x v="9"/>
    <x v="5"/>
    <x v="239"/>
    <x v="205"/>
    <x v="205"/>
    <s v="CHARGES"/>
    <x v="1"/>
    <s v="3301.001"/>
    <s v="Défalcations, abandons de solde PP et IS"/>
    <n v="13765.14"/>
    <n v="0"/>
    <n v="3301"/>
  </r>
  <r>
    <x v="0"/>
    <x v="9"/>
    <x v="5"/>
    <x v="239"/>
    <x v="205"/>
    <x v="205"/>
    <s v="CHARGES"/>
    <x v="0"/>
    <s v="3212.004"/>
    <s v="Intérêts rémun./perçu trop tôt sur acomptes C/C"/>
    <n v="92.07"/>
    <n v="0"/>
    <n v="3212"/>
  </r>
  <r>
    <x v="0"/>
    <x v="9"/>
    <x v="5"/>
    <x v="239"/>
    <x v="205"/>
    <x v="205"/>
    <s v="CHARGES"/>
    <x v="0"/>
    <s v="3221.002"/>
    <s v="Intérêts compensatoires / créances en faveur ctb."/>
    <n v="71.84"/>
    <n v="0"/>
    <n v="3221"/>
  </r>
  <r>
    <x v="0"/>
    <x v="9"/>
    <x v="5"/>
    <x v="239"/>
    <x v="205"/>
    <x v="205"/>
    <s v="CHARGES"/>
    <x v="0"/>
    <s v="3212.002"/>
    <s v="Intérêts bonifiés/trop perçu acompte C/C"/>
    <n v="4.82"/>
    <n v="0"/>
    <n v="3212"/>
  </r>
  <r>
    <x v="0"/>
    <x v="9"/>
    <x v="5"/>
    <x v="239"/>
    <x v="205"/>
    <x v="205"/>
    <s v="CHARGES"/>
    <x v="0"/>
    <s v="3212.004"/>
    <s v="Intérêts rémun./perçu trop tôt sur acomptes C/C"/>
    <n v="-0.08"/>
    <n v="0"/>
    <n v="3212"/>
  </r>
  <r>
    <x v="0"/>
    <x v="9"/>
    <x v="5"/>
    <x v="239"/>
    <x v="205"/>
    <x v="205"/>
    <s v="CHARGES"/>
    <x v="0"/>
    <s v="3221.002"/>
    <s v="Intérêts compensatoires / créances en faveur ctb."/>
    <n v="-0.08"/>
    <n v="0"/>
    <n v="3221"/>
  </r>
  <r>
    <x v="0"/>
    <x v="9"/>
    <x v="5"/>
    <x v="239"/>
    <x v="205"/>
    <x v="205"/>
    <s v="CHARGES"/>
    <x v="1"/>
    <s v="3301.001"/>
    <s v="Défalcations, abandons de solde PP et IS"/>
    <n v="0.01"/>
    <n v="0"/>
    <n v="3301"/>
  </r>
  <r>
    <x v="0"/>
    <x v="9"/>
    <x v="5"/>
    <x v="239"/>
    <x v="205"/>
    <x v="205"/>
    <s v="CHARGES"/>
    <x v="0"/>
    <s v="3212.002"/>
    <s v="Intérêts bonifiés/trop perçu acompte C/C"/>
    <n v="0.01"/>
    <n v="0"/>
    <n v="3212"/>
  </r>
  <r>
    <x v="0"/>
    <x v="9"/>
    <x v="5"/>
    <x v="239"/>
    <x v="205"/>
    <x v="205"/>
    <s v="CHARGES"/>
    <x v="0"/>
    <s v="3212.004"/>
    <s v="Intérêts rémun./perçu trop tôt sur acomptes C/C"/>
    <n v="0.99"/>
    <n v="0"/>
    <n v="3212"/>
  </r>
  <r>
    <x v="0"/>
    <x v="9"/>
    <x v="5"/>
    <x v="239"/>
    <x v="205"/>
    <x v="205"/>
    <s v="CHARGES"/>
    <x v="0"/>
    <s v="3221.002"/>
    <s v="Intérêts compensatoires / créances en faveur ctb."/>
    <n v="4.49"/>
    <n v="0"/>
    <n v="3221"/>
  </r>
  <r>
    <x v="0"/>
    <x v="9"/>
    <x v="5"/>
    <x v="239"/>
    <x v="205"/>
    <x v="205"/>
    <s v="CHARGES"/>
    <x v="0"/>
    <s v="3221.002"/>
    <s v="Intérêts compensatoires / créances en faveur ctb."/>
    <n v="0.22"/>
    <n v="0"/>
    <n v="3221"/>
  </r>
  <r>
    <x v="0"/>
    <x v="9"/>
    <x v="5"/>
    <x v="239"/>
    <x v="205"/>
    <x v="205"/>
    <s v="CHARGES"/>
    <x v="1"/>
    <s v="3301.001"/>
    <s v="Défalcations, abandons de solde PP et IS"/>
    <n v="0.26"/>
    <n v="0"/>
    <n v="3301"/>
  </r>
  <r>
    <x v="0"/>
    <x v="9"/>
    <x v="5"/>
    <x v="239"/>
    <x v="205"/>
    <x v="205"/>
    <s v="CHARGES"/>
    <x v="0"/>
    <s v="3212.004"/>
    <s v="Intérêts rémun./perçu trop tôt sur acomptes C/C"/>
    <n v="0.6"/>
    <n v="0"/>
    <n v="3212"/>
  </r>
  <r>
    <x v="0"/>
    <x v="9"/>
    <x v="5"/>
    <x v="239"/>
    <x v="205"/>
    <x v="205"/>
    <s v="CHARGES"/>
    <x v="1"/>
    <s v="3301.001"/>
    <s v="Défalcations, abandons de solde PP et IS"/>
    <n v="0.01"/>
    <n v="0"/>
    <n v="3301"/>
  </r>
  <r>
    <x v="0"/>
    <x v="9"/>
    <x v="5"/>
    <x v="239"/>
    <x v="205"/>
    <x v="205"/>
    <s v="CHARGES"/>
    <x v="1"/>
    <s v="3301.003"/>
    <s v="Remises PP et IS"/>
    <n v="864.05"/>
    <n v="0"/>
    <n v="3301"/>
  </r>
  <r>
    <x v="0"/>
    <x v="9"/>
    <x v="5"/>
    <x v="239"/>
    <x v="205"/>
    <x v="205"/>
    <s v="CHARGES"/>
    <x v="0"/>
    <s v="3212.004"/>
    <s v="Intérêts rémun./perçu trop tôt sur acomptes C/C"/>
    <n v="0.04"/>
    <n v="0"/>
    <n v="3212"/>
  </r>
  <r>
    <x v="0"/>
    <x v="9"/>
    <x v="5"/>
    <x v="239"/>
    <x v="205"/>
    <x v="205"/>
    <s v="CHARGES"/>
    <x v="0"/>
    <s v="3212.004"/>
    <s v="Intérêts rémun./perçu trop tôt sur acomptes C/C"/>
    <n v="0.1"/>
    <n v="0"/>
    <n v="3212"/>
  </r>
  <r>
    <x v="0"/>
    <x v="9"/>
    <x v="5"/>
    <x v="239"/>
    <x v="205"/>
    <x v="205"/>
    <s v="CHARGES"/>
    <x v="0"/>
    <s v="3221.002"/>
    <s v="Intérêts compensatoires / créances en faveur ctb."/>
    <n v="0.04"/>
    <n v="0"/>
    <n v="3221"/>
  </r>
  <r>
    <x v="0"/>
    <x v="9"/>
    <x v="5"/>
    <x v="239"/>
    <x v="205"/>
    <x v="205"/>
    <s v="REVENUS"/>
    <x v="6"/>
    <s v="4211.001"/>
    <s v="Intérêts de retard sur factures"/>
    <n v="0"/>
    <n v="1182.57"/>
    <n v="4211"/>
  </r>
  <r>
    <x v="0"/>
    <x v="9"/>
    <x v="5"/>
    <x v="239"/>
    <x v="205"/>
    <x v="205"/>
    <s v="REVENUS"/>
    <x v="2"/>
    <s v="4001.001"/>
    <s v="Impôt revenu"/>
    <n v="0"/>
    <n v="509480.55"/>
    <n v="4001"/>
  </r>
  <r>
    <x v="0"/>
    <x v="9"/>
    <x v="5"/>
    <x v="239"/>
    <x v="205"/>
    <x v="205"/>
    <s v="REVENUS"/>
    <x v="2"/>
    <s v="4001.007"/>
    <s v="Acompte impôt sur revenu"/>
    <n v="0"/>
    <n v="-83780.039999999994"/>
    <n v="4001"/>
  </r>
  <r>
    <x v="0"/>
    <x v="9"/>
    <x v="5"/>
    <x v="239"/>
    <x v="205"/>
    <x v="205"/>
    <s v="REVENUS"/>
    <x v="3"/>
    <s v="4002.001"/>
    <s v="Impôt ordinaire s/fortune PP"/>
    <n v="0"/>
    <n v="41241.800000000003"/>
    <n v="4002"/>
  </r>
  <r>
    <x v="0"/>
    <x v="9"/>
    <x v="5"/>
    <x v="239"/>
    <x v="205"/>
    <x v="205"/>
    <s v="REVENUS"/>
    <x v="3"/>
    <s v="4002.007"/>
    <s v="Acompte impôt sur fortune"/>
    <n v="0"/>
    <n v="30793.69"/>
    <n v="4002"/>
  </r>
  <r>
    <x v="0"/>
    <x v="9"/>
    <x v="5"/>
    <x v="239"/>
    <x v="205"/>
    <x v="205"/>
    <s v="REVENUS"/>
    <x v="7"/>
    <s v="4184.000"/>
    <s v="Frais de poursuite"/>
    <n v="0"/>
    <n v="1307.56"/>
    <n v="4184"/>
  </r>
  <r>
    <x v="0"/>
    <x v="9"/>
    <x v="5"/>
    <x v="239"/>
    <x v="205"/>
    <x v="205"/>
    <s v="REVENUS"/>
    <x v="2"/>
    <s v="4001.002"/>
    <s v="Impôt complément s/revenu PP"/>
    <n v="0"/>
    <n v="40689.699999999997"/>
    <n v="4001"/>
  </r>
  <r>
    <x v="0"/>
    <x v="9"/>
    <x v="5"/>
    <x v="239"/>
    <x v="205"/>
    <x v="205"/>
    <s v="REVENUS"/>
    <x v="6"/>
    <s v="4211.002"/>
    <s v="Intérêts de retard sur acomptes"/>
    <n v="0"/>
    <n v="5221.16"/>
    <n v="4211"/>
  </r>
  <r>
    <x v="0"/>
    <x v="9"/>
    <x v="5"/>
    <x v="239"/>
    <x v="205"/>
    <x v="205"/>
    <s v="REVENUS"/>
    <x v="6"/>
    <s v="4221.003"/>
    <s v="Intérêts compensat. / acomptes en faveur du fisc"/>
    <n v="0"/>
    <n v="35.119999999999997"/>
    <n v="4221"/>
  </r>
  <r>
    <x v="0"/>
    <x v="9"/>
    <x v="5"/>
    <x v="239"/>
    <x v="205"/>
    <x v="205"/>
    <s v="REVENUS"/>
    <x v="2"/>
    <s v="4001.007"/>
    <s v="Acompte impôt sur revenu"/>
    <n v="0"/>
    <n v="-17.75"/>
    <n v="4001"/>
  </r>
  <r>
    <x v="0"/>
    <x v="9"/>
    <x v="5"/>
    <x v="239"/>
    <x v="205"/>
    <x v="205"/>
    <s v="REVENUS"/>
    <x v="3"/>
    <s v="4002.007"/>
    <s v="Acompte impôt sur fortune"/>
    <n v="0"/>
    <n v="-3.9"/>
    <n v="4002"/>
  </r>
  <r>
    <x v="0"/>
    <x v="9"/>
    <x v="5"/>
    <x v="239"/>
    <x v="205"/>
    <x v="205"/>
    <s v="REVENUS"/>
    <x v="3"/>
    <s v="4002.007"/>
    <s v="Acompte impôt sur fortune"/>
    <n v="0"/>
    <n v="-2.39"/>
    <n v="4002"/>
  </r>
  <r>
    <x v="0"/>
    <x v="9"/>
    <x v="5"/>
    <x v="239"/>
    <x v="205"/>
    <x v="205"/>
    <s v="REVENUS"/>
    <x v="3"/>
    <s v="4002.007"/>
    <s v="Acompte impôt sur fortune"/>
    <n v="0"/>
    <n v="-1077.1400000000001"/>
    <n v="4002"/>
  </r>
  <r>
    <x v="0"/>
    <x v="9"/>
    <x v="5"/>
    <x v="239"/>
    <x v="205"/>
    <x v="205"/>
    <s v="REVENUS"/>
    <x v="2"/>
    <s v="4001.007"/>
    <s v="Acompte impôt sur revenu"/>
    <n v="0"/>
    <n v="-318.06"/>
    <n v="4001"/>
  </r>
  <r>
    <x v="0"/>
    <x v="9"/>
    <x v="5"/>
    <x v="239"/>
    <x v="205"/>
    <x v="205"/>
    <s v="REVENUS"/>
    <x v="3"/>
    <s v="4002.007"/>
    <s v="Acompte impôt sur fortune"/>
    <n v="0"/>
    <n v="-10.28"/>
    <n v="4002"/>
  </r>
  <r>
    <x v="0"/>
    <x v="9"/>
    <x v="5"/>
    <x v="239"/>
    <x v="205"/>
    <x v="205"/>
    <s v="REVENUS"/>
    <x v="2"/>
    <s v="4001.007"/>
    <s v="Acompte impôt sur revenu"/>
    <n v="0"/>
    <n v="-2938.97"/>
    <n v="4001"/>
  </r>
  <r>
    <x v="0"/>
    <x v="9"/>
    <x v="5"/>
    <x v="239"/>
    <x v="205"/>
    <x v="205"/>
    <s v="REVENUS"/>
    <x v="2"/>
    <s v="4001.007"/>
    <s v="Acompte impôt sur revenu"/>
    <n v="0"/>
    <n v="15.38"/>
    <n v="4001"/>
  </r>
  <r>
    <x v="0"/>
    <x v="9"/>
    <x v="5"/>
    <x v="239"/>
    <x v="205"/>
    <x v="205"/>
    <s v="REVENUS"/>
    <x v="9"/>
    <s v="4031.001"/>
    <s v="Impôt sur les gains immobiliers"/>
    <n v="0"/>
    <n v="21936.6"/>
    <n v="4031"/>
  </r>
  <r>
    <x v="0"/>
    <x v="9"/>
    <x v="5"/>
    <x v="239"/>
    <x v="205"/>
    <x v="205"/>
    <s v="REVENUS"/>
    <x v="2"/>
    <s v="4001.001"/>
    <s v="Impôt revenu"/>
    <n v="0"/>
    <n v="-409.65"/>
    <n v="4001"/>
  </r>
  <r>
    <x v="0"/>
    <x v="9"/>
    <x v="5"/>
    <x v="239"/>
    <x v="205"/>
    <x v="205"/>
    <s v="REVENUS"/>
    <x v="3"/>
    <s v="4002.001"/>
    <s v="Impôt ordinaire s/fortune PP"/>
    <n v="0"/>
    <n v="-122.15"/>
    <n v="4002"/>
  </r>
  <r>
    <x v="0"/>
    <x v="9"/>
    <x v="5"/>
    <x v="239"/>
    <x v="205"/>
    <x v="205"/>
    <s v="REVENUS"/>
    <x v="6"/>
    <s v="4211.002"/>
    <s v="Intérêts de retard sur acomptes"/>
    <n v="0"/>
    <n v="-0.14000000000000001"/>
    <n v="4211"/>
  </r>
  <r>
    <x v="0"/>
    <x v="9"/>
    <x v="5"/>
    <x v="239"/>
    <x v="205"/>
    <x v="205"/>
    <s v="REVENUS"/>
    <x v="3"/>
    <s v="4002.002"/>
    <s v="Impôt complémentaire s/fortune PP"/>
    <n v="0"/>
    <n v="2652"/>
    <n v="4002"/>
  </r>
  <r>
    <x v="0"/>
    <x v="9"/>
    <x v="5"/>
    <x v="239"/>
    <x v="205"/>
    <x v="205"/>
    <s v="REVENUS"/>
    <x v="2"/>
    <s v="4001.001"/>
    <s v="Impôt revenu"/>
    <n v="0"/>
    <n v="107.65"/>
    <n v="4001"/>
  </r>
  <r>
    <x v="0"/>
    <x v="9"/>
    <x v="5"/>
    <x v="239"/>
    <x v="205"/>
    <x v="205"/>
    <s v="REVENUS"/>
    <x v="3"/>
    <s v="4002.001"/>
    <s v="Impôt ordinaire s/fortune PP"/>
    <n v="0"/>
    <n v="40.950000000000003"/>
    <n v="4002"/>
  </r>
  <r>
    <x v="0"/>
    <x v="9"/>
    <x v="5"/>
    <x v="239"/>
    <x v="205"/>
    <x v="205"/>
    <s v="REVENUS"/>
    <x v="6"/>
    <s v="4211.002"/>
    <s v="Intérêts de retard sur acomptes"/>
    <n v="0"/>
    <n v="4.54"/>
    <n v="4211"/>
  </r>
  <r>
    <x v="0"/>
    <x v="9"/>
    <x v="5"/>
    <x v="239"/>
    <x v="205"/>
    <x v="205"/>
    <s v="REVENUS"/>
    <x v="6"/>
    <s v="4221.003"/>
    <s v="Intérêts compensat. / acomptes en faveur du fisc"/>
    <n v="0"/>
    <n v="0.01"/>
    <n v="4221"/>
  </r>
  <r>
    <x v="0"/>
    <x v="9"/>
    <x v="5"/>
    <x v="239"/>
    <x v="205"/>
    <x v="205"/>
    <s v="REVENUS"/>
    <x v="2"/>
    <s v="4001.003"/>
    <s v="Impôt s/prest. cap. PP"/>
    <n v="0"/>
    <n v="19679.7"/>
    <n v="4001"/>
  </r>
  <r>
    <x v="0"/>
    <x v="9"/>
    <x v="5"/>
    <x v="239"/>
    <x v="205"/>
    <x v="205"/>
    <s v="REVENUS"/>
    <x v="2"/>
    <s v="4001.001"/>
    <s v="Impôt revenu"/>
    <n v="0"/>
    <n v="-488.5"/>
    <n v="4001"/>
  </r>
  <r>
    <x v="0"/>
    <x v="9"/>
    <x v="5"/>
    <x v="239"/>
    <x v="205"/>
    <x v="205"/>
    <s v="REVENUS"/>
    <x v="2"/>
    <s v="4001.007"/>
    <s v="Acompte impôt sur revenu"/>
    <n v="0"/>
    <n v="-213.15"/>
    <n v="4001"/>
  </r>
  <r>
    <x v="0"/>
    <x v="9"/>
    <x v="5"/>
    <x v="239"/>
    <x v="205"/>
    <x v="205"/>
    <s v="REVENUS"/>
    <x v="6"/>
    <s v="4221.003"/>
    <s v="Intérêts compensat. / acomptes en faveur du fisc"/>
    <n v="0"/>
    <n v="-1.83"/>
    <n v="4221"/>
  </r>
  <r>
    <x v="0"/>
    <x v="9"/>
    <x v="5"/>
    <x v="239"/>
    <x v="205"/>
    <x v="205"/>
    <s v="REVENUS"/>
    <x v="2"/>
    <s v="4001.001"/>
    <s v="Impôt revenu"/>
    <n v="0"/>
    <n v="1713.9"/>
    <n v="4001"/>
  </r>
  <r>
    <x v="0"/>
    <x v="9"/>
    <x v="5"/>
    <x v="239"/>
    <x v="205"/>
    <x v="205"/>
    <s v="REVENUS"/>
    <x v="2"/>
    <s v="4001.002"/>
    <s v="Impôt complément s/revenu PP"/>
    <n v="0"/>
    <n v="96.25"/>
    <n v="4001"/>
  </r>
  <r>
    <x v="0"/>
    <x v="9"/>
    <x v="5"/>
    <x v="239"/>
    <x v="205"/>
    <x v="205"/>
    <s v="REVENUS"/>
    <x v="3"/>
    <s v="4002.001"/>
    <s v="Impôt ordinaire s/fortune PP"/>
    <n v="0"/>
    <n v="233.95"/>
    <n v="4002"/>
  </r>
  <r>
    <x v="0"/>
    <x v="9"/>
    <x v="5"/>
    <x v="239"/>
    <x v="205"/>
    <x v="205"/>
    <s v="REVENUS"/>
    <x v="3"/>
    <s v="4002.002"/>
    <s v="Impôt complémentaire s/fortune PP"/>
    <n v="0"/>
    <n v="55.35"/>
    <n v="4002"/>
  </r>
  <r>
    <x v="0"/>
    <x v="9"/>
    <x v="5"/>
    <x v="239"/>
    <x v="205"/>
    <x v="205"/>
    <s v="REVENUS"/>
    <x v="2"/>
    <s v="4001.007"/>
    <s v="Acompte impôt sur revenu"/>
    <n v="0"/>
    <n v="-523.4"/>
    <n v="4001"/>
  </r>
  <r>
    <x v="0"/>
    <x v="9"/>
    <x v="5"/>
    <x v="239"/>
    <x v="205"/>
    <x v="205"/>
    <s v="REVENUS"/>
    <x v="3"/>
    <s v="4002.007"/>
    <s v="Acompte impôt sur fortune"/>
    <n v="0"/>
    <n v="-92.45"/>
    <n v="4002"/>
  </r>
  <r>
    <x v="0"/>
    <x v="9"/>
    <x v="5"/>
    <x v="239"/>
    <x v="205"/>
    <x v="205"/>
    <s v="REVENUS"/>
    <x v="2"/>
    <s v="4001.001"/>
    <s v="Impôt revenu"/>
    <n v="0"/>
    <n v="3173.05"/>
    <n v="4001"/>
  </r>
  <r>
    <x v="0"/>
    <x v="9"/>
    <x v="5"/>
    <x v="239"/>
    <x v="205"/>
    <x v="205"/>
    <s v="REVENUS"/>
    <x v="3"/>
    <s v="4002.001"/>
    <s v="Impôt ordinaire s/fortune PP"/>
    <n v="0"/>
    <n v="2143.1"/>
    <n v="4002"/>
  </r>
  <r>
    <x v="0"/>
    <x v="9"/>
    <x v="5"/>
    <x v="239"/>
    <x v="205"/>
    <x v="205"/>
    <s v="REVENUS"/>
    <x v="6"/>
    <s v="4221.003"/>
    <s v="Intérêts compensat. / acomptes en faveur du fisc"/>
    <n v="0"/>
    <n v="0.28999999999999998"/>
    <n v="4221"/>
  </r>
  <r>
    <x v="0"/>
    <x v="9"/>
    <x v="5"/>
    <x v="239"/>
    <x v="205"/>
    <x v="205"/>
    <s v="REVENUS"/>
    <x v="2"/>
    <s v="4001.002"/>
    <s v="Impôt complément s/revenu PP"/>
    <n v="0"/>
    <n v="27.2"/>
    <n v="4001"/>
  </r>
  <r>
    <x v="0"/>
    <x v="9"/>
    <x v="5"/>
    <x v="239"/>
    <x v="205"/>
    <x v="205"/>
    <s v="REVENUS"/>
    <x v="3"/>
    <s v="4002.002"/>
    <s v="Impôt complémentaire s/fortune PP"/>
    <n v="0"/>
    <n v="6.5"/>
    <n v="4002"/>
  </r>
  <r>
    <x v="0"/>
    <x v="9"/>
    <x v="5"/>
    <x v="239"/>
    <x v="205"/>
    <x v="205"/>
    <s v="REVENUS"/>
    <x v="11"/>
    <s v="4198.000"/>
    <s v="Contributions communales"/>
    <n v="0"/>
    <n v="47214.75"/>
    <n v="4198"/>
  </r>
  <r>
    <x v="0"/>
    <x v="9"/>
    <x v="5"/>
    <x v="239"/>
    <x v="205"/>
    <x v="205"/>
    <s v="REVENUS"/>
    <x v="2"/>
    <s v="4001.001"/>
    <s v="Impôt revenu"/>
    <n v="0"/>
    <n v="603.9"/>
    <n v="4001"/>
  </r>
  <r>
    <x v="0"/>
    <x v="9"/>
    <x v="5"/>
    <x v="239"/>
    <x v="205"/>
    <x v="205"/>
    <s v="REVENUS"/>
    <x v="2"/>
    <s v="4001.007"/>
    <s v="Acompte impôt sur revenu"/>
    <n v="0"/>
    <n v="-413.6"/>
    <n v="4001"/>
  </r>
  <r>
    <x v="0"/>
    <x v="9"/>
    <x v="5"/>
    <x v="239"/>
    <x v="205"/>
    <x v="205"/>
    <s v="REVENUS"/>
    <x v="3"/>
    <s v="4002.001"/>
    <s v="Impôt ordinaire s/fortune PP"/>
    <n v="0"/>
    <n v="350.3"/>
    <n v="4002"/>
  </r>
  <r>
    <x v="0"/>
    <x v="9"/>
    <x v="5"/>
    <x v="239"/>
    <x v="205"/>
    <x v="205"/>
    <s v="REVENUS"/>
    <x v="3"/>
    <s v="4002.007"/>
    <s v="Acompte impôt sur fortune"/>
    <n v="0"/>
    <n v="-333"/>
    <n v="4002"/>
  </r>
  <r>
    <x v="0"/>
    <x v="9"/>
    <x v="5"/>
    <x v="239"/>
    <x v="205"/>
    <x v="205"/>
    <s v="REVENUS"/>
    <x v="6"/>
    <s v="4211.002"/>
    <s v="Intérêts de retard sur acomptes"/>
    <n v="0"/>
    <n v="2.2599999999999998"/>
    <n v="4211"/>
  </r>
  <r>
    <x v="0"/>
    <x v="9"/>
    <x v="5"/>
    <x v="239"/>
    <x v="205"/>
    <x v="205"/>
    <s v="REVENUS"/>
    <x v="6"/>
    <s v="4221.003"/>
    <s v="Intérêts compensat. / acomptes en faveur du fisc"/>
    <n v="0"/>
    <n v="0.01"/>
    <n v="4221"/>
  </r>
  <r>
    <x v="0"/>
    <x v="9"/>
    <x v="5"/>
    <x v="239"/>
    <x v="205"/>
    <x v="205"/>
    <s v="REVENUS"/>
    <x v="10"/>
    <s v="4041.001"/>
    <s v="Droits de mutation"/>
    <n v="0"/>
    <n v="18040"/>
    <n v="4041"/>
  </r>
  <r>
    <x v="0"/>
    <x v="9"/>
    <x v="5"/>
    <x v="239"/>
    <x v="205"/>
    <x v="205"/>
    <s v="REVENUS"/>
    <x v="3"/>
    <s v="4002.007"/>
    <s v="Acompte impôt sur fortune"/>
    <n v="0"/>
    <n v="-51.22"/>
    <n v="4002"/>
  </r>
  <r>
    <x v="0"/>
    <x v="9"/>
    <x v="5"/>
    <x v="239"/>
    <x v="205"/>
    <x v="205"/>
    <s v="REVENUS"/>
    <x v="9"/>
    <s v="4031.002"/>
    <s v="Complément impôt sur les gains immobiliers"/>
    <n v="0"/>
    <n v="3991.35"/>
    <n v="4031"/>
  </r>
  <r>
    <x v="0"/>
    <x v="9"/>
    <x v="5"/>
    <x v="239"/>
    <x v="205"/>
    <x v="205"/>
    <s v="REVENUS"/>
    <x v="2"/>
    <s v="4001.001"/>
    <s v="Impôt revenu"/>
    <n v="0"/>
    <n v="260.2"/>
    <n v="4001"/>
  </r>
  <r>
    <x v="0"/>
    <x v="9"/>
    <x v="5"/>
    <x v="239"/>
    <x v="205"/>
    <x v="205"/>
    <s v="REVENUS"/>
    <x v="3"/>
    <s v="4002.001"/>
    <s v="Impôt ordinaire s/fortune PP"/>
    <n v="0"/>
    <n v="285.35000000000002"/>
    <n v="4002"/>
  </r>
  <r>
    <x v="0"/>
    <x v="9"/>
    <x v="5"/>
    <x v="239"/>
    <x v="205"/>
    <x v="205"/>
    <s v="REVENUS"/>
    <x v="5"/>
    <s v="4061.000"/>
    <s v="Impôt sur les chiens"/>
    <n v="0"/>
    <n v="1080"/>
    <n v="4061"/>
  </r>
  <r>
    <x v="0"/>
    <x v="9"/>
    <x v="5"/>
    <x v="239"/>
    <x v="205"/>
    <x v="205"/>
    <s v="REVENUS"/>
    <x v="6"/>
    <s v="4211.002"/>
    <s v="Intérêts de retard sur acomptes"/>
    <n v="0"/>
    <n v="0.13"/>
    <n v="4211"/>
  </r>
  <r>
    <x v="0"/>
    <x v="9"/>
    <x v="5"/>
    <x v="239"/>
    <x v="205"/>
    <x v="205"/>
    <s v="REVENUS"/>
    <x v="6"/>
    <s v="4211.002"/>
    <s v="Intérêts de retard sur acomptes"/>
    <n v="0"/>
    <n v="7.0000000000000007E-2"/>
    <n v="4211"/>
  </r>
  <r>
    <x v="0"/>
    <x v="9"/>
    <x v="5"/>
    <x v="239"/>
    <x v="205"/>
    <x v="205"/>
    <s v="REVENUS"/>
    <x v="6"/>
    <s v="4221.003"/>
    <s v="Intérêts compensat. / acomptes en faveur du fisc"/>
    <n v="0"/>
    <n v="0.03"/>
    <n v="4221"/>
  </r>
  <r>
    <x v="0"/>
    <x v="9"/>
    <x v="5"/>
    <x v="239"/>
    <x v="205"/>
    <x v="205"/>
    <s v="REVENUS"/>
    <x v="6"/>
    <s v="4211.001"/>
    <s v="Intérêts de retard sur factures"/>
    <n v="0"/>
    <n v="-0.39"/>
    <n v="4211"/>
  </r>
  <r>
    <x v="0"/>
    <x v="9"/>
    <x v="5"/>
    <x v="239"/>
    <x v="205"/>
    <x v="205"/>
    <s v="REVENUS"/>
    <x v="6"/>
    <s v="4221.003"/>
    <s v="Intérêts compensat. / acomptes en faveur du fisc"/>
    <n v="0"/>
    <n v="-0.51"/>
    <n v="4221"/>
  </r>
  <r>
    <x v="0"/>
    <x v="9"/>
    <x v="5"/>
    <x v="239"/>
    <x v="205"/>
    <x v="205"/>
    <s v="REVENUS"/>
    <x v="6"/>
    <s v="4221.002"/>
    <s v="Intérêts compensat. sur impôts distincts"/>
    <n v="0"/>
    <n v="0.1"/>
    <n v="4221"/>
  </r>
  <r>
    <x v="0"/>
    <x v="9"/>
    <x v="5"/>
    <x v="240"/>
    <x v="206"/>
    <x v="206"/>
    <s v="CHARGES"/>
    <x v="1"/>
    <s v="3301.001"/>
    <s v="Défalcations, abandons de solde PP et IS"/>
    <n v="3553.42"/>
    <n v="0"/>
    <n v="3301"/>
  </r>
  <r>
    <x v="0"/>
    <x v="9"/>
    <x v="5"/>
    <x v="240"/>
    <x v="206"/>
    <x v="206"/>
    <s v="CHARGES"/>
    <x v="0"/>
    <s v="3212.004"/>
    <s v="Intérêts rémun./perçu trop tôt sur acomptes C/C"/>
    <n v="143.38999999999999"/>
    <n v="0"/>
    <n v="3212"/>
  </r>
  <r>
    <x v="0"/>
    <x v="9"/>
    <x v="5"/>
    <x v="240"/>
    <x v="206"/>
    <x v="206"/>
    <s v="CHARGES"/>
    <x v="0"/>
    <s v="3221.002"/>
    <s v="Intérêts compensatoires / créances en faveur ctb."/>
    <n v="65.489999999999995"/>
    <n v="0"/>
    <n v="3221"/>
  </r>
  <r>
    <x v="0"/>
    <x v="9"/>
    <x v="5"/>
    <x v="240"/>
    <x v="206"/>
    <x v="206"/>
    <s v="CHARGES"/>
    <x v="1"/>
    <s v="3301.001"/>
    <s v="Défalcations, abandons de solde PP et IS"/>
    <n v="0.26"/>
    <n v="0"/>
    <n v="3301"/>
  </r>
  <r>
    <x v="0"/>
    <x v="9"/>
    <x v="5"/>
    <x v="240"/>
    <x v="206"/>
    <x v="206"/>
    <s v="CHARGES"/>
    <x v="0"/>
    <s v="3212.002"/>
    <s v="Intérêts bonifiés/trop perçu acompte C/C"/>
    <n v="2.31"/>
    <n v="0"/>
    <n v="3212"/>
  </r>
  <r>
    <x v="0"/>
    <x v="9"/>
    <x v="5"/>
    <x v="240"/>
    <x v="206"/>
    <x v="206"/>
    <s v="CHARGES"/>
    <x v="0"/>
    <s v="3212.004"/>
    <s v="Intérêts rémun./perçu trop tôt sur acomptes C/C"/>
    <n v="2.08"/>
    <n v="0"/>
    <n v="3212"/>
  </r>
  <r>
    <x v="0"/>
    <x v="9"/>
    <x v="5"/>
    <x v="240"/>
    <x v="206"/>
    <x v="206"/>
    <s v="CHARGES"/>
    <x v="0"/>
    <s v="3221.002"/>
    <s v="Intérêts compensatoires / créances en faveur ctb."/>
    <n v="0.63"/>
    <n v="0"/>
    <n v="3221"/>
  </r>
  <r>
    <x v="0"/>
    <x v="9"/>
    <x v="5"/>
    <x v="240"/>
    <x v="206"/>
    <x v="206"/>
    <s v="CHARGES"/>
    <x v="1"/>
    <s v="3301.001"/>
    <s v="Défalcations, abandons de solde PP et IS"/>
    <n v="0.34"/>
    <n v="0"/>
    <n v="3301"/>
  </r>
  <r>
    <x v="0"/>
    <x v="9"/>
    <x v="5"/>
    <x v="240"/>
    <x v="206"/>
    <x v="206"/>
    <s v="CHARGES"/>
    <x v="1"/>
    <s v="3301.003"/>
    <s v="Remises PP et IS"/>
    <n v="863.25"/>
    <n v="0"/>
    <n v="3301"/>
  </r>
  <r>
    <x v="0"/>
    <x v="9"/>
    <x v="5"/>
    <x v="240"/>
    <x v="206"/>
    <x v="206"/>
    <s v="CHARGES"/>
    <x v="0"/>
    <s v="3212.004"/>
    <s v="Intérêts rémun./perçu trop tôt sur acomptes C/C"/>
    <n v="5.53"/>
    <n v="0"/>
    <n v="3212"/>
  </r>
  <r>
    <x v="0"/>
    <x v="9"/>
    <x v="5"/>
    <x v="240"/>
    <x v="206"/>
    <x v="206"/>
    <s v="CHARGES"/>
    <x v="0"/>
    <s v="3212.004"/>
    <s v="Intérêts rémun./perçu trop tôt sur acomptes C/C"/>
    <n v="0.28999999999999998"/>
    <n v="0"/>
    <n v="3212"/>
  </r>
  <r>
    <x v="0"/>
    <x v="9"/>
    <x v="5"/>
    <x v="240"/>
    <x v="206"/>
    <x v="206"/>
    <s v="CHARGES"/>
    <x v="0"/>
    <s v="3221.002"/>
    <s v="Intérêts compensatoires / créances en faveur ctb."/>
    <n v="0.05"/>
    <n v="0"/>
    <n v="3221"/>
  </r>
  <r>
    <x v="0"/>
    <x v="9"/>
    <x v="5"/>
    <x v="240"/>
    <x v="206"/>
    <x v="206"/>
    <s v="REVENUS"/>
    <x v="2"/>
    <s v="4001.007"/>
    <s v="Acompte impôt sur revenu"/>
    <n v="0"/>
    <n v="-2388.6799999999998"/>
    <n v="4001"/>
  </r>
  <r>
    <x v="0"/>
    <x v="9"/>
    <x v="5"/>
    <x v="240"/>
    <x v="206"/>
    <x v="206"/>
    <s v="REVENUS"/>
    <x v="3"/>
    <s v="4002.007"/>
    <s v="Acompte impôt sur fortune"/>
    <n v="0"/>
    <n v="-626.12"/>
    <n v="4002"/>
  </r>
  <r>
    <x v="0"/>
    <x v="9"/>
    <x v="5"/>
    <x v="240"/>
    <x v="206"/>
    <x v="206"/>
    <s v="REVENUS"/>
    <x v="2"/>
    <s v="4001.007"/>
    <s v="Acompte impôt sur revenu"/>
    <n v="0"/>
    <n v="244.58"/>
    <n v="4001"/>
  </r>
  <r>
    <x v="0"/>
    <x v="9"/>
    <x v="5"/>
    <x v="240"/>
    <x v="206"/>
    <x v="206"/>
    <s v="REVENUS"/>
    <x v="3"/>
    <s v="4002.007"/>
    <s v="Acompte impôt sur fortune"/>
    <n v="0"/>
    <n v="-752.44"/>
    <n v="4002"/>
  </r>
  <r>
    <x v="0"/>
    <x v="9"/>
    <x v="5"/>
    <x v="240"/>
    <x v="206"/>
    <x v="206"/>
    <s v="REVENUS"/>
    <x v="6"/>
    <s v="4211.001"/>
    <s v="Intérêts de retard sur factures"/>
    <n v="0"/>
    <n v="1510.48"/>
    <n v="4211"/>
  </r>
  <r>
    <x v="0"/>
    <x v="9"/>
    <x v="5"/>
    <x v="240"/>
    <x v="206"/>
    <x v="206"/>
    <s v="REVENUS"/>
    <x v="2"/>
    <s v="4001.007"/>
    <s v="Acompte impôt sur revenu"/>
    <n v="0"/>
    <n v="-69775.87"/>
    <n v="4001"/>
  </r>
  <r>
    <x v="0"/>
    <x v="9"/>
    <x v="5"/>
    <x v="240"/>
    <x v="206"/>
    <x v="206"/>
    <s v="REVENUS"/>
    <x v="2"/>
    <s v="4001.001"/>
    <s v="Impôt revenu"/>
    <n v="0"/>
    <n v="486918.15"/>
    <n v="4001"/>
  </r>
  <r>
    <x v="0"/>
    <x v="9"/>
    <x v="5"/>
    <x v="240"/>
    <x v="206"/>
    <x v="206"/>
    <s v="REVENUS"/>
    <x v="3"/>
    <s v="4002.001"/>
    <s v="Impôt ordinaire s/fortune PP"/>
    <n v="0"/>
    <n v="65641.3"/>
    <n v="4002"/>
  </r>
  <r>
    <x v="0"/>
    <x v="9"/>
    <x v="5"/>
    <x v="240"/>
    <x v="206"/>
    <x v="206"/>
    <s v="REVENUS"/>
    <x v="3"/>
    <s v="4002.007"/>
    <s v="Acompte impôt sur fortune"/>
    <n v="0"/>
    <n v="-11259.35"/>
    <n v="4002"/>
  </r>
  <r>
    <x v="0"/>
    <x v="9"/>
    <x v="5"/>
    <x v="240"/>
    <x v="206"/>
    <x v="206"/>
    <s v="REVENUS"/>
    <x v="6"/>
    <s v="4221.003"/>
    <s v="Intérêts compensat. / acomptes en faveur du fisc"/>
    <n v="0"/>
    <n v="92.19"/>
    <n v="4221"/>
  </r>
  <r>
    <x v="0"/>
    <x v="9"/>
    <x v="5"/>
    <x v="240"/>
    <x v="206"/>
    <x v="206"/>
    <s v="REVENUS"/>
    <x v="2"/>
    <s v="4001.007"/>
    <s v="Acompte impôt sur revenu"/>
    <n v="0"/>
    <n v="-2901.9"/>
    <n v="4001"/>
  </r>
  <r>
    <x v="0"/>
    <x v="9"/>
    <x v="5"/>
    <x v="240"/>
    <x v="206"/>
    <x v="206"/>
    <s v="REVENUS"/>
    <x v="3"/>
    <s v="4002.007"/>
    <s v="Acompte impôt sur fortune"/>
    <n v="0"/>
    <n v="-506.25"/>
    <n v="4002"/>
  </r>
  <r>
    <x v="0"/>
    <x v="9"/>
    <x v="5"/>
    <x v="240"/>
    <x v="206"/>
    <x v="206"/>
    <s v="REVENUS"/>
    <x v="7"/>
    <s v="4184.000"/>
    <s v="Frais de poursuite"/>
    <n v="0"/>
    <n v="1333.95"/>
    <n v="4184"/>
  </r>
  <r>
    <x v="0"/>
    <x v="9"/>
    <x v="5"/>
    <x v="240"/>
    <x v="206"/>
    <x v="206"/>
    <s v="REVENUS"/>
    <x v="2"/>
    <s v="4001.003"/>
    <s v="Impôt s/prest. cap. PP"/>
    <n v="0"/>
    <n v="36112.400000000001"/>
    <n v="4001"/>
  </r>
  <r>
    <x v="0"/>
    <x v="9"/>
    <x v="5"/>
    <x v="240"/>
    <x v="206"/>
    <x v="206"/>
    <s v="REVENUS"/>
    <x v="2"/>
    <s v="4001.001"/>
    <s v="Impôt revenu"/>
    <n v="0"/>
    <n v="3260.9"/>
    <n v="4001"/>
  </r>
  <r>
    <x v="0"/>
    <x v="9"/>
    <x v="5"/>
    <x v="240"/>
    <x v="206"/>
    <x v="206"/>
    <s v="REVENUS"/>
    <x v="3"/>
    <s v="4002.001"/>
    <s v="Impôt ordinaire s/fortune PP"/>
    <n v="0"/>
    <n v="844.9"/>
    <n v="4002"/>
  </r>
  <r>
    <x v="0"/>
    <x v="9"/>
    <x v="5"/>
    <x v="240"/>
    <x v="206"/>
    <x v="206"/>
    <s v="REVENUS"/>
    <x v="6"/>
    <s v="4211.002"/>
    <s v="Intérêts de retard sur acomptes"/>
    <n v="0"/>
    <n v="161.88"/>
    <n v="4211"/>
  </r>
  <r>
    <x v="0"/>
    <x v="9"/>
    <x v="5"/>
    <x v="240"/>
    <x v="206"/>
    <x v="206"/>
    <s v="REVENUS"/>
    <x v="6"/>
    <s v="4221.003"/>
    <s v="Intérêts compensat. / acomptes en faveur du fisc"/>
    <n v="0"/>
    <n v="0.26"/>
    <n v="4221"/>
  </r>
  <r>
    <x v="0"/>
    <x v="9"/>
    <x v="5"/>
    <x v="240"/>
    <x v="206"/>
    <x v="206"/>
    <s v="REVENUS"/>
    <x v="2"/>
    <s v="4001.001"/>
    <s v="Impôt revenu"/>
    <n v="0"/>
    <n v="968.7"/>
    <n v="4001"/>
  </r>
  <r>
    <x v="0"/>
    <x v="9"/>
    <x v="5"/>
    <x v="240"/>
    <x v="206"/>
    <x v="206"/>
    <s v="REVENUS"/>
    <x v="2"/>
    <s v="4001.007"/>
    <s v="Acompte impôt sur revenu"/>
    <n v="0"/>
    <n v="-552.09"/>
    <n v="4001"/>
  </r>
  <r>
    <x v="0"/>
    <x v="9"/>
    <x v="5"/>
    <x v="240"/>
    <x v="206"/>
    <x v="206"/>
    <s v="REVENUS"/>
    <x v="3"/>
    <s v="4002.001"/>
    <s v="Impôt ordinaire s/fortune PP"/>
    <n v="0"/>
    <n v="822.6"/>
    <n v="4002"/>
  </r>
  <r>
    <x v="0"/>
    <x v="9"/>
    <x v="5"/>
    <x v="240"/>
    <x v="206"/>
    <x v="206"/>
    <s v="REVENUS"/>
    <x v="3"/>
    <s v="4002.007"/>
    <s v="Acompte impôt sur fortune"/>
    <n v="0"/>
    <n v="-474.67"/>
    <n v="4002"/>
  </r>
  <r>
    <x v="0"/>
    <x v="9"/>
    <x v="5"/>
    <x v="240"/>
    <x v="206"/>
    <x v="206"/>
    <s v="REVENUS"/>
    <x v="6"/>
    <s v="4211.002"/>
    <s v="Intérêts de retard sur acomptes"/>
    <n v="0"/>
    <n v="2208.7600000000002"/>
    <n v="4211"/>
  </r>
  <r>
    <x v="0"/>
    <x v="9"/>
    <x v="5"/>
    <x v="240"/>
    <x v="206"/>
    <x v="206"/>
    <s v="REVENUS"/>
    <x v="2"/>
    <s v="4001.007"/>
    <s v="Acompte impôt sur revenu"/>
    <n v="0"/>
    <n v="-3195.35"/>
    <n v="4001"/>
  </r>
  <r>
    <x v="0"/>
    <x v="9"/>
    <x v="5"/>
    <x v="240"/>
    <x v="206"/>
    <x v="206"/>
    <s v="REVENUS"/>
    <x v="3"/>
    <s v="4002.007"/>
    <s v="Acompte impôt sur fortune"/>
    <n v="0"/>
    <n v="-329.95"/>
    <n v="4002"/>
  </r>
  <r>
    <x v="0"/>
    <x v="9"/>
    <x v="5"/>
    <x v="240"/>
    <x v="206"/>
    <x v="206"/>
    <s v="REVENUS"/>
    <x v="2"/>
    <s v="4001.001"/>
    <s v="Impôt revenu"/>
    <n v="0"/>
    <n v="5749.25"/>
    <n v="4001"/>
  </r>
  <r>
    <x v="0"/>
    <x v="9"/>
    <x v="5"/>
    <x v="240"/>
    <x v="206"/>
    <x v="206"/>
    <s v="REVENUS"/>
    <x v="3"/>
    <s v="4002.001"/>
    <s v="Impôt ordinaire s/fortune PP"/>
    <n v="0"/>
    <n v="915.95"/>
    <n v="4002"/>
  </r>
  <r>
    <x v="0"/>
    <x v="9"/>
    <x v="5"/>
    <x v="240"/>
    <x v="206"/>
    <x v="206"/>
    <s v="REVENUS"/>
    <x v="6"/>
    <s v="4221.003"/>
    <s v="Intérêts compensat. / acomptes en faveur du fisc"/>
    <n v="0"/>
    <n v="0.34"/>
    <n v="4221"/>
  </r>
  <r>
    <x v="0"/>
    <x v="9"/>
    <x v="5"/>
    <x v="240"/>
    <x v="206"/>
    <x v="206"/>
    <s v="REVENUS"/>
    <x v="4"/>
    <s v="4051.001"/>
    <s v="Impôt sur les successions"/>
    <n v="0"/>
    <n v="178.2"/>
    <n v="4051"/>
  </r>
  <r>
    <x v="0"/>
    <x v="9"/>
    <x v="5"/>
    <x v="240"/>
    <x v="206"/>
    <x v="206"/>
    <s v="REVENUS"/>
    <x v="6"/>
    <s v="4221.002"/>
    <s v="Intérêts compensat. sur impôts distincts"/>
    <n v="0"/>
    <n v="2.78"/>
    <n v="4221"/>
  </r>
  <r>
    <x v="0"/>
    <x v="9"/>
    <x v="5"/>
    <x v="240"/>
    <x v="206"/>
    <x v="206"/>
    <s v="REVENUS"/>
    <x v="6"/>
    <s v="4211.002"/>
    <s v="Intérêts de retard sur acomptes"/>
    <n v="0"/>
    <n v="0.02"/>
    <n v="4211"/>
  </r>
  <r>
    <x v="0"/>
    <x v="9"/>
    <x v="5"/>
    <x v="240"/>
    <x v="206"/>
    <x v="206"/>
    <s v="REVENUS"/>
    <x v="5"/>
    <s v="4061.000"/>
    <s v="Impôt sur les chiens"/>
    <n v="0"/>
    <n v="2560"/>
    <n v="4061"/>
  </r>
  <r>
    <x v="0"/>
    <x v="9"/>
    <x v="5"/>
    <x v="240"/>
    <x v="206"/>
    <x v="206"/>
    <s v="REVENUS"/>
    <x v="2"/>
    <s v="4001.002"/>
    <s v="Impôt complément s/revenu PP"/>
    <n v="0"/>
    <n v="120113.75"/>
    <n v="4001"/>
  </r>
  <r>
    <x v="0"/>
    <x v="9"/>
    <x v="5"/>
    <x v="240"/>
    <x v="206"/>
    <x v="206"/>
    <s v="REVENUS"/>
    <x v="3"/>
    <s v="4002.002"/>
    <s v="Impôt complémentaire s/fortune PP"/>
    <n v="0"/>
    <n v="8584.85"/>
    <n v="4002"/>
  </r>
  <r>
    <x v="0"/>
    <x v="9"/>
    <x v="5"/>
    <x v="240"/>
    <x v="206"/>
    <x v="206"/>
    <s v="REVENUS"/>
    <x v="6"/>
    <s v="4211.001"/>
    <s v="Intérêts de retard sur factures"/>
    <n v="0"/>
    <n v="4.32"/>
    <n v="4211"/>
  </r>
  <r>
    <x v="0"/>
    <x v="9"/>
    <x v="5"/>
    <x v="240"/>
    <x v="206"/>
    <x v="206"/>
    <s v="REVENUS"/>
    <x v="2"/>
    <s v="4001.001"/>
    <s v="Impôt revenu"/>
    <n v="0"/>
    <n v="9036.9500000000007"/>
    <n v="4001"/>
  </r>
  <r>
    <x v="0"/>
    <x v="9"/>
    <x v="5"/>
    <x v="240"/>
    <x v="206"/>
    <x v="206"/>
    <s v="REVENUS"/>
    <x v="3"/>
    <s v="4002.001"/>
    <s v="Impôt ordinaire s/fortune PP"/>
    <n v="0"/>
    <n v="1467.45"/>
    <n v="4002"/>
  </r>
  <r>
    <x v="0"/>
    <x v="9"/>
    <x v="5"/>
    <x v="240"/>
    <x v="206"/>
    <x v="206"/>
    <s v="REVENUS"/>
    <x v="9"/>
    <s v="4031.001"/>
    <s v="Impôt sur les gains immobiliers"/>
    <n v="0"/>
    <n v="14262"/>
    <n v="4031"/>
  </r>
  <r>
    <x v="0"/>
    <x v="9"/>
    <x v="5"/>
    <x v="240"/>
    <x v="206"/>
    <x v="206"/>
    <s v="REVENUS"/>
    <x v="6"/>
    <s v="4211.002"/>
    <s v="Intérêts de retard sur acomptes"/>
    <n v="0"/>
    <n v="0.23"/>
    <n v="4211"/>
  </r>
  <r>
    <x v="0"/>
    <x v="9"/>
    <x v="5"/>
    <x v="240"/>
    <x v="206"/>
    <x v="206"/>
    <s v="REVENUS"/>
    <x v="10"/>
    <s v="4041.001"/>
    <s v="Droits de mutation"/>
    <n v="0"/>
    <n v="17490"/>
    <n v="4041"/>
  </r>
  <r>
    <x v="0"/>
    <x v="9"/>
    <x v="5"/>
    <x v="240"/>
    <x v="206"/>
    <x v="206"/>
    <s v="REVENUS"/>
    <x v="2"/>
    <s v="4001.001"/>
    <s v="Impôt revenu"/>
    <n v="0"/>
    <n v="-18242.599999999999"/>
    <n v="4001"/>
  </r>
  <r>
    <x v="0"/>
    <x v="9"/>
    <x v="5"/>
    <x v="240"/>
    <x v="206"/>
    <x v="206"/>
    <s v="REVENUS"/>
    <x v="3"/>
    <s v="4002.001"/>
    <s v="Impôt ordinaire s/fortune PP"/>
    <n v="0"/>
    <n v="-382.85"/>
    <n v="4002"/>
  </r>
  <r>
    <x v="0"/>
    <x v="9"/>
    <x v="5"/>
    <x v="240"/>
    <x v="206"/>
    <x v="206"/>
    <s v="REVENUS"/>
    <x v="2"/>
    <s v="4001.007"/>
    <s v="Acompte impôt sur revenu"/>
    <n v="0"/>
    <n v="-11999.6"/>
    <n v="4001"/>
  </r>
  <r>
    <x v="0"/>
    <x v="9"/>
    <x v="5"/>
    <x v="240"/>
    <x v="206"/>
    <x v="206"/>
    <s v="REVENUS"/>
    <x v="3"/>
    <s v="4002.007"/>
    <s v="Acompte impôt sur fortune"/>
    <n v="0"/>
    <n v="-786.7"/>
    <n v="4002"/>
  </r>
  <r>
    <x v="0"/>
    <x v="9"/>
    <x v="5"/>
    <x v="240"/>
    <x v="206"/>
    <x v="206"/>
    <s v="REVENUS"/>
    <x v="6"/>
    <s v="4211.002"/>
    <s v="Intérêts de retard sur acomptes"/>
    <n v="0"/>
    <n v="0.01"/>
    <n v="4211"/>
  </r>
  <r>
    <x v="0"/>
    <x v="9"/>
    <x v="5"/>
    <x v="240"/>
    <x v="206"/>
    <x v="206"/>
    <s v="REVENUS"/>
    <x v="11"/>
    <s v="4198.000"/>
    <s v="Contributions communales"/>
    <n v="0"/>
    <n v="23286.5"/>
    <n v="4198"/>
  </r>
  <r>
    <x v="0"/>
    <x v="9"/>
    <x v="5"/>
    <x v="240"/>
    <x v="206"/>
    <x v="206"/>
    <s v="REVENUS"/>
    <x v="7"/>
    <s v="4184.000"/>
    <s v="Frais de poursuite"/>
    <n v="0"/>
    <n v="62.86"/>
    <n v="4184"/>
  </r>
  <r>
    <x v="0"/>
    <x v="9"/>
    <x v="5"/>
    <x v="241"/>
    <x v="207"/>
    <x v="207"/>
    <s v="CHARGES"/>
    <x v="1"/>
    <s v="3301.001"/>
    <s v="Défalcations, abandons de solde PP et IS"/>
    <n v="3354.07"/>
    <n v="0"/>
    <n v="3301"/>
  </r>
  <r>
    <x v="0"/>
    <x v="9"/>
    <x v="5"/>
    <x v="241"/>
    <x v="207"/>
    <x v="207"/>
    <s v="CHARGES"/>
    <x v="0"/>
    <s v="3212.004"/>
    <s v="Intérêts rémun./perçu trop tôt sur acomptes C/C"/>
    <n v="225.33"/>
    <n v="0"/>
    <n v="3212"/>
  </r>
  <r>
    <x v="0"/>
    <x v="9"/>
    <x v="5"/>
    <x v="241"/>
    <x v="207"/>
    <x v="207"/>
    <s v="CHARGES"/>
    <x v="0"/>
    <s v="3212.004"/>
    <s v="Intérêts rémun./perçu trop tôt sur acomptes C/C"/>
    <n v="0.92"/>
    <n v="0"/>
    <n v="3212"/>
  </r>
  <r>
    <x v="0"/>
    <x v="9"/>
    <x v="5"/>
    <x v="241"/>
    <x v="207"/>
    <x v="207"/>
    <s v="CHARGES"/>
    <x v="0"/>
    <s v="3221.002"/>
    <s v="Intérêts compensatoires / créances en faveur ctb."/>
    <n v="0.13"/>
    <n v="0"/>
    <n v="3221"/>
  </r>
  <r>
    <x v="0"/>
    <x v="9"/>
    <x v="5"/>
    <x v="241"/>
    <x v="207"/>
    <x v="207"/>
    <s v="CHARGES"/>
    <x v="0"/>
    <s v="3221.002"/>
    <s v="Intérêts compensatoires / créances en faveur ctb."/>
    <n v="92.68"/>
    <n v="0"/>
    <n v="3221"/>
  </r>
  <r>
    <x v="0"/>
    <x v="9"/>
    <x v="5"/>
    <x v="241"/>
    <x v="207"/>
    <x v="207"/>
    <s v="CHARGES"/>
    <x v="0"/>
    <s v="3212.004"/>
    <s v="Intérêts rémun./perçu trop tôt sur acomptes C/C"/>
    <n v="0.1"/>
    <n v="0"/>
    <n v="3212"/>
  </r>
  <r>
    <x v="0"/>
    <x v="9"/>
    <x v="5"/>
    <x v="241"/>
    <x v="207"/>
    <x v="207"/>
    <s v="CHARGES"/>
    <x v="0"/>
    <s v="3221.002"/>
    <s v="Intérêts compensatoires / créances en faveur ctb."/>
    <n v="7.0000000000000007E-2"/>
    <n v="0"/>
    <n v="3221"/>
  </r>
  <r>
    <x v="0"/>
    <x v="9"/>
    <x v="5"/>
    <x v="241"/>
    <x v="207"/>
    <x v="207"/>
    <s v="CHARGES"/>
    <x v="0"/>
    <s v="3212.004"/>
    <s v="Intérêts rémun./perçu trop tôt sur acomptes C/C"/>
    <n v="2.2000000000000002"/>
    <n v="0"/>
    <n v="3212"/>
  </r>
  <r>
    <x v="0"/>
    <x v="9"/>
    <x v="5"/>
    <x v="241"/>
    <x v="207"/>
    <x v="207"/>
    <s v="CHARGES"/>
    <x v="0"/>
    <s v="3221.002"/>
    <s v="Intérêts compensatoires / créances en faveur ctb."/>
    <n v="0.04"/>
    <n v="0"/>
    <n v="3221"/>
  </r>
  <r>
    <x v="0"/>
    <x v="9"/>
    <x v="5"/>
    <x v="241"/>
    <x v="207"/>
    <x v="207"/>
    <s v="CHARGES"/>
    <x v="0"/>
    <s v="3212.002"/>
    <s v="Intérêts bonifiés/trop perçu acompte C/C"/>
    <n v="1.82"/>
    <n v="0"/>
    <n v="3212"/>
  </r>
  <r>
    <x v="0"/>
    <x v="9"/>
    <x v="5"/>
    <x v="241"/>
    <x v="207"/>
    <x v="207"/>
    <s v="CHARGES"/>
    <x v="0"/>
    <s v="3212.004"/>
    <s v="Intérêts rémun./perçu trop tôt sur acomptes C/C"/>
    <n v="0.06"/>
    <n v="0"/>
    <n v="3212"/>
  </r>
  <r>
    <x v="0"/>
    <x v="9"/>
    <x v="5"/>
    <x v="241"/>
    <x v="207"/>
    <x v="207"/>
    <s v="CHARGES"/>
    <x v="1"/>
    <s v="3301.001"/>
    <s v="Défalcations, abandons de solde PP et IS"/>
    <n v="0.69"/>
    <n v="0"/>
    <n v="3301"/>
  </r>
  <r>
    <x v="0"/>
    <x v="9"/>
    <x v="5"/>
    <x v="241"/>
    <x v="207"/>
    <x v="207"/>
    <s v="CHARGES"/>
    <x v="0"/>
    <s v="3212.004"/>
    <s v="Intérêts rémun./perçu trop tôt sur acomptes C/C"/>
    <n v="0.6"/>
    <n v="0"/>
    <n v="3212"/>
  </r>
  <r>
    <x v="0"/>
    <x v="9"/>
    <x v="5"/>
    <x v="241"/>
    <x v="207"/>
    <x v="207"/>
    <s v="CHARGES"/>
    <x v="0"/>
    <s v="3221.002"/>
    <s v="Intérêts compensatoires / créances en faveur ctb."/>
    <n v="1.06"/>
    <n v="0"/>
    <n v="3221"/>
  </r>
  <r>
    <x v="0"/>
    <x v="9"/>
    <x v="5"/>
    <x v="241"/>
    <x v="207"/>
    <x v="207"/>
    <s v="CHARGES"/>
    <x v="0"/>
    <s v="3212.004"/>
    <s v="Intérêts rémun./perçu trop tôt sur acomptes C/C"/>
    <n v="0.05"/>
    <n v="0"/>
    <n v="3212"/>
  </r>
  <r>
    <x v="0"/>
    <x v="9"/>
    <x v="5"/>
    <x v="241"/>
    <x v="207"/>
    <x v="207"/>
    <s v="REVENUS"/>
    <x v="2"/>
    <s v="4001.007"/>
    <s v="Acompte impôt sur revenu"/>
    <n v="0"/>
    <n v="-368.6"/>
    <n v="4001"/>
  </r>
  <r>
    <x v="0"/>
    <x v="9"/>
    <x v="5"/>
    <x v="241"/>
    <x v="207"/>
    <x v="207"/>
    <s v="REVENUS"/>
    <x v="2"/>
    <s v="4001.001"/>
    <s v="Impôt revenu"/>
    <n v="0"/>
    <n v="1158912.3500000001"/>
    <n v="4001"/>
  </r>
  <r>
    <x v="0"/>
    <x v="9"/>
    <x v="5"/>
    <x v="241"/>
    <x v="207"/>
    <x v="207"/>
    <s v="REVENUS"/>
    <x v="2"/>
    <s v="4001.007"/>
    <s v="Acompte impôt sur revenu"/>
    <n v="0"/>
    <n v="-52171.78"/>
    <n v="4001"/>
  </r>
  <r>
    <x v="0"/>
    <x v="9"/>
    <x v="5"/>
    <x v="241"/>
    <x v="207"/>
    <x v="207"/>
    <s v="REVENUS"/>
    <x v="6"/>
    <s v="4211.001"/>
    <s v="Intérêts de retard sur factures"/>
    <n v="0"/>
    <n v="4225.87"/>
    <n v="4211"/>
  </r>
  <r>
    <x v="0"/>
    <x v="9"/>
    <x v="5"/>
    <x v="241"/>
    <x v="207"/>
    <x v="207"/>
    <s v="REVENUS"/>
    <x v="6"/>
    <s v="4211.002"/>
    <s v="Intérêts de retard sur acomptes"/>
    <n v="0"/>
    <n v="5699.48"/>
    <n v="4211"/>
  </r>
  <r>
    <x v="0"/>
    <x v="9"/>
    <x v="5"/>
    <x v="241"/>
    <x v="207"/>
    <x v="207"/>
    <s v="REVENUS"/>
    <x v="6"/>
    <s v="4221.003"/>
    <s v="Intérêts compensat. / acomptes en faveur du fisc"/>
    <n v="0"/>
    <n v="232.45"/>
    <n v="4221"/>
  </r>
  <r>
    <x v="0"/>
    <x v="9"/>
    <x v="5"/>
    <x v="241"/>
    <x v="207"/>
    <x v="207"/>
    <s v="REVENUS"/>
    <x v="3"/>
    <s v="4002.001"/>
    <s v="Impôt ordinaire s/fortune PP"/>
    <n v="0"/>
    <n v="152006.04999999999"/>
    <n v="4002"/>
  </r>
  <r>
    <x v="0"/>
    <x v="9"/>
    <x v="5"/>
    <x v="241"/>
    <x v="207"/>
    <x v="207"/>
    <s v="REVENUS"/>
    <x v="3"/>
    <s v="4002.007"/>
    <s v="Acompte impôt sur fortune"/>
    <n v="0"/>
    <n v="-40915.33"/>
    <n v="4002"/>
  </r>
  <r>
    <x v="0"/>
    <x v="9"/>
    <x v="5"/>
    <x v="241"/>
    <x v="207"/>
    <x v="207"/>
    <s v="REVENUS"/>
    <x v="7"/>
    <s v="4184.000"/>
    <s v="Frais de poursuite"/>
    <n v="0"/>
    <n v="1605.07"/>
    <n v="4184"/>
  </r>
  <r>
    <x v="0"/>
    <x v="9"/>
    <x v="5"/>
    <x v="241"/>
    <x v="207"/>
    <x v="207"/>
    <s v="REVENUS"/>
    <x v="3"/>
    <s v="4002.007"/>
    <s v="Acompte impôt sur fortune"/>
    <n v="0"/>
    <n v="-40.549999999999997"/>
    <n v="4002"/>
  </r>
  <r>
    <x v="0"/>
    <x v="9"/>
    <x v="5"/>
    <x v="241"/>
    <x v="207"/>
    <x v="207"/>
    <s v="REVENUS"/>
    <x v="2"/>
    <s v="4001.001"/>
    <s v="Impôt revenu"/>
    <n v="0"/>
    <n v="2513.8000000000002"/>
    <n v="4001"/>
  </r>
  <r>
    <x v="0"/>
    <x v="9"/>
    <x v="5"/>
    <x v="241"/>
    <x v="207"/>
    <x v="207"/>
    <s v="REVENUS"/>
    <x v="3"/>
    <s v="4002.001"/>
    <s v="Impôt ordinaire s/fortune PP"/>
    <n v="0"/>
    <n v="301.64999999999998"/>
    <n v="4002"/>
  </r>
  <r>
    <x v="0"/>
    <x v="9"/>
    <x v="5"/>
    <x v="241"/>
    <x v="207"/>
    <x v="207"/>
    <s v="REVENUS"/>
    <x v="6"/>
    <s v="4211.002"/>
    <s v="Intérêts de retard sur acomptes"/>
    <n v="0"/>
    <n v="34.479999999999997"/>
    <n v="4211"/>
  </r>
  <r>
    <x v="0"/>
    <x v="9"/>
    <x v="5"/>
    <x v="241"/>
    <x v="207"/>
    <x v="207"/>
    <s v="REVENUS"/>
    <x v="3"/>
    <s v="4002.002"/>
    <s v="Impôt complémentaire s/fortune PP"/>
    <n v="0"/>
    <n v="44089.45"/>
    <n v="4002"/>
  </r>
  <r>
    <x v="0"/>
    <x v="9"/>
    <x v="5"/>
    <x v="241"/>
    <x v="207"/>
    <x v="207"/>
    <s v="REVENUS"/>
    <x v="2"/>
    <s v="4001.001"/>
    <s v="Impôt revenu"/>
    <n v="0"/>
    <n v="470.5"/>
    <n v="4001"/>
  </r>
  <r>
    <x v="0"/>
    <x v="9"/>
    <x v="5"/>
    <x v="241"/>
    <x v="207"/>
    <x v="207"/>
    <s v="REVENUS"/>
    <x v="2"/>
    <s v="4001.007"/>
    <s v="Acompte impôt sur revenu"/>
    <n v="0"/>
    <n v="1066.75"/>
    <n v="4001"/>
  </r>
  <r>
    <x v="0"/>
    <x v="9"/>
    <x v="5"/>
    <x v="241"/>
    <x v="207"/>
    <x v="207"/>
    <s v="REVENUS"/>
    <x v="3"/>
    <s v="4002.001"/>
    <s v="Impôt ordinaire s/fortune PP"/>
    <n v="0"/>
    <n v="647.45000000000005"/>
    <n v="4002"/>
  </r>
  <r>
    <x v="0"/>
    <x v="9"/>
    <x v="5"/>
    <x v="241"/>
    <x v="207"/>
    <x v="207"/>
    <s v="REVENUS"/>
    <x v="3"/>
    <s v="4002.007"/>
    <s v="Acompte impôt sur fortune"/>
    <n v="0"/>
    <n v="-130.4"/>
    <n v="4002"/>
  </r>
  <r>
    <x v="0"/>
    <x v="9"/>
    <x v="5"/>
    <x v="241"/>
    <x v="207"/>
    <x v="207"/>
    <s v="REVENUS"/>
    <x v="2"/>
    <s v="4001.003"/>
    <s v="Impôt s/prest. cap. PP"/>
    <n v="0"/>
    <n v="17942.849999999999"/>
    <n v="4001"/>
  </r>
  <r>
    <x v="0"/>
    <x v="9"/>
    <x v="5"/>
    <x v="241"/>
    <x v="207"/>
    <x v="207"/>
    <s v="REVENUS"/>
    <x v="3"/>
    <s v="4002.007"/>
    <s v="Acompte impôt sur fortune"/>
    <n v="0"/>
    <n v="-100.15"/>
    <n v="4002"/>
  </r>
  <r>
    <x v="0"/>
    <x v="9"/>
    <x v="5"/>
    <x v="241"/>
    <x v="207"/>
    <x v="207"/>
    <s v="REVENUS"/>
    <x v="2"/>
    <s v="4001.007"/>
    <s v="Acompte impôt sur revenu"/>
    <n v="0"/>
    <n v="-7.05"/>
    <n v="4001"/>
  </r>
  <r>
    <x v="0"/>
    <x v="9"/>
    <x v="5"/>
    <x v="241"/>
    <x v="207"/>
    <x v="207"/>
    <s v="REVENUS"/>
    <x v="2"/>
    <s v="4001.002"/>
    <s v="Impôt complément s/revenu PP"/>
    <n v="0"/>
    <n v="185123.1"/>
    <n v="4001"/>
  </r>
  <r>
    <x v="0"/>
    <x v="9"/>
    <x v="5"/>
    <x v="241"/>
    <x v="207"/>
    <x v="207"/>
    <s v="REVENUS"/>
    <x v="3"/>
    <s v="4002.007"/>
    <s v="Acompte impôt sur fortune"/>
    <n v="0"/>
    <n v="173.79"/>
    <n v="4002"/>
  </r>
  <r>
    <x v="0"/>
    <x v="9"/>
    <x v="5"/>
    <x v="241"/>
    <x v="207"/>
    <x v="207"/>
    <s v="REVENUS"/>
    <x v="3"/>
    <s v="4002.007"/>
    <s v="Acompte impôt sur fortune"/>
    <n v="0"/>
    <n v="6.45"/>
    <n v="4002"/>
  </r>
  <r>
    <x v="0"/>
    <x v="9"/>
    <x v="5"/>
    <x v="241"/>
    <x v="207"/>
    <x v="207"/>
    <s v="REVENUS"/>
    <x v="2"/>
    <s v="4001.007"/>
    <s v="Acompte impôt sur revenu"/>
    <n v="0"/>
    <n v="4101.07"/>
    <n v="4001"/>
  </r>
  <r>
    <x v="0"/>
    <x v="9"/>
    <x v="5"/>
    <x v="241"/>
    <x v="207"/>
    <x v="207"/>
    <s v="REVENUS"/>
    <x v="2"/>
    <s v="4001.001"/>
    <s v="Impôt revenu"/>
    <n v="0"/>
    <n v="142.65"/>
    <n v="4001"/>
  </r>
  <r>
    <x v="0"/>
    <x v="9"/>
    <x v="5"/>
    <x v="241"/>
    <x v="207"/>
    <x v="207"/>
    <s v="REVENUS"/>
    <x v="2"/>
    <s v="4001.007"/>
    <s v="Acompte impôt sur revenu"/>
    <n v="0"/>
    <n v="-4.0999999999999996"/>
    <n v="4001"/>
  </r>
  <r>
    <x v="0"/>
    <x v="9"/>
    <x v="5"/>
    <x v="241"/>
    <x v="207"/>
    <x v="207"/>
    <s v="REVENUS"/>
    <x v="3"/>
    <s v="4002.001"/>
    <s v="Impôt ordinaire s/fortune PP"/>
    <n v="0"/>
    <n v="188.55"/>
    <n v="4002"/>
  </r>
  <r>
    <x v="0"/>
    <x v="9"/>
    <x v="5"/>
    <x v="241"/>
    <x v="207"/>
    <x v="207"/>
    <s v="REVENUS"/>
    <x v="3"/>
    <s v="4002.007"/>
    <s v="Acompte impôt sur fortune"/>
    <n v="0"/>
    <n v="-31.69"/>
    <n v="4002"/>
  </r>
  <r>
    <x v="0"/>
    <x v="9"/>
    <x v="5"/>
    <x v="241"/>
    <x v="207"/>
    <x v="207"/>
    <s v="REVENUS"/>
    <x v="2"/>
    <s v="4001.001"/>
    <s v="Impôt revenu"/>
    <n v="0"/>
    <n v="-102682.1"/>
    <n v="4001"/>
  </r>
  <r>
    <x v="0"/>
    <x v="9"/>
    <x v="5"/>
    <x v="241"/>
    <x v="207"/>
    <x v="207"/>
    <s v="REVENUS"/>
    <x v="3"/>
    <s v="4002.001"/>
    <s v="Impôt ordinaire s/fortune PP"/>
    <n v="0"/>
    <n v="-18009.900000000001"/>
    <n v="4002"/>
  </r>
  <r>
    <x v="0"/>
    <x v="9"/>
    <x v="5"/>
    <x v="241"/>
    <x v="207"/>
    <x v="207"/>
    <s v="REVENUS"/>
    <x v="6"/>
    <s v="4221.003"/>
    <s v="Intérêts compensat. / acomptes en faveur du fisc"/>
    <n v="0"/>
    <n v="7.0000000000000007E-2"/>
    <n v="4221"/>
  </r>
  <r>
    <x v="0"/>
    <x v="9"/>
    <x v="5"/>
    <x v="241"/>
    <x v="207"/>
    <x v="207"/>
    <s v="REVENUS"/>
    <x v="2"/>
    <s v="4001.007"/>
    <s v="Acompte impôt sur revenu"/>
    <n v="0"/>
    <n v="78.55"/>
    <n v="4001"/>
  </r>
  <r>
    <x v="0"/>
    <x v="9"/>
    <x v="5"/>
    <x v="241"/>
    <x v="207"/>
    <x v="207"/>
    <s v="REVENUS"/>
    <x v="9"/>
    <s v="4031.001"/>
    <s v="Impôt sur les gains immobiliers"/>
    <n v="0"/>
    <n v="13143.1"/>
    <n v="4031"/>
  </r>
  <r>
    <x v="0"/>
    <x v="9"/>
    <x v="5"/>
    <x v="241"/>
    <x v="207"/>
    <x v="207"/>
    <s v="REVENUS"/>
    <x v="5"/>
    <s v="4061.000"/>
    <s v="Impôt sur les chiens"/>
    <n v="0"/>
    <n v="3360"/>
    <n v="4061"/>
  </r>
  <r>
    <x v="0"/>
    <x v="9"/>
    <x v="5"/>
    <x v="241"/>
    <x v="207"/>
    <x v="207"/>
    <s v="REVENUS"/>
    <x v="6"/>
    <s v="4221.003"/>
    <s v="Intérêts compensat. / acomptes en faveur du fisc"/>
    <n v="0"/>
    <n v="0.49"/>
    <n v="4221"/>
  </r>
  <r>
    <x v="0"/>
    <x v="9"/>
    <x v="5"/>
    <x v="241"/>
    <x v="207"/>
    <x v="207"/>
    <s v="REVENUS"/>
    <x v="2"/>
    <s v="4001.007"/>
    <s v="Acompte impôt sur revenu"/>
    <n v="0"/>
    <n v="-563.29999999999995"/>
    <n v="4001"/>
  </r>
  <r>
    <x v="0"/>
    <x v="9"/>
    <x v="5"/>
    <x v="241"/>
    <x v="207"/>
    <x v="207"/>
    <s v="REVENUS"/>
    <x v="3"/>
    <s v="4002.007"/>
    <s v="Acompte impôt sur fortune"/>
    <n v="0"/>
    <n v="-125.8"/>
    <n v="4002"/>
  </r>
  <r>
    <x v="0"/>
    <x v="9"/>
    <x v="5"/>
    <x v="241"/>
    <x v="207"/>
    <x v="207"/>
    <s v="REVENUS"/>
    <x v="2"/>
    <s v="4001.001"/>
    <s v="Impôt revenu"/>
    <n v="0"/>
    <n v="2578.8000000000002"/>
    <n v="4001"/>
  </r>
  <r>
    <x v="0"/>
    <x v="9"/>
    <x v="5"/>
    <x v="241"/>
    <x v="207"/>
    <x v="207"/>
    <s v="REVENUS"/>
    <x v="3"/>
    <s v="4002.001"/>
    <s v="Impôt ordinaire s/fortune PP"/>
    <n v="0"/>
    <n v="304.3"/>
    <n v="4002"/>
  </r>
  <r>
    <x v="0"/>
    <x v="9"/>
    <x v="5"/>
    <x v="241"/>
    <x v="207"/>
    <x v="207"/>
    <s v="REVENUS"/>
    <x v="6"/>
    <s v="4211.002"/>
    <s v="Intérêts de retard sur acomptes"/>
    <n v="0"/>
    <n v="0.57999999999999996"/>
    <n v="4211"/>
  </r>
  <r>
    <x v="0"/>
    <x v="9"/>
    <x v="5"/>
    <x v="241"/>
    <x v="207"/>
    <x v="207"/>
    <s v="REVENUS"/>
    <x v="2"/>
    <s v="4001.002"/>
    <s v="Impôt complément s/revenu PP"/>
    <n v="0"/>
    <n v="-1403.3"/>
    <n v="4001"/>
  </r>
  <r>
    <x v="0"/>
    <x v="9"/>
    <x v="5"/>
    <x v="241"/>
    <x v="207"/>
    <x v="207"/>
    <s v="REVENUS"/>
    <x v="3"/>
    <s v="4002.002"/>
    <s v="Impôt complémentaire s/fortune PP"/>
    <n v="0"/>
    <n v="-307.35000000000002"/>
    <n v="4002"/>
  </r>
  <r>
    <x v="0"/>
    <x v="9"/>
    <x v="5"/>
    <x v="241"/>
    <x v="207"/>
    <x v="207"/>
    <s v="REVENUS"/>
    <x v="6"/>
    <s v="4211.002"/>
    <s v="Intérêts de retard sur acomptes"/>
    <n v="0"/>
    <n v="0.01"/>
    <n v="4211"/>
  </r>
  <r>
    <x v="0"/>
    <x v="9"/>
    <x v="5"/>
    <x v="241"/>
    <x v="207"/>
    <x v="207"/>
    <s v="REVENUS"/>
    <x v="2"/>
    <s v="4001.001"/>
    <s v="Impôt revenu"/>
    <n v="0"/>
    <n v="222.2"/>
    <n v="4001"/>
  </r>
  <r>
    <x v="0"/>
    <x v="9"/>
    <x v="5"/>
    <x v="241"/>
    <x v="207"/>
    <x v="207"/>
    <s v="REVENUS"/>
    <x v="3"/>
    <s v="4002.001"/>
    <s v="Impôt ordinaire s/fortune PP"/>
    <n v="0"/>
    <n v="89.6"/>
    <n v="4002"/>
  </r>
  <r>
    <x v="0"/>
    <x v="9"/>
    <x v="5"/>
    <x v="241"/>
    <x v="207"/>
    <x v="207"/>
    <s v="REVENUS"/>
    <x v="2"/>
    <s v="4001.002"/>
    <s v="Impôt complément s/revenu PP"/>
    <n v="0"/>
    <n v="2576.1"/>
    <n v="4001"/>
  </r>
  <r>
    <x v="0"/>
    <x v="9"/>
    <x v="5"/>
    <x v="241"/>
    <x v="207"/>
    <x v="207"/>
    <s v="REVENUS"/>
    <x v="3"/>
    <s v="4002.002"/>
    <s v="Impôt complémentaire s/fortune PP"/>
    <n v="0"/>
    <n v="158.35"/>
    <n v="4002"/>
  </r>
  <r>
    <x v="0"/>
    <x v="9"/>
    <x v="5"/>
    <x v="241"/>
    <x v="207"/>
    <x v="207"/>
    <s v="REVENUS"/>
    <x v="2"/>
    <s v="4001.007"/>
    <s v="Acompte impôt sur revenu"/>
    <n v="0"/>
    <n v="-4373.7"/>
    <n v="4001"/>
  </r>
  <r>
    <x v="0"/>
    <x v="9"/>
    <x v="5"/>
    <x v="241"/>
    <x v="207"/>
    <x v="207"/>
    <s v="REVENUS"/>
    <x v="3"/>
    <s v="4002.007"/>
    <s v="Acompte impôt sur fortune"/>
    <n v="0"/>
    <n v="-444.15"/>
    <n v="4002"/>
  </r>
  <r>
    <x v="0"/>
    <x v="9"/>
    <x v="5"/>
    <x v="241"/>
    <x v="207"/>
    <x v="207"/>
    <s v="REVENUS"/>
    <x v="10"/>
    <s v="4041.001"/>
    <s v="Droits de mutation"/>
    <n v="0"/>
    <n v="23462.95"/>
    <n v="4041"/>
  </r>
  <r>
    <x v="0"/>
    <x v="9"/>
    <x v="5"/>
    <x v="241"/>
    <x v="207"/>
    <x v="207"/>
    <s v="REVENUS"/>
    <x v="2"/>
    <s v="4001.002"/>
    <s v="Impôt complément s/revenu PP"/>
    <n v="0"/>
    <n v="394.2"/>
    <n v="4001"/>
  </r>
  <r>
    <x v="0"/>
    <x v="9"/>
    <x v="5"/>
    <x v="241"/>
    <x v="207"/>
    <x v="207"/>
    <s v="REVENUS"/>
    <x v="3"/>
    <s v="4002.002"/>
    <s v="Impôt complémentaire s/fortune PP"/>
    <n v="0"/>
    <n v="102.25"/>
    <n v="4002"/>
  </r>
  <r>
    <x v="0"/>
    <x v="9"/>
    <x v="5"/>
    <x v="241"/>
    <x v="207"/>
    <x v="207"/>
    <s v="REVENUS"/>
    <x v="6"/>
    <s v="4211.001"/>
    <s v="Intérêts de retard sur factures"/>
    <n v="0"/>
    <n v="0.04"/>
    <n v="4211"/>
  </r>
  <r>
    <x v="0"/>
    <x v="9"/>
    <x v="5"/>
    <x v="241"/>
    <x v="207"/>
    <x v="207"/>
    <s v="REVENUS"/>
    <x v="6"/>
    <s v="4221.003"/>
    <s v="Intérêts compensat. / acomptes en faveur du fisc"/>
    <n v="0"/>
    <n v="0.01"/>
    <n v="4221"/>
  </r>
  <r>
    <x v="0"/>
    <x v="9"/>
    <x v="5"/>
    <x v="241"/>
    <x v="207"/>
    <x v="207"/>
    <s v="REVENUS"/>
    <x v="6"/>
    <s v="4221.002"/>
    <s v="Intérêts compensat. sur impôts distincts"/>
    <n v="0"/>
    <n v="3"/>
    <n v="4221"/>
  </r>
  <r>
    <x v="0"/>
    <x v="9"/>
    <x v="5"/>
    <x v="241"/>
    <x v="207"/>
    <x v="207"/>
    <s v="REVENUS"/>
    <x v="6"/>
    <s v="4211.001"/>
    <s v="Intérêts de retard sur factures"/>
    <n v="0"/>
    <n v="1.3"/>
    <n v="4211"/>
  </r>
  <r>
    <x v="0"/>
    <x v="9"/>
    <x v="5"/>
    <x v="241"/>
    <x v="207"/>
    <x v="207"/>
    <s v="REVENUS"/>
    <x v="4"/>
    <s v="4051.001"/>
    <s v="Impôt sur les successions"/>
    <n v="0"/>
    <n v="-33.799999999999997"/>
    <n v="4051"/>
  </r>
  <r>
    <x v="0"/>
    <x v="9"/>
    <x v="5"/>
    <x v="241"/>
    <x v="207"/>
    <x v="207"/>
    <s v="REVENUS"/>
    <x v="6"/>
    <s v="4211.001"/>
    <s v="Intérêts de retard sur factures"/>
    <n v="0"/>
    <n v="-0.03"/>
    <n v="4211"/>
  </r>
  <r>
    <x v="0"/>
    <x v="9"/>
    <x v="5"/>
    <x v="241"/>
    <x v="207"/>
    <x v="207"/>
    <s v="REVENUS"/>
    <x v="6"/>
    <s v="4221.003"/>
    <s v="Intérêts compensat. / acomptes en faveur du fisc"/>
    <n v="0"/>
    <n v="-0.01"/>
    <n v="4221"/>
  </r>
  <r>
    <x v="0"/>
    <x v="9"/>
    <x v="5"/>
    <x v="241"/>
    <x v="207"/>
    <x v="207"/>
    <s v="REVENUS"/>
    <x v="11"/>
    <s v="4198.000"/>
    <s v="Contributions communales"/>
    <n v="0"/>
    <n v="66719.5"/>
    <n v="4198"/>
  </r>
  <r>
    <x v="0"/>
    <x v="9"/>
    <x v="5"/>
    <x v="242"/>
    <x v="208"/>
    <x v="208"/>
    <s v="CHARGES"/>
    <x v="1"/>
    <s v="3301.001"/>
    <s v="Défalcations, abandons de solde PP et IS"/>
    <n v="0.03"/>
    <n v="0"/>
    <n v="3301"/>
  </r>
  <r>
    <x v="0"/>
    <x v="9"/>
    <x v="5"/>
    <x v="242"/>
    <x v="208"/>
    <x v="208"/>
    <s v="CHARGES"/>
    <x v="0"/>
    <s v="3212.002"/>
    <s v="Intérêts bonifiés/trop perçu acompte C/C"/>
    <n v="2.27"/>
    <n v="0"/>
    <n v="3212"/>
  </r>
  <r>
    <x v="0"/>
    <x v="9"/>
    <x v="5"/>
    <x v="242"/>
    <x v="208"/>
    <x v="208"/>
    <s v="CHARGES"/>
    <x v="0"/>
    <s v="3212.004"/>
    <s v="Intérêts rémun./perçu trop tôt sur acomptes C/C"/>
    <n v="367.42"/>
    <n v="0"/>
    <n v="3212"/>
  </r>
  <r>
    <x v="0"/>
    <x v="9"/>
    <x v="5"/>
    <x v="242"/>
    <x v="208"/>
    <x v="208"/>
    <s v="CHARGES"/>
    <x v="0"/>
    <s v="3221.002"/>
    <s v="Intérêts compensatoires / créances en faveur ctb."/>
    <n v="183.83"/>
    <n v="0"/>
    <n v="3221"/>
  </r>
  <r>
    <x v="0"/>
    <x v="9"/>
    <x v="5"/>
    <x v="242"/>
    <x v="208"/>
    <x v="208"/>
    <s v="CHARGES"/>
    <x v="1"/>
    <s v="3301.001"/>
    <s v="Défalcations, abandons de solde PP et IS"/>
    <n v="55900.72"/>
    <n v="0"/>
    <n v="3301"/>
  </r>
  <r>
    <x v="0"/>
    <x v="9"/>
    <x v="5"/>
    <x v="242"/>
    <x v="208"/>
    <x v="208"/>
    <s v="CHARGES"/>
    <x v="0"/>
    <s v="3212.004"/>
    <s v="Intérêts rémun./perçu trop tôt sur acomptes C/C"/>
    <n v="0.03"/>
    <n v="0"/>
    <n v="3212"/>
  </r>
  <r>
    <x v="0"/>
    <x v="9"/>
    <x v="5"/>
    <x v="242"/>
    <x v="208"/>
    <x v="208"/>
    <s v="CHARGES"/>
    <x v="1"/>
    <s v="3301.001"/>
    <s v="Défalcations, abandons de solde PP et IS"/>
    <n v="0.03"/>
    <n v="0"/>
    <n v="3301"/>
  </r>
  <r>
    <x v="0"/>
    <x v="9"/>
    <x v="5"/>
    <x v="242"/>
    <x v="208"/>
    <x v="208"/>
    <s v="CHARGES"/>
    <x v="0"/>
    <s v="3212.002"/>
    <s v="Intérêts bonifiés/trop perçu acompte C/C"/>
    <n v="0.01"/>
    <n v="0"/>
    <n v="3212"/>
  </r>
  <r>
    <x v="0"/>
    <x v="9"/>
    <x v="5"/>
    <x v="242"/>
    <x v="208"/>
    <x v="208"/>
    <s v="CHARGES"/>
    <x v="0"/>
    <s v="3212.004"/>
    <s v="Intérêts rémun./perçu trop tôt sur acomptes C/C"/>
    <n v="9.77"/>
    <n v="0"/>
    <n v="3212"/>
  </r>
  <r>
    <x v="0"/>
    <x v="9"/>
    <x v="5"/>
    <x v="242"/>
    <x v="208"/>
    <x v="208"/>
    <s v="CHARGES"/>
    <x v="0"/>
    <s v="3221.002"/>
    <s v="Intérêts compensatoires / créances en faveur ctb."/>
    <n v="5.62"/>
    <n v="0"/>
    <n v="3221"/>
  </r>
  <r>
    <x v="0"/>
    <x v="9"/>
    <x v="5"/>
    <x v="242"/>
    <x v="208"/>
    <x v="208"/>
    <s v="CHARGES"/>
    <x v="1"/>
    <s v="3301.001"/>
    <s v="Défalcations, abandons de solde PP et IS"/>
    <n v="-1.41"/>
    <n v="0"/>
    <n v="3301"/>
  </r>
  <r>
    <x v="0"/>
    <x v="9"/>
    <x v="5"/>
    <x v="242"/>
    <x v="208"/>
    <x v="208"/>
    <s v="CHARGES"/>
    <x v="0"/>
    <s v="3212.002"/>
    <s v="Intérêts bonifiés/trop perçu acompte C/C"/>
    <n v="0.11"/>
    <n v="0"/>
    <n v="3212"/>
  </r>
  <r>
    <x v="0"/>
    <x v="9"/>
    <x v="5"/>
    <x v="242"/>
    <x v="208"/>
    <x v="208"/>
    <s v="CHARGES"/>
    <x v="0"/>
    <s v="3212.004"/>
    <s v="Intérêts rémun./perçu trop tôt sur acomptes C/C"/>
    <n v="2.91"/>
    <n v="0"/>
    <n v="3212"/>
  </r>
  <r>
    <x v="0"/>
    <x v="9"/>
    <x v="5"/>
    <x v="242"/>
    <x v="208"/>
    <x v="208"/>
    <s v="CHARGES"/>
    <x v="0"/>
    <s v="3221.002"/>
    <s v="Intérêts compensatoires / créances en faveur ctb."/>
    <n v="0.97"/>
    <n v="0"/>
    <n v="3221"/>
  </r>
  <r>
    <x v="0"/>
    <x v="9"/>
    <x v="5"/>
    <x v="242"/>
    <x v="208"/>
    <x v="208"/>
    <s v="CHARGES"/>
    <x v="1"/>
    <s v="3301.001"/>
    <s v="Défalcations, abandons de solde PP et IS"/>
    <n v="0.26"/>
    <n v="0"/>
    <n v="3301"/>
  </r>
  <r>
    <x v="0"/>
    <x v="9"/>
    <x v="5"/>
    <x v="242"/>
    <x v="208"/>
    <x v="208"/>
    <s v="CHARGES"/>
    <x v="0"/>
    <s v="3212.004"/>
    <s v="Intérêts rémun./perçu trop tôt sur acomptes C/C"/>
    <n v="2.86"/>
    <n v="0"/>
    <n v="3212"/>
  </r>
  <r>
    <x v="0"/>
    <x v="9"/>
    <x v="5"/>
    <x v="242"/>
    <x v="208"/>
    <x v="208"/>
    <s v="CHARGES"/>
    <x v="0"/>
    <s v="3221.002"/>
    <s v="Intérêts compensatoires / créances en faveur ctb."/>
    <n v="0.6"/>
    <n v="0"/>
    <n v="3221"/>
  </r>
  <r>
    <x v="0"/>
    <x v="9"/>
    <x v="5"/>
    <x v="242"/>
    <x v="208"/>
    <x v="208"/>
    <s v="CHARGES"/>
    <x v="1"/>
    <s v="3301.001"/>
    <s v="Défalcations, abandons de solde PP et IS"/>
    <n v="0.06"/>
    <n v="0"/>
    <n v="3301"/>
  </r>
  <r>
    <x v="0"/>
    <x v="9"/>
    <x v="5"/>
    <x v="242"/>
    <x v="208"/>
    <x v="208"/>
    <s v="CHARGES"/>
    <x v="1"/>
    <s v="3301.001"/>
    <s v="Défalcations, abandons de solde PP et IS"/>
    <n v="985.79"/>
    <n v="0"/>
    <n v="3301"/>
  </r>
  <r>
    <x v="0"/>
    <x v="9"/>
    <x v="5"/>
    <x v="242"/>
    <x v="208"/>
    <x v="208"/>
    <s v="CHARGES"/>
    <x v="0"/>
    <s v="3221.002"/>
    <s v="Intérêts compensatoires / créances en faveur ctb."/>
    <n v="-0.01"/>
    <n v="0"/>
    <n v="3221"/>
  </r>
  <r>
    <x v="0"/>
    <x v="9"/>
    <x v="5"/>
    <x v="242"/>
    <x v="208"/>
    <x v="208"/>
    <s v="CHARGES"/>
    <x v="0"/>
    <s v="3212.004"/>
    <s v="Intérêts rémun./perçu trop tôt sur acomptes C/C"/>
    <n v="0.02"/>
    <n v="0"/>
    <n v="3212"/>
  </r>
  <r>
    <x v="0"/>
    <x v="9"/>
    <x v="5"/>
    <x v="242"/>
    <x v="208"/>
    <x v="208"/>
    <s v="CHARGES"/>
    <x v="0"/>
    <s v="3212.004"/>
    <s v="Intérêts rémun./perçu trop tôt sur acomptes C/C"/>
    <n v="0.04"/>
    <n v="0"/>
    <n v="3212"/>
  </r>
  <r>
    <x v="0"/>
    <x v="9"/>
    <x v="5"/>
    <x v="242"/>
    <x v="208"/>
    <x v="208"/>
    <s v="CHARGES"/>
    <x v="0"/>
    <s v="3221.002"/>
    <s v="Intérêts compensatoires / créances en faveur ctb."/>
    <n v="0.11"/>
    <n v="0"/>
    <n v="3221"/>
  </r>
  <r>
    <x v="0"/>
    <x v="9"/>
    <x v="5"/>
    <x v="242"/>
    <x v="208"/>
    <x v="208"/>
    <s v="CHARGES"/>
    <x v="0"/>
    <s v="3221.002"/>
    <s v="Intérêts compensatoires / créances en faveur ctb."/>
    <n v="0.05"/>
    <n v="0"/>
    <n v="3221"/>
  </r>
  <r>
    <x v="0"/>
    <x v="9"/>
    <x v="5"/>
    <x v="242"/>
    <x v="208"/>
    <x v="208"/>
    <s v="REVENUS"/>
    <x v="6"/>
    <s v="4211.001"/>
    <s v="Intérêts de retard sur factures"/>
    <n v="0"/>
    <n v="0.01"/>
    <n v="4211"/>
  </r>
  <r>
    <x v="0"/>
    <x v="9"/>
    <x v="5"/>
    <x v="242"/>
    <x v="208"/>
    <x v="208"/>
    <s v="REVENUS"/>
    <x v="2"/>
    <s v="4001.001"/>
    <s v="Impôt revenu"/>
    <n v="0"/>
    <n v="1341056.2"/>
    <n v="4001"/>
  </r>
  <r>
    <x v="0"/>
    <x v="9"/>
    <x v="5"/>
    <x v="242"/>
    <x v="208"/>
    <x v="208"/>
    <s v="REVENUS"/>
    <x v="2"/>
    <s v="4001.007"/>
    <s v="Acompte impôt sur revenu"/>
    <n v="0"/>
    <n v="-207636.87"/>
    <n v="4001"/>
  </r>
  <r>
    <x v="0"/>
    <x v="9"/>
    <x v="5"/>
    <x v="242"/>
    <x v="208"/>
    <x v="208"/>
    <s v="REVENUS"/>
    <x v="3"/>
    <s v="4002.001"/>
    <s v="Impôt ordinaire s/fortune PP"/>
    <n v="0"/>
    <n v="183210.8"/>
    <n v="4002"/>
  </r>
  <r>
    <x v="0"/>
    <x v="9"/>
    <x v="5"/>
    <x v="242"/>
    <x v="208"/>
    <x v="208"/>
    <s v="REVENUS"/>
    <x v="3"/>
    <s v="4002.007"/>
    <s v="Acompte impôt sur fortune"/>
    <n v="0"/>
    <n v="-71595.05"/>
    <n v="4002"/>
  </r>
  <r>
    <x v="0"/>
    <x v="9"/>
    <x v="5"/>
    <x v="242"/>
    <x v="208"/>
    <x v="208"/>
    <s v="REVENUS"/>
    <x v="6"/>
    <s v="4211.001"/>
    <s v="Intérêts de retard sur factures"/>
    <n v="0"/>
    <n v="8309.4"/>
    <n v="4211"/>
  </r>
  <r>
    <x v="0"/>
    <x v="9"/>
    <x v="5"/>
    <x v="242"/>
    <x v="208"/>
    <x v="208"/>
    <s v="REVENUS"/>
    <x v="7"/>
    <s v="4184.000"/>
    <s v="Frais de poursuite"/>
    <n v="0"/>
    <n v="3356.14"/>
    <n v="4184"/>
  </r>
  <r>
    <x v="0"/>
    <x v="9"/>
    <x v="5"/>
    <x v="242"/>
    <x v="208"/>
    <x v="208"/>
    <s v="REVENUS"/>
    <x v="6"/>
    <s v="4211.002"/>
    <s v="Intérêts de retard sur acomptes"/>
    <n v="0"/>
    <n v="10562.38"/>
    <n v="4211"/>
  </r>
  <r>
    <x v="0"/>
    <x v="9"/>
    <x v="5"/>
    <x v="242"/>
    <x v="208"/>
    <x v="208"/>
    <s v="REVENUS"/>
    <x v="6"/>
    <s v="4221.003"/>
    <s v="Intérêts compensat. / acomptes en faveur du fisc"/>
    <n v="0"/>
    <n v="209.23"/>
    <n v="4221"/>
  </r>
  <r>
    <x v="0"/>
    <x v="9"/>
    <x v="5"/>
    <x v="242"/>
    <x v="208"/>
    <x v="208"/>
    <s v="REVENUS"/>
    <x v="10"/>
    <s v="4041.001"/>
    <s v="Droits de mutation"/>
    <n v="0"/>
    <n v="61122.65"/>
    <n v="4041"/>
  </r>
  <r>
    <x v="0"/>
    <x v="9"/>
    <x v="5"/>
    <x v="242"/>
    <x v="208"/>
    <x v="208"/>
    <s v="REVENUS"/>
    <x v="2"/>
    <s v="4001.001"/>
    <s v="Impôt revenu"/>
    <n v="0"/>
    <n v="-2568.35"/>
    <n v="4001"/>
  </r>
  <r>
    <x v="0"/>
    <x v="9"/>
    <x v="5"/>
    <x v="242"/>
    <x v="208"/>
    <x v="208"/>
    <s v="REVENUS"/>
    <x v="3"/>
    <s v="4002.002"/>
    <s v="Impôt complémentaire s/fortune PP"/>
    <n v="0"/>
    <n v="-27.3"/>
    <n v="4002"/>
  </r>
  <r>
    <x v="0"/>
    <x v="9"/>
    <x v="5"/>
    <x v="242"/>
    <x v="208"/>
    <x v="208"/>
    <s v="REVENUS"/>
    <x v="6"/>
    <s v="4211.001"/>
    <s v="Intérêts de retard sur factures"/>
    <n v="0"/>
    <n v="0.02"/>
    <n v="4211"/>
  </r>
  <r>
    <x v="0"/>
    <x v="9"/>
    <x v="5"/>
    <x v="242"/>
    <x v="208"/>
    <x v="208"/>
    <s v="REVENUS"/>
    <x v="6"/>
    <s v="4211.002"/>
    <s v="Intérêts de retard sur acomptes"/>
    <n v="0"/>
    <n v="0.14000000000000001"/>
    <n v="4211"/>
  </r>
  <r>
    <x v="0"/>
    <x v="9"/>
    <x v="5"/>
    <x v="242"/>
    <x v="208"/>
    <x v="208"/>
    <s v="REVENUS"/>
    <x v="6"/>
    <s v="4221.003"/>
    <s v="Intérêts compensat. / acomptes en faveur du fisc"/>
    <n v="0"/>
    <n v="0.01"/>
    <n v="4221"/>
  </r>
  <r>
    <x v="0"/>
    <x v="9"/>
    <x v="5"/>
    <x v="242"/>
    <x v="208"/>
    <x v="208"/>
    <s v="REVENUS"/>
    <x v="2"/>
    <s v="4001.002"/>
    <s v="Impôt complément s/revenu PP"/>
    <n v="0"/>
    <n v="214444.1"/>
    <n v="4001"/>
  </r>
  <r>
    <x v="0"/>
    <x v="9"/>
    <x v="5"/>
    <x v="242"/>
    <x v="208"/>
    <x v="208"/>
    <s v="REVENUS"/>
    <x v="4"/>
    <s v="4051.001"/>
    <s v="Impôt sur les successions"/>
    <n v="0"/>
    <n v="38898.199999999997"/>
    <n v="4051"/>
  </r>
  <r>
    <x v="0"/>
    <x v="9"/>
    <x v="5"/>
    <x v="242"/>
    <x v="208"/>
    <x v="208"/>
    <s v="REVENUS"/>
    <x v="2"/>
    <s v="4001.002"/>
    <s v="Impôt complément s/revenu PP"/>
    <n v="0"/>
    <n v="2731.7"/>
    <n v="4001"/>
  </r>
  <r>
    <x v="0"/>
    <x v="9"/>
    <x v="5"/>
    <x v="242"/>
    <x v="208"/>
    <x v="208"/>
    <s v="REVENUS"/>
    <x v="3"/>
    <s v="4002.002"/>
    <s v="Impôt complémentaire s/fortune PP"/>
    <n v="0"/>
    <n v="232.45"/>
    <n v="4002"/>
  </r>
  <r>
    <x v="0"/>
    <x v="9"/>
    <x v="5"/>
    <x v="242"/>
    <x v="208"/>
    <x v="208"/>
    <s v="REVENUS"/>
    <x v="6"/>
    <s v="4211.001"/>
    <s v="Intérêts de retard sur factures"/>
    <n v="0"/>
    <n v="142.30000000000001"/>
    <n v="4211"/>
  </r>
  <r>
    <x v="0"/>
    <x v="9"/>
    <x v="5"/>
    <x v="242"/>
    <x v="208"/>
    <x v="208"/>
    <s v="REVENUS"/>
    <x v="6"/>
    <s v="4221.003"/>
    <s v="Intérêts compensat. / acomptes en faveur du fisc"/>
    <n v="0"/>
    <n v="0.15"/>
    <n v="4221"/>
  </r>
  <r>
    <x v="0"/>
    <x v="9"/>
    <x v="5"/>
    <x v="242"/>
    <x v="208"/>
    <x v="208"/>
    <s v="REVENUS"/>
    <x v="3"/>
    <s v="4002.002"/>
    <s v="Impôt complémentaire s/fortune PP"/>
    <n v="0"/>
    <n v="29302.400000000001"/>
    <n v="4002"/>
  </r>
  <r>
    <x v="0"/>
    <x v="9"/>
    <x v="5"/>
    <x v="242"/>
    <x v="208"/>
    <x v="208"/>
    <s v="REVENUS"/>
    <x v="2"/>
    <s v="4001.003"/>
    <s v="Impôt s/prest. cap. PP"/>
    <n v="0"/>
    <n v="46453.45"/>
    <n v="4001"/>
  </r>
  <r>
    <x v="0"/>
    <x v="9"/>
    <x v="5"/>
    <x v="242"/>
    <x v="208"/>
    <x v="208"/>
    <s v="REVENUS"/>
    <x v="2"/>
    <s v="4001.007"/>
    <s v="Acompte impôt sur revenu"/>
    <n v="0"/>
    <n v="-1106.6600000000001"/>
    <n v="4001"/>
  </r>
  <r>
    <x v="0"/>
    <x v="9"/>
    <x v="5"/>
    <x v="242"/>
    <x v="208"/>
    <x v="208"/>
    <s v="REVENUS"/>
    <x v="3"/>
    <s v="4002.007"/>
    <s v="Acompte impôt sur fortune"/>
    <n v="0"/>
    <n v="-1004.79"/>
    <n v="4002"/>
  </r>
  <r>
    <x v="0"/>
    <x v="9"/>
    <x v="5"/>
    <x v="242"/>
    <x v="208"/>
    <x v="208"/>
    <s v="REVENUS"/>
    <x v="7"/>
    <s v="4184.000"/>
    <s v="Frais de poursuite"/>
    <n v="0"/>
    <n v="-144.57"/>
    <n v="4184"/>
  </r>
  <r>
    <x v="0"/>
    <x v="9"/>
    <x v="5"/>
    <x v="242"/>
    <x v="208"/>
    <x v="208"/>
    <s v="REVENUS"/>
    <x v="2"/>
    <s v="4001.007"/>
    <s v="Acompte impôt sur revenu"/>
    <n v="0"/>
    <n v="706.95"/>
    <n v="4001"/>
  </r>
  <r>
    <x v="0"/>
    <x v="9"/>
    <x v="5"/>
    <x v="242"/>
    <x v="208"/>
    <x v="208"/>
    <s v="REVENUS"/>
    <x v="3"/>
    <s v="4002.007"/>
    <s v="Acompte impôt sur fortune"/>
    <n v="0"/>
    <n v="531.25"/>
    <n v="4002"/>
  </r>
  <r>
    <x v="0"/>
    <x v="9"/>
    <x v="5"/>
    <x v="242"/>
    <x v="208"/>
    <x v="208"/>
    <s v="REVENUS"/>
    <x v="3"/>
    <s v="4002.007"/>
    <s v="Acompte impôt sur fortune"/>
    <n v="0"/>
    <n v="2230.29"/>
    <n v="4002"/>
  </r>
  <r>
    <x v="0"/>
    <x v="9"/>
    <x v="5"/>
    <x v="242"/>
    <x v="208"/>
    <x v="208"/>
    <s v="REVENUS"/>
    <x v="2"/>
    <s v="4001.007"/>
    <s v="Acompte impôt sur revenu"/>
    <n v="0"/>
    <n v="-9.75"/>
    <n v="4001"/>
  </r>
  <r>
    <x v="0"/>
    <x v="9"/>
    <x v="5"/>
    <x v="242"/>
    <x v="208"/>
    <x v="208"/>
    <s v="REVENUS"/>
    <x v="3"/>
    <s v="4002.007"/>
    <s v="Acompte impôt sur fortune"/>
    <n v="0"/>
    <n v="235.05"/>
    <n v="4002"/>
  </r>
  <r>
    <x v="0"/>
    <x v="9"/>
    <x v="5"/>
    <x v="242"/>
    <x v="208"/>
    <x v="208"/>
    <s v="REVENUS"/>
    <x v="2"/>
    <s v="4001.007"/>
    <s v="Acompte impôt sur revenu"/>
    <n v="0"/>
    <n v="16309.37"/>
    <n v="4001"/>
  </r>
  <r>
    <x v="0"/>
    <x v="9"/>
    <x v="5"/>
    <x v="242"/>
    <x v="208"/>
    <x v="208"/>
    <s v="REVENUS"/>
    <x v="9"/>
    <s v="4031.001"/>
    <s v="Impôt sur les gains immobiliers"/>
    <n v="0"/>
    <n v="36949.5"/>
    <n v="4031"/>
  </r>
  <r>
    <x v="0"/>
    <x v="9"/>
    <x v="5"/>
    <x v="242"/>
    <x v="208"/>
    <x v="208"/>
    <s v="REVENUS"/>
    <x v="2"/>
    <s v="4001.007"/>
    <s v="Acompte impôt sur revenu"/>
    <n v="0"/>
    <n v="495.65"/>
    <n v="4001"/>
  </r>
  <r>
    <x v="0"/>
    <x v="9"/>
    <x v="5"/>
    <x v="242"/>
    <x v="208"/>
    <x v="208"/>
    <s v="REVENUS"/>
    <x v="3"/>
    <s v="4002.007"/>
    <s v="Acompte impôt sur fortune"/>
    <n v="0"/>
    <n v="320"/>
    <n v="4002"/>
  </r>
  <r>
    <x v="0"/>
    <x v="9"/>
    <x v="5"/>
    <x v="242"/>
    <x v="208"/>
    <x v="208"/>
    <s v="REVENUS"/>
    <x v="2"/>
    <s v="4001.001"/>
    <s v="Impôt revenu"/>
    <n v="0"/>
    <n v="-44790.9"/>
    <n v="4001"/>
  </r>
  <r>
    <x v="0"/>
    <x v="9"/>
    <x v="5"/>
    <x v="242"/>
    <x v="208"/>
    <x v="208"/>
    <s v="REVENUS"/>
    <x v="3"/>
    <s v="4002.001"/>
    <s v="Impôt ordinaire s/fortune PP"/>
    <n v="0"/>
    <n v="-7497.2"/>
    <n v="4002"/>
  </r>
  <r>
    <x v="0"/>
    <x v="9"/>
    <x v="5"/>
    <x v="242"/>
    <x v="208"/>
    <x v="208"/>
    <s v="REVENUS"/>
    <x v="2"/>
    <s v="4001.001"/>
    <s v="Impôt revenu"/>
    <n v="0"/>
    <n v="13191.1"/>
    <n v="4001"/>
  </r>
  <r>
    <x v="0"/>
    <x v="9"/>
    <x v="5"/>
    <x v="242"/>
    <x v="208"/>
    <x v="208"/>
    <s v="REVENUS"/>
    <x v="3"/>
    <s v="4002.001"/>
    <s v="Impôt ordinaire s/fortune PP"/>
    <n v="0"/>
    <n v="3379.3"/>
    <n v="4002"/>
  </r>
  <r>
    <x v="0"/>
    <x v="9"/>
    <x v="5"/>
    <x v="242"/>
    <x v="208"/>
    <x v="208"/>
    <s v="REVENUS"/>
    <x v="6"/>
    <s v="4211.002"/>
    <s v="Intérêts de retard sur acomptes"/>
    <n v="0"/>
    <n v="2.54"/>
    <n v="4211"/>
  </r>
  <r>
    <x v="0"/>
    <x v="9"/>
    <x v="5"/>
    <x v="242"/>
    <x v="208"/>
    <x v="208"/>
    <s v="REVENUS"/>
    <x v="6"/>
    <s v="4221.002"/>
    <s v="Intérêts compensat. sur impôts distincts"/>
    <n v="0"/>
    <n v="28.47"/>
    <n v="4221"/>
  </r>
  <r>
    <x v="0"/>
    <x v="9"/>
    <x v="5"/>
    <x v="242"/>
    <x v="208"/>
    <x v="208"/>
    <s v="REVENUS"/>
    <x v="2"/>
    <s v="4001.001"/>
    <s v="Impôt revenu"/>
    <n v="0"/>
    <n v="2762.15"/>
    <n v="4001"/>
  </r>
  <r>
    <x v="0"/>
    <x v="9"/>
    <x v="5"/>
    <x v="242"/>
    <x v="208"/>
    <x v="208"/>
    <s v="REVENUS"/>
    <x v="3"/>
    <s v="4002.001"/>
    <s v="Impôt ordinaire s/fortune PP"/>
    <n v="0"/>
    <n v="1798.35"/>
    <n v="4002"/>
  </r>
  <r>
    <x v="0"/>
    <x v="9"/>
    <x v="5"/>
    <x v="242"/>
    <x v="208"/>
    <x v="208"/>
    <s v="REVENUS"/>
    <x v="6"/>
    <s v="4211.002"/>
    <s v="Intérêts de retard sur acomptes"/>
    <n v="0"/>
    <n v="34.909999999999997"/>
    <n v="4211"/>
  </r>
  <r>
    <x v="0"/>
    <x v="9"/>
    <x v="5"/>
    <x v="242"/>
    <x v="208"/>
    <x v="208"/>
    <s v="REVENUS"/>
    <x v="6"/>
    <s v="4221.003"/>
    <s v="Intérêts compensat. / acomptes en faveur du fisc"/>
    <n v="0"/>
    <n v="0.26"/>
    <n v="4221"/>
  </r>
  <r>
    <x v="0"/>
    <x v="9"/>
    <x v="5"/>
    <x v="242"/>
    <x v="208"/>
    <x v="208"/>
    <s v="REVENUS"/>
    <x v="2"/>
    <s v="4001.007"/>
    <s v="Acompte impôt sur revenu"/>
    <n v="0"/>
    <n v="-5708.9"/>
    <n v="4001"/>
  </r>
  <r>
    <x v="0"/>
    <x v="9"/>
    <x v="5"/>
    <x v="242"/>
    <x v="208"/>
    <x v="208"/>
    <s v="REVENUS"/>
    <x v="3"/>
    <s v="4002.007"/>
    <s v="Acompte impôt sur fortune"/>
    <n v="0"/>
    <n v="-2433.65"/>
    <n v="4002"/>
  </r>
  <r>
    <x v="0"/>
    <x v="9"/>
    <x v="5"/>
    <x v="242"/>
    <x v="208"/>
    <x v="208"/>
    <s v="REVENUS"/>
    <x v="2"/>
    <s v="4001.001"/>
    <s v="Impôt revenu"/>
    <n v="0"/>
    <n v="3719.7"/>
    <n v="4001"/>
  </r>
  <r>
    <x v="0"/>
    <x v="9"/>
    <x v="5"/>
    <x v="242"/>
    <x v="208"/>
    <x v="208"/>
    <s v="REVENUS"/>
    <x v="3"/>
    <s v="4002.001"/>
    <s v="Impôt ordinaire s/fortune PP"/>
    <n v="0"/>
    <n v="4666.8500000000004"/>
    <n v="4002"/>
  </r>
  <r>
    <x v="0"/>
    <x v="9"/>
    <x v="5"/>
    <x v="242"/>
    <x v="208"/>
    <x v="208"/>
    <s v="REVENUS"/>
    <x v="3"/>
    <s v="4002.001"/>
    <s v="Impôt ordinaire s/fortune PP"/>
    <n v="0"/>
    <n v="853.6"/>
    <n v="4002"/>
  </r>
  <r>
    <x v="0"/>
    <x v="9"/>
    <x v="5"/>
    <x v="242"/>
    <x v="208"/>
    <x v="208"/>
    <s v="REVENUS"/>
    <x v="6"/>
    <s v="4211.002"/>
    <s v="Intérêts de retard sur acomptes"/>
    <n v="0"/>
    <n v="0.15"/>
    <n v="4211"/>
  </r>
  <r>
    <x v="0"/>
    <x v="9"/>
    <x v="5"/>
    <x v="242"/>
    <x v="208"/>
    <x v="208"/>
    <s v="REVENUS"/>
    <x v="6"/>
    <s v="4221.003"/>
    <s v="Intérêts compensat. / acomptes en faveur du fisc"/>
    <n v="0"/>
    <n v="0.06"/>
    <n v="4221"/>
  </r>
  <r>
    <x v="0"/>
    <x v="9"/>
    <x v="5"/>
    <x v="242"/>
    <x v="208"/>
    <x v="208"/>
    <s v="REVENUS"/>
    <x v="8"/>
    <s v="4091.001"/>
    <s v="Impôt récupéré après défalcations"/>
    <n v="0"/>
    <n v="35.979999999999997"/>
    <n v="4091"/>
  </r>
  <r>
    <x v="0"/>
    <x v="9"/>
    <x v="5"/>
    <x v="242"/>
    <x v="208"/>
    <x v="208"/>
    <s v="REVENUS"/>
    <x v="2"/>
    <s v="4001.001"/>
    <s v="Impôt revenu"/>
    <n v="0"/>
    <n v="758.6"/>
    <n v="4001"/>
  </r>
  <r>
    <x v="0"/>
    <x v="9"/>
    <x v="5"/>
    <x v="242"/>
    <x v="208"/>
    <x v="208"/>
    <s v="REVENUS"/>
    <x v="6"/>
    <s v="4211.001"/>
    <s v="Intérêts de retard sur factures"/>
    <n v="0"/>
    <n v="5.56"/>
    <n v="4211"/>
  </r>
  <r>
    <x v="0"/>
    <x v="9"/>
    <x v="5"/>
    <x v="242"/>
    <x v="208"/>
    <x v="208"/>
    <s v="REVENUS"/>
    <x v="6"/>
    <s v="4221.003"/>
    <s v="Intérêts compensat. / acomptes en faveur du fisc"/>
    <n v="0"/>
    <n v="1.57"/>
    <n v="4221"/>
  </r>
  <r>
    <x v="0"/>
    <x v="9"/>
    <x v="5"/>
    <x v="242"/>
    <x v="208"/>
    <x v="208"/>
    <s v="REVENUS"/>
    <x v="2"/>
    <s v="4001.007"/>
    <s v="Acompte impôt sur revenu"/>
    <n v="0"/>
    <n v="-89.1"/>
    <n v="4001"/>
  </r>
  <r>
    <x v="0"/>
    <x v="9"/>
    <x v="5"/>
    <x v="242"/>
    <x v="208"/>
    <x v="208"/>
    <s v="REVENUS"/>
    <x v="3"/>
    <s v="4002.007"/>
    <s v="Acompte impôt sur fortune"/>
    <n v="0"/>
    <n v="-195.75"/>
    <n v="4002"/>
  </r>
  <r>
    <x v="0"/>
    <x v="9"/>
    <x v="5"/>
    <x v="242"/>
    <x v="208"/>
    <x v="208"/>
    <s v="REVENUS"/>
    <x v="8"/>
    <s v="4091.001"/>
    <s v="Impôt récupéré après défalcations"/>
    <n v="0"/>
    <n v="-1405.93"/>
    <n v="4091"/>
  </r>
  <r>
    <x v="0"/>
    <x v="9"/>
    <x v="5"/>
    <x v="242"/>
    <x v="208"/>
    <x v="208"/>
    <s v="REVENUS"/>
    <x v="2"/>
    <s v="4001.001"/>
    <s v="Impôt revenu"/>
    <n v="0"/>
    <n v="485.4"/>
    <n v="4001"/>
  </r>
  <r>
    <x v="0"/>
    <x v="9"/>
    <x v="5"/>
    <x v="242"/>
    <x v="208"/>
    <x v="208"/>
    <s v="REVENUS"/>
    <x v="7"/>
    <s v="4184.000"/>
    <s v="Frais de poursuite"/>
    <n v="0"/>
    <n v="55.26"/>
    <n v="4184"/>
  </r>
  <r>
    <x v="0"/>
    <x v="9"/>
    <x v="5"/>
    <x v="242"/>
    <x v="208"/>
    <x v="208"/>
    <s v="REVENUS"/>
    <x v="2"/>
    <s v="4001.002"/>
    <s v="Impôt complément s/revenu PP"/>
    <n v="0"/>
    <n v="-2576"/>
    <n v="4001"/>
  </r>
  <r>
    <x v="0"/>
    <x v="9"/>
    <x v="5"/>
    <x v="242"/>
    <x v="208"/>
    <x v="208"/>
    <s v="REVENUS"/>
    <x v="3"/>
    <s v="4002.002"/>
    <s v="Impôt complémentaire s/fortune PP"/>
    <n v="0"/>
    <n v="-216.7"/>
    <n v="4002"/>
  </r>
  <r>
    <x v="0"/>
    <x v="9"/>
    <x v="5"/>
    <x v="242"/>
    <x v="208"/>
    <x v="208"/>
    <s v="REVENUS"/>
    <x v="4"/>
    <s v="4051.001"/>
    <s v="Impôt sur les successions"/>
    <n v="0"/>
    <n v="9.6999999999999993"/>
    <n v="4051"/>
  </r>
  <r>
    <x v="0"/>
    <x v="9"/>
    <x v="5"/>
    <x v="242"/>
    <x v="208"/>
    <x v="208"/>
    <s v="REVENUS"/>
    <x v="5"/>
    <s v="4061.000"/>
    <s v="Impôt sur les chiens"/>
    <n v="0"/>
    <n v="5275"/>
    <n v="4061"/>
  </r>
  <r>
    <x v="0"/>
    <x v="9"/>
    <x v="5"/>
    <x v="242"/>
    <x v="208"/>
    <x v="208"/>
    <s v="REVENUS"/>
    <x v="7"/>
    <s v="4184.000"/>
    <s v="Frais de poursuite"/>
    <n v="0"/>
    <n v="32.11"/>
    <n v="4184"/>
  </r>
  <r>
    <x v="0"/>
    <x v="9"/>
    <x v="5"/>
    <x v="242"/>
    <x v="208"/>
    <x v="208"/>
    <s v="REVENUS"/>
    <x v="2"/>
    <s v="4001.002"/>
    <s v="Impôt complément s/revenu PP"/>
    <n v="0"/>
    <n v="61.35"/>
    <n v="4001"/>
  </r>
  <r>
    <x v="0"/>
    <x v="9"/>
    <x v="5"/>
    <x v="242"/>
    <x v="208"/>
    <x v="208"/>
    <s v="REVENUS"/>
    <x v="6"/>
    <s v="4211.001"/>
    <s v="Intérêts de retard sur factures"/>
    <n v="0"/>
    <n v="0.71"/>
    <n v="4211"/>
  </r>
  <r>
    <x v="0"/>
    <x v="9"/>
    <x v="5"/>
    <x v="242"/>
    <x v="208"/>
    <x v="208"/>
    <s v="REVENUS"/>
    <x v="6"/>
    <s v="4211.002"/>
    <s v="Intérêts de retard sur acomptes"/>
    <n v="0"/>
    <n v="-3.49"/>
    <n v="4211"/>
  </r>
  <r>
    <x v="0"/>
    <x v="9"/>
    <x v="5"/>
    <x v="242"/>
    <x v="208"/>
    <x v="208"/>
    <s v="REVENUS"/>
    <x v="3"/>
    <s v="4002.001"/>
    <s v="Impôt ordinaire s/fortune PP"/>
    <n v="0"/>
    <n v="606.15"/>
    <n v="4002"/>
  </r>
  <r>
    <x v="0"/>
    <x v="9"/>
    <x v="5"/>
    <x v="242"/>
    <x v="208"/>
    <x v="208"/>
    <s v="REVENUS"/>
    <x v="6"/>
    <s v="4221.003"/>
    <s v="Intérêts compensat. / acomptes en faveur du fisc"/>
    <n v="0"/>
    <n v="0.02"/>
    <n v="4221"/>
  </r>
  <r>
    <x v="0"/>
    <x v="9"/>
    <x v="5"/>
    <x v="242"/>
    <x v="208"/>
    <x v="208"/>
    <s v="REVENUS"/>
    <x v="11"/>
    <s v="4198.000"/>
    <s v="Contributions communales"/>
    <n v="0"/>
    <n v="120858.65"/>
    <n v="4198"/>
  </r>
  <r>
    <x v="0"/>
    <x v="9"/>
    <x v="5"/>
    <x v="243"/>
    <x v="209"/>
    <x v="209"/>
    <s v="CHARGES"/>
    <x v="0"/>
    <s v="3212.002"/>
    <s v="Intérêts bonifiés/trop perçu acompte C/C"/>
    <n v="-1.21"/>
    <n v="0"/>
    <n v="3212"/>
  </r>
  <r>
    <x v="0"/>
    <x v="9"/>
    <x v="5"/>
    <x v="243"/>
    <x v="209"/>
    <x v="209"/>
    <s v="CHARGES"/>
    <x v="0"/>
    <s v="3212.004"/>
    <s v="Intérêts rémun./perçu trop tôt sur acomptes C/C"/>
    <n v="382.89"/>
    <n v="0"/>
    <n v="3212"/>
  </r>
  <r>
    <x v="0"/>
    <x v="9"/>
    <x v="5"/>
    <x v="243"/>
    <x v="209"/>
    <x v="209"/>
    <s v="CHARGES"/>
    <x v="0"/>
    <s v="3221.002"/>
    <s v="Intérêts compensatoires / créances en faveur ctb."/>
    <n v="261.7"/>
    <n v="0"/>
    <n v="3221"/>
  </r>
  <r>
    <x v="0"/>
    <x v="9"/>
    <x v="5"/>
    <x v="243"/>
    <x v="209"/>
    <x v="209"/>
    <s v="CHARGES"/>
    <x v="1"/>
    <s v="3301.001"/>
    <s v="Défalcations, abandons de solde PP et IS"/>
    <n v="25406.720000000001"/>
    <n v="0"/>
    <n v="3301"/>
  </r>
  <r>
    <x v="0"/>
    <x v="9"/>
    <x v="5"/>
    <x v="243"/>
    <x v="209"/>
    <x v="209"/>
    <s v="CHARGES"/>
    <x v="1"/>
    <s v="3301.001"/>
    <s v="Défalcations, abandons de solde PP et IS"/>
    <n v="4.95"/>
    <n v="0"/>
    <n v="3301"/>
  </r>
  <r>
    <x v="0"/>
    <x v="9"/>
    <x v="5"/>
    <x v="243"/>
    <x v="209"/>
    <x v="209"/>
    <s v="CHARGES"/>
    <x v="0"/>
    <s v="3212.004"/>
    <s v="Intérêts rémun./perçu trop tôt sur acomptes C/C"/>
    <n v="2"/>
    <n v="0"/>
    <n v="3212"/>
  </r>
  <r>
    <x v="0"/>
    <x v="9"/>
    <x v="5"/>
    <x v="243"/>
    <x v="209"/>
    <x v="209"/>
    <s v="CHARGES"/>
    <x v="0"/>
    <s v="3221.002"/>
    <s v="Intérêts compensatoires / créances en faveur ctb."/>
    <n v="2.92"/>
    <n v="0"/>
    <n v="3221"/>
  </r>
  <r>
    <x v="0"/>
    <x v="9"/>
    <x v="5"/>
    <x v="243"/>
    <x v="209"/>
    <x v="209"/>
    <s v="CHARGES"/>
    <x v="1"/>
    <s v="3301.001"/>
    <s v="Défalcations, abandons de solde PP et IS"/>
    <n v="1416.41"/>
    <n v="0"/>
    <n v="3301"/>
  </r>
  <r>
    <x v="0"/>
    <x v="9"/>
    <x v="5"/>
    <x v="243"/>
    <x v="209"/>
    <x v="209"/>
    <s v="CHARGES"/>
    <x v="1"/>
    <s v="3301.003"/>
    <s v="Remises PP et IS"/>
    <n v="1947.6"/>
    <n v="0"/>
    <n v="3301"/>
  </r>
  <r>
    <x v="0"/>
    <x v="9"/>
    <x v="5"/>
    <x v="243"/>
    <x v="209"/>
    <x v="209"/>
    <s v="CHARGES"/>
    <x v="1"/>
    <s v="3301.001"/>
    <s v="Défalcations, abandons de solde PP et IS"/>
    <n v="1.17"/>
    <n v="0"/>
    <n v="3301"/>
  </r>
  <r>
    <x v="0"/>
    <x v="9"/>
    <x v="5"/>
    <x v="243"/>
    <x v="209"/>
    <x v="209"/>
    <s v="CHARGES"/>
    <x v="0"/>
    <s v="3212.004"/>
    <s v="Intérêts rémun./perçu trop tôt sur acomptes C/C"/>
    <n v="3.71"/>
    <n v="0"/>
    <n v="3212"/>
  </r>
  <r>
    <x v="0"/>
    <x v="9"/>
    <x v="5"/>
    <x v="243"/>
    <x v="209"/>
    <x v="209"/>
    <s v="CHARGES"/>
    <x v="0"/>
    <s v="3212.004"/>
    <s v="Intérêts rémun./perçu trop tôt sur acomptes C/C"/>
    <n v="-0.02"/>
    <n v="0"/>
    <n v="3212"/>
  </r>
  <r>
    <x v="0"/>
    <x v="9"/>
    <x v="5"/>
    <x v="243"/>
    <x v="209"/>
    <x v="209"/>
    <s v="CHARGES"/>
    <x v="0"/>
    <s v="3221.002"/>
    <s v="Intérêts compensatoires / créances en faveur ctb."/>
    <n v="-0.03"/>
    <n v="0"/>
    <n v="3221"/>
  </r>
  <r>
    <x v="0"/>
    <x v="9"/>
    <x v="5"/>
    <x v="243"/>
    <x v="209"/>
    <x v="209"/>
    <s v="CHARGES"/>
    <x v="1"/>
    <s v="3301.001"/>
    <s v="Défalcations, abandons de solde PP et IS"/>
    <n v="0.04"/>
    <n v="0"/>
    <n v="3301"/>
  </r>
  <r>
    <x v="0"/>
    <x v="9"/>
    <x v="5"/>
    <x v="243"/>
    <x v="209"/>
    <x v="209"/>
    <s v="CHARGES"/>
    <x v="1"/>
    <s v="3301.001"/>
    <s v="Défalcations, abandons de solde PP et IS"/>
    <n v="1.82"/>
    <n v="0"/>
    <n v="3301"/>
  </r>
  <r>
    <x v="0"/>
    <x v="9"/>
    <x v="5"/>
    <x v="243"/>
    <x v="209"/>
    <x v="209"/>
    <s v="CHARGES"/>
    <x v="0"/>
    <s v="3212.004"/>
    <s v="Intérêts rémun./perçu trop tôt sur acomptes C/C"/>
    <n v="9.2100000000000009"/>
    <n v="0"/>
    <n v="3212"/>
  </r>
  <r>
    <x v="0"/>
    <x v="9"/>
    <x v="5"/>
    <x v="243"/>
    <x v="209"/>
    <x v="209"/>
    <s v="CHARGES"/>
    <x v="0"/>
    <s v="3221.002"/>
    <s v="Intérêts compensatoires / créances en faveur ctb."/>
    <n v="13.72"/>
    <n v="0"/>
    <n v="3221"/>
  </r>
  <r>
    <x v="0"/>
    <x v="9"/>
    <x v="5"/>
    <x v="243"/>
    <x v="209"/>
    <x v="209"/>
    <s v="CHARGES"/>
    <x v="0"/>
    <s v="3221.002"/>
    <s v="Intérêts compensatoires / créances en faveur ctb."/>
    <n v="3.25"/>
    <n v="0"/>
    <n v="3221"/>
  </r>
  <r>
    <x v="0"/>
    <x v="9"/>
    <x v="5"/>
    <x v="243"/>
    <x v="209"/>
    <x v="209"/>
    <s v="CHARGES"/>
    <x v="0"/>
    <s v="3221.002"/>
    <s v="Intérêts compensatoires / créances en faveur ctb."/>
    <n v="0.03"/>
    <n v="0"/>
    <n v="3221"/>
  </r>
  <r>
    <x v="0"/>
    <x v="9"/>
    <x v="5"/>
    <x v="243"/>
    <x v="209"/>
    <x v="209"/>
    <s v="CHARGES"/>
    <x v="0"/>
    <s v="3212.004"/>
    <s v="Intérêts rémun./perçu trop tôt sur acomptes C/C"/>
    <n v="0.68"/>
    <n v="0"/>
    <n v="3212"/>
  </r>
  <r>
    <x v="0"/>
    <x v="9"/>
    <x v="5"/>
    <x v="243"/>
    <x v="209"/>
    <x v="209"/>
    <s v="CHARGES"/>
    <x v="0"/>
    <s v="3221.002"/>
    <s v="Intérêts compensatoires / créances en faveur ctb."/>
    <n v="0.02"/>
    <n v="0"/>
    <n v="3221"/>
  </r>
  <r>
    <x v="0"/>
    <x v="9"/>
    <x v="5"/>
    <x v="243"/>
    <x v="209"/>
    <x v="209"/>
    <s v="REVENUS"/>
    <x v="2"/>
    <s v="4001.001"/>
    <s v="Impôt revenu"/>
    <n v="0"/>
    <n v="-27410.1"/>
    <n v="4001"/>
  </r>
  <r>
    <x v="0"/>
    <x v="9"/>
    <x v="5"/>
    <x v="243"/>
    <x v="209"/>
    <x v="209"/>
    <s v="REVENUS"/>
    <x v="3"/>
    <s v="4002.001"/>
    <s v="Impôt ordinaire s/fortune PP"/>
    <n v="0"/>
    <n v="-4401.8999999999996"/>
    <n v="4002"/>
  </r>
  <r>
    <x v="0"/>
    <x v="9"/>
    <x v="5"/>
    <x v="243"/>
    <x v="209"/>
    <x v="209"/>
    <s v="REVENUS"/>
    <x v="2"/>
    <s v="4001.001"/>
    <s v="Impôt revenu"/>
    <n v="0"/>
    <n v="1627665.85"/>
    <n v="4001"/>
  </r>
  <r>
    <x v="0"/>
    <x v="9"/>
    <x v="5"/>
    <x v="243"/>
    <x v="209"/>
    <x v="209"/>
    <s v="REVENUS"/>
    <x v="2"/>
    <s v="4001.002"/>
    <s v="Impôt complément s/revenu PP"/>
    <n v="0"/>
    <n v="194248.45"/>
    <n v="4001"/>
  </r>
  <r>
    <x v="0"/>
    <x v="9"/>
    <x v="5"/>
    <x v="243"/>
    <x v="209"/>
    <x v="209"/>
    <s v="REVENUS"/>
    <x v="2"/>
    <s v="4001.007"/>
    <s v="Acompte impôt sur revenu"/>
    <n v="0"/>
    <n v="-262497.84999999998"/>
    <n v="4001"/>
  </r>
  <r>
    <x v="0"/>
    <x v="9"/>
    <x v="5"/>
    <x v="243"/>
    <x v="209"/>
    <x v="209"/>
    <s v="REVENUS"/>
    <x v="3"/>
    <s v="4002.001"/>
    <s v="Impôt ordinaire s/fortune PP"/>
    <n v="0"/>
    <n v="215128"/>
    <n v="4002"/>
  </r>
  <r>
    <x v="0"/>
    <x v="9"/>
    <x v="5"/>
    <x v="243"/>
    <x v="209"/>
    <x v="209"/>
    <s v="REVENUS"/>
    <x v="3"/>
    <s v="4002.002"/>
    <s v="Impôt complémentaire s/fortune PP"/>
    <n v="0"/>
    <n v="39444.65"/>
    <n v="4002"/>
  </r>
  <r>
    <x v="0"/>
    <x v="9"/>
    <x v="5"/>
    <x v="243"/>
    <x v="209"/>
    <x v="209"/>
    <s v="REVENUS"/>
    <x v="6"/>
    <s v="4211.001"/>
    <s v="Intérêts de retard sur factures"/>
    <n v="0"/>
    <n v="9037.2099999999991"/>
    <n v="4211"/>
  </r>
  <r>
    <x v="0"/>
    <x v="9"/>
    <x v="5"/>
    <x v="243"/>
    <x v="209"/>
    <x v="209"/>
    <s v="REVENUS"/>
    <x v="6"/>
    <s v="4211.002"/>
    <s v="Intérêts de retard sur acomptes"/>
    <n v="0"/>
    <n v="11168.83"/>
    <n v="4211"/>
  </r>
  <r>
    <x v="0"/>
    <x v="9"/>
    <x v="5"/>
    <x v="243"/>
    <x v="209"/>
    <x v="209"/>
    <s v="REVENUS"/>
    <x v="6"/>
    <s v="4221.003"/>
    <s v="Intérêts compensat. / acomptes en faveur du fisc"/>
    <n v="0"/>
    <n v="219.37"/>
    <n v="4221"/>
  </r>
  <r>
    <x v="0"/>
    <x v="9"/>
    <x v="5"/>
    <x v="243"/>
    <x v="209"/>
    <x v="209"/>
    <s v="REVENUS"/>
    <x v="3"/>
    <s v="4002.007"/>
    <s v="Acompte impôt sur fortune"/>
    <n v="0"/>
    <n v="-58384.3"/>
    <n v="4002"/>
  </r>
  <r>
    <x v="0"/>
    <x v="9"/>
    <x v="5"/>
    <x v="243"/>
    <x v="209"/>
    <x v="209"/>
    <s v="REVENUS"/>
    <x v="2"/>
    <s v="4001.003"/>
    <s v="Impôt s/prest. cap. PP"/>
    <n v="0"/>
    <n v="117609.7"/>
    <n v="4001"/>
  </r>
  <r>
    <x v="0"/>
    <x v="9"/>
    <x v="5"/>
    <x v="243"/>
    <x v="209"/>
    <x v="209"/>
    <s v="REVENUS"/>
    <x v="10"/>
    <s v="4041.001"/>
    <s v="Droits de mutation"/>
    <n v="0"/>
    <n v="43886.25"/>
    <n v="4041"/>
  </r>
  <r>
    <x v="0"/>
    <x v="9"/>
    <x v="5"/>
    <x v="243"/>
    <x v="209"/>
    <x v="209"/>
    <s v="REVENUS"/>
    <x v="6"/>
    <s v="4221.002"/>
    <s v="Intérêts compensat. sur impôts distincts"/>
    <n v="0"/>
    <n v="5.44"/>
    <n v="4221"/>
  </r>
  <r>
    <x v="0"/>
    <x v="9"/>
    <x v="5"/>
    <x v="243"/>
    <x v="209"/>
    <x v="209"/>
    <s v="REVENUS"/>
    <x v="7"/>
    <s v="4184.000"/>
    <s v="Frais de poursuite"/>
    <n v="0"/>
    <n v="4.95"/>
    <n v="4184"/>
  </r>
  <r>
    <x v="0"/>
    <x v="9"/>
    <x v="5"/>
    <x v="243"/>
    <x v="209"/>
    <x v="209"/>
    <s v="REVENUS"/>
    <x v="7"/>
    <s v="4184.000"/>
    <s v="Frais de poursuite"/>
    <n v="0"/>
    <n v="3197.5"/>
    <n v="4184"/>
  </r>
  <r>
    <x v="0"/>
    <x v="9"/>
    <x v="5"/>
    <x v="243"/>
    <x v="209"/>
    <x v="209"/>
    <s v="REVENUS"/>
    <x v="7"/>
    <s v="4184.000"/>
    <s v="Frais de poursuite"/>
    <n v="0"/>
    <n v="168.77"/>
    <n v="4184"/>
  </r>
  <r>
    <x v="0"/>
    <x v="9"/>
    <x v="5"/>
    <x v="243"/>
    <x v="209"/>
    <x v="209"/>
    <s v="REVENUS"/>
    <x v="3"/>
    <s v="4002.007"/>
    <s v="Acompte impôt sur fortune"/>
    <n v="0"/>
    <n v="-800.67"/>
    <n v="4002"/>
  </r>
  <r>
    <x v="0"/>
    <x v="9"/>
    <x v="5"/>
    <x v="243"/>
    <x v="209"/>
    <x v="209"/>
    <s v="REVENUS"/>
    <x v="2"/>
    <s v="4001.002"/>
    <s v="Impôt complément s/revenu PP"/>
    <n v="0"/>
    <n v="59.65"/>
    <n v="4001"/>
  </r>
  <r>
    <x v="0"/>
    <x v="9"/>
    <x v="5"/>
    <x v="243"/>
    <x v="209"/>
    <x v="209"/>
    <s v="REVENUS"/>
    <x v="2"/>
    <s v="4001.007"/>
    <s v="Acompte impôt sur revenu"/>
    <n v="0"/>
    <n v="-6289.93"/>
    <n v="4001"/>
  </r>
  <r>
    <x v="0"/>
    <x v="9"/>
    <x v="5"/>
    <x v="243"/>
    <x v="209"/>
    <x v="209"/>
    <s v="REVENUS"/>
    <x v="3"/>
    <s v="4002.002"/>
    <s v="Impôt complémentaire s/fortune PP"/>
    <n v="0"/>
    <n v="28.55"/>
    <n v="4002"/>
  </r>
  <r>
    <x v="0"/>
    <x v="9"/>
    <x v="5"/>
    <x v="243"/>
    <x v="209"/>
    <x v="209"/>
    <s v="REVENUS"/>
    <x v="2"/>
    <s v="4001.007"/>
    <s v="Acompte impôt sur revenu"/>
    <n v="0"/>
    <n v="1971.4"/>
    <n v="4001"/>
  </r>
  <r>
    <x v="0"/>
    <x v="9"/>
    <x v="5"/>
    <x v="243"/>
    <x v="209"/>
    <x v="209"/>
    <s v="REVENUS"/>
    <x v="3"/>
    <s v="4002.007"/>
    <s v="Acompte impôt sur fortune"/>
    <n v="0"/>
    <n v="357.95"/>
    <n v="4002"/>
  </r>
  <r>
    <x v="0"/>
    <x v="9"/>
    <x v="5"/>
    <x v="243"/>
    <x v="209"/>
    <x v="209"/>
    <s v="REVENUS"/>
    <x v="3"/>
    <s v="4002.007"/>
    <s v="Acompte impôt sur fortune"/>
    <n v="0"/>
    <n v="1952.82"/>
    <n v="4002"/>
  </r>
  <r>
    <x v="0"/>
    <x v="9"/>
    <x v="5"/>
    <x v="243"/>
    <x v="209"/>
    <x v="209"/>
    <s v="REVENUS"/>
    <x v="2"/>
    <s v="4001.007"/>
    <s v="Acompte impôt sur revenu"/>
    <n v="0"/>
    <n v="3575.6"/>
    <n v="4001"/>
  </r>
  <r>
    <x v="0"/>
    <x v="9"/>
    <x v="5"/>
    <x v="243"/>
    <x v="209"/>
    <x v="209"/>
    <s v="REVENUS"/>
    <x v="3"/>
    <s v="4002.007"/>
    <s v="Acompte impôt sur fortune"/>
    <n v="0"/>
    <n v="5.0999999999999996"/>
    <n v="4002"/>
  </r>
  <r>
    <x v="0"/>
    <x v="9"/>
    <x v="5"/>
    <x v="243"/>
    <x v="209"/>
    <x v="209"/>
    <s v="REVENUS"/>
    <x v="2"/>
    <s v="4001.007"/>
    <s v="Acompte impôt sur revenu"/>
    <n v="0"/>
    <n v="-4423.08"/>
    <n v="4001"/>
  </r>
  <r>
    <x v="0"/>
    <x v="9"/>
    <x v="5"/>
    <x v="243"/>
    <x v="209"/>
    <x v="209"/>
    <s v="REVENUS"/>
    <x v="3"/>
    <s v="4002.007"/>
    <s v="Acompte impôt sur fortune"/>
    <n v="0"/>
    <n v="-1295.97"/>
    <n v="4002"/>
  </r>
  <r>
    <x v="0"/>
    <x v="9"/>
    <x v="5"/>
    <x v="243"/>
    <x v="209"/>
    <x v="209"/>
    <s v="REVENUS"/>
    <x v="2"/>
    <s v="4001.007"/>
    <s v="Acompte impôt sur revenu"/>
    <n v="0"/>
    <n v="1402.85"/>
    <n v="4001"/>
  </r>
  <r>
    <x v="0"/>
    <x v="9"/>
    <x v="5"/>
    <x v="243"/>
    <x v="209"/>
    <x v="209"/>
    <s v="REVENUS"/>
    <x v="2"/>
    <s v="4001.007"/>
    <s v="Acompte impôt sur revenu"/>
    <n v="0"/>
    <n v="160.55000000000001"/>
    <n v="4001"/>
  </r>
  <r>
    <x v="0"/>
    <x v="9"/>
    <x v="5"/>
    <x v="243"/>
    <x v="209"/>
    <x v="209"/>
    <s v="REVENUS"/>
    <x v="3"/>
    <s v="4002.007"/>
    <s v="Acompte impôt sur fortune"/>
    <n v="0"/>
    <n v="-24.5"/>
    <n v="4002"/>
  </r>
  <r>
    <x v="0"/>
    <x v="9"/>
    <x v="5"/>
    <x v="243"/>
    <x v="209"/>
    <x v="209"/>
    <s v="REVENUS"/>
    <x v="8"/>
    <s v="4091.001"/>
    <s v="Impôt récupéré après défalcations"/>
    <n v="0"/>
    <n v="14582.82"/>
    <n v="4091"/>
  </r>
  <r>
    <x v="0"/>
    <x v="9"/>
    <x v="5"/>
    <x v="243"/>
    <x v="209"/>
    <x v="209"/>
    <s v="REVENUS"/>
    <x v="3"/>
    <s v="4002.001"/>
    <s v="Impôt ordinaire s/fortune PP"/>
    <n v="0"/>
    <n v="960.45"/>
    <n v="4002"/>
  </r>
  <r>
    <x v="0"/>
    <x v="9"/>
    <x v="5"/>
    <x v="243"/>
    <x v="209"/>
    <x v="209"/>
    <s v="REVENUS"/>
    <x v="6"/>
    <s v="4211.002"/>
    <s v="Intérêts de retard sur acomptes"/>
    <n v="0"/>
    <n v="2.54"/>
    <n v="4211"/>
  </r>
  <r>
    <x v="0"/>
    <x v="9"/>
    <x v="5"/>
    <x v="243"/>
    <x v="209"/>
    <x v="209"/>
    <s v="REVENUS"/>
    <x v="2"/>
    <s v="4001.001"/>
    <s v="Impôt revenu"/>
    <n v="0"/>
    <n v="12455.85"/>
    <n v="4001"/>
  </r>
  <r>
    <x v="0"/>
    <x v="9"/>
    <x v="5"/>
    <x v="243"/>
    <x v="209"/>
    <x v="209"/>
    <s v="REVENUS"/>
    <x v="3"/>
    <s v="4002.001"/>
    <s v="Impôt ordinaire s/fortune PP"/>
    <n v="0"/>
    <n v="5611.35"/>
    <n v="4002"/>
  </r>
  <r>
    <x v="0"/>
    <x v="9"/>
    <x v="5"/>
    <x v="243"/>
    <x v="209"/>
    <x v="209"/>
    <s v="REVENUS"/>
    <x v="6"/>
    <s v="4211.002"/>
    <s v="Intérêts de retard sur acomptes"/>
    <n v="0"/>
    <n v="61.74"/>
    <n v="4211"/>
  </r>
  <r>
    <x v="0"/>
    <x v="9"/>
    <x v="5"/>
    <x v="243"/>
    <x v="209"/>
    <x v="209"/>
    <s v="REVENUS"/>
    <x v="6"/>
    <s v="4221.003"/>
    <s v="Intérêts compensat. / acomptes en faveur du fisc"/>
    <n v="0"/>
    <n v="1.97"/>
    <n v="4221"/>
  </r>
  <r>
    <x v="0"/>
    <x v="9"/>
    <x v="5"/>
    <x v="243"/>
    <x v="209"/>
    <x v="209"/>
    <s v="REVENUS"/>
    <x v="5"/>
    <s v="4061.000"/>
    <s v="Impôt sur les chiens"/>
    <n v="0"/>
    <n v="4025"/>
    <n v="4061"/>
  </r>
  <r>
    <x v="0"/>
    <x v="9"/>
    <x v="5"/>
    <x v="243"/>
    <x v="209"/>
    <x v="209"/>
    <s v="REVENUS"/>
    <x v="9"/>
    <s v="4031.001"/>
    <s v="Impôt sur les gains immobiliers"/>
    <n v="0"/>
    <n v="23032.15"/>
    <n v="4031"/>
  </r>
  <r>
    <x v="0"/>
    <x v="9"/>
    <x v="5"/>
    <x v="243"/>
    <x v="209"/>
    <x v="209"/>
    <s v="REVENUS"/>
    <x v="2"/>
    <s v="4001.001"/>
    <s v="Impôt revenu"/>
    <n v="0"/>
    <n v="8203.75"/>
    <n v="4001"/>
  </r>
  <r>
    <x v="0"/>
    <x v="9"/>
    <x v="5"/>
    <x v="243"/>
    <x v="209"/>
    <x v="209"/>
    <s v="REVENUS"/>
    <x v="3"/>
    <s v="4002.001"/>
    <s v="Impôt ordinaire s/fortune PP"/>
    <n v="0"/>
    <n v="3661.45"/>
    <n v="4002"/>
  </r>
  <r>
    <x v="0"/>
    <x v="9"/>
    <x v="5"/>
    <x v="243"/>
    <x v="209"/>
    <x v="209"/>
    <s v="REVENUS"/>
    <x v="6"/>
    <s v="4221.003"/>
    <s v="Intérêts compensat. / acomptes en faveur du fisc"/>
    <n v="0"/>
    <n v="0.04"/>
    <n v="4221"/>
  </r>
  <r>
    <x v="0"/>
    <x v="9"/>
    <x v="5"/>
    <x v="243"/>
    <x v="209"/>
    <x v="209"/>
    <s v="REVENUS"/>
    <x v="6"/>
    <s v="4211.001"/>
    <s v="Intérêts de retard sur factures"/>
    <n v="0"/>
    <n v="26.05"/>
    <n v="4211"/>
  </r>
  <r>
    <x v="0"/>
    <x v="9"/>
    <x v="5"/>
    <x v="243"/>
    <x v="209"/>
    <x v="209"/>
    <s v="REVENUS"/>
    <x v="2"/>
    <s v="4001.001"/>
    <s v="Impôt revenu"/>
    <n v="0"/>
    <n v="1937.3"/>
    <n v="4001"/>
  </r>
  <r>
    <x v="0"/>
    <x v="9"/>
    <x v="5"/>
    <x v="243"/>
    <x v="209"/>
    <x v="209"/>
    <s v="REVENUS"/>
    <x v="6"/>
    <s v="4211.002"/>
    <s v="Intérêts de retard sur acomptes"/>
    <n v="0"/>
    <n v="5.84"/>
    <n v="4211"/>
  </r>
  <r>
    <x v="0"/>
    <x v="9"/>
    <x v="5"/>
    <x v="243"/>
    <x v="209"/>
    <x v="209"/>
    <s v="REVENUS"/>
    <x v="6"/>
    <s v="4221.003"/>
    <s v="Intérêts compensat. / acomptes en faveur du fisc"/>
    <n v="0"/>
    <n v="0.01"/>
    <n v="4221"/>
  </r>
  <r>
    <x v="0"/>
    <x v="9"/>
    <x v="5"/>
    <x v="243"/>
    <x v="209"/>
    <x v="209"/>
    <s v="REVENUS"/>
    <x v="2"/>
    <s v="4001.001"/>
    <s v="Impôt revenu"/>
    <n v="0"/>
    <n v="2179.35"/>
    <n v="4001"/>
  </r>
  <r>
    <x v="0"/>
    <x v="9"/>
    <x v="5"/>
    <x v="243"/>
    <x v="209"/>
    <x v="209"/>
    <s v="REVENUS"/>
    <x v="4"/>
    <s v="4051.001"/>
    <s v="Impôt sur les successions"/>
    <n v="0"/>
    <n v="3960"/>
    <n v="4051"/>
  </r>
  <r>
    <x v="0"/>
    <x v="9"/>
    <x v="5"/>
    <x v="243"/>
    <x v="209"/>
    <x v="209"/>
    <s v="REVENUS"/>
    <x v="6"/>
    <s v="4211.002"/>
    <s v="Intérêts de retard sur acomptes"/>
    <n v="0"/>
    <n v="11.46"/>
    <n v="4211"/>
  </r>
  <r>
    <x v="0"/>
    <x v="9"/>
    <x v="5"/>
    <x v="243"/>
    <x v="209"/>
    <x v="209"/>
    <s v="REVENUS"/>
    <x v="6"/>
    <s v="4211.001"/>
    <s v="Intérêts de retard sur factures"/>
    <n v="0"/>
    <n v="1.81"/>
    <n v="4211"/>
  </r>
  <r>
    <x v="0"/>
    <x v="9"/>
    <x v="5"/>
    <x v="243"/>
    <x v="209"/>
    <x v="209"/>
    <s v="REVENUS"/>
    <x v="2"/>
    <s v="4001.002"/>
    <s v="Impôt complément s/revenu PP"/>
    <n v="0"/>
    <n v="1090.9000000000001"/>
    <n v="4001"/>
  </r>
  <r>
    <x v="0"/>
    <x v="9"/>
    <x v="5"/>
    <x v="243"/>
    <x v="209"/>
    <x v="209"/>
    <s v="REVENUS"/>
    <x v="3"/>
    <s v="4002.002"/>
    <s v="Impôt complémentaire s/fortune PP"/>
    <n v="0"/>
    <n v="2004.4"/>
    <n v="4002"/>
  </r>
  <r>
    <x v="0"/>
    <x v="9"/>
    <x v="5"/>
    <x v="243"/>
    <x v="209"/>
    <x v="209"/>
    <s v="REVENUS"/>
    <x v="7"/>
    <s v="4184.000"/>
    <s v="Frais de poursuite"/>
    <n v="0"/>
    <n v="1.25"/>
    <n v="4184"/>
  </r>
  <r>
    <x v="0"/>
    <x v="9"/>
    <x v="5"/>
    <x v="243"/>
    <x v="209"/>
    <x v="209"/>
    <s v="REVENUS"/>
    <x v="3"/>
    <s v="4002.001"/>
    <s v="Impôt ordinaire s/fortune PP"/>
    <n v="0"/>
    <n v="454.3"/>
    <n v="4002"/>
  </r>
  <r>
    <x v="0"/>
    <x v="9"/>
    <x v="5"/>
    <x v="243"/>
    <x v="209"/>
    <x v="209"/>
    <s v="REVENUS"/>
    <x v="6"/>
    <s v="4211.001"/>
    <s v="Intérêts de retard sur factures"/>
    <n v="0"/>
    <n v="0.68"/>
    <n v="4211"/>
  </r>
  <r>
    <x v="0"/>
    <x v="9"/>
    <x v="5"/>
    <x v="243"/>
    <x v="209"/>
    <x v="209"/>
    <s v="REVENUS"/>
    <x v="2"/>
    <s v="4001.001"/>
    <s v="Impôt revenu"/>
    <n v="0"/>
    <n v="684.55"/>
    <n v="4001"/>
  </r>
  <r>
    <x v="0"/>
    <x v="9"/>
    <x v="5"/>
    <x v="243"/>
    <x v="209"/>
    <x v="209"/>
    <s v="REVENUS"/>
    <x v="3"/>
    <s v="4002.001"/>
    <s v="Impôt ordinaire s/fortune PP"/>
    <n v="0"/>
    <n v="641"/>
    <n v="4002"/>
  </r>
  <r>
    <x v="0"/>
    <x v="9"/>
    <x v="5"/>
    <x v="243"/>
    <x v="209"/>
    <x v="209"/>
    <s v="REVENUS"/>
    <x v="11"/>
    <s v="4198.000"/>
    <s v="Contributions communales"/>
    <n v="0"/>
    <n v="121005.7"/>
    <n v="4198"/>
  </r>
  <r>
    <x v="0"/>
    <x v="9"/>
    <x v="5"/>
    <x v="243"/>
    <x v="209"/>
    <x v="209"/>
    <s v="REVENUS"/>
    <x v="10"/>
    <s v="4041.002"/>
    <s v="Complément droit de mutation"/>
    <n v="0"/>
    <n v="1540"/>
    <n v="4041"/>
  </r>
  <r>
    <x v="0"/>
    <x v="9"/>
    <x v="5"/>
    <x v="244"/>
    <x v="210"/>
    <x v="210"/>
    <s v="CHARGES"/>
    <x v="1"/>
    <s v="3301.001"/>
    <s v="Défalcations, abandons de solde PP et IS"/>
    <n v="12855.09"/>
    <n v="0"/>
    <n v="3301"/>
  </r>
  <r>
    <x v="0"/>
    <x v="9"/>
    <x v="5"/>
    <x v="244"/>
    <x v="210"/>
    <x v="210"/>
    <s v="CHARGES"/>
    <x v="0"/>
    <s v="3212.002"/>
    <s v="Intérêts bonifiés/trop perçu acompte C/C"/>
    <n v="8.5500000000000007"/>
    <n v="0"/>
    <n v="3212"/>
  </r>
  <r>
    <x v="0"/>
    <x v="9"/>
    <x v="5"/>
    <x v="244"/>
    <x v="210"/>
    <x v="210"/>
    <s v="CHARGES"/>
    <x v="0"/>
    <s v="3212.004"/>
    <s v="Intérêts rémun./perçu trop tôt sur acomptes C/C"/>
    <n v="208.76"/>
    <n v="0"/>
    <n v="3212"/>
  </r>
  <r>
    <x v="0"/>
    <x v="9"/>
    <x v="5"/>
    <x v="244"/>
    <x v="210"/>
    <x v="210"/>
    <s v="CHARGES"/>
    <x v="0"/>
    <s v="3221.002"/>
    <s v="Intérêts compensatoires / créances en faveur ctb."/>
    <n v="78.09"/>
    <n v="0"/>
    <n v="3221"/>
  </r>
  <r>
    <x v="0"/>
    <x v="9"/>
    <x v="5"/>
    <x v="244"/>
    <x v="210"/>
    <x v="210"/>
    <s v="CHARGES"/>
    <x v="1"/>
    <s v="3301.001"/>
    <s v="Défalcations, abandons de solde PP et IS"/>
    <n v="0.78"/>
    <n v="0"/>
    <n v="3301"/>
  </r>
  <r>
    <x v="0"/>
    <x v="9"/>
    <x v="5"/>
    <x v="244"/>
    <x v="210"/>
    <x v="210"/>
    <s v="CHARGES"/>
    <x v="0"/>
    <s v="3212.004"/>
    <s v="Intérêts rémun./perçu trop tôt sur acomptes C/C"/>
    <n v="12.71"/>
    <n v="0"/>
    <n v="3212"/>
  </r>
  <r>
    <x v="0"/>
    <x v="9"/>
    <x v="5"/>
    <x v="244"/>
    <x v="210"/>
    <x v="210"/>
    <s v="CHARGES"/>
    <x v="0"/>
    <s v="3221.002"/>
    <s v="Intérêts compensatoires / créances en faveur ctb."/>
    <n v="1.07"/>
    <n v="0"/>
    <n v="3221"/>
  </r>
  <r>
    <x v="0"/>
    <x v="9"/>
    <x v="5"/>
    <x v="244"/>
    <x v="210"/>
    <x v="210"/>
    <s v="CHARGES"/>
    <x v="1"/>
    <s v="3301.001"/>
    <s v="Défalcations, abandons de solde PP et IS"/>
    <n v="0.26"/>
    <n v="0"/>
    <n v="3301"/>
  </r>
  <r>
    <x v="0"/>
    <x v="9"/>
    <x v="5"/>
    <x v="244"/>
    <x v="210"/>
    <x v="210"/>
    <s v="CHARGES"/>
    <x v="0"/>
    <s v="3212.004"/>
    <s v="Intérêts rémun./perçu trop tôt sur acomptes C/C"/>
    <n v="0.59"/>
    <n v="0"/>
    <n v="3212"/>
  </r>
  <r>
    <x v="0"/>
    <x v="9"/>
    <x v="5"/>
    <x v="244"/>
    <x v="210"/>
    <x v="210"/>
    <s v="CHARGES"/>
    <x v="0"/>
    <s v="3221.002"/>
    <s v="Intérêts compensatoires / créances en faveur ctb."/>
    <n v="7.0000000000000007E-2"/>
    <n v="0"/>
    <n v="3221"/>
  </r>
  <r>
    <x v="0"/>
    <x v="9"/>
    <x v="5"/>
    <x v="244"/>
    <x v="210"/>
    <x v="210"/>
    <s v="CHARGES"/>
    <x v="0"/>
    <s v="3221.002"/>
    <s v="Intérêts compensatoires / créances en faveur ctb."/>
    <n v="0.09"/>
    <n v="0"/>
    <n v="3221"/>
  </r>
  <r>
    <x v="0"/>
    <x v="9"/>
    <x v="5"/>
    <x v="244"/>
    <x v="210"/>
    <x v="210"/>
    <s v="CHARGES"/>
    <x v="0"/>
    <s v="3212.002"/>
    <s v="Intérêts bonifiés/trop perçu acompte C/C"/>
    <n v="0.34"/>
    <n v="0"/>
    <n v="3212"/>
  </r>
  <r>
    <x v="0"/>
    <x v="9"/>
    <x v="5"/>
    <x v="244"/>
    <x v="210"/>
    <x v="210"/>
    <s v="CHARGES"/>
    <x v="0"/>
    <s v="3212.004"/>
    <s v="Intérêts rémun./perçu trop tôt sur acomptes C/C"/>
    <n v="0.06"/>
    <n v="0"/>
    <n v="3212"/>
  </r>
  <r>
    <x v="0"/>
    <x v="9"/>
    <x v="5"/>
    <x v="244"/>
    <x v="210"/>
    <x v="210"/>
    <s v="CHARGES"/>
    <x v="1"/>
    <s v="3301.001"/>
    <s v="Défalcations, abandons de solde PP et IS"/>
    <n v="0.02"/>
    <n v="0"/>
    <n v="3301"/>
  </r>
  <r>
    <x v="0"/>
    <x v="9"/>
    <x v="5"/>
    <x v="244"/>
    <x v="210"/>
    <x v="210"/>
    <s v="CHARGES"/>
    <x v="0"/>
    <s v="3212.004"/>
    <s v="Intérêts rémun./perçu trop tôt sur acomptes C/C"/>
    <n v="1.1399999999999999"/>
    <n v="0"/>
    <n v="3212"/>
  </r>
  <r>
    <x v="0"/>
    <x v="9"/>
    <x v="5"/>
    <x v="244"/>
    <x v="210"/>
    <x v="210"/>
    <s v="CHARGES"/>
    <x v="0"/>
    <s v="3221.002"/>
    <s v="Intérêts compensatoires / créances en faveur ctb."/>
    <n v="0.46"/>
    <n v="0"/>
    <n v="3221"/>
  </r>
  <r>
    <x v="0"/>
    <x v="9"/>
    <x v="5"/>
    <x v="244"/>
    <x v="210"/>
    <x v="210"/>
    <s v="CHARGES"/>
    <x v="0"/>
    <s v="3212.004"/>
    <s v="Intérêts rémun./perçu trop tôt sur acomptes C/C"/>
    <n v="1.05"/>
    <n v="0"/>
    <n v="3212"/>
  </r>
  <r>
    <x v="0"/>
    <x v="9"/>
    <x v="5"/>
    <x v="244"/>
    <x v="210"/>
    <x v="210"/>
    <s v="CHARGES"/>
    <x v="0"/>
    <s v="3221.002"/>
    <s v="Intérêts compensatoires / créances en faveur ctb."/>
    <n v="0.3"/>
    <n v="0"/>
    <n v="3221"/>
  </r>
  <r>
    <x v="0"/>
    <x v="9"/>
    <x v="5"/>
    <x v="244"/>
    <x v="210"/>
    <x v="210"/>
    <s v="CHARGES"/>
    <x v="1"/>
    <s v="3301.001"/>
    <s v="Défalcations, abandons de solde PP et IS"/>
    <n v="0.83"/>
    <n v="0"/>
    <n v="3301"/>
  </r>
  <r>
    <x v="0"/>
    <x v="9"/>
    <x v="5"/>
    <x v="244"/>
    <x v="210"/>
    <x v="210"/>
    <s v="CHARGES"/>
    <x v="1"/>
    <s v="3301.003"/>
    <s v="Remises PP et IS"/>
    <n v="1532.77"/>
    <n v="0"/>
    <n v="3301"/>
  </r>
  <r>
    <x v="0"/>
    <x v="9"/>
    <x v="5"/>
    <x v="244"/>
    <x v="210"/>
    <x v="210"/>
    <s v="CHARGES"/>
    <x v="0"/>
    <s v="3212.004"/>
    <s v="Intérêts rémun./perçu trop tôt sur acomptes C/C"/>
    <n v="0.39"/>
    <n v="0"/>
    <n v="3212"/>
  </r>
  <r>
    <x v="0"/>
    <x v="9"/>
    <x v="5"/>
    <x v="244"/>
    <x v="210"/>
    <x v="210"/>
    <s v="CHARGES"/>
    <x v="1"/>
    <s v="3301.001"/>
    <s v="Défalcations, abandons de solde PP et IS"/>
    <n v="0.17"/>
    <n v="0"/>
    <n v="3301"/>
  </r>
  <r>
    <x v="0"/>
    <x v="9"/>
    <x v="5"/>
    <x v="244"/>
    <x v="210"/>
    <x v="210"/>
    <s v="CHARGES"/>
    <x v="0"/>
    <s v="3212.004"/>
    <s v="Intérêts rémun./perçu trop tôt sur acomptes C/C"/>
    <n v="0.01"/>
    <n v="0"/>
    <n v="3212"/>
  </r>
  <r>
    <x v="0"/>
    <x v="9"/>
    <x v="5"/>
    <x v="244"/>
    <x v="210"/>
    <x v="210"/>
    <s v="CHARGES"/>
    <x v="1"/>
    <s v="3301.001"/>
    <s v="Défalcations, abandons de solde PP et IS"/>
    <n v="0.06"/>
    <n v="0"/>
    <n v="3301"/>
  </r>
  <r>
    <x v="0"/>
    <x v="9"/>
    <x v="5"/>
    <x v="244"/>
    <x v="210"/>
    <x v="210"/>
    <s v="CHARGES"/>
    <x v="0"/>
    <s v="3221.002"/>
    <s v="Intérêts compensatoires / créances en faveur ctb."/>
    <n v="0.13"/>
    <n v="0"/>
    <n v="3221"/>
  </r>
  <r>
    <x v="0"/>
    <x v="9"/>
    <x v="5"/>
    <x v="244"/>
    <x v="210"/>
    <x v="210"/>
    <s v="REVENUS"/>
    <x v="6"/>
    <s v="4211.001"/>
    <s v="Intérêts de retard sur factures"/>
    <n v="0"/>
    <n v="5053.75"/>
    <n v="4211"/>
  </r>
  <r>
    <x v="0"/>
    <x v="9"/>
    <x v="5"/>
    <x v="244"/>
    <x v="210"/>
    <x v="210"/>
    <s v="REVENUS"/>
    <x v="2"/>
    <s v="4001.001"/>
    <s v="Impôt revenu"/>
    <n v="0"/>
    <n v="1503316.25"/>
    <n v="4001"/>
  </r>
  <r>
    <x v="0"/>
    <x v="9"/>
    <x v="5"/>
    <x v="244"/>
    <x v="210"/>
    <x v="210"/>
    <s v="REVENUS"/>
    <x v="2"/>
    <s v="4001.007"/>
    <s v="Acompte impôt sur revenu"/>
    <n v="0"/>
    <n v="-52975.87"/>
    <n v="4001"/>
  </r>
  <r>
    <x v="0"/>
    <x v="9"/>
    <x v="5"/>
    <x v="244"/>
    <x v="210"/>
    <x v="210"/>
    <s v="REVENUS"/>
    <x v="3"/>
    <s v="4002.001"/>
    <s v="Impôt ordinaire s/fortune PP"/>
    <n v="0"/>
    <n v="116827.95"/>
    <n v="4002"/>
  </r>
  <r>
    <x v="0"/>
    <x v="9"/>
    <x v="5"/>
    <x v="244"/>
    <x v="210"/>
    <x v="210"/>
    <s v="REVENUS"/>
    <x v="3"/>
    <s v="4002.007"/>
    <s v="Acompte impôt sur fortune"/>
    <n v="0"/>
    <n v="14634.54"/>
    <n v="4002"/>
  </r>
  <r>
    <x v="0"/>
    <x v="9"/>
    <x v="5"/>
    <x v="244"/>
    <x v="210"/>
    <x v="210"/>
    <s v="REVENUS"/>
    <x v="6"/>
    <s v="4211.002"/>
    <s v="Intérêts de retard sur acomptes"/>
    <n v="0"/>
    <n v="12798.49"/>
    <n v="4211"/>
  </r>
  <r>
    <x v="0"/>
    <x v="9"/>
    <x v="5"/>
    <x v="244"/>
    <x v="210"/>
    <x v="210"/>
    <s v="REVENUS"/>
    <x v="2"/>
    <s v="4001.001"/>
    <s v="Impôt revenu"/>
    <n v="0"/>
    <n v="15709.5"/>
    <n v="4001"/>
  </r>
  <r>
    <x v="0"/>
    <x v="9"/>
    <x v="5"/>
    <x v="244"/>
    <x v="210"/>
    <x v="210"/>
    <s v="REVENUS"/>
    <x v="3"/>
    <s v="4002.001"/>
    <s v="Impôt ordinaire s/fortune PP"/>
    <n v="0"/>
    <n v="7154.35"/>
    <n v="4002"/>
  </r>
  <r>
    <x v="0"/>
    <x v="9"/>
    <x v="5"/>
    <x v="244"/>
    <x v="210"/>
    <x v="210"/>
    <s v="REVENUS"/>
    <x v="6"/>
    <s v="4211.002"/>
    <s v="Intérêts de retard sur acomptes"/>
    <n v="0"/>
    <n v="15.8"/>
    <n v="4211"/>
  </r>
  <r>
    <x v="0"/>
    <x v="9"/>
    <x v="5"/>
    <x v="244"/>
    <x v="210"/>
    <x v="210"/>
    <s v="REVENUS"/>
    <x v="2"/>
    <s v="4001.002"/>
    <s v="Impôt complément s/revenu PP"/>
    <n v="0"/>
    <n v="351133.65"/>
    <n v="4001"/>
  </r>
  <r>
    <x v="0"/>
    <x v="9"/>
    <x v="5"/>
    <x v="244"/>
    <x v="210"/>
    <x v="210"/>
    <s v="REVENUS"/>
    <x v="9"/>
    <s v="4031.001"/>
    <s v="Impôt sur les gains immobiliers"/>
    <n v="0"/>
    <n v="58860.95"/>
    <n v="4031"/>
  </r>
  <r>
    <x v="0"/>
    <x v="9"/>
    <x v="5"/>
    <x v="244"/>
    <x v="210"/>
    <x v="210"/>
    <s v="REVENUS"/>
    <x v="6"/>
    <s v="4221.003"/>
    <s v="Intérêts compensat. / acomptes en faveur du fisc"/>
    <n v="0"/>
    <n v="445.44"/>
    <n v="4221"/>
  </r>
  <r>
    <x v="0"/>
    <x v="9"/>
    <x v="5"/>
    <x v="244"/>
    <x v="210"/>
    <x v="210"/>
    <s v="REVENUS"/>
    <x v="2"/>
    <s v="4001.001"/>
    <s v="Impôt revenu"/>
    <n v="0"/>
    <n v="-59405.2"/>
    <n v="4001"/>
  </r>
  <r>
    <x v="0"/>
    <x v="9"/>
    <x v="5"/>
    <x v="244"/>
    <x v="210"/>
    <x v="210"/>
    <s v="REVENUS"/>
    <x v="7"/>
    <s v="4184.000"/>
    <s v="Frais de poursuite"/>
    <n v="0"/>
    <n v="1885.93"/>
    <n v="4184"/>
  </r>
  <r>
    <x v="0"/>
    <x v="9"/>
    <x v="5"/>
    <x v="244"/>
    <x v="210"/>
    <x v="210"/>
    <s v="REVENUS"/>
    <x v="6"/>
    <s v="4221.002"/>
    <s v="Intérêts compensat. sur impôts distincts"/>
    <n v="0"/>
    <n v="50.79"/>
    <n v="4221"/>
  </r>
  <r>
    <x v="0"/>
    <x v="9"/>
    <x v="5"/>
    <x v="244"/>
    <x v="210"/>
    <x v="210"/>
    <s v="REVENUS"/>
    <x v="6"/>
    <s v="4211.001"/>
    <s v="Intérêts de retard sur factures"/>
    <n v="0"/>
    <n v="1.22"/>
    <n v="4211"/>
  </r>
  <r>
    <x v="0"/>
    <x v="9"/>
    <x v="5"/>
    <x v="244"/>
    <x v="210"/>
    <x v="210"/>
    <s v="REVENUS"/>
    <x v="6"/>
    <s v="4211.001"/>
    <s v="Intérêts de retard sur factures"/>
    <n v="0"/>
    <n v="3.7"/>
    <n v="4211"/>
  </r>
  <r>
    <x v="0"/>
    <x v="9"/>
    <x v="5"/>
    <x v="244"/>
    <x v="210"/>
    <x v="210"/>
    <s v="REVENUS"/>
    <x v="2"/>
    <s v="4001.007"/>
    <s v="Acompte impôt sur revenu"/>
    <n v="0"/>
    <n v="-1340.55"/>
    <n v="4001"/>
  </r>
  <r>
    <x v="0"/>
    <x v="9"/>
    <x v="5"/>
    <x v="244"/>
    <x v="210"/>
    <x v="210"/>
    <s v="REVENUS"/>
    <x v="3"/>
    <s v="4002.007"/>
    <s v="Acompte impôt sur fortune"/>
    <n v="0"/>
    <n v="-2794.45"/>
    <n v="4002"/>
  </r>
  <r>
    <x v="0"/>
    <x v="9"/>
    <x v="5"/>
    <x v="244"/>
    <x v="210"/>
    <x v="210"/>
    <s v="REVENUS"/>
    <x v="2"/>
    <s v="4001.007"/>
    <s v="Acompte impôt sur revenu"/>
    <n v="0"/>
    <n v="4647.6899999999996"/>
    <n v="4001"/>
  </r>
  <r>
    <x v="0"/>
    <x v="9"/>
    <x v="5"/>
    <x v="244"/>
    <x v="210"/>
    <x v="210"/>
    <s v="REVENUS"/>
    <x v="3"/>
    <s v="4002.002"/>
    <s v="Impôt complémentaire s/fortune PP"/>
    <n v="0"/>
    <n v="21846.799999999999"/>
    <n v="4002"/>
  </r>
  <r>
    <x v="0"/>
    <x v="9"/>
    <x v="5"/>
    <x v="244"/>
    <x v="210"/>
    <x v="210"/>
    <s v="REVENUS"/>
    <x v="2"/>
    <s v="4001.007"/>
    <s v="Acompte impôt sur revenu"/>
    <n v="0"/>
    <n v="146.69999999999999"/>
    <n v="4001"/>
  </r>
  <r>
    <x v="0"/>
    <x v="9"/>
    <x v="5"/>
    <x v="244"/>
    <x v="210"/>
    <x v="210"/>
    <s v="REVENUS"/>
    <x v="3"/>
    <s v="4002.007"/>
    <s v="Acompte impôt sur fortune"/>
    <n v="0"/>
    <n v="43.7"/>
    <n v="4002"/>
  </r>
  <r>
    <x v="0"/>
    <x v="9"/>
    <x v="5"/>
    <x v="244"/>
    <x v="210"/>
    <x v="210"/>
    <s v="REVENUS"/>
    <x v="2"/>
    <s v="4001.003"/>
    <s v="Impôt s/prest. cap. PP"/>
    <n v="0"/>
    <n v="64288.25"/>
    <n v="4001"/>
  </r>
  <r>
    <x v="0"/>
    <x v="9"/>
    <x v="5"/>
    <x v="244"/>
    <x v="210"/>
    <x v="210"/>
    <s v="REVENUS"/>
    <x v="3"/>
    <s v="4002.007"/>
    <s v="Acompte impôt sur fortune"/>
    <n v="0"/>
    <n v="1371.63"/>
    <n v="4002"/>
  </r>
  <r>
    <x v="0"/>
    <x v="9"/>
    <x v="5"/>
    <x v="244"/>
    <x v="210"/>
    <x v="210"/>
    <s v="REVENUS"/>
    <x v="3"/>
    <s v="4002.007"/>
    <s v="Acompte impôt sur fortune"/>
    <n v="0"/>
    <n v="-227.49"/>
    <n v="4002"/>
  </r>
  <r>
    <x v="0"/>
    <x v="9"/>
    <x v="5"/>
    <x v="244"/>
    <x v="210"/>
    <x v="210"/>
    <s v="REVENUS"/>
    <x v="2"/>
    <s v="4001.007"/>
    <s v="Acompte impôt sur revenu"/>
    <n v="0"/>
    <n v="-1502.55"/>
    <n v="4001"/>
  </r>
  <r>
    <x v="0"/>
    <x v="9"/>
    <x v="5"/>
    <x v="244"/>
    <x v="210"/>
    <x v="210"/>
    <s v="REVENUS"/>
    <x v="2"/>
    <s v="4001.007"/>
    <s v="Acompte impôt sur revenu"/>
    <n v="0"/>
    <n v="57.05"/>
    <n v="4001"/>
  </r>
  <r>
    <x v="0"/>
    <x v="9"/>
    <x v="5"/>
    <x v="244"/>
    <x v="210"/>
    <x v="210"/>
    <s v="REVENUS"/>
    <x v="2"/>
    <s v="4001.007"/>
    <s v="Acompte impôt sur revenu"/>
    <n v="0"/>
    <n v="-175.01"/>
    <n v="4001"/>
  </r>
  <r>
    <x v="0"/>
    <x v="9"/>
    <x v="5"/>
    <x v="244"/>
    <x v="210"/>
    <x v="210"/>
    <s v="REVENUS"/>
    <x v="3"/>
    <s v="4002.007"/>
    <s v="Acompte impôt sur fortune"/>
    <n v="0"/>
    <n v="601.6"/>
    <n v="4002"/>
  </r>
  <r>
    <x v="0"/>
    <x v="9"/>
    <x v="5"/>
    <x v="244"/>
    <x v="210"/>
    <x v="210"/>
    <s v="REVENUS"/>
    <x v="2"/>
    <s v="4001.007"/>
    <s v="Acompte impôt sur revenu"/>
    <n v="0"/>
    <n v="-144.44999999999999"/>
    <n v="4001"/>
  </r>
  <r>
    <x v="0"/>
    <x v="9"/>
    <x v="5"/>
    <x v="244"/>
    <x v="210"/>
    <x v="210"/>
    <s v="REVENUS"/>
    <x v="3"/>
    <s v="4002.001"/>
    <s v="Impôt ordinaire s/fortune PP"/>
    <n v="0"/>
    <n v="890.15"/>
    <n v="4002"/>
  </r>
  <r>
    <x v="0"/>
    <x v="9"/>
    <x v="5"/>
    <x v="244"/>
    <x v="210"/>
    <x v="210"/>
    <s v="REVENUS"/>
    <x v="3"/>
    <s v="4002.007"/>
    <s v="Acompte impôt sur fortune"/>
    <n v="0"/>
    <n v="-285"/>
    <n v="4002"/>
  </r>
  <r>
    <x v="0"/>
    <x v="9"/>
    <x v="5"/>
    <x v="244"/>
    <x v="210"/>
    <x v="210"/>
    <s v="REVENUS"/>
    <x v="10"/>
    <s v="4041.001"/>
    <s v="Droits de mutation"/>
    <n v="0"/>
    <n v="51825.4"/>
    <n v="4041"/>
  </r>
  <r>
    <x v="0"/>
    <x v="9"/>
    <x v="5"/>
    <x v="244"/>
    <x v="210"/>
    <x v="210"/>
    <s v="REVENUS"/>
    <x v="2"/>
    <s v="4001.007"/>
    <s v="Acompte impôt sur revenu"/>
    <n v="0"/>
    <n v="-10479.299999999999"/>
    <n v="4001"/>
  </r>
  <r>
    <x v="0"/>
    <x v="9"/>
    <x v="5"/>
    <x v="244"/>
    <x v="210"/>
    <x v="210"/>
    <s v="REVENUS"/>
    <x v="6"/>
    <s v="4221.003"/>
    <s v="Intérêts compensat. / acomptes en faveur du fisc"/>
    <n v="0"/>
    <n v="0.02"/>
    <n v="4221"/>
  </r>
  <r>
    <x v="0"/>
    <x v="9"/>
    <x v="5"/>
    <x v="244"/>
    <x v="210"/>
    <x v="210"/>
    <s v="REVENUS"/>
    <x v="2"/>
    <s v="4001.001"/>
    <s v="Impôt revenu"/>
    <n v="0"/>
    <n v="4529.7"/>
    <n v="4001"/>
  </r>
  <r>
    <x v="0"/>
    <x v="9"/>
    <x v="5"/>
    <x v="244"/>
    <x v="210"/>
    <x v="210"/>
    <s v="REVENUS"/>
    <x v="3"/>
    <s v="4002.001"/>
    <s v="Impôt ordinaire s/fortune PP"/>
    <n v="0"/>
    <n v="3408.65"/>
    <n v="4002"/>
  </r>
  <r>
    <x v="0"/>
    <x v="9"/>
    <x v="5"/>
    <x v="244"/>
    <x v="210"/>
    <x v="210"/>
    <s v="REVENUS"/>
    <x v="2"/>
    <s v="4001.001"/>
    <s v="Impôt revenu"/>
    <n v="0"/>
    <n v="2998.4"/>
    <n v="4001"/>
  </r>
  <r>
    <x v="0"/>
    <x v="9"/>
    <x v="5"/>
    <x v="244"/>
    <x v="210"/>
    <x v="210"/>
    <s v="REVENUS"/>
    <x v="3"/>
    <s v="4002.007"/>
    <s v="Acompte impôt sur fortune"/>
    <n v="0"/>
    <n v="-2435.6999999999998"/>
    <n v="4002"/>
  </r>
  <r>
    <x v="0"/>
    <x v="9"/>
    <x v="5"/>
    <x v="244"/>
    <x v="210"/>
    <x v="210"/>
    <s v="REVENUS"/>
    <x v="7"/>
    <s v="4184.000"/>
    <s v="Frais de poursuite"/>
    <n v="0"/>
    <n v="29.39"/>
    <n v="4184"/>
  </r>
  <r>
    <x v="0"/>
    <x v="9"/>
    <x v="5"/>
    <x v="244"/>
    <x v="210"/>
    <x v="210"/>
    <s v="REVENUS"/>
    <x v="8"/>
    <s v="4091.001"/>
    <s v="Impôt récupéré après défalcations"/>
    <n v="0"/>
    <n v="21672.13"/>
    <n v="4091"/>
  </r>
  <r>
    <x v="0"/>
    <x v="9"/>
    <x v="5"/>
    <x v="244"/>
    <x v="210"/>
    <x v="210"/>
    <s v="REVENUS"/>
    <x v="3"/>
    <s v="4002.001"/>
    <s v="Impôt ordinaire s/fortune PP"/>
    <n v="0"/>
    <n v="452.3"/>
    <n v="4002"/>
  </r>
  <r>
    <x v="0"/>
    <x v="9"/>
    <x v="5"/>
    <x v="244"/>
    <x v="210"/>
    <x v="210"/>
    <s v="REVENUS"/>
    <x v="6"/>
    <s v="4221.003"/>
    <s v="Intérêts compensat. / acomptes en faveur du fisc"/>
    <n v="0"/>
    <n v="0.83"/>
    <n v="4221"/>
  </r>
  <r>
    <x v="0"/>
    <x v="9"/>
    <x v="5"/>
    <x v="244"/>
    <x v="210"/>
    <x v="210"/>
    <s v="REVENUS"/>
    <x v="2"/>
    <s v="4001.001"/>
    <s v="Impôt revenu"/>
    <n v="0"/>
    <n v="1642.75"/>
    <n v="4001"/>
  </r>
  <r>
    <x v="0"/>
    <x v="9"/>
    <x v="5"/>
    <x v="244"/>
    <x v="210"/>
    <x v="210"/>
    <s v="REVENUS"/>
    <x v="6"/>
    <s v="4211.002"/>
    <s v="Intérêts de retard sur acomptes"/>
    <n v="0"/>
    <n v="38.44"/>
    <n v="4211"/>
  </r>
  <r>
    <x v="0"/>
    <x v="9"/>
    <x v="5"/>
    <x v="244"/>
    <x v="210"/>
    <x v="210"/>
    <s v="REVENUS"/>
    <x v="6"/>
    <s v="4221.003"/>
    <s v="Intérêts compensat. / acomptes en faveur du fisc"/>
    <n v="0"/>
    <n v="0.74"/>
    <n v="4221"/>
  </r>
  <r>
    <x v="0"/>
    <x v="9"/>
    <x v="5"/>
    <x v="244"/>
    <x v="210"/>
    <x v="210"/>
    <s v="REVENUS"/>
    <x v="7"/>
    <s v="4184.000"/>
    <s v="Frais de poursuite"/>
    <n v="0"/>
    <n v="93.93"/>
    <n v="4184"/>
  </r>
  <r>
    <x v="0"/>
    <x v="9"/>
    <x v="5"/>
    <x v="244"/>
    <x v="210"/>
    <x v="210"/>
    <s v="REVENUS"/>
    <x v="6"/>
    <s v="4221.003"/>
    <s v="Intérêts compensat. / acomptes en faveur du fisc"/>
    <n v="0"/>
    <n v="2.1800000000000002"/>
    <n v="4221"/>
  </r>
  <r>
    <x v="0"/>
    <x v="9"/>
    <x v="5"/>
    <x v="244"/>
    <x v="210"/>
    <x v="210"/>
    <s v="REVENUS"/>
    <x v="4"/>
    <s v="4051.001"/>
    <s v="Impôt sur les successions"/>
    <n v="0"/>
    <n v="248400"/>
    <n v="4051"/>
  </r>
  <r>
    <x v="0"/>
    <x v="9"/>
    <x v="5"/>
    <x v="244"/>
    <x v="210"/>
    <x v="210"/>
    <s v="REVENUS"/>
    <x v="3"/>
    <s v="4002.007"/>
    <s v="Acompte impôt sur fortune"/>
    <n v="0"/>
    <n v="124.35"/>
    <n v="4002"/>
  </r>
  <r>
    <x v="0"/>
    <x v="9"/>
    <x v="5"/>
    <x v="244"/>
    <x v="210"/>
    <x v="210"/>
    <s v="REVENUS"/>
    <x v="6"/>
    <s v="4211.002"/>
    <s v="Intérêts de retard sur acomptes"/>
    <n v="0"/>
    <n v="2.5"/>
    <n v="4211"/>
  </r>
  <r>
    <x v="0"/>
    <x v="9"/>
    <x v="5"/>
    <x v="244"/>
    <x v="210"/>
    <x v="210"/>
    <s v="REVENUS"/>
    <x v="2"/>
    <s v="4001.002"/>
    <s v="Impôt complément s/revenu PP"/>
    <n v="0"/>
    <n v="7783.15"/>
    <n v="4001"/>
  </r>
  <r>
    <x v="0"/>
    <x v="9"/>
    <x v="5"/>
    <x v="244"/>
    <x v="210"/>
    <x v="210"/>
    <s v="REVENUS"/>
    <x v="4"/>
    <s v="4051.002"/>
    <s v="Impôt sur les donations"/>
    <n v="0"/>
    <n v="1749"/>
    <n v="4051"/>
  </r>
  <r>
    <x v="0"/>
    <x v="9"/>
    <x v="5"/>
    <x v="244"/>
    <x v="210"/>
    <x v="210"/>
    <s v="REVENUS"/>
    <x v="6"/>
    <s v="4211.001"/>
    <s v="Intérêts de retard sur factures"/>
    <n v="0"/>
    <n v="0"/>
    <n v="4211"/>
  </r>
  <r>
    <x v="0"/>
    <x v="9"/>
    <x v="5"/>
    <x v="244"/>
    <x v="210"/>
    <x v="210"/>
    <s v="REVENUS"/>
    <x v="3"/>
    <s v="4002.001"/>
    <s v="Impôt ordinaire s/fortune PP"/>
    <n v="0"/>
    <n v="156.5"/>
    <n v="4002"/>
  </r>
  <r>
    <x v="0"/>
    <x v="9"/>
    <x v="5"/>
    <x v="244"/>
    <x v="210"/>
    <x v="210"/>
    <s v="REVENUS"/>
    <x v="6"/>
    <s v="4221.003"/>
    <s v="Intérêts compensat. / acomptes en faveur du fisc"/>
    <n v="0"/>
    <n v="0.17"/>
    <n v="4221"/>
  </r>
  <r>
    <x v="0"/>
    <x v="9"/>
    <x v="5"/>
    <x v="244"/>
    <x v="210"/>
    <x v="210"/>
    <s v="REVENUS"/>
    <x v="2"/>
    <s v="4001.001"/>
    <s v="Impôt revenu"/>
    <n v="0"/>
    <n v="207.2"/>
    <n v="4001"/>
  </r>
  <r>
    <x v="0"/>
    <x v="9"/>
    <x v="5"/>
    <x v="244"/>
    <x v="210"/>
    <x v="210"/>
    <s v="REVENUS"/>
    <x v="6"/>
    <s v="4221.003"/>
    <s v="Intérêts compensat. / acomptes en faveur du fisc"/>
    <n v="0"/>
    <n v="0.06"/>
    <n v="4221"/>
  </r>
  <r>
    <x v="0"/>
    <x v="9"/>
    <x v="5"/>
    <x v="244"/>
    <x v="210"/>
    <x v="210"/>
    <s v="REVENUS"/>
    <x v="3"/>
    <s v="4002.002"/>
    <s v="Impôt complémentaire s/fortune PP"/>
    <n v="0"/>
    <n v="276.60000000000002"/>
    <n v="4002"/>
  </r>
  <r>
    <x v="0"/>
    <x v="9"/>
    <x v="5"/>
    <x v="244"/>
    <x v="210"/>
    <x v="210"/>
    <s v="REVENUS"/>
    <x v="2"/>
    <s v="4001.001"/>
    <s v="Impôt revenu"/>
    <n v="0"/>
    <n v="2.9"/>
    <n v="4001"/>
  </r>
  <r>
    <x v="0"/>
    <x v="9"/>
    <x v="5"/>
    <x v="244"/>
    <x v="210"/>
    <x v="210"/>
    <s v="REVENUS"/>
    <x v="2"/>
    <s v="4001.002"/>
    <s v="Impôt complément s/revenu PP"/>
    <n v="0"/>
    <n v="728.6"/>
    <n v="4001"/>
  </r>
  <r>
    <x v="0"/>
    <x v="9"/>
    <x v="5"/>
    <x v="244"/>
    <x v="210"/>
    <x v="210"/>
    <s v="REVENUS"/>
    <x v="6"/>
    <s v="4211.001"/>
    <s v="Intérêts de retard sur factures"/>
    <n v="0"/>
    <n v="0.52"/>
    <n v="4211"/>
  </r>
  <r>
    <x v="0"/>
    <x v="9"/>
    <x v="5"/>
    <x v="245"/>
    <x v="211"/>
    <x v="211"/>
    <s v="CHARGES"/>
    <x v="0"/>
    <s v="3212.004"/>
    <s v="Intérêts rémun./perçu trop tôt sur acomptes C/C"/>
    <n v="118.81"/>
    <n v="0"/>
    <n v="3212"/>
  </r>
  <r>
    <x v="0"/>
    <x v="9"/>
    <x v="5"/>
    <x v="245"/>
    <x v="211"/>
    <x v="211"/>
    <s v="CHARGES"/>
    <x v="0"/>
    <s v="3221.002"/>
    <s v="Intérêts compensatoires / créances en faveur ctb."/>
    <n v="111.81"/>
    <n v="0"/>
    <n v="3221"/>
  </r>
  <r>
    <x v="0"/>
    <x v="9"/>
    <x v="5"/>
    <x v="245"/>
    <x v="211"/>
    <x v="211"/>
    <s v="CHARGES"/>
    <x v="1"/>
    <s v="3301.001"/>
    <s v="Défalcations, abandons de solde PP et IS"/>
    <n v="78.599999999999994"/>
    <n v="0"/>
    <n v="3301"/>
  </r>
  <r>
    <x v="0"/>
    <x v="9"/>
    <x v="5"/>
    <x v="245"/>
    <x v="211"/>
    <x v="211"/>
    <s v="CHARGES"/>
    <x v="1"/>
    <s v="3301.001"/>
    <s v="Défalcations, abandons de solde PP et IS"/>
    <n v="0"/>
    <n v="0"/>
    <n v="3301"/>
  </r>
  <r>
    <x v="0"/>
    <x v="9"/>
    <x v="5"/>
    <x v="245"/>
    <x v="211"/>
    <x v="211"/>
    <s v="CHARGES"/>
    <x v="0"/>
    <s v="3221.002"/>
    <s v="Intérêts compensatoires / créances en faveur ctb."/>
    <n v="0.02"/>
    <n v="0"/>
    <n v="3221"/>
  </r>
  <r>
    <x v="0"/>
    <x v="9"/>
    <x v="5"/>
    <x v="245"/>
    <x v="211"/>
    <x v="211"/>
    <s v="CHARGES"/>
    <x v="0"/>
    <s v="3212.002"/>
    <s v="Intérêts bonifiés/trop perçu acompte C/C"/>
    <n v="0.01"/>
    <n v="0"/>
    <n v="3212"/>
  </r>
  <r>
    <x v="0"/>
    <x v="9"/>
    <x v="5"/>
    <x v="245"/>
    <x v="211"/>
    <x v="211"/>
    <s v="CHARGES"/>
    <x v="0"/>
    <s v="3212.004"/>
    <s v="Intérêts rémun./perçu trop tôt sur acomptes C/C"/>
    <n v="0.01"/>
    <n v="0"/>
    <n v="3212"/>
  </r>
  <r>
    <x v="0"/>
    <x v="9"/>
    <x v="5"/>
    <x v="245"/>
    <x v="211"/>
    <x v="211"/>
    <s v="CHARGES"/>
    <x v="1"/>
    <s v="3301.001"/>
    <s v="Défalcations, abandons de solde PP et IS"/>
    <n v="0.04"/>
    <n v="0"/>
    <n v="3301"/>
  </r>
  <r>
    <x v="0"/>
    <x v="9"/>
    <x v="5"/>
    <x v="245"/>
    <x v="211"/>
    <x v="211"/>
    <s v="CHARGES"/>
    <x v="0"/>
    <s v="3212.004"/>
    <s v="Intérêts rémun./perçu trop tôt sur acomptes C/C"/>
    <n v="0.04"/>
    <n v="0"/>
    <n v="3212"/>
  </r>
  <r>
    <x v="0"/>
    <x v="9"/>
    <x v="5"/>
    <x v="245"/>
    <x v="211"/>
    <x v="211"/>
    <s v="CHARGES"/>
    <x v="0"/>
    <s v="3212.004"/>
    <s v="Intérêts rémun./perçu trop tôt sur acomptes C/C"/>
    <n v="0.28999999999999998"/>
    <n v="0"/>
    <n v="3212"/>
  </r>
  <r>
    <x v="0"/>
    <x v="9"/>
    <x v="5"/>
    <x v="245"/>
    <x v="211"/>
    <x v="211"/>
    <s v="CHARGES"/>
    <x v="0"/>
    <s v="3221.002"/>
    <s v="Intérêts compensatoires / créances en faveur ctb."/>
    <n v="7.0000000000000007E-2"/>
    <n v="0"/>
    <n v="3221"/>
  </r>
  <r>
    <x v="0"/>
    <x v="9"/>
    <x v="5"/>
    <x v="245"/>
    <x v="211"/>
    <x v="211"/>
    <s v="CHARGES"/>
    <x v="0"/>
    <s v="3212.002"/>
    <s v="Intérêts bonifiés/trop perçu acompte C/C"/>
    <n v="6.91"/>
    <n v="0"/>
    <n v="3212"/>
  </r>
  <r>
    <x v="0"/>
    <x v="9"/>
    <x v="5"/>
    <x v="245"/>
    <x v="211"/>
    <x v="211"/>
    <s v="REVENUS"/>
    <x v="2"/>
    <s v="4001.001"/>
    <s v="Impôt revenu"/>
    <n v="0"/>
    <n v="293883.59999999998"/>
    <n v="4001"/>
  </r>
  <r>
    <x v="0"/>
    <x v="9"/>
    <x v="5"/>
    <x v="245"/>
    <x v="211"/>
    <x v="211"/>
    <s v="REVENUS"/>
    <x v="2"/>
    <s v="4001.002"/>
    <s v="Impôt complément s/revenu PP"/>
    <n v="0"/>
    <n v="51447.95"/>
    <n v="4001"/>
  </r>
  <r>
    <x v="0"/>
    <x v="9"/>
    <x v="5"/>
    <x v="245"/>
    <x v="211"/>
    <x v="211"/>
    <s v="REVENUS"/>
    <x v="6"/>
    <s v="4211.001"/>
    <s v="Intérêts de retard sur factures"/>
    <n v="0"/>
    <n v="257.64"/>
    <n v="4211"/>
  </r>
  <r>
    <x v="0"/>
    <x v="9"/>
    <x v="5"/>
    <x v="245"/>
    <x v="211"/>
    <x v="211"/>
    <s v="REVENUS"/>
    <x v="6"/>
    <s v="4211.002"/>
    <s v="Intérêts de retard sur acomptes"/>
    <n v="0"/>
    <n v="2506.25"/>
    <n v="4211"/>
  </r>
  <r>
    <x v="0"/>
    <x v="9"/>
    <x v="5"/>
    <x v="245"/>
    <x v="211"/>
    <x v="211"/>
    <s v="REVENUS"/>
    <x v="3"/>
    <s v="4002.001"/>
    <s v="Impôt ordinaire s/fortune PP"/>
    <n v="0"/>
    <n v="42085.4"/>
    <n v="4002"/>
  </r>
  <r>
    <x v="0"/>
    <x v="9"/>
    <x v="5"/>
    <x v="245"/>
    <x v="211"/>
    <x v="211"/>
    <s v="REVENUS"/>
    <x v="6"/>
    <s v="4221.003"/>
    <s v="Intérêts compensat. / acomptes en faveur du fisc"/>
    <n v="0"/>
    <n v="16.920000000000002"/>
    <n v="4221"/>
  </r>
  <r>
    <x v="0"/>
    <x v="9"/>
    <x v="5"/>
    <x v="245"/>
    <x v="211"/>
    <x v="211"/>
    <s v="REVENUS"/>
    <x v="2"/>
    <s v="4001.007"/>
    <s v="Acompte impôt sur revenu"/>
    <n v="0"/>
    <n v="-55057.88"/>
    <n v="4001"/>
  </r>
  <r>
    <x v="0"/>
    <x v="9"/>
    <x v="5"/>
    <x v="245"/>
    <x v="211"/>
    <x v="211"/>
    <s v="REVENUS"/>
    <x v="3"/>
    <s v="4002.007"/>
    <s v="Acompte impôt sur fortune"/>
    <n v="0"/>
    <n v="-16530.07"/>
    <n v="4002"/>
  </r>
  <r>
    <x v="0"/>
    <x v="9"/>
    <x v="5"/>
    <x v="245"/>
    <x v="211"/>
    <x v="211"/>
    <s v="REVENUS"/>
    <x v="10"/>
    <s v="4041.001"/>
    <s v="Droits de mutation"/>
    <n v="0"/>
    <n v="26165.599999999999"/>
    <n v="4041"/>
  </r>
  <r>
    <x v="0"/>
    <x v="9"/>
    <x v="5"/>
    <x v="245"/>
    <x v="211"/>
    <x v="211"/>
    <s v="REVENUS"/>
    <x v="2"/>
    <s v="4001.003"/>
    <s v="Impôt s/prest. cap. PP"/>
    <n v="0"/>
    <n v="5057.3999999999996"/>
    <n v="4001"/>
  </r>
  <r>
    <x v="0"/>
    <x v="9"/>
    <x v="5"/>
    <x v="245"/>
    <x v="211"/>
    <x v="211"/>
    <s v="REVENUS"/>
    <x v="3"/>
    <s v="4002.002"/>
    <s v="Impôt complémentaire s/fortune PP"/>
    <n v="0"/>
    <n v="1927.15"/>
    <n v="4002"/>
  </r>
  <r>
    <x v="0"/>
    <x v="9"/>
    <x v="5"/>
    <x v="245"/>
    <x v="211"/>
    <x v="211"/>
    <s v="REVENUS"/>
    <x v="3"/>
    <s v="4002.001"/>
    <s v="Impôt ordinaire s/fortune PP"/>
    <n v="0"/>
    <n v="596.20000000000005"/>
    <n v="4002"/>
  </r>
  <r>
    <x v="0"/>
    <x v="9"/>
    <x v="5"/>
    <x v="245"/>
    <x v="211"/>
    <x v="211"/>
    <s v="REVENUS"/>
    <x v="3"/>
    <s v="4002.002"/>
    <s v="Impôt complémentaire s/fortune PP"/>
    <n v="0"/>
    <n v="105.95"/>
    <n v="4002"/>
  </r>
  <r>
    <x v="0"/>
    <x v="9"/>
    <x v="5"/>
    <x v="245"/>
    <x v="211"/>
    <x v="211"/>
    <s v="REVENUS"/>
    <x v="6"/>
    <s v="4221.003"/>
    <s v="Intérêts compensat. / acomptes en faveur du fisc"/>
    <n v="0"/>
    <n v="0"/>
    <n v="4221"/>
  </r>
  <r>
    <x v="0"/>
    <x v="9"/>
    <x v="5"/>
    <x v="245"/>
    <x v="211"/>
    <x v="211"/>
    <s v="REVENUS"/>
    <x v="7"/>
    <s v="4184.000"/>
    <s v="Frais de poursuite"/>
    <n v="0"/>
    <n v="185.69"/>
    <n v="4184"/>
  </r>
  <r>
    <x v="0"/>
    <x v="9"/>
    <x v="5"/>
    <x v="245"/>
    <x v="211"/>
    <x v="211"/>
    <s v="REVENUS"/>
    <x v="3"/>
    <s v="4002.007"/>
    <s v="Acompte impôt sur fortune"/>
    <n v="0"/>
    <n v="-378.65"/>
    <n v="4002"/>
  </r>
  <r>
    <x v="0"/>
    <x v="9"/>
    <x v="5"/>
    <x v="245"/>
    <x v="211"/>
    <x v="211"/>
    <s v="REVENUS"/>
    <x v="2"/>
    <s v="4001.007"/>
    <s v="Acompte impôt sur revenu"/>
    <n v="0"/>
    <n v="663.95"/>
    <n v="4001"/>
  </r>
  <r>
    <x v="0"/>
    <x v="9"/>
    <x v="5"/>
    <x v="245"/>
    <x v="211"/>
    <x v="211"/>
    <s v="REVENUS"/>
    <x v="3"/>
    <s v="4002.007"/>
    <s v="Acompte impôt sur fortune"/>
    <n v="0"/>
    <n v="479.8"/>
    <n v="4002"/>
  </r>
  <r>
    <x v="0"/>
    <x v="9"/>
    <x v="5"/>
    <x v="245"/>
    <x v="211"/>
    <x v="211"/>
    <s v="REVENUS"/>
    <x v="3"/>
    <s v="4002.007"/>
    <s v="Acompte impôt sur fortune"/>
    <n v="0"/>
    <n v="5.25"/>
    <n v="4002"/>
  </r>
  <r>
    <x v="0"/>
    <x v="9"/>
    <x v="5"/>
    <x v="245"/>
    <x v="211"/>
    <x v="211"/>
    <s v="REVENUS"/>
    <x v="2"/>
    <s v="4001.007"/>
    <s v="Acompte impôt sur revenu"/>
    <n v="0"/>
    <n v="-869.95"/>
    <n v="4001"/>
  </r>
  <r>
    <x v="0"/>
    <x v="9"/>
    <x v="5"/>
    <x v="245"/>
    <x v="211"/>
    <x v="211"/>
    <s v="REVENUS"/>
    <x v="2"/>
    <s v="4001.007"/>
    <s v="Acompte impôt sur revenu"/>
    <n v="0"/>
    <n v="30.3"/>
    <n v="4001"/>
  </r>
  <r>
    <x v="0"/>
    <x v="9"/>
    <x v="5"/>
    <x v="245"/>
    <x v="211"/>
    <x v="211"/>
    <s v="REVENUS"/>
    <x v="2"/>
    <s v="4001.001"/>
    <s v="Impôt revenu"/>
    <n v="0"/>
    <n v="-1256.45"/>
    <n v="4001"/>
  </r>
  <r>
    <x v="0"/>
    <x v="9"/>
    <x v="5"/>
    <x v="245"/>
    <x v="211"/>
    <x v="211"/>
    <s v="REVENUS"/>
    <x v="3"/>
    <s v="4002.001"/>
    <s v="Impôt ordinaire s/fortune PP"/>
    <n v="0"/>
    <n v="-367.3"/>
    <n v="4002"/>
  </r>
  <r>
    <x v="0"/>
    <x v="9"/>
    <x v="5"/>
    <x v="245"/>
    <x v="211"/>
    <x v="211"/>
    <s v="REVENUS"/>
    <x v="6"/>
    <s v="4221.002"/>
    <s v="Intérêts compensat. sur impôts distincts"/>
    <n v="0"/>
    <n v="9.2200000000000006"/>
    <n v="4221"/>
  </r>
  <r>
    <x v="0"/>
    <x v="9"/>
    <x v="5"/>
    <x v="245"/>
    <x v="211"/>
    <x v="211"/>
    <s v="REVENUS"/>
    <x v="6"/>
    <s v="4221.003"/>
    <s v="Intérêts compensat. / acomptes en faveur du fisc"/>
    <n v="0"/>
    <n v="0.05"/>
    <n v="4221"/>
  </r>
  <r>
    <x v="0"/>
    <x v="9"/>
    <x v="5"/>
    <x v="245"/>
    <x v="211"/>
    <x v="211"/>
    <s v="REVENUS"/>
    <x v="11"/>
    <s v="4198.000"/>
    <s v="Contributions communales"/>
    <n v="0"/>
    <n v="30677.75"/>
    <n v="4198"/>
  </r>
  <r>
    <x v="0"/>
    <x v="9"/>
    <x v="5"/>
    <x v="245"/>
    <x v="211"/>
    <x v="211"/>
    <s v="REVENUS"/>
    <x v="2"/>
    <s v="4001.002"/>
    <s v="Impôt complément s/revenu PP"/>
    <n v="0"/>
    <n v="-54.7"/>
    <n v="4001"/>
  </r>
  <r>
    <x v="0"/>
    <x v="9"/>
    <x v="5"/>
    <x v="245"/>
    <x v="211"/>
    <x v="211"/>
    <s v="REVENUS"/>
    <x v="3"/>
    <s v="4002.002"/>
    <s v="Impôt complémentaire s/fortune PP"/>
    <n v="0"/>
    <n v="-22.1"/>
    <n v="4002"/>
  </r>
  <r>
    <x v="0"/>
    <x v="9"/>
    <x v="5"/>
    <x v="245"/>
    <x v="211"/>
    <x v="211"/>
    <s v="REVENUS"/>
    <x v="9"/>
    <s v="4031.001"/>
    <s v="Impôt sur les gains immobiliers"/>
    <n v="0"/>
    <n v="22602.1"/>
    <n v="4031"/>
  </r>
  <r>
    <x v="0"/>
    <x v="9"/>
    <x v="5"/>
    <x v="245"/>
    <x v="211"/>
    <x v="211"/>
    <s v="REVENUS"/>
    <x v="5"/>
    <s v="4061.000"/>
    <s v="Impôt sur les chiens"/>
    <n v="0"/>
    <n v="440"/>
    <n v="4061"/>
  </r>
  <r>
    <x v="0"/>
    <x v="9"/>
    <x v="5"/>
    <x v="245"/>
    <x v="211"/>
    <x v="211"/>
    <s v="REVENUS"/>
    <x v="6"/>
    <s v="4211.001"/>
    <s v="Intérêts de retard sur factures"/>
    <n v="0"/>
    <n v="0.01"/>
    <n v="4211"/>
  </r>
  <r>
    <x v="0"/>
    <x v="9"/>
    <x v="5"/>
    <x v="245"/>
    <x v="211"/>
    <x v="211"/>
    <s v="REVENUS"/>
    <x v="3"/>
    <s v="4002.007"/>
    <s v="Acompte impôt sur fortune"/>
    <n v="0"/>
    <n v="-159.65"/>
    <n v="4002"/>
  </r>
  <r>
    <x v="0"/>
    <x v="9"/>
    <x v="5"/>
    <x v="245"/>
    <x v="211"/>
    <x v="211"/>
    <s v="REVENUS"/>
    <x v="2"/>
    <s v="4001.001"/>
    <s v="Impôt revenu"/>
    <n v="0"/>
    <n v="36.25"/>
    <n v="4001"/>
  </r>
  <r>
    <x v="0"/>
    <x v="9"/>
    <x v="5"/>
    <x v="245"/>
    <x v="211"/>
    <x v="211"/>
    <s v="REVENUS"/>
    <x v="3"/>
    <s v="4002.001"/>
    <s v="Impôt ordinaire s/fortune PP"/>
    <n v="0"/>
    <n v="42.2"/>
    <n v="4002"/>
  </r>
  <r>
    <x v="0"/>
    <x v="9"/>
    <x v="5"/>
    <x v="245"/>
    <x v="211"/>
    <x v="211"/>
    <s v="REVENUS"/>
    <x v="2"/>
    <s v="4001.001"/>
    <s v="Impôt revenu"/>
    <n v="0"/>
    <n v="35.4"/>
    <n v="4001"/>
  </r>
  <r>
    <x v="0"/>
    <x v="9"/>
    <x v="5"/>
    <x v="245"/>
    <x v="211"/>
    <x v="211"/>
    <s v="REVENUS"/>
    <x v="3"/>
    <s v="4002.001"/>
    <s v="Impôt ordinaire s/fortune PP"/>
    <n v="0"/>
    <n v="3.7"/>
    <n v="4002"/>
  </r>
  <r>
    <x v="0"/>
    <x v="9"/>
    <x v="5"/>
    <x v="245"/>
    <x v="211"/>
    <x v="211"/>
    <s v="REVENUS"/>
    <x v="6"/>
    <s v="4211.002"/>
    <s v="Intérêts de retard sur acomptes"/>
    <n v="0"/>
    <n v="1.05"/>
    <n v="4211"/>
  </r>
  <r>
    <x v="0"/>
    <x v="9"/>
    <x v="5"/>
    <x v="245"/>
    <x v="211"/>
    <x v="211"/>
    <s v="REVENUS"/>
    <x v="2"/>
    <s v="4001.001"/>
    <s v="Impôt revenu"/>
    <n v="0"/>
    <n v="1615.65"/>
    <n v="4001"/>
  </r>
  <r>
    <x v="0"/>
    <x v="9"/>
    <x v="5"/>
    <x v="245"/>
    <x v="211"/>
    <x v="211"/>
    <s v="REVENUS"/>
    <x v="3"/>
    <s v="4002.007"/>
    <s v="Acompte impôt sur fortune"/>
    <n v="0"/>
    <n v="-68.349999999999994"/>
    <n v="4002"/>
  </r>
  <r>
    <x v="0"/>
    <x v="9"/>
    <x v="5"/>
    <x v="245"/>
    <x v="211"/>
    <x v="211"/>
    <s v="REVENUS"/>
    <x v="2"/>
    <s v="4001.007"/>
    <s v="Acompte impôt sur revenu"/>
    <n v="0"/>
    <n v="-177.89"/>
    <n v="4001"/>
  </r>
  <r>
    <x v="0"/>
    <x v="9"/>
    <x v="5"/>
    <x v="245"/>
    <x v="211"/>
    <x v="211"/>
    <s v="REVENUS"/>
    <x v="6"/>
    <s v="4211.002"/>
    <s v="Intérêts de retard sur acomptes"/>
    <n v="0"/>
    <n v="10.26"/>
    <n v="4211"/>
  </r>
  <r>
    <x v="0"/>
    <x v="9"/>
    <x v="5"/>
    <x v="245"/>
    <x v="211"/>
    <x v="211"/>
    <s v="REVENUS"/>
    <x v="2"/>
    <s v="4001.001"/>
    <s v="Impôt revenu"/>
    <n v="0"/>
    <n v="126.9"/>
    <n v="4001"/>
  </r>
  <r>
    <x v="0"/>
    <x v="9"/>
    <x v="5"/>
    <x v="245"/>
    <x v="211"/>
    <x v="211"/>
    <s v="REVENUS"/>
    <x v="6"/>
    <s v="4211.002"/>
    <s v="Intérêts de retard sur acomptes"/>
    <n v="0"/>
    <n v="12.25"/>
    <n v="4211"/>
  </r>
  <r>
    <x v="0"/>
    <x v="9"/>
    <x v="5"/>
    <x v="245"/>
    <x v="211"/>
    <x v="211"/>
    <s v="REVENUS"/>
    <x v="3"/>
    <s v="4002.001"/>
    <s v="Impôt ordinaire s/fortune PP"/>
    <n v="0"/>
    <n v="0.75"/>
    <n v="4002"/>
  </r>
  <r>
    <x v="0"/>
    <x v="9"/>
    <x v="5"/>
    <x v="245"/>
    <x v="211"/>
    <x v="211"/>
    <s v="REVENUS"/>
    <x v="2"/>
    <s v="4001.007"/>
    <s v="Acompte impôt sur revenu"/>
    <n v="0"/>
    <n v="-3024.76"/>
    <n v="4001"/>
  </r>
  <r>
    <x v="0"/>
    <x v="9"/>
    <x v="5"/>
    <x v="245"/>
    <x v="211"/>
    <x v="211"/>
    <s v="REVENUS"/>
    <x v="6"/>
    <s v="4211.002"/>
    <s v="Intérêts de retard sur acomptes"/>
    <n v="0"/>
    <n v="0.1"/>
    <n v="4211"/>
  </r>
  <r>
    <x v="0"/>
    <x v="9"/>
    <x v="5"/>
    <x v="245"/>
    <x v="211"/>
    <x v="211"/>
    <s v="REVENUS"/>
    <x v="2"/>
    <s v="4001.007"/>
    <s v="Acompte impôt sur revenu"/>
    <n v="0"/>
    <n v="-96.25"/>
    <n v="4001"/>
  </r>
  <r>
    <x v="0"/>
    <x v="9"/>
    <x v="5"/>
    <x v="245"/>
    <x v="211"/>
    <x v="211"/>
    <s v="REVENUS"/>
    <x v="3"/>
    <s v="4002.007"/>
    <s v="Acompte impôt sur fortune"/>
    <n v="0"/>
    <n v="-58.65"/>
    <n v="4002"/>
  </r>
  <r>
    <x v="0"/>
    <x v="9"/>
    <x v="5"/>
    <x v="245"/>
    <x v="211"/>
    <x v="211"/>
    <s v="REVENUS"/>
    <x v="6"/>
    <s v="4211.001"/>
    <s v="Intérêts de retard sur factures"/>
    <n v="0"/>
    <n v="0.08"/>
    <n v="4211"/>
  </r>
  <r>
    <x v="0"/>
    <x v="9"/>
    <x v="5"/>
    <x v="245"/>
    <x v="211"/>
    <x v="211"/>
    <s v="REVENUS"/>
    <x v="2"/>
    <s v="4001.002"/>
    <s v="Impôt complément s/revenu PP"/>
    <n v="0"/>
    <n v="125.7"/>
    <n v="4001"/>
  </r>
  <r>
    <x v="0"/>
    <x v="9"/>
    <x v="5"/>
    <x v="246"/>
    <x v="212"/>
    <x v="212"/>
    <s v="CHARGES"/>
    <x v="1"/>
    <s v="3301.001"/>
    <s v="Défalcations, abandons de solde PP et IS"/>
    <n v="2540.96"/>
    <n v="0"/>
    <n v="3301"/>
  </r>
  <r>
    <x v="0"/>
    <x v="9"/>
    <x v="5"/>
    <x v="246"/>
    <x v="212"/>
    <x v="212"/>
    <s v="CHARGES"/>
    <x v="0"/>
    <s v="3212.004"/>
    <s v="Intérêts rémun./perçu trop tôt sur acomptes C/C"/>
    <n v="96.49"/>
    <n v="0"/>
    <n v="3212"/>
  </r>
  <r>
    <x v="0"/>
    <x v="9"/>
    <x v="5"/>
    <x v="246"/>
    <x v="212"/>
    <x v="212"/>
    <s v="CHARGES"/>
    <x v="0"/>
    <s v="3221.002"/>
    <s v="Intérêts compensatoires / créances en faveur ctb."/>
    <n v="22.59"/>
    <n v="0"/>
    <n v="3221"/>
  </r>
  <r>
    <x v="0"/>
    <x v="9"/>
    <x v="5"/>
    <x v="246"/>
    <x v="212"/>
    <x v="212"/>
    <s v="CHARGES"/>
    <x v="0"/>
    <s v="3212.002"/>
    <s v="Intérêts bonifiés/trop perçu acompte C/C"/>
    <n v="17.78"/>
    <n v="0"/>
    <n v="3212"/>
  </r>
  <r>
    <x v="0"/>
    <x v="9"/>
    <x v="5"/>
    <x v="246"/>
    <x v="212"/>
    <x v="212"/>
    <s v="CHARGES"/>
    <x v="0"/>
    <s v="3221.002"/>
    <s v="Intérêts compensatoires / créances en faveur ctb."/>
    <n v="0.16"/>
    <n v="0"/>
    <n v="3221"/>
  </r>
  <r>
    <x v="0"/>
    <x v="9"/>
    <x v="5"/>
    <x v="246"/>
    <x v="212"/>
    <x v="212"/>
    <s v="CHARGES"/>
    <x v="0"/>
    <s v="3212.004"/>
    <s v="Intérêts rémun./perçu trop tôt sur acomptes C/C"/>
    <n v="0.75"/>
    <n v="0"/>
    <n v="3212"/>
  </r>
  <r>
    <x v="0"/>
    <x v="9"/>
    <x v="5"/>
    <x v="246"/>
    <x v="212"/>
    <x v="212"/>
    <s v="CHARGES"/>
    <x v="0"/>
    <s v="3221.002"/>
    <s v="Intérêts compensatoires / créances en faveur ctb."/>
    <n v="-0.35"/>
    <n v="0"/>
    <n v="3221"/>
  </r>
  <r>
    <x v="0"/>
    <x v="9"/>
    <x v="5"/>
    <x v="246"/>
    <x v="212"/>
    <x v="212"/>
    <s v="CHARGES"/>
    <x v="0"/>
    <s v="3212.004"/>
    <s v="Intérêts rémun./perçu trop tôt sur acomptes C/C"/>
    <n v="-0.5"/>
    <n v="0"/>
    <n v="3212"/>
  </r>
  <r>
    <x v="0"/>
    <x v="9"/>
    <x v="5"/>
    <x v="246"/>
    <x v="212"/>
    <x v="212"/>
    <s v="CHARGES"/>
    <x v="0"/>
    <s v="3212.004"/>
    <s v="Intérêts rémun./perçu trop tôt sur acomptes C/C"/>
    <n v="7.0000000000000007E-2"/>
    <n v="0"/>
    <n v="3212"/>
  </r>
  <r>
    <x v="0"/>
    <x v="9"/>
    <x v="5"/>
    <x v="246"/>
    <x v="212"/>
    <x v="212"/>
    <s v="CHARGES"/>
    <x v="1"/>
    <s v="3301.003"/>
    <s v="Remises PP et IS"/>
    <n v="8998.6"/>
    <n v="0"/>
    <n v="3301"/>
  </r>
  <r>
    <x v="0"/>
    <x v="9"/>
    <x v="5"/>
    <x v="246"/>
    <x v="212"/>
    <x v="212"/>
    <s v="CHARGES"/>
    <x v="1"/>
    <s v="3301.001"/>
    <s v="Défalcations, abandons de solde PP et IS"/>
    <n v="0.08"/>
    <n v="0"/>
    <n v="3301"/>
  </r>
  <r>
    <x v="0"/>
    <x v="9"/>
    <x v="5"/>
    <x v="246"/>
    <x v="212"/>
    <x v="212"/>
    <s v="CHARGES"/>
    <x v="0"/>
    <s v="3221.002"/>
    <s v="Intérêts compensatoires / créances en faveur ctb."/>
    <n v="0.14000000000000001"/>
    <n v="0"/>
    <n v="3221"/>
  </r>
  <r>
    <x v="0"/>
    <x v="9"/>
    <x v="5"/>
    <x v="246"/>
    <x v="212"/>
    <x v="212"/>
    <s v="CHARGES"/>
    <x v="1"/>
    <s v="3301.001"/>
    <s v="Défalcations, abandons de solde PP et IS"/>
    <n v="0.09"/>
    <n v="0"/>
    <n v="3301"/>
  </r>
  <r>
    <x v="0"/>
    <x v="9"/>
    <x v="5"/>
    <x v="246"/>
    <x v="212"/>
    <x v="212"/>
    <s v="CHARGES"/>
    <x v="0"/>
    <s v="3212.004"/>
    <s v="Intérêts rémun./perçu trop tôt sur acomptes C/C"/>
    <n v="0.39"/>
    <n v="0"/>
    <n v="3212"/>
  </r>
  <r>
    <x v="0"/>
    <x v="9"/>
    <x v="5"/>
    <x v="246"/>
    <x v="212"/>
    <x v="212"/>
    <s v="CHARGES"/>
    <x v="0"/>
    <s v="3212.004"/>
    <s v="Intérêts rémun./perçu trop tôt sur acomptes C/C"/>
    <n v="-0.14000000000000001"/>
    <n v="0"/>
    <n v="3212"/>
  </r>
  <r>
    <x v="0"/>
    <x v="9"/>
    <x v="5"/>
    <x v="246"/>
    <x v="212"/>
    <x v="212"/>
    <s v="CHARGES"/>
    <x v="0"/>
    <s v="3221.002"/>
    <s v="Intérêts compensatoires / créances en faveur ctb."/>
    <n v="-0.08"/>
    <n v="0"/>
    <n v="3221"/>
  </r>
  <r>
    <x v="0"/>
    <x v="9"/>
    <x v="5"/>
    <x v="246"/>
    <x v="212"/>
    <x v="212"/>
    <s v="CHARGES"/>
    <x v="0"/>
    <s v="3212.002"/>
    <s v="Intérêts bonifiés/trop perçu acompte C/C"/>
    <n v="-0.03"/>
    <n v="0"/>
    <n v="3212"/>
  </r>
  <r>
    <x v="0"/>
    <x v="9"/>
    <x v="5"/>
    <x v="246"/>
    <x v="212"/>
    <x v="212"/>
    <s v="REVENUS"/>
    <x v="6"/>
    <s v="4211.001"/>
    <s v="Intérêts de retard sur factures"/>
    <n v="0"/>
    <n v="6918.06"/>
    <n v="4211"/>
  </r>
  <r>
    <x v="0"/>
    <x v="9"/>
    <x v="5"/>
    <x v="246"/>
    <x v="212"/>
    <x v="212"/>
    <s v="REVENUS"/>
    <x v="2"/>
    <s v="4001.007"/>
    <s v="Acompte impôt sur revenu"/>
    <n v="0"/>
    <n v="-262.5"/>
    <n v="4001"/>
  </r>
  <r>
    <x v="0"/>
    <x v="9"/>
    <x v="5"/>
    <x v="246"/>
    <x v="212"/>
    <x v="212"/>
    <s v="REVENUS"/>
    <x v="3"/>
    <s v="4002.007"/>
    <s v="Acompte impôt sur fortune"/>
    <n v="0"/>
    <n v="-93.2"/>
    <n v="4002"/>
  </r>
  <r>
    <x v="0"/>
    <x v="9"/>
    <x v="5"/>
    <x v="246"/>
    <x v="212"/>
    <x v="212"/>
    <s v="REVENUS"/>
    <x v="2"/>
    <s v="4001.001"/>
    <s v="Impôt revenu"/>
    <n v="0"/>
    <n v="504673.45"/>
    <n v="4001"/>
  </r>
  <r>
    <x v="0"/>
    <x v="9"/>
    <x v="5"/>
    <x v="246"/>
    <x v="212"/>
    <x v="212"/>
    <s v="REVENUS"/>
    <x v="2"/>
    <s v="4001.007"/>
    <s v="Acompte impôt sur revenu"/>
    <n v="0"/>
    <n v="-226047.21"/>
    <n v="4001"/>
  </r>
  <r>
    <x v="0"/>
    <x v="9"/>
    <x v="5"/>
    <x v="246"/>
    <x v="212"/>
    <x v="212"/>
    <s v="REVENUS"/>
    <x v="3"/>
    <s v="4002.001"/>
    <s v="Impôt ordinaire s/fortune PP"/>
    <n v="0"/>
    <n v="52800.5"/>
    <n v="4002"/>
  </r>
  <r>
    <x v="0"/>
    <x v="9"/>
    <x v="5"/>
    <x v="246"/>
    <x v="212"/>
    <x v="212"/>
    <s v="REVENUS"/>
    <x v="3"/>
    <s v="4002.007"/>
    <s v="Acompte impôt sur fortune"/>
    <n v="0"/>
    <n v="-20295.189999999999"/>
    <n v="4002"/>
  </r>
  <r>
    <x v="0"/>
    <x v="9"/>
    <x v="5"/>
    <x v="246"/>
    <x v="212"/>
    <x v="212"/>
    <s v="REVENUS"/>
    <x v="7"/>
    <s v="4184.000"/>
    <s v="Frais de poursuite"/>
    <n v="0"/>
    <n v="345.84"/>
    <n v="4184"/>
  </r>
  <r>
    <x v="0"/>
    <x v="9"/>
    <x v="5"/>
    <x v="246"/>
    <x v="212"/>
    <x v="212"/>
    <s v="REVENUS"/>
    <x v="6"/>
    <s v="4211.002"/>
    <s v="Intérêts de retard sur acomptes"/>
    <n v="0"/>
    <n v="2465.6999999999998"/>
    <n v="4211"/>
  </r>
  <r>
    <x v="0"/>
    <x v="9"/>
    <x v="5"/>
    <x v="246"/>
    <x v="212"/>
    <x v="212"/>
    <s v="REVENUS"/>
    <x v="2"/>
    <s v="4001.007"/>
    <s v="Acompte impôt sur revenu"/>
    <n v="0"/>
    <n v="104.22"/>
    <n v="4001"/>
  </r>
  <r>
    <x v="0"/>
    <x v="9"/>
    <x v="5"/>
    <x v="246"/>
    <x v="212"/>
    <x v="212"/>
    <s v="REVENUS"/>
    <x v="7"/>
    <s v="4184.000"/>
    <s v="Frais de poursuite"/>
    <n v="0"/>
    <n v="259.44"/>
    <n v="4184"/>
  </r>
  <r>
    <x v="0"/>
    <x v="9"/>
    <x v="5"/>
    <x v="246"/>
    <x v="212"/>
    <x v="212"/>
    <s v="REVENUS"/>
    <x v="2"/>
    <s v="4001.007"/>
    <s v="Acompte impôt sur revenu"/>
    <n v="0"/>
    <n v="-222.8"/>
    <n v="4001"/>
  </r>
  <r>
    <x v="0"/>
    <x v="9"/>
    <x v="5"/>
    <x v="246"/>
    <x v="212"/>
    <x v="212"/>
    <s v="REVENUS"/>
    <x v="3"/>
    <s v="4002.007"/>
    <s v="Acompte impôt sur fortune"/>
    <n v="0"/>
    <n v="-60.35"/>
    <n v="4002"/>
  </r>
  <r>
    <x v="0"/>
    <x v="9"/>
    <x v="5"/>
    <x v="246"/>
    <x v="212"/>
    <x v="212"/>
    <s v="REVENUS"/>
    <x v="2"/>
    <s v="4001.003"/>
    <s v="Impôt s/prest. cap. PP"/>
    <n v="0"/>
    <n v="3973.5"/>
    <n v="4001"/>
  </r>
  <r>
    <x v="0"/>
    <x v="9"/>
    <x v="5"/>
    <x v="246"/>
    <x v="212"/>
    <x v="212"/>
    <s v="REVENUS"/>
    <x v="6"/>
    <s v="4221.003"/>
    <s v="Intérêts compensat. / acomptes en faveur du fisc"/>
    <n v="0"/>
    <n v="96.58"/>
    <n v="4221"/>
  </r>
  <r>
    <x v="0"/>
    <x v="9"/>
    <x v="5"/>
    <x v="246"/>
    <x v="212"/>
    <x v="212"/>
    <s v="REVENUS"/>
    <x v="3"/>
    <s v="4002.007"/>
    <s v="Acompte impôt sur fortune"/>
    <n v="0"/>
    <n v="-36.299999999999997"/>
    <n v="4002"/>
  </r>
  <r>
    <x v="0"/>
    <x v="9"/>
    <x v="5"/>
    <x v="246"/>
    <x v="212"/>
    <x v="212"/>
    <s v="REVENUS"/>
    <x v="3"/>
    <s v="4002.001"/>
    <s v="Impôt ordinaire s/fortune PP"/>
    <n v="0"/>
    <n v="841.75"/>
    <n v="4002"/>
  </r>
  <r>
    <x v="0"/>
    <x v="9"/>
    <x v="5"/>
    <x v="246"/>
    <x v="212"/>
    <x v="212"/>
    <s v="REVENUS"/>
    <x v="3"/>
    <s v="4002.007"/>
    <s v="Acompte impôt sur fortune"/>
    <n v="0"/>
    <n v="328.13"/>
    <n v="4002"/>
  </r>
  <r>
    <x v="0"/>
    <x v="9"/>
    <x v="5"/>
    <x v="246"/>
    <x v="212"/>
    <x v="212"/>
    <s v="REVENUS"/>
    <x v="2"/>
    <s v="4001.007"/>
    <s v="Acompte impôt sur revenu"/>
    <n v="0"/>
    <n v="-418.76"/>
    <n v="4001"/>
  </r>
  <r>
    <x v="0"/>
    <x v="9"/>
    <x v="5"/>
    <x v="246"/>
    <x v="212"/>
    <x v="212"/>
    <s v="REVENUS"/>
    <x v="3"/>
    <s v="4002.007"/>
    <s v="Acompte impôt sur fortune"/>
    <n v="0"/>
    <n v="-3.75"/>
    <n v="4002"/>
  </r>
  <r>
    <x v="0"/>
    <x v="9"/>
    <x v="5"/>
    <x v="246"/>
    <x v="212"/>
    <x v="212"/>
    <s v="REVENUS"/>
    <x v="2"/>
    <s v="4001.007"/>
    <s v="Acompte impôt sur revenu"/>
    <n v="0"/>
    <n v="-54.05"/>
    <n v="4001"/>
  </r>
  <r>
    <x v="0"/>
    <x v="9"/>
    <x v="5"/>
    <x v="246"/>
    <x v="212"/>
    <x v="212"/>
    <s v="REVENUS"/>
    <x v="2"/>
    <s v="4001.007"/>
    <s v="Acompte impôt sur revenu"/>
    <n v="0"/>
    <n v="-3.3"/>
    <n v="4001"/>
  </r>
  <r>
    <x v="0"/>
    <x v="9"/>
    <x v="5"/>
    <x v="246"/>
    <x v="212"/>
    <x v="212"/>
    <s v="REVENUS"/>
    <x v="3"/>
    <s v="4002.007"/>
    <s v="Acompte impôt sur fortune"/>
    <n v="0"/>
    <n v="-0.95"/>
    <n v="4002"/>
  </r>
  <r>
    <x v="0"/>
    <x v="9"/>
    <x v="5"/>
    <x v="246"/>
    <x v="212"/>
    <x v="212"/>
    <s v="REVENUS"/>
    <x v="10"/>
    <s v="4041.001"/>
    <s v="Droits de mutation"/>
    <n v="0"/>
    <n v="7315"/>
    <n v="4041"/>
  </r>
  <r>
    <x v="0"/>
    <x v="9"/>
    <x v="5"/>
    <x v="246"/>
    <x v="212"/>
    <x v="212"/>
    <s v="REVENUS"/>
    <x v="9"/>
    <s v="4031.001"/>
    <s v="Impôt sur les gains immobiliers"/>
    <n v="0"/>
    <n v="21476.05"/>
    <n v="4031"/>
  </r>
  <r>
    <x v="0"/>
    <x v="9"/>
    <x v="5"/>
    <x v="246"/>
    <x v="212"/>
    <x v="212"/>
    <s v="REVENUS"/>
    <x v="8"/>
    <s v="4091.001"/>
    <s v="Impôt récupéré après défalcations"/>
    <n v="0"/>
    <n v="12216.72"/>
    <n v="4091"/>
  </r>
  <r>
    <x v="0"/>
    <x v="9"/>
    <x v="5"/>
    <x v="246"/>
    <x v="212"/>
    <x v="212"/>
    <s v="REVENUS"/>
    <x v="2"/>
    <s v="4001.001"/>
    <s v="Impôt revenu"/>
    <n v="0"/>
    <n v="-3431.6"/>
    <n v="4001"/>
  </r>
  <r>
    <x v="0"/>
    <x v="9"/>
    <x v="5"/>
    <x v="246"/>
    <x v="212"/>
    <x v="212"/>
    <s v="REVENUS"/>
    <x v="2"/>
    <s v="4001.007"/>
    <s v="Acompte impôt sur revenu"/>
    <n v="0"/>
    <n v="-2433.14"/>
    <n v="4001"/>
  </r>
  <r>
    <x v="0"/>
    <x v="9"/>
    <x v="5"/>
    <x v="246"/>
    <x v="212"/>
    <x v="212"/>
    <s v="REVENUS"/>
    <x v="3"/>
    <s v="4002.001"/>
    <s v="Impôt ordinaire s/fortune PP"/>
    <n v="0"/>
    <n v="-2937.2"/>
    <n v="4002"/>
  </r>
  <r>
    <x v="0"/>
    <x v="9"/>
    <x v="5"/>
    <x v="246"/>
    <x v="212"/>
    <x v="212"/>
    <s v="REVENUS"/>
    <x v="3"/>
    <s v="4002.007"/>
    <s v="Acompte impôt sur fortune"/>
    <n v="0"/>
    <n v="-1398.29"/>
    <n v="4002"/>
  </r>
  <r>
    <x v="0"/>
    <x v="9"/>
    <x v="5"/>
    <x v="246"/>
    <x v="212"/>
    <x v="212"/>
    <s v="REVENUS"/>
    <x v="2"/>
    <s v="4001.002"/>
    <s v="Impôt complément s/revenu PP"/>
    <n v="0"/>
    <n v="39340.5"/>
    <n v="4001"/>
  </r>
  <r>
    <x v="0"/>
    <x v="9"/>
    <x v="5"/>
    <x v="246"/>
    <x v="212"/>
    <x v="212"/>
    <s v="REVENUS"/>
    <x v="3"/>
    <s v="4002.002"/>
    <s v="Impôt complémentaire s/fortune PP"/>
    <n v="0"/>
    <n v="13636"/>
    <n v="4002"/>
  </r>
  <r>
    <x v="0"/>
    <x v="9"/>
    <x v="5"/>
    <x v="246"/>
    <x v="212"/>
    <x v="212"/>
    <s v="REVENUS"/>
    <x v="2"/>
    <s v="4001.001"/>
    <s v="Impôt revenu"/>
    <n v="0"/>
    <n v="1320"/>
    <n v="4001"/>
  </r>
  <r>
    <x v="0"/>
    <x v="9"/>
    <x v="5"/>
    <x v="246"/>
    <x v="212"/>
    <x v="212"/>
    <s v="REVENUS"/>
    <x v="2"/>
    <s v="4001.001"/>
    <s v="Impôt revenu"/>
    <n v="0"/>
    <n v="1672.05"/>
    <n v="4001"/>
  </r>
  <r>
    <x v="0"/>
    <x v="9"/>
    <x v="5"/>
    <x v="246"/>
    <x v="212"/>
    <x v="212"/>
    <s v="REVENUS"/>
    <x v="3"/>
    <s v="4002.001"/>
    <s v="Impôt ordinaire s/fortune PP"/>
    <n v="0"/>
    <n v="120.1"/>
    <n v="4002"/>
  </r>
  <r>
    <x v="0"/>
    <x v="9"/>
    <x v="5"/>
    <x v="246"/>
    <x v="212"/>
    <x v="212"/>
    <s v="REVENUS"/>
    <x v="6"/>
    <s v="4211.002"/>
    <s v="Intérêts de retard sur acomptes"/>
    <n v="0"/>
    <n v="37.79"/>
    <n v="4211"/>
  </r>
  <r>
    <x v="0"/>
    <x v="9"/>
    <x v="5"/>
    <x v="246"/>
    <x v="212"/>
    <x v="212"/>
    <s v="REVENUS"/>
    <x v="6"/>
    <s v="4221.002"/>
    <s v="Intérêts compensat. sur impôts distincts"/>
    <n v="0"/>
    <n v="76.739999999999995"/>
    <n v="4221"/>
  </r>
  <r>
    <x v="0"/>
    <x v="9"/>
    <x v="5"/>
    <x v="246"/>
    <x v="212"/>
    <x v="212"/>
    <s v="REVENUS"/>
    <x v="2"/>
    <s v="4001.001"/>
    <s v="Impôt revenu"/>
    <n v="0"/>
    <n v="216.9"/>
    <n v="4001"/>
  </r>
  <r>
    <x v="0"/>
    <x v="9"/>
    <x v="5"/>
    <x v="246"/>
    <x v="212"/>
    <x v="212"/>
    <s v="REVENUS"/>
    <x v="3"/>
    <s v="4002.001"/>
    <s v="Impôt ordinaire s/fortune PP"/>
    <n v="0"/>
    <n v="150.35"/>
    <n v="4002"/>
  </r>
  <r>
    <x v="0"/>
    <x v="9"/>
    <x v="5"/>
    <x v="246"/>
    <x v="212"/>
    <x v="212"/>
    <s v="REVENUS"/>
    <x v="3"/>
    <s v="4002.002"/>
    <s v="Impôt complémentaire s/fortune PP"/>
    <n v="0"/>
    <n v="1013.65"/>
    <n v="4002"/>
  </r>
  <r>
    <x v="0"/>
    <x v="9"/>
    <x v="5"/>
    <x v="246"/>
    <x v="212"/>
    <x v="212"/>
    <s v="REVENUS"/>
    <x v="6"/>
    <s v="4211.001"/>
    <s v="Intérêts de retard sur factures"/>
    <n v="0"/>
    <n v="76.58"/>
    <n v="4211"/>
  </r>
  <r>
    <x v="0"/>
    <x v="9"/>
    <x v="5"/>
    <x v="246"/>
    <x v="212"/>
    <x v="212"/>
    <s v="REVENUS"/>
    <x v="6"/>
    <s v="4221.003"/>
    <s v="Intérêts compensat. / acomptes en faveur du fisc"/>
    <n v="0"/>
    <n v="0.53"/>
    <n v="4221"/>
  </r>
  <r>
    <x v="0"/>
    <x v="9"/>
    <x v="5"/>
    <x v="246"/>
    <x v="212"/>
    <x v="212"/>
    <s v="REVENUS"/>
    <x v="3"/>
    <s v="4002.001"/>
    <s v="Impôt ordinaire s/fortune PP"/>
    <n v="0"/>
    <n v="486.4"/>
    <n v="4002"/>
  </r>
  <r>
    <x v="0"/>
    <x v="9"/>
    <x v="5"/>
    <x v="246"/>
    <x v="212"/>
    <x v="212"/>
    <s v="REVENUS"/>
    <x v="6"/>
    <s v="4211.002"/>
    <s v="Intérêts de retard sur acomptes"/>
    <n v="0"/>
    <n v="7.0000000000000007E-2"/>
    <n v="4211"/>
  </r>
  <r>
    <x v="0"/>
    <x v="9"/>
    <x v="5"/>
    <x v="246"/>
    <x v="212"/>
    <x v="212"/>
    <s v="REVENUS"/>
    <x v="6"/>
    <s v="4221.003"/>
    <s v="Intérêts compensat. / acomptes en faveur du fisc"/>
    <n v="0"/>
    <n v="0.12"/>
    <n v="4221"/>
  </r>
  <r>
    <x v="0"/>
    <x v="9"/>
    <x v="5"/>
    <x v="246"/>
    <x v="212"/>
    <x v="212"/>
    <s v="REVENUS"/>
    <x v="2"/>
    <s v="4001.001"/>
    <s v="Impôt revenu"/>
    <n v="0"/>
    <n v="89.55"/>
    <n v="4001"/>
  </r>
  <r>
    <x v="0"/>
    <x v="9"/>
    <x v="5"/>
    <x v="246"/>
    <x v="212"/>
    <x v="212"/>
    <s v="REVENUS"/>
    <x v="3"/>
    <s v="4002.001"/>
    <s v="Impôt ordinaire s/fortune PP"/>
    <n v="0"/>
    <n v="36.200000000000003"/>
    <n v="4002"/>
  </r>
  <r>
    <x v="0"/>
    <x v="9"/>
    <x v="5"/>
    <x v="246"/>
    <x v="212"/>
    <x v="212"/>
    <s v="REVENUS"/>
    <x v="6"/>
    <s v="4211.002"/>
    <s v="Intérêts de retard sur acomptes"/>
    <n v="0"/>
    <n v="7.0000000000000007E-2"/>
    <n v="4211"/>
  </r>
  <r>
    <x v="0"/>
    <x v="9"/>
    <x v="5"/>
    <x v="246"/>
    <x v="212"/>
    <x v="212"/>
    <s v="REVENUS"/>
    <x v="5"/>
    <s v="4061.000"/>
    <s v="Impôt sur les chiens"/>
    <n v="0"/>
    <n v="1400"/>
    <n v="4061"/>
  </r>
  <r>
    <x v="0"/>
    <x v="9"/>
    <x v="5"/>
    <x v="246"/>
    <x v="212"/>
    <x v="212"/>
    <s v="REVENUS"/>
    <x v="2"/>
    <s v="4001.001"/>
    <s v="Impôt revenu"/>
    <n v="0"/>
    <n v="351.9"/>
    <n v="4001"/>
  </r>
  <r>
    <x v="0"/>
    <x v="9"/>
    <x v="5"/>
    <x v="246"/>
    <x v="212"/>
    <x v="212"/>
    <s v="REVENUS"/>
    <x v="2"/>
    <s v="4001.002"/>
    <s v="Impôt complément s/revenu PP"/>
    <n v="0"/>
    <n v="832.05"/>
    <n v="4001"/>
  </r>
  <r>
    <x v="0"/>
    <x v="9"/>
    <x v="5"/>
    <x v="246"/>
    <x v="212"/>
    <x v="212"/>
    <s v="REVENUS"/>
    <x v="11"/>
    <s v="4198.000"/>
    <s v="Contributions communales"/>
    <n v="0"/>
    <n v="22297.8"/>
    <n v="4198"/>
  </r>
  <r>
    <x v="0"/>
    <x v="9"/>
    <x v="5"/>
    <x v="246"/>
    <x v="212"/>
    <x v="212"/>
    <s v="REVENUS"/>
    <x v="2"/>
    <s v="4001.001"/>
    <s v="Impôt revenu"/>
    <n v="0"/>
    <n v="-647.04999999999995"/>
    <n v="4001"/>
  </r>
  <r>
    <x v="0"/>
    <x v="9"/>
    <x v="5"/>
    <x v="246"/>
    <x v="212"/>
    <x v="212"/>
    <s v="REVENUS"/>
    <x v="6"/>
    <s v="4211.002"/>
    <s v="Intérêts de retard sur acomptes"/>
    <n v="0"/>
    <n v="-0.01"/>
    <n v="4211"/>
  </r>
  <r>
    <x v="0"/>
    <x v="9"/>
    <x v="5"/>
    <x v="247"/>
    <x v="213"/>
    <x v="213"/>
    <s v="CHARGES"/>
    <x v="0"/>
    <s v="3212.002"/>
    <s v="Intérêts bonifiés/trop perçu acompte C/C"/>
    <n v="48.36"/>
    <n v="0"/>
    <n v="3212"/>
  </r>
  <r>
    <x v="0"/>
    <x v="9"/>
    <x v="5"/>
    <x v="247"/>
    <x v="213"/>
    <x v="213"/>
    <s v="CHARGES"/>
    <x v="0"/>
    <s v="3212.004"/>
    <s v="Intérêts rémun./perçu trop tôt sur acomptes C/C"/>
    <n v="1482.86"/>
    <n v="0"/>
    <n v="3212"/>
  </r>
  <r>
    <x v="0"/>
    <x v="9"/>
    <x v="5"/>
    <x v="247"/>
    <x v="213"/>
    <x v="213"/>
    <s v="CHARGES"/>
    <x v="0"/>
    <s v="3221.002"/>
    <s v="Intérêts compensatoires / créances en faveur ctb."/>
    <n v="668.01"/>
    <n v="0"/>
    <n v="3221"/>
  </r>
  <r>
    <x v="0"/>
    <x v="9"/>
    <x v="5"/>
    <x v="247"/>
    <x v="213"/>
    <x v="213"/>
    <s v="CHARGES"/>
    <x v="1"/>
    <s v="3301.001"/>
    <s v="Défalcations, abandons de solde PP et IS"/>
    <n v="178251.29"/>
    <n v="0"/>
    <n v="3301"/>
  </r>
  <r>
    <x v="0"/>
    <x v="9"/>
    <x v="5"/>
    <x v="247"/>
    <x v="213"/>
    <x v="213"/>
    <s v="CHARGES"/>
    <x v="0"/>
    <s v="3221.002"/>
    <s v="Intérêts compensatoires / créances en faveur ctb."/>
    <n v="57.89"/>
    <n v="0"/>
    <n v="3221"/>
  </r>
  <r>
    <x v="0"/>
    <x v="9"/>
    <x v="5"/>
    <x v="247"/>
    <x v="213"/>
    <x v="213"/>
    <s v="CHARGES"/>
    <x v="0"/>
    <s v="3212.002"/>
    <s v="Intérêts bonifiés/trop perçu acompte C/C"/>
    <n v="0.01"/>
    <n v="0"/>
    <n v="3212"/>
  </r>
  <r>
    <x v="0"/>
    <x v="9"/>
    <x v="5"/>
    <x v="247"/>
    <x v="213"/>
    <x v="213"/>
    <s v="CHARGES"/>
    <x v="1"/>
    <s v="3301.001"/>
    <s v="Défalcations, abandons de solde PP et IS"/>
    <n v="110.51"/>
    <n v="0"/>
    <n v="3301"/>
  </r>
  <r>
    <x v="0"/>
    <x v="9"/>
    <x v="5"/>
    <x v="247"/>
    <x v="213"/>
    <x v="213"/>
    <s v="CHARGES"/>
    <x v="1"/>
    <s v="3301.001"/>
    <s v="Défalcations, abandons de solde PP et IS"/>
    <n v="4.32"/>
    <n v="0"/>
    <n v="3301"/>
  </r>
  <r>
    <x v="0"/>
    <x v="9"/>
    <x v="5"/>
    <x v="247"/>
    <x v="213"/>
    <x v="213"/>
    <s v="CHARGES"/>
    <x v="1"/>
    <s v="3301.001"/>
    <s v="Défalcations, abandons de solde PP et IS"/>
    <n v="4.24"/>
    <n v="0"/>
    <n v="3301"/>
  </r>
  <r>
    <x v="0"/>
    <x v="9"/>
    <x v="5"/>
    <x v="247"/>
    <x v="213"/>
    <x v="213"/>
    <s v="CHARGES"/>
    <x v="0"/>
    <s v="3212.004"/>
    <s v="Intérêts rémun./perçu trop tôt sur acomptes C/C"/>
    <n v="16.7"/>
    <n v="0"/>
    <n v="3212"/>
  </r>
  <r>
    <x v="0"/>
    <x v="9"/>
    <x v="5"/>
    <x v="247"/>
    <x v="213"/>
    <x v="213"/>
    <s v="CHARGES"/>
    <x v="0"/>
    <s v="3212.004"/>
    <s v="Intérêts rémun./perçu trop tôt sur acomptes C/C"/>
    <n v="13.31"/>
    <n v="0"/>
    <n v="3212"/>
  </r>
  <r>
    <x v="0"/>
    <x v="9"/>
    <x v="5"/>
    <x v="247"/>
    <x v="213"/>
    <x v="213"/>
    <s v="CHARGES"/>
    <x v="0"/>
    <s v="3221.002"/>
    <s v="Intérêts compensatoires / créances en faveur ctb."/>
    <n v="24.2"/>
    <n v="0"/>
    <n v="3221"/>
  </r>
  <r>
    <x v="0"/>
    <x v="9"/>
    <x v="5"/>
    <x v="247"/>
    <x v="213"/>
    <x v="213"/>
    <s v="CHARGES"/>
    <x v="0"/>
    <s v="3212.004"/>
    <s v="Intérêts rémun./perçu trop tôt sur acomptes C/C"/>
    <n v="13.87"/>
    <n v="0"/>
    <n v="3212"/>
  </r>
  <r>
    <x v="0"/>
    <x v="9"/>
    <x v="5"/>
    <x v="247"/>
    <x v="213"/>
    <x v="213"/>
    <s v="CHARGES"/>
    <x v="0"/>
    <s v="3221.002"/>
    <s v="Intérêts compensatoires / créances en faveur ctb."/>
    <n v="3.7"/>
    <n v="0"/>
    <n v="3221"/>
  </r>
  <r>
    <x v="0"/>
    <x v="9"/>
    <x v="5"/>
    <x v="247"/>
    <x v="213"/>
    <x v="213"/>
    <s v="CHARGES"/>
    <x v="0"/>
    <s v="3212.004"/>
    <s v="Intérêts rémun./perçu trop tôt sur acomptes C/C"/>
    <n v="19"/>
    <n v="0"/>
    <n v="3212"/>
  </r>
  <r>
    <x v="0"/>
    <x v="9"/>
    <x v="5"/>
    <x v="247"/>
    <x v="213"/>
    <x v="213"/>
    <s v="CHARGES"/>
    <x v="0"/>
    <s v="3221.002"/>
    <s v="Intérêts compensatoires / créances en faveur ctb."/>
    <n v="8.85"/>
    <n v="0"/>
    <n v="3221"/>
  </r>
  <r>
    <x v="0"/>
    <x v="9"/>
    <x v="5"/>
    <x v="247"/>
    <x v="213"/>
    <x v="213"/>
    <s v="CHARGES"/>
    <x v="1"/>
    <s v="3301.001"/>
    <s v="Défalcations, abandons de solde PP et IS"/>
    <n v="1.57"/>
    <n v="0"/>
    <n v="3301"/>
  </r>
  <r>
    <x v="0"/>
    <x v="9"/>
    <x v="5"/>
    <x v="247"/>
    <x v="213"/>
    <x v="213"/>
    <s v="CHARGES"/>
    <x v="1"/>
    <s v="3301.001"/>
    <s v="Défalcations, abandons de solde PP et IS"/>
    <n v="75579.92"/>
    <n v="0"/>
    <n v="3301"/>
  </r>
  <r>
    <x v="0"/>
    <x v="9"/>
    <x v="5"/>
    <x v="247"/>
    <x v="213"/>
    <x v="213"/>
    <s v="CHARGES"/>
    <x v="0"/>
    <s v="3212.004"/>
    <s v="Intérêts rémun./perçu trop tôt sur acomptes C/C"/>
    <n v="2.69"/>
    <n v="0"/>
    <n v="3212"/>
  </r>
  <r>
    <x v="0"/>
    <x v="9"/>
    <x v="5"/>
    <x v="247"/>
    <x v="213"/>
    <x v="213"/>
    <s v="CHARGES"/>
    <x v="0"/>
    <s v="3221.002"/>
    <s v="Intérêts compensatoires / créances en faveur ctb."/>
    <n v="0.67"/>
    <n v="0"/>
    <n v="3221"/>
  </r>
  <r>
    <x v="0"/>
    <x v="9"/>
    <x v="5"/>
    <x v="247"/>
    <x v="213"/>
    <x v="213"/>
    <s v="CHARGES"/>
    <x v="1"/>
    <s v="3301.001"/>
    <s v="Défalcations, abandons de solde PP et IS"/>
    <n v="-0.01"/>
    <n v="0"/>
    <n v="3301"/>
  </r>
  <r>
    <x v="0"/>
    <x v="9"/>
    <x v="5"/>
    <x v="247"/>
    <x v="213"/>
    <x v="213"/>
    <s v="CHARGES"/>
    <x v="0"/>
    <s v="3212.002"/>
    <s v="Intérêts bonifiés/trop perçu acompte C/C"/>
    <n v="0.02"/>
    <n v="0"/>
    <n v="3212"/>
  </r>
  <r>
    <x v="0"/>
    <x v="9"/>
    <x v="5"/>
    <x v="247"/>
    <x v="213"/>
    <x v="213"/>
    <s v="CHARGES"/>
    <x v="0"/>
    <s v="3212.004"/>
    <s v="Intérêts rémun./perçu trop tôt sur acomptes C/C"/>
    <n v="2.64"/>
    <n v="0"/>
    <n v="3212"/>
  </r>
  <r>
    <x v="0"/>
    <x v="9"/>
    <x v="5"/>
    <x v="247"/>
    <x v="213"/>
    <x v="213"/>
    <s v="CHARGES"/>
    <x v="0"/>
    <s v="3212.002"/>
    <s v="Intérêts bonifiés/trop perçu acompte C/C"/>
    <n v="0.15"/>
    <n v="0"/>
    <n v="3212"/>
  </r>
  <r>
    <x v="0"/>
    <x v="9"/>
    <x v="5"/>
    <x v="247"/>
    <x v="213"/>
    <x v="213"/>
    <s v="CHARGES"/>
    <x v="0"/>
    <s v="3212.004"/>
    <s v="Intérêts rémun./perçu trop tôt sur acomptes C/C"/>
    <n v="10.97"/>
    <n v="0"/>
    <n v="3212"/>
  </r>
  <r>
    <x v="0"/>
    <x v="9"/>
    <x v="5"/>
    <x v="247"/>
    <x v="213"/>
    <x v="213"/>
    <s v="CHARGES"/>
    <x v="1"/>
    <s v="3301.003"/>
    <s v="Remises PP et IS"/>
    <n v="7824.3"/>
    <n v="0"/>
    <n v="3301"/>
  </r>
  <r>
    <x v="0"/>
    <x v="9"/>
    <x v="5"/>
    <x v="247"/>
    <x v="213"/>
    <x v="213"/>
    <s v="CHARGES"/>
    <x v="1"/>
    <s v="3301.001"/>
    <s v="Défalcations, abandons de solde PP et IS"/>
    <n v="0.06"/>
    <n v="0"/>
    <n v="3301"/>
  </r>
  <r>
    <x v="0"/>
    <x v="9"/>
    <x v="5"/>
    <x v="247"/>
    <x v="213"/>
    <x v="213"/>
    <s v="CHARGES"/>
    <x v="0"/>
    <s v="3221.002"/>
    <s v="Intérêts compensatoires / créances en faveur ctb."/>
    <n v="0.14000000000000001"/>
    <n v="0"/>
    <n v="3221"/>
  </r>
  <r>
    <x v="0"/>
    <x v="9"/>
    <x v="5"/>
    <x v="247"/>
    <x v="213"/>
    <x v="213"/>
    <s v="REVENUS"/>
    <x v="2"/>
    <s v="4001.007"/>
    <s v="Acompte impôt sur revenu"/>
    <n v="0"/>
    <n v="5089.4799999999996"/>
    <n v="4001"/>
  </r>
  <r>
    <x v="0"/>
    <x v="9"/>
    <x v="5"/>
    <x v="247"/>
    <x v="213"/>
    <x v="213"/>
    <s v="REVENUS"/>
    <x v="3"/>
    <s v="4002.007"/>
    <s v="Acompte impôt sur fortune"/>
    <n v="0"/>
    <n v="-299.49"/>
    <n v="4002"/>
  </r>
  <r>
    <x v="0"/>
    <x v="9"/>
    <x v="5"/>
    <x v="247"/>
    <x v="213"/>
    <x v="213"/>
    <s v="REVENUS"/>
    <x v="2"/>
    <s v="4001.001"/>
    <s v="Impôt revenu"/>
    <n v="0"/>
    <n v="7747276.9500000002"/>
    <n v="4001"/>
  </r>
  <r>
    <x v="0"/>
    <x v="9"/>
    <x v="5"/>
    <x v="247"/>
    <x v="213"/>
    <x v="213"/>
    <s v="REVENUS"/>
    <x v="2"/>
    <s v="4001.002"/>
    <s v="Impôt complément s/revenu PP"/>
    <n v="0"/>
    <n v="1033585.55"/>
    <n v="4001"/>
  </r>
  <r>
    <x v="0"/>
    <x v="9"/>
    <x v="5"/>
    <x v="247"/>
    <x v="213"/>
    <x v="213"/>
    <s v="REVENUS"/>
    <x v="2"/>
    <s v="4001.003"/>
    <s v="Impôt s/prest. cap. PP"/>
    <n v="0"/>
    <n v="224367.75"/>
    <n v="4001"/>
  </r>
  <r>
    <x v="0"/>
    <x v="9"/>
    <x v="5"/>
    <x v="247"/>
    <x v="213"/>
    <x v="213"/>
    <s v="REVENUS"/>
    <x v="2"/>
    <s v="4001.007"/>
    <s v="Acompte impôt sur revenu"/>
    <n v="0"/>
    <n v="-969531.29"/>
    <n v="4001"/>
  </r>
  <r>
    <x v="0"/>
    <x v="9"/>
    <x v="5"/>
    <x v="247"/>
    <x v="213"/>
    <x v="213"/>
    <s v="REVENUS"/>
    <x v="3"/>
    <s v="4002.001"/>
    <s v="Impôt ordinaire s/fortune PP"/>
    <n v="0"/>
    <n v="749331.6"/>
    <n v="4002"/>
  </r>
  <r>
    <x v="0"/>
    <x v="9"/>
    <x v="5"/>
    <x v="247"/>
    <x v="213"/>
    <x v="213"/>
    <s v="REVENUS"/>
    <x v="3"/>
    <s v="4002.002"/>
    <s v="Impôt complémentaire s/fortune PP"/>
    <n v="0"/>
    <n v="128409.85"/>
    <n v="4002"/>
  </r>
  <r>
    <x v="0"/>
    <x v="9"/>
    <x v="5"/>
    <x v="247"/>
    <x v="213"/>
    <x v="213"/>
    <s v="REVENUS"/>
    <x v="3"/>
    <s v="4002.007"/>
    <s v="Acompte impôt sur fortune"/>
    <n v="0"/>
    <n v="-171684.86"/>
    <n v="4002"/>
  </r>
  <r>
    <x v="0"/>
    <x v="9"/>
    <x v="5"/>
    <x v="247"/>
    <x v="213"/>
    <x v="213"/>
    <s v="REVENUS"/>
    <x v="8"/>
    <s v="4091.001"/>
    <s v="Impôt récupéré après défalcations"/>
    <n v="0"/>
    <n v="31253.32"/>
    <n v="4091"/>
  </r>
  <r>
    <x v="0"/>
    <x v="9"/>
    <x v="5"/>
    <x v="247"/>
    <x v="213"/>
    <x v="213"/>
    <s v="REVENUS"/>
    <x v="6"/>
    <s v="4211.001"/>
    <s v="Intérêts de retard sur factures"/>
    <n v="0"/>
    <n v="27608.93"/>
    <n v="4211"/>
  </r>
  <r>
    <x v="0"/>
    <x v="9"/>
    <x v="5"/>
    <x v="247"/>
    <x v="213"/>
    <x v="213"/>
    <s v="REVENUS"/>
    <x v="6"/>
    <s v="4211.002"/>
    <s v="Intérêts de retard sur acomptes"/>
    <n v="0"/>
    <n v="47365.13"/>
    <n v="4211"/>
  </r>
  <r>
    <x v="0"/>
    <x v="9"/>
    <x v="5"/>
    <x v="247"/>
    <x v="213"/>
    <x v="213"/>
    <s v="REVENUS"/>
    <x v="6"/>
    <s v="4221.002"/>
    <s v="Intérêts compensat. sur impôts distincts"/>
    <n v="0"/>
    <n v="186.09"/>
    <n v="4221"/>
  </r>
  <r>
    <x v="0"/>
    <x v="9"/>
    <x v="5"/>
    <x v="247"/>
    <x v="213"/>
    <x v="213"/>
    <s v="REVENUS"/>
    <x v="6"/>
    <s v="4221.003"/>
    <s v="Intérêts compensat. / acomptes en faveur du fisc"/>
    <n v="0"/>
    <n v="879.39"/>
    <n v="4221"/>
  </r>
  <r>
    <x v="0"/>
    <x v="9"/>
    <x v="5"/>
    <x v="247"/>
    <x v="213"/>
    <x v="213"/>
    <s v="REVENUS"/>
    <x v="7"/>
    <s v="4184.000"/>
    <s v="Frais de poursuite"/>
    <n v="0"/>
    <n v="15282.69"/>
    <n v="4184"/>
  </r>
  <r>
    <x v="0"/>
    <x v="9"/>
    <x v="5"/>
    <x v="247"/>
    <x v="213"/>
    <x v="213"/>
    <s v="REVENUS"/>
    <x v="10"/>
    <s v="4041.001"/>
    <s v="Droits de mutation"/>
    <n v="0"/>
    <n v="229433.75"/>
    <n v="4041"/>
  </r>
  <r>
    <x v="0"/>
    <x v="9"/>
    <x v="5"/>
    <x v="247"/>
    <x v="213"/>
    <x v="213"/>
    <s v="REVENUS"/>
    <x v="2"/>
    <s v="4001.001"/>
    <s v="Impôt revenu"/>
    <n v="0"/>
    <n v="95466.2"/>
    <n v="4001"/>
  </r>
  <r>
    <x v="0"/>
    <x v="9"/>
    <x v="5"/>
    <x v="247"/>
    <x v="213"/>
    <x v="213"/>
    <s v="REVENUS"/>
    <x v="2"/>
    <s v="4001.007"/>
    <s v="Acompte impôt sur revenu"/>
    <n v="0"/>
    <n v="46951"/>
    <n v="4001"/>
  </r>
  <r>
    <x v="0"/>
    <x v="9"/>
    <x v="5"/>
    <x v="247"/>
    <x v="213"/>
    <x v="213"/>
    <s v="REVENUS"/>
    <x v="3"/>
    <s v="4002.001"/>
    <s v="Impôt ordinaire s/fortune PP"/>
    <n v="0"/>
    <n v="18320.849999999999"/>
    <n v="4002"/>
  </r>
  <r>
    <x v="0"/>
    <x v="9"/>
    <x v="5"/>
    <x v="247"/>
    <x v="213"/>
    <x v="213"/>
    <s v="REVENUS"/>
    <x v="3"/>
    <s v="4002.007"/>
    <s v="Acompte impôt sur fortune"/>
    <n v="0"/>
    <n v="-10388.42"/>
    <n v="4002"/>
  </r>
  <r>
    <x v="0"/>
    <x v="9"/>
    <x v="5"/>
    <x v="247"/>
    <x v="213"/>
    <x v="213"/>
    <s v="REVENUS"/>
    <x v="2"/>
    <s v="4001.001"/>
    <s v="Impôt revenu"/>
    <n v="0"/>
    <n v="75117.649999999994"/>
    <n v="4001"/>
  </r>
  <r>
    <x v="0"/>
    <x v="9"/>
    <x v="5"/>
    <x v="247"/>
    <x v="213"/>
    <x v="213"/>
    <s v="REVENUS"/>
    <x v="2"/>
    <s v="4001.001"/>
    <s v="Impôt revenu"/>
    <n v="0"/>
    <n v="80763.100000000006"/>
    <n v="4001"/>
  </r>
  <r>
    <x v="0"/>
    <x v="9"/>
    <x v="5"/>
    <x v="247"/>
    <x v="213"/>
    <x v="213"/>
    <s v="REVENUS"/>
    <x v="2"/>
    <s v="4001.002"/>
    <s v="Impôt complément s/revenu PP"/>
    <n v="0"/>
    <n v="17053.900000000001"/>
    <n v="4001"/>
  </r>
  <r>
    <x v="0"/>
    <x v="9"/>
    <x v="5"/>
    <x v="247"/>
    <x v="213"/>
    <x v="213"/>
    <s v="REVENUS"/>
    <x v="3"/>
    <s v="4002.001"/>
    <s v="Impôt ordinaire s/fortune PP"/>
    <n v="0"/>
    <n v="17839.5"/>
    <n v="4002"/>
  </r>
  <r>
    <x v="0"/>
    <x v="9"/>
    <x v="5"/>
    <x v="247"/>
    <x v="213"/>
    <x v="213"/>
    <s v="REVENUS"/>
    <x v="3"/>
    <s v="4002.002"/>
    <s v="Impôt complémentaire s/fortune PP"/>
    <n v="0"/>
    <n v="3161.05"/>
    <n v="4002"/>
  </r>
  <r>
    <x v="0"/>
    <x v="9"/>
    <x v="5"/>
    <x v="247"/>
    <x v="213"/>
    <x v="213"/>
    <s v="REVENUS"/>
    <x v="7"/>
    <s v="4184.000"/>
    <s v="Frais de poursuite"/>
    <n v="0"/>
    <n v="1.4"/>
    <n v="4184"/>
  </r>
  <r>
    <x v="0"/>
    <x v="9"/>
    <x v="5"/>
    <x v="247"/>
    <x v="213"/>
    <x v="213"/>
    <s v="REVENUS"/>
    <x v="6"/>
    <s v="4211.001"/>
    <s v="Intérêts de retard sur factures"/>
    <n v="0"/>
    <n v="57.6"/>
    <n v="4211"/>
  </r>
  <r>
    <x v="0"/>
    <x v="9"/>
    <x v="5"/>
    <x v="247"/>
    <x v="213"/>
    <x v="213"/>
    <s v="REVENUS"/>
    <x v="6"/>
    <s v="4211.002"/>
    <s v="Intérêts de retard sur acomptes"/>
    <n v="0"/>
    <n v="490.6"/>
    <n v="4211"/>
  </r>
  <r>
    <x v="0"/>
    <x v="9"/>
    <x v="5"/>
    <x v="247"/>
    <x v="213"/>
    <x v="213"/>
    <s v="REVENUS"/>
    <x v="6"/>
    <s v="4221.003"/>
    <s v="Intérêts compensat. / acomptes en faveur du fisc"/>
    <n v="0"/>
    <n v="8.86"/>
    <n v="4221"/>
  </r>
  <r>
    <x v="0"/>
    <x v="9"/>
    <x v="5"/>
    <x v="247"/>
    <x v="213"/>
    <x v="213"/>
    <s v="REVENUS"/>
    <x v="6"/>
    <s v="4211.002"/>
    <s v="Intérêts de retard sur acomptes"/>
    <n v="0"/>
    <n v="437.72"/>
    <n v="4211"/>
  </r>
  <r>
    <x v="0"/>
    <x v="9"/>
    <x v="5"/>
    <x v="247"/>
    <x v="213"/>
    <x v="213"/>
    <s v="REVENUS"/>
    <x v="6"/>
    <s v="4221.003"/>
    <s v="Intérêts compensat. / acomptes en faveur du fisc"/>
    <n v="0"/>
    <n v="11.47"/>
    <n v="4221"/>
  </r>
  <r>
    <x v="0"/>
    <x v="9"/>
    <x v="5"/>
    <x v="247"/>
    <x v="213"/>
    <x v="213"/>
    <s v="REVENUS"/>
    <x v="6"/>
    <s v="4211.002"/>
    <s v="Intérêts de retard sur acomptes"/>
    <n v="0"/>
    <n v="450.82"/>
    <n v="4211"/>
  </r>
  <r>
    <x v="0"/>
    <x v="9"/>
    <x v="5"/>
    <x v="247"/>
    <x v="213"/>
    <x v="213"/>
    <s v="REVENUS"/>
    <x v="7"/>
    <s v="4184.000"/>
    <s v="Frais de poursuite"/>
    <n v="0"/>
    <n v="503.36"/>
    <n v="4184"/>
  </r>
  <r>
    <x v="0"/>
    <x v="9"/>
    <x v="5"/>
    <x v="247"/>
    <x v="213"/>
    <x v="213"/>
    <s v="REVENUS"/>
    <x v="5"/>
    <s v="4061.000"/>
    <s v="Impôt sur les chiens"/>
    <n v="0"/>
    <n v="26160"/>
    <n v="4061"/>
  </r>
  <r>
    <x v="0"/>
    <x v="9"/>
    <x v="5"/>
    <x v="247"/>
    <x v="213"/>
    <x v="213"/>
    <s v="REVENUS"/>
    <x v="2"/>
    <s v="4001.003"/>
    <s v="Impôt s/prest. cap. PP"/>
    <n v="0"/>
    <n v="-1317.35"/>
    <n v="4001"/>
  </r>
  <r>
    <x v="0"/>
    <x v="9"/>
    <x v="5"/>
    <x v="247"/>
    <x v="213"/>
    <x v="213"/>
    <s v="REVENUS"/>
    <x v="9"/>
    <s v="4031.001"/>
    <s v="Impôt sur les gains immobiliers"/>
    <n v="0"/>
    <n v="232311.1"/>
    <n v="4031"/>
  </r>
  <r>
    <x v="0"/>
    <x v="9"/>
    <x v="5"/>
    <x v="247"/>
    <x v="213"/>
    <x v="213"/>
    <s v="REVENUS"/>
    <x v="6"/>
    <s v="4211.001"/>
    <s v="Intérêts de retard sur factures"/>
    <n v="0"/>
    <n v="39.46"/>
    <n v="4211"/>
  </r>
  <r>
    <x v="0"/>
    <x v="9"/>
    <x v="5"/>
    <x v="247"/>
    <x v="213"/>
    <x v="213"/>
    <s v="REVENUS"/>
    <x v="8"/>
    <s v="4091.001"/>
    <s v="Impôt récupéré après défalcations"/>
    <n v="0"/>
    <n v="120090.6"/>
    <n v="4091"/>
  </r>
  <r>
    <x v="0"/>
    <x v="9"/>
    <x v="5"/>
    <x v="247"/>
    <x v="213"/>
    <x v="213"/>
    <s v="REVENUS"/>
    <x v="3"/>
    <s v="4002.001"/>
    <s v="Impôt ordinaire s/fortune PP"/>
    <n v="0"/>
    <n v="25690.5"/>
    <n v="4002"/>
  </r>
  <r>
    <x v="0"/>
    <x v="9"/>
    <x v="5"/>
    <x v="247"/>
    <x v="213"/>
    <x v="213"/>
    <s v="REVENUS"/>
    <x v="2"/>
    <s v="4001.007"/>
    <s v="Acompte impôt sur revenu"/>
    <n v="0"/>
    <n v="-34143.120000000003"/>
    <n v="4001"/>
  </r>
  <r>
    <x v="0"/>
    <x v="9"/>
    <x v="5"/>
    <x v="247"/>
    <x v="213"/>
    <x v="213"/>
    <s v="REVENUS"/>
    <x v="3"/>
    <s v="4002.007"/>
    <s v="Acompte impôt sur fortune"/>
    <n v="0"/>
    <n v="-5084.84"/>
    <n v="4002"/>
  </r>
  <r>
    <x v="0"/>
    <x v="9"/>
    <x v="5"/>
    <x v="247"/>
    <x v="213"/>
    <x v="213"/>
    <s v="REVENUS"/>
    <x v="6"/>
    <s v="4211.001"/>
    <s v="Intérêts de retard sur factures"/>
    <n v="0"/>
    <n v="192.25"/>
    <n v="4211"/>
  </r>
  <r>
    <x v="0"/>
    <x v="9"/>
    <x v="5"/>
    <x v="247"/>
    <x v="213"/>
    <x v="213"/>
    <s v="REVENUS"/>
    <x v="3"/>
    <s v="4002.007"/>
    <s v="Acompte impôt sur fortune"/>
    <n v="0"/>
    <n v="7060.32"/>
    <n v="4002"/>
  </r>
  <r>
    <x v="0"/>
    <x v="9"/>
    <x v="5"/>
    <x v="247"/>
    <x v="213"/>
    <x v="213"/>
    <s v="REVENUS"/>
    <x v="2"/>
    <s v="4001.007"/>
    <s v="Acompte impôt sur revenu"/>
    <n v="0"/>
    <n v="1093.2"/>
    <n v="4001"/>
  </r>
  <r>
    <x v="0"/>
    <x v="9"/>
    <x v="5"/>
    <x v="247"/>
    <x v="213"/>
    <x v="213"/>
    <s v="REVENUS"/>
    <x v="3"/>
    <s v="4002.007"/>
    <s v="Acompte impôt sur fortune"/>
    <n v="0"/>
    <n v="917.5"/>
    <n v="4002"/>
  </r>
  <r>
    <x v="0"/>
    <x v="9"/>
    <x v="5"/>
    <x v="247"/>
    <x v="213"/>
    <x v="213"/>
    <s v="REVENUS"/>
    <x v="3"/>
    <s v="4002.001"/>
    <s v="Impôt ordinaire s/fortune PP"/>
    <n v="0"/>
    <n v="10437.4"/>
    <n v="4002"/>
  </r>
  <r>
    <x v="0"/>
    <x v="9"/>
    <x v="5"/>
    <x v="247"/>
    <x v="213"/>
    <x v="213"/>
    <s v="REVENUS"/>
    <x v="2"/>
    <s v="4001.007"/>
    <s v="Acompte impôt sur revenu"/>
    <n v="0"/>
    <n v="31784.880000000001"/>
    <n v="4001"/>
  </r>
  <r>
    <x v="0"/>
    <x v="9"/>
    <x v="5"/>
    <x v="247"/>
    <x v="213"/>
    <x v="213"/>
    <s v="REVENUS"/>
    <x v="2"/>
    <s v="4001.001"/>
    <s v="Impôt revenu"/>
    <n v="0"/>
    <n v="33415.800000000003"/>
    <n v="4001"/>
  </r>
  <r>
    <x v="0"/>
    <x v="9"/>
    <x v="5"/>
    <x v="247"/>
    <x v="213"/>
    <x v="213"/>
    <s v="REVENUS"/>
    <x v="3"/>
    <s v="4002.007"/>
    <s v="Acompte impôt sur fortune"/>
    <n v="0"/>
    <n v="-8614.25"/>
    <n v="4002"/>
  </r>
  <r>
    <x v="0"/>
    <x v="9"/>
    <x v="5"/>
    <x v="247"/>
    <x v="213"/>
    <x v="213"/>
    <s v="REVENUS"/>
    <x v="2"/>
    <s v="4001.007"/>
    <s v="Acompte impôt sur revenu"/>
    <n v="0"/>
    <n v="6802.16"/>
    <n v="4001"/>
  </r>
  <r>
    <x v="0"/>
    <x v="9"/>
    <x v="5"/>
    <x v="247"/>
    <x v="213"/>
    <x v="213"/>
    <s v="REVENUS"/>
    <x v="3"/>
    <s v="4002.007"/>
    <s v="Acompte impôt sur fortune"/>
    <n v="0"/>
    <n v="1700.97"/>
    <n v="4002"/>
  </r>
  <r>
    <x v="0"/>
    <x v="9"/>
    <x v="5"/>
    <x v="247"/>
    <x v="213"/>
    <x v="213"/>
    <s v="REVENUS"/>
    <x v="2"/>
    <s v="4001.007"/>
    <s v="Acompte impôt sur revenu"/>
    <n v="0"/>
    <n v="-52239.3"/>
    <n v="4001"/>
  </r>
  <r>
    <x v="0"/>
    <x v="9"/>
    <x v="5"/>
    <x v="247"/>
    <x v="213"/>
    <x v="213"/>
    <s v="REVENUS"/>
    <x v="2"/>
    <s v="4001.001"/>
    <s v="Impôt revenu"/>
    <n v="0"/>
    <n v="-262605.90000000002"/>
    <n v="4001"/>
  </r>
  <r>
    <x v="0"/>
    <x v="9"/>
    <x v="5"/>
    <x v="247"/>
    <x v="213"/>
    <x v="213"/>
    <s v="REVENUS"/>
    <x v="3"/>
    <s v="4002.001"/>
    <s v="Impôt ordinaire s/fortune PP"/>
    <n v="0"/>
    <n v="-27998"/>
    <n v="4002"/>
  </r>
  <r>
    <x v="0"/>
    <x v="9"/>
    <x v="5"/>
    <x v="247"/>
    <x v="213"/>
    <x v="213"/>
    <s v="REVENUS"/>
    <x v="6"/>
    <s v="4211.002"/>
    <s v="Intérêts de retard sur acomptes"/>
    <n v="0"/>
    <n v="143.07"/>
    <n v="4211"/>
  </r>
  <r>
    <x v="0"/>
    <x v="9"/>
    <x v="5"/>
    <x v="247"/>
    <x v="213"/>
    <x v="213"/>
    <s v="REVENUS"/>
    <x v="6"/>
    <s v="4221.003"/>
    <s v="Intérêts compensat. / acomptes en faveur du fisc"/>
    <n v="0"/>
    <n v="1.68"/>
    <n v="4221"/>
  </r>
  <r>
    <x v="0"/>
    <x v="9"/>
    <x v="5"/>
    <x v="247"/>
    <x v="213"/>
    <x v="213"/>
    <s v="REVENUS"/>
    <x v="2"/>
    <s v="4001.002"/>
    <s v="Impôt complément s/revenu PP"/>
    <n v="0"/>
    <n v="5712.55"/>
    <n v="4001"/>
  </r>
  <r>
    <x v="0"/>
    <x v="9"/>
    <x v="5"/>
    <x v="247"/>
    <x v="213"/>
    <x v="213"/>
    <s v="REVENUS"/>
    <x v="3"/>
    <s v="4002.002"/>
    <s v="Impôt complémentaire s/fortune PP"/>
    <n v="0"/>
    <n v="2846"/>
    <n v="4002"/>
  </r>
  <r>
    <x v="0"/>
    <x v="9"/>
    <x v="5"/>
    <x v="247"/>
    <x v="213"/>
    <x v="213"/>
    <s v="REVENUS"/>
    <x v="6"/>
    <s v="4221.003"/>
    <s v="Intérêts compensat. / acomptes en faveur du fisc"/>
    <n v="0"/>
    <n v="65.28"/>
    <n v="4221"/>
  </r>
  <r>
    <x v="0"/>
    <x v="9"/>
    <x v="5"/>
    <x v="247"/>
    <x v="213"/>
    <x v="213"/>
    <s v="REVENUS"/>
    <x v="11"/>
    <s v="4198.000"/>
    <s v="Contributions communales"/>
    <n v="0"/>
    <n v="618285.4"/>
    <n v="4198"/>
  </r>
  <r>
    <x v="0"/>
    <x v="9"/>
    <x v="5"/>
    <x v="247"/>
    <x v="213"/>
    <x v="213"/>
    <s v="REVENUS"/>
    <x v="2"/>
    <s v="4001.007"/>
    <s v="Acompte impôt sur revenu"/>
    <n v="0"/>
    <n v="-81799.95"/>
    <n v="4001"/>
  </r>
  <r>
    <x v="0"/>
    <x v="9"/>
    <x v="5"/>
    <x v="247"/>
    <x v="213"/>
    <x v="213"/>
    <s v="REVENUS"/>
    <x v="3"/>
    <s v="4002.007"/>
    <s v="Acompte impôt sur fortune"/>
    <n v="0"/>
    <n v="-21569.35"/>
    <n v="4002"/>
  </r>
  <r>
    <x v="0"/>
    <x v="9"/>
    <x v="5"/>
    <x v="247"/>
    <x v="213"/>
    <x v="213"/>
    <s v="REVENUS"/>
    <x v="6"/>
    <s v="4221.003"/>
    <s v="Intérêts compensat. / acomptes en faveur du fisc"/>
    <n v="0"/>
    <n v="0.09"/>
    <n v="4221"/>
  </r>
  <r>
    <x v="0"/>
    <x v="9"/>
    <x v="5"/>
    <x v="247"/>
    <x v="213"/>
    <x v="213"/>
    <s v="REVENUS"/>
    <x v="7"/>
    <s v="4184.000"/>
    <s v="Frais de poursuite"/>
    <n v="0"/>
    <n v="9.7200000000000006"/>
    <n v="4184"/>
  </r>
  <r>
    <x v="0"/>
    <x v="9"/>
    <x v="5"/>
    <x v="247"/>
    <x v="213"/>
    <x v="213"/>
    <s v="REVENUS"/>
    <x v="3"/>
    <s v="4002.002"/>
    <s v="Impôt complémentaire s/fortune PP"/>
    <n v="0"/>
    <n v="748.3"/>
    <n v="4002"/>
  </r>
  <r>
    <x v="0"/>
    <x v="9"/>
    <x v="5"/>
    <x v="247"/>
    <x v="213"/>
    <x v="213"/>
    <s v="REVENUS"/>
    <x v="4"/>
    <s v="4051.001"/>
    <s v="Impôt sur les successions"/>
    <n v="0"/>
    <n v="121500"/>
    <n v="4051"/>
  </r>
  <r>
    <x v="0"/>
    <x v="9"/>
    <x v="5"/>
    <x v="247"/>
    <x v="213"/>
    <x v="213"/>
    <s v="REVENUS"/>
    <x v="6"/>
    <s v="4211.002"/>
    <s v="Intérêts de retard sur acomptes"/>
    <n v="0"/>
    <n v="-0.02"/>
    <n v="4211"/>
  </r>
  <r>
    <x v="0"/>
    <x v="9"/>
    <x v="5"/>
    <x v="247"/>
    <x v="213"/>
    <x v="213"/>
    <s v="REVENUS"/>
    <x v="3"/>
    <s v="4002.001"/>
    <s v="Impôt ordinaire s/fortune PP"/>
    <n v="0"/>
    <n v="89.25"/>
    <n v="4002"/>
  </r>
  <r>
    <x v="0"/>
    <x v="9"/>
    <x v="5"/>
    <x v="247"/>
    <x v="213"/>
    <x v="213"/>
    <s v="REVENUS"/>
    <x v="6"/>
    <s v="4211.001"/>
    <s v="Intérêts de retard sur factures"/>
    <n v="0"/>
    <n v="9.4600000000000009"/>
    <n v="4211"/>
  </r>
  <r>
    <x v="0"/>
    <x v="9"/>
    <x v="5"/>
    <x v="247"/>
    <x v="213"/>
    <x v="213"/>
    <s v="REVENUS"/>
    <x v="6"/>
    <s v="4211.001"/>
    <s v="Intérêts de retard sur factures"/>
    <n v="0"/>
    <n v="6.51"/>
    <n v="4211"/>
  </r>
  <r>
    <x v="0"/>
    <x v="9"/>
    <x v="5"/>
    <x v="247"/>
    <x v="213"/>
    <x v="213"/>
    <s v="REVENUS"/>
    <x v="2"/>
    <s v="4001.001"/>
    <s v="Impôt revenu"/>
    <n v="0"/>
    <n v="21200.799999999999"/>
    <n v="4001"/>
  </r>
  <r>
    <x v="0"/>
    <x v="9"/>
    <x v="5"/>
    <x v="247"/>
    <x v="213"/>
    <x v="213"/>
    <s v="REVENUS"/>
    <x v="3"/>
    <s v="4002.001"/>
    <s v="Impôt ordinaire s/fortune PP"/>
    <n v="0"/>
    <n v="6502.05"/>
    <n v="4002"/>
  </r>
  <r>
    <x v="0"/>
    <x v="9"/>
    <x v="5"/>
    <x v="247"/>
    <x v="213"/>
    <x v="213"/>
    <s v="REVENUS"/>
    <x v="6"/>
    <s v="4221.003"/>
    <s v="Intérêts compensat. / acomptes en faveur du fisc"/>
    <n v="0"/>
    <n v="8.02"/>
    <n v="4221"/>
  </r>
  <r>
    <x v="0"/>
    <x v="9"/>
    <x v="5"/>
    <x v="247"/>
    <x v="213"/>
    <x v="213"/>
    <s v="REVENUS"/>
    <x v="2"/>
    <s v="4001.002"/>
    <s v="Impôt complément s/revenu PP"/>
    <n v="0"/>
    <n v="55.8"/>
    <n v="4001"/>
  </r>
  <r>
    <x v="0"/>
    <x v="9"/>
    <x v="5"/>
    <x v="247"/>
    <x v="213"/>
    <x v="213"/>
    <s v="REVENUS"/>
    <x v="3"/>
    <s v="4002.002"/>
    <s v="Impôt complémentaire s/fortune PP"/>
    <n v="0"/>
    <n v="157.80000000000001"/>
    <n v="4002"/>
  </r>
  <r>
    <x v="0"/>
    <x v="9"/>
    <x v="5"/>
    <x v="247"/>
    <x v="213"/>
    <x v="213"/>
    <s v="REVENUS"/>
    <x v="2"/>
    <s v="4001.001"/>
    <s v="Impôt revenu"/>
    <n v="0"/>
    <n v="0"/>
    <n v="4001"/>
  </r>
  <r>
    <x v="0"/>
    <x v="9"/>
    <x v="5"/>
    <x v="247"/>
    <x v="213"/>
    <x v="213"/>
    <s v="REVENUS"/>
    <x v="6"/>
    <s v="4211.002"/>
    <s v="Intérêts de retard sur acomptes"/>
    <n v="0"/>
    <n v="32.97"/>
    <n v="4211"/>
  </r>
  <r>
    <x v="0"/>
    <x v="9"/>
    <x v="5"/>
    <x v="247"/>
    <x v="213"/>
    <x v="213"/>
    <s v="REVENUS"/>
    <x v="6"/>
    <s v="4221.003"/>
    <s v="Intérêts compensat. / acomptes en faveur du fisc"/>
    <n v="0"/>
    <n v="0.06"/>
    <n v="4221"/>
  </r>
  <r>
    <x v="0"/>
    <x v="9"/>
    <x v="5"/>
    <x v="247"/>
    <x v="213"/>
    <x v="213"/>
    <s v="REVENUS"/>
    <x v="2"/>
    <s v="4001.001"/>
    <s v="Impôt revenu"/>
    <n v="0"/>
    <n v="93.8"/>
    <n v="4001"/>
  </r>
  <r>
    <x v="0"/>
    <x v="9"/>
    <x v="5"/>
    <x v="247"/>
    <x v="213"/>
    <x v="213"/>
    <s v="REVENUS"/>
    <x v="6"/>
    <s v="4211.002"/>
    <s v="Intérêts de retard sur acomptes"/>
    <n v="0"/>
    <n v="2.62"/>
    <n v="4211"/>
  </r>
  <r>
    <x v="0"/>
    <x v="9"/>
    <x v="5"/>
    <x v="247"/>
    <x v="213"/>
    <x v="213"/>
    <s v="REVENUS"/>
    <x v="2"/>
    <s v="4001.002"/>
    <s v="Impôt complément s/revenu PP"/>
    <n v="0"/>
    <n v="1075.4000000000001"/>
    <n v="4001"/>
  </r>
  <r>
    <x v="0"/>
    <x v="9"/>
    <x v="5"/>
    <x v="247"/>
    <x v="213"/>
    <x v="213"/>
    <s v="REVENUS"/>
    <x v="3"/>
    <s v="4002.002"/>
    <s v="Impôt complémentaire s/fortune PP"/>
    <n v="0"/>
    <n v="492.1"/>
    <n v="4002"/>
  </r>
  <r>
    <x v="0"/>
    <x v="9"/>
    <x v="5"/>
    <x v="247"/>
    <x v="213"/>
    <x v="213"/>
    <s v="REVENUS"/>
    <x v="2"/>
    <s v="4001.002"/>
    <s v="Impôt complément s/revenu PP"/>
    <n v="0"/>
    <n v="4521.6000000000004"/>
    <n v="4001"/>
  </r>
  <r>
    <x v="0"/>
    <x v="9"/>
    <x v="5"/>
    <x v="247"/>
    <x v="213"/>
    <x v="213"/>
    <s v="REVENUS"/>
    <x v="10"/>
    <s v="4041.002"/>
    <s v="Complément droit de mutation"/>
    <n v="0"/>
    <n v="10545.25"/>
    <n v="4041"/>
  </r>
  <r>
    <x v="0"/>
    <x v="9"/>
    <x v="5"/>
    <x v="248"/>
    <x v="214"/>
    <x v="214"/>
    <s v="CHARGES"/>
    <x v="0"/>
    <s v="3221.002"/>
    <s v="Intérêts compensatoires / créances en faveur ctb."/>
    <n v="41.04"/>
    <n v="0"/>
    <n v="3221"/>
  </r>
  <r>
    <x v="0"/>
    <x v="9"/>
    <x v="5"/>
    <x v="248"/>
    <x v="214"/>
    <x v="214"/>
    <s v="CHARGES"/>
    <x v="0"/>
    <s v="3212.004"/>
    <s v="Intérêts rémun./perçu trop tôt sur acomptes C/C"/>
    <n v="81.98"/>
    <n v="0"/>
    <n v="3212"/>
  </r>
  <r>
    <x v="0"/>
    <x v="9"/>
    <x v="5"/>
    <x v="248"/>
    <x v="214"/>
    <x v="214"/>
    <s v="CHARGES"/>
    <x v="1"/>
    <s v="3301.001"/>
    <s v="Défalcations, abandons de solde PP et IS"/>
    <n v="7392.51"/>
    <n v="0"/>
    <n v="3301"/>
  </r>
  <r>
    <x v="0"/>
    <x v="9"/>
    <x v="5"/>
    <x v="248"/>
    <x v="214"/>
    <x v="214"/>
    <s v="CHARGES"/>
    <x v="0"/>
    <s v="3221.002"/>
    <s v="Intérêts compensatoires / créances en faveur ctb."/>
    <n v="2.19"/>
    <n v="0"/>
    <n v="3221"/>
  </r>
  <r>
    <x v="0"/>
    <x v="9"/>
    <x v="5"/>
    <x v="248"/>
    <x v="214"/>
    <x v="214"/>
    <s v="CHARGES"/>
    <x v="1"/>
    <s v="3301.001"/>
    <s v="Défalcations, abandons de solde PP et IS"/>
    <n v="0.83"/>
    <n v="0"/>
    <n v="3301"/>
  </r>
  <r>
    <x v="0"/>
    <x v="9"/>
    <x v="5"/>
    <x v="248"/>
    <x v="214"/>
    <x v="214"/>
    <s v="CHARGES"/>
    <x v="0"/>
    <s v="3212.004"/>
    <s v="Intérêts rémun./perçu trop tôt sur acomptes C/C"/>
    <n v="-0.04"/>
    <n v="0"/>
    <n v="3212"/>
  </r>
  <r>
    <x v="0"/>
    <x v="9"/>
    <x v="5"/>
    <x v="248"/>
    <x v="214"/>
    <x v="214"/>
    <s v="CHARGES"/>
    <x v="0"/>
    <s v="3221.002"/>
    <s v="Intérêts compensatoires / créances en faveur ctb."/>
    <n v="0.01"/>
    <n v="0"/>
    <n v="3221"/>
  </r>
  <r>
    <x v="0"/>
    <x v="9"/>
    <x v="5"/>
    <x v="248"/>
    <x v="214"/>
    <x v="214"/>
    <s v="CHARGES"/>
    <x v="0"/>
    <s v="3212.004"/>
    <s v="Intérêts rémun./perçu trop tôt sur acomptes C/C"/>
    <n v="3.38"/>
    <n v="0"/>
    <n v="3212"/>
  </r>
  <r>
    <x v="0"/>
    <x v="9"/>
    <x v="5"/>
    <x v="248"/>
    <x v="214"/>
    <x v="214"/>
    <s v="CHARGES"/>
    <x v="1"/>
    <s v="3301.001"/>
    <s v="Défalcations, abandons de solde PP et IS"/>
    <n v="25.08"/>
    <n v="0"/>
    <n v="3301"/>
  </r>
  <r>
    <x v="0"/>
    <x v="9"/>
    <x v="5"/>
    <x v="248"/>
    <x v="214"/>
    <x v="214"/>
    <s v="REVENUS"/>
    <x v="7"/>
    <s v="4184.000"/>
    <s v="Frais de poursuite"/>
    <n v="0"/>
    <n v="807.26"/>
    <n v="4184"/>
  </r>
  <r>
    <x v="0"/>
    <x v="9"/>
    <x v="5"/>
    <x v="248"/>
    <x v="214"/>
    <x v="214"/>
    <s v="REVENUS"/>
    <x v="2"/>
    <s v="4001.001"/>
    <s v="Impôt revenu"/>
    <n v="0"/>
    <n v="350756.95"/>
    <n v="4001"/>
  </r>
  <r>
    <x v="0"/>
    <x v="9"/>
    <x v="5"/>
    <x v="248"/>
    <x v="214"/>
    <x v="214"/>
    <s v="REVENUS"/>
    <x v="2"/>
    <s v="4001.007"/>
    <s v="Acompte impôt sur revenu"/>
    <n v="0"/>
    <n v="9525.73"/>
    <n v="4001"/>
  </r>
  <r>
    <x v="0"/>
    <x v="9"/>
    <x v="5"/>
    <x v="248"/>
    <x v="214"/>
    <x v="214"/>
    <s v="REVENUS"/>
    <x v="3"/>
    <s v="4002.001"/>
    <s v="Impôt ordinaire s/fortune PP"/>
    <n v="0"/>
    <n v="49367.05"/>
    <n v="4002"/>
  </r>
  <r>
    <x v="0"/>
    <x v="9"/>
    <x v="5"/>
    <x v="248"/>
    <x v="214"/>
    <x v="214"/>
    <s v="REVENUS"/>
    <x v="3"/>
    <s v="4002.007"/>
    <s v="Acompte impôt sur fortune"/>
    <n v="0"/>
    <n v="2546.87"/>
    <n v="4002"/>
  </r>
  <r>
    <x v="0"/>
    <x v="9"/>
    <x v="5"/>
    <x v="248"/>
    <x v="214"/>
    <x v="214"/>
    <s v="REVENUS"/>
    <x v="6"/>
    <s v="4221.003"/>
    <s v="Intérêts compensat. / acomptes en faveur du fisc"/>
    <n v="0"/>
    <n v="45.39"/>
    <n v="4221"/>
  </r>
  <r>
    <x v="0"/>
    <x v="9"/>
    <x v="5"/>
    <x v="248"/>
    <x v="214"/>
    <x v="214"/>
    <s v="REVENUS"/>
    <x v="6"/>
    <s v="4211.001"/>
    <s v="Intérêts de retard sur factures"/>
    <n v="0"/>
    <n v="996.38"/>
    <n v="4211"/>
  </r>
  <r>
    <x v="0"/>
    <x v="9"/>
    <x v="5"/>
    <x v="248"/>
    <x v="214"/>
    <x v="214"/>
    <s v="REVENUS"/>
    <x v="6"/>
    <s v="4211.002"/>
    <s v="Intérêts de retard sur acomptes"/>
    <n v="0"/>
    <n v="1653.9"/>
    <n v="4211"/>
  </r>
  <r>
    <x v="0"/>
    <x v="9"/>
    <x v="5"/>
    <x v="248"/>
    <x v="214"/>
    <x v="214"/>
    <s v="REVENUS"/>
    <x v="2"/>
    <s v="4001.001"/>
    <s v="Impôt revenu"/>
    <n v="0"/>
    <n v="3312.65"/>
    <n v="4001"/>
  </r>
  <r>
    <x v="0"/>
    <x v="9"/>
    <x v="5"/>
    <x v="248"/>
    <x v="214"/>
    <x v="214"/>
    <s v="REVENUS"/>
    <x v="3"/>
    <s v="4002.001"/>
    <s v="Impôt ordinaire s/fortune PP"/>
    <n v="0"/>
    <n v="369.05"/>
    <n v="4002"/>
  </r>
  <r>
    <x v="0"/>
    <x v="9"/>
    <x v="5"/>
    <x v="248"/>
    <x v="214"/>
    <x v="214"/>
    <s v="REVENUS"/>
    <x v="3"/>
    <s v="4002.007"/>
    <s v="Acompte impôt sur fortune"/>
    <n v="0"/>
    <n v="-547.22"/>
    <n v="4002"/>
  </r>
  <r>
    <x v="0"/>
    <x v="9"/>
    <x v="5"/>
    <x v="248"/>
    <x v="214"/>
    <x v="214"/>
    <s v="REVENUS"/>
    <x v="6"/>
    <s v="4221.003"/>
    <s v="Intérêts compensat. / acomptes en faveur du fisc"/>
    <n v="0"/>
    <n v="0.83"/>
    <n v="4221"/>
  </r>
  <r>
    <x v="0"/>
    <x v="9"/>
    <x v="5"/>
    <x v="248"/>
    <x v="214"/>
    <x v="214"/>
    <s v="REVENUS"/>
    <x v="2"/>
    <s v="4001.003"/>
    <s v="Impôt s/prest. cap. PP"/>
    <n v="0"/>
    <n v="29424.65"/>
    <n v="4001"/>
  </r>
  <r>
    <x v="0"/>
    <x v="9"/>
    <x v="5"/>
    <x v="248"/>
    <x v="214"/>
    <x v="214"/>
    <s v="REVENUS"/>
    <x v="2"/>
    <s v="4001.007"/>
    <s v="Acompte impôt sur revenu"/>
    <n v="0"/>
    <n v="0"/>
    <n v="4001"/>
  </r>
  <r>
    <x v="0"/>
    <x v="9"/>
    <x v="5"/>
    <x v="248"/>
    <x v="214"/>
    <x v="214"/>
    <s v="REVENUS"/>
    <x v="2"/>
    <s v="4001.007"/>
    <s v="Acompte impôt sur revenu"/>
    <n v="0"/>
    <n v="-782.9"/>
    <n v="4001"/>
  </r>
  <r>
    <x v="0"/>
    <x v="9"/>
    <x v="5"/>
    <x v="248"/>
    <x v="214"/>
    <x v="214"/>
    <s v="REVENUS"/>
    <x v="6"/>
    <s v="4221.002"/>
    <s v="Intérêts compensat. sur impôts distincts"/>
    <n v="0"/>
    <n v="0.27"/>
    <n v="4221"/>
  </r>
  <r>
    <x v="0"/>
    <x v="9"/>
    <x v="5"/>
    <x v="248"/>
    <x v="214"/>
    <x v="214"/>
    <s v="REVENUS"/>
    <x v="7"/>
    <s v="4184.000"/>
    <s v="Frais de poursuite"/>
    <n v="0"/>
    <n v="3.63"/>
    <n v="4184"/>
  </r>
  <r>
    <x v="0"/>
    <x v="9"/>
    <x v="5"/>
    <x v="248"/>
    <x v="214"/>
    <x v="214"/>
    <s v="REVENUS"/>
    <x v="2"/>
    <s v="4001.001"/>
    <s v="Impôt revenu"/>
    <n v="0"/>
    <n v="-202.5"/>
    <n v="4001"/>
  </r>
  <r>
    <x v="0"/>
    <x v="9"/>
    <x v="5"/>
    <x v="248"/>
    <x v="214"/>
    <x v="214"/>
    <s v="REVENUS"/>
    <x v="3"/>
    <s v="4002.001"/>
    <s v="Impôt ordinaire s/fortune PP"/>
    <n v="0"/>
    <n v="-27.4"/>
    <n v="4002"/>
  </r>
  <r>
    <x v="0"/>
    <x v="9"/>
    <x v="5"/>
    <x v="248"/>
    <x v="214"/>
    <x v="214"/>
    <s v="REVENUS"/>
    <x v="2"/>
    <s v="4001.002"/>
    <s v="Impôt complément s/revenu PP"/>
    <n v="0"/>
    <n v="14188.4"/>
    <n v="4001"/>
  </r>
  <r>
    <x v="0"/>
    <x v="9"/>
    <x v="5"/>
    <x v="248"/>
    <x v="214"/>
    <x v="214"/>
    <s v="REVENUS"/>
    <x v="3"/>
    <s v="4002.002"/>
    <s v="Impôt complémentaire s/fortune PP"/>
    <n v="0"/>
    <n v="3087.3"/>
    <n v="4002"/>
  </r>
  <r>
    <x v="0"/>
    <x v="9"/>
    <x v="5"/>
    <x v="248"/>
    <x v="214"/>
    <x v="214"/>
    <s v="REVENUS"/>
    <x v="2"/>
    <s v="4001.002"/>
    <s v="Impôt complément s/revenu PP"/>
    <n v="0"/>
    <n v="104.05"/>
    <n v="4001"/>
  </r>
  <r>
    <x v="0"/>
    <x v="9"/>
    <x v="5"/>
    <x v="248"/>
    <x v="214"/>
    <x v="214"/>
    <s v="REVENUS"/>
    <x v="3"/>
    <s v="4002.002"/>
    <s v="Impôt complémentaire s/fortune PP"/>
    <n v="0"/>
    <n v="242.3"/>
    <n v="4002"/>
  </r>
  <r>
    <x v="0"/>
    <x v="9"/>
    <x v="5"/>
    <x v="248"/>
    <x v="214"/>
    <x v="214"/>
    <s v="REVENUS"/>
    <x v="6"/>
    <s v="4211.001"/>
    <s v="Intérêts de retard sur factures"/>
    <n v="0"/>
    <n v="6.31"/>
    <n v="4211"/>
  </r>
  <r>
    <x v="0"/>
    <x v="9"/>
    <x v="5"/>
    <x v="248"/>
    <x v="214"/>
    <x v="214"/>
    <s v="REVENUS"/>
    <x v="6"/>
    <s v="4211.002"/>
    <s v="Intérêts de retard sur acomptes"/>
    <n v="0"/>
    <n v="2.06"/>
    <n v="4211"/>
  </r>
  <r>
    <x v="0"/>
    <x v="9"/>
    <x v="5"/>
    <x v="248"/>
    <x v="214"/>
    <x v="214"/>
    <s v="REVENUS"/>
    <x v="10"/>
    <s v="4041.001"/>
    <s v="Droits de mutation"/>
    <n v="0"/>
    <n v="1080.95"/>
    <n v="4041"/>
  </r>
  <r>
    <x v="0"/>
    <x v="9"/>
    <x v="5"/>
    <x v="248"/>
    <x v="214"/>
    <x v="214"/>
    <s v="REVENUS"/>
    <x v="2"/>
    <s v="4001.001"/>
    <s v="Impôt revenu"/>
    <n v="0"/>
    <n v="60.2"/>
    <n v="4001"/>
  </r>
  <r>
    <x v="0"/>
    <x v="9"/>
    <x v="5"/>
    <x v="248"/>
    <x v="214"/>
    <x v="214"/>
    <s v="REVENUS"/>
    <x v="3"/>
    <s v="4002.001"/>
    <s v="Impôt ordinaire s/fortune PP"/>
    <n v="0"/>
    <n v="33.799999999999997"/>
    <n v="4002"/>
  </r>
  <r>
    <x v="0"/>
    <x v="9"/>
    <x v="5"/>
    <x v="248"/>
    <x v="214"/>
    <x v="214"/>
    <s v="REVENUS"/>
    <x v="6"/>
    <s v="4211.002"/>
    <s v="Intérêts de retard sur acomptes"/>
    <n v="0"/>
    <n v="0.14000000000000001"/>
    <n v="4211"/>
  </r>
  <r>
    <x v="0"/>
    <x v="9"/>
    <x v="5"/>
    <x v="248"/>
    <x v="214"/>
    <x v="214"/>
    <s v="REVENUS"/>
    <x v="5"/>
    <s v="4061.000"/>
    <s v="Impôt sur les chiens"/>
    <n v="0"/>
    <n v="620"/>
    <n v="4061"/>
  </r>
  <r>
    <x v="0"/>
    <x v="9"/>
    <x v="5"/>
    <x v="248"/>
    <x v="214"/>
    <x v="214"/>
    <s v="REVENUS"/>
    <x v="6"/>
    <s v="4211.001"/>
    <s v="Intérêts de retard sur factures"/>
    <n v="0"/>
    <n v="0.03"/>
    <n v="4211"/>
  </r>
  <r>
    <x v="0"/>
    <x v="9"/>
    <x v="5"/>
    <x v="248"/>
    <x v="214"/>
    <x v="214"/>
    <s v="REVENUS"/>
    <x v="11"/>
    <s v="4198.000"/>
    <s v="Contributions communales"/>
    <n v="0"/>
    <n v="13620.35"/>
    <n v="4198"/>
  </r>
  <r>
    <x v="0"/>
    <x v="9"/>
    <x v="5"/>
    <x v="248"/>
    <x v="214"/>
    <x v="214"/>
    <s v="REVENUS"/>
    <x v="2"/>
    <s v="4001.007"/>
    <s v="Acompte impôt sur revenu"/>
    <n v="0"/>
    <n v="-188.85"/>
    <n v="4001"/>
  </r>
  <r>
    <x v="0"/>
    <x v="9"/>
    <x v="5"/>
    <x v="248"/>
    <x v="214"/>
    <x v="214"/>
    <s v="REVENUS"/>
    <x v="3"/>
    <s v="4002.007"/>
    <s v="Acompte impôt sur fortune"/>
    <n v="0"/>
    <n v="-10.75"/>
    <n v="4002"/>
  </r>
  <r>
    <x v="0"/>
    <x v="9"/>
    <x v="5"/>
    <x v="248"/>
    <x v="214"/>
    <x v="214"/>
    <s v="REVENUS"/>
    <x v="6"/>
    <s v="4211.001"/>
    <s v="Intérêts de retard sur factures"/>
    <n v="0"/>
    <n v="-0.62"/>
    <n v="4211"/>
  </r>
  <r>
    <x v="0"/>
    <x v="9"/>
    <x v="5"/>
    <x v="248"/>
    <x v="214"/>
    <x v="214"/>
    <s v="REVENUS"/>
    <x v="6"/>
    <s v="4211.002"/>
    <s v="Intérêts de retard sur acomptes"/>
    <n v="0"/>
    <n v="-0.25"/>
    <n v="4211"/>
  </r>
  <r>
    <x v="0"/>
    <x v="9"/>
    <x v="5"/>
    <x v="248"/>
    <x v="214"/>
    <x v="214"/>
    <s v="REVENUS"/>
    <x v="6"/>
    <s v="4221.003"/>
    <s v="Intérêts compensat. / acomptes en faveur du fisc"/>
    <n v="0"/>
    <n v="-1.1200000000000001"/>
    <n v="4221"/>
  </r>
  <r>
    <x v="0"/>
    <x v="9"/>
    <x v="5"/>
    <x v="248"/>
    <x v="214"/>
    <x v="214"/>
    <s v="REVENUS"/>
    <x v="4"/>
    <s v="4051.001"/>
    <s v="Impôt sur les successions"/>
    <n v="0"/>
    <n v="15.7"/>
    <n v="4051"/>
  </r>
  <r>
    <x v="0"/>
    <x v="9"/>
    <x v="5"/>
    <x v="248"/>
    <x v="214"/>
    <x v="214"/>
    <s v="REVENUS"/>
    <x v="8"/>
    <s v="4091.001"/>
    <s v="Impôt récupéré après défalcations"/>
    <n v="0"/>
    <n v="3011.5"/>
    <n v="4091"/>
  </r>
  <r>
    <x v="0"/>
    <x v="9"/>
    <x v="5"/>
    <x v="249"/>
    <x v="213"/>
    <x v="213"/>
    <s v="CHARGES"/>
    <x v="0"/>
    <s v="3212.002"/>
    <s v="Intérêts bonifiés/trop perçu acompte C/C"/>
    <n v="0.17"/>
    <n v="0"/>
    <n v="3212"/>
  </r>
  <r>
    <x v="0"/>
    <x v="9"/>
    <x v="5"/>
    <x v="249"/>
    <x v="213"/>
    <x v="213"/>
    <s v="CHARGES"/>
    <x v="0"/>
    <s v="3212.004"/>
    <s v="Intérêts rémun./perçu trop tôt sur acomptes C/C"/>
    <n v="6.28"/>
    <n v="0"/>
    <n v="3212"/>
  </r>
  <r>
    <x v="0"/>
    <x v="9"/>
    <x v="5"/>
    <x v="249"/>
    <x v="213"/>
    <x v="213"/>
    <s v="CHARGES"/>
    <x v="0"/>
    <s v="3221.002"/>
    <s v="Intérêts compensatoires / créances en faveur ctb."/>
    <n v="19.21"/>
    <n v="0"/>
    <n v="3221"/>
  </r>
  <r>
    <x v="0"/>
    <x v="9"/>
    <x v="5"/>
    <x v="249"/>
    <x v="213"/>
    <x v="213"/>
    <s v="CHARGES"/>
    <x v="0"/>
    <s v="3221.002"/>
    <s v="Intérêts compensatoires / créances en faveur ctb."/>
    <n v="-0.03"/>
    <n v="0"/>
    <n v="3221"/>
  </r>
  <r>
    <x v="0"/>
    <x v="9"/>
    <x v="5"/>
    <x v="249"/>
    <x v="213"/>
    <x v="213"/>
    <s v="CHARGES"/>
    <x v="0"/>
    <s v="3212.002"/>
    <s v="Intérêts bonifiés/trop perçu acompte C/C"/>
    <n v="0.01"/>
    <n v="0"/>
    <n v="3212"/>
  </r>
  <r>
    <x v="0"/>
    <x v="9"/>
    <x v="5"/>
    <x v="249"/>
    <x v="213"/>
    <x v="213"/>
    <s v="CHARGES"/>
    <x v="0"/>
    <s v="3221.002"/>
    <s v="Intérêts compensatoires / créances en faveur ctb."/>
    <n v="0.01"/>
    <n v="0"/>
    <n v="3221"/>
  </r>
  <r>
    <x v="0"/>
    <x v="9"/>
    <x v="5"/>
    <x v="249"/>
    <x v="213"/>
    <x v="213"/>
    <s v="CHARGES"/>
    <x v="1"/>
    <s v="3301.001"/>
    <s v="Défalcations, abandons de solde PP et IS"/>
    <n v="1553.68"/>
    <n v="0"/>
    <n v="3301"/>
  </r>
  <r>
    <x v="0"/>
    <x v="9"/>
    <x v="5"/>
    <x v="249"/>
    <x v="213"/>
    <x v="213"/>
    <s v="REVENUS"/>
    <x v="2"/>
    <s v="4001.007"/>
    <s v="Acompte impôt sur revenu"/>
    <n v="0"/>
    <n v="-94"/>
    <n v="4001"/>
  </r>
  <r>
    <x v="0"/>
    <x v="9"/>
    <x v="5"/>
    <x v="249"/>
    <x v="213"/>
    <x v="213"/>
    <s v="REVENUS"/>
    <x v="3"/>
    <s v="4002.007"/>
    <s v="Acompte impôt sur fortune"/>
    <n v="0"/>
    <n v="94.01"/>
    <n v="4002"/>
  </r>
  <r>
    <x v="0"/>
    <x v="9"/>
    <x v="5"/>
    <x v="249"/>
    <x v="213"/>
    <x v="213"/>
    <s v="REVENUS"/>
    <x v="2"/>
    <s v="4001.001"/>
    <s v="Impôt revenu"/>
    <n v="0"/>
    <n v="3282.5"/>
    <n v="4001"/>
  </r>
  <r>
    <x v="0"/>
    <x v="9"/>
    <x v="5"/>
    <x v="249"/>
    <x v="213"/>
    <x v="213"/>
    <s v="REVENUS"/>
    <x v="2"/>
    <s v="4001.002"/>
    <s v="Impôt complément s/revenu PP"/>
    <n v="0"/>
    <n v="35769.65"/>
    <n v="4001"/>
  </r>
  <r>
    <x v="0"/>
    <x v="9"/>
    <x v="5"/>
    <x v="249"/>
    <x v="213"/>
    <x v="213"/>
    <s v="REVENUS"/>
    <x v="2"/>
    <s v="4001.007"/>
    <s v="Acompte impôt sur revenu"/>
    <n v="0"/>
    <n v="-8402.27"/>
    <n v="4001"/>
  </r>
  <r>
    <x v="0"/>
    <x v="9"/>
    <x v="5"/>
    <x v="249"/>
    <x v="213"/>
    <x v="213"/>
    <s v="REVENUS"/>
    <x v="3"/>
    <s v="4002.001"/>
    <s v="Impôt ordinaire s/fortune PP"/>
    <n v="0"/>
    <n v="-2056.85"/>
    <n v="4002"/>
  </r>
  <r>
    <x v="0"/>
    <x v="9"/>
    <x v="5"/>
    <x v="249"/>
    <x v="213"/>
    <x v="213"/>
    <s v="REVENUS"/>
    <x v="3"/>
    <s v="4002.002"/>
    <s v="Impôt complémentaire s/fortune PP"/>
    <n v="0"/>
    <n v="7580.5"/>
    <n v="4002"/>
  </r>
  <r>
    <x v="0"/>
    <x v="9"/>
    <x v="5"/>
    <x v="249"/>
    <x v="213"/>
    <x v="213"/>
    <s v="REVENUS"/>
    <x v="3"/>
    <s v="4002.007"/>
    <s v="Acompte impôt sur fortune"/>
    <n v="0"/>
    <n v="-4550.21"/>
    <n v="4002"/>
  </r>
  <r>
    <x v="0"/>
    <x v="9"/>
    <x v="5"/>
    <x v="249"/>
    <x v="213"/>
    <x v="213"/>
    <s v="REVENUS"/>
    <x v="8"/>
    <s v="4091.001"/>
    <s v="Impôt récupéré après défalcations"/>
    <n v="0"/>
    <n v="1197.33"/>
    <n v="4091"/>
  </r>
  <r>
    <x v="0"/>
    <x v="9"/>
    <x v="5"/>
    <x v="249"/>
    <x v="213"/>
    <x v="213"/>
    <s v="REVENUS"/>
    <x v="2"/>
    <s v="4001.001"/>
    <s v="Impôt revenu"/>
    <n v="0"/>
    <n v="-19070.05"/>
    <n v="4001"/>
  </r>
  <r>
    <x v="0"/>
    <x v="9"/>
    <x v="5"/>
    <x v="249"/>
    <x v="213"/>
    <x v="213"/>
    <s v="REVENUS"/>
    <x v="2"/>
    <s v="4001.002"/>
    <s v="Impôt complément s/revenu PP"/>
    <n v="0"/>
    <n v="-10818.55"/>
    <n v="4001"/>
  </r>
  <r>
    <x v="0"/>
    <x v="9"/>
    <x v="5"/>
    <x v="249"/>
    <x v="213"/>
    <x v="213"/>
    <s v="REVENUS"/>
    <x v="3"/>
    <s v="4002.001"/>
    <s v="Impôt ordinaire s/fortune PP"/>
    <n v="0"/>
    <n v="-2017.2"/>
    <n v="4002"/>
  </r>
  <r>
    <x v="0"/>
    <x v="9"/>
    <x v="5"/>
    <x v="249"/>
    <x v="213"/>
    <x v="213"/>
    <s v="REVENUS"/>
    <x v="3"/>
    <s v="4002.002"/>
    <s v="Impôt complémentaire s/fortune PP"/>
    <n v="0"/>
    <n v="-1213.8"/>
    <n v="4002"/>
  </r>
  <r>
    <x v="0"/>
    <x v="9"/>
    <x v="5"/>
    <x v="249"/>
    <x v="213"/>
    <x v="213"/>
    <s v="REVENUS"/>
    <x v="6"/>
    <s v="4221.003"/>
    <s v="Intérêts compensat. / acomptes en faveur du fisc"/>
    <n v="0"/>
    <n v="-0.09"/>
    <n v="4221"/>
  </r>
  <r>
    <x v="0"/>
    <x v="9"/>
    <x v="5"/>
    <x v="249"/>
    <x v="213"/>
    <x v="213"/>
    <s v="REVENUS"/>
    <x v="6"/>
    <s v="4211.001"/>
    <s v="Intérêts de retard sur factures"/>
    <n v="0"/>
    <n v="131.5"/>
    <n v="4211"/>
  </r>
  <r>
    <x v="0"/>
    <x v="9"/>
    <x v="5"/>
    <x v="249"/>
    <x v="213"/>
    <x v="213"/>
    <s v="REVENUS"/>
    <x v="6"/>
    <s v="4221.003"/>
    <s v="Intérêts compensat. / acomptes en faveur du fisc"/>
    <n v="0"/>
    <n v="31.95"/>
    <n v="4221"/>
  </r>
  <r>
    <x v="0"/>
    <x v="9"/>
    <x v="5"/>
    <x v="249"/>
    <x v="213"/>
    <x v="213"/>
    <s v="REVENUS"/>
    <x v="2"/>
    <s v="4001.001"/>
    <s v="Impôt revenu"/>
    <n v="0"/>
    <n v="-76.7"/>
    <n v="4001"/>
  </r>
  <r>
    <x v="0"/>
    <x v="9"/>
    <x v="5"/>
    <x v="249"/>
    <x v="213"/>
    <x v="213"/>
    <s v="REVENUS"/>
    <x v="2"/>
    <s v="4001.002"/>
    <s v="Impôt complément s/revenu PP"/>
    <n v="0"/>
    <n v="69.150000000000006"/>
    <n v="4001"/>
  </r>
  <r>
    <x v="0"/>
    <x v="9"/>
    <x v="5"/>
    <x v="249"/>
    <x v="213"/>
    <x v="213"/>
    <s v="REVENUS"/>
    <x v="3"/>
    <s v="4002.001"/>
    <s v="Impôt ordinaire s/fortune PP"/>
    <n v="0"/>
    <n v="-14.75"/>
    <n v="4002"/>
  </r>
  <r>
    <x v="0"/>
    <x v="9"/>
    <x v="5"/>
    <x v="249"/>
    <x v="213"/>
    <x v="213"/>
    <s v="REVENUS"/>
    <x v="3"/>
    <s v="4002.002"/>
    <s v="Impôt complémentaire s/fortune PP"/>
    <n v="0"/>
    <n v="14.75"/>
    <n v="4002"/>
  </r>
  <r>
    <x v="0"/>
    <x v="9"/>
    <x v="5"/>
    <x v="249"/>
    <x v="213"/>
    <x v="213"/>
    <s v="REVENUS"/>
    <x v="6"/>
    <s v="4221.003"/>
    <s v="Intérêts compensat. / acomptes en faveur du fisc"/>
    <n v="0"/>
    <n v="-0.01"/>
    <n v="4221"/>
  </r>
  <r>
    <x v="0"/>
    <x v="9"/>
    <x v="5"/>
    <x v="249"/>
    <x v="213"/>
    <x v="213"/>
    <s v="REVENUS"/>
    <x v="2"/>
    <s v="4001.003"/>
    <s v="Impôt s/prest. cap. PP"/>
    <n v="0"/>
    <n v="-1929.15"/>
    <n v="4001"/>
  </r>
  <r>
    <x v="0"/>
    <x v="9"/>
    <x v="5"/>
    <x v="249"/>
    <x v="213"/>
    <x v="213"/>
    <s v="REVENUS"/>
    <x v="2"/>
    <s v="4001.003"/>
    <s v="Impôt s/prest. cap. PP"/>
    <n v="0"/>
    <n v="482.3"/>
    <n v="4001"/>
  </r>
  <r>
    <x v="0"/>
    <x v="9"/>
    <x v="5"/>
    <x v="249"/>
    <x v="213"/>
    <x v="213"/>
    <s v="REVENUS"/>
    <x v="7"/>
    <s v="4184.000"/>
    <s v="Frais de poursuite"/>
    <n v="0"/>
    <n v="36.409999999999997"/>
    <n v="4184"/>
  </r>
  <r>
    <x v="0"/>
    <x v="9"/>
    <x v="5"/>
    <x v="249"/>
    <x v="213"/>
    <x v="213"/>
    <s v="REVENUS"/>
    <x v="8"/>
    <s v="4091.001"/>
    <s v="Impôt récupéré après défalcations"/>
    <n v="0"/>
    <n v="6.6"/>
    <n v="4091"/>
  </r>
  <r>
    <x v="0"/>
    <x v="9"/>
    <x v="5"/>
    <x v="249"/>
    <x v="213"/>
    <x v="213"/>
    <s v="REVENUS"/>
    <x v="2"/>
    <s v="4001.002"/>
    <s v="Impôt complément s/revenu PP"/>
    <n v="0"/>
    <n v="44.6"/>
    <n v="4001"/>
  </r>
  <r>
    <x v="0"/>
    <x v="9"/>
    <x v="5"/>
    <x v="249"/>
    <x v="213"/>
    <x v="213"/>
    <s v="REVENUS"/>
    <x v="3"/>
    <s v="4002.002"/>
    <s v="Impôt complémentaire s/fortune PP"/>
    <n v="0"/>
    <n v="55.6"/>
    <n v="4002"/>
  </r>
  <r>
    <x v="0"/>
    <x v="9"/>
    <x v="5"/>
    <x v="249"/>
    <x v="213"/>
    <x v="213"/>
    <s v="REVENUS"/>
    <x v="6"/>
    <s v="4211.001"/>
    <s v="Intérêts de retard sur factures"/>
    <n v="0"/>
    <n v="5.52"/>
    <n v="4211"/>
  </r>
  <r>
    <x v="0"/>
    <x v="9"/>
    <x v="5"/>
    <x v="249"/>
    <x v="213"/>
    <x v="213"/>
    <s v="REVENUS"/>
    <x v="6"/>
    <s v="4221.003"/>
    <s v="Intérêts compensat. / acomptes en faveur du fisc"/>
    <n v="0"/>
    <n v="0.18"/>
    <n v="4221"/>
  </r>
  <r>
    <x v="0"/>
    <x v="9"/>
    <x v="5"/>
    <x v="249"/>
    <x v="213"/>
    <x v="213"/>
    <s v="REVENUS"/>
    <x v="6"/>
    <s v="4211.002"/>
    <s v="Intérêts de retard sur acomptes"/>
    <n v="0"/>
    <n v="113.32"/>
    <n v="4211"/>
  </r>
  <r>
    <x v="0"/>
    <x v="9"/>
    <x v="5"/>
    <x v="250"/>
    <x v="215"/>
    <x v="215"/>
    <s v="CHARGES"/>
    <x v="1"/>
    <s v="3301.001"/>
    <s v="Défalcations, abandons de solde PP et IS"/>
    <n v="23957.05"/>
    <n v="0"/>
    <n v="3301"/>
  </r>
  <r>
    <x v="0"/>
    <x v="9"/>
    <x v="5"/>
    <x v="250"/>
    <x v="215"/>
    <x v="215"/>
    <s v="CHARGES"/>
    <x v="0"/>
    <s v="3212.004"/>
    <s v="Intérêts rémun./perçu trop tôt sur acomptes C/C"/>
    <n v="121.22"/>
    <n v="0"/>
    <n v="3212"/>
  </r>
  <r>
    <x v="0"/>
    <x v="9"/>
    <x v="5"/>
    <x v="250"/>
    <x v="215"/>
    <x v="215"/>
    <s v="CHARGES"/>
    <x v="0"/>
    <s v="3221.002"/>
    <s v="Intérêts compensatoires / créances en faveur ctb."/>
    <n v="115.02"/>
    <n v="0"/>
    <n v="3221"/>
  </r>
  <r>
    <x v="0"/>
    <x v="9"/>
    <x v="5"/>
    <x v="250"/>
    <x v="215"/>
    <x v="215"/>
    <s v="CHARGES"/>
    <x v="0"/>
    <s v="3212.002"/>
    <s v="Intérêts bonifiés/trop perçu acompte C/C"/>
    <n v="2.54"/>
    <n v="0"/>
    <n v="3212"/>
  </r>
  <r>
    <x v="0"/>
    <x v="9"/>
    <x v="5"/>
    <x v="250"/>
    <x v="215"/>
    <x v="215"/>
    <s v="CHARGES"/>
    <x v="0"/>
    <s v="3212.004"/>
    <s v="Intérêts rémun./perçu trop tôt sur acomptes C/C"/>
    <n v="0.49"/>
    <n v="0"/>
    <n v="3212"/>
  </r>
  <r>
    <x v="0"/>
    <x v="9"/>
    <x v="5"/>
    <x v="250"/>
    <x v="215"/>
    <x v="215"/>
    <s v="CHARGES"/>
    <x v="0"/>
    <s v="3212.004"/>
    <s v="Intérêts rémun./perçu trop tôt sur acomptes C/C"/>
    <n v="0.06"/>
    <n v="0"/>
    <n v="3212"/>
  </r>
  <r>
    <x v="0"/>
    <x v="9"/>
    <x v="5"/>
    <x v="250"/>
    <x v="215"/>
    <x v="215"/>
    <s v="CHARGES"/>
    <x v="1"/>
    <s v="3301.001"/>
    <s v="Défalcations, abandons de solde PP et IS"/>
    <n v="7.0000000000000007E-2"/>
    <n v="0"/>
    <n v="3301"/>
  </r>
  <r>
    <x v="0"/>
    <x v="9"/>
    <x v="5"/>
    <x v="250"/>
    <x v="215"/>
    <x v="215"/>
    <s v="CHARGES"/>
    <x v="0"/>
    <s v="3221.002"/>
    <s v="Intérêts compensatoires / créances en faveur ctb."/>
    <n v="0.02"/>
    <n v="0"/>
    <n v="3221"/>
  </r>
  <r>
    <x v="0"/>
    <x v="9"/>
    <x v="5"/>
    <x v="250"/>
    <x v="215"/>
    <x v="215"/>
    <s v="CHARGES"/>
    <x v="0"/>
    <s v="3212.002"/>
    <s v="Intérêts bonifiés/trop perçu acompte C/C"/>
    <n v="7.0000000000000007E-2"/>
    <n v="0"/>
    <n v="3212"/>
  </r>
  <r>
    <x v="0"/>
    <x v="9"/>
    <x v="5"/>
    <x v="250"/>
    <x v="215"/>
    <x v="215"/>
    <s v="CHARGES"/>
    <x v="0"/>
    <s v="3212.004"/>
    <s v="Intérêts rémun./perçu trop tôt sur acomptes C/C"/>
    <n v="0.23"/>
    <n v="0"/>
    <n v="3212"/>
  </r>
  <r>
    <x v="0"/>
    <x v="9"/>
    <x v="5"/>
    <x v="250"/>
    <x v="215"/>
    <x v="215"/>
    <s v="CHARGES"/>
    <x v="0"/>
    <s v="3221.002"/>
    <s v="Intérêts compensatoires / créances en faveur ctb."/>
    <n v="0.55000000000000004"/>
    <n v="0"/>
    <n v="3221"/>
  </r>
  <r>
    <x v="0"/>
    <x v="9"/>
    <x v="5"/>
    <x v="250"/>
    <x v="215"/>
    <x v="215"/>
    <s v="CHARGES"/>
    <x v="1"/>
    <s v="3301.001"/>
    <s v="Défalcations, abandons de solde PP et IS"/>
    <n v="0.01"/>
    <n v="0"/>
    <n v="3301"/>
  </r>
  <r>
    <x v="0"/>
    <x v="9"/>
    <x v="5"/>
    <x v="250"/>
    <x v="215"/>
    <x v="215"/>
    <s v="CHARGES"/>
    <x v="0"/>
    <s v="3212.004"/>
    <s v="Intérêts rémun./perçu trop tôt sur acomptes C/C"/>
    <n v="0.08"/>
    <n v="0"/>
    <n v="3212"/>
  </r>
  <r>
    <x v="0"/>
    <x v="9"/>
    <x v="5"/>
    <x v="250"/>
    <x v="215"/>
    <x v="215"/>
    <s v="CHARGES"/>
    <x v="0"/>
    <s v="3221.002"/>
    <s v="Intérêts compensatoires / créances en faveur ctb."/>
    <n v="0.16"/>
    <n v="0"/>
    <n v="3221"/>
  </r>
  <r>
    <x v="0"/>
    <x v="9"/>
    <x v="5"/>
    <x v="250"/>
    <x v="215"/>
    <x v="215"/>
    <s v="REVENUS"/>
    <x v="2"/>
    <s v="4001.003"/>
    <s v="Impôt s/prest. cap. PP"/>
    <n v="0"/>
    <n v="31457.599999999999"/>
    <n v="4001"/>
  </r>
  <r>
    <x v="0"/>
    <x v="9"/>
    <x v="5"/>
    <x v="250"/>
    <x v="215"/>
    <x v="215"/>
    <s v="REVENUS"/>
    <x v="6"/>
    <s v="4211.001"/>
    <s v="Intérêts de retard sur factures"/>
    <n v="0"/>
    <n v="2706.94"/>
    <n v="4211"/>
  </r>
  <r>
    <x v="0"/>
    <x v="9"/>
    <x v="5"/>
    <x v="250"/>
    <x v="215"/>
    <x v="215"/>
    <s v="REVENUS"/>
    <x v="2"/>
    <s v="4001.001"/>
    <s v="Impôt revenu"/>
    <n v="0"/>
    <n v="535741.44999999995"/>
    <n v="4001"/>
  </r>
  <r>
    <x v="0"/>
    <x v="9"/>
    <x v="5"/>
    <x v="250"/>
    <x v="215"/>
    <x v="215"/>
    <s v="REVENUS"/>
    <x v="2"/>
    <s v="4001.007"/>
    <s v="Acompte impôt sur revenu"/>
    <n v="0"/>
    <n v="-80411.759999999995"/>
    <n v="4001"/>
  </r>
  <r>
    <x v="0"/>
    <x v="9"/>
    <x v="5"/>
    <x v="250"/>
    <x v="215"/>
    <x v="215"/>
    <s v="REVENUS"/>
    <x v="3"/>
    <s v="4002.001"/>
    <s v="Impôt ordinaire s/fortune PP"/>
    <n v="0"/>
    <n v="70004.149999999994"/>
    <n v="4002"/>
  </r>
  <r>
    <x v="0"/>
    <x v="9"/>
    <x v="5"/>
    <x v="250"/>
    <x v="215"/>
    <x v="215"/>
    <s v="REVENUS"/>
    <x v="3"/>
    <s v="4002.007"/>
    <s v="Acompte impôt sur fortune"/>
    <n v="0"/>
    <n v="13537.49"/>
    <n v="4002"/>
  </r>
  <r>
    <x v="0"/>
    <x v="9"/>
    <x v="5"/>
    <x v="250"/>
    <x v="215"/>
    <x v="215"/>
    <s v="REVENUS"/>
    <x v="6"/>
    <s v="4211.002"/>
    <s v="Intérêts de retard sur acomptes"/>
    <n v="0"/>
    <n v="2824.1"/>
    <n v="4211"/>
  </r>
  <r>
    <x v="0"/>
    <x v="9"/>
    <x v="5"/>
    <x v="250"/>
    <x v="215"/>
    <x v="215"/>
    <s v="REVENUS"/>
    <x v="6"/>
    <s v="4221.003"/>
    <s v="Intérêts compensat. / acomptes en faveur du fisc"/>
    <n v="0"/>
    <n v="57.01"/>
    <n v="4221"/>
  </r>
  <r>
    <x v="0"/>
    <x v="9"/>
    <x v="5"/>
    <x v="250"/>
    <x v="215"/>
    <x v="215"/>
    <s v="REVENUS"/>
    <x v="7"/>
    <s v="4184.000"/>
    <s v="Frais de poursuite"/>
    <n v="0"/>
    <n v="1016.75"/>
    <n v="4184"/>
  </r>
  <r>
    <x v="0"/>
    <x v="9"/>
    <x v="5"/>
    <x v="250"/>
    <x v="215"/>
    <x v="215"/>
    <s v="REVENUS"/>
    <x v="3"/>
    <s v="4002.002"/>
    <s v="Impôt complémentaire s/fortune PP"/>
    <n v="0"/>
    <n v="6417.65"/>
    <n v="4002"/>
  </r>
  <r>
    <x v="0"/>
    <x v="9"/>
    <x v="5"/>
    <x v="250"/>
    <x v="215"/>
    <x v="215"/>
    <s v="REVENUS"/>
    <x v="3"/>
    <s v="4002.007"/>
    <s v="Acompte impôt sur fortune"/>
    <n v="0"/>
    <n v="1.8"/>
    <n v="4002"/>
  </r>
  <r>
    <x v="0"/>
    <x v="9"/>
    <x v="5"/>
    <x v="250"/>
    <x v="215"/>
    <x v="215"/>
    <s v="REVENUS"/>
    <x v="2"/>
    <s v="4001.007"/>
    <s v="Acompte impôt sur revenu"/>
    <n v="0"/>
    <n v="299.2"/>
    <n v="4001"/>
  </r>
  <r>
    <x v="0"/>
    <x v="9"/>
    <x v="5"/>
    <x v="250"/>
    <x v="215"/>
    <x v="215"/>
    <s v="REVENUS"/>
    <x v="3"/>
    <s v="4002.007"/>
    <s v="Acompte impôt sur fortune"/>
    <n v="0"/>
    <n v="144.5"/>
    <n v="4002"/>
  </r>
  <r>
    <x v="0"/>
    <x v="9"/>
    <x v="5"/>
    <x v="250"/>
    <x v="215"/>
    <x v="215"/>
    <s v="REVENUS"/>
    <x v="3"/>
    <s v="4002.007"/>
    <s v="Acompte impôt sur fortune"/>
    <n v="0"/>
    <n v="-9.4499999999999993"/>
    <n v="4002"/>
  </r>
  <r>
    <x v="0"/>
    <x v="9"/>
    <x v="5"/>
    <x v="250"/>
    <x v="215"/>
    <x v="215"/>
    <s v="REVENUS"/>
    <x v="2"/>
    <s v="4001.007"/>
    <s v="Acompte impôt sur revenu"/>
    <n v="0"/>
    <n v="0"/>
    <n v="4001"/>
  </r>
  <r>
    <x v="0"/>
    <x v="9"/>
    <x v="5"/>
    <x v="250"/>
    <x v="215"/>
    <x v="215"/>
    <s v="REVENUS"/>
    <x v="2"/>
    <s v="4001.007"/>
    <s v="Acompte impôt sur revenu"/>
    <n v="0"/>
    <n v="-10.65"/>
    <n v="4001"/>
  </r>
  <r>
    <x v="0"/>
    <x v="9"/>
    <x v="5"/>
    <x v="250"/>
    <x v="215"/>
    <x v="215"/>
    <s v="REVENUS"/>
    <x v="2"/>
    <s v="4001.002"/>
    <s v="Impôt complément s/revenu PP"/>
    <n v="0"/>
    <n v="95223.15"/>
    <n v="4001"/>
  </r>
  <r>
    <x v="0"/>
    <x v="9"/>
    <x v="5"/>
    <x v="250"/>
    <x v="215"/>
    <x v="215"/>
    <s v="REVENUS"/>
    <x v="6"/>
    <s v="4211.001"/>
    <s v="Intérêts de retard sur factures"/>
    <n v="0"/>
    <n v="0.3"/>
    <n v="4211"/>
  </r>
  <r>
    <x v="0"/>
    <x v="9"/>
    <x v="5"/>
    <x v="250"/>
    <x v="215"/>
    <x v="215"/>
    <s v="REVENUS"/>
    <x v="6"/>
    <s v="4221.002"/>
    <s v="Intérêts compensat. sur impôts distincts"/>
    <n v="0"/>
    <n v="4.21"/>
    <n v="4221"/>
  </r>
  <r>
    <x v="0"/>
    <x v="9"/>
    <x v="5"/>
    <x v="250"/>
    <x v="215"/>
    <x v="215"/>
    <s v="REVENUS"/>
    <x v="2"/>
    <s v="4001.001"/>
    <s v="Impôt revenu"/>
    <n v="0"/>
    <n v="1250.9000000000001"/>
    <n v="4001"/>
  </r>
  <r>
    <x v="0"/>
    <x v="9"/>
    <x v="5"/>
    <x v="250"/>
    <x v="215"/>
    <x v="215"/>
    <s v="REVENUS"/>
    <x v="3"/>
    <s v="4002.001"/>
    <s v="Impôt ordinaire s/fortune PP"/>
    <n v="0"/>
    <n v="429.75"/>
    <n v="4002"/>
  </r>
  <r>
    <x v="0"/>
    <x v="9"/>
    <x v="5"/>
    <x v="250"/>
    <x v="215"/>
    <x v="215"/>
    <s v="REVENUS"/>
    <x v="2"/>
    <s v="4001.001"/>
    <s v="Impôt revenu"/>
    <n v="0"/>
    <n v="426.55"/>
    <n v="4001"/>
  </r>
  <r>
    <x v="0"/>
    <x v="9"/>
    <x v="5"/>
    <x v="250"/>
    <x v="215"/>
    <x v="215"/>
    <s v="REVENUS"/>
    <x v="3"/>
    <s v="4002.001"/>
    <s v="Impôt ordinaire s/fortune PP"/>
    <n v="0"/>
    <n v="176.45"/>
    <n v="4002"/>
  </r>
  <r>
    <x v="0"/>
    <x v="9"/>
    <x v="5"/>
    <x v="250"/>
    <x v="215"/>
    <x v="215"/>
    <s v="REVENUS"/>
    <x v="2"/>
    <s v="4001.001"/>
    <s v="Impôt revenu"/>
    <n v="0"/>
    <n v="144.75"/>
    <n v="4001"/>
  </r>
  <r>
    <x v="0"/>
    <x v="9"/>
    <x v="5"/>
    <x v="250"/>
    <x v="215"/>
    <x v="215"/>
    <s v="REVENUS"/>
    <x v="3"/>
    <s v="4002.001"/>
    <s v="Impôt ordinaire s/fortune PP"/>
    <n v="0"/>
    <n v="194.25"/>
    <n v="4002"/>
  </r>
  <r>
    <x v="0"/>
    <x v="9"/>
    <x v="5"/>
    <x v="250"/>
    <x v="215"/>
    <x v="215"/>
    <s v="REVENUS"/>
    <x v="6"/>
    <s v="4221.003"/>
    <s v="Intérêts compensat. / acomptes en faveur du fisc"/>
    <n v="0"/>
    <n v="7.0000000000000007E-2"/>
    <n v="4221"/>
  </r>
  <r>
    <x v="0"/>
    <x v="9"/>
    <x v="5"/>
    <x v="250"/>
    <x v="215"/>
    <x v="215"/>
    <s v="REVENUS"/>
    <x v="2"/>
    <s v="4001.007"/>
    <s v="Acompte impôt sur revenu"/>
    <n v="0"/>
    <n v="-4423.6000000000004"/>
    <n v="4001"/>
  </r>
  <r>
    <x v="0"/>
    <x v="9"/>
    <x v="5"/>
    <x v="250"/>
    <x v="215"/>
    <x v="215"/>
    <s v="REVENUS"/>
    <x v="3"/>
    <s v="4002.007"/>
    <s v="Acompte impôt sur fortune"/>
    <n v="0"/>
    <n v="-2214"/>
    <n v="4002"/>
  </r>
  <r>
    <x v="0"/>
    <x v="9"/>
    <x v="5"/>
    <x v="250"/>
    <x v="215"/>
    <x v="215"/>
    <s v="REVENUS"/>
    <x v="6"/>
    <s v="4211.002"/>
    <s v="Intérêts de retard sur acomptes"/>
    <n v="0"/>
    <n v="2.35"/>
    <n v="4211"/>
  </r>
  <r>
    <x v="0"/>
    <x v="9"/>
    <x v="5"/>
    <x v="250"/>
    <x v="215"/>
    <x v="215"/>
    <s v="REVENUS"/>
    <x v="2"/>
    <s v="4001.001"/>
    <s v="Impôt revenu"/>
    <n v="0"/>
    <n v="835.5"/>
    <n v="4001"/>
  </r>
  <r>
    <x v="0"/>
    <x v="9"/>
    <x v="5"/>
    <x v="250"/>
    <x v="215"/>
    <x v="215"/>
    <s v="REVENUS"/>
    <x v="5"/>
    <s v="4061.000"/>
    <s v="Impôt sur les chiens"/>
    <n v="0"/>
    <n v="2700"/>
    <n v="4061"/>
  </r>
  <r>
    <x v="0"/>
    <x v="9"/>
    <x v="5"/>
    <x v="250"/>
    <x v="215"/>
    <x v="215"/>
    <s v="REVENUS"/>
    <x v="3"/>
    <s v="4002.001"/>
    <s v="Impôt ordinaire s/fortune PP"/>
    <n v="0"/>
    <n v="389.95"/>
    <n v="4002"/>
  </r>
  <r>
    <x v="0"/>
    <x v="9"/>
    <x v="5"/>
    <x v="250"/>
    <x v="215"/>
    <x v="215"/>
    <s v="REVENUS"/>
    <x v="6"/>
    <s v="4211.002"/>
    <s v="Intérêts de retard sur acomptes"/>
    <n v="0"/>
    <n v="2.19"/>
    <n v="4211"/>
  </r>
  <r>
    <x v="0"/>
    <x v="9"/>
    <x v="5"/>
    <x v="250"/>
    <x v="215"/>
    <x v="215"/>
    <s v="REVENUS"/>
    <x v="9"/>
    <s v="4031.001"/>
    <s v="Impôt sur les gains immobiliers"/>
    <n v="0"/>
    <n v="25630.6"/>
    <n v="4031"/>
  </r>
  <r>
    <x v="0"/>
    <x v="9"/>
    <x v="5"/>
    <x v="250"/>
    <x v="215"/>
    <x v="215"/>
    <s v="REVENUS"/>
    <x v="2"/>
    <s v="4001.001"/>
    <s v="Impôt revenu"/>
    <n v="0"/>
    <n v="35.299999999999997"/>
    <n v="4001"/>
  </r>
  <r>
    <x v="0"/>
    <x v="9"/>
    <x v="5"/>
    <x v="250"/>
    <x v="215"/>
    <x v="215"/>
    <s v="REVENUS"/>
    <x v="3"/>
    <s v="4002.001"/>
    <s v="Impôt ordinaire s/fortune PP"/>
    <n v="0"/>
    <n v="409.35"/>
    <n v="4002"/>
  </r>
  <r>
    <x v="0"/>
    <x v="9"/>
    <x v="5"/>
    <x v="250"/>
    <x v="215"/>
    <x v="215"/>
    <s v="REVENUS"/>
    <x v="6"/>
    <s v="4211.002"/>
    <s v="Intérêts de retard sur acomptes"/>
    <n v="0"/>
    <n v="12.79"/>
    <n v="4211"/>
  </r>
  <r>
    <x v="0"/>
    <x v="9"/>
    <x v="5"/>
    <x v="250"/>
    <x v="215"/>
    <x v="215"/>
    <s v="REVENUS"/>
    <x v="10"/>
    <s v="4041.001"/>
    <s v="Droits de mutation"/>
    <n v="0"/>
    <n v="20277.599999999999"/>
    <n v="4041"/>
  </r>
  <r>
    <x v="0"/>
    <x v="9"/>
    <x v="5"/>
    <x v="250"/>
    <x v="215"/>
    <x v="215"/>
    <s v="REVENUS"/>
    <x v="11"/>
    <s v="4198.000"/>
    <s v="Contributions communales"/>
    <n v="0"/>
    <n v="36353"/>
    <n v="4198"/>
  </r>
  <r>
    <x v="0"/>
    <x v="9"/>
    <x v="5"/>
    <x v="250"/>
    <x v="215"/>
    <x v="215"/>
    <s v="REVENUS"/>
    <x v="6"/>
    <s v="4211.002"/>
    <s v="Intérêts de retard sur acomptes"/>
    <n v="0"/>
    <n v="2.78"/>
    <n v="4211"/>
  </r>
  <r>
    <x v="0"/>
    <x v="9"/>
    <x v="5"/>
    <x v="250"/>
    <x v="215"/>
    <x v="215"/>
    <s v="REVENUS"/>
    <x v="6"/>
    <s v="4221.003"/>
    <s v="Intérêts compensat. / acomptes en faveur du fisc"/>
    <n v="0"/>
    <n v="0.01"/>
    <n v="4221"/>
  </r>
  <r>
    <x v="0"/>
    <x v="9"/>
    <x v="5"/>
    <x v="250"/>
    <x v="215"/>
    <x v="215"/>
    <s v="REVENUS"/>
    <x v="2"/>
    <s v="4001.007"/>
    <s v="Acompte impôt sur revenu"/>
    <n v="0"/>
    <n v="-688.2"/>
    <n v="4001"/>
  </r>
  <r>
    <x v="0"/>
    <x v="9"/>
    <x v="5"/>
    <x v="250"/>
    <x v="215"/>
    <x v="215"/>
    <s v="REVENUS"/>
    <x v="3"/>
    <s v="4002.007"/>
    <s v="Acompte impôt sur fortune"/>
    <n v="0"/>
    <n v="-421.1"/>
    <n v="4002"/>
  </r>
  <r>
    <x v="0"/>
    <x v="9"/>
    <x v="5"/>
    <x v="250"/>
    <x v="215"/>
    <x v="215"/>
    <s v="REVENUS"/>
    <x v="2"/>
    <s v="4001.001"/>
    <s v="Impôt revenu"/>
    <n v="0"/>
    <n v="-26182.35"/>
    <n v="4001"/>
  </r>
  <r>
    <x v="0"/>
    <x v="9"/>
    <x v="5"/>
    <x v="250"/>
    <x v="215"/>
    <x v="215"/>
    <s v="REVENUS"/>
    <x v="3"/>
    <s v="4002.001"/>
    <s v="Impôt ordinaire s/fortune PP"/>
    <n v="0"/>
    <n v="-2400.5500000000002"/>
    <n v="4002"/>
  </r>
  <r>
    <x v="0"/>
    <x v="9"/>
    <x v="5"/>
    <x v="250"/>
    <x v="215"/>
    <x v="215"/>
    <s v="REVENUS"/>
    <x v="4"/>
    <s v="4051.001"/>
    <s v="Impôt sur les successions"/>
    <n v="0"/>
    <n v="1429.2"/>
    <n v="4051"/>
  </r>
  <r>
    <x v="0"/>
    <x v="9"/>
    <x v="5"/>
    <x v="250"/>
    <x v="215"/>
    <x v="215"/>
    <s v="REVENUS"/>
    <x v="4"/>
    <s v="4051.001"/>
    <s v="Impôt sur les successions"/>
    <n v="0"/>
    <n v="0.9"/>
    <n v="4051"/>
  </r>
  <r>
    <x v="0"/>
    <x v="9"/>
    <x v="5"/>
    <x v="250"/>
    <x v="215"/>
    <x v="215"/>
    <s v="REVENUS"/>
    <x v="2"/>
    <s v="4001.002"/>
    <s v="Impôt complément s/revenu PP"/>
    <n v="0"/>
    <n v="348.65"/>
    <n v="4001"/>
  </r>
  <r>
    <x v="0"/>
    <x v="9"/>
    <x v="5"/>
    <x v="250"/>
    <x v="215"/>
    <x v="215"/>
    <s v="REVENUS"/>
    <x v="3"/>
    <s v="4002.002"/>
    <s v="Impôt complémentaire s/fortune PP"/>
    <n v="0"/>
    <n v="126.4"/>
    <n v="4002"/>
  </r>
  <r>
    <x v="0"/>
    <x v="9"/>
    <x v="5"/>
    <x v="250"/>
    <x v="215"/>
    <x v="215"/>
    <s v="REVENUS"/>
    <x v="2"/>
    <s v="4001.002"/>
    <s v="Impôt complément s/revenu PP"/>
    <n v="0"/>
    <n v="-4464.3"/>
    <n v="4001"/>
  </r>
  <r>
    <x v="0"/>
    <x v="9"/>
    <x v="5"/>
    <x v="250"/>
    <x v="215"/>
    <x v="215"/>
    <s v="REVENUS"/>
    <x v="3"/>
    <s v="4002.002"/>
    <s v="Impôt complémentaire s/fortune PP"/>
    <n v="0"/>
    <n v="-98.45"/>
    <n v="4002"/>
  </r>
  <r>
    <x v="0"/>
    <x v="9"/>
    <x v="5"/>
    <x v="251"/>
    <x v="216"/>
    <x v="216"/>
    <s v="CHARGES"/>
    <x v="1"/>
    <s v="3301.001"/>
    <s v="Défalcations, abandons de solde PP et IS"/>
    <n v="120.58"/>
    <n v="0"/>
    <n v="3301"/>
  </r>
  <r>
    <x v="0"/>
    <x v="9"/>
    <x v="5"/>
    <x v="251"/>
    <x v="216"/>
    <x v="216"/>
    <s v="CHARGES"/>
    <x v="0"/>
    <s v="3212.004"/>
    <s v="Intérêts rémun./perçu trop tôt sur acomptes C/C"/>
    <n v="118.24"/>
    <n v="0"/>
    <n v="3212"/>
  </r>
  <r>
    <x v="0"/>
    <x v="9"/>
    <x v="5"/>
    <x v="251"/>
    <x v="216"/>
    <x v="216"/>
    <s v="CHARGES"/>
    <x v="1"/>
    <s v="3301.001"/>
    <s v="Défalcations, abandons de solde PP et IS"/>
    <n v="0.1"/>
    <n v="0"/>
    <n v="3301"/>
  </r>
  <r>
    <x v="0"/>
    <x v="9"/>
    <x v="5"/>
    <x v="251"/>
    <x v="216"/>
    <x v="216"/>
    <s v="CHARGES"/>
    <x v="0"/>
    <s v="3221.002"/>
    <s v="Intérêts compensatoires / créances en faveur ctb."/>
    <n v="58.34"/>
    <n v="0"/>
    <n v="3221"/>
  </r>
  <r>
    <x v="0"/>
    <x v="9"/>
    <x v="5"/>
    <x v="251"/>
    <x v="216"/>
    <x v="216"/>
    <s v="CHARGES"/>
    <x v="1"/>
    <s v="3301.001"/>
    <s v="Défalcations, abandons de solde PP et IS"/>
    <n v="0.01"/>
    <n v="0"/>
    <n v="3301"/>
  </r>
  <r>
    <x v="0"/>
    <x v="9"/>
    <x v="5"/>
    <x v="251"/>
    <x v="216"/>
    <x v="216"/>
    <s v="CHARGES"/>
    <x v="0"/>
    <s v="3212.004"/>
    <s v="Intérêts rémun./perçu trop tôt sur acomptes C/C"/>
    <n v="0.7"/>
    <n v="0"/>
    <n v="3212"/>
  </r>
  <r>
    <x v="0"/>
    <x v="9"/>
    <x v="5"/>
    <x v="251"/>
    <x v="216"/>
    <x v="216"/>
    <s v="CHARGES"/>
    <x v="0"/>
    <s v="3221.002"/>
    <s v="Intérêts compensatoires / créances en faveur ctb."/>
    <n v="15.34"/>
    <n v="0"/>
    <n v="3221"/>
  </r>
  <r>
    <x v="0"/>
    <x v="9"/>
    <x v="5"/>
    <x v="251"/>
    <x v="216"/>
    <x v="216"/>
    <s v="CHARGES"/>
    <x v="0"/>
    <s v="3212.004"/>
    <s v="Intérêts rémun./perçu trop tôt sur acomptes C/C"/>
    <n v="0.09"/>
    <n v="0"/>
    <n v="3212"/>
  </r>
  <r>
    <x v="0"/>
    <x v="9"/>
    <x v="5"/>
    <x v="251"/>
    <x v="216"/>
    <x v="216"/>
    <s v="CHARGES"/>
    <x v="0"/>
    <s v="3221.002"/>
    <s v="Intérêts compensatoires / créances en faveur ctb."/>
    <n v="0.16"/>
    <n v="0"/>
    <n v="3221"/>
  </r>
  <r>
    <x v="0"/>
    <x v="9"/>
    <x v="5"/>
    <x v="251"/>
    <x v="216"/>
    <x v="216"/>
    <s v="CHARGES"/>
    <x v="0"/>
    <s v="3212.002"/>
    <s v="Intérêts bonifiés/trop perçu acompte C/C"/>
    <n v="0.03"/>
    <n v="0"/>
    <n v="3212"/>
  </r>
  <r>
    <x v="0"/>
    <x v="9"/>
    <x v="5"/>
    <x v="251"/>
    <x v="216"/>
    <x v="216"/>
    <s v="CHARGES"/>
    <x v="1"/>
    <s v="3301.001"/>
    <s v="Défalcations, abandons de solde PP et IS"/>
    <n v="-837.38"/>
    <n v="0"/>
    <n v="3301"/>
  </r>
  <r>
    <x v="0"/>
    <x v="9"/>
    <x v="5"/>
    <x v="251"/>
    <x v="216"/>
    <x v="216"/>
    <s v="CHARGES"/>
    <x v="0"/>
    <s v="3212.002"/>
    <s v="Intérêts bonifiés/trop perçu acompte C/C"/>
    <n v="0.93"/>
    <n v="0"/>
    <n v="3212"/>
  </r>
  <r>
    <x v="0"/>
    <x v="9"/>
    <x v="5"/>
    <x v="251"/>
    <x v="216"/>
    <x v="216"/>
    <s v="REVENUS"/>
    <x v="3"/>
    <s v="4002.007"/>
    <s v="Acompte impôt sur fortune"/>
    <n v="0"/>
    <n v="-789.12"/>
    <n v="4002"/>
  </r>
  <r>
    <x v="0"/>
    <x v="9"/>
    <x v="5"/>
    <x v="251"/>
    <x v="216"/>
    <x v="216"/>
    <s v="REVENUS"/>
    <x v="6"/>
    <s v="4211.001"/>
    <s v="Intérêts de retard sur factures"/>
    <n v="0"/>
    <n v="1575.9"/>
    <n v="4211"/>
  </r>
  <r>
    <x v="0"/>
    <x v="9"/>
    <x v="5"/>
    <x v="251"/>
    <x v="216"/>
    <x v="216"/>
    <s v="REVENUS"/>
    <x v="2"/>
    <s v="4001.001"/>
    <s v="Impôt revenu"/>
    <n v="0"/>
    <n v="575599.6"/>
    <n v="4001"/>
  </r>
  <r>
    <x v="0"/>
    <x v="9"/>
    <x v="5"/>
    <x v="251"/>
    <x v="216"/>
    <x v="216"/>
    <s v="REVENUS"/>
    <x v="3"/>
    <s v="4002.001"/>
    <s v="Impôt ordinaire s/fortune PP"/>
    <n v="0"/>
    <n v="63183.65"/>
    <n v="4002"/>
  </r>
  <r>
    <x v="0"/>
    <x v="9"/>
    <x v="5"/>
    <x v="251"/>
    <x v="216"/>
    <x v="216"/>
    <s v="REVENUS"/>
    <x v="3"/>
    <s v="4002.007"/>
    <s v="Acompte impôt sur fortune"/>
    <n v="0"/>
    <n v="-25299.040000000001"/>
    <n v="4002"/>
  </r>
  <r>
    <x v="0"/>
    <x v="9"/>
    <x v="5"/>
    <x v="251"/>
    <x v="216"/>
    <x v="216"/>
    <s v="REVENUS"/>
    <x v="6"/>
    <s v="4211.002"/>
    <s v="Intérêts de retard sur acomptes"/>
    <n v="0"/>
    <n v="3242.01"/>
    <n v="4211"/>
  </r>
  <r>
    <x v="0"/>
    <x v="9"/>
    <x v="5"/>
    <x v="251"/>
    <x v="216"/>
    <x v="216"/>
    <s v="REVENUS"/>
    <x v="2"/>
    <s v="4001.001"/>
    <s v="Impôt revenu"/>
    <n v="0"/>
    <n v="4944"/>
    <n v="4001"/>
  </r>
  <r>
    <x v="0"/>
    <x v="9"/>
    <x v="5"/>
    <x v="251"/>
    <x v="216"/>
    <x v="216"/>
    <s v="REVENUS"/>
    <x v="3"/>
    <s v="4002.001"/>
    <s v="Impôt ordinaire s/fortune PP"/>
    <n v="0"/>
    <n v="1649.85"/>
    <n v="4002"/>
  </r>
  <r>
    <x v="0"/>
    <x v="9"/>
    <x v="5"/>
    <x v="251"/>
    <x v="216"/>
    <x v="216"/>
    <s v="REVENUS"/>
    <x v="6"/>
    <s v="4211.002"/>
    <s v="Intérêts de retard sur acomptes"/>
    <n v="0"/>
    <n v="58.91"/>
    <n v="4211"/>
  </r>
  <r>
    <x v="0"/>
    <x v="9"/>
    <x v="5"/>
    <x v="251"/>
    <x v="216"/>
    <x v="216"/>
    <s v="REVENUS"/>
    <x v="6"/>
    <s v="4221.003"/>
    <s v="Intérêts compensat. / acomptes en faveur du fisc"/>
    <n v="0"/>
    <n v="0.35"/>
    <n v="4221"/>
  </r>
  <r>
    <x v="0"/>
    <x v="9"/>
    <x v="5"/>
    <x v="251"/>
    <x v="216"/>
    <x v="216"/>
    <s v="REVENUS"/>
    <x v="2"/>
    <s v="4001.002"/>
    <s v="Impôt complément s/revenu PP"/>
    <n v="0"/>
    <n v="52816"/>
    <n v="4001"/>
  </r>
  <r>
    <x v="0"/>
    <x v="9"/>
    <x v="5"/>
    <x v="251"/>
    <x v="216"/>
    <x v="216"/>
    <s v="REVENUS"/>
    <x v="2"/>
    <s v="4001.007"/>
    <s v="Acompte impôt sur revenu"/>
    <n v="0"/>
    <n v="-100608.15"/>
    <n v="4001"/>
  </r>
  <r>
    <x v="0"/>
    <x v="9"/>
    <x v="5"/>
    <x v="251"/>
    <x v="216"/>
    <x v="216"/>
    <s v="REVENUS"/>
    <x v="2"/>
    <s v="4001.001"/>
    <s v="Impôt revenu"/>
    <n v="0"/>
    <n v="66.150000000000006"/>
    <n v="4001"/>
  </r>
  <r>
    <x v="0"/>
    <x v="9"/>
    <x v="5"/>
    <x v="251"/>
    <x v="216"/>
    <x v="216"/>
    <s v="REVENUS"/>
    <x v="3"/>
    <s v="4002.001"/>
    <s v="Impôt ordinaire s/fortune PP"/>
    <n v="0"/>
    <n v="7.3"/>
    <n v="4002"/>
  </r>
  <r>
    <x v="0"/>
    <x v="9"/>
    <x v="5"/>
    <x v="251"/>
    <x v="216"/>
    <x v="216"/>
    <s v="REVENUS"/>
    <x v="6"/>
    <s v="4221.003"/>
    <s v="Intérêts compensat. / acomptes en faveur du fisc"/>
    <n v="0"/>
    <n v="0.01"/>
    <n v="4221"/>
  </r>
  <r>
    <x v="0"/>
    <x v="9"/>
    <x v="5"/>
    <x v="251"/>
    <x v="216"/>
    <x v="216"/>
    <s v="REVENUS"/>
    <x v="7"/>
    <s v="4184.000"/>
    <s v="Frais de poursuite"/>
    <n v="0"/>
    <n v="1078.96"/>
    <n v="4184"/>
  </r>
  <r>
    <x v="0"/>
    <x v="9"/>
    <x v="5"/>
    <x v="251"/>
    <x v="216"/>
    <x v="216"/>
    <s v="REVENUS"/>
    <x v="6"/>
    <s v="4221.003"/>
    <s v="Intérêts compensat. / acomptes en faveur du fisc"/>
    <n v="0"/>
    <n v="56.41"/>
    <n v="4221"/>
  </r>
  <r>
    <x v="0"/>
    <x v="9"/>
    <x v="5"/>
    <x v="251"/>
    <x v="216"/>
    <x v="216"/>
    <s v="REVENUS"/>
    <x v="3"/>
    <s v="4002.007"/>
    <s v="Acompte impôt sur fortune"/>
    <n v="0"/>
    <n v="327.75"/>
    <n v="4002"/>
  </r>
  <r>
    <x v="0"/>
    <x v="9"/>
    <x v="5"/>
    <x v="251"/>
    <x v="216"/>
    <x v="216"/>
    <s v="REVENUS"/>
    <x v="3"/>
    <s v="4002.007"/>
    <s v="Acompte impôt sur fortune"/>
    <n v="0"/>
    <n v="-104.61"/>
    <n v="4002"/>
  </r>
  <r>
    <x v="0"/>
    <x v="9"/>
    <x v="5"/>
    <x v="251"/>
    <x v="216"/>
    <x v="216"/>
    <s v="REVENUS"/>
    <x v="2"/>
    <s v="4001.007"/>
    <s v="Acompte impôt sur revenu"/>
    <n v="0"/>
    <n v="-2439.7600000000002"/>
    <n v="4001"/>
  </r>
  <r>
    <x v="0"/>
    <x v="9"/>
    <x v="5"/>
    <x v="251"/>
    <x v="216"/>
    <x v="216"/>
    <s v="REVENUS"/>
    <x v="2"/>
    <s v="4001.007"/>
    <s v="Acompte impôt sur revenu"/>
    <n v="0"/>
    <n v="578"/>
    <n v="4001"/>
  </r>
  <r>
    <x v="0"/>
    <x v="9"/>
    <x v="5"/>
    <x v="251"/>
    <x v="216"/>
    <x v="216"/>
    <s v="REVENUS"/>
    <x v="2"/>
    <s v="4001.003"/>
    <s v="Impôt s/prest. cap. PP"/>
    <n v="0"/>
    <n v="7150.05"/>
    <n v="4001"/>
  </r>
  <r>
    <x v="0"/>
    <x v="9"/>
    <x v="5"/>
    <x v="251"/>
    <x v="216"/>
    <x v="216"/>
    <s v="REVENUS"/>
    <x v="5"/>
    <s v="4061.000"/>
    <s v="Impôt sur les chiens"/>
    <n v="0"/>
    <n v="1960"/>
    <n v="4061"/>
  </r>
  <r>
    <x v="0"/>
    <x v="9"/>
    <x v="5"/>
    <x v="251"/>
    <x v="216"/>
    <x v="216"/>
    <s v="REVENUS"/>
    <x v="2"/>
    <s v="4001.001"/>
    <s v="Impôt revenu"/>
    <n v="0"/>
    <n v="-392.95"/>
    <n v="4001"/>
  </r>
  <r>
    <x v="0"/>
    <x v="9"/>
    <x v="5"/>
    <x v="251"/>
    <x v="216"/>
    <x v="216"/>
    <s v="REVENUS"/>
    <x v="3"/>
    <s v="4002.001"/>
    <s v="Impôt ordinaire s/fortune PP"/>
    <n v="0"/>
    <n v="403.1"/>
    <n v="4002"/>
  </r>
  <r>
    <x v="0"/>
    <x v="9"/>
    <x v="5"/>
    <x v="251"/>
    <x v="216"/>
    <x v="216"/>
    <s v="REVENUS"/>
    <x v="10"/>
    <s v="4041.001"/>
    <s v="Droits de mutation"/>
    <n v="0"/>
    <n v="21175"/>
    <n v="4041"/>
  </r>
  <r>
    <x v="0"/>
    <x v="9"/>
    <x v="5"/>
    <x v="251"/>
    <x v="216"/>
    <x v="216"/>
    <s v="REVENUS"/>
    <x v="6"/>
    <s v="4221.002"/>
    <s v="Intérêts compensat. sur impôts distincts"/>
    <n v="0"/>
    <n v="0.5"/>
    <n v="4221"/>
  </r>
  <r>
    <x v="0"/>
    <x v="9"/>
    <x v="5"/>
    <x v="251"/>
    <x v="216"/>
    <x v="216"/>
    <s v="REVENUS"/>
    <x v="3"/>
    <s v="4002.002"/>
    <s v="Impôt complémentaire s/fortune PP"/>
    <n v="0"/>
    <n v="3305.75"/>
    <n v="4002"/>
  </r>
  <r>
    <x v="0"/>
    <x v="9"/>
    <x v="5"/>
    <x v="251"/>
    <x v="216"/>
    <x v="216"/>
    <s v="REVENUS"/>
    <x v="6"/>
    <s v="4211.001"/>
    <s v="Intérêts de retard sur factures"/>
    <n v="0"/>
    <n v="1.1100000000000001"/>
    <n v="4211"/>
  </r>
  <r>
    <x v="0"/>
    <x v="9"/>
    <x v="5"/>
    <x v="251"/>
    <x v="216"/>
    <x v="216"/>
    <s v="REVENUS"/>
    <x v="9"/>
    <s v="4031.001"/>
    <s v="Impôt sur les gains immobiliers"/>
    <n v="0"/>
    <n v="1849.15"/>
    <n v="4031"/>
  </r>
  <r>
    <x v="0"/>
    <x v="9"/>
    <x v="5"/>
    <x v="251"/>
    <x v="216"/>
    <x v="216"/>
    <s v="REVENUS"/>
    <x v="2"/>
    <s v="4001.007"/>
    <s v="Acompte impôt sur revenu"/>
    <n v="0"/>
    <n v="384.8"/>
    <n v="4001"/>
  </r>
  <r>
    <x v="0"/>
    <x v="9"/>
    <x v="5"/>
    <x v="251"/>
    <x v="216"/>
    <x v="216"/>
    <s v="REVENUS"/>
    <x v="3"/>
    <s v="4002.007"/>
    <s v="Acompte impôt sur fortune"/>
    <n v="0"/>
    <n v="0"/>
    <n v="4002"/>
  </r>
  <r>
    <x v="0"/>
    <x v="9"/>
    <x v="5"/>
    <x v="251"/>
    <x v="216"/>
    <x v="216"/>
    <s v="REVENUS"/>
    <x v="3"/>
    <s v="4002.002"/>
    <s v="Impôt complémentaire s/fortune PP"/>
    <n v="0"/>
    <n v="90.5"/>
    <n v="4002"/>
  </r>
  <r>
    <x v="0"/>
    <x v="9"/>
    <x v="5"/>
    <x v="251"/>
    <x v="216"/>
    <x v="216"/>
    <s v="REVENUS"/>
    <x v="8"/>
    <s v="4091.001"/>
    <s v="Impôt récupéré après défalcations"/>
    <n v="0"/>
    <n v="-837.37"/>
    <n v="4091"/>
  </r>
  <r>
    <x v="0"/>
    <x v="9"/>
    <x v="5"/>
    <x v="251"/>
    <x v="216"/>
    <x v="216"/>
    <s v="REVENUS"/>
    <x v="6"/>
    <s v="4211.001"/>
    <s v="Intérêts de retard sur factures"/>
    <n v="0"/>
    <n v="1.25"/>
    <n v="4211"/>
  </r>
  <r>
    <x v="0"/>
    <x v="9"/>
    <x v="5"/>
    <x v="251"/>
    <x v="216"/>
    <x v="216"/>
    <s v="REVENUS"/>
    <x v="6"/>
    <s v="4211.002"/>
    <s v="Intérêts de retard sur acomptes"/>
    <n v="0"/>
    <n v="-11.48"/>
    <n v="4211"/>
  </r>
  <r>
    <x v="0"/>
    <x v="9"/>
    <x v="5"/>
    <x v="251"/>
    <x v="216"/>
    <x v="216"/>
    <s v="REVENUS"/>
    <x v="6"/>
    <s v="4211.002"/>
    <s v="Intérêts de retard sur acomptes"/>
    <n v="0"/>
    <n v="0"/>
    <n v="4211"/>
  </r>
  <r>
    <x v="0"/>
    <x v="9"/>
    <x v="5"/>
    <x v="251"/>
    <x v="216"/>
    <x v="216"/>
    <s v="REVENUS"/>
    <x v="2"/>
    <s v="4001.002"/>
    <s v="Impôt complément s/revenu PP"/>
    <n v="0"/>
    <n v="50.2"/>
    <n v="4001"/>
  </r>
  <r>
    <x v="0"/>
    <x v="9"/>
    <x v="5"/>
    <x v="251"/>
    <x v="216"/>
    <x v="216"/>
    <s v="REVENUS"/>
    <x v="6"/>
    <s v="4221.003"/>
    <s v="Intérêts compensat. / acomptes en faveur du fisc"/>
    <n v="0"/>
    <n v="7.0000000000000007E-2"/>
    <n v="4221"/>
  </r>
  <r>
    <x v="0"/>
    <x v="9"/>
    <x v="5"/>
    <x v="251"/>
    <x v="216"/>
    <x v="216"/>
    <s v="REVENUS"/>
    <x v="11"/>
    <s v="4198.000"/>
    <s v="Contributions communales"/>
    <n v="0"/>
    <n v="38699.5"/>
    <n v="4198"/>
  </r>
  <r>
    <x v="0"/>
    <x v="9"/>
    <x v="5"/>
    <x v="251"/>
    <x v="216"/>
    <x v="216"/>
    <s v="REVENUS"/>
    <x v="4"/>
    <s v="4051.001"/>
    <s v="Impôt sur les successions"/>
    <n v="0"/>
    <n v="1386"/>
    <n v="4051"/>
  </r>
  <r>
    <x v="0"/>
    <x v="9"/>
    <x v="5"/>
    <x v="252"/>
    <x v="217"/>
    <x v="217"/>
    <s v="CHARGES"/>
    <x v="1"/>
    <s v="3301.001"/>
    <s v="Défalcations, abandons de solde PP et IS"/>
    <n v="2156.17"/>
    <n v="0"/>
    <n v="3301"/>
  </r>
  <r>
    <x v="0"/>
    <x v="9"/>
    <x v="5"/>
    <x v="252"/>
    <x v="217"/>
    <x v="217"/>
    <s v="CHARGES"/>
    <x v="0"/>
    <s v="3212.004"/>
    <s v="Intérêts rémun./perçu trop tôt sur acomptes C/C"/>
    <n v="155.08000000000001"/>
    <n v="0"/>
    <n v="3212"/>
  </r>
  <r>
    <x v="0"/>
    <x v="9"/>
    <x v="5"/>
    <x v="252"/>
    <x v="217"/>
    <x v="217"/>
    <s v="CHARGES"/>
    <x v="1"/>
    <s v="3301.001"/>
    <s v="Défalcations, abandons de solde PP et IS"/>
    <n v="0.02"/>
    <n v="0"/>
    <n v="3301"/>
  </r>
  <r>
    <x v="0"/>
    <x v="9"/>
    <x v="5"/>
    <x v="252"/>
    <x v="217"/>
    <x v="217"/>
    <s v="CHARGES"/>
    <x v="0"/>
    <s v="3212.002"/>
    <s v="Intérêts bonifiés/trop perçu acompte C/C"/>
    <n v="4.68"/>
    <n v="0"/>
    <n v="3212"/>
  </r>
  <r>
    <x v="0"/>
    <x v="9"/>
    <x v="5"/>
    <x v="252"/>
    <x v="217"/>
    <x v="217"/>
    <s v="CHARGES"/>
    <x v="0"/>
    <s v="3221.002"/>
    <s v="Intérêts compensatoires / créances en faveur ctb."/>
    <n v="79.510000000000005"/>
    <n v="0"/>
    <n v="3221"/>
  </r>
  <r>
    <x v="0"/>
    <x v="9"/>
    <x v="5"/>
    <x v="252"/>
    <x v="217"/>
    <x v="217"/>
    <s v="CHARGES"/>
    <x v="0"/>
    <s v="3212.004"/>
    <s v="Intérêts rémun./perçu trop tôt sur acomptes C/C"/>
    <n v="3.64"/>
    <n v="0"/>
    <n v="3212"/>
  </r>
  <r>
    <x v="0"/>
    <x v="9"/>
    <x v="5"/>
    <x v="252"/>
    <x v="217"/>
    <x v="217"/>
    <s v="CHARGES"/>
    <x v="0"/>
    <s v="3221.002"/>
    <s v="Intérêts compensatoires / créances en faveur ctb."/>
    <n v="4.0999999999999996"/>
    <n v="0"/>
    <n v="3221"/>
  </r>
  <r>
    <x v="0"/>
    <x v="9"/>
    <x v="5"/>
    <x v="252"/>
    <x v="217"/>
    <x v="217"/>
    <s v="CHARGES"/>
    <x v="0"/>
    <s v="3221.002"/>
    <s v="Intérêts compensatoires / créances en faveur ctb."/>
    <n v="0.03"/>
    <n v="0"/>
    <n v="3221"/>
  </r>
  <r>
    <x v="0"/>
    <x v="9"/>
    <x v="5"/>
    <x v="252"/>
    <x v="217"/>
    <x v="217"/>
    <s v="CHARGES"/>
    <x v="0"/>
    <s v="3212.004"/>
    <s v="Intérêts rémun./perçu trop tôt sur acomptes C/C"/>
    <n v="0.26"/>
    <n v="0"/>
    <n v="3212"/>
  </r>
  <r>
    <x v="0"/>
    <x v="9"/>
    <x v="5"/>
    <x v="252"/>
    <x v="217"/>
    <x v="217"/>
    <s v="CHARGES"/>
    <x v="0"/>
    <s v="3212.004"/>
    <s v="Intérêts rémun./perçu trop tôt sur acomptes C/C"/>
    <n v="0.11"/>
    <n v="0"/>
    <n v="3212"/>
  </r>
  <r>
    <x v="0"/>
    <x v="9"/>
    <x v="5"/>
    <x v="252"/>
    <x v="217"/>
    <x v="217"/>
    <s v="CHARGES"/>
    <x v="0"/>
    <s v="3221.002"/>
    <s v="Intérêts compensatoires / créances en faveur ctb."/>
    <n v="0.01"/>
    <n v="0"/>
    <n v="3221"/>
  </r>
  <r>
    <x v="0"/>
    <x v="9"/>
    <x v="5"/>
    <x v="252"/>
    <x v="217"/>
    <x v="217"/>
    <s v="CHARGES"/>
    <x v="0"/>
    <s v="3212.004"/>
    <s v="Intérêts rémun./perçu trop tôt sur acomptes C/C"/>
    <n v="-0.01"/>
    <n v="0"/>
    <n v="3212"/>
  </r>
  <r>
    <x v="0"/>
    <x v="9"/>
    <x v="5"/>
    <x v="252"/>
    <x v="217"/>
    <x v="217"/>
    <s v="CHARGES"/>
    <x v="1"/>
    <s v="3301.001"/>
    <s v="Défalcations, abandons de solde PP et IS"/>
    <n v="0.02"/>
    <n v="0"/>
    <n v="3301"/>
  </r>
  <r>
    <x v="0"/>
    <x v="9"/>
    <x v="5"/>
    <x v="252"/>
    <x v="217"/>
    <x v="217"/>
    <s v="REVENUS"/>
    <x v="6"/>
    <s v="4211.001"/>
    <s v="Intérêts de retard sur factures"/>
    <n v="0"/>
    <n v="2017.33"/>
    <n v="4211"/>
  </r>
  <r>
    <x v="0"/>
    <x v="9"/>
    <x v="5"/>
    <x v="252"/>
    <x v="217"/>
    <x v="217"/>
    <s v="REVENUS"/>
    <x v="3"/>
    <s v="4002.007"/>
    <s v="Acompte impôt sur fortune"/>
    <n v="0"/>
    <n v="-172.8"/>
    <n v="4002"/>
  </r>
  <r>
    <x v="0"/>
    <x v="9"/>
    <x v="5"/>
    <x v="252"/>
    <x v="217"/>
    <x v="217"/>
    <s v="REVENUS"/>
    <x v="3"/>
    <s v="4002.001"/>
    <s v="Impôt ordinaire s/fortune PP"/>
    <n v="0"/>
    <n v="89598.6"/>
    <n v="4002"/>
  </r>
  <r>
    <x v="0"/>
    <x v="9"/>
    <x v="5"/>
    <x v="252"/>
    <x v="217"/>
    <x v="217"/>
    <s v="REVENUS"/>
    <x v="3"/>
    <s v="4002.007"/>
    <s v="Acompte impôt sur fortune"/>
    <n v="0"/>
    <n v="-36782.31"/>
    <n v="4002"/>
  </r>
  <r>
    <x v="0"/>
    <x v="9"/>
    <x v="5"/>
    <x v="252"/>
    <x v="217"/>
    <x v="217"/>
    <s v="REVENUS"/>
    <x v="4"/>
    <s v="4051.001"/>
    <s v="Impôt sur les successions"/>
    <n v="0"/>
    <n v="251932.6"/>
    <n v="4051"/>
  </r>
  <r>
    <x v="0"/>
    <x v="9"/>
    <x v="5"/>
    <x v="252"/>
    <x v="217"/>
    <x v="217"/>
    <s v="REVENUS"/>
    <x v="7"/>
    <s v="4184.000"/>
    <s v="Frais de poursuite"/>
    <n v="0"/>
    <n v="2214.59"/>
    <n v="4184"/>
  </r>
  <r>
    <x v="0"/>
    <x v="9"/>
    <x v="5"/>
    <x v="252"/>
    <x v="217"/>
    <x v="217"/>
    <s v="REVENUS"/>
    <x v="6"/>
    <s v="4221.002"/>
    <s v="Intérêts compensat. sur impôts distincts"/>
    <n v="0"/>
    <n v="97.59"/>
    <n v="4221"/>
  </r>
  <r>
    <x v="0"/>
    <x v="9"/>
    <x v="5"/>
    <x v="252"/>
    <x v="217"/>
    <x v="217"/>
    <s v="REVENUS"/>
    <x v="2"/>
    <s v="4001.001"/>
    <s v="Impôt revenu"/>
    <n v="0"/>
    <n v="694271.15"/>
    <n v="4001"/>
  </r>
  <r>
    <x v="0"/>
    <x v="9"/>
    <x v="5"/>
    <x v="252"/>
    <x v="217"/>
    <x v="217"/>
    <s v="REVENUS"/>
    <x v="2"/>
    <s v="4001.007"/>
    <s v="Acompte impôt sur revenu"/>
    <n v="0"/>
    <n v="-205016.79"/>
    <n v="4001"/>
  </r>
  <r>
    <x v="0"/>
    <x v="9"/>
    <x v="5"/>
    <x v="252"/>
    <x v="217"/>
    <x v="217"/>
    <s v="REVENUS"/>
    <x v="2"/>
    <s v="4001.003"/>
    <s v="Impôt s/prest. cap. PP"/>
    <n v="0"/>
    <n v="19347.2"/>
    <n v="4001"/>
  </r>
  <r>
    <x v="0"/>
    <x v="9"/>
    <x v="5"/>
    <x v="252"/>
    <x v="217"/>
    <x v="217"/>
    <s v="REVENUS"/>
    <x v="6"/>
    <s v="4211.002"/>
    <s v="Intérêts de retard sur acomptes"/>
    <n v="0"/>
    <n v="7455.58"/>
    <n v="4211"/>
  </r>
  <r>
    <x v="0"/>
    <x v="9"/>
    <x v="5"/>
    <x v="252"/>
    <x v="217"/>
    <x v="217"/>
    <s v="REVENUS"/>
    <x v="6"/>
    <s v="4221.003"/>
    <s v="Intérêts compensat. / acomptes en faveur du fisc"/>
    <n v="0"/>
    <n v="116.47"/>
    <n v="4221"/>
  </r>
  <r>
    <x v="0"/>
    <x v="9"/>
    <x v="5"/>
    <x v="252"/>
    <x v="217"/>
    <x v="217"/>
    <s v="REVENUS"/>
    <x v="2"/>
    <s v="4001.001"/>
    <s v="Impôt revenu"/>
    <n v="0"/>
    <n v="94.95"/>
    <n v="4001"/>
  </r>
  <r>
    <x v="0"/>
    <x v="9"/>
    <x v="5"/>
    <x v="252"/>
    <x v="217"/>
    <x v="217"/>
    <s v="REVENUS"/>
    <x v="2"/>
    <s v="4001.002"/>
    <s v="Impôt complément s/revenu PP"/>
    <n v="0"/>
    <n v="63.4"/>
    <n v="4001"/>
  </r>
  <r>
    <x v="0"/>
    <x v="9"/>
    <x v="5"/>
    <x v="252"/>
    <x v="217"/>
    <x v="217"/>
    <s v="REVENUS"/>
    <x v="3"/>
    <s v="4002.001"/>
    <s v="Impôt ordinaire s/fortune PP"/>
    <n v="0"/>
    <n v="62.75"/>
    <n v="4002"/>
  </r>
  <r>
    <x v="0"/>
    <x v="9"/>
    <x v="5"/>
    <x v="252"/>
    <x v="217"/>
    <x v="217"/>
    <s v="REVENUS"/>
    <x v="3"/>
    <s v="4002.002"/>
    <s v="Impôt complémentaire s/fortune PP"/>
    <n v="0"/>
    <n v="21.05"/>
    <n v="4002"/>
  </r>
  <r>
    <x v="0"/>
    <x v="9"/>
    <x v="5"/>
    <x v="252"/>
    <x v="217"/>
    <x v="217"/>
    <s v="REVENUS"/>
    <x v="6"/>
    <s v="4221.003"/>
    <s v="Intérêts compensat. / acomptes en faveur du fisc"/>
    <n v="0"/>
    <n v="0.02"/>
    <n v="4221"/>
  </r>
  <r>
    <x v="0"/>
    <x v="9"/>
    <x v="5"/>
    <x v="252"/>
    <x v="217"/>
    <x v="217"/>
    <s v="REVENUS"/>
    <x v="2"/>
    <s v="4001.002"/>
    <s v="Impôt complément s/revenu PP"/>
    <n v="0"/>
    <n v="64717.05"/>
    <n v="4001"/>
  </r>
  <r>
    <x v="0"/>
    <x v="9"/>
    <x v="5"/>
    <x v="252"/>
    <x v="217"/>
    <x v="217"/>
    <s v="REVENUS"/>
    <x v="3"/>
    <s v="4002.002"/>
    <s v="Impôt complémentaire s/fortune PP"/>
    <n v="0"/>
    <n v="4255.6000000000004"/>
    <n v="4002"/>
  </r>
  <r>
    <x v="0"/>
    <x v="9"/>
    <x v="5"/>
    <x v="252"/>
    <x v="217"/>
    <x v="217"/>
    <s v="REVENUS"/>
    <x v="9"/>
    <s v="4031.001"/>
    <s v="Impôt sur les gains immobiliers"/>
    <n v="0"/>
    <n v="11972.4"/>
    <n v="4031"/>
  </r>
  <r>
    <x v="0"/>
    <x v="9"/>
    <x v="5"/>
    <x v="252"/>
    <x v="217"/>
    <x v="217"/>
    <s v="REVENUS"/>
    <x v="3"/>
    <s v="4002.001"/>
    <s v="Impôt ordinaire s/fortune PP"/>
    <n v="0"/>
    <n v="123.8"/>
    <n v="4002"/>
  </r>
  <r>
    <x v="0"/>
    <x v="9"/>
    <x v="5"/>
    <x v="252"/>
    <x v="217"/>
    <x v="217"/>
    <s v="REVENUS"/>
    <x v="2"/>
    <s v="4001.007"/>
    <s v="Acompte impôt sur revenu"/>
    <n v="0"/>
    <n v="3652.8"/>
    <n v="4001"/>
  </r>
  <r>
    <x v="0"/>
    <x v="9"/>
    <x v="5"/>
    <x v="252"/>
    <x v="217"/>
    <x v="217"/>
    <s v="REVENUS"/>
    <x v="3"/>
    <s v="4002.007"/>
    <s v="Acompte impôt sur fortune"/>
    <n v="0"/>
    <n v="296.75"/>
    <n v="4002"/>
  </r>
  <r>
    <x v="0"/>
    <x v="9"/>
    <x v="5"/>
    <x v="252"/>
    <x v="217"/>
    <x v="217"/>
    <s v="REVENUS"/>
    <x v="2"/>
    <s v="4001.005"/>
    <s v="Amende de soustract. Impôt"/>
    <n v="0"/>
    <n v="600"/>
    <n v="4001"/>
  </r>
  <r>
    <x v="0"/>
    <x v="9"/>
    <x v="5"/>
    <x v="252"/>
    <x v="217"/>
    <x v="217"/>
    <s v="REVENUS"/>
    <x v="6"/>
    <s v="4211.002"/>
    <s v="Intérêts de retard sur acomptes"/>
    <n v="0"/>
    <n v="0.01"/>
    <n v="4211"/>
  </r>
  <r>
    <x v="0"/>
    <x v="9"/>
    <x v="5"/>
    <x v="252"/>
    <x v="217"/>
    <x v="217"/>
    <s v="REVENUS"/>
    <x v="10"/>
    <s v="4041.001"/>
    <s v="Droits de mutation"/>
    <n v="0"/>
    <n v="7650.5"/>
    <n v="4041"/>
  </r>
  <r>
    <x v="0"/>
    <x v="9"/>
    <x v="5"/>
    <x v="252"/>
    <x v="217"/>
    <x v="217"/>
    <s v="REVENUS"/>
    <x v="3"/>
    <s v="4002.007"/>
    <s v="Acompte impôt sur fortune"/>
    <n v="0"/>
    <n v="3.45"/>
    <n v="4002"/>
  </r>
  <r>
    <x v="0"/>
    <x v="9"/>
    <x v="5"/>
    <x v="252"/>
    <x v="217"/>
    <x v="217"/>
    <s v="REVENUS"/>
    <x v="2"/>
    <s v="4001.007"/>
    <s v="Acompte impôt sur revenu"/>
    <n v="0"/>
    <n v="23.3"/>
    <n v="4001"/>
  </r>
  <r>
    <x v="0"/>
    <x v="9"/>
    <x v="5"/>
    <x v="252"/>
    <x v="217"/>
    <x v="217"/>
    <s v="REVENUS"/>
    <x v="3"/>
    <s v="4002.007"/>
    <s v="Acompte impôt sur fortune"/>
    <n v="0"/>
    <n v="-941.4"/>
    <n v="4002"/>
  </r>
  <r>
    <x v="0"/>
    <x v="9"/>
    <x v="5"/>
    <x v="252"/>
    <x v="217"/>
    <x v="217"/>
    <s v="REVENUS"/>
    <x v="2"/>
    <s v="4001.007"/>
    <s v="Acompte impôt sur revenu"/>
    <n v="0"/>
    <n v="-104"/>
    <n v="4001"/>
  </r>
  <r>
    <x v="0"/>
    <x v="9"/>
    <x v="5"/>
    <x v="252"/>
    <x v="217"/>
    <x v="217"/>
    <s v="REVENUS"/>
    <x v="2"/>
    <s v="4001.007"/>
    <s v="Acompte impôt sur revenu"/>
    <n v="0"/>
    <n v="-13"/>
    <n v="4001"/>
  </r>
  <r>
    <x v="0"/>
    <x v="9"/>
    <x v="5"/>
    <x v="252"/>
    <x v="217"/>
    <x v="217"/>
    <s v="REVENUS"/>
    <x v="3"/>
    <s v="4002.007"/>
    <s v="Acompte impôt sur fortune"/>
    <n v="0"/>
    <n v="-97.25"/>
    <n v="4002"/>
  </r>
  <r>
    <x v="0"/>
    <x v="9"/>
    <x v="5"/>
    <x v="252"/>
    <x v="217"/>
    <x v="217"/>
    <s v="REVENUS"/>
    <x v="6"/>
    <s v="4211.002"/>
    <s v="Intérêts de retard sur acomptes"/>
    <n v="0"/>
    <n v="2.41"/>
    <n v="4211"/>
  </r>
  <r>
    <x v="0"/>
    <x v="9"/>
    <x v="5"/>
    <x v="252"/>
    <x v="217"/>
    <x v="217"/>
    <s v="REVENUS"/>
    <x v="2"/>
    <s v="4001.001"/>
    <s v="Impôt revenu"/>
    <n v="0"/>
    <n v="1003.85"/>
    <n v="4001"/>
  </r>
  <r>
    <x v="0"/>
    <x v="9"/>
    <x v="5"/>
    <x v="252"/>
    <x v="217"/>
    <x v="217"/>
    <s v="REVENUS"/>
    <x v="3"/>
    <s v="4002.001"/>
    <s v="Impôt ordinaire s/fortune PP"/>
    <n v="0"/>
    <n v="504.5"/>
    <n v="4002"/>
  </r>
  <r>
    <x v="0"/>
    <x v="9"/>
    <x v="5"/>
    <x v="252"/>
    <x v="217"/>
    <x v="217"/>
    <s v="REVENUS"/>
    <x v="6"/>
    <s v="4221.003"/>
    <s v="Intérêts compensat. / acomptes en faveur du fisc"/>
    <n v="0"/>
    <n v="0.03"/>
    <n v="4221"/>
  </r>
  <r>
    <x v="0"/>
    <x v="9"/>
    <x v="5"/>
    <x v="252"/>
    <x v="217"/>
    <x v="217"/>
    <s v="REVENUS"/>
    <x v="2"/>
    <s v="4001.001"/>
    <s v="Impôt revenu"/>
    <n v="0"/>
    <n v="341.75"/>
    <n v="4001"/>
  </r>
  <r>
    <x v="0"/>
    <x v="9"/>
    <x v="5"/>
    <x v="252"/>
    <x v="217"/>
    <x v="217"/>
    <s v="REVENUS"/>
    <x v="3"/>
    <s v="4002.001"/>
    <s v="Impôt ordinaire s/fortune PP"/>
    <n v="0"/>
    <n v="96.5"/>
    <n v="4002"/>
  </r>
  <r>
    <x v="0"/>
    <x v="9"/>
    <x v="5"/>
    <x v="252"/>
    <x v="217"/>
    <x v="217"/>
    <s v="REVENUS"/>
    <x v="5"/>
    <s v="4061.000"/>
    <s v="Impôt sur les chiens"/>
    <n v="0"/>
    <n v="2450"/>
    <n v="4061"/>
  </r>
  <r>
    <x v="0"/>
    <x v="9"/>
    <x v="5"/>
    <x v="252"/>
    <x v="217"/>
    <x v="217"/>
    <s v="REVENUS"/>
    <x v="2"/>
    <s v="4001.007"/>
    <s v="Acompte impôt sur revenu"/>
    <n v="0"/>
    <n v="-1626.75"/>
    <n v="4001"/>
  </r>
  <r>
    <x v="0"/>
    <x v="9"/>
    <x v="5"/>
    <x v="252"/>
    <x v="217"/>
    <x v="217"/>
    <s v="REVENUS"/>
    <x v="7"/>
    <s v="4184.000"/>
    <s v="Frais de poursuite"/>
    <n v="0"/>
    <n v="65.97"/>
    <n v="4184"/>
  </r>
  <r>
    <x v="0"/>
    <x v="9"/>
    <x v="5"/>
    <x v="252"/>
    <x v="217"/>
    <x v="217"/>
    <s v="REVENUS"/>
    <x v="11"/>
    <s v="4198.000"/>
    <s v="Contributions communales"/>
    <n v="0"/>
    <n v="37234.25"/>
    <n v="4198"/>
  </r>
  <r>
    <x v="0"/>
    <x v="9"/>
    <x v="5"/>
    <x v="252"/>
    <x v="217"/>
    <x v="217"/>
    <s v="REVENUS"/>
    <x v="2"/>
    <s v="4001.001"/>
    <s v="Impôt revenu"/>
    <n v="0"/>
    <n v="-41.15"/>
    <n v="4001"/>
  </r>
  <r>
    <x v="0"/>
    <x v="9"/>
    <x v="5"/>
    <x v="252"/>
    <x v="217"/>
    <x v="217"/>
    <s v="REVENUS"/>
    <x v="6"/>
    <s v="4211.001"/>
    <s v="Intérêts de retard sur factures"/>
    <n v="0"/>
    <n v="-0.27"/>
    <n v="4211"/>
  </r>
  <r>
    <x v="0"/>
    <x v="9"/>
    <x v="5"/>
    <x v="252"/>
    <x v="217"/>
    <x v="217"/>
    <s v="REVENUS"/>
    <x v="6"/>
    <s v="4211.002"/>
    <s v="Intérêts de retard sur acomptes"/>
    <n v="0"/>
    <n v="-0.09"/>
    <n v="4211"/>
  </r>
  <r>
    <x v="0"/>
    <x v="9"/>
    <x v="5"/>
    <x v="252"/>
    <x v="217"/>
    <x v="217"/>
    <s v="REVENUS"/>
    <x v="6"/>
    <s v="4221.003"/>
    <s v="Intérêts compensat. / acomptes en faveur du fisc"/>
    <n v="0"/>
    <n v="-0.36"/>
    <n v="4221"/>
  </r>
  <r>
    <x v="0"/>
    <x v="9"/>
    <x v="5"/>
    <x v="252"/>
    <x v="217"/>
    <x v="217"/>
    <s v="REVENUS"/>
    <x v="6"/>
    <s v="4221.003"/>
    <s v="Intérêts compensat. / acomptes en faveur du fisc"/>
    <n v="0"/>
    <n v="0.02"/>
    <n v="4221"/>
  </r>
  <r>
    <x v="0"/>
    <x v="9"/>
    <x v="5"/>
    <x v="252"/>
    <x v="217"/>
    <x v="217"/>
    <s v="REVENUS"/>
    <x v="8"/>
    <s v="4091.001"/>
    <s v="Impôt récupéré après défalcations"/>
    <n v="0"/>
    <n v="355.56"/>
    <n v="4091"/>
  </r>
  <r>
    <x v="0"/>
    <x v="9"/>
    <x v="5"/>
    <x v="253"/>
    <x v="218"/>
    <x v="218"/>
    <s v="CHARGES"/>
    <x v="1"/>
    <s v="3301.001"/>
    <s v="Défalcations, abandons de solde PP et IS"/>
    <n v="9365.19"/>
    <n v="0"/>
    <n v="3301"/>
  </r>
  <r>
    <x v="0"/>
    <x v="9"/>
    <x v="5"/>
    <x v="253"/>
    <x v="218"/>
    <x v="218"/>
    <s v="CHARGES"/>
    <x v="0"/>
    <s v="3212.004"/>
    <s v="Intérêts rémun./perçu trop tôt sur acomptes C/C"/>
    <n v="245.27"/>
    <n v="0"/>
    <n v="3212"/>
  </r>
  <r>
    <x v="0"/>
    <x v="9"/>
    <x v="5"/>
    <x v="253"/>
    <x v="218"/>
    <x v="218"/>
    <s v="CHARGES"/>
    <x v="0"/>
    <s v="3221.002"/>
    <s v="Intérêts compensatoires / créances en faveur ctb."/>
    <n v="193.39"/>
    <n v="0"/>
    <n v="3221"/>
  </r>
  <r>
    <x v="0"/>
    <x v="9"/>
    <x v="5"/>
    <x v="253"/>
    <x v="218"/>
    <x v="218"/>
    <s v="CHARGES"/>
    <x v="0"/>
    <s v="3212.002"/>
    <s v="Intérêts bonifiés/trop perçu acompte C/C"/>
    <n v="307.52999999999997"/>
    <n v="0"/>
    <n v="3212"/>
  </r>
  <r>
    <x v="0"/>
    <x v="9"/>
    <x v="5"/>
    <x v="253"/>
    <x v="218"/>
    <x v="218"/>
    <s v="CHARGES"/>
    <x v="0"/>
    <s v="3212.004"/>
    <s v="Intérêts rémun./perçu trop tôt sur acomptes C/C"/>
    <n v="0.28999999999999998"/>
    <n v="0"/>
    <n v="3212"/>
  </r>
  <r>
    <x v="0"/>
    <x v="9"/>
    <x v="5"/>
    <x v="253"/>
    <x v="218"/>
    <x v="218"/>
    <s v="CHARGES"/>
    <x v="0"/>
    <s v="3221.002"/>
    <s v="Intérêts compensatoires / créances en faveur ctb."/>
    <n v="0.54"/>
    <n v="0"/>
    <n v="3221"/>
  </r>
  <r>
    <x v="0"/>
    <x v="9"/>
    <x v="5"/>
    <x v="253"/>
    <x v="218"/>
    <x v="218"/>
    <s v="CHARGES"/>
    <x v="1"/>
    <s v="3301.001"/>
    <s v="Défalcations, abandons de solde PP et IS"/>
    <n v="0.08"/>
    <n v="0"/>
    <n v="3301"/>
  </r>
  <r>
    <x v="0"/>
    <x v="9"/>
    <x v="5"/>
    <x v="253"/>
    <x v="218"/>
    <x v="218"/>
    <s v="CHARGES"/>
    <x v="0"/>
    <s v="3212.004"/>
    <s v="Intérêts rémun./perçu trop tôt sur acomptes C/C"/>
    <n v="0.05"/>
    <n v="0"/>
    <n v="3212"/>
  </r>
  <r>
    <x v="0"/>
    <x v="9"/>
    <x v="5"/>
    <x v="253"/>
    <x v="218"/>
    <x v="218"/>
    <s v="CHARGES"/>
    <x v="0"/>
    <s v="3212.004"/>
    <s v="Intérêts rémun./perçu trop tôt sur acomptes C/C"/>
    <n v="5.34"/>
    <n v="0"/>
    <n v="3212"/>
  </r>
  <r>
    <x v="0"/>
    <x v="9"/>
    <x v="5"/>
    <x v="253"/>
    <x v="218"/>
    <x v="218"/>
    <s v="CHARGES"/>
    <x v="0"/>
    <s v="3221.002"/>
    <s v="Intérêts compensatoires / créances en faveur ctb."/>
    <n v="0.6"/>
    <n v="0"/>
    <n v="3221"/>
  </r>
  <r>
    <x v="0"/>
    <x v="9"/>
    <x v="5"/>
    <x v="253"/>
    <x v="218"/>
    <x v="218"/>
    <s v="CHARGES"/>
    <x v="0"/>
    <s v="3212.004"/>
    <s v="Intérêts rémun./perçu trop tôt sur acomptes C/C"/>
    <n v="20.329999999999998"/>
    <n v="0"/>
    <n v="3212"/>
  </r>
  <r>
    <x v="0"/>
    <x v="9"/>
    <x v="5"/>
    <x v="253"/>
    <x v="218"/>
    <x v="218"/>
    <s v="CHARGES"/>
    <x v="0"/>
    <s v="3221.002"/>
    <s v="Intérêts compensatoires / créances en faveur ctb."/>
    <n v="7.0000000000000007E-2"/>
    <n v="0"/>
    <n v="3221"/>
  </r>
  <r>
    <x v="0"/>
    <x v="9"/>
    <x v="5"/>
    <x v="253"/>
    <x v="218"/>
    <x v="218"/>
    <s v="CHARGES"/>
    <x v="0"/>
    <s v="3212.004"/>
    <s v="Intérêts rémun./perçu trop tôt sur acomptes C/C"/>
    <n v="0.16"/>
    <n v="0"/>
    <n v="3212"/>
  </r>
  <r>
    <x v="0"/>
    <x v="9"/>
    <x v="5"/>
    <x v="253"/>
    <x v="218"/>
    <x v="218"/>
    <s v="REVENUS"/>
    <x v="2"/>
    <s v="4001.007"/>
    <s v="Acompte impôt sur revenu"/>
    <n v="0"/>
    <n v="-342073.93"/>
    <n v="4001"/>
  </r>
  <r>
    <x v="0"/>
    <x v="9"/>
    <x v="5"/>
    <x v="253"/>
    <x v="218"/>
    <x v="218"/>
    <s v="REVENUS"/>
    <x v="6"/>
    <s v="4211.001"/>
    <s v="Intérêts de retard sur factures"/>
    <n v="0"/>
    <n v="3611.55"/>
    <n v="4211"/>
  </r>
  <r>
    <x v="0"/>
    <x v="9"/>
    <x v="5"/>
    <x v="253"/>
    <x v="218"/>
    <x v="218"/>
    <s v="REVENUS"/>
    <x v="2"/>
    <s v="4001.001"/>
    <s v="Impôt revenu"/>
    <n v="0"/>
    <n v="1124542.5"/>
    <n v="4001"/>
  </r>
  <r>
    <x v="0"/>
    <x v="9"/>
    <x v="5"/>
    <x v="253"/>
    <x v="218"/>
    <x v="218"/>
    <s v="REVENUS"/>
    <x v="2"/>
    <s v="4001.003"/>
    <s v="Impôt s/prest. cap. PP"/>
    <n v="0"/>
    <n v="19889.55"/>
    <n v="4001"/>
  </r>
  <r>
    <x v="0"/>
    <x v="9"/>
    <x v="5"/>
    <x v="253"/>
    <x v="218"/>
    <x v="218"/>
    <s v="REVENUS"/>
    <x v="7"/>
    <s v="4184.000"/>
    <s v="Frais de poursuite"/>
    <n v="0"/>
    <n v="1413.52"/>
    <n v="4184"/>
  </r>
  <r>
    <x v="0"/>
    <x v="9"/>
    <x v="5"/>
    <x v="253"/>
    <x v="218"/>
    <x v="218"/>
    <s v="REVENUS"/>
    <x v="6"/>
    <s v="4221.002"/>
    <s v="Intérêts compensat. sur impôts distincts"/>
    <n v="0"/>
    <n v="11.82"/>
    <n v="4221"/>
  </r>
  <r>
    <x v="0"/>
    <x v="9"/>
    <x v="5"/>
    <x v="253"/>
    <x v="218"/>
    <x v="218"/>
    <s v="REVENUS"/>
    <x v="6"/>
    <s v="4221.003"/>
    <s v="Intérêts compensat. / acomptes en faveur du fisc"/>
    <n v="0"/>
    <n v="-101.95"/>
    <n v="4221"/>
  </r>
  <r>
    <x v="0"/>
    <x v="9"/>
    <x v="5"/>
    <x v="253"/>
    <x v="218"/>
    <x v="218"/>
    <s v="REVENUS"/>
    <x v="3"/>
    <s v="4002.001"/>
    <s v="Impôt ordinaire s/fortune PP"/>
    <n v="0"/>
    <n v="158269.45000000001"/>
    <n v="4002"/>
  </r>
  <r>
    <x v="0"/>
    <x v="9"/>
    <x v="5"/>
    <x v="253"/>
    <x v="218"/>
    <x v="218"/>
    <s v="REVENUS"/>
    <x v="3"/>
    <s v="4002.007"/>
    <s v="Acompte impôt sur fortune"/>
    <n v="0"/>
    <n v="-8769.82"/>
    <n v="4002"/>
  </r>
  <r>
    <x v="0"/>
    <x v="9"/>
    <x v="5"/>
    <x v="253"/>
    <x v="218"/>
    <x v="218"/>
    <s v="REVENUS"/>
    <x v="6"/>
    <s v="4211.002"/>
    <s v="Intérêts de retard sur acomptes"/>
    <n v="0"/>
    <n v="8674.01"/>
    <n v="4211"/>
  </r>
  <r>
    <x v="0"/>
    <x v="9"/>
    <x v="5"/>
    <x v="253"/>
    <x v="218"/>
    <x v="218"/>
    <s v="REVENUS"/>
    <x v="2"/>
    <s v="4001.007"/>
    <s v="Acompte impôt sur revenu"/>
    <n v="0"/>
    <n v="2333.75"/>
    <n v="4001"/>
  </r>
  <r>
    <x v="0"/>
    <x v="9"/>
    <x v="5"/>
    <x v="253"/>
    <x v="218"/>
    <x v="218"/>
    <s v="REVENUS"/>
    <x v="3"/>
    <s v="4002.007"/>
    <s v="Acompte impôt sur fortune"/>
    <n v="0"/>
    <n v="648.54999999999995"/>
    <n v="4002"/>
  </r>
  <r>
    <x v="0"/>
    <x v="9"/>
    <x v="5"/>
    <x v="253"/>
    <x v="218"/>
    <x v="218"/>
    <s v="REVENUS"/>
    <x v="10"/>
    <s v="4041.001"/>
    <s v="Droits de mutation"/>
    <n v="0"/>
    <n v="37647.5"/>
    <n v="4041"/>
  </r>
  <r>
    <x v="0"/>
    <x v="9"/>
    <x v="5"/>
    <x v="253"/>
    <x v="218"/>
    <x v="218"/>
    <s v="REVENUS"/>
    <x v="9"/>
    <s v="4031.001"/>
    <s v="Impôt sur les gains immobiliers"/>
    <n v="0"/>
    <n v="49479.25"/>
    <n v="4031"/>
  </r>
  <r>
    <x v="0"/>
    <x v="9"/>
    <x v="5"/>
    <x v="253"/>
    <x v="218"/>
    <x v="218"/>
    <s v="REVENUS"/>
    <x v="2"/>
    <s v="4001.002"/>
    <s v="Impôt complément s/revenu PP"/>
    <n v="0"/>
    <n v="123962.35"/>
    <n v="4001"/>
  </r>
  <r>
    <x v="0"/>
    <x v="9"/>
    <x v="5"/>
    <x v="253"/>
    <x v="218"/>
    <x v="218"/>
    <s v="REVENUS"/>
    <x v="3"/>
    <s v="4002.002"/>
    <s v="Impôt complémentaire s/fortune PP"/>
    <n v="0"/>
    <n v="28414.400000000001"/>
    <n v="4002"/>
  </r>
  <r>
    <x v="0"/>
    <x v="9"/>
    <x v="5"/>
    <x v="253"/>
    <x v="218"/>
    <x v="218"/>
    <s v="REVENUS"/>
    <x v="3"/>
    <s v="4002.007"/>
    <s v="Acompte impôt sur fortune"/>
    <n v="0"/>
    <n v="12.6"/>
    <n v="4002"/>
  </r>
  <r>
    <x v="0"/>
    <x v="9"/>
    <x v="5"/>
    <x v="253"/>
    <x v="218"/>
    <x v="218"/>
    <s v="REVENUS"/>
    <x v="5"/>
    <s v="4061.000"/>
    <s v="Impôt sur les chiens"/>
    <n v="0"/>
    <n v="2850"/>
    <n v="4061"/>
  </r>
  <r>
    <x v="0"/>
    <x v="9"/>
    <x v="5"/>
    <x v="253"/>
    <x v="218"/>
    <x v="218"/>
    <s v="REVENUS"/>
    <x v="2"/>
    <s v="4001.007"/>
    <s v="Acompte impôt sur revenu"/>
    <n v="0"/>
    <n v="-662.35"/>
    <n v="4001"/>
  </r>
  <r>
    <x v="0"/>
    <x v="9"/>
    <x v="5"/>
    <x v="253"/>
    <x v="218"/>
    <x v="218"/>
    <s v="REVENUS"/>
    <x v="2"/>
    <s v="4001.001"/>
    <s v="Impôt revenu"/>
    <n v="0"/>
    <n v="-64190.55"/>
    <n v="4001"/>
  </r>
  <r>
    <x v="0"/>
    <x v="9"/>
    <x v="5"/>
    <x v="253"/>
    <x v="218"/>
    <x v="218"/>
    <s v="REVENUS"/>
    <x v="3"/>
    <s v="4002.001"/>
    <s v="Impôt ordinaire s/fortune PP"/>
    <n v="0"/>
    <n v="-1611.35"/>
    <n v="4002"/>
  </r>
  <r>
    <x v="0"/>
    <x v="9"/>
    <x v="5"/>
    <x v="253"/>
    <x v="218"/>
    <x v="218"/>
    <s v="REVENUS"/>
    <x v="2"/>
    <s v="4001.007"/>
    <s v="Acompte impôt sur revenu"/>
    <n v="0"/>
    <n v="-506"/>
    <n v="4001"/>
  </r>
  <r>
    <x v="0"/>
    <x v="9"/>
    <x v="5"/>
    <x v="253"/>
    <x v="218"/>
    <x v="218"/>
    <s v="REVENUS"/>
    <x v="3"/>
    <s v="4002.007"/>
    <s v="Acompte impôt sur fortune"/>
    <n v="0"/>
    <n v="-696.5"/>
    <n v="4002"/>
  </r>
  <r>
    <x v="0"/>
    <x v="9"/>
    <x v="5"/>
    <x v="253"/>
    <x v="218"/>
    <x v="218"/>
    <s v="REVENUS"/>
    <x v="2"/>
    <s v="4001.001"/>
    <s v="Impôt revenu"/>
    <n v="0"/>
    <n v="3257.9"/>
    <n v="4001"/>
  </r>
  <r>
    <x v="0"/>
    <x v="9"/>
    <x v="5"/>
    <x v="253"/>
    <x v="218"/>
    <x v="218"/>
    <s v="REVENUS"/>
    <x v="3"/>
    <s v="4002.001"/>
    <s v="Impôt ordinaire s/fortune PP"/>
    <n v="0"/>
    <n v="1764.5"/>
    <n v="4002"/>
  </r>
  <r>
    <x v="0"/>
    <x v="9"/>
    <x v="5"/>
    <x v="253"/>
    <x v="218"/>
    <x v="218"/>
    <s v="REVENUS"/>
    <x v="6"/>
    <s v="4211.001"/>
    <s v="Intérêts de retard sur factures"/>
    <n v="0"/>
    <n v="0.28000000000000003"/>
    <n v="4211"/>
  </r>
  <r>
    <x v="0"/>
    <x v="9"/>
    <x v="5"/>
    <x v="253"/>
    <x v="218"/>
    <x v="218"/>
    <s v="REVENUS"/>
    <x v="6"/>
    <s v="4221.003"/>
    <s v="Intérêts compensat. / acomptes en faveur du fisc"/>
    <n v="0"/>
    <n v="0.08"/>
    <n v="4221"/>
  </r>
  <r>
    <x v="0"/>
    <x v="9"/>
    <x v="5"/>
    <x v="253"/>
    <x v="218"/>
    <x v="218"/>
    <s v="REVENUS"/>
    <x v="10"/>
    <s v="4041.002"/>
    <s v="Complément droit de mutation"/>
    <n v="0"/>
    <n v="797.5"/>
    <n v="4041"/>
  </r>
  <r>
    <x v="0"/>
    <x v="9"/>
    <x v="5"/>
    <x v="253"/>
    <x v="218"/>
    <x v="218"/>
    <s v="REVENUS"/>
    <x v="2"/>
    <s v="4001.001"/>
    <s v="Impôt revenu"/>
    <n v="0"/>
    <n v="76.599999999999994"/>
    <n v="4001"/>
  </r>
  <r>
    <x v="0"/>
    <x v="9"/>
    <x v="5"/>
    <x v="253"/>
    <x v="218"/>
    <x v="218"/>
    <s v="REVENUS"/>
    <x v="2"/>
    <s v="4001.001"/>
    <s v="Impôt revenu"/>
    <n v="0"/>
    <n v="2120.6999999999998"/>
    <n v="4001"/>
  </r>
  <r>
    <x v="0"/>
    <x v="9"/>
    <x v="5"/>
    <x v="253"/>
    <x v="218"/>
    <x v="218"/>
    <s v="REVENUS"/>
    <x v="3"/>
    <s v="4002.001"/>
    <s v="Impôt ordinaire s/fortune PP"/>
    <n v="0"/>
    <n v="4866.3"/>
    <n v="4002"/>
  </r>
  <r>
    <x v="0"/>
    <x v="9"/>
    <x v="5"/>
    <x v="253"/>
    <x v="218"/>
    <x v="218"/>
    <s v="REVENUS"/>
    <x v="3"/>
    <s v="4002.007"/>
    <s v="Acompte impôt sur fortune"/>
    <n v="0"/>
    <n v="-3298.35"/>
    <n v="4002"/>
  </r>
  <r>
    <x v="0"/>
    <x v="9"/>
    <x v="5"/>
    <x v="253"/>
    <x v="218"/>
    <x v="218"/>
    <s v="REVENUS"/>
    <x v="3"/>
    <s v="4002.001"/>
    <s v="Impôt ordinaire s/fortune PP"/>
    <n v="0"/>
    <n v="0"/>
    <n v="4002"/>
  </r>
  <r>
    <x v="0"/>
    <x v="9"/>
    <x v="5"/>
    <x v="253"/>
    <x v="218"/>
    <x v="218"/>
    <s v="REVENUS"/>
    <x v="2"/>
    <s v="4001.001"/>
    <s v="Impôt revenu"/>
    <n v="0"/>
    <n v="0"/>
    <n v="4001"/>
  </r>
  <r>
    <x v="0"/>
    <x v="9"/>
    <x v="5"/>
    <x v="253"/>
    <x v="218"/>
    <x v="218"/>
    <s v="REVENUS"/>
    <x v="2"/>
    <s v="4001.002"/>
    <s v="Impôt complément s/revenu PP"/>
    <n v="0"/>
    <n v="766.75"/>
    <n v="4001"/>
  </r>
  <r>
    <x v="0"/>
    <x v="9"/>
    <x v="5"/>
    <x v="253"/>
    <x v="218"/>
    <x v="218"/>
    <s v="REVENUS"/>
    <x v="3"/>
    <s v="4002.002"/>
    <s v="Impôt complémentaire s/fortune PP"/>
    <n v="0"/>
    <n v="4706.1499999999996"/>
    <n v="4002"/>
  </r>
  <r>
    <x v="0"/>
    <x v="9"/>
    <x v="5"/>
    <x v="253"/>
    <x v="218"/>
    <x v="218"/>
    <s v="REVENUS"/>
    <x v="2"/>
    <s v="4001.007"/>
    <s v="Acompte impôt sur revenu"/>
    <n v="0"/>
    <n v="-12292.9"/>
    <n v="4001"/>
  </r>
  <r>
    <x v="0"/>
    <x v="9"/>
    <x v="5"/>
    <x v="253"/>
    <x v="218"/>
    <x v="218"/>
    <s v="REVENUS"/>
    <x v="3"/>
    <s v="4002.007"/>
    <s v="Acompte impôt sur fortune"/>
    <n v="0"/>
    <n v="-988.55"/>
    <n v="4002"/>
  </r>
  <r>
    <x v="0"/>
    <x v="9"/>
    <x v="5"/>
    <x v="253"/>
    <x v="218"/>
    <x v="218"/>
    <s v="REVENUS"/>
    <x v="3"/>
    <s v="4002.001"/>
    <s v="Impôt ordinaire s/fortune PP"/>
    <n v="0"/>
    <n v="62.75"/>
    <n v="4002"/>
  </r>
  <r>
    <x v="0"/>
    <x v="9"/>
    <x v="5"/>
    <x v="253"/>
    <x v="218"/>
    <x v="218"/>
    <s v="REVENUS"/>
    <x v="11"/>
    <s v="4198.000"/>
    <s v="Contributions communales"/>
    <n v="0"/>
    <n v="72166.100000000006"/>
    <n v="4198"/>
  </r>
  <r>
    <x v="0"/>
    <x v="9"/>
    <x v="5"/>
    <x v="253"/>
    <x v="218"/>
    <x v="218"/>
    <s v="REVENUS"/>
    <x v="6"/>
    <s v="4211.002"/>
    <s v="Intérêts de retard sur acomptes"/>
    <n v="0"/>
    <n v="11"/>
    <n v="4211"/>
  </r>
  <r>
    <x v="0"/>
    <x v="9"/>
    <x v="5"/>
    <x v="253"/>
    <x v="218"/>
    <x v="218"/>
    <s v="REVENUS"/>
    <x v="6"/>
    <s v="4211.001"/>
    <s v="Intérêts de retard sur factures"/>
    <n v="0"/>
    <n v="2.65"/>
    <n v="4211"/>
  </r>
  <r>
    <x v="0"/>
    <x v="9"/>
    <x v="5"/>
    <x v="253"/>
    <x v="218"/>
    <x v="218"/>
    <s v="REVENUS"/>
    <x v="6"/>
    <s v="4211.002"/>
    <s v="Intérêts de retard sur acomptes"/>
    <n v="0"/>
    <n v="1.03"/>
    <n v="4211"/>
  </r>
  <r>
    <x v="0"/>
    <x v="9"/>
    <x v="5"/>
    <x v="253"/>
    <x v="218"/>
    <x v="218"/>
    <s v="REVENUS"/>
    <x v="6"/>
    <s v="4221.003"/>
    <s v="Intérêts compensat. / acomptes en faveur du fisc"/>
    <n v="0"/>
    <n v="4.43"/>
    <n v="4221"/>
  </r>
  <r>
    <x v="0"/>
    <x v="9"/>
    <x v="5"/>
    <x v="253"/>
    <x v="218"/>
    <x v="218"/>
    <s v="REVENUS"/>
    <x v="3"/>
    <s v="4002.001"/>
    <s v="Impôt ordinaire s/fortune PP"/>
    <n v="0"/>
    <n v="34.25"/>
    <n v="4002"/>
  </r>
  <r>
    <x v="0"/>
    <x v="9"/>
    <x v="5"/>
    <x v="253"/>
    <x v="218"/>
    <x v="218"/>
    <s v="REVENUS"/>
    <x v="8"/>
    <s v="4091.001"/>
    <s v="Impôt récupéré après défalcations"/>
    <n v="0"/>
    <n v="2224.9499999999998"/>
    <n v="4091"/>
  </r>
  <r>
    <x v="0"/>
    <x v="9"/>
    <x v="5"/>
    <x v="254"/>
    <x v="219"/>
    <x v="219"/>
    <s v="CHARGES"/>
    <x v="0"/>
    <s v="3212.002"/>
    <s v="Intérêts bonifiés/trop perçu acompte C/C"/>
    <n v="-5.89"/>
    <n v="0"/>
    <n v="3212"/>
  </r>
  <r>
    <x v="0"/>
    <x v="9"/>
    <x v="5"/>
    <x v="254"/>
    <x v="219"/>
    <x v="219"/>
    <s v="CHARGES"/>
    <x v="0"/>
    <s v="3212.004"/>
    <s v="Intérêts rémun./perçu trop tôt sur acomptes C/C"/>
    <n v="59.76"/>
    <n v="0"/>
    <n v="3212"/>
  </r>
  <r>
    <x v="0"/>
    <x v="9"/>
    <x v="5"/>
    <x v="254"/>
    <x v="219"/>
    <x v="219"/>
    <s v="CHARGES"/>
    <x v="0"/>
    <s v="3221.002"/>
    <s v="Intérêts compensatoires / créances en faveur ctb."/>
    <n v="-3.84"/>
    <n v="0"/>
    <n v="3221"/>
  </r>
  <r>
    <x v="0"/>
    <x v="9"/>
    <x v="5"/>
    <x v="254"/>
    <x v="219"/>
    <x v="219"/>
    <s v="CHARGES"/>
    <x v="1"/>
    <s v="3301.001"/>
    <s v="Défalcations, abandons de solde PP et IS"/>
    <n v="7.22"/>
    <n v="0"/>
    <n v="3301"/>
  </r>
  <r>
    <x v="0"/>
    <x v="9"/>
    <x v="5"/>
    <x v="254"/>
    <x v="219"/>
    <x v="219"/>
    <s v="CHARGES"/>
    <x v="0"/>
    <s v="3212.002"/>
    <s v="Intérêts bonifiés/trop perçu acompte C/C"/>
    <n v="56.71"/>
    <n v="0"/>
    <n v="3212"/>
  </r>
  <r>
    <x v="0"/>
    <x v="9"/>
    <x v="5"/>
    <x v="254"/>
    <x v="219"/>
    <x v="219"/>
    <s v="CHARGES"/>
    <x v="0"/>
    <s v="3212.004"/>
    <s v="Intérêts rémun./perçu trop tôt sur acomptes C/C"/>
    <n v="2068.1799999999998"/>
    <n v="0"/>
    <n v="3212"/>
  </r>
  <r>
    <x v="0"/>
    <x v="9"/>
    <x v="5"/>
    <x v="254"/>
    <x v="219"/>
    <x v="219"/>
    <s v="CHARGES"/>
    <x v="0"/>
    <s v="3221.002"/>
    <s v="Intérêts compensatoires / créances en faveur ctb."/>
    <n v="977.49"/>
    <n v="0"/>
    <n v="3221"/>
  </r>
  <r>
    <x v="0"/>
    <x v="9"/>
    <x v="5"/>
    <x v="254"/>
    <x v="219"/>
    <x v="219"/>
    <s v="CHARGES"/>
    <x v="1"/>
    <s v="3301.001"/>
    <s v="Défalcations, abandons de solde PP et IS"/>
    <n v="184399.09"/>
    <n v="0"/>
    <n v="3301"/>
  </r>
  <r>
    <x v="0"/>
    <x v="9"/>
    <x v="5"/>
    <x v="254"/>
    <x v="219"/>
    <x v="219"/>
    <s v="CHARGES"/>
    <x v="0"/>
    <s v="3212.004"/>
    <s v="Intérêts rémun./perçu trop tôt sur acomptes C/C"/>
    <n v="62.11"/>
    <n v="0"/>
    <n v="3212"/>
  </r>
  <r>
    <x v="0"/>
    <x v="9"/>
    <x v="5"/>
    <x v="254"/>
    <x v="219"/>
    <x v="219"/>
    <s v="CHARGES"/>
    <x v="0"/>
    <s v="3221.002"/>
    <s v="Intérêts compensatoires / créances en faveur ctb."/>
    <n v="25.92"/>
    <n v="0"/>
    <n v="3221"/>
  </r>
  <r>
    <x v="0"/>
    <x v="9"/>
    <x v="5"/>
    <x v="254"/>
    <x v="219"/>
    <x v="219"/>
    <s v="CHARGES"/>
    <x v="0"/>
    <s v="3212.004"/>
    <s v="Intérêts rémun./perçu trop tôt sur acomptes C/C"/>
    <n v="11.16"/>
    <n v="0"/>
    <n v="3212"/>
  </r>
  <r>
    <x v="0"/>
    <x v="9"/>
    <x v="5"/>
    <x v="254"/>
    <x v="219"/>
    <x v="219"/>
    <s v="CHARGES"/>
    <x v="0"/>
    <s v="3221.002"/>
    <s v="Intérêts compensatoires / créances en faveur ctb."/>
    <n v="37.270000000000003"/>
    <n v="0"/>
    <n v="3221"/>
  </r>
  <r>
    <x v="0"/>
    <x v="9"/>
    <x v="5"/>
    <x v="254"/>
    <x v="219"/>
    <x v="219"/>
    <s v="CHARGES"/>
    <x v="0"/>
    <s v="3212.002"/>
    <s v="Intérêts bonifiés/trop perçu acompte C/C"/>
    <n v="0.09"/>
    <n v="0"/>
    <n v="3212"/>
  </r>
  <r>
    <x v="0"/>
    <x v="9"/>
    <x v="5"/>
    <x v="254"/>
    <x v="219"/>
    <x v="219"/>
    <s v="CHARGES"/>
    <x v="1"/>
    <s v="3301.001"/>
    <s v="Défalcations, abandons de solde PP et IS"/>
    <n v="9.61"/>
    <n v="0"/>
    <n v="3301"/>
  </r>
  <r>
    <x v="0"/>
    <x v="9"/>
    <x v="5"/>
    <x v="254"/>
    <x v="219"/>
    <x v="219"/>
    <s v="CHARGES"/>
    <x v="1"/>
    <s v="3301.001"/>
    <s v="Défalcations, abandons de solde PP et IS"/>
    <n v="2626.79"/>
    <n v="0"/>
    <n v="3301"/>
  </r>
  <r>
    <x v="0"/>
    <x v="9"/>
    <x v="5"/>
    <x v="254"/>
    <x v="219"/>
    <x v="219"/>
    <s v="CHARGES"/>
    <x v="0"/>
    <s v="3212.004"/>
    <s v="Intérêts rémun./perçu trop tôt sur acomptes C/C"/>
    <n v="0.18"/>
    <n v="0"/>
    <n v="3212"/>
  </r>
  <r>
    <x v="0"/>
    <x v="9"/>
    <x v="5"/>
    <x v="254"/>
    <x v="219"/>
    <x v="219"/>
    <s v="CHARGES"/>
    <x v="0"/>
    <s v="3221.002"/>
    <s v="Intérêts compensatoires / créances en faveur ctb."/>
    <n v="0.3"/>
    <n v="0"/>
    <n v="3221"/>
  </r>
  <r>
    <x v="0"/>
    <x v="9"/>
    <x v="5"/>
    <x v="254"/>
    <x v="219"/>
    <x v="219"/>
    <s v="CHARGES"/>
    <x v="0"/>
    <s v="3212.004"/>
    <s v="Intérêts rémun./perçu trop tôt sur acomptes C/C"/>
    <n v="16.579999999999998"/>
    <n v="0"/>
    <n v="3212"/>
  </r>
  <r>
    <x v="0"/>
    <x v="9"/>
    <x v="5"/>
    <x v="254"/>
    <x v="219"/>
    <x v="219"/>
    <s v="CHARGES"/>
    <x v="0"/>
    <s v="3221.002"/>
    <s v="Intérêts compensatoires / créances en faveur ctb."/>
    <n v="16.57"/>
    <n v="0"/>
    <n v="3221"/>
  </r>
  <r>
    <x v="0"/>
    <x v="9"/>
    <x v="5"/>
    <x v="254"/>
    <x v="219"/>
    <x v="219"/>
    <s v="CHARGES"/>
    <x v="1"/>
    <s v="3301.001"/>
    <s v="Défalcations, abandons de solde PP et IS"/>
    <n v="-4.72"/>
    <n v="0"/>
    <n v="3301"/>
  </r>
  <r>
    <x v="0"/>
    <x v="9"/>
    <x v="5"/>
    <x v="254"/>
    <x v="219"/>
    <x v="219"/>
    <s v="CHARGES"/>
    <x v="0"/>
    <s v="3221.002"/>
    <s v="Intérêts compensatoires / créances en faveur ctb."/>
    <n v="11.93"/>
    <n v="0"/>
    <n v="3221"/>
  </r>
  <r>
    <x v="0"/>
    <x v="9"/>
    <x v="5"/>
    <x v="254"/>
    <x v="219"/>
    <x v="219"/>
    <s v="CHARGES"/>
    <x v="0"/>
    <s v="3212.002"/>
    <s v="Intérêts bonifiés/trop perçu acompte C/C"/>
    <n v="3.83"/>
    <n v="0"/>
    <n v="3212"/>
  </r>
  <r>
    <x v="0"/>
    <x v="9"/>
    <x v="5"/>
    <x v="254"/>
    <x v="219"/>
    <x v="219"/>
    <s v="CHARGES"/>
    <x v="1"/>
    <s v="3301.001"/>
    <s v="Défalcations, abandons de solde PP et IS"/>
    <n v="23215.06"/>
    <n v="0"/>
    <n v="3301"/>
  </r>
  <r>
    <x v="0"/>
    <x v="9"/>
    <x v="5"/>
    <x v="254"/>
    <x v="219"/>
    <x v="219"/>
    <s v="CHARGES"/>
    <x v="0"/>
    <s v="3212.004"/>
    <s v="Intérêts rémun./perçu trop tôt sur acomptes C/C"/>
    <n v="0.43"/>
    <n v="0"/>
    <n v="3212"/>
  </r>
  <r>
    <x v="0"/>
    <x v="9"/>
    <x v="5"/>
    <x v="254"/>
    <x v="219"/>
    <x v="219"/>
    <s v="CHARGES"/>
    <x v="0"/>
    <s v="3221.002"/>
    <s v="Intérêts compensatoires / créances en faveur ctb."/>
    <n v="0.86"/>
    <n v="0"/>
    <n v="3221"/>
  </r>
  <r>
    <x v="0"/>
    <x v="9"/>
    <x v="5"/>
    <x v="254"/>
    <x v="219"/>
    <x v="219"/>
    <s v="CHARGES"/>
    <x v="1"/>
    <s v="3301.001"/>
    <s v="Défalcations, abandons de solde PP et IS"/>
    <n v="0.15"/>
    <n v="0"/>
    <n v="3301"/>
  </r>
  <r>
    <x v="0"/>
    <x v="9"/>
    <x v="5"/>
    <x v="254"/>
    <x v="219"/>
    <x v="219"/>
    <s v="CHARGES"/>
    <x v="0"/>
    <s v="3212.004"/>
    <s v="Intérêts rémun./perçu trop tôt sur acomptes C/C"/>
    <n v="12.46"/>
    <n v="0"/>
    <n v="3212"/>
  </r>
  <r>
    <x v="0"/>
    <x v="9"/>
    <x v="5"/>
    <x v="254"/>
    <x v="219"/>
    <x v="219"/>
    <s v="CHARGES"/>
    <x v="0"/>
    <s v="3212.004"/>
    <s v="Intérêts rémun./perçu trop tôt sur acomptes C/C"/>
    <n v="-0.12"/>
    <n v="0"/>
    <n v="3212"/>
  </r>
  <r>
    <x v="0"/>
    <x v="9"/>
    <x v="5"/>
    <x v="254"/>
    <x v="219"/>
    <x v="219"/>
    <s v="CHARGES"/>
    <x v="0"/>
    <s v="3221.002"/>
    <s v="Intérêts compensatoires / créances en faveur ctb."/>
    <n v="-0.02"/>
    <n v="0"/>
    <n v="3221"/>
  </r>
  <r>
    <x v="0"/>
    <x v="9"/>
    <x v="5"/>
    <x v="254"/>
    <x v="219"/>
    <x v="219"/>
    <s v="CHARGES"/>
    <x v="0"/>
    <s v="3212.004"/>
    <s v="Intérêts rémun./perçu trop tôt sur acomptes C/C"/>
    <n v="4.54"/>
    <n v="0"/>
    <n v="3212"/>
  </r>
  <r>
    <x v="0"/>
    <x v="9"/>
    <x v="5"/>
    <x v="254"/>
    <x v="219"/>
    <x v="219"/>
    <s v="CHARGES"/>
    <x v="0"/>
    <s v="3221.002"/>
    <s v="Intérêts compensatoires / créances en faveur ctb."/>
    <n v="4.32"/>
    <n v="0"/>
    <n v="3221"/>
  </r>
  <r>
    <x v="0"/>
    <x v="9"/>
    <x v="5"/>
    <x v="254"/>
    <x v="219"/>
    <x v="219"/>
    <s v="CHARGES"/>
    <x v="1"/>
    <s v="3301.001"/>
    <s v="Défalcations, abandons de solde PP et IS"/>
    <n v="0.16"/>
    <n v="0"/>
    <n v="3301"/>
  </r>
  <r>
    <x v="0"/>
    <x v="9"/>
    <x v="5"/>
    <x v="254"/>
    <x v="219"/>
    <x v="219"/>
    <s v="CHARGES"/>
    <x v="1"/>
    <s v="3301.001"/>
    <s v="Défalcations, abandons de solde PP et IS"/>
    <n v="0.01"/>
    <n v="0"/>
    <n v="3301"/>
  </r>
  <r>
    <x v="0"/>
    <x v="9"/>
    <x v="5"/>
    <x v="254"/>
    <x v="219"/>
    <x v="219"/>
    <s v="CHARGES"/>
    <x v="1"/>
    <s v="3301.001"/>
    <s v="Défalcations, abandons de solde PP et IS"/>
    <n v="0.12"/>
    <n v="0"/>
    <n v="3301"/>
  </r>
  <r>
    <x v="0"/>
    <x v="9"/>
    <x v="5"/>
    <x v="254"/>
    <x v="219"/>
    <x v="219"/>
    <s v="CHARGES"/>
    <x v="1"/>
    <s v="3301.001"/>
    <s v="Défalcations, abandons de solde PP et IS"/>
    <n v="-3.85"/>
    <n v="0"/>
    <n v="3301"/>
  </r>
  <r>
    <x v="0"/>
    <x v="9"/>
    <x v="5"/>
    <x v="254"/>
    <x v="219"/>
    <x v="219"/>
    <s v="CHARGES"/>
    <x v="0"/>
    <s v="3212.004"/>
    <s v="Intérêts rémun./perçu trop tôt sur acomptes C/C"/>
    <n v="-13.51"/>
    <n v="0"/>
    <n v="3212"/>
  </r>
  <r>
    <x v="0"/>
    <x v="9"/>
    <x v="5"/>
    <x v="254"/>
    <x v="219"/>
    <x v="219"/>
    <s v="REVENUS"/>
    <x v="2"/>
    <s v="4001.001"/>
    <s v="Impôt revenu"/>
    <n v="0"/>
    <n v="94678.15"/>
    <n v="4001"/>
  </r>
  <r>
    <x v="0"/>
    <x v="9"/>
    <x v="5"/>
    <x v="254"/>
    <x v="219"/>
    <x v="219"/>
    <s v="REVENUS"/>
    <x v="6"/>
    <s v="4211.002"/>
    <s v="Intérêts de retard sur acomptes"/>
    <n v="0"/>
    <n v="1004.57"/>
    <n v="4211"/>
  </r>
  <r>
    <x v="0"/>
    <x v="9"/>
    <x v="5"/>
    <x v="254"/>
    <x v="219"/>
    <x v="219"/>
    <s v="REVENUS"/>
    <x v="6"/>
    <s v="4221.003"/>
    <s v="Intérêts compensat. / acomptes en faveur du fisc"/>
    <n v="0"/>
    <n v="39.25"/>
    <n v="4221"/>
  </r>
  <r>
    <x v="0"/>
    <x v="9"/>
    <x v="5"/>
    <x v="254"/>
    <x v="219"/>
    <x v="219"/>
    <s v="REVENUS"/>
    <x v="3"/>
    <s v="4002.001"/>
    <s v="Impôt ordinaire s/fortune PP"/>
    <n v="0"/>
    <n v="32128.6"/>
    <n v="4002"/>
  </r>
  <r>
    <x v="0"/>
    <x v="9"/>
    <x v="5"/>
    <x v="254"/>
    <x v="219"/>
    <x v="219"/>
    <s v="REVENUS"/>
    <x v="3"/>
    <s v="4002.002"/>
    <s v="Impôt complémentaire s/fortune PP"/>
    <n v="0"/>
    <n v="13018.3"/>
    <n v="4002"/>
  </r>
  <r>
    <x v="0"/>
    <x v="9"/>
    <x v="5"/>
    <x v="254"/>
    <x v="219"/>
    <x v="219"/>
    <s v="REVENUS"/>
    <x v="3"/>
    <s v="4002.007"/>
    <s v="Acompte impôt sur fortune"/>
    <n v="0"/>
    <n v="12991.88"/>
    <n v="4002"/>
  </r>
  <r>
    <x v="0"/>
    <x v="9"/>
    <x v="5"/>
    <x v="254"/>
    <x v="219"/>
    <x v="219"/>
    <s v="REVENUS"/>
    <x v="6"/>
    <s v="4211.002"/>
    <s v="Intérêts de retard sur acomptes"/>
    <n v="0"/>
    <n v="664.29"/>
    <n v="4211"/>
  </r>
  <r>
    <x v="0"/>
    <x v="9"/>
    <x v="5"/>
    <x v="254"/>
    <x v="219"/>
    <x v="219"/>
    <s v="REVENUS"/>
    <x v="6"/>
    <s v="4221.003"/>
    <s v="Intérêts compensat. / acomptes en faveur du fisc"/>
    <n v="0"/>
    <n v="34.94"/>
    <n v="4221"/>
  </r>
  <r>
    <x v="0"/>
    <x v="9"/>
    <x v="5"/>
    <x v="254"/>
    <x v="219"/>
    <x v="219"/>
    <s v="REVENUS"/>
    <x v="2"/>
    <s v="4001.001"/>
    <s v="Impôt revenu"/>
    <n v="0"/>
    <n v="11327283.550000001"/>
    <n v="4001"/>
  </r>
  <r>
    <x v="0"/>
    <x v="9"/>
    <x v="5"/>
    <x v="254"/>
    <x v="219"/>
    <x v="219"/>
    <s v="REVENUS"/>
    <x v="2"/>
    <s v="4001.003"/>
    <s v="Impôt s/prest. cap. PP"/>
    <n v="0"/>
    <n v="306666.5"/>
    <n v="4001"/>
  </r>
  <r>
    <x v="0"/>
    <x v="9"/>
    <x v="5"/>
    <x v="254"/>
    <x v="219"/>
    <x v="219"/>
    <s v="REVENUS"/>
    <x v="2"/>
    <s v="4001.007"/>
    <s v="Acompte impôt sur revenu"/>
    <n v="0"/>
    <n v="-2030185.6"/>
    <n v="4001"/>
  </r>
  <r>
    <x v="0"/>
    <x v="9"/>
    <x v="5"/>
    <x v="254"/>
    <x v="219"/>
    <x v="219"/>
    <s v="REVENUS"/>
    <x v="3"/>
    <s v="4002.001"/>
    <s v="Impôt ordinaire s/fortune PP"/>
    <n v="0"/>
    <n v="1007327.75"/>
    <n v="4002"/>
  </r>
  <r>
    <x v="0"/>
    <x v="9"/>
    <x v="5"/>
    <x v="254"/>
    <x v="219"/>
    <x v="219"/>
    <s v="REVENUS"/>
    <x v="3"/>
    <s v="4002.007"/>
    <s v="Acompte impôt sur fortune"/>
    <n v="0"/>
    <n v="-217363.45"/>
    <n v="4002"/>
  </r>
  <r>
    <x v="0"/>
    <x v="9"/>
    <x v="5"/>
    <x v="254"/>
    <x v="219"/>
    <x v="219"/>
    <s v="REVENUS"/>
    <x v="10"/>
    <s v="4041.001"/>
    <s v="Droits de mutation"/>
    <n v="0"/>
    <n v="319512.5"/>
    <n v="4041"/>
  </r>
  <r>
    <x v="0"/>
    <x v="9"/>
    <x v="5"/>
    <x v="254"/>
    <x v="219"/>
    <x v="219"/>
    <s v="REVENUS"/>
    <x v="6"/>
    <s v="4211.001"/>
    <s v="Intérêts de retard sur factures"/>
    <n v="0"/>
    <n v="50731.31"/>
    <n v="4211"/>
  </r>
  <r>
    <x v="0"/>
    <x v="9"/>
    <x v="5"/>
    <x v="254"/>
    <x v="219"/>
    <x v="219"/>
    <s v="REVENUS"/>
    <x v="6"/>
    <s v="4211.002"/>
    <s v="Intérêts de retard sur acomptes"/>
    <n v="0"/>
    <n v="76460.28"/>
    <n v="4211"/>
  </r>
  <r>
    <x v="0"/>
    <x v="9"/>
    <x v="5"/>
    <x v="254"/>
    <x v="219"/>
    <x v="219"/>
    <s v="REVENUS"/>
    <x v="6"/>
    <s v="4221.002"/>
    <s v="Intérêts compensat. sur impôts distincts"/>
    <n v="0"/>
    <n v="199.35"/>
    <n v="4221"/>
  </r>
  <r>
    <x v="0"/>
    <x v="9"/>
    <x v="5"/>
    <x v="254"/>
    <x v="219"/>
    <x v="219"/>
    <s v="REVENUS"/>
    <x v="6"/>
    <s v="4221.003"/>
    <s v="Intérêts compensat. / acomptes en faveur du fisc"/>
    <n v="0"/>
    <n v="1535.33"/>
    <n v="4221"/>
  </r>
  <r>
    <x v="0"/>
    <x v="9"/>
    <x v="5"/>
    <x v="254"/>
    <x v="219"/>
    <x v="219"/>
    <s v="REVENUS"/>
    <x v="2"/>
    <s v="4001.007"/>
    <s v="Acompte impôt sur revenu"/>
    <n v="0"/>
    <n v="-42513.89"/>
    <n v="4001"/>
  </r>
  <r>
    <x v="0"/>
    <x v="9"/>
    <x v="5"/>
    <x v="254"/>
    <x v="219"/>
    <x v="219"/>
    <s v="REVENUS"/>
    <x v="3"/>
    <s v="4002.007"/>
    <s v="Acompte impôt sur fortune"/>
    <n v="0"/>
    <n v="-9340.5400000000009"/>
    <n v="4002"/>
  </r>
  <r>
    <x v="0"/>
    <x v="9"/>
    <x v="5"/>
    <x v="254"/>
    <x v="219"/>
    <x v="219"/>
    <s v="REVENUS"/>
    <x v="2"/>
    <s v="4001.002"/>
    <s v="Impôt complément s/revenu PP"/>
    <n v="0"/>
    <n v="1971758.55"/>
    <n v="4001"/>
  </r>
  <r>
    <x v="0"/>
    <x v="9"/>
    <x v="5"/>
    <x v="254"/>
    <x v="219"/>
    <x v="219"/>
    <s v="REVENUS"/>
    <x v="3"/>
    <s v="4002.002"/>
    <s v="Impôt complémentaire s/fortune PP"/>
    <n v="0"/>
    <n v="205903.2"/>
    <n v="4002"/>
  </r>
  <r>
    <x v="0"/>
    <x v="9"/>
    <x v="5"/>
    <x v="254"/>
    <x v="219"/>
    <x v="219"/>
    <s v="REVENUS"/>
    <x v="9"/>
    <s v="4031.001"/>
    <s v="Impôt sur les gains immobiliers"/>
    <n v="0"/>
    <n v="241403.15"/>
    <n v="4031"/>
  </r>
  <r>
    <x v="0"/>
    <x v="9"/>
    <x v="5"/>
    <x v="254"/>
    <x v="219"/>
    <x v="219"/>
    <s v="REVENUS"/>
    <x v="8"/>
    <s v="4091.001"/>
    <s v="Impôt récupéré après défalcations"/>
    <n v="0"/>
    <n v="6434.04"/>
    <n v="4091"/>
  </r>
  <r>
    <x v="0"/>
    <x v="9"/>
    <x v="5"/>
    <x v="254"/>
    <x v="219"/>
    <x v="219"/>
    <s v="REVENUS"/>
    <x v="3"/>
    <s v="4002.001"/>
    <s v="Impôt ordinaire s/fortune PP"/>
    <n v="0"/>
    <n v="28058.05"/>
    <n v="4002"/>
  </r>
  <r>
    <x v="0"/>
    <x v="9"/>
    <x v="5"/>
    <x v="254"/>
    <x v="219"/>
    <x v="219"/>
    <s v="REVENUS"/>
    <x v="3"/>
    <s v="4002.007"/>
    <s v="Acompte impôt sur fortune"/>
    <n v="0"/>
    <n v="7686.35"/>
    <n v="4002"/>
  </r>
  <r>
    <x v="0"/>
    <x v="9"/>
    <x v="5"/>
    <x v="254"/>
    <x v="219"/>
    <x v="219"/>
    <s v="REVENUS"/>
    <x v="2"/>
    <s v="4001.007"/>
    <s v="Acompte impôt sur revenu"/>
    <n v="0"/>
    <n v="-10681.99"/>
    <n v="4001"/>
  </r>
  <r>
    <x v="0"/>
    <x v="9"/>
    <x v="5"/>
    <x v="254"/>
    <x v="219"/>
    <x v="219"/>
    <s v="REVENUS"/>
    <x v="3"/>
    <s v="4002.001"/>
    <s v="Impôt ordinaire s/fortune PP"/>
    <n v="0"/>
    <n v="10740.5"/>
    <n v="4002"/>
  </r>
  <r>
    <x v="0"/>
    <x v="9"/>
    <x v="5"/>
    <x v="254"/>
    <x v="219"/>
    <x v="219"/>
    <s v="REVENUS"/>
    <x v="3"/>
    <s v="4002.007"/>
    <s v="Acompte impôt sur fortune"/>
    <n v="0"/>
    <n v="-2477.52"/>
    <n v="4002"/>
  </r>
  <r>
    <x v="0"/>
    <x v="9"/>
    <x v="5"/>
    <x v="254"/>
    <x v="219"/>
    <x v="219"/>
    <s v="REVENUS"/>
    <x v="7"/>
    <s v="4184.000"/>
    <s v="Frais de poursuite"/>
    <n v="0"/>
    <n v="183.75"/>
    <n v="4184"/>
  </r>
  <r>
    <x v="0"/>
    <x v="9"/>
    <x v="5"/>
    <x v="254"/>
    <x v="219"/>
    <x v="219"/>
    <s v="REVENUS"/>
    <x v="2"/>
    <s v="4001.007"/>
    <s v="Acompte impôt sur revenu"/>
    <n v="0"/>
    <n v="-53900.05"/>
    <n v="4001"/>
  </r>
  <r>
    <x v="0"/>
    <x v="9"/>
    <x v="5"/>
    <x v="254"/>
    <x v="219"/>
    <x v="219"/>
    <s v="REVENUS"/>
    <x v="3"/>
    <s v="4002.007"/>
    <s v="Acompte impôt sur fortune"/>
    <n v="0"/>
    <n v="-5670.7"/>
    <n v="4002"/>
  </r>
  <r>
    <x v="0"/>
    <x v="9"/>
    <x v="5"/>
    <x v="254"/>
    <x v="219"/>
    <x v="219"/>
    <s v="REVENUS"/>
    <x v="2"/>
    <s v="4001.001"/>
    <s v="Impôt revenu"/>
    <n v="0"/>
    <n v="71554.2"/>
    <n v="4001"/>
  </r>
  <r>
    <x v="0"/>
    <x v="9"/>
    <x v="5"/>
    <x v="254"/>
    <x v="219"/>
    <x v="219"/>
    <s v="REVENUS"/>
    <x v="6"/>
    <s v="4211.002"/>
    <s v="Intérêts de retard sur acomptes"/>
    <n v="0"/>
    <n v="578.37"/>
    <n v="4211"/>
  </r>
  <r>
    <x v="0"/>
    <x v="9"/>
    <x v="5"/>
    <x v="254"/>
    <x v="219"/>
    <x v="219"/>
    <s v="REVENUS"/>
    <x v="2"/>
    <s v="4001.001"/>
    <s v="Impôt revenu"/>
    <n v="0"/>
    <n v="-790691.2"/>
    <n v="4001"/>
  </r>
  <r>
    <x v="0"/>
    <x v="9"/>
    <x v="5"/>
    <x v="254"/>
    <x v="219"/>
    <x v="219"/>
    <s v="REVENUS"/>
    <x v="2"/>
    <s v="4001.002"/>
    <s v="Impôt complément s/revenu PP"/>
    <n v="0"/>
    <n v="-42655.8"/>
    <n v="4001"/>
  </r>
  <r>
    <x v="0"/>
    <x v="9"/>
    <x v="5"/>
    <x v="254"/>
    <x v="219"/>
    <x v="219"/>
    <s v="REVENUS"/>
    <x v="2"/>
    <s v="4001.002"/>
    <s v="Impôt complément s/revenu PP"/>
    <n v="0"/>
    <n v="30404.9"/>
    <n v="4001"/>
  </r>
  <r>
    <x v="0"/>
    <x v="9"/>
    <x v="5"/>
    <x v="254"/>
    <x v="219"/>
    <x v="219"/>
    <s v="REVENUS"/>
    <x v="3"/>
    <s v="4002.002"/>
    <s v="Impôt complémentaire s/fortune PP"/>
    <n v="0"/>
    <n v="7763.7"/>
    <n v="4002"/>
  </r>
  <r>
    <x v="0"/>
    <x v="9"/>
    <x v="5"/>
    <x v="254"/>
    <x v="219"/>
    <x v="219"/>
    <s v="REVENUS"/>
    <x v="7"/>
    <s v="4184.000"/>
    <s v="Frais de poursuite"/>
    <n v="0"/>
    <n v="13.55"/>
    <n v="4184"/>
  </r>
  <r>
    <x v="0"/>
    <x v="9"/>
    <x v="5"/>
    <x v="254"/>
    <x v="219"/>
    <x v="219"/>
    <s v="REVENUS"/>
    <x v="6"/>
    <s v="4211.001"/>
    <s v="Intérêts de retard sur factures"/>
    <n v="0"/>
    <n v="194.45"/>
    <n v="4211"/>
  </r>
  <r>
    <x v="0"/>
    <x v="9"/>
    <x v="5"/>
    <x v="254"/>
    <x v="219"/>
    <x v="219"/>
    <s v="REVENUS"/>
    <x v="6"/>
    <s v="4221.003"/>
    <s v="Intérêts compensat. / acomptes en faveur du fisc"/>
    <n v="0"/>
    <n v="7.15"/>
    <n v="4221"/>
  </r>
  <r>
    <x v="0"/>
    <x v="9"/>
    <x v="5"/>
    <x v="254"/>
    <x v="219"/>
    <x v="219"/>
    <s v="REVENUS"/>
    <x v="3"/>
    <s v="4002.001"/>
    <s v="Impôt ordinaire s/fortune PP"/>
    <n v="0"/>
    <n v="-33048.15"/>
    <n v="4002"/>
  </r>
  <r>
    <x v="0"/>
    <x v="9"/>
    <x v="5"/>
    <x v="254"/>
    <x v="219"/>
    <x v="219"/>
    <s v="REVENUS"/>
    <x v="3"/>
    <s v="4002.002"/>
    <s v="Impôt complémentaire s/fortune PP"/>
    <n v="0"/>
    <n v="-438.4"/>
    <n v="4002"/>
  </r>
  <r>
    <x v="0"/>
    <x v="9"/>
    <x v="5"/>
    <x v="254"/>
    <x v="219"/>
    <x v="219"/>
    <s v="REVENUS"/>
    <x v="2"/>
    <s v="4001.007"/>
    <s v="Acompte impôt sur revenu"/>
    <n v="0"/>
    <n v="-14145.6"/>
    <n v="4001"/>
  </r>
  <r>
    <x v="0"/>
    <x v="9"/>
    <x v="5"/>
    <x v="254"/>
    <x v="219"/>
    <x v="219"/>
    <s v="REVENUS"/>
    <x v="3"/>
    <s v="4002.007"/>
    <s v="Acompte impôt sur fortune"/>
    <n v="0"/>
    <n v="-2422"/>
    <n v="4002"/>
  </r>
  <r>
    <x v="0"/>
    <x v="9"/>
    <x v="5"/>
    <x v="254"/>
    <x v="219"/>
    <x v="219"/>
    <s v="REVENUS"/>
    <x v="7"/>
    <s v="4184.000"/>
    <s v="Frais de poursuite"/>
    <n v="0"/>
    <n v="23049.56"/>
    <n v="4184"/>
  </r>
  <r>
    <x v="0"/>
    <x v="9"/>
    <x v="5"/>
    <x v="254"/>
    <x v="219"/>
    <x v="219"/>
    <s v="REVENUS"/>
    <x v="6"/>
    <s v="4211.001"/>
    <s v="Intérêts de retard sur factures"/>
    <n v="0"/>
    <n v="1829.19"/>
    <n v="4211"/>
  </r>
  <r>
    <x v="0"/>
    <x v="9"/>
    <x v="5"/>
    <x v="254"/>
    <x v="219"/>
    <x v="219"/>
    <s v="REVENUS"/>
    <x v="2"/>
    <s v="4001.007"/>
    <s v="Acompte impôt sur revenu"/>
    <n v="0"/>
    <n v="-35.54"/>
    <n v="4001"/>
  </r>
  <r>
    <x v="0"/>
    <x v="9"/>
    <x v="5"/>
    <x v="254"/>
    <x v="219"/>
    <x v="219"/>
    <s v="REVENUS"/>
    <x v="5"/>
    <s v="4061.000"/>
    <s v="Impôt sur les chiens"/>
    <n v="0"/>
    <n v="45650"/>
    <n v="4061"/>
  </r>
  <r>
    <x v="0"/>
    <x v="9"/>
    <x v="5"/>
    <x v="254"/>
    <x v="219"/>
    <x v="219"/>
    <s v="REVENUS"/>
    <x v="6"/>
    <s v="4211.001"/>
    <s v="Intérêts de retard sur factures"/>
    <n v="0"/>
    <n v="-1371.8"/>
    <n v="4211"/>
  </r>
  <r>
    <x v="0"/>
    <x v="9"/>
    <x v="5"/>
    <x v="254"/>
    <x v="219"/>
    <x v="219"/>
    <s v="REVENUS"/>
    <x v="6"/>
    <s v="4211.002"/>
    <s v="Intérêts de retard sur acomptes"/>
    <n v="0"/>
    <n v="1093.1500000000001"/>
    <n v="4211"/>
  </r>
  <r>
    <x v="0"/>
    <x v="9"/>
    <x v="5"/>
    <x v="254"/>
    <x v="219"/>
    <x v="219"/>
    <s v="REVENUS"/>
    <x v="6"/>
    <s v="4221.003"/>
    <s v="Intérêts compensat. / acomptes en faveur du fisc"/>
    <n v="0"/>
    <n v="-45.72"/>
    <n v="4221"/>
  </r>
  <r>
    <x v="0"/>
    <x v="9"/>
    <x v="5"/>
    <x v="254"/>
    <x v="219"/>
    <x v="219"/>
    <s v="REVENUS"/>
    <x v="7"/>
    <s v="4184.000"/>
    <s v="Frais de poursuite"/>
    <n v="0"/>
    <n v="728.06"/>
    <n v="4184"/>
  </r>
  <r>
    <x v="0"/>
    <x v="9"/>
    <x v="5"/>
    <x v="254"/>
    <x v="219"/>
    <x v="219"/>
    <s v="REVENUS"/>
    <x v="2"/>
    <s v="4001.005"/>
    <s v="Amende de soustract. Impôt"/>
    <n v="0"/>
    <n v="650"/>
    <n v="4001"/>
  </r>
  <r>
    <x v="0"/>
    <x v="9"/>
    <x v="5"/>
    <x v="254"/>
    <x v="219"/>
    <x v="219"/>
    <s v="REVENUS"/>
    <x v="2"/>
    <s v="4001.001"/>
    <s v="Impôt revenu"/>
    <n v="0"/>
    <n v="101270.45"/>
    <n v="4001"/>
  </r>
  <r>
    <x v="0"/>
    <x v="9"/>
    <x v="5"/>
    <x v="254"/>
    <x v="219"/>
    <x v="219"/>
    <s v="REVENUS"/>
    <x v="2"/>
    <s v="4001.007"/>
    <s v="Acompte impôt sur revenu"/>
    <n v="0"/>
    <n v="-21667.39"/>
    <n v="4001"/>
  </r>
  <r>
    <x v="0"/>
    <x v="9"/>
    <x v="5"/>
    <x v="254"/>
    <x v="219"/>
    <x v="219"/>
    <s v="REVENUS"/>
    <x v="2"/>
    <s v="4001.007"/>
    <s v="Acompte impôt sur revenu"/>
    <n v="0"/>
    <n v="-953.85"/>
    <n v="4001"/>
  </r>
  <r>
    <x v="0"/>
    <x v="9"/>
    <x v="5"/>
    <x v="254"/>
    <x v="219"/>
    <x v="219"/>
    <s v="REVENUS"/>
    <x v="3"/>
    <s v="4002.007"/>
    <s v="Acompte impôt sur fortune"/>
    <n v="0"/>
    <n v="-307.64999999999998"/>
    <n v="4002"/>
  </r>
  <r>
    <x v="0"/>
    <x v="9"/>
    <x v="5"/>
    <x v="254"/>
    <x v="219"/>
    <x v="219"/>
    <s v="REVENUS"/>
    <x v="2"/>
    <s v="4001.002"/>
    <s v="Impôt complément s/revenu PP"/>
    <n v="0"/>
    <n v="72757.149999999994"/>
    <n v="4001"/>
  </r>
  <r>
    <x v="0"/>
    <x v="9"/>
    <x v="5"/>
    <x v="254"/>
    <x v="219"/>
    <x v="219"/>
    <s v="REVENUS"/>
    <x v="6"/>
    <s v="4211.001"/>
    <s v="Intérêts de retard sur factures"/>
    <n v="0"/>
    <n v="52.34"/>
    <n v="4211"/>
  </r>
  <r>
    <x v="0"/>
    <x v="9"/>
    <x v="5"/>
    <x v="254"/>
    <x v="219"/>
    <x v="219"/>
    <s v="REVENUS"/>
    <x v="2"/>
    <s v="4001.001"/>
    <s v="Impôt revenu"/>
    <n v="0"/>
    <n v="4747.05"/>
    <n v="4001"/>
  </r>
  <r>
    <x v="0"/>
    <x v="9"/>
    <x v="5"/>
    <x v="254"/>
    <x v="219"/>
    <x v="219"/>
    <s v="REVENUS"/>
    <x v="3"/>
    <s v="4002.001"/>
    <s v="Impôt ordinaire s/fortune PP"/>
    <n v="0"/>
    <n v="2136.85"/>
    <n v="4002"/>
  </r>
  <r>
    <x v="0"/>
    <x v="9"/>
    <x v="5"/>
    <x v="254"/>
    <x v="219"/>
    <x v="219"/>
    <s v="REVENUS"/>
    <x v="6"/>
    <s v="4211.002"/>
    <s v="Intérêts de retard sur acomptes"/>
    <n v="0"/>
    <n v="71.22"/>
    <n v="4211"/>
  </r>
  <r>
    <x v="0"/>
    <x v="9"/>
    <x v="5"/>
    <x v="254"/>
    <x v="219"/>
    <x v="219"/>
    <s v="REVENUS"/>
    <x v="2"/>
    <s v="4001.007"/>
    <s v="Acompte impôt sur revenu"/>
    <n v="0"/>
    <n v="-488.2"/>
    <n v="4001"/>
  </r>
  <r>
    <x v="0"/>
    <x v="9"/>
    <x v="5"/>
    <x v="254"/>
    <x v="219"/>
    <x v="219"/>
    <s v="REVENUS"/>
    <x v="3"/>
    <s v="4002.007"/>
    <s v="Acompte impôt sur fortune"/>
    <n v="0"/>
    <n v="-33.799999999999997"/>
    <n v="4002"/>
  </r>
  <r>
    <x v="0"/>
    <x v="9"/>
    <x v="5"/>
    <x v="254"/>
    <x v="219"/>
    <x v="219"/>
    <s v="REVENUS"/>
    <x v="6"/>
    <s v="4221.002"/>
    <s v="Intérêts compensat. sur impôts distincts"/>
    <n v="0"/>
    <n v="-0.18"/>
    <n v="4221"/>
  </r>
  <r>
    <x v="0"/>
    <x v="9"/>
    <x v="5"/>
    <x v="254"/>
    <x v="219"/>
    <x v="219"/>
    <s v="REVENUS"/>
    <x v="2"/>
    <s v="4001.007"/>
    <s v="Acompte impôt sur revenu"/>
    <n v="0"/>
    <n v="-1074.1400000000001"/>
    <n v="4001"/>
  </r>
  <r>
    <x v="0"/>
    <x v="9"/>
    <x v="5"/>
    <x v="254"/>
    <x v="219"/>
    <x v="219"/>
    <s v="REVENUS"/>
    <x v="3"/>
    <s v="4002.007"/>
    <s v="Acompte impôt sur fortune"/>
    <n v="0"/>
    <n v="-230.33"/>
    <n v="4002"/>
  </r>
  <r>
    <x v="0"/>
    <x v="9"/>
    <x v="5"/>
    <x v="254"/>
    <x v="219"/>
    <x v="219"/>
    <s v="REVENUS"/>
    <x v="2"/>
    <s v="4001.003"/>
    <s v="Impôt s/prest. cap. PP"/>
    <n v="0"/>
    <n v="-3470.8"/>
    <n v="4001"/>
  </r>
  <r>
    <x v="0"/>
    <x v="9"/>
    <x v="5"/>
    <x v="254"/>
    <x v="219"/>
    <x v="219"/>
    <s v="REVENUS"/>
    <x v="6"/>
    <s v="4211.001"/>
    <s v="Intérêts de retard sur factures"/>
    <n v="0"/>
    <n v="-3.51"/>
    <n v="4211"/>
  </r>
  <r>
    <x v="0"/>
    <x v="9"/>
    <x v="5"/>
    <x v="254"/>
    <x v="219"/>
    <x v="219"/>
    <s v="REVENUS"/>
    <x v="6"/>
    <s v="4211.002"/>
    <s v="Intérêts de retard sur acomptes"/>
    <n v="0"/>
    <n v="-20.440000000000001"/>
    <n v="4211"/>
  </r>
  <r>
    <x v="0"/>
    <x v="9"/>
    <x v="5"/>
    <x v="254"/>
    <x v="219"/>
    <x v="219"/>
    <s v="REVENUS"/>
    <x v="6"/>
    <s v="4221.003"/>
    <s v="Intérêts compensat. / acomptes en faveur du fisc"/>
    <n v="0"/>
    <n v="-4.45"/>
    <n v="4221"/>
  </r>
  <r>
    <x v="0"/>
    <x v="9"/>
    <x v="5"/>
    <x v="254"/>
    <x v="219"/>
    <x v="219"/>
    <s v="REVENUS"/>
    <x v="8"/>
    <s v="4091.001"/>
    <s v="Impôt récupéré après défalcations"/>
    <n v="0"/>
    <n v="15448.98"/>
    <n v="4091"/>
  </r>
  <r>
    <x v="0"/>
    <x v="9"/>
    <x v="5"/>
    <x v="254"/>
    <x v="219"/>
    <x v="219"/>
    <s v="REVENUS"/>
    <x v="2"/>
    <s v="4001.007"/>
    <s v="Acompte impôt sur revenu"/>
    <n v="0"/>
    <n v="-34776.47"/>
    <n v="4001"/>
  </r>
  <r>
    <x v="0"/>
    <x v="9"/>
    <x v="5"/>
    <x v="254"/>
    <x v="219"/>
    <x v="219"/>
    <s v="REVENUS"/>
    <x v="2"/>
    <s v="4001.001"/>
    <s v="Impôt revenu"/>
    <n v="0"/>
    <n v="78234.3"/>
    <n v="4001"/>
  </r>
  <r>
    <x v="0"/>
    <x v="9"/>
    <x v="5"/>
    <x v="254"/>
    <x v="219"/>
    <x v="219"/>
    <s v="REVENUS"/>
    <x v="3"/>
    <s v="4002.001"/>
    <s v="Impôt ordinaire s/fortune PP"/>
    <n v="0"/>
    <n v="20349.900000000001"/>
    <n v="4002"/>
  </r>
  <r>
    <x v="0"/>
    <x v="9"/>
    <x v="5"/>
    <x v="254"/>
    <x v="219"/>
    <x v="219"/>
    <s v="REVENUS"/>
    <x v="4"/>
    <s v="4051.001"/>
    <s v="Impôt sur les successions"/>
    <n v="0"/>
    <n v="199851.3"/>
    <n v="4051"/>
  </r>
  <r>
    <x v="0"/>
    <x v="9"/>
    <x v="5"/>
    <x v="254"/>
    <x v="219"/>
    <x v="219"/>
    <s v="REVENUS"/>
    <x v="9"/>
    <s v="4031.002"/>
    <s v="Complément impôt sur les gains immobiliers"/>
    <n v="0"/>
    <n v="-5480.9"/>
    <n v="4031"/>
  </r>
  <r>
    <x v="0"/>
    <x v="9"/>
    <x v="5"/>
    <x v="254"/>
    <x v="219"/>
    <x v="219"/>
    <s v="REVENUS"/>
    <x v="2"/>
    <s v="4001.001"/>
    <s v="Impôt revenu"/>
    <n v="0"/>
    <n v="1965"/>
    <n v="4001"/>
  </r>
  <r>
    <x v="0"/>
    <x v="9"/>
    <x v="5"/>
    <x v="254"/>
    <x v="219"/>
    <x v="219"/>
    <s v="REVENUS"/>
    <x v="3"/>
    <s v="4002.001"/>
    <s v="Impôt ordinaire s/fortune PP"/>
    <n v="0"/>
    <n v="332.5"/>
    <n v="4002"/>
  </r>
  <r>
    <x v="0"/>
    <x v="9"/>
    <x v="5"/>
    <x v="254"/>
    <x v="219"/>
    <x v="219"/>
    <s v="REVENUS"/>
    <x v="6"/>
    <s v="4211.002"/>
    <s v="Intérêts de retard sur acomptes"/>
    <n v="0"/>
    <n v="7.17"/>
    <n v="4211"/>
  </r>
  <r>
    <x v="0"/>
    <x v="9"/>
    <x v="5"/>
    <x v="254"/>
    <x v="219"/>
    <x v="219"/>
    <s v="REVENUS"/>
    <x v="6"/>
    <s v="4221.003"/>
    <s v="Intérêts compensat. / acomptes en faveur du fisc"/>
    <n v="0"/>
    <n v="0.22"/>
    <n v="4221"/>
  </r>
  <r>
    <x v="0"/>
    <x v="9"/>
    <x v="5"/>
    <x v="254"/>
    <x v="219"/>
    <x v="219"/>
    <s v="REVENUS"/>
    <x v="2"/>
    <s v="4001.001"/>
    <s v="Impôt revenu"/>
    <n v="0"/>
    <n v="-1115.2"/>
    <n v="4001"/>
  </r>
  <r>
    <x v="0"/>
    <x v="9"/>
    <x v="5"/>
    <x v="254"/>
    <x v="219"/>
    <x v="219"/>
    <s v="REVENUS"/>
    <x v="3"/>
    <s v="4002.001"/>
    <s v="Impôt ordinaire s/fortune PP"/>
    <n v="0"/>
    <n v="-1343.55"/>
    <n v="4002"/>
  </r>
  <r>
    <x v="0"/>
    <x v="9"/>
    <x v="5"/>
    <x v="254"/>
    <x v="219"/>
    <x v="219"/>
    <s v="REVENUS"/>
    <x v="6"/>
    <s v="4221.003"/>
    <s v="Intérêts compensat. / acomptes en faveur du fisc"/>
    <n v="0"/>
    <n v="-0.04"/>
    <n v="4221"/>
  </r>
  <r>
    <x v="0"/>
    <x v="9"/>
    <x v="5"/>
    <x v="254"/>
    <x v="219"/>
    <x v="219"/>
    <s v="REVENUS"/>
    <x v="2"/>
    <s v="4001.002"/>
    <s v="Impôt complément s/revenu PP"/>
    <n v="0"/>
    <n v="371.35"/>
    <n v="4001"/>
  </r>
  <r>
    <x v="0"/>
    <x v="9"/>
    <x v="5"/>
    <x v="254"/>
    <x v="219"/>
    <x v="219"/>
    <s v="REVENUS"/>
    <x v="3"/>
    <s v="4002.002"/>
    <s v="Impôt complémentaire s/fortune PP"/>
    <n v="0"/>
    <n v="369.2"/>
    <n v="4002"/>
  </r>
  <r>
    <x v="0"/>
    <x v="9"/>
    <x v="5"/>
    <x v="254"/>
    <x v="219"/>
    <x v="219"/>
    <s v="REVENUS"/>
    <x v="8"/>
    <s v="4091.001"/>
    <s v="Impôt récupéré après défalcations"/>
    <n v="0"/>
    <n v="492.55"/>
    <n v="4091"/>
  </r>
  <r>
    <x v="0"/>
    <x v="9"/>
    <x v="5"/>
    <x v="254"/>
    <x v="219"/>
    <x v="219"/>
    <s v="REVENUS"/>
    <x v="2"/>
    <s v="4001.001"/>
    <s v="Impôt revenu"/>
    <n v="0"/>
    <n v="1673.9"/>
    <n v="4001"/>
  </r>
  <r>
    <x v="0"/>
    <x v="9"/>
    <x v="5"/>
    <x v="254"/>
    <x v="219"/>
    <x v="219"/>
    <s v="REVENUS"/>
    <x v="2"/>
    <s v="4001.002"/>
    <s v="Impôt complément s/revenu PP"/>
    <n v="0"/>
    <n v="107.35"/>
    <n v="4001"/>
  </r>
  <r>
    <x v="0"/>
    <x v="9"/>
    <x v="5"/>
    <x v="254"/>
    <x v="219"/>
    <x v="219"/>
    <s v="REVENUS"/>
    <x v="3"/>
    <s v="4002.001"/>
    <s v="Impôt ordinaire s/fortune PP"/>
    <n v="0"/>
    <n v="2705.85"/>
    <n v="4002"/>
  </r>
  <r>
    <x v="0"/>
    <x v="9"/>
    <x v="5"/>
    <x v="254"/>
    <x v="219"/>
    <x v="219"/>
    <s v="REVENUS"/>
    <x v="3"/>
    <s v="4002.002"/>
    <s v="Impôt complémentaire s/fortune PP"/>
    <n v="0"/>
    <n v="313.7"/>
    <n v="4002"/>
  </r>
  <r>
    <x v="0"/>
    <x v="9"/>
    <x v="5"/>
    <x v="254"/>
    <x v="219"/>
    <x v="219"/>
    <s v="REVENUS"/>
    <x v="3"/>
    <s v="4002.007"/>
    <s v="Acompte impôt sur fortune"/>
    <n v="0"/>
    <n v="-2349.54"/>
    <n v="4002"/>
  </r>
  <r>
    <x v="0"/>
    <x v="9"/>
    <x v="5"/>
    <x v="254"/>
    <x v="219"/>
    <x v="219"/>
    <s v="REVENUS"/>
    <x v="6"/>
    <s v="4211.001"/>
    <s v="Intérêts de retard sur factures"/>
    <n v="0"/>
    <n v="8.14"/>
    <n v="4211"/>
  </r>
  <r>
    <x v="0"/>
    <x v="9"/>
    <x v="5"/>
    <x v="254"/>
    <x v="219"/>
    <x v="219"/>
    <s v="REVENUS"/>
    <x v="6"/>
    <s v="4221.003"/>
    <s v="Intérêts compensat. / acomptes en faveur du fisc"/>
    <n v="0"/>
    <n v="0.16"/>
    <n v="4221"/>
  </r>
  <r>
    <x v="0"/>
    <x v="9"/>
    <x v="5"/>
    <x v="254"/>
    <x v="219"/>
    <x v="219"/>
    <s v="REVENUS"/>
    <x v="2"/>
    <s v="4001.002"/>
    <s v="Impôt complément s/revenu PP"/>
    <n v="0"/>
    <n v="68.5"/>
    <n v="4001"/>
  </r>
  <r>
    <x v="0"/>
    <x v="9"/>
    <x v="5"/>
    <x v="254"/>
    <x v="219"/>
    <x v="219"/>
    <s v="REVENUS"/>
    <x v="3"/>
    <s v="4002.002"/>
    <s v="Impôt complémentaire s/fortune PP"/>
    <n v="0"/>
    <n v="66.3"/>
    <n v="4002"/>
  </r>
  <r>
    <x v="0"/>
    <x v="9"/>
    <x v="5"/>
    <x v="254"/>
    <x v="219"/>
    <x v="219"/>
    <s v="REVENUS"/>
    <x v="2"/>
    <s v="4001.001"/>
    <s v="Impôt revenu"/>
    <n v="0"/>
    <n v="-425.2"/>
    <n v="4001"/>
  </r>
  <r>
    <x v="0"/>
    <x v="9"/>
    <x v="5"/>
    <x v="254"/>
    <x v="219"/>
    <x v="219"/>
    <s v="REVENUS"/>
    <x v="6"/>
    <s v="4211.001"/>
    <s v="Intérêts de retard sur factures"/>
    <n v="0"/>
    <n v="-0.78"/>
    <n v="4211"/>
  </r>
  <r>
    <x v="0"/>
    <x v="9"/>
    <x v="5"/>
    <x v="254"/>
    <x v="219"/>
    <x v="219"/>
    <s v="REVENUS"/>
    <x v="6"/>
    <s v="4221.003"/>
    <s v="Intérêts compensat. / acomptes en faveur du fisc"/>
    <n v="0"/>
    <n v="-3.07"/>
    <n v="4221"/>
  </r>
  <r>
    <x v="0"/>
    <x v="9"/>
    <x v="5"/>
    <x v="254"/>
    <x v="219"/>
    <x v="219"/>
    <s v="REVENUS"/>
    <x v="2"/>
    <s v="4001.001"/>
    <s v="Impôt revenu"/>
    <n v="0"/>
    <n v="-4116.8999999999996"/>
    <n v="4001"/>
  </r>
  <r>
    <x v="0"/>
    <x v="9"/>
    <x v="5"/>
    <x v="254"/>
    <x v="219"/>
    <x v="219"/>
    <s v="REVENUS"/>
    <x v="3"/>
    <s v="4002.001"/>
    <s v="Impôt ordinaire s/fortune PP"/>
    <n v="0"/>
    <n v="-1986.75"/>
    <n v="4002"/>
  </r>
  <r>
    <x v="0"/>
    <x v="9"/>
    <x v="5"/>
    <x v="254"/>
    <x v="219"/>
    <x v="219"/>
    <s v="REVENUS"/>
    <x v="6"/>
    <s v="4221.003"/>
    <s v="Intérêts compensat. / acomptes en faveur du fisc"/>
    <n v="0"/>
    <n v="-10.91"/>
    <n v="4221"/>
  </r>
  <r>
    <x v="0"/>
    <x v="9"/>
    <x v="5"/>
    <x v="254"/>
    <x v="219"/>
    <x v="219"/>
    <s v="REVENUS"/>
    <x v="4"/>
    <s v="4051.002"/>
    <s v="Impôt sur les donations"/>
    <n v="0"/>
    <n v="1590.2"/>
    <n v="4051"/>
  </r>
  <r>
    <x v="0"/>
    <x v="9"/>
    <x v="5"/>
    <x v="254"/>
    <x v="219"/>
    <x v="219"/>
    <s v="REVENUS"/>
    <x v="2"/>
    <s v="4001.003"/>
    <s v="Impôt s/prest. cap. PP"/>
    <n v="0"/>
    <n v="1042.9000000000001"/>
    <n v="4001"/>
  </r>
  <r>
    <x v="0"/>
    <x v="9"/>
    <x v="5"/>
    <x v="255"/>
    <x v="220"/>
    <x v="220"/>
    <s v="CHARGES"/>
    <x v="0"/>
    <s v="3212.004"/>
    <s v="Intérêts rémun./perçu trop tôt sur acomptes C/C"/>
    <n v="119.98"/>
    <n v="0"/>
    <n v="3212"/>
  </r>
  <r>
    <x v="0"/>
    <x v="9"/>
    <x v="5"/>
    <x v="255"/>
    <x v="220"/>
    <x v="220"/>
    <s v="CHARGES"/>
    <x v="0"/>
    <s v="3221.002"/>
    <s v="Intérêts compensatoires / créances en faveur ctb."/>
    <n v="82.55"/>
    <n v="0"/>
    <n v="3221"/>
  </r>
  <r>
    <x v="0"/>
    <x v="9"/>
    <x v="5"/>
    <x v="255"/>
    <x v="220"/>
    <x v="220"/>
    <s v="CHARGES"/>
    <x v="1"/>
    <s v="3301.001"/>
    <s v="Défalcations, abandons de solde PP et IS"/>
    <n v="241.59"/>
    <n v="0"/>
    <n v="3301"/>
  </r>
  <r>
    <x v="0"/>
    <x v="9"/>
    <x v="5"/>
    <x v="255"/>
    <x v="220"/>
    <x v="220"/>
    <s v="CHARGES"/>
    <x v="1"/>
    <s v="3301.001"/>
    <s v="Défalcations, abandons de solde PP et IS"/>
    <n v="0.43"/>
    <n v="0"/>
    <n v="3301"/>
  </r>
  <r>
    <x v="0"/>
    <x v="9"/>
    <x v="5"/>
    <x v="255"/>
    <x v="220"/>
    <x v="220"/>
    <s v="CHARGES"/>
    <x v="0"/>
    <s v="3212.002"/>
    <s v="Intérêts bonifiés/trop perçu acompte C/C"/>
    <n v="46.91"/>
    <n v="0"/>
    <n v="3212"/>
  </r>
  <r>
    <x v="0"/>
    <x v="9"/>
    <x v="5"/>
    <x v="255"/>
    <x v="220"/>
    <x v="220"/>
    <s v="CHARGES"/>
    <x v="0"/>
    <s v="3212.004"/>
    <s v="Intérêts rémun./perçu trop tôt sur acomptes C/C"/>
    <n v="0.01"/>
    <n v="0"/>
    <n v="3212"/>
  </r>
  <r>
    <x v="0"/>
    <x v="9"/>
    <x v="5"/>
    <x v="255"/>
    <x v="220"/>
    <x v="220"/>
    <s v="CHARGES"/>
    <x v="0"/>
    <s v="3221.002"/>
    <s v="Intérêts compensatoires / créances en faveur ctb."/>
    <n v="0.04"/>
    <n v="0"/>
    <n v="3221"/>
  </r>
  <r>
    <x v="0"/>
    <x v="9"/>
    <x v="5"/>
    <x v="255"/>
    <x v="220"/>
    <x v="220"/>
    <s v="CHARGES"/>
    <x v="0"/>
    <s v="3212.004"/>
    <s v="Intérêts rémun./perçu trop tôt sur acomptes C/C"/>
    <n v="0.1"/>
    <n v="0"/>
    <n v="3212"/>
  </r>
  <r>
    <x v="0"/>
    <x v="9"/>
    <x v="5"/>
    <x v="255"/>
    <x v="220"/>
    <x v="220"/>
    <s v="CHARGES"/>
    <x v="0"/>
    <s v="3212.004"/>
    <s v="Intérêts rémun./perçu trop tôt sur acomptes C/C"/>
    <n v="1.32"/>
    <n v="0"/>
    <n v="3212"/>
  </r>
  <r>
    <x v="0"/>
    <x v="9"/>
    <x v="5"/>
    <x v="255"/>
    <x v="220"/>
    <x v="220"/>
    <s v="CHARGES"/>
    <x v="0"/>
    <s v="3212.004"/>
    <s v="Intérêts rémun./perçu trop tôt sur acomptes C/C"/>
    <n v="0.91"/>
    <n v="0"/>
    <n v="3212"/>
  </r>
  <r>
    <x v="0"/>
    <x v="9"/>
    <x v="5"/>
    <x v="255"/>
    <x v="220"/>
    <x v="220"/>
    <s v="CHARGES"/>
    <x v="1"/>
    <s v="3301.001"/>
    <s v="Défalcations, abandons de solde PP et IS"/>
    <n v="0.02"/>
    <n v="0"/>
    <n v="3301"/>
  </r>
  <r>
    <x v="0"/>
    <x v="9"/>
    <x v="5"/>
    <x v="255"/>
    <x v="220"/>
    <x v="220"/>
    <s v="CHARGES"/>
    <x v="0"/>
    <s v="3221.002"/>
    <s v="Intérêts compensatoires / créances en faveur ctb."/>
    <n v="1.78"/>
    <n v="0"/>
    <n v="3221"/>
  </r>
  <r>
    <x v="0"/>
    <x v="9"/>
    <x v="5"/>
    <x v="255"/>
    <x v="220"/>
    <x v="220"/>
    <s v="REVENUS"/>
    <x v="2"/>
    <s v="4001.007"/>
    <s v="Acompte impôt sur revenu"/>
    <n v="0"/>
    <n v="-64595.59"/>
    <n v="4001"/>
  </r>
  <r>
    <x v="0"/>
    <x v="9"/>
    <x v="5"/>
    <x v="255"/>
    <x v="220"/>
    <x v="220"/>
    <s v="REVENUS"/>
    <x v="3"/>
    <s v="4002.001"/>
    <s v="Impôt ordinaire s/fortune PP"/>
    <n v="0"/>
    <n v="45676.6"/>
    <n v="4002"/>
  </r>
  <r>
    <x v="0"/>
    <x v="9"/>
    <x v="5"/>
    <x v="255"/>
    <x v="220"/>
    <x v="220"/>
    <s v="REVENUS"/>
    <x v="3"/>
    <s v="4002.007"/>
    <s v="Acompte impôt sur fortune"/>
    <n v="0"/>
    <n v="-24214.76"/>
    <n v="4002"/>
  </r>
  <r>
    <x v="0"/>
    <x v="9"/>
    <x v="5"/>
    <x v="255"/>
    <x v="220"/>
    <x v="220"/>
    <s v="REVENUS"/>
    <x v="6"/>
    <s v="4211.001"/>
    <s v="Intérêts de retard sur factures"/>
    <n v="0"/>
    <n v="391.37"/>
    <n v="4211"/>
  </r>
  <r>
    <x v="0"/>
    <x v="9"/>
    <x v="5"/>
    <x v="255"/>
    <x v="220"/>
    <x v="220"/>
    <s v="REVENUS"/>
    <x v="2"/>
    <s v="4001.001"/>
    <s v="Impôt revenu"/>
    <n v="0"/>
    <n v="301332.75"/>
    <n v="4001"/>
  </r>
  <r>
    <x v="0"/>
    <x v="9"/>
    <x v="5"/>
    <x v="255"/>
    <x v="220"/>
    <x v="220"/>
    <s v="REVENUS"/>
    <x v="7"/>
    <s v="4184.000"/>
    <s v="Frais de poursuite"/>
    <n v="0"/>
    <n v="605.16999999999996"/>
    <n v="4184"/>
  </r>
  <r>
    <x v="0"/>
    <x v="9"/>
    <x v="5"/>
    <x v="255"/>
    <x v="220"/>
    <x v="220"/>
    <s v="REVENUS"/>
    <x v="6"/>
    <s v="4211.002"/>
    <s v="Intérêts de retard sur acomptes"/>
    <n v="0"/>
    <n v="2289.8200000000002"/>
    <n v="4211"/>
  </r>
  <r>
    <x v="0"/>
    <x v="9"/>
    <x v="5"/>
    <x v="255"/>
    <x v="220"/>
    <x v="220"/>
    <s v="REVENUS"/>
    <x v="6"/>
    <s v="4221.003"/>
    <s v="Intérêts compensat. / acomptes en faveur du fisc"/>
    <n v="0"/>
    <n v="68.75"/>
    <n v="4221"/>
  </r>
  <r>
    <x v="0"/>
    <x v="9"/>
    <x v="5"/>
    <x v="255"/>
    <x v="220"/>
    <x v="220"/>
    <s v="REVENUS"/>
    <x v="3"/>
    <s v="4002.007"/>
    <s v="Acompte impôt sur fortune"/>
    <n v="0"/>
    <n v="-134.75"/>
    <n v="4002"/>
  </r>
  <r>
    <x v="0"/>
    <x v="9"/>
    <x v="5"/>
    <x v="255"/>
    <x v="220"/>
    <x v="220"/>
    <s v="REVENUS"/>
    <x v="2"/>
    <s v="4001.001"/>
    <s v="Impôt revenu"/>
    <n v="0"/>
    <n v="652.25"/>
    <n v="4001"/>
  </r>
  <r>
    <x v="0"/>
    <x v="9"/>
    <x v="5"/>
    <x v="255"/>
    <x v="220"/>
    <x v="220"/>
    <s v="REVENUS"/>
    <x v="3"/>
    <s v="4002.001"/>
    <s v="Impôt ordinaire s/fortune PP"/>
    <n v="0"/>
    <n v="829.4"/>
    <n v="4002"/>
  </r>
  <r>
    <x v="0"/>
    <x v="9"/>
    <x v="5"/>
    <x v="255"/>
    <x v="220"/>
    <x v="220"/>
    <s v="REVENUS"/>
    <x v="6"/>
    <s v="4221.003"/>
    <s v="Intérêts compensat. / acomptes en faveur du fisc"/>
    <n v="0"/>
    <n v="0.26"/>
    <n v="4221"/>
  </r>
  <r>
    <x v="0"/>
    <x v="9"/>
    <x v="5"/>
    <x v="255"/>
    <x v="220"/>
    <x v="220"/>
    <s v="REVENUS"/>
    <x v="2"/>
    <s v="4001.007"/>
    <s v="Acompte impôt sur revenu"/>
    <n v="0"/>
    <n v="341.2"/>
    <n v="4001"/>
  </r>
  <r>
    <x v="0"/>
    <x v="9"/>
    <x v="5"/>
    <x v="255"/>
    <x v="220"/>
    <x v="220"/>
    <s v="REVENUS"/>
    <x v="3"/>
    <s v="4002.007"/>
    <s v="Acompte impôt sur fortune"/>
    <n v="0"/>
    <n v="80.05"/>
    <n v="4002"/>
  </r>
  <r>
    <x v="0"/>
    <x v="9"/>
    <x v="5"/>
    <x v="255"/>
    <x v="220"/>
    <x v="220"/>
    <s v="REVENUS"/>
    <x v="3"/>
    <s v="4002.007"/>
    <s v="Acompte impôt sur fortune"/>
    <n v="0"/>
    <n v="-6.05"/>
    <n v="4002"/>
  </r>
  <r>
    <x v="0"/>
    <x v="9"/>
    <x v="5"/>
    <x v="255"/>
    <x v="220"/>
    <x v="220"/>
    <s v="REVENUS"/>
    <x v="2"/>
    <s v="4001.007"/>
    <s v="Acompte impôt sur revenu"/>
    <n v="0"/>
    <n v="-7.15"/>
    <n v="4001"/>
  </r>
  <r>
    <x v="0"/>
    <x v="9"/>
    <x v="5"/>
    <x v="255"/>
    <x v="220"/>
    <x v="220"/>
    <s v="REVENUS"/>
    <x v="2"/>
    <s v="4001.007"/>
    <s v="Acompte impôt sur revenu"/>
    <n v="0"/>
    <n v="140.5"/>
    <n v="4001"/>
  </r>
  <r>
    <x v="0"/>
    <x v="9"/>
    <x v="5"/>
    <x v="255"/>
    <x v="220"/>
    <x v="220"/>
    <s v="REVENUS"/>
    <x v="3"/>
    <s v="4002.007"/>
    <s v="Acompte impôt sur fortune"/>
    <n v="0"/>
    <n v="187.8"/>
    <n v="4002"/>
  </r>
  <r>
    <x v="0"/>
    <x v="9"/>
    <x v="5"/>
    <x v="255"/>
    <x v="220"/>
    <x v="220"/>
    <s v="REVENUS"/>
    <x v="3"/>
    <s v="4002.001"/>
    <s v="Impôt ordinaire s/fortune PP"/>
    <n v="0"/>
    <n v="596.25"/>
    <n v="4002"/>
  </r>
  <r>
    <x v="0"/>
    <x v="9"/>
    <x v="5"/>
    <x v="255"/>
    <x v="220"/>
    <x v="220"/>
    <s v="REVENUS"/>
    <x v="2"/>
    <s v="4001.003"/>
    <s v="Impôt s/prest. cap. PP"/>
    <n v="0"/>
    <n v="10175.65"/>
    <n v="4001"/>
  </r>
  <r>
    <x v="0"/>
    <x v="9"/>
    <x v="5"/>
    <x v="255"/>
    <x v="220"/>
    <x v="220"/>
    <s v="REVENUS"/>
    <x v="2"/>
    <s v="4001.002"/>
    <s v="Impôt complément s/revenu PP"/>
    <n v="0"/>
    <n v="48604.7"/>
    <n v="4001"/>
  </r>
  <r>
    <x v="0"/>
    <x v="9"/>
    <x v="5"/>
    <x v="255"/>
    <x v="220"/>
    <x v="220"/>
    <s v="REVENUS"/>
    <x v="3"/>
    <s v="4002.002"/>
    <s v="Impôt complémentaire s/fortune PP"/>
    <n v="0"/>
    <n v="6695.35"/>
    <n v="4002"/>
  </r>
  <r>
    <x v="0"/>
    <x v="9"/>
    <x v="5"/>
    <x v="255"/>
    <x v="220"/>
    <x v="220"/>
    <s v="REVENUS"/>
    <x v="10"/>
    <s v="4041.001"/>
    <s v="Droits de mutation"/>
    <n v="0"/>
    <n v="17141.55"/>
    <n v="4041"/>
  </r>
  <r>
    <x v="0"/>
    <x v="9"/>
    <x v="5"/>
    <x v="255"/>
    <x v="220"/>
    <x v="220"/>
    <s v="REVENUS"/>
    <x v="6"/>
    <s v="4221.002"/>
    <s v="Intérêts compensat. sur impôts distincts"/>
    <n v="0"/>
    <n v="4.53"/>
    <n v="4221"/>
  </r>
  <r>
    <x v="0"/>
    <x v="9"/>
    <x v="5"/>
    <x v="255"/>
    <x v="220"/>
    <x v="220"/>
    <s v="REVENUS"/>
    <x v="6"/>
    <s v="4211.002"/>
    <s v="Intérêts de retard sur acomptes"/>
    <n v="0"/>
    <n v="0.08"/>
    <n v="4211"/>
  </r>
  <r>
    <x v="0"/>
    <x v="9"/>
    <x v="5"/>
    <x v="255"/>
    <x v="220"/>
    <x v="220"/>
    <s v="REVENUS"/>
    <x v="2"/>
    <s v="4001.001"/>
    <s v="Impôt revenu"/>
    <n v="0"/>
    <n v="119.9"/>
    <n v="4001"/>
  </r>
  <r>
    <x v="0"/>
    <x v="9"/>
    <x v="5"/>
    <x v="255"/>
    <x v="220"/>
    <x v="220"/>
    <s v="REVENUS"/>
    <x v="3"/>
    <s v="4002.001"/>
    <s v="Impôt ordinaire s/fortune PP"/>
    <n v="0"/>
    <n v="121.05"/>
    <n v="4002"/>
  </r>
  <r>
    <x v="0"/>
    <x v="9"/>
    <x v="5"/>
    <x v="255"/>
    <x v="220"/>
    <x v="220"/>
    <s v="REVENUS"/>
    <x v="2"/>
    <s v="4001.001"/>
    <s v="Impôt revenu"/>
    <n v="0"/>
    <n v="61.1"/>
    <n v="4001"/>
  </r>
  <r>
    <x v="0"/>
    <x v="9"/>
    <x v="5"/>
    <x v="255"/>
    <x v="220"/>
    <x v="220"/>
    <s v="REVENUS"/>
    <x v="3"/>
    <s v="4002.001"/>
    <s v="Impôt ordinaire s/fortune PP"/>
    <n v="0"/>
    <n v="1420.4"/>
    <n v="4002"/>
  </r>
  <r>
    <x v="0"/>
    <x v="9"/>
    <x v="5"/>
    <x v="255"/>
    <x v="220"/>
    <x v="220"/>
    <s v="REVENUS"/>
    <x v="6"/>
    <s v="4211.001"/>
    <s v="Intérêts de retard sur factures"/>
    <n v="0"/>
    <n v="0.17"/>
    <n v="4211"/>
  </r>
  <r>
    <x v="0"/>
    <x v="9"/>
    <x v="5"/>
    <x v="255"/>
    <x v="220"/>
    <x v="220"/>
    <s v="REVENUS"/>
    <x v="5"/>
    <s v="4061.000"/>
    <s v="Impôt sur les chiens"/>
    <n v="0"/>
    <n v="1060"/>
    <n v="4061"/>
  </r>
  <r>
    <x v="0"/>
    <x v="9"/>
    <x v="5"/>
    <x v="255"/>
    <x v="220"/>
    <x v="220"/>
    <s v="REVENUS"/>
    <x v="3"/>
    <s v="4002.007"/>
    <s v="Acompte impôt sur fortune"/>
    <n v="0"/>
    <n v="-5.05"/>
    <n v="4002"/>
  </r>
  <r>
    <x v="0"/>
    <x v="9"/>
    <x v="5"/>
    <x v="255"/>
    <x v="220"/>
    <x v="220"/>
    <s v="REVENUS"/>
    <x v="9"/>
    <s v="4031.001"/>
    <s v="Impôt sur les gains immobiliers"/>
    <n v="0"/>
    <n v="874.8"/>
    <n v="4031"/>
  </r>
  <r>
    <x v="0"/>
    <x v="9"/>
    <x v="5"/>
    <x v="255"/>
    <x v="220"/>
    <x v="220"/>
    <s v="REVENUS"/>
    <x v="2"/>
    <s v="4001.007"/>
    <s v="Acompte impôt sur revenu"/>
    <n v="0"/>
    <n v="-7248.85"/>
    <n v="4001"/>
  </r>
  <r>
    <x v="0"/>
    <x v="9"/>
    <x v="5"/>
    <x v="255"/>
    <x v="220"/>
    <x v="220"/>
    <s v="REVENUS"/>
    <x v="3"/>
    <s v="4002.007"/>
    <s v="Acompte impôt sur fortune"/>
    <n v="0"/>
    <n v="-2411.25"/>
    <n v="4002"/>
  </r>
  <r>
    <x v="0"/>
    <x v="9"/>
    <x v="5"/>
    <x v="255"/>
    <x v="220"/>
    <x v="220"/>
    <s v="REVENUS"/>
    <x v="11"/>
    <s v="4198.000"/>
    <s v="Contributions communales"/>
    <n v="0"/>
    <n v="23774.85"/>
    <n v="4198"/>
  </r>
  <r>
    <x v="0"/>
    <x v="9"/>
    <x v="5"/>
    <x v="255"/>
    <x v="220"/>
    <x v="220"/>
    <s v="REVENUS"/>
    <x v="15"/>
    <s v="4005.001"/>
    <s v="Impôt personnel fixe"/>
    <n v="0"/>
    <n v="920"/>
    <n v="4005"/>
  </r>
  <r>
    <x v="0"/>
    <x v="9"/>
    <x v="5"/>
    <x v="255"/>
    <x v="220"/>
    <x v="220"/>
    <s v="REVENUS"/>
    <x v="4"/>
    <s v="4051.001"/>
    <s v="Impôt sur les successions"/>
    <n v="0"/>
    <n v="2917.6"/>
    <n v="4051"/>
  </r>
  <r>
    <x v="0"/>
    <x v="9"/>
    <x v="5"/>
    <x v="255"/>
    <x v="220"/>
    <x v="220"/>
    <s v="REVENUS"/>
    <x v="6"/>
    <s v="4221.003"/>
    <s v="Intérêts compensat. / acomptes en faveur du fisc"/>
    <n v="0"/>
    <n v="0.02"/>
    <n v="4221"/>
  </r>
  <r>
    <x v="0"/>
    <x v="9"/>
    <x v="5"/>
    <x v="255"/>
    <x v="220"/>
    <x v="220"/>
    <s v="REVENUS"/>
    <x v="7"/>
    <s v="4184.000"/>
    <s v="Frais de poursuite"/>
    <n v="0"/>
    <n v="25.62"/>
    <n v="4184"/>
  </r>
  <r>
    <x v="0"/>
    <x v="9"/>
    <x v="5"/>
    <x v="256"/>
    <x v="221"/>
    <x v="221"/>
    <s v="CHARGES"/>
    <x v="0"/>
    <s v="3212.004"/>
    <s v="Intérêts rémun./perçu trop tôt sur acomptes C/C"/>
    <n v="1.05"/>
    <n v="0"/>
    <n v="3212"/>
  </r>
  <r>
    <x v="0"/>
    <x v="9"/>
    <x v="5"/>
    <x v="256"/>
    <x v="221"/>
    <x v="221"/>
    <s v="CHARGES"/>
    <x v="0"/>
    <s v="3221.002"/>
    <s v="Intérêts compensatoires / créances en faveur ctb."/>
    <n v="1.1299999999999999"/>
    <n v="0"/>
    <n v="3221"/>
  </r>
  <r>
    <x v="0"/>
    <x v="9"/>
    <x v="5"/>
    <x v="256"/>
    <x v="221"/>
    <x v="221"/>
    <s v="CHARGES"/>
    <x v="1"/>
    <s v="3301.001"/>
    <s v="Défalcations, abandons de solde PP et IS"/>
    <n v="8193.33"/>
    <n v="0"/>
    <n v="3301"/>
  </r>
  <r>
    <x v="0"/>
    <x v="9"/>
    <x v="5"/>
    <x v="256"/>
    <x v="221"/>
    <x v="221"/>
    <s v="CHARGES"/>
    <x v="0"/>
    <s v="3212.004"/>
    <s v="Intérêts rémun./perçu trop tôt sur acomptes C/C"/>
    <n v="92.06"/>
    <n v="0"/>
    <n v="3212"/>
  </r>
  <r>
    <x v="0"/>
    <x v="9"/>
    <x v="5"/>
    <x v="256"/>
    <x v="221"/>
    <x v="221"/>
    <s v="CHARGES"/>
    <x v="0"/>
    <s v="3221.002"/>
    <s v="Intérêts compensatoires / créances en faveur ctb."/>
    <n v="41.83"/>
    <n v="0"/>
    <n v="3221"/>
  </r>
  <r>
    <x v="0"/>
    <x v="9"/>
    <x v="5"/>
    <x v="256"/>
    <x v="221"/>
    <x v="221"/>
    <s v="CHARGES"/>
    <x v="1"/>
    <s v="3301.001"/>
    <s v="Défalcations, abandons de solde PP et IS"/>
    <n v="4.1100000000000003"/>
    <n v="0"/>
    <n v="3301"/>
  </r>
  <r>
    <x v="0"/>
    <x v="9"/>
    <x v="5"/>
    <x v="256"/>
    <x v="221"/>
    <x v="221"/>
    <s v="CHARGES"/>
    <x v="0"/>
    <s v="3212.004"/>
    <s v="Intérêts rémun./perçu trop tôt sur acomptes C/C"/>
    <n v="0.06"/>
    <n v="0"/>
    <n v="3212"/>
  </r>
  <r>
    <x v="0"/>
    <x v="9"/>
    <x v="5"/>
    <x v="256"/>
    <x v="221"/>
    <x v="221"/>
    <s v="CHARGES"/>
    <x v="0"/>
    <s v="3212.004"/>
    <s v="Intérêts rémun./perçu trop tôt sur acomptes C/C"/>
    <n v="0.09"/>
    <n v="0"/>
    <n v="3212"/>
  </r>
  <r>
    <x v="0"/>
    <x v="9"/>
    <x v="5"/>
    <x v="256"/>
    <x v="221"/>
    <x v="221"/>
    <s v="CHARGES"/>
    <x v="0"/>
    <s v="3212.002"/>
    <s v="Intérêts bonifiés/trop perçu acompte C/C"/>
    <n v="1.1399999999999999"/>
    <n v="0"/>
    <n v="3212"/>
  </r>
  <r>
    <x v="0"/>
    <x v="9"/>
    <x v="5"/>
    <x v="256"/>
    <x v="221"/>
    <x v="221"/>
    <s v="REVENUS"/>
    <x v="3"/>
    <s v="4002.001"/>
    <s v="Impôt ordinaire s/fortune PP"/>
    <n v="0"/>
    <n v="2247.4499999999998"/>
    <n v="4002"/>
  </r>
  <r>
    <x v="0"/>
    <x v="9"/>
    <x v="5"/>
    <x v="256"/>
    <x v="221"/>
    <x v="221"/>
    <s v="REVENUS"/>
    <x v="3"/>
    <s v="4002.007"/>
    <s v="Acompte impôt sur fortune"/>
    <n v="0"/>
    <n v="-153.96"/>
    <n v="4002"/>
  </r>
  <r>
    <x v="0"/>
    <x v="9"/>
    <x v="5"/>
    <x v="256"/>
    <x v="221"/>
    <x v="221"/>
    <s v="REVENUS"/>
    <x v="2"/>
    <s v="4001.003"/>
    <s v="Impôt s/prest. cap. PP"/>
    <n v="0"/>
    <n v="4104"/>
    <n v="4001"/>
  </r>
  <r>
    <x v="0"/>
    <x v="9"/>
    <x v="5"/>
    <x v="256"/>
    <x v="221"/>
    <x v="221"/>
    <s v="REVENUS"/>
    <x v="6"/>
    <s v="4211.001"/>
    <s v="Intérêts de retard sur factures"/>
    <n v="0"/>
    <n v="804.67"/>
    <n v="4211"/>
  </r>
  <r>
    <x v="0"/>
    <x v="9"/>
    <x v="5"/>
    <x v="256"/>
    <x v="221"/>
    <x v="221"/>
    <s v="REVENUS"/>
    <x v="2"/>
    <s v="4001.001"/>
    <s v="Impôt revenu"/>
    <n v="0"/>
    <n v="353135.6"/>
    <n v="4001"/>
  </r>
  <r>
    <x v="0"/>
    <x v="9"/>
    <x v="5"/>
    <x v="256"/>
    <x v="221"/>
    <x v="221"/>
    <s v="REVENUS"/>
    <x v="6"/>
    <s v="4211.002"/>
    <s v="Intérêts de retard sur acomptes"/>
    <n v="0"/>
    <n v="1339.61"/>
    <n v="4211"/>
  </r>
  <r>
    <x v="0"/>
    <x v="9"/>
    <x v="5"/>
    <x v="256"/>
    <x v="221"/>
    <x v="221"/>
    <s v="REVENUS"/>
    <x v="3"/>
    <s v="4002.001"/>
    <s v="Impôt ordinaire s/fortune PP"/>
    <n v="0"/>
    <n v="65063.6"/>
    <n v="4002"/>
  </r>
  <r>
    <x v="0"/>
    <x v="9"/>
    <x v="5"/>
    <x v="256"/>
    <x v="221"/>
    <x v="221"/>
    <s v="REVENUS"/>
    <x v="3"/>
    <s v="4002.007"/>
    <s v="Acompte impôt sur fortune"/>
    <n v="0"/>
    <n v="-19816.11"/>
    <n v="4002"/>
  </r>
  <r>
    <x v="0"/>
    <x v="9"/>
    <x v="5"/>
    <x v="256"/>
    <x v="221"/>
    <x v="221"/>
    <s v="REVENUS"/>
    <x v="2"/>
    <s v="4001.007"/>
    <s v="Acompte impôt sur revenu"/>
    <n v="0"/>
    <n v="-711.95"/>
    <n v="4001"/>
  </r>
  <r>
    <x v="0"/>
    <x v="9"/>
    <x v="5"/>
    <x v="256"/>
    <x v="221"/>
    <x v="221"/>
    <s v="REVENUS"/>
    <x v="2"/>
    <s v="4001.007"/>
    <s v="Acompte impôt sur revenu"/>
    <n v="0"/>
    <n v="-41292.79"/>
    <n v="4001"/>
  </r>
  <r>
    <x v="0"/>
    <x v="9"/>
    <x v="5"/>
    <x v="256"/>
    <x v="221"/>
    <x v="221"/>
    <s v="REVENUS"/>
    <x v="2"/>
    <s v="4001.001"/>
    <s v="Impôt revenu"/>
    <n v="0"/>
    <n v="3058.4"/>
    <n v="4001"/>
  </r>
  <r>
    <x v="0"/>
    <x v="9"/>
    <x v="5"/>
    <x v="256"/>
    <x v="221"/>
    <x v="221"/>
    <s v="REVENUS"/>
    <x v="2"/>
    <s v="4001.002"/>
    <s v="Impôt complément s/revenu PP"/>
    <n v="0"/>
    <n v="3199.3"/>
    <n v="4001"/>
  </r>
  <r>
    <x v="0"/>
    <x v="9"/>
    <x v="5"/>
    <x v="256"/>
    <x v="221"/>
    <x v="221"/>
    <s v="REVENUS"/>
    <x v="6"/>
    <s v="4211.002"/>
    <s v="Intérêts de retard sur acomptes"/>
    <n v="0"/>
    <n v="55.05"/>
    <n v="4211"/>
  </r>
  <r>
    <x v="0"/>
    <x v="9"/>
    <x v="5"/>
    <x v="256"/>
    <x v="221"/>
    <x v="221"/>
    <s v="REVENUS"/>
    <x v="6"/>
    <s v="4221.003"/>
    <s v="Intérêts compensat. / acomptes en faveur du fisc"/>
    <n v="0"/>
    <n v="4.1100000000000003"/>
    <n v="4221"/>
  </r>
  <r>
    <x v="0"/>
    <x v="9"/>
    <x v="5"/>
    <x v="256"/>
    <x v="221"/>
    <x v="221"/>
    <s v="REVENUS"/>
    <x v="7"/>
    <s v="4184.000"/>
    <s v="Frais de poursuite"/>
    <n v="0"/>
    <n v="472.14"/>
    <n v="4184"/>
  </r>
  <r>
    <x v="0"/>
    <x v="9"/>
    <x v="5"/>
    <x v="256"/>
    <x v="221"/>
    <x v="221"/>
    <s v="REVENUS"/>
    <x v="3"/>
    <s v="4002.007"/>
    <s v="Acompte impôt sur fortune"/>
    <n v="0"/>
    <n v="-82.8"/>
    <n v="4002"/>
  </r>
  <r>
    <x v="0"/>
    <x v="9"/>
    <x v="5"/>
    <x v="256"/>
    <x v="221"/>
    <x v="221"/>
    <s v="REVENUS"/>
    <x v="2"/>
    <s v="4001.002"/>
    <s v="Impôt complément s/revenu PP"/>
    <n v="0"/>
    <n v="10697.25"/>
    <n v="4001"/>
  </r>
  <r>
    <x v="0"/>
    <x v="9"/>
    <x v="5"/>
    <x v="256"/>
    <x v="221"/>
    <x v="221"/>
    <s v="REVENUS"/>
    <x v="2"/>
    <s v="4001.001"/>
    <s v="Impôt revenu"/>
    <n v="0"/>
    <n v="277.14999999999998"/>
    <n v="4001"/>
  </r>
  <r>
    <x v="0"/>
    <x v="9"/>
    <x v="5"/>
    <x v="256"/>
    <x v="221"/>
    <x v="221"/>
    <s v="REVENUS"/>
    <x v="3"/>
    <s v="4002.007"/>
    <s v="Acompte impôt sur fortune"/>
    <n v="0"/>
    <n v="103.95"/>
    <n v="4002"/>
  </r>
  <r>
    <x v="0"/>
    <x v="9"/>
    <x v="5"/>
    <x v="256"/>
    <x v="221"/>
    <x v="221"/>
    <s v="REVENUS"/>
    <x v="2"/>
    <s v="4001.007"/>
    <s v="Acompte impôt sur revenu"/>
    <n v="0"/>
    <n v="104.55"/>
    <n v="4001"/>
  </r>
  <r>
    <x v="0"/>
    <x v="9"/>
    <x v="5"/>
    <x v="256"/>
    <x v="221"/>
    <x v="221"/>
    <s v="REVENUS"/>
    <x v="6"/>
    <s v="4221.003"/>
    <s v="Intérêts compensat. / acomptes en faveur du fisc"/>
    <n v="0"/>
    <n v="42.78"/>
    <n v="4221"/>
  </r>
  <r>
    <x v="0"/>
    <x v="9"/>
    <x v="5"/>
    <x v="256"/>
    <x v="221"/>
    <x v="221"/>
    <s v="REVENUS"/>
    <x v="3"/>
    <s v="4002.007"/>
    <s v="Acompte impôt sur fortune"/>
    <n v="0"/>
    <n v="-4.6500000000000004"/>
    <n v="4002"/>
  </r>
  <r>
    <x v="0"/>
    <x v="9"/>
    <x v="5"/>
    <x v="256"/>
    <x v="221"/>
    <x v="221"/>
    <s v="REVENUS"/>
    <x v="10"/>
    <s v="4041.001"/>
    <s v="Droits de mutation"/>
    <n v="0"/>
    <n v="22605"/>
    <n v="4041"/>
  </r>
  <r>
    <x v="0"/>
    <x v="9"/>
    <x v="5"/>
    <x v="256"/>
    <x v="221"/>
    <x v="221"/>
    <s v="REVENUS"/>
    <x v="2"/>
    <s v="4001.001"/>
    <s v="Impôt revenu"/>
    <n v="0"/>
    <n v="112"/>
    <n v="4001"/>
  </r>
  <r>
    <x v="0"/>
    <x v="9"/>
    <x v="5"/>
    <x v="256"/>
    <x v="221"/>
    <x v="221"/>
    <s v="REVENUS"/>
    <x v="3"/>
    <s v="4002.001"/>
    <s v="Impôt ordinaire s/fortune PP"/>
    <n v="0"/>
    <n v="33.200000000000003"/>
    <n v="4002"/>
  </r>
  <r>
    <x v="0"/>
    <x v="9"/>
    <x v="5"/>
    <x v="256"/>
    <x v="221"/>
    <x v="221"/>
    <s v="REVENUS"/>
    <x v="2"/>
    <s v="4001.001"/>
    <s v="Impôt revenu"/>
    <n v="0"/>
    <n v="399.5"/>
    <n v="4001"/>
  </r>
  <r>
    <x v="0"/>
    <x v="9"/>
    <x v="5"/>
    <x v="256"/>
    <x v="221"/>
    <x v="221"/>
    <s v="REVENUS"/>
    <x v="2"/>
    <s v="4001.007"/>
    <s v="Acompte impôt sur revenu"/>
    <n v="0"/>
    <n v="-174.15"/>
    <n v="4001"/>
  </r>
  <r>
    <x v="0"/>
    <x v="9"/>
    <x v="5"/>
    <x v="256"/>
    <x v="221"/>
    <x v="221"/>
    <s v="REVENUS"/>
    <x v="3"/>
    <s v="4002.001"/>
    <s v="Impôt ordinaire s/fortune PP"/>
    <n v="0"/>
    <n v="72.849999999999994"/>
    <n v="4002"/>
  </r>
  <r>
    <x v="0"/>
    <x v="9"/>
    <x v="5"/>
    <x v="256"/>
    <x v="221"/>
    <x v="221"/>
    <s v="REVENUS"/>
    <x v="3"/>
    <s v="4002.002"/>
    <s v="Impôt complémentaire s/fortune PP"/>
    <n v="0"/>
    <n v="1039.75"/>
    <n v="4002"/>
  </r>
  <r>
    <x v="0"/>
    <x v="9"/>
    <x v="5"/>
    <x v="256"/>
    <x v="221"/>
    <x v="221"/>
    <s v="REVENUS"/>
    <x v="9"/>
    <s v="4031.001"/>
    <s v="Impôt sur les gains immobiliers"/>
    <n v="0"/>
    <n v="17548.650000000001"/>
    <n v="4031"/>
  </r>
  <r>
    <x v="0"/>
    <x v="9"/>
    <x v="5"/>
    <x v="256"/>
    <x v="221"/>
    <x v="221"/>
    <s v="REVENUS"/>
    <x v="2"/>
    <s v="4001.007"/>
    <s v="Acompte impôt sur revenu"/>
    <n v="0"/>
    <n v="-92.45"/>
    <n v="4001"/>
  </r>
  <r>
    <x v="0"/>
    <x v="9"/>
    <x v="5"/>
    <x v="256"/>
    <x v="221"/>
    <x v="221"/>
    <s v="REVENUS"/>
    <x v="3"/>
    <s v="4002.001"/>
    <s v="Impôt ordinaire s/fortune PP"/>
    <n v="0"/>
    <n v="17.95"/>
    <n v="4002"/>
  </r>
  <r>
    <x v="0"/>
    <x v="9"/>
    <x v="5"/>
    <x v="256"/>
    <x v="221"/>
    <x v="221"/>
    <s v="REVENUS"/>
    <x v="6"/>
    <s v="4221.002"/>
    <s v="Intérêts compensat. sur impôts distincts"/>
    <n v="0"/>
    <n v="0.05"/>
    <n v="4221"/>
  </r>
  <r>
    <x v="0"/>
    <x v="9"/>
    <x v="5"/>
    <x v="256"/>
    <x v="221"/>
    <x v="221"/>
    <s v="REVENUS"/>
    <x v="5"/>
    <s v="4061.000"/>
    <s v="Impôt sur les chiens"/>
    <n v="0"/>
    <n v="875"/>
    <n v="4061"/>
  </r>
  <r>
    <x v="0"/>
    <x v="9"/>
    <x v="5"/>
    <x v="256"/>
    <x v="221"/>
    <x v="221"/>
    <s v="REVENUS"/>
    <x v="2"/>
    <s v="4001.001"/>
    <s v="Impôt revenu"/>
    <n v="0"/>
    <n v="88.75"/>
    <n v="4001"/>
  </r>
  <r>
    <x v="0"/>
    <x v="9"/>
    <x v="5"/>
    <x v="256"/>
    <x v="221"/>
    <x v="221"/>
    <s v="REVENUS"/>
    <x v="3"/>
    <s v="4002.001"/>
    <s v="Impôt ordinaire s/fortune PP"/>
    <n v="0"/>
    <n v="156.65"/>
    <n v="4002"/>
  </r>
  <r>
    <x v="0"/>
    <x v="9"/>
    <x v="5"/>
    <x v="256"/>
    <x v="221"/>
    <x v="221"/>
    <s v="REVENUS"/>
    <x v="7"/>
    <s v="4184.000"/>
    <s v="Frais de poursuite"/>
    <n v="0"/>
    <n v="0.51"/>
    <n v="4184"/>
  </r>
  <r>
    <x v="0"/>
    <x v="9"/>
    <x v="5"/>
    <x v="256"/>
    <x v="221"/>
    <x v="221"/>
    <s v="REVENUS"/>
    <x v="6"/>
    <s v="4211.001"/>
    <s v="Intérêts de retard sur factures"/>
    <n v="0"/>
    <n v="4.95"/>
    <n v="4211"/>
  </r>
  <r>
    <x v="0"/>
    <x v="9"/>
    <x v="5"/>
    <x v="256"/>
    <x v="221"/>
    <x v="221"/>
    <s v="REVENUS"/>
    <x v="11"/>
    <s v="4198.000"/>
    <s v="Contributions communales"/>
    <n v="0"/>
    <n v="29951.9"/>
    <n v="4198"/>
  </r>
  <r>
    <x v="0"/>
    <x v="9"/>
    <x v="5"/>
    <x v="256"/>
    <x v="221"/>
    <x v="221"/>
    <s v="REVENUS"/>
    <x v="8"/>
    <s v="4091.001"/>
    <s v="Impôt récupéré après défalcations"/>
    <n v="0"/>
    <n v="10236.91"/>
    <n v="4091"/>
  </r>
  <r>
    <x v="0"/>
    <x v="9"/>
    <x v="5"/>
    <x v="256"/>
    <x v="221"/>
    <x v="221"/>
    <s v="REVENUS"/>
    <x v="8"/>
    <s v="4091.001"/>
    <s v="Impôt récupéré après défalcations"/>
    <n v="0"/>
    <n v="2739.53"/>
    <n v="4091"/>
  </r>
  <r>
    <x v="0"/>
    <x v="9"/>
    <x v="5"/>
    <x v="257"/>
    <x v="222"/>
    <x v="222"/>
    <s v="CHARGES"/>
    <x v="1"/>
    <s v="3301.001"/>
    <s v="Défalcations, abandons de solde PP et IS"/>
    <n v="9861.16"/>
    <n v="0"/>
    <n v="3301"/>
  </r>
  <r>
    <x v="0"/>
    <x v="9"/>
    <x v="5"/>
    <x v="257"/>
    <x v="222"/>
    <x v="222"/>
    <s v="CHARGES"/>
    <x v="1"/>
    <s v="3301.001"/>
    <s v="Défalcations, abandons de solde PP et IS"/>
    <n v="6799.73"/>
    <n v="0"/>
    <n v="3301"/>
  </r>
  <r>
    <x v="0"/>
    <x v="9"/>
    <x v="5"/>
    <x v="257"/>
    <x v="222"/>
    <x v="222"/>
    <s v="CHARGES"/>
    <x v="1"/>
    <s v="3301.003"/>
    <s v="Remises PP et IS"/>
    <n v="8463.6299999999992"/>
    <n v="0"/>
    <n v="3301"/>
  </r>
  <r>
    <x v="0"/>
    <x v="9"/>
    <x v="5"/>
    <x v="257"/>
    <x v="222"/>
    <x v="222"/>
    <s v="CHARGES"/>
    <x v="0"/>
    <s v="3212.004"/>
    <s v="Intérêts rémun./perçu trop tôt sur acomptes C/C"/>
    <n v="185.53"/>
    <n v="0"/>
    <n v="3212"/>
  </r>
  <r>
    <x v="0"/>
    <x v="9"/>
    <x v="5"/>
    <x v="257"/>
    <x v="222"/>
    <x v="222"/>
    <s v="CHARGES"/>
    <x v="0"/>
    <s v="3221.002"/>
    <s v="Intérêts compensatoires / créances en faveur ctb."/>
    <n v="71.569999999999993"/>
    <n v="0"/>
    <n v="3221"/>
  </r>
  <r>
    <x v="0"/>
    <x v="9"/>
    <x v="5"/>
    <x v="257"/>
    <x v="222"/>
    <x v="222"/>
    <s v="CHARGES"/>
    <x v="0"/>
    <s v="3212.002"/>
    <s v="Intérêts bonifiés/trop perçu acompte C/C"/>
    <n v="1.75"/>
    <n v="0"/>
    <n v="3212"/>
  </r>
  <r>
    <x v="0"/>
    <x v="9"/>
    <x v="5"/>
    <x v="257"/>
    <x v="222"/>
    <x v="222"/>
    <s v="CHARGES"/>
    <x v="0"/>
    <s v="3212.004"/>
    <s v="Intérêts rémun./perçu trop tôt sur acomptes C/C"/>
    <n v="0.04"/>
    <n v="0"/>
    <n v="3212"/>
  </r>
  <r>
    <x v="0"/>
    <x v="9"/>
    <x v="5"/>
    <x v="257"/>
    <x v="222"/>
    <x v="222"/>
    <s v="CHARGES"/>
    <x v="0"/>
    <s v="3221.002"/>
    <s v="Intérêts compensatoires / créances en faveur ctb."/>
    <n v="0.04"/>
    <n v="0"/>
    <n v="3221"/>
  </r>
  <r>
    <x v="0"/>
    <x v="9"/>
    <x v="5"/>
    <x v="257"/>
    <x v="222"/>
    <x v="222"/>
    <s v="CHARGES"/>
    <x v="0"/>
    <s v="3212.004"/>
    <s v="Intérêts rémun./perçu trop tôt sur acomptes C/C"/>
    <n v="0.73"/>
    <n v="0"/>
    <n v="3212"/>
  </r>
  <r>
    <x v="0"/>
    <x v="9"/>
    <x v="5"/>
    <x v="257"/>
    <x v="222"/>
    <x v="222"/>
    <s v="CHARGES"/>
    <x v="0"/>
    <s v="3221.002"/>
    <s v="Intérêts compensatoires / créances en faveur ctb."/>
    <n v="0.44"/>
    <n v="0"/>
    <n v="3221"/>
  </r>
  <r>
    <x v="0"/>
    <x v="9"/>
    <x v="5"/>
    <x v="257"/>
    <x v="222"/>
    <x v="222"/>
    <s v="CHARGES"/>
    <x v="0"/>
    <s v="3212.002"/>
    <s v="Intérêts bonifiés/trop perçu acompte C/C"/>
    <n v="-0.02"/>
    <n v="0"/>
    <n v="3212"/>
  </r>
  <r>
    <x v="0"/>
    <x v="9"/>
    <x v="5"/>
    <x v="257"/>
    <x v="222"/>
    <x v="222"/>
    <s v="CHARGES"/>
    <x v="0"/>
    <s v="3212.004"/>
    <s v="Intérêts rémun./perçu trop tôt sur acomptes C/C"/>
    <n v="-0.02"/>
    <n v="0"/>
    <n v="3212"/>
  </r>
  <r>
    <x v="0"/>
    <x v="9"/>
    <x v="5"/>
    <x v="257"/>
    <x v="222"/>
    <x v="222"/>
    <s v="CHARGES"/>
    <x v="1"/>
    <s v="3301.001"/>
    <s v="Défalcations, abandons de solde PP et IS"/>
    <n v="0.28000000000000003"/>
    <n v="0"/>
    <n v="3301"/>
  </r>
  <r>
    <x v="0"/>
    <x v="9"/>
    <x v="5"/>
    <x v="257"/>
    <x v="222"/>
    <x v="222"/>
    <s v="CHARGES"/>
    <x v="0"/>
    <s v="3212.004"/>
    <s v="Intérêts rémun./perçu trop tôt sur acomptes C/C"/>
    <n v="0.31"/>
    <n v="0"/>
    <n v="3212"/>
  </r>
  <r>
    <x v="0"/>
    <x v="9"/>
    <x v="5"/>
    <x v="257"/>
    <x v="222"/>
    <x v="222"/>
    <s v="CHARGES"/>
    <x v="0"/>
    <s v="3221.002"/>
    <s v="Intérêts compensatoires / créances en faveur ctb."/>
    <n v="0.19"/>
    <n v="0"/>
    <n v="3221"/>
  </r>
  <r>
    <x v="0"/>
    <x v="9"/>
    <x v="5"/>
    <x v="257"/>
    <x v="222"/>
    <x v="222"/>
    <s v="CHARGES"/>
    <x v="1"/>
    <s v="3301.001"/>
    <s v="Défalcations, abandons de solde PP et IS"/>
    <n v="0.04"/>
    <n v="0"/>
    <n v="3301"/>
  </r>
  <r>
    <x v="0"/>
    <x v="9"/>
    <x v="5"/>
    <x v="257"/>
    <x v="222"/>
    <x v="222"/>
    <s v="CHARGES"/>
    <x v="0"/>
    <s v="3221.002"/>
    <s v="Intérêts compensatoires / créances en faveur ctb."/>
    <n v="0.02"/>
    <n v="0"/>
    <n v="3221"/>
  </r>
  <r>
    <x v="0"/>
    <x v="9"/>
    <x v="5"/>
    <x v="257"/>
    <x v="222"/>
    <x v="222"/>
    <s v="CHARGES"/>
    <x v="1"/>
    <s v="3301.001"/>
    <s v="Défalcations, abandons de solde PP et IS"/>
    <n v="0.02"/>
    <n v="0"/>
    <n v="3301"/>
  </r>
  <r>
    <x v="0"/>
    <x v="9"/>
    <x v="5"/>
    <x v="257"/>
    <x v="222"/>
    <x v="222"/>
    <s v="REVENUS"/>
    <x v="3"/>
    <s v="4002.007"/>
    <s v="Acompte impôt sur fortune"/>
    <n v="0"/>
    <n v="-106.15"/>
    <n v="4002"/>
  </r>
  <r>
    <x v="0"/>
    <x v="9"/>
    <x v="5"/>
    <x v="257"/>
    <x v="222"/>
    <x v="222"/>
    <s v="REVENUS"/>
    <x v="2"/>
    <s v="4001.007"/>
    <s v="Acompte impôt sur revenu"/>
    <n v="0"/>
    <n v="-190002.82"/>
    <n v="4001"/>
  </r>
  <r>
    <x v="0"/>
    <x v="9"/>
    <x v="5"/>
    <x v="257"/>
    <x v="222"/>
    <x v="222"/>
    <s v="REVENUS"/>
    <x v="6"/>
    <s v="4211.001"/>
    <s v="Intérêts de retard sur factures"/>
    <n v="0"/>
    <n v="2182.83"/>
    <n v="4211"/>
  </r>
  <r>
    <x v="0"/>
    <x v="9"/>
    <x v="5"/>
    <x v="257"/>
    <x v="222"/>
    <x v="222"/>
    <s v="REVENUS"/>
    <x v="8"/>
    <s v="4091.003"/>
    <s v="Impôt récupéré concordat"/>
    <n v="0"/>
    <n v="10272.66"/>
    <n v="4091"/>
  </r>
  <r>
    <x v="0"/>
    <x v="9"/>
    <x v="5"/>
    <x v="257"/>
    <x v="222"/>
    <x v="222"/>
    <s v="REVENUS"/>
    <x v="2"/>
    <s v="4001.001"/>
    <s v="Impôt revenu"/>
    <n v="0"/>
    <n v="917130.8"/>
    <n v="4001"/>
  </r>
  <r>
    <x v="0"/>
    <x v="9"/>
    <x v="5"/>
    <x v="257"/>
    <x v="222"/>
    <x v="222"/>
    <s v="REVENUS"/>
    <x v="2"/>
    <s v="4001.002"/>
    <s v="Impôt complément s/revenu PP"/>
    <n v="0"/>
    <n v="145624.75"/>
    <n v="4001"/>
  </r>
  <r>
    <x v="0"/>
    <x v="9"/>
    <x v="5"/>
    <x v="257"/>
    <x v="222"/>
    <x v="222"/>
    <s v="REVENUS"/>
    <x v="3"/>
    <s v="4002.001"/>
    <s v="Impôt ordinaire s/fortune PP"/>
    <n v="0"/>
    <n v="86266.75"/>
    <n v="4002"/>
  </r>
  <r>
    <x v="0"/>
    <x v="9"/>
    <x v="5"/>
    <x v="257"/>
    <x v="222"/>
    <x v="222"/>
    <s v="REVENUS"/>
    <x v="3"/>
    <s v="4002.007"/>
    <s v="Acompte impôt sur fortune"/>
    <n v="0"/>
    <n v="-23241.4"/>
    <n v="4002"/>
  </r>
  <r>
    <x v="0"/>
    <x v="9"/>
    <x v="5"/>
    <x v="257"/>
    <x v="222"/>
    <x v="222"/>
    <s v="REVENUS"/>
    <x v="7"/>
    <s v="4184.000"/>
    <s v="Frais de poursuite"/>
    <n v="0"/>
    <n v="1072.99"/>
    <n v="4184"/>
  </r>
  <r>
    <x v="0"/>
    <x v="9"/>
    <x v="5"/>
    <x v="257"/>
    <x v="222"/>
    <x v="222"/>
    <s v="REVENUS"/>
    <x v="6"/>
    <s v="4221.003"/>
    <s v="Intérêts compensat. / acomptes en faveur du fisc"/>
    <n v="0"/>
    <n v="110.41"/>
    <n v="4221"/>
  </r>
  <r>
    <x v="0"/>
    <x v="9"/>
    <x v="5"/>
    <x v="257"/>
    <x v="222"/>
    <x v="222"/>
    <s v="REVENUS"/>
    <x v="6"/>
    <s v="4211.002"/>
    <s v="Intérêts de retard sur acomptes"/>
    <n v="0"/>
    <n v="7312.73"/>
    <n v="4211"/>
  </r>
  <r>
    <x v="0"/>
    <x v="9"/>
    <x v="5"/>
    <x v="257"/>
    <x v="222"/>
    <x v="222"/>
    <s v="REVENUS"/>
    <x v="3"/>
    <s v="4002.002"/>
    <s v="Impôt complémentaire s/fortune PP"/>
    <n v="0"/>
    <n v="20534.45"/>
    <n v="4002"/>
  </r>
  <r>
    <x v="0"/>
    <x v="9"/>
    <x v="5"/>
    <x v="257"/>
    <x v="222"/>
    <x v="222"/>
    <s v="REVENUS"/>
    <x v="10"/>
    <s v="4041.001"/>
    <s v="Droits de mutation"/>
    <n v="0"/>
    <n v="44138.9"/>
    <n v="4041"/>
  </r>
  <r>
    <x v="0"/>
    <x v="9"/>
    <x v="5"/>
    <x v="257"/>
    <x v="222"/>
    <x v="222"/>
    <s v="REVENUS"/>
    <x v="2"/>
    <s v="4001.007"/>
    <s v="Acompte impôt sur revenu"/>
    <n v="0"/>
    <n v="-38.31"/>
    <n v="4001"/>
  </r>
  <r>
    <x v="0"/>
    <x v="9"/>
    <x v="5"/>
    <x v="257"/>
    <x v="222"/>
    <x v="222"/>
    <s v="REVENUS"/>
    <x v="9"/>
    <s v="4031.001"/>
    <s v="Impôt sur les gains immobiliers"/>
    <n v="0"/>
    <n v="40310.300000000003"/>
    <n v="4031"/>
  </r>
  <r>
    <x v="0"/>
    <x v="9"/>
    <x v="5"/>
    <x v="257"/>
    <x v="222"/>
    <x v="222"/>
    <s v="REVENUS"/>
    <x v="2"/>
    <s v="4001.003"/>
    <s v="Impôt s/prest. cap. PP"/>
    <n v="0"/>
    <n v="14939.5"/>
    <n v="4001"/>
  </r>
  <r>
    <x v="0"/>
    <x v="9"/>
    <x v="5"/>
    <x v="257"/>
    <x v="222"/>
    <x v="222"/>
    <s v="REVENUS"/>
    <x v="3"/>
    <s v="4002.007"/>
    <s v="Acompte impôt sur fortune"/>
    <n v="0"/>
    <n v="22.3"/>
    <n v="4002"/>
  </r>
  <r>
    <x v="0"/>
    <x v="9"/>
    <x v="5"/>
    <x v="257"/>
    <x v="222"/>
    <x v="222"/>
    <s v="REVENUS"/>
    <x v="2"/>
    <s v="4001.007"/>
    <s v="Acompte impôt sur revenu"/>
    <n v="0"/>
    <n v="504.74"/>
    <n v="4001"/>
  </r>
  <r>
    <x v="0"/>
    <x v="9"/>
    <x v="5"/>
    <x v="257"/>
    <x v="222"/>
    <x v="222"/>
    <s v="REVENUS"/>
    <x v="3"/>
    <s v="4002.007"/>
    <s v="Acompte impôt sur fortune"/>
    <n v="0"/>
    <n v="-3.05"/>
    <n v="4002"/>
  </r>
  <r>
    <x v="0"/>
    <x v="9"/>
    <x v="5"/>
    <x v="257"/>
    <x v="222"/>
    <x v="222"/>
    <s v="REVENUS"/>
    <x v="3"/>
    <s v="4002.007"/>
    <s v="Acompte impôt sur fortune"/>
    <n v="0"/>
    <n v="1522"/>
    <n v="4002"/>
  </r>
  <r>
    <x v="0"/>
    <x v="9"/>
    <x v="5"/>
    <x v="257"/>
    <x v="222"/>
    <x v="222"/>
    <s v="REVENUS"/>
    <x v="2"/>
    <s v="4001.007"/>
    <s v="Acompte impôt sur revenu"/>
    <n v="0"/>
    <n v="35.11"/>
    <n v="4001"/>
  </r>
  <r>
    <x v="0"/>
    <x v="9"/>
    <x v="5"/>
    <x v="257"/>
    <x v="222"/>
    <x v="222"/>
    <s v="REVENUS"/>
    <x v="2"/>
    <s v="4001.001"/>
    <s v="Impôt revenu"/>
    <n v="0"/>
    <n v="966.55"/>
    <n v="4001"/>
  </r>
  <r>
    <x v="0"/>
    <x v="9"/>
    <x v="5"/>
    <x v="257"/>
    <x v="222"/>
    <x v="222"/>
    <s v="REVENUS"/>
    <x v="5"/>
    <s v="4061.000"/>
    <s v="Impôt sur les chiens"/>
    <n v="0"/>
    <n v="3110"/>
    <n v="4061"/>
  </r>
  <r>
    <x v="0"/>
    <x v="9"/>
    <x v="5"/>
    <x v="257"/>
    <x v="222"/>
    <x v="222"/>
    <s v="REVENUS"/>
    <x v="3"/>
    <s v="4002.001"/>
    <s v="Impôt ordinaire s/fortune PP"/>
    <n v="0"/>
    <n v="1314.65"/>
    <n v="4002"/>
  </r>
  <r>
    <x v="0"/>
    <x v="9"/>
    <x v="5"/>
    <x v="257"/>
    <x v="222"/>
    <x v="222"/>
    <s v="REVENUS"/>
    <x v="3"/>
    <s v="4002.001"/>
    <s v="Impôt ordinaire s/fortune PP"/>
    <n v="0"/>
    <n v="58.8"/>
    <n v="4002"/>
  </r>
  <r>
    <x v="0"/>
    <x v="9"/>
    <x v="5"/>
    <x v="257"/>
    <x v="222"/>
    <x v="222"/>
    <s v="REVENUS"/>
    <x v="6"/>
    <s v="4211.002"/>
    <s v="Intérêts de retard sur acomptes"/>
    <n v="0"/>
    <n v="0.35"/>
    <n v="4211"/>
  </r>
  <r>
    <x v="0"/>
    <x v="9"/>
    <x v="5"/>
    <x v="257"/>
    <x v="222"/>
    <x v="222"/>
    <s v="REVENUS"/>
    <x v="2"/>
    <s v="4001.001"/>
    <s v="Impôt revenu"/>
    <n v="0"/>
    <n v="-55390.7"/>
    <n v="4001"/>
  </r>
  <r>
    <x v="0"/>
    <x v="9"/>
    <x v="5"/>
    <x v="257"/>
    <x v="222"/>
    <x v="222"/>
    <s v="REVENUS"/>
    <x v="3"/>
    <s v="4002.001"/>
    <s v="Impôt ordinaire s/fortune PP"/>
    <n v="0"/>
    <n v="-6906.7"/>
    <n v="4002"/>
  </r>
  <r>
    <x v="0"/>
    <x v="9"/>
    <x v="5"/>
    <x v="257"/>
    <x v="222"/>
    <x v="222"/>
    <s v="REVENUS"/>
    <x v="3"/>
    <s v="4002.002"/>
    <s v="Impôt complémentaire s/fortune PP"/>
    <n v="0"/>
    <n v="28.1"/>
    <n v="4002"/>
  </r>
  <r>
    <x v="0"/>
    <x v="9"/>
    <x v="5"/>
    <x v="257"/>
    <x v="222"/>
    <x v="222"/>
    <s v="REVENUS"/>
    <x v="6"/>
    <s v="4211.001"/>
    <s v="Intérêts de retard sur factures"/>
    <n v="0"/>
    <n v="0.61"/>
    <n v="4211"/>
  </r>
  <r>
    <x v="0"/>
    <x v="9"/>
    <x v="5"/>
    <x v="257"/>
    <x v="222"/>
    <x v="222"/>
    <s v="REVENUS"/>
    <x v="6"/>
    <s v="4211.002"/>
    <s v="Intérêts de retard sur acomptes"/>
    <n v="0"/>
    <n v="1.21"/>
    <n v="4211"/>
  </r>
  <r>
    <x v="0"/>
    <x v="9"/>
    <x v="5"/>
    <x v="257"/>
    <x v="222"/>
    <x v="222"/>
    <s v="REVENUS"/>
    <x v="6"/>
    <s v="4221.002"/>
    <s v="Intérêts compensat. sur impôts distincts"/>
    <n v="0"/>
    <n v="4.72"/>
    <n v="4221"/>
  </r>
  <r>
    <x v="0"/>
    <x v="9"/>
    <x v="5"/>
    <x v="257"/>
    <x v="222"/>
    <x v="222"/>
    <s v="REVENUS"/>
    <x v="6"/>
    <s v="4211.002"/>
    <s v="Intérêts de retard sur acomptes"/>
    <n v="0"/>
    <n v="0.02"/>
    <n v="4211"/>
  </r>
  <r>
    <x v="0"/>
    <x v="9"/>
    <x v="5"/>
    <x v="257"/>
    <x v="222"/>
    <x v="222"/>
    <s v="REVENUS"/>
    <x v="6"/>
    <s v="4221.003"/>
    <s v="Intérêts compensat. / acomptes en faveur du fisc"/>
    <n v="0"/>
    <n v="0.28000000000000003"/>
    <n v="4221"/>
  </r>
  <r>
    <x v="0"/>
    <x v="9"/>
    <x v="5"/>
    <x v="257"/>
    <x v="222"/>
    <x v="222"/>
    <s v="REVENUS"/>
    <x v="2"/>
    <s v="4001.001"/>
    <s v="Impôt revenu"/>
    <n v="0"/>
    <n v="718.8"/>
    <n v="4001"/>
  </r>
  <r>
    <x v="0"/>
    <x v="9"/>
    <x v="5"/>
    <x v="257"/>
    <x v="222"/>
    <x v="222"/>
    <s v="REVENUS"/>
    <x v="6"/>
    <s v="4221.003"/>
    <s v="Intérêts compensat. / acomptes en faveur du fisc"/>
    <n v="0"/>
    <n v="7.0000000000000007E-2"/>
    <n v="4221"/>
  </r>
  <r>
    <x v="0"/>
    <x v="9"/>
    <x v="5"/>
    <x v="257"/>
    <x v="222"/>
    <x v="222"/>
    <s v="REVENUS"/>
    <x v="4"/>
    <s v="4051.001"/>
    <s v="Impôt sur les successions"/>
    <n v="0"/>
    <n v="11202.7"/>
    <n v="4051"/>
  </r>
  <r>
    <x v="0"/>
    <x v="9"/>
    <x v="5"/>
    <x v="257"/>
    <x v="222"/>
    <x v="222"/>
    <s v="REVENUS"/>
    <x v="2"/>
    <s v="4001.001"/>
    <s v="Impôt revenu"/>
    <n v="0"/>
    <n v="74.849999999999994"/>
    <n v="4001"/>
  </r>
  <r>
    <x v="0"/>
    <x v="9"/>
    <x v="5"/>
    <x v="257"/>
    <x v="222"/>
    <x v="222"/>
    <s v="REVENUS"/>
    <x v="6"/>
    <s v="4211.002"/>
    <s v="Intérêts de retard sur acomptes"/>
    <n v="0"/>
    <n v="0.38"/>
    <n v="4211"/>
  </r>
  <r>
    <x v="0"/>
    <x v="9"/>
    <x v="5"/>
    <x v="257"/>
    <x v="222"/>
    <x v="222"/>
    <s v="REVENUS"/>
    <x v="2"/>
    <s v="4001.002"/>
    <s v="Impôt complément s/revenu PP"/>
    <n v="0"/>
    <n v="77.25"/>
    <n v="4001"/>
  </r>
  <r>
    <x v="0"/>
    <x v="9"/>
    <x v="5"/>
    <x v="257"/>
    <x v="222"/>
    <x v="222"/>
    <s v="REVENUS"/>
    <x v="6"/>
    <s v="4211.001"/>
    <s v="Intérêts de retard sur factures"/>
    <n v="0"/>
    <n v="2.59"/>
    <n v="4211"/>
  </r>
  <r>
    <x v="0"/>
    <x v="9"/>
    <x v="5"/>
    <x v="257"/>
    <x v="222"/>
    <x v="222"/>
    <s v="REVENUS"/>
    <x v="11"/>
    <s v="4198.000"/>
    <s v="Contributions communales"/>
    <n v="0"/>
    <n v="103537.85"/>
    <n v="4198"/>
  </r>
  <r>
    <x v="0"/>
    <x v="9"/>
    <x v="5"/>
    <x v="257"/>
    <x v="222"/>
    <x v="222"/>
    <s v="REVENUS"/>
    <x v="6"/>
    <s v="4211.001"/>
    <s v="Intérêts de retard sur factures"/>
    <n v="0"/>
    <n v="-0.11"/>
    <n v="4211"/>
  </r>
  <r>
    <x v="0"/>
    <x v="9"/>
    <x v="5"/>
    <x v="257"/>
    <x v="222"/>
    <x v="222"/>
    <s v="REVENUS"/>
    <x v="6"/>
    <s v="4211.002"/>
    <s v="Intérêts de retard sur acomptes"/>
    <n v="0"/>
    <n v="-0.04"/>
    <n v="4211"/>
  </r>
  <r>
    <x v="0"/>
    <x v="9"/>
    <x v="5"/>
    <x v="257"/>
    <x v="222"/>
    <x v="222"/>
    <s v="REVENUS"/>
    <x v="6"/>
    <s v="4221.003"/>
    <s v="Intérêts compensat. / acomptes en faveur du fisc"/>
    <n v="0"/>
    <n v="-0.15"/>
    <n v="4221"/>
  </r>
  <r>
    <x v="0"/>
    <x v="9"/>
    <x v="5"/>
    <x v="257"/>
    <x v="222"/>
    <x v="222"/>
    <s v="REVENUS"/>
    <x v="6"/>
    <s v="4221.003"/>
    <s v="Intérêts compensat. / acomptes en faveur du fisc"/>
    <n v="0"/>
    <n v="0.02"/>
    <n v="4221"/>
  </r>
  <r>
    <x v="0"/>
    <x v="9"/>
    <x v="5"/>
    <x v="257"/>
    <x v="222"/>
    <x v="222"/>
    <s v="REVENUS"/>
    <x v="3"/>
    <s v="4002.001"/>
    <s v="Impôt ordinaire s/fortune PP"/>
    <n v="0"/>
    <n v="20.85"/>
    <n v="4002"/>
  </r>
  <r>
    <x v="0"/>
    <x v="9"/>
    <x v="5"/>
    <x v="258"/>
    <x v="223"/>
    <x v="223"/>
    <s v="CHARGES"/>
    <x v="0"/>
    <s v="3212.002"/>
    <s v="Intérêts bonifiés/trop perçu acompte C/C"/>
    <n v="6.95"/>
    <n v="0"/>
    <n v="3212"/>
  </r>
  <r>
    <x v="0"/>
    <x v="9"/>
    <x v="5"/>
    <x v="258"/>
    <x v="223"/>
    <x v="223"/>
    <s v="CHARGES"/>
    <x v="1"/>
    <s v="3301.001"/>
    <s v="Défalcations, abandons de solde PP et IS"/>
    <n v="21852.99"/>
    <n v="0"/>
    <n v="3301"/>
  </r>
  <r>
    <x v="0"/>
    <x v="9"/>
    <x v="5"/>
    <x v="258"/>
    <x v="223"/>
    <x v="223"/>
    <s v="CHARGES"/>
    <x v="0"/>
    <s v="3212.004"/>
    <s v="Intérêts rémun./perçu trop tôt sur acomptes C/C"/>
    <n v="209.89"/>
    <n v="0"/>
    <n v="3212"/>
  </r>
  <r>
    <x v="0"/>
    <x v="9"/>
    <x v="5"/>
    <x v="258"/>
    <x v="223"/>
    <x v="223"/>
    <s v="CHARGES"/>
    <x v="0"/>
    <s v="3221.002"/>
    <s v="Intérêts compensatoires / créances en faveur ctb."/>
    <n v="83.29"/>
    <n v="0"/>
    <n v="3221"/>
  </r>
  <r>
    <x v="0"/>
    <x v="9"/>
    <x v="5"/>
    <x v="258"/>
    <x v="223"/>
    <x v="223"/>
    <s v="CHARGES"/>
    <x v="1"/>
    <s v="3301.001"/>
    <s v="Défalcations, abandons de solde PP et IS"/>
    <n v="0.09"/>
    <n v="0"/>
    <n v="3301"/>
  </r>
  <r>
    <x v="0"/>
    <x v="9"/>
    <x v="5"/>
    <x v="258"/>
    <x v="223"/>
    <x v="223"/>
    <s v="CHARGES"/>
    <x v="0"/>
    <s v="3212.004"/>
    <s v="Intérêts rémun./perçu trop tôt sur acomptes C/C"/>
    <n v="1.56"/>
    <n v="0"/>
    <n v="3212"/>
  </r>
  <r>
    <x v="0"/>
    <x v="9"/>
    <x v="5"/>
    <x v="258"/>
    <x v="223"/>
    <x v="223"/>
    <s v="CHARGES"/>
    <x v="0"/>
    <s v="3221.002"/>
    <s v="Intérêts compensatoires / créances en faveur ctb."/>
    <n v="0.52"/>
    <n v="0"/>
    <n v="3221"/>
  </r>
  <r>
    <x v="0"/>
    <x v="9"/>
    <x v="5"/>
    <x v="258"/>
    <x v="223"/>
    <x v="223"/>
    <s v="CHARGES"/>
    <x v="1"/>
    <s v="3301.001"/>
    <s v="Défalcations, abandons de solde PP et IS"/>
    <n v="0.43"/>
    <n v="0"/>
    <n v="3301"/>
  </r>
  <r>
    <x v="0"/>
    <x v="9"/>
    <x v="5"/>
    <x v="258"/>
    <x v="223"/>
    <x v="223"/>
    <s v="CHARGES"/>
    <x v="0"/>
    <s v="3212.004"/>
    <s v="Intérêts rémun./perçu trop tôt sur acomptes C/C"/>
    <n v="0.31"/>
    <n v="0"/>
    <n v="3212"/>
  </r>
  <r>
    <x v="0"/>
    <x v="9"/>
    <x v="5"/>
    <x v="258"/>
    <x v="223"/>
    <x v="223"/>
    <s v="CHARGES"/>
    <x v="0"/>
    <s v="3221.002"/>
    <s v="Intérêts compensatoires / créances en faveur ctb."/>
    <n v="0.11"/>
    <n v="0"/>
    <n v="3221"/>
  </r>
  <r>
    <x v="0"/>
    <x v="9"/>
    <x v="5"/>
    <x v="258"/>
    <x v="223"/>
    <x v="223"/>
    <s v="CHARGES"/>
    <x v="1"/>
    <s v="3301.001"/>
    <s v="Défalcations, abandons de solde PP et IS"/>
    <n v="0.03"/>
    <n v="0"/>
    <n v="3301"/>
  </r>
  <r>
    <x v="0"/>
    <x v="9"/>
    <x v="5"/>
    <x v="258"/>
    <x v="223"/>
    <x v="223"/>
    <s v="CHARGES"/>
    <x v="0"/>
    <s v="3221.002"/>
    <s v="Intérêts compensatoires / créances en faveur ctb."/>
    <n v="0.13"/>
    <n v="0"/>
    <n v="3221"/>
  </r>
  <r>
    <x v="0"/>
    <x v="9"/>
    <x v="5"/>
    <x v="258"/>
    <x v="223"/>
    <x v="223"/>
    <s v="CHARGES"/>
    <x v="1"/>
    <s v="3301.003"/>
    <s v="Remises PP et IS"/>
    <n v="294.93"/>
    <n v="0"/>
    <n v="3301"/>
  </r>
  <r>
    <x v="0"/>
    <x v="9"/>
    <x v="5"/>
    <x v="258"/>
    <x v="223"/>
    <x v="223"/>
    <s v="REVENUS"/>
    <x v="2"/>
    <s v="4001.007"/>
    <s v="Acompte impôt sur revenu"/>
    <n v="0"/>
    <n v="-134397.13"/>
    <n v="4001"/>
  </r>
  <r>
    <x v="0"/>
    <x v="9"/>
    <x v="5"/>
    <x v="258"/>
    <x v="223"/>
    <x v="223"/>
    <s v="REVENUS"/>
    <x v="9"/>
    <s v="4031.001"/>
    <s v="Impôt sur les gains immobiliers"/>
    <n v="0"/>
    <n v="48004.25"/>
    <n v="4031"/>
  </r>
  <r>
    <x v="0"/>
    <x v="9"/>
    <x v="5"/>
    <x v="258"/>
    <x v="223"/>
    <x v="223"/>
    <s v="REVENUS"/>
    <x v="6"/>
    <s v="4211.001"/>
    <s v="Intérêts de retard sur factures"/>
    <n v="0"/>
    <n v="2865.52"/>
    <n v="4211"/>
  </r>
  <r>
    <x v="0"/>
    <x v="9"/>
    <x v="5"/>
    <x v="258"/>
    <x v="223"/>
    <x v="223"/>
    <s v="REVENUS"/>
    <x v="2"/>
    <s v="4001.001"/>
    <s v="Impôt revenu"/>
    <n v="0"/>
    <n v="809556.55"/>
    <n v="4001"/>
  </r>
  <r>
    <x v="0"/>
    <x v="9"/>
    <x v="5"/>
    <x v="258"/>
    <x v="223"/>
    <x v="223"/>
    <s v="REVENUS"/>
    <x v="3"/>
    <s v="4002.001"/>
    <s v="Impôt ordinaire s/fortune PP"/>
    <n v="0"/>
    <n v="102613.4"/>
    <n v="4002"/>
  </r>
  <r>
    <x v="0"/>
    <x v="9"/>
    <x v="5"/>
    <x v="258"/>
    <x v="223"/>
    <x v="223"/>
    <s v="REVENUS"/>
    <x v="3"/>
    <s v="4002.007"/>
    <s v="Acompte impôt sur fortune"/>
    <n v="0"/>
    <n v="-28911.73"/>
    <n v="4002"/>
  </r>
  <r>
    <x v="0"/>
    <x v="9"/>
    <x v="5"/>
    <x v="258"/>
    <x v="223"/>
    <x v="223"/>
    <s v="REVENUS"/>
    <x v="6"/>
    <s v="4221.003"/>
    <s v="Intérêts compensat. / acomptes en faveur du fisc"/>
    <n v="0"/>
    <n v="78.73"/>
    <n v="4221"/>
  </r>
  <r>
    <x v="0"/>
    <x v="9"/>
    <x v="5"/>
    <x v="258"/>
    <x v="223"/>
    <x v="223"/>
    <s v="REVENUS"/>
    <x v="2"/>
    <s v="4001.002"/>
    <s v="Impôt complément s/revenu PP"/>
    <n v="0"/>
    <n v="100663.8"/>
    <n v="4001"/>
  </r>
  <r>
    <x v="0"/>
    <x v="9"/>
    <x v="5"/>
    <x v="258"/>
    <x v="223"/>
    <x v="223"/>
    <s v="REVENUS"/>
    <x v="6"/>
    <s v="4211.002"/>
    <s v="Intérêts de retard sur acomptes"/>
    <n v="0"/>
    <n v="4149.13"/>
    <n v="4211"/>
  </r>
  <r>
    <x v="0"/>
    <x v="9"/>
    <x v="5"/>
    <x v="258"/>
    <x v="223"/>
    <x v="223"/>
    <s v="REVENUS"/>
    <x v="2"/>
    <s v="4001.001"/>
    <s v="Impôt revenu"/>
    <n v="0"/>
    <n v="122.9"/>
    <n v="4001"/>
  </r>
  <r>
    <x v="0"/>
    <x v="9"/>
    <x v="5"/>
    <x v="258"/>
    <x v="223"/>
    <x v="223"/>
    <s v="REVENUS"/>
    <x v="2"/>
    <s v="4001.002"/>
    <s v="Impôt complément s/revenu PP"/>
    <n v="0"/>
    <n v="47.75"/>
    <n v="4001"/>
  </r>
  <r>
    <x v="0"/>
    <x v="9"/>
    <x v="5"/>
    <x v="258"/>
    <x v="223"/>
    <x v="223"/>
    <s v="REVENUS"/>
    <x v="6"/>
    <s v="4211.002"/>
    <s v="Intérêts de retard sur acomptes"/>
    <n v="0"/>
    <n v="2.99"/>
    <n v="4211"/>
  </r>
  <r>
    <x v="0"/>
    <x v="9"/>
    <x v="5"/>
    <x v="258"/>
    <x v="223"/>
    <x v="223"/>
    <s v="REVENUS"/>
    <x v="7"/>
    <s v="4184.000"/>
    <s v="Frais de poursuite"/>
    <n v="0"/>
    <n v="1482.09"/>
    <n v="4184"/>
  </r>
  <r>
    <x v="0"/>
    <x v="9"/>
    <x v="5"/>
    <x v="258"/>
    <x v="223"/>
    <x v="223"/>
    <s v="REVENUS"/>
    <x v="10"/>
    <s v="4041.001"/>
    <s v="Droits de mutation"/>
    <n v="0"/>
    <n v="22265.9"/>
    <n v="4041"/>
  </r>
  <r>
    <x v="0"/>
    <x v="9"/>
    <x v="5"/>
    <x v="258"/>
    <x v="223"/>
    <x v="223"/>
    <s v="REVENUS"/>
    <x v="3"/>
    <s v="4002.002"/>
    <s v="Impôt complémentaire s/fortune PP"/>
    <n v="0"/>
    <n v="21389.3"/>
    <n v="4002"/>
  </r>
  <r>
    <x v="0"/>
    <x v="9"/>
    <x v="5"/>
    <x v="258"/>
    <x v="223"/>
    <x v="223"/>
    <s v="REVENUS"/>
    <x v="3"/>
    <s v="4002.007"/>
    <s v="Acompte impôt sur fortune"/>
    <n v="0"/>
    <n v="-159.05000000000001"/>
    <n v="4002"/>
  </r>
  <r>
    <x v="0"/>
    <x v="9"/>
    <x v="5"/>
    <x v="258"/>
    <x v="223"/>
    <x v="223"/>
    <s v="REVENUS"/>
    <x v="6"/>
    <s v="4221.003"/>
    <s v="Intérêts compensat. / acomptes en faveur du fisc"/>
    <n v="0"/>
    <n v="7.0000000000000007E-2"/>
    <n v="4221"/>
  </r>
  <r>
    <x v="0"/>
    <x v="9"/>
    <x v="5"/>
    <x v="258"/>
    <x v="223"/>
    <x v="223"/>
    <s v="REVENUS"/>
    <x v="3"/>
    <s v="4002.007"/>
    <s v="Acompte impôt sur fortune"/>
    <n v="0"/>
    <n v="1057.45"/>
    <n v="4002"/>
  </r>
  <r>
    <x v="0"/>
    <x v="9"/>
    <x v="5"/>
    <x v="258"/>
    <x v="223"/>
    <x v="223"/>
    <s v="REVENUS"/>
    <x v="2"/>
    <s v="4001.007"/>
    <s v="Acompte impôt sur revenu"/>
    <n v="0"/>
    <n v="4695.3"/>
    <n v="4001"/>
  </r>
  <r>
    <x v="0"/>
    <x v="9"/>
    <x v="5"/>
    <x v="258"/>
    <x v="223"/>
    <x v="223"/>
    <s v="REVENUS"/>
    <x v="3"/>
    <s v="4002.001"/>
    <s v="Impôt ordinaire s/fortune PP"/>
    <n v="0"/>
    <n v="649.15"/>
    <n v="4002"/>
  </r>
  <r>
    <x v="0"/>
    <x v="9"/>
    <x v="5"/>
    <x v="258"/>
    <x v="223"/>
    <x v="223"/>
    <s v="REVENUS"/>
    <x v="3"/>
    <s v="4002.007"/>
    <s v="Acompte impôt sur fortune"/>
    <n v="0"/>
    <n v="1361.44"/>
    <n v="4002"/>
  </r>
  <r>
    <x v="0"/>
    <x v="9"/>
    <x v="5"/>
    <x v="258"/>
    <x v="223"/>
    <x v="223"/>
    <s v="REVENUS"/>
    <x v="3"/>
    <s v="4002.007"/>
    <s v="Acompte impôt sur fortune"/>
    <n v="0"/>
    <n v="-52.38"/>
    <n v="4002"/>
  </r>
  <r>
    <x v="0"/>
    <x v="9"/>
    <x v="5"/>
    <x v="258"/>
    <x v="223"/>
    <x v="223"/>
    <s v="REVENUS"/>
    <x v="2"/>
    <s v="4001.007"/>
    <s v="Acompte impôt sur revenu"/>
    <n v="0"/>
    <n v="-390.55"/>
    <n v="4001"/>
  </r>
  <r>
    <x v="0"/>
    <x v="9"/>
    <x v="5"/>
    <x v="258"/>
    <x v="223"/>
    <x v="223"/>
    <s v="REVENUS"/>
    <x v="3"/>
    <s v="4002.007"/>
    <s v="Acompte impôt sur fortune"/>
    <n v="0"/>
    <n v="2.8"/>
    <n v="4002"/>
  </r>
  <r>
    <x v="0"/>
    <x v="9"/>
    <x v="5"/>
    <x v="258"/>
    <x v="223"/>
    <x v="223"/>
    <s v="REVENUS"/>
    <x v="2"/>
    <s v="4001.007"/>
    <s v="Acompte impôt sur revenu"/>
    <n v="0"/>
    <n v="1347.83"/>
    <n v="4001"/>
  </r>
  <r>
    <x v="0"/>
    <x v="9"/>
    <x v="5"/>
    <x v="258"/>
    <x v="223"/>
    <x v="223"/>
    <s v="REVENUS"/>
    <x v="2"/>
    <s v="4001.007"/>
    <s v="Acompte impôt sur revenu"/>
    <n v="0"/>
    <n v="-103.25"/>
    <n v="4001"/>
  </r>
  <r>
    <x v="0"/>
    <x v="9"/>
    <x v="5"/>
    <x v="258"/>
    <x v="223"/>
    <x v="223"/>
    <s v="REVENUS"/>
    <x v="2"/>
    <s v="4001.003"/>
    <s v="Impôt s/prest. cap. PP"/>
    <n v="0"/>
    <n v="8763.4"/>
    <n v="4001"/>
  </r>
  <r>
    <x v="0"/>
    <x v="9"/>
    <x v="5"/>
    <x v="258"/>
    <x v="223"/>
    <x v="223"/>
    <s v="REVENUS"/>
    <x v="7"/>
    <s v="4184.000"/>
    <s v="Frais de poursuite"/>
    <n v="0"/>
    <n v="86.15"/>
    <n v="4184"/>
  </r>
  <r>
    <x v="0"/>
    <x v="9"/>
    <x v="5"/>
    <x v="258"/>
    <x v="223"/>
    <x v="223"/>
    <s v="REVENUS"/>
    <x v="2"/>
    <s v="4001.001"/>
    <s v="Impôt revenu"/>
    <n v="0"/>
    <n v="1230.3499999999999"/>
    <n v="4001"/>
  </r>
  <r>
    <x v="0"/>
    <x v="9"/>
    <x v="5"/>
    <x v="258"/>
    <x v="223"/>
    <x v="223"/>
    <s v="REVENUS"/>
    <x v="3"/>
    <s v="4002.001"/>
    <s v="Impôt ordinaire s/fortune PP"/>
    <n v="0"/>
    <n v="961.1"/>
    <n v="4002"/>
  </r>
  <r>
    <x v="0"/>
    <x v="9"/>
    <x v="5"/>
    <x v="258"/>
    <x v="223"/>
    <x v="223"/>
    <s v="REVENUS"/>
    <x v="6"/>
    <s v="4221.003"/>
    <s v="Intérêts compensat. / acomptes en faveur du fisc"/>
    <n v="0"/>
    <n v="0.43"/>
    <n v="4221"/>
  </r>
  <r>
    <x v="0"/>
    <x v="9"/>
    <x v="5"/>
    <x v="258"/>
    <x v="223"/>
    <x v="223"/>
    <s v="REVENUS"/>
    <x v="5"/>
    <s v="4061.000"/>
    <s v="Impôt sur les chiens"/>
    <n v="0"/>
    <n v="4104"/>
    <n v="4061"/>
  </r>
  <r>
    <x v="0"/>
    <x v="9"/>
    <x v="5"/>
    <x v="258"/>
    <x v="223"/>
    <x v="223"/>
    <s v="REVENUS"/>
    <x v="6"/>
    <s v="4221.002"/>
    <s v="Intérêts compensat. sur impôts distincts"/>
    <n v="0"/>
    <n v="6.95"/>
    <n v="4221"/>
  </r>
  <r>
    <x v="0"/>
    <x v="9"/>
    <x v="5"/>
    <x v="258"/>
    <x v="223"/>
    <x v="223"/>
    <s v="REVENUS"/>
    <x v="4"/>
    <s v="4051.002"/>
    <s v="Impôt sur les donations"/>
    <n v="0"/>
    <n v="4475.5"/>
    <n v="4051"/>
  </r>
  <r>
    <x v="0"/>
    <x v="9"/>
    <x v="5"/>
    <x v="258"/>
    <x v="223"/>
    <x v="223"/>
    <s v="REVENUS"/>
    <x v="6"/>
    <s v="4211.002"/>
    <s v="Intérêts de retard sur acomptes"/>
    <n v="0"/>
    <n v="22.49"/>
    <n v="4211"/>
  </r>
  <r>
    <x v="0"/>
    <x v="9"/>
    <x v="5"/>
    <x v="258"/>
    <x v="223"/>
    <x v="223"/>
    <s v="REVENUS"/>
    <x v="3"/>
    <s v="4002.002"/>
    <s v="Impôt complémentaire s/fortune PP"/>
    <n v="0"/>
    <n v="59.7"/>
    <n v="4002"/>
  </r>
  <r>
    <x v="0"/>
    <x v="9"/>
    <x v="5"/>
    <x v="258"/>
    <x v="223"/>
    <x v="223"/>
    <s v="REVENUS"/>
    <x v="3"/>
    <s v="4002.001"/>
    <s v="Impôt ordinaire s/fortune PP"/>
    <n v="0"/>
    <n v="2.8"/>
    <n v="4002"/>
  </r>
  <r>
    <x v="0"/>
    <x v="9"/>
    <x v="5"/>
    <x v="258"/>
    <x v="223"/>
    <x v="223"/>
    <s v="REVENUS"/>
    <x v="2"/>
    <s v="4001.001"/>
    <s v="Impôt revenu"/>
    <n v="0"/>
    <n v="1877.9"/>
    <n v="4001"/>
  </r>
  <r>
    <x v="0"/>
    <x v="9"/>
    <x v="5"/>
    <x v="258"/>
    <x v="223"/>
    <x v="223"/>
    <s v="REVENUS"/>
    <x v="6"/>
    <s v="4221.003"/>
    <s v="Intérêts compensat. / acomptes en faveur du fisc"/>
    <n v="0"/>
    <n v="0.03"/>
    <n v="4221"/>
  </r>
  <r>
    <x v="0"/>
    <x v="9"/>
    <x v="5"/>
    <x v="258"/>
    <x v="223"/>
    <x v="223"/>
    <s v="REVENUS"/>
    <x v="3"/>
    <s v="4002.007"/>
    <s v="Acompte impôt sur fortune"/>
    <n v="0"/>
    <n v="-32.5"/>
    <n v="4002"/>
  </r>
  <r>
    <x v="0"/>
    <x v="9"/>
    <x v="5"/>
    <x v="258"/>
    <x v="223"/>
    <x v="223"/>
    <s v="REVENUS"/>
    <x v="6"/>
    <s v="4211.002"/>
    <s v="Intérêts de retard sur acomptes"/>
    <n v="0"/>
    <n v="0.1"/>
    <n v="4211"/>
  </r>
  <r>
    <x v="0"/>
    <x v="9"/>
    <x v="5"/>
    <x v="258"/>
    <x v="223"/>
    <x v="223"/>
    <s v="REVENUS"/>
    <x v="3"/>
    <s v="4002.001"/>
    <s v="Impôt ordinaire s/fortune PP"/>
    <n v="0"/>
    <n v="1303.7"/>
    <n v="4002"/>
  </r>
  <r>
    <x v="0"/>
    <x v="9"/>
    <x v="5"/>
    <x v="258"/>
    <x v="223"/>
    <x v="223"/>
    <s v="REVENUS"/>
    <x v="6"/>
    <s v="4211.002"/>
    <s v="Intérêts de retard sur acomptes"/>
    <n v="0"/>
    <n v="7.23"/>
    <n v="4211"/>
  </r>
  <r>
    <x v="0"/>
    <x v="9"/>
    <x v="5"/>
    <x v="258"/>
    <x v="223"/>
    <x v="223"/>
    <s v="REVENUS"/>
    <x v="6"/>
    <s v="4211.001"/>
    <s v="Intérêts de retard sur factures"/>
    <n v="0"/>
    <n v="0.1"/>
    <n v="4211"/>
  </r>
  <r>
    <x v="0"/>
    <x v="9"/>
    <x v="5"/>
    <x v="258"/>
    <x v="223"/>
    <x v="223"/>
    <s v="REVENUS"/>
    <x v="2"/>
    <s v="4001.001"/>
    <s v="Impôt revenu"/>
    <n v="0"/>
    <n v="5011.55"/>
    <n v="4001"/>
  </r>
  <r>
    <x v="0"/>
    <x v="9"/>
    <x v="5"/>
    <x v="258"/>
    <x v="223"/>
    <x v="223"/>
    <s v="REVENUS"/>
    <x v="2"/>
    <s v="4001.007"/>
    <s v="Acompte impôt sur revenu"/>
    <n v="0"/>
    <n v="-1241"/>
    <n v="4001"/>
  </r>
  <r>
    <x v="0"/>
    <x v="9"/>
    <x v="5"/>
    <x v="258"/>
    <x v="223"/>
    <x v="223"/>
    <s v="REVENUS"/>
    <x v="6"/>
    <s v="4221.003"/>
    <s v="Intérêts compensat. / acomptes en faveur du fisc"/>
    <n v="0"/>
    <n v="3.34"/>
    <n v="4221"/>
  </r>
  <r>
    <x v="0"/>
    <x v="9"/>
    <x v="5"/>
    <x v="258"/>
    <x v="223"/>
    <x v="223"/>
    <s v="REVENUS"/>
    <x v="11"/>
    <s v="4198.000"/>
    <s v="Contributions communales"/>
    <n v="0"/>
    <n v="75466.899999999994"/>
    <n v="4198"/>
  </r>
  <r>
    <x v="0"/>
    <x v="9"/>
    <x v="5"/>
    <x v="258"/>
    <x v="223"/>
    <x v="223"/>
    <s v="REVENUS"/>
    <x v="4"/>
    <s v="4051.001"/>
    <s v="Impôt sur les successions"/>
    <n v="0"/>
    <n v="4355"/>
    <n v="4051"/>
  </r>
  <r>
    <x v="0"/>
    <x v="9"/>
    <x v="5"/>
    <x v="258"/>
    <x v="223"/>
    <x v="223"/>
    <s v="REVENUS"/>
    <x v="7"/>
    <s v="4184.000"/>
    <s v="Frais de poursuite"/>
    <n v="0"/>
    <n v="3.45"/>
    <n v="4184"/>
  </r>
  <r>
    <x v="0"/>
    <x v="9"/>
    <x v="5"/>
    <x v="258"/>
    <x v="223"/>
    <x v="223"/>
    <s v="REVENUS"/>
    <x v="2"/>
    <s v="4001.007"/>
    <s v="Acompte impôt sur revenu"/>
    <n v="0"/>
    <n v="43.69"/>
    <n v="4001"/>
  </r>
  <r>
    <x v="0"/>
    <x v="9"/>
    <x v="5"/>
    <x v="259"/>
    <x v="224"/>
    <x v="224"/>
    <s v="CHARGES"/>
    <x v="1"/>
    <s v="3301.001"/>
    <s v="Défalcations, abandons de solde PP et IS"/>
    <n v="43.39"/>
    <n v="0"/>
    <n v="3301"/>
  </r>
  <r>
    <x v="0"/>
    <x v="9"/>
    <x v="5"/>
    <x v="259"/>
    <x v="224"/>
    <x v="224"/>
    <s v="CHARGES"/>
    <x v="0"/>
    <s v="3212.004"/>
    <s v="Intérêts rémun./perçu trop tôt sur acomptes C/C"/>
    <n v="55.94"/>
    <n v="0"/>
    <n v="3212"/>
  </r>
  <r>
    <x v="0"/>
    <x v="9"/>
    <x v="5"/>
    <x v="259"/>
    <x v="224"/>
    <x v="224"/>
    <s v="CHARGES"/>
    <x v="0"/>
    <s v="3221.002"/>
    <s v="Intérêts compensatoires / créances en faveur ctb."/>
    <n v="46.14"/>
    <n v="0"/>
    <n v="3221"/>
  </r>
  <r>
    <x v="0"/>
    <x v="9"/>
    <x v="5"/>
    <x v="259"/>
    <x v="224"/>
    <x v="224"/>
    <s v="CHARGES"/>
    <x v="0"/>
    <s v="3212.004"/>
    <s v="Intérêts rémun./perçu trop tôt sur acomptes C/C"/>
    <n v="-0.04"/>
    <n v="0"/>
    <n v="3212"/>
  </r>
  <r>
    <x v="0"/>
    <x v="9"/>
    <x v="5"/>
    <x v="259"/>
    <x v="224"/>
    <x v="224"/>
    <s v="CHARGES"/>
    <x v="0"/>
    <s v="3221.002"/>
    <s v="Intérêts compensatoires / créances en faveur ctb."/>
    <n v="-0.04"/>
    <n v="0"/>
    <n v="3221"/>
  </r>
  <r>
    <x v="0"/>
    <x v="9"/>
    <x v="5"/>
    <x v="259"/>
    <x v="224"/>
    <x v="224"/>
    <s v="CHARGES"/>
    <x v="1"/>
    <s v="3301.001"/>
    <s v="Défalcations, abandons de solde PP et IS"/>
    <n v="0.17"/>
    <n v="0"/>
    <n v="3301"/>
  </r>
  <r>
    <x v="0"/>
    <x v="9"/>
    <x v="5"/>
    <x v="259"/>
    <x v="224"/>
    <x v="224"/>
    <s v="CHARGES"/>
    <x v="0"/>
    <s v="3212.004"/>
    <s v="Intérêts rémun./perçu trop tôt sur acomptes C/C"/>
    <n v="0.21"/>
    <n v="0"/>
    <n v="3212"/>
  </r>
  <r>
    <x v="0"/>
    <x v="9"/>
    <x v="5"/>
    <x v="259"/>
    <x v="224"/>
    <x v="224"/>
    <s v="CHARGES"/>
    <x v="0"/>
    <s v="3221.002"/>
    <s v="Intérêts compensatoires / créances en faveur ctb."/>
    <n v="0.21"/>
    <n v="0"/>
    <n v="3221"/>
  </r>
  <r>
    <x v="0"/>
    <x v="9"/>
    <x v="5"/>
    <x v="259"/>
    <x v="224"/>
    <x v="224"/>
    <s v="CHARGES"/>
    <x v="0"/>
    <s v="3212.004"/>
    <s v="Intérêts rémun./perçu trop tôt sur acomptes C/C"/>
    <n v="0.47"/>
    <n v="0"/>
    <n v="3212"/>
  </r>
  <r>
    <x v="0"/>
    <x v="9"/>
    <x v="5"/>
    <x v="259"/>
    <x v="224"/>
    <x v="224"/>
    <s v="CHARGES"/>
    <x v="0"/>
    <s v="3221.002"/>
    <s v="Intérêts compensatoires / créances en faveur ctb."/>
    <n v="0.55000000000000004"/>
    <n v="0"/>
    <n v="3221"/>
  </r>
  <r>
    <x v="0"/>
    <x v="9"/>
    <x v="5"/>
    <x v="259"/>
    <x v="224"/>
    <x v="224"/>
    <s v="REVENUS"/>
    <x v="6"/>
    <s v="4211.001"/>
    <s v="Intérêts de retard sur factures"/>
    <n v="0"/>
    <n v="279.51"/>
    <n v="4211"/>
  </r>
  <r>
    <x v="0"/>
    <x v="9"/>
    <x v="5"/>
    <x v="259"/>
    <x v="224"/>
    <x v="224"/>
    <s v="REVENUS"/>
    <x v="2"/>
    <s v="4001.001"/>
    <s v="Impôt revenu"/>
    <n v="0"/>
    <n v="266324"/>
    <n v="4001"/>
  </r>
  <r>
    <x v="0"/>
    <x v="9"/>
    <x v="5"/>
    <x v="259"/>
    <x v="224"/>
    <x v="224"/>
    <s v="REVENUS"/>
    <x v="3"/>
    <s v="4002.001"/>
    <s v="Impôt ordinaire s/fortune PP"/>
    <n v="0"/>
    <n v="27313.8"/>
    <n v="4002"/>
  </r>
  <r>
    <x v="0"/>
    <x v="9"/>
    <x v="5"/>
    <x v="259"/>
    <x v="224"/>
    <x v="224"/>
    <s v="REVENUS"/>
    <x v="3"/>
    <s v="4002.007"/>
    <s v="Acompte impôt sur fortune"/>
    <n v="0"/>
    <n v="-4226.07"/>
    <n v="4002"/>
  </r>
  <r>
    <x v="0"/>
    <x v="9"/>
    <x v="5"/>
    <x v="259"/>
    <x v="224"/>
    <x v="224"/>
    <s v="REVENUS"/>
    <x v="6"/>
    <s v="4221.003"/>
    <s v="Intérêts compensat. / acomptes en faveur du fisc"/>
    <n v="0"/>
    <n v="70.959999999999994"/>
    <n v="4221"/>
  </r>
  <r>
    <x v="0"/>
    <x v="9"/>
    <x v="5"/>
    <x v="259"/>
    <x v="224"/>
    <x v="224"/>
    <s v="REVENUS"/>
    <x v="2"/>
    <s v="4001.007"/>
    <s v="Acompte impôt sur revenu"/>
    <n v="0"/>
    <n v="-46228.53"/>
    <n v="4001"/>
  </r>
  <r>
    <x v="0"/>
    <x v="9"/>
    <x v="5"/>
    <x v="259"/>
    <x v="224"/>
    <x v="224"/>
    <s v="REVENUS"/>
    <x v="6"/>
    <s v="4211.002"/>
    <s v="Intérêts de retard sur acomptes"/>
    <n v="0"/>
    <n v="2710.63"/>
    <n v="4211"/>
  </r>
  <r>
    <x v="0"/>
    <x v="9"/>
    <x v="5"/>
    <x v="259"/>
    <x v="224"/>
    <x v="224"/>
    <s v="REVENUS"/>
    <x v="2"/>
    <s v="4001.003"/>
    <s v="Impôt s/prest. cap. PP"/>
    <n v="0"/>
    <n v="11389.75"/>
    <n v="4001"/>
  </r>
  <r>
    <x v="0"/>
    <x v="9"/>
    <x v="5"/>
    <x v="259"/>
    <x v="224"/>
    <x v="224"/>
    <s v="REVENUS"/>
    <x v="7"/>
    <s v="4184.000"/>
    <s v="Frais de poursuite"/>
    <n v="0"/>
    <n v="261.36"/>
    <n v="4184"/>
  </r>
  <r>
    <x v="0"/>
    <x v="9"/>
    <x v="5"/>
    <x v="259"/>
    <x v="224"/>
    <x v="224"/>
    <s v="REVENUS"/>
    <x v="2"/>
    <s v="4001.002"/>
    <s v="Impôt complément s/revenu PP"/>
    <n v="0"/>
    <n v="10527.8"/>
    <n v="4001"/>
  </r>
  <r>
    <x v="0"/>
    <x v="9"/>
    <x v="5"/>
    <x v="259"/>
    <x v="224"/>
    <x v="224"/>
    <s v="REVENUS"/>
    <x v="3"/>
    <s v="4002.007"/>
    <s v="Acompte impôt sur fortune"/>
    <n v="0"/>
    <n v="0.75"/>
    <n v="4002"/>
  </r>
  <r>
    <x v="0"/>
    <x v="9"/>
    <x v="5"/>
    <x v="259"/>
    <x v="224"/>
    <x v="224"/>
    <s v="REVENUS"/>
    <x v="3"/>
    <s v="4002.007"/>
    <s v="Acompte impôt sur fortune"/>
    <n v="0"/>
    <n v="-50.1"/>
    <n v="4002"/>
  </r>
  <r>
    <x v="0"/>
    <x v="9"/>
    <x v="5"/>
    <x v="259"/>
    <x v="224"/>
    <x v="224"/>
    <s v="REVENUS"/>
    <x v="2"/>
    <s v="4001.007"/>
    <s v="Acompte impôt sur revenu"/>
    <n v="0"/>
    <n v="28.9"/>
    <n v="4001"/>
  </r>
  <r>
    <x v="0"/>
    <x v="9"/>
    <x v="5"/>
    <x v="259"/>
    <x v="224"/>
    <x v="224"/>
    <s v="REVENUS"/>
    <x v="3"/>
    <s v="4002.007"/>
    <s v="Acompte impôt sur fortune"/>
    <n v="0"/>
    <n v="-25.55"/>
    <n v="4002"/>
  </r>
  <r>
    <x v="0"/>
    <x v="9"/>
    <x v="5"/>
    <x v="259"/>
    <x v="224"/>
    <x v="224"/>
    <s v="REVENUS"/>
    <x v="2"/>
    <s v="4001.007"/>
    <s v="Acompte impôt sur revenu"/>
    <n v="0"/>
    <n v="-52.5"/>
    <n v="4001"/>
  </r>
  <r>
    <x v="0"/>
    <x v="9"/>
    <x v="5"/>
    <x v="259"/>
    <x v="224"/>
    <x v="224"/>
    <s v="REVENUS"/>
    <x v="2"/>
    <s v="4001.007"/>
    <s v="Acompte impôt sur revenu"/>
    <n v="0"/>
    <n v="154.35"/>
    <n v="4001"/>
  </r>
  <r>
    <x v="0"/>
    <x v="9"/>
    <x v="5"/>
    <x v="259"/>
    <x v="224"/>
    <x v="224"/>
    <s v="REVENUS"/>
    <x v="2"/>
    <s v="4001.001"/>
    <s v="Impôt revenu"/>
    <n v="0"/>
    <n v="-162.6"/>
    <n v="4001"/>
  </r>
  <r>
    <x v="0"/>
    <x v="9"/>
    <x v="5"/>
    <x v="259"/>
    <x v="224"/>
    <x v="224"/>
    <s v="REVENUS"/>
    <x v="3"/>
    <s v="4002.001"/>
    <s v="Impôt ordinaire s/fortune PP"/>
    <n v="0"/>
    <n v="-41.8"/>
    <n v="4002"/>
  </r>
  <r>
    <x v="0"/>
    <x v="9"/>
    <x v="5"/>
    <x v="259"/>
    <x v="224"/>
    <x v="224"/>
    <s v="REVENUS"/>
    <x v="3"/>
    <s v="4002.002"/>
    <s v="Impôt complémentaire s/fortune PP"/>
    <n v="0"/>
    <n v="2436.35"/>
    <n v="4002"/>
  </r>
  <r>
    <x v="0"/>
    <x v="9"/>
    <x v="5"/>
    <x v="259"/>
    <x v="224"/>
    <x v="224"/>
    <s v="REVENUS"/>
    <x v="2"/>
    <s v="4001.001"/>
    <s v="Impôt revenu"/>
    <n v="0"/>
    <n v="1099.1500000000001"/>
    <n v="4001"/>
  </r>
  <r>
    <x v="0"/>
    <x v="9"/>
    <x v="5"/>
    <x v="259"/>
    <x v="224"/>
    <x v="224"/>
    <s v="REVENUS"/>
    <x v="3"/>
    <s v="4002.001"/>
    <s v="Impôt ordinaire s/fortune PP"/>
    <n v="0"/>
    <n v="63.55"/>
    <n v="4002"/>
  </r>
  <r>
    <x v="0"/>
    <x v="9"/>
    <x v="5"/>
    <x v="259"/>
    <x v="224"/>
    <x v="224"/>
    <s v="REVENUS"/>
    <x v="6"/>
    <s v="4221.003"/>
    <s v="Intérêts compensat. / acomptes en faveur du fisc"/>
    <n v="0"/>
    <n v="0.19"/>
    <n v="4221"/>
  </r>
  <r>
    <x v="0"/>
    <x v="9"/>
    <x v="5"/>
    <x v="259"/>
    <x v="224"/>
    <x v="224"/>
    <s v="REVENUS"/>
    <x v="6"/>
    <s v="4221.002"/>
    <s v="Intérêts compensat. sur impôts distincts"/>
    <n v="0"/>
    <n v="0.1"/>
    <n v="4221"/>
  </r>
  <r>
    <x v="0"/>
    <x v="9"/>
    <x v="5"/>
    <x v="259"/>
    <x v="224"/>
    <x v="224"/>
    <s v="REVENUS"/>
    <x v="2"/>
    <s v="4001.001"/>
    <s v="Impôt revenu"/>
    <n v="0"/>
    <n v="211.25"/>
    <n v="4001"/>
  </r>
  <r>
    <x v="0"/>
    <x v="9"/>
    <x v="5"/>
    <x v="259"/>
    <x v="224"/>
    <x v="224"/>
    <s v="REVENUS"/>
    <x v="3"/>
    <s v="4002.001"/>
    <s v="Impôt ordinaire s/fortune PP"/>
    <n v="0"/>
    <n v="784.3"/>
    <n v="4002"/>
  </r>
  <r>
    <x v="0"/>
    <x v="9"/>
    <x v="5"/>
    <x v="259"/>
    <x v="224"/>
    <x v="224"/>
    <s v="REVENUS"/>
    <x v="5"/>
    <s v="4061.000"/>
    <s v="Impôt sur les chiens"/>
    <n v="0"/>
    <n v="1100"/>
    <n v="4061"/>
  </r>
  <r>
    <x v="0"/>
    <x v="9"/>
    <x v="5"/>
    <x v="259"/>
    <x v="224"/>
    <x v="224"/>
    <s v="REVENUS"/>
    <x v="2"/>
    <s v="4001.001"/>
    <s v="Impôt revenu"/>
    <n v="0"/>
    <n v="15.15"/>
    <n v="4001"/>
  </r>
  <r>
    <x v="0"/>
    <x v="9"/>
    <x v="5"/>
    <x v="259"/>
    <x v="224"/>
    <x v="224"/>
    <s v="REVENUS"/>
    <x v="3"/>
    <s v="4002.001"/>
    <s v="Impôt ordinaire s/fortune PP"/>
    <n v="0"/>
    <n v="1.1000000000000001"/>
    <n v="4002"/>
  </r>
  <r>
    <x v="0"/>
    <x v="9"/>
    <x v="5"/>
    <x v="259"/>
    <x v="224"/>
    <x v="224"/>
    <s v="REVENUS"/>
    <x v="6"/>
    <s v="4211.002"/>
    <s v="Intérêts de retard sur acomptes"/>
    <n v="0"/>
    <n v="0.75"/>
    <n v="4211"/>
  </r>
  <r>
    <x v="0"/>
    <x v="9"/>
    <x v="5"/>
    <x v="259"/>
    <x v="224"/>
    <x v="224"/>
    <s v="REVENUS"/>
    <x v="11"/>
    <s v="4198.000"/>
    <s v="Contributions communales"/>
    <n v="0"/>
    <n v="19642.8"/>
    <n v="4198"/>
  </r>
  <r>
    <x v="0"/>
    <x v="9"/>
    <x v="5"/>
    <x v="259"/>
    <x v="224"/>
    <x v="224"/>
    <s v="REVENUS"/>
    <x v="2"/>
    <s v="4001.002"/>
    <s v="Impôt complément s/revenu PP"/>
    <n v="0"/>
    <n v="309.2"/>
    <n v="4001"/>
  </r>
  <r>
    <x v="0"/>
    <x v="9"/>
    <x v="5"/>
    <x v="259"/>
    <x v="224"/>
    <x v="224"/>
    <s v="REVENUS"/>
    <x v="3"/>
    <s v="4002.002"/>
    <s v="Impôt complémentaire s/fortune PP"/>
    <n v="0"/>
    <n v="32.85"/>
    <n v="4002"/>
  </r>
  <r>
    <x v="0"/>
    <x v="9"/>
    <x v="5"/>
    <x v="259"/>
    <x v="224"/>
    <x v="224"/>
    <s v="REVENUS"/>
    <x v="2"/>
    <s v="4001.007"/>
    <s v="Acompte impôt sur revenu"/>
    <n v="0"/>
    <n v="-91.65"/>
    <n v="4001"/>
  </r>
  <r>
    <x v="0"/>
    <x v="9"/>
    <x v="5"/>
    <x v="259"/>
    <x v="224"/>
    <x v="224"/>
    <s v="REVENUS"/>
    <x v="6"/>
    <s v="4211.001"/>
    <s v="Intérêts de retard sur factures"/>
    <n v="0"/>
    <n v="-0.32"/>
    <n v="4211"/>
  </r>
  <r>
    <x v="0"/>
    <x v="9"/>
    <x v="5"/>
    <x v="259"/>
    <x v="224"/>
    <x v="224"/>
    <s v="REVENUS"/>
    <x v="6"/>
    <s v="4211.002"/>
    <s v="Intérêts de retard sur acomptes"/>
    <n v="0"/>
    <n v="-0.11"/>
    <n v="4211"/>
  </r>
  <r>
    <x v="0"/>
    <x v="9"/>
    <x v="5"/>
    <x v="259"/>
    <x v="224"/>
    <x v="224"/>
    <s v="REVENUS"/>
    <x v="6"/>
    <s v="4221.003"/>
    <s v="Intérêts compensat. / acomptes en faveur du fisc"/>
    <n v="0"/>
    <n v="-0.42"/>
    <n v="4221"/>
  </r>
  <r>
    <x v="0"/>
    <x v="9"/>
    <x v="5"/>
    <x v="260"/>
    <x v="225"/>
    <x v="225"/>
    <s v="CHARGES"/>
    <x v="0"/>
    <s v="3212.004"/>
    <s v="Intérêts rémun./perçu trop tôt sur acomptes C/C"/>
    <n v="279.62"/>
    <n v="0"/>
    <n v="3212"/>
  </r>
  <r>
    <x v="0"/>
    <x v="9"/>
    <x v="5"/>
    <x v="260"/>
    <x v="225"/>
    <x v="225"/>
    <s v="CHARGES"/>
    <x v="0"/>
    <s v="3221.002"/>
    <s v="Intérêts compensatoires / créances en faveur ctb."/>
    <n v="215.15"/>
    <n v="0"/>
    <n v="3221"/>
  </r>
  <r>
    <x v="0"/>
    <x v="9"/>
    <x v="5"/>
    <x v="260"/>
    <x v="225"/>
    <x v="225"/>
    <s v="CHARGES"/>
    <x v="1"/>
    <s v="3301.001"/>
    <s v="Défalcations, abandons de solde PP et IS"/>
    <n v="5918.7"/>
    <n v="0"/>
    <n v="3301"/>
  </r>
  <r>
    <x v="0"/>
    <x v="9"/>
    <x v="5"/>
    <x v="260"/>
    <x v="225"/>
    <x v="225"/>
    <s v="CHARGES"/>
    <x v="0"/>
    <s v="3212.002"/>
    <s v="Intérêts bonifiés/trop perçu acompte C/C"/>
    <n v="9.24"/>
    <n v="0"/>
    <n v="3212"/>
  </r>
  <r>
    <x v="0"/>
    <x v="9"/>
    <x v="5"/>
    <x v="260"/>
    <x v="225"/>
    <x v="225"/>
    <s v="CHARGES"/>
    <x v="1"/>
    <s v="3301.001"/>
    <s v="Défalcations, abandons de solde PP et IS"/>
    <n v="7.0000000000000007E-2"/>
    <n v="0"/>
    <n v="3301"/>
  </r>
  <r>
    <x v="0"/>
    <x v="9"/>
    <x v="5"/>
    <x v="260"/>
    <x v="225"/>
    <x v="225"/>
    <s v="CHARGES"/>
    <x v="0"/>
    <s v="3212.004"/>
    <s v="Intérêts rémun./perçu trop tôt sur acomptes C/C"/>
    <n v="0.01"/>
    <n v="0"/>
    <n v="3212"/>
  </r>
  <r>
    <x v="0"/>
    <x v="9"/>
    <x v="5"/>
    <x v="260"/>
    <x v="225"/>
    <x v="225"/>
    <s v="CHARGES"/>
    <x v="0"/>
    <s v="3221.002"/>
    <s v="Intérêts compensatoires / créances en faveur ctb."/>
    <n v="0.12"/>
    <n v="0"/>
    <n v="3221"/>
  </r>
  <r>
    <x v="0"/>
    <x v="9"/>
    <x v="5"/>
    <x v="260"/>
    <x v="225"/>
    <x v="225"/>
    <s v="CHARGES"/>
    <x v="0"/>
    <s v="3212.004"/>
    <s v="Intérêts rémun./perçu trop tôt sur acomptes C/C"/>
    <n v="7.0000000000000007E-2"/>
    <n v="0"/>
    <n v="3212"/>
  </r>
  <r>
    <x v="0"/>
    <x v="9"/>
    <x v="5"/>
    <x v="260"/>
    <x v="225"/>
    <x v="225"/>
    <s v="CHARGES"/>
    <x v="0"/>
    <s v="3221.002"/>
    <s v="Intérêts compensatoires / créances en faveur ctb."/>
    <n v="0.12"/>
    <n v="0"/>
    <n v="3221"/>
  </r>
  <r>
    <x v="0"/>
    <x v="9"/>
    <x v="5"/>
    <x v="260"/>
    <x v="225"/>
    <x v="225"/>
    <s v="REVENUS"/>
    <x v="2"/>
    <s v="4001.001"/>
    <s v="Impôt revenu"/>
    <n v="0"/>
    <n v="1047797.55"/>
    <n v="4001"/>
  </r>
  <r>
    <x v="0"/>
    <x v="9"/>
    <x v="5"/>
    <x v="260"/>
    <x v="225"/>
    <x v="225"/>
    <s v="REVENUS"/>
    <x v="2"/>
    <s v="4001.007"/>
    <s v="Acompte impôt sur revenu"/>
    <n v="0"/>
    <n v="-5309.49"/>
    <n v="4001"/>
  </r>
  <r>
    <x v="0"/>
    <x v="9"/>
    <x v="5"/>
    <x v="260"/>
    <x v="225"/>
    <x v="225"/>
    <s v="REVENUS"/>
    <x v="6"/>
    <s v="4211.001"/>
    <s v="Intérêts de retard sur factures"/>
    <n v="0"/>
    <n v="1863.69"/>
    <n v="4211"/>
  </r>
  <r>
    <x v="0"/>
    <x v="9"/>
    <x v="5"/>
    <x v="260"/>
    <x v="225"/>
    <x v="225"/>
    <s v="REVENUS"/>
    <x v="6"/>
    <s v="4211.002"/>
    <s v="Intérêts de retard sur acomptes"/>
    <n v="0"/>
    <n v="5528.91"/>
    <n v="4211"/>
  </r>
  <r>
    <x v="0"/>
    <x v="9"/>
    <x v="5"/>
    <x v="260"/>
    <x v="225"/>
    <x v="225"/>
    <s v="REVENUS"/>
    <x v="6"/>
    <s v="4221.003"/>
    <s v="Intérêts compensat. / acomptes en faveur du fisc"/>
    <n v="0"/>
    <n v="92.43"/>
    <n v="4221"/>
  </r>
  <r>
    <x v="0"/>
    <x v="9"/>
    <x v="5"/>
    <x v="260"/>
    <x v="225"/>
    <x v="225"/>
    <s v="REVENUS"/>
    <x v="2"/>
    <s v="4001.002"/>
    <s v="Impôt complément s/revenu PP"/>
    <n v="0"/>
    <n v="111462"/>
    <n v="4001"/>
  </r>
  <r>
    <x v="0"/>
    <x v="9"/>
    <x v="5"/>
    <x v="260"/>
    <x v="225"/>
    <x v="225"/>
    <s v="REVENUS"/>
    <x v="3"/>
    <s v="4002.001"/>
    <s v="Impôt ordinaire s/fortune PP"/>
    <n v="0"/>
    <n v="154440.1"/>
    <n v="4002"/>
  </r>
  <r>
    <x v="0"/>
    <x v="9"/>
    <x v="5"/>
    <x v="260"/>
    <x v="225"/>
    <x v="225"/>
    <s v="REVENUS"/>
    <x v="3"/>
    <s v="4002.002"/>
    <s v="Impôt complémentaire s/fortune PP"/>
    <n v="0"/>
    <n v="20107.5"/>
    <n v="4002"/>
  </r>
  <r>
    <x v="0"/>
    <x v="9"/>
    <x v="5"/>
    <x v="260"/>
    <x v="225"/>
    <x v="225"/>
    <s v="REVENUS"/>
    <x v="6"/>
    <s v="4211.001"/>
    <s v="Intérêts de retard sur factures"/>
    <n v="0"/>
    <n v="0.28000000000000003"/>
    <n v="4211"/>
  </r>
  <r>
    <x v="0"/>
    <x v="9"/>
    <x v="5"/>
    <x v="260"/>
    <x v="225"/>
    <x v="225"/>
    <s v="REVENUS"/>
    <x v="3"/>
    <s v="4002.007"/>
    <s v="Acompte impôt sur fortune"/>
    <n v="0"/>
    <n v="-61464.44"/>
    <n v="4002"/>
  </r>
  <r>
    <x v="0"/>
    <x v="9"/>
    <x v="5"/>
    <x v="260"/>
    <x v="225"/>
    <x v="225"/>
    <s v="REVENUS"/>
    <x v="2"/>
    <s v="4001.003"/>
    <s v="Impôt s/prest. cap. PP"/>
    <n v="0"/>
    <n v="25409.05"/>
    <n v="4001"/>
  </r>
  <r>
    <x v="0"/>
    <x v="9"/>
    <x v="5"/>
    <x v="260"/>
    <x v="225"/>
    <x v="225"/>
    <s v="REVENUS"/>
    <x v="7"/>
    <s v="4184.000"/>
    <s v="Frais de poursuite"/>
    <n v="0"/>
    <n v="815.18"/>
    <n v="4184"/>
  </r>
  <r>
    <x v="0"/>
    <x v="9"/>
    <x v="5"/>
    <x v="260"/>
    <x v="225"/>
    <x v="225"/>
    <s v="REVENUS"/>
    <x v="6"/>
    <s v="4221.002"/>
    <s v="Intérêts compensat. sur impôts distincts"/>
    <n v="0"/>
    <n v="2.2799999999999998"/>
    <n v="4221"/>
  </r>
  <r>
    <x v="0"/>
    <x v="9"/>
    <x v="5"/>
    <x v="260"/>
    <x v="225"/>
    <x v="225"/>
    <s v="REVENUS"/>
    <x v="3"/>
    <s v="4002.007"/>
    <s v="Acompte impôt sur fortune"/>
    <n v="0"/>
    <n v="1538.7"/>
    <n v="4002"/>
  </r>
  <r>
    <x v="0"/>
    <x v="9"/>
    <x v="5"/>
    <x v="260"/>
    <x v="225"/>
    <x v="225"/>
    <s v="REVENUS"/>
    <x v="3"/>
    <s v="4002.007"/>
    <s v="Acompte impôt sur fortune"/>
    <n v="0"/>
    <n v="-215.35"/>
    <n v="4002"/>
  </r>
  <r>
    <x v="0"/>
    <x v="9"/>
    <x v="5"/>
    <x v="260"/>
    <x v="225"/>
    <x v="225"/>
    <s v="REVENUS"/>
    <x v="2"/>
    <s v="4001.007"/>
    <s v="Acompte impôt sur revenu"/>
    <n v="0"/>
    <n v="-10.25"/>
    <n v="4001"/>
  </r>
  <r>
    <x v="0"/>
    <x v="9"/>
    <x v="5"/>
    <x v="260"/>
    <x v="225"/>
    <x v="225"/>
    <s v="REVENUS"/>
    <x v="3"/>
    <s v="4002.007"/>
    <s v="Acompte impôt sur fortune"/>
    <n v="0"/>
    <n v="224.4"/>
    <n v="4002"/>
  </r>
  <r>
    <x v="0"/>
    <x v="9"/>
    <x v="5"/>
    <x v="260"/>
    <x v="225"/>
    <x v="225"/>
    <s v="REVENUS"/>
    <x v="2"/>
    <s v="4001.007"/>
    <s v="Acompte impôt sur revenu"/>
    <n v="0"/>
    <n v="-164.6"/>
    <n v="4001"/>
  </r>
  <r>
    <x v="0"/>
    <x v="9"/>
    <x v="5"/>
    <x v="260"/>
    <x v="225"/>
    <x v="225"/>
    <s v="REVENUS"/>
    <x v="2"/>
    <s v="4001.007"/>
    <s v="Acompte impôt sur revenu"/>
    <n v="0"/>
    <n v="856.05"/>
    <n v="4001"/>
  </r>
  <r>
    <x v="0"/>
    <x v="9"/>
    <x v="5"/>
    <x v="260"/>
    <x v="225"/>
    <x v="225"/>
    <s v="REVENUS"/>
    <x v="2"/>
    <s v="4001.001"/>
    <s v="Impôt revenu"/>
    <n v="0"/>
    <n v="-35886.1"/>
    <n v="4001"/>
  </r>
  <r>
    <x v="0"/>
    <x v="9"/>
    <x v="5"/>
    <x v="260"/>
    <x v="225"/>
    <x v="225"/>
    <s v="REVENUS"/>
    <x v="2"/>
    <s v="4001.007"/>
    <s v="Acompte impôt sur revenu"/>
    <n v="0"/>
    <n v="-589.54"/>
    <n v="4001"/>
  </r>
  <r>
    <x v="0"/>
    <x v="9"/>
    <x v="5"/>
    <x v="260"/>
    <x v="225"/>
    <x v="225"/>
    <s v="REVENUS"/>
    <x v="3"/>
    <s v="4002.001"/>
    <s v="Impôt ordinaire s/fortune PP"/>
    <n v="0"/>
    <n v="-5182.45"/>
    <n v="4002"/>
  </r>
  <r>
    <x v="0"/>
    <x v="9"/>
    <x v="5"/>
    <x v="260"/>
    <x v="225"/>
    <x v="225"/>
    <s v="REVENUS"/>
    <x v="3"/>
    <s v="4002.007"/>
    <s v="Acompte impôt sur fortune"/>
    <n v="0"/>
    <n v="150.06"/>
    <n v="4002"/>
  </r>
  <r>
    <x v="0"/>
    <x v="9"/>
    <x v="5"/>
    <x v="260"/>
    <x v="225"/>
    <x v="225"/>
    <s v="REVENUS"/>
    <x v="6"/>
    <s v="4211.002"/>
    <s v="Intérêts de retard sur acomptes"/>
    <n v="0"/>
    <n v="-7.0000000000000007E-2"/>
    <n v="4211"/>
  </r>
  <r>
    <x v="0"/>
    <x v="9"/>
    <x v="5"/>
    <x v="260"/>
    <x v="225"/>
    <x v="225"/>
    <s v="REVENUS"/>
    <x v="2"/>
    <s v="4001.001"/>
    <s v="Impôt revenu"/>
    <n v="0"/>
    <n v="257.05"/>
    <n v="4001"/>
  </r>
  <r>
    <x v="0"/>
    <x v="9"/>
    <x v="5"/>
    <x v="260"/>
    <x v="225"/>
    <x v="225"/>
    <s v="REVENUS"/>
    <x v="3"/>
    <s v="4002.001"/>
    <s v="Impôt ordinaire s/fortune PP"/>
    <n v="0"/>
    <n v="106.05"/>
    <n v="4002"/>
  </r>
  <r>
    <x v="0"/>
    <x v="9"/>
    <x v="5"/>
    <x v="260"/>
    <x v="225"/>
    <x v="225"/>
    <s v="REVENUS"/>
    <x v="6"/>
    <s v="4211.002"/>
    <s v="Intérêts de retard sur acomptes"/>
    <n v="0"/>
    <n v="1.95"/>
    <n v="4211"/>
  </r>
  <r>
    <x v="0"/>
    <x v="9"/>
    <x v="5"/>
    <x v="260"/>
    <x v="225"/>
    <x v="225"/>
    <s v="REVENUS"/>
    <x v="6"/>
    <s v="4221.003"/>
    <s v="Intérêts compensat. / acomptes en faveur du fisc"/>
    <n v="0"/>
    <n v="0.05"/>
    <n v="4221"/>
  </r>
  <r>
    <x v="0"/>
    <x v="9"/>
    <x v="5"/>
    <x v="260"/>
    <x v="225"/>
    <x v="225"/>
    <s v="REVENUS"/>
    <x v="10"/>
    <s v="4041.001"/>
    <s v="Droits de mutation"/>
    <n v="0"/>
    <n v="15549.9"/>
    <n v="4041"/>
  </r>
  <r>
    <x v="0"/>
    <x v="9"/>
    <x v="5"/>
    <x v="260"/>
    <x v="225"/>
    <x v="225"/>
    <s v="REVENUS"/>
    <x v="5"/>
    <s v="4061.000"/>
    <s v="Impôt sur les chiens"/>
    <n v="0"/>
    <n v="5050"/>
    <n v="4061"/>
  </r>
  <r>
    <x v="0"/>
    <x v="9"/>
    <x v="5"/>
    <x v="260"/>
    <x v="225"/>
    <x v="225"/>
    <s v="REVENUS"/>
    <x v="2"/>
    <s v="4001.007"/>
    <s v="Acompte impôt sur revenu"/>
    <n v="0"/>
    <n v="-107.75"/>
    <n v="4001"/>
  </r>
  <r>
    <x v="0"/>
    <x v="9"/>
    <x v="5"/>
    <x v="260"/>
    <x v="225"/>
    <x v="225"/>
    <s v="REVENUS"/>
    <x v="11"/>
    <s v="4198.000"/>
    <s v="Contributions communales"/>
    <n v="0"/>
    <n v="80309.3"/>
    <n v="4198"/>
  </r>
  <r>
    <x v="0"/>
    <x v="9"/>
    <x v="5"/>
    <x v="260"/>
    <x v="225"/>
    <x v="225"/>
    <s v="REVENUS"/>
    <x v="6"/>
    <s v="4211.001"/>
    <s v="Intérêts de retard sur factures"/>
    <n v="0"/>
    <n v="-0.03"/>
    <n v="4211"/>
  </r>
  <r>
    <x v="0"/>
    <x v="9"/>
    <x v="5"/>
    <x v="260"/>
    <x v="225"/>
    <x v="225"/>
    <s v="REVENUS"/>
    <x v="6"/>
    <s v="4221.003"/>
    <s v="Intérêts compensat. / acomptes en faveur du fisc"/>
    <n v="0"/>
    <n v="-0.72"/>
    <n v="4221"/>
  </r>
  <r>
    <x v="0"/>
    <x v="9"/>
    <x v="5"/>
    <x v="260"/>
    <x v="225"/>
    <x v="225"/>
    <s v="REVENUS"/>
    <x v="9"/>
    <s v="4031.001"/>
    <s v="Impôt sur les gains immobiliers"/>
    <n v="0"/>
    <n v="8235.85"/>
    <n v="4031"/>
  </r>
  <r>
    <x v="0"/>
    <x v="9"/>
    <x v="5"/>
    <x v="260"/>
    <x v="225"/>
    <x v="225"/>
    <s v="REVENUS"/>
    <x v="2"/>
    <s v="4001.001"/>
    <s v="Impôt revenu"/>
    <n v="0"/>
    <n v="138.55000000000001"/>
    <n v="4001"/>
  </r>
  <r>
    <x v="0"/>
    <x v="9"/>
    <x v="5"/>
    <x v="260"/>
    <x v="225"/>
    <x v="225"/>
    <s v="REVENUS"/>
    <x v="3"/>
    <s v="4002.001"/>
    <s v="Impôt ordinaire s/fortune PP"/>
    <n v="0"/>
    <n v="294"/>
    <n v="4002"/>
  </r>
  <r>
    <x v="0"/>
    <x v="9"/>
    <x v="5"/>
    <x v="260"/>
    <x v="225"/>
    <x v="225"/>
    <s v="REVENUS"/>
    <x v="6"/>
    <s v="4221.003"/>
    <s v="Intérêts compensat. / acomptes en faveur du fisc"/>
    <n v="0"/>
    <n v="0.54"/>
    <n v="4221"/>
  </r>
  <r>
    <x v="0"/>
    <x v="9"/>
    <x v="5"/>
    <x v="261"/>
    <x v="226"/>
    <x v="226"/>
    <s v="CHARGES"/>
    <x v="0"/>
    <s v="3212.004"/>
    <s v="Intérêts rémun./perçu trop tôt sur acomptes C/C"/>
    <n v="7.02"/>
    <n v="0"/>
    <n v="3212"/>
  </r>
  <r>
    <x v="0"/>
    <x v="9"/>
    <x v="5"/>
    <x v="261"/>
    <x v="226"/>
    <x v="226"/>
    <s v="CHARGES"/>
    <x v="0"/>
    <s v="3221.002"/>
    <s v="Intérêts compensatoires / créances en faveur ctb."/>
    <n v="2.8"/>
    <n v="0"/>
    <n v="3221"/>
  </r>
  <r>
    <x v="0"/>
    <x v="9"/>
    <x v="5"/>
    <x v="261"/>
    <x v="226"/>
    <x v="226"/>
    <s v="CHARGES"/>
    <x v="1"/>
    <s v="3301.001"/>
    <s v="Défalcations, abandons de solde PP et IS"/>
    <n v="7.0000000000000007E-2"/>
    <n v="0"/>
    <n v="3301"/>
  </r>
  <r>
    <x v="0"/>
    <x v="9"/>
    <x v="5"/>
    <x v="261"/>
    <x v="226"/>
    <x v="226"/>
    <s v="CHARGES"/>
    <x v="0"/>
    <s v="3212.002"/>
    <s v="Intérêts bonifiés/trop perçu acompte C/C"/>
    <n v="20.99"/>
    <n v="0"/>
    <n v="3212"/>
  </r>
  <r>
    <x v="0"/>
    <x v="9"/>
    <x v="5"/>
    <x v="261"/>
    <x v="226"/>
    <x v="226"/>
    <s v="CHARGES"/>
    <x v="0"/>
    <s v="3212.004"/>
    <s v="Intérêts rémun./perçu trop tôt sur acomptes C/C"/>
    <n v="761.3"/>
    <n v="0"/>
    <n v="3212"/>
  </r>
  <r>
    <x v="0"/>
    <x v="9"/>
    <x v="5"/>
    <x v="261"/>
    <x v="226"/>
    <x v="226"/>
    <s v="CHARGES"/>
    <x v="1"/>
    <s v="3301.001"/>
    <s v="Défalcations, abandons de solde PP et IS"/>
    <n v="126243.3"/>
    <n v="0"/>
    <n v="3301"/>
  </r>
  <r>
    <x v="0"/>
    <x v="9"/>
    <x v="5"/>
    <x v="261"/>
    <x v="226"/>
    <x v="226"/>
    <s v="CHARGES"/>
    <x v="0"/>
    <s v="3221.002"/>
    <s v="Intérêts compensatoires / créances en faveur ctb."/>
    <n v="367.39"/>
    <n v="0"/>
    <n v="3221"/>
  </r>
  <r>
    <x v="0"/>
    <x v="9"/>
    <x v="5"/>
    <x v="261"/>
    <x v="226"/>
    <x v="226"/>
    <s v="CHARGES"/>
    <x v="1"/>
    <s v="3301.001"/>
    <s v="Défalcations, abandons de solde PP et IS"/>
    <n v="55993.86"/>
    <n v="0"/>
    <n v="3301"/>
  </r>
  <r>
    <x v="0"/>
    <x v="9"/>
    <x v="5"/>
    <x v="261"/>
    <x v="226"/>
    <x v="226"/>
    <s v="CHARGES"/>
    <x v="1"/>
    <s v="3301.001"/>
    <s v="Défalcations, abandons de solde PP et IS"/>
    <n v="1.84"/>
    <n v="0"/>
    <n v="3301"/>
  </r>
  <r>
    <x v="0"/>
    <x v="9"/>
    <x v="5"/>
    <x v="261"/>
    <x v="226"/>
    <x v="226"/>
    <s v="CHARGES"/>
    <x v="0"/>
    <s v="3212.004"/>
    <s v="Intérêts rémun./perçu trop tôt sur acomptes C/C"/>
    <n v="6.9"/>
    <n v="0"/>
    <n v="3212"/>
  </r>
  <r>
    <x v="0"/>
    <x v="9"/>
    <x v="5"/>
    <x v="261"/>
    <x v="226"/>
    <x v="226"/>
    <s v="CHARGES"/>
    <x v="0"/>
    <s v="3212.002"/>
    <s v="Intérêts bonifiés/trop perçu acompte C/C"/>
    <n v="-4.38"/>
    <n v="0"/>
    <n v="3212"/>
  </r>
  <r>
    <x v="0"/>
    <x v="9"/>
    <x v="5"/>
    <x v="261"/>
    <x v="226"/>
    <x v="226"/>
    <s v="CHARGES"/>
    <x v="1"/>
    <s v="3301.001"/>
    <s v="Défalcations, abandons de solde PP et IS"/>
    <n v="892.03"/>
    <n v="0"/>
    <n v="3301"/>
  </r>
  <r>
    <x v="0"/>
    <x v="9"/>
    <x v="5"/>
    <x v="261"/>
    <x v="226"/>
    <x v="226"/>
    <s v="CHARGES"/>
    <x v="1"/>
    <s v="3301.003"/>
    <s v="Remises PP et IS"/>
    <n v="-0.36"/>
    <n v="0"/>
    <n v="3301"/>
  </r>
  <r>
    <x v="0"/>
    <x v="9"/>
    <x v="5"/>
    <x v="261"/>
    <x v="226"/>
    <x v="226"/>
    <s v="CHARGES"/>
    <x v="0"/>
    <s v="3212.004"/>
    <s v="Intérêts rémun./perçu trop tôt sur acomptes C/C"/>
    <n v="1.21"/>
    <n v="0"/>
    <n v="3212"/>
  </r>
  <r>
    <x v="0"/>
    <x v="9"/>
    <x v="5"/>
    <x v="261"/>
    <x v="226"/>
    <x v="226"/>
    <s v="CHARGES"/>
    <x v="1"/>
    <s v="3301.001"/>
    <s v="Défalcations, abandons de solde PP et IS"/>
    <n v="-0.56000000000000005"/>
    <n v="0"/>
    <n v="3301"/>
  </r>
  <r>
    <x v="0"/>
    <x v="9"/>
    <x v="5"/>
    <x v="261"/>
    <x v="226"/>
    <x v="226"/>
    <s v="CHARGES"/>
    <x v="0"/>
    <s v="3212.004"/>
    <s v="Intérêts rémun./perçu trop tôt sur acomptes C/C"/>
    <n v="0.03"/>
    <n v="0"/>
    <n v="3212"/>
  </r>
  <r>
    <x v="0"/>
    <x v="9"/>
    <x v="5"/>
    <x v="261"/>
    <x v="226"/>
    <x v="226"/>
    <s v="CHARGES"/>
    <x v="0"/>
    <s v="3221.002"/>
    <s v="Intérêts compensatoires / créances en faveur ctb."/>
    <n v="0.05"/>
    <n v="0"/>
    <n v="3221"/>
  </r>
  <r>
    <x v="0"/>
    <x v="9"/>
    <x v="5"/>
    <x v="261"/>
    <x v="226"/>
    <x v="226"/>
    <s v="CHARGES"/>
    <x v="0"/>
    <s v="3212.004"/>
    <s v="Intérêts rémun./perçu trop tôt sur acomptes C/C"/>
    <n v="2.66"/>
    <n v="0"/>
    <n v="3212"/>
  </r>
  <r>
    <x v="0"/>
    <x v="9"/>
    <x v="5"/>
    <x v="261"/>
    <x v="226"/>
    <x v="226"/>
    <s v="CHARGES"/>
    <x v="0"/>
    <s v="3221.002"/>
    <s v="Intérêts compensatoires / créances en faveur ctb."/>
    <n v="0.4"/>
    <n v="0"/>
    <n v="3221"/>
  </r>
  <r>
    <x v="0"/>
    <x v="9"/>
    <x v="5"/>
    <x v="261"/>
    <x v="226"/>
    <x v="226"/>
    <s v="CHARGES"/>
    <x v="0"/>
    <s v="3212.004"/>
    <s v="Intérêts rémun./perçu trop tôt sur acomptes C/C"/>
    <n v="17.41"/>
    <n v="0"/>
    <n v="3212"/>
  </r>
  <r>
    <x v="0"/>
    <x v="9"/>
    <x v="5"/>
    <x v="261"/>
    <x v="226"/>
    <x v="226"/>
    <s v="CHARGES"/>
    <x v="0"/>
    <s v="3212.002"/>
    <s v="Intérêts bonifiés/trop perçu acompte C/C"/>
    <n v="0.01"/>
    <n v="0"/>
    <n v="3212"/>
  </r>
  <r>
    <x v="0"/>
    <x v="9"/>
    <x v="5"/>
    <x v="261"/>
    <x v="226"/>
    <x v="226"/>
    <s v="CHARGES"/>
    <x v="0"/>
    <s v="3221.002"/>
    <s v="Intérêts compensatoires / créances en faveur ctb."/>
    <n v="0.42"/>
    <n v="0"/>
    <n v="3221"/>
  </r>
  <r>
    <x v="0"/>
    <x v="9"/>
    <x v="5"/>
    <x v="261"/>
    <x v="226"/>
    <x v="226"/>
    <s v="CHARGES"/>
    <x v="1"/>
    <s v="3301.001"/>
    <s v="Défalcations, abandons de solde PP et IS"/>
    <n v="2.67"/>
    <n v="0"/>
    <n v="3301"/>
  </r>
  <r>
    <x v="0"/>
    <x v="9"/>
    <x v="5"/>
    <x v="261"/>
    <x v="226"/>
    <x v="226"/>
    <s v="CHARGES"/>
    <x v="0"/>
    <s v="3221.002"/>
    <s v="Intérêts compensatoires / créances en faveur ctb."/>
    <n v="1.02"/>
    <n v="0"/>
    <n v="3221"/>
  </r>
  <r>
    <x v="0"/>
    <x v="9"/>
    <x v="5"/>
    <x v="261"/>
    <x v="226"/>
    <x v="226"/>
    <s v="CHARGES"/>
    <x v="0"/>
    <s v="3221.002"/>
    <s v="Intérêts compensatoires / créances en faveur ctb."/>
    <n v="0.26"/>
    <n v="0"/>
    <n v="3221"/>
  </r>
  <r>
    <x v="0"/>
    <x v="9"/>
    <x v="5"/>
    <x v="261"/>
    <x v="226"/>
    <x v="226"/>
    <s v="CHARGES"/>
    <x v="0"/>
    <s v="3212.004"/>
    <s v="Intérêts rémun./perçu trop tôt sur acomptes C/C"/>
    <n v="0.91"/>
    <n v="0"/>
    <n v="3212"/>
  </r>
  <r>
    <x v="0"/>
    <x v="9"/>
    <x v="5"/>
    <x v="261"/>
    <x v="226"/>
    <x v="226"/>
    <s v="CHARGES"/>
    <x v="0"/>
    <s v="3221.002"/>
    <s v="Intérêts compensatoires / créances en faveur ctb."/>
    <n v="0.62"/>
    <n v="0"/>
    <n v="3221"/>
  </r>
  <r>
    <x v="0"/>
    <x v="9"/>
    <x v="5"/>
    <x v="261"/>
    <x v="226"/>
    <x v="226"/>
    <s v="CHARGES"/>
    <x v="1"/>
    <s v="3301.001"/>
    <s v="Défalcations, abandons de solde PP et IS"/>
    <n v="0.03"/>
    <n v="0"/>
    <n v="3301"/>
  </r>
  <r>
    <x v="0"/>
    <x v="9"/>
    <x v="5"/>
    <x v="261"/>
    <x v="226"/>
    <x v="226"/>
    <s v="CHARGES"/>
    <x v="1"/>
    <s v="3301.001"/>
    <s v="Défalcations, abandons de solde PP et IS"/>
    <n v="0.08"/>
    <n v="0"/>
    <n v="3301"/>
  </r>
  <r>
    <x v="0"/>
    <x v="9"/>
    <x v="5"/>
    <x v="261"/>
    <x v="226"/>
    <x v="226"/>
    <s v="CHARGES"/>
    <x v="0"/>
    <s v="3212.002"/>
    <s v="Intérêts bonifiés/trop perçu acompte C/C"/>
    <n v="-0.01"/>
    <n v="0"/>
    <n v="3212"/>
  </r>
  <r>
    <x v="0"/>
    <x v="9"/>
    <x v="5"/>
    <x v="261"/>
    <x v="226"/>
    <x v="226"/>
    <s v="CHARGES"/>
    <x v="0"/>
    <s v="3212.002"/>
    <s v="Intérêts bonifiés/trop perçu acompte C/C"/>
    <n v="1.06"/>
    <n v="0"/>
    <n v="3212"/>
  </r>
  <r>
    <x v="0"/>
    <x v="9"/>
    <x v="5"/>
    <x v="261"/>
    <x v="226"/>
    <x v="226"/>
    <s v="CHARGES"/>
    <x v="1"/>
    <s v="3301.001"/>
    <s v="Défalcations, abandons de solde PP et IS"/>
    <n v="0.01"/>
    <n v="0"/>
    <n v="3301"/>
  </r>
  <r>
    <x v="0"/>
    <x v="9"/>
    <x v="5"/>
    <x v="261"/>
    <x v="226"/>
    <x v="226"/>
    <s v="REVENUS"/>
    <x v="2"/>
    <s v="4001.001"/>
    <s v="Impôt revenu"/>
    <n v="0"/>
    <n v="10864.55"/>
    <n v="4001"/>
  </r>
  <r>
    <x v="0"/>
    <x v="9"/>
    <x v="5"/>
    <x v="261"/>
    <x v="226"/>
    <x v="226"/>
    <s v="REVENUS"/>
    <x v="6"/>
    <s v="4211.002"/>
    <s v="Intérêts de retard sur acomptes"/>
    <n v="0"/>
    <n v="241.14"/>
    <n v="4211"/>
  </r>
  <r>
    <x v="0"/>
    <x v="9"/>
    <x v="5"/>
    <x v="261"/>
    <x v="226"/>
    <x v="226"/>
    <s v="REVENUS"/>
    <x v="6"/>
    <s v="4221.003"/>
    <s v="Intérêts compensat. / acomptes en faveur du fisc"/>
    <n v="0"/>
    <n v="6.83"/>
    <n v="4221"/>
  </r>
  <r>
    <x v="0"/>
    <x v="9"/>
    <x v="5"/>
    <x v="261"/>
    <x v="226"/>
    <x v="226"/>
    <s v="REVENUS"/>
    <x v="2"/>
    <s v="4001.001"/>
    <s v="Impôt revenu"/>
    <n v="0"/>
    <n v="21382.25"/>
    <n v="4001"/>
  </r>
  <r>
    <x v="0"/>
    <x v="9"/>
    <x v="5"/>
    <x v="261"/>
    <x v="226"/>
    <x v="226"/>
    <s v="REVENUS"/>
    <x v="2"/>
    <s v="4001.007"/>
    <s v="Acompte impôt sur revenu"/>
    <n v="0"/>
    <n v="-6643.5"/>
    <n v="4001"/>
  </r>
  <r>
    <x v="0"/>
    <x v="9"/>
    <x v="5"/>
    <x v="261"/>
    <x v="226"/>
    <x v="226"/>
    <s v="REVENUS"/>
    <x v="3"/>
    <s v="4002.001"/>
    <s v="Impôt ordinaire s/fortune PP"/>
    <n v="0"/>
    <n v="6317.9"/>
    <n v="4002"/>
  </r>
  <r>
    <x v="0"/>
    <x v="9"/>
    <x v="5"/>
    <x v="261"/>
    <x v="226"/>
    <x v="226"/>
    <s v="REVENUS"/>
    <x v="3"/>
    <s v="4002.007"/>
    <s v="Acompte impôt sur fortune"/>
    <n v="0"/>
    <n v="1153.3499999999999"/>
    <n v="4002"/>
  </r>
  <r>
    <x v="0"/>
    <x v="9"/>
    <x v="5"/>
    <x v="261"/>
    <x v="226"/>
    <x v="226"/>
    <s v="REVENUS"/>
    <x v="6"/>
    <s v="4211.002"/>
    <s v="Intérêts de retard sur acomptes"/>
    <n v="0"/>
    <n v="334.15"/>
    <n v="4211"/>
  </r>
  <r>
    <x v="0"/>
    <x v="9"/>
    <x v="5"/>
    <x v="261"/>
    <x v="226"/>
    <x v="226"/>
    <s v="REVENUS"/>
    <x v="2"/>
    <s v="4001.007"/>
    <s v="Acompte impôt sur revenu"/>
    <n v="0"/>
    <n v="-44.7"/>
    <n v="4001"/>
  </r>
  <r>
    <x v="0"/>
    <x v="9"/>
    <x v="5"/>
    <x v="261"/>
    <x v="226"/>
    <x v="226"/>
    <s v="REVENUS"/>
    <x v="2"/>
    <s v="4001.001"/>
    <s v="Impôt revenu"/>
    <n v="0"/>
    <n v="26475.8"/>
    <n v="4001"/>
  </r>
  <r>
    <x v="0"/>
    <x v="9"/>
    <x v="5"/>
    <x v="261"/>
    <x v="226"/>
    <x v="226"/>
    <s v="REVENUS"/>
    <x v="6"/>
    <s v="4211.002"/>
    <s v="Intérêts de retard sur acomptes"/>
    <n v="0"/>
    <n v="147.21"/>
    <n v="4211"/>
  </r>
  <r>
    <x v="0"/>
    <x v="9"/>
    <x v="5"/>
    <x v="261"/>
    <x v="226"/>
    <x v="226"/>
    <s v="REVENUS"/>
    <x v="2"/>
    <s v="4001.001"/>
    <s v="Impôt revenu"/>
    <n v="0"/>
    <n v="4622561.1500000004"/>
    <n v="4001"/>
  </r>
  <r>
    <x v="0"/>
    <x v="9"/>
    <x v="5"/>
    <x v="261"/>
    <x v="226"/>
    <x v="226"/>
    <s v="REVENUS"/>
    <x v="2"/>
    <s v="4001.002"/>
    <s v="Impôt complément s/revenu PP"/>
    <n v="0"/>
    <n v="780756.1"/>
    <n v="4001"/>
  </r>
  <r>
    <x v="0"/>
    <x v="9"/>
    <x v="5"/>
    <x v="261"/>
    <x v="226"/>
    <x v="226"/>
    <s v="REVENUS"/>
    <x v="2"/>
    <s v="4001.003"/>
    <s v="Impôt s/prest. cap. PP"/>
    <n v="0"/>
    <n v="149418.85"/>
    <n v="4001"/>
  </r>
  <r>
    <x v="0"/>
    <x v="9"/>
    <x v="5"/>
    <x v="261"/>
    <x v="226"/>
    <x v="226"/>
    <s v="REVENUS"/>
    <x v="2"/>
    <s v="4001.007"/>
    <s v="Acompte impôt sur revenu"/>
    <n v="0"/>
    <n v="-708456.98"/>
    <n v="4001"/>
  </r>
  <r>
    <x v="0"/>
    <x v="9"/>
    <x v="5"/>
    <x v="261"/>
    <x v="226"/>
    <x v="226"/>
    <s v="REVENUS"/>
    <x v="3"/>
    <s v="4002.001"/>
    <s v="Impôt ordinaire s/fortune PP"/>
    <n v="0"/>
    <n v="406418.3"/>
    <n v="4002"/>
  </r>
  <r>
    <x v="0"/>
    <x v="9"/>
    <x v="5"/>
    <x v="261"/>
    <x v="226"/>
    <x v="226"/>
    <s v="REVENUS"/>
    <x v="3"/>
    <s v="4002.007"/>
    <s v="Acompte impôt sur fortune"/>
    <n v="0"/>
    <n v="-79563.77"/>
    <n v="4002"/>
  </r>
  <r>
    <x v="0"/>
    <x v="9"/>
    <x v="5"/>
    <x v="261"/>
    <x v="226"/>
    <x v="226"/>
    <s v="REVENUS"/>
    <x v="6"/>
    <s v="4211.001"/>
    <s v="Intérêts de retard sur factures"/>
    <n v="0"/>
    <n v="25423.17"/>
    <n v="4211"/>
  </r>
  <r>
    <x v="0"/>
    <x v="9"/>
    <x v="5"/>
    <x v="261"/>
    <x v="226"/>
    <x v="226"/>
    <s v="REVENUS"/>
    <x v="6"/>
    <s v="4211.002"/>
    <s v="Intérêts de retard sur acomptes"/>
    <n v="0"/>
    <n v="36433.769999999997"/>
    <n v="4211"/>
  </r>
  <r>
    <x v="0"/>
    <x v="9"/>
    <x v="5"/>
    <x v="261"/>
    <x v="226"/>
    <x v="226"/>
    <s v="REVENUS"/>
    <x v="6"/>
    <s v="4221.003"/>
    <s v="Intérêts compensat. / acomptes en faveur du fisc"/>
    <n v="0"/>
    <n v="706.62"/>
    <n v="4221"/>
  </r>
  <r>
    <x v="0"/>
    <x v="9"/>
    <x v="5"/>
    <x v="261"/>
    <x v="226"/>
    <x v="226"/>
    <s v="REVENUS"/>
    <x v="7"/>
    <s v="4184.000"/>
    <s v="Frais de poursuite"/>
    <n v="0"/>
    <n v="13503.16"/>
    <n v="4184"/>
  </r>
  <r>
    <x v="0"/>
    <x v="9"/>
    <x v="5"/>
    <x v="261"/>
    <x v="226"/>
    <x v="226"/>
    <s v="REVENUS"/>
    <x v="6"/>
    <s v="4221.002"/>
    <s v="Intérêts compensat. sur impôts distincts"/>
    <n v="0"/>
    <n v="234.88"/>
    <n v="4221"/>
  </r>
  <r>
    <x v="0"/>
    <x v="9"/>
    <x v="5"/>
    <x v="261"/>
    <x v="226"/>
    <x v="226"/>
    <s v="REVENUS"/>
    <x v="3"/>
    <s v="4002.001"/>
    <s v="Impôt ordinaire s/fortune PP"/>
    <n v="0"/>
    <n v="1351.45"/>
    <n v="4002"/>
  </r>
  <r>
    <x v="0"/>
    <x v="9"/>
    <x v="5"/>
    <x v="261"/>
    <x v="226"/>
    <x v="226"/>
    <s v="REVENUS"/>
    <x v="3"/>
    <s v="4002.002"/>
    <s v="Impôt complémentaire s/fortune PP"/>
    <n v="0"/>
    <n v="106876.45"/>
    <n v="4002"/>
  </r>
  <r>
    <x v="0"/>
    <x v="9"/>
    <x v="5"/>
    <x v="261"/>
    <x v="226"/>
    <x v="226"/>
    <s v="REVENUS"/>
    <x v="3"/>
    <s v="4002.001"/>
    <s v="Impôt ordinaire s/fortune PP"/>
    <n v="0"/>
    <n v="9633"/>
    <n v="4002"/>
  </r>
  <r>
    <x v="0"/>
    <x v="9"/>
    <x v="5"/>
    <x v="261"/>
    <x v="226"/>
    <x v="226"/>
    <s v="REVENUS"/>
    <x v="3"/>
    <s v="4002.002"/>
    <s v="Impôt complémentaire s/fortune PP"/>
    <n v="0"/>
    <n v="921.45"/>
    <n v="4002"/>
  </r>
  <r>
    <x v="0"/>
    <x v="9"/>
    <x v="5"/>
    <x v="261"/>
    <x v="226"/>
    <x v="226"/>
    <s v="REVENUS"/>
    <x v="7"/>
    <s v="4184.000"/>
    <s v="Frais de poursuite"/>
    <n v="0"/>
    <n v="0.09"/>
    <n v="4184"/>
  </r>
  <r>
    <x v="0"/>
    <x v="9"/>
    <x v="5"/>
    <x v="261"/>
    <x v="226"/>
    <x v="226"/>
    <s v="REVENUS"/>
    <x v="6"/>
    <s v="4211.001"/>
    <s v="Intérêts de retard sur factures"/>
    <n v="0"/>
    <n v="5.81"/>
    <n v="4211"/>
  </r>
  <r>
    <x v="0"/>
    <x v="9"/>
    <x v="5"/>
    <x v="261"/>
    <x v="226"/>
    <x v="226"/>
    <s v="REVENUS"/>
    <x v="6"/>
    <s v="4221.003"/>
    <s v="Intérêts compensat. / acomptes en faveur du fisc"/>
    <n v="0"/>
    <n v="3.55"/>
    <n v="4221"/>
  </r>
  <r>
    <x v="0"/>
    <x v="9"/>
    <x v="5"/>
    <x v="261"/>
    <x v="226"/>
    <x v="226"/>
    <s v="REVENUS"/>
    <x v="6"/>
    <s v="4211.001"/>
    <s v="Intérêts de retard sur factures"/>
    <n v="0"/>
    <n v="18.23"/>
    <n v="4211"/>
  </r>
  <r>
    <x v="0"/>
    <x v="9"/>
    <x v="5"/>
    <x v="261"/>
    <x v="226"/>
    <x v="226"/>
    <s v="REVENUS"/>
    <x v="7"/>
    <s v="4184.000"/>
    <s v="Frais de poursuite"/>
    <n v="0"/>
    <n v="300.68"/>
    <n v="4184"/>
  </r>
  <r>
    <x v="0"/>
    <x v="9"/>
    <x v="5"/>
    <x v="261"/>
    <x v="226"/>
    <x v="226"/>
    <s v="REVENUS"/>
    <x v="2"/>
    <s v="4001.001"/>
    <s v="Impôt revenu"/>
    <n v="0"/>
    <n v="5299.85"/>
    <n v="4001"/>
  </r>
  <r>
    <x v="0"/>
    <x v="9"/>
    <x v="5"/>
    <x v="261"/>
    <x v="226"/>
    <x v="226"/>
    <s v="REVENUS"/>
    <x v="2"/>
    <s v="4001.007"/>
    <s v="Acompte impôt sur revenu"/>
    <n v="0"/>
    <n v="3172.03"/>
    <n v="4001"/>
  </r>
  <r>
    <x v="0"/>
    <x v="9"/>
    <x v="5"/>
    <x v="261"/>
    <x v="226"/>
    <x v="226"/>
    <s v="REVENUS"/>
    <x v="3"/>
    <s v="4002.001"/>
    <s v="Impôt ordinaire s/fortune PP"/>
    <n v="0"/>
    <n v="4811.95"/>
    <n v="4002"/>
  </r>
  <r>
    <x v="0"/>
    <x v="9"/>
    <x v="5"/>
    <x v="261"/>
    <x v="226"/>
    <x v="226"/>
    <s v="REVENUS"/>
    <x v="3"/>
    <s v="4002.007"/>
    <s v="Acompte impôt sur fortune"/>
    <n v="0"/>
    <n v="2816.57"/>
    <n v="4002"/>
  </r>
  <r>
    <x v="0"/>
    <x v="9"/>
    <x v="5"/>
    <x v="261"/>
    <x v="226"/>
    <x v="226"/>
    <s v="REVENUS"/>
    <x v="6"/>
    <s v="4211.002"/>
    <s v="Intérêts de retard sur acomptes"/>
    <n v="0"/>
    <n v="95.73"/>
    <n v="4211"/>
  </r>
  <r>
    <x v="0"/>
    <x v="9"/>
    <x v="5"/>
    <x v="261"/>
    <x v="226"/>
    <x v="226"/>
    <s v="REVENUS"/>
    <x v="6"/>
    <s v="4221.003"/>
    <s v="Intérêts compensat. / acomptes en faveur du fisc"/>
    <n v="0"/>
    <n v="1.55"/>
    <n v="4221"/>
  </r>
  <r>
    <x v="0"/>
    <x v="9"/>
    <x v="5"/>
    <x v="261"/>
    <x v="226"/>
    <x v="226"/>
    <s v="REVENUS"/>
    <x v="3"/>
    <s v="4002.007"/>
    <s v="Acompte impôt sur fortune"/>
    <n v="0"/>
    <n v="-106.15"/>
    <n v="4002"/>
  </r>
  <r>
    <x v="0"/>
    <x v="9"/>
    <x v="5"/>
    <x v="261"/>
    <x v="226"/>
    <x v="226"/>
    <s v="REVENUS"/>
    <x v="2"/>
    <s v="4001.007"/>
    <s v="Acompte impôt sur revenu"/>
    <n v="0"/>
    <n v="2945.46"/>
    <n v="4001"/>
  </r>
  <r>
    <x v="0"/>
    <x v="9"/>
    <x v="5"/>
    <x v="261"/>
    <x v="226"/>
    <x v="226"/>
    <s v="REVENUS"/>
    <x v="3"/>
    <s v="4002.007"/>
    <s v="Acompte impôt sur fortune"/>
    <n v="0"/>
    <n v="1778.28"/>
    <n v="4002"/>
  </r>
  <r>
    <x v="0"/>
    <x v="9"/>
    <x v="5"/>
    <x v="261"/>
    <x v="226"/>
    <x v="226"/>
    <s v="REVENUS"/>
    <x v="2"/>
    <s v="4001.002"/>
    <s v="Impôt complément s/revenu PP"/>
    <n v="0"/>
    <n v="12884.05"/>
    <n v="4001"/>
  </r>
  <r>
    <x v="0"/>
    <x v="9"/>
    <x v="5"/>
    <x v="261"/>
    <x v="226"/>
    <x v="226"/>
    <s v="REVENUS"/>
    <x v="3"/>
    <s v="4002.002"/>
    <s v="Impôt complémentaire s/fortune PP"/>
    <n v="0"/>
    <n v="7570.6"/>
    <n v="4002"/>
  </r>
  <r>
    <x v="0"/>
    <x v="9"/>
    <x v="5"/>
    <x v="261"/>
    <x v="226"/>
    <x v="226"/>
    <s v="REVENUS"/>
    <x v="7"/>
    <s v="4184.000"/>
    <s v="Frais de poursuite"/>
    <n v="0"/>
    <n v="-0.2"/>
    <n v="4184"/>
  </r>
  <r>
    <x v="0"/>
    <x v="9"/>
    <x v="5"/>
    <x v="261"/>
    <x v="226"/>
    <x v="226"/>
    <s v="REVENUS"/>
    <x v="6"/>
    <s v="4211.001"/>
    <s v="Intérêts de retard sur factures"/>
    <n v="0"/>
    <n v="554.04"/>
    <n v="4211"/>
  </r>
  <r>
    <x v="0"/>
    <x v="9"/>
    <x v="5"/>
    <x v="261"/>
    <x v="226"/>
    <x v="226"/>
    <s v="REVENUS"/>
    <x v="6"/>
    <s v="4221.003"/>
    <s v="Intérêts compensat. / acomptes en faveur du fisc"/>
    <n v="0"/>
    <n v="6.45"/>
    <n v="4221"/>
  </r>
  <r>
    <x v="0"/>
    <x v="9"/>
    <x v="5"/>
    <x v="261"/>
    <x v="226"/>
    <x v="226"/>
    <s v="REVENUS"/>
    <x v="2"/>
    <s v="4001.007"/>
    <s v="Acompte impôt sur revenu"/>
    <n v="0"/>
    <n v="165.75"/>
    <n v="4001"/>
  </r>
  <r>
    <x v="0"/>
    <x v="9"/>
    <x v="5"/>
    <x v="261"/>
    <x v="226"/>
    <x v="226"/>
    <s v="REVENUS"/>
    <x v="3"/>
    <s v="4002.007"/>
    <s v="Acompte impôt sur fortune"/>
    <n v="0"/>
    <n v="-19.25"/>
    <n v="4002"/>
  </r>
  <r>
    <x v="0"/>
    <x v="9"/>
    <x v="5"/>
    <x v="261"/>
    <x v="226"/>
    <x v="226"/>
    <s v="REVENUS"/>
    <x v="2"/>
    <s v="4001.001"/>
    <s v="Impôt revenu"/>
    <n v="0"/>
    <n v="-179.4"/>
    <n v="4001"/>
  </r>
  <r>
    <x v="0"/>
    <x v="9"/>
    <x v="5"/>
    <x v="261"/>
    <x v="226"/>
    <x v="226"/>
    <s v="REVENUS"/>
    <x v="2"/>
    <s v="4001.002"/>
    <s v="Impôt complément s/revenu PP"/>
    <n v="0"/>
    <n v="2864.3"/>
    <n v="4001"/>
  </r>
  <r>
    <x v="0"/>
    <x v="9"/>
    <x v="5"/>
    <x v="261"/>
    <x v="226"/>
    <x v="226"/>
    <s v="REVENUS"/>
    <x v="3"/>
    <s v="4002.001"/>
    <s v="Impôt ordinaire s/fortune PP"/>
    <n v="0"/>
    <n v="-11.1"/>
    <n v="4002"/>
  </r>
  <r>
    <x v="0"/>
    <x v="9"/>
    <x v="5"/>
    <x v="261"/>
    <x v="226"/>
    <x v="226"/>
    <s v="REVENUS"/>
    <x v="3"/>
    <s v="4002.002"/>
    <s v="Impôt complémentaire s/fortune PP"/>
    <n v="0"/>
    <n v="29.25"/>
    <n v="4002"/>
  </r>
  <r>
    <x v="0"/>
    <x v="9"/>
    <x v="5"/>
    <x v="261"/>
    <x v="226"/>
    <x v="226"/>
    <s v="REVENUS"/>
    <x v="6"/>
    <s v="4211.002"/>
    <s v="Intérêts de retard sur acomptes"/>
    <n v="0"/>
    <n v="149.6"/>
    <n v="4211"/>
  </r>
  <r>
    <x v="0"/>
    <x v="9"/>
    <x v="5"/>
    <x v="261"/>
    <x v="226"/>
    <x v="226"/>
    <s v="REVENUS"/>
    <x v="6"/>
    <s v="4221.003"/>
    <s v="Intérêts compensat. / acomptes en faveur du fisc"/>
    <n v="0"/>
    <n v="-0.41"/>
    <n v="4221"/>
  </r>
  <r>
    <x v="0"/>
    <x v="9"/>
    <x v="5"/>
    <x v="261"/>
    <x v="226"/>
    <x v="226"/>
    <s v="REVENUS"/>
    <x v="3"/>
    <s v="4002.007"/>
    <s v="Acompte impôt sur fortune"/>
    <n v="0"/>
    <n v="-624.96"/>
    <n v="4002"/>
  </r>
  <r>
    <x v="0"/>
    <x v="9"/>
    <x v="5"/>
    <x v="261"/>
    <x v="226"/>
    <x v="226"/>
    <s v="REVENUS"/>
    <x v="10"/>
    <s v="4041.001"/>
    <s v="Droits de mutation"/>
    <n v="0"/>
    <n v="125018.85"/>
    <n v="4041"/>
  </r>
  <r>
    <x v="0"/>
    <x v="9"/>
    <x v="5"/>
    <x v="261"/>
    <x v="226"/>
    <x v="226"/>
    <s v="REVENUS"/>
    <x v="2"/>
    <s v="4001.007"/>
    <s v="Acompte impôt sur revenu"/>
    <n v="0"/>
    <n v="-39318.949999999997"/>
    <n v="4001"/>
  </r>
  <r>
    <x v="0"/>
    <x v="9"/>
    <x v="5"/>
    <x v="261"/>
    <x v="226"/>
    <x v="226"/>
    <s v="REVENUS"/>
    <x v="2"/>
    <s v="4001.007"/>
    <s v="Acompte impôt sur revenu"/>
    <n v="0"/>
    <n v="-1530.95"/>
    <n v="4001"/>
  </r>
  <r>
    <x v="0"/>
    <x v="9"/>
    <x v="5"/>
    <x v="261"/>
    <x v="226"/>
    <x v="226"/>
    <s v="REVENUS"/>
    <x v="3"/>
    <s v="4002.007"/>
    <s v="Acompte impôt sur fortune"/>
    <n v="0"/>
    <n v="-575.02"/>
    <n v="4002"/>
  </r>
  <r>
    <x v="0"/>
    <x v="9"/>
    <x v="5"/>
    <x v="261"/>
    <x v="226"/>
    <x v="226"/>
    <s v="REVENUS"/>
    <x v="3"/>
    <s v="4002.001"/>
    <s v="Impôt ordinaire s/fortune PP"/>
    <n v="0"/>
    <n v="1912.35"/>
    <n v="4002"/>
  </r>
  <r>
    <x v="0"/>
    <x v="9"/>
    <x v="5"/>
    <x v="261"/>
    <x v="226"/>
    <x v="226"/>
    <s v="REVENUS"/>
    <x v="2"/>
    <s v="4001.001"/>
    <s v="Impôt revenu"/>
    <n v="0"/>
    <n v="-1311.2"/>
    <n v="4001"/>
  </r>
  <r>
    <x v="0"/>
    <x v="9"/>
    <x v="5"/>
    <x v="261"/>
    <x v="226"/>
    <x v="226"/>
    <s v="REVENUS"/>
    <x v="3"/>
    <s v="4002.001"/>
    <s v="Impôt ordinaire s/fortune PP"/>
    <n v="0"/>
    <n v="-175.9"/>
    <n v="4002"/>
  </r>
  <r>
    <x v="0"/>
    <x v="9"/>
    <x v="5"/>
    <x v="261"/>
    <x v="226"/>
    <x v="226"/>
    <s v="REVENUS"/>
    <x v="6"/>
    <s v="4211.002"/>
    <s v="Intérêts de retard sur acomptes"/>
    <n v="0"/>
    <n v="-0.04"/>
    <n v="4211"/>
  </r>
  <r>
    <x v="0"/>
    <x v="9"/>
    <x v="5"/>
    <x v="261"/>
    <x v="226"/>
    <x v="226"/>
    <s v="REVENUS"/>
    <x v="6"/>
    <s v="4221.003"/>
    <s v="Intérêts compensat. / acomptes en faveur du fisc"/>
    <n v="0"/>
    <n v="0.08"/>
    <n v="4221"/>
  </r>
  <r>
    <x v="0"/>
    <x v="9"/>
    <x v="5"/>
    <x v="261"/>
    <x v="226"/>
    <x v="226"/>
    <s v="REVENUS"/>
    <x v="2"/>
    <s v="4001.001"/>
    <s v="Impôt revenu"/>
    <n v="0"/>
    <n v="-254531.85"/>
    <n v="4001"/>
  </r>
  <r>
    <x v="0"/>
    <x v="9"/>
    <x v="5"/>
    <x v="261"/>
    <x v="226"/>
    <x v="226"/>
    <s v="REVENUS"/>
    <x v="2"/>
    <s v="4001.007"/>
    <s v="Acompte impôt sur revenu"/>
    <n v="0"/>
    <n v="-13852.62"/>
    <n v="4001"/>
  </r>
  <r>
    <x v="0"/>
    <x v="9"/>
    <x v="5"/>
    <x v="261"/>
    <x v="226"/>
    <x v="226"/>
    <s v="REVENUS"/>
    <x v="3"/>
    <s v="4002.001"/>
    <s v="Impôt ordinaire s/fortune PP"/>
    <n v="0"/>
    <n v="-24101.8"/>
    <n v="4002"/>
  </r>
  <r>
    <x v="0"/>
    <x v="9"/>
    <x v="5"/>
    <x v="261"/>
    <x v="226"/>
    <x v="226"/>
    <s v="REVENUS"/>
    <x v="3"/>
    <s v="4002.007"/>
    <s v="Acompte impôt sur fortune"/>
    <n v="0"/>
    <n v="-128.75"/>
    <n v="4002"/>
  </r>
  <r>
    <x v="0"/>
    <x v="9"/>
    <x v="5"/>
    <x v="261"/>
    <x v="226"/>
    <x v="226"/>
    <s v="REVENUS"/>
    <x v="8"/>
    <s v="4091.001"/>
    <s v="Impôt récupéré après défalcations"/>
    <n v="0"/>
    <n v="17076.38"/>
    <n v="4091"/>
  </r>
  <r>
    <x v="0"/>
    <x v="9"/>
    <x v="5"/>
    <x v="261"/>
    <x v="226"/>
    <x v="226"/>
    <s v="REVENUS"/>
    <x v="9"/>
    <s v="4031.001"/>
    <s v="Impôt sur les gains immobiliers"/>
    <n v="0"/>
    <n v="46734.1"/>
    <n v="4031"/>
  </r>
  <r>
    <x v="0"/>
    <x v="9"/>
    <x v="5"/>
    <x v="261"/>
    <x v="226"/>
    <x v="226"/>
    <s v="REVENUS"/>
    <x v="6"/>
    <s v="4211.001"/>
    <s v="Intérêts de retard sur factures"/>
    <n v="0"/>
    <n v="14.91"/>
    <n v="4211"/>
  </r>
  <r>
    <x v="0"/>
    <x v="9"/>
    <x v="5"/>
    <x v="261"/>
    <x v="226"/>
    <x v="226"/>
    <s v="REVENUS"/>
    <x v="2"/>
    <s v="4001.002"/>
    <s v="Impôt complément s/revenu PP"/>
    <n v="0"/>
    <n v="1165.75"/>
    <n v="4001"/>
  </r>
  <r>
    <x v="0"/>
    <x v="9"/>
    <x v="5"/>
    <x v="261"/>
    <x v="226"/>
    <x v="226"/>
    <s v="REVENUS"/>
    <x v="3"/>
    <s v="4002.002"/>
    <s v="Impôt complémentaire s/fortune PP"/>
    <n v="0"/>
    <n v="759"/>
    <n v="4002"/>
  </r>
  <r>
    <x v="0"/>
    <x v="9"/>
    <x v="5"/>
    <x v="261"/>
    <x v="226"/>
    <x v="226"/>
    <s v="REVENUS"/>
    <x v="2"/>
    <s v="4001.001"/>
    <s v="Impôt revenu"/>
    <n v="0"/>
    <n v="-156.30000000000001"/>
    <n v="4001"/>
  </r>
  <r>
    <x v="0"/>
    <x v="9"/>
    <x v="5"/>
    <x v="261"/>
    <x v="226"/>
    <x v="226"/>
    <s v="REVENUS"/>
    <x v="2"/>
    <s v="4001.002"/>
    <s v="Impôt complément s/revenu PP"/>
    <n v="0"/>
    <n v="-39.549999999999997"/>
    <n v="4001"/>
  </r>
  <r>
    <x v="0"/>
    <x v="9"/>
    <x v="5"/>
    <x v="261"/>
    <x v="226"/>
    <x v="226"/>
    <s v="REVENUS"/>
    <x v="3"/>
    <s v="4002.001"/>
    <s v="Impôt ordinaire s/fortune PP"/>
    <n v="0"/>
    <n v="-173.2"/>
    <n v="4002"/>
  </r>
  <r>
    <x v="0"/>
    <x v="9"/>
    <x v="5"/>
    <x v="261"/>
    <x v="226"/>
    <x v="226"/>
    <s v="REVENUS"/>
    <x v="3"/>
    <s v="4002.002"/>
    <s v="Impôt complémentaire s/fortune PP"/>
    <n v="0"/>
    <n v="-492.5"/>
    <n v="4002"/>
  </r>
  <r>
    <x v="0"/>
    <x v="9"/>
    <x v="5"/>
    <x v="261"/>
    <x v="226"/>
    <x v="226"/>
    <s v="REVENUS"/>
    <x v="2"/>
    <s v="4001.002"/>
    <s v="Impôt complément s/revenu PP"/>
    <n v="0"/>
    <n v="203.1"/>
    <n v="4001"/>
  </r>
  <r>
    <x v="0"/>
    <x v="9"/>
    <x v="5"/>
    <x v="261"/>
    <x v="226"/>
    <x v="226"/>
    <s v="REVENUS"/>
    <x v="4"/>
    <s v="4051.001"/>
    <s v="Impôt sur les successions"/>
    <n v="0"/>
    <n v="127802"/>
    <n v="4051"/>
  </r>
  <r>
    <x v="0"/>
    <x v="9"/>
    <x v="5"/>
    <x v="261"/>
    <x v="226"/>
    <x v="226"/>
    <s v="REVENUS"/>
    <x v="2"/>
    <s v="4001.002"/>
    <s v="Impôt complément s/revenu PP"/>
    <n v="0"/>
    <n v="10.7"/>
    <n v="4001"/>
  </r>
  <r>
    <x v="0"/>
    <x v="9"/>
    <x v="5"/>
    <x v="261"/>
    <x v="226"/>
    <x v="226"/>
    <s v="REVENUS"/>
    <x v="3"/>
    <s v="4002.002"/>
    <s v="Impôt complémentaire s/fortune PP"/>
    <n v="0"/>
    <n v="74.2"/>
    <n v="4002"/>
  </r>
  <r>
    <x v="0"/>
    <x v="9"/>
    <x v="5"/>
    <x v="261"/>
    <x v="226"/>
    <x v="226"/>
    <s v="REVENUS"/>
    <x v="2"/>
    <s v="4001.001"/>
    <s v="Impôt revenu"/>
    <n v="0"/>
    <n v="3860.25"/>
    <n v="4001"/>
  </r>
  <r>
    <x v="0"/>
    <x v="9"/>
    <x v="5"/>
    <x v="261"/>
    <x v="226"/>
    <x v="226"/>
    <s v="REVENUS"/>
    <x v="6"/>
    <s v="4221.003"/>
    <s v="Intérêts compensat. / acomptes en faveur du fisc"/>
    <n v="0"/>
    <n v="0.72"/>
    <n v="4221"/>
  </r>
  <r>
    <x v="0"/>
    <x v="9"/>
    <x v="5"/>
    <x v="261"/>
    <x v="226"/>
    <x v="226"/>
    <s v="REVENUS"/>
    <x v="2"/>
    <s v="4001.002"/>
    <s v="Impôt complément s/revenu PP"/>
    <n v="0"/>
    <n v="-6134.75"/>
    <n v="4001"/>
  </r>
  <r>
    <x v="0"/>
    <x v="9"/>
    <x v="5"/>
    <x v="261"/>
    <x v="226"/>
    <x v="226"/>
    <s v="REVENUS"/>
    <x v="3"/>
    <s v="4002.002"/>
    <s v="Impôt complémentaire s/fortune PP"/>
    <n v="0"/>
    <n v="-2153.65"/>
    <n v="4002"/>
  </r>
  <r>
    <x v="0"/>
    <x v="9"/>
    <x v="5"/>
    <x v="261"/>
    <x v="226"/>
    <x v="226"/>
    <s v="REVENUS"/>
    <x v="4"/>
    <s v="4051.001"/>
    <s v="Impôt sur les successions"/>
    <n v="0"/>
    <n v="86.4"/>
    <n v="4051"/>
  </r>
  <r>
    <x v="0"/>
    <x v="9"/>
    <x v="5"/>
    <x v="261"/>
    <x v="226"/>
    <x v="226"/>
    <s v="REVENUS"/>
    <x v="6"/>
    <s v="4221.002"/>
    <s v="Intérêts compensat. sur impôts distincts"/>
    <n v="0"/>
    <n v="0.02"/>
    <n v="4221"/>
  </r>
  <r>
    <x v="0"/>
    <x v="9"/>
    <x v="5"/>
    <x v="261"/>
    <x v="226"/>
    <x v="226"/>
    <s v="REVENUS"/>
    <x v="6"/>
    <s v="4211.002"/>
    <s v="Intérêts de retard sur acomptes"/>
    <n v="0"/>
    <n v="0.13"/>
    <n v="4211"/>
  </r>
  <r>
    <x v="0"/>
    <x v="9"/>
    <x v="5"/>
    <x v="261"/>
    <x v="226"/>
    <x v="226"/>
    <s v="REVENUS"/>
    <x v="6"/>
    <s v="4221.003"/>
    <s v="Intérêts compensat. / acomptes en faveur du fisc"/>
    <n v="0"/>
    <n v="0.1"/>
    <n v="4221"/>
  </r>
  <r>
    <x v="0"/>
    <x v="9"/>
    <x v="5"/>
    <x v="261"/>
    <x v="226"/>
    <x v="226"/>
    <s v="REVENUS"/>
    <x v="4"/>
    <s v="4051.002"/>
    <s v="Impôt sur les donations"/>
    <n v="0"/>
    <n v="7524"/>
    <n v="4051"/>
  </r>
  <r>
    <x v="0"/>
    <x v="9"/>
    <x v="5"/>
    <x v="261"/>
    <x v="226"/>
    <x v="226"/>
    <s v="REVENUS"/>
    <x v="8"/>
    <s v="4091.001"/>
    <s v="Impôt récupéré après défalcations"/>
    <n v="0"/>
    <n v="6601.59"/>
    <n v="4091"/>
  </r>
  <r>
    <x v="0"/>
    <x v="9"/>
    <x v="5"/>
    <x v="261"/>
    <x v="226"/>
    <x v="226"/>
    <s v="REVENUS"/>
    <x v="2"/>
    <s v="4001.007"/>
    <s v="Acompte impôt sur revenu"/>
    <n v="0"/>
    <n v="-732.75"/>
    <n v="4001"/>
  </r>
  <r>
    <x v="0"/>
    <x v="9"/>
    <x v="5"/>
    <x v="261"/>
    <x v="226"/>
    <x v="226"/>
    <s v="REVENUS"/>
    <x v="3"/>
    <s v="4002.007"/>
    <s v="Acompte impôt sur fortune"/>
    <n v="0"/>
    <n v="-595.85"/>
    <n v="4002"/>
  </r>
  <r>
    <x v="0"/>
    <x v="9"/>
    <x v="5"/>
    <x v="261"/>
    <x v="226"/>
    <x v="226"/>
    <s v="REVENUS"/>
    <x v="9"/>
    <s v="4031.002"/>
    <s v="Complément impôt sur les gains immobiliers"/>
    <n v="0"/>
    <n v="7453.85"/>
    <n v="4031"/>
  </r>
  <r>
    <x v="0"/>
    <x v="9"/>
    <x v="5"/>
    <x v="262"/>
    <x v="227"/>
    <x v="227"/>
    <s v="CHARGES"/>
    <x v="1"/>
    <s v="3301.001"/>
    <s v="Défalcations, abandons de solde PP et IS"/>
    <n v="12832.53"/>
    <n v="0"/>
    <n v="3301"/>
  </r>
  <r>
    <x v="0"/>
    <x v="9"/>
    <x v="5"/>
    <x v="262"/>
    <x v="227"/>
    <x v="227"/>
    <s v="CHARGES"/>
    <x v="0"/>
    <s v="3212.004"/>
    <s v="Intérêts rémun./perçu trop tôt sur acomptes C/C"/>
    <n v="105.38"/>
    <n v="0"/>
    <n v="3212"/>
  </r>
  <r>
    <x v="0"/>
    <x v="9"/>
    <x v="5"/>
    <x v="262"/>
    <x v="227"/>
    <x v="227"/>
    <s v="CHARGES"/>
    <x v="0"/>
    <s v="3221.002"/>
    <s v="Intérêts compensatoires / créances en faveur ctb."/>
    <n v="37.69"/>
    <n v="0"/>
    <n v="3221"/>
  </r>
  <r>
    <x v="0"/>
    <x v="9"/>
    <x v="5"/>
    <x v="262"/>
    <x v="227"/>
    <x v="227"/>
    <s v="CHARGES"/>
    <x v="1"/>
    <s v="3301.001"/>
    <s v="Défalcations, abandons de solde PP et IS"/>
    <n v="690.47"/>
    <n v="0"/>
    <n v="3301"/>
  </r>
  <r>
    <x v="0"/>
    <x v="9"/>
    <x v="5"/>
    <x v="262"/>
    <x v="227"/>
    <x v="227"/>
    <s v="CHARGES"/>
    <x v="0"/>
    <s v="3212.004"/>
    <s v="Intérêts rémun./perçu trop tôt sur acomptes C/C"/>
    <n v="0.88"/>
    <n v="0"/>
    <n v="3212"/>
  </r>
  <r>
    <x v="0"/>
    <x v="9"/>
    <x v="5"/>
    <x v="262"/>
    <x v="227"/>
    <x v="227"/>
    <s v="CHARGES"/>
    <x v="0"/>
    <s v="3212.002"/>
    <s v="Intérêts bonifiés/trop perçu acompte C/C"/>
    <n v="5.62"/>
    <n v="0"/>
    <n v="3212"/>
  </r>
  <r>
    <x v="0"/>
    <x v="9"/>
    <x v="5"/>
    <x v="262"/>
    <x v="227"/>
    <x v="227"/>
    <s v="CHARGES"/>
    <x v="0"/>
    <s v="3212.004"/>
    <s v="Intérêts rémun./perçu trop tôt sur acomptes C/C"/>
    <n v="2"/>
    <n v="0"/>
    <n v="3212"/>
  </r>
  <r>
    <x v="0"/>
    <x v="9"/>
    <x v="5"/>
    <x v="262"/>
    <x v="227"/>
    <x v="227"/>
    <s v="CHARGES"/>
    <x v="0"/>
    <s v="3221.002"/>
    <s v="Intérêts compensatoires / créances en faveur ctb."/>
    <n v="1.42"/>
    <n v="0"/>
    <n v="3221"/>
  </r>
  <r>
    <x v="0"/>
    <x v="9"/>
    <x v="5"/>
    <x v="262"/>
    <x v="227"/>
    <x v="227"/>
    <s v="CHARGES"/>
    <x v="1"/>
    <s v="3301.001"/>
    <s v="Défalcations, abandons de solde PP et IS"/>
    <n v="0.23"/>
    <n v="0"/>
    <n v="3301"/>
  </r>
  <r>
    <x v="0"/>
    <x v="9"/>
    <x v="5"/>
    <x v="262"/>
    <x v="227"/>
    <x v="227"/>
    <s v="CHARGES"/>
    <x v="0"/>
    <s v="3221.002"/>
    <s v="Intérêts compensatoires / créances en faveur ctb."/>
    <n v="0.04"/>
    <n v="0"/>
    <n v="3221"/>
  </r>
  <r>
    <x v="0"/>
    <x v="9"/>
    <x v="5"/>
    <x v="262"/>
    <x v="227"/>
    <x v="227"/>
    <s v="CHARGES"/>
    <x v="0"/>
    <s v="3212.004"/>
    <s v="Intérêts rémun./perçu trop tôt sur acomptes C/C"/>
    <n v="0.05"/>
    <n v="0"/>
    <n v="3212"/>
  </r>
  <r>
    <x v="0"/>
    <x v="9"/>
    <x v="5"/>
    <x v="262"/>
    <x v="227"/>
    <x v="227"/>
    <s v="CHARGES"/>
    <x v="1"/>
    <s v="3301.001"/>
    <s v="Défalcations, abandons de solde PP et IS"/>
    <n v="7.0000000000000007E-2"/>
    <n v="0"/>
    <n v="3301"/>
  </r>
  <r>
    <x v="0"/>
    <x v="9"/>
    <x v="5"/>
    <x v="262"/>
    <x v="227"/>
    <x v="227"/>
    <s v="CHARGES"/>
    <x v="0"/>
    <s v="3212.004"/>
    <s v="Intérêts rémun./perçu trop tôt sur acomptes C/C"/>
    <n v="7.0000000000000007E-2"/>
    <n v="0"/>
    <n v="3212"/>
  </r>
  <r>
    <x v="0"/>
    <x v="9"/>
    <x v="5"/>
    <x v="262"/>
    <x v="227"/>
    <x v="227"/>
    <s v="CHARGES"/>
    <x v="0"/>
    <s v="3221.002"/>
    <s v="Intérêts compensatoires / créances en faveur ctb."/>
    <n v="0.02"/>
    <n v="0"/>
    <n v="3221"/>
  </r>
  <r>
    <x v="0"/>
    <x v="9"/>
    <x v="5"/>
    <x v="262"/>
    <x v="227"/>
    <x v="227"/>
    <s v="CHARGES"/>
    <x v="1"/>
    <s v="3301.001"/>
    <s v="Défalcations, abandons de solde PP et IS"/>
    <n v="24174.98"/>
    <n v="0"/>
    <n v="3301"/>
  </r>
  <r>
    <x v="0"/>
    <x v="9"/>
    <x v="5"/>
    <x v="262"/>
    <x v="227"/>
    <x v="227"/>
    <s v="CHARGES"/>
    <x v="1"/>
    <s v="3301.001"/>
    <s v="Défalcations, abandons de solde PP et IS"/>
    <n v="14.72"/>
    <n v="0"/>
    <n v="3301"/>
  </r>
  <r>
    <x v="0"/>
    <x v="9"/>
    <x v="5"/>
    <x v="262"/>
    <x v="227"/>
    <x v="227"/>
    <s v="CHARGES"/>
    <x v="0"/>
    <s v="3212.004"/>
    <s v="Intérêts rémun./perçu trop tôt sur acomptes C/C"/>
    <n v="0.1"/>
    <n v="0"/>
    <n v="3212"/>
  </r>
  <r>
    <x v="0"/>
    <x v="9"/>
    <x v="5"/>
    <x v="262"/>
    <x v="227"/>
    <x v="227"/>
    <s v="CHARGES"/>
    <x v="0"/>
    <s v="3221.002"/>
    <s v="Intérêts compensatoires / créances en faveur ctb."/>
    <n v="0.06"/>
    <n v="0"/>
    <n v="3221"/>
  </r>
  <r>
    <x v="0"/>
    <x v="9"/>
    <x v="5"/>
    <x v="262"/>
    <x v="227"/>
    <x v="227"/>
    <s v="CHARGES"/>
    <x v="0"/>
    <s v="3212.004"/>
    <s v="Intérêts rémun./perçu trop tôt sur acomptes C/C"/>
    <n v="0.06"/>
    <n v="0"/>
    <n v="3212"/>
  </r>
  <r>
    <x v="0"/>
    <x v="9"/>
    <x v="5"/>
    <x v="262"/>
    <x v="227"/>
    <x v="227"/>
    <s v="CHARGES"/>
    <x v="0"/>
    <s v="3221.002"/>
    <s v="Intérêts compensatoires / créances en faveur ctb."/>
    <n v="0.22"/>
    <n v="0"/>
    <n v="3221"/>
  </r>
  <r>
    <x v="0"/>
    <x v="9"/>
    <x v="5"/>
    <x v="262"/>
    <x v="227"/>
    <x v="227"/>
    <s v="REVENUS"/>
    <x v="2"/>
    <s v="4001.007"/>
    <s v="Acompte impôt sur revenu"/>
    <n v="0"/>
    <n v="38271"/>
    <n v="4001"/>
  </r>
  <r>
    <x v="0"/>
    <x v="9"/>
    <x v="5"/>
    <x v="262"/>
    <x v="227"/>
    <x v="227"/>
    <s v="REVENUS"/>
    <x v="3"/>
    <s v="4002.007"/>
    <s v="Acompte impôt sur fortune"/>
    <n v="0"/>
    <n v="-2553.9899999999998"/>
    <n v="4002"/>
  </r>
  <r>
    <x v="0"/>
    <x v="9"/>
    <x v="5"/>
    <x v="262"/>
    <x v="227"/>
    <x v="227"/>
    <s v="REVENUS"/>
    <x v="6"/>
    <s v="4211.001"/>
    <s v="Intérêts de retard sur factures"/>
    <n v="0"/>
    <n v="3379.3"/>
    <n v="4211"/>
  </r>
  <r>
    <x v="0"/>
    <x v="9"/>
    <x v="5"/>
    <x v="262"/>
    <x v="227"/>
    <x v="227"/>
    <s v="REVENUS"/>
    <x v="2"/>
    <s v="4001.001"/>
    <s v="Impôt revenu"/>
    <n v="0"/>
    <n v="638992.9"/>
    <n v="4001"/>
  </r>
  <r>
    <x v="0"/>
    <x v="9"/>
    <x v="5"/>
    <x v="262"/>
    <x v="227"/>
    <x v="227"/>
    <s v="REVENUS"/>
    <x v="2"/>
    <s v="4001.003"/>
    <s v="Impôt s/prest. cap. PP"/>
    <n v="0"/>
    <n v="19893.7"/>
    <n v="4001"/>
  </r>
  <r>
    <x v="0"/>
    <x v="9"/>
    <x v="5"/>
    <x v="262"/>
    <x v="227"/>
    <x v="227"/>
    <s v="REVENUS"/>
    <x v="3"/>
    <s v="4002.001"/>
    <s v="Impôt ordinaire s/fortune PP"/>
    <n v="0"/>
    <n v="76974.7"/>
    <n v="4002"/>
  </r>
  <r>
    <x v="0"/>
    <x v="9"/>
    <x v="5"/>
    <x v="262"/>
    <x v="227"/>
    <x v="227"/>
    <s v="REVENUS"/>
    <x v="9"/>
    <s v="4031.001"/>
    <s v="Impôt sur les gains immobiliers"/>
    <n v="0"/>
    <n v="61265.5"/>
    <n v="4031"/>
  </r>
  <r>
    <x v="0"/>
    <x v="9"/>
    <x v="5"/>
    <x v="262"/>
    <x v="227"/>
    <x v="227"/>
    <s v="REVENUS"/>
    <x v="6"/>
    <s v="4221.002"/>
    <s v="Intérêts compensat. sur impôts distincts"/>
    <n v="0"/>
    <n v="5.34"/>
    <n v="4221"/>
  </r>
  <r>
    <x v="0"/>
    <x v="9"/>
    <x v="5"/>
    <x v="262"/>
    <x v="227"/>
    <x v="227"/>
    <s v="REVENUS"/>
    <x v="6"/>
    <s v="4211.002"/>
    <s v="Intérêts de retard sur acomptes"/>
    <n v="0"/>
    <n v="3492.07"/>
    <n v="4211"/>
  </r>
  <r>
    <x v="0"/>
    <x v="9"/>
    <x v="5"/>
    <x v="262"/>
    <x v="227"/>
    <x v="227"/>
    <s v="REVENUS"/>
    <x v="2"/>
    <s v="4001.007"/>
    <s v="Acompte impôt sur revenu"/>
    <n v="0"/>
    <n v="-586.04999999999995"/>
    <n v="4001"/>
  </r>
  <r>
    <x v="0"/>
    <x v="9"/>
    <x v="5"/>
    <x v="262"/>
    <x v="227"/>
    <x v="227"/>
    <s v="REVENUS"/>
    <x v="3"/>
    <s v="4002.007"/>
    <s v="Acompte impôt sur fortune"/>
    <n v="0"/>
    <n v="-1035.4000000000001"/>
    <n v="4002"/>
  </r>
  <r>
    <x v="0"/>
    <x v="9"/>
    <x v="5"/>
    <x v="262"/>
    <x v="227"/>
    <x v="227"/>
    <s v="REVENUS"/>
    <x v="2"/>
    <s v="4001.001"/>
    <s v="Impôt revenu"/>
    <n v="0"/>
    <n v="6186.65"/>
    <n v="4001"/>
  </r>
  <r>
    <x v="0"/>
    <x v="9"/>
    <x v="5"/>
    <x v="262"/>
    <x v="227"/>
    <x v="227"/>
    <s v="REVENUS"/>
    <x v="3"/>
    <s v="4002.001"/>
    <s v="Impôt ordinaire s/fortune PP"/>
    <n v="0"/>
    <n v="2500.0500000000002"/>
    <n v="4002"/>
  </r>
  <r>
    <x v="0"/>
    <x v="9"/>
    <x v="5"/>
    <x v="262"/>
    <x v="227"/>
    <x v="227"/>
    <s v="REVENUS"/>
    <x v="6"/>
    <s v="4221.003"/>
    <s v="Intérêts compensat. / acomptes en faveur du fisc"/>
    <n v="0"/>
    <n v="0.73"/>
    <n v="4221"/>
  </r>
  <r>
    <x v="0"/>
    <x v="9"/>
    <x v="5"/>
    <x v="262"/>
    <x v="227"/>
    <x v="227"/>
    <s v="REVENUS"/>
    <x v="7"/>
    <s v="4184.000"/>
    <s v="Frais de poursuite"/>
    <n v="0"/>
    <n v="2206.48"/>
    <n v="4184"/>
  </r>
  <r>
    <x v="0"/>
    <x v="9"/>
    <x v="5"/>
    <x v="262"/>
    <x v="227"/>
    <x v="227"/>
    <s v="REVENUS"/>
    <x v="6"/>
    <s v="4221.003"/>
    <s v="Intérêts compensat. / acomptes en faveur du fisc"/>
    <n v="0"/>
    <n v="17.989999999999998"/>
    <n v="4221"/>
  </r>
  <r>
    <x v="0"/>
    <x v="9"/>
    <x v="5"/>
    <x v="262"/>
    <x v="227"/>
    <x v="227"/>
    <s v="REVENUS"/>
    <x v="2"/>
    <s v="4001.001"/>
    <s v="Impôt revenu"/>
    <n v="0"/>
    <n v="1856.95"/>
    <n v="4001"/>
  </r>
  <r>
    <x v="0"/>
    <x v="9"/>
    <x v="5"/>
    <x v="262"/>
    <x v="227"/>
    <x v="227"/>
    <s v="REVENUS"/>
    <x v="6"/>
    <s v="4211.002"/>
    <s v="Intérêts de retard sur acomptes"/>
    <n v="0"/>
    <n v="25.63"/>
    <n v="4211"/>
  </r>
  <r>
    <x v="0"/>
    <x v="9"/>
    <x v="5"/>
    <x v="262"/>
    <x v="227"/>
    <x v="227"/>
    <s v="REVENUS"/>
    <x v="3"/>
    <s v="4002.007"/>
    <s v="Acompte impôt sur fortune"/>
    <n v="0"/>
    <n v="-1288.33"/>
    <n v="4002"/>
  </r>
  <r>
    <x v="0"/>
    <x v="9"/>
    <x v="5"/>
    <x v="262"/>
    <x v="227"/>
    <x v="227"/>
    <s v="REVENUS"/>
    <x v="3"/>
    <s v="4002.007"/>
    <s v="Acompte impôt sur fortune"/>
    <n v="0"/>
    <n v="139.01"/>
    <n v="4002"/>
  </r>
  <r>
    <x v="0"/>
    <x v="9"/>
    <x v="5"/>
    <x v="262"/>
    <x v="227"/>
    <x v="227"/>
    <s v="REVENUS"/>
    <x v="2"/>
    <s v="4001.007"/>
    <s v="Acompte impôt sur revenu"/>
    <n v="0"/>
    <n v="1971.75"/>
    <n v="4001"/>
  </r>
  <r>
    <x v="0"/>
    <x v="9"/>
    <x v="5"/>
    <x v="262"/>
    <x v="227"/>
    <x v="227"/>
    <s v="REVENUS"/>
    <x v="3"/>
    <s v="4002.002"/>
    <s v="Impôt complémentaire s/fortune PP"/>
    <n v="0"/>
    <n v="13673.6"/>
    <n v="4002"/>
  </r>
  <r>
    <x v="0"/>
    <x v="9"/>
    <x v="5"/>
    <x v="262"/>
    <x v="227"/>
    <x v="227"/>
    <s v="REVENUS"/>
    <x v="2"/>
    <s v="4001.002"/>
    <s v="Impôt complément s/revenu PP"/>
    <n v="0"/>
    <n v="60662.7"/>
    <n v="4001"/>
  </r>
  <r>
    <x v="0"/>
    <x v="9"/>
    <x v="5"/>
    <x v="262"/>
    <x v="227"/>
    <x v="227"/>
    <s v="REVENUS"/>
    <x v="3"/>
    <s v="4002.007"/>
    <s v="Acompte impôt sur fortune"/>
    <n v="0"/>
    <n v="-3002.24"/>
    <n v="4002"/>
  </r>
  <r>
    <x v="0"/>
    <x v="9"/>
    <x v="5"/>
    <x v="262"/>
    <x v="227"/>
    <x v="227"/>
    <s v="REVENUS"/>
    <x v="2"/>
    <s v="4001.007"/>
    <s v="Acompte impôt sur revenu"/>
    <n v="0"/>
    <n v="314.45"/>
    <n v="4001"/>
  </r>
  <r>
    <x v="0"/>
    <x v="9"/>
    <x v="5"/>
    <x v="262"/>
    <x v="227"/>
    <x v="227"/>
    <s v="REVENUS"/>
    <x v="3"/>
    <s v="4002.007"/>
    <s v="Acompte impôt sur fortune"/>
    <n v="0"/>
    <n v="9.65"/>
    <n v="4002"/>
  </r>
  <r>
    <x v="0"/>
    <x v="9"/>
    <x v="5"/>
    <x v="262"/>
    <x v="227"/>
    <x v="227"/>
    <s v="REVENUS"/>
    <x v="2"/>
    <s v="4001.007"/>
    <s v="Acompte impôt sur revenu"/>
    <n v="0"/>
    <n v="6687.31"/>
    <n v="4001"/>
  </r>
  <r>
    <x v="0"/>
    <x v="9"/>
    <x v="5"/>
    <x v="262"/>
    <x v="227"/>
    <x v="227"/>
    <s v="REVENUS"/>
    <x v="3"/>
    <s v="4002.007"/>
    <s v="Acompte impôt sur fortune"/>
    <n v="0"/>
    <n v="-109.21"/>
    <n v="4002"/>
  </r>
  <r>
    <x v="0"/>
    <x v="9"/>
    <x v="5"/>
    <x v="262"/>
    <x v="227"/>
    <x v="227"/>
    <s v="REVENUS"/>
    <x v="3"/>
    <s v="4002.001"/>
    <s v="Impôt ordinaire s/fortune PP"/>
    <n v="0"/>
    <n v="2131.65"/>
    <n v="4002"/>
  </r>
  <r>
    <x v="0"/>
    <x v="9"/>
    <x v="5"/>
    <x v="262"/>
    <x v="227"/>
    <x v="227"/>
    <s v="REVENUS"/>
    <x v="2"/>
    <s v="4001.007"/>
    <s v="Acompte impôt sur revenu"/>
    <n v="0"/>
    <n v="2989.15"/>
    <n v="4001"/>
  </r>
  <r>
    <x v="0"/>
    <x v="9"/>
    <x v="5"/>
    <x v="262"/>
    <x v="227"/>
    <x v="227"/>
    <s v="REVENUS"/>
    <x v="2"/>
    <s v="4001.007"/>
    <s v="Acompte impôt sur revenu"/>
    <n v="0"/>
    <n v="-1758.08"/>
    <n v="4001"/>
  </r>
  <r>
    <x v="0"/>
    <x v="9"/>
    <x v="5"/>
    <x v="262"/>
    <x v="227"/>
    <x v="227"/>
    <s v="REVENUS"/>
    <x v="2"/>
    <s v="4001.007"/>
    <s v="Acompte impôt sur revenu"/>
    <n v="0"/>
    <n v="-55.4"/>
    <n v="4001"/>
  </r>
  <r>
    <x v="0"/>
    <x v="9"/>
    <x v="5"/>
    <x v="262"/>
    <x v="227"/>
    <x v="227"/>
    <s v="REVENUS"/>
    <x v="3"/>
    <s v="4002.007"/>
    <s v="Acompte impôt sur fortune"/>
    <n v="0"/>
    <n v="-37.799999999999997"/>
    <n v="4002"/>
  </r>
  <r>
    <x v="0"/>
    <x v="9"/>
    <x v="5"/>
    <x v="262"/>
    <x v="227"/>
    <x v="227"/>
    <s v="REVENUS"/>
    <x v="3"/>
    <s v="4002.002"/>
    <s v="Impôt complémentaire s/fortune PP"/>
    <n v="0"/>
    <n v="432.55"/>
    <n v="4002"/>
  </r>
  <r>
    <x v="0"/>
    <x v="9"/>
    <x v="5"/>
    <x v="262"/>
    <x v="227"/>
    <x v="227"/>
    <s v="REVENUS"/>
    <x v="6"/>
    <s v="4221.003"/>
    <s v="Intérêts compensat. / acomptes en faveur du fisc"/>
    <n v="0"/>
    <n v="0.23"/>
    <n v="4221"/>
  </r>
  <r>
    <x v="0"/>
    <x v="9"/>
    <x v="5"/>
    <x v="262"/>
    <x v="227"/>
    <x v="227"/>
    <s v="REVENUS"/>
    <x v="6"/>
    <s v="4211.002"/>
    <s v="Intérêts de retard sur acomptes"/>
    <n v="0"/>
    <n v="15.9"/>
    <n v="4211"/>
  </r>
  <r>
    <x v="0"/>
    <x v="9"/>
    <x v="5"/>
    <x v="262"/>
    <x v="227"/>
    <x v="227"/>
    <s v="REVENUS"/>
    <x v="10"/>
    <s v="4041.001"/>
    <s v="Droits de mutation"/>
    <n v="0"/>
    <n v="31419"/>
    <n v="4041"/>
  </r>
  <r>
    <x v="0"/>
    <x v="9"/>
    <x v="5"/>
    <x v="262"/>
    <x v="227"/>
    <x v="227"/>
    <s v="REVENUS"/>
    <x v="7"/>
    <s v="4184.000"/>
    <s v="Frais de poursuite"/>
    <n v="0"/>
    <n v="39.74"/>
    <n v="4184"/>
  </r>
  <r>
    <x v="0"/>
    <x v="9"/>
    <x v="5"/>
    <x v="262"/>
    <x v="227"/>
    <x v="227"/>
    <s v="REVENUS"/>
    <x v="4"/>
    <s v="4051.002"/>
    <s v="Impôt sur les donations"/>
    <n v="0"/>
    <n v="5642.5"/>
    <n v="4051"/>
  </r>
  <r>
    <x v="0"/>
    <x v="9"/>
    <x v="5"/>
    <x v="262"/>
    <x v="227"/>
    <x v="227"/>
    <s v="REVENUS"/>
    <x v="2"/>
    <s v="4001.001"/>
    <s v="Impôt revenu"/>
    <n v="0"/>
    <n v="-24956.5"/>
    <n v="4001"/>
  </r>
  <r>
    <x v="0"/>
    <x v="9"/>
    <x v="5"/>
    <x v="262"/>
    <x v="227"/>
    <x v="227"/>
    <s v="REVENUS"/>
    <x v="2"/>
    <s v="4001.001"/>
    <s v="Impôt revenu"/>
    <n v="0"/>
    <n v="207.95"/>
    <n v="4001"/>
  </r>
  <r>
    <x v="0"/>
    <x v="9"/>
    <x v="5"/>
    <x v="262"/>
    <x v="227"/>
    <x v="227"/>
    <s v="REVENUS"/>
    <x v="3"/>
    <s v="4002.001"/>
    <s v="Impôt ordinaire s/fortune PP"/>
    <n v="0"/>
    <n v="250.6"/>
    <n v="4002"/>
  </r>
  <r>
    <x v="0"/>
    <x v="9"/>
    <x v="5"/>
    <x v="262"/>
    <x v="227"/>
    <x v="227"/>
    <s v="REVENUS"/>
    <x v="6"/>
    <s v="4221.003"/>
    <s v="Intérêts compensat. / acomptes en faveur du fisc"/>
    <n v="0"/>
    <n v="7.0000000000000007E-2"/>
    <n v="4221"/>
  </r>
  <r>
    <x v="0"/>
    <x v="9"/>
    <x v="5"/>
    <x v="262"/>
    <x v="227"/>
    <x v="227"/>
    <s v="REVENUS"/>
    <x v="3"/>
    <s v="4002.001"/>
    <s v="Impôt ordinaire s/fortune PP"/>
    <n v="0"/>
    <n v="269.2"/>
    <n v="4002"/>
  </r>
  <r>
    <x v="0"/>
    <x v="9"/>
    <x v="5"/>
    <x v="262"/>
    <x v="227"/>
    <x v="227"/>
    <s v="REVENUS"/>
    <x v="2"/>
    <s v="4001.001"/>
    <s v="Impôt revenu"/>
    <n v="0"/>
    <n v="1680.25"/>
    <n v="4001"/>
  </r>
  <r>
    <x v="0"/>
    <x v="9"/>
    <x v="5"/>
    <x v="262"/>
    <x v="227"/>
    <x v="227"/>
    <s v="REVENUS"/>
    <x v="3"/>
    <s v="4002.001"/>
    <s v="Impôt ordinaire s/fortune PP"/>
    <n v="0"/>
    <n v="167"/>
    <n v="4002"/>
  </r>
  <r>
    <x v="0"/>
    <x v="9"/>
    <x v="5"/>
    <x v="262"/>
    <x v="227"/>
    <x v="227"/>
    <s v="REVENUS"/>
    <x v="6"/>
    <s v="4211.002"/>
    <s v="Intérêts de retard sur acomptes"/>
    <n v="0"/>
    <n v="9.6300000000000008"/>
    <n v="4211"/>
  </r>
  <r>
    <x v="0"/>
    <x v="9"/>
    <x v="5"/>
    <x v="262"/>
    <x v="227"/>
    <x v="227"/>
    <s v="REVENUS"/>
    <x v="6"/>
    <s v="4221.003"/>
    <s v="Intérêts compensat. / acomptes en faveur du fisc"/>
    <n v="0"/>
    <n v="0.75"/>
    <n v="4221"/>
  </r>
  <r>
    <x v="0"/>
    <x v="9"/>
    <x v="5"/>
    <x v="262"/>
    <x v="227"/>
    <x v="227"/>
    <s v="REVENUS"/>
    <x v="2"/>
    <s v="4001.002"/>
    <s v="Impôt complément s/revenu PP"/>
    <n v="0"/>
    <n v="175.95"/>
    <n v="4001"/>
  </r>
  <r>
    <x v="0"/>
    <x v="9"/>
    <x v="5"/>
    <x v="262"/>
    <x v="227"/>
    <x v="227"/>
    <s v="REVENUS"/>
    <x v="6"/>
    <s v="4211.001"/>
    <s v="Intérêts de retard sur factures"/>
    <n v="0"/>
    <n v="1.48"/>
    <n v="4211"/>
  </r>
  <r>
    <x v="0"/>
    <x v="9"/>
    <x v="5"/>
    <x v="262"/>
    <x v="227"/>
    <x v="227"/>
    <s v="REVENUS"/>
    <x v="6"/>
    <s v="4211.002"/>
    <s v="Intérêts de retard sur acomptes"/>
    <n v="0"/>
    <n v="12.67"/>
    <n v="4211"/>
  </r>
  <r>
    <x v="0"/>
    <x v="9"/>
    <x v="5"/>
    <x v="262"/>
    <x v="227"/>
    <x v="227"/>
    <s v="REVENUS"/>
    <x v="8"/>
    <s v="4091.001"/>
    <s v="Impôt récupéré après défalcations"/>
    <n v="0"/>
    <n v="753.12"/>
    <n v="4091"/>
  </r>
  <r>
    <x v="0"/>
    <x v="9"/>
    <x v="5"/>
    <x v="262"/>
    <x v="227"/>
    <x v="227"/>
    <s v="REVENUS"/>
    <x v="8"/>
    <s v="4091.001"/>
    <s v="Impôt récupéré après défalcations"/>
    <n v="0"/>
    <n v="690.17"/>
    <n v="4091"/>
  </r>
  <r>
    <x v="0"/>
    <x v="9"/>
    <x v="5"/>
    <x v="262"/>
    <x v="227"/>
    <x v="227"/>
    <s v="REVENUS"/>
    <x v="5"/>
    <s v="4061.000"/>
    <s v="Impôt sur les chiens"/>
    <n v="0"/>
    <n v="3480"/>
    <n v="4061"/>
  </r>
  <r>
    <x v="0"/>
    <x v="9"/>
    <x v="5"/>
    <x v="262"/>
    <x v="227"/>
    <x v="227"/>
    <s v="REVENUS"/>
    <x v="2"/>
    <s v="4001.001"/>
    <s v="Impôt revenu"/>
    <n v="0"/>
    <n v="62.35"/>
    <n v="4001"/>
  </r>
  <r>
    <x v="0"/>
    <x v="9"/>
    <x v="5"/>
    <x v="262"/>
    <x v="227"/>
    <x v="227"/>
    <s v="REVENUS"/>
    <x v="3"/>
    <s v="4002.001"/>
    <s v="Impôt ordinaire s/fortune PP"/>
    <n v="0"/>
    <n v="36.65"/>
    <n v="4002"/>
  </r>
  <r>
    <x v="0"/>
    <x v="9"/>
    <x v="5"/>
    <x v="262"/>
    <x v="227"/>
    <x v="227"/>
    <s v="REVENUS"/>
    <x v="2"/>
    <s v="4001.007"/>
    <s v="Acompte impôt sur revenu"/>
    <n v="0"/>
    <n v="-87.75"/>
    <n v="4001"/>
  </r>
  <r>
    <x v="0"/>
    <x v="9"/>
    <x v="5"/>
    <x v="262"/>
    <x v="227"/>
    <x v="227"/>
    <s v="REVENUS"/>
    <x v="3"/>
    <s v="4002.007"/>
    <s v="Acompte impôt sur fortune"/>
    <n v="0"/>
    <n v="-83.8"/>
    <n v="4002"/>
  </r>
  <r>
    <x v="0"/>
    <x v="9"/>
    <x v="5"/>
    <x v="262"/>
    <x v="227"/>
    <x v="227"/>
    <s v="REVENUS"/>
    <x v="6"/>
    <s v="4221.003"/>
    <s v="Intérêts compensat. / acomptes en faveur du fisc"/>
    <n v="0"/>
    <n v="0"/>
    <n v="4221"/>
  </r>
  <r>
    <x v="0"/>
    <x v="9"/>
    <x v="5"/>
    <x v="262"/>
    <x v="227"/>
    <x v="227"/>
    <s v="REVENUS"/>
    <x v="2"/>
    <s v="4001.002"/>
    <s v="Impôt complément s/revenu PP"/>
    <n v="0"/>
    <n v="287.10000000000002"/>
    <n v="4001"/>
  </r>
  <r>
    <x v="0"/>
    <x v="9"/>
    <x v="5"/>
    <x v="262"/>
    <x v="227"/>
    <x v="227"/>
    <s v="REVENUS"/>
    <x v="3"/>
    <s v="4002.002"/>
    <s v="Impôt complémentaire s/fortune PP"/>
    <n v="0"/>
    <n v="410.65"/>
    <n v="4002"/>
  </r>
  <r>
    <x v="0"/>
    <x v="9"/>
    <x v="5"/>
    <x v="262"/>
    <x v="227"/>
    <x v="227"/>
    <s v="REVENUS"/>
    <x v="6"/>
    <s v="4211.001"/>
    <s v="Intérêts de retard sur factures"/>
    <n v="0"/>
    <n v="0.48"/>
    <n v="4211"/>
  </r>
  <r>
    <x v="0"/>
    <x v="9"/>
    <x v="5"/>
    <x v="262"/>
    <x v="227"/>
    <x v="227"/>
    <s v="REVENUS"/>
    <x v="6"/>
    <s v="4211.001"/>
    <s v="Intérêts de retard sur factures"/>
    <n v="0"/>
    <n v="0.42"/>
    <n v="4211"/>
  </r>
  <r>
    <x v="0"/>
    <x v="9"/>
    <x v="5"/>
    <x v="262"/>
    <x v="227"/>
    <x v="227"/>
    <s v="REVENUS"/>
    <x v="2"/>
    <s v="4001.002"/>
    <s v="Impôt complément s/revenu PP"/>
    <n v="0"/>
    <n v="81.150000000000006"/>
    <n v="4001"/>
  </r>
  <r>
    <x v="0"/>
    <x v="9"/>
    <x v="5"/>
    <x v="262"/>
    <x v="227"/>
    <x v="227"/>
    <s v="REVENUS"/>
    <x v="3"/>
    <s v="4002.002"/>
    <s v="Impôt complémentaire s/fortune PP"/>
    <n v="0"/>
    <n v="37.049999999999997"/>
    <n v="4002"/>
  </r>
  <r>
    <x v="0"/>
    <x v="9"/>
    <x v="5"/>
    <x v="262"/>
    <x v="227"/>
    <x v="227"/>
    <s v="REVENUS"/>
    <x v="11"/>
    <s v="4198.000"/>
    <s v="Contributions communales"/>
    <n v="0"/>
    <n v="29108.3"/>
    <n v="4198"/>
  </r>
  <r>
    <x v="0"/>
    <x v="9"/>
    <x v="5"/>
    <x v="262"/>
    <x v="227"/>
    <x v="227"/>
    <s v="REVENUS"/>
    <x v="8"/>
    <s v="4091.001"/>
    <s v="Impôt récupéré après défalcations"/>
    <n v="0"/>
    <n v="28555.3"/>
    <n v="4091"/>
  </r>
  <r>
    <x v="0"/>
    <x v="9"/>
    <x v="5"/>
    <x v="263"/>
    <x v="228"/>
    <x v="228"/>
    <s v="CHARGES"/>
    <x v="0"/>
    <s v="3212.002"/>
    <s v="Intérêts bonifiés/trop perçu acompte C/C"/>
    <n v="3.36"/>
    <n v="0"/>
    <n v="3212"/>
  </r>
  <r>
    <x v="0"/>
    <x v="9"/>
    <x v="5"/>
    <x v="263"/>
    <x v="228"/>
    <x v="228"/>
    <s v="CHARGES"/>
    <x v="1"/>
    <s v="3301.001"/>
    <s v="Défalcations, abandons de solde PP et IS"/>
    <n v="16572.099999999999"/>
    <n v="0"/>
    <n v="3301"/>
  </r>
  <r>
    <x v="0"/>
    <x v="9"/>
    <x v="5"/>
    <x v="263"/>
    <x v="228"/>
    <x v="228"/>
    <s v="CHARGES"/>
    <x v="0"/>
    <s v="3212.004"/>
    <s v="Intérêts rémun./perçu trop tôt sur acomptes C/C"/>
    <n v="0.16"/>
    <n v="0"/>
    <n v="3212"/>
  </r>
  <r>
    <x v="0"/>
    <x v="9"/>
    <x v="5"/>
    <x v="263"/>
    <x v="228"/>
    <x v="228"/>
    <s v="CHARGES"/>
    <x v="0"/>
    <s v="3212.004"/>
    <s v="Intérêts rémun./perçu trop tôt sur acomptes C/C"/>
    <n v="199.07"/>
    <n v="0"/>
    <n v="3212"/>
  </r>
  <r>
    <x v="0"/>
    <x v="9"/>
    <x v="5"/>
    <x v="263"/>
    <x v="228"/>
    <x v="228"/>
    <s v="CHARGES"/>
    <x v="0"/>
    <s v="3221.002"/>
    <s v="Intérêts compensatoires / créances en faveur ctb."/>
    <n v="128.44"/>
    <n v="0"/>
    <n v="3221"/>
  </r>
  <r>
    <x v="0"/>
    <x v="9"/>
    <x v="5"/>
    <x v="263"/>
    <x v="228"/>
    <x v="228"/>
    <s v="CHARGES"/>
    <x v="0"/>
    <s v="3212.004"/>
    <s v="Intérêts rémun./perçu trop tôt sur acomptes C/C"/>
    <n v="0.36"/>
    <n v="0"/>
    <n v="3212"/>
  </r>
  <r>
    <x v="0"/>
    <x v="9"/>
    <x v="5"/>
    <x v="263"/>
    <x v="228"/>
    <x v="228"/>
    <s v="CHARGES"/>
    <x v="0"/>
    <s v="3221.002"/>
    <s v="Intérêts compensatoires / créances en faveur ctb."/>
    <n v="0.12"/>
    <n v="0"/>
    <n v="3221"/>
  </r>
  <r>
    <x v="0"/>
    <x v="9"/>
    <x v="5"/>
    <x v="263"/>
    <x v="228"/>
    <x v="228"/>
    <s v="CHARGES"/>
    <x v="1"/>
    <s v="3301.001"/>
    <s v="Défalcations, abandons de solde PP et IS"/>
    <n v="0.87"/>
    <n v="0"/>
    <n v="3301"/>
  </r>
  <r>
    <x v="0"/>
    <x v="9"/>
    <x v="5"/>
    <x v="263"/>
    <x v="228"/>
    <x v="228"/>
    <s v="CHARGES"/>
    <x v="0"/>
    <s v="3221.002"/>
    <s v="Intérêts compensatoires / créances en faveur ctb."/>
    <n v="0.99"/>
    <n v="0"/>
    <n v="3221"/>
  </r>
  <r>
    <x v="0"/>
    <x v="9"/>
    <x v="5"/>
    <x v="263"/>
    <x v="228"/>
    <x v="228"/>
    <s v="CHARGES"/>
    <x v="1"/>
    <s v="3301.001"/>
    <s v="Défalcations, abandons de solde PP et IS"/>
    <n v="0.51"/>
    <n v="0"/>
    <n v="3301"/>
  </r>
  <r>
    <x v="0"/>
    <x v="9"/>
    <x v="5"/>
    <x v="263"/>
    <x v="228"/>
    <x v="228"/>
    <s v="CHARGES"/>
    <x v="1"/>
    <s v="3301.001"/>
    <s v="Défalcations, abandons de solde PP et IS"/>
    <n v="7.88"/>
    <n v="0"/>
    <n v="3301"/>
  </r>
  <r>
    <x v="0"/>
    <x v="9"/>
    <x v="5"/>
    <x v="263"/>
    <x v="228"/>
    <x v="228"/>
    <s v="CHARGES"/>
    <x v="0"/>
    <s v="3221.002"/>
    <s v="Intérêts compensatoires / créances en faveur ctb."/>
    <n v="0.01"/>
    <n v="0"/>
    <n v="3221"/>
  </r>
  <r>
    <x v="0"/>
    <x v="9"/>
    <x v="5"/>
    <x v="263"/>
    <x v="228"/>
    <x v="228"/>
    <s v="CHARGES"/>
    <x v="0"/>
    <s v="3212.004"/>
    <s v="Intérêts rémun./perçu trop tôt sur acomptes C/C"/>
    <n v="1.56"/>
    <n v="0"/>
    <n v="3212"/>
  </r>
  <r>
    <x v="0"/>
    <x v="9"/>
    <x v="5"/>
    <x v="263"/>
    <x v="228"/>
    <x v="228"/>
    <s v="CHARGES"/>
    <x v="0"/>
    <s v="3221.002"/>
    <s v="Intérêts compensatoires / créances en faveur ctb."/>
    <n v="0.46"/>
    <n v="0"/>
    <n v="3221"/>
  </r>
  <r>
    <x v="0"/>
    <x v="9"/>
    <x v="5"/>
    <x v="263"/>
    <x v="228"/>
    <x v="228"/>
    <s v="REVENUS"/>
    <x v="2"/>
    <s v="4001.007"/>
    <s v="Acompte impôt sur revenu"/>
    <n v="0"/>
    <n v="-129466.81"/>
    <n v="4001"/>
  </r>
  <r>
    <x v="0"/>
    <x v="9"/>
    <x v="5"/>
    <x v="263"/>
    <x v="228"/>
    <x v="228"/>
    <s v="REVENUS"/>
    <x v="3"/>
    <s v="4002.007"/>
    <s v="Acompte impôt sur fortune"/>
    <n v="0"/>
    <n v="-8335.6"/>
    <n v="4002"/>
  </r>
  <r>
    <x v="0"/>
    <x v="9"/>
    <x v="5"/>
    <x v="263"/>
    <x v="228"/>
    <x v="228"/>
    <s v="REVENUS"/>
    <x v="9"/>
    <s v="4031.001"/>
    <s v="Impôt sur les gains immobiliers"/>
    <n v="0"/>
    <n v="18660.849999999999"/>
    <n v="4031"/>
  </r>
  <r>
    <x v="0"/>
    <x v="9"/>
    <x v="5"/>
    <x v="263"/>
    <x v="228"/>
    <x v="228"/>
    <s v="REVENUS"/>
    <x v="6"/>
    <s v="4211.001"/>
    <s v="Intérêts de retard sur factures"/>
    <n v="0"/>
    <n v="2362.91"/>
    <n v="4211"/>
  </r>
  <r>
    <x v="0"/>
    <x v="9"/>
    <x v="5"/>
    <x v="263"/>
    <x v="228"/>
    <x v="228"/>
    <s v="REVENUS"/>
    <x v="6"/>
    <s v="4221.002"/>
    <s v="Intérêts compensat. sur impôts distincts"/>
    <n v="0"/>
    <n v="6.37"/>
    <n v="4221"/>
  </r>
  <r>
    <x v="0"/>
    <x v="9"/>
    <x v="5"/>
    <x v="263"/>
    <x v="228"/>
    <x v="228"/>
    <s v="REVENUS"/>
    <x v="6"/>
    <s v="4211.002"/>
    <s v="Intérêts de retard sur acomptes"/>
    <n v="0"/>
    <n v="5548.9"/>
    <n v="4211"/>
  </r>
  <r>
    <x v="0"/>
    <x v="9"/>
    <x v="5"/>
    <x v="263"/>
    <x v="228"/>
    <x v="228"/>
    <s v="REVENUS"/>
    <x v="2"/>
    <s v="4001.001"/>
    <s v="Impôt revenu"/>
    <n v="0"/>
    <n v="958777.85"/>
    <n v="4001"/>
  </r>
  <r>
    <x v="0"/>
    <x v="9"/>
    <x v="5"/>
    <x v="263"/>
    <x v="228"/>
    <x v="228"/>
    <s v="REVENUS"/>
    <x v="2"/>
    <s v="4001.003"/>
    <s v="Impôt s/prest. cap. PP"/>
    <n v="0"/>
    <n v="59717.1"/>
    <n v="4001"/>
  </r>
  <r>
    <x v="0"/>
    <x v="9"/>
    <x v="5"/>
    <x v="263"/>
    <x v="228"/>
    <x v="228"/>
    <s v="REVENUS"/>
    <x v="3"/>
    <s v="4002.001"/>
    <s v="Impôt ordinaire s/fortune PP"/>
    <n v="0"/>
    <n v="129000.2"/>
    <n v="4002"/>
  </r>
  <r>
    <x v="0"/>
    <x v="9"/>
    <x v="5"/>
    <x v="263"/>
    <x v="228"/>
    <x v="228"/>
    <s v="REVENUS"/>
    <x v="6"/>
    <s v="4221.003"/>
    <s v="Intérêts compensat. / acomptes en faveur du fisc"/>
    <n v="0"/>
    <n v="167.95"/>
    <n v="4221"/>
  </r>
  <r>
    <x v="0"/>
    <x v="9"/>
    <x v="5"/>
    <x v="263"/>
    <x v="228"/>
    <x v="228"/>
    <s v="REVENUS"/>
    <x v="2"/>
    <s v="4001.001"/>
    <s v="Impôt revenu"/>
    <n v="0"/>
    <n v="1116.95"/>
    <n v="4001"/>
  </r>
  <r>
    <x v="0"/>
    <x v="9"/>
    <x v="5"/>
    <x v="263"/>
    <x v="228"/>
    <x v="228"/>
    <s v="REVENUS"/>
    <x v="2"/>
    <s v="4001.002"/>
    <s v="Impôt complément s/revenu PP"/>
    <n v="0"/>
    <n v="728.65"/>
    <n v="4001"/>
  </r>
  <r>
    <x v="0"/>
    <x v="9"/>
    <x v="5"/>
    <x v="263"/>
    <x v="228"/>
    <x v="228"/>
    <s v="REVENUS"/>
    <x v="3"/>
    <s v="4002.001"/>
    <s v="Impôt ordinaire s/fortune PP"/>
    <n v="0"/>
    <n v="2193.15"/>
    <n v="4002"/>
  </r>
  <r>
    <x v="0"/>
    <x v="9"/>
    <x v="5"/>
    <x v="263"/>
    <x v="228"/>
    <x v="228"/>
    <s v="REVENUS"/>
    <x v="3"/>
    <s v="4002.002"/>
    <s v="Impôt complémentaire s/fortune PP"/>
    <n v="0"/>
    <n v="97.7"/>
    <n v="4002"/>
  </r>
  <r>
    <x v="0"/>
    <x v="9"/>
    <x v="5"/>
    <x v="263"/>
    <x v="228"/>
    <x v="228"/>
    <s v="REVENUS"/>
    <x v="6"/>
    <s v="4211.001"/>
    <s v="Intérêts de retard sur factures"/>
    <n v="0"/>
    <n v="0.35"/>
    <n v="4211"/>
  </r>
  <r>
    <x v="0"/>
    <x v="9"/>
    <x v="5"/>
    <x v="263"/>
    <x v="228"/>
    <x v="228"/>
    <s v="REVENUS"/>
    <x v="2"/>
    <s v="4001.001"/>
    <s v="Impôt revenu"/>
    <n v="0"/>
    <n v="31.7"/>
    <n v="4001"/>
  </r>
  <r>
    <x v="0"/>
    <x v="9"/>
    <x v="5"/>
    <x v="263"/>
    <x v="228"/>
    <x v="228"/>
    <s v="REVENUS"/>
    <x v="2"/>
    <s v="4001.007"/>
    <s v="Acompte impôt sur revenu"/>
    <n v="0"/>
    <n v="-14.05"/>
    <n v="4001"/>
  </r>
  <r>
    <x v="0"/>
    <x v="9"/>
    <x v="5"/>
    <x v="263"/>
    <x v="228"/>
    <x v="228"/>
    <s v="REVENUS"/>
    <x v="3"/>
    <s v="4002.001"/>
    <s v="Impôt ordinaire s/fortune PP"/>
    <n v="0"/>
    <n v="9.3000000000000007"/>
    <n v="4002"/>
  </r>
  <r>
    <x v="0"/>
    <x v="9"/>
    <x v="5"/>
    <x v="263"/>
    <x v="228"/>
    <x v="228"/>
    <s v="REVENUS"/>
    <x v="3"/>
    <s v="4002.007"/>
    <s v="Acompte impôt sur fortune"/>
    <n v="0"/>
    <n v="-2.85"/>
    <n v="4002"/>
  </r>
  <r>
    <x v="0"/>
    <x v="9"/>
    <x v="5"/>
    <x v="263"/>
    <x v="228"/>
    <x v="228"/>
    <s v="REVENUS"/>
    <x v="7"/>
    <s v="4184.000"/>
    <s v="Frais de poursuite"/>
    <n v="0"/>
    <n v="1713.71"/>
    <n v="4184"/>
  </r>
  <r>
    <x v="0"/>
    <x v="9"/>
    <x v="5"/>
    <x v="263"/>
    <x v="228"/>
    <x v="228"/>
    <s v="REVENUS"/>
    <x v="2"/>
    <s v="4001.002"/>
    <s v="Impôt complément s/revenu PP"/>
    <n v="0"/>
    <n v="49.05"/>
    <n v="4001"/>
  </r>
  <r>
    <x v="0"/>
    <x v="9"/>
    <x v="5"/>
    <x v="263"/>
    <x v="228"/>
    <x v="228"/>
    <s v="REVENUS"/>
    <x v="2"/>
    <s v="4001.007"/>
    <s v="Acompte impôt sur revenu"/>
    <n v="0"/>
    <n v="157.93"/>
    <n v="4001"/>
  </r>
  <r>
    <x v="0"/>
    <x v="9"/>
    <x v="5"/>
    <x v="263"/>
    <x v="228"/>
    <x v="228"/>
    <s v="REVENUS"/>
    <x v="3"/>
    <s v="4002.002"/>
    <s v="Impôt complémentaire s/fortune PP"/>
    <n v="0"/>
    <n v="12.8"/>
    <n v="4002"/>
  </r>
  <r>
    <x v="0"/>
    <x v="9"/>
    <x v="5"/>
    <x v="263"/>
    <x v="228"/>
    <x v="228"/>
    <s v="REVENUS"/>
    <x v="3"/>
    <s v="4002.007"/>
    <s v="Acompte impôt sur fortune"/>
    <n v="0"/>
    <n v="185.5"/>
    <n v="4002"/>
  </r>
  <r>
    <x v="0"/>
    <x v="9"/>
    <x v="5"/>
    <x v="263"/>
    <x v="228"/>
    <x v="228"/>
    <s v="REVENUS"/>
    <x v="2"/>
    <s v="4001.002"/>
    <s v="Impôt complément s/revenu PP"/>
    <n v="0"/>
    <n v="88229.7"/>
    <n v="4001"/>
  </r>
  <r>
    <x v="0"/>
    <x v="9"/>
    <x v="5"/>
    <x v="263"/>
    <x v="228"/>
    <x v="228"/>
    <s v="REVENUS"/>
    <x v="2"/>
    <s v="4001.007"/>
    <s v="Acompte impôt sur revenu"/>
    <n v="0"/>
    <n v="129.1"/>
    <n v="4001"/>
  </r>
  <r>
    <x v="0"/>
    <x v="9"/>
    <x v="5"/>
    <x v="263"/>
    <x v="228"/>
    <x v="228"/>
    <s v="REVENUS"/>
    <x v="3"/>
    <s v="4002.007"/>
    <s v="Acompte impôt sur fortune"/>
    <n v="0"/>
    <n v="-13.4"/>
    <n v="4002"/>
  </r>
  <r>
    <x v="0"/>
    <x v="9"/>
    <x v="5"/>
    <x v="263"/>
    <x v="228"/>
    <x v="228"/>
    <s v="REVENUS"/>
    <x v="2"/>
    <s v="4001.001"/>
    <s v="Impôt revenu"/>
    <n v="0"/>
    <n v="1682.3"/>
    <n v="4001"/>
  </r>
  <r>
    <x v="0"/>
    <x v="9"/>
    <x v="5"/>
    <x v="263"/>
    <x v="228"/>
    <x v="228"/>
    <s v="REVENUS"/>
    <x v="3"/>
    <s v="4002.001"/>
    <s v="Impôt ordinaire s/fortune PP"/>
    <n v="0"/>
    <n v="388.1"/>
    <n v="4002"/>
  </r>
  <r>
    <x v="0"/>
    <x v="9"/>
    <x v="5"/>
    <x v="263"/>
    <x v="228"/>
    <x v="228"/>
    <s v="REVENUS"/>
    <x v="6"/>
    <s v="4211.002"/>
    <s v="Intérêts de retard sur acomptes"/>
    <n v="0"/>
    <n v="0.19"/>
    <n v="4211"/>
  </r>
  <r>
    <x v="0"/>
    <x v="9"/>
    <x v="5"/>
    <x v="263"/>
    <x v="228"/>
    <x v="228"/>
    <s v="REVENUS"/>
    <x v="3"/>
    <s v="4002.007"/>
    <s v="Acompte impôt sur fortune"/>
    <n v="0"/>
    <n v="-1.2"/>
    <n v="4002"/>
  </r>
  <r>
    <x v="0"/>
    <x v="9"/>
    <x v="5"/>
    <x v="263"/>
    <x v="228"/>
    <x v="228"/>
    <s v="REVENUS"/>
    <x v="2"/>
    <s v="4001.007"/>
    <s v="Acompte impôt sur revenu"/>
    <n v="0"/>
    <n v="-23.45"/>
    <n v="4001"/>
  </r>
  <r>
    <x v="0"/>
    <x v="9"/>
    <x v="5"/>
    <x v="263"/>
    <x v="228"/>
    <x v="228"/>
    <s v="REVENUS"/>
    <x v="2"/>
    <s v="4001.007"/>
    <s v="Acompte impôt sur revenu"/>
    <n v="0"/>
    <n v="6171.17"/>
    <n v="4001"/>
  </r>
  <r>
    <x v="0"/>
    <x v="9"/>
    <x v="5"/>
    <x v="263"/>
    <x v="228"/>
    <x v="228"/>
    <s v="REVENUS"/>
    <x v="3"/>
    <s v="4002.007"/>
    <s v="Acompte impôt sur fortune"/>
    <n v="0"/>
    <n v="79.09"/>
    <n v="4002"/>
  </r>
  <r>
    <x v="0"/>
    <x v="9"/>
    <x v="5"/>
    <x v="263"/>
    <x v="228"/>
    <x v="228"/>
    <s v="REVENUS"/>
    <x v="6"/>
    <s v="4221.003"/>
    <s v="Intérêts compensat. / acomptes en faveur du fisc"/>
    <n v="0"/>
    <n v="0.6"/>
    <n v="4221"/>
  </r>
  <r>
    <x v="0"/>
    <x v="9"/>
    <x v="5"/>
    <x v="263"/>
    <x v="228"/>
    <x v="228"/>
    <s v="REVENUS"/>
    <x v="6"/>
    <s v="4211.002"/>
    <s v="Intérêts de retard sur acomptes"/>
    <n v="0"/>
    <n v="5.44"/>
    <n v="4211"/>
  </r>
  <r>
    <x v="0"/>
    <x v="9"/>
    <x v="5"/>
    <x v="263"/>
    <x v="228"/>
    <x v="228"/>
    <s v="REVENUS"/>
    <x v="3"/>
    <s v="4002.002"/>
    <s v="Impôt complémentaire s/fortune PP"/>
    <n v="0"/>
    <n v="15951.4"/>
    <n v="4002"/>
  </r>
  <r>
    <x v="0"/>
    <x v="9"/>
    <x v="5"/>
    <x v="263"/>
    <x v="228"/>
    <x v="228"/>
    <s v="REVENUS"/>
    <x v="2"/>
    <s v="4001.001"/>
    <s v="Impôt revenu"/>
    <n v="0"/>
    <n v="-2174.75"/>
    <n v="4001"/>
  </r>
  <r>
    <x v="0"/>
    <x v="9"/>
    <x v="5"/>
    <x v="263"/>
    <x v="228"/>
    <x v="228"/>
    <s v="REVENUS"/>
    <x v="2"/>
    <s v="4001.007"/>
    <s v="Acompte impôt sur revenu"/>
    <n v="0"/>
    <n v="-5090.55"/>
    <n v="4001"/>
  </r>
  <r>
    <x v="0"/>
    <x v="9"/>
    <x v="5"/>
    <x v="263"/>
    <x v="228"/>
    <x v="228"/>
    <s v="REVENUS"/>
    <x v="3"/>
    <s v="4002.007"/>
    <s v="Acompte impôt sur fortune"/>
    <n v="0"/>
    <n v="-982.8"/>
    <n v="4002"/>
  </r>
  <r>
    <x v="0"/>
    <x v="9"/>
    <x v="5"/>
    <x v="263"/>
    <x v="228"/>
    <x v="228"/>
    <s v="REVENUS"/>
    <x v="6"/>
    <s v="4221.003"/>
    <s v="Intérêts compensat. / acomptes en faveur du fisc"/>
    <n v="0"/>
    <n v="0.42"/>
    <n v="4221"/>
  </r>
  <r>
    <x v="0"/>
    <x v="9"/>
    <x v="5"/>
    <x v="263"/>
    <x v="228"/>
    <x v="228"/>
    <s v="REVENUS"/>
    <x v="5"/>
    <s v="4061.000"/>
    <s v="Impôt sur les chiens"/>
    <n v="0"/>
    <n v="1900"/>
    <n v="4061"/>
  </r>
  <r>
    <x v="0"/>
    <x v="9"/>
    <x v="5"/>
    <x v="263"/>
    <x v="228"/>
    <x v="228"/>
    <s v="REVENUS"/>
    <x v="7"/>
    <s v="4184.000"/>
    <s v="Frais de poursuite"/>
    <n v="0"/>
    <n v="9.83"/>
    <n v="4184"/>
  </r>
  <r>
    <x v="0"/>
    <x v="9"/>
    <x v="5"/>
    <x v="263"/>
    <x v="228"/>
    <x v="228"/>
    <s v="REVENUS"/>
    <x v="2"/>
    <s v="4001.001"/>
    <s v="Impôt revenu"/>
    <n v="0"/>
    <n v="952.75"/>
    <n v="4001"/>
  </r>
  <r>
    <x v="0"/>
    <x v="9"/>
    <x v="5"/>
    <x v="263"/>
    <x v="228"/>
    <x v="228"/>
    <s v="REVENUS"/>
    <x v="3"/>
    <s v="4002.001"/>
    <s v="Impôt ordinaire s/fortune PP"/>
    <n v="0"/>
    <n v="434.75"/>
    <n v="4002"/>
  </r>
  <r>
    <x v="0"/>
    <x v="9"/>
    <x v="5"/>
    <x v="263"/>
    <x v="228"/>
    <x v="228"/>
    <s v="REVENUS"/>
    <x v="8"/>
    <s v="4091.001"/>
    <s v="Impôt récupéré après défalcations"/>
    <n v="0"/>
    <n v="5493.2"/>
    <n v="4091"/>
  </r>
  <r>
    <x v="0"/>
    <x v="9"/>
    <x v="5"/>
    <x v="263"/>
    <x v="228"/>
    <x v="228"/>
    <s v="REVENUS"/>
    <x v="2"/>
    <s v="4001.001"/>
    <s v="Impôt revenu"/>
    <n v="0"/>
    <n v="161.65"/>
    <n v="4001"/>
  </r>
  <r>
    <x v="0"/>
    <x v="9"/>
    <x v="5"/>
    <x v="263"/>
    <x v="228"/>
    <x v="228"/>
    <s v="REVENUS"/>
    <x v="3"/>
    <s v="4002.001"/>
    <s v="Impôt ordinaire s/fortune PP"/>
    <n v="0"/>
    <n v="89.05"/>
    <n v="4002"/>
  </r>
  <r>
    <x v="0"/>
    <x v="9"/>
    <x v="5"/>
    <x v="263"/>
    <x v="228"/>
    <x v="228"/>
    <s v="REVENUS"/>
    <x v="10"/>
    <s v="4041.001"/>
    <s v="Droits de mutation"/>
    <n v="0"/>
    <n v="9955"/>
    <n v="4041"/>
  </r>
  <r>
    <x v="0"/>
    <x v="9"/>
    <x v="5"/>
    <x v="263"/>
    <x v="228"/>
    <x v="228"/>
    <s v="REVENUS"/>
    <x v="11"/>
    <s v="4198.000"/>
    <s v="Contributions communales"/>
    <n v="0"/>
    <n v="52284.800000000003"/>
    <n v="4198"/>
  </r>
  <r>
    <x v="0"/>
    <x v="9"/>
    <x v="5"/>
    <x v="263"/>
    <x v="228"/>
    <x v="228"/>
    <s v="REVENUS"/>
    <x v="2"/>
    <s v="4001.003"/>
    <s v="Impôt s/prest. cap. PP"/>
    <n v="0"/>
    <n v="-4216.05"/>
    <n v="4001"/>
  </r>
  <r>
    <x v="0"/>
    <x v="9"/>
    <x v="5"/>
    <x v="263"/>
    <x v="228"/>
    <x v="228"/>
    <s v="REVENUS"/>
    <x v="6"/>
    <s v="4211.001"/>
    <s v="Intérêts de retard sur factures"/>
    <n v="0"/>
    <n v="0.09"/>
    <n v="4211"/>
  </r>
  <r>
    <x v="0"/>
    <x v="3"/>
    <x v="6"/>
    <x v="264"/>
    <x v="229"/>
    <x v="229"/>
    <s v="CHARGES"/>
    <x v="1"/>
    <s v="3301.001"/>
    <s v="Défalcations, abandons de solde PP et IS"/>
    <n v="-3.3"/>
    <n v="0"/>
    <n v="3301"/>
  </r>
  <r>
    <x v="0"/>
    <x v="3"/>
    <x v="6"/>
    <x v="264"/>
    <x v="229"/>
    <x v="229"/>
    <s v="CHARGES"/>
    <x v="1"/>
    <s v="3301.001"/>
    <s v="Défalcations, abandons de solde PP et IS"/>
    <n v="7022.63"/>
    <n v="0"/>
    <n v="3301"/>
  </r>
  <r>
    <x v="0"/>
    <x v="3"/>
    <x v="6"/>
    <x v="264"/>
    <x v="229"/>
    <x v="229"/>
    <s v="CHARGES"/>
    <x v="0"/>
    <s v="3212.002"/>
    <s v="Intérêts bonifiés/trop perçu acompte C/C"/>
    <n v="0.08"/>
    <n v="0"/>
    <n v="3212"/>
  </r>
  <r>
    <x v="0"/>
    <x v="3"/>
    <x v="6"/>
    <x v="264"/>
    <x v="229"/>
    <x v="229"/>
    <s v="CHARGES"/>
    <x v="1"/>
    <s v="3301.001"/>
    <s v="Défalcations, abandons de solde PP et IS"/>
    <n v="-5.3"/>
    <n v="0"/>
    <n v="3301"/>
  </r>
  <r>
    <x v="0"/>
    <x v="3"/>
    <x v="6"/>
    <x v="264"/>
    <x v="229"/>
    <x v="229"/>
    <s v="CHARGES"/>
    <x v="0"/>
    <s v="3212.004"/>
    <s v="Intérêts rémun./perçu trop tôt sur acomptes C/C"/>
    <n v="9.6300000000000008"/>
    <n v="0"/>
    <n v="3212"/>
  </r>
  <r>
    <x v="0"/>
    <x v="3"/>
    <x v="6"/>
    <x v="264"/>
    <x v="229"/>
    <x v="229"/>
    <s v="CHARGES"/>
    <x v="0"/>
    <s v="3221.002"/>
    <s v="Intérêts compensatoires / créances en faveur ctb."/>
    <n v="48.73"/>
    <n v="0"/>
    <n v="3221"/>
  </r>
  <r>
    <x v="0"/>
    <x v="3"/>
    <x v="6"/>
    <x v="264"/>
    <x v="229"/>
    <x v="229"/>
    <s v="CHARGES"/>
    <x v="0"/>
    <s v="3212.002"/>
    <s v="Intérêts bonifiés/trop perçu acompte C/C"/>
    <n v="-1.78"/>
    <n v="0"/>
    <n v="3212"/>
  </r>
  <r>
    <x v="0"/>
    <x v="3"/>
    <x v="6"/>
    <x v="264"/>
    <x v="229"/>
    <x v="229"/>
    <s v="CHARGES"/>
    <x v="0"/>
    <s v="3212.004"/>
    <s v="Intérêts rémun./perçu trop tôt sur acomptes C/C"/>
    <n v="-0.03"/>
    <n v="0"/>
    <n v="3212"/>
  </r>
  <r>
    <x v="0"/>
    <x v="3"/>
    <x v="6"/>
    <x v="264"/>
    <x v="229"/>
    <x v="229"/>
    <s v="CHARGES"/>
    <x v="0"/>
    <s v="3221.002"/>
    <s v="Intérêts compensatoires / créances en faveur ctb."/>
    <n v="-0.05"/>
    <n v="0"/>
    <n v="3221"/>
  </r>
  <r>
    <x v="0"/>
    <x v="3"/>
    <x v="6"/>
    <x v="264"/>
    <x v="229"/>
    <x v="229"/>
    <s v="CHARGES"/>
    <x v="1"/>
    <s v="3301.001"/>
    <s v="Défalcations, abandons de solde PP et IS"/>
    <n v="0.33"/>
    <n v="0"/>
    <n v="3301"/>
  </r>
  <r>
    <x v="0"/>
    <x v="3"/>
    <x v="6"/>
    <x v="264"/>
    <x v="229"/>
    <x v="229"/>
    <s v="REVENUS"/>
    <x v="2"/>
    <s v="4001.007"/>
    <s v="Acompte impôt sur revenu"/>
    <n v="0"/>
    <n v="-3737.83"/>
    <n v="4001"/>
  </r>
  <r>
    <x v="0"/>
    <x v="3"/>
    <x v="6"/>
    <x v="264"/>
    <x v="229"/>
    <x v="229"/>
    <s v="REVENUS"/>
    <x v="3"/>
    <s v="4002.007"/>
    <s v="Acompte impôt sur fortune"/>
    <n v="0"/>
    <n v="-1103.51"/>
    <n v="4002"/>
  </r>
  <r>
    <x v="0"/>
    <x v="3"/>
    <x v="6"/>
    <x v="264"/>
    <x v="229"/>
    <x v="229"/>
    <s v="REVENUS"/>
    <x v="2"/>
    <s v="4001.003"/>
    <s v="Impôt s/prest. cap. PP"/>
    <n v="0"/>
    <n v="-173.75"/>
    <n v="4001"/>
  </r>
  <r>
    <x v="0"/>
    <x v="3"/>
    <x v="6"/>
    <x v="264"/>
    <x v="229"/>
    <x v="229"/>
    <s v="REVENUS"/>
    <x v="6"/>
    <s v="4221.002"/>
    <s v="Intérêts compensat. sur impôts distincts"/>
    <n v="0"/>
    <n v="-3.3"/>
    <n v="4221"/>
  </r>
  <r>
    <x v="0"/>
    <x v="3"/>
    <x v="6"/>
    <x v="264"/>
    <x v="229"/>
    <x v="229"/>
    <s v="REVENUS"/>
    <x v="7"/>
    <s v="4184.000"/>
    <s v="Frais de poursuite"/>
    <n v="0"/>
    <n v="233.57"/>
    <n v="4184"/>
  </r>
  <r>
    <x v="0"/>
    <x v="3"/>
    <x v="6"/>
    <x v="264"/>
    <x v="229"/>
    <x v="229"/>
    <s v="REVENUS"/>
    <x v="6"/>
    <s v="4211.001"/>
    <s v="Intérêts de retard sur factures"/>
    <n v="0"/>
    <n v="1931.48"/>
    <n v="4211"/>
  </r>
  <r>
    <x v="0"/>
    <x v="3"/>
    <x v="6"/>
    <x v="264"/>
    <x v="229"/>
    <x v="229"/>
    <s v="REVENUS"/>
    <x v="2"/>
    <s v="4001.001"/>
    <s v="Impôt revenu"/>
    <n v="0"/>
    <n v="-34019.25"/>
    <n v="4001"/>
  </r>
  <r>
    <x v="0"/>
    <x v="3"/>
    <x v="6"/>
    <x v="264"/>
    <x v="229"/>
    <x v="229"/>
    <s v="REVENUS"/>
    <x v="3"/>
    <s v="4002.001"/>
    <s v="Impôt ordinaire s/fortune PP"/>
    <n v="0"/>
    <n v="-2533.0500000000002"/>
    <n v="4002"/>
  </r>
  <r>
    <x v="0"/>
    <x v="3"/>
    <x v="6"/>
    <x v="264"/>
    <x v="229"/>
    <x v="229"/>
    <s v="REVENUS"/>
    <x v="6"/>
    <s v="4211.002"/>
    <s v="Intérêts de retard sur acomptes"/>
    <n v="0"/>
    <n v="-268.11"/>
    <n v="4211"/>
  </r>
  <r>
    <x v="0"/>
    <x v="3"/>
    <x v="6"/>
    <x v="264"/>
    <x v="229"/>
    <x v="229"/>
    <s v="REVENUS"/>
    <x v="6"/>
    <s v="4221.003"/>
    <s v="Intérêts compensat. / acomptes en faveur du fisc"/>
    <n v="0"/>
    <n v="-5.1100000000000003"/>
    <n v="4221"/>
  </r>
  <r>
    <x v="0"/>
    <x v="3"/>
    <x v="6"/>
    <x v="264"/>
    <x v="229"/>
    <x v="229"/>
    <s v="REVENUS"/>
    <x v="8"/>
    <s v="4091.001"/>
    <s v="Impôt récupéré après défalcations"/>
    <n v="0"/>
    <n v="566.79999999999995"/>
    <n v="4091"/>
  </r>
  <r>
    <x v="0"/>
    <x v="3"/>
    <x v="6"/>
    <x v="264"/>
    <x v="229"/>
    <x v="229"/>
    <s v="REVENUS"/>
    <x v="2"/>
    <s v="4001.002"/>
    <s v="Impôt complément s/revenu PP"/>
    <n v="0"/>
    <n v="32546.2"/>
    <n v="4001"/>
  </r>
  <r>
    <x v="0"/>
    <x v="3"/>
    <x v="6"/>
    <x v="264"/>
    <x v="229"/>
    <x v="229"/>
    <s v="REVENUS"/>
    <x v="6"/>
    <s v="4221.003"/>
    <s v="Intérêts compensat. / acomptes en faveur du fisc"/>
    <n v="0"/>
    <n v="67.540000000000006"/>
    <n v="4221"/>
  </r>
  <r>
    <x v="0"/>
    <x v="3"/>
    <x v="6"/>
    <x v="264"/>
    <x v="229"/>
    <x v="229"/>
    <s v="REVENUS"/>
    <x v="2"/>
    <s v="4001.007"/>
    <s v="Acompte impôt sur revenu"/>
    <n v="0"/>
    <n v="-36606.620000000003"/>
    <n v="4001"/>
  </r>
  <r>
    <x v="0"/>
    <x v="3"/>
    <x v="6"/>
    <x v="264"/>
    <x v="229"/>
    <x v="229"/>
    <s v="REVENUS"/>
    <x v="2"/>
    <s v="4001.001"/>
    <s v="Impôt revenu"/>
    <n v="0"/>
    <n v="38846.050000000003"/>
    <n v="4001"/>
  </r>
  <r>
    <x v="0"/>
    <x v="3"/>
    <x v="6"/>
    <x v="264"/>
    <x v="229"/>
    <x v="229"/>
    <s v="REVENUS"/>
    <x v="8"/>
    <s v="4091.001"/>
    <s v="Impôt récupéré après défalcations"/>
    <n v="0"/>
    <n v="21240.31"/>
    <n v="4091"/>
  </r>
  <r>
    <x v="0"/>
    <x v="3"/>
    <x v="6"/>
    <x v="264"/>
    <x v="229"/>
    <x v="229"/>
    <s v="REVENUS"/>
    <x v="2"/>
    <s v="4001.007"/>
    <s v="Acompte impôt sur revenu"/>
    <n v="0"/>
    <n v="-254.85"/>
    <n v="4001"/>
  </r>
  <r>
    <x v="0"/>
    <x v="3"/>
    <x v="6"/>
    <x v="264"/>
    <x v="229"/>
    <x v="229"/>
    <s v="REVENUS"/>
    <x v="3"/>
    <s v="4002.007"/>
    <s v="Acompte impôt sur fortune"/>
    <n v="0"/>
    <n v="-28.85"/>
    <n v="4002"/>
  </r>
  <r>
    <x v="0"/>
    <x v="3"/>
    <x v="6"/>
    <x v="264"/>
    <x v="229"/>
    <x v="229"/>
    <s v="REVENUS"/>
    <x v="3"/>
    <s v="4002.007"/>
    <s v="Acompte impôt sur fortune"/>
    <n v="0"/>
    <n v="318.19"/>
    <n v="4002"/>
  </r>
  <r>
    <x v="0"/>
    <x v="3"/>
    <x v="6"/>
    <x v="264"/>
    <x v="229"/>
    <x v="229"/>
    <s v="REVENUS"/>
    <x v="2"/>
    <s v="4001.007"/>
    <s v="Acompte impôt sur revenu"/>
    <n v="0"/>
    <n v="-9830.6200000000008"/>
    <n v="4001"/>
  </r>
  <r>
    <x v="0"/>
    <x v="3"/>
    <x v="6"/>
    <x v="264"/>
    <x v="229"/>
    <x v="229"/>
    <s v="REVENUS"/>
    <x v="3"/>
    <s v="4002.001"/>
    <s v="Impôt ordinaire s/fortune PP"/>
    <n v="0"/>
    <n v="3630.6"/>
    <n v="4002"/>
  </r>
  <r>
    <x v="0"/>
    <x v="3"/>
    <x v="6"/>
    <x v="264"/>
    <x v="229"/>
    <x v="229"/>
    <s v="REVENUS"/>
    <x v="3"/>
    <s v="4002.007"/>
    <s v="Acompte impôt sur fortune"/>
    <n v="0"/>
    <n v="-3863.71"/>
    <n v="4002"/>
  </r>
  <r>
    <x v="0"/>
    <x v="3"/>
    <x v="6"/>
    <x v="264"/>
    <x v="229"/>
    <x v="229"/>
    <s v="REVENUS"/>
    <x v="6"/>
    <s v="4211.002"/>
    <s v="Intérêts de retard sur acomptes"/>
    <n v="0"/>
    <n v="305.70999999999998"/>
    <n v="4211"/>
  </r>
  <r>
    <x v="0"/>
    <x v="3"/>
    <x v="6"/>
    <x v="264"/>
    <x v="229"/>
    <x v="229"/>
    <s v="REVENUS"/>
    <x v="2"/>
    <s v="4001.001"/>
    <s v="Impôt revenu"/>
    <n v="0"/>
    <n v="-7504.45"/>
    <n v="4001"/>
  </r>
  <r>
    <x v="0"/>
    <x v="3"/>
    <x v="6"/>
    <x v="264"/>
    <x v="229"/>
    <x v="229"/>
    <s v="REVENUS"/>
    <x v="3"/>
    <s v="4002.001"/>
    <s v="Impôt ordinaire s/fortune PP"/>
    <n v="0"/>
    <n v="-648.35"/>
    <n v="4002"/>
  </r>
  <r>
    <x v="0"/>
    <x v="3"/>
    <x v="6"/>
    <x v="264"/>
    <x v="229"/>
    <x v="229"/>
    <s v="REVENUS"/>
    <x v="3"/>
    <s v="4002.002"/>
    <s v="Impôt complémentaire s/fortune PP"/>
    <n v="0"/>
    <n v="2758.55"/>
    <n v="4002"/>
  </r>
  <r>
    <x v="0"/>
    <x v="3"/>
    <x v="6"/>
    <x v="264"/>
    <x v="229"/>
    <x v="229"/>
    <s v="REVENUS"/>
    <x v="2"/>
    <s v="4001.003"/>
    <s v="Impôt s/prest. cap. PP"/>
    <n v="0"/>
    <n v="11400.85"/>
    <n v="4001"/>
  </r>
  <r>
    <x v="0"/>
    <x v="3"/>
    <x v="6"/>
    <x v="264"/>
    <x v="229"/>
    <x v="229"/>
    <s v="REVENUS"/>
    <x v="6"/>
    <s v="4221.002"/>
    <s v="Intérêts compensat. sur impôts distincts"/>
    <n v="0"/>
    <n v="27.53"/>
    <n v="4221"/>
  </r>
  <r>
    <x v="0"/>
    <x v="3"/>
    <x v="6"/>
    <x v="264"/>
    <x v="229"/>
    <x v="229"/>
    <s v="REVENUS"/>
    <x v="7"/>
    <s v="4184.000"/>
    <s v="Frais de poursuite"/>
    <n v="0"/>
    <n v="0.79"/>
    <n v="4184"/>
  </r>
  <r>
    <x v="0"/>
    <x v="3"/>
    <x v="6"/>
    <x v="264"/>
    <x v="229"/>
    <x v="229"/>
    <s v="REVENUS"/>
    <x v="7"/>
    <s v="4184.000"/>
    <s v="Frais de poursuite"/>
    <n v="0"/>
    <n v="24.17"/>
    <n v="4184"/>
  </r>
  <r>
    <x v="0"/>
    <x v="3"/>
    <x v="6"/>
    <x v="264"/>
    <x v="229"/>
    <x v="229"/>
    <s v="REVENUS"/>
    <x v="2"/>
    <s v="4001.001"/>
    <s v="Impôt revenu"/>
    <n v="0"/>
    <n v="-2260.5500000000002"/>
    <n v="4001"/>
  </r>
  <r>
    <x v="0"/>
    <x v="3"/>
    <x v="6"/>
    <x v="264"/>
    <x v="229"/>
    <x v="229"/>
    <s v="REVENUS"/>
    <x v="2"/>
    <s v="4001.002"/>
    <s v="Impôt complément s/revenu PP"/>
    <n v="0"/>
    <n v="2752.35"/>
    <n v="4001"/>
  </r>
  <r>
    <x v="0"/>
    <x v="3"/>
    <x v="6"/>
    <x v="264"/>
    <x v="229"/>
    <x v="229"/>
    <s v="REVENUS"/>
    <x v="3"/>
    <s v="4002.001"/>
    <s v="Impôt ordinaire s/fortune PP"/>
    <n v="0"/>
    <n v="-132.6"/>
    <n v="4002"/>
  </r>
  <r>
    <x v="0"/>
    <x v="3"/>
    <x v="6"/>
    <x v="264"/>
    <x v="229"/>
    <x v="229"/>
    <s v="REVENUS"/>
    <x v="3"/>
    <s v="4002.002"/>
    <s v="Impôt complémentaire s/fortune PP"/>
    <n v="0"/>
    <n v="1433.35"/>
    <n v="4002"/>
  </r>
  <r>
    <x v="0"/>
    <x v="3"/>
    <x v="6"/>
    <x v="264"/>
    <x v="229"/>
    <x v="229"/>
    <s v="REVENUS"/>
    <x v="6"/>
    <s v="4211.001"/>
    <s v="Intérêts de retard sur factures"/>
    <n v="0"/>
    <n v="92.03"/>
    <n v="4211"/>
  </r>
  <r>
    <x v="0"/>
    <x v="3"/>
    <x v="6"/>
    <x v="264"/>
    <x v="229"/>
    <x v="229"/>
    <s v="REVENUS"/>
    <x v="6"/>
    <s v="4211.002"/>
    <s v="Intérêts de retard sur acomptes"/>
    <n v="0"/>
    <n v="34.86"/>
    <n v="4211"/>
  </r>
  <r>
    <x v="0"/>
    <x v="3"/>
    <x v="6"/>
    <x v="264"/>
    <x v="229"/>
    <x v="229"/>
    <s v="REVENUS"/>
    <x v="6"/>
    <s v="4221.003"/>
    <s v="Intérêts compensat. / acomptes en faveur du fisc"/>
    <n v="0"/>
    <n v="0.8"/>
    <n v="4221"/>
  </r>
  <r>
    <x v="0"/>
    <x v="3"/>
    <x v="6"/>
    <x v="264"/>
    <x v="229"/>
    <x v="229"/>
    <s v="REVENUS"/>
    <x v="2"/>
    <s v="4001.003"/>
    <s v="Impôt s/prest. cap. PP"/>
    <n v="0"/>
    <n v="-524.95000000000005"/>
    <n v="4001"/>
  </r>
  <r>
    <x v="0"/>
    <x v="7"/>
    <x v="6"/>
    <x v="265"/>
    <x v="230"/>
    <x v="230"/>
    <s v="CHARGES"/>
    <x v="1"/>
    <s v="3301.001"/>
    <s v="Défalcations, abandons de solde PP et IS"/>
    <n v="7.51"/>
    <n v="0"/>
    <n v="3301"/>
  </r>
  <r>
    <x v="0"/>
    <x v="7"/>
    <x v="6"/>
    <x v="265"/>
    <x v="230"/>
    <x v="230"/>
    <s v="CHARGES"/>
    <x v="0"/>
    <s v="3212.004"/>
    <s v="Intérêts rémun./perçu trop tôt sur acomptes C/C"/>
    <n v="0.01"/>
    <n v="0"/>
    <n v="3212"/>
  </r>
  <r>
    <x v="0"/>
    <x v="7"/>
    <x v="6"/>
    <x v="265"/>
    <x v="230"/>
    <x v="230"/>
    <s v="CHARGES"/>
    <x v="0"/>
    <s v="3221.002"/>
    <s v="Intérêts compensatoires / créances en faveur ctb."/>
    <n v="0.01"/>
    <n v="0"/>
    <n v="3221"/>
  </r>
  <r>
    <x v="0"/>
    <x v="7"/>
    <x v="6"/>
    <x v="265"/>
    <x v="230"/>
    <x v="230"/>
    <s v="CHARGES"/>
    <x v="1"/>
    <s v="3301.001"/>
    <s v="Défalcations, abandons de solde PP et IS"/>
    <n v="-0.23"/>
    <n v="0"/>
    <n v="3301"/>
  </r>
  <r>
    <x v="0"/>
    <x v="7"/>
    <x v="6"/>
    <x v="265"/>
    <x v="230"/>
    <x v="230"/>
    <s v="CHARGES"/>
    <x v="0"/>
    <s v="3212.002"/>
    <s v="Intérêts bonifiés/trop perçu acompte C/C"/>
    <n v="2.98"/>
    <n v="0"/>
    <n v="3212"/>
  </r>
  <r>
    <x v="0"/>
    <x v="7"/>
    <x v="6"/>
    <x v="265"/>
    <x v="230"/>
    <x v="230"/>
    <s v="CHARGES"/>
    <x v="0"/>
    <s v="3221.002"/>
    <s v="Intérêts compensatoires / créances en faveur ctb."/>
    <n v="-0.6"/>
    <n v="0"/>
    <n v="3221"/>
  </r>
  <r>
    <x v="0"/>
    <x v="7"/>
    <x v="6"/>
    <x v="265"/>
    <x v="230"/>
    <x v="230"/>
    <s v="REVENUS"/>
    <x v="6"/>
    <s v="4211.001"/>
    <s v="Intérêts de retard sur factures"/>
    <n v="0"/>
    <n v="53.44"/>
    <n v="4211"/>
  </r>
  <r>
    <x v="0"/>
    <x v="7"/>
    <x v="6"/>
    <x v="265"/>
    <x v="230"/>
    <x v="230"/>
    <s v="REVENUS"/>
    <x v="2"/>
    <s v="4001.001"/>
    <s v="Impôt revenu"/>
    <n v="0"/>
    <n v="-29312.1"/>
    <n v="4001"/>
  </r>
  <r>
    <x v="0"/>
    <x v="7"/>
    <x v="6"/>
    <x v="265"/>
    <x v="230"/>
    <x v="230"/>
    <s v="REVENUS"/>
    <x v="3"/>
    <s v="4002.001"/>
    <s v="Impôt ordinaire s/fortune PP"/>
    <n v="0"/>
    <n v="-2559.4"/>
    <n v="4002"/>
  </r>
  <r>
    <x v="0"/>
    <x v="7"/>
    <x v="6"/>
    <x v="265"/>
    <x v="230"/>
    <x v="230"/>
    <s v="REVENUS"/>
    <x v="6"/>
    <s v="4211.001"/>
    <s v="Intérêts de retard sur factures"/>
    <n v="0"/>
    <n v="-0.23"/>
    <n v="4211"/>
  </r>
  <r>
    <x v="0"/>
    <x v="7"/>
    <x v="6"/>
    <x v="265"/>
    <x v="230"/>
    <x v="230"/>
    <s v="REVENUS"/>
    <x v="6"/>
    <s v="4211.002"/>
    <s v="Intérêts de retard sur acomptes"/>
    <n v="0"/>
    <n v="-102.55"/>
    <n v="4211"/>
  </r>
  <r>
    <x v="0"/>
    <x v="7"/>
    <x v="6"/>
    <x v="265"/>
    <x v="230"/>
    <x v="230"/>
    <s v="REVENUS"/>
    <x v="6"/>
    <s v="4221.003"/>
    <s v="Intérêts compensat. / acomptes en faveur du fisc"/>
    <n v="0"/>
    <n v="-12.13"/>
    <n v="4221"/>
  </r>
  <r>
    <x v="0"/>
    <x v="7"/>
    <x v="6"/>
    <x v="265"/>
    <x v="230"/>
    <x v="230"/>
    <s v="REVENUS"/>
    <x v="2"/>
    <s v="4001.001"/>
    <s v="Impôt revenu"/>
    <n v="0"/>
    <n v="-5128.3"/>
    <n v="4001"/>
  </r>
  <r>
    <x v="0"/>
    <x v="7"/>
    <x v="6"/>
    <x v="265"/>
    <x v="230"/>
    <x v="230"/>
    <s v="REVENUS"/>
    <x v="3"/>
    <s v="4002.001"/>
    <s v="Impôt ordinaire s/fortune PP"/>
    <n v="0"/>
    <n v="-695.6"/>
    <n v="4002"/>
  </r>
  <r>
    <x v="0"/>
    <x v="7"/>
    <x v="6"/>
    <x v="265"/>
    <x v="230"/>
    <x v="230"/>
    <s v="REVENUS"/>
    <x v="6"/>
    <s v="4211.002"/>
    <s v="Intérêts de retard sur acomptes"/>
    <n v="0"/>
    <n v="0.09"/>
    <n v="4211"/>
  </r>
  <r>
    <x v="0"/>
    <x v="7"/>
    <x v="6"/>
    <x v="265"/>
    <x v="230"/>
    <x v="230"/>
    <s v="REVENUS"/>
    <x v="2"/>
    <s v="4001.002"/>
    <s v="Impôt complément s/revenu PP"/>
    <n v="0"/>
    <n v="34569.050000000003"/>
    <n v="4001"/>
  </r>
  <r>
    <x v="0"/>
    <x v="7"/>
    <x v="6"/>
    <x v="265"/>
    <x v="230"/>
    <x v="230"/>
    <s v="REVENUS"/>
    <x v="3"/>
    <s v="4002.002"/>
    <s v="Impôt complémentaire s/fortune PP"/>
    <n v="0"/>
    <n v="3346"/>
    <n v="4002"/>
  </r>
  <r>
    <x v="0"/>
    <x v="7"/>
    <x v="6"/>
    <x v="265"/>
    <x v="230"/>
    <x v="230"/>
    <s v="REVENUS"/>
    <x v="6"/>
    <s v="4211.002"/>
    <s v="Intérêts de retard sur acomptes"/>
    <n v="0"/>
    <n v="106.81"/>
    <n v="4211"/>
  </r>
  <r>
    <x v="0"/>
    <x v="7"/>
    <x v="6"/>
    <x v="265"/>
    <x v="230"/>
    <x v="230"/>
    <s v="REVENUS"/>
    <x v="6"/>
    <s v="4221.003"/>
    <s v="Intérêts compensat. / acomptes en faveur du fisc"/>
    <n v="0"/>
    <n v="13.03"/>
    <n v="4221"/>
  </r>
  <r>
    <x v="0"/>
    <x v="3"/>
    <x v="3"/>
    <x v="266"/>
    <x v="231"/>
    <x v="231"/>
    <s v="CHARGES"/>
    <x v="1"/>
    <s v="3301.001"/>
    <s v="Défalcations, abandons de solde PP et IS"/>
    <n v="3271.14"/>
    <n v="0"/>
    <n v="3301"/>
  </r>
  <r>
    <x v="0"/>
    <x v="3"/>
    <x v="3"/>
    <x v="266"/>
    <x v="231"/>
    <x v="231"/>
    <s v="CHARGES"/>
    <x v="0"/>
    <s v="3212.004"/>
    <s v="Intérêts rémun./perçu trop tôt sur acomptes C/C"/>
    <n v="0.86"/>
    <n v="0"/>
    <n v="3212"/>
  </r>
  <r>
    <x v="0"/>
    <x v="3"/>
    <x v="3"/>
    <x v="266"/>
    <x v="231"/>
    <x v="231"/>
    <s v="CHARGES"/>
    <x v="1"/>
    <s v="3301.001"/>
    <s v="Défalcations, abandons de solde PP et IS"/>
    <n v="3.08"/>
    <n v="0"/>
    <n v="3301"/>
  </r>
  <r>
    <x v="0"/>
    <x v="3"/>
    <x v="3"/>
    <x v="266"/>
    <x v="231"/>
    <x v="231"/>
    <s v="CHARGES"/>
    <x v="0"/>
    <s v="3212.004"/>
    <s v="Intérêts rémun./perçu trop tôt sur acomptes C/C"/>
    <n v="336.52"/>
    <n v="0"/>
    <n v="3212"/>
  </r>
  <r>
    <x v="0"/>
    <x v="3"/>
    <x v="3"/>
    <x v="266"/>
    <x v="231"/>
    <x v="231"/>
    <s v="CHARGES"/>
    <x v="0"/>
    <s v="3221.002"/>
    <s v="Intérêts compensatoires / créances en faveur ctb."/>
    <n v="81.150000000000006"/>
    <n v="0"/>
    <n v="3221"/>
  </r>
  <r>
    <x v="0"/>
    <x v="3"/>
    <x v="3"/>
    <x v="266"/>
    <x v="231"/>
    <x v="231"/>
    <s v="CHARGES"/>
    <x v="1"/>
    <s v="3301.001"/>
    <s v="Défalcations, abandons de solde PP et IS"/>
    <n v="0.14000000000000001"/>
    <n v="0"/>
    <n v="3301"/>
  </r>
  <r>
    <x v="0"/>
    <x v="3"/>
    <x v="3"/>
    <x v="266"/>
    <x v="231"/>
    <x v="231"/>
    <s v="CHARGES"/>
    <x v="0"/>
    <s v="3221.002"/>
    <s v="Intérêts compensatoires / créances en faveur ctb."/>
    <n v="0.83"/>
    <n v="0"/>
    <n v="3221"/>
  </r>
  <r>
    <x v="0"/>
    <x v="3"/>
    <x v="3"/>
    <x v="266"/>
    <x v="231"/>
    <x v="231"/>
    <s v="CHARGES"/>
    <x v="1"/>
    <s v="3301.001"/>
    <s v="Défalcations, abandons de solde PP et IS"/>
    <n v="0.08"/>
    <n v="0"/>
    <n v="3301"/>
  </r>
  <r>
    <x v="0"/>
    <x v="3"/>
    <x v="3"/>
    <x v="266"/>
    <x v="231"/>
    <x v="231"/>
    <s v="CHARGES"/>
    <x v="0"/>
    <s v="3212.004"/>
    <s v="Intérêts rémun./perçu trop tôt sur acomptes C/C"/>
    <n v="0.77"/>
    <n v="0"/>
    <n v="3212"/>
  </r>
  <r>
    <x v="0"/>
    <x v="3"/>
    <x v="3"/>
    <x v="266"/>
    <x v="231"/>
    <x v="231"/>
    <s v="CHARGES"/>
    <x v="0"/>
    <s v="3221.002"/>
    <s v="Intérêts compensatoires / créances en faveur ctb."/>
    <n v="0.1"/>
    <n v="0"/>
    <n v="3221"/>
  </r>
  <r>
    <x v="0"/>
    <x v="3"/>
    <x v="3"/>
    <x v="266"/>
    <x v="231"/>
    <x v="231"/>
    <s v="CHARGES"/>
    <x v="0"/>
    <s v="3212.004"/>
    <s v="Intérêts rémun./perçu trop tôt sur acomptes C/C"/>
    <n v="0.63"/>
    <n v="0"/>
    <n v="3212"/>
  </r>
  <r>
    <x v="0"/>
    <x v="3"/>
    <x v="3"/>
    <x v="266"/>
    <x v="231"/>
    <x v="231"/>
    <s v="CHARGES"/>
    <x v="0"/>
    <s v="3221.002"/>
    <s v="Intérêts compensatoires / créances en faveur ctb."/>
    <n v="0.06"/>
    <n v="0"/>
    <n v="3221"/>
  </r>
  <r>
    <x v="0"/>
    <x v="3"/>
    <x v="3"/>
    <x v="266"/>
    <x v="231"/>
    <x v="231"/>
    <s v="CHARGES"/>
    <x v="0"/>
    <s v="3221.002"/>
    <s v="Intérêts compensatoires / créances en faveur ctb."/>
    <n v="0.33"/>
    <n v="0"/>
    <n v="3221"/>
  </r>
  <r>
    <x v="0"/>
    <x v="3"/>
    <x v="3"/>
    <x v="266"/>
    <x v="231"/>
    <x v="231"/>
    <s v="CHARGES"/>
    <x v="0"/>
    <s v="3212.004"/>
    <s v="Intérêts rémun./perçu trop tôt sur acomptes C/C"/>
    <n v="0.54"/>
    <n v="0"/>
    <n v="3212"/>
  </r>
  <r>
    <x v="0"/>
    <x v="3"/>
    <x v="3"/>
    <x v="266"/>
    <x v="231"/>
    <x v="231"/>
    <s v="CHARGES"/>
    <x v="0"/>
    <s v="3212.002"/>
    <s v="Intérêts bonifiés/trop perçu acompte C/C"/>
    <n v="3.17"/>
    <n v="0"/>
    <n v="3212"/>
  </r>
  <r>
    <x v="0"/>
    <x v="3"/>
    <x v="3"/>
    <x v="266"/>
    <x v="231"/>
    <x v="231"/>
    <s v="CHARGES"/>
    <x v="1"/>
    <s v="3301.001"/>
    <s v="Défalcations, abandons de solde PP et IS"/>
    <n v="6483.64"/>
    <n v="0"/>
    <n v="3301"/>
  </r>
  <r>
    <x v="0"/>
    <x v="3"/>
    <x v="3"/>
    <x v="266"/>
    <x v="231"/>
    <x v="231"/>
    <s v="CHARGES"/>
    <x v="1"/>
    <s v="3301.001"/>
    <s v="Défalcations, abandons de solde PP et IS"/>
    <n v="0.06"/>
    <n v="0"/>
    <n v="3301"/>
  </r>
  <r>
    <x v="0"/>
    <x v="3"/>
    <x v="3"/>
    <x v="266"/>
    <x v="231"/>
    <x v="231"/>
    <s v="REVENUS"/>
    <x v="10"/>
    <s v="4041.001"/>
    <s v="Droits de mutation"/>
    <n v="0"/>
    <n v="45308.65"/>
    <n v="4041"/>
  </r>
  <r>
    <x v="0"/>
    <x v="3"/>
    <x v="3"/>
    <x v="266"/>
    <x v="231"/>
    <x v="231"/>
    <s v="REVENUS"/>
    <x v="6"/>
    <s v="4211.001"/>
    <s v="Intérêts de retard sur factures"/>
    <n v="0"/>
    <n v="10360.23"/>
    <n v="4211"/>
  </r>
  <r>
    <x v="0"/>
    <x v="3"/>
    <x v="3"/>
    <x v="266"/>
    <x v="231"/>
    <x v="231"/>
    <s v="REVENUS"/>
    <x v="2"/>
    <s v="4001.001"/>
    <s v="Impôt revenu"/>
    <n v="0"/>
    <n v="7159.45"/>
    <n v="4001"/>
  </r>
  <r>
    <x v="0"/>
    <x v="3"/>
    <x v="3"/>
    <x v="266"/>
    <x v="231"/>
    <x v="231"/>
    <s v="REVENUS"/>
    <x v="2"/>
    <s v="4001.007"/>
    <s v="Acompte impôt sur revenu"/>
    <n v="0"/>
    <n v="1569.5"/>
    <n v="4001"/>
  </r>
  <r>
    <x v="0"/>
    <x v="3"/>
    <x v="3"/>
    <x v="266"/>
    <x v="231"/>
    <x v="231"/>
    <s v="REVENUS"/>
    <x v="3"/>
    <s v="4002.001"/>
    <s v="Impôt ordinaire s/fortune PP"/>
    <n v="0"/>
    <n v="4736.3"/>
    <n v="4002"/>
  </r>
  <r>
    <x v="0"/>
    <x v="3"/>
    <x v="3"/>
    <x v="266"/>
    <x v="231"/>
    <x v="231"/>
    <s v="REVENUS"/>
    <x v="3"/>
    <s v="4002.007"/>
    <s v="Acompte impôt sur fortune"/>
    <n v="0"/>
    <n v="-1868.22"/>
    <n v="4002"/>
  </r>
  <r>
    <x v="0"/>
    <x v="3"/>
    <x v="3"/>
    <x v="266"/>
    <x v="231"/>
    <x v="231"/>
    <s v="REVENUS"/>
    <x v="6"/>
    <s v="4221.003"/>
    <s v="Intérêts compensat. / acomptes en faveur du fisc"/>
    <n v="0"/>
    <n v="2.4300000000000002"/>
    <n v="4221"/>
  </r>
  <r>
    <x v="0"/>
    <x v="3"/>
    <x v="3"/>
    <x v="266"/>
    <x v="231"/>
    <x v="231"/>
    <s v="REVENUS"/>
    <x v="3"/>
    <s v="4002.007"/>
    <s v="Acompte impôt sur fortune"/>
    <n v="0"/>
    <n v="-126341.99"/>
    <n v="4002"/>
  </r>
  <r>
    <x v="0"/>
    <x v="3"/>
    <x v="3"/>
    <x v="266"/>
    <x v="231"/>
    <x v="231"/>
    <s v="REVENUS"/>
    <x v="3"/>
    <s v="4002.001"/>
    <s v="Impôt ordinaire s/fortune PP"/>
    <n v="0"/>
    <n v="231782.39999999999"/>
    <n v="4002"/>
  </r>
  <r>
    <x v="0"/>
    <x v="3"/>
    <x v="3"/>
    <x v="266"/>
    <x v="231"/>
    <x v="231"/>
    <s v="REVENUS"/>
    <x v="2"/>
    <s v="4001.001"/>
    <s v="Impôt revenu"/>
    <n v="0"/>
    <n v="1031049.85"/>
    <n v="4001"/>
  </r>
  <r>
    <x v="0"/>
    <x v="3"/>
    <x v="3"/>
    <x v="266"/>
    <x v="231"/>
    <x v="231"/>
    <s v="REVENUS"/>
    <x v="6"/>
    <s v="4211.002"/>
    <s v="Intérêts de retard sur acomptes"/>
    <n v="0"/>
    <n v="5745.71"/>
    <n v="4211"/>
  </r>
  <r>
    <x v="0"/>
    <x v="3"/>
    <x v="3"/>
    <x v="266"/>
    <x v="231"/>
    <x v="231"/>
    <s v="REVENUS"/>
    <x v="2"/>
    <s v="4001.007"/>
    <s v="Acompte impôt sur revenu"/>
    <n v="0"/>
    <n v="-393282.62"/>
    <n v="4001"/>
  </r>
  <r>
    <x v="0"/>
    <x v="3"/>
    <x v="3"/>
    <x v="266"/>
    <x v="231"/>
    <x v="231"/>
    <s v="REVENUS"/>
    <x v="6"/>
    <s v="4221.003"/>
    <s v="Intérêts compensat. / acomptes en faveur du fisc"/>
    <n v="0"/>
    <n v="192.23"/>
    <n v="4221"/>
  </r>
  <r>
    <x v="0"/>
    <x v="3"/>
    <x v="3"/>
    <x v="266"/>
    <x v="231"/>
    <x v="231"/>
    <s v="REVENUS"/>
    <x v="9"/>
    <s v="4031.001"/>
    <s v="Impôt sur les gains immobiliers"/>
    <n v="0"/>
    <n v="32452.7"/>
    <n v="4031"/>
  </r>
  <r>
    <x v="0"/>
    <x v="3"/>
    <x v="3"/>
    <x v="266"/>
    <x v="231"/>
    <x v="231"/>
    <s v="REVENUS"/>
    <x v="6"/>
    <s v="4221.002"/>
    <s v="Intérêts compensat. sur impôts distincts"/>
    <n v="0"/>
    <n v="33.869999999999997"/>
    <n v="4221"/>
  </r>
  <r>
    <x v="0"/>
    <x v="3"/>
    <x v="3"/>
    <x v="266"/>
    <x v="231"/>
    <x v="231"/>
    <s v="REVENUS"/>
    <x v="2"/>
    <s v="4001.001"/>
    <s v="Impôt revenu"/>
    <n v="0"/>
    <n v="986.15"/>
    <n v="4001"/>
  </r>
  <r>
    <x v="0"/>
    <x v="3"/>
    <x v="3"/>
    <x v="266"/>
    <x v="231"/>
    <x v="231"/>
    <s v="REVENUS"/>
    <x v="2"/>
    <s v="4001.007"/>
    <s v="Acompte impôt sur revenu"/>
    <n v="0"/>
    <n v="-434.64"/>
    <n v="4001"/>
  </r>
  <r>
    <x v="0"/>
    <x v="3"/>
    <x v="3"/>
    <x v="266"/>
    <x v="231"/>
    <x v="231"/>
    <s v="REVENUS"/>
    <x v="3"/>
    <s v="4002.001"/>
    <s v="Impôt ordinaire s/fortune PP"/>
    <n v="0"/>
    <n v="219.7"/>
    <n v="4002"/>
  </r>
  <r>
    <x v="0"/>
    <x v="3"/>
    <x v="3"/>
    <x v="266"/>
    <x v="231"/>
    <x v="231"/>
    <s v="REVENUS"/>
    <x v="3"/>
    <s v="4002.007"/>
    <s v="Acompte impôt sur fortune"/>
    <n v="0"/>
    <n v="-76.290000000000006"/>
    <n v="4002"/>
  </r>
  <r>
    <x v="0"/>
    <x v="3"/>
    <x v="3"/>
    <x v="266"/>
    <x v="231"/>
    <x v="231"/>
    <s v="REVENUS"/>
    <x v="6"/>
    <s v="4221.003"/>
    <s v="Intérêts compensat. / acomptes en faveur du fisc"/>
    <n v="0"/>
    <n v="0.15"/>
    <n v="4221"/>
  </r>
  <r>
    <x v="0"/>
    <x v="3"/>
    <x v="3"/>
    <x v="266"/>
    <x v="231"/>
    <x v="231"/>
    <s v="REVENUS"/>
    <x v="7"/>
    <s v="4184.000"/>
    <s v="Frais de poursuite"/>
    <n v="0"/>
    <n v="1113.3"/>
    <n v="4184"/>
  </r>
  <r>
    <x v="0"/>
    <x v="3"/>
    <x v="3"/>
    <x v="266"/>
    <x v="231"/>
    <x v="231"/>
    <s v="REVENUS"/>
    <x v="2"/>
    <s v="4001.001"/>
    <s v="Impôt revenu"/>
    <n v="0"/>
    <n v="2790.35"/>
    <n v="4001"/>
  </r>
  <r>
    <x v="0"/>
    <x v="3"/>
    <x v="3"/>
    <x v="266"/>
    <x v="231"/>
    <x v="231"/>
    <s v="REVENUS"/>
    <x v="3"/>
    <s v="4002.001"/>
    <s v="Impôt ordinaire s/fortune PP"/>
    <n v="0"/>
    <n v="1196.5"/>
    <n v="4002"/>
  </r>
  <r>
    <x v="0"/>
    <x v="3"/>
    <x v="3"/>
    <x v="266"/>
    <x v="231"/>
    <x v="231"/>
    <s v="REVENUS"/>
    <x v="6"/>
    <s v="4221.003"/>
    <s v="Intérêts compensat. / acomptes en faveur du fisc"/>
    <n v="0"/>
    <n v="0.11"/>
    <n v="4221"/>
  </r>
  <r>
    <x v="0"/>
    <x v="3"/>
    <x v="3"/>
    <x v="266"/>
    <x v="231"/>
    <x v="231"/>
    <s v="REVENUS"/>
    <x v="2"/>
    <s v="4001.007"/>
    <s v="Acompte impôt sur revenu"/>
    <n v="0"/>
    <n v="334737.74"/>
    <n v="4001"/>
  </r>
  <r>
    <x v="0"/>
    <x v="3"/>
    <x v="3"/>
    <x v="266"/>
    <x v="231"/>
    <x v="231"/>
    <s v="REVENUS"/>
    <x v="2"/>
    <s v="4001.001"/>
    <s v="Impôt revenu"/>
    <n v="0"/>
    <n v="1321.5"/>
    <n v="4001"/>
  </r>
  <r>
    <x v="0"/>
    <x v="3"/>
    <x v="3"/>
    <x v="266"/>
    <x v="231"/>
    <x v="231"/>
    <s v="REVENUS"/>
    <x v="3"/>
    <s v="4002.001"/>
    <s v="Impôt ordinaire s/fortune PP"/>
    <n v="0"/>
    <n v="441.55"/>
    <n v="4002"/>
  </r>
  <r>
    <x v="0"/>
    <x v="3"/>
    <x v="3"/>
    <x v="266"/>
    <x v="231"/>
    <x v="231"/>
    <s v="REVENUS"/>
    <x v="3"/>
    <s v="4002.007"/>
    <s v="Acompte impôt sur fortune"/>
    <n v="0"/>
    <n v="36074.230000000003"/>
    <n v="4002"/>
  </r>
  <r>
    <x v="0"/>
    <x v="3"/>
    <x v="3"/>
    <x v="266"/>
    <x v="231"/>
    <x v="231"/>
    <s v="REVENUS"/>
    <x v="2"/>
    <s v="4001.007"/>
    <s v="Acompte impôt sur revenu"/>
    <n v="0"/>
    <n v="3373.29"/>
    <n v="4001"/>
  </r>
  <r>
    <x v="0"/>
    <x v="3"/>
    <x v="3"/>
    <x v="266"/>
    <x v="231"/>
    <x v="231"/>
    <s v="REVENUS"/>
    <x v="3"/>
    <s v="4002.007"/>
    <s v="Acompte impôt sur fortune"/>
    <n v="0"/>
    <n v="1253.8499999999999"/>
    <n v="4002"/>
  </r>
  <r>
    <x v="0"/>
    <x v="3"/>
    <x v="3"/>
    <x v="266"/>
    <x v="231"/>
    <x v="231"/>
    <s v="REVENUS"/>
    <x v="3"/>
    <s v="4002.007"/>
    <s v="Acompte impôt sur fortune"/>
    <n v="0"/>
    <n v="-367.9"/>
    <n v="4002"/>
  </r>
  <r>
    <x v="0"/>
    <x v="3"/>
    <x v="3"/>
    <x v="266"/>
    <x v="231"/>
    <x v="231"/>
    <s v="REVENUS"/>
    <x v="2"/>
    <s v="4001.007"/>
    <s v="Acompte impôt sur revenu"/>
    <n v="0"/>
    <n v="65.55"/>
    <n v="4001"/>
  </r>
  <r>
    <x v="0"/>
    <x v="3"/>
    <x v="3"/>
    <x v="266"/>
    <x v="231"/>
    <x v="231"/>
    <s v="REVENUS"/>
    <x v="6"/>
    <s v="4211.001"/>
    <s v="Intérêts de retard sur factures"/>
    <n v="0"/>
    <n v="0.83"/>
    <n v="4211"/>
  </r>
  <r>
    <x v="0"/>
    <x v="3"/>
    <x v="3"/>
    <x v="266"/>
    <x v="231"/>
    <x v="231"/>
    <s v="REVENUS"/>
    <x v="5"/>
    <s v="4061.000"/>
    <s v="Impôt sur les chiens"/>
    <n v="0"/>
    <n v="2940"/>
    <n v="4061"/>
  </r>
  <r>
    <x v="0"/>
    <x v="3"/>
    <x v="3"/>
    <x v="266"/>
    <x v="231"/>
    <x v="231"/>
    <s v="REVENUS"/>
    <x v="6"/>
    <s v="4211.002"/>
    <s v="Intérêts de retard sur acomptes"/>
    <n v="0"/>
    <n v="25.15"/>
    <n v="4211"/>
  </r>
  <r>
    <x v="0"/>
    <x v="3"/>
    <x v="3"/>
    <x v="266"/>
    <x v="231"/>
    <x v="231"/>
    <s v="REVENUS"/>
    <x v="7"/>
    <s v="4184.000"/>
    <s v="Frais de poursuite"/>
    <n v="0"/>
    <n v="325.67"/>
    <n v="4184"/>
  </r>
  <r>
    <x v="0"/>
    <x v="3"/>
    <x v="3"/>
    <x v="266"/>
    <x v="231"/>
    <x v="231"/>
    <s v="REVENUS"/>
    <x v="2"/>
    <s v="4001.003"/>
    <s v="Impôt s/prest. cap. PP"/>
    <n v="0"/>
    <n v="29529.200000000001"/>
    <n v="4001"/>
  </r>
  <r>
    <x v="0"/>
    <x v="3"/>
    <x v="3"/>
    <x v="266"/>
    <x v="231"/>
    <x v="231"/>
    <s v="REVENUS"/>
    <x v="3"/>
    <s v="4002.002"/>
    <s v="Impôt complémentaire s/fortune PP"/>
    <n v="0"/>
    <n v="3115.25"/>
    <n v="4002"/>
  </r>
  <r>
    <x v="0"/>
    <x v="3"/>
    <x v="3"/>
    <x v="266"/>
    <x v="231"/>
    <x v="231"/>
    <s v="REVENUS"/>
    <x v="2"/>
    <s v="4001.002"/>
    <s v="Impôt complément s/revenu PP"/>
    <n v="0"/>
    <n v="82208.95"/>
    <n v="4001"/>
  </r>
  <r>
    <x v="0"/>
    <x v="3"/>
    <x v="3"/>
    <x v="266"/>
    <x v="231"/>
    <x v="231"/>
    <s v="REVENUS"/>
    <x v="3"/>
    <s v="4002.002"/>
    <s v="Impôt complémentaire s/fortune PP"/>
    <n v="0"/>
    <n v="37863.1"/>
    <n v="4002"/>
  </r>
  <r>
    <x v="0"/>
    <x v="3"/>
    <x v="3"/>
    <x v="266"/>
    <x v="231"/>
    <x v="231"/>
    <s v="REVENUS"/>
    <x v="6"/>
    <s v="4211.001"/>
    <s v="Intérêts de retard sur factures"/>
    <n v="0"/>
    <n v="0.14000000000000001"/>
    <n v="4211"/>
  </r>
  <r>
    <x v="0"/>
    <x v="3"/>
    <x v="3"/>
    <x v="266"/>
    <x v="231"/>
    <x v="231"/>
    <s v="REVENUS"/>
    <x v="4"/>
    <s v="4051.001"/>
    <s v="Impôt sur les successions"/>
    <n v="0"/>
    <n v="31647.4"/>
    <n v="4051"/>
  </r>
  <r>
    <x v="0"/>
    <x v="3"/>
    <x v="3"/>
    <x v="266"/>
    <x v="231"/>
    <x v="231"/>
    <s v="REVENUS"/>
    <x v="6"/>
    <s v="4211.001"/>
    <s v="Intérêts de retard sur factures"/>
    <n v="0"/>
    <n v="4.41"/>
    <n v="4211"/>
  </r>
  <r>
    <x v="0"/>
    <x v="3"/>
    <x v="3"/>
    <x v="266"/>
    <x v="231"/>
    <x v="231"/>
    <s v="REVENUS"/>
    <x v="6"/>
    <s v="4221.003"/>
    <s v="Intérêts compensat. / acomptes en faveur du fisc"/>
    <n v="0"/>
    <n v="7.0000000000000007E-2"/>
    <n v="4221"/>
  </r>
  <r>
    <x v="0"/>
    <x v="3"/>
    <x v="3"/>
    <x v="266"/>
    <x v="231"/>
    <x v="231"/>
    <s v="REVENUS"/>
    <x v="6"/>
    <s v="4211.002"/>
    <s v="Intérêts de retard sur acomptes"/>
    <n v="0"/>
    <n v="167.58"/>
    <n v="4211"/>
  </r>
  <r>
    <x v="0"/>
    <x v="3"/>
    <x v="3"/>
    <x v="266"/>
    <x v="231"/>
    <x v="231"/>
    <s v="REVENUS"/>
    <x v="2"/>
    <s v="4001.002"/>
    <s v="Impôt complément s/revenu PP"/>
    <n v="0"/>
    <n v="699.85"/>
    <n v="4001"/>
  </r>
  <r>
    <x v="0"/>
    <x v="3"/>
    <x v="3"/>
    <x v="266"/>
    <x v="231"/>
    <x v="231"/>
    <s v="REVENUS"/>
    <x v="3"/>
    <s v="4002.002"/>
    <s v="Impôt complémentaire s/fortune PP"/>
    <n v="0"/>
    <n v="322.2"/>
    <n v="4002"/>
  </r>
  <r>
    <x v="0"/>
    <x v="3"/>
    <x v="3"/>
    <x v="266"/>
    <x v="231"/>
    <x v="231"/>
    <s v="REVENUS"/>
    <x v="10"/>
    <s v="4041.002"/>
    <s v="Complément droit de mutation"/>
    <n v="0"/>
    <n v="1544.9"/>
    <n v="4041"/>
  </r>
  <r>
    <x v="0"/>
    <x v="3"/>
    <x v="3"/>
    <x v="266"/>
    <x v="231"/>
    <x v="231"/>
    <s v="REVENUS"/>
    <x v="6"/>
    <s v="4211.002"/>
    <s v="Intérêts de retard sur acomptes"/>
    <n v="0"/>
    <n v="1.94"/>
    <n v="4211"/>
  </r>
  <r>
    <x v="0"/>
    <x v="3"/>
    <x v="3"/>
    <x v="266"/>
    <x v="231"/>
    <x v="231"/>
    <s v="REVENUS"/>
    <x v="8"/>
    <s v="4091.001"/>
    <s v="Impôt récupéré après défalcations"/>
    <n v="0"/>
    <n v="399.81"/>
    <n v="4091"/>
  </r>
  <r>
    <x v="0"/>
    <x v="3"/>
    <x v="3"/>
    <x v="266"/>
    <x v="231"/>
    <x v="231"/>
    <s v="REVENUS"/>
    <x v="6"/>
    <s v="4211.002"/>
    <s v="Intérêts de retard sur acomptes"/>
    <n v="0"/>
    <n v="2.37"/>
    <n v="4211"/>
  </r>
  <r>
    <x v="0"/>
    <x v="3"/>
    <x v="3"/>
    <x v="266"/>
    <x v="231"/>
    <x v="231"/>
    <s v="REVENUS"/>
    <x v="2"/>
    <s v="4001.002"/>
    <s v="Impôt complément s/revenu PP"/>
    <n v="0"/>
    <n v="8566.15"/>
    <n v="4001"/>
  </r>
  <r>
    <x v="0"/>
    <x v="3"/>
    <x v="3"/>
    <x v="266"/>
    <x v="231"/>
    <x v="231"/>
    <s v="REVENUS"/>
    <x v="6"/>
    <s v="4211.001"/>
    <s v="Intérêts de retard sur factures"/>
    <n v="0"/>
    <n v="9.36"/>
    <n v="4211"/>
  </r>
  <r>
    <x v="0"/>
    <x v="3"/>
    <x v="3"/>
    <x v="266"/>
    <x v="231"/>
    <x v="231"/>
    <s v="REVENUS"/>
    <x v="2"/>
    <s v="4001.002"/>
    <s v="Impôt complément s/revenu PP"/>
    <n v="0"/>
    <n v="236.4"/>
    <n v="4001"/>
  </r>
  <r>
    <x v="0"/>
    <x v="3"/>
    <x v="3"/>
    <x v="266"/>
    <x v="231"/>
    <x v="231"/>
    <s v="REVENUS"/>
    <x v="3"/>
    <s v="4002.002"/>
    <s v="Impôt complémentaire s/fortune PP"/>
    <n v="0"/>
    <n v="97.8"/>
    <n v="4002"/>
  </r>
  <r>
    <x v="0"/>
    <x v="3"/>
    <x v="3"/>
    <x v="266"/>
    <x v="231"/>
    <x v="231"/>
    <s v="REVENUS"/>
    <x v="4"/>
    <s v="4051.002"/>
    <s v="Impôt sur les donations"/>
    <n v="0"/>
    <n v="870.8"/>
    <n v="4051"/>
  </r>
  <r>
    <x v="0"/>
    <x v="7"/>
    <x v="6"/>
    <x v="267"/>
    <x v="232"/>
    <x v="232"/>
    <s v="CHARGES"/>
    <x v="1"/>
    <s v="3301.001"/>
    <s v="Défalcations, abandons de solde PP et IS"/>
    <n v="2919.17"/>
    <n v="0"/>
    <n v="3301"/>
  </r>
  <r>
    <x v="0"/>
    <x v="7"/>
    <x v="6"/>
    <x v="267"/>
    <x v="232"/>
    <x v="232"/>
    <s v="REVENUS"/>
    <x v="6"/>
    <s v="4211.001"/>
    <s v="Intérêts de retard sur factures"/>
    <n v="0"/>
    <n v="43.49"/>
    <n v="4211"/>
  </r>
  <r>
    <x v="0"/>
    <x v="7"/>
    <x v="6"/>
    <x v="267"/>
    <x v="232"/>
    <x v="232"/>
    <s v="REVENUS"/>
    <x v="2"/>
    <s v="4001.003"/>
    <s v="Impôt s/prest. cap. PP"/>
    <n v="0"/>
    <n v="-3182.65"/>
    <n v="4001"/>
  </r>
  <r>
    <x v="0"/>
    <x v="7"/>
    <x v="6"/>
    <x v="268"/>
    <x v="230"/>
    <x v="230"/>
    <s v="REVENUS"/>
    <x v="6"/>
    <s v="4211.001"/>
    <s v="Intérêts de retard sur factures"/>
    <n v="0"/>
    <n v="12.15"/>
    <n v="4211"/>
  </r>
  <r>
    <x v="0"/>
    <x v="7"/>
    <x v="6"/>
    <x v="269"/>
    <x v="233"/>
    <x v="233"/>
    <s v="CHARGES"/>
    <x v="0"/>
    <s v="3212.004"/>
    <s v="Intérêts rémun./perçu trop tôt sur acomptes C/C"/>
    <n v="148.82"/>
    <n v="0"/>
    <n v="3212"/>
  </r>
  <r>
    <x v="0"/>
    <x v="7"/>
    <x v="6"/>
    <x v="269"/>
    <x v="233"/>
    <x v="233"/>
    <s v="CHARGES"/>
    <x v="1"/>
    <s v="3301.001"/>
    <s v="Défalcations, abandons de solde PP et IS"/>
    <n v="7090.59"/>
    <n v="0"/>
    <n v="3301"/>
  </r>
  <r>
    <x v="0"/>
    <x v="7"/>
    <x v="6"/>
    <x v="269"/>
    <x v="233"/>
    <x v="233"/>
    <s v="CHARGES"/>
    <x v="0"/>
    <s v="3212.004"/>
    <s v="Intérêts rémun./perçu trop tôt sur acomptes C/C"/>
    <n v="0.02"/>
    <n v="0"/>
    <n v="3212"/>
  </r>
  <r>
    <x v="0"/>
    <x v="7"/>
    <x v="6"/>
    <x v="269"/>
    <x v="233"/>
    <x v="233"/>
    <s v="CHARGES"/>
    <x v="0"/>
    <s v="3221.002"/>
    <s v="Intérêts compensatoires / créances en faveur ctb."/>
    <n v="0.01"/>
    <n v="0"/>
    <n v="3221"/>
  </r>
  <r>
    <x v="0"/>
    <x v="7"/>
    <x v="6"/>
    <x v="269"/>
    <x v="233"/>
    <x v="233"/>
    <s v="CHARGES"/>
    <x v="0"/>
    <s v="3212.002"/>
    <s v="Intérêts bonifiés/trop perçu acompte C/C"/>
    <n v="1.89"/>
    <n v="0"/>
    <n v="3212"/>
  </r>
  <r>
    <x v="0"/>
    <x v="7"/>
    <x v="6"/>
    <x v="269"/>
    <x v="233"/>
    <x v="233"/>
    <s v="CHARGES"/>
    <x v="0"/>
    <s v="3221.002"/>
    <s v="Intérêts compensatoires / créances en faveur ctb."/>
    <n v="16.95"/>
    <n v="0"/>
    <n v="3221"/>
  </r>
  <r>
    <x v="0"/>
    <x v="7"/>
    <x v="6"/>
    <x v="269"/>
    <x v="233"/>
    <x v="233"/>
    <s v="CHARGES"/>
    <x v="0"/>
    <s v="3212.002"/>
    <s v="Intérêts bonifiés/trop perçu acompte C/C"/>
    <n v="-0.8"/>
    <n v="0"/>
    <n v="3212"/>
  </r>
  <r>
    <x v="0"/>
    <x v="7"/>
    <x v="6"/>
    <x v="269"/>
    <x v="233"/>
    <x v="233"/>
    <s v="CHARGES"/>
    <x v="0"/>
    <s v="3212.004"/>
    <s v="Intérêts rémun./perçu trop tôt sur acomptes C/C"/>
    <n v="-0.02"/>
    <n v="0"/>
    <n v="3212"/>
  </r>
  <r>
    <x v="0"/>
    <x v="7"/>
    <x v="6"/>
    <x v="269"/>
    <x v="233"/>
    <x v="233"/>
    <s v="CHARGES"/>
    <x v="1"/>
    <s v="3301.001"/>
    <s v="Défalcations, abandons de solde PP et IS"/>
    <n v="-7.38"/>
    <n v="0"/>
    <n v="3301"/>
  </r>
  <r>
    <x v="0"/>
    <x v="7"/>
    <x v="6"/>
    <x v="269"/>
    <x v="233"/>
    <x v="233"/>
    <s v="CHARGES"/>
    <x v="0"/>
    <s v="3212.004"/>
    <s v="Intérêts rémun./perçu trop tôt sur acomptes C/C"/>
    <n v="1.22"/>
    <n v="0"/>
    <n v="3212"/>
  </r>
  <r>
    <x v="0"/>
    <x v="7"/>
    <x v="6"/>
    <x v="269"/>
    <x v="233"/>
    <x v="233"/>
    <s v="CHARGES"/>
    <x v="1"/>
    <s v="3301.001"/>
    <s v="Défalcations, abandons de solde PP et IS"/>
    <n v="3.42"/>
    <n v="0"/>
    <n v="3301"/>
  </r>
  <r>
    <x v="0"/>
    <x v="7"/>
    <x v="6"/>
    <x v="269"/>
    <x v="233"/>
    <x v="233"/>
    <s v="CHARGES"/>
    <x v="0"/>
    <s v="3212.004"/>
    <s v="Intérêts rémun./perçu trop tôt sur acomptes C/C"/>
    <n v="0.02"/>
    <n v="0"/>
    <n v="3212"/>
  </r>
  <r>
    <x v="0"/>
    <x v="7"/>
    <x v="6"/>
    <x v="269"/>
    <x v="233"/>
    <x v="233"/>
    <s v="CHARGES"/>
    <x v="0"/>
    <s v="3221.002"/>
    <s v="Intérêts compensatoires / créances en faveur ctb."/>
    <n v="0.23"/>
    <n v="0"/>
    <n v="3221"/>
  </r>
  <r>
    <x v="0"/>
    <x v="7"/>
    <x v="6"/>
    <x v="269"/>
    <x v="233"/>
    <x v="233"/>
    <s v="CHARGES"/>
    <x v="1"/>
    <s v="3301.003"/>
    <s v="Remises PP et IS"/>
    <n v="2623.75"/>
    <n v="0"/>
    <n v="3301"/>
  </r>
  <r>
    <x v="0"/>
    <x v="7"/>
    <x v="6"/>
    <x v="269"/>
    <x v="233"/>
    <x v="233"/>
    <s v="CHARGES"/>
    <x v="0"/>
    <s v="3221.002"/>
    <s v="Intérêts compensatoires / créances en faveur ctb."/>
    <n v="0.23"/>
    <n v="0"/>
    <n v="3221"/>
  </r>
  <r>
    <x v="0"/>
    <x v="7"/>
    <x v="6"/>
    <x v="269"/>
    <x v="233"/>
    <x v="233"/>
    <s v="REVENUS"/>
    <x v="7"/>
    <s v="4184.000"/>
    <s v="Frais de poursuite"/>
    <n v="0"/>
    <n v="818.11"/>
    <n v="4184"/>
  </r>
  <r>
    <x v="0"/>
    <x v="7"/>
    <x v="6"/>
    <x v="269"/>
    <x v="233"/>
    <x v="233"/>
    <s v="REVENUS"/>
    <x v="2"/>
    <s v="4001.001"/>
    <s v="Impôt revenu"/>
    <n v="0"/>
    <n v="839785.4"/>
    <n v="4001"/>
  </r>
  <r>
    <x v="0"/>
    <x v="7"/>
    <x v="6"/>
    <x v="269"/>
    <x v="233"/>
    <x v="233"/>
    <s v="REVENUS"/>
    <x v="2"/>
    <s v="4001.007"/>
    <s v="Acompte impôt sur revenu"/>
    <n v="0"/>
    <n v="-14128.06"/>
    <n v="4001"/>
  </r>
  <r>
    <x v="0"/>
    <x v="7"/>
    <x v="6"/>
    <x v="269"/>
    <x v="233"/>
    <x v="233"/>
    <s v="REVENUS"/>
    <x v="3"/>
    <s v="4002.001"/>
    <s v="Impôt ordinaire s/fortune PP"/>
    <n v="0"/>
    <n v="85328.8"/>
    <n v="4002"/>
  </r>
  <r>
    <x v="0"/>
    <x v="7"/>
    <x v="6"/>
    <x v="269"/>
    <x v="233"/>
    <x v="233"/>
    <s v="REVENUS"/>
    <x v="3"/>
    <s v="4002.007"/>
    <s v="Acompte impôt sur fortune"/>
    <n v="0"/>
    <n v="-1629.08"/>
    <n v="4002"/>
  </r>
  <r>
    <x v="0"/>
    <x v="7"/>
    <x v="6"/>
    <x v="269"/>
    <x v="233"/>
    <x v="233"/>
    <s v="REVENUS"/>
    <x v="6"/>
    <s v="4211.002"/>
    <s v="Intérêts de retard sur acomptes"/>
    <n v="0"/>
    <n v="6025.81"/>
    <n v="4211"/>
  </r>
  <r>
    <x v="0"/>
    <x v="7"/>
    <x v="6"/>
    <x v="269"/>
    <x v="233"/>
    <x v="233"/>
    <s v="REVENUS"/>
    <x v="6"/>
    <s v="4221.003"/>
    <s v="Intérêts compensat. / acomptes en faveur du fisc"/>
    <n v="0"/>
    <n v="117.97"/>
    <n v="4221"/>
  </r>
  <r>
    <x v="0"/>
    <x v="7"/>
    <x v="6"/>
    <x v="269"/>
    <x v="233"/>
    <x v="233"/>
    <s v="REVENUS"/>
    <x v="6"/>
    <s v="4211.001"/>
    <s v="Intérêts de retard sur factures"/>
    <n v="0"/>
    <n v="6.45"/>
    <n v="4211"/>
  </r>
  <r>
    <x v="0"/>
    <x v="7"/>
    <x v="6"/>
    <x v="269"/>
    <x v="233"/>
    <x v="233"/>
    <s v="REVENUS"/>
    <x v="6"/>
    <s v="4211.001"/>
    <s v="Intérêts de retard sur factures"/>
    <n v="0"/>
    <n v="3256.88"/>
    <n v="4211"/>
  </r>
  <r>
    <x v="0"/>
    <x v="7"/>
    <x v="6"/>
    <x v="269"/>
    <x v="233"/>
    <x v="233"/>
    <s v="REVENUS"/>
    <x v="3"/>
    <s v="4002.001"/>
    <s v="Impôt ordinaire s/fortune PP"/>
    <n v="0"/>
    <n v="216.35"/>
    <n v="4002"/>
  </r>
  <r>
    <x v="0"/>
    <x v="7"/>
    <x v="6"/>
    <x v="269"/>
    <x v="233"/>
    <x v="233"/>
    <s v="REVENUS"/>
    <x v="2"/>
    <s v="4001.007"/>
    <s v="Acompte impôt sur revenu"/>
    <n v="0"/>
    <n v="511.35"/>
    <n v="4001"/>
  </r>
  <r>
    <x v="0"/>
    <x v="7"/>
    <x v="6"/>
    <x v="269"/>
    <x v="233"/>
    <x v="233"/>
    <s v="REVENUS"/>
    <x v="2"/>
    <s v="4001.007"/>
    <s v="Acompte impôt sur revenu"/>
    <n v="0"/>
    <n v="-2069.5500000000002"/>
    <n v="4001"/>
  </r>
  <r>
    <x v="0"/>
    <x v="7"/>
    <x v="6"/>
    <x v="269"/>
    <x v="233"/>
    <x v="233"/>
    <s v="REVENUS"/>
    <x v="3"/>
    <s v="4002.007"/>
    <s v="Acompte impôt sur fortune"/>
    <n v="0"/>
    <n v="-2178.0500000000002"/>
    <n v="4002"/>
  </r>
  <r>
    <x v="0"/>
    <x v="7"/>
    <x v="6"/>
    <x v="269"/>
    <x v="233"/>
    <x v="233"/>
    <s v="REVENUS"/>
    <x v="2"/>
    <s v="4001.001"/>
    <s v="Impôt revenu"/>
    <n v="0"/>
    <n v="3364.45"/>
    <n v="4001"/>
  </r>
  <r>
    <x v="0"/>
    <x v="7"/>
    <x v="6"/>
    <x v="269"/>
    <x v="233"/>
    <x v="233"/>
    <s v="REVENUS"/>
    <x v="3"/>
    <s v="4002.001"/>
    <s v="Impôt ordinaire s/fortune PP"/>
    <n v="0"/>
    <n v="3416.5"/>
    <n v="4002"/>
  </r>
  <r>
    <x v="0"/>
    <x v="7"/>
    <x v="6"/>
    <x v="269"/>
    <x v="233"/>
    <x v="233"/>
    <s v="REVENUS"/>
    <x v="6"/>
    <s v="4211.002"/>
    <s v="Intérêts de retard sur acomptes"/>
    <n v="0"/>
    <n v="129"/>
    <n v="4211"/>
  </r>
  <r>
    <x v="0"/>
    <x v="7"/>
    <x v="6"/>
    <x v="269"/>
    <x v="233"/>
    <x v="233"/>
    <s v="REVENUS"/>
    <x v="2"/>
    <s v="4001.002"/>
    <s v="Impôt complément s/revenu PP"/>
    <n v="0"/>
    <n v="83681.850000000006"/>
    <n v="4001"/>
  </r>
  <r>
    <x v="0"/>
    <x v="7"/>
    <x v="6"/>
    <x v="269"/>
    <x v="233"/>
    <x v="233"/>
    <s v="REVENUS"/>
    <x v="3"/>
    <s v="4002.002"/>
    <s v="Impôt complémentaire s/fortune PP"/>
    <n v="0"/>
    <n v="32533"/>
    <n v="4002"/>
  </r>
  <r>
    <x v="0"/>
    <x v="7"/>
    <x v="6"/>
    <x v="269"/>
    <x v="233"/>
    <x v="233"/>
    <s v="REVENUS"/>
    <x v="3"/>
    <s v="4002.007"/>
    <s v="Acompte impôt sur fortune"/>
    <n v="0"/>
    <n v="158.44999999999999"/>
    <n v="4002"/>
  </r>
  <r>
    <x v="0"/>
    <x v="7"/>
    <x v="6"/>
    <x v="269"/>
    <x v="233"/>
    <x v="233"/>
    <s v="REVENUS"/>
    <x v="2"/>
    <s v="4001.003"/>
    <s v="Impôt s/prest. cap. PP"/>
    <n v="0"/>
    <n v="42780.45"/>
    <n v="4001"/>
  </r>
  <r>
    <x v="0"/>
    <x v="7"/>
    <x v="6"/>
    <x v="269"/>
    <x v="233"/>
    <x v="233"/>
    <s v="REVENUS"/>
    <x v="2"/>
    <s v="4001.007"/>
    <s v="Acompte impôt sur revenu"/>
    <n v="0"/>
    <n v="59.95"/>
    <n v="4001"/>
  </r>
  <r>
    <x v="0"/>
    <x v="7"/>
    <x v="6"/>
    <x v="269"/>
    <x v="233"/>
    <x v="233"/>
    <s v="REVENUS"/>
    <x v="3"/>
    <s v="4002.007"/>
    <s v="Acompte impôt sur fortune"/>
    <n v="0"/>
    <n v="-45.9"/>
    <n v="4002"/>
  </r>
  <r>
    <x v="0"/>
    <x v="7"/>
    <x v="6"/>
    <x v="269"/>
    <x v="233"/>
    <x v="233"/>
    <s v="REVENUS"/>
    <x v="2"/>
    <s v="4001.007"/>
    <s v="Acompte impôt sur revenu"/>
    <n v="0"/>
    <n v="122.4"/>
    <n v="4001"/>
  </r>
  <r>
    <x v="0"/>
    <x v="7"/>
    <x v="6"/>
    <x v="269"/>
    <x v="233"/>
    <x v="233"/>
    <s v="REVENUS"/>
    <x v="6"/>
    <s v="4221.002"/>
    <s v="Intérêts compensat. sur impôts distincts"/>
    <n v="0"/>
    <n v="22.88"/>
    <n v="4221"/>
  </r>
  <r>
    <x v="0"/>
    <x v="7"/>
    <x v="6"/>
    <x v="269"/>
    <x v="233"/>
    <x v="233"/>
    <s v="REVENUS"/>
    <x v="2"/>
    <s v="4001.001"/>
    <s v="Impôt revenu"/>
    <n v="0"/>
    <n v="-7530.25"/>
    <n v="4001"/>
  </r>
  <r>
    <x v="0"/>
    <x v="7"/>
    <x v="6"/>
    <x v="269"/>
    <x v="233"/>
    <x v="233"/>
    <s v="REVENUS"/>
    <x v="3"/>
    <s v="4002.001"/>
    <s v="Impôt ordinaire s/fortune PP"/>
    <n v="0"/>
    <n v="-1441.5"/>
    <n v="4002"/>
  </r>
  <r>
    <x v="0"/>
    <x v="7"/>
    <x v="6"/>
    <x v="269"/>
    <x v="233"/>
    <x v="233"/>
    <s v="REVENUS"/>
    <x v="6"/>
    <s v="4211.002"/>
    <s v="Intérêts de retard sur acomptes"/>
    <n v="0"/>
    <n v="-304.63"/>
    <n v="4211"/>
  </r>
  <r>
    <x v="0"/>
    <x v="7"/>
    <x v="6"/>
    <x v="269"/>
    <x v="233"/>
    <x v="233"/>
    <s v="REVENUS"/>
    <x v="6"/>
    <s v="4221.003"/>
    <s v="Intérêts compensat. / acomptes en faveur du fisc"/>
    <n v="0"/>
    <n v="-7.38"/>
    <n v="4221"/>
  </r>
  <r>
    <x v="0"/>
    <x v="7"/>
    <x v="6"/>
    <x v="269"/>
    <x v="233"/>
    <x v="233"/>
    <s v="REVENUS"/>
    <x v="3"/>
    <s v="4002.007"/>
    <s v="Acompte impôt sur fortune"/>
    <n v="0"/>
    <n v="111.15"/>
    <n v="4002"/>
  </r>
  <r>
    <x v="0"/>
    <x v="7"/>
    <x v="6"/>
    <x v="269"/>
    <x v="233"/>
    <x v="233"/>
    <s v="REVENUS"/>
    <x v="6"/>
    <s v="4211.002"/>
    <s v="Intérêts de retard sur acomptes"/>
    <n v="0"/>
    <n v="17.93"/>
    <n v="4211"/>
  </r>
  <r>
    <x v="0"/>
    <x v="7"/>
    <x v="6"/>
    <x v="269"/>
    <x v="233"/>
    <x v="233"/>
    <s v="REVENUS"/>
    <x v="2"/>
    <s v="4001.001"/>
    <s v="Impôt revenu"/>
    <n v="0"/>
    <n v="-259.75"/>
    <n v="4001"/>
  </r>
  <r>
    <x v="0"/>
    <x v="7"/>
    <x v="6"/>
    <x v="269"/>
    <x v="233"/>
    <x v="233"/>
    <s v="REVENUS"/>
    <x v="3"/>
    <s v="4002.001"/>
    <s v="Impôt ordinaire s/fortune PP"/>
    <n v="0"/>
    <n v="-662.75"/>
    <n v="4002"/>
  </r>
  <r>
    <x v="0"/>
    <x v="7"/>
    <x v="6"/>
    <x v="269"/>
    <x v="233"/>
    <x v="233"/>
    <s v="REVENUS"/>
    <x v="6"/>
    <s v="4221.003"/>
    <s v="Intérêts compensat. / acomptes en faveur du fisc"/>
    <n v="0"/>
    <n v="0.56000000000000005"/>
    <n v="4221"/>
  </r>
  <r>
    <x v="0"/>
    <x v="7"/>
    <x v="6"/>
    <x v="269"/>
    <x v="233"/>
    <x v="233"/>
    <s v="REVENUS"/>
    <x v="2"/>
    <s v="4001.001"/>
    <s v="Impôt revenu"/>
    <n v="0"/>
    <n v="32.25"/>
    <n v="4001"/>
  </r>
  <r>
    <x v="0"/>
    <x v="7"/>
    <x v="6"/>
    <x v="269"/>
    <x v="233"/>
    <x v="233"/>
    <s v="REVENUS"/>
    <x v="9"/>
    <s v="4031.001"/>
    <s v="Impôt sur les gains immobiliers"/>
    <n v="0"/>
    <n v="49678"/>
    <n v="4031"/>
  </r>
  <r>
    <x v="0"/>
    <x v="7"/>
    <x v="6"/>
    <x v="269"/>
    <x v="233"/>
    <x v="233"/>
    <s v="REVENUS"/>
    <x v="5"/>
    <s v="4061.000"/>
    <s v="Impôt sur les chiens"/>
    <n v="0"/>
    <n v="1800"/>
    <n v="4061"/>
  </r>
  <r>
    <x v="0"/>
    <x v="7"/>
    <x v="6"/>
    <x v="269"/>
    <x v="233"/>
    <x v="233"/>
    <s v="REVENUS"/>
    <x v="6"/>
    <s v="4211.001"/>
    <s v="Intérêts de retard sur factures"/>
    <n v="0"/>
    <n v="-83.01"/>
    <n v="4211"/>
  </r>
  <r>
    <x v="0"/>
    <x v="7"/>
    <x v="6"/>
    <x v="269"/>
    <x v="233"/>
    <x v="233"/>
    <s v="REVENUS"/>
    <x v="2"/>
    <s v="4001.001"/>
    <s v="Impôt revenu"/>
    <n v="0"/>
    <n v="502.75"/>
    <n v="4001"/>
  </r>
  <r>
    <x v="0"/>
    <x v="7"/>
    <x v="6"/>
    <x v="269"/>
    <x v="233"/>
    <x v="233"/>
    <s v="REVENUS"/>
    <x v="8"/>
    <s v="4091.001"/>
    <s v="Impôt récupéré après défalcations"/>
    <n v="0"/>
    <n v="5664.79"/>
    <n v="4091"/>
  </r>
  <r>
    <x v="0"/>
    <x v="7"/>
    <x v="6"/>
    <x v="269"/>
    <x v="233"/>
    <x v="233"/>
    <s v="REVENUS"/>
    <x v="7"/>
    <s v="4184.000"/>
    <s v="Frais de poursuite"/>
    <n v="0"/>
    <n v="78.83"/>
    <n v="4184"/>
  </r>
  <r>
    <x v="0"/>
    <x v="7"/>
    <x v="6"/>
    <x v="269"/>
    <x v="233"/>
    <x v="233"/>
    <s v="REVENUS"/>
    <x v="2"/>
    <s v="4001.001"/>
    <s v="Impôt revenu"/>
    <n v="0"/>
    <n v="297.35000000000002"/>
    <n v="4001"/>
  </r>
  <r>
    <x v="0"/>
    <x v="7"/>
    <x v="6"/>
    <x v="269"/>
    <x v="233"/>
    <x v="233"/>
    <s v="REVENUS"/>
    <x v="3"/>
    <s v="4002.001"/>
    <s v="Impôt ordinaire s/fortune PP"/>
    <n v="0"/>
    <n v="871.15"/>
    <n v="4002"/>
  </r>
  <r>
    <x v="0"/>
    <x v="7"/>
    <x v="6"/>
    <x v="269"/>
    <x v="233"/>
    <x v="233"/>
    <s v="REVENUS"/>
    <x v="6"/>
    <s v="4211.002"/>
    <s v="Intérêts de retard sur acomptes"/>
    <n v="0"/>
    <n v="1.45"/>
    <n v="4211"/>
  </r>
  <r>
    <x v="0"/>
    <x v="7"/>
    <x v="6"/>
    <x v="269"/>
    <x v="233"/>
    <x v="233"/>
    <s v="REVENUS"/>
    <x v="10"/>
    <s v="4041.001"/>
    <s v="Droits de mutation"/>
    <n v="0"/>
    <n v="785.15"/>
    <n v="4041"/>
  </r>
  <r>
    <x v="0"/>
    <x v="7"/>
    <x v="6"/>
    <x v="270"/>
    <x v="229"/>
    <x v="229"/>
    <s v="CHARGES"/>
    <x v="1"/>
    <s v="3301.001"/>
    <s v="Défalcations, abandons de solde PP et IS"/>
    <n v="-26.66"/>
    <n v="0"/>
    <n v="3301"/>
  </r>
  <r>
    <x v="0"/>
    <x v="7"/>
    <x v="6"/>
    <x v="270"/>
    <x v="229"/>
    <x v="229"/>
    <s v="CHARGES"/>
    <x v="0"/>
    <s v="3212.004"/>
    <s v="Intérêts rémun./perçu trop tôt sur acomptes C/C"/>
    <n v="0.03"/>
    <n v="0"/>
    <n v="3212"/>
  </r>
  <r>
    <x v="0"/>
    <x v="7"/>
    <x v="6"/>
    <x v="270"/>
    <x v="229"/>
    <x v="229"/>
    <s v="CHARGES"/>
    <x v="0"/>
    <s v="3221.002"/>
    <s v="Intérêts compensatoires / créances en faveur ctb."/>
    <n v="0.05"/>
    <n v="0"/>
    <n v="3221"/>
  </r>
  <r>
    <x v="0"/>
    <x v="7"/>
    <x v="6"/>
    <x v="270"/>
    <x v="229"/>
    <x v="229"/>
    <s v="CHARGES"/>
    <x v="1"/>
    <s v="3301.001"/>
    <s v="Défalcations, abandons de solde PP et IS"/>
    <n v="-0.02"/>
    <n v="0"/>
    <n v="3301"/>
  </r>
  <r>
    <x v="0"/>
    <x v="7"/>
    <x v="6"/>
    <x v="270"/>
    <x v="229"/>
    <x v="229"/>
    <s v="CHARGES"/>
    <x v="0"/>
    <s v="3212.004"/>
    <s v="Intérêts rémun./perçu trop tôt sur acomptes C/C"/>
    <n v="-0.06"/>
    <n v="0"/>
    <n v="3212"/>
  </r>
  <r>
    <x v="0"/>
    <x v="7"/>
    <x v="6"/>
    <x v="270"/>
    <x v="229"/>
    <x v="229"/>
    <s v="CHARGES"/>
    <x v="0"/>
    <s v="3221.002"/>
    <s v="Intérêts compensatoires / créances en faveur ctb."/>
    <n v="-0.08"/>
    <n v="0"/>
    <n v="3221"/>
  </r>
  <r>
    <x v="0"/>
    <x v="7"/>
    <x v="6"/>
    <x v="270"/>
    <x v="229"/>
    <x v="229"/>
    <s v="REVENUS"/>
    <x v="2"/>
    <s v="4001.001"/>
    <s v="Impôt revenu"/>
    <n v="0"/>
    <n v="5487.4"/>
    <n v="4001"/>
  </r>
  <r>
    <x v="0"/>
    <x v="7"/>
    <x v="6"/>
    <x v="270"/>
    <x v="229"/>
    <x v="229"/>
    <s v="REVENUS"/>
    <x v="2"/>
    <s v="4001.007"/>
    <s v="Acompte impôt sur revenu"/>
    <n v="0"/>
    <n v="-7746.4"/>
    <n v="4001"/>
  </r>
  <r>
    <x v="0"/>
    <x v="7"/>
    <x v="6"/>
    <x v="270"/>
    <x v="229"/>
    <x v="229"/>
    <s v="REVENUS"/>
    <x v="3"/>
    <s v="4002.001"/>
    <s v="Impôt ordinaire s/fortune PP"/>
    <n v="0"/>
    <n v="1069.6500000000001"/>
    <n v="4002"/>
  </r>
  <r>
    <x v="0"/>
    <x v="7"/>
    <x v="6"/>
    <x v="270"/>
    <x v="229"/>
    <x v="229"/>
    <s v="REVENUS"/>
    <x v="3"/>
    <s v="4002.007"/>
    <s v="Acompte impôt sur fortune"/>
    <n v="0"/>
    <n v="-633.20000000000005"/>
    <n v="4002"/>
  </r>
  <r>
    <x v="0"/>
    <x v="7"/>
    <x v="6"/>
    <x v="270"/>
    <x v="229"/>
    <x v="229"/>
    <s v="REVENUS"/>
    <x v="6"/>
    <s v="4211.002"/>
    <s v="Intérêts de retard sur acomptes"/>
    <n v="0"/>
    <n v="99.34"/>
    <n v="4211"/>
  </r>
  <r>
    <x v="0"/>
    <x v="7"/>
    <x v="6"/>
    <x v="270"/>
    <x v="229"/>
    <x v="229"/>
    <s v="REVENUS"/>
    <x v="6"/>
    <s v="4221.003"/>
    <s v="Intérêts compensat. / acomptes en faveur du fisc"/>
    <n v="0"/>
    <n v="9.7899999999999991"/>
    <n v="4221"/>
  </r>
  <r>
    <x v="0"/>
    <x v="7"/>
    <x v="6"/>
    <x v="270"/>
    <x v="229"/>
    <x v="229"/>
    <s v="REVENUS"/>
    <x v="2"/>
    <s v="4001.003"/>
    <s v="Impôt s/prest. cap. PP"/>
    <n v="0"/>
    <n v="-317.05"/>
    <n v="4001"/>
  </r>
  <r>
    <x v="0"/>
    <x v="7"/>
    <x v="6"/>
    <x v="270"/>
    <x v="229"/>
    <x v="229"/>
    <s v="REVENUS"/>
    <x v="6"/>
    <s v="4221.002"/>
    <s v="Intérêts compensat. sur impôts distincts"/>
    <n v="0"/>
    <n v="-1.22"/>
    <n v="4221"/>
  </r>
  <r>
    <x v="0"/>
    <x v="7"/>
    <x v="6"/>
    <x v="270"/>
    <x v="229"/>
    <x v="229"/>
    <s v="REVENUS"/>
    <x v="3"/>
    <s v="4002.001"/>
    <s v="Impôt ordinaire s/fortune PP"/>
    <n v="0"/>
    <n v="-343.4"/>
    <n v="4002"/>
  </r>
  <r>
    <x v="0"/>
    <x v="7"/>
    <x v="6"/>
    <x v="270"/>
    <x v="229"/>
    <x v="229"/>
    <s v="REVENUS"/>
    <x v="3"/>
    <s v="4002.002"/>
    <s v="Impôt complémentaire s/fortune PP"/>
    <n v="0"/>
    <n v="360.2"/>
    <n v="4002"/>
  </r>
  <r>
    <x v="0"/>
    <x v="7"/>
    <x v="6"/>
    <x v="270"/>
    <x v="229"/>
    <x v="229"/>
    <s v="REVENUS"/>
    <x v="6"/>
    <s v="4211.001"/>
    <s v="Intérêts de retard sur factures"/>
    <n v="0"/>
    <n v="2.86"/>
    <n v="4211"/>
  </r>
  <r>
    <x v="0"/>
    <x v="7"/>
    <x v="6"/>
    <x v="271"/>
    <x v="234"/>
    <x v="234"/>
    <s v="CHARGES"/>
    <x v="1"/>
    <s v="3301.001"/>
    <s v="Défalcations, abandons de solde PP et IS"/>
    <n v="83.92"/>
    <n v="0"/>
    <n v="3301"/>
  </r>
  <r>
    <x v="0"/>
    <x v="7"/>
    <x v="6"/>
    <x v="271"/>
    <x v="234"/>
    <x v="234"/>
    <s v="CHARGES"/>
    <x v="0"/>
    <s v="3212.002"/>
    <s v="Intérêts bonifiés/trop perçu acompte C/C"/>
    <n v="4.21"/>
    <n v="0"/>
    <n v="3212"/>
  </r>
  <r>
    <x v="0"/>
    <x v="7"/>
    <x v="6"/>
    <x v="271"/>
    <x v="234"/>
    <x v="234"/>
    <s v="CHARGES"/>
    <x v="0"/>
    <s v="3212.004"/>
    <s v="Intérêts rémun./perçu trop tôt sur acomptes C/C"/>
    <n v="162.81"/>
    <n v="0"/>
    <n v="3212"/>
  </r>
  <r>
    <x v="0"/>
    <x v="7"/>
    <x v="6"/>
    <x v="271"/>
    <x v="234"/>
    <x v="234"/>
    <s v="CHARGES"/>
    <x v="0"/>
    <s v="3221.002"/>
    <s v="Intérêts compensatoires / créances en faveur ctb."/>
    <n v="115.86"/>
    <n v="0"/>
    <n v="3221"/>
  </r>
  <r>
    <x v="0"/>
    <x v="7"/>
    <x v="6"/>
    <x v="271"/>
    <x v="234"/>
    <x v="234"/>
    <s v="CHARGES"/>
    <x v="0"/>
    <s v="3212.004"/>
    <s v="Intérêts rémun./perçu trop tôt sur acomptes C/C"/>
    <n v="3.98"/>
    <n v="0"/>
    <n v="3212"/>
  </r>
  <r>
    <x v="0"/>
    <x v="7"/>
    <x v="6"/>
    <x v="271"/>
    <x v="234"/>
    <x v="234"/>
    <s v="CHARGES"/>
    <x v="0"/>
    <s v="3221.002"/>
    <s v="Intérêts compensatoires / créances en faveur ctb."/>
    <n v="1.1100000000000001"/>
    <n v="0"/>
    <n v="3221"/>
  </r>
  <r>
    <x v="0"/>
    <x v="7"/>
    <x v="6"/>
    <x v="271"/>
    <x v="234"/>
    <x v="234"/>
    <s v="CHARGES"/>
    <x v="1"/>
    <s v="3301.001"/>
    <s v="Défalcations, abandons de solde PP et IS"/>
    <n v="0.41"/>
    <n v="0"/>
    <n v="3301"/>
  </r>
  <r>
    <x v="0"/>
    <x v="7"/>
    <x v="6"/>
    <x v="271"/>
    <x v="234"/>
    <x v="234"/>
    <s v="CHARGES"/>
    <x v="0"/>
    <s v="3212.004"/>
    <s v="Intérêts rémun./perçu trop tôt sur acomptes C/C"/>
    <n v="0.03"/>
    <n v="0"/>
    <n v="3212"/>
  </r>
  <r>
    <x v="0"/>
    <x v="7"/>
    <x v="6"/>
    <x v="271"/>
    <x v="234"/>
    <x v="234"/>
    <s v="CHARGES"/>
    <x v="1"/>
    <s v="3301.001"/>
    <s v="Défalcations, abandons de solde PP et IS"/>
    <n v="0.02"/>
    <n v="0"/>
    <n v="3301"/>
  </r>
  <r>
    <x v="0"/>
    <x v="7"/>
    <x v="6"/>
    <x v="271"/>
    <x v="234"/>
    <x v="234"/>
    <s v="CHARGES"/>
    <x v="1"/>
    <s v="3301.001"/>
    <s v="Défalcations, abandons de solde PP et IS"/>
    <n v="0.09"/>
    <n v="0"/>
    <n v="3301"/>
  </r>
  <r>
    <x v="0"/>
    <x v="7"/>
    <x v="6"/>
    <x v="271"/>
    <x v="234"/>
    <x v="234"/>
    <s v="CHARGES"/>
    <x v="0"/>
    <s v="3212.004"/>
    <s v="Intérêts rémun./perçu trop tôt sur acomptes C/C"/>
    <n v="0.11"/>
    <n v="0"/>
    <n v="3212"/>
  </r>
  <r>
    <x v="0"/>
    <x v="7"/>
    <x v="6"/>
    <x v="271"/>
    <x v="234"/>
    <x v="234"/>
    <s v="REVENUS"/>
    <x v="3"/>
    <s v="4002.001"/>
    <s v="Impôt ordinaire s/fortune PP"/>
    <n v="0"/>
    <n v="97492.800000000003"/>
    <n v="4002"/>
  </r>
  <r>
    <x v="0"/>
    <x v="7"/>
    <x v="6"/>
    <x v="271"/>
    <x v="234"/>
    <x v="234"/>
    <s v="REVENUS"/>
    <x v="3"/>
    <s v="4002.007"/>
    <s v="Acompte impôt sur fortune"/>
    <n v="0"/>
    <n v="-18697.169999999998"/>
    <n v="4002"/>
  </r>
  <r>
    <x v="0"/>
    <x v="7"/>
    <x v="6"/>
    <x v="271"/>
    <x v="234"/>
    <x v="234"/>
    <s v="REVENUS"/>
    <x v="6"/>
    <s v="4211.002"/>
    <s v="Intérêts de retard sur acomptes"/>
    <n v="0"/>
    <n v="3875.87"/>
    <n v="4211"/>
  </r>
  <r>
    <x v="0"/>
    <x v="7"/>
    <x v="6"/>
    <x v="271"/>
    <x v="234"/>
    <x v="234"/>
    <s v="REVENUS"/>
    <x v="10"/>
    <s v="4041.001"/>
    <s v="Droits de mutation"/>
    <n v="0"/>
    <n v="38445.15"/>
    <n v="4041"/>
  </r>
  <r>
    <x v="0"/>
    <x v="7"/>
    <x v="6"/>
    <x v="271"/>
    <x v="234"/>
    <x v="234"/>
    <s v="REVENUS"/>
    <x v="2"/>
    <s v="4001.001"/>
    <s v="Impôt revenu"/>
    <n v="0"/>
    <n v="771917.15"/>
    <n v="4001"/>
  </r>
  <r>
    <x v="0"/>
    <x v="7"/>
    <x v="6"/>
    <x v="271"/>
    <x v="234"/>
    <x v="234"/>
    <s v="REVENUS"/>
    <x v="2"/>
    <s v="4001.007"/>
    <s v="Acompte impôt sur revenu"/>
    <n v="0"/>
    <n v="-114394.99"/>
    <n v="4001"/>
  </r>
  <r>
    <x v="0"/>
    <x v="7"/>
    <x v="6"/>
    <x v="271"/>
    <x v="234"/>
    <x v="234"/>
    <s v="REVENUS"/>
    <x v="6"/>
    <s v="4221.003"/>
    <s v="Intérêts compensat. / acomptes en faveur du fisc"/>
    <n v="0"/>
    <n v="59.1"/>
    <n v="4221"/>
  </r>
  <r>
    <x v="0"/>
    <x v="7"/>
    <x v="6"/>
    <x v="271"/>
    <x v="234"/>
    <x v="234"/>
    <s v="REVENUS"/>
    <x v="6"/>
    <s v="4211.001"/>
    <s v="Intérêts de retard sur factures"/>
    <n v="0"/>
    <n v="1718.23"/>
    <n v="4211"/>
  </r>
  <r>
    <x v="0"/>
    <x v="7"/>
    <x v="6"/>
    <x v="271"/>
    <x v="234"/>
    <x v="234"/>
    <s v="REVENUS"/>
    <x v="7"/>
    <s v="4184.000"/>
    <s v="Frais de poursuite"/>
    <n v="0"/>
    <n v="365.48"/>
    <n v="4184"/>
  </r>
  <r>
    <x v="0"/>
    <x v="7"/>
    <x v="6"/>
    <x v="271"/>
    <x v="234"/>
    <x v="234"/>
    <s v="REVENUS"/>
    <x v="9"/>
    <s v="4031.001"/>
    <s v="Impôt sur les gains immobiliers"/>
    <n v="0"/>
    <n v="17586.650000000001"/>
    <n v="4031"/>
  </r>
  <r>
    <x v="0"/>
    <x v="7"/>
    <x v="6"/>
    <x v="271"/>
    <x v="234"/>
    <x v="234"/>
    <s v="REVENUS"/>
    <x v="6"/>
    <s v="4221.002"/>
    <s v="Intérêts compensat. sur impôts distincts"/>
    <n v="0"/>
    <n v="12.5"/>
    <n v="4221"/>
  </r>
  <r>
    <x v="0"/>
    <x v="7"/>
    <x v="6"/>
    <x v="271"/>
    <x v="234"/>
    <x v="234"/>
    <s v="REVENUS"/>
    <x v="2"/>
    <s v="4001.007"/>
    <s v="Acompte impôt sur revenu"/>
    <n v="0"/>
    <n v="69.099999999999994"/>
    <n v="4001"/>
  </r>
  <r>
    <x v="0"/>
    <x v="7"/>
    <x v="6"/>
    <x v="271"/>
    <x v="234"/>
    <x v="234"/>
    <s v="REVENUS"/>
    <x v="3"/>
    <s v="4002.007"/>
    <s v="Acompte impôt sur fortune"/>
    <n v="0"/>
    <n v="98.05"/>
    <n v="4002"/>
  </r>
  <r>
    <x v="0"/>
    <x v="7"/>
    <x v="6"/>
    <x v="271"/>
    <x v="234"/>
    <x v="234"/>
    <s v="REVENUS"/>
    <x v="3"/>
    <s v="4002.007"/>
    <s v="Acompte impôt sur fortune"/>
    <n v="0"/>
    <n v="-0.55000000000000004"/>
    <n v="4002"/>
  </r>
  <r>
    <x v="0"/>
    <x v="7"/>
    <x v="6"/>
    <x v="271"/>
    <x v="234"/>
    <x v="234"/>
    <s v="REVENUS"/>
    <x v="2"/>
    <s v="4001.003"/>
    <s v="Impôt s/prest. cap. PP"/>
    <n v="0"/>
    <n v="26354.3"/>
    <n v="4001"/>
  </r>
  <r>
    <x v="0"/>
    <x v="7"/>
    <x v="6"/>
    <x v="271"/>
    <x v="234"/>
    <x v="234"/>
    <s v="REVENUS"/>
    <x v="2"/>
    <s v="4001.007"/>
    <s v="Acompte impôt sur revenu"/>
    <n v="0"/>
    <n v="2118.6"/>
    <n v="4001"/>
  </r>
  <r>
    <x v="0"/>
    <x v="7"/>
    <x v="6"/>
    <x v="271"/>
    <x v="234"/>
    <x v="234"/>
    <s v="REVENUS"/>
    <x v="3"/>
    <s v="4002.007"/>
    <s v="Acompte impôt sur fortune"/>
    <n v="0"/>
    <n v="-4.45"/>
    <n v="4002"/>
  </r>
  <r>
    <x v="0"/>
    <x v="7"/>
    <x v="6"/>
    <x v="271"/>
    <x v="234"/>
    <x v="234"/>
    <s v="REVENUS"/>
    <x v="3"/>
    <s v="4002.001"/>
    <s v="Impôt ordinaire s/fortune PP"/>
    <n v="0"/>
    <n v="3142.3"/>
    <n v="4002"/>
  </r>
  <r>
    <x v="0"/>
    <x v="7"/>
    <x v="6"/>
    <x v="271"/>
    <x v="234"/>
    <x v="234"/>
    <s v="REVENUS"/>
    <x v="6"/>
    <s v="4211.002"/>
    <s v="Intérêts de retard sur acomptes"/>
    <n v="0"/>
    <n v="5.26"/>
    <n v="4211"/>
  </r>
  <r>
    <x v="0"/>
    <x v="7"/>
    <x v="6"/>
    <x v="271"/>
    <x v="234"/>
    <x v="234"/>
    <s v="REVENUS"/>
    <x v="2"/>
    <s v="4001.001"/>
    <s v="Impôt revenu"/>
    <n v="0"/>
    <n v="3517.9"/>
    <n v="4001"/>
  </r>
  <r>
    <x v="0"/>
    <x v="7"/>
    <x v="6"/>
    <x v="271"/>
    <x v="234"/>
    <x v="234"/>
    <s v="REVENUS"/>
    <x v="2"/>
    <s v="4001.002"/>
    <s v="Impôt complément s/revenu PP"/>
    <n v="0"/>
    <n v="97101.8"/>
    <n v="4001"/>
  </r>
  <r>
    <x v="0"/>
    <x v="7"/>
    <x v="6"/>
    <x v="271"/>
    <x v="234"/>
    <x v="234"/>
    <s v="REVENUS"/>
    <x v="3"/>
    <s v="4002.002"/>
    <s v="Impôt complémentaire s/fortune PP"/>
    <n v="0"/>
    <n v="10410.1"/>
    <n v="4002"/>
  </r>
  <r>
    <x v="0"/>
    <x v="7"/>
    <x v="6"/>
    <x v="271"/>
    <x v="234"/>
    <x v="234"/>
    <s v="REVENUS"/>
    <x v="2"/>
    <s v="4001.007"/>
    <s v="Acompte impôt sur revenu"/>
    <n v="0"/>
    <n v="239.99"/>
    <n v="4001"/>
  </r>
  <r>
    <x v="0"/>
    <x v="7"/>
    <x v="6"/>
    <x v="271"/>
    <x v="234"/>
    <x v="234"/>
    <s v="REVENUS"/>
    <x v="3"/>
    <s v="4002.007"/>
    <s v="Acompte impôt sur fortune"/>
    <n v="0"/>
    <n v="115.68"/>
    <n v="4002"/>
  </r>
  <r>
    <x v="0"/>
    <x v="7"/>
    <x v="6"/>
    <x v="271"/>
    <x v="234"/>
    <x v="234"/>
    <s v="REVENUS"/>
    <x v="6"/>
    <s v="4221.003"/>
    <s v="Intérêts compensat. / acomptes en faveur du fisc"/>
    <n v="0"/>
    <n v="0.5"/>
    <n v="4221"/>
  </r>
  <r>
    <x v="0"/>
    <x v="7"/>
    <x v="6"/>
    <x v="271"/>
    <x v="234"/>
    <x v="234"/>
    <s v="REVENUS"/>
    <x v="2"/>
    <s v="4001.002"/>
    <s v="Impôt complément s/revenu PP"/>
    <n v="0"/>
    <n v="312"/>
    <n v="4001"/>
  </r>
  <r>
    <x v="0"/>
    <x v="7"/>
    <x v="6"/>
    <x v="271"/>
    <x v="234"/>
    <x v="234"/>
    <s v="REVENUS"/>
    <x v="3"/>
    <s v="4002.002"/>
    <s v="Impôt complémentaire s/fortune PP"/>
    <n v="0"/>
    <n v="690.6"/>
    <n v="4002"/>
  </r>
  <r>
    <x v="0"/>
    <x v="7"/>
    <x v="6"/>
    <x v="271"/>
    <x v="234"/>
    <x v="234"/>
    <s v="REVENUS"/>
    <x v="4"/>
    <s v="4051.002"/>
    <s v="Impôt sur les donations"/>
    <n v="0"/>
    <n v="0"/>
    <n v="4051"/>
  </r>
  <r>
    <x v="0"/>
    <x v="7"/>
    <x v="6"/>
    <x v="271"/>
    <x v="234"/>
    <x v="234"/>
    <s v="REVENUS"/>
    <x v="2"/>
    <s v="4001.002"/>
    <s v="Impôt complément s/revenu PP"/>
    <n v="0"/>
    <n v="-10857.05"/>
    <n v="4001"/>
  </r>
  <r>
    <x v="0"/>
    <x v="7"/>
    <x v="6"/>
    <x v="271"/>
    <x v="234"/>
    <x v="234"/>
    <s v="REVENUS"/>
    <x v="3"/>
    <s v="4002.002"/>
    <s v="Impôt complémentaire s/fortune PP"/>
    <n v="0"/>
    <n v="-1017.5"/>
    <n v="4002"/>
  </r>
  <r>
    <x v="0"/>
    <x v="7"/>
    <x v="6"/>
    <x v="271"/>
    <x v="234"/>
    <x v="234"/>
    <s v="REVENUS"/>
    <x v="2"/>
    <s v="4001.001"/>
    <s v="Impôt revenu"/>
    <n v="0"/>
    <n v="154.55000000000001"/>
    <n v="4001"/>
  </r>
  <r>
    <x v="0"/>
    <x v="7"/>
    <x v="6"/>
    <x v="271"/>
    <x v="234"/>
    <x v="234"/>
    <s v="REVENUS"/>
    <x v="6"/>
    <s v="4211.002"/>
    <s v="Intérêts de retard sur acomptes"/>
    <n v="0"/>
    <n v="0.01"/>
    <n v="4211"/>
  </r>
  <r>
    <x v="0"/>
    <x v="7"/>
    <x v="6"/>
    <x v="271"/>
    <x v="234"/>
    <x v="234"/>
    <s v="REVENUS"/>
    <x v="3"/>
    <s v="4002.001"/>
    <s v="Impôt ordinaire s/fortune PP"/>
    <n v="0"/>
    <n v="24.2"/>
    <n v="4002"/>
  </r>
  <r>
    <x v="0"/>
    <x v="7"/>
    <x v="6"/>
    <x v="271"/>
    <x v="234"/>
    <x v="234"/>
    <s v="REVENUS"/>
    <x v="6"/>
    <s v="4221.003"/>
    <s v="Intérêts compensat. / acomptes en faveur du fisc"/>
    <n v="0"/>
    <n v="0.02"/>
    <n v="4221"/>
  </r>
  <r>
    <x v="0"/>
    <x v="7"/>
    <x v="6"/>
    <x v="271"/>
    <x v="234"/>
    <x v="234"/>
    <s v="REVENUS"/>
    <x v="5"/>
    <s v="4061.000"/>
    <s v="Impôt sur les chiens"/>
    <n v="0"/>
    <n v="4900"/>
    <n v="4061"/>
  </r>
  <r>
    <x v="0"/>
    <x v="7"/>
    <x v="6"/>
    <x v="271"/>
    <x v="234"/>
    <x v="234"/>
    <s v="REVENUS"/>
    <x v="2"/>
    <s v="4001.001"/>
    <s v="Impôt revenu"/>
    <n v="0"/>
    <n v="778.3"/>
    <n v="4001"/>
  </r>
  <r>
    <x v="0"/>
    <x v="7"/>
    <x v="6"/>
    <x v="271"/>
    <x v="234"/>
    <x v="234"/>
    <s v="REVENUS"/>
    <x v="3"/>
    <s v="4002.001"/>
    <s v="Impôt ordinaire s/fortune PP"/>
    <n v="0"/>
    <n v="708.1"/>
    <n v="4002"/>
  </r>
  <r>
    <x v="0"/>
    <x v="7"/>
    <x v="6"/>
    <x v="271"/>
    <x v="234"/>
    <x v="234"/>
    <s v="REVENUS"/>
    <x v="6"/>
    <s v="4211.002"/>
    <s v="Intérêts de retard sur acomptes"/>
    <n v="0"/>
    <n v="0.13"/>
    <n v="4211"/>
  </r>
  <r>
    <x v="0"/>
    <x v="7"/>
    <x v="6"/>
    <x v="271"/>
    <x v="234"/>
    <x v="234"/>
    <s v="REVENUS"/>
    <x v="6"/>
    <s v="4221.003"/>
    <s v="Intérêts compensat. / acomptes en faveur du fisc"/>
    <n v="0"/>
    <n v="0.09"/>
    <n v="4221"/>
  </r>
  <r>
    <x v="0"/>
    <x v="7"/>
    <x v="6"/>
    <x v="272"/>
    <x v="229"/>
    <x v="229"/>
    <s v="CHARGES"/>
    <x v="0"/>
    <s v="3212.004"/>
    <s v="Intérêts rémun./perçu trop tôt sur acomptes C/C"/>
    <n v="-5.98"/>
    <n v="0"/>
    <n v="3212"/>
  </r>
  <r>
    <x v="0"/>
    <x v="7"/>
    <x v="6"/>
    <x v="272"/>
    <x v="229"/>
    <x v="229"/>
    <s v="CHARGES"/>
    <x v="0"/>
    <s v="3221.002"/>
    <s v="Intérêts compensatoires / créances en faveur ctb."/>
    <n v="-19.13"/>
    <n v="0"/>
    <n v="3221"/>
  </r>
  <r>
    <x v="0"/>
    <x v="7"/>
    <x v="6"/>
    <x v="272"/>
    <x v="229"/>
    <x v="229"/>
    <s v="CHARGES"/>
    <x v="0"/>
    <s v="3212.004"/>
    <s v="Intérêts rémun./perçu trop tôt sur acomptes C/C"/>
    <n v="23.6"/>
    <n v="0"/>
    <n v="3212"/>
  </r>
  <r>
    <x v="0"/>
    <x v="7"/>
    <x v="6"/>
    <x v="272"/>
    <x v="229"/>
    <x v="229"/>
    <s v="CHARGES"/>
    <x v="0"/>
    <s v="3212.002"/>
    <s v="Intérêts bonifiés/trop perçu acompte C/C"/>
    <n v="0.91"/>
    <n v="0"/>
    <n v="3212"/>
  </r>
  <r>
    <x v="0"/>
    <x v="7"/>
    <x v="6"/>
    <x v="272"/>
    <x v="229"/>
    <x v="229"/>
    <s v="CHARGES"/>
    <x v="1"/>
    <s v="3301.001"/>
    <s v="Défalcations, abandons de solde PP et IS"/>
    <n v="97.9"/>
    <n v="0"/>
    <n v="3301"/>
  </r>
  <r>
    <x v="0"/>
    <x v="7"/>
    <x v="6"/>
    <x v="272"/>
    <x v="229"/>
    <x v="229"/>
    <s v="CHARGES"/>
    <x v="1"/>
    <s v="3301.001"/>
    <s v="Défalcations, abandons de solde PP et IS"/>
    <n v="3814.68"/>
    <n v="0"/>
    <n v="3301"/>
  </r>
  <r>
    <x v="0"/>
    <x v="7"/>
    <x v="6"/>
    <x v="272"/>
    <x v="229"/>
    <x v="229"/>
    <s v="CHARGES"/>
    <x v="1"/>
    <s v="3301.001"/>
    <s v="Défalcations, abandons de solde PP et IS"/>
    <n v="1.96"/>
    <n v="0"/>
    <n v="3301"/>
  </r>
  <r>
    <x v="0"/>
    <x v="7"/>
    <x v="6"/>
    <x v="272"/>
    <x v="229"/>
    <x v="229"/>
    <s v="CHARGES"/>
    <x v="0"/>
    <s v="3221.002"/>
    <s v="Intérêts compensatoires / créances en faveur ctb."/>
    <n v="-0.18"/>
    <n v="0"/>
    <n v="3221"/>
  </r>
  <r>
    <x v="0"/>
    <x v="7"/>
    <x v="6"/>
    <x v="272"/>
    <x v="229"/>
    <x v="229"/>
    <s v="REVENUS"/>
    <x v="8"/>
    <s v="4091.001"/>
    <s v="Impôt récupéré après défalcations"/>
    <n v="0"/>
    <n v="719.09"/>
    <n v="4091"/>
  </r>
  <r>
    <x v="0"/>
    <x v="7"/>
    <x v="6"/>
    <x v="272"/>
    <x v="229"/>
    <x v="229"/>
    <s v="REVENUS"/>
    <x v="2"/>
    <s v="4001.001"/>
    <s v="Impôt revenu"/>
    <n v="0"/>
    <n v="-18353.5"/>
    <n v="4001"/>
  </r>
  <r>
    <x v="0"/>
    <x v="7"/>
    <x v="6"/>
    <x v="272"/>
    <x v="229"/>
    <x v="229"/>
    <s v="REVENUS"/>
    <x v="2"/>
    <s v="4001.001"/>
    <s v="Impôt revenu"/>
    <n v="0"/>
    <n v="126320.75"/>
    <n v="4001"/>
  </r>
  <r>
    <x v="0"/>
    <x v="7"/>
    <x v="6"/>
    <x v="272"/>
    <x v="229"/>
    <x v="229"/>
    <s v="REVENUS"/>
    <x v="3"/>
    <s v="4002.001"/>
    <s v="Impôt ordinaire s/fortune PP"/>
    <n v="0"/>
    <n v="-1016.2"/>
    <n v="4002"/>
  </r>
  <r>
    <x v="0"/>
    <x v="7"/>
    <x v="6"/>
    <x v="272"/>
    <x v="229"/>
    <x v="229"/>
    <s v="REVENUS"/>
    <x v="6"/>
    <s v="4211.002"/>
    <s v="Intérêts de retard sur acomptes"/>
    <n v="0"/>
    <n v="57.79"/>
    <n v="4211"/>
  </r>
  <r>
    <x v="0"/>
    <x v="7"/>
    <x v="6"/>
    <x v="272"/>
    <x v="229"/>
    <x v="229"/>
    <s v="REVENUS"/>
    <x v="2"/>
    <s v="4001.007"/>
    <s v="Acompte impôt sur revenu"/>
    <n v="0"/>
    <n v="-51524.54"/>
    <n v="4001"/>
  </r>
  <r>
    <x v="0"/>
    <x v="7"/>
    <x v="6"/>
    <x v="272"/>
    <x v="229"/>
    <x v="229"/>
    <s v="REVENUS"/>
    <x v="3"/>
    <s v="4002.001"/>
    <s v="Impôt ordinaire s/fortune PP"/>
    <n v="0"/>
    <n v="80526"/>
    <n v="4002"/>
  </r>
  <r>
    <x v="0"/>
    <x v="7"/>
    <x v="6"/>
    <x v="272"/>
    <x v="229"/>
    <x v="229"/>
    <s v="REVENUS"/>
    <x v="6"/>
    <s v="4221.003"/>
    <s v="Intérêts compensat. / acomptes en faveur du fisc"/>
    <n v="0"/>
    <n v="709.65"/>
    <n v="4221"/>
  </r>
  <r>
    <x v="0"/>
    <x v="7"/>
    <x v="6"/>
    <x v="272"/>
    <x v="229"/>
    <x v="229"/>
    <s v="REVENUS"/>
    <x v="6"/>
    <s v="4211.002"/>
    <s v="Intérêts de retard sur acomptes"/>
    <n v="0"/>
    <n v="669.18"/>
    <n v="4211"/>
  </r>
  <r>
    <x v="0"/>
    <x v="7"/>
    <x v="6"/>
    <x v="272"/>
    <x v="229"/>
    <x v="229"/>
    <s v="REVENUS"/>
    <x v="3"/>
    <s v="4002.007"/>
    <s v="Acompte impôt sur fortune"/>
    <n v="0"/>
    <n v="-88228.27"/>
    <n v="4002"/>
  </r>
  <r>
    <x v="0"/>
    <x v="7"/>
    <x v="6"/>
    <x v="272"/>
    <x v="229"/>
    <x v="229"/>
    <s v="REVENUS"/>
    <x v="7"/>
    <s v="4184.000"/>
    <s v="Frais de poursuite"/>
    <n v="0"/>
    <n v="44.08"/>
    <n v="4184"/>
  </r>
  <r>
    <x v="0"/>
    <x v="7"/>
    <x v="6"/>
    <x v="272"/>
    <x v="229"/>
    <x v="229"/>
    <s v="REVENUS"/>
    <x v="8"/>
    <s v="4091.001"/>
    <s v="Impôt récupéré après défalcations"/>
    <n v="0"/>
    <n v="2113.75"/>
    <n v="4091"/>
  </r>
  <r>
    <x v="0"/>
    <x v="7"/>
    <x v="6"/>
    <x v="272"/>
    <x v="229"/>
    <x v="229"/>
    <s v="REVENUS"/>
    <x v="6"/>
    <s v="4211.001"/>
    <s v="Intérêts de retard sur factures"/>
    <n v="0"/>
    <n v="183.76"/>
    <n v="4211"/>
  </r>
  <r>
    <x v="0"/>
    <x v="7"/>
    <x v="6"/>
    <x v="272"/>
    <x v="229"/>
    <x v="229"/>
    <s v="REVENUS"/>
    <x v="7"/>
    <s v="4184.000"/>
    <s v="Frais de poursuite"/>
    <n v="0"/>
    <n v="85.6"/>
    <n v="4184"/>
  </r>
  <r>
    <x v="0"/>
    <x v="7"/>
    <x v="6"/>
    <x v="272"/>
    <x v="229"/>
    <x v="229"/>
    <s v="REVENUS"/>
    <x v="2"/>
    <s v="4001.002"/>
    <s v="Impôt complément s/revenu PP"/>
    <n v="0"/>
    <n v="23841.95"/>
    <n v="4001"/>
  </r>
  <r>
    <x v="0"/>
    <x v="7"/>
    <x v="6"/>
    <x v="272"/>
    <x v="229"/>
    <x v="229"/>
    <s v="REVENUS"/>
    <x v="3"/>
    <s v="4002.002"/>
    <s v="Impôt complémentaire s/fortune PP"/>
    <n v="0"/>
    <n v="4531.55"/>
    <n v="4002"/>
  </r>
  <r>
    <x v="0"/>
    <x v="7"/>
    <x v="6"/>
    <x v="272"/>
    <x v="229"/>
    <x v="229"/>
    <s v="REVENUS"/>
    <x v="6"/>
    <s v="4211.001"/>
    <s v="Intérêts de retard sur factures"/>
    <n v="0"/>
    <n v="815.57"/>
    <n v="4211"/>
  </r>
  <r>
    <x v="0"/>
    <x v="7"/>
    <x v="6"/>
    <x v="272"/>
    <x v="229"/>
    <x v="229"/>
    <s v="REVENUS"/>
    <x v="6"/>
    <s v="4221.003"/>
    <s v="Intérêts compensat. / acomptes en faveur du fisc"/>
    <n v="0"/>
    <n v="4.51"/>
    <n v="4221"/>
  </r>
  <r>
    <x v="0"/>
    <x v="7"/>
    <x v="6"/>
    <x v="272"/>
    <x v="229"/>
    <x v="229"/>
    <s v="REVENUS"/>
    <x v="2"/>
    <s v="4001.007"/>
    <s v="Acompte impôt sur revenu"/>
    <n v="0"/>
    <n v="-4187.8999999999996"/>
    <n v="4001"/>
  </r>
  <r>
    <x v="0"/>
    <x v="7"/>
    <x v="6"/>
    <x v="272"/>
    <x v="229"/>
    <x v="229"/>
    <s v="REVENUS"/>
    <x v="3"/>
    <s v="4002.007"/>
    <s v="Acompte impôt sur fortune"/>
    <n v="0"/>
    <n v="-421.45"/>
    <n v="4002"/>
  </r>
  <r>
    <x v="0"/>
    <x v="7"/>
    <x v="6"/>
    <x v="272"/>
    <x v="229"/>
    <x v="229"/>
    <s v="REVENUS"/>
    <x v="3"/>
    <s v="4002.007"/>
    <s v="Acompte impôt sur fortune"/>
    <n v="0"/>
    <n v="-1268.05"/>
    <n v="4002"/>
  </r>
  <r>
    <x v="0"/>
    <x v="7"/>
    <x v="6"/>
    <x v="272"/>
    <x v="229"/>
    <x v="229"/>
    <s v="REVENUS"/>
    <x v="2"/>
    <s v="4001.001"/>
    <s v="Impôt revenu"/>
    <n v="0"/>
    <n v="15386.7"/>
    <n v="4001"/>
  </r>
  <r>
    <x v="0"/>
    <x v="7"/>
    <x v="6"/>
    <x v="272"/>
    <x v="229"/>
    <x v="229"/>
    <s v="REVENUS"/>
    <x v="3"/>
    <s v="4002.001"/>
    <s v="Impôt ordinaire s/fortune PP"/>
    <n v="0"/>
    <n v="1476"/>
    <n v="4002"/>
  </r>
  <r>
    <x v="0"/>
    <x v="7"/>
    <x v="6"/>
    <x v="272"/>
    <x v="229"/>
    <x v="229"/>
    <s v="REVENUS"/>
    <x v="6"/>
    <s v="4221.003"/>
    <s v="Intérêts compensat. / acomptes en faveur du fisc"/>
    <n v="0"/>
    <n v="60.68"/>
    <n v="4221"/>
  </r>
  <r>
    <x v="0"/>
    <x v="7"/>
    <x v="6"/>
    <x v="272"/>
    <x v="229"/>
    <x v="229"/>
    <s v="REVENUS"/>
    <x v="2"/>
    <s v="4001.002"/>
    <s v="Impôt complément s/revenu PP"/>
    <n v="0"/>
    <n v="15189.4"/>
    <n v="4001"/>
  </r>
  <r>
    <x v="0"/>
    <x v="7"/>
    <x v="6"/>
    <x v="272"/>
    <x v="229"/>
    <x v="229"/>
    <s v="REVENUS"/>
    <x v="3"/>
    <s v="4002.002"/>
    <s v="Impôt complémentaire s/fortune PP"/>
    <n v="0"/>
    <n v="1776.2"/>
    <n v="4002"/>
  </r>
  <r>
    <x v="0"/>
    <x v="7"/>
    <x v="6"/>
    <x v="273"/>
    <x v="235"/>
    <x v="235"/>
    <s v="CHARGES"/>
    <x v="1"/>
    <s v="3301.001"/>
    <s v="Défalcations, abandons de solde PP et IS"/>
    <n v="3942.49"/>
    <n v="0"/>
    <n v="3301"/>
  </r>
  <r>
    <x v="0"/>
    <x v="7"/>
    <x v="6"/>
    <x v="273"/>
    <x v="235"/>
    <x v="235"/>
    <s v="CHARGES"/>
    <x v="0"/>
    <s v="3212.004"/>
    <s v="Intérêts rémun./perçu trop tôt sur acomptes C/C"/>
    <n v="222.63"/>
    <n v="0"/>
    <n v="3212"/>
  </r>
  <r>
    <x v="0"/>
    <x v="7"/>
    <x v="6"/>
    <x v="273"/>
    <x v="235"/>
    <x v="235"/>
    <s v="CHARGES"/>
    <x v="1"/>
    <s v="3301.001"/>
    <s v="Défalcations, abandons de solde PP et IS"/>
    <n v="0.66"/>
    <n v="0"/>
    <n v="3301"/>
  </r>
  <r>
    <x v="0"/>
    <x v="7"/>
    <x v="6"/>
    <x v="273"/>
    <x v="235"/>
    <x v="235"/>
    <s v="CHARGES"/>
    <x v="0"/>
    <s v="3221.002"/>
    <s v="Intérêts compensatoires / créances en faveur ctb."/>
    <n v="94.63"/>
    <n v="0"/>
    <n v="3221"/>
  </r>
  <r>
    <x v="0"/>
    <x v="7"/>
    <x v="6"/>
    <x v="273"/>
    <x v="235"/>
    <x v="235"/>
    <s v="CHARGES"/>
    <x v="0"/>
    <s v="3212.004"/>
    <s v="Intérêts rémun./perçu trop tôt sur acomptes C/C"/>
    <n v="3.67"/>
    <n v="0"/>
    <n v="3212"/>
  </r>
  <r>
    <x v="0"/>
    <x v="7"/>
    <x v="6"/>
    <x v="273"/>
    <x v="235"/>
    <x v="235"/>
    <s v="CHARGES"/>
    <x v="1"/>
    <s v="3301.001"/>
    <s v="Défalcations, abandons de solde PP et IS"/>
    <n v="6.15"/>
    <n v="0"/>
    <n v="3301"/>
  </r>
  <r>
    <x v="0"/>
    <x v="7"/>
    <x v="6"/>
    <x v="273"/>
    <x v="235"/>
    <x v="235"/>
    <s v="CHARGES"/>
    <x v="0"/>
    <s v="3212.002"/>
    <s v="Intérêts bonifiés/trop perçu acompte C/C"/>
    <n v="0.05"/>
    <n v="0"/>
    <n v="3212"/>
  </r>
  <r>
    <x v="0"/>
    <x v="7"/>
    <x v="6"/>
    <x v="273"/>
    <x v="235"/>
    <x v="235"/>
    <s v="CHARGES"/>
    <x v="0"/>
    <s v="3221.002"/>
    <s v="Intérêts compensatoires / créances en faveur ctb."/>
    <n v="0.97"/>
    <n v="0"/>
    <n v="3221"/>
  </r>
  <r>
    <x v="0"/>
    <x v="7"/>
    <x v="6"/>
    <x v="273"/>
    <x v="235"/>
    <x v="235"/>
    <s v="CHARGES"/>
    <x v="0"/>
    <s v="3212.004"/>
    <s v="Intérêts rémun./perçu trop tôt sur acomptes C/C"/>
    <n v="3.69"/>
    <n v="0"/>
    <n v="3212"/>
  </r>
  <r>
    <x v="0"/>
    <x v="7"/>
    <x v="6"/>
    <x v="273"/>
    <x v="235"/>
    <x v="235"/>
    <s v="CHARGES"/>
    <x v="0"/>
    <s v="3221.002"/>
    <s v="Intérêts compensatoires / créances en faveur ctb."/>
    <n v="0.18"/>
    <n v="0"/>
    <n v="3221"/>
  </r>
  <r>
    <x v="0"/>
    <x v="7"/>
    <x v="6"/>
    <x v="273"/>
    <x v="235"/>
    <x v="235"/>
    <s v="CHARGES"/>
    <x v="0"/>
    <s v="3212.002"/>
    <s v="Intérêts bonifiés/trop perçu acompte C/C"/>
    <n v="5.54"/>
    <n v="0"/>
    <n v="3212"/>
  </r>
  <r>
    <x v="0"/>
    <x v="7"/>
    <x v="6"/>
    <x v="273"/>
    <x v="235"/>
    <x v="235"/>
    <s v="CHARGES"/>
    <x v="1"/>
    <s v="3301.001"/>
    <s v="Défalcations, abandons de solde PP et IS"/>
    <n v="0.83"/>
    <n v="0"/>
    <n v="3301"/>
  </r>
  <r>
    <x v="0"/>
    <x v="7"/>
    <x v="6"/>
    <x v="273"/>
    <x v="235"/>
    <x v="235"/>
    <s v="CHARGES"/>
    <x v="0"/>
    <s v="3212.004"/>
    <s v="Intérêts rémun./perçu trop tôt sur acomptes C/C"/>
    <n v="2.5299999999999998"/>
    <n v="0"/>
    <n v="3212"/>
  </r>
  <r>
    <x v="0"/>
    <x v="7"/>
    <x v="6"/>
    <x v="273"/>
    <x v="235"/>
    <x v="235"/>
    <s v="CHARGES"/>
    <x v="0"/>
    <s v="3221.002"/>
    <s v="Intérêts compensatoires / créances en faveur ctb."/>
    <n v="0.42"/>
    <n v="0"/>
    <n v="3221"/>
  </r>
  <r>
    <x v="0"/>
    <x v="7"/>
    <x v="6"/>
    <x v="273"/>
    <x v="235"/>
    <x v="235"/>
    <s v="CHARGES"/>
    <x v="1"/>
    <s v="3301.001"/>
    <s v="Défalcations, abandons de solde PP et IS"/>
    <n v="0.39"/>
    <n v="0"/>
    <n v="3301"/>
  </r>
  <r>
    <x v="0"/>
    <x v="7"/>
    <x v="6"/>
    <x v="273"/>
    <x v="235"/>
    <x v="235"/>
    <s v="CHARGES"/>
    <x v="0"/>
    <s v="3212.004"/>
    <s v="Intérêts rémun./perçu trop tôt sur acomptes C/C"/>
    <n v="7.0000000000000007E-2"/>
    <n v="0"/>
    <n v="3212"/>
  </r>
  <r>
    <x v="0"/>
    <x v="7"/>
    <x v="6"/>
    <x v="273"/>
    <x v="235"/>
    <x v="235"/>
    <s v="CHARGES"/>
    <x v="0"/>
    <s v="3221.002"/>
    <s v="Intérêts compensatoires / créances en faveur ctb."/>
    <n v="0.04"/>
    <n v="0"/>
    <n v="3221"/>
  </r>
  <r>
    <x v="0"/>
    <x v="7"/>
    <x v="6"/>
    <x v="273"/>
    <x v="235"/>
    <x v="235"/>
    <s v="CHARGES"/>
    <x v="1"/>
    <s v="3301.001"/>
    <s v="Défalcations, abandons de solde PP et IS"/>
    <n v="7357.27"/>
    <n v="0"/>
    <n v="3301"/>
  </r>
  <r>
    <x v="0"/>
    <x v="7"/>
    <x v="6"/>
    <x v="273"/>
    <x v="235"/>
    <x v="235"/>
    <s v="CHARGES"/>
    <x v="0"/>
    <s v="3212.004"/>
    <s v="Intérêts rémun./perçu trop tôt sur acomptes C/C"/>
    <n v="0.01"/>
    <n v="0"/>
    <n v="3212"/>
  </r>
  <r>
    <x v="0"/>
    <x v="7"/>
    <x v="6"/>
    <x v="273"/>
    <x v="235"/>
    <x v="235"/>
    <s v="CHARGES"/>
    <x v="0"/>
    <s v="3221.002"/>
    <s v="Intérêts compensatoires / créances en faveur ctb."/>
    <n v="0.02"/>
    <n v="0"/>
    <n v="3221"/>
  </r>
  <r>
    <x v="0"/>
    <x v="7"/>
    <x v="6"/>
    <x v="273"/>
    <x v="235"/>
    <x v="235"/>
    <s v="REVENUS"/>
    <x v="2"/>
    <s v="4001.001"/>
    <s v="Impôt revenu"/>
    <n v="0"/>
    <n v="1085773.8"/>
    <n v="4001"/>
  </r>
  <r>
    <x v="0"/>
    <x v="7"/>
    <x v="6"/>
    <x v="273"/>
    <x v="235"/>
    <x v="235"/>
    <s v="REVENUS"/>
    <x v="2"/>
    <s v="4001.007"/>
    <s v="Acompte impôt sur revenu"/>
    <n v="0"/>
    <n v="-160438.07"/>
    <n v="4001"/>
  </r>
  <r>
    <x v="0"/>
    <x v="7"/>
    <x v="6"/>
    <x v="273"/>
    <x v="235"/>
    <x v="235"/>
    <s v="REVENUS"/>
    <x v="6"/>
    <s v="4211.002"/>
    <s v="Intérêts de retard sur acomptes"/>
    <n v="0"/>
    <n v="7573.09"/>
    <n v="4211"/>
  </r>
  <r>
    <x v="0"/>
    <x v="7"/>
    <x v="6"/>
    <x v="273"/>
    <x v="235"/>
    <x v="235"/>
    <s v="REVENUS"/>
    <x v="6"/>
    <s v="4221.003"/>
    <s v="Intérêts compensat. / acomptes en faveur du fisc"/>
    <n v="0"/>
    <n v="77.64"/>
    <n v="4221"/>
  </r>
  <r>
    <x v="0"/>
    <x v="7"/>
    <x v="6"/>
    <x v="273"/>
    <x v="235"/>
    <x v="235"/>
    <s v="REVENUS"/>
    <x v="7"/>
    <s v="4184.000"/>
    <s v="Frais de poursuite"/>
    <n v="0"/>
    <n v="942.75"/>
    <n v="4184"/>
  </r>
  <r>
    <x v="0"/>
    <x v="7"/>
    <x v="6"/>
    <x v="273"/>
    <x v="235"/>
    <x v="235"/>
    <s v="REVENUS"/>
    <x v="3"/>
    <s v="4002.007"/>
    <s v="Acompte impôt sur fortune"/>
    <n v="0"/>
    <n v="-13602.58"/>
    <n v="4002"/>
  </r>
  <r>
    <x v="0"/>
    <x v="7"/>
    <x v="6"/>
    <x v="273"/>
    <x v="235"/>
    <x v="235"/>
    <s v="REVENUS"/>
    <x v="6"/>
    <s v="4211.001"/>
    <s v="Intérêts de retard sur factures"/>
    <n v="0"/>
    <n v="0.32"/>
    <n v="4211"/>
  </r>
  <r>
    <x v="0"/>
    <x v="7"/>
    <x v="6"/>
    <x v="273"/>
    <x v="235"/>
    <x v="235"/>
    <s v="REVENUS"/>
    <x v="3"/>
    <s v="4002.001"/>
    <s v="Impôt ordinaire s/fortune PP"/>
    <n v="0"/>
    <n v="91927.5"/>
    <n v="4002"/>
  </r>
  <r>
    <x v="0"/>
    <x v="7"/>
    <x v="6"/>
    <x v="273"/>
    <x v="235"/>
    <x v="235"/>
    <s v="REVENUS"/>
    <x v="6"/>
    <s v="4211.001"/>
    <s v="Intérêts de retard sur factures"/>
    <n v="0"/>
    <n v="1852.21"/>
    <n v="4211"/>
  </r>
  <r>
    <x v="0"/>
    <x v="7"/>
    <x v="6"/>
    <x v="273"/>
    <x v="235"/>
    <x v="235"/>
    <s v="REVENUS"/>
    <x v="2"/>
    <s v="4001.001"/>
    <s v="Impôt revenu"/>
    <n v="0"/>
    <n v="12549.7"/>
    <n v="4001"/>
  </r>
  <r>
    <x v="0"/>
    <x v="7"/>
    <x v="6"/>
    <x v="273"/>
    <x v="235"/>
    <x v="235"/>
    <s v="REVENUS"/>
    <x v="2"/>
    <s v="4001.007"/>
    <s v="Acompte impôt sur revenu"/>
    <n v="0"/>
    <n v="2157.1"/>
    <n v="4001"/>
  </r>
  <r>
    <x v="0"/>
    <x v="7"/>
    <x v="6"/>
    <x v="273"/>
    <x v="235"/>
    <x v="235"/>
    <s v="REVENUS"/>
    <x v="3"/>
    <s v="4002.001"/>
    <s v="Impôt ordinaire s/fortune PP"/>
    <n v="0"/>
    <n v="4226.55"/>
    <n v="4002"/>
  </r>
  <r>
    <x v="0"/>
    <x v="7"/>
    <x v="6"/>
    <x v="273"/>
    <x v="235"/>
    <x v="235"/>
    <s v="REVENUS"/>
    <x v="6"/>
    <s v="4211.002"/>
    <s v="Intérêts de retard sur acomptes"/>
    <n v="0"/>
    <n v="17.28"/>
    <n v="4211"/>
  </r>
  <r>
    <x v="0"/>
    <x v="7"/>
    <x v="6"/>
    <x v="273"/>
    <x v="235"/>
    <x v="235"/>
    <s v="REVENUS"/>
    <x v="2"/>
    <s v="4001.001"/>
    <s v="Impôt revenu"/>
    <n v="0"/>
    <n v="11637.35"/>
    <n v="4001"/>
  </r>
  <r>
    <x v="0"/>
    <x v="7"/>
    <x v="6"/>
    <x v="273"/>
    <x v="235"/>
    <x v="235"/>
    <s v="REVENUS"/>
    <x v="2"/>
    <s v="4001.007"/>
    <s v="Acompte impôt sur revenu"/>
    <n v="0"/>
    <n v="6720.28"/>
    <n v="4001"/>
  </r>
  <r>
    <x v="0"/>
    <x v="7"/>
    <x v="6"/>
    <x v="273"/>
    <x v="235"/>
    <x v="235"/>
    <s v="REVENUS"/>
    <x v="6"/>
    <s v="4221.003"/>
    <s v="Intérêts compensat. / acomptes en faveur du fisc"/>
    <n v="0"/>
    <n v="3.71"/>
    <n v="4221"/>
  </r>
  <r>
    <x v="0"/>
    <x v="7"/>
    <x v="6"/>
    <x v="273"/>
    <x v="235"/>
    <x v="235"/>
    <s v="REVENUS"/>
    <x v="2"/>
    <s v="4001.002"/>
    <s v="Impôt complément s/revenu PP"/>
    <n v="0"/>
    <n v="70299.600000000006"/>
    <n v="4001"/>
  </r>
  <r>
    <x v="0"/>
    <x v="7"/>
    <x v="6"/>
    <x v="273"/>
    <x v="235"/>
    <x v="235"/>
    <s v="REVENUS"/>
    <x v="3"/>
    <s v="4002.002"/>
    <s v="Impôt complémentaire s/fortune PP"/>
    <n v="0"/>
    <n v="6496.55"/>
    <n v="4002"/>
  </r>
  <r>
    <x v="0"/>
    <x v="7"/>
    <x v="6"/>
    <x v="273"/>
    <x v="235"/>
    <x v="235"/>
    <s v="REVENUS"/>
    <x v="3"/>
    <s v="4002.007"/>
    <s v="Acompte impôt sur fortune"/>
    <n v="0"/>
    <n v="-426.55"/>
    <n v="4002"/>
  </r>
  <r>
    <x v="0"/>
    <x v="7"/>
    <x v="6"/>
    <x v="273"/>
    <x v="235"/>
    <x v="235"/>
    <s v="REVENUS"/>
    <x v="2"/>
    <s v="4001.007"/>
    <s v="Acompte impôt sur revenu"/>
    <n v="0"/>
    <n v="247.18"/>
    <n v="4001"/>
  </r>
  <r>
    <x v="0"/>
    <x v="7"/>
    <x v="6"/>
    <x v="273"/>
    <x v="235"/>
    <x v="235"/>
    <s v="REVENUS"/>
    <x v="3"/>
    <s v="4002.007"/>
    <s v="Acompte impôt sur fortune"/>
    <n v="0"/>
    <n v="858.72"/>
    <n v="4002"/>
  </r>
  <r>
    <x v="0"/>
    <x v="7"/>
    <x v="6"/>
    <x v="273"/>
    <x v="235"/>
    <x v="235"/>
    <s v="REVENUS"/>
    <x v="7"/>
    <s v="4184.000"/>
    <s v="Frais de poursuite"/>
    <n v="0"/>
    <n v="15.43"/>
    <n v="4184"/>
  </r>
  <r>
    <x v="0"/>
    <x v="7"/>
    <x v="6"/>
    <x v="273"/>
    <x v="235"/>
    <x v="235"/>
    <s v="REVENUS"/>
    <x v="3"/>
    <s v="4002.001"/>
    <s v="Impôt ordinaire s/fortune PP"/>
    <n v="0"/>
    <n v="3806.25"/>
    <n v="4002"/>
  </r>
  <r>
    <x v="0"/>
    <x v="7"/>
    <x v="6"/>
    <x v="273"/>
    <x v="235"/>
    <x v="235"/>
    <s v="REVENUS"/>
    <x v="3"/>
    <s v="4002.007"/>
    <s v="Acompte impôt sur fortune"/>
    <n v="0"/>
    <n v="-504.72"/>
    <n v="4002"/>
  </r>
  <r>
    <x v="0"/>
    <x v="7"/>
    <x v="6"/>
    <x v="273"/>
    <x v="235"/>
    <x v="235"/>
    <s v="REVENUS"/>
    <x v="3"/>
    <s v="4002.007"/>
    <s v="Acompte impôt sur fortune"/>
    <n v="0"/>
    <n v="99.05"/>
    <n v="4002"/>
  </r>
  <r>
    <x v="0"/>
    <x v="7"/>
    <x v="6"/>
    <x v="273"/>
    <x v="235"/>
    <x v="235"/>
    <s v="REVENUS"/>
    <x v="2"/>
    <s v="4001.007"/>
    <s v="Acompte impôt sur revenu"/>
    <n v="0"/>
    <n v="-406.81"/>
    <n v="4001"/>
  </r>
  <r>
    <x v="0"/>
    <x v="7"/>
    <x v="6"/>
    <x v="273"/>
    <x v="235"/>
    <x v="235"/>
    <s v="REVENUS"/>
    <x v="9"/>
    <s v="4031.001"/>
    <s v="Impôt sur les gains immobiliers"/>
    <n v="0"/>
    <n v="51778.25"/>
    <n v="4031"/>
  </r>
  <r>
    <x v="0"/>
    <x v="7"/>
    <x v="6"/>
    <x v="273"/>
    <x v="235"/>
    <x v="235"/>
    <s v="REVENUS"/>
    <x v="6"/>
    <s v="4221.002"/>
    <s v="Intérêts compensat. sur impôts distincts"/>
    <n v="0"/>
    <n v="15.98"/>
    <n v="4221"/>
  </r>
  <r>
    <x v="0"/>
    <x v="7"/>
    <x v="6"/>
    <x v="273"/>
    <x v="235"/>
    <x v="235"/>
    <s v="REVENUS"/>
    <x v="5"/>
    <s v="4061.000"/>
    <s v="Impôt sur les chiens"/>
    <n v="0"/>
    <n v="4270"/>
    <n v="4061"/>
  </r>
  <r>
    <x v="0"/>
    <x v="7"/>
    <x v="6"/>
    <x v="273"/>
    <x v="235"/>
    <x v="235"/>
    <s v="REVENUS"/>
    <x v="3"/>
    <s v="4002.007"/>
    <s v="Acompte impôt sur fortune"/>
    <n v="0"/>
    <n v="-78.61"/>
    <n v="4002"/>
  </r>
  <r>
    <x v="0"/>
    <x v="7"/>
    <x v="6"/>
    <x v="273"/>
    <x v="235"/>
    <x v="235"/>
    <s v="REVENUS"/>
    <x v="10"/>
    <s v="4041.001"/>
    <s v="Droits de mutation"/>
    <n v="0"/>
    <n v="46497"/>
    <n v="4041"/>
  </r>
  <r>
    <x v="0"/>
    <x v="7"/>
    <x v="6"/>
    <x v="273"/>
    <x v="235"/>
    <x v="235"/>
    <s v="REVENUS"/>
    <x v="2"/>
    <s v="4001.003"/>
    <s v="Impôt s/prest. cap. PP"/>
    <n v="0"/>
    <n v="43881.35"/>
    <n v="4001"/>
  </r>
  <r>
    <x v="0"/>
    <x v="7"/>
    <x v="6"/>
    <x v="273"/>
    <x v="235"/>
    <x v="235"/>
    <s v="REVENUS"/>
    <x v="6"/>
    <s v="4221.003"/>
    <s v="Intérêts compensat. / acomptes en faveur du fisc"/>
    <n v="0"/>
    <n v="0.83"/>
    <n v="4221"/>
  </r>
  <r>
    <x v="0"/>
    <x v="7"/>
    <x v="6"/>
    <x v="273"/>
    <x v="235"/>
    <x v="235"/>
    <s v="REVENUS"/>
    <x v="6"/>
    <s v="4211.001"/>
    <s v="Intérêts de retard sur factures"/>
    <n v="0"/>
    <n v="12.3"/>
    <n v="4211"/>
  </r>
  <r>
    <x v="0"/>
    <x v="7"/>
    <x v="6"/>
    <x v="273"/>
    <x v="235"/>
    <x v="235"/>
    <s v="REVENUS"/>
    <x v="2"/>
    <s v="4001.007"/>
    <s v="Acompte impôt sur revenu"/>
    <n v="0"/>
    <n v="-227.75"/>
    <n v="4001"/>
  </r>
  <r>
    <x v="0"/>
    <x v="7"/>
    <x v="6"/>
    <x v="273"/>
    <x v="235"/>
    <x v="235"/>
    <s v="REVENUS"/>
    <x v="3"/>
    <s v="4002.007"/>
    <s v="Acompte impôt sur fortune"/>
    <n v="0"/>
    <n v="-145.38999999999999"/>
    <n v="4002"/>
  </r>
  <r>
    <x v="0"/>
    <x v="7"/>
    <x v="6"/>
    <x v="273"/>
    <x v="235"/>
    <x v="235"/>
    <s v="REVENUS"/>
    <x v="2"/>
    <s v="4001.001"/>
    <s v="Impôt revenu"/>
    <n v="0"/>
    <n v="2697.85"/>
    <n v="4001"/>
  </r>
  <r>
    <x v="0"/>
    <x v="7"/>
    <x v="6"/>
    <x v="273"/>
    <x v="235"/>
    <x v="235"/>
    <s v="REVENUS"/>
    <x v="3"/>
    <s v="4002.001"/>
    <s v="Impôt ordinaire s/fortune PP"/>
    <n v="0"/>
    <n v="835.4"/>
    <n v="4002"/>
  </r>
  <r>
    <x v="0"/>
    <x v="7"/>
    <x v="6"/>
    <x v="273"/>
    <x v="235"/>
    <x v="235"/>
    <s v="REVENUS"/>
    <x v="2"/>
    <s v="4001.007"/>
    <s v="Acompte impôt sur revenu"/>
    <n v="0"/>
    <n v="-496.35"/>
    <n v="4001"/>
  </r>
  <r>
    <x v="0"/>
    <x v="7"/>
    <x v="6"/>
    <x v="273"/>
    <x v="235"/>
    <x v="235"/>
    <s v="REVENUS"/>
    <x v="3"/>
    <s v="4002.007"/>
    <s v="Acompte impôt sur fortune"/>
    <n v="0"/>
    <n v="-838.7"/>
    <n v="4002"/>
  </r>
  <r>
    <x v="0"/>
    <x v="7"/>
    <x v="6"/>
    <x v="273"/>
    <x v="235"/>
    <x v="235"/>
    <s v="REVENUS"/>
    <x v="6"/>
    <s v="4211.002"/>
    <s v="Intérêts de retard sur acomptes"/>
    <n v="0"/>
    <n v="2.1800000000000002"/>
    <n v="4211"/>
  </r>
  <r>
    <x v="0"/>
    <x v="7"/>
    <x v="6"/>
    <x v="273"/>
    <x v="235"/>
    <x v="235"/>
    <s v="REVENUS"/>
    <x v="6"/>
    <s v="4221.003"/>
    <s v="Intérêts compensat. / acomptes en faveur du fisc"/>
    <n v="0"/>
    <n v="0.42"/>
    <n v="4221"/>
  </r>
  <r>
    <x v="0"/>
    <x v="7"/>
    <x v="6"/>
    <x v="273"/>
    <x v="235"/>
    <x v="235"/>
    <s v="REVENUS"/>
    <x v="2"/>
    <s v="4001.002"/>
    <s v="Impôt complément s/revenu PP"/>
    <n v="0"/>
    <n v="8374.85"/>
    <n v="4001"/>
  </r>
  <r>
    <x v="0"/>
    <x v="7"/>
    <x v="6"/>
    <x v="273"/>
    <x v="235"/>
    <x v="235"/>
    <s v="REVENUS"/>
    <x v="3"/>
    <s v="4002.002"/>
    <s v="Impôt complémentaire s/fortune PP"/>
    <n v="0"/>
    <n v="2632.75"/>
    <n v="4002"/>
  </r>
  <r>
    <x v="0"/>
    <x v="7"/>
    <x v="6"/>
    <x v="273"/>
    <x v="235"/>
    <x v="235"/>
    <s v="REVENUS"/>
    <x v="6"/>
    <s v="4211.002"/>
    <s v="Intérêts de retard sur acomptes"/>
    <n v="0"/>
    <n v="11.92"/>
    <n v="4211"/>
  </r>
  <r>
    <x v="0"/>
    <x v="7"/>
    <x v="6"/>
    <x v="273"/>
    <x v="235"/>
    <x v="235"/>
    <s v="REVENUS"/>
    <x v="4"/>
    <s v="4051.001"/>
    <s v="Impôt sur les successions"/>
    <n v="0"/>
    <n v="7826.8"/>
    <n v="4051"/>
  </r>
  <r>
    <x v="0"/>
    <x v="7"/>
    <x v="6"/>
    <x v="273"/>
    <x v="235"/>
    <x v="235"/>
    <s v="REVENUS"/>
    <x v="2"/>
    <s v="4001.001"/>
    <s v="Impôt revenu"/>
    <n v="0"/>
    <n v="1918.55"/>
    <n v="4001"/>
  </r>
  <r>
    <x v="0"/>
    <x v="7"/>
    <x v="6"/>
    <x v="273"/>
    <x v="235"/>
    <x v="235"/>
    <s v="REVENUS"/>
    <x v="3"/>
    <s v="4002.001"/>
    <s v="Impôt ordinaire s/fortune PP"/>
    <n v="0"/>
    <n v="467.05"/>
    <n v="4002"/>
  </r>
  <r>
    <x v="0"/>
    <x v="7"/>
    <x v="6"/>
    <x v="273"/>
    <x v="235"/>
    <x v="235"/>
    <s v="REVENUS"/>
    <x v="8"/>
    <s v="4091.001"/>
    <s v="Impôt récupéré après défalcations"/>
    <n v="0"/>
    <n v="1084.8900000000001"/>
    <n v="4091"/>
  </r>
  <r>
    <x v="0"/>
    <x v="7"/>
    <x v="6"/>
    <x v="273"/>
    <x v="235"/>
    <x v="235"/>
    <s v="REVENUS"/>
    <x v="2"/>
    <s v="4001.007"/>
    <s v="Acompte impôt sur revenu"/>
    <n v="0"/>
    <n v="-1197.7"/>
    <n v="4001"/>
  </r>
  <r>
    <x v="0"/>
    <x v="7"/>
    <x v="6"/>
    <x v="273"/>
    <x v="235"/>
    <x v="235"/>
    <s v="REVENUS"/>
    <x v="3"/>
    <s v="4002.007"/>
    <s v="Acompte impôt sur fortune"/>
    <n v="0"/>
    <n v="-332.85"/>
    <n v="4002"/>
  </r>
  <r>
    <x v="0"/>
    <x v="7"/>
    <x v="6"/>
    <x v="273"/>
    <x v="235"/>
    <x v="235"/>
    <s v="REVENUS"/>
    <x v="6"/>
    <s v="4221.003"/>
    <s v="Intérêts compensat. / acomptes en faveur du fisc"/>
    <n v="0"/>
    <n v="0.34"/>
    <n v="4221"/>
  </r>
  <r>
    <x v="0"/>
    <x v="7"/>
    <x v="6"/>
    <x v="273"/>
    <x v="235"/>
    <x v="235"/>
    <s v="REVENUS"/>
    <x v="2"/>
    <s v="4001.002"/>
    <s v="Impôt complément s/revenu PP"/>
    <n v="0"/>
    <n v="23.15"/>
    <n v="4001"/>
  </r>
  <r>
    <x v="0"/>
    <x v="7"/>
    <x v="6"/>
    <x v="273"/>
    <x v="235"/>
    <x v="235"/>
    <s v="REVENUS"/>
    <x v="3"/>
    <s v="4002.002"/>
    <s v="Impôt complémentaire s/fortune PP"/>
    <n v="0"/>
    <n v="7.55"/>
    <n v="4002"/>
  </r>
  <r>
    <x v="0"/>
    <x v="7"/>
    <x v="6"/>
    <x v="273"/>
    <x v="235"/>
    <x v="235"/>
    <s v="REVENUS"/>
    <x v="2"/>
    <s v="4001.003"/>
    <s v="Impôt s/prest. cap. PP"/>
    <n v="0"/>
    <n v="-2040.65"/>
    <n v="4001"/>
  </r>
  <r>
    <x v="0"/>
    <x v="7"/>
    <x v="6"/>
    <x v="273"/>
    <x v="235"/>
    <x v="235"/>
    <s v="REVENUS"/>
    <x v="7"/>
    <s v="4184.000"/>
    <s v="Frais de poursuite"/>
    <n v="0"/>
    <n v="37.11"/>
    <n v="4184"/>
  </r>
  <r>
    <x v="0"/>
    <x v="7"/>
    <x v="6"/>
    <x v="273"/>
    <x v="235"/>
    <x v="235"/>
    <s v="REVENUS"/>
    <x v="2"/>
    <s v="4001.002"/>
    <s v="Impôt complément s/revenu PP"/>
    <n v="0"/>
    <n v="675.95"/>
    <n v="4001"/>
  </r>
  <r>
    <x v="0"/>
    <x v="7"/>
    <x v="6"/>
    <x v="273"/>
    <x v="235"/>
    <x v="235"/>
    <s v="REVENUS"/>
    <x v="3"/>
    <s v="4002.002"/>
    <s v="Impôt complémentaire s/fortune PP"/>
    <n v="0"/>
    <n v="254.6"/>
    <n v="4002"/>
  </r>
  <r>
    <x v="0"/>
    <x v="7"/>
    <x v="6"/>
    <x v="273"/>
    <x v="235"/>
    <x v="235"/>
    <s v="REVENUS"/>
    <x v="2"/>
    <s v="4001.001"/>
    <s v="Impôt revenu"/>
    <n v="0"/>
    <n v="220.1"/>
    <n v="4001"/>
  </r>
  <r>
    <x v="0"/>
    <x v="7"/>
    <x v="6"/>
    <x v="273"/>
    <x v="235"/>
    <x v="235"/>
    <s v="REVENUS"/>
    <x v="3"/>
    <s v="4002.001"/>
    <s v="Impôt ordinaire s/fortune PP"/>
    <n v="0"/>
    <n v="58.6"/>
    <n v="4002"/>
  </r>
  <r>
    <x v="0"/>
    <x v="7"/>
    <x v="6"/>
    <x v="274"/>
    <x v="230"/>
    <x v="230"/>
    <s v="CHARGES"/>
    <x v="1"/>
    <s v="3301.001"/>
    <s v="Défalcations, abandons de solde PP et IS"/>
    <n v="45382.03"/>
    <n v="0"/>
    <n v="3301"/>
  </r>
  <r>
    <x v="0"/>
    <x v="7"/>
    <x v="6"/>
    <x v="274"/>
    <x v="230"/>
    <x v="230"/>
    <s v="CHARGES"/>
    <x v="1"/>
    <s v="3301.003"/>
    <s v="Remises PP et IS"/>
    <n v="36701.29"/>
    <n v="0"/>
    <n v="3301"/>
  </r>
  <r>
    <x v="0"/>
    <x v="7"/>
    <x v="6"/>
    <x v="274"/>
    <x v="230"/>
    <x v="230"/>
    <s v="CHARGES"/>
    <x v="0"/>
    <s v="3212.002"/>
    <s v="Intérêts bonifiés/trop perçu acompte C/C"/>
    <n v="12.24"/>
    <n v="0"/>
    <n v="3212"/>
  </r>
  <r>
    <x v="0"/>
    <x v="7"/>
    <x v="6"/>
    <x v="274"/>
    <x v="230"/>
    <x v="230"/>
    <s v="CHARGES"/>
    <x v="0"/>
    <s v="3212.004"/>
    <s v="Intérêts rémun./perçu trop tôt sur acomptes C/C"/>
    <n v="-0.01"/>
    <n v="0"/>
    <n v="3212"/>
  </r>
  <r>
    <x v="0"/>
    <x v="7"/>
    <x v="6"/>
    <x v="274"/>
    <x v="230"/>
    <x v="230"/>
    <s v="CHARGES"/>
    <x v="1"/>
    <s v="3301.001"/>
    <s v="Défalcations, abandons de solde PP et IS"/>
    <n v="-0.49"/>
    <n v="0"/>
    <n v="3301"/>
  </r>
  <r>
    <x v="0"/>
    <x v="7"/>
    <x v="6"/>
    <x v="274"/>
    <x v="230"/>
    <x v="230"/>
    <s v="CHARGES"/>
    <x v="0"/>
    <s v="3221.002"/>
    <s v="Intérêts compensatoires / créances en faveur ctb."/>
    <n v="-0.62"/>
    <n v="0"/>
    <n v="3221"/>
  </r>
  <r>
    <x v="0"/>
    <x v="7"/>
    <x v="6"/>
    <x v="274"/>
    <x v="230"/>
    <x v="230"/>
    <s v="CHARGES"/>
    <x v="1"/>
    <s v="3301.001"/>
    <s v="Défalcations, abandons de solde PP et IS"/>
    <n v="-0.89"/>
    <n v="0"/>
    <n v="3301"/>
  </r>
  <r>
    <x v="0"/>
    <x v="7"/>
    <x v="6"/>
    <x v="274"/>
    <x v="230"/>
    <x v="230"/>
    <s v="REVENUS"/>
    <x v="8"/>
    <s v="4091.003"/>
    <s v="Impôt récupéré concordat"/>
    <n v="0"/>
    <n v="44545.91"/>
    <n v="4091"/>
  </r>
  <r>
    <x v="0"/>
    <x v="7"/>
    <x v="6"/>
    <x v="274"/>
    <x v="230"/>
    <x v="230"/>
    <s v="REVENUS"/>
    <x v="2"/>
    <s v="4001.007"/>
    <s v="Acompte impôt sur revenu"/>
    <n v="0"/>
    <n v="-358.6"/>
    <n v="4001"/>
  </r>
  <r>
    <x v="0"/>
    <x v="7"/>
    <x v="6"/>
    <x v="274"/>
    <x v="230"/>
    <x v="230"/>
    <s v="REVENUS"/>
    <x v="2"/>
    <s v="4001.001"/>
    <s v="Impôt revenu"/>
    <n v="0"/>
    <n v="-19747.900000000001"/>
    <n v="4001"/>
  </r>
  <r>
    <x v="0"/>
    <x v="7"/>
    <x v="6"/>
    <x v="274"/>
    <x v="230"/>
    <x v="230"/>
    <s v="REVENUS"/>
    <x v="3"/>
    <s v="4002.001"/>
    <s v="Impôt ordinaire s/fortune PP"/>
    <n v="0"/>
    <n v="-1538.4"/>
    <n v="4002"/>
  </r>
  <r>
    <x v="0"/>
    <x v="7"/>
    <x v="6"/>
    <x v="274"/>
    <x v="230"/>
    <x v="230"/>
    <s v="REVENUS"/>
    <x v="6"/>
    <s v="4211.001"/>
    <s v="Intérêts de retard sur factures"/>
    <n v="0"/>
    <n v="-0.49"/>
    <n v="4211"/>
  </r>
  <r>
    <x v="0"/>
    <x v="7"/>
    <x v="6"/>
    <x v="274"/>
    <x v="230"/>
    <x v="230"/>
    <s v="REVENUS"/>
    <x v="6"/>
    <s v="4211.002"/>
    <s v="Intérêts de retard sur acomptes"/>
    <n v="0"/>
    <n v="-214.28"/>
    <n v="4211"/>
  </r>
  <r>
    <x v="0"/>
    <x v="7"/>
    <x v="6"/>
    <x v="274"/>
    <x v="230"/>
    <x v="230"/>
    <s v="REVENUS"/>
    <x v="6"/>
    <s v="4221.003"/>
    <s v="Intérêts compensat. / acomptes en faveur du fisc"/>
    <n v="0"/>
    <n v="-23.55"/>
    <n v="4221"/>
  </r>
  <r>
    <x v="0"/>
    <x v="7"/>
    <x v="6"/>
    <x v="274"/>
    <x v="230"/>
    <x v="230"/>
    <s v="REVENUS"/>
    <x v="2"/>
    <s v="4001.001"/>
    <s v="Impôt revenu"/>
    <n v="0"/>
    <n v="-11547.9"/>
    <n v="4001"/>
  </r>
  <r>
    <x v="0"/>
    <x v="7"/>
    <x v="6"/>
    <x v="274"/>
    <x v="230"/>
    <x v="230"/>
    <s v="REVENUS"/>
    <x v="3"/>
    <s v="4002.001"/>
    <s v="Impôt ordinaire s/fortune PP"/>
    <n v="0"/>
    <n v="-639"/>
    <n v="4002"/>
  </r>
  <r>
    <x v="0"/>
    <x v="7"/>
    <x v="6"/>
    <x v="274"/>
    <x v="230"/>
    <x v="230"/>
    <s v="REVENUS"/>
    <x v="6"/>
    <s v="4211.002"/>
    <s v="Intérêts de retard sur acomptes"/>
    <n v="0"/>
    <n v="-0.1"/>
    <n v="4211"/>
  </r>
  <r>
    <x v="0"/>
    <x v="7"/>
    <x v="6"/>
    <x v="274"/>
    <x v="230"/>
    <x v="230"/>
    <s v="REVENUS"/>
    <x v="2"/>
    <s v="4001.002"/>
    <s v="Impôt complément s/revenu PP"/>
    <n v="0"/>
    <n v="29932.3"/>
    <n v="4001"/>
  </r>
  <r>
    <x v="0"/>
    <x v="7"/>
    <x v="6"/>
    <x v="274"/>
    <x v="230"/>
    <x v="230"/>
    <s v="REVENUS"/>
    <x v="3"/>
    <s v="4002.002"/>
    <s v="Impôt complémentaire s/fortune PP"/>
    <n v="0"/>
    <n v="2229.6"/>
    <n v="4002"/>
  </r>
  <r>
    <x v="0"/>
    <x v="7"/>
    <x v="6"/>
    <x v="274"/>
    <x v="230"/>
    <x v="230"/>
    <s v="REVENUS"/>
    <x v="6"/>
    <s v="4211.001"/>
    <s v="Intérêts de retard sur factures"/>
    <n v="0"/>
    <n v="-180.98"/>
    <n v="4211"/>
  </r>
  <r>
    <x v="0"/>
    <x v="7"/>
    <x v="6"/>
    <x v="274"/>
    <x v="230"/>
    <x v="230"/>
    <s v="REVENUS"/>
    <x v="6"/>
    <s v="4211.002"/>
    <s v="Intérêts de retard sur acomptes"/>
    <n v="0"/>
    <n v="215.08"/>
    <n v="4211"/>
  </r>
  <r>
    <x v="0"/>
    <x v="7"/>
    <x v="6"/>
    <x v="274"/>
    <x v="230"/>
    <x v="230"/>
    <s v="REVENUS"/>
    <x v="6"/>
    <s v="4221.003"/>
    <s v="Intérêts compensat. / acomptes en faveur du fisc"/>
    <n v="0"/>
    <n v="23.03"/>
    <n v="4221"/>
  </r>
  <r>
    <x v="0"/>
    <x v="7"/>
    <x v="6"/>
    <x v="274"/>
    <x v="230"/>
    <x v="230"/>
    <s v="REVENUS"/>
    <x v="2"/>
    <s v="4001.003"/>
    <s v="Impôt s/prest. cap. PP"/>
    <n v="0"/>
    <n v="-7837.8"/>
    <n v="4001"/>
  </r>
  <r>
    <x v="0"/>
    <x v="7"/>
    <x v="6"/>
    <x v="274"/>
    <x v="230"/>
    <x v="230"/>
    <s v="REVENUS"/>
    <x v="5"/>
    <s v="4061.000"/>
    <s v="Impôt sur les chiens"/>
    <n v="0"/>
    <n v="80"/>
    <n v="4061"/>
  </r>
  <r>
    <x v="0"/>
    <x v="7"/>
    <x v="6"/>
    <x v="274"/>
    <x v="230"/>
    <x v="230"/>
    <s v="REVENUS"/>
    <x v="2"/>
    <s v="4001.002"/>
    <s v="Impôt complément s/revenu PP"/>
    <n v="0"/>
    <n v="1278.8499999999999"/>
    <n v="4001"/>
  </r>
  <r>
    <x v="0"/>
    <x v="7"/>
    <x v="6"/>
    <x v="275"/>
    <x v="230"/>
    <x v="230"/>
    <s v="REVENUS"/>
    <x v="7"/>
    <s v="4184.000"/>
    <s v="Frais de poursuite"/>
    <n v="0"/>
    <n v="162.04"/>
    <n v="4184"/>
  </r>
  <r>
    <x v="0"/>
    <x v="7"/>
    <x v="6"/>
    <x v="275"/>
    <x v="230"/>
    <x v="230"/>
    <s v="REVENUS"/>
    <x v="2"/>
    <s v="4001.007"/>
    <s v="Acompte impôt sur revenu"/>
    <n v="0"/>
    <n v="-122.4"/>
    <n v="4001"/>
  </r>
  <r>
    <x v="0"/>
    <x v="7"/>
    <x v="6"/>
    <x v="275"/>
    <x v="230"/>
    <x v="230"/>
    <s v="REVENUS"/>
    <x v="3"/>
    <s v="4002.007"/>
    <s v="Acompte impôt sur fortune"/>
    <n v="0"/>
    <n v="-51.25"/>
    <n v="4002"/>
  </r>
  <r>
    <x v="0"/>
    <x v="7"/>
    <x v="6"/>
    <x v="276"/>
    <x v="230"/>
    <x v="230"/>
    <s v="CHARGES"/>
    <x v="1"/>
    <s v="3301.001"/>
    <s v="Défalcations, abandons de solde PP et IS"/>
    <n v="-4.18"/>
    <n v="0"/>
    <n v="3301"/>
  </r>
  <r>
    <x v="0"/>
    <x v="7"/>
    <x v="6"/>
    <x v="276"/>
    <x v="230"/>
    <x v="230"/>
    <s v="CHARGES"/>
    <x v="1"/>
    <s v="3301.001"/>
    <s v="Défalcations, abandons de solde PP et IS"/>
    <n v="4375.57"/>
    <n v="0"/>
    <n v="3301"/>
  </r>
  <r>
    <x v="0"/>
    <x v="7"/>
    <x v="6"/>
    <x v="276"/>
    <x v="230"/>
    <x v="230"/>
    <s v="CHARGES"/>
    <x v="0"/>
    <s v="3212.002"/>
    <s v="Intérêts bonifiés/trop perçu acompte C/C"/>
    <n v="-0.73"/>
    <n v="0"/>
    <n v="3212"/>
  </r>
  <r>
    <x v="0"/>
    <x v="7"/>
    <x v="6"/>
    <x v="276"/>
    <x v="230"/>
    <x v="230"/>
    <s v="CHARGES"/>
    <x v="0"/>
    <s v="3221.002"/>
    <s v="Intérêts compensatoires / créances en faveur ctb."/>
    <n v="0.02"/>
    <n v="0"/>
    <n v="3221"/>
  </r>
  <r>
    <x v="0"/>
    <x v="7"/>
    <x v="6"/>
    <x v="276"/>
    <x v="230"/>
    <x v="230"/>
    <s v="CHARGES"/>
    <x v="0"/>
    <s v="3212.002"/>
    <s v="Intérêts bonifiés/trop perçu acompte C/C"/>
    <n v="0.56000000000000005"/>
    <n v="0"/>
    <n v="3212"/>
  </r>
  <r>
    <x v="0"/>
    <x v="7"/>
    <x v="6"/>
    <x v="276"/>
    <x v="230"/>
    <x v="230"/>
    <s v="CHARGES"/>
    <x v="0"/>
    <s v="3212.004"/>
    <s v="Intérêts rémun./perçu trop tôt sur acomptes C/C"/>
    <n v="-1.74"/>
    <n v="0"/>
    <n v="3212"/>
  </r>
  <r>
    <x v="0"/>
    <x v="7"/>
    <x v="6"/>
    <x v="276"/>
    <x v="230"/>
    <x v="230"/>
    <s v="CHARGES"/>
    <x v="0"/>
    <s v="3221.002"/>
    <s v="Intérêts compensatoires / créances en faveur ctb."/>
    <n v="-2.39"/>
    <n v="0"/>
    <n v="3221"/>
  </r>
  <r>
    <x v="0"/>
    <x v="7"/>
    <x v="6"/>
    <x v="276"/>
    <x v="230"/>
    <x v="230"/>
    <s v="CHARGES"/>
    <x v="0"/>
    <s v="3212.004"/>
    <s v="Intérêts rémun./perçu trop tôt sur acomptes C/C"/>
    <n v="-2.34"/>
    <n v="0"/>
    <n v="3212"/>
  </r>
  <r>
    <x v="0"/>
    <x v="7"/>
    <x v="6"/>
    <x v="276"/>
    <x v="230"/>
    <x v="230"/>
    <s v="CHARGES"/>
    <x v="1"/>
    <s v="3301.001"/>
    <s v="Défalcations, abandons de solde PP et IS"/>
    <n v="6359.21"/>
    <n v="0"/>
    <n v="3301"/>
  </r>
  <r>
    <x v="0"/>
    <x v="7"/>
    <x v="6"/>
    <x v="276"/>
    <x v="230"/>
    <x v="230"/>
    <s v="REVENUS"/>
    <x v="2"/>
    <s v="4001.002"/>
    <s v="Impôt complément s/revenu PP"/>
    <n v="0"/>
    <n v="-3137.25"/>
    <n v="4001"/>
  </r>
  <r>
    <x v="0"/>
    <x v="7"/>
    <x v="6"/>
    <x v="276"/>
    <x v="230"/>
    <x v="230"/>
    <s v="REVENUS"/>
    <x v="2"/>
    <s v="4001.002"/>
    <s v="Impôt complément s/revenu PP"/>
    <n v="0"/>
    <n v="23967.55"/>
    <n v="4001"/>
  </r>
  <r>
    <x v="0"/>
    <x v="7"/>
    <x v="6"/>
    <x v="276"/>
    <x v="230"/>
    <x v="230"/>
    <s v="REVENUS"/>
    <x v="6"/>
    <s v="4211.001"/>
    <s v="Intérêts de retard sur factures"/>
    <n v="0"/>
    <n v="1140.7"/>
    <n v="4211"/>
  </r>
  <r>
    <x v="0"/>
    <x v="7"/>
    <x v="6"/>
    <x v="276"/>
    <x v="230"/>
    <x v="230"/>
    <s v="REVENUS"/>
    <x v="6"/>
    <s v="4221.003"/>
    <s v="Intérêts compensat. / acomptes en faveur du fisc"/>
    <n v="0"/>
    <n v="3.19"/>
    <n v="4221"/>
  </r>
  <r>
    <x v="0"/>
    <x v="7"/>
    <x v="6"/>
    <x v="276"/>
    <x v="230"/>
    <x v="230"/>
    <s v="REVENUS"/>
    <x v="2"/>
    <s v="4001.003"/>
    <s v="Impôt s/prest. cap. PP"/>
    <n v="0"/>
    <n v="196.85"/>
    <n v="4001"/>
  </r>
  <r>
    <x v="0"/>
    <x v="7"/>
    <x v="6"/>
    <x v="276"/>
    <x v="230"/>
    <x v="230"/>
    <s v="REVENUS"/>
    <x v="2"/>
    <s v="4001.001"/>
    <s v="Impôt revenu"/>
    <n v="0"/>
    <n v="-16405.2"/>
    <n v="4001"/>
  </r>
  <r>
    <x v="0"/>
    <x v="7"/>
    <x v="6"/>
    <x v="276"/>
    <x v="230"/>
    <x v="230"/>
    <s v="REVENUS"/>
    <x v="2"/>
    <s v="4001.001"/>
    <s v="Impôt revenu"/>
    <n v="0"/>
    <n v="-3382"/>
    <n v="4001"/>
  </r>
  <r>
    <x v="0"/>
    <x v="7"/>
    <x v="6"/>
    <x v="276"/>
    <x v="230"/>
    <x v="230"/>
    <s v="REVENUS"/>
    <x v="6"/>
    <s v="4211.002"/>
    <s v="Intérêts de retard sur acomptes"/>
    <n v="0"/>
    <n v="3.87"/>
    <n v="4211"/>
  </r>
  <r>
    <x v="0"/>
    <x v="7"/>
    <x v="6"/>
    <x v="276"/>
    <x v="230"/>
    <x v="230"/>
    <s v="REVENUS"/>
    <x v="3"/>
    <s v="4002.001"/>
    <s v="Impôt ordinaire s/fortune PP"/>
    <n v="0"/>
    <n v="-80.849999999999994"/>
    <n v="4002"/>
  </r>
  <r>
    <x v="0"/>
    <x v="7"/>
    <x v="6"/>
    <x v="276"/>
    <x v="230"/>
    <x v="230"/>
    <s v="REVENUS"/>
    <x v="6"/>
    <s v="4211.002"/>
    <s v="Intérêts de retard sur acomptes"/>
    <n v="0"/>
    <n v="-0.35"/>
    <n v="4211"/>
  </r>
  <r>
    <x v="0"/>
    <x v="7"/>
    <x v="6"/>
    <x v="276"/>
    <x v="230"/>
    <x v="230"/>
    <s v="REVENUS"/>
    <x v="3"/>
    <s v="4002.002"/>
    <s v="Impôt complémentaire s/fortune PP"/>
    <n v="0"/>
    <n v="321"/>
    <n v="4002"/>
  </r>
  <r>
    <x v="0"/>
    <x v="7"/>
    <x v="6"/>
    <x v="276"/>
    <x v="230"/>
    <x v="230"/>
    <s v="REVENUS"/>
    <x v="7"/>
    <s v="4184.000"/>
    <s v="Frais de poursuite"/>
    <n v="0"/>
    <n v="46.01"/>
    <n v="4184"/>
  </r>
  <r>
    <x v="0"/>
    <x v="7"/>
    <x v="6"/>
    <x v="276"/>
    <x v="230"/>
    <x v="230"/>
    <s v="REVENUS"/>
    <x v="8"/>
    <s v="4091.001"/>
    <s v="Impôt récupéré après défalcations"/>
    <n v="0"/>
    <n v="3894.43"/>
    <n v="4091"/>
  </r>
  <r>
    <x v="0"/>
    <x v="7"/>
    <x v="6"/>
    <x v="276"/>
    <x v="230"/>
    <x v="230"/>
    <s v="REVENUS"/>
    <x v="2"/>
    <s v="4001.003"/>
    <s v="Impôt s/prest. cap. PP"/>
    <n v="0"/>
    <n v="-1991.05"/>
    <n v="4001"/>
  </r>
  <r>
    <x v="0"/>
    <x v="7"/>
    <x v="6"/>
    <x v="276"/>
    <x v="230"/>
    <x v="230"/>
    <s v="REVENUS"/>
    <x v="6"/>
    <s v="4211.001"/>
    <s v="Intérêts de retard sur factures"/>
    <n v="0"/>
    <n v="-0.93"/>
    <n v="4211"/>
  </r>
  <r>
    <x v="0"/>
    <x v="7"/>
    <x v="6"/>
    <x v="276"/>
    <x v="230"/>
    <x v="230"/>
    <s v="REVENUS"/>
    <x v="6"/>
    <s v="4221.003"/>
    <s v="Intérêts compensat. / acomptes en faveur du fisc"/>
    <n v="0"/>
    <n v="-0.05"/>
    <n v="4221"/>
  </r>
  <r>
    <x v="0"/>
    <x v="4"/>
    <x v="4"/>
    <x v="277"/>
    <x v="88"/>
    <x v="88"/>
    <s v="CHARGES"/>
    <x v="0"/>
    <s v="3212.004"/>
    <s v="Intérêts rémun./perçu trop tôt sur acomptes C/C"/>
    <n v="-1.29"/>
    <n v="0"/>
    <n v="3212"/>
  </r>
  <r>
    <x v="0"/>
    <x v="4"/>
    <x v="4"/>
    <x v="277"/>
    <x v="88"/>
    <x v="88"/>
    <s v="CHARGES"/>
    <x v="0"/>
    <s v="3221.002"/>
    <s v="Intérêts compensatoires / créances en faveur ctb."/>
    <n v="-1.53"/>
    <n v="0"/>
    <n v="3221"/>
  </r>
  <r>
    <x v="0"/>
    <x v="4"/>
    <x v="4"/>
    <x v="277"/>
    <x v="88"/>
    <x v="88"/>
    <s v="CHARGES"/>
    <x v="1"/>
    <s v="3301.001"/>
    <s v="Défalcations, abandons de solde PP et IS"/>
    <n v="0.01"/>
    <n v="0"/>
    <n v="3301"/>
  </r>
  <r>
    <x v="0"/>
    <x v="4"/>
    <x v="4"/>
    <x v="277"/>
    <x v="88"/>
    <x v="88"/>
    <s v="CHARGES"/>
    <x v="0"/>
    <s v="3212.004"/>
    <s v="Intérêts rémun./perçu trop tôt sur acomptes C/C"/>
    <n v="-1.19"/>
    <n v="0"/>
    <n v="3212"/>
  </r>
  <r>
    <x v="0"/>
    <x v="4"/>
    <x v="4"/>
    <x v="277"/>
    <x v="88"/>
    <x v="88"/>
    <s v="CHARGES"/>
    <x v="0"/>
    <s v="3221.002"/>
    <s v="Intérêts compensatoires / créances en faveur ctb."/>
    <n v="-2.17"/>
    <n v="0"/>
    <n v="3221"/>
  </r>
  <r>
    <x v="0"/>
    <x v="4"/>
    <x v="4"/>
    <x v="277"/>
    <x v="88"/>
    <x v="88"/>
    <s v="CHARGES"/>
    <x v="1"/>
    <s v="3301.001"/>
    <s v="Défalcations, abandons de solde PP et IS"/>
    <n v="0.56999999999999995"/>
    <n v="0"/>
    <n v="3301"/>
  </r>
  <r>
    <x v="0"/>
    <x v="4"/>
    <x v="4"/>
    <x v="277"/>
    <x v="88"/>
    <x v="88"/>
    <s v="REVENUS"/>
    <x v="2"/>
    <s v="4001.002"/>
    <s v="Impôt complément s/revenu PP"/>
    <n v="0"/>
    <n v="9214.9500000000007"/>
    <n v="4001"/>
  </r>
  <r>
    <x v="0"/>
    <x v="4"/>
    <x v="4"/>
    <x v="277"/>
    <x v="88"/>
    <x v="88"/>
    <s v="REVENUS"/>
    <x v="6"/>
    <s v="4211.001"/>
    <s v="Intérêts de retard sur factures"/>
    <n v="0"/>
    <n v="86.05"/>
    <n v="4211"/>
  </r>
  <r>
    <x v="0"/>
    <x v="4"/>
    <x v="4"/>
    <x v="277"/>
    <x v="88"/>
    <x v="88"/>
    <s v="REVENUS"/>
    <x v="6"/>
    <s v="4211.002"/>
    <s v="Intérêts de retard sur acomptes"/>
    <n v="0"/>
    <n v="0.04"/>
    <n v="4211"/>
  </r>
  <r>
    <x v="0"/>
    <x v="4"/>
    <x v="4"/>
    <x v="277"/>
    <x v="88"/>
    <x v="88"/>
    <s v="REVENUS"/>
    <x v="2"/>
    <s v="4001.001"/>
    <s v="Impôt revenu"/>
    <n v="0"/>
    <n v="-8997.1"/>
    <n v="4001"/>
  </r>
  <r>
    <x v="0"/>
    <x v="4"/>
    <x v="4"/>
    <x v="277"/>
    <x v="88"/>
    <x v="88"/>
    <s v="REVENUS"/>
    <x v="3"/>
    <s v="4002.002"/>
    <s v="Impôt complémentaire s/fortune PP"/>
    <n v="0"/>
    <n v="85.05"/>
    <n v="4002"/>
  </r>
  <r>
    <x v="0"/>
    <x v="4"/>
    <x v="4"/>
    <x v="277"/>
    <x v="88"/>
    <x v="88"/>
    <s v="REVENUS"/>
    <x v="6"/>
    <s v="4221.003"/>
    <s v="Intérêts compensat. / acomptes en faveur du fisc"/>
    <n v="0"/>
    <n v="0.03"/>
    <n v="4221"/>
  </r>
  <r>
    <x v="0"/>
    <x v="4"/>
    <x v="4"/>
    <x v="277"/>
    <x v="88"/>
    <x v="88"/>
    <s v="REVENUS"/>
    <x v="2"/>
    <s v="4001.001"/>
    <s v="Impôt revenu"/>
    <n v="0"/>
    <n v="-2406.1"/>
    <n v="4001"/>
  </r>
  <r>
    <x v="0"/>
    <x v="4"/>
    <x v="4"/>
    <x v="277"/>
    <x v="88"/>
    <x v="88"/>
    <s v="REVENUS"/>
    <x v="6"/>
    <s v="4211.002"/>
    <s v="Intérêts de retard sur acomptes"/>
    <n v="0"/>
    <n v="-0.1"/>
    <n v="4211"/>
  </r>
  <r>
    <x v="0"/>
    <x v="4"/>
    <x v="4"/>
    <x v="277"/>
    <x v="88"/>
    <x v="88"/>
    <s v="REVENUS"/>
    <x v="2"/>
    <s v="4001.002"/>
    <s v="Impôt complément s/revenu PP"/>
    <n v="0"/>
    <n v="2681.3"/>
    <n v="4001"/>
  </r>
  <r>
    <x v="0"/>
    <x v="4"/>
    <x v="4"/>
    <x v="277"/>
    <x v="88"/>
    <x v="88"/>
    <s v="REVENUS"/>
    <x v="6"/>
    <s v="4211.001"/>
    <s v="Intérêts de retard sur factures"/>
    <n v="0"/>
    <n v="66.37"/>
    <n v="4211"/>
  </r>
  <r>
    <x v="0"/>
    <x v="4"/>
    <x v="4"/>
    <x v="277"/>
    <x v="88"/>
    <x v="88"/>
    <s v="REVENUS"/>
    <x v="6"/>
    <s v="4211.002"/>
    <s v="Intérêts de retard sur acomptes"/>
    <n v="0"/>
    <n v="6.73"/>
    <n v="4211"/>
  </r>
  <r>
    <x v="0"/>
    <x v="4"/>
    <x v="4"/>
    <x v="277"/>
    <x v="88"/>
    <x v="88"/>
    <s v="REVENUS"/>
    <x v="2"/>
    <s v="4001.003"/>
    <s v="Impôt s/prest. cap. PP"/>
    <n v="0"/>
    <n v="-5540.35"/>
    <n v="4001"/>
  </r>
  <r>
    <x v="0"/>
    <x v="3"/>
    <x v="3"/>
    <x v="278"/>
    <x v="236"/>
    <x v="236"/>
    <s v="CHARGES"/>
    <x v="1"/>
    <s v="3301.001"/>
    <s v="Défalcations, abandons de solde PP et IS"/>
    <n v="11711.36"/>
    <n v="0"/>
    <n v="3301"/>
  </r>
  <r>
    <x v="0"/>
    <x v="3"/>
    <x v="3"/>
    <x v="278"/>
    <x v="236"/>
    <x v="236"/>
    <s v="CHARGES"/>
    <x v="0"/>
    <s v="3212.004"/>
    <s v="Intérêts rémun./perçu trop tôt sur acomptes C/C"/>
    <n v="174.05"/>
    <n v="0"/>
    <n v="3212"/>
  </r>
  <r>
    <x v="0"/>
    <x v="3"/>
    <x v="3"/>
    <x v="278"/>
    <x v="236"/>
    <x v="236"/>
    <s v="CHARGES"/>
    <x v="0"/>
    <s v="3221.002"/>
    <s v="Intérêts compensatoires / créances en faveur ctb."/>
    <n v="64.849999999999994"/>
    <n v="0"/>
    <n v="3221"/>
  </r>
  <r>
    <x v="0"/>
    <x v="3"/>
    <x v="3"/>
    <x v="278"/>
    <x v="236"/>
    <x v="236"/>
    <s v="CHARGES"/>
    <x v="0"/>
    <s v="3212.004"/>
    <s v="Intérêts rémun./perçu trop tôt sur acomptes C/C"/>
    <n v="0.81"/>
    <n v="0"/>
    <n v="3212"/>
  </r>
  <r>
    <x v="0"/>
    <x v="3"/>
    <x v="3"/>
    <x v="278"/>
    <x v="236"/>
    <x v="236"/>
    <s v="CHARGES"/>
    <x v="0"/>
    <s v="3221.002"/>
    <s v="Intérêts compensatoires / créances en faveur ctb."/>
    <n v="0.03"/>
    <n v="0"/>
    <n v="3221"/>
  </r>
  <r>
    <x v="0"/>
    <x v="3"/>
    <x v="3"/>
    <x v="278"/>
    <x v="236"/>
    <x v="236"/>
    <s v="CHARGES"/>
    <x v="0"/>
    <s v="3212.004"/>
    <s v="Intérêts rémun./perçu trop tôt sur acomptes C/C"/>
    <n v="3.84"/>
    <n v="0"/>
    <n v="3212"/>
  </r>
  <r>
    <x v="0"/>
    <x v="3"/>
    <x v="3"/>
    <x v="278"/>
    <x v="236"/>
    <x v="236"/>
    <s v="CHARGES"/>
    <x v="0"/>
    <s v="3221.002"/>
    <s v="Intérêts compensatoires / créances en faveur ctb."/>
    <n v="6.76"/>
    <n v="0"/>
    <n v="3221"/>
  </r>
  <r>
    <x v="0"/>
    <x v="3"/>
    <x v="3"/>
    <x v="278"/>
    <x v="236"/>
    <x v="236"/>
    <s v="CHARGES"/>
    <x v="1"/>
    <s v="3301.001"/>
    <s v="Défalcations, abandons de solde PP et IS"/>
    <n v="2.97"/>
    <n v="0"/>
    <n v="3301"/>
  </r>
  <r>
    <x v="0"/>
    <x v="3"/>
    <x v="3"/>
    <x v="278"/>
    <x v="236"/>
    <x v="236"/>
    <s v="CHARGES"/>
    <x v="1"/>
    <s v="3301.001"/>
    <s v="Défalcations, abandons de solde PP et IS"/>
    <n v="1.86"/>
    <n v="0"/>
    <n v="3301"/>
  </r>
  <r>
    <x v="0"/>
    <x v="3"/>
    <x v="3"/>
    <x v="278"/>
    <x v="236"/>
    <x v="236"/>
    <s v="CHARGES"/>
    <x v="0"/>
    <s v="3212.004"/>
    <s v="Intérêts rémun./perçu trop tôt sur acomptes C/C"/>
    <n v="0.16"/>
    <n v="0"/>
    <n v="3212"/>
  </r>
  <r>
    <x v="0"/>
    <x v="3"/>
    <x v="3"/>
    <x v="278"/>
    <x v="236"/>
    <x v="236"/>
    <s v="CHARGES"/>
    <x v="0"/>
    <s v="3221.002"/>
    <s v="Intérêts compensatoires / créances en faveur ctb."/>
    <n v="0.06"/>
    <n v="0"/>
    <n v="3221"/>
  </r>
  <r>
    <x v="0"/>
    <x v="3"/>
    <x v="3"/>
    <x v="278"/>
    <x v="236"/>
    <x v="236"/>
    <s v="CHARGES"/>
    <x v="0"/>
    <s v="3212.004"/>
    <s v="Intérêts rémun./perçu trop tôt sur acomptes C/C"/>
    <n v="1.5"/>
    <n v="0"/>
    <n v="3212"/>
  </r>
  <r>
    <x v="0"/>
    <x v="3"/>
    <x v="3"/>
    <x v="278"/>
    <x v="236"/>
    <x v="236"/>
    <s v="CHARGES"/>
    <x v="0"/>
    <s v="3221.002"/>
    <s v="Intérêts compensatoires / créances en faveur ctb."/>
    <n v="0.19"/>
    <n v="0"/>
    <n v="3221"/>
  </r>
  <r>
    <x v="0"/>
    <x v="3"/>
    <x v="3"/>
    <x v="278"/>
    <x v="236"/>
    <x v="236"/>
    <s v="CHARGES"/>
    <x v="1"/>
    <s v="3301.001"/>
    <s v="Défalcations, abandons de solde PP et IS"/>
    <n v="1.7"/>
    <n v="0"/>
    <n v="3301"/>
  </r>
  <r>
    <x v="0"/>
    <x v="3"/>
    <x v="3"/>
    <x v="278"/>
    <x v="236"/>
    <x v="236"/>
    <s v="CHARGES"/>
    <x v="1"/>
    <s v="3301.001"/>
    <s v="Défalcations, abandons de solde PP et IS"/>
    <n v="0.02"/>
    <n v="0"/>
    <n v="3301"/>
  </r>
  <r>
    <x v="0"/>
    <x v="3"/>
    <x v="3"/>
    <x v="278"/>
    <x v="236"/>
    <x v="236"/>
    <s v="CHARGES"/>
    <x v="0"/>
    <s v="3212.002"/>
    <s v="Intérêts bonifiés/trop perçu acompte C/C"/>
    <n v="0.15"/>
    <n v="0"/>
    <n v="3212"/>
  </r>
  <r>
    <x v="0"/>
    <x v="3"/>
    <x v="3"/>
    <x v="278"/>
    <x v="236"/>
    <x v="236"/>
    <s v="REVENUS"/>
    <x v="6"/>
    <s v="4211.001"/>
    <s v="Intérêts de retard sur factures"/>
    <n v="0"/>
    <n v="804.6"/>
    <n v="4211"/>
  </r>
  <r>
    <x v="0"/>
    <x v="3"/>
    <x v="3"/>
    <x v="278"/>
    <x v="236"/>
    <x v="236"/>
    <s v="REVENUS"/>
    <x v="2"/>
    <s v="4001.007"/>
    <s v="Acompte impôt sur revenu"/>
    <n v="0"/>
    <n v="-192291.75"/>
    <n v="4001"/>
  </r>
  <r>
    <x v="0"/>
    <x v="3"/>
    <x v="3"/>
    <x v="278"/>
    <x v="236"/>
    <x v="236"/>
    <s v="REVENUS"/>
    <x v="3"/>
    <s v="4002.007"/>
    <s v="Acompte impôt sur fortune"/>
    <n v="0"/>
    <n v="-23126.55"/>
    <n v="4002"/>
  </r>
  <r>
    <x v="0"/>
    <x v="3"/>
    <x v="3"/>
    <x v="278"/>
    <x v="236"/>
    <x v="236"/>
    <s v="REVENUS"/>
    <x v="2"/>
    <s v="4001.001"/>
    <s v="Impôt revenu"/>
    <n v="0"/>
    <n v="772355.9"/>
    <n v="4001"/>
  </r>
  <r>
    <x v="0"/>
    <x v="3"/>
    <x v="3"/>
    <x v="278"/>
    <x v="236"/>
    <x v="236"/>
    <s v="REVENUS"/>
    <x v="3"/>
    <s v="4002.001"/>
    <s v="Impôt ordinaire s/fortune PP"/>
    <n v="0"/>
    <n v="85252.7"/>
    <n v="4002"/>
  </r>
  <r>
    <x v="0"/>
    <x v="3"/>
    <x v="3"/>
    <x v="278"/>
    <x v="236"/>
    <x v="236"/>
    <s v="REVENUS"/>
    <x v="2"/>
    <s v="4001.007"/>
    <s v="Acompte impôt sur revenu"/>
    <n v="0"/>
    <n v="236667.86"/>
    <n v="4001"/>
  </r>
  <r>
    <x v="0"/>
    <x v="3"/>
    <x v="3"/>
    <x v="278"/>
    <x v="236"/>
    <x v="236"/>
    <s v="REVENUS"/>
    <x v="7"/>
    <s v="4184.000"/>
    <s v="Frais de poursuite"/>
    <n v="0"/>
    <n v="964.09"/>
    <n v="4184"/>
  </r>
  <r>
    <x v="0"/>
    <x v="3"/>
    <x v="3"/>
    <x v="278"/>
    <x v="236"/>
    <x v="236"/>
    <s v="REVENUS"/>
    <x v="3"/>
    <s v="4002.007"/>
    <s v="Acompte impôt sur fortune"/>
    <n v="0"/>
    <n v="45524.71"/>
    <n v="4002"/>
  </r>
  <r>
    <x v="0"/>
    <x v="3"/>
    <x v="3"/>
    <x v="278"/>
    <x v="236"/>
    <x v="236"/>
    <s v="REVENUS"/>
    <x v="6"/>
    <s v="4211.002"/>
    <s v="Intérêts de retard sur acomptes"/>
    <n v="0"/>
    <n v="4501.84"/>
    <n v="4211"/>
  </r>
  <r>
    <x v="0"/>
    <x v="3"/>
    <x v="3"/>
    <x v="278"/>
    <x v="236"/>
    <x v="236"/>
    <s v="REVENUS"/>
    <x v="6"/>
    <s v="4221.003"/>
    <s v="Intérêts compensat. / acomptes en faveur du fisc"/>
    <n v="0"/>
    <n v="109.53"/>
    <n v="4221"/>
  </r>
  <r>
    <x v="0"/>
    <x v="3"/>
    <x v="3"/>
    <x v="278"/>
    <x v="236"/>
    <x v="236"/>
    <s v="REVENUS"/>
    <x v="2"/>
    <s v="4001.001"/>
    <s v="Impôt revenu"/>
    <n v="0"/>
    <n v="645.25"/>
    <n v="4001"/>
  </r>
  <r>
    <x v="0"/>
    <x v="3"/>
    <x v="3"/>
    <x v="278"/>
    <x v="236"/>
    <x v="236"/>
    <s v="REVENUS"/>
    <x v="2"/>
    <s v="4001.007"/>
    <s v="Acompte impôt sur revenu"/>
    <n v="0"/>
    <n v="-223.35"/>
    <n v="4001"/>
  </r>
  <r>
    <x v="0"/>
    <x v="3"/>
    <x v="3"/>
    <x v="278"/>
    <x v="236"/>
    <x v="236"/>
    <s v="REVENUS"/>
    <x v="3"/>
    <s v="4002.001"/>
    <s v="Impôt ordinaire s/fortune PP"/>
    <n v="0"/>
    <n v="574.5"/>
    <n v="4002"/>
  </r>
  <r>
    <x v="0"/>
    <x v="3"/>
    <x v="3"/>
    <x v="278"/>
    <x v="236"/>
    <x v="236"/>
    <s v="REVENUS"/>
    <x v="3"/>
    <s v="4002.007"/>
    <s v="Acompte impôt sur fortune"/>
    <n v="0"/>
    <n v="-241.1"/>
    <n v="4002"/>
  </r>
  <r>
    <x v="0"/>
    <x v="3"/>
    <x v="3"/>
    <x v="278"/>
    <x v="236"/>
    <x v="236"/>
    <s v="REVENUS"/>
    <x v="2"/>
    <s v="4001.007"/>
    <s v="Acompte impôt sur revenu"/>
    <n v="0"/>
    <n v="-154.4"/>
    <n v="4001"/>
  </r>
  <r>
    <x v="0"/>
    <x v="3"/>
    <x v="3"/>
    <x v="278"/>
    <x v="236"/>
    <x v="236"/>
    <s v="REVENUS"/>
    <x v="2"/>
    <s v="4001.007"/>
    <s v="Acompte impôt sur revenu"/>
    <n v="0"/>
    <n v="922.41"/>
    <n v="4001"/>
  </r>
  <r>
    <x v="0"/>
    <x v="3"/>
    <x v="3"/>
    <x v="278"/>
    <x v="236"/>
    <x v="236"/>
    <s v="REVENUS"/>
    <x v="3"/>
    <s v="4002.007"/>
    <s v="Acompte impôt sur fortune"/>
    <n v="0"/>
    <n v="-2059.59"/>
    <n v="4002"/>
  </r>
  <r>
    <x v="0"/>
    <x v="3"/>
    <x v="3"/>
    <x v="278"/>
    <x v="236"/>
    <x v="236"/>
    <s v="REVENUS"/>
    <x v="2"/>
    <s v="4001.002"/>
    <s v="Impôt complément s/revenu PP"/>
    <n v="0"/>
    <n v="58119.9"/>
    <n v="4001"/>
  </r>
  <r>
    <x v="0"/>
    <x v="3"/>
    <x v="3"/>
    <x v="278"/>
    <x v="236"/>
    <x v="236"/>
    <s v="REVENUS"/>
    <x v="2"/>
    <s v="4001.007"/>
    <s v="Acompte impôt sur revenu"/>
    <n v="0"/>
    <n v="0"/>
    <n v="4001"/>
  </r>
  <r>
    <x v="0"/>
    <x v="3"/>
    <x v="3"/>
    <x v="278"/>
    <x v="236"/>
    <x v="236"/>
    <s v="REVENUS"/>
    <x v="3"/>
    <s v="4002.007"/>
    <s v="Acompte impôt sur fortune"/>
    <n v="0"/>
    <n v="0"/>
    <n v="4002"/>
  </r>
  <r>
    <x v="0"/>
    <x v="3"/>
    <x v="3"/>
    <x v="278"/>
    <x v="236"/>
    <x v="236"/>
    <s v="REVENUS"/>
    <x v="3"/>
    <s v="4002.007"/>
    <s v="Acompte impôt sur fortune"/>
    <n v="0"/>
    <n v="351.08"/>
    <n v="4002"/>
  </r>
  <r>
    <x v="0"/>
    <x v="3"/>
    <x v="3"/>
    <x v="278"/>
    <x v="236"/>
    <x v="236"/>
    <s v="REVENUS"/>
    <x v="3"/>
    <s v="4002.007"/>
    <s v="Acompte impôt sur fortune"/>
    <n v="0"/>
    <n v="2662.17"/>
    <n v="4002"/>
  </r>
  <r>
    <x v="0"/>
    <x v="3"/>
    <x v="3"/>
    <x v="278"/>
    <x v="236"/>
    <x v="236"/>
    <s v="REVENUS"/>
    <x v="2"/>
    <s v="4001.001"/>
    <s v="Impôt revenu"/>
    <n v="0"/>
    <n v="17106.349999999999"/>
    <n v="4001"/>
  </r>
  <r>
    <x v="0"/>
    <x v="3"/>
    <x v="3"/>
    <x v="278"/>
    <x v="236"/>
    <x v="236"/>
    <s v="REVENUS"/>
    <x v="3"/>
    <s v="4002.001"/>
    <s v="Impôt ordinaire s/fortune PP"/>
    <n v="0"/>
    <n v="12554.35"/>
    <n v="4002"/>
  </r>
  <r>
    <x v="0"/>
    <x v="3"/>
    <x v="3"/>
    <x v="278"/>
    <x v="236"/>
    <x v="236"/>
    <s v="REVENUS"/>
    <x v="6"/>
    <s v="4211.002"/>
    <s v="Intérêts de retard sur acomptes"/>
    <n v="0"/>
    <n v="699.71"/>
    <n v="4211"/>
  </r>
  <r>
    <x v="0"/>
    <x v="3"/>
    <x v="3"/>
    <x v="278"/>
    <x v="236"/>
    <x v="236"/>
    <s v="REVENUS"/>
    <x v="2"/>
    <s v="4001.007"/>
    <s v="Acompte impôt sur revenu"/>
    <n v="0"/>
    <n v="8749.4500000000007"/>
    <n v="4001"/>
  </r>
  <r>
    <x v="0"/>
    <x v="3"/>
    <x v="3"/>
    <x v="278"/>
    <x v="236"/>
    <x v="236"/>
    <s v="REVENUS"/>
    <x v="10"/>
    <s v="4041.001"/>
    <s v="Droits de mutation"/>
    <n v="0"/>
    <n v="22677.9"/>
    <n v="4041"/>
  </r>
  <r>
    <x v="0"/>
    <x v="3"/>
    <x v="3"/>
    <x v="278"/>
    <x v="236"/>
    <x v="236"/>
    <s v="REVENUS"/>
    <x v="2"/>
    <s v="4001.007"/>
    <s v="Acompte impôt sur revenu"/>
    <n v="0"/>
    <n v="1468.48"/>
    <n v="4001"/>
  </r>
  <r>
    <x v="0"/>
    <x v="3"/>
    <x v="3"/>
    <x v="278"/>
    <x v="236"/>
    <x v="236"/>
    <s v="REVENUS"/>
    <x v="6"/>
    <s v="4211.001"/>
    <s v="Intérêts de retard sur factures"/>
    <n v="0"/>
    <n v="0.01"/>
    <n v="4211"/>
  </r>
  <r>
    <x v="0"/>
    <x v="3"/>
    <x v="3"/>
    <x v="278"/>
    <x v="236"/>
    <x v="236"/>
    <s v="REVENUS"/>
    <x v="2"/>
    <s v="4001.003"/>
    <s v="Impôt s/prest. cap. PP"/>
    <n v="0"/>
    <n v="66940.649999999994"/>
    <n v="4001"/>
  </r>
  <r>
    <x v="0"/>
    <x v="3"/>
    <x v="3"/>
    <x v="278"/>
    <x v="236"/>
    <x v="236"/>
    <s v="REVENUS"/>
    <x v="6"/>
    <s v="4221.002"/>
    <s v="Intérêts compensat. sur impôts distincts"/>
    <n v="0"/>
    <n v="119.65"/>
    <n v="4221"/>
  </r>
  <r>
    <x v="0"/>
    <x v="3"/>
    <x v="3"/>
    <x v="278"/>
    <x v="236"/>
    <x v="236"/>
    <s v="REVENUS"/>
    <x v="2"/>
    <s v="4001.001"/>
    <s v="Impôt revenu"/>
    <n v="0"/>
    <n v="620.25"/>
    <n v="4001"/>
  </r>
  <r>
    <x v="0"/>
    <x v="3"/>
    <x v="3"/>
    <x v="278"/>
    <x v="236"/>
    <x v="236"/>
    <s v="REVENUS"/>
    <x v="2"/>
    <s v="4001.002"/>
    <s v="Impôt complément s/revenu PP"/>
    <n v="0"/>
    <n v="24.1"/>
    <n v="4001"/>
  </r>
  <r>
    <x v="0"/>
    <x v="3"/>
    <x v="3"/>
    <x v="278"/>
    <x v="236"/>
    <x v="236"/>
    <s v="REVENUS"/>
    <x v="3"/>
    <s v="4002.001"/>
    <s v="Impôt ordinaire s/fortune PP"/>
    <n v="0"/>
    <n v="1743"/>
    <n v="4002"/>
  </r>
  <r>
    <x v="0"/>
    <x v="3"/>
    <x v="3"/>
    <x v="278"/>
    <x v="236"/>
    <x v="236"/>
    <s v="REVENUS"/>
    <x v="6"/>
    <s v="4211.001"/>
    <s v="Intérêts de retard sur factures"/>
    <n v="0"/>
    <n v="0.37"/>
    <n v="4211"/>
  </r>
  <r>
    <x v="0"/>
    <x v="3"/>
    <x v="3"/>
    <x v="278"/>
    <x v="236"/>
    <x v="236"/>
    <s v="REVENUS"/>
    <x v="6"/>
    <s v="4211.002"/>
    <s v="Intérêts de retard sur acomptes"/>
    <n v="0"/>
    <n v="-9.15"/>
    <n v="4211"/>
  </r>
  <r>
    <x v="0"/>
    <x v="3"/>
    <x v="3"/>
    <x v="278"/>
    <x v="236"/>
    <x v="236"/>
    <s v="REVENUS"/>
    <x v="6"/>
    <s v="4221.003"/>
    <s v="Intérêts compensat. / acomptes en faveur du fisc"/>
    <n v="0"/>
    <n v="-1.32"/>
    <n v="4221"/>
  </r>
  <r>
    <x v="0"/>
    <x v="3"/>
    <x v="3"/>
    <x v="278"/>
    <x v="236"/>
    <x v="236"/>
    <s v="REVENUS"/>
    <x v="2"/>
    <s v="4001.001"/>
    <s v="Impôt revenu"/>
    <n v="0"/>
    <n v="4218.45"/>
    <n v="4001"/>
  </r>
  <r>
    <x v="0"/>
    <x v="3"/>
    <x v="3"/>
    <x v="278"/>
    <x v="236"/>
    <x v="236"/>
    <s v="REVENUS"/>
    <x v="3"/>
    <s v="4002.001"/>
    <s v="Impôt ordinaire s/fortune PP"/>
    <n v="0"/>
    <n v="1080.4000000000001"/>
    <n v="4002"/>
  </r>
  <r>
    <x v="0"/>
    <x v="3"/>
    <x v="3"/>
    <x v="278"/>
    <x v="236"/>
    <x v="236"/>
    <s v="REVENUS"/>
    <x v="6"/>
    <s v="4221.003"/>
    <s v="Intérêts compensat. / acomptes en faveur du fisc"/>
    <n v="0"/>
    <n v="1.93"/>
    <n v="4221"/>
  </r>
  <r>
    <x v="0"/>
    <x v="3"/>
    <x v="3"/>
    <x v="278"/>
    <x v="236"/>
    <x v="236"/>
    <s v="REVENUS"/>
    <x v="3"/>
    <s v="4002.007"/>
    <s v="Acompte impôt sur fortune"/>
    <n v="0"/>
    <n v="-230"/>
    <n v="4002"/>
  </r>
  <r>
    <x v="0"/>
    <x v="3"/>
    <x v="3"/>
    <x v="278"/>
    <x v="236"/>
    <x v="236"/>
    <s v="REVENUS"/>
    <x v="6"/>
    <s v="4211.002"/>
    <s v="Intérêts de retard sur acomptes"/>
    <n v="0"/>
    <n v="2.37"/>
    <n v="4211"/>
  </r>
  <r>
    <x v="0"/>
    <x v="3"/>
    <x v="3"/>
    <x v="278"/>
    <x v="236"/>
    <x v="236"/>
    <s v="REVENUS"/>
    <x v="2"/>
    <s v="4001.002"/>
    <s v="Impôt complément s/revenu PP"/>
    <n v="0"/>
    <n v="942.9"/>
    <n v="4001"/>
  </r>
  <r>
    <x v="0"/>
    <x v="3"/>
    <x v="3"/>
    <x v="278"/>
    <x v="236"/>
    <x v="236"/>
    <s v="REVENUS"/>
    <x v="9"/>
    <s v="4031.001"/>
    <s v="Impôt sur les gains immobiliers"/>
    <n v="0"/>
    <n v="10790.15"/>
    <n v="4031"/>
  </r>
  <r>
    <x v="0"/>
    <x v="3"/>
    <x v="3"/>
    <x v="278"/>
    <x v="236"/>
    <x v="236"/>
    <s v="REVENUS"/>
    <x v="3"/>
    <s v="4002.002"/>
    <s v="Impôt complémentaire s/fortune PP"/>
    <n v="0"/>
    <n v="5656.8"/>
    <n v="4002"/>
  </r>
  <r>
    <x v="0"/>
    <x v="3"/>
    <x v="3"/>
    <x v="278"/>
    <x v="236"/>
    <x v="236"/>
    <s v="REVENUS"/>
    <x v="5"/>
    <s v="4061.000"/>
    <s v="Impôt sur les chiens"/>
    <n v="0"/>
    <n v="2970"/>
    <n v="4061"/>
  </r>
  <r>
    <x v="0"/>
    <x v="3"/>
    <x v="3"/>
    <x v="278"/>
    <x v="236"/>
    <x v="236"/>
    <s v="REVENUS"/>
    <x v="3"/>
    <s v="4002.001"/>
    <s v="Impôt ordinaire s/fortune PP"/>
    <n v="0"/>
    <n v="39.1"/>
    <n v="4002"/>
  </r>
  <r>
    <x v="0"/>
    <x v="3"/>
    <x v="3"/>
    <x v="278"/>
    <x v="236"/>
    <x v="236"/>
    <s v="REVENUS"/>
    <x v="4"/>
    <s v="4051.001"/>
    <s v="Impôt sur les successions"/>
    <n v="0"/>
    <n v="15707.6"/>
    <n v="4051"/>
  </r>
  <r>
    <x v="0"/>
    <x v="3"/>
    <x v="3"/>
    <x v="278"/>
    <x v="236"/>
    <x v="236"/>
    <s v="REVENUS"/>
    <x v="2"/>
    <s v="4001.003"/>
    <s v="Impôt s/prest. cap. PP"/>
    <n v="0"/>
    <n v="-5156.7"/>
    <n v="4001"/>
  </r>
  <r>
    <x v="0"/>
    <x v="3"/>
    <x v="3"/>
    <x v="278"/>
    <x v="236"/>
    <x v="236"/>
    <s v="REVENUS"/>
    <x v="6"/>
    <s v="4221.003"/>
    <s v="Intérêts compensat. / acomptes en faveur du fisc"/>
    <n v="0"/>
    <n v="0.02"/>
    <n v="4221"/>
  </r>
  <r>
    <x v="0"/>
    <x v="3"/>
    <x v="3"/>
    <x v="278"/>
    <x v="236"/>
    <x v="236"/>
    <s v="REVENUS"/>
    <x v="3"/>
    <s v="4002.002"/>
    <s v="Impôt complémentaire s/fortune PP"/>
    <n v="0"/>
    <n v="4622.3"/>
    <n v="4002"/>
  </r>
  <r>
    <x v="0"/>
    <x v="7"/>
    <x v="6"/>
    <x v="279"/>
    <x v="232"/>
    <x v="232"/>
    <s v="CHARGES"/>
    <x v="0"/>
    <s v="3212.002"/>
    <s v="Intérêts bonifiés/trop perçu acompte C/C"/>
    <n v="27.86"/>
    <n v="0"/>
    <n v="3212"/>
  </r>
  <r>
    <x v="0"/>
    <x v="7"/>
    <x v="6"/>
    <x v="279"/>
    <x v="232"/>
    <x v="232"/>
    <s v="CHARGES"/>
    <x v="0"/>
    <s v="3212.004"/>
    <s v="Intérêts rémun./perçu trop tôt sur acomptes C/C"/>
    <n v="823.08"/>
    <n v="0"/>
    <n v="3212"/>
  </r>
  <r>
    <x v="0"/>
    <x v="7"/>
    <x v="6"/>
    <x v="279"/>
    <x v="232"/>
    <x v="232"/>
    <s v="CHARGES"/>
    <x v="0"/>
    <s v="3221.002"/>
    <s v="Intérêts compensatoires / créances en faveur ctb."/>
    <n v="256.13"/>
    <n v="0"/>
    <n v="3221"/>
  </r>
  <r>
    <x v="0"/>
    <x v="7"/>
    <x v="6"/>
    <x v="279"/>
    <x v="232"/>
    <x v="232"/>
    <s v="CHARGES"/>
    <x v="1"/>
    <s v="3301.001"/>
    <s v="Défalcations, abandons de solde PP et IS"/>
    <n v="28901.96"/>
    <n v="0"/>
    <n v="3301"/>
  </r>
  <r>
    <x v="0"/>
    <x v="7"/>
    <x v="6"/>
    <x v="279"/>
    <x v="232"/>
    <x v="232"/>
    <s v="CHARGES"/>
    <x v="0"/>
    <s v="3212.004"/>
    <s v="Intérêts rémun./perçu trop tôt sur acomptes C/C"/>
    <n v="9.69"/>
    <n v="0"/>
    <n v="3212"/>
  </r>
  <r>
    <x v="0"/>
    <x v="7"/>
    <x v="6"/>
    <x v="279"/>
    <x v="232"/>
    <x v="232"/>
    <s v="CHARGES"/>
    <x v="1"/>
    <s v="3301.003"/>
    <s v="Remises PP et IS"/>
    <n v="1384.1"/>
    <n v="0"/>
    <n v="3301"/>
  </r>
  <r>
    <x v="0"/>
    <x v="7"/>
    <x v="6"/>
    <x v="279"/>
    <x v="232"/>
    <x v="232"/>
    <s v="CHARGES"/>
    <x v="0"/>
    <s v="3212.004"/>
    <s v="Intérêts rémun./perçu trop tôt sur acomptes C/C"/>
    <n v="5.09"/>
    <n v="0"/>
    <n v="3212"/>
  </r>
  <r>
    <x v="0"/>
    <x v="7"/>
    <x v="6"/>
    <x v="279"/>
    <x v="232"/>
    <x v="232"/>
    <s v="CHARGES"/>
    <x v="0"/>
    <s v="3221.002"/>
    <s v="Intérêts compensatoires / créances en faveur ctb."/>
    <n v="3.16"/>
    <n v="0"/>
    <n v="3221"/>
  </r>
  <r>
    <x v="0"/>
    <x v="7"/>
    <x v="6"/>
    <x v="279"/>
    <x v="232"/>
    <x v="232"/>
    <s v="CHARGES"/>
    <x v="1"/>
    <s v="3301.001"/>
    <s v="Défalcations, abandons de solde PP et IS"/>
    <n v="0.54"/>
    <n v="0"/>
    <n v="3301"/>
  </r>
  <r>
    <x v="0"/>
    <x v="7"/>
    <x v="6"/>
    <x v="279"/>
    <x v="232"/>
    <x v="232"/>
    <s v="CHARGES"/>
    <x v="1"/>
    <s v="3301.001"/>
    <s v="Défalcations, abandons de solde PP et IS"/>
    <n v="2.77"/>
    <n v="0"/>
    <n v="3301"/>
  </r>
  <r>
    <x v="0"/>
    <x v="7"/>
    <x v="6"/>
    <x v="279"/>
    <x v="232"/>
    <x v="232"/>
    <s v="CHARGES"/>
    <x v="0"/>
    <s v="3221.002"/>
    <s v="Intérêts compensatoires / créances en faveur ctb."/>
    <n v="9.58"/>
    <n v="0"/>
    <n v="3221"/>
  </r>
  <r>
    <x v="0"/>
    <x v="7"/>
    <x v="6"/>
    <x v="279"/>
    <x v="232"/>
    <x v="232"/>
    <s v="CHARGES"/>
    <x v="1"/>
    <s v="3301.001"/>
    <s v="Défalcations, abandons de solde PP et IS"/>
    <n v="0.41"/>
    <n v="0"/>
    <n v="3301"/>
  </r>
  <r>
    <x v="0"/>
    <x v="7"/>
    <x v="6"/>
    <x v="279"/>
    <x v="232"/>
    <x v="232"/>
    <s v="CHARGES"/>
    <x v="1"/>
    <s v="3301.001"/>
    <s v="Défalcations, abandons de solde PP et IS"/>
    <n v="-16.34"/>
    <n v="0"/>
    <n v="3301"/>
  </r>
  <r>
    <x v="0"/>
    <x v="7"/>
    <x v="6"/>
    <x v="279"/>
    <x v="232"/>
    <x v="232"/>
    <s v="CHARGES"/>
    <x v="0"/>
    <s v="3212.002"/>
    <s v="Intérêts bonifiés/trop perçu acompte C/C"/>
    <n v="2.42"/>
    <n v="0"/>
    <n v="3212"/>
  </r>
  <r>
    <x v="0"/>
    <x v="7"/>
    <x v="6"/>
    <x v="279"/>
    <x v="232"/>
    <x v="232"/>
    <s v="CHARGES"/>
    <x v="0"/>
    <s v="3212.004"/>
    <s v="Intérêts rémun./perçu trop tôt sur acomptes C/C"/>
    <n v="-5"/>
    <n v="0"/>
    <n v="3212"/>
  </r>
  <r>
    <x v="0"/>
    <x v="7"/>
    <x v="6"/>
    <x v="279"/>
    <x v="232"/>
    <x v="232"/>
    <s v="CHARGES"/>
    <x v="0"/>
    <s v="3212.002"/>
    <s v="Intérêts bonifiés/trop perçu acompte C/C"/>
    <n v="0.16"/>
    <n v="0"/>
    <n v="3212"/>
  </r>
  <r>
    <x v="0"/>
    <x v="7"/>
    <x v="6"/>
    <x v="279"/>
    <x v="232"/>
    <x v="232"/>
    <s v="CHARGES"/>
    <x v="0"/>
    <s v="3212.004"/>
    <s v="Intérêts rémun./perçu trop tôt sur acomptes C/C"/>
    <n v="0.74"/>
    <n v="0"/>
    <n v="3212"/>
  </r>
  <r>
    <x v="0"/>
    <x v="7"/>
    <x v="6"/>
    <x v="279"/>
    <x v="232"/>
    <x v="232"/>
    <s v="CHARGES"/>
    <x v="1"/>
    <s v="3301.001"/>
    <s v="Défalcations, abandons de solde PP et IS"/>
    <n v="3704.98"/>
    <n v="0"/>
    <n v="3301"/>
  </r>
  <r>
    <x v="0"/>
    <x v="7"/>
    <x v="6"/>
    <x v="279"/>
    <x v="232"/>
    <x v="232"/>
    <s v="CHARGES"/>
    <x v="0"/>
    <s v="3212.004"/>
    <s v="Intérêts rémun./perçu trop tôt sur acomptes C/C"/>
    <n v="0.3"/>
    <n v="0"/>
    <n v="3212"/>
  </r>
  <r>
    <x v="0"/>
    <x v="7"/>
    <x v="6"/>
    <x v="279"/>
    <x v="232"/>
    <x v="232"/>
    <s v="CHARGES"/>
    <x v="0"/>
    <s v="3221.002"/>
    <s v="Intérêts compensatoires / créances en faveur ctb."/>
    <n v="0.03"/>
    <n v="0"/>
    <n v="3221"/>
  </r>
  <r>
    <x v="0"/>
    <x v="7"/>
    <x v="6"/>
    <x v="279"/>
    <x v="232"/>
    <x v="232"/>
    <s v="CHARGES"/>
    <x v="0"/>
    <s v="3221.002"/>
    <s v="Intérêts compensatoires / créances en faveur ctb."/>
    <n v="3.65"/>
    <n v="0"/>
    <n v="3221"/>
  </r>
  <r>
    <x v="0"/>
    <x v="7"/>
    <x v="6"/>
    <x v="279"/>
    <x v="232"/>
    <x v="232"/>
    <s v="CHARGES"/>
    <x v="0"/>
    <s v="3212.004"/>
    <s v="Intérêts rémun./perçu trop tôt sur acomptes C/C"/>
    <n v="2.23"/>
    <n v="0"/>
    <n v="3212"/>
  </r>
  <r>
    <x v="0"/>
    <x v="7"/>
    <x v="6"/>
    <x v="279"/>
    <x v="232"/>
    <x v="232"/>
    <s v="CHARGES"/>
    <x v="0"/>
    <s v="3221.002"/>
    <s v="Intérêts compensatoires / créances en faveur ctb."/>
    <n v="11.53"/>
    <n v="0"/>
    <n v="3221"/>
  </r>
  <r>
    <x v="0"/>
    <x v="7"/>
    <x v="6"/>
    <x v="279"/>
    <x v="232"/>
    <x v="232"/>
    <s v="CHARGES"/>
    <x v="0"/>
    <s v="3221.002"/>
    <s v="Intérêts compensatoires / créances en faveur ctb."/>
    <n v="1.24"/>
    <n v="0"/>
    <n v="3221"/>
  </r>
  <r>
    <x v="0"/>
    <x v="7"/>
    <x v="6"/>
    <x v="279"/>
    <x v="232"/>
    <x v="232"/>
    <s v="CHARGES"/>
    <x v="1"/>
    <s v="3301.001"/>
    <s v="Défalcations, abandons de solde PP et IS"/>
    <n v="0.04"/>
    <n v="0"/>
    <n v="3301"/>
  </r>
  <r>
    <x v="0"/>
    <x v="7"/>
    <x v="6"/>
    <x v="279"/>
    <x v="232"/>
    <x v="232"/>
    <s v="REVENUS"/>
    <x v="2"/>
    <s v="4001.001"/>
    <s v="Impôt revenu"/>
    <n v="0"/>
    <n v="3317935.6"/>
    <n v="4001"/>
  </r>
  <r>
    <x v="0"/>
    <x v="7"/>
    <x v="6"/>
    <x v="279"/>
    <x v="232"/>
    <x v="232"/>
    <s v="REVENUS"/>
    <x v="2"/>
    <s v="4001.002"/>
    <s v="Impôt complément s/revenu PP"/>
    <n v="0"/>
    <n v="412373.4"/>
    <n v="4001"/>
  </r>
  <r>
    <x v="0"/>
    <x v="7"/>
    <x v="6"/>
    <x v="279"/>
    <x v="232"/>
    <x v="232"/>
    <s v="REVENUS"/>
    <x v="2"/>
    <s v="4001.007"/>
    <s v="Acompte impôt sur revenu"/>
    <n v="0"/>
    <n v="5184.09"/>
    <n v="4001"/>
  </r>
  <r>
    <x v="0"/>
    <x v="7"/>
    <x v="6"/>
    <x v="279"/>
    <x v="232"/>
    <x v="232"/>
    <s v="REVENUS"/>
    <x v="3"/>
    <s v="4002.001"/>
    <s v="Impôt ordinaire s/fortune PP"/>
    <n v="0"/>
    <n v="395735.75"/>
    <n v="4002"/>
  </r>
  <r>
    <x v="0"/>
    <x v="7"/>
    <x v="6"/>
    <x v="279"/>
    <x v="232"/>
    <x v="232"/>
    <s v="REVENUS"/>
    <x v="3"/>
    <s v="4002.007"/>
    <s v="Acompte impôt sur fortune"/>
    <n v="0"/>
    <n v="60501.919999999998"/>
    <n v="4002"/>
  </r>
  <r>
    <x v="0"/>
    <x v="7"/>
    <x v="6"/>
    <x v="279"/>
    <x v="232"/>
    <x v="232"/>
    <s v="REVENUS"/>
    <x v="9"/>
    <s v="4031.001"/>
    <s v="Impôt sur les gains immobiliers"/>
    <n v="0"/>
    <n v="245082.3"/>
    <n v="4031"/>
  </r>
  <r>
    <x v="0"/>
    <x v="7"/>
    <x v="6"/>
    <x v="279"/>
    <x v="232"/>
    <x v="232"/>
    <s v="REVENUS"/>
    <x v="6"/>
    <s v="4211.001"/>
    <s v="Intérêts de retard sur factures"/>
    <n v="0"/>
    <n v="10497.58"/>
    <n v="4211"/>
  </r>
  <r>
    <x v="0"/>
    <x v="7"/>
    <x v="6"/>
    <x v="279"/>
    <x v="232"/>
    <x v="232"/>
    <s v="REVENUS"/>
    <x v="6"/>
    <s v="4211.002"/>
    <s v="Intérêts de retard sur acomptes"/>
    <n v="0"/>
    <n v="20256.490000000002"/>
    <n v="4211"/>
  </r>
  <r>
    <x v="0"/>
    <x v="7"/>
    <x v="6"/>
    <x v="279"/>
    <x v="232"/>
    <x v="232"/>
    <s v="REVENUS"/>
    <x v="6"/>
    <s v="4221.003"/>
    <s v="Intérêts compensat. / acomptes en faveur du fisc"/>
    <n v="0"/>
    <n v="348.27"/>
    <n v="4221"/>
  </r>
  <r>
    <x v="0"/>
    <x v="7"/>
    <x v="6"/>
    <x v="279"/>
    <x v="232"/>
    <x v="232"/>
    <s v="REVENUS"/>
    <x v="2"/>
    <s v="4001.007"/>
    <s v="Acompte impôt sur revenu"/>
    <n v="0"/>
    <n v="-1065.1300000000001"/>
    <n v="4001"/>
  </r>
  <r>
    <x v="0"/>
    <x v="7"/>
    <x v="6"/>
    <x v="279"/>
    <x v="232"/>
    <x v="232"/>
    <s v="REVENUS"/>
    <x v="7"/>
    <s v="4184.000"/>
    <s v="Frais de poursuite"/>
    <n v="0"/>
    <n v="3436.23"/>
    <n v="4184"/>
  </r>
  <r>
    <x v="0"/>
    <x v="7"/>
    <x v="6"/>
    <x v="279"/>
    <x v="232"/>
    <x v="232"/>
    <s v="REVENUS"/>
    <x v="2"/>
    <s v="4001.001"/>
    <s v="Impôt revenu"/>
    <n v="0"/>
    <n v="28789.25"/>
    <n v="4001"/>
  </r>
  <r>
    <x v="0"/>
    <x v="7"/>
    <x v="6"/>
    <x v="279"/>
    <x v="232"/>
    <x v="232"/>
    <s v="REVENUS"/>
    <x v="2"/>
    <s v="4001.007"/>
    <s v="Acompte impôt sur revenu"/>
    <n v="0"/>
    <n v="2871.9"/>
    <n v="4001"/>
  </r>
  <r>
    <x v="0"/>
    <x v="7"/>
    <x v="6"/>
    <x v="279"/>
    <x v="232"/>
    <x v="232"/>
    <s v="REVENUS"/>
    <x v="3"/>
    <s v="4002.001"/>
    <s v="Impôt ordinaire s/fortune PP"/>
    <n v="0"/>
    <n v="9710.4500000000007"/>
    <n v="4002"/>
  </r>
  <r>
    <x v="0"/>
    <x v="7"/>
    <x v="6"/>
    <x v="279"/>
    <x v="232"/>
    <x v="232"/>
    <s v="REVENUS"/>
    <x v="3"/>
    <s v="4002.007"/>
    <s v="Acompte impôt sur fortune"/>
    <n v="0"/>
    <n v="5489.65"/>
    <n v="4002"/>
  </r>
  <r>
    <x v="0"/>
    <x v="7"/>
    <x v="6"/>
    <x v="279"/>
    <x v="232"/>
    <x v="232"/>
    <s v="REVENUS"/>
    <x v="6"/>
    <s v="4221.003"/>
    <s v="Intérêts compensat. / acomptes en faveur du fisc"/>
    <n v="0"/>
    <n v="13.37"/>
    <n v="4221"/>
  </r>
  <r>
    <x v="0"/>
    <x v="7"/>
    <x v="6"/>
    <x v="279"/>
    <x v="232"/>
    <x v="232"/>
    <s v="REVENUS"/>
    <x v="3"/>
    <s v="4002.002"/>
    <s v="Impôt complémentaire s/fortune PP"/>
    <n v="0"/>
    <n v="35027"/>
    <n v="4002"/>
  </r>
  <r>
    <x v="0"/>
    <x v="7"/>
    <x v="6"/>
    <x v="279"/>
    <x v="232"/>
    <x v="232"/>
    <s v="REVENUS"/>
    <x v="3"/>
    <s v="4002.007"/>
    <s v="Acompte impôt sur fortune"/>
    <n v="0"/>
    <n v="-1980.05"/>
    <n v="4002"/>
  </r>
  <r>
    <x v="0"/>
    <x v="7"/>
    <x v="6"/>
    <x v="279"/>
    <x v="232"/>
    <x v="232"/>
    <s v="REVENUS"/>
    <x v="6"/>
    <s v="4221.002"/>
    <s v="Intérêts compensat. sur impôts distincts"/>
    <n v="0"/>
    <n v="33.950000000000003"/>
    <n v="4221"/>
  </r>
  <r>
    <x v="0"/>
    <x v="7"/>
    <x v="6"/>
    <x v="279"/>
    <x v="232"/>
    <x v="232"/>
    <s v="REVENUS"/>
    <x v="2"/>
    <s v="4001.001"/>
    <s v="Impôt revenu"/>
    <n v="0"/>
    <n v="344.35"/>
    <n v="4001"/>
  </r>
  <r>
    <x v="0"/>
    <x v="7"/>
    <x v="6"/>
    <x v="279"/>
    <x v="232"/>
    <x v="232"/>
    <s v="REVENUS"/>
    <x v="3"/>
    <s v="4002.001"/>
    <s v="Impôt ordinaire s/fortune PP"/>
    <n v="0"/>
    <n v="3237.7"/>
    <n v="4002"/>
  </r>
  <r>
    <x v="0"/>
    <x v="7"/>
    <x v="6"/>
    <x v="279"/>
    <x v="232"/>
    <x v="232"/>
    <s v="REVENUS"/>
    <x v="2"/>
    <s v="4001.003"/>
    <s v="Impôt s/prest. cap. PP"/>
    <n v="0"/>
    <n v="76094.7"/>
    <n v="4001"/>
  </r>
  <r>
    <x v="0"/>
    <x v="7"/>
    <x v="6"/>
    <x v="279"/>
    <x v="232"/>
    <x v="232"/>
    <s v="REVENUS"/>
    <x v="10"/>
    <s v="4041.001"/>
    <s v="Droits de mutation"/>
    <n v="0"/>
    <n v="264065.5"/>
    <n v="4041"/>
  </r>
  <r>
    <x v="0"/>
    <x v="7"/>
    <x v="6"/>
    <x v="279"/>
    <x v="232"/>
    <x v="232"/>
    <s v="REVENUS"/>
    <x v="2"/>
    <s v="4001.007"/>
    <s v="Acompte impôt sur revenu"/>
    <n v="0"/>
    <n v="-2890.71"/>
    <n v="4001"/>
  </r>
  <r>
    <x v="0"/>
    <x v="7"/>
    <x v="6"/>
    <x v="279"/>
    <x v="232"/>
    <x v="232"/>
    <s v="REVENUS"/>
    <x v="2"/>
    <s v="4001.007"/>
    <s v="Acompte impôt sur revenu"/>
    <n v="0"/>
    <n v="2349.7399999999998"/>
    <n v="4001"/>
  </r>
  <r>
    <x v="0"/>
    <x v="7"/>
    <x v="6"/>
    <x v="279"/>
    <x v="232"/>
    <x v="232"/>
    <s v="REVENUS"/>
    <x v="6"/>
    <s v="4211.001"/>
    <s v="Intérêts de retard sur factures"/>
    <n v="0"/>
    <n v="68.540000000000006"/>
    <n v="4211"/>
  </r>
  <r>
    <x v="0"/>
    <x v="7"/>
    <x v="6"/>
    <x v="279"/>
    <x v="232"/>
    <x v="232"/>
    <s v="REVENUS"/>
    <x v="6"/>
    <s v="4211.002"/>
    <s v="Intérêts de retard sur acomptes"/>
    <n v="0"/>
    <n v="33.89"/>
    <n v="4211"/>
  </r>
  <r>
    <x v="0"/>
    <x v="7"/>
    <x v="6"/>
    <x v="279"/>
    <x v="232"/>
    <x v="232"/>
    <s v="REVENUS"/>
    <x v="3"/>
    <s v="4002.001"/>
    <s v="Impôt ordinaire s/fortune PP"/>
    <n v="0"/>
    <n v="1188.3499999999999"/>
    <n v="4002"/>
  </r>
  <r>
    <x v="0"/>
    <x v="7"/>
    <x v="6"/>
    <x v="279"/>
    <x v="232"/>
    <x v="232"/>
    <s v="REVENUS"/>
    <x v="3"/>
    <s v="4002.007"/>
    <s v="Acompte impôt sur fortune"/>
    <n v="0"/>
    <n v="619.9"/>
    <n v="4002"/>
  </r>
  <r>
    <x v="0"/>
    <x v="7"/>
    <x v="6"/>
    <x v="279"/>
    <x v="232"/>
    <x v="232"/>
    <s v="REVENUS"/>
    <x v="6"/>
    <s v="4221.003"/>
    <s v="Intérêts compensat. / acomptes en faveur du fisc"/>
    <n v="0"/>
    <n v="0.54"/>
    <n v="4221"/>
  </r>
  <r>
    <x v="0"/>
    <x v="7"/>
    <x v="6"/>
    <x v="279"/>
    <x v="232"/>
    <x v="232"/>
    <s v="REVENUS"/>
    <x v="2"/>
    <s v="4001.007"/>
    <s v="Acompte impôt sur revenu"/>
    <n v="0"/>
    <n v="355.85"/>
    <n v="4001"/>
  </r>
  <r>
    <x v="0"/>
    <x v="7"/>
    <x v="6"/>
    <x v="279"/>
    <x v="232"/>
    <x v="232"/>
    <s v="REVENUS"/>
    <x v="3"/>
    <s v="4002.007"/>
    <s v="Acompte impôt sur fortune"/>
    <n v="0"/>
    <n v="867.85"/>
    <n v="4002"/>
  </r>
  <r>
    <x v="0"/>
    <x v="7"/>
    <x v="6"/>
    <x v="279"/>
    <x v="232"/>
    <x v="232"/>
    <s v="REVENUS"/>
    <x v="6"/>
    <s v="4221.003"/>
    <s v="Intérêts compensat. / acomptes en faveur du fisc"/>
    <n v="0"/>
    <n v="-0.28000000000000003"/>
    <n v="4221"/>
  </r>
  <r>
    <x v="0"/>
    <x v="7"/>
    <x v="6"/>
    <x v="279"/>
    <x v="232"/>
    <x v="232"/>
    <s v="REVENUS"/>
    <x v="3"/>
    <s v="4002.007"/>
    <s v="Acompte impôt sur fortune"/>
    <n v="0"/>
    <n v="1111.01"/>
    <n v="4002"/>
  </r>
  <r>
    <x v="0"/>
    <x v="7"/>
    <x v="6"/>
    <x v="279"/>
    <x v="232"/>
    <x v="232"/>
    <s v="REVENUS"/>
    <x v="2"/>
    <s v="4001.007"/>
    <s v="Acompte impôt sur revenu"/>
    <n v="0"/>
    <n v="-157.75"/>
    <n v="4001"/>
  </r>
  <r>
    <x v="0"/>
    <x v="7"/>
    <x v="6"/>
    <x v="279"/>
    <x v="232"/>
    <x v="232"/>
    <s v="REVENUS"/>
    <x v="2"/>
    <s v="4001.001"/>
    <s v="Impôt revenu"/>
    <n v="0"/>
    <n v="-57952.2"/>
    <n v="4001"/>
  </r>
  <r>
    <x v="0"/>
    <x v="7"/>
    <x v="6"/>
    <x v="279"/>
    <x v="232"/>
    <x v="232"/>
    <s v="REVENUS"/>
    <x v="6"/>
    <s v="4221.003"/>
    <s v="Intérêts compensat. / acomptes en faveur du fisc"/>
    <n v="0"/>
    <n v="-18.760000000000002"/>
    <n v="4221"/>
  </r>
  <r>
    <x v="0"/>
    <x v="7"/>
    <x v="6"/>
    <x v="279"/>
    <x v="232"/>
    <x v="232"/>
    <s v="REVENUS"/>
    <x v="2"/>
    <s v="4001.007"/>
    <s v="Acompte impôt sur revenu"/>
    <n v="0"/>
    <n v="-643.54999999999995"/>
    <n v="4001"/>
  </r>
  <r>
    <x v="0"/>
    <x v="7"/>
    <x v="6"/>
    <x v="279"/>
    <x v="232"/>
    <x v="232"/>
    <s v="REVENUS"/>
    <x v="3"/>
    <s v="4002.007"/>
    <s v="Acompte impôt sur fortune"/>
    <n v="0"/>
    <n v="-28.6"/>
    <n v="4002"/>
  </r>
  <r>
    <x v="0"/>
    <x v="7"/>
    <x v="6"/>
    <x v="279"/>
    <x v="232"/>
    <x v="232"/>
    <s v="REVENUS"/>
    <x v="6"/>
    <s v="4211.002"/>
    <s v="Intérêts de retard sur acomptes"/>
    <n v="0"/>
    <n v="9.76"/>
    <n v="4211"/>
  </r>
  <r>
    <x v="0"/>
    <x v="7"/>
    <x v="6"/>
    <x v="279"/>
    <x v="232"/>
    <x v="232"/>
    <s v="REVENUS"/>
    <x v="6"/>
    <s v="4211.001"/>
    <s v="Intérêts de retard sur factures"/>
    <n v="0"/>
    <n v="-229.22"/>
    <n v="4211"/>
  </r>
  <r>
    <x v="0"/>
    <x v="7"/>
    <x v="6"/>
    <x v="279"/>
    <x v="232"/>
    <x v="232"/>
    <s v="REVENUS"/>
    <x v="6"/>
    <s v="4211.002"/>
    <s v="Intérêts de retard sur acomptes"/>
    <n v="0"/>
    <n v="-330.06"/>
    <n v="4211"/>
  </r>
  <r>
    <x v="0"/>
    <x v="7"/>
    <x v="6"/>
    <x v="279"/>
    <x v="232"/>
    <x v="232"/>
    <s v="REVENUS"/>
    <x v="2"/>
    <s v="4001.002"/>
    <s v="Impôt complément s/revenu PP"/>
    <n v="0"/>
    <n v="1404.3"/>
    <n v="4001"/>
  </r>
  <r>
    <x v="0"/>
    <x v="7"/>
    <x v="6"/>
    <x v="279"/>
    <x v="232"/>
    <x v="232"/>
    <s v="REVENUS"/>
    <x v="3"/>
    <s v="4002.002"/>
    <s v="Impôt complémentaire s/fortune PP"/>
    <n v="0"/>
    <n v="926"/>
    <n v="4002"/>
  </r>
  <r>
    <x v="0"/>
    <x v="7"/>
    <x v="6"/>
    <x v="279"/>
    <x v="232"/>
    <x v="232"/>
    <s v="REVENUS"/>
    <x v="4"/>
    <s v="4051.001"/>
    <s v="Impôt sur les successions"/>
    <n v="0"/>
    <n v="34454.800000000003"/>
    <n v="4051"/>
  </r>
  <r>
    <x v="0"/>
    <x v="7"/>
    <x v="6"/>
    <x v="279"/>
    <x v="232"/>
    <x v="232"/>
    <s v="REVENUS"/>
    <x v="2"/>
    <s v="4001.001"/>
    <s v="Impôt revenu"/>
    <n v="0"/>
    <n v="6273.3"/>
    <n v="4001"/>
  </r>
  <r>
    <x v="0"/>
    <x v="7"/>
    <x v="6"/>
    <x v="279"/>
    <x v="232"/>
    <x v="232"/>
    <s v="REVENUS"/>
    <x v="2"/>
    <s v="4001.001"/>
    <s v="Impôt revenu"/>
    <n v="0"/>
    <n v="821.3"/>
    <n v="4001"/>
  </r>
  <r>
    <x v="0"/>
    <x v="7"/>
    <x v="6"/>
    <x v="279"/>
    <x v="232"/>
    <x v="232"/>
    <s v="REVENUS"/>
    <x v="6"/>
    <s v="4211.002"/>
    <s v="Intérêts de retard sur acomptes"/>
    <n v="0"/>
    <n v="0.01"/>
    <n v="4211"/>
  </r>
  <r>
    <x v="0"/>
    <x v="7"/>
    <x v="6"/>
    <x v="279"/>
    <x v="232"/>
    <x v="232"/>
    <s v="REVENUS"/>
    <x v="3"/>
    <s v="4002.001"/>
    <s v="Impôt ordinaire s/fortune PP"/>
    <n v="0"/>
    <n v="-1560.25"/>
    <n v="4002"/>
  </r>
  <r>
    <x v="0"/>
    <x v="7"/>
    <x v="6"/>
    <x v="279"/>
    <x v="232"/>
    <x v="232"/>
    <s v="REVENUS"/>
    <x v="2"/>
    <s v="4001.001"/>
    <s v="Impôt revenu"/>
    <n v="0"/>
    <n v="-6831.55"/>
    <n v="4001"/>
  </r>
  <r>
    <x v="0"/>
    <x v="7"/>
    <x v="6"/>
    <x v="279"/>
    <x v="232"/>
    <x v="232"/>
    <s v="REVENUS"/>
    <x v="2"/>
    <s v="4001.002"/>
    <s v="Impôt complément s/revenu PP"/>
    <n v="0"/>
    <n v="-8271.2000000000007"/>
    <n v="4001"/>
  </r>
  <r>
    <x v="0"/>
    <x v="7"/>
    <x v="6"/>
    <x v="279"/>
    <x v="232"/>
    <x v="232"/>
    <s v="REVENUS"/>
    <x v="3"/>
    <s v="4002.001"/>
    <s v="Impôt ordinaire s/fortune PP"/>
    <n v="0"/>
    <n v="-86.3"/>
    <n v="4002"/>
  </r>
  <r>
    <x v="0"/>
    <x v="7"/>
    <x v="6"/>
    <x v="279"/>
    <x v="232"/>
    <x v="232"/>
    <s v="REVENUS"/>
    <x v="3"/>
    <s v="4002.002"/>
    <s v="Impôt complémentaire s/fortune PP"/>
    <n v="0"/>
    <n v="-161.35"/>
    <n v="4002"/>
  </r>
  <r>
    <x v="0"/>
    <x v="7"/>
    <x v="6"/>
    <x v="279"/>
    <x v="232"/>
    <x v="232"/>
    <s v="REVENUS"/>
    <x v="6"/>
    <s v="4211.001"/>
    <s v="Intérêts de retard sur factures"/>
    <n v="0"/>
    <n v="0.81"/>
    <n v="4211"/>
  </r>
  <r>
    <x v="0"/>
    <x v="7"/>
    <x v="6"/>
    <x v="279"/>
    <x v="232"/>
    <x v="232"/>
    <s v="REVENUS"/>
    <x v="7"/>
    <s v="4184.000"/>
    <s v="Frais de poursuite"/>
    <n v="0"/>
    <n v="141.69999999999999"/>
    <n v="4184"/>
  </r>
  <r>
    <x v="0"/>
    <x v="7"/>
    <x v="6"/>
    <x v="279"/>
    <x v="232"/>
    <x v="232"/>
    <s v="REVENUS"/>
    <x v="2"/>
    <s v="4001.001"/>
    <s v="Impôt revenu"/>
    <n v="0"/>
    <n v="416.4"/>
    <n v="4001"/>
  </r>
  <r>
    <x v="0"/>
    <x v="7"/>
    <x v="6"/>
    <x v="279"/>
    <x v="232"/>
    <x v="232"/>
    <s v="REVENUS"/>
    <x v="3"/>
    <s v="4002.001"/>
    <s v="Impôt ordinaire s/fortune PP"/>
    <n v="0"/>
    <n v="865.35"/>
    <n v="4002"/>
  </r>
  <r>
    <x v="0"/>
    <x v="7"/>
    <x v="6"/>
    <x v="279"/>
    <x v="232"/>
    <x v="232"/>
    <s v="REVENUS"/>
    <x v="6"/>
    <s v="4211.002"/>
    <s v="Intérêts de retard sur acomptes"/>
    <n v="0"/>
    <n v="23.04"/>
    <n v="4211"/>
  </r>
  <r>
    <x v="0"/>
    <x v="7"/>
    <x v="6"/>
    <x v="279"/>
    <x v="232"/>
    <x v="232"/>
    <s v="REVENUS"/>
    <x v="6"/>
    <s v="4221.003"/>
    <s v="Intérêts compensat. / acomptes en faveur du fisc"/>
    <n v="0"/>
    <n v="1.29"/>
    <n v="4221"/>
  </r>
  <r>
    <x v="0"/>
    <x v="7"/>
    <x v="6"/>
    <x v="279"/>
    <x v="232"/>
    <x v="232"/>
    <s v="REVENUS"/>
    <x v="9"/>
    <s v="4031.002"/>
    <s v="Complément impôt sur les gains immobiliers"/>
    <n v="0"/>
    <n v="5028.75"/>
    <n v="4031"/>
  </r>
  <r>
    <x v="0"/>
    <x v="7"/>
    <x v="6"/>
    <x v="279"/>
    <x v="232"/>
    <x v="232"/>
    <s v="REVENUS"/>
    <x v="8"/>
    <s v="4091.001"/>
    <s v="Impôt récupéré après défalcations"/>
    <n v="0"/>
    <n v="983.58"/>
    <n v="4091"/>
  </r>
  <r>
    <x v="0"/>
    <x v="7"/>
    <x v="6"/>
    <x v="279"/>
    <x v="232"/>
    <x v="232"/>
    <s v="REVENUS"/>
    <x v="2"/>
    <s v="4001.003"/>
    <s v="Impôt s/prest. cap. PP"/>
    <n v="0"/>
    <n v="12426.05"/>
    <n v="4001"/>
  </r>
  <r>
    <x v="0"/>
    <x v="7"/>
    <x v="6"/>
    <x v="279"/>
    <x v="232"/>
    <x v="232"/>
    <s v="REVENUS"/>
    <x v="8"/>
    <s v="4091.001"/>
    <s v="Impôt récupéré après défalcations"/>
    <n v="0"/>
    <n v="10828.73"/>
    <n v="4091"/>
  </r>
  <r>
    <x v="0"/>
    <x v="7"/>
    <x v="6"/>
    <x v="279"/>
    <x v="232"/>
    <x v="232"/>
    <s v="REVENUS"/>
    <x v="5"/>
    <s v="4061.000"/>
    <s v="Impôt sur les chiens"/>
    <n v="0"/>
    <n v="9600"/>
    <n v="4061"/>
  </r>
  <r>
    <x v="0"/>
    <x v="7"/>
    <x v="6"/>
    <x v="279"/>
    <x v="232"/>
    <x v="232"/>
    <s v="REVENUS"/>
    <x v="2"/>
    <s v="4001.002"/>
    <s v="Impôt complément s/revenu PP"/>
    <n v="0"/>
    <n v="6086.15"/>
    <n v="4001"/>
  </r>
  <r>
    <x v="0"/>
    <x v="7"/>
    <x v="6"/>
    <x v="279"/>
    <x v="232"/>
    <x v="232"/>
    <s v="REVENUS"/>
    <x v="3"/>
    <s v="4002.002"/>
    <s v="Impôt complémentaire s/fortune PP"/>
    <n v="0"/>
    <n v="1489.95"/>
    <n v="4002"/>
  </r>
  <r>
    <x v="0"/>
    <x v="7"/>
    <x v="6"/>
    <x v="279"/>
    <x v="232"/>
    <x v="232"/>
    <s v="REVENUS"/>
    <x v="6"/>
    <s v="4211.001"/>
    <s v="Intérêts de retard sur factures"/>
    <n v="0"/>
    <n v="3.99"/>
    <n v="4211"/>
  </r>
  <r>
    <x v="0"/>
    <x v="7"/>
    <x v="6"/>
    <x v="279"/>
    <x v="232"/>
    <x v="232"/>
    <s v="REVENUS"/>
    <x v="6"/>
    <s v="4211.002"/>
    <s v="Intérêts de retard sur acomptes"/>
    <n v="0"/>
    <n v="3.72"/>
    <n v="4211"/>
  </r>
  <r>
    <x v="0"/>
    <x v="7"/>
    <x v="6"/>
    <x v="279"/>
    <x v="232"/>
    <x v="232"/>
    <s v="REVENUS"/>
    <x v="2"/>
    <s v="4001.002"/>
    <s v="Impôt complément s/revenu PP"/>
    <n v="0"/>
    <n v="-3409.5"/>
    <n v="4001"/>
  </r>
  <r>
    <x v="0"/>
    <x v="7"/>
    <x v="6"/>
    <x v="279"/>
    <x v="232"/>
    <x v="232"/>
    <s v="REVENUS"/>
    <x v="3"/>
    <s v="4002.001"/>
    <s v="Impôt ordinaire s/fortune PP"/>
    <n v="0"/>
    <n v="212.95"/>
    <n v="4002"/>
  </r>
  <r>
    <x v="0"/>
    <x v="7"/>
    <x v="6"/>
    <x v="279"/>
    <x v="232"/>
    <x v="232"/>
    <s v="REVENUS"/>
    <x v="6"/>
    <s v="4221.003"/>
    <s v="Intérêts compensat. / acomptes en faveur du fisc"/>
    <n v="0"/>
    <n v="0.04"/>
    <n v="4221"/>
  </r>
  <r>
    <x v="0"/>
    <x v="7"/>
    <x v="6"/>
    <x v="279"/>
    <x v="232"/>
    <x v="232"/>
    <s v="REVENUS"/>
    <x v="4"/>
    <s v="4051.002"/>
    <s v="Impôt sur les donations"/>
    <n v="0"/>
    <n v="5437.9"/>
    <n v="4051"/>
  </r>
  <r>
    <x v="0"/>
    <x v="7"/>
    <x v="6"/>
    <x v="279"/>
    <x v="232"/>
    <x v="232"/>
    <s v="REVENUS"/>
    <x v="2"/>
    <s v="4001.003"/>
    <s v="Impôt s/prest. cap. PP"/>
    <n v="0"/>
    <n v="-1062.9000000000001"/>
    <n v="4001"/>
  </r>
  <r>
    <x v="0"/>
    <x v="7"/>
    <x v="6"/>
    <x v="280"/>
    <x v="230"/>
    <x v="230"/>
    <s v="CHARGES"/>
    <x v="0"/>
    <s v="3212.004"/>
    <s v="Intérêts rémun./perçu trop tôt sur acomptes C/C"/>
    <n v="-2.75"/>
    <n v="0"/>
    <n v="3212"/>
  </r>
  <r>
    <x v="0"/>
    <x v="7"/>
    <x v="6"/>
    <x v="280"/>
    <x v="230"/>
    <x v="230"/>
    <s v="CHARGES"/>
    <x v="0"/>
    <s v="3221.002"/>
    <s v="Intérêts compensatoires / créances en faveur ctb."/>
    <n v="0.02"/>
    <n v="0"/>
    <n v="3221"/>
  </r>
  <r>
    <x v="0"/>
    <x v="7"/>
    <x v="6"/>
    <x v="280"/>
    <x v="230"/>
    <x v="230"/>
    <s v="CHARGES"/>
    <x v="1"/>
    <s v="3301.001"/>
    <s v="Défalcations, abandons de solde PP et IS"/>
    <n v="-1.08"/>
    <n v="0"/>
    <n v="3301"/>
  </r>
  <r>
    <x v="0"/>
    <x v="7"/>
    <x v="6"/>
    <x v="280"/>
    <x v="230"/>
    <x v="230"/>
    <s v="CHARGES"/>
    <x v="0"/>
    <s v="3212.004"/>
    <s v="Intérêts rémun./perçu trop tôt sur acomptes C/C"/>
    <n v="2.64"/>
    <n v="0"/>
    <n v="3212"/>
  </r>
  <r>
    <x v="0"/>
    <x v="7"/>
    <x v="6"/>
    <x v="280"/>
    <x v="230"/>
    <x v="230"/>
    <s v="CHARGES"/>
    <x v="0"/>
    <s v="3221.002"/>
    <s v="Intérêts compensatoires / créances en faveur ctb."/>
    <n v="-0.27"/>
    <n v="0"/>
    <n v="3221"/>
  </r>
  <r>
    <x v="0"/>
    <x v="7"/>
    <x v="6"/>
    <x v="280"/>
    <x v="230"/>
    <x v="230"/>
    <s v="REVENUS"/>
    <x v="2"/>
    <s v="4001.001"/>
    <s v="Impôt revenu"/>
    <n v="0"/>
    <n v="-11682.2"/>
    <n v="4001"/>
  </r>
  <r>
    <x v="0"/>
    <x v="7"/>
    <x v="6"/>
    <x v="280"/>
    <x v="230"/>
    <x v="230"/>
    <s v="REVENUS"/>
    <x v="2"/>
    <s v="4001.002"/>
    <s v="Impôt complément s/revenu PP"/>
    <n v="0"/>
    <n v="-4553"/>
    <n v="4001"/>
  </r>
  <r>
    <x v="0"/>
    <x v="7"/>
    <x v="6"/>
    <x v="280"/>
    <x v="230"/>
    <x v="230"/>
    <s v="REVENUS"/>
    <x v="3"/>
    <s v="4002.001"/>
    <s v="Impôt ordinaire s/fortune PP"/>
    <n v="0"/>
    <n v="-724.45"/>
    <n v="4002"/>
  </r>
  <r>
    <x v="0"/>
    <x v="7"/>
    <x v="6"/>
    <x v="280"/>
    <x v="230"/>
    <x v="230"/>
    <s v="REVENUS"/>
    <x v="3"/>
    <s v="4002.002"/>
    <s v="Impôt complémentaire s/fortune PP"/>
    <n v="0"/>
    <n v="-231.9"/>
    <n v="4002"/>
  </r>
  <r>
    <x v="0"/>
    <x v="7"/>
    <x v="6"/>
    <x v="280"/>
    <x v="230"/>
    <x v="230"/>
    <s v="REVENUS"/>
    <x v="6"/>
    <s v="4211.001"/>
    <s v="Intérêts de retard sur factures"/>
    <n v="0"/>
    <n v="-104.74"/>
    <n v="4211"/>
  </r>
  <r>
    <x v="0"/>
    <x v="7"/>
    <x v="6"/>
    <x v="280"/>
    <x v="230"/>
    <x v="230"/>
    <s v="REVENUS"/>
    <x v="6"/>
    <s v="4211.002"/>
    <s v="Intérêts de retard sur acomptes"/>
    <n v="0"/>
    <n v="-277.68"/>
    <n v="4211"/>
  </r>
  <r>
    <x v="0"/>
    <x v="7"/>
    <x v="6"/>
    <x v="280"/>
    <x v="230"/>
    <x v="230"/>
    <s v="REVENUS"/>
    <x v="2"/>
    <s v="4001.002"/>
    <s v="Impôt complément s/revenu PP"/>
    <n v="0"/>
    <n v="16800.75"/>
    <n v="4001"/>
  </r>
  <r>
    <x v="0"/>
    <x v="7"/>
    <x v="6"/>
    <x v="280"/>
    <x v="230"/>
    <x v="230"/>
    <s v="REVENUS"/>
    <x v="3"/>
    <s v="4002.002"/>
    <s v="Impôt complémentaire s/fortune PP"/>
    <n v="0"/>
    <n v="1437.9"/>
    <n v="4002"/>
  </r>
  <r>
    <x v="0"/>
    <x v="7"/>
    <x v="6"/>
    <x v="280"/>
    <x v="230"/>
    <x v="230"/>
    <s v="REVENUS"/>
    <x v="6"/>
    <s v="4211.001"/>
    <s v="Intérêts de retard sur factures"/>
    <n v="0"/>
    <n v="324.89999999999998"/>
    <n v="4211"/>
  </r>
  <r>
    <x v="0"/>
    <x v="7"/>
    <x v="6"/>
    <x v="280"/>
    <x v="230"/>
    <x v="230"/>
    <s v="REVENUS"/>
    <x v="6"/>
    <s v="4211.002"/>
    <s v="Intérêts de retard sur acomptes"/>
    <n v="0"/>
    <n v="310.92"/>
    <n v="4211"/>
  </r>
  <r>
    <x v="0"/>
    <x v="7"/>
    <x v="6"/>
    <x v="281"/>
    <x v="230"/>
    <x v="230"/>
    <s v="CHARGES"/>
    <x v="1"/>
    <s v="3301.001"/>
    <s v="Défalcations, abandons de solde PP et IS"/>
    <n v="-9.5"/>
    <n v="0"/>
    <n v="3301"/>
  </r>
  <r>
    <x v="0"/>
    <x v="7"/>
    <x v="6"/>
    <x v="281"/>
    <x v="230"/>
    <x v="230"/>
    <s v="CHARGES"/>
    <x v="0"/>
    <s v="3221.002"/>
    <s v="Intérêts compensatoires / créances en faveur ctb."/>
    <n v="-0.08"/>
    <n v="0"/>
    <n v="3221"/>
  </r>
  <r>
    <x v="0"/>
    <x v="7"/>
    <x v="6"/>
    <x v="281"/>
    <x v="230"/>
    <x v="230"/>
    <s v="CHARGES"/>
    <x v="1"/>
    <s v="3301.001"/>
    <s v="Défalcations, abandons de solde PP et IS"/>
    <n v="7.79"/>
    <n v="0"/>
    <n v="3301"/>
  </r>
  <r>
    <x v="0"/>
    <x v="7"/>
    <x v="6"/>
    <x v="281"/>
    <x v="230"/>
    <x v="230"/>
    <s v="REVENUS"/>
    <x v="2"/>
    <s v="4001.001"/>
    <s v="Impôt revenu"/>
    <n v="0"/>
    <n v="-5899.15"/>
    <n v="4001"/>
  </r>
  <r>
    <x v="0"/>
    <x v="7"/>
    <x v="6"/>
    <x v="281"/>
    <x v="230"/>
    <x v="230"/>
    <s v="REVENUS"/>
    <x v="3"/>
    <s v="4002.001"/>
    <s v="Impôt ordinaire s/fortune PP"/>
    <n v="0"/>
    <n v="-469.5"/>
    <n v="4002"/>
  </r>
  <r>
    <x v="0"/>
    <x v="7"/>
    <x v="6"/>
    <x v="281"/>
    <x v="230"/>
    <x v="230"/>
    <s v="REVENUS"/>
    <x v="6"/>
    <s v="4211.001"/>
    <s v="Intérêts de retard sur factures"/>
    <n v="0"/>
    <n v="-8.2100000000000009"/>
    <n v="4211"/>
  </r>
  <r>
    <x v="0"/>
    <x v="7"/>
    <x v="6"/>
    <x v="281"/>
    <x v="230"/>
    <x v="230"/>
    <s v="REVENUS"/>
    <x v="6"/>
    <s v="4211.002"/>
    <s v="Intérêts de retard sur acomptes"/>
    <n v="0"/>
    <n v="-22.09"/>
    <n v="4211"/>
  </r>
  <r>
    <x v="0"/>
    <x v="7"/>
    <x v="6"/>
    <x v="281"/>
    <x v="230"/>
    <x v="230"/>
    <s v="REVENUS"/>
    <x v="6"/>
    <s v="4221.003"/>
    <s v="Intérêts compensat. / acomptes en faveur du fisc"/>
    <n v="0"/>
    <n v="-42.85"/>
    <n v="4221"/>
  </r>
  <r>
    <x v="0"/>
    <x v="7"/>
    <x v="6"/>
    <x v="281"/>
    <x v="230"/>
    <x v="230"/>
    <s v="REVENUS"/>
    <x v="2"/>
    <s v="4001.002"/>
    <s v="Impôt complément s/revenu PP"/>
    <n v="0"/>
    <n v="6449.25"/>
    <n v="4001"/>
  </r>
  <r>
    <x v="0"/>
    <x v="7"/>
    <x v="6"/>
    <x v="281"/>
    <x v="230"/>
    <x v="230"/>
    <s v="REVENUS"/>
    <x v="3"/>
    <s v="4002.002"/>
    <s v="Impôt complémentaire s/fortune PP"/>
    <n v="0"/>
    <n v="809.75"/>
    <n v="4002"/>
  </r>
  <r>
    <x v="0"/>
    <x v="7"/>
    <x v="6"/>
    <x v="281"/>
    <x v="230"/>
    <x v="230"/>
    <s v="REVENUS"/>
    <x v="6"/>
    <s v="4211.001"/>
    <s v="Intérêts de retard sur factures"/>
    <n v="0"/>
    <n v="232.83"/>
    <n v="4211"/>
  </r>
  <r>
    <x v="0"/>
    <x v="7"/>
    <x v="6"/>
    <x v="281"/>
    <x v="230"/>
    <x v="230"/>
    <s v="REVENUS"/>
    <x v="6"/>
    <s v="4211.002"/>
    <s v="Intérêts de retard sur acomptes"/>
    <n v="0"/>
    <n v="36.71"/>
    <n v="4211"/>
  </r>
  <r>
    <x v="0"/>
    <x v="7"/>
    <x v="6"/>
    <x v="281"/>
    <x v="230"/>
    <x v="230"/>
    <s v="REVENUS"/>
    <x v="6"/>
    <s v="4221.003"/>
    <s v="Intérêts compensat. / acomptes en faveur du fisc"/>
    <n v="0"/>
    <n v="50.9"/>
    <n v="4221"/>
  </r>
  <r>
    <x v="0"/>
    <x v="3"/>
    <x v="3"/>
    <x v="282"/>
    <x v="237"/>
    <x v="237"/>
    <s v="CHARGES"/>
    <x v="0"/>
    <s v="3212.004"/>
    <s v="Intérêts rémun./perçu trop tôt sur acomptes C/C"/>
    <n v="354.31"/>
    <n v="0"/>
    <n v="3212"/>
  </r>
  <r>
    <x v="0"/>
    <x v="3"/>
    <x v="3"/>
    <x v="282"/>
    <x v="237"/>
    <x v="237"/>
    <s v="CHARGES"/>
    <x v="1"/>
    <s v="3301.001"/>
    <s v="Défalcations, abandons de solde PP et IS"/>
    <n v="24704.34"/>
    <n v="0"/>
    <n v="3301"/>
  </r>
  <r>
    <x v="0"/>
    <x v="3"/>
    <x v="3"/>
    <x v="282"/>
    <x v="237"/>
    <x v="237"/>
    <s v="CHARGES"/>
    <x v="0"/>
    <s v="3212.002"/>
    <s v="Intérêts bonifiés/trop perçu acompte C/C"/>
    <n v="22.33"/>
    <n v="0"/>
    <n v="3212"/>
  </r>
  <r>
    <x v="0"/>
    <x v="3"/>
    <x v="3"/>
    <x v="282"/>
    <x v="237"/>
    <x v="237"/>
    <s v="CHARGES"/>
    <x v="0"/>
    <s v="3221.002"/>
    <s v="Intérêts compensatoires / créances en faveur ctb."/>
    <n v="118.11"/>
    <n v="0"/>
    <n v="3221"/>
  </r>
  <r>
    <x v="0"/>
    <x v="3"/>
    <x v="3"/>
    <x v="282"/>
    <x v="237"/>
    <x v="237"/>
    <s v="CHARGES"/>
    <x v="0"/>
    <s v="3212.004"/>
    <s v="Intérêts rémun./perçu trop tôt sur acomptes C/C"/>
    <n v="0.28999999999999998"/>
    <n v="0"/>
    <n v="3212"/>
  </r>
  <r>
    <x v="0"/>
    <x v="3"/>
    <x v="3"/>
    <x v="282"/>
    <x v="237"/>
    <x v="237"/>
    <s v="CHARGES"/>
    <x v="0"/>
    <s v="3221.002"/>
    <s v="Intérêts compensatoires / créances en faveur ctb."/>
    <n v="0.5"/>
    <n v="0"/>
    <n v="3221"/>
  </r>
  <r>
    <x v="0"/>
    <x v="3"/>
    <x v="3"/>
    <x v="282"/>
    <x v="237"/>
    <x v="237"/>
    <s v="CHARGES"/>
    <x v="1"/>
    <s v="3301.001"/>
    <s v="Défalcations, abandons de solde PP et IS"/>
    <n v="0.01"/>
    <n v="0"/>
    <n v="3301"/>
  </r>
  <r>
    <x v="0"/>
    <x v="3"/>
    <x v="3"/>
    <x v="282"/>
    <x v="237"/>
    <x v="237"/>
    <s v="CHARGES"/>
    <x v="0"/>
    <s v="3212.004"/>
    <s v="Intérêts rémun./perçu trop tôt sur acomptes C/C"/>
    <n v="4.5"/>
    <n v="0"/>
    <n v="3212"/>
  </r>
  <r>
    <x v="0"/>
    <x v="3"/>
    <x v="3"/>
    <x v="282"/>
    <x v="237"/>
    <x v="237"/>
    <s v="CHARGES"/>
    <x v="0"/>
    <s v="3221.002"/>
    <s v="Intérêts compensatoires / créances en faveur ctb."/>
    <n v="1.71"/>
    <n v="0"/>
    <n v="3221"/>
  </r>
  <r>
    <x v="0"/>
    <x v="3"/>
    <x v="3"/>
    <x v="282"/>
    <x v="237"/>
    <x v="237"/>
    <s v="CHARGES"/>
    <x v="1"/>
    <s v="3301.001"/>
    <s v="Défalcations, abandons de solde PP et IS"/>
    <n v="0.31"/>
    <n v="0"/>
    <n v="3301"/>
  </r>
  <r>
    <x v="0"/>
    <x v="3"/>
    <x v="3"/>
    <x v="282"/>
    <x v="237"/>
    <x v="237"/>
    <s v="CHARGES"/>
    <x v="0"/>
    <s v="3212.004"/>
    <s v="Intérêts rémun./perçu trop tôt sur acomptes C/C"/>
    <n v="1.36"/>
    <n v="0"/>
    <n v="3212"/>
  </r>
  <r>
    <x v="0"/>
    <x v="3"/>
    <x v="3"/>
    <x v="282"/>
    <x v="237"/>
    <x v="237"/>
    <s v="CHARGES"/>
    <x v="1"/>
    <s v="3301.001"/>
    <s v="Défalcations, abandons de solde PP et IS"/>
    <n v="0.37"/>
    <n v="0"/>
    <n v="3301"/>
  </r>
  <r>
    <x v="0"/>
    <x v="3"/>
    <x v="3"/>
    <x v="282"/>
    <x v="237"/>
    <x v="237"/>
    <s v="CHARGES"/>
    <x v="1"/>
    <s v="3301.001"/>
    <s v="Défalcations, abandons de solde PP et IS"/>
    <n v="0.22"/>
    <n v="0"/>
    <n v="3301"/>
  </r>
  <r>
    <x v="0"/>
    <x v="3"/>
    <x v="3"/>
    <x v="282"/>
    <x v="237"/>
    <x v="237"/>
    <s v="CHARGES"/>
    <x v="0"/>
    <s v="3212.004"/>
    <s v="Intérêts rémun./perçu trop tôt sur acomptes C/C"/>
    <n v="3.1"/>
    <n v="0"/>
    <n v="3212"/>
  </r>
  <r>
    <x v="0"/>
    <x v="3"/>
    <x v="3"/>
    <x v="282"/>
    <x v="237"/>
    <x v="237"/>
    <s v="CHARGES"/>
    <x v="0"/>
    <s v="3221.002"/>
    <s v="Intérêts compensatoires / créances en faveur ctb."/>
    <n v="1.4"/>
    <n v="0"/>
    <n v="3221"/>
  </r>
  <r>
    <x v="0"/>
    <x v="3"/>
    <x v="3"/>
    <x v="282"/>
    <x v="237"/>
    <x v="237"/>
    <s v="CHARGES"/>
    <x v="0"/>
    <s v="3212.002"/>
    <s v="Intérêts bonifiés/trop perçu acompte C/C"/>
    <n v="0.05"/>
    <n v="0"/>
    <n v="3212"/>
  </r>
  <r>
    <x v="0"/>
    <x v="3"/>
    <x v="3"/>
    <x v="282"/>
    <x v="237"/>
    <x v="237"/>
    <s v="CHARGES"/>
    <x v="0"/>
    <s v="3221.002"/>
    <s v="Intérêts compensatoires / créances en faveur ctb."/>
    <n v="2.57"/>
    <n v="0"/>
    <n v="3221"/>
  </r>
  <r>
    <x v="0"/>
    <x v="3"/>
    <x v="3"/>
    <x v="282"/>
    <x v="237"/>
    <x v="237"/>
    <s v="CHARGES"/>
    <x v="1"/>
    <s v="3301.001"/>
    <s v="Défalcations, abandons de solde PP et IS"/>
    <n v="5423.91"/>
    <n v="0"/>
    <n v="3301"/>
  </r>
  <r>
    <x v="0"/>
    <x v="3"/>
    <x v="3"/>
    <x v="282"/>
    <x v="237"/>
    <x v="237"/>
    <s v="CHARGES"/>
    <x v="1"/>
    <s v="3301.003"/>
    <s v="Remises PP et IS"/>
    <n v="9794.2000000000007"/>
    <n v="0"/>
    <n v="3301"/>
  </r>
  <r>
    <x v="0"/>
    <x v="3"/>
    <x v="3"/>
    <x v="282"/>
    <x v="237"/>
    <x v="237"/>
    <s v="CHARGES"/>
    <x v="0"/>
    <s v="3212.004"/>
    <s v="Intérêts rémun./perçu trop tôt sur acomptes C/C"/>
    <n v="0.09"/>
    <n v="0"/>
    <n v="3212"/>
  </r>
  <r>
    <x v="0"/>
    <x v="3"/>
    <x v="3"/>
    <x v="282"/>
    <x v="237"/>
    <x v="237"/>
    <s v="CHARGES"/>
    <x v="1"/>
    <s v="3301.001"/>
    <s v="Défalcations, abandons de solde PP et IS"/>
    <n v="0.02"/>
    <n v="0"/>
    <n v="3301"/>
  </r>
  <r>
    <x v="0"/>
    <x v="3"/>
    <x v="3"/>
    <x v="282"/>
    <x v="237"/>
    <x v="237"/>
    <s v="CHARGES"/>
    <x v="0"/>
    <s v="3212.004"/>
    <s v="Intérêts rémun./perçu trop tôt sur acomptes C/C"/>
    <n v="3.95"/>
    <n v="0"/>
    <n v="3212"/>
  </r>
  <r>
    <x v="0"/>
    <x v="3"/>
    <x v="3"/>
    <x v="282"/>
    <x v="237"/>
    <x v="237"/>
    <s v="REVENUS"/>
    <x v="3"/>
    <s v="4002.007"/>
    <s v="Acompte impôt sur fortune"/>
    <n v="0"/>
    <n v="-453.59"/>
    <n v="4002"/>
  </r>
  <r>
    <x v="0"/>
    <x v="3"/>
    <x v="3"/>
    <x v="282"/>
    <x v="237"/>
    <x v="237"/>
    <s v="REVENUS"/>
    <x v="2"/>
    <s v="4001.007"/>
    <s v="Acompte impôt sur revenu"/>
    <n v="0"/>
    <n v="-377054.86"/>
    <n v="4001"/>
  </r>
  <r>
    <x v="0"/>
    <x v="3"/>
    <x v="3"/>
    <x v="282"/>
    <x v="237"/>
    <x v="237"/>
    <s v="REVENUS"/>
    <x v="3"/>
    <s v="4002.007"/>
    <s v="Acompte impôt sur fortune"/>
    <n v="0"/>
    <n v="-71118.460000000006"/>
    <n v="4002"/>
  </r>
  <r>
    <x v="0"/>
    <x v="3"/>
    <x v="3"/>
    <x v="282"/>
    <x v="237"/>
    <x v="237"/>
    <s v="REVENUS"/>
    <x v="2"/>
    <s v="4001.001"/>
    <s v="Impôt revenu"/>
    <n v="0"/>
    <n v="1083420.6000000001"/>
    <n v="4001"/>
  </r>
  <r>
    <x v="0"/>
    <x v="3"/>
    <x v="3"/>
    <x v="282"/>
    <x v="237"/>
    <x v="237"/>
    <s v="REVENUS"/>
    <x v="2"/>
    <s v="4001.007"/>
    <s v="Acompte impôt sur revenu"/>
    <n v="0"/>
    <n v="152746.06"/>
    <n v="4001"/>
  </r>
  <r>
    <x v="0"/>
    <x v="3"/>
    <x v="3"/>
    <x v="282"/>
    <x v="237"/>
    <x v="237"/>
    <s v="REVENUS"/>
    <x v="3"/>
    <s v="4002.001"/>
    <s v="Impôt ordinaire s/fortune PP"/>
    <n v="0"/>
    <n v="154787.4"/>
    <n v="4002"/>
  </r>
  <r>
    <x v="0"/>
    <x v="3"/>
    <x v="3"/>
    <x v="282"/>
    <x v="237"/>
    <x v="237"/>
    <s v="REVENUS"/>
    <x v="3"/>
    <s v="4002.007"/>
    <s v="Acompte impôt sur fortune"/>
    <n v="0"/>
    <n v="20909.43"/>
    <n v="4002"/>
  </r>
  <r>
    <x v="0"/>
    <x v="3"/>
    <x v="3"/>
    <x v="282"/>
    <x v="237"/>
    <x v="237"/>
    <s v="REVENUS"/>
    <x v="6"/>
    <s v="4221.003"/>
    <s v="Intérêts compensat. / acomptes en faveur du fisc"/>
    <n v="0"/>
    <n v="221.62"/>
    <n v="4221"/>
  </r>
  <r>
    <x v="0"/>
    <x v="3"/>
    <x v="3"/>
    <x v="282"/>
    <x v="237"/>
    <x v="237"/>
    <s v="REVENUS"/>
    <x v="2"/>
    <s v="4001.003"/>
    <s v="Impôt s/prest. cap. PP"/>
    <n v="0"/>
    <n v="103637.2"/>
    <n v="4001"/>
  </r>
  <r>
    <x v="0"/>
    <x v="3"/>
    <x v="3"/>
    <x v="282"/>
    <x v="237"/>
    <x v="237"/>
    <s v="REVENUS"/>
    <x v="3"/>
    <s v="4002.002"/>
    <s v="Impôt complémentaire s/fortune PP"/>
    <n v="0"/>
    <n v="31120.85"/>
    <n v="4002"/>
  </r>
  <r>
    <x v="0"/>
    <x v="3"/>
    <x v="3"/>
    <x v="282"/>
    <x v="237"/>
    <x v="237"/>
    <s v="REVENUS"/>
    <x v="2"/>
    <s v="4001.002"/>
    <s v="Impôt complément s/revenu PP"/>
    <n v="0"/>
    <n v="220542.3"/>
    <n v="4001"/>
  </r>
  <r>
    <x v="0"/>
    <x v="3"/>
    <x v="3"/>
    <x v="282"/>
    <x v="237"/>
    <x v="237"/>
    <s v="REVENUS"/>
    <x v="6"/>
    <s v="4211.001"/>
    <s v="Intérêts de retard sur factures"/>
    <n v="0"/>
    <n v="2989.95"/>
    <n v="4211"/>
  </r>
  <r>
    <x v="0"/>
    <x v="3"/>
    <x v="3"/>
    <x v="282"/>
    <x v="237"/>
    <x v="237"/>
    <s v="REVENUS"/>
    <x v="6"/>
    <s v="4211.002"/>
    <s v="Intérêts de retard sur acomptes"/>
    <n v="0"/>
    <n v="8000.06"/>
    <n v="4211"/>
  </r>
  <r>
    <x v="0"/>
    <x v="3"/>
    <x v="3"/>
    <x v="282"/>
    <x v="237"/>
    <x v="237"/>
    <s v="REVENUS"/>
    <x v="7"/>
    <s v="4184.000"/>
    <s v="Frais de poursuite"/>
    <n v="0"/>
    <n v="1112.53"/>
    <n v="4184"/>
  </r>
  <r>
    <x v="0"/>
    <x v="3"/>
    <x v="3"/>
    <x v="282"/>
    <x v="237"/>
    <x v="237"/>
    <s v="REVENUS"/>
    <x v="3"/>
    <s v="4002.001"/>
    <s v="Impôt ordinaire s/fortune PP"/>
    <n v="0"/>
    <n v="512.1"/>
    <n v="4002"/>
  </r>
  <r>
    <x v="0"/>
    <x v="3"/>
    <x v="3"/>
    <x v="282"/>
    <x v="237"/>
    <x v="237"/>
    <s v="REVENUS"/>
    <x v="2"/>
    <s v="4001.001"/>
    <s v="Impôt revenu"/>
    <n v="0"/>
    <n v="984.85"/>
    <n v="4001"/>
  </r>
  <r>
    <x v="0"/>
    <x v="3"/>
    <x v="3"/>
    <x v="282"/>
    <x v="237"/>
    <x v="237"/>
    <s v="REVENUS"/>
    <x v="6"/>
    <s v="4221.003"/>
    <s v="Intérêts compensat. / acomptes en faveur du fisc"/>
    <n v="0"/>
    <n v="0.02"/>
    <n v="4221"/>
  </r>
  <r>
    <x v="0"/>
    <x v="3"/>
    <x v="3"/>
    <x v="282"/>
    <x v="237"/>
    <x v="237"/>
    <s v="REVENUS"/>
    <x v="6"/>
    <s v="4211.002"/>
    <s v="Intérêts de retard sur acomptes"/>
    <n v="0"/>
    <n v="1.91"/>
    <n v="4211"/>
  </r>
  <r>
    <x v="0"/>
    <x v="3"/>
    <x v="3"/>
    <x v="282"/>
    <x v="237"/>
    <x v="237"/>
    <s v="REVENUS"/>
    <x v="9"/>
    <s v="4031.001"/>
    <s v="Impôt sur les gains immobiliers"/>
    <n v="0"/>
    <n v="11322.85"/>
    <n v="4031"/>
  </r>
  <r>
    <x v="0"/>
    <x v="3"/>
    <x v="3"/>
    <x v="282"/>
    <x v="237"/>
    <x v="237"/>
    <s v="REVENUS"/>
    <x v="2"/>
    <s v="4001.007"/>
    <s v="Acompte impôt sur revenu"/>
    <n v="0"/>
    <n v="-28.9"/>
    <n v="4001"/>
  </r>
  <r>
    <x v="0"/>
    <x v="3"/>
    <x v="3"/>
    <x v="282"/>
    <x v="237"/>
    <x v="237"/>
    <s v="REVENUS"/>
    <x v="3"/>
    <s v="4002.007"/>
    <s v="Acompte impôt sur fortune"/>
    <n v="0"/>
    <n v="620.54999999999995"/>
    <n v="4002"/>
  </r>
  <r>
    <x v="0"/>
    <x v="3"/>
    <x v="3"/>
    <x v="282"/>
    <x v="237"/>
    <x v="237"/>
    <s v="REVENUS"/>
    <x v="2"/>
    <s v="4001.001"/>
    <s v="Impôt revenu"/>
    <n v="0"/>
    <n v="6515.6"/>
    <n v="4001"/>
  </r>
  <r>
    <x v="0"/>
    <x v="3"/>
    <x v="3"/>
    <x v="282"/>
    <x v="237"/>
    <x v="237"/>
    <s v="REVENUS"/>
    <x v="2"/>
    <s v="4001.007"/>
    <s v="Acompte impôt sur revenu"/>
    <n v="0"/>
    <n v="2176.13"/>
    <n v="4001"/>
  </r>
  <r>
    <x v="0"/>
    <x v="3"/>
    <x v="3"/>
    <x v="282"/>
    <x v="237"/>
    <x v="237"/>
    <s v="REVENUS"/>
    <x v="3"/>
    <s v="4002.001"/>
    <s v="Impôt ordinaire s/fortune PP"/>
    <n v="0"/>
    <n v="7438.05"/>
    <n v="4002"/>
  </r>
  <r>
    <x v="0"/>
    <x v="3"/>
    <x v="3"/>
    <x v="282"/>
    <x v="237"/>
    <x v="237"/>
    <s v="REVENUS"/>
    <x v="3"/>
    <s v="4002.007"/>
    <s v="Acompte impôt sur fortune"/>
    <n v="0"/>
    <n v="1047.2"/>
    <n v="4002"/>
  </r>
  <r>
    <x v="0"/>
    <x v="3"/>
    <x v="3"/>
    <x v="282"/>
    <x v="237"/>
    <x v="237"/>
    <s v="REVENUS"/>
    <x v="2"/>
    <s v="4001.007"/>
    <s v="Acompte impôt sur revenu"/>
    <n v="0"/>
    <n v="328.4"/>
    <n v="4001"/>
  </r>
  <r>
    <x v="0"/>
    <x v="3"/>
    <x v="3"/>
    <x v="282"/>
    <x v="237"/>
    <x v="237"/>
    <s v="REVENUS"/>
    <x v="3"/>
    <s v="4002.007"/>
    <s v="Acompte impôt sur fortune"/>
    <n v="0"/>
    <n v="1124.05"/>
    <n v="4002"/>
  </r>
  <r>
    <x v="0"/>
    <x v="3"/>
    <x v="3"/>
    <x v="282"/>
    <x v="237"/>
    <x v="237"/>
    <s v="REVENUS"/>
    <x v="2"/>
    <s v="4001.007"/>
    <s v="Acompte impôt sur revenu"/>
    <n v="0"/>
    <n v="5525.85"/>
    <n v="4001"/>
  </r>
  <r>
    <x v="0"/>
    <x v="3"/>
    <x v="3"/>
    <x v="282"/>
    <x v="237"/>
    <x v="237"/>
    <s v="REVENUS"/>
    <x v="3"/>
    <s v="4002.007"/>
    <s v="Acompte impôt sur fortune"/>
    <n v="0"/>
    <n v="-23.73"/>
    <n v="4002"/>
  </r>
  <r>
    <x v="0"/>
    <x v="3"/>
    <x v="3"/>
    <x v="282"/>
    <x v="237"/>
    <x v="237"/>
    <s v="REVENUS"/>
    <x v="2"/>
    <s v="4001.007"/>
    <s v="Acompte impôt sur revenu"/>
    <n v="0"/>
    <n v="-43.63"/>
    <n v="4001"/>
  </r>
  <r>
    <x v="0"/>
    <x v="3"/>
    <x v="3"/>
    <x v="282"/>
    <x v="237"/>
    <x v="237"/>
    <s v="REVENUS"/>
    <x v="3"/>
    <s v="4002.007"/>
    <s v="Acompte impôt sur fortune"/>
    <n v="0"/>
    <n v="-1.5"/>
    <n v="4002"/>
  </r>
  <r>
    <x v="0"/>
    <x v="3"/>
    <x v="3"/>
    <x v="282"/>
    <x v="237"/>
    <x v="237"/>
    <s v="REVENUS"/>
    <x v="6"/>
    <s v="4221.002"/>
    <s v="Intérêts compensat. sur impôts distincts"/>
    <n v="0"/>
    <n v="43.47"/>
    <n v="4221"/>
  </r>
  <r>
    <x v="0"/>
    <x v="3"/>
    <x v="3"/>
    <x v="282"/>
    <x v="237"/>
    <x v="237"/>
    <s v="REVENUS"/>
    <x v="6"/>
    <s v="4211.001"/>
    <s v="Intérêts de retard sur factures"/>
    <n v="0"/>
    <n v="5"/>
    <n v="4211"/>
  </r>
  <r>
    <x v="0"/>
    <x v="3"/>
    <x v="3"/>
    <x v="282"/>
    <x v="237"/>
    <x v="237"/>
    <s v="REVENUS"/>
    <x v="2"/>
    <s v="4001.007"/>
    <s v="Acompte impôt sur revenu"/>
    <n v="0"/>
    <n v="-13.8"/>
    <n v="4001"/>
  </r>
  <r>
    <x v="0"/>
    <x v="3"/>
    <x v="3"/>
    <x v="282"/>
    <x v="237"/>
    <x v="237"/>
    <s v="REVENUS"/>
    <x v="3"/>
    <s v="4002.007"/>
    <s v="Acompte impôt sur fortune"/>
    <n v="0"/>
    <n v="-180.3"/>
    <n v="4002"/>
  </r>
  <r>
    <x v="0"/>
    <x v="3"/>
    <x v="3"/>
    <x v="282"/>
    <x v="237"/>
    <x v="237"/>
    <s v="REVENUS"/>
    <x v="2"/>
    <s v="4001.001"/>
    <s v="Impôt revenu"/>
    <n v="0"/>
    <n v="3262.2"/>
    <n v="4001"/>
  </r>
  <r>
    <x v="0"/>
    <x v="3"/>
    <x v="3"/>
    <x v="282"/>
    <x v="237"/>
    <x v="237"/>
    <s v="REVENUS"/>
    <x v="3"/>
    <s v="4002.001"/>
    <s v="Impôt ordinaire s/fortune PP"/>
    <n v="0"/>
    <n v="1385.35"/>
    <n v="4002"/>
  </r>
  <r>
    <x v="0"/>
    <x v="3"/>
    <x v="3"/>
    <x v="282"/>
    <x v="237"/>
    <x v="237"/>
    <s v="REVENUS"/>
    <x v="6"/>
    <s v="4221.003"/>
    <s v="Intérêts compensat. / acomptes en faveur du fisc"/>
    <n v="0"/>
    <n v="0.33"/>
    <n v="4221"/>
  </r>
  <r>
    <x v="0"/>
    <x v="3"/>
    <x v="3"/>
    <x v="282"/>
    <x v="237"/>
    <x v="237"/>
    <s v="REVENUS"/>
    <x v="3"/>
    <s v="4002.001"/>
    <s v="Impôt ordinaire s/fortune PP"/>
    <n v="0"/>
    <n v="1744.3"/>
    <n v="4002"/>
  </r>
  <r>
    <x v="0"/>
    <x v="3"/>
    <x v="3"/>
    <x v="282"/>
    <x v="237"/>
    <x v="237"/>
    <s v="REVENUS"/>
    <x v="2"/>
    <s v="4001.001"/>
    <s v="Impôt revenu"/>
    <n v="0"/>
    <n v="-16773.2"/>
    <n v="4001"/>
  </r>
  <r>
    <x v="0"/>
    <x v="3"/>
    <x v="3"/>
    <x v="282"/>
    <x v="237"/>
    <x v="237"/>
    <s v="REVENUS"/>
    <x v="3"/>
    <s v="4002.001"/>
    <s v="Impôt ordinaire s/fortune PP"/>
    <n v="0"/>
    <n v="-2761.35"/>
    <n v="4002"/>
  </r>
  <r>
    <x v="0"/>
    <x v="3"/>
    <x v="3"/>
    <x v="282"/>
    <x v="237"/>
    <x v="237"/>
    <s v="REVENUS"/>
    <x v="6"/>
    <s v="4221.003"/>
    <s v="Intérêts compensat. / acomptes en faveur du fisc"/>
    <n v="0"/>
    <n v="0.44"/>
    <n v="4221"/>
  </r>
  <r>
    <x v="0"/>
    <x v="3"/>
    <x v="3"/>
    <x v="282"/>
    <x v="237"/>
    <x v="237"/>
    <s v="REVENUS"/>
    <x v="6"/>
    <s v="4211.002"/>
    <s v="Intérêts de retard sur acomptes"/>
    <n v="0"/>
    <n v="15.42"/>
    <n v="4211"/>
  </r>
  <r>
    <x v="0"/>
    <x v="3"/>
    <x v="3"/>
    <x v="282"/>
    <x v="237"/>
    <x v="237"/>
    <s v="REVENUS"/>
    <x v="8"/>
    <s v="4091.001"/>
    <s v="Impôt récupéré après défalcations"/>
    <n v="0"/>
    <n v="3726.78"/>
    <n v="4091"/>
  </r>
  <r>
    <x v="0"/>
    <x v="3"/>
    <x v="3"/>
    <x v="282"/>
    <x v="237"/>
    <x v="237"/>
    <s v="REVENUS"/>
    <x v="10"/>
    <s v="4041.001"/>
    <s v="Droits de mutation"/>
    <n v="0"/>
    <n v="12735.6"/>
    <n v="4041"/>
  </r>
  <r>
    <x v="0"/>
    <x v="3"/>
    <x v="3"/>
    <x v="282"/>
    <x v="237"/>
    <x v="237"/>
    <s v="REVENUS"/>
    <x v="2"/>
    <s v="4001.001"/>
    <s v="Impôt revenu"/>
    <n v="0"/>
    <n v="3114.35"/>
    <n v="4001"/>
  </r>
  <r>
    <x v="0"/>
    <x v="3"/>
    <x v="3"/>
    <x v="282"/>
    <x v="237"/>
    <x v="237"/>
    <s v="REVENUS"/>
    <x v="6"/>
    <s v="4211.002"/>
    <s v="Intérêts de retard sur acomptes"/>
    <n v="0"/>
    <n v="24.83"/>
    <n v="4211"/>
  </r>
  <r>
    <x v="0"/>
    <x v="3"/>
    <x v="3"/>
    <x v="282"/>
    <x v="237"/>
    <x v="237"/>
    <s v="REVENUS"/>
    <x v="6"/>
    <s v="4221.003"/>
    <s v="Intérêts compensat. / acomptes en faveur du fisc"/>
    <n v="0"/>
    <n v="0.1"/>
    <n v="4221"/>
  </r>
  <r>
    <x v="0"/>
    <x v="3"/>
    <x v="3"/>
    <x v="282"/>
    <x v="237"/>
    <x v="237"/>
    <s v="REVENUS"/>
    <x v="2"/>
    <s v="4001.002"/>
    <s v="Impôt complément s/revenu PP"/>
    <n v="0"/>
    <n v="434.9"/>
    <n v="4001"/>
  </r>
  <r>
    <x v="0"/>
    <x v="3"/>
    <x v="3"/>
    <x v="282"/>
    <x v="237"/>
    <x v="237"/>
    <s v="REVENUS"/>
    <x v="3"/>
    <s v="4002.002"/>
    <s v="Impôt complémentaire s/fortune PP"/>
    <n v="0"/>
    <n v="281.35000000000002"/>
    <n v="4002"/>
  </r>
  <r>
    <x v="0"/>
    <x v="3"/>
    <x v="3"/>
    <x v="282"/>
    <x v="237"/>
    <x v="237"/>
    <s v="REVENUS"/>
    <x v="2"/>
    <s v="4001.001"/>
    <s v="Impôt revenu"/>
    <n v="0"/>
    <n v="-168.95"/>
    <n v="4001"/>
  </r>
  <r>
    <x v="0"/>
    <x v="3"/>
    <x v="3"/>
    <x v="282"/>
    <x v="237"/>
    <x v="237"/>
    <s v="REVENUS"/>
    <x v="3"/>
    <s v="4002.001"/>
    <s v="Impôt ordinaire s/fortune PP"/>
    <n v="0"/>
    <n v="-169.15"/>
    <n v="4002"/>
  </r>
  <r>
    <x v="0"/>
    <x v="3"/>
    <x v="3"/>
    <x v="282"/>
    <x v="237"/>
    <x v="237"/>
    <s v="REVENUS"/>
    <x v="6"/>
    <s v="4211.001"/>
    <s v="Intérêts de retard sur factures"/>
    <n v="0"/>
    <n v="-0.01"/>
    <n v="4211"/>
  </r>
  <r>
    <x v="0"/>
    <x v="3"/>
    <x v="3"/>
    <x v="282"/>
    <x v="237"/>
    <x v="237"/>
    <s v="REVENUS"/>
    <x v="6"/>
    <s v="4211.002"/>
    <s v="Intérêts de retard sur acomptes"/>
    <n v="0"/>
    <n v="-0.05"/>
    <n v="4211"/>
  </r>
  <r>
    <x v="0"/>
    <x v="3"/>
    <x v="3"/>
    <x v="282"/>
    <x v="237"/>
    <x v="237"/>
    <s v="REVENUS"/>
    <x v="2"/>
    <s v="4001.002"/>
    <s v="Impôt complément s/revenu PP"/>
    <n v="0"/>
    <n v="175.3"/>
    <n v="4001"/>
  </r>
  <r>
    <x v="0"/>
    <x v="3"/>
    <x v="3"/>
    <x v="282"/>
    <x v="237"/>
    <x v="237"/>
    <s v="REVENUS"/>
    <x v="3"/>
    <s v="4002.002"/>
    <s v="Impôt complémentaire s/fortune PP"/>
    <n v="0"/>
    <n v="206.6"/>
    <n v="4002"/>
  </r>
  <r>
    <x v="0"/>
    <x v="3"/>
    <x v="3"/>
    <x v="282"/>
    <x v="237"/>
    <x v="237"/>
    <s v="REVENUS"/>
    <x v="6"/>
    <s v="4211.001"/>
    <s v="Intérêts de retard sur factures"/>
    <n v="0"/>
    <n v="0.95"/>
    <n v="4211"/>
  </r>
  <r>
    <x v="0"/>
    <x v="3"/>
    <x v="3"/>
    <x v="282"/>
    <x v="237"/>
    <x v="237"/>
    <s v="REVENUS"/>
    <x v="4"/>
    <s v="4051.001"/>
    <s v="Impôt sur les successions"/>
    <n v="0"/>
    <n v="39409.9"/>
    <n v="4051"/>
  </r>
  <r>
    <x v="0"/>
    <x v="3"/>
    <x v="3"/>
    <x v="282"/>
    <x v="237"/>
    <x v="237"/>
    <s v="REVENUS"/>
    <x v="6"/>
    <s v="4211.001"/>
    <s v="Intérêts de retard sur factures"/>
    <n v="0"/>
    <n v="1.47"/>
    <n v="4211"/>
  </r>
  <r>
    <x v="0"/>
    <x v="3"/>
    <x v="3"/>
    <x v="282"/>
    <x v="237"/>
    <x v="237"/>
    <s v="REVENUS"/>
    <x v="5"/>
    <s v="4061.000"/>
    <s v="Impôt sur les chiens"/>
    <n v="0"/>
    <n v="5300"/>
    <n v="4061"/>
  </r>
  <r>
    <x v="0"/>
    <x v="3"/>
    <x v="3"/>
    <x v="282"/>
    <x v="237"/>
    <x v="237"/>
    <s v="REVENUS"/>
    <x v="2"/>
    <s v="4001.001"/>
    <s v="Impôt revenu"/>
    <n v="0"/>
    <n v="116.35"/>
    <n v="4001"/>
  </r>
  <r>
    <x v="0"/>
    <x v="3"/>
    <x v="3"/>
    <x v="282"/>
    <x v="237"/>
    <x v="237"/>
    <s v="REVENUS"/>
    <x v="3"/>
    <s v="4002.001"/>
    <s v="Impôt ordinaire s/fortune PP"/>
    <n v="0"/>
    <n v="80.099999999999994"/>
    <n v="4002"/>
  </r>
  <r>
    <x v="0"/>
    <x v="3"/>
    <x v="3"/>
    <x v="282"/>
    <x v="237"/>
    <x v="237"/>
    <s v="REVENUS"/>
    <x v="6"/>
    <s v="4221.003"/>
    <s v="Intérêts compensat. / acomptes en faveur du fisc"/>
    <n v="0"/>
    <n v="0.02"/>
    <n v="4221"/>
  </r>
  <r>
    <x v="0"/>
    <x v="3"/>
    <x v="3"/>
    <x v="282"/>
    <x v="237"/>
    <x v="237"/>
    <s v="REVENUS"/>
    <x v="4"/>
    <s v="4051.001"/>
    <s v="Impôt sur les successions"/>
    <n v="0"/>
    <n v="404.4"/>
    <n v="4051"/>
  </r>
  <r>
    <x v="0"/>
    <x v="3"/>
    <x v="3"/>
    <x v="282"/>
    <x v="237"/>
    <x v="237"/>
    <s v="REVENUS"/>
    <x v="6"/>
    <s v="4221.002"/>
    <s v="Intérêts compensat. sur impôts distincts"/>
    <n v="0"/>
    <n v="0.09"/>
    <n v="4221"/>
  </r>
  <r>
    <x v="0"/>
    <x v="3"/>
    <x v="3"/>
    <x v="282"/>
    <x v="237"/>
    <x v="237"/>
    <s v="REVENUS"/>
    <x v="2"/>
    <s v="4001.001"/>
    <s v="Impôt revenu"/>
    <n v="0"/>
    <n v="907.35"/>
    <n v="4001"/>
  </r>
  <r>
    <x v="0"/>
    <x v="3"/>
    <x v="3"/>
    <x v="282"/>
    <x v="237"/>
    <x v="237"/>
    <s v="REVENUS"/>
    <x v="3"/>
    <s v="4002.001"/>
    <s v="Impôt ordinaire s/fortune PP"/>
    <n v="0"/>
    <n v="508.4"/>
    <n v="4002"/>
  </r>
  <r>
    <x v="0"/>
    <x v="3"/>
    <x v="3"/>
    <x v="282"/>
    <x v="237"/>
    <x v="237"/>
    <s v="REVENUS"/>
    <x v="7"/>
    <s v="4184.000"/>
    <s v="Frais de poursuite"/>
    <n v="0"/>
    <n v="13.1"/>
    <n v="4184"/>
  </r>
  <r>
    <x v="0"/>
    <x v="4"/>
    <x v="4"/>
    <x v="283"/>
    <x v="88"/>
    <x v="88"/>
    <s v="CHARGES"/>
    <x v="0"/>
    <s v="3212.004"/>
    <s v="Intérêts rémun./perçu trop tôt sur acomptes C/C"/>
    <n v="531.86"/>
    <n v="0"/>
    <n v="3212"/>
  </r>
  <r>
    <x v="0"/>
    <x v="4"/>
    <x v="4"/>
    <x v="283"/>
    <x v="88"/>
    <x v="88"/>
    <s v="CHARGES"/>
    <x v="0"/>
    <s v="3221.002"/>
    <s v="Intérêts compensatoires / créances en faveur ctb."/>
    <n v="370.59"/>
    <n v="0"/>
    <n v="3221"/>
  </r>
  <r>
    <x v="0"/>
    <x v="4"/>
    <x v="4"/>
    <x v="283"/>
    <x v="88"/>
    <x v="88"/>
    <s v="CHARGES"/>
    <x v="1"/>
    <s v="3301.001"/>
    <s v="Défalcations, abandons de solde PP et IS"/>
    <n v="49821.29"/>
    <n v="0"/>
    <n v="3301"/>
  </r>
  <r>
    <x v="0"/>
    <x v="4"/>
    <x v="4"/>
    <x v="283"/>
    <x v="88"/>
    <x v="88"/>
    <s v="CHARGES"/>
    <x v="1"/>
    <s v="3301.001"/>
    <s v="Défalcations, abandons de solde PP et IS"/>
    <n v="0.45"/>
    <n v="0"/>
    <n v="3301"/>
  </r>
  <r>
    <x v="0"/>
    <x v="4"/>
    <x v="4"/>
    <x v="283"/>
    <x v="88"/>
    <x v="88"/>
    <s v="CHARGES"/>
    <x v="1"/>
    <s v="3301.001"/>
    <s v="Défalcations, abandons de solde PP et IS"/>
    <n v="19256.37"/>
    <n v="0"/>
    <n v="3301"/>
  </r>
  <r>
    <x v="0"/>
    <x v="4"/>
    <x v="4"/>
    <x v="283"/>
    <x v="88"/>
    <x v="88"/>
    <s v="CHARGES"/>
    <x v="1"/>
    <s v="3301.001"/>
    <s v="Défalcations, abandons de solde PP et IS"/>
    <n v="0.26"/>
    <n v="0"/>
    <n v="3301"/>
  </r>
  <r>
    <x v="0"/>
    <x v="4"/>
    <x v="4"/>
    <x v="283"/>
    <x v="88"/>
    <x v="88"/>
    <s v="CHARGES"/>
    <x v="0"/>
    <s v="3212.002"/>
    <s v="Intérêts bonifiés/trop perçu acompte C/C"/>
    <n v="20.57"/>
    <n v="0"/>
    <n v="3212"/>
  </r>
  <r>
    <x v="0"/>
    <x v="4"/>
    <x v="4"/>
    <x v="283"/>
    <x v="88"/>
    <x v="88"/>
    <s v="CHARGES"/>
    <x v="0"/>
    <s v="3212.004"/>
    <s v="Intérêts rémun./perçu trop tôt sur acomptes C/C"/>
    <n v="3.29"/>
    <n v="0"/>
    <n v="3212"/>
  </r>
  <r>
    <x v="0"/>
    <x v="4"/>
    <x v="4"/>
    <x v="283"/>
    <x v="88"/>
    <x v="88"/>
    <s v="CHARGES"/>
    <x v="0"/>
    <s v="3221.002"/>
    <s v="Intérêts compensatoires / créances en faveur ctb."/>
    <n v="0.77"/>
    <n v="0"/>
    <n v="3221"/>
  </r>
  <r>
    <x v="0"/>
    <x v="4"/>
    <x v="4"/>
    <x v="283"/>
    <x v="88"/>
    <x v="88"/>
    <s v="CHARGES"/>
    <x v="0"/>
    <s v="3212.004"/>
    <s v="Intérêts rémun./perçu trop tôt sur acomptes C/C"/>
    <n v="2.39"/>
    <n v="0"/>
    <n v="3212"/>
  </r>
  <r>
    <x v="0"/>
    <x v="4"/>
    <x v="4"/>
    <x v="283"/>
    <x v="88"/>
    <x v="88"/>
    <s v="CHARGES"/>
    <x v="0"/>
    <s v="3221.002"/>
    <s v="Intérêts compensatoires / créances en faveur ctb."/>
    <n v="0.52"/>
    <n v="0"/>
    <n v="3221"/>
  </r>
  <r>
    <x v="0"/>
    <x v="4"/>
    <x v="4"/>
    <x v="283"/>
    <x v="88"/>
    <x v="88"/>
    <s v="CHARGES"/>
    <x v="0"/>
    <s v="3212.004"/>
    <s v="Intérêts rémun./perçu trop tôt sur acomptes C/C"/>
    <n v="0.6"/>
    <n v="0"/>
    <n v="3212"/>
  </r>
  <r>
    <x v="0"/>
    <x v="4"/>
    <x v="4"/>
    <x v="283"/>
    <x v="88"/>
    <x v="88"/>
    <s v="CHARGES"/>
    <x v="1"/>
    <s v="3301.003"/>
    <s v="Remises PP et IS"/>
    <n v="2616.1"/>
    <n v="0"/>
    <n v="3301"/>
  </r>
  <r>
    <x v="0"/>
    <x v="4"/>
    <x v="4"/>
    <x v="283"/>
    <x v="88"/>
    <x v="88"/>
    <s v="CHARGES"/>
    <x v="0"/>
    <s v="3212.004"/>
    <s v="Intérêts rémun./perçu trop tôt sur acomptes C/C"/>
    <n v="0.38"/>
    <n v="0"/>
    <n v="3212"/>
  </r>
  <r>
    <x v="0"/>
    <x v="4"/>
    <x v="4"/>
    <x v="283"/>
    <x v="88"/>
    <x v="88"/>
    <s v="CHARGES"/>
    <x v="0"/>
    <s v="3221.002"/>
    <s v="Intérêts compensatoires / créances en faveur ctb."/>
    <n v="0.11"/>
    <n v="0"/>
    <n v="3221"/>
  </r>
  <r>
    <x v="0"/>
    <x v="4"/>
    <x v="4"/>
    <x v="283"/>
    <x v="88"/>
    <x v="88"/>
    <s v="CHARGES"/>
    <x v="0"/>
    <s v="3221.002"/>
    <s v="Intérêts compensatoires / créances en faveur ctb."/>
    <n v="0.01"/>
    <n v="0"/>
    <n v="3221"/>
  </r>
  <r>
    <x v="0"/>
    <x v="4"/>
    <x v="4"/>
    <x v="283"/>
    <x v="88"/>
    <x v="88"/>
    <s v="CHARGES"/>
    <x v="0"/>
    <s v="3212.004"/>
    <s v="Intérêts rémun./perçu trop tôt sur acomptes C/C"/>
    <n v="1.08"/>
    <n v="0"/>
    <n v="3212"/>
  </r>
  <r>
    <x v="0"/>
    <x v="4"/>
    <x v="4"/>
    <x v="283"/>
    <x v="88"/>
    <x v="88"/>
    <s v="CHARGES"/>
    <x v="0"/>
    <s v="3221.002"/>
    <s v="Intérêts compensatoires / créances en faveur ctb."/>
    <n v="3.5"/>
    <n v="0"/>
    <n v="3221"/>
  </r>
  <r>
    <x v="0"/>
    <x v="4"/>
    <x v="4"/>
    <x v="283"/>
    <x v="88"/>
    <x v="88"/>
    <s v="CHARGES"/>
    <x v="1"/>
    <s v="3301.001"/>
    <s v="Défalcations, abandons de solde PP et IS"/>
    <n v="-0.1"/>
    <n v="0"/>
    <n v="3301"/>
  </r>
  <r>
    <x v="0"/>
    <x v="4"/>
    <x v="4"/>
    <x v="283"/>
    <x v="88"/>
    <x v="88"/>
    <s v="CHARGES"/>
    <x v="0"/>
    <s v="3212.004"/>
    <s v="Intérêts rémun./perçu trop tôt sur acomptes C/C"/>
    <n v="0.42"/>
    <n v="0"/>
    <n v="3212"/>
  </r>
  <r>
    <x v="0"/>
    <x v="4"/>
    <x v="4"/>
    <x v="283"/>
    <x v="88"/>
    <x v="88"/>
    <s v="CHARGES"/>
    <x v="0"/>
    <s v="3212.002"/>
    <s v="Intérêts bonifiés/trop perçu acompte C/C"/>
    <n v="0.05"/>
    <n v="0"/>
    <n v="3212"/>
  </r>
  <r>
    <x v="0"/>
    <x v="4"/>
    <x v="4"/>
    <x v="283"/>
    <x v="88"/>
    <x v="88"/>
    <s v="CHARGES"/>
    <x v="1"/>
    <s v="3301.001"/>
    <s v="Défalcations, abandons de solde PP et IS"/>
    <n v="0.23"/>
    <n v="0"/>
    <n v="3301"/>
  </r>
  <r>
    <x v="0"/>
    <x v="4"/>
    <x v="4"/>
    <x v="283"/>
    <x v="88"/>
    <x v="88"/>
    <s v="CHARGES"/>
    <x v="1"/>
    <s v="3301.001"/>
    <s v="Défalcations, abandons de solde PP et IS"/>
    <n v="0.14000000000000001"/>
    <n v="0"/>
    <n v="3301"/>
  </r>
  <r>
    <x v="0"/>
    <x v="4"/>
    <x v="4"/>
    <x v="283"/>
    <x v="88"/>
    <x v="88"/>
    <s v="CHARGES"/>
    <x v="1"/>
    <s v="3301.001"/>
    <s v="Défalcations, abandons de solde PP et IS"/>
    <n v="336.27"/>
    <n v="0"/>
    <n v="3301"/>
  </r>
  <r>
    <x v="0"/>
    <x v="4"/>
    <x v="4"/>
    <x v="283"/>
    <x v="88"/>
    <x v="88"/>
    <s v="REVENUS"/>
    <x v="2"/>
    <s v="4001.007"/>
    <s v="Acompte impôt sur revenu"/>
    <n v="0"/>
    <n v="-452033.18"/>
    <n v="4001"/>
  </r>
  <r>
    <x v="0"/>
    <x v="4"/>
    <x v="4"/>
    <x v="283"/>
    <x v="88"/>
    <x v="88"/>
    <s v="REVENUS"/>
    <x v="2"/>
    <s v="4001.001"/>
    <s v="Impôt revenu"/>
    <n v="0"/>
    <n v="2730130.5"/>
    <n v="4001"/>
  </r>
  <r>
    <x v="0"/>
    <x v="4"/>
    <x v="4"/>
    <x v="283"/>
    <x v="88"/>
    <x v="88"/>
    <s v="REVENUS"/>
    <x v="6"/>
    <s v="4211.001"/>
    <s v="Intérêts de retard sur factures"/>
    <n v="0"/>
    <n v="7145.76"/>
    <n v="4211"/>
  </r>
  <r>
    <x v="0"/>
    <x v="4"/>
    <x v="4"/>
    <x v="283"/>
    <x v="88"/>
    <x v="88"/>
    <s v="REVENUS"/>
    <x v="2"/>
    <s v="4001.001"/>
    <s v="Impôt revenu"/>
    <n v="0"/>
    <n v="3560.4"/>
    <n v="4001"/>
  </r>
  <r>
    <x v="0"/>
    <x v="4"/>
    <x v="4"/>
    <x v="283"/>
    <x v="88"/>
    <x v="88"/>
    <s v="REVENUS"/>
    <x v="2"/>
    <s v="4001.007"/>
    <s v="Acompte impôt sur revenu"/>
    <n v="0"/>
    <n v="2141.1999999999998"/>
    <n v="4001"/>
  </r>
  <r>
    <x v="0"/>
    <x v="4"/>
    <x v="4"/>
    <x v="283"/>
    <x v="88"/>
    <x v="88"/>
    <s v="REVENUS"/>
    <x v="3"/>
    <s v="4002.001"/>
    <s v="Impôt ordinaire s/fortune PP"/>
    <n v="0"/>
    <n v="2719.3"/>
    <n v="4002"/>
  </r>
  <r>
    <x v="0"/>
    <x v="4"/>
    <x v="4"/>
    <x v="283"/>
    <x v="88"/>
    <x v="88"/>
    <s v="REVENUS"/>
    <x v="3"/>
    <s v="4002.007"/>
    <s v="Acompte impôt sur fortune"/>
    <n v="0"/>
    <n v="635.12"/>
    <n v="4002"/>
  </r>
  <r>
    <x v="0"/>
    <x v="4"/>
    <x v="4"/>
    <x v="283"/>
    <x v="88"/>
    <x v="88"/>
    <s v="REVENUS"/>
    <x v="6"/>
    <s v="4221.003"/>
    <s v="Intérêts compensat. / acomptes en faveur du fisc"/>
    <n v="0"/>
    <n v="0.45"/>
    <n v="4221"/>
  </r>
  <r>
    <x v="0"/>
    <x v="4"/>
    <x v="4"/>
    <x v="283"/>
    <x v="88"/>
    <x v="88"/>
    <s v="REVENUS"/>
    <x v="3"/>
    <s v="4002.001"/>
    <s v="Impôt ordinaire s/fortune PP"/>
    <n v="0"/>
    <n v="339215.4"/>
    <n v="4002"/>
  </r>
  <r>
    <x v="0"/>
    <x v="4"/>
    <x v="4"/>
    <x v="283"/>
    <x v="88"/>
    <x v="88"/>
    <s v="REVENUS"/>
    <x v="3"/>
    <s v="4002.007"/>
    <s v="Acompte impôt sur fortune"/>
    <n v="0"/>
    <n v="16118.53"/>
    <n v="4002"/>
  </r>
  <r>
    <x v="0"/>
    <x v="4"/>
    <x v="4"/>
    <x v="283"/>
    <x v="88"/>
    <x v="88"/>
    <s v="REVENUS"/>
    <x v="7"/>
    <s v="4184.000"/>
    <s v="Frais de poursuite"/>
    <n v="0"/>
    <n v="3329.72"/>
    <n v="4184"/>
  </r>
  <r>
    <x v="0"/>
    <x v="4"/>
    <x v="4"/>
    <x v="283"/>
    <x v="88"/>
    <x v="88"/>
    <s v="REVENUS"/>
    <x v="6"/>
    <s v="4221.003"/>
    <s v="Intérêts compensat. / acomptes en faveur du fisc"/>
    <n v="0"/>
    <n v="379.12"/>
    <n v="4221"/>
  </r>
  <r>
    <x v="0"/>
    <x v="4"/>
    <x v="4"/>
    <x v="283"/>
    <x v="88"/>
    <x v="88"/>
    <s v="REVENUS"/>
    <x v="2"/>
    <s v="4001.001"/>
    <s v="Impôt revenu"/>
    <n v="0"/>
    <n v="16305"/>
    <n v="4001"/>
  </r>
  <r>
    <x v="0"/>
    <x v="4"/>
    <x v="4"/>
    <x v="283"/>
    <x v="88"/>
    <x v="88"/>
    <s v="REVENUS"/>
    <x v="3"/>
    <s v="4002.001"/>
    <s v="Impôt ordinaire s/fortune PP"/>
    <n v="0"/>
    <n v="2897.5"/>
    <n v="4002"/>
  </r>
  <r>
    <x v="0"/>
    <x v="4"/>
    <x v="4"/>
    <x v="283"/>
    <x v="88"/>
    <x v="88"/>
    <s v="REVENUS"/>
    <x v="2"/>
    <s v="4001.002"/>
    <s v="Impôt complément s/revenu PP"/>
    <n v="0"/>
    <n v="235405.65"/>
    <n v="4001"/>
  </r>
  <r>
    <x v="0"/>
    <x v="4"/>
    <x v="4"/>
    <x v="283"/>
    <x v="88"/>
    <x v="88"/>
    <s v="REVENUS"/>
    <x v="3"/>
    <s v="4002.002"/>
    <s v="Impôt complémentaire s/fortune PP"/>
    <n v="0"/>
    <n v="34070.75"/>
    <n v="4002"/>
  </r>
  <r>
    <x v="0"/>
    <x v="4"/>
    <x v="4"/>
    <x v="283"/>
    <x v="88"/>
    <x v="88"/>
    <s v="REVENUS"/>
    <x v="6"/>
    <s v="4211.002"/>
    <s v="Intérêts de retard sur acomptes"/>
    <n v="0"/>
    <n v="17616.3"/>
    <n v="4211"/>
  </r>
  <r>
    <x v="0"/>
    <x v="4"/>
    <x v="4"/>
    <x v="283"/>
    <x v="88"/>
    <x v="88"/>
    <s v="REVENUS"/>
    <x v="2"/>
    <s v="4001.007"/>
    <s v="Acompte impôt sur revenu"/>
    <n v="0"/>
    <n v="-213.75"/>
    <n v="4001"/>
  </r>
  <r>
    <x v="0"/>
    <x v="4"/>
    <x v="4"/>
    <x v="283"/>
    <x v="88"/>
    <x v="88"/>
    <s v="REVENUS"/>
    <x v="2"/>
    <s v="4001.003"/>
    <s v="Impôt s/prest. cap. PP"/>
    <n v="0"/>
    <n v="84446.65"/>
    <n v="4001"/>
  </r>
  <r>
    <x v="0"/>
    <x v="4"/>
    <x v="4"/>
    <x v="283"/>
    <x v="88"/>
    <x v="88"/>
    <s v="REVENUS"/>
    <x v="10"/>
    <s v="4041.001"/>
    <s v="Droits de mutation"/>
    <n v="0"/>
    <n v="145949.79999999999"/>
    <n v="4041"/>
  </r>
  <r>
    <x v="0"/>
    <x v="4"/>
    <x v="4"/>
    <x v="283"/>
    <x v="88"/>
    <x v="88"/>
    <s v="REVENUS"/>
    <x v="6"/>
    <s v="4221.002"/>
    <s v="Intérêts compensat. sur impôts distincts"/>
    <n v="0"/>
    <n v="129.78"/>
    <n v="4221"/>
  </r>
  <r>
    <x v="0"/>
    <x v="4"/>
    <x v="4"/>
    <x v="283"/>
    <x v="88"/>
    <x v="88"/>
    <s v="REVENUS"/>
    <x v="2"/>
    <s v="4001.001"/>
    <s v="Impôt revenu"/>
    <n v="0"/>
    <n v="2926.75"/>
    <n v="4001"/>
  </r>
  <r>
    <x v="0"/>
    <x v="4"/>
    <x v="4"/>
    <x v="283"/>
    <x v="88"/>
    <x v="88"/>
    <s v="REVENUS"/>
    <x v="2"/>
    <s v="4001.007"/>
    <s v="Acompte impôt sur revenu"/>
    <n v="0"/>
    <n v="-2174.4899999999998"/>
    <n v="4001"/>
  </r>
  <r>
    <x v="0"/>
    <x v="4"/>
    <x v="4"/>
    <x v="283"/>
    <x v="88"/>
    <x v="88"/>
    <s v="REVENUS"/>
    <x v="3"/>
    <s v="4002.001"/>
    <s v="Impôt ordinaire s/fortune PP"/>
    <n v="0"/>
    <n v="1287.2"/>
    <n v="4002"/>
  </r>
  <r>
    <x v="0"/>
    <x v="4"/>
    <x v="4"/>
    <x v="283"/>
    <x v="88"/>
    <x v="88"/>
    <s v="REVENUS"/>
    <x v="3"/>
    <s v="4002.007"/>
    <s v="Acompte impôt sur fortune"/>
    <n v="0"/>
    <n v="-750.69"/>
    <n v="4002"/>
  </r>
  <r>
    <x v="0"/>
    <x v="4"/>
    <x v="4"/>
    <x v="283"/>
    <x v="88"/>
    <x v="88"/>
    <s v="REVENUS"/>
    <x v="6"/>
    <s v="4221.003"/>
    <s v="Intérêts compensat. / acomptes en faveur du fisc"/>
    <n v="0"/>
    <n v="0.19"/>
    <n v="4221"/>
  </r>
  <r>
    <x v="0"/>
    <x v="4"/>
    <x v="4"/>
    <x v="283"/>
    <x v="88"/>
    <x v="88"/>
    <s v="REVENUS"/>
    <x v="7"/>
    <s v="4184.000"/>
    <s v="Frais de poursuite"/>
    <n v="0"/>
    <n v="1072.17"/>
    <n v="4184"/>
  </r>
  <r>
    <x v="0"/>
    <x v="4"/>
    <x v="4"/>
    <x v="283"/>
    <x v="88"/>
    <x v="88"/>
    <s v="REVENUS"/>
    <x v="2"/>
    <s v="4001.007"/>
    <s v="Acompte impôt sur revenu"/>
    <n v="0"/>
    <n v="1607.12"/>
    <n v="4001"/>
  </r>
  <r>
    <x v="0"/>
    <x v="4"/>
    <x v="4"/>
    <x v="283"/>
    <x v="88"/>
    <x v="88"/>
    <s v="REVENUS"/>
    <x v="2"/>
    <s v="4001.007"/>
    <s v="Acompte impôt sur revenu"/>
    <n v="0"/>
    <n v="-7208.65"/>
    <n v="4001"/>
  </r>
  <r>
    <x v="0"/>
    <x v="4"/>
    <x v="4"/>
    <x v="283"/>
    <x v="88"/>
    <x v="88"/>
    <s v="REVENUS"/>
    <x v="3"/>
    <s v="4002.007"/>
    <s v="Acompte impôt sur fortune"/>
    <n v="0"/>
    <n v="-733.18"/>
    <n v="4002"/>
  </r>
  <r>
    <x v="0"/>
    <x v="4"/>
    <x v="4"/>
    <x v="283"/>
    <x v="88"/>
    <x v="88"/>
    <s v="REVENUS"/>
    <x v="6"/>
    <s v="4211.001"/>
    <s v="Intérêts de retard sur factures"/>
    <n v="0"/>
    <n v="37.020000000000003"/>
    <n v="4211"/>
  </r>
  <r>
    <x v="0"/>
    <x v="4"/>
    <x v="4"/>
    <x v="283"/>
    <x v="88"/>
    <x v="88"/>
    <s v="REVENUS"/>
    <x v="6"/>
    <s v="4211.002"/>
    <s v="Intérêts de retard sur acomptes"/>
    <n v="0"/>
    <n v="2.58"/>
    <n v="4211"/>
  </r>
  <r>
    <x v="0"/>
    <x v="4"/>
    <x v="4"/>
    <x v="283"/>
    <x v="88"/>
    <x v="88"/>
    <s v="REVENUS"/>
    <x v="3"/>
    <s v="4002.007"/>
    <s v="Acompte impôt sur fortune"/>
    <n v="0"/>
    <n v="275.85000000000002"/>
    <n v="4002"/>
  </r>
  <r>
    <x v="0"/>
    <x v="4"/>
    <x v="4"/>
    <x v="283"/>
    <x v="88"/>
    <x v="88"/>
    <s v="REVENUS"/>
    <x v="3"/>
    <s v="4002.007"/>
    <s v="Acompte impôt sur fortune"/>
    <n v="0"/>
    <n v="772.15"/>
    <n v="4002"/>
  </r>
  <r>
    <x v="0"/>
    <x v="4"/>
    <x v="4"/>
    <x v="283"/>
    <x v="88"/>
    <x v="88"/>
    <s v="REVENUS"/>
    <x v="2"/>
    <s v="4001.007"/>
    <s v="Acompte impôt sur revenu"/>
    <n v="0"/>
    <n v="1361.15"/>
    <n v="4001"/>
  </r>
  <r>
    <x v="0"/>
    <x v="4"/>
    <x v="4"/>
    <x v="283"/>
    <x v="88"/>
    <x v="88"/>
    <s v="REVENUS"/>
    <x v="9"/>
    <s v="4031.001"/>
    <s v="Impôt sur les gains immobiliers"/>
    <n v="0"/>
    <n v="114622.25"/>
    <n v="4031"/>
  </r>
  <r>
    <x v="0"/>
    <x v="4"/>
    <x v="4"/>
    <x v="283"/>
    <x v="88"/>
    <x v="88"/>
    <s v="REVENUS"/>
    <x v="2"/>
    <s v="4001.001"/>
    <s v="Impôt revenu"/>
    <n v="0"/>
    <n v="507.9"/>
    <n v="4001"/>
  </r>
  <r>
    <x v="0"/>
    <x v="4"/>
    <x v="4"/>
    <x v="283"/>
    <x v="88"/>
    <x v="88"/>
    <s v="REVENUS"/>
    <x v="2"/>
    <s v="4001.007"/>
    <s v="Acompte impôt sur revenu"/>
    <n v="0"/>
    <n v="-45.05"/>
    <n v="4001"/>
  </r>
  <r>
    <x v="0"/>
    <x v="4"/>
    <x v="4"/>
    <x v="283"/>
    <x v="88"/>
    <x v="88"/>
    <s v="REVENUS"/>
    <x v="3"/>
    <s v="4002.007"/>
    <s v="Acompte impôt sur fortune"/>
    <n v="0"/>
    <n v="926.94"/>
    <n v="4002"/>
  </r>
  <r>
    <x v="0"/>
    <x v="4"/>
    <x v="4"/>
    <x v="283"/>
    <x v="88"/>
    <x v="88"/>
    <s v="REVENUS"/>
    <x v="2"/>
    <s v="4001.007"/>
    <s v="Acompte impôt sur revenu"/>
    <n v="0"/>
    <n v="-177"/>
    <n v="4001"/>
  </r>
  <r>
    <x v="0"/>
    <x v="4"/>
    <x v="4"/>
    <x v="283"/>
    <x v="88"/>
    <x v="88"/>
    <s v="REVENUS"/>
    <x v="3"/>
    <s v="4002.007"/>
    <s v="Acompte impôt sur fortune"/>
    <n v="0"/>
    <n v="50.9"/>
    <n v="4002"/>
  </r>
  <r>
    <x v="0"/>
    <x v="4"/>
    <x v="4"/>
    <x v="283"/>
    <x v="88"/>
    <x v="88"/>
    <s v="REVENUS"/>
    <x v="7"/>
    <s v="4184.000"/>
    <s v="Frais de poursuite"/>
    <n v="0"/>
    <n v="118.03"/>
    <n v="4184"/>
  </r>
  <r>
    <x v="0"/>
    <x v="4"/>
    <x v="4"/>
    <x v="283"/>
    <x v="88"/>
    <x v="88"/>
    <s v="REVENUS"/>
    <x v="6"/>
    <s v="4211.002"/>
    <s v="Intérêts de retard sur acomptes"/>
    <n v="0"/>
    <n v="38.17"/>
    <n v="4211"/>
  </r>
  <r>
    <x v="0"/>
    <x v="4"/>
    <x v="4"/>
    <x v="283"/>
    <x v="88"/>
    <x v="88"/>
    <s v="REVENUS"/>
    <x v="6"/>
    <s v="4211.001"/>
    <s v="Intérêts de retard sur factures"/>
    <n v="0"/>
    <n v="2.06"/>
    <n v="4211"/>
  </r>
  <r>
    <x v="0"/>
    <x v="4"/>
    <x v="4"/>
    <x v="283"/>
    <x v="88"/>
    <x v="88"/>
    <s v="REVENUS"/>
    <x v="6"/>
    <s v="4221.003"/>
    <s v="Intérêts compensat. / acomptes en faveur du fisc"/>
    <n v="0"/>
    <n v="12.53"/>
    <n v="4221"/>
  </r>
  <r>
    <x v="0"/>
    <x v="4"/>
    <x v="4"/>
    <x v="283"/>
    <x v="88"/>
    <x v="88"/>
    <s v="REVENUS"/>
    <x v="3"/>
    <s v="4002.001"/>
    <s v="Impôt ordinaire s/fortune PP"/>
    <n v="0"/>
    <n v="1062.6500000000001"/>
    <n v="4002"/>
  </r>
  <r>
    <x v="0"/>
    <x v="4"/>
    <x v="4"/>
    <x v="283"/>
    <x v="88"/>
    <x v="88"/>
    <s v="REVENUS"/>
    <x v="2"/>
    <s v="4001.001"/>
    <s v="Impôt revenu"/>
    <n v="0"/>
    <n v="2741.65"/>
    <n v="4001"/>
  </r>
  <r>
    <x v="0"/>
    <x v="4"/>
    <x v="4"/>
    <x v="283"/>
    <x v="88"/>
    <x v="88"/>
    <s v="REVENUS"/>
    <x v="6"/>
    <s v="4211.002"/>
    <s v="Intérêts de retard sur acomptes"/>
    <n v="0"/>
    <n v="94.66"/>
    <n v="4211"/>
  </r>
  <r>
    <x v="0"/>
    <x v="4"/>
    <x v="4"/>
    <x v="283"/>
    <x v="88"/>
    <x v="88"/>
    <s v="REVENUS"/>
    <x v="5"/>
    <s v="4061.000"/>
    <s v="Impôt sur les chiens"/>
    <n v="0"/>
    <n v="15450"/>
    <n v="4061"/>
  </r>
  <r>
    <x v="0"/>
    <x v="4"/>
    <x v="4"/>
    <x v="283"/>
    <x v="88"/>
    <x v="88"/>
    <s v="REVENUS"/>
    <x v="2"/>
    <s v="4001.001"/>
    <s v="Impôt revenu"/>
    <n v="0"/>
    <n v="-8534.85"/>
    <n v="4001"/>
  </r>
  <r>
    <x v="0"/>
    <x v="4"/>
    <x v="4"/>
    <x v="283"/>
    <x v="88"/>
    <x v="88"/>
    <s v="REVENUS"/>
    <x v="6"/>
    <s v="4211.001"/>
    <s v="Intérêts de retard sur factures"/>
    <n v="0"/>
    <n v="-0.57999999999999996"/>
    <n v="4211"/>
  </r>
  <r>
    <x v="0"/>
    <x v="4"/>
    <x v="4"/>
    <x v="283"/>
    <x v="88"/>
    <x v="88"/>
    <s v="REVENUS"/>
    <x v="6"/>
    <s v="4221.003"/>
    <s v="Intérêts compensat. / acomptes en faveur du fisc"/>
    <n v="0"/>
    <n v="-0.1"/>
    <n v="4221"/>
  </r>
  <r>
    <x v="0"/>
    <x v="4"/>
    <x v="4"/>
    <x v="283"/>
    <x v="88"/>
    <x v="88"/>
    <s v="REVENUS"/>
    <x v="2"/>
    <s v="4001.002"/>
    <s v="Impôt complément s/revenu PP"/>
    <n v="0"/>
    <n v="10508.85"/>
    <n v="4001"/>
  </r>
  <r>
    <x v="0"/>
    <x v="4"/>
    <x v="4"/>
    <x v="283"/>
    <x v="88"/>
    <x v="88"/>
    <s v="REVENUS"/>
    <x v="6"/>
    <s v="4211.002"/>
    <s v="Intérêts de retard sur acomptes"/>
    <n v="0"/>
    <n v="189.42"/>
    <n v="4211"/>
  </r>
  <r>
    <x v="0"/>
    <x v="4"/>
    <x v="4"/>
    <x v="283"/>
    <x v="88"/>
    <x v="88"/>
    <s v="REVENUS"/>
    <x v="6"/>
    <s v="4211.001"/>
    <s v="Intérêts de retard sur factures"/>
    <n v="0"/>
    <n v="9.0500000000000007"/>
    <n v="4211"/>
  </r>
  <r>
    <x v="0"/>
    <x v="4"/>
    <x v="4"/>
    <x v="283"/>
    <x v="88"/>
    <x v="88"/>
    <s v="REVENUS"/>
    <x v="4"/>
    <s v="4051.001"/>
    <s v="Impôt sur les successions"/>
    <n v="0"/>
    <n v="117377.60000000001"/>
    <n v="4051"/>
  </r>
  <r>
    <x v="0"/>
    <x v="4"/>
    <x v="4"/>
    <x v="283"/>
    <x v="88"/>
    <x v="88"/>
    <s v="REVENUS"/>
    <x v="3"/>
    <s v="4002.001"/>
    <s v="Impôt ordinaire s/fortune PP"/>
    <n v="0"/>
    <n v="126.1"/>
    <n v="4002"/>
  </r>
  <r>
    <x v="0"/>
    <x v="4"/>
    <x v="4"/>
    <x v="283"/>
    <x v="88"/>
    <x v="88"/>
    <s v="REVENUS"/>
    <x v="2"/>
    <s v="4001.001"/>
    <s v="Impôt revenu"/>
    <n v="0"/>
    <n v="551.45000000000005"/>
    <n v="4001"/>
  </r>
  <r>
    <x v="0"/>
    <x v="4"/>
    <x v="4"/>
    <x v="283"/>
    <x v="88"/>
    <x v="88"/>
    <s v="REVENUS"/>
    <x v="3"/>
    <s v="4002.001"/>
    <s v="Impôt ordinaire s/fortune PP"/>
    <n v="0"/>
    <n v="147.94999999999999"/>
    <n v="4002"/>
  </r>
  <r>
    <x v="0"/>
    <x v="4"/>
    <x v="4"/>
    <x v="283"/>
    <x v="88"/>
    <x v="88"/>
    <s v="REVENUS"/>
    <x v="6"/>
    <s v="4221.003"/>
    <s v="Intérêts compensat. / acomptes en faveur du fisc"/>
    <n v="0"/>
    <n v="0.23"/>
    <n v="4221"/>
  </r>
  <r>
    <x v="0"/>
    <x v="4"/>
    <x v="4"/>
    <x v="283"/>
    <x v="88"/>
    <x v="88"/>
    <s v="REVENUS"/>
    <x v="7"/>
    <s v="4184.000"/>
    <s v="Frais de poursuite"/>
    <n v="0"/>
    <n v="4.96"/>
    <n v="4184"/>
  </r>
  <r>
    <x v="0"/>
    <x v="4"/>
    <x v="4"/>
    <x v="283"/>
    <x v="88"/>
    <x v="88"/>
    <s v="REVENUS"/>
    <x v="6"/>
    <s v="4221.003"/>
    <s v="Intérêts compensat. / acomptes en faveur du fisc"/>
    <n v="0"/>
    <n v="0.02"/>
    <n v="4221"/>
  </r>
  <r>
    <x v="0"/>
    <x v="4"/>
    <x v="4"/>
    <x v="283"/>
    <x v="88"/>
    <x v="88"/>
    <s v="REVENUS"/>
    <x v="2"/>
    <s v="4001.002"/>
    <s v="Impôt complément s/revenu PP"/>
    <n v="0"/>
    <n v="62.8"/>
    <n v="4001"/>
  </r>
  <r>
    <x v="0"/>
    <x v="4"/>
    <x v="4"/>
    <x v="283"/>
    <x v="88"/>
    <x v="88"/>
    <s v="REVENUS"/>
    <x v="9"/>
    <s v="4031.002"/>
    <s v="Complément impôt sur les gains immobiliers"/>
    <n v="0"/>
    <n v="1783.5"/>
    <n v="4031"/>
  </r>
  <r>
    <x v="0"/>
    <x v="4"/>
    <x v="4"/>
    <x v="283"/>
    <x v="88"/>
    <x v="88"/>
    <s v="REVENUS"/>
    <x v="8"/>
    <s v="4091.001"/>
    <s v="Impôt récupéré après défalcations"/>
    <n v="0"/>
    <n v="603.1"/>
    <n v="4091"/>
  </r>
  <r>
    <x v="0"/>
    <x v="4"/>
    <x v="4"/>
    <x v="283"/>
    <x v="88"/>
    <x v="88"/>
    <s v="REVENUS"/>
    <x v="6"/>
    <s v="4211.001"/>
    <s v="Intérêts de retard sur factures"/>
    <n v="0"/>
    <n v="15.6"/>
    <n v="4211"/>
  </r>
  <r>
    <x v="0"/>
    <x v="7"/>
    <x v="6"/>
    <x v="284"/>
    <x v="230"/>
    <x v="230"/>
    <s v="CHARGES"/>
    <x v="1"/>
    <s v="3301.001"/>
    <s v="Défalcations, abandons de solde PP et IS"/>
    <n v="548.6"/>
    <n v="0"/>
    <n v="3301"/>
  </r>
  <r>
    <x v="0"/>
    <x v="7"/>
    <x v="6"/>
    <x v="284"/>
    <x v="230"/>
    <x v="230"/>
    <s v="CHARGES"/>
    <x v="0"/>
    <s v="3212.002"/>
    <s v="Intérêts bonifiés/trop perçu acompte C/C"/>
    <n v="22.81"/>
    <n v="0"/>
    <n v="3212"/>
  </r>
  <r>
    <x v="0"/>
    <x v="7"/>
    <x v="6"/>
    <x v="284"/>
    <x v="230"/>
    <x v="230"/>
    <s v="CHARGES"/>
    <x v="0"/>
    <s v="3212.004"/>
    <s v="Intérêts rémun./perçu trop tôt sur acomptes C/C"/>
    <n v="1549.49"/>
    <n v="0"/>
    <n v="3212"/>
  </r>
  <r>
    <x v="0"/>
    <x v="7"/>
    <x v="6"/>
    <x v="284"/>
    <x v="230"/>
    <x v="230"/>
    <s v="CHARGES"/>
    <x v="0"/>
    <s v="3221.002"/>
    <s v="Intérêts compensatoires / créances en faveur ctb."/>
    <n v="573.11"/>
    <n v="0"/>
    <n v="3221"/>
  </r>
  <r>
    <x v="0"/>
    <x v="7"/>
    <x v="6"/>
    <x v="284"/>
    <x v="230"/>
    <x v="230"/>
    <s v="CHARGES"/>
    <x v="1"/>
    <s v="3301.001"/>
    <s v="Défalcations, abandons de solde PP et IS"/>
    <n v="98932.18"/>
    <n v="0"/>
    <n v="3301"/>
  </r>
  <r>
    <x v="0"/>
    <x v="7"/>
    <x v="6"/>
    <x v="284"/>
    <x v="230"/>
    <x v="230"/>
    <s v="CHARGES"/>
    <x v="0"/>
    <s v="3212.004"/>
    <s v="Intérêts rémun./perçu trop tôt sur acomptes C/C"/>
    <n v="5.14"/>
    <n v="0"/>
    <n v="3212"/>
  </r>
  <r>
    <x v="0"/>
    <x v="7"/>
    <x v="6"/>
    <x v="284"/>
    <x v="230"/>
    <x v="230"/>
    <s v="CHARGES"/>
    <x v="0"/>
    <s v="3221.002"/>
    <s v="Intérêts compensatoires / créances en faveur ctb."/>
    <n v="3.55"/>
    <n v="0"/>
    <n v="3221"/>
  </r>
  <r>
    <x v="0"/>
    <x v="7"/>
    <x v="6"/>
    <x v="284"/>
    <x v="230"/>
    <x v="230"/>
    <s v="CHARGES"/>
    <x v="0"/>
    <s v="3221.002"/>
    <s v="Intérêts compensatoires / créances en faveur ctb."/>
    <n v="24.46"/>
    <n v="0"/>
    <n v="3221"/>
  </r>
  <r>
    <x v="0"/>
    <x v="7"/>
    <x v="6"/>
    <x v="284"/>
    <x v="230"/>
    <x v="230"/>
    <s v="CHARGES"/>
    <x v="1"/>
    <s v="3301.001"/>
    <s v="Défalcations, abandons de solde PP et IS"/>
    <n v="-9.48"/>
    <n v="0"/>
    <n v="3301"/>
  </r>
  <r>
    <x v="0"/>
    <x v="7"/>
    <x v="6"/>
    <x v="284"/>
    <x v="230"/>
    <x v="230"/>
    <s v="CHARGES"/>
    <x v="1"/>
    <s v="3301.001"/>
    <s v="Défalcations, abandons de solde PP et IS"/>
    <n v="17892.68"/>
    <n v="0"/>
    <n v="3301"/>
  </r>
  <r>
    <x v="0"/>
    <x v="7"/>
    <x v="6"/>
    <x v="284"/>
    <x v="230"/>
    <x v="230"/>
    <s v="CHARGES"/>
    <x v="1"/>
    <s v="3301.001"/>
    <s v="Défalcations, abandons de solde PP et IS"/>
    <n v="5.43"/>
    <n v="0"/>
    <n v="3301"/>
  </r>
  <r>
    <x v="0"/>
    <x v="7"/>
    <x v="6"/>
    <x v="284"/>
    <x v="230"/>
    <x v="230"/>
    <s v="CHARGES"/>
    <x v="1"/>
    <s v="3301.001"/>
    <s v="Défalcations, abandons de solde PP et IS"/>
    <n v="0.51"/>
    <n v="0"/>
    <n v="3301"/>
  </r>
  <r>
    <x v="0"/>
    <x v="7"/>
    <x v="6"/>
    <x v="284"/>
    <x v="230"/>
    <x v="230"/>
    <s v="CHARGES"/>
    <x v="0"/>
    <s v="3212.004"/>
    <s v="Intérêts rémun./perçu trop tôt sur acomptes C/C"/>
    <n v="1.6"/>
    <n v="0"/>
    <n v="3212"/>
  </r>
  <r>
    <x v="0"/>
    <x v="7"/>
    <x v="6"/>
    <x v="284"/>
    <x v="230"/>
    <x v="230"/>
    <s v="CHARGES"/>
    <x v="0"/>
    <s v="3212.004"/>
    <s v="Intérêts rémun./perçu trop tôt sur acomptes C/C"/>
    <n v="58.97"/>
    <n v="0"/>
    <n v="3212"/>
  </r>
  <r>
    <x v="0"/>
    <x v="7"/>
    <x v="6"/>
    <x v="284"/>
    <x v="230"/>
    <x v="230"/>
    <s v="CHARGES"/>
    <x v="0"/>
    <s v="3212.002"/>
    <s v="Intérêts bonifiés/trop perçu acompte C/C"/>
    <n v="0.01"/>
    <n v="0"/>
    <n v="3212"/>
  </r>
  <r>
    <x v="0"/>
    <x v="7"/>
    <x v="6"/>
    <x v="284"/>
    <x v="230"/>
    <x v="230"/>
    <s v="CHARGES"/>
    <x v="1"/>
    <s v="3301.001"/>
    <s v="Défalcations, abandons de solde PP et IS"/>
    <n v="1.21"/>
    <n v="0"/>
    <n v="3301"/>
  </r>
  <r>
    <x v="0"/>
    <x v="7"/>
    <x v="6"/>
    <x v="284"/>
    <x v="230"/>
    <x v="230"/>
    <s v="CHARGES"/>
    <x v="1"/>
    <s v="3301.001"/>
    <s v="Défalcations, abandons de solde PP et IS"/>
    <n v="0.01"/>
    <n v="0"/>
    <n v="3301"/>
  </r>
  <r>
    <x v="0"/>
    <x v="7"/>
    <x v="6"/>
    <x v="284"/>
    <x v="230"/>
    <x v="230"/>
    <s v="CHARGES"/>
    <x v="0"/>
    <s v="3212.004"/>
    <s v="Intérêts rémun./perçu trop tôt sur acomptes C/C"/>
    <n v="4.08"/>
    <n v="0"/>
    <n v="3212"/>
  </r>
  <r>
    <x v="0"/>
    <x v="7"/>
    <x v="6"/>
    <x v="284"/>
    <x v="230"/>
    <x v="230"/>
    <s v="CHARGES"/>
    <x v="0"/>
    <s v="3221.002"/>
    <s v="Intérêts compensatoires / créances en faveur ctb."/>
    <n v="0.66"/>
    <n v="0"/>
    <n v="3221"/>
  </r>
  <r>
    <x v="0"/>
    <x v="7"/>
    <x v="6"/>
    <x v="284"/>
    <x v="230"/>
    <x v="230"/>
    <s v="CHARGES"/>
    <x v="0"/>
    <s v="3212.004"/>
    <s v="Intérêts rémun./perçu trop tôt sur acomptes C/C"/>
    <n v="-0.03"/>
    <n v="0"/>
    <n v="3212"/>
  </r>
  <r>
    <x v="0"/>
    <x v="7"/>
    <x v="6"/>
    <x v="284"/>
    <x v="230"/>
    <x v="230"/>
    <s v="CHARGES"/>
    <x v="0"/>
    <s v="3212.004"/>
    <s v="Intérêts rémun./perçu trop tôt sur acomptes C/C"/>
    <n v="0.81"/>
    <n v="0"/>
    <n v="3212"/>
  </r>
  <r>
    <x v="0"/>
    <x v="7"/>
    <x v="6"/>
    <x v="284"/>
    <x v="230"/>
    <x v="230"/>
    <s v="CHARGES"/>
    <x v="0"/>
    <s v="3221.002"/>
    <s v="Intérêts compensatoires / créances en faveur ctb."/>
    <n v="7.0000000000000007E-2"/>
    <n v="0"/>
    <n v="3221"/>
  </r>
  <r>
    <x v="0"/>
    <x v="7"/>
    <x v="6"/>
    <x v="284"/>
    <x v="230"/>
    <x v="230"/>
    <s v="CHARGES"/>
    <x v="1"/>
    <s v="3301.003"/>
    <s v="Remises PP et IS"/>
    <n v="1380.45"/>
    <n v="0"/>
    <n v="3301"/>
  </r>
  <r>
    <x v="0"/>
    <x v="7"/>
    <x v="6"/>
    <x v="284"/>
    <x v="230"/>
    <x v="230"/>
    <s v="CHARGES"/>
    <x v="0"/>
    <s v="3221.002"/>
    <s v="Intérêts compensatoires / créances en faveur ctb."/>
    <n v="1.1200000000000001"/>
    <n v="0"/>
    <n v="3221"/>
  </r>
  <r>
    <x v="0"/>
    <x v="7"/>
    <x v="6"/>
    <x v="284"/>
    <x v="230"/>
    <x v="230"/>
    <s v="CHARGES"/>
    <x v="0"/>
    <s v="3212.004"/>
    <s v="Intérêts rémun./perçu trop tôt sur acomptes C/C"/>
    <n v="1.43"/>
    <n v="0"/>
    <n v="3212"/>
  </r>
  <r>
    <x v="0"/>
    <x v="7"/>
    <x v="6"/>
    <x v="284"/>
    <x v="230"/>
    <x v="230"/>
    <s v="CHARGES"/>
    <x v="0"/>
    <s v="3212.004"/>
    <s v="Intérêts rémun./perçu trop tôt sur acomptes C/C"/>
    <n v="0.47"/>
    <n v="0"/>
    <n v="3212"/>
  </r>
  <r>
    <x v="0"/>
    <x v="7"/>
    <x v="6"/>
    <x v="284"/>
    <x v="230"/>
    <x v="230"/>
    <s v="CHARGES"/>
    <x v="0"/>
    <s v="3221.002"/>
    <s v="Intérêts compensatoires / créances en faveur ctb."/>
    <n v="0.15"/>
    <n v="0"/>
    <n v="3221"/>
  </r>
  <r>
    <x v="0"/>
    <x v="7"/>
    <x v="6"/>
    <x v="284"/>
    <x v="230"/>
    <x v="230"/>
    <s v="CHARGES"/>
    <x v="0"/>
    <s v="3221.002"/>
    <s v="Intérêts compensatoires / créances en faveur ctb."/>
    <n v="0.48"/>
    <n v="0"/>
    <n v="3221"/>
  </r>
  <r>
    <x v="0"/>
    <x v="7"/>
    <x v="6"/>
    <x v="284"/>
    <x v="230"/>
    <x v="230"/>
    <s v="CHARGES"/>
    <x v="0"/>
    <s v="3212.002"/>
    <s v="Intérêts bonifiés/trop perçu acompte C/C"/>
    <n v="-0.17"/>
    <n v="0"/>
    <n v="3212"/>
  </r>
  <r>
    <x v="0"/>
    <x v="7"/>
    <x v="6"/>
    <x v="284"/>
    <x v="230"/>
    <x v="230"/>
    <s v="REVENUS"/>
    <x v="2"/>
    <s v="4001.001"/>
    <s v="Impôt revenu"/>
    <n v="0"/>
    <n v="11042.75"/>
    <n v="4001"/>
  </r>
  <r>
    <x v="0"/>
    <x v="7"/>
    <x v="6"/>
    <x v="284"/>
    <x v="230"/>
    <x v="230"/>
    <s v="REVENUS"/>
    <x v="6"/>
    <s v="4211.002"/>
    <s v="Intérêts de retard sur acomptes"/>
    <n v="0"/>
    <n v="235.3"/>
    <n v="4211"/>
  </r>
  <r>
    <x v="0"/>
    <x v="7"/>
    <x v="6"/>
    <x v="284"/>
    <x v="230"/>
    <x v="230"/>
    <s v="REVENUS"/>
    <x v="6"/>
    <s v="4221.003"/>
    <s v="Intérêts compensat. / acomptes en faveur du fisc"/>
    <n v="0"/>
    <n v="3.39"/>
    <n v="4221"/>
  </r>
  <r>
    <x v="0"/>
    <x v="7"/>
    <x v="6"/>
    <x v="284"/>
    <x v="230"/>
    <x v="230"/>
    <s v="REVENUS"/>
    <x v="6"/>
    <s v="4211.001"/>
    <s v="Intérêts de retard sur factures"/>
    <n v="0"/>
    <n v="125.76"/>
    <n v="4211"/>
  </r>
  <r>
    <x v="0"/>
    <x v="7"/>
    <x v="6"/>
    <x v="284"/>
    <x v="230"/>
    <x v="230"/>
    <s v="REVENUS"/>
    <x v="2"/>
    <s v="4001.007"/>
    <s v="Acompte impôt sur revenu"/>
    <n v="0"/>
    <n v="-2550"/>
    <n v="4001"/>
  </r>
  <r>
    <x v="0"/>
    <x v="7"/>
    <x v="6"/>
    <x v="284"/>
    <x v="230"/>
    <x v="230"/>
    <s v="REVENUS"/>
    <x v="3"/>
    <s v="4002.007"/>
    <s v="Acompte impôt sur fortune"/>
    <n v="0"/>
    <n v="-1500.55"/>
    <n v="4002"/>
  </r>
  <r>
    <x v="0"/>
    <x v="7"/>
    <x v="6"/>
    <x v="284"/>
    <x v="230"/>
    <x v="230"/>
    <s v="REVENUS"/>
    <x v="2"/>
    <s v="4001.001"/>
    <s v="Impôt revenu"/>
    <n v="0"/>
    <n v="42405.9"/>
    <n v="4001"/>
  </r>
  <r>
    <x v="0"/>
    <x v="7"/>
    <x v="6"/>
    <x v="284"/>
    <x v="230"/>
    <x v="230"/>
    <s v="REVENUS"/>
    <x v="3"/>
    <s v="4002.001"/>
    <s v="Impôt ordinaire s/fortune PP"/>
    <n v="0"/>
    <n v="9107.9500000000007"/>
    <n v="4002"/>
  </r>
  <r>
    <x v="0"/>
    <x v="7"/>
    <x v="6"/>
    <x v="284"/>
    <x v="230"/>
    <x v="230"/>
    <s v="REVENUS"/>
    <x v="6"/>
    <s v="4211.002"/>
    <s v="Intérêts de retard sur acomptes"/>
    <n v="0"/>
    <n v="255.69"/>
    <n v="4211"/>
  </r>
  <r>
    <x v="0"/>
    <x v="7"/>
    <x v="6"/>
    <x v="284"/>
    <x v="230"/>
    <x v="230"/>
    <s v="REVENUS"/>
    <x v="2"/>
    <s v="4001.001"/>
    <s v="Impôt revenu"/>
    <n v="0"/>
    <n v="7161863.9000000004"/>
    <n v="4001"/>
  </r>
  <r>
    <x v="0"/>
    <x v="7"/>
    <x v="6"/>
    <x v="284"/>
    <x v="230"/>
    <x v="230"/>
    <s v="REVENUS"/>
    <x v="2"/>
    <s v="4001.002"/>
    <s v="Impôt complément s/revenu PP"/>
    <n v="0"/>
    <n v="589323.44999999995"/>
    <n v="4001"/>
  </r>
  <r>
    <x v="0"/>
    <x v="7"/>
    <x v="6"/>
    <x v="284"/>
    <x v="230"/>
    <x v="230"/>
    <s v="REVENUS"/>
    <x v="2"/>
    <s v="4001.007"/>
    <s v="Acompte impôt sur revenu"/>
    <n v="0"/>
    <n v="-54681.95"/>
    <n v="4001"/>
  </r>
  <r>
    <x v="0"/>
    <x v="7"/>
    <x v="6"/>
    <x v="284"/>
    <x v="230"/>
    <x v="230"/>
    <s v="REVENUS"/>
    <x v="3"/>
    <s v="4002.001"/>
    <s v="Impôt ordinaire s/fortune PP"/>
    <n v="0"/>
    <n v="788158.55"/>
    <n v="4002"/>
  </r>
  <r>
    <x v="0"/>
    <x v="7"/>
    <x v="6"/>
    <x v="284"/>
    <x v="230"/>
    <x v="230"/>
    <s v="REVENUS"/>
    <x v="3"/>
    <s v="4002.002"/>
    <s v="Impôt complémentaire s/fortune PP"/>
    <n v="0"/>
    <n v="87845.6"/>
    <n v="4002"/>
  </r>
  <r>
    <x v="0"/>
    <x v="7"/>
    <x v="6"/>
    <x v="284"/>
    <x v="230"/>
    <x v="230"/>
    <s v="REVENUS"/>
    <x v="3"/>
    <s v="4002.007"/>
    <s v="Acompte impôt sur fortune"/>
    <n v="0"/>
    <n v="-30875.15"/>
    <n v="4002"/>
  </r>
  <r>
    <x v="0"/>
    <x v="7"/>
    <x v="6"/>
    <x v="284"/>
    <x v="230"/>
    <x v="230"/>
    <s v="REVENUS"/>
    <x v="9"/>
    <s v="4031.001"/>
    <s v="Impôt sur les gains immobiliers"/>
    <n v="0"/>
    <n v="157502.85"/>
    <n v="4031"/>
  </r>
  <r>
    <x v="0"/>
    <x v="7"/>
    <x v="6"/>
    <x v="284"/>
    <x v="230"/>
    <x v="230"/>
    <s v="REVENUS"/>
    <x v="6"/>
    <s v="4211.001"/>
    <s v="Intérêts de retard sur factures"/>
    <n v="0"/>
    <n v="23692.18"/>
    <n v="4211"/>
  </r>
  <r>
    <x v="0"/>
    <x v="7"/>
    <x v="6"/>
    <x v="284"/>
    <x v="230"/>
    <x v="230"/>
    <s v="REVENUS"/>
    <x v="6"/>
    <s v="4211.002"/>
    <s v="Intérêts de retard sur acomptes"/>
    <n v="0"/>
    <n v="48825.86"/>
    <n v="4211"/>
  </r>
  <r>
    <x v="0"/>
    <x v="7"/>
    <x v="6"/>
    <x v="284"/>
    <x v="230"/>
    <x v="230"/>
    <s v="REVENUS"/>
    <x v="6"/>
    <s v="4221.002"/>
    <s v="Intérêts compensat. sur impôts distincts"/>
    <n v="0"/>
    <n v="160.6"/>
    <n v="4221"/>
  </r>
  <r>
    <x v="0"/>
    <x v="7"/>
    <x v="6"/>
    <x v="284"/>
    <x v="230"/>
    <x v="230"/>
    <s v="REVENUS"/>
    <x v="6"/>
    <s v="4221.003"/>
    <s v="Intérêts compensat. / acomptes en faveur du fisc"/>
    <n v="0"/>
    <n v="722.11"/>
    <n v="4221"/>
  </r>
  <r>
    <x v="0"/>
    <x v="7"/>
    <x v="6"/>
    <x v="284"/>
    <x v="230"/>
    <x v="230"/>
    <s v="REVENUS"/>
    <x v="2"/>
    <s v="4001.003"/>
    <s v="Impôt s/prest. cap. PP"/>
    <n v="0"/>
    <n v="220163.1"/>
    <n v="4001"/>
  </r>
  <r>
    <x v="0"/>
    <x v="7"/>
    <x v="6"/>
    <x v="284"/>
    <x v="230"/>
    <x v="230"/>
    <s v="REVENUS"/>
    <x v="7"/>
    <s v="4184.000"/>
    <s v="Frais de poursuite"/>
    <n v="0"/>
    <n v="13453.67"/>
    <n v="4184"/>
  </r>
  <r>
    <x v="0"/>
    <x v="7"/>
    <x v="6"/>
    <x v="284"/>
    <x v="230"/>
    <x v="230"/>
    <s v="REVENUS"/>
    <x v="2"/>
    <s v="4001.007"/>
    <s v="Acompte impôt sur revenu"/>
    <n v="0"/>
    <n v="-26418"/>
    <n v="4001"/>
  </r>
  <r>
    <x v="0"/>
    <x v="7"/>
    <x v="6"/>
    <x v="284"/>
    <x v="230"/>
    <x v="230"/>
    <s v="REVENUS"/>
    <x v="3"/>
    <s v="4002.007"/>
    <s v="Acompte impôt sur fortune"/>
    <n v="0"/>
    <n v="-2017.56"/>
    <n v="4002"/>
  </r>
  <r>
    <x v="0"/>
    <x v="7"/>
    <x v="6"/>
    <x v="284"/>
    <x v="230"/>
    <x v="230"/>
    <s v="REVENUS"/>
    <x v="2"/>
    <s v="4001.001"/>
    <s v="Impôt revenu"/>
    <n v="0"/>
    <n v="133117.5"/>
    <n v="4001"/>
  </r>
  <r>
    <x v="0"/>
    <x v="7"/>
    <x v="6"/>
    <x v="284"/>
    <x v="230"/>
    <x v="230"/>
    <s v="REVENUS"/>
    <x v="6"/>
    <s v="4221.003"/>
    <s v="Intérêts compensat. / acomptes en faveur du fisc"/>
    <n v="0"/>
    <n v="11.43"/>
    <n v="4221"/>
  </r>
  <r>
    <x v="0"/>
    <x v="7"/>
    <x v="6"/>
    <x v="284"/>
    <x v="230"/>
    <x v="230"/>
    <s v="REVENUS"/>
    <x v="3"/>
    <s v="4002.001"/>
    <s v="Impôt ordinaire s/fortune PP"/>
    <n v="0"/>
    <n v="38415.949999999997"/>
    <n v="4002"/>
  </r>
  <r>
    <x v="0"/>
    <x v="7"/>
    <x v="6"/>
    <x v="284"/>
    <x v="230"/>
    <x v="230"/>
    <s v="REVENUS"/>
    <x v="6"/>
    <s v="4211.002"/>
    <s v="Intérêts de retard sur acomptes"/>
    <n v="0"/>
    <n v="734.07"/>
    <n v="4211"/>
  </r>
  <r>
    <x v="0"/>
    <x v="7"/>
    <x v="6"/>
    <x v="284"/>
    <x v="230"/>
    <x v="230"/>
    <s v="REVENUS"/>
    <x v="10"/>
    <s v="4041.001"/>
    <s v="Droits de mutation"/>
    <n v="0"/>
    <n v="202016.2"/>
    <n v="4041"/>
  </r>
  <r>
    <x v="0"/>
    <x v="7"/>
    <x v="6"/>
    <x v="284"/>
    <x v="230"/>
    <x v="230"/>
    <s v="REVENUS"/>
    <x v="4"/>
    <s v="4051.001"/>
    <s v="Impôt sur les successions"/>
    <n v="0"/>
    <n v="130129.7"/>
    <n v="4051"/>
  </r>
  <r>
    <x v="0"/>
    <x v="7"/>
    <x v="6"/>
    <x v="284"/>
    <x v="230"/>
    <x v="230"/>
    <s v="REVENUS"/>
    <x v="5"/>
    <s v="4061.000"/>
    <s v="Impôt sur les chiens"/>
    <n v="0"/>
    <n v="38750"/>
    <n v="4061"/>
  </r>
  <r>
    <x v="0"/>
    <x v="7"/>
    <x v="6"/>
    <x v="284"/>
    <x v="230"/>
    <x v="230"/>
    <s v="REVENUS"/>
    <x v="2"/>
    <s v="4001.007"/>
    <s v="Acompte impôt sur revenu"/>
    <n v="0"/>
    <n v="7246.27"/>
    <n v="4001"/>
  </r>
  <r>
    <x v="0"/>
    <x v="7"/>
    <x v="6"/>
    <x v="284"/>
    <x v="230"/>
    <x v="230"/>
    <s v="REVENUS"/>
    <x v="3"/>
    <s v="4002.007"/>
    <s v="Acompte impôt sur fortune"/>
    <n v="0"/>
    <n v="6251.79"/>
    <n v="4002"/>
  </r>
  <r>
    <x v="0"/>
    <x v="7"/>
    <x v="6"/>
    <x v="284"/>
    <x v="230"/>
    <x v="230"/>
    <s v="REVENUS"/>
    <x v="2"/>
    <s v="4001.001"/>
    <s v="Impôt revenu"/>
    <n v="0"/>
    <n v="-8153"/>
    <n v="4001"/>
  </r>
  <r>
    <x v="0"/>
    <x v="7"/>
    <x v="6"/>
    <x v="284"/>
    <x v="230"/>
    <x v="230"/>
    <s v="REVENUS"/>
    <x v="3"/>
    <s v="4002.001"/>
    <s v="Impôt ordinaire s/fortune PP"/>
    <n v="0"/>
    <n v="-387.2"/>
    <n v="4002"/>
  </r>
  <r>
    <x v="0"/>
    <x v="7"/>
    <x v="6"/>
    <x v="284"/>
    <x v="230"/>
    <x v="230"/>
    <s v="REVENUS"/>
    <x v="6"/>
    <s v="4211.001"/>
    <s v="Intérêts de retard sur factures"/>
    <n v="0"/>
    <n v="-8.77"/>
    <n v="4211"/>
  </r>
  <r>
    <x v="0"/>
    <x v="7"/>
    <x v="6"/>
    <x v="284"/>
    <x v="230"/>
    <x v="230"/>
    <s v="REVENUS"/>
    <x v="6"/>
    <s v="4211.002"/>
    <s v="Intérêts de retard sur acomptes"/>
    <n v="0"/>
    <n v="-92.56"/>
    <n v="4211"/>
  </r>
  <r>
    <x v="0"/>
    <x v="7"/>
    <x v="6"/>
    <x v="284"/>
    <x v="230"/>
    <x v="230"/>
    <s v="REVENUS"/>
    <x v="7"/>
    <s v="4184.000"/>
    <s v="Frais de poursuite"/>
    <n v="0"/>
    <n v="216.48"/>
    <n v="4184"/>
  </r>
  <r>
    <x v="0"/>
    <x v="7"/>
    <x v="6"/>
    <x v="284"/>
    <x v="230"/>
    <x v="230"/>
    <s v="REVENUS"/>
    <x v="2"/>
    <s v="4001.002"/>
    <s v="Impôt complément s/revenu PP"/>
    <n v="0"/>
    <n v="11558.2"/>
    <n v="4001"/>
  </r>
  <r>
    <x v="0"/>
    <x v="7"/>
    <x v="6"/>
    <x v="284"/>
    <x v="230"/>
    <x v="230"/>
    <s v="REVENUS"/>
    <x v="3"/>
    <s v="4002.002"/>
    <s v="Impôt complémentaire s/fortune PP"/>
    <n v="0"/>
    <n v="1836.35"/>
    <n v="4002"/>
  </r>
  <r>
    <x v="0"/>
    <x v="7"/>
    <x v="6"/>
    <x v="284"/>
    <x v="230"/>
    <x v="230"/>
    <s v="REVENUS"/>
    <x v="2"/>
    <s v="4001.001"/>
    <s v="Impôt revenu"/>
    <n v="0"/>
    <n v="11790.4"/>
    <n v="4001"/>
  </r>
  <r>
    <x v="0"/>
    <x v="7"/>
    <x v="6"/>
    <x v="284"/>
    <x v="230"/>
    <x v="230"/>
    <s v="REVENUS"/>
    <x v="3"/>
    <s v="4002.001"/>
    <s v="Impôt ordinaire s/fortune PP"/>
    <n v="0"/>
    <n v="4895.25"/>
    <n v="4002"/>
  </r>
  <r>
    <x v="0"/>
    <x v="7"/>
    <x v="6"/>
    <x v="284"/>
    <x v="230"/>
    <x v="230"/>
    <s v="REVENUS"/>
    <x v="6"/>
    <s v="4221.003"/>
    <s v="Intérêts compensat. / acomptes en faveur du fisc"/>
    <n v="0"/>
    <n v="1.97"/>
    <n v="4221"/>
  </r>
  <r>
    <x v="0"/>
    <x v="7"/>
    <x v="6"/>
    <x v="284"/>
    <x v="230"/>
    <x v="230"/>
    <s v="REVENUS"/>
    <x v="6"/>
    <s v="4211.001"/>
    <s v="Intérêts de retard sur factures"/>
    <n v="0"/>
    <n v="70.39"/>
    <n v="4211"/>
  </r>
  <r>
    <x v="0"/>
    <x v="7"/>
    <x v="6"/>
    <x v="284"/>
    <x v="230"/>
    <x v="230"/>
    <s v="REVENUS"/>
    <x v="2"/>
    <s v="4001.007"/>
    <s v="Acompte impôt sur revenu"/>
    <n v="0"/>
    <n v="-3998.52"/>
    <n v="4001"/>
  </r>
  <r>
    <x v="0"/>
    <x v="7"/>
    <x v="6"/>
    <x v="284"/>
    <x v="230"/>
    <x v="230"/>
    <s v="REVENUS"/>
    <x v="4"/>
    <s v="4051.002"/>
    <s v="Impôt sur les donations"/>
    <n v="0"/>
    <n v="14431.7"/>
    <n v="4051"/>
  </r>
  <r>
    <x v="0"/>
    <x v="7"/>
    <x v="6"/>
    <x v="284"/>
    <x v="230"/>
    <x v="230"/>
    <s v="REVENUS"/>
    <x v="6"/>
    <s v="4221.003"/>
    <s v="Intérêts compensat. / acomptes en faveur du fisc"/>
    <n v="0"/>
    <n v="5.83"/>
    <n v="4221"/>
  </r>
  <r>
    <x v="0"/>
    <x v="7"/>
    <x v="6"/>
    <x v="284"/>
    <x v="230"/>
    <x v="230"/>
    <s v="REVENUS"/>
    <x v="2"/>
    <s v="4001.002"/>
    <s v="Impôt complément s/revenu PP"/>
    <n v="0"/>
    <n v="881"/>
    <n v="4001"/>
  </r>
  <r>
    <x v="0"/>
    <x v="7"/>
    <x v="6"/>
    <x v="284"/>
    <x v="230"/>
    <x v="230"/>
    <s v="REVENUS"/>
    <x v="3"/>
    <s v="4002.002"/>
    <s v="Impôt complémentaire s/fortune PP"/>
    <n v="0"/>
    <n v="871.6"/>
    <n v="4002"/>
  </r>
  <r>
    <x v="0"/>
    <x v="7"/>
    <x v="6"/>
    <x v="284"/>
    <x v="230"/>
    <x v="230"/>
    <s v="REVENUS"/>
    <x v="2"/>
    <s v="4001.007"/>
    <s v="Acompte impôt sur revenu"/>
    <n v="0"/>
    <n v="704.5"/>
    <n v="4001"/>
  </r>
  <r>
    <x v="0"/>
    <x v="7"/>
    <x v="6"/>
    <x v="284"/>
    <x v="230"/>
    <x v="230"/>
    <s v="REVENUS"/>
    <x v="3"/>
    <s v="4002.007"/>
    <s v="Acompte impôt sur fortune"/>
    <n v="0"/>
    <n v="314.7"/>
    <n v="4002"/>
  </r>
  <r>
    <x v="0"/>
    <x v="7"/>
    <x v="6"/>
    <x v="284"/>
    <x v="230"/>
    <x v="230"/>
    <s v="REVENUS"/>
    <x v="2"/>
    <s v="4001.007"/>
    <s v="Acompte impôt sur revenu"/>
    <n v="0"/>
    <n v="-3501.15"/>
    <n v="4001"/>
  </r>
  <r>
    <x v="0"/>
    <x v="7"/>
    <x v="6"/>
    <x v="284"/>
    <x v="230"/>
    <x v="230"/>
    <s v="REVENUS"/>
    <x v="3"/>
    <s v="4002.001"/>
    <s v="Impôt ordinaire s/fortune PP"/>
    <n v="0"/>
    <n v="3232.75"/>
    <n v="4002"/>
  </r>
  <r>
    <x v="0"/>
    <x v="7"/>
    <x v="6"/>
    <x v="284"/>
    <x v="230"/>
    <x v="230"/>
    <s v="REVENUS"/>
    <x v="3"/>
    <s v="4002.007"/>
    <s v="Acompte impôt sur fortune"/>
    <n v="0"/>
    <n v="-1403.35"/>
    <n v="4002"/>
  </r>
  <r>
    <x v="0"/>
    <x v="7"/>
    <x v="6"/>
    <x v="284"/>
    <x v="230"/>
    <x v="230"/>
    <s v="REVENUS"/>
    <x v="2"/>
    <s v="4001.001"/>
    <s v="Impôt revenu"/>
    <n v="0"/>
    <n v="2559.75"/>
    <n v="4001"/>
  </r>
  <r>
    <x v="0"/>
    <x v="7"/>
    <x v="6"/>
    <x v="284"/>
    <x v="230"/>
    <x v="230"/>
    <s v="REVENUS"/>
    <x v="3"/>
    <s v="4002.001"/>
    <s v="Impôt ordinaire s/fortune PP"/>
    <n v="0"/>
    <n v="3301.65"/>
    <n v="4002"/>
  </r>
  <r>
    <x v="0"/>
    <x v="7"/>
    <x v="6"/>
    <x v="284"/>
    <x v="230"/>
    <x v="230"/>
    <s v="REVENUS"/>
    <x v="6"/>
    <s v="4211.002"/>
    <s v="Intérêts de retard sur acomptes"/>
    <n v="0"/>
    <n v="180.11"/>
    <n v="4211"/>
  </r>
  <r>
    <x v="0"/>
    <x v="7"/>
    <x v="6"/>
    <x v="284"/>
    <x v="230"/>
    <x v="230"/>
    <s v="REVENUS"/>
    <x v="6"/>
    <s v="4221.003"/>
    <s v="Intérêts compensat. / acomptes en faveur du fisc"/>
    <n v="0"/>
    <n v="0.01"/>
    <n v="4221"/>
  </r>
  <r>
    <x v="0"/>
    <x v="7"/>
    <x v="6"/>
    <x v="284"/>
    <x v="230"/>
    <x v="230"/>
    <s v="REVENUS"/>
    <x v="3"/>
    <s v="4002.002"/>
    <s v="Impôt complémentaire s/fortune PP"/>
    <n v="0"/>
    <n v="101.45"/>
    <n v="4002"/>
  </r>
  <r>
    <x v="0"/>
    <x v="7"/>
    <x v="6"/>
    <x v="284"/>
    <x v="230"/>
    <x v="230"/>
    <s v="REVENUS"/>
    <x v="8"/>
    <s v="4091.001"/>
    <s v="Impôt récupéré après défalcations"/>
    <n v="0"/>
    <n v="860.83"/>
    <n v="4091"/>
  </r>
  <r>
    <x v="0"/>
    <x v="7"/>
    <x v="6"/>
    <x v="284"/>
    <x v="230"/>
    <x v="230"/>
    <s v="REVENUS"/>
    <x v="10"/>
    <s v="4041.002"/>
    <s v="Complément droit de mutation"/>
    <n v="0"/>
    <n v="38.5"/>
    <n v="4041"/>
  </r>
  <r>
    <x v="0"/>
    <x v="7"/>
    <x v="6"/>
    <x v="284"/>
    <x v="230"/>
    <x v="230"/>
    <s v="REVENUS"/>
    <x v="3"/>
    <s v="4002.007"/>
    <s v="Acompte impôt sur fortune"/>
    <n v="0"/>
    <n v="319.07"/>
    <n v="4002"/>
  </r>
  <r>
    <x v="0"/>
    <x v="7"/>
    <x v="6"/>
    <x v="284"/>
    <x v="230"/>
    <x v="230"/>
    <s v="REVENUS"/>
    <x v="7"/>
    <s v="4184.000"/>
    <s v="Frais de poursuite"/>
    <n v="0"/>
    <n v="41.89"/>
    <n v="4184"/>
  </r>
  <r>
    <x v="0"/>
    <x v="7"/>
    <x v="6"/>
    <x v="284"/>
    <x v="230"/>
    <x v="230"/>
    <s v="REVENUS"/>
    <x v="9"/>
    <s v="4031.002"/>
    <s v="Complément impôt sur les gains immobiliers"/>
    <n v="0"/>
    <n v="27420.35"/>
    <n v="4031"/>
  </r>
  <r>
    <x v="0"/>
    <x v="7"/>
    <x v="6"/>
    <x v="284"/>
    <x v="230"/>
    <x v="230"/>
    <s v="REVENUS"/>
    <x v="2"/>
    <s v="4001.002"/>
    <s v="Impôt complément s/revenu PP"/>
    <n v="0"/>
    <n v="-2742"/>
    <n v="4001"/>
  </r>
  <r>
    <x v="0"/>
    <x v="7"/>
    <x v="6"/>
    <x v="284"/>
    <x v="230"/>
    <x v="230"/>
    <s v="REVENUS"/>
    <x v="6"/>
    <s v="4211.001"/>
    <s v="Intérêts de retard sur factures"/>
    <n v="0"/>
    <n v="27.34"/>
    <n v="4211"/>
  </r>
  <r>
    <x v="0"/>
    <x v="7"/>
    <x v="6"/>
    <x v="284"/>
    <x v="230"/>
    <x v="230"/>
    <s v="REVENUS"/>
    <x v="8"/>
    <s v="4091.001"/>
    <s v="Impôt récupéré après défalcations"/>
    <n v="0"/>
    <n v="5934.76"/>
    <n v="4091"/>
  </r>
  <r>
    <x v="0"/>
    <x v="7"/>
    <x v="6"/>
    <x v="284"/>
    <x v="230"/>
    <x v="230"/>
    <s v="REVENUS"/>
    <x v="2"/>
    <s v="4001.007"/>
    <s v="Acompte impôt sur revenu"/>
    <n v="0"/>
    <n v="-73.709999999999994"/>
    <n v="4001"/>
  </r>
  <r>
    <x v="0"/>
    <x v="7"/>
    <x v="6"/>
    <x v="284"/>
    <x v="230"/>
    <x v="230"/>
    <s v="REVENUS"/>
    <x v="3"/>
    <s v="4002.007"/>
    <s v="Acompte impôt sur fortune"/>
    <n v="0"/>
    <n v="-790.22"/>
    <n v="4002"/>
  </r>
  <r>
    <x v="0"/>
    <x v="7"/>
    <x v="6"/>
    <x v="284"/>
    <x v="230"/>
    <x v="230"/>
    <s v="REVENUS"/>
    <x v="6"/>
    <s v="4211.002"/>
    <s v="Intérêts de retard sur acomptes"/>
    <n v="0"/>
    <n v="25.7"/>
    <n v="4211"/>
  </r>
  <r>
    <x v="0"/>
    <x v="7"/>
    <x v="6"/>
    <x v="284"/>
    <x v="230"/>
    <x v="230"/>
    <s v="REVENUS"/>
    <x v="7"/>
    <s v="4184.000"/>
    <s v="Frais de poursuite"/>
    <n v="0"/>
    <n v="16.010000000000002"/>
    <n v="4184"/>
  </r>
  <r>
    <x v="0"/>
    <x v="7"/>
    <x v="6"/>
    <x v="284"/>
    <x v="230"/>
    <x v="230"/>
    <s v="REVENUS"/>
    <x v="6"/>
    <s v="4211.002"/>
    <s v="Intérêts de retard sur acomptes"/>
    <n v="0"/>
    <n v="1.34"/>
    <n v="4211"/>
  </r>
  <r>
    <x v="0"/>
    <x v="7"/>
    <x v="6"/>
    <x v="284"/>
    <x v="230"/>
    <x v="230"/>
    <s v="REVENUS"/>
    <x v="2"/>
    <s v="4001.002"/>
    <s v="Impôt complément s/revenu PP"/>
    <n v="0"/>
    <n v="876.4"/>
    <n v="4001"/>
  </r>
  <r>
    <x v="0"/>
    <x v="7"/>
    <x v="6"/>
    <x v="284"/>
    <x v="230"/>
    <x v="230"/>
    <s v="REVENUS"/>
    <x v="3"/>
    <s v="4002.002"/>
    <s v="Impôt complémentaire s/fortune PP"/>
    <n v="0"/>
    <n v="233.65"/>
    <n v="4002"/>
  </r>
  <r>
    <x v="0"/>
    <x v="7"/>
    <x v="6"/>
    <x v="284"/>
    <x v="230"/>
    <x v="230"/>
    <s v="REVENUS"/>
    <x v="2"/>
    <s v="4001.007"/>
    <s v="Acompte impôt sur revenu"/>
    <n v="0"/>
    <n v="691.41"/>
    <n v="4001"/>
  </r>
  <r>
    <x v="0"/>
    <x v="7"/>
    <x v="6"/>
    <x v="284"/>
    <x v="230"/>
    <x v="230"/>
    <s v="REVENUS"/>
    <x v="6"/>
    <s v="4211.001"/>
    <s v="Intérêts de retard sur factures"/>
    <n v="0"/>
    <n v="1.1100000000000001"/>
    <n v="4211"/>
  </r>
  <r>
    <x v="0"/>
    <x v="7"/>
    <x v="6"/>
    <x v="284"/>
    <x v="230"/>
    <x v="230"/>
    <s v="REVENUS"/>
    <x v="2"/>
    <s v="4001.001"/>
    <s v="Impôt revenu"/>
    <n v="0"/>
    <n v="4738.05"/>
    <n v="4001"/>
  </r>
  <r>
    <x v="0"/>
    <x v="7"/>
    <x v="6"/>
    <x v="284"/>
    <x v="230"/>
    <x v="230"/>
    <s v="REVENUS"/>
    <x v="3"/>
    <s v="4002.001"/>
    <s v="Impôt ordinaire s/fortune PP"/>
    <n v="0"/>
    <n v="2485.5500000000002"/>
    <n v="4002"/>
  </r>
  <r>
    <x v="0"/>
    <x v="7"/>
    <x v="6"/>
    <x v="284"/>
    <x v="230"/>
    <x v="230"/>
    <s v="REVENUS"/>
    <x v="9"/>
    <s v="4031.001"/>
    <s v="Impôt sur les gains immobiliers"/>
    <n v="0"/>
    <n v="1278.5"/>
    <n v="4031"/>
  </r>
  <r>
    <x v="0"/>
    <x v="7"/>
    <x v="6"/>
    <x v="284"/>
    <x v="230"/>
    <x v="230"/>
    <s v="REVENUS"/>
    <x v="3"/>
    <s v="4002.007"/>
    <s v="Acompte impôt sur fortune"/>
    <n v="0"/>
    <n v="440.02"/>
    <n v="4002"/>
  </r>
  <r>
    <x v="0"/>
    <x v="7"/>
    <x v="6"/>
    <x v="284"/>
    <x v="230"/>
    <x v="230"/>
    <s v="REVENUS"/>
    <x v="2"/>
    <s v="4001.002"/>
    <s v="Impôt complément s/revenu PP"/>
    <n v="0"/>
    <n v="1160.1500000000001"/>
    <n v="4001"/>
  </r>
  <r>
    <x v="0"/>
    <x v="7"/>
    <x v="6"/>
    <x v="284"/>
    <x v="230"/>
    <x v="230"/>
    <s v="REVENUS"/>
    <x v="6"/>
    <s v="4211.001"/>
    <s v="Intérêts de retard sur factures"/>
    <n v="0"/>
    <n v="9.56"/>
    <n v="4211"/>
  </r>
  <r>
    <x v="0"/>
    <x v="7"/>
    <x v="6"/>
    <x v="284"/>
    <x v="230"/>
    <x v="230"/>
    <s v="REVENUS"/>
    <x v="2"/>
    <s v="4001.007"/>
    <s v="Acompte impôt sur revenu"/>
    <n v="0"/>
    <n v="-764.05"/>
    <n v="4001"/>
  </r>
  <r>
    <x v="0"/>
    <x v="7"/>
    <x v="6"/>
    <x v="284"/>
    <x v="230"/>
    <x v="230"/>
    <s v="REVENUS"/>
    <x v="3"/>
    <s v="4002.007"/>
    <s v="Acompte impôt sur fortune"/>
    <n v="0"/>
    <n v="-1961"/>
    <n v="4002"/>
  </r>
  <r>
    <x v="0"/>
    <x v="7"/>
    <x v="6"/>
    <x v="284"/>
    <x v="230"/>
    <x v="230"/>
    <s v="REVENUS"/>
    <x v="2"/>
    <s v="4001.007"/>
    <s v="Acompte impôt sur revenu"/>
    <n v="0"/>
    <n v="-332.6"/>
    <n v="4001"/>
  </r>
  <r>
    <x v="0"/>
    <x v="7"/>
    <x v="6"/>
    <x v="284"/>
    <x v="230"/>
    <x v="230"/>
    <s v="REVENUS"/>
    <x v="4"/>
    <s v="4051.001"/>
    <s v="Impôt sur les successions"/>
    <n v="0"/>
    <n v="1911.8"/>
    <n v="4051"/>
  </r>
  <r>
    <x v="0"/>
    <x v="7"/>
    <x v="6"/>
    <x v="284"/>
    <x v="230"/>
    <x v="230"/>
    <s v="REVENUS"/>
    <x v="6"/>
    <s v="4221.002"/>
    <s v="Intérêts compensat. sur impôts distincts"/>
    <n v="0"/>
    <n v="0.73"/>
    <n v="4221"/>
  </r>
  <r>
    <x v="0"/>
    <x v="7"/>
    <x v="6"/>
    <x v="285"/>
    <x v="229"/>
    <x v="229"/>
    <s v="CHARGES"/>
    <x v="1"/>
    <s v="3301.001"/>
    <s v="Défalcations, abandons de solde PP et IS"/>
    <n v="0.01"/>
    <n v="0"/>
    <n v="3301"/>
  </r>
  <r>
    <x v="0"/>
    <x v="7"/>
    <x v="6"/>
    <x v="285"/>
    <x v="229"/>
    <x v="229"/>
    <s v="CHARGES"/>
    <x v="0"/>
    <s v="3212.002"/>
    <s v="Intérêts bonifiés/trop perçu acompte C/C"/>
    <n v="45.6"/>
    <n v="0"/>
    <n v="3212"/>
  </r>
  <r>
    <x v="0"/>
    <x v="7"/>
    <x v="6"/>
    <x v="285"/>
    <x v="229"/>
    <x v="229"/>
    <s v="CHARGES"/>
    <x v="0"/>
    <s v="3212.004"/>
    <s v="Intérêts rémun./perçu trop tôt sur acomptes C/C"/>
    <n v="1002.41"/>
    <n v="0"/>
    <n v="3212"/>
  </r>
  <r>
    <x v="0"/>
    <x v="7"/>
    <x v="6"/>
    <x v="285"/>
    <x v="229"/>
    <x v="229"/>
    <s v="CHARGES"/>
    <x v="0"/>
    <s v="3221.002"/>
    <s v="Intérêts compensatoires / créances en faveur ctb."/>
    <n v="283.68"/>
    <n v="0"/>
    <n v="3221"/>
  </r>
  <r>
    <x v="0"/>
    <x v="7"/>
    <x v="6"/>
    <x v="285"/>
    <x v="229"/>
    <x v="229"/>
    <s v="CHARGES"/>
    <x v="1"/>
    <s v="3301.001"/>
    <s v="Défalcations, abandons de solde PP et IS"/>
    <n v="11793.49"/>
    <n v="0"/>
    <n v="3301"/>
  </r>
  <r>
    <x v="0"/>
    <x v="7"/>
    <x v="6"/>
    <x v="285"/>
    <x v="229"/>
    <x v="229"/>
    <s v="CHARGES"/>
    <x v="0"/>
    <s v="3212.004"/>
    <s v="Intérêts rémun./perçu trop tôt sur acomptes C/C"/>
    <n v="6.66"/>
    <n v="0"/>
    <n v="3212"/>
  </r>
  <r>
    <x v="0"/>
    <x v="7"/>
    <x v="6"/>
    <x v="285"/>
    <x v="229"/>
    <x v="229"/>
    <s v="CHARGES"/>
    <x v="0"/>
    <s v="3221.002"/>
    <s v="Intérêts compensatoires / créances en faveur ctb."/>
    <n v="2.79"/>
    <n v="0"/>
    <n v="3221"/>
  </r>
  <r>
    <x v="0"/>
    <x v="7"/>
    <x v="6"/>
    <x v="285"/>
    <x v="229"/>
    <x v="229"/>
    <s v="CHARGES"/>
    <x v="1"/>
    <s v="3301.001"/>
    <s v="Défalcations, abandons de solde PP et IS"/>
    <n v="3.87"/>
    <n v="0"/>
    <n v="3301"/>
  </r>
  <r>
    <x v="0"/>
    <x v="7"/>
    <x v="6"/>
    <x v="285"/>
    <x v="229"/>
    <x v="229"/>
    <s v="CHARGES"/>
    <x v="0"/>
    <s v="3221.002"/>
    <s v="Intérêts compensatoires / créances en faveur ctb."/>
    <n v="4.2"/>
    <n v="0"/>
    <n v="3221"/>
  </r>
  <r>
    <x v="0"/>
    <x v="7"/>
    <x v="6"/>
    <x v="285"/>
    <x v="229"/>
    <x v="229"/>
    <s v="CHARGES"/>
    <x v="0"/>
    <s v="3212.004"/>
    <s v="Intérêts rémun./perçu trop tôt sur acomptes C/C"/>
    <n v="3.27"/>
    <n v="0"/>
    <n v="3212"/>
  </r>
  <r>
    <x v="0"/>
    <x v="7"/>
    <x v="6"/>
    <x v="285"/>
    <x v="229"/>
    <x v="229"/>
    <s v="CHARGES"/>
    <x v="1"/>
    <s v="3301.003"/>
    <s v="Remises PP et IS"/>
    <n v="347.3"/>
    <n v="0"/>
    <n v="3301"/>
  </r>
  <r>
    <x v="0"/>
    <x v="7"/>
    <x v="6"/>
    <x v="285"/>
    <x v="229"/>
    <x v="229"/>
    <s v="CHARGES"/>
    <x v="1"/>
    <s v="3301.001"/>
    <s v="Défalcations, abandons de solde PP et IS"/>
    <n v="4.8600000000000003"/>
    <n v="0"/>
    <n v="3301"/>
  </r>
  <r>
    <x v="0"/>
    <x v="7"/>
    <x v="6"/>
    <x v="285"/>
    <x v="229"/>
    <x v="229"/>
    <s v="CHARGES"/>
    <x v="0"/>
    <s v="3212.004"/>
    <s v="Intérêts rémun./perçu trop tôt sur acomptes C/C"/>
    <n v="26.79"/>
    <n v="0"/>
    <n v="3212"/>
  </r>
  <r>
    <x v="0"/>
    <x v="7"/>
    <x v="6"/>
    <x v="285"/>
    <x v="229"/>
    <x v="229"/>
    <s v="CHARGES"/>
    <x v="0"/>
    <s v="3221.002"/>
    <s v="Intérêts compensatoires / créances en faveur ctb."/>
    <n v="13"/>
    <n v="0"/>
    <n v="3221"/>
  </r>
  <r>
    <x v="0"/>
    <x v="7"/>
    <x v="6"/>
    <x v="285"/>
    <x v="229"/>
    <x v="229"/>
    <s v="CHARGES"/>
    <x v="0"/>
    <s v="3212.004"/>
    <s v="Intérêts rémun./perçu trop tôt sur acomptes C/C"/>
    <n v="0.04"/>
    <n v="0"/>
    <n v="3212"/>
  </r>
  <r>
    <x v="0"/>
    <x v="7"/>
    <x v="6"/>
    <x v="285"/>
    <x v="229"/>
    <x v="229"/>
    <s v="CHARGES"/>
    <x v="0"/>
    <s v="3212.004"/>
    <s v="Intérêts rémun./perçu trop tôt sur acomptes C/C"/>
    <n v="6.45"/>
    <n v="0"/>
    <n v="3212"/>
  </r>
  <r>
    <x v="0"/>
    <x v="7"/>
    <x v="6"/>
    <x v="285"/>
    <x v="229"/>
    <x v="229"/>
    <s v="CHARGES"/>
    <x v="0"/>
    <s v="3221.002"/>
    <s v="Intérêts compensatoires / créances en faveur ctb."/>
    <n v="0.45"/>
    <n v="0"/>
    <n v="3221"/>
  </r>
  <r>
    <x v="0"/>
    <x v="7"/>
    <x v="6"/>
    <x v="285"/>
    <x v="229"/>
    <x v="229"/>
    <s v="CHARGES"/>
    <x v="1"/>
    <s v="3301.001"/>
    <s v="Défalcations, abandons de solde PP et IS"/>
    <n v="3.09"/>
    <n v="0"/>
    <n v="3301"/>
  </r>
  <r>
    <x v="0"/>
    <x v="7"/>
    <x v="6"/>
    <x v="285"/>
    <x v="229"/>
    <x v="229"/>
    <s v="CHARGES"/>
    <x v="1"/>
    <s v="3301.001"/>
    <s v="Défalcations, abandons de solde PP et IS"/>
    <n v="0.8"/>
    <n v="0"/>
    <n v="3301"/>
  </r>
  <r>
    <x v="0"/>
    <x v="7"/>
    <x v="6"/>
    <x v="285"/>
    <x v="229"/>
    <x v="229"/>
    <s v="REVENUS"/>
    <x v="6"/>
    <s v="4211.001"/>
    <s v="Intérêts de retard sur factures"/>
    <n v="0"/>
    <n v="0.01"/>
    <n v="4211"/>
  </r>
  <r>
    <x v="0"/>
    <x v="7"/>
    <x v="6"/>
    <x v="285"/>
    <x v="229"/>
    <x v="229"/>
    <s v="REVENUS"/>
    <x v="2"/>
    <s v="4001.001"/>
    <s v="Impôt revenu"/>
    <n v="0"/>
    <n v="4933262.5"/>
    <n v="4001"/>
  </r>
  <r>
    <x v="0"/>
    <x v="7"/>
    <x v="6"/>
    <x v="285"/>
    <x v="229"/>
    <x v="229"/>
    <s v="REVENUS"/>
    <x v="2"/>
    <s v="4001.007"/>
    <s v="Acompte impôt sur revenu"/>
    <n v="0"/>
    <n v="-411504.62"/>
    <n v="4001"/>
  </r>
  <r>
    <x v="0"/>
    <x v="7"/>
    <x v="6"/>
    <x v="285"/>
    <x v="229"/>
    <x v="229"/>
    <s v="REVENUS"/>
    <x v="3"/>
    <s v="4002.001"/>
    <s v="Impôt ordinaire s/fortune PP"/>
    <n v="0"/>
    <n v="508437.05"/>
    <n v="4002"/>
  </r>
  <r>
    <x v="0"/>
    <x v="7"/>
    <x v="6"/>
    <x v="285"/>
    <x v="229"/>
    <x v="229"/>
    <s v="REVENUS"/>
    <x v="3"/>
    <s v="4002.007"/>
    <s v="Acompte impôt sur fortune"/>
    <n v="0"/>
    <n v="-13628.8"/>
    <n v="4002"/>
  </r>
  <r>
    <x v="0"/>
    <x v="7"/>
    <x v="6"/>
    <x v="285"/>
    <x v="229"/>
    <x v="229"/>
    <s v="REVENUS"/>
    <x v="6"/>
    <s v="4211.001"/>
    <s v="Intérêts de retard sur factures"/>
    <n v="0"/>
    <n v="7960.94"/>
    <n v="4211"/>
  </r>
  <r>
    <x v="0"/>
    <x v="7"/>
    <x v="6"/>
    <x v="285"/>
    <x v="229"/>
    <x v="229"/>
    <s v="REVENUS"/>
    <x v="6"/>
    <s v="4211.002"/>
    <s v="Intérêts de retard sur acomptes"/>
    <n v="0"/>
    <n v="32639.99"/>
    <n v="4211"/>
  </r>
  <r>
    <x v="0"/>
    <x v="7"/>
    <x v="6"/>
    <x v="285"/>
    <x v="229"/>
    <x v="229"/>
    <s v="REVENUS"/>
    <x v="2"/>
    <s v="4001.001"/>
    <s v="Impôt revenu"/>
    <n v="0"/>
    <n v="49773.1"/>
    <n v="4001"/>
  </r>
  <r>
    <x v="0"/>
    <x v="7"/>
    <x v="6"/>
    <x v="285"/>
    <x v="229"/>
    <x v="229"/>
    <s v="REVENUS"/>
    <x v="6"/>
    <s v="4211.002"/>
    <s v="Intérêts de retard sur acomptes"/>
    <n v="0"/>
    <n v="111.52"/>
    <n v="4211"/>
  </r>
  <r>
    <x v="0"/>
    <x v="7"/>
    <x v="6"/>
    <x v="285"/>
    <x v="229"/>
    <x v="229"/>
    <s v="REVENUS"/>
    <x v="2"/>
    <s v="4001.002"/>
    <s v="Impôt complément s/revenu PP"/>
    <n v="0"/>
    <n v="384775.5"/>
    <n v="4001"/>
  </r>
  <r>
    <x v="0"/>
    <x v="7"/>
    <x v="6"/>
    <x v="285"/>
    <x v="229"/>
    <x v="229"/>
    <s v="REVENUS"/>
    <x v="6"/>
    <s v="4221.003"/>
    <s v="Intérêts compensat. / acomptes en faveur du fisc"/>
    <n v="0"/>
    <n v="371.39"/>
    <n v="4221"/>
  </r>
  <r>
    <x v="0"/>
    <x v="7"/>
    <x v="6"/>
    <x v="285"/>
    <x v="229"/>
    <x v="229"/>
    <s v="REVENUS"/>
    <x v="2"/>
    <s v="4001.001"/>
    <s v="Impôt revenu"/>
    <n v="0"/>
    <n v="24503.200000000001"/>
    <n v="4001"/>
  </r>
  <r>
    <x v="0"/>
    <x v="7"/>
    <x v="6"/>
    <x v="285"/>
    <x v="229"/>
    <x v="229"/>
    <s v="REVENUS"/>
    <x v="2"/>
    <s v="4001.007"/>
    <s v="Acompte impôt sur revenu"/>
    <n v="0"/>
    <n v="11279.09"/>
    <n v="4001"/>
  </r>
  <r>
    <x v="0"/>
    <x v="7"/>
    <x v="6"/>
    <x v="285"/>
    <x v="229"/>
    <x v="229"/>
    <s v="REVENUS"/>
    <x v="3"/>
    <s v="4002.001"/>
    <s v="Impôt ordinaire s/fortune PP"/>
    <n v="0"/>
    <n v="7855.4"/>
    <n v="4002"/>
  </r>
  <r>
    <x v="0"/>
    <x v="7"/>
    <x v="6"/>
    <x v="285"/>
    <x v="229"/>
    <x v="229"/>
    <s v="REVENUS"/>
    <x v="3"/>
    <s v="4002.007"/>
    <s v="Acompte impôt sur fortune"/>
    <n v="0"/>
    <n v="-1962.84"/>
    <n v="4002"/>
  </r>
  <r>
    <x v="0"/>
    <x v="7"/>
    <x v="6"/>
    <x v="285"/>
    <x v="229"/>
    <x v="229"/>
    <s v="REVENUS"/>
    <x v="2"/>
    <s v="4001.007"/>
    <s v="Acompte impôt sur revenu"/>
    <n v="0"/>
    <n v="-8659.43"/>
    <n v="4001"/>
  </r>
  <r>
    <x v="0"/>
    <x v="7"/>
    <x v="6"/>
    <x v="285"/>
    <x v="229"/>
    <x v="229"/>
    <s v="REVENUS"/>
    <x v="3"/>
    <s v="4002.001"/>
    <s v="Impôt ordinaire s/fortune PP"/>
    <n v="0"/>
    <n v="20340.400000000001"/>
    <n v="4002"/>
  </r>
  <r>
    <x v="0"/>
    <x v="7"/>
    <x v="6"/>
    <x v="285"/>
    <x v="229"/>
    <x v="229"/>
    <s v="REVENUS"/>
    <x v="3"/>
    <s v="4002.007"/>
    <s v="Acompte impôt sur fortune"/>
    <n v="0"/>
    <n v="-4953.62"/>
    <n v="4002"/>
  </r>
  <r>
    <x v="0"/>
    <x v="7"/>
    <x v="6"/>
    <x v="285"/>
    <x v="229"/>
    <x v="229"/>
    <s v="REVENUS"/>
    <x v="6"/>
    <s v="4221.003"/>
    <s v="Intérêts compensat. / acomptes en faveur du fisc"/>
    <n v="0"/>
    <n v="11.41"/>
    <n v="4221"/>
  </r>
  <r>
    <x v="0"/>
    <x v="7"/>
    <x v="6"/>
    <x v="285"/>
    <x v="229"/>
    <x v="229"/>
    <s v="REVENUS"/>
    <x v="10"/>
    <s v="4041.001"/>
    <s v="Droits de mutation"/>
    <n v="0"/>
    <n v="230814"/>
    <n v="4041"/>
  </r>
  <r>
    <x v="0"/>
    <x v="7"/>
    <x v="6"/>
    <x v="285"/>
    <x v="229"/>
    <x v="229"/>
    <s v="REVENUS"/>
    <x v="2"/>
    <s v="4001.003"/>
    <s v="Impôt s/prest. cap. PP"/>
    <n v="0"/>
    <n v="127823.55"/>
    <n v="4001"/>
  </r>
  <r>
    <x v="0"/>
    <x v="7"/>
    <x v="6"/>
    <x v="285"/>
    <x v="229"/>
    <x v="229"/>
    <s v="REVENUS"/>
    <x v="2"/>
    <s v="4001.001"/>
    <s v="Impôt revenu"/>
    <n v="0"/>
    <n v="48282.6"/>
    <n v="4001"/>
  </r>
  <r>
    <x v="0"/>
    <x v="7"/>
    <x v="6"/>
    <x v="285"/>
    <x v="229"/>
    <x v="229"/>
    <s v="REVENUS"/>
    <x v="2"/>
    <s v="4001.002"/>
    <s v="Impôt complément s/revenu PP"/>
    <n v="0"/>
    <n v="2183.35"/>
    <n v="4001"/>
  </r>
  <r>
    <x v="0"/>
    <x v="7"/>
    <x v="6"/>
    <x v="285"/>
    <x v="229"/>
    <x v="229"/>
    <s v="REVENUS"/>
    <x v="6"/>
    <s v="4211.001"/>
    <s v="Intérêts de retard sur factures"/>
    <n v="0"/>
    <n v="17.190000000000001"/>
    <n v="4211"/>
  </r>
  <r>
    <x v="0"/>
    <x v="7"/>
    <x v="6"/>
    <x v="285"/>
    <x v="229"/>
    <x v="229"/>
    <s v="REVENUS"/>
    <x v="6"/>
    <s v="4211.002"/>
    <s v="Intérêts de retard sur acomptes"/>
    <n v="0"/>
    <n v="431.57"/>
    <n v="4211"/>
  </r>
  <r>
    <x v="0"/>
    <x v="7"/>
    <x v="6"/>
    <x v="285"/>
    <x v="229"/>
    <x v="229"/>
    <s v="REVENUS"/>
    <x v="7"/>
    <s v="4184.000"/>
    <s v="Frais de poursuite"/>
    <n v="0"/>
    <n v="3824.6"/>
    <n v="4184"/>
  </r>
  <r>
    <x v="0"/>
    <x v="7"/>
    <x v="6"/>
    <x v="285"/>
    <x v="229"/>
    <x v="229"/>
    <s v="REVENUS"/>
    <x v="3"/>
    <s v="4002.002"/>
    <s v="Impôt complémentaire s/fortune PP"/>
    <n v="0"/>
    <n v="26147.95"/>
    <n v="4002"/>
  </r>
  <r>
    <x v="0"/>
    <x v="7"/>
    <x v="6"/>
    <x v="285"/>
    <x v="229"/>
    <x v="229"/>
    <s v="REVENUS"/>
    <x v="2"/>
    <s v="4001.007"/>
    <s v="Acompte impôt sur revenu"/>
    <n v="0"/>
    <n v="18903.23"/>
    <n v="4001"/>
  </r>
  <r>
    <x v="0"/>
    <x v="7"/>
    <x v="6"/>
    <x v="285"/>
    <x v="229"/>
    <x v="229"/>
    <s v="REVENUS"/>
    <x v="3"/>
    <s v="4002.001"/>
    <s v="Impôt ordinaire s/fortune PP"/>
    <n v="0"/>
    <n v="15678.15"/>
    <n v="4002"/>
  </r>
  <r>
    <x v="0"/>
    <x v="7"/>
    <x v="6"/>
    <x v="285"/>
    <x v="229"/>
    <x v="229"/>
    <s v="REVENUS"/>
    <x v="4"/>
    <s v="4051.001"/>
    <s v="Impôt sur les successions"/>
    <n v="0"/>
    <n v="692.5"/>
    <n v="4051"/>
  </r>
  <r>
    <x v="0"/>
    <x v="7"/>
    <x v="6"/>
    <x v="285"/>
    <x v="229"/>
    <x v="229"/>
    <s v="REVENUS"/>
    <x v="6"/>
    <s v="4221.002"/>
    <s v="Intérêts compensat. sur impôts distincts"/>
    <n v="0"/>
    <n v="0.18"/>
    <n v="4221"/>
  </r>
  <r>
    <x v="0"/>
    <x v="7"/>
    <x v="6"/>
    <x v="285"/>
    <x v="229"/>
    <x v="229"/>
    <s v="REVENUS"/>
    <x v="3"/>
    <s v="4002.007"/>
    <s v="Acompte impôt sur fortune"/>
    <n v="0"/>
    <n v="-11805.61"/>
    <n v="4002"/>
  </r>
  <r>
    <x v="0"/>
    <x v="7"/>
    <x v="6"/>
    <x v="285"/>
    <x v="229"/>
    <x v="229"/>
    <s v="REVENUS"/>
    <x v="2"/>
    <s v="4001.007"/>
    <s v="Acompte impôt sur revenu"/>
    <n v="0"/>
    <n v="490.5"/>
    <n v="4001"/>
  </r>
  <r>
    <x v="0"/>
    <x v="7"/>
    <x v="6"/>
    <x v="285"/>
    <x v="229"/>
    <x v="229"/>
    <s v="REVENUS"/>
    <x v="3"/>
    <s v="4002.007"/>
    <s v="Acompte impôt sur fortune"/>
    <n v="0"/>
    <n v="-1876.6"/>
    <n v="4002"/>
  </r>
  <r>
    <x v="0"/>
    <x v="7"/>
    <x v="6"/>
    <x v="285"/>
    <x v="229"/>
    <x v="229"/>
    <s v="REVENUS"/>
    <x v="6"/>
    <s v="4211.002"/>
    <s v="Intérêts de retard sur acomptes"/>
    <n v="0"/>
    <n v="161.66999999999999"/>
    <n v="4211"/>
  </r>
  <r>
    <x v="0"/>
    <x v="7"/>
    <x v="6"/>
    <x v="285"/>
    <x v="229"/>
    <x v="229"/>
    <s v="REVENUS"/>
    <x v="6"/>
    <s v="4221.003"/>
    <s v="Intérêts compensat. / acomptes en faveur du fisc"/>
    <n v="0"/>
    <n v="6.8"/>
    <n v="4221"/>
  </r>
  <r>
    <x v="0"/>
    <x v="7"/>
    <x v="6"/>
    <x v="285"/>
    <x v="229"/>
    <x v="229"/>
    <s v="REVENUS"/>
    <x v="2"/>
    <s v="4001.007"/>
    <s v="Acompte impôt sur revenu"/>
    <n v="0"/>
    <n v="-51799.9"/>
    <n v="4001"/>
  </r>
  <r>
    <x v="0"/>
    <x v="7"/>
    <x v="6"/>
    <x v="285"/>
    <x v="229"/>
    <x v="229"/>
    <s v="REVENUS"/>
    <x v="6"/>
    <s v="4221.002"/>
    <s v="Intérêts compensat. sur impôts distincts"/>
    <n v="0"/>
    <n v="149.01"/>
    <n v="4221"/>
  </r>
  <r>
    <x v="0"/>
    <x v="7"/>
    <x v="6"/>
    <x v="285"/>
    <x v="229"/>
    <x v="229"/>
    <s v="REVENUS"/>
    <x v="2"/>
    <s v="4001.007"/>
    <s v="Acompte impôt sur revenu"/>
    <n v="0"/>
    <n v="-3877.05"/>
    <n v="4001"/>
  </r>
  <r>
    <x v="0"/>
    <x v="7"/>
    <x v="6"/>
    <x v="285"/>
    <x v="229"/>
    <x v="229"/>
    <s v="REVENUS"/>
    <x v="3"/>
    <s v="4002.007"/>
    <s v="Acompte impôt sur fortune"/>
    <n v="0"/>
    <n v="-2823.52"/>
    <n v="4002"/>
  </r>
  <r>
    <x v="0"/>
    <x v="7"/>
    <x v="6"/>
    <x v="285"/>
    <x v="229"/>
    <x v="229"/>
    <s v="REVENUS"/>
    <x v="3"/>
    <s v="4002.007"/>
    <s v="Acompte impôt sur fortune"/>
    <n v="0"/>
    <n v="3260.3"/>
    <n v="4002"/>
  </r>
  <r>
    <x v="0"/>
    <x v="7"/>
    <x v="6"/>
    <x v="285"/>
    <x v="229"/>
    <x v="229"/>
    <s v="REVENUS"/>
    <x v="2"/>
    <s v="4001.007"/>
    <s v="Acompte impôt sur revenu"/>
    <n v="0"/>
    <n v="46.3"/>
    <n v="4001"/>
  </r>
  <r>
    <x v="0"/>
    <x v="7"/>
    <x v="6"/>
    <x v="285"/>
    <x v="229"/>
    <x v="229"/>
    <s v="REVENUS"/>
    <x v="12"/>
    <s v="4004.007"/>
    <s v="Acompte spécial étrangers"/>
    <n v="0"/>
    <n v="-1823.25"/>
    <n v="4004"/>
  </r>
  <r>
    <x v="0"/>
    <x v="7"/>
    <x v="6"/>
    <x v="285"/>
    <x v="229"/>
    <x v="229"/>
    <s v="REVENUS"/>
    <x v="9"/>
    <s v="4031.001"/>
    <s v="Impôt sur les gains immobiliers"/>
    <n v="0"/>
    <n v="197024.7"/>
    <n v="4031"/>
  </r>
  <r>
    <x v="0"/>
    <x v="7"/>
    <x v="6"/>
    <x v="285"/>
    <x v="229"/>
    <x v="229"/>
    <s v="REVENUS"/>
    <x v="6"/>
    <s v="4221.003"/>
    <s v="Intérêts compensat. / acomptes en faveur du fisc"/>
    <n v="0"/>
    <n v="3.41"/>
    <n v="4221"/>
  </r>
  <r>
    <x v="0"/>
    <x v="7"/>
    <x v="6"/>
    <x v="285"/>
    <x v="229"/>
    <x v="229"/>
    <s v="REVENUS"/>
    <x v="2"/>
    <s v="4001.002"/>
    <s v="Impôt complément s/revenu PP"/>
    <n v="0"/>
    <n v="295.89999999999998"/>
    <n v="4001"/>
  </r>
  <r>
    <x v="0"/>
    <x v="7"/>
    <x v="6"/>
    <x v="285"/>
    <x v="229"/>
    <x v="229"/>
    <s v="REVENUS"/>
    <x v="6"/>
    <s v="4211.001"/>
    <s v="Intérêts de retard sur factures"/>
    <n v="0"/>
    <n v="142.21"/>
    <n v="4211"/>
  </r>
  <r>
    <x v="0"/>
    <x v="7"/>
    <x v="6"/>
    <x v="285"/>
    <x v="229"/>
    <x v="229"/>
    <s v="REVENUS"/>
    <x v="2"/>
    <s v="4001.007"/>
    <s v="Acompte impôt sur revenu"/>
    <n v="0"/>
    <n v="-13277.35"/>
    <n v="4001"/>
  </r>
  <r>
    <x v="0"/>
    <x v="7"/>
    <x v="6"/>
    <x v="285"/>
    <x v="229"/>
    <x v="229"/>
    <s v="REVENUS"/>
    <x v="3"/>
    <s v="4002.002"/>
    <s v="Impôt complémentaire s/fortune PP"/>
    <n v="0"/>
    <n v="1233.95"/>
    <n v="4002"/>
  </r>
  <r>
    <x v="0"/>
    <x v="7"/>
    <x v="6"/>
    <x v="285"/>
    <x v="229"/>
    <x v="229"/>
    <s v="REVENUS"/>
    <x v="2"/>
    <s v="4001.001"/>
    <s v="Impôt revenu"/>
    <n v="0"/>
    <n v="3416.65"/>
    <n v="4001"/>
  </r>
  <r>
    <x v="0"/>
    <x v="7"/>
    <x v="6"/>
    <x v="285"/>
    <x v="229"/>
    <x v="229"/>
    <s v="REVENUS"/>
    <x v="3"/>
    <s v="4002.001"/>
    <s v="Impôt ordinaire s/fortune PP"/>
    <n v="0"/>
    <n v="2215.4499999999998"/>
    <n v="4002"/>
  </r>
  <r>
    <x v="0"/>
    <x v="7"/>
    <x v="6"/>
    <x v="285"/>
    <x v="229"/>
    <x v="229"/>
    <s v="REVENUS"/>
    <x v="2"/>
    <s v="4001.001"/>
    <s v="Impôt revenu"/>
    <n v="0"/>
    <n v="58008.65"/>
    <n v="4001"/>
  </r>
  <r>
    <x v="0"/>
    <x v="7"/>
    <x v="6"/>
    <x v="285"/>
    <x v="229"/>
    <x v="229"/>
    <s v="REVENUS"/>
    <x v="3"/>
    <s v="4002.001"/>
    <s v="Impôt ordinaire s/fortune PP"/>
    <n v="0"/>
    <n v="17201.95"/>
    <n v="4002"/>
  </r>
  <r>
    <x v="0"/>
    <x v="7"/>
    <x v="6"/>
    <x v="285"/>
    <x v="229"/>
    <x v="229"/>
    <s v="REVENUS"/>
    <x v="4"/>
    <s v="4051.002"/>
    <s v="Impôt sur les donations"/>
    <n v="0"/>
    <n v="5132.8"/>
    <n v="4051"/>
  </r>
  <r>
    <x v="0"/>
    <x v="7"/>
    <x v="6"/>
    <x v="285"/>
    <x v="229"/>
    <x v="229"/>
    <s v="REVENUS"/>
    <x v="6"/>
    <s v="4211.002"/>
    <s v="Intérêts de retard sur acomptes"/>
    <n v="0"/>
    <n v="20"/>
    <n v="4211"/>
  </r>
  <r>
    <x v="0"/>
    <x v="7"/>
    <x v="6"/>
    <x v="285"/>
    <x v="229"/>
    <x v="229"/>
    <s v="REVENUS"/>
    <x v="4"/>
    <s v="4051.001"/>
    <s v="Impôt sur les successions"/>
    <n v="0"/>
    <n v="93593.9"/>
    <n v="4051"/>
  </r>
  <r>
    <x v="0"/>
    <x v="7"/>
    <x v="6"/>
    <x v="285"/>
    <x v="229"/>
    <x v="229"/>
    <s v="REVENUS"/>
    <x v="6"/>
    <s v="4221.003"/>
    <s v="Intérêts compensat. / acomptes en faveur du fisc"/>
    <n v="0"/>
    <n v="0.48"/>
    <n v="4221"/>
  </r>
  <r>
    <x v="0"/>
    <x v="7"/>
    <x v="6"/>
    <x v="285"/>
    <x v="229"/>
    <x v="229"/>
    <s v="REVENUS"/>
    <x v="6"/>
    <s v="4211.002"/>
    <s v="Intérêts de retard sur acomptes"/>
    <n v="0"/>
    <n v="29.87"/>
    <n v="4211"/>
  </r>
  <r>
    <x v="0"/>
    <x v="7"/>
    <x v="6"/>
    <x v="285"/>
    <x v="229"/>
    <x v="229"/>
    <s v="REVENUS"/>
    <x v="6"/>
    <s v="4211.001"/>
    <s v="Intérêts de retard sur factures"/>
    <n v="0"/>
    <n v="1.19"/>
    <n v="4211"/>
  </r>
  <r>
    <x v="0"/>
    <x v="7"/>
    <x v="6"/>
    <x v="285"/>
    <x v="229"/>
    <x v="229"/>
    <s v="REVENUS"/>
    <x v="12"/>
    <s v="4004.000"/>
    <s v="Impôt spécial étrangers"/>
    <n v="0"/>
    <n v="54947.5"/>
    <n v="4004"/>
  </r>
  <r>
    <x v="0"/>
    <x v="7"/>
    <x v="6"/>
    <x v="285"/>
    <x v="229"/>
    <x v="229"/>
    <s v="REVENUS"/>
    <x v="2"/>
    <s v="4001.002"/>
    <s v="Impôt complément s/revenu PP"/>
    <n v="0"/>
    <n v="120.2"/>
    <n v="4001"/>
  </r>
  <r>
    <x v="0"/>
    <x v="7"/>
    <x v="6"/>
    <x v="285"/>
    <x v="229"/>
    <x v="229"/>
    <s v="REVENUS"/>
    <x v="3"/>
    <s v="4002.002"/>
    <s v="Impôt complémentaire s/fortune PP"/>
    <n v="0"/>
    <n v="154.1"/>
    <n v="4002"/>
  </r>
  <r>
    <x v="0"/>
    <x v="7"/>
    <x v="6"/>
    <x v="285"/>
    <x v="229"/>
    <x v="229"/>
    <s v="REVENUS"/>
    <x v="6"/>
    <s v="4211.001"/>
    <s v="Intérêts de retard sur factures"/>
    <n v="0"/>
    <n v="57.94"/>
    <n v="4211"/>
  </r>
  <r>
    <x v="0"/>
    <x v="7"/>
    <x v="6"/>
    <x v="285"/>
    <x v="229"/>
    <x v="229"/>
    <s v="REVENUS"/>
    <x v="5"/>
    <s v="4061.000"/>
    <s v="Impôt sur les chiens"/>
    <n v="0"/>
    <n v="12660"/>
    <n v="4061"/>
  </r>
  <r>
    <x v="0"/>
    <x v="7"/>
    <x v="6"/>
    <x v="285"/>
    <x v="229"/>
    <x v="229"/>
    <s v="REVENUS"/>
    <x v="2"/>
    <s v="4001.002"/>
    <s v="Impôt complément s/revenu PP"/>
    <n v="0"/>
    <n v="128.35"/>
    <n v="4001"/>
  </r>
  <r>
    <x v="0"/>
    <x v="7"/>
    <x v="6"/>
    <x v="285"/>
    <x v="229"/>
    <x v="229"/>
    <s v="REVENUS"/>
    <x v="3"/>
    <s v="4002.002"/>
    <s v="Impôt complémentaire s/fortune PP"/>
    <n v="0"/>
    <n v="5.8"/>
    <n v="4002"/>
  </r>
  <r>
    <x v="0"/>
    <x v="7"/>
    <x v="6"/>
    <x v="285"/>
    <x v="229"/>
    <x v="229"/>
    <s v="REVENUS"/>
    <x v="8"/>
    <s v="4091.001"/>
    <s v="Impôt récupéré après défalcations"/>
    <n v="0"/>
    <n v="1161.6099999999999"/>
    <n v="4091"/>
  </r>
  <r>
    <x v="0"/>
    <x v="7"/>
    <x v="6"/>
    <x v="285"/>
    <x v="229"/>
    <x v="229"/>
    <s v="REVENUS"/>
    <x v="10"/>
    <s v="4041.001"/>
    <s v="Droits de mutation"/>
    <n v="0"/>
    <n v="73.7"/>
    <n v="4041"/>
  </r>
  <r>
    <x v="0"/>
    <x v="3"/>
    <x v="3"/>
    <x v="286"/>
    <x v="238"/>
    <x v="238"/>
    <s v="CHARGES"/>
    <x v="0"/>
    <s v="3212.004"/>
    <s v="Intérêts rémun./perçu trop tôt sur acomptes C/C"/>
    <n v="29.05"/>
    <n v="0"/>
    <n v="3212"/>
  </r>
  <r>
    <x v="0"/>
    <x v="3"/>
    <x v="3"/>
    <x v="286"/>
    <x v="238"/>
    <x v="238"/>
    <s v="CHARGES"/>
    <x v="0"/>
    <s v="3221.002"/>
    <s v="Intérêts compensatoires / créances en faveur ctb."/>
    <n v="24.07"/>
    <n v="0"/>
    <n v="3221"/>
  </r>
  <r>
    <x v="0"/>
    <x v="3"/>
    <x v="3"/>
    <x v="286"/>
    <x v="238"/>
    <x v="238"/>
    <s v="CHARGES"/>
    <x v="0"/>
    <s v="3212.002"/>
    <s v="Intérêts bonifiés/trop perçu acompte C/C"/>
    <n v="7.0000000000000007E-2"/>
    <n v="0"/>
    <n v="3212"/>
  </r>
  <r>
    <x v="0"/>
    <x v="3"/>
    <x v="3"/>
    <x v="286"/>
    <x v="238"/>
    <x v="238"/>
    <s v="CHARGES"/>
    <x v="1"/>
    <s v="3301.001"/>
    <s v="Défalcations, abandons de solde PP et IS"/>
    <n v="4991.8599999999997"/>
    <n v="0"/>
    <n v="3301"/>
  </r>
  <r>
    <x v="0"/>
    <x v="3"/>
    <x v="3"/>
    <x v="286"/>
    <x v="238"/>
    <x v="238"/>
    <s v="CHARGES"/>
    <x v="0"/>
    <s v="3212.004"/>
    <s v="Intérêts rémun./perçu trop tôt sur acomptes C/C"/>
    <n v="0.02"/>
    <n v="0"/>
    <n v="3212"/>
  </r>
  <r>
    <x v="0"/>
    <x v="3"/>
    <x v="3"/>
    <x v="286"/>
    <x v="238"/>
    <x v="238"/>
    <s v="CHARGES"/>
    <x v="0"/>
    <s v="3221.002"/>
    <s v="Intérêts compensatoires / créances en faveur ctb."/>
    <n v="0.03"/>
    <n v="0"/>
    <n v="3221"/>
  </r>
  <r>
    <x v="0"/>
    <x v="3"/>
    <x v="3"/>
    <x v="286"/>
    <x v="238"/>
    <x v="238"/>
    <s v="REVENUS"/>
    <x v="2"/>
    <s v="4001.007"/>
    <s v="Acompte impôt sur revenu"/>
    <n v="0"/>
    <n v="-96150.06"/>
    <n v="4001"/>
  </r>
  <r>
    <x v="0"/>
    <x v="3"/>
    <x v="3"/>
    <x v="286"/>
    <x v="238"/>
    <x v="238"/>
    <s v="REVENUS"/>
    <x v="3"/>
    <s v="4002.007"/>
    <s v="Acompte impôt sur fortune"/>
    <n v="0"/>
    <n v="-6996.05"/>
    <n v="4002"/>
  </r>
  <r>
    <x v="0"/>
    <x v="3"/>
    <x v="3"/>
    <x v="286"/>
    <x v="238"/>
    <x v="238"/>
    <s v="REVENUS"/>
    <x v="2"/>
    <s v="4001.001"/>
    <s v="Impôt revenu"/>
    <n v="0"/>
    <n v="167654.29999999999"/>
    <n v="4001"/>
  </r>
  <r>
    <x v="0"/>
    <x v="3"/>
    <x v="3"/>
    <x v="286"/>
    <x v="238"/>
    <x v="238"/>
    <s v="REVENUS"/>
    <x v="3"/>
    <s v="4002.001"/>
    <s v="Impôt ordinaire s/fortune PP"/>
    <n v="0"/>
    <n v="15166.25"/>
    <n v="4002"/>
  </r>
  <r>
    <x v="0"/>
    <x v="3"/>
    <x v="3"/>
    <x v="286"/>
    <x v="238"/>
    <x v="238"/>
    <s v="REVENUS"/>
    <x v="2"/>
    <s v="4001.007"/>
    <s v="Acompte impôt sur revenu"/>
    <n v="0"/>
    <n v="50830.64"/>
    <n v="4001"/>
  </r>
  <r>
    <x v="0"/>
    <x v="3"/>
    <x v="3"/>
    <x v="286"/>
    <x v="238"/>
    <x v="238"/>
    <s v="REVENUS"/>
    <x v="3"/>
    <s v="4002.007"/>
    <s v="Acompte impôt sur fortune"/>
    <n v="0"/>
    <n v="10347.25"/>
    <n v="4002"/>
  </r>
  <r>
    <x v="0"/>
    <x v="3"/>
    <x v="3"/>
    <x v="286"/>
    <x v="238"/>
    <x v="238"/>
    <s v="REVENUS"/>
    <x v="7"/>
    <s v="4184.000"/>
    <s v="Frais de poursuite"/>
    <n v="0"/>
    <n v="437.19"/>
    <n v="4184"/>
  </r>
  <r>
    <x v="0"/>
    <x v="3"/>
    <x v="3"/>
    <x v="286"/>
    <x v="238"/>
    <x v="238"/>
    <s v="REVENUS"/>
    <x v="6"/>
    <s v="4211.001"/>
    <s v="Intérêts de retard sur factures"/>
    <n v="0"/>
    <n v="1967.68"/>
    <n v="4211"/>
  </r>
  <r>
    <x v="0"/>
    <x v="3"/>
    <x v="3"/>
    <x v="286"/>
    <x v="238"/>
    <x v="238"/>
    <s v="REVENUS"/>
    <x v="6"/>
    <s v="4211.002"/>
    <s v="Intérêts de retard sur acomptes"/>
    <n v="0"/>
    <n v="2380.87"/>
    <n v="4211"/>
  </r>
  <r>
    <x v="0"/>
    <x v="3"/>
    <x v="3"/>
    <x v="286"/>
    <x v="238"/>
    <x v="238"/>
    <s v="REVENUS"/>
    <x v="3"/>
    <s v="4002.007"/>
    <s v="Acompte impôt sur fortune"/>
    <n v="0"/>
    <n v="-0.6"/>
    <n v="4002"/>
  </r>
  <r>
    <x v="0"/>
    <x v="3"/>
    <x v="3"/>
    <x v="286"/>
    <x v="238"/>
    <x v="238"/>
    <s v="REVENUS"/>
    <x v="2"/>
    <s v="4001.007"/>
    <s v="Acompte impôt sur revenu"/>
    <n v="0"/>
    <n v="15.95"/>
    <n v="4001"/>
  </r>
  <r>
    <x v="0"/>
    <x v="3"/>
    <x v="3"/>
    <x v="286"/>
    <x v="238"/>
    <x v="238"/>
    <s v="REVENUS"/>
    <x v="10"/>
    <s v="4041.001"/>
    <s v="Droits de mutation"/>
    <n v="0"/>
    <n v="9223.0499999999993"/>
    <n v="4041"/>
  </r>
  <r>
    <x v="0"/>
    <x v="3"/>
    <x v="3"/>
    <x v="286"/>
    <x v="238"/>
    <x v="238"/>
    <s v="REVENUS"/>
    <x v="9"/>
    <s v="4031.001"/>
    <s v="Impôt sur les gains immobiliers"/>
    <n v="0"/>
    <n v="15795.2"/>
    <n v="4031"/>
  </r>
  <r>
    <x v="0"/>
    <x v="3"/>
    <x v="3"/>
    <x v="286"/>
    <x v="238"/>
    <x v="238"/>
    <s v="REVENUS"/>
    <x v="6"/>
    <s v="4221.003"/>
    <s v="Intérêts compensat. / acomptes en faveur du fisc"/>
    <n v="0"/>
    <n v="36.799999999999997"/>
    <n v="4221"/>
  </r>
  <r>
    <x v="0"/>
    <x v="3"/>
    <x v="3"/>
    <x v="286"/>
    <x v="238"/>
    <x v="238"/>
    <s v="REVENUS"/>
    <x v="3"/>
    <s v="4002.001"/>
    <s v="Impôt ordinaire s/fortune PP"/>
    <n v="0"/>
    <n v="113.3"/>
    <n v="4002"/>
  </r>
  <r>
    <x v="0"/>
    <x v="3"/>
    <x v="3"/>
    <x v="286"/>
    <x v="238"/>
    <x v="238"/>
    <s v="REVENUS"/>
    <x v="2"/>
    <s v="4001.001"/>
    <s v="Impôt revenu"/>
    <n v="0"/>
    <n v="21.1"/>
    <n v="4001"/>
  </r>
  <r>
    <x v="0"/>
    <x v="3"/>
    <x v="3"/>
    <x v="286"/>
    <x v="238"/>
    <x v="238"/>
    <s v="REVENUS"/>
    <x v="3"/>
    <s v="4002.007"/>
    <s v="Acompte impôt sur fortune"/>
    <n v="0"/>
    <n v="-13.35"/>
    <n v="4002"/>
  </r>
  <r>
    <x v="0"/>
    <x v="3"/>
    <x v="3"/>
    <x v="286"/>
    <x v="238"/>
    <x v="238"/>
    <s v="REVENUS"/>
    <x v="6"/>
    <s v="4211.002"/>
    <s v="Intérêts de retard sur acomptes"/>
    <n v="0"/>
    <n v="0.1"/>
    <n v="4211"/>
  </r>
  <r>
    <x v="0"/>
    <x v="3"/>
    <x v="3"/>
    <x v="286"/>
    <x v="238"/>
    <x v="238"/>
    <s v="REVENUS"/>
    <x v="2"/>
    <s v="4001.002"/>
    <s v="Impôt complément s/revenu PP"/>
    <n v="0"/>
    <n v="29394.65"/>
    <n v="4001"/>
  </r>
  <r>
    <x v="0"/>
    <x v="3"/>
    <x v="3"/>
    <x v="286"/>
    <x v="238"/>
    <x v="238"/>
    <s v="REVENUS"/>
    <x v="3"/>
    <s v="4002.002"/>
    <s v="Impôt complémentaire s/fortune PP"/>
    <n v="0"/>
    <n v="12606"/>
    <n v="4002"/>
  </r>
  <r>
    <x v="0"/>
    <x v="3"/>
    <x v="3"/>
    <x v="286"/>
    <x v="238"/>
    <x v="238"/>
    <s v="REVENUS"/>
    <x v="5"/>
    <s v="4061.000"/>
    <s v="Impôt sur les chiens"/>
    <n v="0"/>
    <n v="500"/>
    <n v="4061"/>
  </r>
  <r>
    <x v="0"/>
    <x v="3"/>
    <x v="3"/>
    <x v="286"/>
    <x v="238"/>
    <x v="238"/>
    <s v="REVENUS"/>
    <x v="2"/>
    <s v="4001.003"/>
    <s v="Impôt s/prest. cap. PP"/>
    <n v="0"/>
    <n v="332.55"/>
    <n v="4001"/>
  </r>
  <r>
    <x v="0"/>
    <x v="3"/>
    <x v="3"/>
    <x v="286"/>
    <x v="238"/>
    <x v="238"/>
    <s v="REVENUS"/>
    <x v="6"/>
    <s v="4221.002"/>
    <s v="Intérêts compensat. sur impôts distincts"/>
    <n v="0"/>
    <n v="9.52"/>
    <n v="4221"/>
  </r>
  <r>
    <x v="0"/>
    <x v="3"/>
    <x v="3"/>
    <x v="286"/>
    <x v="238"/>
    <x v="238"/>
    <s v="REVENUS"/>
    <x v="4"/>
    <s v="4051.001"/>
    <s v="Impôt sur les successions"/>
    <n v="0"/>
    <n v="1716.7"/>
    <n v="4051"/>
  </r>
  <r>
    <x v="0"/>
    <x v="3"/>
    <x v="3"/>
    <x v="287"/>
    <x v="239"/>
    <x v="239"/>
    <s v="CHARGES"/>
    <x v="1"/>
    <s v="3301.001"/>
    <s v="Défalcations, abandons de solde PP et IS"/>
    <n v="14923.02"/>
    <n v="0"/>
    <n v="3301"/>
  </r>
  <r>
    <x v="0"/>
    <x v="3"/>
    <x v="3"/>
    <x v="287"/>
    <x v="239"/>
    <x v="239"/>
    <s v="CHARGES"/>
    <x v="0"/>
    <s v="3212.004"/>
    <s v="Intérêts rémun./perçu trop tôt sur acomptes C/C"/>
    <n v="185.48"/>
    <n v="0"/>
    <n v="3212"/>
  </r>
  <r>
    <x v="0"/>
    <x v="3"/>
    <x v="3"/>
    <x v="287"/>
    <x v="239"/>
    <x v="239"/>
    <s v="CHARGES"/>
    <x v="0"/>
    <s v="3221.002"/>
    <s v="Intérêts compensatoires / créances en faveur ctb."/>
    <n v="57.56"/>
    <n v="0"/>
    <n v="3221"/>
  </r>
  <r>
    <x v="0"/>
    <x v="3"/>
    <x v="3"/>
    <x v="287"/>
    <x v="239"/>
    <x v="239"/>
    <s v="CHARGES"/>
    <x v="0"/>
    <s v="3212.002"/>
    <s v="Intérêts bonifiés/trop perçu acompte C/C"/>
    <n v="0.57999999999999996"/>
    <n v="0"/>
    <n v="3212"/>
  </r>
  <r>
    <x v="0"/>
    <x v="3"/>
    <x v="3"/>
    <x v="287"/>
    <x v="239"/>
    <x v="239"/>
    <s v="CHARGES"/>
    <x v="0"/>
    <s v="3221.002"/>
    <s v="Intérêts compensatoires / créances en faveur ctb."/>
    <n v="2.54"/>
    <n v="0"/>
    <n v="3221"/>
  </r>
  <r>
    <x v="0"/>
    <x v="3"/>
    <x v="3"/>
    <x v="287"/>
    <x v="239"/>
    <x v="239"/>
    <s v="CHARGES"/>
    <x v="1"/>
    <s v="3301.001"/>
    <s v="Défalcations, abandons de solde PP et IS"/>
    <n v="0.02"/>
    <n v="0"/>
    <n v="3301"/>
  </r>
  <r>
    <x v="0"/>
    <x v="3"/>
    <x v="3"/>
    <x v="287"/>
    <x v="239"/>
    <x v="239"/>
    <s v="CHARGES"/>
    <x v="0"/>
    <s v="3212.004"/>
    <s v="Intérêts rémun./perçu trop tôt sur acomptes C/C"/>
    <n v="0.94"/>
    <n v="0"/>
    <n v="3212"/>
  </r>
  <r>
    <x v="0"/>
    <x v="3"/>
    <x v="3"/>
    <x v="287"/>
    <x v="239"/>
    <x v="239"/>
    <s v="CHARGES"/>
    <x v="1"/>
    <s v="3301.001"/>
    <s v="Défalcations, abandons de solde PP et IS"/>
    <n v="0.55000000000000004"/>
    <n v="0"/>
    <n v="3301"/>
  </r>
  <r>
    <x v="0"/>
    <x v="3"/>
    <x v="3"/>
    <x v="287"/>
    <x v="239"/>
    <x v="239"/>
    <s v="CHARGES"/>
    <x v="1"/>
    <s v="3301.003"/>
    <s v="Remises PP et IS"/>
    <n v="2616.0500000000002"/>
    <n v="0"/>
    <n v="3301"/>
  </r>
  <r>
    <x v="0"/>
    <x v="3"/>
    <x v="3"/>
    <x v="287"/>
    <x v="239"/>
    <x v="239"/>
    <s v="CHARGES"/>
    <x v="0"/>
    <s v="3212.004"/>
    <s v="Intérêts rémun./perçu trop tôt sur acomptes C/C"/>
    <n v="0.03"/>
    <n v="0"/>
    <n v="3212"/>
  </r>
  <r>
    <x v="0"/>
    <x v="3"/>
    <x v="3"/>
    <x v="287"/>
    <x v="239"/>
    <x v="239"/>
    <s v="REVENUS"/>
    <x v="3"/>
    <s v="4002.001"/>
    <s v="Impôt ordinaire s/fortune PP"/>
    <n v="0"/>
    <n v="119276.55"/>
    <n v="4002"/>
  </r>
  <r>
    <x v="0"/>
    <x v="3"/>
    <x v="3"/>
    <x v="287"/>
    <x v="239"/>
    <x v="239"/>
    <s v="REVENUS"/>
    <x v="6"/>
    <s v="4211.001"/>
    <s v="Intérêts de retard sur factures"/>
    <n v="0"/>
    <n v="5216.08"/>
    <n v="4211"/>
  </r>
  <r>
    <x v="0"/>
    <x v="3"/>
    <x v="3"/>
    <x v="287"/>
    <x v="239"/>
    <x v="239"/>
    <s v="REVENUS"/>
    <x v="2"/>
    <s v="4001.007"/>
    <s v="Acompte impôt sur revenu"/>
    <n v="0"/>
    <n v="102721.46"/>
    <n v="4001"/>
  </r>
  <r>
    <x v="0"/>
    <x v="3"/>
    <x v="3"/>
    <x v="287"/>
    <x v="239"/>
    <x v="239"/>
    <s v="REVENUS"/>
    <x v="3"/>
    <s v="4002.007"/>
    <s v="Acompte impôt sur fortune"/>
    <n v="0"/>
    <n v="16636.63"/>
    <n v="4002"/>
  </r>
  <r>
    <x v="0"/>
    <x v="3"/>
    <x v="3"/>
    <x v="287"/>
    <x v="239"/>
    <x v="239"/>
    <s v="REVENUS"/>
    <x v="2"/>
    <s v="4001.007"/>
    <s v="Acompte impôt sur revenu"/>
    <n v="0"/>
    <n v="-204852.16"/>
    <n v="4001"/>
  </r>
  <r>
    <x v="0"/>
    <x v="3"/>
    <x v="3"/>
    <x v="287"/>
    <x v="239"/>
    <x v="239"/>
    <s v="REVENUS"/>
    <x v="3"/>
    <s v="4002.007"/>
    <s v="Acompte impôt sur fortune"/>
    <n v="0"/>
    <n v="-42626.080000000002"/>
    <n v="4002"/>
  </r>
  <r>
    <x v="0"/>
    <x v="3"/>
    <x v="3"/>
    <x v="287"/>
    <x v="239"/>
    <x v="239"/>
    <s v="REVENUS"/>
    <x v="2"/>
    <s v="4001.001"/>
    <s v="Impôt revenu"/>
    <n v="0"/>
    <n v="835696.65"/>
    <n v="4001"/>
  </r>
  <r>
    <x v="0"/>
    <x v="3"/>
    <x v="3"/>
    <x v="287"/>
    <x v="239"/>
    <x v="239"/>
    <s v="REVENUS"/>
    <x v="2"/>
    <s v="4001.003"/>
    <s v="Impôt s/prest. cap. PP"/>
    <n v="0"/>
    <n v="16698"/>
    <n v="4001"/>
  </r>
  <r>
    <x v="0"/>
    <x v="3"/>
    <x v="3"/>
    <x v="287"/>
    <x v="239"/>
    <x v="239"/>
    <s v="REVENUS"/>
    <x v="6"/>
    <s v="4211.002"/>
    <s v="Intérêts de retard sur acomptes"/>
    <n v="0"/>
    <n v="5321.74"/>
    <n v="4211"/>
  </r>
  <r>
    <x v="0"/>
    <x v="3"/>
    <x v="3"/>
    <x v="287"/>
    <x v="239"/>
    <x v="239"/>
    <s v="REVENUS"/>
    <x v="7"/>
    <s v="4184.000"/>
    <s v="Frais de poursuite"/>
    <n v="0"/>
    <n v="1374.57"/>
    <n v="4184"/>
  </r>
  <r>
    <x v="0"/>
    <x v="3"/>
    <x v="3"/>
    <x v="287"/>
    <x v="239"/>
    <x v="239"/>
    <s v="REVENUS"/>
    <x v="6"/>
    <s v="4221.003"/>
    <s v="Intérêts compensat. / acomptes en faveur du fisc"/>
    <n v="0"/>
    <n v="250.43"/>
    <n v="4221"/>
  </r>
  <r>
    <x v="0"/>
    <x v="3"/>
    <x v="3"/>
    <x v="287"/>
    <x v="239"/>
    <x v="239"/>
    <s v="REVENUS"/>
    <x v="2"/>
    <s v="4001.002"/>
    <s v="Impôt complément s/revenu PP"/>
    <n v="0"/>
    <n v="102604.5"/>
    <n v="4001"/>
  </r>
  <r>
    <x v="0"/>
    <x v="3"/>
    <x v="3"/>
    <x v="287"/>
    <x v="239"/>
    <x v="239"/>
    <s v="REVENUS"/>
    <x v="3"/>
    <s v="4002.002"/>
    <s v="Impôt complémentaire s/fortune PP"/>
    <n v="0"/>
    <n v="25787.3"/>
    <n v="4002"/>
  </r>
  <r>
    <x v="0"/>
    <x v="3"/>
    <x v="3"/>
    <x v="287"/>
    <x v="239"/>
    <x v="239"/>
    <s v="REVENUS"/>
    <x v="3"/>
    <s v="4002.007"/>
    <s v="Acompte impôt sur fortune"/>
    <n v="0"/>
    <n v="-143.85"/>
    <n v="4002"/>
  </r>
  <r>
    <x v="0"/>
    <x v="3"/>
    <x v="3"/>
    <x v="287"/>
    <x v="239"/>
    <x v="239"/>
    <s v="REVENUS"/>
    <x v="2"/>
    <s v="4001.001"/>
    <s v="Impôt revenu"/>
    <n v="0"/>
    <n v="770.25"/>
    <n v="4001"/>
  </r>
  <r>
    <x v="0"/>
    <x v="3"/>
    <x v="3"/>
    <x v="287"/>
    <x v="239"/>
    <x v="239"/>
    <s v="REVENUS"/>
    <x v="2"/>
    <s v="4001.007"/>
    <s v="Acompte impôt sur revenu"/>
    <n v="0"/>
    <n v="13.55"/>
    <n v="4001"/>
  </r>
  <r>
    <x v="0"/>
    <x v="3"/>
    <x v="3"/>
    <x v="287"/>
    <x v="239"/>
    <x v="239"/>
    <s v="REVENUS"/>
    <x v="3"/>
    <s v="4002.007"/>
    <s v="Acompte impôt sur fortune"/>
    <n v="0"/>
    <n v="-0.05"/>
    <n v="4002"/>
  </r>
  <r>
    <x v="0"/>
    <x v="3"/>
    <x v="3"/>
    <x v="287"/>
    <x v="239"/>
    <x v="239"/>
    <s v="REVENUS"/>
    <x v="3"/>
    <s v="4002.007"/>
    <s v="Acompte impôt sur fortune"/>
    <n v="0"/>
    <n v="-22.6"/>
    <n v="4002"/>
  </r>
  <r>
    <x v="0"/>
    <x v="3"/>
    <x v="3"/>
    <x v="287"/>
    <x v="239"/>
    <x v="239"/>
    <s v="REVENUS"/>
    <x v="2"/>
    <s v="4001.007"/>
    <s v="Acompte impôt sur revenu"/>
    <n v="0"/>
    <n v="178.65"/>
    <n v="4001"/>
  </r>
  <r>
    <x v="0"/>
    <x v="3"/>
    <x v="3"/>
    <x v="287"/>
    <x v="239"/>
    <x v="239"/>
    <s v="REVENUS"/>
    <x v="6"/>
    <s v="4221.003"/>
    <s v="Intérêts compensat. / acomptes en faveur du fisc"/>
    <n v="0"/>
    <n v="0.25"/>
    <n v="4221"/>
  </r>
  <r>
    <x v="0"/>
    <x v="3"/>
    <x v="3"/>
    <x v="287"/>
    <x v="239"/>
    <x v="239"/>
    <s v="REVENUS"/>
    <x v="2"/>
    <s v="4001.007"/>
    <s v="Acompte impôt sur revenu"/>
    <n v="0"/>
    <n v="92.9"/>
    <n v="4001"/>
  </r>
  <r>
    <x v="0"/>
    <x v="3"/>
    <x v="3"/>
    <x v="287"/>
    <x v="239"/>
    <x v="239"/>
    <s v="REVENUS"/>
    <x v="6"/>
    <s v="4221.002"/>
    <s v="Intérêts compensat. sur impôts distincts"/>
    <n v="0"/>
    <n v="3.01"/>
    <n v="4221"/>
  </r>
  <r>
    <x v="0"/>
    <x v="3"/>
    <x v="3"/>
    <x v="287"/>
    <x v="239"/>
    <x v="239"/>
    <s v="REVENUS"/>
    <x v="7"/>
    <s v="4184.000"/>
    <s v="Frais de poursuite"/>
    <n v="0"/>
    <n v="0.66"/>
    <n v="4184"/>
  </r>
  <r>
    <x v="0"/>
    <x v="3"/>
    <x v="3"/>
    <x v="287"/>
    <x v="239"/>
    <x v="239"/>
    <s v="REVENUS"/>
    <x v="2"/>
    <s v="4001.001"/>
    <s v="Impôt revenu"/>
    <n v="0"/>
    <n v="-24350.6"/>
    <n v="4001"/>
  </r>
  <r>
    <x v="0"/>
    <x v="3"/>
    <x v="3"/>
    <x v="287"/>
    <x v="239"/>
    <x v="239"/>
    <s v="REVENUS"/>
    <x v="2"/>
    <s v="4001.002"/>
    <s v="Impôt complément s/revenu PP"/>
    <n v="0"/>
    <n v="-21231.05"/>
    <n v="4001"/>
  </r>
  <r>
    <x v="0"/>
    <x v="3"/>
    <x v="3"/>
    <x v="287"/>
    <x v="239"/>
    <x v="239"/>
    <s v="REVENUS"/>
    <x v="3"/>
    <s v="4002.001"/>
    <s v="Impôt ordinaire s/fortune PP"/>
    <n v="0"/>
    <n v="-10731.95"/>
    <n v="4002"/>
  </r>
  <r>
    <x v="0"/>
    <x v="3"/>
    <x v="3"/>
    <x v="287"/>
    <x v="239"/>
    <x v="239"/>
    <s v="REVENUS"/>
    <x v="3"/>
    <s v="4002.002"/>
    <s v="Impôt complémentaire s/fortune PP"/>
    <n v="0"/>
    <n v="-7343.15"/>
    <n v="4002"/>
  </r>
  <r>
    <x v="0"/>
    <x v="3"/>
    <x v="3"/>
    <x v="287"/>
    <x v="239"/>
    <x v="239"/>
    <s v="REVENUS"/>
    <x v="10"/>
    <s v="4041.001"/>
    <s v="Droits de mutation"/>
    <n v="0"/>
    <n v="24790.2"/>
    <n v="4041"/>
  </r>
  <r>
    <x v="0"/>
    <x v="3"/>
    <x v="3"/>
    <x v="287"/>
    <x v="239"/>
    <x v="239"/>
    <s v="REVENUS"/>
    <x v="9"/>
    <s v="4031.001"/>
    <s v="Impôt sur les gains immobiliers"/>
    <n v="0"/>
    <n v="21245.65"/>
    <n v="4031"/>
  </r>
  <r>
    <x v="0"/>
    <x v="3"/>
    <x v="3"/>
    <x v="287"/>
    <x v="239"/>
    <x v="239"/>
    <s v="REVENUS"/>
    <x v="6"/>
    <s v="4221.003"/>
    <s v="Intérêts compensat. / acomptes en faveur du fisc"/>
    <n v="0"/>
    <n v="-0.01"/>
    <n v="4221"/>
  </r>
  <r>
    <x v="0"/>
    <x v="3"/>
    <x v="3"/>
    <x v="287"/>
    <x v="239"/>
    <x v="239"/>
    <s v="REVENUS"/>
    <x v="2"/>
    <s v="4001.001"/>
    <s v="Impôt revenu"/>
    <n v="0"/>
    <n v="5477.7"/>
    <n v="4001"/>
  </r>
  <r>
    <x v="0"/>
    <x v="3"/>
    <x v="3"/>
    <x v="287"/>
    <x v="239"/>
    <x v="239"/>
    <s v="REVENUS"/>
    <x v="2"/>
    <s v="4001.007"/>
    <s v="Acompte impôt sur revenu"/>
    <n v="0"/>
    <n v="-69.11"/>
    <n v="4001"/>
  </r>
  <r>
    <x v="0"/>
    <x v="3"/>
    <x v="3"/>
    <x v="287"/>
    <x v="239"/>
    <x v="239"/>
    <s v="REVENUS"/>
    <x v="3"/>
    <s v="4002.001"/>
    <s v="Impôt ordinaire s/fortune PP"/>
    <n v="0"/>
    <n v="2645.2"/>
    <n v="4002"/>
  </r>
  <r>
    <x v="0"/>
    <x v="3"/>
    <x v="3"/>
    <x v="287"/>
    <x v="239"/>
    <x v="239"/>
    <s v="REVENUS"/>
    <x v="6"/>
    <s v="4221.003"/>
    <s v="Intérêts compensat. / acomptes en faveur du fisc"/>
    <n v="0"/>
    <n v="1.68"/>
    <n v="4221"/>
  </r>
  <r>
    <x v="0"/>
    <x v="3"/>
    <x v="3"/>
    <x v="287"/>
    <x v="239"/>
    <x v="239"/>
    <s v="REVENUS"/>
    <x v="2"/>
    <s v="4001.001"/>
    <s v="Impôt revenu"/>
    <n v="0"/>
    <n v="642"/>
    <n v="4001"/>
  </r>
  <r>
    <x v="0"/>
    <x v="3"/>
    <x v="3"/>
    <x v="287"/>
    <x v="239"/>
    <x v="239"/>
    <s v="REVENUS"/>
    <x v="3"/>
    <s v="4002.001"/>
    <s v="Impôt ordinaire s/fortune PP"/>
    <n v="0"/>
    <n v="515.54999999999995"/>
    <n v="4002"/>
  </r>
  <r>
    <x v="0"/>
    <x v="3"/>
    <x v="3"/>
    <x v="287"/>
    <x v="239"/>
    <x v="239"/>
    <s v="REVENUS"/>
    <x v="2"/>
    <s v="4001.001"/>
    <s v="Impôt revenu"/>
    <n v="0"/>
    <n v="0"/>
    <n v="4001"/>
  </r>
  <r>
    <x v="0"/>
    <x v="3"/>
    <x v="3"/>
    <x v="287"/>
    <x v="239"/>
    <x v="239"/>
    <s v="REVENUS"/>
    <x v="2"/>
    <s v="4001.002"/>
    <s v="Impôt complément s/revenu PP"/>
    <n v="0"/>
    <n v="14.25"/>
    <n v="4001"/>
  </r>
  <r>
    <x v="0"/>
    <x v="3"/>
    <x v="3"/>
    <x v="287"/>
    <x v="239"/>
    <x v="239"/>
    <s v="REVENUS"/>
    <x v="3"/>
    <s v="4002.001"/>
    <s v="Impôt ordinaire s/fortune PP"/>
    <n v="0"/>
    <n v="0"/>
    <n v="4002"/>
  </r>
  <r>
    <x v="0"/>
    <x v="3"/>
    <x v="3"/>
    <x v="287"/>
    <x v="239"/>
    <x v="239"/>
    <s v="REVENUS"/>
    <x v="3"/>
    <s v="4002.002"/>
    <s v="Impôt complémentaire s/fortune PP"/>
    <n v="0"/>
    <n v="6.6"/>
    <n v="4002"/>
  </r>
  <r>
    <x v="0"/>
    <x v="3"/>
    <x v="3"/>
    <x v="287"/>
    <x v="239"/>
    <x v="239"/>
    <s v="REVENUS"/>
    <x v="5"/>
    <s v="4061.000"/>
    <s v="Impôt sur les chiens"/>
    <n v="0"/>
    <n v="5800"/>
    <n v="4061"/>
  </r>
  <r>
    <x v="0"/>
    <x v="3"/>
    <x v="3"/>
    <x v="287"/>
    <x v="239"/>
    <x v="239"/>
    <s v="REVENUS"/>
    <x v="6"/>
    <s v="4211.002"/>
    <s v="Intérêts de retard sur acomptes"/>
    <n v="0"/>
    <n v="0.63"/>
    <n v="4211"/>
  </r>
  <r>
    <x v="0"/>
    <x v="3"/>
    <x v="3"/>
    <x v="287"/>
    <x v="239"/>
    <x v="239"/>
    <s v="REVENUS"/>
    <x v="6"/>
    <s v="4211.002"/>
    <s v="Intérêts de retard sur acomptes"/>
    <n v="0"/>
    <n v="0.01"/>
    <n v="4211"/>
  </r>
  <r>
    <x v="0"/>
    <x v="3"/>
    <x v="3"/>
    <x v="288"/>
    <x v="240"/>
    <x v="240"/>
    <s v="CHARGES"/>
    <x v="1"/>
    <s v="3301.001"/>
    <s v="Défalcations, abandons de solde PP et IS"/>
    <n v="2132.04"/>
    <n v="0"/>
    <n v="3301"/>
  </r>
  <r>
    <x v="0"/>
    <x v="3"/>
    <x v="3"/>
    <x v="288"/>
    <x v="240"/>
    <x v="240"/>
    <s v="REVENUS"/>
    <x v="8"/>
    <s v="4091.001"/>
    <s v="Impôt récupéré après défalcations"/>
    <n v="0"/>
    <n v="6702.34"/>
    <n v="4091"/>
  </r>
  <r>
    <x v="0"/>
    <x v="3"/>
    <x v="3"/>
    <x v="288"/>
    <x v="240"/>
    <x v="240"/>
    <s v="REVENUS"/>
    <x v="7"/>
    <s v="4184.000"/>
    <s v="Frais de poursuite"/>
    <n v="0"/>
    <n v="185.71"/>
    <n v="4184"/>
  </r>
  <r>
    <x v="0"/>
    <x v="3"/>
    <x v="3"/>
    <x v="289"/>
    <x v="241"/>
    <x v="241"/>
    <s v="CHARGES"/>
    <x v="0"/>
    <s v="3212.004"/>
    <s v="Intérêts rémun./perçu trop tôt sur acomptes C/C"/>
    <n v="717.28"/>
    <n v="0"/>
    <n v="3212"/>
  </r>
  <r>
    <x v="0"/>
    <x v="3"/>
    <x v="3"/>
    <x v="289"/>
    <x v="241"/>
    <x v="241"/>
    <s v="CHARGES"/>
    <x v="1"/>
    <s v="3301.001"/>
    <s v="Défalcations, abandons de solde PP et IS"/>
    <n v="79919.850000000006"/>
    <n v="0"/>
    <n v="3301"/>
  </r>
  <r>
    <x v="0"/>
    <x v="3"/>
    <x v="3"/>
    <x v="289"/>
    <x v="241"/>
    <x v="241"/>
    <s v="CHARGES"/>
    <x v="0"/>
    <s v="3221.002"/>
    <s v="Intérêts compensatoires / créances en faveur ctb."/>
    <n v="344.09"/>
    <n v="0"/>
    <n v="3221"/>
  </r>
  <r>
    <x v="0"/>
    <x v="3"/>
    <x v="3"/>
    <x v="289"/>
    <x v="241"/>
    <x v="241"/>
    <s v="CHARGES"/>
    <x v="0"/>
    <s v="3212.002"/>
    <s v="Intérêts bonifiés/trop perçu acompte C/C"/>
    <n v="2.85"/>
    <n v="0"/>
    <n v="3212"/>
  </r>
  <r>
    <x v="0"/>
    <x v="3"/>
    <x v="3"/>
    <x v="289"/>
    <x v="241"/>
    <x v="241"/>
    <s v="CHARGES"/>
    <x v="1"/>
    <s v="3301.001"/>
    <s v="Défalcations, abandons de solde PP et IS"/>
    <n v="0.36"/>
    <n v="0"/>
    <n v="3301"/>
  </r>
  <r>
    <x v="0"/>
    <x v="3"/>
    <x v="3"/>
    <x v="289"/>
    <x v="241"/>
    <x v="241"/>
    <s v="CHARGES"/>
    <x v="1"/>
    <s v="3301.001"/>
    <s v="Défalcations, abandons de solde PP et IS"/>
    <n v="0.83"/>
    <n v="0"/>
    <n v="3301"/>
  </r>
  <r>
    <x v="0"/>
    <x v="3"/>
    <x v="3"/>
    <x v="289"/>
    <x v="241"/>
    <x v="241"/>
    <s v="CHARGES"/>
    <x v="1"/>
    <s v="3301.001"/>
    <s v="Défalcations, abandons de solde PP et IS"/>
    <n v="0.73"/>
    <n v="0"/>
    <n v="3301"/>
  </r>
  <r>
    <x v="0"/>
    <x v="3"/>
    <x v="3"/>
    <x v="289"/>
    <x v="241"/>
    <x v="241"/>
    <s v="CHARGES"/>
    <x v="1"/>
    <s v="3301.001"/>
    <s v="Défalcations, abandons de solde PP et IS"/>
    <n v="463.39"/>
    <n v="0"/>
    <n v="3301"/>
  </r>
  <r>
    <x v="0"/>
    <x v="3"/>
    <x v="3"/>
    <x v="289"/>
    <x v="241"/>
    <x v="241"/>
    <s v="CHARGES"/>
    <x v="0"/>
    <s v="3212.004"/>
    <s v="Intérêts rémun./perçu trop tôt sur acomptes C/C"/>
    <n v="0.81"/>
    <n v="0"/>
    <n v="3212"/>
  </r>
  <r>
    <x v="0"/>
    <x v="3"/>
    <x v="3"/>
    <x v="289"/>
    <x v="241"/>
    <x v="241"/>
    <s v="CHARGES"/>
    <x v="0"/>
    <s v="3221.002"/>
    <s v="Intérêts compensatoires / créances en faveur ctb."/>
    <n v="18.579999999999998"/>
    <n v="0"/>
    <n v="3221"/>
  </r>
  <r>
    <x v="0"/>
    <x v="3"/>
    <x v="3"/>
    <x v="289"/>
    <x v="241"/>
    <x v="241"/>
    <s v="CHARGES"/>
    <x v="0"/>
    <s v="3212.004"/>
    <s v="Intérêts rémun./perçu trop tôt sur acomptes C/C"/>
    <n v="2.23"/>
    <n v="0"/>
    <n v="3212"/>
  </r>
  <r>
    <x v="0"/>
    <x v="3"/>
    <x v="3"/>
    <x v="289"/>
    <x v="241"/>
    <x v="241"/>
    <s v="CHARGES"/>
    <x v="0"/>
    <s v="3221.002"/>
    <s v="Intérêts compensatoires / créances en faveur ctb."/>
    <n v="0.15"/>
    <n v="0"/>
    <n v="3221"/>
  </r>
  <r>
    <x v="0"/>
    <x v="3"/>
    <x v="3"/>
    <x v="289"/>
    <x v="241"/>
    <x v="241"/>
    <s v="CHARGES"/>
    <x v="0"/>
    <s v="3212.004"/>
    <s v="Intérêts rémun./perçu trop tôt sur acomptes C/C"/>
    <n v="0.61"/>
    <n v="0"/>
    <n v="3212"/>
  </r>
  <r>
    <x v="0"/>
    <x v="3"/>
    <x v="3"/>
    <x v="289"/>
    <x v="241"/>
    <x v="241"/>
    <s v="CHARGES"/>
    <x v="0"/>
    <s v="3212.002"/>
    <s v="Intérêts bonifiés/trop perçu acompte C/C"/>
    <n v="0.26"/>
    <n v="0"/>
    <n v="3212"/>
  </r>
  <r>
    <x v="0"/>
    <x v="3"/>
    <x v="3"/>
    <x v="289"/>
    <x v="241"/>
    <x v="241"/>
    <s v="CHARGES"/>
    <x v="0"/>
    <s v="3212.004"/>
    <s v="Intérêts rémun./perçu trop tôt sur acomptes C/C"/>
    <n v="27.83"/>
    <n v="0"/>
    <n v="3212"/>
  </r>
  <r>
    <x v="0"/>
    <x v="3"/>
    <x v="3"/>
    <x v="289"/>
    <x v="241"/>
    <x v="241"/>
    <s v="CHARGES"/>
    <x v="0"/>
    <s v="3221.002"/>
    <s v="Intérêts compensatoires / créances en faveur ctb."/>
    <n v="1.58"/>
    <n v="0"/>
    <n v="3221"/>
  </r>
  <r>
    <x v="0"/>
    <x v="3"/>
    <x v="3"/>
    <x v="289"/>
    <x v="241"/>
    <x v="241"/>
    <s v="CHARGES"/>
    <x v="1"/>
    <s v="3301.001"/>
    <s v="Défalcations, abandons de solde PP et IS"/>
    <n v="0.42"/>
    <n v="0"/>
    <n v="3301"/>
  </r>
  <r>
    <x v="0"/>
    <x v="3"/>
    <x v="3"/>
    <x v="289"/>
    <x v="241"/>
    <x v="241"/>
    <s v="CHARGES"/>
    <x v="0"/>
    <s v="3212.004"/>
    <s v="Intérêts rémun./perçu trop tôt sur acomptes C/C"/>
    <n v="0.05"/>
    <n v="0"/>
    <n v="3212"/>
  </r>
  <r>
    <x v="0"/>
    <x v="3"/>
    <x v="3"/>
    <x v="289"/>
    <x v="241"/>
    <x v="241"/>
    <s v="CHARGES"/>
    <x v="1"/>
    <s v="3301.001"/>
    <s v="Défalcations, abandons de solde PP et IS"/>
    <n v="0.2"/>
    <n v="0"/>
    <n v="3301"/>
  </r>
  <r>
    <x v="0"/>
    <x v="3"/>
    <x v="3"/>
    <x v="289"/>
    <x v="241"/>
    <x v="241"/>
    <s v="CHARGES"/>
    <x v="0"/>
    <s v="3212.004"/>
    <s v="Intérêts rémun./perçu trop tôt sur acomptes C/C"/>
    <n v="0.06"/>
    <n v="0"/>
    <n v="3212"/>
  </r>
  <r>
    <x v="0"/>
    <x v="3"/>
    <x v="3"/>
    <x v="289"/>
    <x v="241"/>
    <x v="241"/>
    <s v="CHARGES"/>
    <x v="0"/>
    <s v="3221.002"/>
    <s v="Intérêts compensatoires / créances en faveur ctb."/>
    <n v="0.01"/>
    <n v="0"/>
    <n v="3221"/>
  </r>
  <r>
    <x v="0"/>
    <x v="3"/>
    <x v="3"/>
    <x v="289"/>
    <x v="241"/>
    <x v="241"/>
    <s v="CHARGES"/>
    <x v="0"/>
    <s v="3221.002"/>
    <s v="Intérêts compensatoires / créances en faveur ctb."/>
    <n v="0.01"/>
    <n v="0"/>
    <n v="3221"/>
  </r>
  <r>
    <x v="0"/>
    <x v="3"/>
    <x v="3"/>
    <x v="289"/>
    <x v="241"/>
    <x v="241"/>
    <s v="CHARGES"/>
    <x v="0"/>
    <s v="3212.004"/>
    <s v="Intérêts rémun./perçu trop tôt sur acomptes C/C"/>
    <n v="0.04"/>
    <n v="0"/>
    <n v="3212"/>
  </r>
  <r>
    <x v="0"/>
    <x v="3"/>
    <x v="3"/>
    <x v="289"/>
    <x v="241"/>
    <x v="241"/>
    <s v="CHARGES"/>
    <x v="1"/>
    <s v="3301.001"/>
    <s v="Défalcations, abandons de solde PP et IS"/>
    <n v="0.09"/>
    <n v="0"/>
    <n v="3301"/>
  </r>
  <r>
    <x v="0"/>
    <x v="3"/>
    <x v="3"/>
    <x v="289"/>
    <x v="241"/>
    <x v="241"/>
    <s v="REVENUS"/>
    <x v="2"/>
    <s v="4001.007"/>
    <s v="Acompte impôt sur revenu"/>
    <n v="0"/>
    <n v="-971764.7"/>
    <n v="4001"/>
  </r>
  <r>
    <x v="0"/>
    <x v="3"/>
    <x v="3"/>
    <x v="289"/>
    <x v="241"/>
    <x v="241"/>
    <s v="REVENUS"/>
    <x v="3"/>
    <s v="4002.007"/>
    <s v="Acompte impôt sur fortune"/>
    <n v="0"/>
    <n v="-161520.51999999999"/>
    <n v="4002"/>
  </r>
  <r>
    <x v="0"/>
    <x v="3"/>
    <x v="3"/>
    <x v="289"/>
    <x v="241"/>
    <x v="241"/>
    <s v="REVENUS"/>
    <x v="2"/>
    <s v="4001.001"/>
    <s v="Impôt revenu"/>
    <n v="0"/>
    <n v="3406273.25"/>
    <n v="4001"/>
  </r>
  <r>
    <x v="0"/>
    <x v="3"/>
    <x v="3"/>
    <x v="289"/>
    <x v="241"/>
    <x v="241"/>
    <s v="REVENUS"/>
    <x v="2"/>
    <s v="4001.003"/>
    <s v="Impôt s/prest. cap. PP"/>
    <n v="0"/>
    <n v="98598.05"/>
    <n v="4001"/>
  </r>
  <r>
    <x v="0"/>
    <x v="3"/>
    <x v="3"/>
    <x v="289"/>
    <x v="241"/>
    <x v="241"/>
    <s v="REVENUS"/>
    <x v="2"/>
    <s v="4001.007"/>
    <s v="Acompte impôt sur revenu"/>
    <n v="0"/>
    <n v="481694.45"/>
    <n v="4001"/>
  </r>
  <r>
    <x v="0"/>
    <x v="3"/>
    <x v="3"/>
    <x v="289"/>
    <x v="241"/>
    <x v="241"/>
    <s v="REVENUS"/>
    <x v="3"/>
    <s v="4002.001"/>
    <s v="Impôt ordinaire s/fortune PP"/>
    <n v="0"/>
    <n v="376712.9"/>
    <n v="4002"/>
  </r>
  <r>
    <x v="0"/>
    <x v="3"/>
    <x v="3"/>
    <x v="289"/>
    <x v="241"/>
    <x v="241"/>
    <s v="REVENUS"/>
    <x v="6"/>
    <s v="4211.001"/>
    <s v="Intérêts de retard sur factures"/>
    <n v="0"/>
    <n v="12884.84"/>
    <n v="4211"/>
  </r>
  <r>
    <x v="0"/>
    <x v="3"/>
    <x v="3"/>
    <x v="289"/>
    <x v="241"/>
    <x v="241"/>
    <s v="REVENUS"/>
    <x v="6"/>
    <s v="4211.002"/>
    <s v="Intérêts de retard sur acomptes"/>
    <n v="0"/>
    <n v="23238.22"/>
    <n v="4211"/>
  </r>
  <r>
    <x v="0"/>
    <x v="3"/>
    <x v="3"/>
    <x v="289"/>
    <x v="241"/>
    <x v="241"/>
    <s v="REVENUS"/>
    <x v="6"/>
    <s v="4221.003"/>
    <s v="Intérêts compensat. / acomptes en faveur du fisc"/>
    <n v="0"/>
    <n v="482.06"/>
    <n v="4221"/>
  </r>
  <r>
    <x v="0"/>
    <x v="3"/>
    <x v="3"/>
    <x v="289"/>
    <x v="241"/>
    <x v="241"/>
    <s v="REVENUS"/>
    <x v="2"/>
    <s v="4001.002"/>
    <s v="Impôt complément s/revenu PP"/>
    <n v="0"/>
    <n v="244999.45"/>
    <n v="4001"/>
  </r>
  <r>
    <x v="0"/>
    <x v="3"/>
    <x v="3"/>
    <x v="289"/>
    <x v="241"/>
    <x v="241"/>
    <s v="REVENUS"/>
    <x v="3"/>
    <s v="4002.002"/>
    <s v="Impôt complémentaire s/fortune PP"/>
    <n v="0"/>
    <n v="33213.199999999997"/>
    <n v="4002"/>
  </r>
  <r>
    <x v="0"/>
    <x v="3"/>
    <x v="3"/>
    <x v="289"/>
    <x v="241"/>
    <x v="241"/>
    <s v="REVENUS"/>
    <x v="3"/>
    <s v="4002.007"/>
    <s v="Acompte impôt sur fortune"/>
    <n v="0"/>
    <n v="76413.649999999994"/>
    <n v="4002"/>
  </r>
  <r>
    <x v="0"/>
    <x v="3"/>
    <x v="3"/>
    <x v="289"/>
    <x v="241"/>
    <x v="241"/>
    <s v="REVENUS"/>
    <x v="7"/>
    <s v="4184.000"/>
    <s v="Frais de poursuite"/>
    <n v="0"/>
    <n v="7181.61"/>
    <n v="4184"/>
  </r>
  <r>
    <x v="0"/>
    <x v="3"/>
    <x v="3"/>
    <x v="289"/>
    <x v="241"/>
    <x v="241"/>
    <s v="REVENUS"/>
    <x v="8"/>
    <s v="4091.001"/>
    <s v="Impôt récupéré après défalcations"/>
    <n v="0"/>
    <n v="46324.04"/>
    <n v="4091"/>
  </r>
  <r>
    <x v="0"/>
    <x v="3"/>
    <x v="3"/>
    <x v="289"/>
    <x v="241"/>
    <x v="241"/>
    <s v="REVENUS"/>
    <x v="2"/>
    <s v="4001.001"/>
    <s v="Impôt revenu"/>
    <n v="0"/>
    <n v="-83392.55"/>
    <n v="4001"/>
  </r>
  <r>
    <x v="0"/>
    <x v="3"/>
    <x v="3"/>
    <x v="289"/>
    <x v="241"/>
    <x v="241"/>
    <s v="REVENUS"/>
    <x v="9"/>
    <s v="4031.001"/>
    <s v="Impôt sur les gains immobiliers"/>
    <n v="0"/>
    <n v="66491.5"/>
    <n v="4031"/>
  </r>
  <r>
    <x v="0"/>
    <x v="3"/>
    <x v="3"/>
    <x v="289"/>
    <x v="241"/>
    <x v="241"/>
    <s v="REVENUS"/>
    <x v="10"/>
    <s v="4041.001"/>
    <s v="Droits de mutation"/>
    <n v="0"/>
    <n v="186753.65"/>
    <n v="4041"/>
  </r>
  <r>
    <x v="0"/>
    <x v="3"/>
    <x v="3"/>
    <x v="289"/>
    <x v="241"/>
    <x v="241"/>
    <s v="REVENUS"/>
    <x v="2"/>
    <s v="4001.001"/>
    <s v="Impôt revenu"/>
    <n v="0"/>
    <n v="5231.8500000000004"/>
    <n v="4001"/>
  </r>
  <r>
    <x v="0"/>
    <x v="3"/>
    <x v="3"/>
    <x v="289"/>
    <x v="241"/>
    <x v="241"/>
    <s v="REVENUS"/>
    <x v="3"/>
    <s v="4002.001"/>
    <s v="Impôt ordinaire s/fortune PP"/>
    <n v="0"/>
    <n v="1721.6"/>
    <n v="4002"/>
  </r>
  <r>
    <x v="0"/>
    <x v="3"/>
    <x v="3"/>
    <x v="289"/>
    <x v="241"/>
    <x v="241"/>
    <s v="REVENUS"/>
    <x v="6"/>
    <s v="4211.002"/>
    <s v="Intérêts de retard sur acomptes"/>
    <n v="0"/>
    <n v="117.24"/>
    <n v="4211"/>
  </r>
  <r>
    <x v="0"/>
    <x v="3"/>
    <x v="3"/>
    <x v="289"/>
    <x v="241"/>
    <x v="241"/>
    <s v="REVENUS"/>
    <x v="6"/>
    <s v="4221.002"/>
    <s v="Intérêts compensat. sur impôts distincts"/>
    <n v="0"/>
    <n v="20.260000000000002"/>
    <n v="4221"/>
  </r>
  <r>
    <x v="0"/>
    <x v="3"/>
    <x v="3"/>
    <x v="289"/>
    <x v="241"/>
    <x v="241"/>
    <s v="REVENUS"/>
    <x v="2"/>
    <s v="4001.007"/>
    <s v="Acompte impôt sur revenu"/>
    <n v="0"/>
    <n v="1701.05"/>
    <n v="4001"/>
  </r>
  <r>
    <x v="0"/>
    <x v="3"/>
    <x v="3"/>
    <x v="289"/>
    <x v="241"/>
    <x v="241"/>
    <s v="REVENUS"/>
    <x v="3"/>
    <s v="4002.007"/>
    <s v="Acompte impôt sur fortune"/>
    <n v="0"/>
    <n v="2489.25"/>
    <n v="4002"/>
  </r>
  <r>
    <x v="0"/>
    <x v="3"/>
    <x v="3"/>
    <x v="289"/>
    <x v="241"/>
    <x v="241"/>
    <s v="REVENUS"/>
    <x v="3"/>
    <s v="4002.007"/>
    <s v="Acompte impôt sur fortune"/>
    <n v="0"/>
    <n v="-670.44"/>
    <n v="4002"/>
  </r>
  <r>
    <x v="0"/>
    <x v="3"/>
    <x v="3"/>
    <x v="289"/>
    <x v="241"/>
    <x v="241"/>
    <s v="REVENUS"/>
    <x v="2"/>
    <s v="4001.007"/>
    <s v="Acompte impôt sur revenu"/>
    <n v="0"/>
    <n v="4031.39"/>
    <n v="4001"/>
  </r>
  <r>
    <x v="0"/>
    <x v="3"/>
    <x v="3"/>
    <x v="289"/>
    <x v="241"/>
    <x v="241"/>
    <s v="REVENUS"/>
    <x v="3"/>
    <s v="4002.007"/>
    <s v="Acompte impôt sur fortune"/>
    <n v="0"/>
    <n v="2066.23"/>
    <n v="4002"/>
  </r>
  <r>
    <x v="0"/>
    <x v="3"/>
    <x v="3"/>
    <x v="289"/>
    <x v="241"/>
    <x v="241"/>
    <s v="REVENUS"/>
    <x v="8"/>
    <s v="4091.001"/>
    <s v="Impôt récupéré après défalcations"/>
    <n v="0"/>
    <n v="8318.17"/>
    <n v="4091"/>
  </r>
  <r>
    <x v="0"/>
    <x v="3"/>
    <x v="3"/>
    <x v="289"/>
    <x v="241"/>
    <x v="241"/>
    <s v="REVENUS"/>
    <x v="2"/>
    <s v="4001.007"/>
    <s v="Acompte impôt sur revenu"/>
    <n v="0"/>
    <n v="0.7"/>
    <n v="4001"/>
  </r>
  <r>
    <x v="0"/>
    <x v="3"/>
    <x v="3"/>
    <x v="289"/>
    <x v="241"/>
    <x v="241"/>
    <s v="REVENUS"/>
    <x v="3"/>
    <s v="4002.007"/>
    <s v="Acompte impôt sur fortune"/>
    <n v="0"/>
    <n v="167.75"/>
    <n v="4002"/>
  </r>
  <r>
    <x v="0"/>
    <x v="3"/>
    <x v="3"/>
    <x v="289"/>
    <x v="241"/>
    <x v="241"/>
    <s v="REVENUS"/>
    <x v="6"/>
    <s v="4211.001"/>
    <s v="Intérêts de retard sur factures"/>
    <n v="0"/>
    <n v="1.4"/>
    <n v="4211"/>
  </r>
  <r>
    <x v="0"/>
    <x v="3"/>
    <x v="3"/>
    <x v="289"/>
    <x v="241"/>
    <x v="241"/>
    <s v="REVENUS"/>
    <x v="2"/>
    <s v="4001.007"/>
    <s v="Acompte impôt sur revenu"/>
    <n v="0"/>
    <n v="-1499.05"/>
    <n v="4001"/>
  </r>
  <r>
    <x v="0"/>
    <x v="3"/>
    <x v="3"/>
    <x v="289"/>
    <x v="241"/>
    <x v="241"/>
    <s v="REVENUS"/>
    <x v="2"/>
    <s v="4001.001"/>
    <s v="Impôt revenu"/>
    <n v="0"/>
    <n v="1470.25"/>
    <n v="4001"/>
  </r>
  <r>
    <x v="0"/>
    <x v="3"/>
    <x v="3"/>
    <x v="289"/>
    <x v="241"/>
    <x v="241"/>
    <s v="REVENUS"/>
    <x v="3"/>
    <s v="4002.001"/>
    <s v="Impôt ordinaire s/fortune PP"/>
    <n v="0"/>
    <n v="244.3"/>
    <n v="4002"/>
  </r>
  <r>
    <x v="0"/>
    <x v="3"/>
    <x v="3"/>
    <x v="289"/>
    <x v="241"/>
    <x v="241"/>
    <s v="REVENUS"/>
    <x v="3"/>
    <s v="4002.007"/>
    <s v="Acompte impôt sur fortune"/>
    <n v="0"/>
    <n v="644.21"/>
    <n v="4002"/>
  </r>
  <r>
    <x v="0"/>
    <x v="3"/>
    <x v="3"/>
    <x v="289"/>
    <x v="241"/>
    <x v="241"/>
    <s v="REVENUS"/>
    <x v="6"/>
    <s v="4221.003"/>
    <s v="Intérêts compensat. / acomptes en faveur du fisc"/>
    <n v="0"/>
    <n v="0.35"/>
    <n v="4221"/>
  </r>
  <r>
    <x v="0"/>
    <x v="3"/>
    <x v="3"/>
    <x v="289"/>
    <x v="241"/>
    <x v="241"/>
    <s v="REVENUS"/>
    <x v="2"/>
    <s v="4001.007"/>
    <s v="Acompte impôt sur revenu"/>
    <n v="0"/>
    <n v="2572.88"/>
    <n v="4001"/>
  </r>
  <r>
    <x v="0"/>
    <x v="3"/>
    <x v="3"/>
    <x v="289"/>
    <x v="241"/>
    <x v="241"/>
    <s v="REVENUS"/>
    <x v="2"/>
    <s v="4001.007"/>
    <s v="Acompte impôt sur revenu"/>
    <n v="0"/>
    <n v="127.5"/>
    <n v="4001"/>
  </r>
  <r>
    <x v="0"/>
    <x v="3"/>
    <x v="3"/>
    <x v="289"/>
    <x v="241"/>
    <x v="241"/>
    <s v="REVENUS"/>
    <x v="3"/>
    <s v="4002.007"/>
    <s v="Acompte impôt sur fortune"/>
    <n v="0"/>
    <n v="9.9499999999999993"/>
    <n v="4002"/>
  </r>
  <r>
    <x v="0"/>
    <x v="3"/>
    <x v="3"/>
    <x v="289"/>
    <x v="241"/>
    <x v="241"/>
    <s v="REVENUS"/>
    <x v="6"/>
    <s v="4221.002"/>
    <s v="Intérêts compensat. sur impôts distincts"/>
    <n v="0"/>
    <n v="-0.1"/>
    <n v="4221"/>
  </r>
  <r>
    <x v="0"/>
    <x v="3"/>
    <x v="3"/>
    <x v="289"/>
    <x v="241"/>
    <x v="241"/>
    <s v="REVENUS"/>
    <x v="2"/>
    <s v="4001.002"/>
    <s v="Impôt complément s/revenu PP"/>
    <n v="0"/>
    <n v="-3235.05"/>
    <n v="4001"/>
  </r>
  <r>
    <x v="0"/>
    <x v="3"/>
    <x v="3"/>
    <x v="289"/>
    <x v="241"/>
    <x v="241"/>
    <s v="REVENUS"/>
    <x v="2"/>
    <s v="4001.003"/>
    <s v="Impôt s/prest. cap. PP"/>
    <n v="0"/>
    <n v="-5599.9"/>
    <n v="4001"/>
  </r>
  <r>
    <x v="0"/>
    <x v="3"/>
    <x v="3"/>
    <x v="289"/>
    <x v="241"/>
    <x v="241"/>
    <s v="REVENUS"/>
    <x v="3"/>
    <s v="4002.001"/>
    <s v="Impôt ordinaire s/fortune PP"/>
    <n v="0"/>
    <n v="-11070.15"/>
    <n v="4002"/>
  </r>
  <r>
    <x v="0"/>
    <x v="3"/>
    <x v="3"/>
    <x v="289"/>
    <x v="241"/>
    <x v="241"/>
    <s v="REVENUS"/>
    <x v="3"/>
    <s v="4002.002"/>
    <s v="Impôt complémentaire s/fortune PP"/>
    <n v="0"/>
    <n v="-875.95"/>
    <n v="4002"/>
  </r>
  <r>
    <x v="0"/>
    <x v="3"/>
    <x v="3"/>
    <x v="289"/>
    <x v="241"/>
    <x v="241"/>
    <s v="REVENUS"/>
    <x v="7"/>
    <s v="4184.000"/>
    <s v="Frais de poursuite"/>
    <n v="0"/>
    <n v="177.55"/>
    <n v="4184"/>
  </r>
  <r>
    <x v="0"/>
    <x v="3"/>
    <x v="3"/>
    <x v="289"/>
    <x v="241"/>
    <x v="241"/>
    <s v="REVENUS"/>
    <x v="6"/>
    <s v="4221.003"/>
    <s v="Intérêts compensat. / acomptes en faveur du fisc"/>
    <n v="0"/>
    <n v="0.22"/>
    <n v="4221"/>
  </r>
  <r>
    <x v="0"/>
    <x v="3"/>
    <x v="3"/>
    <x v="289"/>
    <x v="241"/>
    <x v="241"/>
    <s v="REVENUS"/>
    <x v="3"/>
    <s v="4002.001"/>
    <s v="Impôt ordinaire s/fortune PP"/>
    <n v="0"/>
    <n v="1520.9"/>
    <n v="4002"/>
  </r>
  <r>
    <x v="0"/>
    <x v="3"/>
    <x v="3"/>
    <x v="289"/>
    <x v="241"/>
    <x v="241"/>
    <s v="REVENUS"/>
    <x v="6"/>
    <s v="4211.001"/>
    <s v="Intérêts de retard sur factures"/>
    <n v="0"/>
    <n v="0.02"/>
    <n v="4211"/>
  </r>
  <r>
    <x v="0"/>
    <x v="3"/>
    <x v="3"/>
    <x v="289"/>
    <x v="241"/>
    <x v="241"/>
    <s v="REVENUS"/>
    <x v="6"/>
    <s v="4211.001"/>
    <s v="Intérêts de retard sur factures"/>
    <n v="0"/>
    <n v="3.48"/>
    <n v="4211"/>
  </r>
  <r>
    <x v="0"/>
    <x v="3"/>
    <x v="3"/>
    <x v="289"/>
    <x v="241"/>
    <x v="241"/>
    <s v="REVENUS"/>
    <x v="2"/>
    <s v="4001.002"/>
    <s v="Impôt complément s/revenu PP"/>
    <n v="0"/>
    <n v="697.3"/>
    <n v="4001"/>
  </r>
  <r>
    <x v="0"/>
    <x v="3"/>
    <x v="3"/>
    <x v="289"/>
    <x v="241"/>
    <x v="241"/>
    <s v="REVENUS"/>
    <x v="3"/>
    <s v="4002.002"/>
    <s v="Impôt complémentaire s/fortune PP"/>
    <n v="0"/>
    <n v="144.4"/>
    <n v="4002"/>
  </r>
  <r>
    <x v="0"/>
    <x v="3"/>
    <x v="3"/>
    <x v="289"/>
    <x v="241"/>
    <x v="241"/>
    <s v="REVENUS"/>
    <x v="2"/>
    <s v="4001.001"/>
    <s v="Impôt revenu"/>
    <n v="0"/>
    <n v="4337.8500000000004"/>
    <n v="4001"/>
  </r>
  <r>
    <x v="0"/>
    <x v="3"/>
    <x v="3"/>
    <x v="289"/>
    <x v="241"/>
    <x v="241"/>
    <s v="REVENUS"/>
    <x v="3"/>
    <s v="4002.001"/>
    <s v="Impôt ordinaire s/fortune PP"/>
    <n v="0"/>
    <n v="390.15"/>
    <n v="4002"/>
  </r>
  <r>
    <x v="0"/>
    <x v="3"/>
    <x v="3"/>
    <x v="289"/>
    <x v="241"/>
    <x v="241"/>
    <s v="REVENUS"/>
    <x v="6"/>
    <s v="4211.002"/>
    <s v="Intérêts de retard sur acomptes"/>
    <n v="0"/>
    <n v="15.58"/>
    <n v="4211"/>
  </r>
  <r>
    <x v="0"/>
    <x v="3"/>
    <x v="3"/>
    <x v="289"/>
    <x v="241"/>
    <x v="241"/>
    <s v="REVENUS"/>
    <x v="3"/>
    <s v="4002.001"/>
    <s v="Impôt ordinaire s/fortune PP"/>
    <n v="0"/>
    <n v="786.95"/>
    <n v="4002"/>
  </r>
  <r>
    <x v="0"/>
    <x v="3"/>
    <x v="3"/>
    <x v="289"/>
    <x v="241"/>
    <x v="241"/>
    <s v="REVENUS"/>
    <x v="2"/>
    <s v="4001.001"/>
    <s v="Impôt revenu"/>
    <n v="0"/>
    <n v="200.4"/>
    <n v="4001"/>
  </r>
  <r>
    <x v="0"/>
    <x v="3"/>
    <x v="3"/>
    <x v="289"/>
    <x v="241"/>
    <x v="241"/>
    <s v="REVENUS"/>
    <x v="6"/>
    <s v="4211.002"/>
    <s v="Intérêts de retard sur acomptes"/>
    <n v="0"/>
    <n v="2.14"/>
    <n v="4211"/>
  </r>
  <r>
    <x v="0"/>
    <x v="3"/>
    <x v="3"/>
    <x v="289"/>
    <x v="241"/>
    <x v="241"/>
    <s v="REVENUS"/>
    <x v="6"/>
    <s v="4221.003"/>
    <s v="Intérêts compensat. / acomptes en faveur du fisc"/>
    <n v="0"/>
    <n v="0.93"/>
    <n v="4221"/>
  </r>
  <r>
    <x v="0"/>
    <x v="3"/>
    <x v="3"/>
    <x v="289"/>
    <x v="241"/>
    <x v="241"/>
    <s v="REVENUS"/>
    <x v="4"/>
    <s v="4051.001"/>
    <s v="Impôt sur les successions"/>
    <n v="0"/>
    <n v="1729.1"/>
    <n v="4051"/>
  </r>
  <r>
    <x v="0"/>
    <x v="3"/>
    <x v="3"/>
    <x v="289"/>
    <x v="241"/>
    <x v="241"/>
    <s v="REVENUS"/>
    <x v="6"/>
    <s v="4211.002"/>
    <s v="Intérêts de retard sur acomptes"/>
    <n v="0"/>
    <n v="0.13"/>
    <n v="4211"/>
  </r>
  <r>
    <x v="0"/>
    <x v="3"/>
    <x v="3"/>
    <x v="289"/>
    <x v="241"/>
    <x v="241"/>
    <s v="REVENUS"/>
    <x v="2"/>
    <s v="4001.001"/>
    <s v="Impôt revenu"/>
    <n v="0"/>
    <n v="553.9"/>
    <n v="4001"/>
  </r>
  <r>
    <x v="0"/>
    <x v="3"/>
    <x v="3"/>
    <x v="289"/>
    <x v="241"/>
    <x v="241"/>
    <s v="REVENUS"/>
    <x v="6"/>
    <s v="4221.003"/>
    <s v="Intérêts compensat. / acomptes en faveur du fisc"/>
    <n v="0"/>
    <n v="0.12"/>
    <n v="4221"/>
  </r>
  <r>
    <x v="0"/>
    <x v="3"/>
    <x v="3"/>
    <x v="289"/>
    <x v="241"/>
    <x v="241"/>
    <s v="REVENUS"/>
    <x v="6"/>
    <s v="4211.001"/>
    <s v="Intérêts de retard sur factures"/>
    <n v="0"/>
    <n v="0.26"/>
    <n v="4211"/>
  </r>
  <r>
    <x v="0"/>
    <x v="3"/>
    <x v="3"/>
    <x v="289"/>
    <x v="241"/>
    <x v="241"/>
    <s v="REVENUS"/>
    <x v="2"/>
    <s v="4001.001"/>
    <s v="Impôt revenu"/>
    <n v="0"/>
    <n v="30.75"/>
    <n v="4001"/>
  </r>
  <r>
    <x v="0"/>
    <x v="3"/>
    <x v="3"/>
    <x v="289"/>
    <x v="241"/>
    <x v="241"/>
    <s v="REVENUS"/>
    <x v="3"/>
    <s v="4002.001"/>
    <s v="Impôt ordinaire s/fortune PP"/>
    <n v="0"/>
    <n v="10.050000000000001"/>
    <n v="4002"/>
  </r>
  <r>
    <x v="0"/>
    <x v="3"/>
    <x v="3"/>
    <x v="289"/>
    <x v="241"/>
    <x v="241"/>
    <s v="REVENUS"/>
    <x v="5"/>
    <s v="4061.000"/>
    <s v="Impôt sur les chiens"/>
    <n v="0"/>
    <n v="8850"/>
    <n v="4061"/>
  </r>
  <r>
    <x v="0"/>
    <x v="3"/>
    <x v="3"/>
    <x v="289"/>
    <x v="241"/>
    <x v="241"/>
    <s v="REVENUS"/>
    <x v="2"/>
    <s v="4001.002"/>
    <s v="Impôt complément s/revenu PP"/>
    <n v="0"/>
    <n v="522.04999999999995"/>
    <n v="4001"/>
  </r>
  <r>
    <x v="0"/>
    <x v="3"/>
    <x v="3"/>
    <x v="289"/>
    <x v="241"/>
    <x v="241"/>
    <s v="REVENUS"/>
    <x v="3"/>
    <s v="4002.002"/>
    <s v="Impôt complémentaire s/fortune PP"/>
    <n v="0"/>
    <n v="535"/>
    <n v="4002"/>
  </r>
  <r>
    <x v="0"/>
    <x v="3"/>
    <x v="3"/>
    <x v="289"/>
    <x v="241"/>
    <x v="241"/>
    <s v="REVENUS"/>
    <x v="6"/>
    <s v="4221.003"/>
    <s v="Intérêts compensat. / acomptes en faveur du fisc"/>
    <n v="0"/>
    <n v="0.02"/>
    <n v="4221"/>
  </r>
  <r>
    <x v="0"/>
    <x v="3"/>
    <x v="3"/>
    <x v="289"/>
    <x v="241"/>
    <x v="241"/>
    <s v="REVENUS"/>
    <x v="6"/>
    <s v="4211.001"/>
    <s v="Intérêts de retard sur factures"/>
    <n v="0"/>
    <n v="0.11"/>
    <n v="4211"/>
  </r>
  <r>
    <x v="0"/>
    <x v="3"/>
    <x v="3"/>
    <x v="289"/>
    <x v="241"/>
    <x v="241"/>
    <s v="REVENUS"/>
    <x v="6"/>
    <s v="4211.001"/>
    <s v="Intérêts de retard sur factures"/>
    <n v="0"/>
    <n v="0.08"/>
    <n v="4211"/>
  </r>
  <r>
    <x v="0"/>
    <x v="3"/>
    <x v="3"/>
    <x v="289"/>
    <x v="241"/>
    <x v="241"/>
    <s v="REVENUS"/>
    <x v="2"/>
    <s v="4001.005"/>
    <s v="Amende de soustract. Impôt"/>
    <n v="0"/>
    <n v="200"/>
    <n v="4001"/>
  </r>
  <r>
    <x v="0"/>
    <x v="3"/>
    <x v="3"/>
    <x v="290"/>
    <x v="242"/>
    <x v="242"/>
    <s v="CHARGES"/>
    <x v="0"/>
    <s v="3212.004"/>
    <s v="Intérêts rémun./perçu trop tôt sur acomptes C/C"/>
    <n v="359.79"/>
    <n v="0"/>
    <n v="3212"/>
  </r>
  <r>
    <x v="0"/>
    <x v="3"/>
    <x v="3"/>
    <x v="290"/>
    <x v="242"/>
    <x v="242"/>
    <s v="CHARGES"/>
    <x v="1"/>
    <s v="3301.001"/>
    <s v="Défalcations, abandons de solde PP et IS"/>
    <n v="28149.919999999998"/>
    <n v="0"/>
    <n v="3301"/>
  </r>
  <r>
    <x v="0"/>
    <x v="3"/>
    <x v="3"/>
    <x v="290"/>
    <x v="242"/>
    <x v="242"/>
    <s v="CHARGES"/>
    <x v="0"/>
    <s v="3221.002"/>
    <s v="Intérêts compensatoires / créances en faveur ctb."/>
    <n v="184.26"/>
    <n v="0"/>
    <n v="3221"/>
  </r>
  <r>
    <x v="0"/>
    <x v="3"/>
    <x v="3"/>
    <x v="290"/>
    <x v="242"/>
    <x v="242"/>
    <s v="CHARGES"/>
    <x v="0"/>
    <s v="3212.004"/>
    <s v="Intérêts rémun./perçu trop tôt sur acomptes C/C"/>
    <n v="3.03"/>
    <n v="0"/>
    <n v="3212"/>
  </r>
  <r>
    <x v="0"/>
    <x v="3"/>
    <x v="3"/>
    <x v="290"/>
    <x v="242"/>
    <x v="242"/>
    <s v="CHARGES"/>
    <x v="0"/>
    <s v="3221.002"/>
    <s v="Intérêts compensatoires / créances en faveur ctb."/>
    <n v="2.85"/>
    <n v="0"/>
    <n v="3221"/>
  </r>
  <r>
    <x v="0"/>
    <x v="3"/>
    <x v="3"/>
    <x v="290"/>
    <x v="242"/>
    <x v="242"/>
    <s v="CHARGES"/>
    <x v="1"/>
    <s v="3301.001"/>
    <s v="Défalcations, abandons de solde PP et IS"/>
    <n v="0.43"/>
    <n v="0"/>
    <n v="3301"/>
  </r>
  <r>
    <x v="0"/>
    <x v="3"/>
    <x v="3"/>
    <x v="290"/>
    <x v="242"/>
    <x v="242"/>
    <s v="CHARGES"/>
    <x v="0"/>
    <s v="3212.002"/>
    <s v="Intérêts bonifiés/trop perçu acompte C/C"/>
    <n v="9.44"/>
    <n v="0"/>
    <n v="3212"/>
  </r>
  <r>
    <x v="0"/>
    <x v="3"/>
    <x v="3"/>
    <x v="290"/>
    <x v="242"/>
    <x v="242"/>
    <s v="CHARGES"/>
    <x v="0"/>
    <s v="3212.004"/>
    <s v="Intérêts rémun./perçu trop tôt sur acomptes C/C"/>
    <n v="0.21"/>
    <n v="0"/>
    <n v="3212"/>
  </r>
  <r>
    <x v="0"/>
    <x v="3"/>
    <x v="3"/>
    <x v="290"/>
    <x v="242"/>
    <x v="242"/>
    <s v="CHARGES"/>
    <x v="0"/>
    <s v="3212.004"/>
    <s v="Intérêts rémun./perçu trop tôt sur acomptes C/C"/>
    <n v="0.06"/>
    <n v="0"/>
    <n v="3212"/>
  </r>
  <r>
    <x v="0"/>
    <x v="3"/>
    <x v="3"/>
    <x v="290"/>
    <x v="242"/>
    <x v="242"/>
    <s v="CHARGES"/>
    <x v="1"/>
    <s v="3301.001"/>
    <s v="Défalcations, abandons de solde PP et IS"/>
    <n v="0.01"/>
    <n v="0"/>
    <n v="3301"/>
  </r>
  <r>
    <x v="0"/>
    <x v="3"/>
    <x v="3"/>
    <x v="290"/>
    <x v="242"/>
    <x v="242"/>
    <s v="CHARGES"/>
    <x v="0"/>
    <s v="3212.004"/>
    <s v="Intérêts rémun./perçu trop tôt sur acomptes C/C"/>
    <n v="0.03"/>
    <n v="0"/>
    <n v="3212"/>
  </r>
  <r>
    <x v="0"/>
    <x v="3"/>
    <x v="3"/>
    <x v="290"/>
    <x v="242"/>
    <x v="242"/>
    <s v="CHARGES"/>
    <x v="0"/>
    <s v="3221.002"/>
    <s v="Intérêts compensatoires / créances en faveur ctb."/>
    <n v="0.01"/>
    <n v="0"/>
    <n v="3221"/>
  </r>
  <r>
    <x v="0"/>
    <x v="3"/>
    <x v="3"/>
    <x v="290"/>
    <x v="242"/>
    <x v="242"/>
    <s v="REVENUS"/>
    <x v="2"/>
    <s v="4001.007"/>
    <s v="Acompte impôt sur revenu"/>
    <n v="0"/>
    <n v="-676961.8"/>
    <n v="4001"/>
  </r>
  <r>
    <x v="0"/>
    <x v="3"/>
    <x v="3"/>
    <x v="290"/>
    <x v="242"/>
    <x v="242"/>
    <s v="REVENUS"/>
    <x v="3"/>
    <s v="4002.007"/>
    <s v="Acompte impôt sur fortune"/>
    <n v="0"/>
    <n v="-96983.18"/>
    <n v="4002"/>
  </r>
  <r>
    <x v="0"/>
    <x v="3"/>
    <x v="3"/>
    <x v="290"/>
    <x v="242"/>
    <x v="242"/>
    <s v="REVENUS"/>
    <x v="2"/>
    <s v="4001.001"/>
    <s v="Impôt revenu"/>
    <n v="0"/>
    <n v="1617284.95"/>
    <n v="4001"/>
  </r>
  <r>
    <x v="0"/>
    <x v="3"/>
    <x v="3"/>
    <x v="290"/>
    <x v="242"/>
    <x v="242"/>
    <s v="REVENUS"/>
    <x v="3"/>
    <s v="4002.001"/>
    <s v="Impôt ordinaire s/fortune PP"/>
    <n v="0"/>
    <n v="190415.35"/>
    <n v="4002"/>
  </r>
  <r>
    <x v="0"/>
    <x v="3"/>
    <x v="3"/>
    <x v="290"/>
    <x v="242"/>
    <x v="242"/>
    <s v="REVENUS"/>
    <x v="3"/>
    <s v="4002.007"/>
    <s v="Acompte impôt sur fortune"/>
    <n v="0"/>
    <n v="32750.18"/>
    <n v="4002"/>
  </r>
  <r>
    <x v="0"/>
    <x v="3"/>
    <x v="3"/>
    <x v="290"/>
    <x v="242"/>
    <x v="242"/>
    <s v="REVENUS"/>
    <x v="2"/>
    <s v="4001.007"/>
    <s v="Acompte impôt sur revenu"/>
    <n v="0"/>
    <n v="267640.81"/>
    <n v="4001"/>
  </r>
  <r>
    <x v="0"/>
    <x v="3"/>
    <x v="3"/>
    <x v="290"/>
    <x v="242"/>
    <x v="242"/>
    <s v="REVENUS"/>
    <x v="2"/>
    <s v="4001.002"/>
    <s v="Impôt complément s/revenu PP"/>
    <n v="0"/>
    <n v="76840.45"/>
    <n v="4001"/>
  </r>
  <r>
    <x v="0"/>
    <x v="3"/>
    <x v="3"/>
    <x v="290"/>
    <x v="242"/>
    <x v="242"/>
    <s v="REVENUS"/>
    <x v="6"/>
    <s v="4211.001"/>
    <s v="Intérêts de retard sur factures"/>
    <n v="0"/>
    <n v="4637.9399999999996"/>
    <n v="4211"/>
  </r>
  <r>
    <x v="0"/>
    <x v="3"/>
    <x v="3"/>
    <x v="290"/>
    <x v="242"/>
    <x v="242"/>
    <s v="REVENUS"/>
    <x v="6"/>
    <s v="4221.003"/>
    <s v="Intérêts compensat. / acomptes en faveur du fisc"/>
    <n v="0"/>
    <n v="209.99"/>
    <n v="4221"/>
  </r>
  <r>
    <x v="0"/>
    <x v="3"/>
    <x v="3"/>
    <x v="290"/>
    <x v="242"/>
    <x v="242"/>
    <s v="REVENUS"/>
    <x v="3"/>
    <s v="4002.001"/>
    <s v="Impôt ordinaire s/fortune PP"/>
    <n v="0"/>
    <n v="3620.7"/>
    <n v="4002"/>
  </r>
  <r>
    <x v="0"/>
    <x v="3"/>
    <x v="3"/>
    <x v="290"/>
    <x v="242"/>
    <x v="242"/>
    <s v="REVENUS"/>
    <x v="2"/>
    <s v="4001.001"/>
    <s v="Impôt revenu"/>
    <n v="0"/>
    <n v="5215.5"/>
    <n v="4001"/>
  </r>
  <r>
    <x v="0"/>
    <x v="3"/>
    <x v="3"/>
    <x v="290"/>
    <x v="242"/>
    <x v="242"/>
    <s v="REVENUS"/>
    <x v="6"/>
    <s v="4221.003"/>
    <s v="Intérêts compensat. / acomptes en faveur du fisc"/>
    <n v="0"/>
    <n v="0.28999999999999998"/>
    <n v="4221"/>
  </r>
  <r>
    <x v="0"/>
    <x v="3"/>
    <x v="3"/>
    <x v="290"/>
    <x v="242"/>
    <x v="242"/>
    <s v="REVENUS"/>
    <x v="2"/>
    <s v="4001.003"/>
    <s v="Impôt s/prest. cap. PP"/>
    <n v="0"/>
    <n v="27756.1"/>
    <n v="4001"/>
  </r>
  <r>
    <x v="0"/>
    <x v="3"/>
    <x v="3"/>
    <x v="290"/>
    <x v="242"/>
    <x v="242"/>
    <s v="REVENUS"/>
    <x v="6"/>
    <s v="4221.002"/>
    <s v="Intérêts compensat. sur impôts distincts"/>
    <n v="0"/>
    <n v="2.2999999999999998"/>
    <n v="4221"/>
  </r>
  <r>
    <x v="0"/>
    <x v="3"/>
    <x v="3"/>
    <x v="290"/>
    <x v="242"/>
    <x v="242"/>
    <s v="REVENUS"/>
    <x v="2"/>
    <s v="4001.007"/>
    <s v="Acompte impôt sur revenu"/>
    <n v="0"/>
    <n v="1549.33"/>
    <n v="4001"/>
  </r>
  <r>
    <x v="0"/>
    <x v="3"/>
    <x v="3"/>
    <x v="290"/>
    <x v="242"/>
    <x v="242"/>
    <s v="REVENUS"/>
    <x v="3"/>
    <s v="4002.007"/>
    <s v="Acompte impôt sur fortune"/>
    <n v="0"/>
    <n v="2297.69"/>
    <n v="4002"/>
  </r>
  <r>
    <x v="0"/>
    <x v="3"/>
    <x v="3"/>
    <x v="290"/>
    <x v="242"/>
    <x v="242"/>
    <s v="REVENUS"/>
    <x v="9"/>
    <s v="4031.001"/>
    <s v="Impôt sur les gains immobiliers"/>
    <n v="0"/>
    <n v="11832.55"/>
    <n v="4031"/>
  </r>
  <r>
    <x v="0"/>
    <x v="3"/>
    <x v="3"/>
    <x v="290"/>
    <x v="242"/>
    <x v="242"/>
    <s v="REVENUS"/>
    <x v="10"/>
    <s v="4041.001"/>
    <s v="Droits de mutation"/>
    <n v="0"/>
    <n v="42375.45"/>
    <n v="4041"/>
  </r>
  <r>
    <x v="0"/>
    <x v="3"/>
    <x v="3"/>
    <x v="290"/>
    <x v="242"/>
    <x v="242"/>
    <s v="REVENUS"/>
    <x v="7"/>
    <s v="4184.000"/>
    <s v="Frais de poursuite"/>
    <n v="0"/>
    <n v="2984.05"/>
    <n v="4184"/>
  </r>
  <r>
    <x v="0"/>
    <x v="3"/>
    <x v="3"/>
    <x v="290"/>
    <x v="242"/>
    <x v="242"/>
    <s v="REVENUS"/>
    <x v="6"/>
    <s v="4211.002"/>
    <s v="Intérêts de retard sur acomptes"/>
    <n v="0"/>
    <n v="10791.07"/>
    <n v="4211"/>
  </r>
  <r>
    <x v="0"/>
    <x v="3"/>
    <x v="3"/>
    <x v="290"/>
    <x v="242"/>
    <x v="242"/>
    <s v="REVENUS"/>
    <x v="5"/>
    <s v="4061.000"/>
    <s v="Impôt sur les chiens"/>
    <n v="0"/>
    <n v="4375"/>
    <n v="4061"/>
  </r>
  <r>
    <x v="0"/>
    <x v="3"/>
    <x v="3"/>
    <x v="290"/>
    <x v="242"/>
    <x v="242"/>
    <s v="REVENUS"/>
    <x v="3"/>
    <s v="4002.002"/>
    <s v="Impôt complémentaire s/fortune PP"/>
    <n v="0"/>
    <n v="8058.25"/>
    <n v="4002"/>
  </r>
  <r>
    <x v="0"/>
    <x v="3"/>
    <x v="3"/>
    <x v="290"/>
    <x v="242"/>
    <x v="242"/>
    <s v="REVENUS"/>
    <x v="2"/>
    <s v="4001.007"/>
    <s v="Acompte impôt sur revenu"/>
    <n v="0"/>
    <n v="4.7"/>
    <n v="4001"/>
  </r>
  <r>
    <x v="0"/>
    <x v="3"/>
    <x v="3"/>
    <x v="290"/>
    <x v="242"/>
    <x v="242"/>
    <s v="REVENUS"/>
    <x v="3"/>
    <s v="4002.007"/>
    <s v="Acompte impôt sur fortune"/>
    <n v="0"/>
    <n v="3.3"/>
    <n v="4002"/>
  </r>
  <r>
    <x v="0"/>
    <x v="3"/>
    <x v="3"/>
    <x v="290"/>
    <x v="242"/>
    <x v="242"/>
    <s v="REVENUS"/>
    <x v="3"/>
    <s v="4002.007"/>
    <s v="Acompte impôt sur fortune"/>
    <n v="0"/>
    <n v="-32.450000000000003"/>
    <n v="4002"/>
  </r>
  <r>
    <x v="0"/>
    <x v="3"/>
    <x v="3"/>
    <x v="290"/>
    <x v="242"/>
    <x v="242"/>
    <s v="REVENUS"/>
    <x v="2"/>
    <s v="4001.007"/>
    <s v="Acompte impôt sur revenu"/>
    <n v="0"/>
    <n v="6.65"/>
    <n v="4001"/>
  </r>
  <r>
    <x v="0"/>
    <x v="3"/>
    <x v="3"/>
    <x v="290"/>
    <x v="242"/>
    <x v="242"/>
    <s v="REVENUS"/>
    <x v="3"/>
    <s v="4002.007"/>
    <s v="Acompte impôt sur fortune"/>
    <n v="0"/>
    <n v="284.5"/>
    <n v="4002"/>
  </r>
  <r>
    <x v="0"/>
    <x v="3"/>
    <x v="3"/>
    <x v="290"/>
    <x v="242"/>
    <x v="242"/>
    <s v="REVENUS"/>
    <x v="6"/>
    <s v="4211.002"/>
    <s v="Intérêts de retard sur acomptes"/>
    <n v="0"/>
    <n v="65.040000000000006"/>
    <n v="4211"/>
  </r>
  <r>
    <x v="0"/>
    <x v="3"/>
    <x v="3"/>
    <x v="290"/>
    <x v="242"/>
    <x v="242"/>
    <s v="REVENUS"/>
    <x v="2"/>
    <s v="4001.007"/>
    <s v="Acompte impôt sur revenu"/>
    <n v="0"/>
    <n v="1157.7"/>
    <n v="4001"/>
  </r>
  <r>
    <x v="0"/>
    <x v="3"/>
    <x v="3"/>
    <x v="290"/>
    <x v="242"/>
    <x v="242"/>
    <s v="REVENUS"/>
    <x v="3"/>
    <s v="4002.007"/>
    <s v="Acompte impôt sur fortune"/>
    <n v="0"/>
    <n v="12.5"/>
    <n v="4002"/>
  </r>
  <r>
    <x v="0"/>
    <x v="3"/>
    <x v="3"/>
    <x v="290"/>
    <x v="242"/>
    <x v="242"/>
    <s v="REVENUS"/>
    <x v="2"/>
    <s v="4001.007"/>
    <s v="Acompte impôt sur revenu"/>
    <n v="0"/>
    <n v="117.6"/>
    <n v="4001"/>
  </r>
  <r>
    <x v="0"/>
    <x v="3"/>
    <x v="3"/>
    <x v="290"/>
    <x v="242"/>
    <x v="242"/>
    <s v="REVENUS"/>
    <x v="2"/>
    <s v="4001.007"/>
    <s v="Acompte impôt sur revenu"/>
    <n v="0"/>
    <n v="-5545.4"/>
    <n v="4001"/>
  </r>
  <r>
    <x v="0"/>
    <x v="3"/>
    <x v="3"/>
    <x v="290"/>
    <x v="242"/>
    <x v="242"/>
    <s v="REVENUS"/>
    <x v="3"/>
    <s v="4002.007"/>
    <s v="Acompte impôt sur fortune"/>
    <n v="0"/>
    <n v="-754.85"/>
    <n v="4002"/>
  </r>
  <r>
    <x v="0"/>
    <x v="3"/>
    <x v="3"/>
    <x v="290"/>
    <x v="242"/>
    <x v="242"/>
    <s v="REVENUS"/>
    <x v="2"/>
    <s v="4001.001"/>
    <s v="Impôt revenu"/>
    <n v="0"/>
    <n v="1010.25"/>
    <n v="4001"/>
  </r>
  <r>
    <x v="0"/>
    <x v="3"/>
    <x v="3"/>
    <x v="290"/>
    <x v="242"/>
    <x v="242"/>
    <s v="REVENUS"/>
    <x v="6"/>
    <s v="4211.002"/>
    <s v="Intérêts de retard sur acomptes"/>
    <n v="0"/>
    <n v="49.11"/>
    <n v="4211"/>
  </r>
  <r>
    <x v="0"/>
    <x v="3"/>
    <x v="3"/>
    <x v="290"/>
    <x v="242"/>
    <x v="242"/>
    <s v="REVENUS"/>
    <x v="6"/>
    <s v="4221.003"/>
    <s v="Intérêts compensat. / acomptes en faveur du fisc"/>
    <n v="0"/>
    <n v="0.08"/>
    <n v="4221"/>
  </r>
  <r>
    <x v="0"/>
    <x v="3"/>
    <x v="3"/>
    <x v="290"/>
    <x v="242"/>
    <x v="242"/>
    <s v="REVENUS"/>
    <x v="2"/>
    <s v="4001.003"/>
    <s v="Impôt s/prest. cap. PP"/>
    <n v="0"/>
    <n v="-1579.5"/>
    <n v="4001"/>
  </r>
  <r>
    <x v="0"/>
    <x v="3"/>
    <x v="3"/>
    <x v="290"/>
    <x v="242"/>
    <x v="242"/>
    <s v="REVENUS"/>
    <x v="6"/>
    <s v="4211.001"/>
    <s v="Intérêts de retard sur factures"/>
    <n v="0"/>
    <n v="-4.74"/>
    <n v="4211"/>
  </r>
  <r>
    <x v="0"/>
    <x v="3"/>
    <x v="3"/>
    <x v="290"/>
    <x v="242"/>
    <x v="242"/>
    <s v="REVENUS"/>
    <x v="3"/>
    <s v="4002.001"/>
    <s v="Impôt ordinaire s/fortune PP"/>
    <n v="0"/>
    <n v="672.7"/>
    <n v="4002"/>
  </r>
  <r>
    <x v="0"/>
    <x v="3"/>
    <x v="3"/>
    <x v="290"/>
    <x v="242"/>
    <x v="242"/>
    <s v="REVENUS"/>
    <x v="6"/>
    <s v="4211.001"/>
    <s v="Intérêts de retard sur factures"/>
    <n v="0"/>
    <n v="0.14000000000000001"/>
    <n v="4211"/>
  </r>
  <r>
    <x v="0"/>
    <x v="3"/>
    <x v="3"/>
    <x v="290"/>
    <x v="242"/>
    <x v="242"/>
    <s v="REVENUS"/>
    <x v="2"/>
    <s v="4001.001"/>
    <s v="Impôt revenu"/>
    <n v="0"/>
    <n v="323.14999999999998"/>
    <n v="4001"/>
  </r>
  <r>
    <x v="0"/>
    <x v="3"/>
    <x v="3"/>
    <x v="290"/>
    <x v="242"/>
    <x v="242"/>
    <s v="REVENUS"/>
    <x v="3"/>
    <s v="4002.001"/>
    <s v="Impôt ordinaire s/fortune PP"/>
    <n v="0"/>
    <n v="15.9"/>
    <n v="4002"/>
  </r>
  <r>
    <x v="0"/>
    <x v="3"/>
    <x v="3"/>
    <x v="290"/>
    <x v="242"/>
    <x v="242"/>
    <s v="REVENUS"/>
    <x v="2"/>
    <s v="4001.001"/>
    <s v="Impôt revenu"/>
    <n v="0"/>
    <n v="109.25"/>
    <n v="4001"/>
  </r>
  <r>
    <x v="0"/>
    <x v="3"/>
    <x v="3"/>
    <x v="290"/>
    <x v="242"/>
    <x v="242"/>
    <s v="REVENUS"/>
    <x v="3"/>
    <s v="4002.001"/>
    <s v="Impôt ordinaire s/fortune PP"/>
    <n v="0"/>
    <n v="43.8"/>
    <n v="4002"/>
  </r>
  <r>
    <x v="0"/>
    <x v="3"/>
    <x v="3"/>
    <x v="290"/>
    <x v="242"/>
    <x v="242"/>
    <s v="REVENUS"/>
    <x v="6"/>
    <s v="4221.003"/>
    <s v="Intérêts compensat. / acomptes en faveur du fisc"/>
    <n v="0"/>
    <n v="0.01"/>
    <n v="4221"/>
  </r>
  <r>
    <x v="0"/>
    <x v="3"/>
    <x v="3"/>
    <x v="290"/>
    <x v="242"/>
    <x v="242"/>
    <s v="REVENUS"/>
    <x v="3"/>
    <s v="4002.001"/>
    <s v="Impôt ordinaire s/fortune PP"/>
    <n v="0"/>
    <n v="301"/>
    <n v="4002"/>
  </r>
  <r>
    <x v="0"/>
    <x v="3"/>
    <x v="3"/>
    <x v="290"/>
    <x v="242"/>
    <x v="242"/>
    <s v="REVENUS"/>
    <x v="6"/>
    <s v="4211.001"/>
    <s v="Intérêts de retard sur factures"/>
    <n v="0"/>
    <n v="0.18"/>
    <n v="4211"/>
  </r>
  <r>
    <x v="0"/>
    <x v="3"/>
    <x v="3"/>
    <x v="290"/>
    <x v="242"/>
    <x v="242"/>
    <s v="REVENUS"/>
    <x v="2"/>
    <s v="4001.001"/>
    <s v="Impôt revenu"/>
    <n v="0"/>
    <n v="-6216.7"/>
    <n v="4001"/>
  </r>
  <r>
    <x v="0"/>
    <x v="3"/>
    <x v="3"/>
    <x v="290"/>
    <x v="242"/>
    <x v="242"/>
    <s v="REVENUS"/>
    <x v="2"/>
    <s v="4001.002"/>
    <s v="Impôt complément s/revenu PP"/>
    <n v="0"/>
    <n v="-197.95"/>
    <n v="4001"/>
  </r>
  <r>
    <x v="0"/>
    <x v="3"/>
    <x v="3"/>
    <x v="290"/>
    <x v="242"/>
    <x v="242"/>
    <s v="REVENUS"/>
    <x v="3"/>
    <s v="4002.002"/>
    <s v="Impôt complémentaire s/fortune PP"/>
    <n v="0"/>
    <n v="-78.8"/>
    <n v="4002"/>
  </r>
  <r>
    <x v="0"/>
    <x v="3"/>
    <x v="3"/>
    <x v="290"/>
    <x v="242"/>
    <x v="242"/>
    <s v="REVENUS"/>
    <x v="7"/>
    <s v="4184.000"/>
    <s v="Frais de poursuite"/>
    <n v="0"/>
    <n v="50.85"/>
    <n v="4184"/>
  </r>
  <r>
    <x v="0"/>
    <x v="3"/>
    <x v="3"/>
    <x v="291"/>
    <x v="240"/>
    <x v="240"/>
    <s v="CHARGES"/>
    <x v="1"/>
    <s v="3301.001"/>
    <s v="Défalcations, abandons de solde PP et IS"/>
    <n v="-6.52"/>
    <n v="0"/>
    <n v="3301"/>
  </r>
  <r>
    <x v="0"/>
    <x v="3"/>
    <x v="3"/>
    <x v="291"/>
    <x v="240"/>
    <x v="240"/>
    <s v="CHARGES"/>
    <x v="0"/>
    <s v="3212.002"/>
    <s v="Intérêts bonifiés/trop perçu acompte C/C"/>
    <n v="-0.56000000000000005"/>
    <n v="0"/>
    <n v="3212"/>
  </r>
  <r>
    <x v="0"/>
    <x v="3"/>
    <x v="3"/>
    <x v="291"/>
    <x v="240"/>
    <x v="240"/>
    <s v="CHARGES"/>
    <x v="0"/>
    <s v="3212.004"/>
    <s v="Intérêts rémun./perçu trop tôt sur acomptes C/C"/>
    <n v="-38.35"/>
    <n v="0"/>
    <n v="3212"/>
  </r>
  <r>
    <x v="0"/>
    <x v="3"/>
    <x v="3"/>
    <x v="291"/>
    <x v="240"/>
    <x v="240"/>
    <s v="CHARGES"/>
    <x v="0"/>
    <s v="3221.002"/>
    <s v="Intérêts compensatoires / créances en faveur ctb."/>
    <n v="-17.47"/>
    <n v="0"/>
    <n v="3221"/>
  </r>
  <r>
    <x v="0"/>
    <x v="3"/>
    <x v="3"/>
    <x v="291"/>
    <x v="240"/>
    <x v="240"/>
    <s v="CHARGES"/>
    <x v="0"/>
    <s v="3221.002"/>
    <s v="Intérêts compensatoires / créances en faveur ctb."/>
    <n v="0"/>
    <n v="0"/>
    <n v="3221"/>
  </r>
  <r>
    <x v="0"/>
    <x v="3"/>
    <x v="3"/>
    <x v="291"/>
    <x v="240"/>
    <x v="240"/>
    <s v="CHARGES"/>
    <x v="1"/>
    <s v="3301.001"/>
    <s v="Défalcations, abandons de solde PP et IS"/>
    <n v="-0.02"/>
    <n v="0"/>
    <n v="3301"/>
  </r>
  <r>
    <x v="0"/>
    <x v="3"/>
    <x v="3"/>
    <x v="291"/>
    <x v="240"/>
    <x v="240"/>
    <s v="CHARGES"/>
    <x v="0"/>
    <s v="3212.004"/>
    <s v="Intérêts rémun./perçu trop tôt sur acomptes C/C"/>
    <n v="-5.95"/>
    <n v="0"/>
    <n v="3212"/>
  </r>
  <r>
    <x v="0"/>
    <x v="3"/>
    <x v="3"/>
    <x v="291"/>
    <x v="240"/>
    <x v="240"/>
    <s v="CHARGES"/>
    <x v="1"/>
    <s v="3301.001"/>
    <s v="Défalcations, abandons de solde PP et IS"/>
    <n v="4239.63"/>
    <n v="0"/>
    <n v="3301"/>
  </r>
  <r>
    <x v="0"/>
    <x v="3"/>
    <x v="3"/>
    <x v="291"/>
    <x v="240"/>
    <x v="240"/>
    <s v="CHARGES"/>
    <x v="0"/>
    <s v="3212.002"/>
    <s v="Intérêts bonifiés/trop perçu acompte C/C"/>
    <n v="-0.01"/>
    <n v="0"/>
    <n v="3212"/>
  </r>
  <r>
    <x v="0"/>
    <x v="3"/>
    <x v="3"/>
    <x v="291"/>
    <x v="240"/>
    <x v="240"/>
    <s v="REVENUS"/>
    <x v="7"/>
    <s v="4184.000"/>
    <s v="Frais de poursuite"/>
    <n v="0"/>
    <n v="34.369999999999997"/>
    <n v="4184"/>
  </r>
  <r>
    <x v="0"/>
    <x v="3"/>
    <x v="3"/>
    <x v="291"/>
    <x v="240"/>
    <x v="240"/>
    <s v="REVENUS"/>
    <x v="6"/>
    <s v="4211.001"/>
    <s v="Intérêts de retard sur factures"/>
    <n v="0"/>
    <n v="8446.84"/>
    <n v="4211"/>
  </r>
  <r>
    <x v="0"/>
    <x v="3"/>
    <x v="3"/>
    <x v="291"/>
    <x v="240"/>
    <x v="240"/>
    <s v="REVENUS"/>
    <x v="2"/>
    <s v="4001.001"/>
    <s v="Impôt revenu"/>
    <n v="0"/>
    <n v="-74519.350000000006"/>
    <n v="4001"/>
  </r>
  <r>
    <x v="0"/>
    <x v="3"/>
    <x v="3"/>
    <x v="291"/>
    <x v="240"/>
    <x v="240"/>
    <s v="REVENUS"/>
    <x v="2"/>
    <s v="4001.002"/>
    <s v="Impôt complément s/revenu PP"/>
    <n v="0"/>
    <n v="111957.4"/>
    <n v="4001"/>
  </r>
  <r>
    <x v="0"/>
    <x v="3"/>
    <x v="3"/>
    <x v="291"/>
    <x v="240"/>
    <x v="240"/>
    <s v="REVENUS"/>
    <x v="6"/>
    <s v="4221.003"/>
    <s v="Intérêts compensat. / acomptes en faveur du fisc"/>
    <n v="0"/>
    <n v="56.85"/>
    <n v="4221"/>
  </r>
  <r>
    <x v="0"/>
    <x v="3"/>
    <x v="3"/>
    <x v="291"/>
    <x v="240"/>
    <x v="240"/>
    <s v="REVENUS"/>
    <x v="3"/>
    <s v="4002.001"/>
    <s v="Impôt ordinaire s/fortune PP"/>
    <n v="0"/>
    <n v="-13022.55"/>
    <n v="4002"/>
  </r>
  <r>
    <x v="0"/>
    <x v="3"/>
    <x v="3"/>
    <x v="291"/>
    <x v="240"/>
    <x v="240"/>
    <s v="REVENUS"/>
    <x v="3"/>
    <s v="4002.002"/>
    <s v="Impôt complémentaire s/fortune PP"/>
    <n v="0"/>
    <n v="33788.449999999997"/>
    <n v="4002"/>
  </r>
  <r>
    <x v="0"/>
    <x v="3"/>
    <x v="3"/>
    <x v="291"/>
    <x v="240"/>
    <x v="240"/>
    <s v="REVENUS"/>
    <x v="6"/>
    <s v="4211.002"/>
    <s v="Intérêts de retard sur acomptes"/>
    <n v="0"/>
    <n v="14.62"/>
    <n v="4211"/>
  </r>
  <r>
    <x v="0"/>
    <x v="3"/>
    <x v="3"/>
    <x v="291"/>
    <x v="240"/>
    <x v="240"/>
    <s v="REVENUS"/>
    <x v="2"/>
    <s v="4001.002"/>
    <s v="Impôt complément s/revenu PP"/>
    <n v="0"/>
    <n v="-25778.85"/>
    <n v="4001"/>
  </r>
  <r>
    <x v="0"/>
    <x v="3"/>
    <x v="3"/>
    <x v="291"/>
    <x v="240"/>
    <x v="240"/>
    <s v="REVENUS"/>
    <x v="3"/>
    <s v="4002.002"/>
    <s v="Impôt complémentaire s/fortune PP"/>
    <n v="0"/>
    <n v="-2257"/>
    <n v="4002"/>
  </r>
  <r>
    <x v="0"/>
    <x v="3"/>
    <x v="3"/>
    <x v="291"/>
    <x v="240"/>
    <x v="240"/>
    <s v="REVENUS"/>
    <x v="8"/>
    <s v="4091.001"/>
    <s v="Impôt récupéré après défalcations"/>
    <n v="0"/>
    <n v="13478.67"/>
    <n v="4091"/>
  </r>
  <r>
    <x v="0"/>
    <x v="3"/>
    <x v="3"/>
    <x v="291"/>
    <x v="240"/>
    <x v="240"/>
    <s v="REVENUS"/>
    <x v="6"/>
    <s v="4211.002"/>
    <s v="Intérêts de retard sur acomptes"/>
    <n v="0"/>
    <n v="-0.69"/>
    <n v="4211"/>
  </r>
  <r>
    <x v="0"/>
    <x v="3"/>
    <x v="3"/>
    <x v="291"/>
    <x v="240"/>
    <x v="240"/>
    <s v="REVENUS"/>
    <x v="6"/>
    <s v="4211.001"/>
    <s v="Intérêts de retard sur factures"/>
    <n v="0"/>
    <n v="-0.01"/>
    <n v="4211"/>
  </r>
  <r>
    <x v="0"/>
    <x v="3"/>
    <x v="3"/>
    <x v="291"/>
    <x v="240"/>
    <x v="240"/>
    <s v="REVENUS"/>
    <x v="6"/>
    <s v="4221.003"/>
    <s v="Intérêts compensat. / acomptes en faveur du fisc"/>
    <n v="0"/>
    <n v="-0.01"/>
    <n v="4221"/>
  </r>
  <r>
    <x v="0"/>
    <x v="3"/>
    <x v="3"/>
    <x v="291"/>
    <x v="240"/>
    <x v="240"/>
    <s v="REVENUS"/>
    <x v="4"/>
    <s v="4051.001"/>
    <s v="Impôt sur les successions"/>
    <n v="0"/>
    <n v="-5.65"/>
    <n v="4051"/>
  </r>
  <r>
    <x v="0"/>
    <x v="3"/>
    <x v="3"/>
    <x v="291"/>
    <x v="240"/>
    <x v="240"/>
    <s v="REVENUS"/>
    <x v="2"/>
    <s v="4001.007"/>
    <s v="Acompte impôt sur revenu"/>
    <n v="0"/>
    <n v="-1178.25"/>
    <n v="4001"/>
  </r>
  <r>
    <x v="0"/>
    <x v="3"/>
    <x v="3"/>
    <x v="292"/>
    <x v="243"/>
    <x v="243"/>
    <s v="CHARGES"/>
    <x v="1"/>
    <s v="3301.001"/>
    <s v="Défalcations, abandons de solde PP et IS"/>
    <n v="35493.599999999999"/>
    <n v="0"/>
    <n v="3301"/>
  </r>
  <r>
    <x v="0"/>
    <x v="3"/>
    <x v="3"/>
    <x v="292"/>
    <x v="243"/>
    <x v="243"/>
    <s v="CHARGES"/>
    <x v="0"/>
    <s v="3212.004"/>
    <s v="Intérêts rémun./perçu trop tôt sur acomptes C/C"/>
    <n v="172.76"/>
    <n v="0"/>
    <n v="3212"/>
  </r>
  <r>
    <x v="0"/>
    <x v="3"/>
    <x v="3"/>
    <x v="292"/>
    <x v="243"/>
    <x v="243"/>
    <s v="CHARGES"/>
    <x v="0"/>
    <s v="3221.002"/>
    <s v="Intérêts compensatoires / créances en faveur ctb."/>
    <n v="49.87"/>
    <n v="0"/>
    <n v="3221"/>
  </r>
  <r>
    <x v="0"/>
    <x v="3"/>
    <x v="3"/>
    <x v="292"/>
    <x v="243"/>
    <x v="243"/>
    <s v="CHARGES"/>
    <x v="1"/>
    <s v="3301.001"/>
    <s v="Défalcations, abandons de solde PP et IS"/>
    <n v="4525.41"/>
    <n v="0"/>
    <n v="3301"/>
  </r>
  <r>
    <x v="0"/>
    <x v="3"/>
    <x v="3"/>
    <x v="292"/>
    <x v="243"/>
    <x v="243"/>
    <s v="CHARGES"/>
    <x v="0"/>
    <s v="3212.004"/>
    <s v="Intérêts rémun./perçu trop tôt sur acomptes C/C"/>
    <n v="0.16"/>
    <n v="0"/>
    <n v="3212"/>
  </r>
  <r>
    <x v="0"/>
    <x v="3"/>
    <x v="3"/>
    <x v="292"/>
    <x v="243"/>
    <x v="243"/>
    <s v="CHARGES"/>
    <x v="0"/>
    <s v="3221.002"/>
    <s v="Intérêts compensatoires / créances en faveur ctb."/>
    <n v="0.18"/>
    <n v="0"/>
    <n v="3221"/>
  </r>
  <r>
    <x v="0"/>
    <x v="3"/>
    <x v="3"/>
    <x v="292"/>
    <x v="243"/>
    <x v="243"/>
    <s v="CHARGES"/>
    <x v="0"/>
    <s v="3212.002"/>
    <s v="Intérêts bonifiés/trop perçu acompte C/C"/>
    <n v="0.72"/>
    <n v="0"/>
    <n v="3212"/>
  </r>
  <r>
    <x v="0"/>
    <x v="3"/>
    <x v="3"/>
    <x v="292"/>
    <x v="243"/>
    <x v="243"/>
    <s v="CHARGES"/>
    <x v="1"/>
    <s v="3301.001"/>
    <s v="Défalcations, abandons de solde PP et IS"/>
    <n v="0.61"/>
    <n v="0"/>
    <n v="3301"/>
  </r>
  <r>
    <x v="0"/>
    <x v="3"/>
    <x v="3"/>
    <x v="292"/>
    <x v="243"/>
    <x v="243"/>
    <s v="CHARGES"/>
    <x v="1"/>
    <s v="3301.001"/>
    <s v="Défalcations, abandons de solde PP et IS"/>
    <n v="-0.01"/>
    <n v="0"/>
    <n v="3301"/>
  </r>
  <r>
    <x v="0"/>
    <x v="3"/>
    <x v="3"/>
    <x v="292"/>
    <x v="243"/>
    <x v="243"/>
    <s v="CHARGES"/>
    <x v="0"/>
    <s v="3212.004"/>
    <s v="Intérêts rémun./perçu trop tôt sur acomptes C/C"/>
    <n v="0.42"/>
    <n v="0"/>
    <n v="3212"/>
  </r>
  <r>
    <x v="0"/>
    <x v="3"/>
    <x v="3"/>
    <x v="292"/>
    <x v="243"/>
    <x v="243"/>
    <s v="CHARGES"/>
    <x v="0"/>
    <s v="3212.004"/>
    <s v="Intérêts rémun./perçu trop tôt sur acomptes C/C"/>
    <n v="0.02"/>
    <n v="0"/>
    <n v="3212"/>
  </r>
  <r>
    <x v="0"/>
    <x v="3"/>
    <x v="3"/>
    <x v="292"/>
    <x v="243"/>
    <x v="243"/>
    <s v="CHARGES"/>
    <x v="0"/>
    <s v="3221.002"/>
    <s v="Intérêts compensatoires / créances en faveur ctb."/>
    <n v="0.05"/>
    <n v="0"/>
    <n v="3221"/>
  </r>
  <r>
    <x v="0"/>
    <x v="3"/>
    <x v="3"/>
    <x v="292"/>
    <x v="243"/>
    <x v="243"/>
    <s v="CHARGES"/>
    <x v="1"/>
    <s v="3301.003"/>
    <s v="Remises PP et IS"/>
    <n v="9496.2000000000007"/>
    <n v="0"/>
    <n v="3301"/>
  </r>
  <r>
    <x v="0"/>
    <x v="3"/>
    <x v="3"/>
    <x v="292"/>
    <x v="243"/>
    <x v="243"/>
    <s v="CHARGES"/>
    <x v="1"/>
    <s v="3301.001"/>
    <s v="Défalcations, abandons de solde PP et IS"/>
    <n v="2706.68"/>
    <n v="0"/>
    <n v="3301"/>
  </r>
  <r>
    <x v="0"/>
    <x v="3"/>
    <x v="3"/>
    <x v="292"/>
    <x v="243"/>
    <x v="243"/>
    <s v="REVENUS"/>
    <x v="2"/>
    <s v="4001.007"/>
    <s v="Acompte impôt sur revenu"/>
    <n v="0"/>
    <n v="-203013.98"/>
    <n v="4001"/>
  </r>
  <r>
    <x v="0"/>
    <x v="3"/>
    <x v="3"/>
    <x v="292"/>
    <x v="243"/>
    <x v="243"/>
    <s v="REVENUS"/>
    <x v="2"/>
    <s v="4001.001"/>
    <s v="Impôt revenu"/>
    <n v="0"/>
    <n v="571453.25"/>
    <n v="4001"/>
  </r>
  <r>
    <x v="0"/>
    <x v="3"/>
    <x v="3"/>
    <x v="292"/>
    <x v="243"/>
    <x v="243"/>
    <s v="REVENUS"/>
    <x v="2"/>
    <s v="4001.002"/>
    <s v="Impôt complément s/revenu PP"/>
    <n v="0"/>
    <n v="56949.65"/>
    <n v="4001"/>
  </r>
  <r>
    <x v="0"/>
    <x v="3"/>
    <x v="3"/>
    <x v="292"/>
    <x v="243"/>
    <x v="243"/>
    <s v="REVENUS"/>
    <x v="3"/>
    <s v="4002.001"/>
    <s v="Impôt ordinaire s/fortune PP"/>
    <n v="0"/>
    <n v="161206.70000000001"/>
    <n v="4002"/>
  </r>
  <r>
    <x v="0"/>
    <x v="3"/>
    <x v="3"/>
    <x v="292"/>
    <x v="243"/>
    <x v="243"/>
    <s v="REVENUS"/>
    <x v="6"/>
    <s v="4211.001"/>
    <s v="Intérêts de retard sur factures"/>
    <n v="0"/>
    <n v="3468.51"/>
    <n v="4211"/>
  </r>
  <r>
    <x v="0"/>
    <x v="3"/>
    <x v="3"/>
    <x v="292"/>
    <x v="243"/>
    <x v="243"/>
    <s v="REVENUS"/>
    <x v="6"/>
    <s v="4211.002"/>
    <s v="Intérêts de retard sur acomptes"/>
    <n v="0"/>
    <n v="4096.1499999999996"/>
    <n v="4211"/>
  </r>
  <r>
    <x v="0"/>
    <x v="3"/>
    <x v="3"/>
    <x v="292"/>
    <x v="243"/>
    <x v="243"/>
    <s v="REVENUS"/>
    <x v="6"/>
    <s v="4221.003"/>
    <s v="Intérêts compensat. / acomptes en faveur du fisc"/>
    <n v="0"/>
    <n v="89.69"/>
    <n v="4221"/>
  </r>
  <r>
    <x v="0"/>
    <x v="3"/>
    <x v="3"/>
    <x v="292"/>
    <x v="243"/>
    <x v="243"/>
    <s v="REVENUS"/>
    <x v="3"/>
    <s v="4002.007"/>
    <s v="Acompte impôt sur fortune"/>
    <n v="0"/>
    <n v="-130402.46"/>
    <n v="4002"/>
  </r>
  <r>
    <x v="0"/>
    <x v="3"/>
    <x v="3"/>
    <x v="292"/>
    <x v="243"/>
    <x v="243"/>
    <s v="REVENUS"/>
    <x v="2"/>
    <s v="4001.007"/>
    <s v="Acompte impôt sur revenu"/>
    <n v="0"/>
    <n v="125183.74"/>
    <n v="4001"/>
  </r>
  <r>
    <x v="0"/>
    <x v="3"/>
    <x v="3"/>
    <x v="292"/>
    <x v="243"/>
    <x v="243"/>
    <s v="REVENUS"/>
    <x v="3"/>
    <s v="4002.007"/>
    <s v="Acompte impôt sur fortune"/>
    <n v="0"/>
    <n v="142876.82999999999"/>
    <n v="4002"/>
  </r>
  <r>
    <x v="0"/>
    <x v="3"/>
    <x v="3"/>
    <x v="292"/>
    <x v="243"/>
    <x v="243"/>
    <s v="REVENUS"/>
    <x v="7"/>
    <s v="4184.000"/>
    <s v="Frais de poursuite"/>
    <n v="0"/>
    <n v="1743.33"/>
    <n v="4184"/>
  </r>
  <r>
    <x v="0"/>
    <x v="3"/>
    <x v="3"/>
    <x v="292"/>
    <x v="243"/>
    <x v="243"/>
    <s v="REVENUS"/>
    <x v="3"/>
    <s v="4002.001"/>
    <s v="Impôt ordinaire s/fortune PP"/>
    <n v="0"/>
    <n v="506.1"/>
    <n v="4002"/>
  </r>
  <r>
    <x v="0"/>
    <x v="3"/>
    <x v="3"/>
    <x v="292"/>
    <x v="243"/>
    <x v="243"/>
    <s v="REVENUS"/>
    <x v="3"/>
    <s v="4002.007"/>
    <s v="Acompte impôt sur fortune"/>
    <n v="0"/>
    <n v="309.39999999999998"/>
    <n v="4002"/>
  </r>
  <r>
    <x v="0"/>
    <x v="3"/>
    <x v="3"/>
    <x v="292"/>
    <x v="243"/>
    <x v="243"/>
    <s v="REVENUS"/>
    <x v="2"/>
    <s v="4001.001"/>
    <s v="Impôt revenu"/>
    <n v="0"/>
    <n v="1365.9"/>
    <n v="4001"/>
  </r>
  <r>
    <x v="0"/>
    <x v="3"/>
    <x v="3"/>
    <x v="292"/>
    <x v="243"/>
    <x v="243"/>
    <s v="REVENUS"/>
    <x v="6"/>
    <s v="4211.002"/>
    <s v="Intérêts de retard sur acomptes"/>
    <n v="0"/>
    <n v="0.45"/>
    <n v="4211"/>
  </r>
  <r>
    <x v="0"/>
    <x v="3"/>
    <x v="3"/>
    <x v="292"/>
    <x v="243"/>
    <x v="243"/>
    <s v="REVENUS"/>
    <x v="6"/>
    <s v="4221.003"/>
    <s v="Intérêts compensat. / acomptes en faveur du fisc"/>
    <n v="0"/>
    <n v="0.16"/>
    <n v="4221"/>
  </r>
  <r>
    <x v="0"/>
    <x v="3"/>
    <x v="3"/>
    <x v="292"/>
    <x v="243"/>
    <x v="243"/>
    <s v="REVENUS"/>
    <x v="3"/>
    <s v="4002.007"/>
    <s v="Acompte impôt sur fortune"/>
    <n v="0"/>
    <n v="7.45"/>
    <n v="4002"/>
  </r>
  <r>
    <x v="0"/>
    <x v="3"/>
    <x v="3"/>
    <x v="292"/>
    <x v="243"/>
    <x v="243"/>
    <s v="REVENUS"/>
    <x v="2"/>
    <s v="4001.007"/>
    <s v="Acompte impôt sur revenu"/>
    <n v="0"/>
    <n v="-52.7"/>
    <n v="4001"/>
  </r>
  <r>
    <x v="0"/>
    <x v="3"/>
    <x v="3"/>
    <x v="292"/>
    <x v="243"/>
    <x v="243"/>
    <s v="REVENUS"/>
    <x v="8"/>
    <s v="4091.001"/>
    <s v="Impôt récupéré après défalcations"/>
    <n v="0"/>
    <n v="6858.84"/>
    <n v="4091"/>
  </r>
  <r>
    <x v="0"/>
    <x v="3"/>
    <x v="3"/>
    <x v="292"/>
    <x v="243"/>
    <x v="243"/>
    <s v="REVENUS"/>
    <x v="7"/>
    <s v="4184.000"/>
    <s v="Frais de poursuite"/>
    <n v="0"/>
    <n v="196.19"/>
    <n v="4184"/>
  </r>
  <r>
    <x v="0"/>
    <x v="3"/>
    <x v="3"/>
    <x v="292"/>
    <x v="243"/>
    <x v="243"/>
    <s v="REVENUS"/>
    <x v="2"/>
    <s v="4001.003"/>
    <s v="Impôt s/prest. cap. PP"/>
    <n v="0"/>
    <n v="12959.4"/>
    <n v="4001"/>
  </r>
  <r>
    <x v="0"/>
    <x v="3"/>
    <x v="3"/>
    <x v="292"/>
    <x v="243"/>
    <x v="243"/>
    <s v="REVENUS"/>
    <x v="4"/>
    <s v="4051.001"/>
    <s v="Impôt sur les successions"/>
    <n v="0"/>
    <n v="-57.25"/>
    <n v="4051"/>
  </r>
  <r>
    <x v="0"/>
    <x v="3"/>
    <x v="3"/>
    <x v="292"/>
    <x v="243"/>
    <x v="243"/>
    <s v="REVENUS"/>
    <x v="6"/>
    <s v="4221.002"/>
    <s v="Intérêts compensat. sur impôts distincts"/>
    <n v="0"/>
    <n v="1.04"/>
    <n v="4221"/>
  </r>
  <r>
    <x v="0"/>
    <x v="3"/>
    <x v="3"/>
    <x v="292"/>
    <x v="243"/>
    <x v="243"/>
    <s v="REVENUS"/>
    <x v="3"/>
    <s v="4002.002"/>
    <s v="Impôt complémentaire s/fortune PP"/>
    <n v="0"/>
    <n v="3146.55"/>
    <n v="4002"/>
  </r>
  <r>
    <x v="0"/>
    <x v="3"/>
    <x v="3"/>
    <x v="292"/>
    <x v="243"/>
    <x v="243"/>
    <s v="REVENUS"/>
    <x v="6"/>
    <s v="4211.001"/>
    <s v="Intérêts de retard sur factures"/>
    <n v="0"/>
    <n v="0.45"/>
    <n v="4211"/>
  </r>
  <r>
    <x v="0"/>
    <x v="3"/>
    <x v="3"/>
    <x v="292"/>
    <x v="243"/>
    <x v="243"/>
    <s v="REVENUS"/>
    <x v="2"/>
    <s v="4001.007"/>
    <s v="Acompte impôt sur revenu"/>
    <n v="0"/>
    <n v="-4448.2"/>
    <n v="4001"/>
  </r>
  <r>
    <x v="0"/>
    <x v="3"/>
    <x v="3"/>
    <x v="292"/>
    <x v="243"/>
    <x v="243"/>
    <s v="REVENUS"/>
    <x v="3"/>
    <s v="4002.007"/>
    <s v="Acompte impôt sur fortune"/>
    <n v="0"/>
    <n v="-779.55"/>
    <n v="4002"/>
  </r>
  <r>
    <x v="0"/>
    <x v="3"/>
    <x v="3"/>
    <x v="292"/>
    <x v="243"/>
    <x v="243"/>
    <s v="REVENUS"/>
    <x v="5"/>
    <s v="4061.000"/>
    <s v="Impôt sur les chiens"/>
    <n v="0"/>
    <n v="850"/>
    <n v="4061"/>
  </r>
  <r>
    <x v="0"/>
    <x v="3"/>
    <x v="3"/>
    <x v="292"/>
    <x v="243"/>
    <x v="243"/>
    <s v="REVENUS"/>
    <x v="2"/>
    <s v="4001.007"/>
    <s v="Acompte impôt sur revenu"/>
    <n v="0"/>
    <n v="0"/>
    <n v="4001"/>
  </r>
  <r>
    <x v="0"/>
    <x v="3"/>
    <x v="3"/>
    <x v="292"/>
    <x v="243"/>
    <x v="243"/>
    <s v="REVENUS"/>
    <x v="2"/>
    <s v="4001.001"/>
    <s v="Impôt revenu"/>
    <n v="0"/>
    <n v="90.6"/>
    <n v="4001"/>
  </r>
  <r>
    <x v="0"/>
    <x v="3"/>
    <x v="3"/>
    <x v="292"/>
    <x v="243"/>
    <x v="243"/>
    <s v="REVENUS"/>
    <x v="6"/>
    <s v="4211.002"/>
    <s v="Intérêts de retard sur acomptes"/>
    <n v="0"/>
    <n v="6.01"/>
    <n v="4211"/>
  </r>
  <r>
    <x v="0"/>
    <x v="3"/>
    <x v="3"/>
    <x v="292"/>
    <x v="243"/>
    <x v="243"/>
    <s v="REVENUS"/>
    <x v="6"/>
    <s v="4221.003"/>
    <s v="Intérêts compensat. / acomptes en faveur du fisc"/>
    <n v="0"/>
    <n v="0.06"/>
    <n v="4221"/>
  </r>
  <r>
    <x v="0"/>
    <x v="3"/>
    <x v="3"/>
    <x v="292"/>
    <x v="243"/>
    <x v="243"/>
    <s v="REVENUS"/>
    <x v="2"/>
    <s v="4001.003"/>
    <s v="Impôt s/prest. cap. PP"/>
    <n v="0"/>
    <n v="-48.75"/>
    <n v="4001"/>
  </r>
  <r>
    <x v="0"/>
    <x v="3"/>
    <x v="3"/>
    <x v="292"/>
    <x v="243"/>
    <x v="243"/>
    <s v="REVENUS"/>
    <x v="2"/>
    <s v="4001.001"/>
    <s v="Impôt revenu"/>
    <n v="0"/>
    <n v="-28569.55"/>
    <n v="4001"/>
  </r>
  <r>
    <x v="0"/>
    <x v="3"/>
    <x v="3"/>
    <x v="292"/>
    <x v="243"/>
    <x v="243"/>
    <s v="REVENUS"/>
    <x v="3"/>
    <s v="4002.001"/>
    <s v="Impôt ordinaire s/fortune PP"/>
    <n v="0"/>
    <n v="-366.4"/>
    <n v="4002"/>
  </r>
  <r>
    <x v="0"/>
    <x v="3"/>
    <x v="3"/>
    <x v="292"/>
    <x v="243"/>
    <x v="243"/>
    <s v="REVENUS"/>
    <x v="6"/>
    <s v="4211.001"/>
    <s v="Intérêts de retard sur factures"/>
    <n v="0"/>
    <n v="-0.02"/>
    <n v="4211"/>
  </r>
  <r>
    <x v="0"/>
    <x v="3"/>
    <x v="3"/>
    <x v="292"/>
    <x v="243"/>
    <x v="243"/>
    <s v="REVENUS"/>
    <x v="6"/>
    <s v="4221.003"/>
    <s v="Intérêts compensat. / acomptes en faveur du fisc"/>
    <n v="0"/>
    <n v="-0.01"/>
    <n v="4221"/>
  </r>
  <r>
    <x v="0"/>
    <x v="3"/>
    <x v="3"/>
    <x v="292"/>
    <x v="243"/>
    <x v="243"/>
    <s v="REVENUS"/>
    <x v="2"/>
    <s v="4001.002"/>
    <s v="Impôt complément s/revenu PP"/>
    <n v="0"/>
    <n v="16.850000000000001"/>
    <n v="4001"/>
  </r>
  <r>
    <x v="0"/>
    <x v="3"/>
    <x v="3"/>
    <x v="292"/>
    <x v="243"/>
    <x v="243"/>
    <s v="REVENUS"/>
    <x v="6"/>
    <s v="4211.001"/>
    <s v="Intérêts de retard sur factures"/>
    <n v="0"/>
    <n v="0.03"/>
    <n v="4211"/>
  </r>
  <r>
    <x v="0"/>
    <x v="3"/>
    <x v="3"/>
    <x v="292"/>
    <x v="243"/>
    <x v="243"/>
    <s v="REVENUS"/>
    <x v="3"/>
    <s v="4002.001"/>
    <s v="Impôt ordinaire s/fortune PP"/>
    <n v="0"/>
    <n v="104.8"/>
    <n v="4002"/>
  </r>
  <r>
    <x v="0"/>
    <x v="3"/>
    <x v="3"/>
    <x v="292"/>
    <x v="243"/>
    <x v="243"/>
    <s v="REVENUS"/>
    <x v="10"/>
    <s v="4041.001"/>
    <s v="Droits de mutation"/>
    <n v="0"/>
    <n v="30987"/>
    <n v="4041"/>
  </r>
  <r>
    <x v="0"/>
    <x v="3"/>
    <x v="3"/>
    <x v="292"/>
    <x v="243"/>
    <x v="243"/>
    <s v="REVENUS"/>
    <x v="6"/>
    <s v="4211.001"/>
    <s v="Intérêts de retard sur factures"/>
    <n v="0"/>
    <n v="11.75"/>
    <n v="4211"/>
  </r>
  <r>
    <x v="0"/>
    <x v="3"/>
    <x v="3"/>
    <x v="292"/>
    <x v="243"/>
    <x v="243"/>
    <s v="REVENUS"/>
    <x v="2"/>
    <s v="4001.001"/>
    <s v="Impôt revenu"/>
    <n v="0"/>
    <n v="1183.25"/>
    <n v="4001"/>
  </r>
  <r>
    <x v="0"/>
    <x v="3"/>
    <x v="3"/>
    <x v="292"/>
    <x v="243"/>
    <x v="243"/>
    <s v="REVENUS"/>
    <x v="3"/>
    <s v="4002.001"/>
    <s v="Impôt ordinaire s/fortune PP"/>
    <n v="0"/>
    <n v="138.69999999999999"/>
    <n v="4002"/>
  </r>
  <r>
    <x v="0"/>
    <x v="3"/>
    <x v="3"/>
    <x v="292"/>
    <x v="243"/>
    <x v="243"/>
    <s v="REVENUS"/>
    <x v="6"/>
    <s v="4211.002"/>
    <s v="Intérêts de retard sur acomptes"/>
    <n v="0"/>
    <n v="46.48"/>
    <n v="4211"/>
  </r>
  <r>
    <x v="0"/>
    <x v="3"/>
    <x v="3"/>
    <x v="293"/>
    <x v="240"/>
    <x v="240"/>
    <s v="REVENUS"/>
    <x v="8"/>
    <s v="4091.001"/>
    <s v="Impôt récupéré après défalcations"/>
    <n v="0"/>
    <n v="1211.44"/>
    <n v="4091"/>
  </r>
  <r>
    <x v="0"/>
    <x v="3"/>
    <x v="3"/>
    <x v="294"/>
    <x v="244"/>
    <x v="244"/>
    <s v="CHARGES"/>
    <x v="1"/>
    <s v="3301.001"/>
    <s v="Défalcations, abandons de solde PP et IS"/>
    <n v="36439.24"/>
    <n v="0"/>
    <n v="3301"/>
  </r>
  <r>
    <x v="0"/>
    <x v="3"/>
    <x v="3"/>
    <x v="294"/>
    <x v="244"/>
    <x v="244"/>
    <s v="CHARGES"/>
    <x v="0"/>
    <s v="3212.004"/>
    <s v="Intérêts rémun./perçu trop tôt sur acomptes C/C"/>
    <n v="112.7"/>
    <n v="0"/>
    <n v="3212"/>
  </r>
  <r>
    <x v="0"/>
    <x v="3"/>
    <x v="3"/>
    <x v="294"/>
    <x v="244"/>
    <x v="244"/>
    <s v="CHARGES"/>
    <x v="0"/>
    <s v="3221.002"/>
    <s v="Intérêts compensatoires / créances en faveur ctb."/>
    <n v="43.65"/>
    <n v="0"/>
    <n v="3221"/>
  </r>
  <r>
    <x v="0"/>
    <x v="3"/>
    <x v="3"/>
    <x v="294"/>
    <x v="244"/>
    <x v="244"/>
    <s v="CHARGES"/>
    <x v="0"/>
    <s v="3212.002"/>
    <s v="Intérêts bonifiés/trop perçu acompte C/C"/>
    <n v="1.1100000000000001"/>
    <n v="0"/>
    <n v="3212"/>
  </r>
  <r>
    <x v="0"/>
    <x v="3"/>
    <x v="3"/>
    <x v="294"/>
    <x v="244"/>
    <x v="244"/>
    <s v="CHARGES"/>
    <x v="0"/>
    <s v="3212.004"/>
    <s v="Intérêts rémun./perçu trop tôt sur acomptes C/C"/>
    <n v="0.23"/>
    <n v="0"/>
    <n v="3212"/>
  </r>
  <r>
    <x v="0"/>
    <x v="3"/>
    <x v="3"/>
    <x v="294"/>
    <x v="244"/>
    <x v="244"/>
    <s v="CHARGES"/>
    <x v="0"/>
    <s v="3221.002"/>
    <s v="Intérêts compensatoires / créances en faveur ctb."/>
    <n v="-0.01"/>
    <n v="0"/>
    <n v="3221"/>
  </r>
  <r>
    <x v="0"/>
    <x v="3"/>
    <x v="3"/>
    <x v="294"/>
    <x v="244"/>
    <x v="244"/>
    <s v="CHARGES"/>
    <x v="1"/>
    <s v="3301.001"/>
    <s v="Défalcations, abandons de solde PP et IS"/>
    <n v="0.01"/>
    <n v="0"/>
    <n v="3301"/>
  </r>
  <r>
    <x v="0"/>
    <x v="3"/>
    <x v="3"/>
    <x v="294"/>
    <x v="244"/>
    <x v="244"/>
    <s v="CHARGES"/>
    <x v="0"/>
    <s v="3221.002"/>
    <s v="Intérêts compensatoires / créances en faveur ctb."/>
    <n v="0.02"/>
    <n v="0"/>
    <n v="3221"/>
  </r>
  <r>
    <x v="0"/>
    <x v="3"/>
    <x v="3"/>
    <x v="294"/>
    <x v="244"/>
    <x v="244"/>
    <s v="CHARGES"/>
    <x v="1"/>
    <s v="3301.001"/>
    <s v="Défalcations, abandons de solde PP et IS"/>
    <n v="0.03"/>
    <n v="0"/>
    <n v="3301"/>
  </r>
  <r>
    <x v="0"/>
    <x v="3"/>
    <x v="3"/>
    <x v="294"/>
    <x v="244"/>
    <x v="244"/>
    <s v="CHARGES"/>
    <x v="1"/>
    <s v="3301.001"/>
    <s v="Défalcations, abandons de solde PP et IS"/>
    <n v="16571.03"/>
    <n v="0"/>
    <n v="3301"/>
  </r>
  <r>
    <x v="0"/>
    <x v="3"/>
    <x v="3"/>
    <x v="294"/>
    <x v="244"/>
    <x v="244"/>
    <s v="CHARGES"/>
    <x v="0"/>
    <s v="3212.004"/>
    <s v="Intérêts rémun./perçu trop tôt sur acomptes C/C"/>
    <n v="0.13"/>
    <n v="0"/>
    <n v="3212"/>
  </r>
  <r>
    <x v="0"/>
    <x v="3"/>
    <x v="3"/>
    <x v="294"/>
    <x v="244"/>
    <x v="244"/>
    <s v="CHARGES"/>
    <x v="0"/>
    <s v="3221.002"/>
    <s v="Intérêts compensatoires / créances en faveur ctb."/>
    <n v="0.01"/>
    <n v="0"/>
    <n v="3221"/>
  </r>
  <r>
    <x v="0"/>
    <x v="3"/>
    <x v="3"/>
    <x v="294"/>
    <x v="244"/>
    <x v="244"/>
    <s v="REVENUS"/>
    <x v="2"/>
    <s v="4001.007"/>
    <s v="Acompte impôt sur revenu"/>
    <n v="0"/>
    <n v="101478.71"/>
    <n v="4001"/>
  </r>
  <r>
    <x v="0"/>
    <x v="3"/>
    <x v="3"/>
    <x v="294"/>
    <x v="244"/>
    <x v="244"/>
    <s v="REVENUS"/>
    <x v="3"/>
    <s v="4002.007"/>
    <s v="Acompte impôt sur fortune"/>
    <n v="0"/>
    <n v="14933.69"/>
    <n v="4002"/>
  </r>
  <r>
    <x v="0"/>
    <x v="3"/>
    <x v="3"/>
    <x v="294"/>
    <x v="244"/>
    <x v="244"/>
    <s v="REVENUS"/>
    <x v="6"/>
    <s v="4211.001"/>
    <s v="Intérêts de retard sur factures"/>
    <n v="0"/>
    <n v="2746.53"/>
    <n v="4211"/>
  </r>
  <r>
    <x v="0"/>
    <x v="3"/>
    <x v="3"/>
    <x v="294"/>
    <x v="244"/>
    <x v="244"/>
    <s v="REVENUS"/>
    <x v="2"/>
    <s v="4001.007"/>
    <s v="Acompte impôt sur revenu"/>
    <n v="0"/>
    <n v="-88.08"/>
    <n v="4001"/>
  </r>
  <r>
    <x v="0"/>
    <x v="3"/>
    <x v="3"/>
    <x v="294"/>
    <x v="244"/>
    <x v="244"/>
    <s v="REVENUS"/>
    <x v="2"/>
    <s v="4001.003"/>
    <s v="Impôt s/prest. cap. PP"/>
    <n v="0"/>
    <n v="15004.25"/>
    <n v="4001"/>
  </r>
  <r>
    <x v="0"/>
    <x v="3"/>
    <x v="3"/>
    <x v="294"/>
    <x v="244"/>
    <x v="244"/>
    <s v="REVENUS"/>
    <x v="2"/>
    <s v="4001.001"/>
    <s v="Impôt revenu"/>
    <n v="0"/>
    <n v="548484.6"/>
    <n v="4001"/>
  </r>
  <r>
    <x v="0"/>
    <x v="3"/>
    <x v="3"/>
    <x v="294"/>
    <x v="244"/>
    <x v="244"/>
    <s v="REVENUS"/>
    <x v="3"/>
    <s v="4002.001"/>
    <s v="Impôt ordinaire s/fortune PP"/>
    <n v="0"/>
    <n v="79964.850000000006"/>
    <n v="4002"/>
  </r>
  <r>
    <x v="0"/>
    <x v="3"/>
    <x v="3"/>
    <x v="294"/>
    <x v="244"/>
    <x v="244"/>
    <s v="REVENUS"/>
    <x v="2"/>
    <s v="4001.007"/>
    <s v="Acompte impôt sur revenu"/>
    <n v="0"/>
    <n v="-202755.42"/>
    <n v="4001"/>
  </r>
  <r>
    <x v="0"/>
    <x v="3"/>
    <x v="3"/>
    <x v="294"/>
    <x v="244"/>
    <x v="244"/>
    <s v="REVENUS"/>
    <x v="3"/>
    <s v="4002.007"/>
    <s v="Acompte impôt sur fortune"/>
    <n v="0"/>
    <n v="-43038.239999999998"/>
    <n v="4002"/>
  </r>
  <r>
    <x v="0"/>
    <x v="3"/>
    <x v="3"/>
    <x v="294"/>
    <x v="244"/>
    <x v="244"/>
    <s v="REVENUS"/>
    <x v="6"/>
    <s v="4211.002"/>
    <s v="Intérêts de retard sur acomptes"/>
    <n v="0"/>
    <n v="3615.59"/>
    <n v="4211"/>
  </r>
  <r>
    <x v="0"/>
    <x v="3"/>
    <x v="3"/>
    <x v="294"/>
    <x v="244"/>
    <x v="244"/>
    <s v="REVENUS"/>
    <x v="6"/>
    <s v="4221.003"/>
    <s v="Intérêts compensat. / acomptes en faveur du fisc"/>
    <n v="0"/>
    <n v="123.22"/>
    <n v="4221"/>
  </r>
  <r>
    <x v="0"/>
    <x v="3"/>
    <x v="3"/>
    <x v="294"/>
    <x v="244"/>
    <x v="244"/>
    <s v="REVENUS"/>
    <x v="7"/>
    <s v="4184.000"/>
    <s v="Frais de poursuite"/>
    <n v="0"/>
    <n v="986.79"/>
    <n v="4184"/>
  </r>
  <r>
    <x v="0"/>
    <x v="3"/>
    <x v="3"/>
    <x v="294"/>
    <x v="244"/>
    <x v="244"/>
    <s v="REVENUS"/>
    <x v="2"/>
    <s v="4001.002"/>
    <s v="Impôt complément s/revenu PP"/>
    <n v="0"/>
    <n v="59644.75"/>
    <n v="4001"/>
  </r>
  <r>
    <x v="0"/>
    <x v="3"/>
    <x v="3"/>
    <x v="294"/>
    <x v="244"/>
    <x v="244"/>
    <s v="REVENUS"/>
    <x v="2"/>
    <s v="4001.007"/>
    <s v="Acompte impôt sur revenu"/>
    <n v="0"/>
    <n v="170.45"/>
    <n v="4001"/>
  </r>
  <r>
    <x v="0"/>
    <x v="3"/>
    <x v="3"/>
    <x v="294"/>
    <x v="244"/>
    <x v="244"/>
    <s v="REVENUS"/>
    <x v="3"/>
    <s v="4002.007"/>
    <s v="Acompte impôt sur fortune"/>
    <n v="0"/>
    <n v="189.9"/>
    <n v="4002"/>
  </r>
  <r>
    <x v="0"/>
    <x v="3"/>
    <x v="3"/>
    <x v="294"/>
    <x v="244"/>
    <x v="244"/>
    <s v="REVENUS"/>
    <x v="3"/>
    <s v="4002.007"/>
    <s v="Acompte impôt sur fortune"/>
    <n v="0"/>
    <n v="139.55000000000001"/>
    <n v="4002"/>
  </r>
  <r>
    <x v="0"/>
    <x v="3"/>
    <x v="3"/>
    <x v="294"/>
    <x v="244"/>
    <x v="244"/>
    <s v="REVENUS"/>
    <x v="3"/>
    <s v="4002.007"/>
    <s v="Acompte impôt sur fortune"/>
    <n v="0"/>
    <n v="-68.7"/>
    <n v="4002"/>
  </r>
  <r>
    <x v="0"/>
    <x v="3"/>
    <x v="3"/>
    <x v="294"/>
    <x v="244"/>
    <x v="244"/>
    <s v="REVENUS"/>
    <x v="2"/>
    <s v="4001.007"/>
    <s v="Acompte impôt sur revenu"/>
    <n v="0"/>
    <n v="4.95"/>
    <n v="4001"/>
  </r>
  <r>
    <x v="0"/>
    <x v="3"/>
    <x v="3"/>
    <x v="294"/>
    <x v="244"/>
    <x v="244"/>
    <s v="REVENUS"/>
    <x v="8"/>
    <s v="4091.001"/>
    <s v="Impôt récupéré après défalcations"/>
    <n v="0"/>
    <n v="290.04000000000002"/>
    <n v="4091"/>
  </r>
  <r>
    <x v="0"/>
    <x v="3"/>
    <x v="3"/>
    <x v="294"/>
    <x v="244"/>
    <x v="244"/>
    <s v="REVENUS"/>
    <x v="10"/>
    <s v="4041.001"/>
    <s v="Droits de mutation"/>
    <n v="0"/>
    <n v="25587.9"/>
    <n v="4041"/>
  </r>
  <r>
    <x v="0"/>
    <x v="3"/>
    <x v="3"/>
    <x v="294"/>
    <x v="244"/>
    <x v="244"/>
    <s v="REVENUS"/>
    <x v="3"/>
    <s v="4002.001"/>
    <s v="Impôt ordinaire s/fortune PP"/>
    <n v="0"/>
    <n v="309.75"/>
    <n v="4002"/>
  </r>
  <r>
    <x v="0"/>
    <x v="3"/>
    <x v="3"/>
    <x v="294"/>
    <x v="244"/>
    <x v="244"/>
    <s v="REVENUS"/>
    <x v="6"/>
    <s v="4211.002"/>
    <s v="Intérêts de retard sur acomptes"/>
    <n v="0"/>
    <n v="1.99"/>
    <n v="4211"/>
  </r>
  <r>
    <x v="0"/>
    <x v="3"/>
    <x v="3"/>
    <x v="294"/>
    <x v="244"/>
    <x v="244"/>
    <s v="REVENUS"/>
    <x v="2"/>
    <s v="4001.001"/>
    <s v="Impôt revenu"/>
    <n v="0"/>
    <n v="369.6"/>
    <n v="4001"/>
  </r>
  <r>
    <x v="0"/>
    <x v="3"/>
    <x v="3"/>
    <x v="294"/>
    <x v="244"/>
    <x v="244"/>
    <s v="REVENUS"/>
    <x v="3"/>
    <s v="4002.001"/>
    <s v="Impôt ordinaire s/fortune PP"/>
    <n v="0"/>
    <n v="212.85"/>
    <n v="4002"/>
  </r>
  <r>
    <x v="0"/>
    <x v="3"/>
    <x v="3"/>
    <x v="294"/>
    <x v="244"/>
    <x v="244"/>
    <s v="REVENUS"/>
    <x v="6"/>
    <s v="4221.002"/>
    <s v="Intérêts compensat. sur impôts distincts"/>
    <n v="0"/>
    <n v="13.53"/>
    <n v="4221"/>
  </r>
  <r>
    <x v="0"/>
    <x v="3"/>
    <x v="3"/>
    <x v="294"/>
    <x v="244"/>
    <x v="244"/>
    <s v="REVENUS"/>
    <x v="2"/>
    <s v="4001.001"/>
    <s v="Impôt revenu"/>
    <n v="0"/>
    <n v="-20050.45"/>
    <n v="4001"/>
  </r>
  <r>
    <x v="0"/>
    <x v="3"/>
    <x v="3"/>
    <x v="294"/>
    <x v="244"/>
    <x v="244"/>
    <s v="REVENUS"/>
    <x v="3"/>
    <s v="4002.001"/>
    <s v="Impôt ordinaire s/fortune PP"/>
    <n v="0"/>
    <n v="-6678.15"/>
    <n v="4002"/>
  </r>
  <r>
    <x v="0"/>
    <x v="3"/>
    <x v="3"/>
    <x v="294"/>
    <x v="244"/>
    <x v="244"/>
    <s v="REVENUS"/>
    <x v="3"/>
    <s v="4002.002"/>
    <s v="Impôt complémentaire s/fortune PP"/>
    <n v="0"/>
    <n v="12036.15"/>
    <n v="4002"/>
  </r>
  <r>
    <x v="0"/>
    <x v="3"/>
    <x v="3"/>
    <x v="294"/>
    <x v="244"/>
    <x v="244"/>
    <s v="REVENUS"/>
    <x v="2"/>
    <s v="4001.001"/>
    <s v="Impôt revenu"/>
    <n v="0"/>
    <n v="564.70000000000005"/>
    <n v="4001"/>
  </r>
  <r>
    <x v="0"/>
    <x v="3"/>
    <x v="3"/>
    <x v="294"/>
    <x v="244"/>
    <x v="244"/>
    <s v="REVENUS"/>
    <x v="2"/>
    <s v="4001.002"/>
    <s v="Impôt complément s/revenu PP"/>
    <n v="0"/>
    <n v="-2287.5"/>
    <n v="4001"/>
  </r>
  <r>
    <x v="0"/>
    <x v="3"/>
    <x v="3"/>
    <x v="294"/>
    <x v="244"/>
    <x v="244"/>
    <s v="REVENUS"/>
    <x v="3"/>
    <s v="4002.002"/>
    <s v="Impôt complémentaire s/fortune PP"/>
    <n v="0"/>
    <n v="-148.44999999999999"/>
    <n v="4002"/>
  </r>
  <r>
    <x v="0"/>
    <x v="3"/>
    <x v="3"/>
    <x v="294"/>
    <x v="244"/>
    <x v="244"/>
    <s v="REVENUS"/>
    <x v="6"/>
    <s v="4211.002"/>
    <s v="Intérêts de retard sur acomptes"/>
    <n v="0"/>
    <n v="-0.67"/>
    <n v="4211"/>
  </r>
  <r>
    <x v="0"/>
    <x v="3"/>
    <x v="3"/>
    <x v="294"/>
    <x v="244"/>
    <x v="244"/>
    <s v="REVENUS"/>
    <x v="6"/>
    <s v="4221.003"/>
    <s v="Intérêts compensat. / acomptes en faveur du fisc"/>
    <n v="0"/>
    <n v="0.01"/>
    <n v="4221"/>
  </r>
  <r>
    <x v="0"/>
    <x v="3"/>
    <x v="3"/>
    <x v="294"/>
    <x v="244"/>
    <x v="244"/>
    <s v="REVENUS"/>
    <x v="5"/>
    <s v="4061.000"/>
    <s v="Impôt sur les chiens"/>
    <n v="0"/>
    <n v="2100"/>
    <n v="4061"/>
  </r>
  <r>
    <x v="0"/>
    <x v="3"/>
    <x v="3"/>
    <x v="294"/>
    <x v="244"/>
    <x v="244"/>
    <s v="REVENUS"/>
    <x v="6"/>
    <s v="4221.003"/>
    <s v="Intérêts compensat. / acomptes en faveur du fisc"/>
    <n v="0"/>
    <n v="0.03"/>
    <n v="4221"/>
  </r>
  <r>
    <x v="0"/>
    <x v="3"/>
    <x v="3"/>
    <x v="294"/>
    <x v="244"/>
    <x v="244"/>
    <s v="REVENUS"/>
    <x v="9"/>
    <s v="4031.001"/>
    <s v="Impôt sur les gains immobiliers"/>
    <n v="0"/>
    <n v="6413.9"/>
    <n v="4031"/>
  </r>
  <r>
    <x v="0"/>
    <x v="3"/>
    <x v="3"/>
    <x v="294"/>
    <x v="244"/>
    <x v="244"/>
    <s v="REVENUS"/>
    <x v="2"/>
    <s v="4001.001"/>
    <s v="Impôt revenu"/>
    <n v="0"/>
    <n v="139.94999999999999"/>
    <n v="4001"/>
  </r>
  <r>
    <x v="0"/>
    <x v="3"/>
    <x v="3"/>
    <x v="294"/>
    <x v="244"/>
    <x v="244"/>
    <s v="REVENUS"/>
    <x v="3"/>
    <s v="4002.001"/>
    <s v="Impôt ordinaire s/fortune PP"/>
    <n v="0"/>
    <n v="202.45"/>
    <n v="4002"/>
  </r>
  <r>
    <x v="0"/>
    <x v="3"/>
    <x v="3"/>
    <x v="294"/>
    <x v="244"/>
    <x v="244"/>
    <s v="REVENUS"/>
    <x v="6"/>
    <s v="4221.003"/>
    <s v="Intérêts compensat. / acomptes en faveur du fisc"/>
    <n v="0"/>
    <n v="0.01"/>
    <n v="4221"/>
  </r>
  <r>
    <x v="0"/>
    <x v="3"/>
    <x v="3"/>
    <x v="295"/>
    <x v="245"/>
    <x v="245"/>
    <s v="CHARGES"/>
    <x v="0"/>
    <s v="3212.004"/>
    <s v="Intérêts rémun./perçu trop tôt sur acomptes C/C"/>
    <n v="82.88"/>
    <n v="0"/>
    <n v="3212"/>
  </r>
  <r>
    <x v="0"/>
    <x v="3"/>
    <x v="3"/>
    <x v="295"/>
    <x v="245"/>
    <x v="245"/>
    <s v="CHARGES"/>
    <x v="0"/>
    <s v="3212.004"/>
    <s v="Intérêts rémun./perçu trop tôt sur acomptes C/C"/>
    <n v="2641.19"/>
    <n v="0"/>
    <n v="3212"/>
  </r>
  <r>
    <x v="0"/>
    <x v="3"/>
    <x v="3"/>
    <x v="295"/>
    <x v="245"/>
    <x v="245"/>
    <s v="CHARGES"/>
    <x v="0"/>
    <s v="3221.002"/>
    <s v="Intérêts compensatoires / créances en faveur ctb."/>
    <n v="1509.53"/>
    <n v="0"/>
    <n v="3221"/>
  </r>
  <r>
    <x v="0"/>
    <x v="3"/>
    <x v="3"/>
    <x v="295"/>
    <x v="245"/>
    <x v="245"/>
    <s v="CHARGES"/>
    <x v="1"/>
    <s v="3301.001"/>
    <s v="Défalcations, abandons de solde PP et IS"/>
    <n v="405313.71"/>
    <n v="0"/>
    <n v="3301"/>
  </r>
  <r>
    <x v="0"/>
    <x v="3"/>
    <x v="3"/>
    <x v="295"/>
    <x v="245"/>
    <x v="245"/>
    <s v="CHARGES"/>
    <x v="1"/>
    <s v="3301.001"/>
    <s v="Défalcations, abandons de solde PP et IS"/>
    <n v="365.62"/>
    <n v="0"/>
    <n v="3301"/>
  </r>
  <r>
    <x v="0"/>
    <x v="3"/>
    <x v="3"/>
    <x v="295"/>
    <x v="245"/>
    <x v="245"/>
    <s v="CHARGES"/>
    <x v="0"/>
    <s v="3212.002"/>
    <s v="Intérêts bonifiés/trop perçu acompte C/C"/>
    <n v="73.2"/>
    <n v="0"/>
    <n v="3212"/>
  </r>
  <r>
    <x v="0"/>
    <x v="3"/>
    <x v="3"/>
    <x v="295"/>
    <x v="245"/>
    <x v="245"/>
    <s v="CHARGES"/>
    <x v="0"/>
    <s v="3212.004"/>
    <s v="Intérêts rémun./perçu trop tôt sur acomptes C/C"/>
    <n v="5.14"/>
    <n v="0"/>
    <n v="3212"/>
  </r>
  <r>
    <x v="0"/>
    <x v="3"/>
    <x v="3"/>
    <x v="295"/>
    <x v="245"/>
    <x v="245"/>
    <s v="CHARGES"/>
    <x v="0"/>
    <s v="3221.002"/>
    <s v="Intérêts compensatoires / créances en faveur ctb."/>
    <n v="15.49"/>
    <n v="0"/>
    <n v="3221"/>
  </r>
  <r>
    <x v="0"/>
    <x v="3"/>
    <x v="3"/>
    <x v="295"/>
    <x v="245"/>
    <x v="245"/>
    <s v="CHARGES"/>
    <x v="0"/>
    <s v="3212.002"/>
    <s v="Intérêts bonifiés/trop perçu acompte C/C"/>
    <n v="-0.89"/>
    <n v="0"/>
    <n v="3212"/>
  </r>
  <r>
    <x v="0"/>
    <x v="3"/>
    <x v="3"/>
    <x v="295"/>
    <x v="245"/>
    <x v="245"/>
    <s v="CHARGES"/>
    <x v="1"/>
    <s v="3301.001"/>
    <s v="Défalcations, abandons de solde PP et IS"/>
    <n v="4.58"/>
    <n v="0"/>
    <n v="3301"/>
  </r>
  <r>
    <x v="0"/>
    <x v="3"/>
    <x v="3"/>
    <x v="295"/>
    <x v="245"/>
    <x v="245"/>
    <s v="CHARGES"/>
    <x v="0"/>
    <s v="3212.004"/>
    <s v="Intérêts rémun./perçu trop tôt sur acomptes C/C"/>
    <n v="67.22"/>
    <n v="0"/>
    <n v="3212"/>
  </r>
  <r>
    <x v="0"/>
    <x v="3"/>
    <x v="3"/>
    <x v="295"/>
    <x v="245"/>
    <x v="245"/>
    <s v="CHARGES"/>
    <x v="0"/>
    <s v="3212.004"/>
    <s v="Intérêts rémun./perçu trop tôt sur acomptes C/C"/>
    <n v="25.44"/>
    <n v="0"/>
    <n v="3212"/>
  </r>
  <r>
    <x v="0"/>
    <x v="3"/>
    <x v="3"/>
    <x v="295"/>
    <x v="245"/>
    <x v="245"/>
    <s v="CHARGES"/>
    <x v="1"/>
    <s v="3301.001"/>
    <s v="Défalcations, abandons de solde PP et IS"/>
    <n v="1.93"/>
    <n v="0"/>
    <n v="3301"/>
  </r>
  <r>
    <x v="0"/>
    <x v="3"/>
    <x v="3"/>
    <x v="295"/>
    <x v="245"/>
    <x v="245"/>
    <s v="CHARGES"/>
    <x v="1"/>
    <s v="3301.001"/>
    <s v="Défalcations, abandons de solde PP et IS"/>
    <n v="101146.56"/>
    <n v="0"/>
    <n v="3301"/>
  </r>
  <r>
    <x v="0"/>
    <x v="3"/>
    <x v="3"/>
    <x v="295"/>
    <x v="245"/>
    <x v="245"/>
    <s v="CHARGES"/>
    <x v="0"/>
    <s v="3221.002"/>
    <s v="Intérêts compensatoires / créances en faveur ctb."/>
    <n v="1.73"/>
    <n v="0"/>
    <n v="3221"/>
  </r>
  <r>
    <x v="0"/>
    <x v="3"/>
    <x v="3"/>
    <x v="295"/>
    <x v="245"/>
    <x v="245"/>
    <s v="CHARGES"/>
    <x v="1"/>
    <s v="3301.001"/>
    <s v="Défalcations, abandons de solde PP et IS"/>
    <n v="2392.4899999999998"/>
    <n v="0"/>
    <n v="3301"/>
  </r>
  <r>
    <x v="0"/>
    <x v="3"/>
    <x v="3"/>
    <x v="295"/>
    <x v="245"/>
    <x v="245"/>
    <s v="CHARGES"/>
    <x v="1"/>
    <s v="3301.001"/>
    <s v="Défalcations, abandons de solde PP et IS"/>
    <n v="1830.81"/>
    <n v="0"/>
    <n v="3301"/>
  </r>
  <r>
    <x v="0"/>
    <x v="3"/>
    <x v="3"/>
    <x v="295"/>
    <x v="245"/>
    <x v="245"/>
    <s v="CHARGES"/>
    <x v="0"/>
    <s v="3212.002"/>
    <s v="Intérêts bonifiés/trop perçu acompte C/C"/>
    <n v="1.94"/>
    <n v="0"/>
    <n v="3212"/>
  </r>
  <r>
    <x v="0"/>
    <x v="3"/>
    <x v="3"/>
    <x v="295"/>
    <x v="245"/>
    <x v="245"/>
    <s v="CHARGES"/>
    <x v="0"/>
    <s v="3212.004"/>
    <s v="Intérêts rémun./perçu trop tôt sur acomptes C/C"/>
    <n v="-0.33"/>
    <n v="0"/>
    <n v="3212"/>
  </r>
  <r>
    <x v="0"/>
    <x v="3"/>
    <x v="3"/>
    <x v="295"/>
    <x v="245"/>
    <x v="245"/>
    <s v="CHARGES"/>
    <x v="0"/>
    <s v="3221.002"/>
    <s v="Intérêts compensatoires / créances en faveur ctb."/>
    <n v="-0.09"/>
    <n v="0"/>
    <n v="3221"/>
  </r>
  <r>
    <x v="0"/>
    <x v="3"/>
    <x v="3"/>
    <x v="295"/>
    <x v="245"/>
    <x v="245"/>
    <s v="CHARGES"/>
    <x v="1"/>
    <s v="3301.001"/>
    <s v="Défalcations, abandons de solde PP et IS"/>
    <n v="-3.91"/>
    <n v="0"/>
    <n v="3301"/>
  </r>
  <r>
    <x v="0"/>
    <x v="3"/>
    <x v="3"/>
    <x v="295"/>
    <x v="245"/>
    <x v="245"/>
    <s v="CHARGES"/>
    <x v="0"/>
    <s v="3221.002"/>
    <s v="Intérêts compensatoires / créances en faveur ctb."/>
    <n v="2.79"/>
    <n v="0"/>
    <n v="3221"/>
  </r>
  <r>
    <x v="0"/>
    <x v="3"/>
    <x v="3"/>
    <x v="295"/>
    <x v="245"/>
    <x v="245"/>
    <s v="CHARGES"/>
    <x v="0"/>
    <s v="3212.004"/>
    <s v="Intérêts rémun./perçu trop tôt sur acomptes C/C"/>
    <n v="0.01"/>
    <n v="0"/>
    <n v="3212"/>
  </r>
  <r>
    <x v="0"/>
    <x v="3"/>
    <x v="3"/>
    <x v="295"/>
    <x v="245"/>
    <x v="245"/>
    <s v="CHARGES"/>
    <x v="0"/>
    <s v="3212.004"/>
    <s v="Intérêts rémun./perçu trop tôt sur acomptes C/C"/>
    <n v="20.11"/>
    <n v="0"/>
    <n v="3212"/>
  </r>
  <r>
    <x v="0"/>
    <x v="3"/>
    <x v="3"/>
    <x v="295"/>
    <x v="245"/>
    <x v="245"/>
    <s v="CHARGES"/>
    <x v="0"/>
    <s v="3221.002"/>
    <s v="Intérêts compensatoires / créances en faveur ctb."/>
    <n v="36.1"/>
    <n v="0"/>
    <n v="3221"/>
  </r>
  <r>
    <x v="0"/>
    <x v="3"/>
    <x v="3"/>
    <x v="295"/>
    <x v="245"/>
    <x v="245"/>
    <s v="CHARGES"/>
    <x v="0"/>
    <s v="3212.004"/>
    <s v="Intérêts rémun./perçu trop tôt sur acomptes C/C"/>
    <n v="-7.0000000000000007E-2"/>
    <n v="0"/>
    <n v="3212"/>
  </r>
  <r>
    <x v="0"/>
    <x v="3"/>
    <x v="3"/>
    <x v="295"/>
    <x v="245"/>
    <x v="245"/>
    <s v="CHARGES"/>
    <x v="0"/>
    <s v="3221.002"/>
    <s v="Intérêts compensatoires / créances en faveur ctb."/>
    <n v="0.01"/>
    <n v="0"/>
    <n v="3221"/>
  </r>
  <r>
    <x v="0"/>
    <x v="3"/>
    <x v="3"/>
    <x v="295"/>
    <x v="245"/>
    <x v="245"/>
    <s v="CHARGES"/>
    <x v="0"/>
    <s v="3212.002"/>
    <s v="Intérêts bonifiés/trop perçu acompte C/C"/>
    <n v="-2.0499999999999998"/>
    <n v="0"/>
    <n v="3212"/>
  </r>
  <r>
    <x v="0"/>
    <x v="3"/>
    <x v="3"/>
    <x v="295"/>
    <x v="245"/>
    <x v="245"/>
    <s v="CHARGES"/>
    <x v="1"/>
    <s v="3301.003"/>
    <s v="Remises PP et IS"/>
    <n v="4700.45"/>
    <n v="0"/>
    <n v="3301"/>
  </r>
  <r>
    <x v="0"/>
    <x v="3"/>
    <x v="3"/>
    <x v="295"/>
    <x v="245"/>
    <x v="245"/>
    <s v="REVENUS"/>
    <x v="2"/>
    <s v="4001.001"/>
    <s v="Impôt revenu"/>
    <n v="0"/>
    <n v="152736.15"/>
    <n v="4001"/>
  </r>
  <r>
    <x v="0"/>
    <x v="3"/>
    <x v="3"/>
    <x v="295"/>
    <x v="245"/>
    <x v="245"/>
    <s v="REVENUS"/>
    <x v="2"/>
    <s v="4001.007"/>
    <s v="Acompte impôt sur revenu"/>
    <n v="0"/>
    <n v="-12906.25"/>
    <n v="4001"/>
  </r>
  <r>
    <x v="0"/>
    <x v="3"/>
    <x v="3"/>
    <x v="295"/>
    <x v="245"/>
    <x v="245"/>
    <s v="REVENUS"/>
    <x v="3"/>
    <s v="4002.001"/>
    <s v="Impôt ordinaire s/fortune PP"/>
    <n v="0"/>
    <n v="34925.699999999997"/>
    <n v="4002"/>
  </r>
  <r>
    <x v="0"/>
    <x v="3"/>
    <x v="3"/>
    <x v="295"/>
    <x v="245"/>
    <x v="245"/>
    <s v="REVENUS"/>
    <x v="3"/>
    <s v="4002.007"/>
    <s v="Acompte impôt sur fortune"/>
    <n v="0"/>
    <n v="-8699.32"/>
    <n v="4002"/>
  </r>
  <r>
    <x v="0"/>
    <x v="3"/>
    <x v="3"/>
    <x v="295"/>
    <x v="245"/>
    <x v="245"/>
    <s v="REVENUS"/>
    <x v="6"/>
    <s v="4221.003"/>
    <s v="Intérêts compensat. / acomptes en faveur du fisc"/>
    <n v="0"/>
    <n v="8.24"/>
    <n v="4221"/>
  </r>
  <r>
    <x v="0"/>
    <x v="3"/>
    <x v="3"/>
    <x v="295"/>
    <x v="245"/>
    <x v="245"/>
    <s v="REVENUS"/>
    <x v="2"/>
    <s v="4001.007"/>
    <s v="Acompte impôt sur revenu"/>
    <n v="0"/>
    <n v="-4401711.53"/>
    <n v="4001"/>
  </r>
  <r>
    <x v="0"/>
    <x v="3"/>
    <x v="3"/>
    <x v="295"/>
    <x v="245"/>
    <x v="245"/>
    <s v="REVENUS"/>
    <x v="3"/>
    <s v="4002.007"/>
    <s v="Acompte impôt sur fortune"/>
    <n v="0"/>
    <n v="-699448.63"/>
    <n v="4002"/>
  </r>
  <r>
    <x v="0"/>
    <x v="3"/>
    <x v="3"/>
    <x v="295"/>
    <x v="245"/>
    <x v="245"/>
    <s v="REVENUS"/>
    <x v="2"/>
    <s v="4001.007"/>
    <s v="Acompte impôt sur revenu"/>
    <n v="0"/>
    <n v="9076.3700000000008"/>
    <n v="4001"/>
  </r>
  <r>
    <x v="0"/>
    <x v="3"/>
    <x v="3"/>
    <x v="295"/>
    <x v="245"/>
    <x v="245"/>
    <s v="REVENUS"/>
    <x v="3"/>
    <s v="4002.007"/>
    <s v="Acompte impôt sur fortune"/>
    <n v="0"/>
    <n v="1093.25"/>
    <n v="4002"/>
  </r>
  <r>
    <x v="0"/>
    <x v="3"/>
    <x v="3"/>
    <x v="295"/>
    <x v="245"/>
    <x v="245"/>
    <s v="REVENUS"/>
    <x v="2"/>
    <s v="4001.001"/>
    <s v="Impôt revenu"/>
    <n v="0"/>
    <n v="13647977"/>
    <n v="4001"/>
  </r>
  <r>
    <x v="0"/>
    <x v="3"/>
    <x v="3"/>
    <x v="295"/>
    <x v="245"/>
    <x v="245"/>
    <s v="REVENUS"/>
    <x v="2"/>
    <s v="4001.003"/>
    <s v="Impôt s/prest. cap. PP"/>
    <n v="0"/>
    <n v="400291.8"/>
    <n v="4001"/>
  </r>
  <r>
    <x v="0"/>
    <x v="3"/>
    <x v="3"/>
    <x v="295"/>
    <x v="245"/>
    <x v="245"/>
    <s v="REVENUS"/>
    <x v="2"/>
    <s v="4001.007"/>
    <s v="Acompte impôt sur revenu"/>
    <n v="0"/>
    <n v="1983842.03"/>
    <n v="4001"/>
  </r>
  <r>
    <x v="0"/>
    <x v="3"/>
    <x v="3"/>
    <x v="295"/>
    <x v="245"/>
    <x v="245"/>
    <s v="REVENUS"/>
    <x v="3"/>
    <s v="4002.001"/>
    <s v="Impôt ordinaire s/fortune PP"/>
    <n v="0"/>
    <n v="1445656.35"/>
    <n v="4002"/>
  </r>
  <r>
    <x v="0"/>
    <x v="3"/>
    <x v="3"/>
    <x v="295"/>
    <x v="245"/>
    <x v="245"/>
    <s v="REVENUS"/>
    <x v="3"/>
    <s v="4002.007"/>
    <s v="Acompte impôt sur fortune"/>
    <n v="0"/>
    <n v="383136.35"/>
    <n v="4002"/>
  </r>
  <r>
    <x v="0"/>
    <x v="3"/>
    <x v="3"/>
    <x v="295"/>
    <x v="245"/>
    <x v="245"/>
    <s v="REVENUS"/>
    <x v="6"/>
    <s v="4211.001"/>
    <s v="Intérêts de retard sur factures"/>
    <n v="0"/>
    <n v="101373.56"/>
    <n v="4211"/>
  </r>
  <r>
    <x v="0"/>
    <x v="3"/>
    <x v="3"/>
    <x v="295"/>
    <x v="245"/>
    <x v="245"/>
    <s v="REVENUS"/>
    <x v="6"/>
    <s v="4211.002"/>
    <s v="Intérêts de retard sur acomptes"/>
    <n v="0"/>
    <n v="101340.61"/>
    <n v="4211"/>
  </r>
  <r>
    <x v="0"/>
    <x v="3"/>
    <x v="3"/>
    <x v="295"/>
    <x v="245"/>
    <x v="245"/>
    <s v="REVENUS"/>
    <x v="6"/>
    <s v="4211.002"/>
    <s v="Intérêts de retard sur acomptes"/>
    <n v="0"/>
    <n v="1249.04"/>
    <n v="4211"/>
  </r>
  <r>
    <x v="0"/>
    <x v="3"/>
    <x v="3"/>
    <x v="295"/>
    <x v="245"/>
    <x v="245"/>
    <s v="REVENUS"/>
    <x v="2"/>
    <s v="4001.001"/>
    <s v="Impôt revenu"/>
    <n v="0"/>
    <n v="-1042852.1"/>
    <n v="4001"/>
  </r>
  <r>
    <x v="0"/>
    <x v="3"/>
    <x v="3"/>
    <x v="295"/>
    <x v="245"/>
    <x v="245"/>
    <s v="REVENUS"/>
    <x v="2"/>
    <s v="4001.002"/>
    <s v="Impôt complément s/revenu PP"/>
    <n v="0"/>
    <n v="1992474.9"/>
    <n v="4001"/>
  </r>
  <r>
    <x v="0"/>
    <x v="3"/>
    <x v="3"/>
    <x v="295"/>
    <x v="245"/>
    <x v="245"/>
    <s v="REVENUS"/>
    <x v="3"/>
    <s v="4002.002"/>
    <s v="Impôt complémentaire s/fortune PP"/>
    <n v="0"/>
    <n v="250784.2"/>
    <n v="4002"/>
  </r>
  <r>
    <x v="0"/>
    <x v="3"/>
    <x v="3"/>
    <x v="295"/>
    <x v="245"/>
    <x v="245"/>
    <s v="REVENUS"/>
    <x v="7"/>
    <s v="4184.000"/>
    <s v="Frais de poursuite"/>
    <n v="0"/>
    <n v="44206.21"/>
    <n v="4184"/>
  </r>
  <r>
    <x v="0"/>
    <x v="3"/>
    <x v="3"/>
    <x v="295"/>
    <x v="245"/>
    <x v="245"/>
    <s v="REVENUS"/>
    <x v="6"/>
    <s v="4221.003"/>
    <s v="Intérêts compensat. / acomptes en faveur du fisc"/>
    <n v="0"/>
    <n v="2241.9699999999998"/>
    <n v="4221"/>
  </r>
  <r>
    <x v="0"/>
    <x v="3"/>
    <x v="3"/>
    <x v="295"/>
    <x v="245"/>
    <x v="245"/>
    <s v="REVENUS"/>
    <x v="2"/>
    <s v="4001.001"/>
    <s v="Impôt revenu"/>
    <n v="0"/>
    <n v="27322.85"/>
    <n v="4001"/>
  </r>
  <r>
    <x v="0"/>
    <x v="3"/>
    <x v="3"/>
    <x v="295"/>
    <x v="245"/>
    <x v="245"/>
    <s v="REVENUS"/>
    <x v="2"/>
    <s v="4001.007"/>
    <s v="Acompte impôt sur revenu"/>
    <n v="0"/>
    <n v="5.18"/>
    <n v="4001"/>
  </r>
  <r>
    <x v="0"/>
    <x v="3"/>
    <x v="3"/>
    <x v="295"/>
    <x v="245"/>
    <x v="245"/>
    <s v="REVENUS"/>
    <x v="3"/>
    <s v="4002.001"/>
    <s v="Impôt ordinaire s/fortune PP"/>
    <n v="0"/>
    <n v="7534.25"/>
    <n v="4002"/>
  </r>
  <r>
    <x v="0"/>
    <x v="3"/>
    <x v="3"/>
    <x v="295"/>
    <x v="245"/>
    <x v="245"/>
    <s v="REVENUS"/>
    <x v="3"/>
    <s v="4002.007"/>
    <s v="Acompte impôt sur fortune"/>
    <n v="0"/>
    <n v="-1640.86"/>
    <n v="4002"/>
  </r>
  <r>
    <x v="0"/>
    <x v="3"/>
    <x v="3"/>
    <x v="295"/>
    <x v="245"/>
    <x v="245"/>
    <s v="REVENUS"/>
    <x v="10"/>
    <s v="4041.001"/>
    <s v="Droits de mutation"/>
    <n v="0"/>
    <n v="463458.95"/>
    <n v="4041"/>
  </r>
  <r>
    <x v="0"/>
    <x v="3"/>
    <x v="3"/>
    <x v="295"/>
    <x v="245"/>
    <x v="245"/>
    <s v="REVENUS"/>
    <x v="5"/>
    <s v="4061.000"/>
    <s v="Impôt sur les chiens"/>
    <n v="0"/>
    <n v="24125"/>
    <n v="4061"/>
  </r>
  <r>
    <x v="0"/>
    <x v="3"/>
    <x v="3"/>
    <x v="295"/>
    <x v="245"/>
    <x v="245"/>
    <s v="REVENUS"/>
    <x v="6"/>
    <s v="4221.002"/>
    <s v="Intérêts compensat. sur impôts distincts"/>
    <n v="0"/>
    <n v="312.5"/>
    <n v="4221"/>
  </r>
  <r>
    <x v="0"/>
    <x v="3"/>
    <x v="3"/>
    <x v="295"/>
    <x v="245"/>
    <x v="245"/>
    <s v="REVENUS"/>
    <x v="7"/>
    <s v="4184.000"/>
    <s v="Frais de poursuite"/>
    <n v="0"/>
    <n v="1412.82"/>
    <n v="4184"/>
  </r>
  <r>
    <x v="0"/>
    <x v="3"/>
    <x v="3"/>
    <x v="295"/>
    <x v="245"/>
    <x v="245"/>
    <s v="REVENUS"/>
    <x v="6"/>
    <s v="4221.003"/>
    <s v="Intérêts compensat. / acomptes en faveur du fisc"/>
    <n v="0"/>
    <n v="6.06"/>
    <n v="4221"/>
  </r>
  <r>
    <x v="0"/>
    <x v="3"/>
    <x v="3"/>
    <x v="295"/>
    <x v="245"/>
    <x v="245"/>
    <s v="REVENUS"/>
    <x v="8"/>
    <s v="4091.001"/>
    <s v="Impôt récupéré après défalcations"/>
    <n v="0"/>
    <n v="10333.219999999999"/>
    <n v="4091"/>
  </r>
  <r>
    <x v="0"/>
    <x v="3"/>
    <x v="3"/>
    <x v="295"/>
    <x v="245"/>
    <x v="245"/>
    <s v="REVENUS"/>
    <x v="2"/>
    <s v="4001.001"/>
    <s v="Impôt revenu"/>
    <n v="0"/>
    <n v="68056.3"/>
    <n v="4001"/>
  </r>
  <r>
    <x v="0"/>
    <x v="3"/>
    <x v="3"/>
    <x v="295"/>
    <x v="245"/>
    <x v="245"/>
    <s v="REVENUS"/>
    <x v="2"/>
    <s v="4001.007"/>
    <s v="Acompte impôt sur revenu"/>
    <n v="0"/>
    <n v="14548.62"/>
    <n v="4001"/>
  </r>
  <r>
    <x v="0"/>
    <x v="3"/>
    <x v="3"/>
    <x v="295"/>
    <x v="245"/>
    <x v="245"/>
    <s v="REVENUS"/>
    <x v="3"/>
    <s v="4002.001"/>
    <s v="Impôt ordinaire s/fortune PP"/>
    <n v="0"/>
    <n v="19934.05"/>
    <n v="4002"/>
  </r>
  <r>
    <x v="0"/>
    <x v="3"/>
    <x v="3"/>
    <x v="295"/>
    <x v="245"/>
    <x v="245"/>
    <s v="REVENUS"/>
    <x v="3"/>
    <s v="4002.007"/>
    <s v="Acompte impôt sur fortune"/>
    <n v="0"/>
    <n v="4653.47"/>
    <n v="4002"/>
  </r>
  <r>
    <x v="0"/>
    <x v="3"/>
    <x v="3"/>
    <x v="295"/>
    <x v="245"/>
    <x v="245"/>
    <s v="REVENUS"/>
    <x v="6"/>
    <s v="4221.003"/>
    <s v="Intérêts compensat. / acomptes en faveur du fisc"/>
    <n v="0"/>
    <n v="6.39"/>
    <n v="4221"/>
  </r>
  <r>
    <x v="0"/>
    <x v="3"/>
    <x v="3"/>
    <x v="295"/>
    <x v="245"/>
    <x v="245"/>
    <s v="REVENUS"/>
    <x v="10"/>
    <s v="4041.001"/>
    <s v="Droits de mutation"/>
    <n v="0"/>
    <n v="2227.5"/>
    <n v="4041"/>
  </r>
  <r>
    <x v="0"/>
    <x v="3"/>
    <x v="3"/>
    <x v="295"/>
    <x v="245"/>
    <x v="245"/>
    <s v="REVENUS"/>
    <x v="9"/>
    <s v="4031.001"/>
    <s v="Impôt sur les gains immobiliers"/>
    <n v="0"/>
    <n v="685826.4"/>
    <n v="4031"/>
  </r>
  <r>
    <x v="0"/>
    <x v="3"/>
    <x v="3"/>
    <x v="295"/>
    <x v="245"/>
    <x v="245"/>
    <s v="REVENUS"/>
    <x v="2"/>
    <s v="4001.002"/>
    <s v="Impôt complément s/revenu PP"/>
    <n v="0"/>
    <n v="1599.05"/>
    <n v="4001"/>
  </r>
  <r>
    <x v="0"/>
    <x v="3"/>
    <x v="3"/>
    <x v="295"/>
    <x v="245"/>
    <x v="245"/>
    <s v="REVENUS"/>
    <x v="2"/>
    <s v="4001.007"/>
    <s v="Acompte impôt sur revenu"/>
    <n v="0"/>
    <n v="-10174.290000000001"/>
    <n v="4001"/>
  </r>
  <r>
    <x v="0"/>
    <x v="3"/>
    <x v="3"/>
    <x v="295"/>
    <x v="245"/>
    <x v="245"/>
    <s v="REVENUS"/>
    <x v="3"/>
    <s v="4002.002"/>
    <s v="Impôt complémentaire s/fortune PP"/>
    <n v="0"/>
    <n v="1375.55"/>
    <n v="4002"/>
  </r>
  <r>
    <x v="0"/>
    <x v="3"/>
    <x v="3"/>
    <x v="295"/>
    <x v="245"/>
    <x v="245"/>
    <s v="REVENUS"/>
    <x v="3"/>
    <s v="4002.007"/>
    <s v="Acompte impôt sur fortune"/>
    <n v="0"/>
    <n v="4749.8599999999997"/>
    <n v="4002"/>
  </r>
  <r>
    <x v="0"/>
    <x v="3"/>
    <x v="3"/>
    <x v="295"/>
    <x v="245"/>
    <x v="245"/>
    <s v="REVENUS"/>
    <x v="6"/>
    <s v="4211.001"/>
    <s v="Intérêts de retard sur factures"/>
    <n v="0"/>
    <n v="93.41"/>
    <n v="4211"/>
  </r>
  <r>
    <x v="0"/>
    <x v="3"/>
    <x v="3"/>
    <x v="295"/>
    <x v="245"/>
    <x v="245"/>
    <s v="REVENUS"/>
    <x v="6"/>
    <s v="4221.003"/>
    <s v="Intérêts compensat. / acomptes en faveur du fisc"/>
    <n v="0"/>
    <n v="1.24"/>
    <n v="4221"/>
  </r>
  <r>
    <x v="0"/>
    <x v="3"/>
    <x v="3"/>
    <x v="295"/>
    <x v="245"/>
    <x v="245"/>
    <s v="REVENUS"/>
    <x v="2"/>
    <s v="4001.002"/>
    <s v="Impôt complément s/revenu PP"/>
    <n v="0"/>
    <n v="12514.45"/>
    <n v="4001"/>
  </r>
  <r>
    <x v="0"/>
    <x v="3"/>
    <x v="3"/>
    <x v="295"/>
    <x v="245"/>
    <x v="245"/>
    <s v="REVENUS"/>
    <x v="3"/>
    <s v="4002.002"/>
    <s v="Impôt complémentaire s/fortune PP"/>
    <n v="0"/>
    <n v="2181.8000000000002"/>
    <n v="4002"/>
  </r>
  <r>
    <x v="0"/>
    <x v="3"/>
    <x v="3"/>
    <x v="295"/>
    <x v="245"/>
    <x v="245"/>
    <s v="REVENUS"/>
    <x v="8"/>
    <s v="4091.001"/>
    <s v="Impôt récupéré après défalcations"/>
    <n v="0"/>
    <n v="58467.12"/>
    <n v="4091"/>
  </r>
  <r>
    <x v="0"/>
    <x v="3"/>
    <x v="3"/>
    <x v="295"/>
    <x v="245"/>
    <x v="245"/>
    <s v="REVENUS"/>
    <x v="6"/>
    <s v="4211.002"/>
    <s v="Intérêts de retard sur acomptes"/>
    <n v="0"/>
    <n v="652.16"/>
    <n v="4211"/>
  </r>
  <r>
    <x v="0"/>
    <x v="3"/>
    <x v="3"/>
    <x v="295"/>
    <x v="245"/>
    <x v="245"/>
    <s v="REVENUS"/>
    <x v="3"/>
    <s v="4002.001"/>
    <s v="Impôt ordinaire s/fortune PP"/>
    <n v="0"/>
    <n v="6316.2"/>
    <n v="4002"/>
  </r>
  <r>
    <x v="0"/>
    <x v="3"/>
    <x v="3"/>
    <x v="295"/>
    <x v="245"/>
    <x v="245"/>
    <s v="REVENUS"/>
    <x v="3"/>
    <s v="4002.002"/>
    <s v="Impôt complémentaire s/fortune PP"/>
    <n v="0"/>
    <n v="230.75"/>
    <n v="4002"/>
  </r>
  <r>
    <x v="0"/>
    <x v="3"/>
    <x v="3"/>
    <x v="295"/>
    <x v="245"/>
    <x v="245"/>
    <s v="REVENUS"/>
    <x v="6"/>
    <s v="4211.002"/>
    <s v="Intérêts de retard sur acomptes"/>
    <n v="0"/>
    <n v="27.13"/>
    <n v="4211"/>
  </r>
  <r>
    <x v="0"/>
    <x v="3"/>
    <x v="3"/>
    <x v="295"/>
    <x v="245"/>
    <x v="245"/>
    <s v="REVENUS"/>
    <x v="2"/>
    <s v="4001.001"/>
    <s v="Impôt revenu"/>
    <n v="0"/>
    <n v="16541.849999999999"/>
    <n v="4001"/>
  </r>
  <r>
    <x v="0"/>
    <x v="3"/>
    <x v="3"/>
    <x v="295"/>
    <x v="245"/>
    <x v="245"/>
    <s v="REVENUS"/>
    <x v="3"/>
    <s v="4002.001"/>
    <s v="Impôt ordinaire s/fortune PP"/>
    <n v="0"/>
    <n v="9034.25"/>
    <n v="4002"/>
  </r>
  <r>
    <x v="0"/>
    <x v="3"/>
    <x v="3"/>
    <x v="295"/>
    <x v="245"/>
    <x v="245"/>
    <s v="REVENUS"/>
    <x v="6"/>
    <s v="4211.001"/>
    <s v="Intérêts de retard sur factures"/>
    <n v="0"/>
    <n v="1.64"/>
    <n v="4211"/>
  </r>
  <r>
    <x v="0"/>
    <x v="3"/>
    <x v="3"/>
    <x v="295"/>
    <x v="245"/>
    <x v="245"/>
    <s v="REVENUS"/>
    <x v="7"/>
    <s v="4184.000"/>
    <s v="Frais de poursuite"/>
    <n v="0"/>
    <n v="64.92"/>
    <n v="4184"/>
  </r>
  <r>
    <x v="0"/>
    <x v="3"/>
    <x v="3"/>
    <x v="295"/>
    <x v="245"/>
    <x v="245"/>
    <s v="REVENUS"/>
    <x v="2"/>
    <s v="4001.007"/>
    <s v="Acompte impôt sur revenu"/>
    <n v="0"/>
    <n v="-7303.3"/>
    <n v="4001"/>
  </r>
  <r>
    <x v="0"/>
    <x v="3"/>
    <x v="3"/>
    <x v="295"/>
    <x v="245"/>
    <x v="245"/>
    <s v="REVENUS"/>
    <x v="3"/>
    <s v="4002.007"/>
    <s v="Acompte impôt sur fortune"/>
    <n v="0"/>
    <n v="-2468"/>
    <n v="4002"/>
  </r>
  <r>
    <x v="0"/>
    <x v="3"/>
    <x v="3"/>
    <x v="295"/>
    <x v="245"/>
    <x v="245"/>
    <s v="REVENUS"/>
    <x v="6"/>
    <s v="4211.001"/>
    <s v="Intérêts de retard sur factures"/>
    <n v="0"/>
    <n v="136.38999999999999"/>
    <n v="4211"/>
  </r>
  <r>
    <x v="0"/>
    <x v="3"/>
    <x v="3"/>
    <x v="295"/>
    <x v="245"/>
    <x v="245"/>
    <s v="REVENUS"/>
    <x v="2"/>
    <s v="4001.003"/>
    <s v="Impôt s/prest. cap. PP"/>
    <n v="0"/>
    <n v="-31113.4"/>
    <n v="4001"/>
  </r>
  <r>
    <x v="0"/>
    <x v="3"/>
    <x v="3"/>
    <x v="295"/>
    <x v="245"/>
    <x v="245"/>
    <s v="REVENUS"/>
    <x v="6"/>
    <s v="4211.001"/>
    <s v="Intérêts de retard sur factures"/>
    <n v="0"/>
    <n v="-44.14"/>
    <n v="4211"/>
  </r>
  <r>
    <x v="0"/>
    <x v="3"/>
    <x v="3"/>
    <x v="295"/>
    <x v="245"/>
    <x v="245"/>
    <s v="REVENUS"/>
    <x v="6"/>
    <s v="4221.003"/>
    <s v="Intérêts compensat. / acomptes en faveur du fisc"/>
    <n v="0"/>
    <n v="6.4"/>
    <n v="4221"/>
  </r>
  <r>
    <x v="0"/>
    <x v="3"/>
    <x v="3"/>
    <x v="295"/>
    <x v="245"/>
    <x v="245"/>
    <s v="REVENUS"/>
    <x v="6"/>
    <s v="4221.003"/>
    <s v="Intérêts compensat. / acomptes en faveur du fisc"/>
    <n v="0"/>
    <n v="-0.96"/>
    <n v="4221"/>
  </r>
  <r>
    <x v="0"/>
    <x v="3"/>
    <x v="3"/>
    <x v="295"/>
    <x v="245"/>
    <x v="245"/>
    <s v="REVENUS"/>
    <x v="6"/>
    <s v="4211.001"/>
    <s v="Intérêts de retard sur factures"/>
    <n v="0"/>
    <n v="106.62"/>
    <n v="4211"/>
  </r>
  <r>
    <x v="0"/>
    <x v="3"/>
    <x v="3"/>
    <x v="295"/>
    <x v="245"/>
    <x v="245"/>
    <s v="REVENUS"/>
    <x v="6"/>
    <s v="4211.002"/>
    <s v="Intérêts de retard sur acomptes"/>
    <n v="0"/>
    <n v="0.36"/>
    <n v="4211"/>
  </r>
  <r>
    <x v="0"/>
    <x v="3"/>
    <x v="3"/>
    <x v="295"/>
    <x v="245"/>
    <x v="245"/>
    <s v="REVENUS"/>
    <x v="3"/>
    <s v="4002.007"/>
    <s v="Acompte impôt sur fortune"/>
    <n v="0"/>
    <n v="1729.22"/>
    <n v="4002"/>
  </r>
  <r>
    <x v="0"/>
    <x v="3"/>
    <x v="3"/>
    <x v="295"/>
    <x v="245"/>
    <x v="245"/>
    <s v="REVENUS"/>
    <x v="2"/>
    <s v="4001.002"/>
    <s v="Impôt complément s/revenu PP"/>
    <n v="0"/>
    <n v="-35178.699999999997"/>
    <n v="4001"/>
  </r>
  <r>
    <x v="0"/>
    <x v="3"/>
    <x v="3"/>
    <x v="295"/>
    <x v="245"/>
    <x v="245"/>
    <s v="REVENUS"/>
    <x v="3"/>
    <s v="4002.001"/>
    <s v="Impôt ordinaire s/fortune PP"/>
    <n v="0"/>
    <n v="-34239.4"/>
    <n v="4002"/>
  </r>
  <r>
    <x v="0"/>
    <x v="3"/>
    <x v="3"/>
    <x v="295"/>
    <x v="245"/>
    <x v="245"/>
    <s v="REVENUS"/>
    <x v="3"/>
    <s v="4002.002"/>
    <s v="Impôt complémentaire s/fortune PP"/>
    <n v="0"/>
    <n v="-3771.8"/>
    <n v="4002"/>
  </r>
  <r>
    <x v="0"/>
    <x v="3"/>
    <x v="3"/>
    <x v="295"/>
    <x v="245"/>
    <x v="245"/>
    <s v="REVENUS"/>
    <x v="4"/>
    <s v="4051.001"/>
    <s v="Impôt sur les successions"/>
    <n v="0"/>
    <n v="220233.4"/>
    <n v="4051"/>
  </r>
  <r>
    <x v="0"/>
    <x v="3"/>
    <x v="3"/>
    <x v="295"/>
    <x v="245"/>
    <x v="245"/>
    <s v="REVENUS"/>
    <x v="2"/>
    <s v="4001.001"/>
    <s v="Impôt revenu"/>
    <n v="0"/>
    <n v="84615.4"/>
    <n v="4001"/>
  </r>
  <r>
    <x v="0"/>
    <x v="3"/>
    <x v="3"/>
    <x v="295"/>
    <x v="245"/>
    <x v="245"/>
    <s v="REVENUS"/>
    <x v="6"/>
    <s v="4211.002"/>
    <s v="Intérêts de retard sur acomptes"/>
    <n v="0"/>
    <n v="550.16999999999996"/>
    <n v="4211"/>
  </r>
  <r>
    <x v="0"/>
    <x v="3"/>
    <x v="3"/>
    <x v="295"/>
    <x v="245"/>
    <x v="245"/>
    <s v="REVENUS"/>
    <x v="2"/>
    <s v="4001.005"/>
    <s v="Amende de soustract. Impôt"/>
    <n v="0"/>
    <n v="3950"/>
    <n v="4001"/>
  </r>
  <r>
    <x v="0"/>
    <x v="3"/>
    <x v="3"/>
    <x v="295"/>
    <x v="245"/>
    <x v="245"/>
    <s v="REVENUS"/>
    <x v="8"/>
    <s v="4091.001"/>
    <s v="Impôt récupéré après défalcations"/>
    <n v="0"/>
    <n v="2066.5"/>
    <n v="4091"/>
  </r>
  <r>
    <x v="0"/>
    <x v="3"/>
    <x v="3"/>
    <x v="295"/>
    <x v="245"/>
    <x v="245"/>
    <s v="REVENUS"/>
    <x v="9"/>
    <s v="4031.002"/>
    <s v="Complément impôt sur les gains immobiliers"/>
    <n v="0"/>
    <n v="22014.35"/>
    <n v="4031"/>
  </r>
  <r>
    <x v="0"/>
    <x v="3"/>
    <x v="3"/>
    <x v="295"/>
    <x v="245"/>
    <x v="245"/>
    <s v="REVENUS"/>
    <x v="6"/>
    <s v="4211.001"/>
    <s v="Intérêts de retard sur factures"/>
    <n v="0"/>
    <n v="844.86"/>
    <n v="4211"/>
  </r>
  <r>
    <x v="0"/>
    <x v="3"/>
    <x v="3"/>
    <x v="295"/>
    <x v="245"/>
    <x v="245"/>
    <s v="REVENUS"/>
    <x v="5"/>
    <s v="4061.000"/>
    <s v="Impôt sur les chiens"/>
    <n v="0"/>
    <n v="-25"/>
    <n v="4061"/>
  </r>
  <r>
    <x v="0"/>
    <x v="3"/>
    <x v="3"/>
    <x v="295"/>
    <x v="245"/>
    <x v="245"/>
    <s v="REVENUS"/>
    <x v="3"/>
    <s v="4002.001"/>
    <s v="Impôt ordinaire s/fortune PP"/>
    <n v="0"/>
    <n v="464.9"/>
    <n v="4002"/>
  </r>
  <r>
    <x v="0"/>
    <x v="3"/>
    <x v="3"/>
    <x v="295"/>
    <x v="245"/>
    <x v="245"/>
    <s v="REVENUS"/>
    <x v="6"/>
    <s v="4211.002"/>
    <s v="Intérêts de retard sur acomptes"/>
    <n v="0"/>
    <n v="7.63"/>
    <n v="4211"/>
  </r>
  <r>
    <x v="0"/>
    <x v="3"/>
    <x v="3"/>
    <x v="295"/>
    <x v="245"/>
    <x v="245"/>
    <s v="REVENUS"/>
    <x v="6"/>
    <s v="4221.002"/>
    <s v="Intérêts compensat. sur impôts distincts"/>
    <n v="0"/>
    <n v="-9.51"/>
    <n v="4221"/>
  </r>
  <r>
    <x v="0"/>
    <x v="3"/>
    <x v="3"/>
    <x v="295"/>
    <x v="245"/>
    <x v="245"/>
    <s v="REVENUS"/>
    <x v="9"/>
    <s v="4031.001"/>
    <s v="Impôt sur les gains immobiliers"/>
    <n v="0"/>
    <n v="-2273.4"/>
    <n v="4031"/>
  </r>
  <r>
    <x v="0"/>
    <x v="3"/>
    <x v="3"/>
    <x v="295"/>
    <x v="245"/>
    <x v="245"/>
    <s v="REVENUS"/>
    <x v="7"/>
    <s v="4184.000"/>
    <s v="Frais de poursuite"/>
    <n v="0"/>
    <n v="-9.0399999999999991"/>
    <n v="4184"/>
  </r>
  <r>
    <x v="0"/>
    <x v="3"/>
    <x v="3"/>
    <x v="295"/>
    <x v="245"/>
    <x v="245"/>
    <s v="REVENUS"/>
    <x v="10"/>
    <s v="4041.002"/>
    <s v="Complément droit de mutation"/>
    <n v="0"/>
    <n v="1221"/>
    <n v="4041"/>
  </r>
  <r>
    <x v="0"/>
    <x v="3"/>
    <x v="3"/>
    <x v="295"/>
    <x v="245"/>
    <x v="245"/>
    <s v="REVENUS"/>
    <x v="2"/>
    <s v="4001.001"/>
    <s v="Impôt revenu"/>
    <n v="0"/>
    <n v="-2781.75"/>
    <n v="4001"/>
  </r>
  <r>
    <x v="0"/>
    <x v="3"/>
    <x v="3"/>
    <x v="295"/>
    <x v="245"/>
    <x v="245"/>
    <s v="REVENUS"/>
    <x v="2"/>
    <s v="4001.002"/>
    <s v="Impôt complément s/revenu PP"/>
    <n v="0"/>
    <n v="-564.6"/>
    <n v="4001"/>
  </r>
  <r>
    <x v="0"/>
    <x v="3"/>
    <x v="3"/>
    <x v="295"/>
    <x v="245"/>
    <x v="245"/>
    <s v="REVENUS"/>
    <x v="2"/>
    <s v="4001.007"/>
    <s v="Acompte impôt sur revenu"/>
    <n v="0"/>
    <n v="-1.1499999999999999"/>
    <n v="4001"/>
  </r>
  <r>
    <x v="0"/>
    <x v="3"/>
    <x v="3"/>
    <x v="295"/>
    <x v="245"/>
    <x v="245"/>
    <s v="REVENUS"/>
    <x v="3"/>
    <s v="4002.001"/>
    <s v="Impôt ordinaire s/fortune PP"/>
    <n v="0"/>
    <n v="-743.95"/>
    <n v="4002"/>
  </r>
  <r>
    <x v="0"/>
    <x v="3"/>
    <x v="3"/>
    <x v="295"/>
    <x v="245"/>
    <x v="245"/>
    <s v="REVENUS"/>
    <x v="3"/>
    <s v="4002.002"/>
    <s v="Impôt complémentaire s/fortune PP"/>
    <n v="0"/>
    <n v="-248.05"/>
    <n v="4002"/>
  </r>
  <r>
    <x v="0"/>
    <x v="3"/>
    <x v="3"/>
    <x v="295"/>
    <x v="245"/>
    <x v="245"/>
    <s v="REVENUS"/>
    <x v="3"/>
    <s v="4002.007"/>
    <s v="Acompte impôt sur fortune"/>
    <n v="0"/>
    <n v="3.1"/>
    <n v="4002"/>
  </r>
  <r>
    <x v="0"/>
    <x v="3"/>
    <x v="3"/>
    <x v="295"/>
    <x v="245"/>
    <x v="245"/>
    <s v="REVENUS"/>
    <x v="6"/>
    <s v="4221.003"/>
    <s v="Intérêts compensat. / acomptes en faveur du fisc"/>
    <n v="0"/>
    <n v="-0.01"/>
    <n v="4221"/>
  </r>
  <r>
    <x v="0"/>
    <x v="3"/>
    <x v="3"/>
    <x v="295"/>
    <x v="245"/>
    <x v="245"/>
    <s v="REVENUS"/>
    <x v="2"/>
    <s v="4001.002"/>
    <s v="Impôt complément s/revenu PP"/>
    <n v="0"/>
    <n v="2595.8000000000002"/>
    <n v="4001"/>
  </r>
  <r>
    <x v="0"/>
    <x v="3"/>
    <x v="3"/>
    <x v="295"/>
    <x v="245"/>
    <x v="245"/>
    <s v="REVENUS"/>
    <x v="8"/>
    <s v="4091.001"/>
    <s v="Impôt récupéré après défalcations"/>
    <n v="0"/>
    <n v="401.85"/>
    <n v="4091"/>
  </r>
  <r>
    <x v="0"/>
    <x v="3"/>
    <x v="3"/>
    <x v="295"/>
    <x v="245"/>
    <x v="245"/>
    <s v="REVENUS"/>
    <x v="7"/>
    <s v="4184.000"/>
    <s v="Frais de poursuite"/>
    <n v="0"/>
    <n v="60.37"/>
    <n v="4184"/>
  </r>
  <r>
    <x v="0"/>
    <x v="3"/>
    <x v="3"/>
    <x v="295"/>
    <x v="245"/>
    <x v="245"/>
    <s v="REVENUS"/>
    <x v="7"/>
    <s v="4184.000"/>
    <s v="Frais de poursuite"/>
    <n v="0"/>
    <n v="12.54"/>
    <n v="4184"/>
  </r>
  <r>
    <x v="0"/>
    <x v="3"/>
    <x v="3"/>
    <x v="295"/>
    <x v="245"/>
    <x v="245"/>
    <s v="REVENUS"/>
    <x v="7"/>
    <s v="4184.000"/>
    <s v="Frais de poursuite"/>
    <n v="0"/>
    <n v="2.83"/>
    <n v="4184"/>
  </r>
  <r>
    <x v="0"/>
    <x v="3"/>
    <x v="3"/>
    <x v="295"/>
    <x v="245"/>
    <x v="245"/>
    <s v="REVENUS"/>
    <x v="6"/>
    <s v="4211.002"/>
    <s v="Intérêts de retard sur acomptes"/>
    <n v="0"/>
    <n v="499.82"/>
    <n v="4211"/>
  </r>
  <r>
    <x v="0"/>
    <x v="3"/>
    <x v="3"/>
    <x v="295"/>
    <x v="245"/>
    <x v="245"/>
    <s v="REVENUS"/>
    <x v="4"/>
    <s v="4051.002"/>
    <s v="Impôt sur les donations"/>
    <n v="0"/>
    <n v="4883.5"/>
    <n v="4051"/>
  </r>
  <r>
    <x v="0"/>
    <x v="3"/>
    <x v="3"/>
    <x v="295"/>
    <x v="245"/>
    <x v="245"/>
    <s v="REVENUS"/>
    <x v="3"/>
    <s v="4002.002"/>
    <s v="Impôt complémentaire s/fortune PP"/>
    <n v="0"/>
    <n v="35.9"/>
    <n v="4002"/>
  </r>
  <r>
    <x v="0"/>
    <x v="3"/>
    <x v="3"/>
    <x v="295"/>
    <x v="245"/>
    <x v="245"/>
    <s v="REVENUS"/>
    <x v="2"/>
    <s v="4001.002"/>
    <s v="Impôt complément s/revenu PP"/>
    <n v="0"/>
    <n v="830"/>
    <n v="4001"/>
  </r>
  <r>
    <x v="0"/>
    <x v="3"/>
    <x v="3"/>
    <x v="295"/>
    <x v="245"/>
    <x v="245"/>
    <s v="REVENUS"/>
    <x v="3"/>
    <s v="4002.002"/>
    <s v="Impôt complémentaire s/fortune PP"/>
    <n v="0"/>
    <n v="510.35"/>
    <n v="4002"/>
  </r>
  <r>
    <x v="0"/>
    <x v="3"/>
    <x v="3"/>
    <x v="295"/>
    <x v="245"/>
    <x v="245"/>
    <s v="REVENUS"/>
    <x v="2"/>
    <s v="4001.001"/>
    <s v="Impôt revenu"/>
    <n v="0"/>
    <n v="30.95"/>
    <n v="4001"/>
  </r>
  <r>
    <x v="0"/>
    <x v="3"/>
    <x v="3"/>
    <x v="296"/>
    <x v="240"/>
    <x v="240"/>
    <s v="CHARGES"/>
    <x v="1"/>
    <s v="3301.001"/>
    <s v="Défalcations, abandons de solde PP et IS"/>
    <n v="-3.76"/>
    <n v="0"/>
    <n v="3301"/>
  </r>
  <r>
    <x v="0"/>
    <x v="3"/>
    <x v="3"/>
    <x v="296"/>
    <x v="240"/>
    <x v="240"/>
    <s v="REVENUS"/>
    <x v="2"/>
    <s v="4001.003"/>
    <s v="Impôt s/prest. cap. PP"/>
    <n v="0"/>
    <n v="-443.7"/>
    <n v="4001"/>
  </r>
  <r>
    <x v="0"/>
    <x v="3"/>
    <x v="3"/>
    <x v="297"/>
    <x v="240"/>
    <x v="240"/>
    <s v="CHARGES"/>
    <x v="0"/>
    <s v="3221.002"/>
    <s v="Intérêts compensatoires / créances en faveur ctb."/>
    <n v="-0.02"/>
    <n v="0"/>
    <n v="3221"/>
  </r>
  <r>
    <x v="0"/>
    <x v="3"/>
    <x v="3"/>
    <x v="297"/>
    <x v="240"/>
    <x v="240"/>
    <s v="REVENUS"/>
    <x v="6"/>
    <s v="4211.001"/>
    <s v="Intérêts de retard sur factures"/>
    <n v="0"/>
    <n v="2.5"/>
    <n v="4211"/>
  </r>
  <r>
    <x v="0"/>
    <x v="3"/>
    <x v="3"/>
    <x v="298"/>
    <x v="246"/>
    <x v="246"/>
    <s v="CHARGES"/>
    <x v="0"/>
    <s v="3212.004"/>
    <s v="Intérêts rémun./perçu trop tôt sur acomptes C/C"/>
    <n v="120.14"/>
    <n v="0"/>
    <n v="3212"/>
  </r>
  <r>
    <x v="0"/>
    <x v="3"/>
    <x v="3"/>
    <x v="298"/>
    <x v="246"/>
    <x v="246"/>
    <s v="CHARGES"/>
    <x v="0"/>
    <s v="3221.002"/>
    <s v="Intérêts compensatoires / créances en faveur ctb."/>
    <n v="101.25"/>
    <n v="0"/>
    <n v="3221"/>
  </r>
  <r>
    <x v="0"/>
    <x v="3"/>
    <x v="3"/>
    <x v="298"/>
    <x v="246"/>
    <x v="246"/>
    <s v="CHARGES"/>
    <x v="1"/>
    <s v="3301.001"/>
    <s v="Défalcations, abandons de solde PP et IS"/>
    <n v="3564.54"/>
    <n v="0"/>
    <n v="3301"/>
  </r>
  <r>
    <x v="0"/>
    <x v="3"/>
    <x v="3"/>
    <x v="298"/>
    <x v="246"/>
    <x v="246"/>
    <s v="CHARGES"/>
    <x v="0"/>
    <s v="3212.002"/>
    <s v="Intérêts bonifiés/trop perçu acompte C/C"/>
    <n v="8.6"/>
    <n v="0"/>
    <n v="3212"/>
  </r>
  <r>
    <x v="0"/>
    <x v="3"/>
    <x v="3"/>
    <x v="298"/>
    <x v="246"/>
    <x v="246"/>
    <s v="CHARGES"/>
    <x v="0"/>
    <s v="3212.004"/>
    <s v="Intérêts rémun./perçu trop tôt sur acomptes C/C"/>
    <n v="0.5"/>
    <n v="0"/>
    <n v="3212"/>
  </r>
  <r>
    <x v="0"/>
    <x v="3"/>
    <x v="3"/>
    <x v="298"/>
    <x v="246"/>
    <x v="246"/>
    <s v="CHARGES"/>
    <x v="0"/>
    <s v="3221.002"/>
    <s v="Intérêts compensatoires / créances en faveur ctb."/>
    <n v="0.04"/>
    <n v="0"/>
    <n v="3221"/>
  </r>
  <r>
    <x v="0"/>
    <x v="3"/>
    <x v="3"/>
    <x v="298"/>
    <x v="246"/>
    <x v="246"/>
    <s v="CHARGES"/>
    <x v="0"/>
    <s v="3221.002"/>
    <s v="Intérêts compensatoires / créances en faveur ctb."/>
    <n v="7.0000000000000007E-2"/>
    <n v="0"/>
    <n v="3221"/>
  </r>
  <r>
    <x v="0"/>
    <x v="3"/>
    <x v="3"/>
    <x v="298"/>
    <x v="246"/>
    <x v="246"/>
    <s v="CHARGES"/>
    <x v="1"/>
    <s v="3301.001"/>
    <s v="Défalcations, abandons de solde PP et IS"/>
    <n v="0.03"/>
    <n v="0"/>
    <n v="3301"/>
  </r>
  <r>
    <x v="0"/>
    <x v="3"/>
    <x v="3"/>
    <x v="298"/>
    <x v="246"/>
    <x v="246"/>
    <s v="REVENUS"/>
    <x v="2"/>
    <s v="4001.007"/>
    <s v="Acompte impôt sur revenu"/>
    <n v="0"/>
    <n v="-190095.75"/>
    <n v="4001"/>
  </r>
  <r>
    <x v="0"/>
    <x v="3"/>
    <x v="3"/>
    <x v="298"/>
    <x v="246"/>
    <x v="246"/>
    <s v="REVENUS"/>
    <x v="3"/>
    <s v="4002.007"/>
    <s v="Acompte impôt sur fortune"/>
    <n v="0"/>
    <n v="-30503.74"/>
    <n v="4002"/>
  </r>
  <r>
    <x v="0"/>
    <x v="3"/>
    <x v="3"/>
    <x v="298"/>
    <x v="246"/>
    <x v="246"/>
    <s v="REVENUS"/>
    <x v="2"/>
    <s v="4001.001"/>
    <s v="Impôt revenu"/>
    <n v="0"/>
    <n v="502045.85"/>
    <n v="4001"/>
  </r>
  <r>
    <x v="0"/>
    <x v="3"/>
    <x v="3"/>
    <x v="298"/>
    <x v="246"/>
    <x v="246"/>
    <s v="REVENUS"/>
    <x v="3"/>
    <s v="4002.001"/>
    <s v="Impôt ordinaire s/fortune PP"/>
    <n v="0"/>
    <n v="64787.4"/>
    <n v="4002"/>
  </r>
  <r>
    <x v="0"/>
    <x v="3"/>
    <x v="3"/>
    <x v="298"/>
    <x v="246"/>
    <x v="246"/>
    <s v="REVENUS"/>
    <x v="6"/>
    <s v="4221.003"/>
    <s v="Intérêts compensat. / acomptes en faveur du fisc"/>
    <n v="0"/>
    <n v="60.1"/>
    <n v="4221"/>
  </r>
  <r>
    <x v="0"/>
    <x v="3"/>
    <x v="3"/>
    <x v="298"/>
    <x v="246"/>
    <x v="246"/>
    <s v="REVENUS"/>
    <x v="2"/>
    <s v="4001.003"/>
    <s v="Impôt s/prest. cap. PP"/>
    <n v="0"/>
    <n v="6979.05"/>
    <n v="4001"/>
  </r>
  <r>
    <x v="0"/>
    <x v="3"/>
    <x v="3"/>
    <x v="298"/>
    <x v="246"/>
    <x v="246"/>
    <s v="REVENUS"/>
    <x v="2"/>
    <s v="4001.007"/>
    <s v="Acompte impôt sur revenu"/>
    <n v="0"/>
    <n v="24535.74"/>
    <n v="4001"/>
  </r>
  <r>
    <x v="0"/>
    <x v="3"/>
    <x v="3"/>
    <x v="298"/>
    <x v="246"/>
    <x v="246"/>
    <s v="REVENUS"/>
    <x v="3"/>
    <s v="4002.007"/>
    <s v="Acompte impôt sur fortune"/>
    <n v="0"/>
    <n v="1897.91"/>
    <n v="4002"/>
  </r>
  <r>
    <x v="0"/>
    <x v="3"/>
    <x v="3"/>
    <x v="298"/>
    <x v="246"/>
    <x v="246"/>
    <s v="REVENUS"/>
    <x v="6"/>
    <s v="4211.001"/>
    <s v="Intérêts de retard sur factures"/>
    <n v="0"/>
    <n v="2245.79"/>
    <n v="4211"/>
  </r>
  <r>
    <x v="0"/>
    <x v="3"/>
    <x v="3"/>
    <x v="298"/>
    <x v="246"/>
    <x v="246"/>
    <s v="REVENUS"/>
    <x v="6"/>
    <s v="4211.002"/>
    <s v="Intérêts de retard sur acomptes"/>
    <n v="0"/>
    <n v="4036.78"/>
    <n v="4211"/>
  </r>
  <r>
    <x v="0"/>
    <x v="3"/>
    <x v="3"/>
    <x v="298"/>
    <x v="246"/>
    <x v="246"/>
    <s v="REVENUS"/>
    <x v="10"/>
    <s v="4041.001"/>
    <s v="Droits de mutation"/>
    <n v="0"/>
    <n v="6071.45"/>
    <n v="4041"/>
  </r>
  <r>
    <x v="0"/>
    <x v="3"/>
    <x v="3"/>
    <x v="298"/>
    <x v="246"/>
    <x v="246"/>
    <s v="REVENUS"/>
    <x v="2"/>
    <s v="4001.001"/>
    <s v="Impôt revenu"/>
    <n v="0"/>
    <n v="-21721.55"/>
    <n v="4001"/>
  </r>
  <r>
    <x v="0"/>
    <x v="3"/>
    <x v="3"/>
    <x v="298"/>
    <x v="246"/>
    <x v="246"/>
    <s v="REVENUS"/>
    <x v="2"/>
    <s v="4001.002"/>
    <s v="Impôt complément s/revenu PP"/>
    <n v="0"/>
    <n v="55681.85"/>
    <n v="4001"/>
  </r>
  <r>
    <x v="0"/>
    <x v="3"/>
    <x v="3"/>
    <x v="298"/>
    <x v="246"/>
    <x v="246"/>
    <s v="REVENUS"/>
    <x v="7"/>
    <s v="4184.000"/>
    <s v="Frais de poursuite"/>
    <n v="0"/>
    <n v="900.25"/>
    <n v="4184"/>
  </r>
  <r>
    <x v="0"/>
    <x v="3"/>
    <x v="3"/>
    <x v="298"/>
    <x v="246"/>
    <x v="246"/>
    <s v="REVENUS"/>
    <x v="9"/>
    <s v="4031.001"/>
    <s v="Impôt sur les gains immobiliers"/>
    <n v="0"/>
    <n v="13692.55"/>
    <n v="4031"/>
  </r>
  <r>
    <x v="0"/>
    <x v="3"/>
    <x v="3"/>
    <x v="298"/>
    <x v="246"/>
    <x v="246"/>
    <s v="REVENUS"/>
    <x v="6"/>
    <s v="4221.002"/>
    <s v="Intérêts compensat. sur impôts distincts"/>
    <n v="0"/>
    <n v="3.04"/>
    <n v="4221"/>
  </r>
  <r>
    <x v="0"/>
    <x v="3"/>
    <x v="3"/>
    <x v="298"/>
    <x v="246"/>
    <x v="246"/>
    <s v="REVENUS"/>
    <x v="3"/>
    <s v="4002.007"/>
    <s v="Acompte impôt sur fortune"/>
    <n v="0"/>
    <n v="5.0999999999999996"/>
    <n v="4002"/>
  </r>
  <r>
    <x v="0"/>
    <x v="3"/>
    <x v="3"/>
    <x v="298"/>
    <x v="246"/>
    <x v="246"/>
    <s v="REVENUS"/>
    <x v="2"/>
    <s v="4001.007"/>
    <s v="Acompte impôt sur revenu"/>
    <n v="0"/>
    <n v="-34.65"/>
    <n v="4001"/>
  </r>
  <r>
    <x v="0"/>
    <x v="3"/>
    <x v="3"/>
    <x v="298"/>
    <x v="246"/>
    <x v="246"/>
    <s v="REVENUS"/>
    <x v="3"/>
    <s v="4002.007"/>
    <s v="Acompte impôt sur fortune"/>
    <n v="0"/>
    <n v="-22.3"/>
    <n v="4002"/>
  </r>
  <r>
    <x v="0"/>
    <x v="3"/>
    <x v="3"/>
    <x v="298"/>
    <x v="246"/>
    <x v="246"/>
    <s v="REVENUS"/>
    <x v="3"/>
    <s v="4002.007"/>
    <s v="Acompte impôt sur fortune"/>
    <n v="0"/>
    <n v="-759.46"/>
    <n v="4002"/>
  </r>
  <r>
    <x v="0"/>
    <x v="3"/>
    <x v="3"/>
    <x v="298"/>
    <x v="246"/>
    <x v="246"/>
    <s v="REVENUS"/>
    <x v="2"/>
    <s v="4001.007"/>
    <s v="Acompte impôt sur revenu"/>
    <n v="0"/>
    <n v="42.25"/>
    <n v="4001"/>
  </r>
  <r>
    <x v="0"/>
    <x v="3"/>
    <x v="3"/>
    <x v="298"/>
    <x v="246"/>
    <x v="246"/>
    <s v="REVENUS"/>
    <x v="3"/>
    <s v="4002.007"/>
    <s v="Acompte impôt sur fortune"/>
    <n v="0"/>
    <n v="-1.9"/>
    <n v="4002"/>
  </r>
  <r>
    <x v="0"/>
    <x v="3"/>
    <x v="3"/>
    <x v="298"/>
    <x v="246"/>
    <x v="246"/>
    <s v="REVENUS"/>
    <x v="2"/>
    <s v="4001.007"/>
    <s v="Acompte impôt sur revenu"/>
    <n v="0"/>
    <n v="-448.81"/>
    <n v="4001"/>
  </r>
  <r>
    <x v="0"/>
    <x v="3"/>
    <x v="3"/>
    <x v="298"/>
    <x v="246"/>
    <x v="246"/>
    <s v="REVENUS"/>
    <x v="3"/>
    <s v="4002.001"/>
    <s v="Impôt ordinaire s/fortune PP"/>
    <n v="0"/>
    <n v="29.95"/>
    <n v="4002"/>
  </r>
  <r>
    <x v="0"/>
    <x v="3"/>
    <x v="3"/>
    <x v="298"/>
    <x v="246"/>
    <x v="246"/>
    <s v="REVENUS"/>
    <x v="7"/>
    <s v="4184.000"/>
    <s v="Frais de poursuite"/>
    <n v="0"/>
    <n v="51.8"/>
    <n v="4184"/>
  </r>
  <r>
    <x v="0"/>
    <x v="3"/>
    <x v="3"/>
    <x v="298"/>
    <x v="246"/>
    <x v="246"/>
    <s v="REVENUS"/>
    <x v="2"/>
    <s v="4001.001"/>
    <s v="Impôt revenu"/>
    <n v="0"/>
    <n v="313"/>
    <n v="4001"/>
  </r>
  <r>
    <x v="0"/>
    <x v="3"/>
    <x v="3"/>
    <x v="298"/>
    <x v="246"/>
    <x v="246"/>
    <s v="REVENUS"/>
    <x v="3"/>
    <s v="4002.001"/>
    <s v="Impôt ordinaire s/fortune PP"/>
    <n v="0"/>
    <n v="222.3"/>
    <n v="4002"/>
  </r>
  <r>
    <x v="0"/>
    <x v="3"/>
    <x v="3"/>
    <x v="298"/>
    <x v="246"/>
    <x v="246"/>
    <s v="REVENUS"/>
    <x v="2"/>
    <s v="4001.001"/>
    <s v="Impôt revenu"/>
    <n v="0"/>
    <n v="507.55"/>
    <n v="4001"/>
  </r>
  <r>
    <x v="0"/>
    <x v="3"/>
    <x v="3"/>
    <x v="298"/>
    <x v="246"/>
    <x v="246"/>
    <s v="REVENUS"/>
    <x v="3"/>
    <s v="4002.001"/>
    <s v="Impôt ordinaire s/fortune PP"/>
    <n v="0"/>
    <n v="31.5"/>
    <n v="4002"/>
  </r>
  <r>
    <x v="0"/>
    <x v="3"/>
    <x v="3"/>
    <x v="298"/>
    <x v="246"/>
    <x v="246"/>
    <s v="REVENUS"/>
    <x v="5"/>
    <s v="4061.000"/>
    <s v="Impôt sur les chiens"/>
    <n v="0"/>
    <n v="1900"/>
    <n v="4061"/>
  </r>
  <r>
    <x v="0"/>
    <x v="3"/>
    <x v="3"/>
    <x v="298"/>
    <x v="246"/>
    <x v="246"/>
    <s v="REVENUS"/>
    <x v="3"/>
    <s v="4002.002"/>
    <s v="Impôt complémentaire s/fortune PP"/>
    <n v="0"/>
    <n v="4157"/>
    <n v="4002"/>
  </r>
  <r>
    <x v="0"/>
    <x v="3"/>
    <x v="3"/>
    <x v="298"/>
    <x v="246"/>
    <x v="246"/>
    <s v="REVENUS"/>
    <x v="3"/>
    <s v="4002.001"/>
    <s v="Impôt ordinaire s/fortune PP"/>
    <n v="0"/>
    <n v="-503.15"/>
    <n v="4002"/>
  </r>
  <r>
    <x v="0"/>
    <x v="3"/>
    <x v="3"/>
    <x v="298"/>
    <x v="246"/>
    <x v="246"/>
    <s v="REVENUS"/>
    <x v="6"/>
    <s v="4211.002"/>
    <s v="Intérêts de retard sur acomptes"/>
    <n v="0"/>
    <n v="-0.24"/>
    <n v="4211"/>
  </r>
  <r>
    <x v="0"/>
    <x v="3"/>
    <x v="3"/>
    <x v="298"/>
    <x v="246"/>
    <x v="246"/>
    <s v="REVENUS"/>
    <x v="2"/>
    <s v="4001.001"/>
    <s v="Impôt revenu"/>
    <n v="0"/>
    <n v="172.9"/>
    <n v="4001"/>
  </r>
  <r>
    <x v="0"/>
    <x v="3"/>
    <x v="3"/>
    <x v="298"/>
    <x v="246"/>
    <x v="246"/>
    <s v="REVENUS"/>
    <x v="3"/>
    <s v="4002.001"/>
    <s v="Impôt ordinaire s/fortune PP"/>
    <n v="0"/>
    <n v="36.75"/>
    <n v="4002"/>
  </r>
  <r>
    <x v="0"/>
    <x v="3"/>
    <x v="3"/>
    <x v="298"/>
    <x v="246"/>
    <x v="246"/>
    <s v="REVENUS"/>
    <x v="6"/>
    <s v="4221.003"/>
    <s v="Intérêts compensat. / acomptes en faveur du fisc"/>
    <n v="0"/>
    <n v="0.03"/>
    <n v="4221"/>
  </r>
  <r>
    <x v="0"/>
    <x v="3"/>
    <x v="3"/>
    <x v="299"/>
    <x v="247"/>
    <x v="247"/>
    <s v="CHARGES"/>
    <x v="0"/>
    <s v="3212.004"/>
    <s v="Intérêts rémun./perçu trop tôt sur acomptes C/C"/>
    <n v="0.22"/>
    <n v="0"/>
    <n v="3212"/>
  </r>
  <r>
    <x v="0"/>
    <x v="3"/>
    <x v="3"/>
    <x v="299"/>
    <x v="247"/>
    <x v="247"/>
    <s v="CHARGES"/>
    <x v="1"/>
    <s v="3301.001"/>
    <s v="Défalcations, abandons de solde PP et IS"/>
    <n v="1722.64"/>
    <n v="0"/>
    <n v="3301"/>
  </r>
  <r>
    <x v="0"/>
    <x v="3"/>
    <x v="3"/>
    <x v="299"/>
    <x v="247"/>
    <x v="247"/>
    <s v="CHARGES"/>
    <x v="1"/>
    <s v="3301.001"/>
    <s v="Défalcations, abandons de solde PP et IS"/>
    <n v="8.2899999999999991"/>
    <n v="0"/>
    <n v="3301"/>
  </r>
  <r>
    <x v="0"/>
    <x v="3"/>
    <x v="3"/>
    <x v="299"/>
    <x v="247"/>
    <x v="247"/>
    <s v="CHARGES"/>
    <x v="0"/>
    <s v="3212.004"/>
    <s v="Intérêts rémun./perçu trop tôt sur acomptes C/C"/>
    <n v="16.55"/>
    <n v="0"/>
    <n v="3212"/>
  </r>
  <r>
    <x v="0"/>
    <x v="3"/>
    <x v="3"/>
    <x v="299"/>
    <x v="247"/>
    <x v="247"/>
    <s v="CHARGES"/>
    <x v="0"/>
    <s v="3221.002"/>
    <s v="Intérêts compensatoires / créances en faveur ctb."/>
    <n v="10.41"/>
    <n v="0"/>
    <n v="3221"/>
  </r>
  <r>
    <x v="0"/>
    <x v="3"/>
    <x v="3"/>
    <x v="299"/>
    <x v="247"/>
    <x v="247"/>
    <s v="CHARGES"/>
    <x v="0"/>
    <s v="3212.002"/>
    <s v="Intérêts bonifiés/trop perçu acompte C/C"/>
    <n v="2.4300000000000002"/>
    <n v="0"/>
    <n v="3212"/>
  </r>
  <r>
    <x v="0"/>
    <x v="3"/>
    <x v="3"/>
    <x v="299"/>
    <x v="247"/>
    <x v="247"/>
    <s v="CHARGES"/>
    <x v="1"/>
    <s v="3301.001"/>
    <s v="Défalcations, abandons de solde PP et IS"/>
    <n v="0.02"/>
    <n v="0"/>
    <n v="3301"/>
  </r>
  <r>
    <x v="0"/>
    <x v="3"/>
    <x v="3"/>
    <x v="299"/>
    <x v="247"/>
    <x v="247"/>
    <s v="CHARGES"/>
    <x v="0"/>
    <s v="3212.004"/>
    <s v="Intérêts rémun./perçu trop tôt sur acomptes C/C"/>
    <n v="0.08"/>
    <n v="0"/>
    <n v="3212"/>
  </r>
  <r>
    <x v="0"/>
    <x v="3"/>
    <x v="3"/>
    <x v="299"/>
    <x v="247"/>
    <x v="247"/>
    <s v="CHARGES"/>
    <x v="0"/>
    <s v="3221.002"/>
    <s v="Intérêts compensatoires / créances en faveur ctb."/>
    <n v="0.15"/>
    <n v="0"/>
    <n v="3221"/>
  </r>
  <r>
    <x v="0"/>
    <x v="3"/>
    <x v="3"/>
    <x v="299"/>
    <x v="247"/>
    <x v="247"/>
    <s v="CHARGES"/>
    <x v="0"/>
    <s v="3212.004"/>
    <s v="Intérêts rémun./perçu trop tôt sur acomptes C/C"/>
    <n v="6.39"/>
    <n v="0"/>
    <n v="3212"/>
  </r>
  <r>
    <x v="0"/>
    <x v="3"/>
    <x v="3"/>
    <x v="299"/>
    <x v="247"/>
    <x v="247"/>
    <s v="REVENUS"/>
    <x v="2"/>
    <s v="4001.001"/>
    <s v="Impôt revenu"/>
    <n v="0"/>
    <n v="174.05"/>
    <n v="4001"/>
  </r>
  <r>
    <x v="0"/>
    <x v="3"/>
    <x v="3"/>
    <x v="299"/>
    <x v="247"/>
    <x v="247"/>
    <s v="REVENUS"/>
    <x v="6"/>
    <s v="4211.002"/>
    <s v="Intérêts de retard sur acomptes"/>
    <n v="0"/>
    <n v="12.13"/>
    <n v="4211"/>
  </r>
  <r>
    <x v="0"/>
    <x v="3"/>
    <x v="3"/>
    <x v="299"/>
    <x v="247"/>
    <x v="247"/>
    <s v="REVENUS"/>
    <x v="6"/>
    <s v="4221.003"/>
    <s v="Intérêts compensat. / acomptes en faveur du fisc"/>
    <n v="0"/>
    <n v="-0.03"/>
    <n v="4221"/>
  </r>
  <r>
    <x v="0"/>
    <x v="3"/>
    <x v="3"/>
    <x v="299"/>
    <x v="247"/>
    <x v="247"/>
    <s v="REVENUS"/>
    <x v="2"/>
    <s v="4001.003"/>
    <s v="Impôt s/prest. cap. PP"/>
    <n v="0"/>
    <n v="15355.7"/>
    <n v="4001"/>
  </r>
  <r>
    <x v="0"/>
    <x v="3"/>
    <x v="3"/>
    <x v="299"/>
    <x v="247"/>
    <x v="247"/>
    <s v="REVENUS"/>
    <x v="3"/>
    <s v="4002.001"/>
    <s v="Impôt ordinaire s/fortune PP"/>
    <n v="0"/>
    <n v="625.9"/>
    <n v="4002"/>
  </r>
  <r>
    <x v="0"/>
    <x v="3"/>
    <x v="3"/>
    <x v="299"/>
    <x v="247"/>
    <x v="247"/>
    <s v="REVENUS"/>
    <x v="2"/>
    <s v="4001.007"/>
    <s v="Acompte impôt sur revenu"/>
    <n v="0"/>
    <n v="29342.68"/>
    <n v="4001"/>
  </r>
  <r>
    <x v="0"/>
    <x v="3"/>
    <x v="3"/>
    <x v="299"/>
    <x v="247"/>
    <x v="247"/>
    <s v="REVENUS"/>
    <x v="3"/>
    <s v="4002.007"/>
    <s v="Acompte impôt sur fortune"/>
    <n v="0"/>
    <n v="-4076.16"/>
    <n v="4002"/>
  </r>
  <r>
    <x v="0"/>
    <x v="3"/>
    <x v="3"/>
    <x v="299"/>
    <x v="247"/>
    <x v="247"/>
    <s v="REVENUS"/>
    <x v="3"/>
    <s v="4002.001"/>
    <s v="Impôt ordinaire s/fortune PP"/>
    <n v="0"/>
    <n v="17401.400000000001"/>
    <n v="4002"/>
  </r>
  <r>
    <x v="0"/>
    <x v="3"/>
    <x v="3"/>
    <x v="299"/>
    <x v="247"/>
    <x v="247"/>
    <s v="REVENUS"/>
    <x v="6"/>
    <s v="4211.002"/>
    <s v="Intérêts de retard sur acomptes"/>
    <n v="0"/>
    <n v="886.77"/>
    <n v="4211"/>
  </r>
  <r>
    <x v="0"/>
    <x v="3"/>
    <x v="3"/>
    <x v="299"/>
    <x v="247"/>
    <x v="247"/>
    <s v="REVENUS"/>
    <x v="6"/>
    <s v="4211.001"/>
    <s v="Intérêts de retard sur factures"/>
    <n v="0"/>
    <n v="350.15"/>
    <n v="4211"/>
  </r>
  <r>
    <x v="0"/>
    <x v="3"/>
    <x v="3"/>
    <x v="299"/>
    <x v="247"/>
    <x v="247"/>
    <s v="REVENUS"/>
    <x v="7"/>
    <s v="4184.000"/>
    <s v="Frais de poursuite"/>
    <n v="0"/>
    <n v="455.36"/>
    <n v="4184"/>
  </r>
  <r>
    <x v="0"/>
    <x v="3"/>
    <x v="3"/>
    <x v="299"/>
    <x v="247"/>
    <x v="247"/>
    <s v="REVENUS"/>
    <x v="2"/>
    <s v="4001.001"/>
    <s v="Impôt revenu"/>
    <n v="0"/>
    <n v="155715.4"/>
    <n v="4001"/>
  </r>
  <r>
    <x v="0"/>
    <x v="3"/>
    <x v="3"/>
    <x v="299"/>
    <x v="247"/>
    <x v="247"/>
    <s v="REVENUS"/>
    <x v="2"/>
    <s v="4001.007"/>
    <s v="Acompte impôt sur revenu"/>
    <n v="0"/>
    <n v="-49374.06"/>
    <n v="4001"/>
  </r>
  <r>
    <x v="0"/>
    <x v="3"/>
    <x v="3"/>
    <x v="299"/>
    <x v="247"/>
    <x v="247"/>
    <s v="REVENUS"/>
    <x v="3"/>
    <s v="4002.007"/>
    <s v="Acompte impôt sur fortune"/>
    <n v="0"/>
    <n v="3975.19"/>
    <n v="4002"/>
  </r>
  <r>
    <x v="0"/>
    <x v="3"/>
    <x v="3"/>
    <x v="299"/>
    <x v="247"/>
    <x v="247"/>
    <s v="REVENUS"/>
    <x v="3"/>
    <s v="4002.001"/>
    <s v="Impôt ordinaire s/fortune PP"/>
    <n v="0"/>
    <n v="-41.5"/>
    <n v="4002"/>
  </r>
  <r>
    <x v="0"/>
    <x v="3"/>
    <x v="3"/>
    <x v="299"/>
    <x v="247"/>
    <x v="247"/>
    <s v="REVENUS"/>
    <x v="3"/>
    <s v="4002.007"/>
    <s v="Acompte impôt sur fortune"/>
    <n v="0"/>
    <n v="-44.55"/>
    <n v="4002"/>
  </r>
  <r>
    <x v="0"/>
    <x v="3"/>
    <x v="3"/>
    <x v="299"/>
    <x v="247"/>
    <x v="247"/>
    <s v="REVENUS"/>
    <x v="10"/>
    <s v="4041.001"/>
    <s v="Droits de mutation"/>
    <n v="0"/>
    <n v="5731"/>
    <n v="4041"/>
  </r>
  <r>
    <x v="0"/>
    <x v="3"/>
    <x v="3"/>
    <x v="299"/>
    <x v="247"/>
    <x v="247"/>
    <s v="REVENUS"/>
    <x v="2"/>
    <s v="4001.007"/>
    <s v="Acompte impôt sur revenu"/>
    <n v="0"/>
    <n v="-149.35"/>
    <n v="4001"/>
  </r>
  <r>
    <x v="0"/>
    <x v="3"/>
    <x v="3"/>
    <x v="299"/>
    <x v="247"/>
    <x v="247"/>
    <s v="REVENUS"/>
    <x v="3"/>
    <s v="4002.002"/>
    <s v="Impôt complémentaire s/fortune PP"/>
    <n v="0"/>
    <n v="119.95"/>
    <n v="4002"/>
  </r>
  <r>
    <x v="0"/>
    <x v="3"/>
    <x v="3"/>
    <x v="299"/>
    <x v="247"/>
    <x v="247"/>
    <s v="REVENUS"/>
    <x v="6"/>
    <s v="4211.001"/>
    <s v="Intérêts de retard sur factures"/>
    <n v="0"/>
    <n v="0.03"/>
    <n v="4211"/>
  </r>
  <r>
    <x v="0"/>
    <x v="3"/>
    <x v="3"/>
    <x v="299"/>
    <x v="247"/>
    <x v="247"/>
    <s v="REVENUS"/>
    <x v="3"/>
    <s v="4002.007"/>
    <s v="Acompte impôt sur fortune"/>
    <n v="0"/>
    <n v="-49.6"/>
    <n v="4002"/>
  </r>
  <r>
    <x v="0"/>
    <x v="3"/>
    <x v="3"/>
    <x v="299"/>
    <x v="247"/>
    <x v="247"/>
    <s v="REVENUS"/>
    <x v="6"/>
    <s v="4221.003"/>
    <s v="Intérêts compensat. / acomptes en faveur du fisc"/>
    <n v="0"/>
    <n v="25.09"/>
    <n v="4221"/>
  </r>
  <r>
    <x v="0"/>
    <x v="3"/>
    <x v="3"/>
    <x v="299"/>
    <x v="247"/>
    <x v="247"/>
    <s v="REVENUS"/>
    <x v="7"/>
    <s v="4184.000"/>
    <s v="Frais de poursuite"/>
    <n v="0"/>
    <n v="8.2899999999999991"/>
    <n v="4184"/>
  </r>
  <r>
    <x v="0"/>
    <x v="3"/>
    <x v="3"/>
    <x v="299"/>
    <x v="247"/>
    <x v="247"/>
    <s v="REVENUS"/>
    <x v="2"/>
    <s v="4001.001"/>
    <s v="Impôt revenu"/>
    <n v="0"/>
    <n v="252.85"/>
    <n v="4001"/>
  </r>
  <r>
    <x v="0"/>
    <x v="3"/>
    <x v="3"/>
    <x v="299"/>
    <x v="247"/>
    <x v="247"/>
    <s v="REVENUS"/>
    <x v="2"/>
    <s v="4001.007"/>
    <s v="Acompte impôt sur revenu"/>
    <n v="0"/>
    <n v="1213.55"/>
    <n v="4001"/>
  </r>
  <r>
    <x v="0"/>
    <x v="3"/>
    <x v="3"/>
    <x v="299"/>
    <x v="247"/>
    <x v="247"/>
    <s v="REVENUS"/>
    <x v="3"/>
    <s v="4002.007"/>
    <s v="Acompte impôt sur fortune"/>
    <n v="0"/>
    <n v="1048.05"/>
    <n v="4002"/>
  </r>
  <r>
    <x v="0"/>
    <x v="3"/>
    <x v="3"/>
    <x v="299"/>
    <x v="247"/>
    <x v="247"/>
    <s v="REVENUS"/>
    <x v="2"/>
    <s v="4001.002"/>
    <s v="Impôt complément s/revenu PP"/>
    <n v="0"/>
    <n v="4192.75"/>
    <n v="4001"/>
  </r>
  <r>
    <x v="0"/>
    <x v="3"/>
    <x v="3"/>
    <x v="299"/>
    <x v="247"/>
    <x v="247"/>
    <s v="REVENUS"/>
    <x v="3"/>
    <s v="4002.002"/>
    <s v="Impôt complémentaire s/fortune PP"/>
    <n v="0"/>
    <n v="155.19999999999999"/>
    <n v="4002"/>
  </r>
  <r>
    <x v="0"/>
    <x v="3"/>
    <x v="3"/>
    <x v="299"/>
    <x v="247"/>
    <x v="247"/>
    <s v="REVENUS"/>
    <x v="6"/>
    <s v="4211.001"/>
    <s v="Intérêts de retard sur factures"/>
    <n v="0"/>
    <n v="51.41"/>
    <n v="4211"/>
  </r>
  <r>
    <x v="0"/>
    <x v="3"/>
    <x v="3"/>
    <x v="299"/>
    <x v="247"/>
    <x v="247"/>
    <s v="REVENUS"/>
    <x v="2"/>
    <s v="4001.007"/>
    <s v="Acompte impôt sur revenu"/>
    <n v="0"/>
    <n v="-409.9"/>
    <n v="4001"/>
  </r>
  <r>
    <x v="0"/>
    <x v="3"/>
    <x v="3"/>
    <x v="299"/>
    <x v="247"/>
    <x v="247"/>
    <s v="REVENUS"/>
    <x v="5"/>
    <s v="4061.000"/>
    <s v="Impôt sur les chiens"/>
    <n v="0"/>
    <n v="675"/>
    <n v="4061"/>
  </r>
  <r>
    <x v="0"/>
    <x v="3"/>
    <x v="3"/>
    <x v="299"/>
    <x v="247"/>
    <x v="247"/>
    <s v="REVENUS"/>
    <x v="2"/>
    <s v="4001.001"/>
    <s v="Impôt revenu"/>
    <n v="0"/>
    <n v="290.55"/>
    <n v="4001"/>
  </r>
  <r>
    <x v="0"/>
    <x v="3"/>
    <x v="3"/>
    <x v="299"/>
    <x v="247"/>
    <x v="247"/>
    <s v="REVENUS"/>
    <x v="3"/>
    <s v="4002.001"/>
    <s v="Impôt ordinaire s/fortune PP"/>
    <n v="0"/>
    <n v="662.45"/>
    <n v="4002"/>
  </r>
  <r>
    <x v="0"/>
    <x v="3"/>
    <x v="3"/>
    <x v="299"/>
    <x v="247"/>
    <x v="247"/>
    <s v="REVENUS"/>
    <x v="2"/>
    <s v="4001.007"/>
    <s v="Acompte impôt sur revenu"/>
    <n v="0"/>
    <n v="289.64999999999998"/>
    <n v="4001"/>
  </r>
  <r>
    <x v="0"/>
    <x v="3"/>
    <x v="3"/>
    <x v="299"/>
    <x v="247"/>
    <x v="247"/>
    <s v="REVENUS"/>
    <x v="3"/>
    <s v="4002.007"/>
    <s v="Acompte impôt sur fortune"/>
    <n v="0"/>
    <n v="662.45"/>
    <n v="4002"/>
  </r>
  <r>
    <x v="0"/>
    <x v="3"/>
    <x v="3"/>
    <x v="299"/>
    <x v="247"/>
    <x v="247"/>
    <s v="REVENUS"/>
    <x v="4"/>
    <s v="4051.001"/>
    <s v="Impôt sur les successions"/>
    <n v="0"/>
    <n v="318.10000000000002"/>
    <n v="4051"/>
  </r>
  <r>
    <x v="0"/>
    <x v="3"/>
    <x v="3"/>
    <x v="299"/>
    <x v="247"/>
    <x v="247"/>
    <s v="REVENUS"/>
    <x v="6"/>
    <s v="4221.002"/>
    <s v="Intérêts compensat. sur impôts distincts"/>
    <n v="0"/>
    <n v="0.49"/>
    <n v="4221"/>
  </r>
  <r>
    <x v="0"/>
    <x v="3"/>
    <x v="3"/>
    <x v="300"/>
    <x v="248"/>
    <x v="248"/>
    <s v="CHARGES"/>
    <x v="1"/>
    <s v="3301.001"/>
    <s v="Défalcations, abandons de solde PP et IS"/>
    <n v="6530.09"/>
    <n v="0"/>
    <n v="3301"/>
  </r>
  <r>
    <x v="0"/>
    <x v="3"/>
    <x v="3"/>
    <x v="300"/>
    <x v="248"/>
    <x v="248"/>
    <s v="CHARGES"/>
    <x v="0"/>
    <s v="3212.004"/>
    <s v="Intérêts rémun./perçu trop tôt sur acomptes C/C"/>
    <n v="217.11"/>
    <n v="0"/>
    <n v="3212"/>
  </r>
  <r>
    <x v="0"/>
    <x v="3"/>
    <x v="3"/>
    <x v="300"/>
    <x v="248"/>
    <x v="248"/>
    <s v="CHARGES"/>
    <x v="0"/>
    <s v="3221.002"/>
    <s v="Intérêts compensatoires / créances en faveur ctb."/>
    <n v="114.85"/>
    <n v="0"/>
    <n v="3221"/>
  </r>
  <r>
    <x v="0"/>
    <x v="3"/>
    <x v="3"/>
    <x v="300"/>
    <x v="248"/>
    <x v="248"/>
    <s v="CHARGES"/>
    <x v="0"/>
    <s v="3221.002"/>
    <s v="Intérêts compensatoires / créances en faveur ctb."/>
    <n v="-0.04"/>
    <n v="0"/>
    <n v="3221"/>
  </r>
  <r>
    <x v="0"/>
    <x v="3"/>
    <x v="3"/>
    <x v="300"/>
    <x v="248"/>
    <x v="248"/>
    <s v="CHARGES"/>
    <x v="0"/>
    <s v="3212.004"/>
    <s v="Intérêts rémun./perçu trop tôt sur acomptes C/C"/>
    <n v="2"/>
    <n v="0"/>
    <n v="3212"/>
  </r>
  <r>
    <x v="0"/>
    <x v="3"/>
    <x v="3"/>
    <x v="300"/>
    <x v="248"/>
    <x v="248"/>
    <s v="CHARGES"/>
    <x v="1"/>
    <s v="3301.001"/>
    <s v="Défalcations, abandons de solde PP et IS"/>
    <n v="0.32"/>
    <n v="0"/>
    <n v="3301"/>
  </r>
  <r>
    <x v="0"/>
    <x v="3"/>
    <x v="3"/>
    <x v="300"/>
    <x v="248"/>
    <x v="248"/>
    <s v="CHARGES"/>
    <x v="1"/>
    <s v="3301.001"/>
    <s v="Défalcations, abandons de solde PP et IS"/>
    <n v="3"/>
    <n v="0"/>
    <n v="3301"/>
  </r>
  <r>
    <x v="0"/>
    <x v="3"/>
    <x v="3"/>
    <x v="300"/>
    <x v="248"/>
    <x v="248"/>
    <s v="CHARGES"/>
    <x v="0"/>
    <s v="3221.002"/>
    <s v="Intérêts compensatoires / créances en faveur ctb."/>
    <n v="3.8"/>
    <n v="0"/>
    <n v="3221"/>
  </r>
  <r>
    <x v="0"/>
    <x v="3"/>
    <x v="3"/>
    <x v="300"/>
    <x v="248"/>
    <x v="248"/>
    <s v="CHARGES"/>
    <x v="0"/>
    <s v="3212.004"/>
    <s v="Intérêts rémun./perçu trop tôt sur acomptes C/C"/>
    <n v="0.22"/>
    <n v="0"/>
    <n v="3212"/>
  </r>
  <r>
    <x v="0"/>
    <x v="3"/>
    <x v="3"/>
    <x v="300"/>
    <x v="248"/>
    <x v="248"/>
    <s v="CHARGES"/>
    <x v="0"/>
    <s v="3212.004"/>
    <s v="Intérêts rémun./perçu trop tôt sur acomptes C/C"/>
    <n v="0.01"/>
    <n v="0"/>
    <n v="3212"/>
  </r>
  <r>
    <x v="0"/>
    <x v="3"/>
    <x v="3"/>
    <x v="300"/>
    <x v="248"/>
    <x v="248"/>
    <s v="CHARGES"/>
    <x v="0"/>
    <s v="3212.004"/>
    <s v="Intérêts rémun./perçu trop tôt sur acomptes C/C"/>
    <n v="0.11"/>
    <n v="0"/>
    <n v="3212"/>
  </r>
  <r>
    <x v="0"/>
    <x v="3"/>
    <x v="3"/>
    <x v="300"/>
    <x v="248"/>
    <x v="248"/>
    <s v="CHARGES"/>
    <x v="0"/>
    <s v="3221.002"/>
    <s v="Intérêts compensatoires / créances en faveur ctb."/>
    <n v="7.0000000000000007E-2"/>
    <n v="0"/>
    <n v="3221"/>
  </r>
  <r>
    <x v="0"/>
    <x v="3"/>
    <x v="3"/>
    <x v="300"/>
    <x v="248"/>
    <x v="248"/>
    <s v="CHARGES"/>
    <x v="1"/>
    <s v="3301.001"/>
    <s v="Défalcations, abandons de solde PP et IS"/>
    <n v="9890.4"/>
    <n v="0"/>
    <n v="3301"/>
  </r>
  <r>
    <x v="0"/>
    <x v="3"/>
    <x v="3"/>
    <x v="300"/>
    <x v="248"/>
    <x v="248"/>
    <s v="CHARGES"/>
    <x v="0"/>
    <s v="3212.002"/>
    <s v="Intérêts bonifiés/trop perçu acompte C/C"/>
    <n v="1.39"/>
    <n v="0"/>
    <n v="3212"/>
  </r>
  <r>
    <x v="0"/>
    <x v="3"/>
    <x v="3"/>
    <x v="300"/>
    <x v="248"/>
    <x v="248"/>
    <s v="CHARGES"/>
    <x v="0"/>
    <s v="3212.004"/>
    <s v="Intérêts rémun./perçu trop tôt sur acomptes C/C"/>
    <n v="0.02"/>
    <n v="0"/>
    <n v="3212"/>
  </r>
  <r>
    <x v="0"/>
    <x v="3"/>
    <x v="3"/>
    <x v="300"/>
    <x v="248"/>
    <x v="248"/>
    <s v="REVENUS"/>
    <x v="2"/>
    <s v="4001.007"/>
    <s v="Acompte impôt sur revenu"/>
    <n v="0"/>
    <n v="189254.28"/>
    <n v="4001"/>
  </r>
  <r>
    <x v="0"/>
    <x v="3"/>
    <x v="3"/>
    <x v="300"/>
    <x v="248"/>
    <x v="248"/>
    <s v="REVENUS"/>
    <x v="6"/>
    <s v="4211.001"/>
    <s v="Intérêts de retard sur factures"/>
    <n v="0"/>
    <n v="2103.7600000000002"/>
    <n v="4211"/>
  </r>
  <r>
    <x v="0"/>
    <x v="3"/>
    <x v="3"/>
    <x v="300"/>
    <x v="248"/>
    <x v="248"/>
    <s v="REVENUS"/>
    <x v="3"/>
    <s v="4002.007"/>
    <s v="Acompte impôt sur fortune"/>
    <n v="0"/>
    <n v="-49130.21"/>
    <n v="4002"/>
  </r>
  <r>
    <x v="0"/>
    <x v="3"/>
    <x v="3"/>
    <x v="300"/>
    <x v="248"/>
    <x v="248"/>
    <s v="REVENUS"/>
    <x v="2"/>
    <s v="4001.001"/>
    <s v="Impôt revenu"/>
    <n v="0"/>
    <n v="794810.35"/>
    <n v="4001"/>
  </r>
  <r>
    <x v="0"/>
    <x v="3"/>
    <x v="3"/>
    <x v="300"/>
    <x v="248"/>
    <x v="248"/>
    <s v="REVENUS"/>
    <x v="3"/>
    <s v="4002.001"/>
    <s v="Impôt ordinaire s/fortune PP"/>
    <n v="0"/>
    <n v="81334.8"/>
    <n v="4002"/>
  </r>
  <r>
    <x v="0"/>
    <x v="3"/>
    <x v="3"/>
    <x v="300"/>
    <x v="248"/>
    <x v="248"/>
    <s v="REVENUS"/>
    <x v="6"/>
    <s v="4221.003"/>
    <s v="Intérêts compensat. / acomptes en faveur du fisc"/>
    <n v="0"/>
    <n v="116.24"/>
    <n v="4221"/>
  </r>
  <r>
    <x v="0"/>
    <x v="3"/>
    <x v="3"/>
    <x v="300"/>
    <x v="248"/>
    <x v="248"/>
    <s v="REVENUS"/>
    <x v="2"/>
    <s v="4001.003"/>
    <s v="Impôt s/prest. cap. PP"/>
    <n v="0"/>
    <n v="58386.400000000001"/>
    <n v="4001"/>
  </r>
  <r>
    <x v="0"/>
    <x v="3"/>
    <x v="3"/>
    <x v="300"/>
    <x v="248"/>
    <x v="248"/>
    <s v="REVENUS"/>
    <x v="6"/>
    <s v="4211.002"/>
    <s v="Intérêts de retard sur acomptes"/>
    <n v="0"/>
    <n v="5350.31"/>
    <n v="4211"/>
  </r>
  <r>
    <x v="0"/>
    <x v="3"/>
    <x v="3"/>
    <x v="300"/>
    <x v="248"/>
    <x v="248"/>
    <s v="REVENUS"/>
    <x v="2"/>
    <s v="4001.007"/>
    <s v="Acompte impôt sur revenu"/>
    <n v="0"/>
    <n v="-290969.27"/>
    <n v="4001"/>
  </r>
  <r>
    <x v="0"/>
    <x v="3"/>
    <x v="3"/>
    <x v="300"/>
    <x v="248"/>
    <x v="248"/>
    <s v="REVENUS"/>
    <x v="10"/>
    <s v="4041.001"/>
    <s v="Droits de mutation"/>
    <n v="0"/>
    <n v="59520"/>
    <n v="4041"/>
  </r>
  <r>
    <x v="0"/>
    <x v="3"/>
    <x v="3"/>
    <x v="300"/>
    <x v="248"/>
    <x v="248"/>
    <s v="REVENUS"/>
    <x v="7"/>
    <s v="4184.000"/>
    <s v="Frais de poursuite"/>
    <n v="0"/>
    <n v="1040.28"/>
    <n v="4184"/>
  </r>
  <r>
    <x v="0"/>
    <x v="3"/>
    <x v="3"/>
    <x v="300"/>
    <x v="248"/>
    <x v="248"/>
    <s v="REVENUS"/>
    <x v="8"/>
    <s v="4091.001"/>
    <s v="Impôt récupéré après défalcations"/>
    <n v="0"/>
    <n v="8961.9500000000007"/>
    <n v="4091"/>
  </r>
  <r>
    <x v="0"/>
    <x v="3"/>
    <x v="3"/>
    <x v="300"/>
    <x v="248"/>
    <x v="248"/>
    <s v="REVENUS"/>
    <x v="9"/>
    <s v="4031.001"/>
    <s v="Impôt sur les gains immobiliers"/>
    <n v="0"/>
    <n v="18343.95"/>
    <n v="4031"/>
  </r>
  <r>
    <x v="0"/>
    <x v="3"/>
    <x v="3"/>
    <x v="300"/>
    <x v="248"/>
    <x v="248"/>
    <s v="REVENUS"/>
    <x v="3"/>
    <s v="4002.007"/>
    <s v="Acompte impôt sur fortune"/>
    <n v="0"/>
    <n v="57378.96"/>
    <n v="4002"/>
  </r>
  <r>
    <x v="0"/>
    <x v="3"/>
    <x v="3"/>
    <x v="300"/>
    <x v="248"/>
    <x v="248"/>
    <s v="REVENUS"/>
    <x v="3"/>
    <s v="4002.001"/>
    <s v="Impôt ordinaire s/fortune PP"/>
    <n v="0"/>
    <n v="1059.4000000000001"/>
    <n v="4002"/>
  </r>
  <r>
    <x v="0"/>
    <x v="3"/>
    <x v="3"/>
    <x v="300"/>
    <x v="248"/>
    <x v="248"/>
    <s v="REVENUS"/>
    <x v="2"/>
    <s v="4001.007"/>
    <s v="Acompte impôt sur revenu"/>
    <n v="0"/>
    <n v="747.1"/>
    <n v="4001"/>
  </r>
  <r>
    <x v="0"/>
    <x v="3"/>
    <x v="3"/>
    <x v="300"/>
    <x v="248"/>
    <x v="248"/>
    <s v="REVENUS"/>
    <x v="2"/>
    <s v="4001.002"/>
    <s v="Impôt complément s/revenu PP"/>
    <n v="0"/>
    <n v="46059.35"/>
    <n v="4001"/>
  </r>
  <r>
    <x v="0"/>
    <x v="3"/>
    <x v="3"/>
    <x v="300"/>
    <x v="248"/>
    <x v="248"/>
    <s v="REVENUS"/>
    <x v="2"/>
    <s v="4001.001"/>
    <s v="Impôt revenu"/>
    <n v="0"/>
    <n v="7266.05"/>
    <n v="4001"/>
  </r>
  <r>
    <x v="0"/>
    <x v="3"/>
    <x v="3"/>
    <x v="300"/>
    <x v="248"/>
    <x v="248"/>
    <s v="REVENUS"/>
    <x v="3"/>
    <s v="4002.001"/>
    <s v="Impôt ordinaire s/fortune PP"/>
    <n v="0"/>
    <n v="3663.35"/>
    <n v="4002"/>
  </r>
  <r>
    <x v="0"/>
    <x v="3"/>
    <x v="3"/>
    <x v="300"/>
    <x v="248"/>
    <x v="248"/>
    <s v="REVENUS"/>
    <x v="3"/>
    <s v="4002.007"/>
    <s v="Acompte impôt sur fortune"/>
    <n v="0"/>
    <n v="-952.53"/>
    <n v="4002"/>
  </r>
  <r>
    <x v="0"/>
    <x v="3"/>
    <x v="3"/>
    <x v="300"/>
    <x v="248"/>
    <x v="248"/>
    <s v="REVENUS"/>
    <x v="6"/>
    <s v="4211.002"/>
    <s v="Intérêts de retard sur acomptes"/>
    <n v="0"/>
    <n v="282.33999999999997"/>
    <n v="4211"/>
  </r>
  <r>
    <x v="0"/>
    <x v="3"/>
    <x v="3"/>
    <x v="300"/>
    <x v="248"/>
    <x v="248"/>
    <s v="REVENUS"/>
    <x v="6"/>
    <s v="4221.003"/>
    <s v="Intérêts compensat. / acomptes en faveur du fisc"/>
    <n v="0"/>
    <n v="6.53"/>
    <n v="4221"/>
  </r>
  <r>
    <x v="0"/>
    <x v="3"/>
    <x v="3"/>
    <x v="300"/>
    <x v="248"/>
    <x v="248"/>
    <s v="REVENUS"/>
    <x v="3"/>
    <s v="4002.007"/>
    <s v="Acompte impôt sur fortune"/>
    <n v="0"/>
    <n v="-305.68"/>
    <n v="4002"/>
  </r>
  <r>
    <x v="0"/>
    <x v="3"/>
    <x v="3"/>
    <x v="300"/>
    <x v="248"/>
    <x v="248"/>
    <s v="REVENUS"/>
    <x v="2"/>
    <s v="4001.007"/>
    <s v="Acompte impôt sur revenu"/>
    <n v="0"/>
    <n v="0"/>
    <n v="4001"/>
  </r>
  <r>
    <x v="0"/>
    <x v="3"/>
    <x v="3"/>
    <x v="300"/>
    <x v="248"/>
    <x v="248"/>
    <s v="REVENUS"/>
    <x v="3"/>
    <s v="4002.007"/>
    <s v="Acompte impôt sur fortune"/>
    <n v="0"/>
    <n v="0"/>
    <n v="4002"/>
  </r>
  <r>
    <x v="0"/>
    <x v="3"/>
    <x v="3"/>
    <x v="300"/>
    <x v="248"/>
    <x v="248"/>
    <s v="REVENUS"/>
    <x v="2"/>
    <s v="4001.007"/>
    <s v="Acompte impôt sur revenu"/>
    <n v="0"/>
    <n v="22.3"/>
    <n v="4001"/>
  </r>
  <r>
    <x v="0"/>
    <x v="3"/>
    <x v="3"/>
    <x v="300"/>
    <x v="248"/>
    <x v="248"/>
    <s v="REVENUS"/>
    <x v="2"/>
    <s v="4001.007"/>
    <s v="Acompte impôt sur revenu"/>
    <n v="0"/>
    <n v="-3293.3"/>
    <n v="4001"/>
  </r>
  <r>
    <x v="0"/>
    <x v="3"/>
    <x v="3"/>
    <x v="300"/>
    <x v="248"/>
    <x v="248"/>
    <s v="REVENUS"/>
    <x v="3"/>
    <s v="4002.007"/>
    <s v="Acompte impôt sur fortune"/>
    <n v="0"/>
    <n v="-2.35"/>
    <n v="4002"/>
  </r>
  <r>
    <x v="0"/>
    <x v="3"/>
    <x v="3"/>
    <x v="300"/>
    <x v="248"/>
    <x v="248"/>
    <s v="REVENUS"/>
    <x v="6"/>
    <s v="4211.001"/>
    <s v="Intérêts de retard sur factures"/>
    <n v="0"/>
    <n v="2.92"/>
    <n v="4211"/>
  </r>
  <r>
    <x v="0"/>
    <x v="3"/>
    <x v="3"/>
    <x v="300"/>
    <x v="248"/>
    <x v="248"/>
    <s v="REVENUS"/>
    <x v="2"/>
    <s v="4001.007"/>
    <s v="Acompte impôt sur revenu"/>
    <n v="0"/>
    <n v="-2393"/>
    <n v="4001"/>
  </r>
  <r>
    <x v="0"/>
    <x v="3"/>
    <x v="3"/>
    <x v="300"/>
    <x v="248"/>
    <x v="248"/>
    <s v="REVENUS"/>
    <x v="3"/>
    <s v="4002.007"/>
    <s v="Acompte impôt sur fortune"/>
    <n v="0"/>
    <n v="2"/>
    <n v="4002"/>
  </r>
  <r>
    <x v="0"/>
    <x v="3"/>
    <x v="3"/>
    <x v="300"/>
    <x v="248"/>
    <x v="248"/>
    <s v="REVENUS"/>
    <x v="2"/>
    <s v="4001.002"/>
    <s v="Impôt complément s/revenu PP"/>
    <n v="0"/>
    <n v="3069.9"/>
    <n v="4001"/>
  </r>
  <r>
    <x v="0"/>
    <x v="3"/>
    <x v="3"/>
    <x v="300"/>
    <x v="248"/>
    <x v="248"/>
    <s v="REVENUS"/>
    <x v="3"/>
    <s v="4002.002"/>
    <s v="Impôt complémentaire s/fortune PP"/>
    <n v="0"/>
    <n v="438.5"/>
    <n v="4002"/>
  </r>
  <r>
    <x v="0"/>
    <x v="3"/>
    <x v="3"/>
    <x v="300"/>
    <x v="248"/>
    <x v="248"/>
    <s v="REVENUS"/>
    <x v="8"/>
    <s v="4091.001"/>
    <s v="Impôt récupéré après défalcations"/>
    <n v="0"/>
    <n v="144.56"/>
    <n v="4091"/>
  </r>
  <r>
    <x v="0"/>
    <x v="3"/>
    <x v="3"/>
    <x v="300"/>
    <x v="248"/>
    <x v="248"/>
    <s v="REVENUS"/>
    <x v="2"/>
    <s v="4001.001"/>
    <s v="Impôt revenu"/>
    <n v="0"/>
    <n v="790.2"/>
    <n v="4001"/>
  </r>
  <r>
    <x v="0"/>
    <x v="3"/>
    <x v="3"/>
    <x v="300"/>
    <x v="248"/>
    <x v="248"/>
    <s v="REVENUS"/>
    <x v="3"/>
    <s v="4002.001"/>
    <s v="Impôt ordinaire s/fortune PP"/>
    <n v="0"/>
    <n v="321.45"/>
    <n v="4002"/>
  </r>
  <r>
    <x v="0"/>
    <x v="3"/>
    <x v="3"/>
    <x v="300"/>
    <x v="248"/>
    <x v="248"/>
    <s v="REVENUS"/>
    <x v="6"/>
    <s v="4221.002"/>
    <s v="Intérêts compensat. sur impôts distincts"/>
    <n v="0"/>
    <n v="16.329999999999998"/>
    <n v="4221"/>
  </r>
  <r>
    <x v="0"/>
    <x v="3"/>
    <x v="3"/>
    <x v="300"/>
    <x v="248"/>
    <x v="248"/>
    <s v="REVENUS"/>
    <x v="3"/>
    <s v="4002.002"/>
    <s v="Impôt complémentaire s/fortune PP"/>
    <n v="0"/>
    <n v="1184.95"/>
    <n v="4002"/>
  </r>
  <r>
    <x v="0"/>
    <x v="3"/>
    <x v="3"/>
    <x v="300"/>
    <x v="248"/>
    <x v="248"/>
    <s v="REVENUS"/>
    <x v="6"/>
    <s v="4211.001"/>
    <s v="Intérêts de retard sur factures"/>
    <n v="0"/>
    <n v="0.25"/>
    <n v="4211"/>
  </r>
  <r>
    <x v="0"/>
    <x v="3"/>
    <x v="3"/>
    <x v="300"/>
    <x v="248"/>
    <x v="248"/>
    <s v="REVENUS"/>
    <x v="2"/>
    <s v="4001.001"/>
    <s v="Impôt revenu"/>
    <n v="0"/>
    <n v="163.65"/>
    <n v="4001"/>
  </r>
  <r>
    <x v="0"/>
    <x v="3"/>
    <x v="3"/>
    <x v="300"/>
    <x v="248"/>
    <x v="248"/>
    <s v="REVENUS"/>
    <x v="3"/>
    <s v="4002.001"/>
    <s v="Impôt ordinaire s/fortune PP"/>
    <n v="0"/>
    <n v="188.3"/>
    <n v="4002"/>
  </r>
  <r>
    <x v="0"/>
    <x v="3"/>
    <x v="3"/>
    <x v="300"/>
    <x v="248"/>
    <x v="248"/>
    <s v="REVENUS"/>
    <x v="2"/>
    <s v="4001.001"/>
    <s v="Impôt revenu"/>
    <n v="0"/>
    <n v="1853"/>
    <n v="4001"/>
  </r>
  <r>
    <x v="0"/>
    <x v="3"/>
    <x v="3"/>
    <x v="300"/>
    <x v="248"/>
    <x v="248"/>
    <s v="REVENUS"/>
    <x v="6"/>
    <s v="4211.002"/>
    <s v="Intérêts de retard sur acomptes"/>
    <n v="0"/>
    <n v="14.97"/>
    <n v="4211"/>
  </r>
  <r>
    <x v="0"/>
    <x v="3"/>
    <x v="3"/>
    <x v="300"/>
    <x v="248"/>
    <x v="248"/>
    <s v="REVENUS"/>
    <x v="5"/>
    <s v="4061.000"/>
    <s v="Impôt sur les chiens"/>
    <n v="0"/>
    <n v="3540"/>
    <n v="4061"/>
  </r>
  <r>
    <x v="0"/>
    <x v="3"/>
    <x v="3"/>
    <x v="300"/>
    <x v="248"/>
    <x v="248"/>
    <s v="REVENUS"/>
    <x v="6"/>
    <s v="4221.003"/>
    <s v="Intérêts compensat. / acomptes en faveur du fisc"/>
    <n v="0"/>
    <n v="0.13"/>
    <n v="4221"/>
  </r>
  <r>
    <x v="0"/>
    <x v="3"/>
    <x v="3"/>
    <x v="300"/>
    <x v="248"/>
    <x v="248"/>
    <s v="REVENUS"/>
    <x v="2"/>
    <s v="4001.002"/>
    <s v="Impôt complément s/revenu PP"/>
    <n v="0"/>
    <n v="118.6"/>
    <n v="4001"/>
  </r>
  <r>
    <x v="0"/>
    <x v="3"/>
    <x v="3"/>
    <x v="300"/>
    <x v="248"/>
    <x v="248"/>
    <s v="REVENUS"/>
    <x v="3"/>
    <s v="4002.002"/>
    <s v="Impôt complémentaire s/fortune PP"/>
    <n v="0"/>
    <n v="887.7"/>
    <n v="4002"/>
  </r>
  <r>
    <x v="0"/>
    <x v="3"/>
    <x v="3"/>
    <x v="300"/>
    <x v="248"/>
    <x v="248"/>
    <s v="REVENUS"/>
    <x v="2"/>
    <s v="4001.001"/>
    <s v="Impôt revenu"/>
    <n v="0"/>
    <n v="-11675.05"/>
    <n v="4001"/>
  </r>
  <r>
    <x v="0"/>
    <x v="3"/>
    <x v="3"/>
    <x v="300"/>
    <x v="248"/>
    <x v="248"/>
    <s v="REVENUS"/>
    <x v="2"/>
    <s v="4001.001"/>
    <s v="Impôt revenu"/>
    <n v="0"/>
    <n v="28.8"/>
    <n v="4001"/>
  </r>
  <r>
    <x v="0"/>
    <x v="3"/>
    <x v="3"/>
    <x v="300"/>
    <x v="248"/>
    <x v="248"/>
    <s v="REVENUS"/>
    <x v="3"/>
    <s v="4002.001"/>
    <s v="Impôt ordinaire s/fortune PP"/>
    <n v="0"/>
    <n v="4.0999999999999996"/>
    <n v="4002"/>
  </r>
  <r>
    <x v="0"/>
    <x v="3"/>
    <x v="3"/>
    <x v="301"/>
    <x v="240"/>
    <x v="240"/>
    <s v="CHARGES"/>
    <x v="0"/>
    <s v="3212.004"/>
    <s v="Intérêts rémun./perçu trop tôt sur acomptes C/C"/>
    <n v="1065.03"/>
    <n v="0"/>
    <n v="3212"/>
  </r>
  <r>
    <x v="0"/>
    <x v="3"/>
    <x v="3"/>
    <x v="301"/>
    <x v="240"/>
    <x v="240"/>
    <s v="CHARGES"/>
    <x v="0"/>
    <s v="3221.002"/>
    <s v="Intérêts compensatoires / créances en faveur ctb."/>
    <n v="599.15"/>
    <n v="0"/>
    <n v="3221"/>
  </r>
  <r>
    <x v="0"/>
    <x v="3"/>
    <x v="3"/>
    <x v="301"/>
    <x v="240"/>
    <x v="240"/>
    <s v="CHARGES"/>
    <x v="1"/>
    <s v="3301.001"/>
    <s v="Défalcations, abandons de solde PP et IS"/>
    <n v="105106.02"/>
    <n v="0"/>
    <n v="3301"/>
  </r>
  <r>
    <x v="0"/>
    <x v="3"/>
    <x v="3"/>
    <x v="301"/>
    <x v="240"/>
    <x v="240"/>
    <s v="CHARGES"/>
    <x v="0"/>
    <s v="3221.002"/>
    <s v="Intérêts compensatoires / créances en faveur ctb."/>
    <n v="0.53"/>
    <n v="0"/>
    <n v="3221"/>
  </r>
  <r>
    <x v="0"/>
    <x v="3"/>
    <x v="3"/>
    <x v="301"/>
    <x v="240"/>
    <x v="240"/>
    <s v="CHARGES"/>
    <x v="0"/>
    <s v="3212.002"/>
    <s v="Intérêts bonifiés/trop perçu acompte C/C"/>
    <n v="8.49"/>
    <n v="0"/>
    <n v="3212"/>
  </r>
  <r>
    <x v="0"/>
    <x v="3"/>
    <x v="3"/>
    <x v="301"/>
    <x v="240"/>
    <x v="240"/>
    <s v="CHARGES"/>
    <x v="1"/>
    <s v="3301.001"/>
    <s v="Défalcations, abandons de solde PP et IS"/>
    <n v="1.89"/>
    <n v="0"/>
    <n v="3301"/>
  </r>
  <r>
    <x v="0"/>
    <x v="3"/>
    <x v="3"/>
    <x v="301"/>
    <x v="240"/>
    <x v="240"/>
    <s v="CHARGES"/>
    <x v="0"/>
    <s v="3212.004"/>
    <s v="Intérêts rémun./perçu trop tôt sur acomptes C/C"/>
    <n v="0.84"/>
    <n v="0"/>
    <n v="3212"/>
  </r>
  <r>
    <x v="0"/>
    <x v="3"/>
    <x v="3"/>
    <x v="301"/>
    <x v="240"/>
    <x v="240"/>
    <s v="CHARGES"/>
    <x v="0"/>
    <s v="3212.004"/>
    <s v="Intérêts rémun./perçu trop tôt sur acomptes C/C"/>
    <n v="2.14"/>
    <n v="0"/>
    <n v="3212"/>
  </r>
  <r>
    <x v="0"/>
    <x v="3"/>
    <x v="3"/>
    <x v="301"/>
    <x v="240"/>
    <x v="240"/>
    <s v="CHARGES"/>
    <x v="0"/>
    <s v="3221.002"/>
    <s v="Intérêts compensatoires / créances en faveur ctb."/>
    <n v="2.4300000000000002"/>
    <n v="0"/>
    <n v="3221"/>
  </r>
  <r>
    <x v="0"/>
    <x v="3"/>
    <x v="3"/>
    <x v="301"/>
    <x v="240"/>
    <x v="240"/>
    <s v="CHARGES"/>
    <x v="0"/>
    <s v="3212.004"/>
    <s v="Intérêts rémun./perçu trop tôt sur acomptes C/C"/>
    <n v="-0.03"/>
    <n v="0"/>
    <n v="3212"/>
  </r>
  <r>
    <x v="0"/>
    <x v="3"/>
    <x v="3"/>
    <x v="301"/>
    <x v="240"/>
    <x v="240"/>
    <s v="CHARGES"/>
    <x v="0"/>
    <s v="3221.002"/>
    <s v="Intérêts compensatoires / créances en faveur ctb."/>
    <n v="-0.04"/>
    <n v="0"/>
    <n v="3221"/>
  </r>
  <r>
    <x v="0"/>
    <x v="3"/>
    <x v="3"/>
    <x v="301"/>
    <x v="240"/>
    <x v="240"/>
    <s v="CHARGES"/>
    <x v="0"/>
    <s v="3212.004"/>
    <s v="Intérêts rémun./perçu trop tôt sur acomptes C/C"/>
    <n v="9.76"/>
    <n v="0"/>
    <n v="3212"/>
  </r>
  <r>
    <x v="0"/>
    <x v="3"/>
    <x v="3"/>
    <x v="301"/>
    <x v="240"/>
    <x v="240"/>
    <s v="CHARGES"/>
    <x v="0"/>
    <s v="3221.002"/>
    <s v="Intérêts compensatoires / créances en faveur ctb."/>
    <n v="3.97"/>
    <n v="0"/>
    <n v="3221"/>
  </r>
  <r>
    <x v="0"/>
    <x v="3"/>
    <x v="3"/>
    <x v="301"/>
    <x v="240"/>
    <x v="240"/>
    <s v="CHARGES"/>
    <x v="1"/>
    <s v="3301.001"/>
    <s v="Défalcations, abandons de solde PP et IS"/>
    <n v="2.59"/>
    <n v="0"/>
    <n v="3301"/>
  </r>
  <r>
    <x v="0"/>
    <x v="3"/>
    <x v="3"/>
    <x v="301"/>
    <x v="240"/>
    <x v="240"/>
    <s v="CHARGES"/>
    <x v="0"/>
    <s v="3212.004"/>
    <s v="Intérêts rémun./perçu trop tôt sur acomptes C/C"/>
    <n v="2.6"/>
    <n v="0"/>
    <n v="3212"/>
  </r>
  <r>
    <x v="0"/>
    <x v="3"/>
    <x v="3"/>
    <x v="301"/>
    <x v="240"/>
    <x v="240"/>
    <s v="CHARGES"/>
    <x v="0"/>
    <s v="3212.004"/>
    <s v="Intérêts rémun./perçu trop tôt sur acomptes C/C"/>
    <n v="17.670000000000002"/>
    <n v="0"/>
    <n v="3212"/>
  </r>
  <r>
    <x v="0"/>
    <x v="3"/>
    <x v="3"/>
    <x v="301"/>
    <x v="240"/>
    <x v="240"/>
    <s v="CHARGES"/>
    <x v="1"/>
    <s v="3301.001"/>
    <s v="Défalcations, abandons de solde PP et IS"/>
    <n v="0.63"/>
    <n v="0"/>
    <n v="3301"/>
  </r>
  <r>
    <x v="0"/>
    <x v="3"/>
    <x v="3"/>
    <x v="301"/>
    <x v="240"/>
    <x v="240"/>
    <s v="CHARGES"/>
    <x v="1"/>
    <s v="3301.001"/>
    <s v="Défalcations, abandons de solde PP et IS"/>
    <n v="0.42"/>
    <n v="0"/>
    <n v="3301"/>
  </r>
  <r>
    <x v="0"/>
    <x v="3"/>
    <x v="3"/>
    <x v="301"/>
    <x v="240"/>
    <x v="240"/>
    <s v="CHARGES"/>
    <x v="1"/>
    <s v="3301.001"/>
    <s v="Défalcations, abandons de solde PP et IS"/>
    <n v="16188.85"/>
    <n v="0"/>
    <n v="3301"/>
  </r>
  <r>
    <x v="0"/>
    <x v="3"/>
    <x v="3"/>
    <x v="301"/>
    <x v="240"/>
    <x v="240"/>
    <s v="CHARGES"/>
    <x v="0"/>
    <s v="3221.002"/>
    <s v="Intérêts compensatoires / créances en faveur ctb."/>
    <n v="0.36"/>
    <n v="0"/>
    <n v="3221"/>
  </r>
  <r>
    <x v="0"/>
    <x v="3"/>
    <x v="3"/>
    <x v="301"/>
    <x v="240"/>
    <x v="240"/>
    <s v="CHARGES"/>
    <x v="0"/>
    <s v="3221.002"/>
    <s v="Intérêts compensatoires / créances en faveur ctb."/>
    <n v="0.02"/>
    <n v="0"/>
    <n v="3221"/>
  </r>
  <r>
    <x v="0"/>
    <x v="3"/>
    <x v="3"/>
    <x v="301"/>
    <x v="240"/>
    <x v="240"/>
    <s v="CHARGES"/>
    <x v="1"/>
    <s v="3301.003"/>
    <s v="Remises PP et IS"/>
    <n v="2094.17"/>
    <n v="0"/>
    <n v="3301"/>
  </r>
  <r>
    <x v="0"/>
    <x v="3"/>
    <x v="3"/>
    <x v="301"/>
    <x v="240"/>
    <x v="240"/>
    <s v="CHARGES"/>
    <x v="1"/>
    <s v="3301.001"/>
    <s v="Défalcations, abandons de solde PP et IS"/>
    <n v="6.51"/>
    <n v="0"/>
    <n v="3301"/>
  </r>
  <r>
    <x v="0"/>
    <x v="3"/>
    <x v="3"/>
    <x v="301"/>
    <x v="240"/>
    <x v="240"/>
    <s v="CHARGES"/>
    <x v="0"/>
    <s v="3221.002"/>
    <s v="Intérêts compensatoires / créances en faveur ctb."/>
    <n v="0.02"/>
    <n v="0"/>
    <n v="3221"/>
  </r>
  <r>
    <x v="0"/>
    <x v="3"/>
    <x v="3"/>
    <x v="301"/>
    <x v="240"/>
    <x v="240"/>
    <s v="CHARGES"/>
    <x v="1"/>
    <s v="3301.001"/>
    <s v="Défalcations, abandons de solde PP et IS"/>
    <n v="0.01"/>
    <n v="0"/>
    <n v="3301"/>
  </r>
  <r>
    <x v="0"/>
    <x v="3"/>
    <x v="3"/>
    <x v="301"/>
    <x v="240"/>
    <x v="240"/>
    <s v="CHARGES"/>
    <x v="0"/>
    <s v="3212.004"/>
    <s v="Intérêts rémun./perçu trop tôt sur acomptes C/C"/>
    <n v="0.02"/>
    <n v="0"/>
    <n v="3212"/>
  </r>
  <r>
    <x v="0"/>
    <x v="3"/>
    <x v="3"/>
    <x v="301"/>
    <x v="240"/>
    <x v="240"/>
    <s v="REVENUS"/>
    <x v="2"/>
    <s v="4001.007"/>
    <s v="Acompte impôt sur revenu"/>
    <n v="0"/>
    <n v="-1487807.99"/>
    <n v="4001"/>
  </r>
  <r>
    <x v="0"/>
    <x v="3"/>
    <x v="3"/>
    <x v="301"/>
    <x v="240"/>
    <x v="240"/>
    <s v="REVENUS"/>
    <x v="3"/>
    <s v="4002.007"/>
    <s v="Acompte impôt sur fortune"/>
    <n v="0"/>
    <n v="-351855.35"/>
    <n v="4002"/>
  </r>
  <r>
    <x v="0"/>
    <x v="3"/>
    <x v="3"/>
    <x v="301"/>
    <x v="240"/>
    <x v="240"/>
    <s v="REVENUS"/>
    <x v="2"/>
    <s v="4001.001"/>
    <s v="Impôt revenu"/>
    <n v="0"/>
    <n v="4607191.5999999996"/>
    <n v="4001"/>
  </r>
  <r>
    <x v="0"/>
    <x v="3"/>
    <x v="3"/>
    <x v="301"/>
    <x v="240"/>
    <x v="240"/>
    <s v="REVENUS"/>
    <x v="2"/>
    <s v="4001.007"/>
    <s v="Acompte impôt sur revenu"/>
    <n v="0"/>
    <n v="882552.45"/>
    <n v="4001"/>
  </r>
  <r>
    <x v="0"/>
    <x v="3"/>
    <x v="3"/>
    <x v="301"/>
    <x v="240"/>
    <x v="240"/>
    <s v="REVENUS"/>
    <x v="3"/>
    <s v="4002.001"/>
    <s v="Impôt ordinaire s/fortune PP"/>
    <n v="0"/>
    <n v="628626.75"/>
    <n v="4002"/>
  </r>
  <r>
    <x v="0"/>
    <x v="3"/>
    <x v="3"/>
    <x v="301"/>
    <x v="240"/>
    <x v="240"/>
    <s v="REVENUS"/>
    <x v="3"/>
    <s v="4002.007"/>
    <s v="Acompte impôt sur fortune"/>
    <n v="0"/>
    <n v="248382.3"/>
    <n v="4002"/>
  </r>
  <r>
    <x v="0"/>
    <x v="3"/>
    <x v="3"/>
    <x v="301"/>
    <x v="240"/>
    <x v="240"/>
    <s v="REVENUS"/>
    <x v="6"/>
    <s v="4211.001"/>
    <s v="Intérêts de retard sur factures"/>
    <n v="0"/>
    <n v="13374.44"/>
    <n v="4211"/>
  </r>
  <r>
    <x v="0"/>
    <x v="3"/>
    <x v="3"/>
    <x v="301"/>
    <x v="240"/>
    <x v="240"/>
    <s v="REVENUS"/>
    <x v="6"/>
    <s v="4211.002"/>
    <s v="Intérêts de retard sur acomptes"/>
    <n v="0"/>
    <n v="25498.74"/>
    <n v="4211"/>
  </r>
  <r>
    <x v="0"/>
    <x v="3"/>
    <x v="3"/>
    <x v="301"/>
    <x v="240"/>
    <x v="240"/>
    <s v="REVENUS"/>
    <x v="6"/>
    <s v="4221.003"/>
    <s v="Intérêts compensat. / acomptes en faveur du fisc"/>
    <n v="0"/>
    <n v="487.02"/>
    <n v="4221"/>
  </r>
  <r>
    <x v="0"/>
    <x v="3"/>
    <x v="3"/>
    <x v="301"/>
    <x v="240"/>
    <x v="240"/>
    <s v="REVENUS"/>
    <x v="2"/>
    <s v="4001.002"/>
    <s v="Impôt complément s/revenu PP"/>
    <n v="0"/>
    <n v="421111.7"/>
    <n v="4001"/>
  </r>
  <r>
    <x v="0"/>
    <x v="3"/>
    <x v="3"/>
    <x v="301"/>
    <x v="240"/>
    <x v="240"/>
    <s v="REVENUS"/>
    <x v="2"/>
    <s v="4001.003"/>
    <s v="Impôt s/prest. cap. PP"/>
    <n v="0"/>
    <n v="171601.45"/>
    <n v="4001"/>
  </r>
  <r>
    <x v="0"/>
    <x v="3"/>
    <x v="3"/>
    <x v="301"/>
    <x v="240"/>
    <x v="240"/>
    <s v="REVENUS"/>
    <x v="3"/>
    <s v="4002.002"/>
    <s v="Impôt complémentaire s/fortune PP"/>
    <n v="0"/>
    <n v="89722.55"/>
    <n v="4002"/>
  </r>
  <r>
    <x v="0"/>
    <x v="3"/>
    <x v="3"/>
    <x v="301"/>
    <x v="240"/>
    <x v="240"/>
    <s v="REVENUS"/>
    <x v="9"/>
    <s v="4031.001"/>
    <s v="Impôt sur les gains immobiliers"/>
    <n v="0"/>
    <n v="122616.6"/>
    <n v="4031"/>
  </r>
  <r>
    <x v="0"/>
    <x v="3"/>
    <x v="3"/>
    <x v="301"/>
    <x v="240"/>
    <x v="240"/>
    <s v="REVENUS"/>
    <x v="6"/>
    <s v="4221.002"/>
    <s v="Intérêts compensat. sur impôts distincts"/>
    <n v="0"/>
    <n v="191.07"/>
    <n v="4221"/>
  </r>
  <r>
    <x v="0"/>
    <x v="3"/>
    <x v="3"/>
    <x v="301"/>
    <x v="240"/>
    <x v="240"/>
    <s v="REVENUS"/>
    <x v="7"/>
    <s v="4184.000"/>
    <s v="Frais de poursuite"/>
    <n v="0"/>
    <n v="8662.5499999999993"/>
    <n v="4184"/>
  </r>
  <r>
    <x v="0"/>
    <x v="3"/>
    <x v="3"/>
    <x v="301"/>
    <x v="240"/>
    <x v="240"/>
    <s v="REVENUS"/>
    <x v="10"/>
    <s v="4041.001"/>
    <s v="Droits de mutation"/>
    <n v="0"/>
    <n v="184516.35"/>
    <n v="4041"/>
  </r>
  <r>
    <x v="0"/>
    <x v="3"/>
    <x v="3"/>
    <x v="301"/>
    <x v="240"/>
    <x v="240"/>
    <s v="REVENUS"/>
    <x v="2"/>
    <s v="4001.001"/>
    <s v="Impôt revenu"/>
    <n v="0"/>
    <n v="17905.900000000001"/>
    <n v="4001"/>
  </r>
  <r>
    <x v="0"/>
    <x v="3"/>
    <x v="3"/>
    <x v="301"/>
    <x v="240"/>
    <x v="240"/>
    <s v="REVENUS"/>
    <x v="2"/>
    <s v="4001.007"/>
    <s v="Acompte impôt sur revenu"/>
    <n v="0"/>
    <n v="-7639.03"/>
    <n v="4001"/>
  </r>
  <r>
    <x v="0"/>
    <x v="3"/>
    <x v="3"/>
    <x v="301"/>
    <x v="240"/>
    <x v="240"/>
    <s v="REVENUS"/>
    <x v="3"/>
    <s v="4002.001"/>
    <s v="Impôt ordinaire s/fortune PP"/>
    <n v="0"/>
    <n v="6427.15"/>
    <n v="4002"/>
  </r>
  <r>
    <x v="0"/>
    <x v="3"/>
    <x v="3"/>
    <x v="301"/>
    <x v="240"/>
    <x v="240"/>
    <s v="REVENUS"/>
    <x v="6"/>
    <s v="4211.002"/>
    <s v="Intérêts de retard sur acomptes"/>
    <n v="0"/>
    <n v="74.41"/>
    <n v="4211"/>
  </r>
  <r>
    <x v="0"/>
    <x v="3"/>
    <x v="3"/>
    <x v="301"/>
    <x v="240"/>
    <x v="240"/>
    <s v="REVENUS"/>
    <x v="2"/>
    <s v="4001.001"/>
    <s v="Impôt revenu"/>
    <n v="0"/>
    <n v="11896.35"/>
    <n v="4001"/>
  </r>
  <r>
    <x v="0"/>
    <x v="3"/>
    <x v="3"/>
    <x v="301"/>
    <x v="240"/>
    <x v="240"/>
    <s v="REVENUS"/>
    <x v="2"/>
    <s v="4001.002"/>
    <s v="Impôt complément s/revenu PP"/>
    <n v="0"/>
    <n v="4742.75"/>
    <n v="4001"/>
  </r>
  <r>
    <x v="0"/>
    <x v="3"/>
    <x v="3"/>
    <x v="301"/>
    <x v="240"/>
    <x v="240"/>
    <s v="REVENUS"/>
    <x v="3"/>
    <s v="4002.002"/>
    <s v="Impôt complémentaire s/fortune PP"/>
    <n v="0"/>
    <n v="1490.55"/>
    <n v="4002"/>
  </r>
  <r>
    <x v="0"/>
    <x v="3"/>
    <x v="3"/>
    <x v="301"/>
    <x v="240"/>
    <x v="240"/>
    <s v="REVENUS"/>
    <x v="3"/>
    <s v="4002.001"/>
    <s v="Impôt ordinaire s/fortune PP"/>
    <n v="0"/>
    <n v="3288.85"/>
    <n v="4002"/>
  </r>
  <r>
    <x v="0"/>
    <x v="3"/>
    <x v="3"/>
    <x v="301"/>
    <x v="240"/>
    <x v="240"/>
    <s v="REVENUS"/>
    <x v="2"/>
    <s v="4001.007"/>
    <s v="Acompte impôt sur revenu"/>
    <n v="0"/>
    <n v="2969.45"/>
    <n v="4001"/>
  </r>
  <r>
    <x v="0"/>
    <x v="3"/>
    <x v="3"/>
    <x v="301"/>
    <x v="240"/>
    <x v="240"/>
    <s v="REVENUS"/>
    <x v="2"/>
    <s v="4001.001"/>
    <s v="Impôt revenu"/>
    <n v="0"/>
    <n v="53591.9"/>
    <n v="4001"/>
  </r>
  <r>
    <x v="0"/>
    <x v="3"/>
    <x v="3"/>
    <x v="301"/>
    <x v="240"/>
    <x v="240"/>
    <s v="REVENUS"/>
    <x v="3"/>
    <s v="4002.002"/>
    <s v="Impôt complémentaire s/fortune PP"/>
    <n v="0"/>
    <n v="27.15"/>
    <n v="4002"/>
  </r>
  <r>
    <x v="0"/>
    <x v="3"/>
    <x v="3"/>
    <x v="301"/>
    <x v="240"/>
    <x v="240"/>
    <s v="REVENUS"/>
    <x v="6"/>
    <s v="4211.002"/>
    <s v="Intérêts de retard sur acomptes"/>
    <n v="0"/>
    <n v="55.3"/>
    <n v="4211"/>
  </r>
  <r>
    <x v="0"/>
    <x v="3"/>
    <x v="3"/>
    <x v="301"/>
    <x v="240"/>
    <x v="240"/>
    <s v="REVENUS"/>
    <x v="6"/>
    <s v="4221.003"/>
    <s v="Intérêts compensat. / acomptes en faveur du fisc"/>
    <n v="0"/>
    <n v="15.01"/>
    <n v="4221"/>
  </r>
  <r>
    <x v="0"/>
    <x v="3"/>
    <x v="3"/>
    <x v="301"/>
    <x v="240"/>
    <x v="240"/>
    <s v="REVENUS"/>
    <x v="3"/>
    <s v="4002.001"/>
    <s v="Impôt ordinaire s/fortune PP"/>
    <n v="0"/>
    <n v="2745.3"/>
    <n v="4002"/>
  </r>
  <r>
    <x v="0"/>
    <x v="3"/>
    <x v="3"/>
    <x v="301"/>
    <x v="240"/>
    <x v="240"/>
    <s v="REVENUS"/>
    <x v="3"/>
    <s v="4002.007"/>
    <s v="Acompte impôt sur fortune"/>
    <n v="0"/>
    <n v="1496.99"/>
    <n v="4002"/>
  </r>
  <r>
    <x v="0"/>
    <x v="3"/>
    <x v="3"/>
    <x v="301"/>
    <x v="240"/>
    <x v="240"/>
    <s v="REVENUS"/>
    <x v="7"/>
    <s v="4184.000"/>
    <s v="Frais de poursuite"/>
    <n v="0"/>
    <n v="12.8"/>
    <n v="4184"/>
  </r>
  <r>
    <x v="0"/>
    <x v="3"/>
    <x v="3"/>
    <x v="301"/>
    <x v="240"/>
    <x v="240"/>
    <s v="REVENUS"/>
    <x v="2"/>
    <s v="4001.007"/>
    <s v="Acompte impôt sur revenu"/>
    <n v="0"/>
    <n v="925.24"/>
    <n v="4001"/>
  </r>
  <r>
    <x v="0"/>
    <x v="3"/>
    <x v="3"/>
    <x v="301"/>
    <x v="240"/>
    <x v="240"/>
    <s v="REVENUS"/>
    <x v="3"/>
    <s v="4002.007"/>
    <s v="Acompte impôt sur fortune"/>
    <n v="0"/>
    <n v="18.7"/>
    <n v="4002"/>
  </r>
  <r>
    <x v="0"/>
    <x v="3"/>
    <x v="3"/>
    <x v="301"/>
    <x v="240"/>
    <x v="240"/>
    <s v="REVENUS"/>
    <x v="3"/>
    <s v="4002.007"/>
    <s v="Acompte impôt sur fortune"/>
    <n v="0"/>
    <n v="-1129.25"/>
    <n v="4002"/>
  </r>
  <r>
    <x v="0"/>
    <x v="3"/>
    <x v="3"/>
    <x v="301"/>
    <x v="240"/>
    <x v="240"/>
    <s v="REVENUS"/>
    <x v="6"/>
    <s v="4221.003"/>
    <s v="Intérêts compensat. / acomptes en faveur du fisc"/>
    <n v="0"/>
    <n v="2.04"/>
    <n v="4221"/>
  </r>
  <r>
    <x v="0"/>
    <x v="3"/>
    <x v="3"/>
    <x v="301"/>
    <x v="240"/>
    <x v="240"/>
    <s v="REVENUS"/>
    <x v="2"/>
    <s v="4001.007"/>
    <s v="Acompte impôt sur revenu"/>
    <n v="0"/>
    <n v="-311.10000000000002"/>
    <n v="4001"/>
  </r>
  <r>
    <x v="0"/>
    <x v="3"/>
    <x v="3"/>
    <x v="301"/>
    <x v="240"/>
    <x v="240"/>
    <s v="REVENUS"/>
    <x v="2"/>
    <s v="4001.001"/>
    <s v="Impôt revenu"/>
    <n v="0"/>
    <n v="2442.0500000000002"/>
    <n v="4001"/>
  </r>
  <r>
    <x v="0"/>
    <x v="3"/>
    <x v="3"/>
    <x v="301"/>
    <x v="240"/>
    <x v="240"/>
    <s v="REVENUS"/>
    <x v="2"/>
    <s v="4001.007"/>
    <s v="Acompte impôt sur revenu"/>
    <n v="0"/>
    <n v="-7624.1"/>
    <n v="4001"/>
  </r>
  <r>
    <x v="0"/>
    <x v="3"/>
    <x v="3"/>
    <x v="301"/>
    <x v="240"/>
    <x v="240"/>
    <s v="REVENUS"/>
    <x v="3"/>
    <s v="4002.001"/>
    <s v="Impôt ordinaire s/fortune PP"/>
    <n v="0"/>
    <n v="1879.1"/>
    <n v="4002"/>
  </r>
  <r>
    <x v="0"/>
    <x v="3"/>
    <x v="3"/>
    <x v="301"/>
    <x v="240"/>
    <x v="240"/>
    <s v="REVENUS"/>
    <x v="3"/>
    <s v="4002.007"/>
    <s v="Acompte impôt sur fortune"/>
    <n v="0"/>
    <n v="-1460.55"/>
    <n v="4002"/>
  </r>
  <r>
    <x v="0"/>
    <x v="3"/>
    <x v="3"/>
    <x v="301"/>
    <x v="240"/>
    <x v="240"/>
    <s v="REVENUS"/>
    <x v="3"/>
    <s v="4002.001"/>
    <s v="Impôt ordinaire s/fortune PP"/>
    <n v="0"/>
    <n v="2718.25"/>
    <n v="4002"/>
  </r>
  <r>
    <x v="0"/>
    <x v="3"/>
    <x v="3"/>
    <x v="301"/>
    <x v="240"/>
    <x v="240"/>
    <s v="REVENUS"/>
    <x v="6"/>
    <s v="4211.001"/>
    <s v="Intérêts de retard sur factures"/>
    <n v="0"/>
    <n v="12.4"/>
    <n v="4211"/>
  </r>
  <r>
    <x v="0"/>
    <x v="3"/>
    <x v="3"/>
    <x v="301"/>
    <x v="240"/>
    <x v="240"/>
    <s v="REVENUS"/>
    <x v="6"/>
    <s v="4221.003"/>
    <s v="Intérêts compensat. / acomptes en faveur du fisc"/>
    <n v="0"/>
    <n v="6.77"/>
    <n v="4221"/>
  </r>
  <r>
    <x v="0"/>
    <x v="3"/>
    <x v="3"/>
    <x v="301"/>
    <x v="240"/>
    <x v="240"/>
    <s v="REVENUS"/>
    <x v="6"/>
    <s v="4211.002"/>
    <s v="Intérêts de retard sur acomptes"/>
    <n v="0"/>
    <n v="20.98"/>
    <n v="4211"/>
  </r>
  <r>
    <x v="0"/>
    <x v="3"/>
    <x v="3"/>
    <x v="301"/>
    <x v="240"/>
    <x v="240"/>
    <s v="REVENUS"/>
    <x v="2"/>
    <s v="4001.001"/>
    <s v="Impôt revenu"/>
    <n v="0"/>
    <n v="-506.4"/>
    <n v="4001"/>
  </r>
  <r>
    <x v="0"/>
    <x v="3"/>
    <x v="3"/>
    <x v="301"/>
    <x v="240"/>
    <x v="240"/>
    <s v="REVENUS"/>
    <x v="3"/>
    <s v="4002.001"/>
    <s v="Impôt ordinaire s/fortune PP"/>
    <n v="0"/>
    <n v="-101.25"/>
    <n v="4002"/>
  </r>
  <r>
    <x v="0"/>
    <x v="3"/>
    <x v="3"/>
    <x v="301"/>
    <x v="240"/>
    <x v="240"/>
    <s v="REVENUS"/>
    <x v="6"/>
    <s v="4221.003"/>
    <s v="Intérêts compensat. / acomptes en faveur du fisc"/>
    <n v="0"/>
    <n v="-0.03"/>
    <n v="4221"/>
  </r>
  <r>
    <x v="0"/>
    <x v="3"/>
    <x v="3"/>
    <x v="301"/>
    <x v="240"/>
    <x v="240"/>
    <s v="REVENUS"/>
    <x v="3"/>
    <s v="4002.007"/>
    <s v="Acompte impôt sur fortune"/>
    <n v="0"/>
    <n v="338.77"/>
    <n v="4002"/>
  </r>
  <r>
    <x v="0"/>
    <x v="3"/>
    <x v="3"/>
    <x v="301"/>
    <x v="240"/>
    <x v="240"/>
    <s v="REVENUS"/>
    <x v="2"/>
    <s v="4001.001"/>
    <s v="Impôt revenu"/>
    <n v="0"/>
    <n v="-107817.75"/>
    <n v="4001"/>
  </r>
  <r>
    <x v="0"/>
    <x v="3"/>
    <x v="3"/>
    <x v="301"/>
    <x v="240"/>
    <x v="240"/>
    <s v="REVENUS"/>
    <x v="3"/>
    <s v="4002.001"/>
    <s v="Impôt ordinaire s/fortune PP"/>
    <n v="0"/>
    <n v="-14349.25"/>
    <n v="4002"/>
  </r>
  <r>
    <x v="0"/>
    <x v="3"/>
    <x v="3"/>
    <x v="301"/>
    <x v="240"/>
    <x v="240"/>
    <s v="REVENUS"/>
    <x v="8"/>
    <s v="4091.001"/>
    <s v="Impôt récupéré après défalcations"/>
    <n v="0"/>
    <n v="11103.27"/>
    <n v="4091"/>
  </r>
  <r>
    <x v="0"/>
    <x v="3"/>
    <x v="3"/>
    <x v="301"/>
    <x v="240"/>
    <x v="240"/>
    <s v="REVENUS"/>
    <x v="8"/>
    <s v="4091.001"/>
    <s v="Impôt récupéré après défalcations"/>
    <n v="0"/>
    <n v="28892.39"/>
    <n v="4091"/>
  </r>
  <r>
    <x v="0"/>
    <x v="3"/>
    <x v="3"/>
    <x v="301"/>
    <x v="240"/>
    <x v="240"/>
    <s v="REVENUS"/>
    <x v="7"/>
    <s v="4184.000"/>
    <s v="Frais de poursuite"/>
    <n v="0"/>
    <n v="59.21"/>
    <n v="4184"/>
  </r>
  <r>
    <x v="0"/>
    <x v="3"/>
    <x v="3"/>
    <x v="301"/>
    <x v="240"/>
    <x v="240"/>
    <s v="REVENUS"/>
    <x v="4"/>
    <s v="4051.001"/>
    <s v="Impôt sur les successions"/>
    <n v="0"/>
    <n v="83202.5"/>
    <n v="4051"/>
  </r>
  <r>
    <x v="0"/>
    <x v="3"/>
    <x v="3"/>
    <x v="301"/>
    <x v="240"/>
    <x v="240"/>
    <s v="REVENUS"/>
    <x v="5"/>
    <s v="4061.000"/>
    <s v="Impôt sur les chiens"/>
    <n v="0"/>
    <n v="17775"/>
    <n v="4061"/>
  </r>
  <r>
    <x v="0"/>
    <x v="3"/>
    <x v="3"/>
    <x v="301"/>
    <x v="240"/>
    <x v="240"/>
    <s v="REVENUS"/>
    <x v="2"/>
    <s v="4001.001"/>
    <s v="Impôt revenu"/>
    <n v="0"/>
    <n v="15.85"/>
    <n v="4001"/>
  </r>
  <r>
    <x v="0"/>
    <x v="3"/>
    <x v="3"/>
    <x v="301"/>
    <x v="240"/>
    <x v="240"/>
    <s v="REVENUS"/>
    <x v="3"/>
    <s v="4002.001"/>
    <s v="Impôt ordinaire s/fortune PP"/>
    <n v="0"/>
    <n v="97.05"/>
    <n v="4002"/>
  </r>
  <r>
    <x v="0"/>
    <x v="3"/>
    <x v="3"/>
    <x v="301"/>
    <x v="240"/>
    <x v="240"/>
    <s v="REVENUS"/>
    <x v="3"/>
    <s v="4002.007"/>
    <s v="Acompte impôt sur fortune"/>
    <n v="0"/>
    <n v="-31.5"/>
    <n v="4002"/>
  </r>
  <r>
    <x v="0"/>
    <x v="3"/>
    <x v="3"/>
    <x v="301"/>
    <x v="240"/>
    <x v="240"/>
    <s v="REVENUS"/>
    <x v="2"/>
    <s v="4001.001"/>
    <s v="Impôt revenu"/>
    <n v="0"/>
    <n v="4342.8999999999996"/>
    <n v="4001"/>
  </r>
  <r>
    <x v="0"/>
    <x v="3"/>
    <x v="3"/>
    <x v="301"/>
    <x v="240"/>
    <x v="240"/>
    <s v="REVENUS"/>
    <x v="6"/>
    <s v="4221.003"/>
    <s v="Intérêts compensat. / acomptes en faveur du fisc"/>
    <n v="0"/>
    <n v="0.43"/>
    <n v="4221"/>
  </r>
  <r>
    <x v="0"/>
    <x v="3"/>
    <x v="3"/>
    <x v="301"/>
    <x v="240"/>
    <x v="240"/>
    <s v="REVENUS"/>
    <x v="6"/>
    <s v="4211.002"/>
    <s v="Intérêts de retard sur acomptes"/>
    <n v="0"/>
    <n v="14.94"/>
    <n v="4211"/>
  </r>
  <r>
    <x v="0"/>
    <x v="3"/>
    <x v="3"/>
    <x v="301"/>
    <x v="240"/>
    <x v="240"/>
    <s v="REVENUS"/>
    <x v="2"/>
    <s v="4001.002"/>
    <s v="Impôt complément s/revenu PP"/>
    <n v="0"/>
    <n v="-17832.8"/>
    <n v="4001"/>
  </r>
  <r>
    <x v="0"/>
    <x v="3"/>
    <x v="3"/>
    <x v="301"/>
    <x v="240"/>
    <x v="240"/>
    <s v="REVENUS"/>
    <x v="3"/>
    <s v="4002.002"/>
    <s v="Impôt complémentaire s/fortune PP"/>
    <n v="0"/>
    <n v="-4410.25"/>
    <n v="4002"/>
  </r>
  <r>
    <x v="0"/>
    <x v="3"/>
    <x v="3"/>
    <x v="301"/>
    <x v="240"/>
    <x v="240"/>
    <s v="REVENUS"/>
    <x v="3"/>
    <s v="4002.007"/>
    <s v="Acompte impôt sur fortune"/>
    <n v="0"/>
    <n v="-24.9"/>
    <n v="4002"/>
  </r>
  <r>
    <x v="0"/>
    <x v="3"/>
    <x v="3"/>
    <x v="301"/>
    <x v="240"/>
    <x v="240"/>
    <s v="REVENUS"/>
    <x v="6"/>
    <s v="4211.002"/>
    <s v="Intérêts de retard sur acomptes"/>
    <n v="0"/>
    <n v="3.77"/>
    <n v="4211"/>
  </r>
  <r>
    <x v="0"/>
    <x v="3"/>
    <x v="3"/>
    <x v="301"/>
    <x v="240"/>
    <x v="240"/>
    <s v="REVENUS"/>
    <x v="6"/>
    <s v="4211.001"/>
    <s v="Intérêts de retard sur factures"/>
    <n v="0"/>
    <n v="0.42"/>
    <n v="4211"/>
  </r>
  <r>
    <x v="0"/>
    <x v="3"/>
    <x v="3"/>
    <x v="301"/>
    <x v="240"/>
    <x v="240"/>
    <s v="REVENUS"/>
    <x v="6"/>
    <s v="4211.001"/>
    <s v="Intérêts de retard sur factures"/>
    <n v="0"/>
    <n v="1.31"/>
    <n v="4211"/>
  </r>
  <r>
    <x v="0"/>
    <x v="3"/>
    <x v="3"/>
    <x v="301"/>
    <x v="240"/>
    <x v="240"/>
    <s v="REVENUS"/>
    <x v="2"/>
    <s v="4001.002"/>
    <s v="Impôt complément s/revenu PP"/>
    <n v="0"/>
    <n v="135.85"/>
    <n v="4001"/>
  </r>
  <r>
    <x v="0"/>
    <x v="3"/>
    <x v="3"/>
    <x v="301"/>
    <x v="240"/>
    <x v="240"/>
    <s v="REVENUS"/>
    <x v="3"/>
    <s v="4002.002"/>
    <s v="Impôt complémentaire s/fortune PP"/>
    <n v="0"/>
    <n v="184.95"/>
    <n v="4002"/>
  </r>
  <r>
    <x v="0"/>
    <x v="3"/>
    <x v="3"/>
    <x v="301"/>
    <x v="240"/>
    <x v="240"/>
    <s v="REVENUS"/>
    <x v="3"/>
    <s v="4002.001"/>
    <s v="Impôt ordinaire s/fortune PP"/>
    <n v="0"/>
    <n v="149.65"/>
    <n v="4002"/>
  </r>
  <r>
    <x v="0"/>
    <x v="3"/>
    <x v="3"/>
    <x v="301"/>
    <x v="240"/>
    <x v="240"/>
    <s v="REVENUS"/>
    <x v="8"/>
    <s v="4091.003"/>
    <s v="Impôt récupéré concordat"/>
    <n v="0"/>
    <n v="9497.44"/>
    <n v="4091"/>
  </r>
  <r>
    <x v="0"/>
    <x v="3"/>
    <x v="3"/>
    <x v="301"/>
    <x v="240"/>
    <x v="240"/>
    <s v="REVENUS"/>
    <x v="4"/>
    <s v="4051.002"/>
    <s v="Impôt sur les donations"/>
    <n v="0"/>
    <n v="2630.6"/>
    <n v="4051"/>
  </r>
  <r>
    <x v="0"/>
    <x v="3"/>
    <x v="3"/>
    <x v="301"/>
    <x v="240"/>
    <x v="240"/>
    <s v="REVENUS"/>
    <x v="9"/>
    <s v="4031.002"/>
    <s v="Complément impôt sur les gains immobiliers"/>
    <n v="0"/>
    <n v="7746.3"/>
    <n v="4031"/>
  </r>
  <r>
    <x v="0"/>
    <x v="3"/>
    <x v="3"/>
    <x v="301"/>
    <x v="240"/>
    <x v="240"/>
    <s v="REVENUS"/>
    <x v="6"/>
    <s v="4211.001"/>
    <s v="Intérêts de retard sur factures"/>
    <n v="0"/>
    <n v="0.02"/>
    <n v="4211"/>
  </r>
  <r>
    <x v="0"/>
    <x v="3"/>
    <x v="3"/>
    <x v="301"/>
    <x v="240"/>
    <x v="240"/>
    <s v="REVENUS"/>
    <x v="6"/>
    <s v="4211.002"/>
    <s v="Intérêts de retard sur acomptes"/>
    <n v="0"/>
    <n v="1.0900000000000001"/>
    <n v="4211"/>
  </r>
  <r>
    <x v="0"/>
    <x v="3"/>
    <x v="3"/>
    <x v="301"/>
    <x v="240"/>
    <x v="240"/>
    <s v="REVENUS"/>
    <x v="6"/>
    <s v="4221.003"/>
    <s v="Intérêts compensat. / acomptes en faveur du fisc"/>
    <n v="0"/>
    <n v="0.01"/>
    <n v="4221"/>
  </r>
  <r>
    <x v="0"/>
    <x v="3"/>
    <x v="3"/>
    <x v="301"/>
    <x v="240"/>
    <x v="240"/>
    <s v="REVENUS"/>
    <x v="6"/>
    <s v="4211.001"/>
    <s v="Intérêts de retard sur factures"/>
    <n v="0"/>
    <n v="0.23"/>
    <n v="4211"/>
  </r>
  <r>
    <x v="0"/>
    <x v="3"/>
    <x v="3"/>
    <x v="301"/>
    <x v="240"/>
    <x v="240"/>
    <s v="REVENUS"/>
    <x v="7"/>
    <s v="4184.000"/>
    <s v="Frais de poursuite"/>
    <n v="0"/>
    <n v="10.37"/>
    <n v="4184"/>
  </r>
  <r>
    <x v="0"/>
    <x v="3"/>
    <x v="3"/>
    <x v="301"/>
    <x v="240"/>
    <x v="240"/>
    <s v="REVENUS"/>
    <x v="4"/>
    <s v="4051.002"/>
    <s v="Impôt sur les donations"/>
    <n v="0"/>
    <n v="-2035.1"/>
    <n v="4051"/>
  </r>
  <r>
    <x v="0"/>
    <x v="3"/>
    <x v="3"/>
    <x v="301"/>
    <x v="240"/>
    <x v="240"/>
    <s v="REVENUS"/>
    <x v="6"/>
    <s v="4211.001"/>
    <s v="Intérêts de retard sur factures"/>
    <n v="0"/>
    <n v="65.19"/>
    <n v="4211"/>
  </r>
  <r>
    <x v="0"/>
    <x v="3"/>
    <x v="3"/>
    <x v="301"/>
    <x v="240"/>
    <x v="240"/>
    <s v="REVENUS"/>
    <x v="4"/>
    <s v="4051.001"/>
    <s v="Impôt sur les successions"/>
    <n v="0"/>
    <n v="0.5"/>
    <n v="4051"/>
  </r>
  <r>
    <x v="0"/>
    <x v="3"/>
    <x v="3"/>
    <x v="301"/>
    <x v="240"/>
    <x v="240"/>
    <s v="REVENUS"/>
    <x v="6"/>
    <s v="4211.002"/>
    <s v="Intérêts de retard sur acomptes"/>
    <n v="0"/>
    <n v="0.06"/>
    <n v="4211"/>
  </r>
  <r>
    <x v="0"/>
    <x v="10"/>
    <x v="9"/>
    <x v="302"/>
    <x v="249"/>
    <x v="249"/>
    <s v="CHARGES"/>
    <x v="1"/>
    <s v="3301.001"/>
    <s v="Défalcations, abandons de solde PP et IS"/>
    <n v="5.04"/>
    <n v="0"/>
    <n v="3301"/>
  </r>
  <r>
    <x v="0"/>
    <x v="10"/>
    <x v="9"/>
    <x v="302"/>
    <x v="249"/>
    <x v="249"/>
    <s v="CHARGES"/>
    <x v="0"/>
    <s v="3212.002"/>
    <s v="Intérêts bonifiés/trop perçu acompte C/C"/>
    <n v="263.27999999999997"/>
    <n v="0"/>
    <n v="3212"/>
  </r>
  <r>
    <x v="0"/>
    <x v="10"/>
    <x v="9"/>
    <x v="302"/>
    <x v="249"/>
    <x v="249"/>
    <s v="CHARGES"/>
    <x v="0"/>
    <s v="3212.004"/>
    <s v="Intérêts rémun./perçu trop tôt sur acomptes C/C"/>
    <n v="1438.17"/>
    <n v="0"/>
    <n v="3212"/>
  </r>
  <r>
    <x v="0"/>
    <x v="10"/>
    <x v="9"/>
    <x v="302"/>
    <x v="249"/>
    <x v="249"/>
    <s v="CHARGES"/>
    <x v="0"/>
    <s v="3221.002"/>
    <s v="Intérêts compensatoires / créances en faveur ctb."/>
    <n v="476.89"/>
    <n v="0"/>
    <n v="3221"/>
  </r>
  <r>
    <x v="0"/>
    <x v="10"/>
    <x v="9"/>
    <x v="302"/>
    <x v="249"/>
    <x v="249"/>
    <s v="CHARGES"/>
    <x v="1"/>
    <s v="3301.001"/>
    <s v="Défalcations, abandons de solde PP et IS"/>
    <n v="-2003.61"/>
    <n v="0"/>
    <n v="3301"/>
  </r>
  <r>
    <x v="0"/>
    <x v="10"/>
    <x v="9"/>
    <x v="302"/>
    <x v="249"/>
    <x v="249"/>
    <s v="CHARGES"/>
    <x v="0"/>
    <s v="3212.002"/>
    <s v="Intérêts bonifiés/trop perçu acompte C/C"/>
    <n v="0.27"/>
    <n v="0"/>
    <n v="3212"/>
  </r>
  <r>
    <x v="0"/>
    <x v="10"/>
    <x v="9"/>
    <x v="302"/>
    <x v="249"/>
    <x v="249"/>
    <s v="CHARGES"/>
    <x v="0"/>
    <s v="3212.004"/>
    <s v="Intérêts rémun./perçu trop tôt sur acomptes C/C"/>
    <n v="37.619999999999997"/>
    <n v="0"/>
    <n v="3212"/>
  </r>
  <r>
    <x v="0"/>
    <x v="10"/>
    <x v="9"/>
    <x v="302"/>
    <x v="249"/>
    <x v="249"/>
    <s v="CHARGES"/>
    <x v="0"/>
    <s v="3221.002"/>
    <s v="Intérêts compensatoires / créances en faveur ctb."/>
    <n v="12.99"/>
    <n v="0"/>
    <n v="3221"/>
  </r>
  <r>
    <x v="0"/>
    <x v="10"/>
    <x v="9"/>
    <x v="302"/>
    <x v="249"/>
    <x v="249"/>
    <s v="CHARGES"/>
    <x v="0"/>
    <s v="3212.004"/>
    <s v="Intérêts rémun./perçu trop tôt sur acomptes C/C"/>
    <n v="9.31"/>
    <n v="0"/>
    <n v="3212"/>
  </r>
  <r>
    <x v="0"/>
    <x v="10"/>
    <x v="9"/>
    <x v="302"/>
    <x v="249"/>
    <x v="249"/>
    <s v="CHARGES"/>
    <x v="0"/>
    <s v="3221.002"/>
    <s v="Intérêts compensatoires / créances en faveur ctb."/>
    <n v="2.16"/>
    <n v="0"/>
    <n v="3221"/>
  </r>
  <r>
    <x v="0"/>
    <x v="10"/>
    <x v="9"/>
    <x v="302"/>
    <x v="249"/>
    <x v="249"/>
    <s v="CHARGES"/>
    <x v="0"/>
    <s v="3212.004"/>
    <s v="Intérêts rémun./perçu trop tôt sur acomptes C/C"/>
    <n v="2.0299999999999998"/>
    <n v="0"/>
    <n v="3212"/>
  </r>
  <r>
    <x v="0"/>
    <x v="10"/>
    <x v="9"/>
    <x v="302"/>
    <x v="249"/>
    <x v="249"/>
    <s v="CHARGES"/>
    <x v="0"/>
    <s v="3221.002"/>
    <s v="Intérêts compensatoires / créances en faveur ctb."/>
    <n v="4.0599999999999996"/>
    <n v="0"/>
    <n v="3221"/>
  </r>
  <r>
    <x v="0"/>
    <x v="10"/>
    <x v="9"/>
    <x v="302"/>
    <x v="249"/>
    <x v="249"/>
    <s v="CHARGES"/>
    <x v="0"/>
    <s v="3212.002"/>
    <s v="Intérêts bonifiés/trop perçu acompte C/C"/>
    <n v="0.38"/>
    <n v="0"/>
    <n v="3212"/>
  </r>
  <r>
    <x v="0"/>
    <x v="10"/>
    <x v="9"/>
    <x v="302"/>
    <x v="249"/>
    <x v="249"/>
    <s v="CHARGES"/>
    <x v="0"/>
    <s v="3212.004"/>
    <s v="Intérêts rémun./perçu trop tôt sur acomptes C/C"/>
    <n v="22.45"/>
    <n v="0"/>
    <n v="3212"/>
  </r>
  <r>
    <x v="0"/>
    <x v="10"/>
    <x v="9"/>
    <x v="302"/>
    <x v="249"/>
    <x v="249"/>
    <s v="CHARGES"/>
    <x v="0"/>
    <s v="3221.002"/>
    <s v="Intérêts compensatoires / créances en faveur ctb."/>
    <n v="5.57"/>
    <n v="0"/>
    <n v="3221"/>
  </r>
  <r>
    <x v="0"/>
    <x v="10"/>
    <x v="9"/>
    <x v="302"/>
    <x v="249"/>
    <x v="249"/>
    <s v="CHARGES"/>
    <x v="0"/>
    <s v="3212.004"/>
    <s v="Intérêts rémun./perçu trop tôt sur acomptes C/C"/>
    <n v="30.55"/>
    <n v="0"/>
    <n v="3212"/>
  </r>
  <r>
    <x v="0"/>
    <x v="10"/>
    <x v="9"/>
    <x v="302"/>
    <x v="249"/>
    <x v="249"/>
    <s v="CHARGES"/>
    <x v="1"/>
    <s v="3301.001"/>
    <s v="Défalcations, abandons de solde PP et IS"/>
    <n v="4.0999999999999996"/>
    <n v="0"/>
    <n v="3301"/>
  </r>
  <r>
    <x v="0"/>
    <x v="10"/>
    <x v="9"/>
    <x v="302"/>
    <x v="249"/>
    <x v="249"/>
    <s v="CHARGES"/>
    <x v="1"/>
    <s v="3301.001"/>
    <s v="Défalcations, abandons de solde PP et IS"/>
    <n v="107930.09"/>
    <n v="0"/>
    <n v="3301"/>
  </r>
  <r>
    <x v="0"/>
    <x v="10"/>
    <x v="9"/>
    <x v="302"/>
    <x v="249"/>
    <x v="249"/>
    <s v="CHARGES"/>
    <x v="0"/>
    <s v="3212.004"/>
    <s v="Intérêts rémun./perçu trop tôt sur acomptes C/C"/>
    <n v="4.53"/>
    <n v="0"/>
    <n v="3212"/>
  </r>
  <r>
    <x v="0"/>
    <x v="10"/>
    <x v="9"/>
    <x v="302"/>
    <x v="249"/>
    <x v="249"/>
    <s v="CHARGES"/>
    <x v="0"/>
    <s v="3221.002"/>
    <s v="Intérêts compensatoires / créances en faveur ctb."/>
    <n v="3.02"/>
    <n v="0"/>
    <n v="3221"/>
  </r>
  <r>
    <x v="0"/>
    <x v="10"/>
    <x v="9"/>
    <x v="302"/>
    <x v="249"/>
    <x v="249"/>
    <s v="CHARGES"/>
    <x v="1"/>
    <s v="3301.001"/>
    <s v="Défalcations, abandons de solde PP et IS"/>
    <n v="0.14000000000000001"/>
    <n v="0"/>
    <n v="3301"/>
  </r>
  <r>
    <x v="0"/>
    <x v="10"/>
    <x v="9"/>
    <x v="302"/>
    <x v="249"/>
    <x v="249"/>
    <s v="CHARGES"/>
    <x v="0"/>
    <s v="3221.002"/>
    <s v="Intérêts compensatoires / créances en faveur ctb."/>
    <n v="19.71"/>
    <n v="0"/>
    <n v="3221"/>
  </r>
  <r>
    <x v="0"/>
    <x v="10"/>
    <x v="9"/>
    <x v="302"/>
    <x v="249"/>
    <x v="249"/>
    <s v="CHARGES"/>
    <x v="0"/>
    <s v="3212.004"/>
    <s v="Intérêts rémun./perçu trop tôt sur acomptes C/C"/>
    <n v="0.02"/>
    <n v="0"/>
    <n v="3212"/>
  </r>
  <r>
    <x v="0"/>
    <x v="10"/>
    <x v="9"/>
    <x v="302"/>
    <x v="249"/>
    <x v="249"/>
    <s v="CHARGES"/>
    <x v="0"/>
    <s v="3221.002"/>
    <s v="Intérêts compensatoires / créances en faveur ctb."/>
    <n v="0.01"/>
    <n v="0"/>
    <n v="3221"/>
  </r>
  <r>
    <x v="0"/>
    <x v="10"/>
    <x v="9"/>
    <x v="302"/>
    <x v="249"/>
    <x v="249"/>
    <s v="CHARGES"/>
    <x v="1"/>
    <s v="3301.001"/>
    <s v="Défalcations, abandons de solde PP et IS"/>
    <n v="1.95"/>
    <n v="0"/>
    <n v="3301"/>
  </r>
  <r>
    <x v="0"/>
    <x v="10"/>
    <x v="9"/>
    <x v="302"/>
    <x v="249"/>
    <x v="249"/>
    <s v="CHARGES"/>
    <x v="1"/>
    <s v="3301.001"/>
    <s v="Défalcations, abandons de solde PP et IS"/>
    <n v="8.5500000000000007"/>
    <n v="0"/>
    <n v="3301"/>
  </r>
  <r>
    <x v="0"/>
    <x v="10"/>
    <x v="9"/>
    <x v="302"/>
    <x v="249"/>
    <x v="249"/>
    <s v="CHARGES"/>
    <x v="0"/>
    <s v="3212.002"/>
    <s v="Intérêts bonifiés/trop perçu acompte C/C"/>
    <n v="0.54"/>
    <n v="0"/>
    <n v="3212"/>
  </r>
  <r>
    <x v="0"/>
    <x v="10"/>
    <x v="9"/>
    <x v="302"/>
    <x v="249"/>
    <x v="249"/>
    <s v="CHARGES"/>
    <x v="0"/>
    <s v="3212.002"/>
    <s v="Intérêts bonifiés/trop perçu acompte C/C"/>
    <n v="-7.0000000000000007E-2"/>
    <n v="0"/>
    <n v="3212"/>
  </r>
  <r>
    <x v="0"/>
    <x v="10"/>
    <x v="9"/>
    <x v="302"/>
    <x v="249"/>
    <x v="249"/>
    <s v="CHARGES"/>
    <x v="1"/>
    <s v="3301.001"/>
    <s v="Défalcations, abandons de solde PP et IS"/>
    <n v="679.85"/>
    <n v="0"/>
    <n v="3301"/>
  </r>
  <r>
    <x v="0"/>
    <x v="10"/>
    <x v="9"/>
    <x v="302"/>
    <x v="249"/>
    <x v="249"/>
    <s v="CHARGES"/>
    <x v="1"/>
    <s v="3301.003"/>
    <s v="Remises PP et IS"/>
    <n v="1767.22"/>
    <n v="0"/>
    <n v="3301"/>
  </r>
  <r>
    <x v="0"/>
    <x v="10"/>
    <x v="9"/>
    <x v="302"/>
    <x v="249"/>
    <x v="249"/>
    <s v="CHARGES"/>
    <x v="0"/>
    <s v="3212.004"/>
    <s v="Intérêts rémun./perçu trop tôt sur acomptes C/C"/>
    <n v="0.4"/>
    <n v="0"/>
    <n v="3212"/>
  </r>
  <r>
    <x v="0"/>
    <x v="10"/>
    <x v="9"/>
    <x v="302"/>
    <x v="249"/>
    <x v="249"/>
    <s v="CHARGES"/>
    <x v="0"/>
    <s v="3212.004"/>
    <s v="Intérêts rémun./perçu trop tôt sur acomptes C/C"/>
    <n v="-0.03"/>
    <n v="0"/>
    <n v="3212"/>
  </r>
  <r>
    <x v="0"/>
    <x v="10"/>
    <x v="9"/>
    <x v="302"/>
    <x v="249"/>
    <x v="249"/>
    <s v="CHARGES"/>
    <x v="0"/>
    <s v="3221.002"/>
    <s v="Intérêts compensatoires / créances en faveur ctb."/>
    <n v="-0.25"/>
    <n v="0"/>
    <n v="3221"/>
  </r>
  <r>
    <x v="0"/>
    <x v="10"/>
    <x v="9"/>
    <x v="302"/>
    <x v="249"/>
    <x v="249"/>
    <s v="REVENUS"/>
    <x v="2"/>
    <s v="4001.007"/>
    <s v="Acompte impôt sur revenu"/>
    <n v="0"/>
    <n v="-233212.11"/>
    <n v="4001"/>
  </r>
  <r>
    <x v="0"/>
    <x v="10"/>
    <x v="9"/>
    <x v="302"/>
    <x v="249"/>
    <x v="249"/>
    <s v="REVENUS"/>
    <x v="2"/>
    <s v="4001.001"/>
    <s v="Impôt revenu"/>
    <n v="0"/>
    <n v="42763.65"/>
    <n v="4001"/>
  </r>
  <r>
    <x v="0"/>
    <x v="10"/>
    <x v="9"/>
    <x v="302"/>
    <x v="249"/>
    <x v="249"/>
    <s v="REVENUS"/>
    <x v="2"/>
    <s v="4001.007"/>
    <s v="Acompte impôt sur revenu"/>
    <n v="0"/>
    <n v="-5768.24"/>
    <n v="4001"/>
  </r>
  <r>
    <x v="0"/>
    <x v="10"/>
    <x v="9"/>
    <x v="302"/>
    <x v="249"/>
    <x v="249"/>
    <s v="REVENUS"/>
    <x v="3"/>
    <s v="4002.001"/>
    <s v="Impôt ordinaire s/fortune PP"/>
    <n v="0"/>
    <n v="59099.85"/>
    <n v="4002"/>
  </r>
  <r>
    <x v="0"/>
    <x v="10"/>
    <x v="9"/>
    <x v="302"/>
    <x v="249"/>
    <x v="249"/>
    <s v="REVENUS"/>
    <x v="3"/>
    <s v="4002.007"/>
    <s v="Acompte impôt sur fortune"/>
    <n v="0"/>
    <n v="-5287.3"/>
    <n v="4002"/>
  </r>
  <r>
    <x v="0"/>
    <x v="10"/>
    <x v="9"/>
    <x v="302"/>
    <x v="249"/>
    <x v="249"/>
    <s v="REVENUS"/>
    <x v="6"/>
    <s v="4211.002"/>
    <s v="Intérêts de retard sur acomptes"/>
    <n v="0"/>
    <n v="150.01"/>
    <n v="4211"/>
  </r>
  <r>
    <x v="0"/>
    <x v="10"/>
    <x v="9"/>
    <x v="302"/>
    <x v="249"/>
    <x v="249"/>
    <s v="REVENUS"/>
    <x v="6"/>
    <s v="4221.003"/>
    <s v="Intérêts compensat. / acomptes en faveur du fisc"/>
    <n v="0"/>
    <n v="13.6"/>
    <n v="4221"/>
  </r>
  <r>
    <x v="0"/>
    <x v="10"/>
    <x v="9"/>
    <x v="302"/>
    <x v="249"/>
    <x v="249"/>
    <s v="REVENUS"/>
    <x v="2"/>
    <s v="4001.007"/>
    <s v="Acompte impôt sur revenu"/>
    <n v="0"/>
    <n v="-1518.28"/>
    <n v="4001"/>
  </r>
  <r>
    <x v="0"/>
    <x v="10"/>
    <x v="9"/>
    <x v="302"/>
    <x v="249"/>
    <x v="249"/>
    <s v="REVENUS"/>
    <x v="3"/>
    <s v="4002.007"/>
    <s v="Acompte impôt sur fortune"/>
    <n v="0"/>
    <n v="-2526.54"/>
    <n v="4002"/>
  </r>
  <r>
    <x v="0"/>
    <x v="10"/>
    <x v="9"/>
    <x v="302"/>
    <x v="249"/>
    <x v="249"/>
    <s v="REVENUS"/>
    <x v="2"/>
    <s v="4001.001"/>
    <s v="Impôt revenu"/>
    <n v="0"/>
    <n v="4582865.8"/>
    <n v="4001"/>
  </r>
  <r>
    <x v="0"/>
    <x v="10"/>
    <x v="9"/>
    <x v="302"/>
    <x v="249"/>
    <x v="249"/>
    <s v="REVENUS"/>
    <x v="2"/>
    <s v="4001.002"/>
    <s v="Impôt complément s/revenu PP"/>
    <n v="0"/>
    <n v="829838.8"/>
    <n v="4001"/>
  </r>
  <r>
    <x v="0"/>
    <x v="10"/>
    <x v="9"/>
    <x v="302"/>
    <x v="249"/>
    <x v="249"/>
    <s v="REVENUS"/>
    <x v="3"/>
    <s v="4002.001"/>
    <s v="Impôt ordinaire s/fortune PP"/>
    <n v="0"/>
    <n v="1259412.25"/>
    <n v="4002"/>
  </r>
  <r>
    <x v="0"/>
    <x v="10"/>
    <x v="9"/>
    <x v="302"/>
    <x v="249"/>
    <x v="249"/>
    <s v="REVENUS"/>
    <x v="3"/>
    <s v="4002.007"/>
    <s v="Acompte impôt sur fortune"/>
    <n v="0"/>
    <n v="-130585"/>
    <n v="4002"/>
  </r>
  <r>
    <x v="0"/>
    <x v="10"/>
    <x v="9"/>
    <x v="302"/>
    <x v="249"/>
    <x v="249"/>
    <s v="REVENUS"/>
    <x v="6"/>
    <s v="4211.001"/>
    <s v="Intérêts de retard sur factures"/>
    <n v="0"/>
    <n v="45762.73"/>
    <n v="4211"/>
  </r>
  <r>
    <x v="0"/>
    <x v="10"/>
    <x v="9"/>
    <x v="302"/>
    <x v="249"/>
    <x v="249"/>
    <s v="REVENUS"/>
    <x v="6"/>
    <s v="4221.003"/>
    <s v="Intérêts compensat. / acomptes en faveur du fisc"/>
    <n v="0"/>
    <n v="537.25"/>
    <n v="4221"/>
  </r>
  <r>
    <x v="0"/>
    <x v="10"/>
    <x v="9"/>
    <x v="302"/>
    <x v="249"/>
    <x v="249"/>
    <s v="REVENUS"/>
    <x v="2"/>
    <s v="4001.007"/>
    <s v="Acompte impôt sur revenu"/>
    <n v="0"/>
    <n v="2957.96"/>
    <n v="4001"/>
  </r>
  <r>
    <x v="0"/>
    <x v="10"/>
    <x v="9"/>
    <x v="302"/>
    <x v="249"/>
    <x v="249"/>
    <s v="REVENUS"/>
    <x v="3"/>
    <s v="4002.001"/>
    <s v="Impôt ordinaire s/fortune PP"/>
    <n v="0"/>
    <n v="43645.5"/>
    <n v="4002"/>
  </r>
  <r>
    <x v="0"/>
    <x v="10"/>
    <x v="9"/>
    <x v="302"/>
    <x v="249"/>
    <x v="249"/>
    <s v="REVENUS"/>
    <x v="3"/>
    <s v="4002.007"/>
    <s v="Acompte impôt sur fortune"/>
    <n v="0"/>
    <n v="5206.32"/>
    <n v="4002"/>
  </r>
  <r>
    <x v="0"/>
    <x v="10"/>
    <x v="9"/>
    <x v="302"/>
    <x v="249"/>
    <x v="249"/>
    <s v="REVENUS"/>
    <x v="2"/>
    <s v="4001.001"/>
    <s v="Impôt revenu"/>
    <n v="0"/>
    <n v="12108.9"/>
    <n v="4001"/>
  </r>
  <r>
    <x v="0"/>
    <x v="10"/>
    <x v="9"/>
    <x v="302"/>
    <x v="249"/>
    <x v="249"/>
    <s v="REVENUS"/>
    <x v="2"/>
    <s v="4001.007"/>
    <s v="Acompte impôt sur revenu"/>
    <n v="0"/>
    <n v="-1898.66"/>
    <n v="4001"/>
  </r>
  <r>
    <x v="0"/>
    <x v="10"/>
    <x v="9"/>
    <x v="302"/>
    <x v="249"/>
    <x v="249"/>
    <s v="REVENUS"/>
    <x v="3"/>
    <s v="4002.001"/>
    <s v="Impôt ordinaire s/fortune PP"/>
    <n v="0"/>
    <n v="22957.45"/>
    <n v="4002"/>
  </r>
  <r>
    <x v="0"/>
    <x v="10"/>
    <x v="9"/>
    <x v="302"/>
    <x v="249"/>
    <x v="249"/>
    <s v="REVENUS"/>
    <x v="3"/>
    <s v="4002.007"/>
    <s v="Acompte impôt sur fortune"/>
    <n v="0"/>
    <n v="3001.56"/>
    <n v="4002"/>
  </r>
  <r>
    <x v="0"/>
    <x v="10"/>
    <x v="9"/>
    <x v="302"/>
    <x v="249"/>
    <x v="249"/>
    <s v="REVENUS"/>
    <x v="2"/>
    <s v="4001.001"/>
    <s v="Impôt revenu"/>
    <n v="0"/>
    <n v="4126.45"/>
    <n v="4001"/>
  </r>
  <r>
    <x v="0"/>
    <x v="10"/>
    <x v="9"/>
    <x v="302"/>
    <x v="249"/>
    <x v="249"/>
    <s v="REVENUS"/>
    <x v="2"/>
    <s v="4001.007"/>
    <s v="Acompte impôt sur revenu"/>
    <n v="0"/>
    <n v="-5264.25"/>
    <n v="4001"/>
  </r>
  <r>
    <x v="0"/>
    <x v="10"/>
    <x v="9"/>
    <x v="302"/>
    <x v="249"/>
    <x v="249"/>
    <s v="REVENUS"/>
    <x v="3"/>
    <s v="4002.001"/>
    <s v="Impôt ordinaire s/fortune PP"/>
    <n v="0"/>
    <n v="3283.3"/>
    <n v="4002"/>
  </r>
  <r>
    <x v="0"/>
    <x v="10"/>
    <x v="9"/>
    <x v="302"/>
    <x v="249"/>
    <x v="249"/>
    <s v="REVENUS"/>
    <x v="3"/>
    <s v="4002.007"/>
    <s v="Acompte impôt sur fortune"/>
    <n v="0"/>
    <n v="4722.62"/>
    <n v="4002"/>
  </r>
  <r>
    <x v="0"/>
    <x v="10"/>
    <x v="9"/>
    <x v="302"/>
    <x v="249"/>
    <x v="249"/>
    <s v="REVENUS"/>
    <x v="2"/>
    <s v="4001.002"/>
    <s v="Impôt complément s/revenu PP"/>
    <n v="0"/>
    <n v="1952.4"/>
    <n v="4001"/>
  </r>
  <r>
    <x v="0"/>
    <x v="10"/>
    <x v="9"/>
    <x v="302"/>
    <x v="249"/>
    <x v="249"/>
    <s v="REVENUS"/>
    <x v="3"/>
    <s v="4002.002"/>
    <s v="Impôt complémentaire s/fortune PP"/>
    <n v="0"/>
    <n v="5461.5"/>
    <n v="4002"/>
  </r>
  <r>
    <x v="0"/>
    <x v="10"/>
    <x v="9"/>
    <x v="302"/>
    <x v="249"/>
    <x v="249"/>
    <s v="REVENUS"/>
    <x v="3"/>
    <s v="4002.001"/>
    <s v="Impôt ordinaire s/fortune PP"/>
    <n v="0"/>
    <n v="44055.65"/>
    <n v="4002"/>
  </r>
  <r>
    <x v="0"/>
    <x v="10"/>
    <x v="9"/>
    <x v="302"/>
    <x v="249"/>
    <x v="249"/>
    <s v="REVENUS"/>
    <x v="6"/>
    <s v="4211.002"/>
    <s v="Intérêts de retard sur acomptes"/>
    <n v="0"/>
    <n v="339.21"/>
    <n v="4211"/>
  </r>
  <r>
    <x v="0"/>
    <x v="10"/>
    <x v="9"/>
    <x v="302"/>
    <x v="249"/>
    <x v="249"/>
    <s v="REVENUS"/>
    <x v="6"/>
    <s v="4221.003"/>
    <s v="Intérêts compensat. / acomptes en faveur du fisc"/>
    <n v="0"/>
    <n v="4"/>
    <n v="4221"/>
  </r>
  <r>
    <x v="0"/>
    <x v="10"/>
    <x v="9"/>
    <x v="302"/>
    <x v="249"/>
    <x v="249"/>
    <s v="REVENUS"/>
    <x v="6"/>
    <s v="4211.002"/>
    <s v="Intérêts de retard sur acomptes"/>
    <n v="0"/>
    <n v="41168.75"/>
    <n v="4211"/>
  </r>
  <r>
    <x v="0"/>
    <x v="10"/>
    <x v="9"/>
    <x v="302"/>
    <x v="249"/>
    <x v="249"/>
    <s v="REVENUS"/>
    <x v="7"/>
    <s v="4184.000"/>
    <s v="Frais de poursuite"/>
    <n v="0"/>
    <n v="8084.1"/>
    <n v="4184"/>
  </r>
  <r>
    <x v="0"/>
    <x v="10"/>
    <x v="9"/>
    <x v="302"/>
    <x v="249"/>
    <x v="249"/>
    <s v="REVENUS"/>
    <x v="3"/>
    <s v="4002.002"/>
    <s v="Impôt complémentaire s/fortune PP"/>
    <n v="0"/>
    <n v="158312.5"/>
    <n v="4002"/>
  </r>
  <r>
    <x v="0"/>
    <x v="10"/>
    <x v="9"/>
    <x v="302"/>
    <x v="249"/>
    <x v="249"/>
    <s v="REVENUS"/>
    <x v="2"/>
    <s v="4001.001"/>
    <s v="Impôt revenu"/>
    <n v="0"/>
    <n v="36443.949999999997"/>
    <n v="4001"/>
  </r>
  <r>
    <x v="0"/>
    <x v="10"/>
    <x v="9"/>
    <x v="302"/>
    <x v="249"/>
    <x v="249"/>
    <s v="REVENUS"/>
    <x v="2"/>
    <s v="4001.001"/>
    <s v="Impôt revenu"/>
    <n v="0"/>
    <n v="24624"/>
    <n v="4001"/>
  </r>
  <r>
    <x v="0"/>
    <x v="10"/>
    <x v="9"/>
    <x v="302"/>
    <x v="249"/>
    <x v="249"/>
    <s v="REVENUS"/>
    <x v="2"/>
    <s v="4001.007"/>
    <s v="Acompte impôt sur revenu"/>
    <n v="0"/>
    <n v="-10700.97"/>
    <n v="4001"/>
  </r>
  <r>
    <x v="0"/>
    <x v="10"/>
    <x v="9"/>
    <x v="302"/>
    <x v="249"/>
    <x v="249"/>
    <s v="REVENUS"/>
    <x v="3"/>
    <s v="4002.001"/>
    <s v="Impôt ordinaire s/fortune PP"/>
    <n v="0"/>
    <n v="3929.25"/>
    <n v="4002"/>
  </r>
  <r>
    <x v="0"/>
    <x v="10"/>
    <x v="9"/>
    <x v="302"/>
    <x v="249"/>
    <x v="249"/>
    <s v="REVENUS"/>
    <x v="3"/>
    <s v="4002.007"/>
    <s v="Acompte impôt sur fortune"/>
    <n v="0"/>
    <n v="-5835.6"/>
    <n v="4002"/>
  </r>
  <r>
    <x v="0"/>
    <x v="10"/>
    <x v="9"/>
    <x v="302"/>
    <x v="249"/>
    <x v="249"/>
    <s v="REVENUS"/>
    <x v="2"/>
    <s v="4001.002"/>
    <s v="Impôt complément s/revenu PP"/>
    <n v="0"/>
    <n v="17539.650000000001"/>
    <n v="4001"/>
  </r>
  <r>
    <x v="0"/>
    <x v="10"/>
    <x v="9"/>
    <x v="302"/>
    <x v="249"/>
    <x v="249"/>
    <s v="REVENUS"/>
    <x v="6"/>
    <s v="4211.001"/>
    <s v="Intérêts de retard sur factures"/>
    <n v="0"/>
    <n v="2.65"/>
    <n v="4211"/>
  </r>
  <r>
    <x v="0"/>
    <x v="10"/>
    <x v="9"/>
    <x v="302"/>
    <x v="249"/>
    <x v="249"/>
    <s v="REVENUS"/>
    <x v="6"/>
    <s v="4211.002"/>
    <s v="Intérêts de retard sur acomptes"/>
    <n v="0"/>
    <n v="16.670000000000002"/>
    <n v="4211"/>
  </r>
  <r>
    <x v="0"/>
    <x v="10"/>
    <x v="9"/>
    <x v="302"/>
    <x v="249"/>
    <x v="249"/>
    <s v="REVENUS"/>
    <x v="6"/>
    <s v="4221.003"/>
    <s v="Intérêts compensat. / acomptes en faveur du fisc"/>
    <n v="0"/>
    <n v="0.08"/>
    <n v="4221"/>
  </r>
  <r>
    <x v="0"/>
    <x v="10"/>
    <x v="9"/>
    <x v="302"/>
    <x v="249"/>
    <x v="249"/>
    <s v="REVENUS"/>
    <x v="2"/>
    <s v="4001.007"/>
    <s v="Acompte impôt sur revenu"/>
    <n v="0"/>
    <n v="-3331.2"/>
    <n v="4001"/>
  </r>
  <r>
    <x v="0"/>
    <x v="10"/>
    <x v="9"/>
    <x v="302"/>
    <x v="249"/>
    <x v="249"/>
    <s v="REVENUS"/>
    <x v="3"/>
    <s v="4002.007"/>
    <s v="Acompte impôt sur fortune"/>
    <n v="0"/>
    <n v="-4063.25"/>
    <n v="4002"/>
  </r>
  <r>
    <x v="0"/>
    <x v="10"/>
    <x v="9"/>
    <x v="302"/>
    <x v="249"/>
    <x v="249"/>
    <s v="REVENUS"/>
    <x v="2"/>
    <s v="4001.001"/>
    <s v="Impôt revenu"/>
    <n v="0"/>
    <n v="31603.599999999999"/>
    <n v="4001"/>
  </r>
  <r>
    <x v="0"/>
    <x v="10"/>
    <x v="9"/>
    <x v="302"/>
    <x v="249"/>
    <x v="249"/>
    <s v="REVENUS"/>
    <x v="6"/>
    <s v="4211.001"/>
    <s v="Intérêts de retard sur factures"/>
    <n v="0"/>
    <n v="20.83"/>
    <n v="4211"/>
  </r>
  <r>
    <x v="0"/>
    <x v="10"/>
    <x v="9"/>
    <x v="302"/>
    <x v="249"/>
    <x v="249"/>
    <s v="REVENUS"/>
    <x v="2"/>
    <s v="4001.003"/>
    <s v="Impôt s/prest. cap. PP"/>
    <n v="0"/>
    <n v="161244.29999999999"/>
    <n v="4001"/>
  </r>
  <r>
    <x v="0"/>
    <x v="10"/>
    <x v="9"/>
    <x v="302"/>
    <x v="249"/>
    <x v="249"/>
    <s v="REVENUS"/>
    <x v="6"/>
    <s v="4221.002"/>
    <s v="Intérêts compensat. sur impôts distincts"/>
    <n v="0"/>
    <n v="1157.53"/>
    <n v="4221"/>
  </r>
  <r>
    <x v="0"/>
    <x v="10"/>
    <x v="9"/>
    <x v="302"/>
    <x v="249"/>
    <x v="249"/>
    <s v="REVENUS"/>
    <x v="6"/>
    <s v="4211.001"/>
    <s v="Intérêts de retard sur factures"/>
    <n v="0"/>
    <n v="59.91"/>
    <n v="4211"/>
  </r>
  <r>
    <x v="0"/>
    <x v="10"/>
    <x v="9"/>
    <x v="302"/>
    <x v="249"/>
    <x v="249"/>
    <s v="REVENUS"/>
    <x v="12"/>
    <s v="4004.007"/>
    <s v="Acompte spécial étrangers"/>
    <n v="0"/>
    <n v="-66793.05"/>
    <n v="4004"/>
  </r>
  <r>
    <x v="0"/>
    <x v="10"/>
    <x v="9"/>
    <x v="302"/>
    <x v="249"/>
    <x v="249"/>
    <s v="REVENUS"/>
    <x v="9"/>
    <s v="4031.001"/>
    <s v="Impôt sur les gains immobiliers"/>
    <n v="0"/>
    <n v="200912.65"/>
    <n v="4031"/>
  </r>
  <r>
    <x v="0"/>
    <x v="10"/>
    <x v="9"/>
    <x v="302"/>
    <x v="249"/>
    <x v="249"/>
    <s v="REVENUS"/>
    <x v="10"/>
    <s v="4041.001"/>
    <s v="Droits de mutation"/>
    <n v="0"/>
    <n v="323867.05"/>
    <n v="4041"/>
  </r>
  <r>
    <x v="0"/>
    <x v="10"/>
    <x v="9"/>
    <x v="302"/>
    <x v="249"/>
    <x v="249"/>
    <s v="REVENUS"/>
    <x v="6"/>
    <s v="4211.002"/>
    <s v="Intérêts de retard sur acomptes"/>
    <n v="0"/>
    <n v="243.13"/>
    <n v="4211"/>
  </r>
  <r>
    <x v="0"/>
    <x v="10"/>
    <x v="9"/>
    <x v="302"/>
    <x v="249"/>
    <x v="249"/>
    <s v="REVENUS"/>
    <x v="6"/>
    <s v="4221.003"/>
    <s v="Intérêts compensat. / acomptes en faveur du fisc"/>
    <n v="0"/>
    <n v="9.0299999999999994"/>
    <n v="4221"/>
  </r>
  <r>
    <x v="0"/>
    <x v="10"/>
    <x v="9"/>
    <x v="302"/>
    <x v="249"/>
    <x v="249"/>
    <s v="REVENUS"/>
    <x v="2"/>
    <s v="4001.001"/>
    <s v="Impôt revenu"/>
    <n v="0"/>
    <n v="-42.2"/>
    <n v="4001"/>
  </r>
  <r>
    <x v="0"/>
    <x v="10"/>
    <x v="9"/>
    <x v="302"/>
    <x v="249"/>
    <x v="249"/>
    <s v="REVENUS"/>
    <x v="3"/>
    <s v="4002.001"/>
    <s v="Impôt ordinaire s/fortune PP"/>
    <n v="0"/>
    <n v="-11.25"/>
    <n v="4002"/>
  </r>
  <r>
    <x v="0"/>
    <x v="10"/>
    <x v="9"/>
    <x v="302"/>
    <x v="249"/>
    <x v="249"/>
    <s v="REVENUS"/>
    <x v="7"/>
    <s v="4184.000"/>
    <s v="Frais de poursuite"/>
    <n v="0"/>
    <n v="2199.29"/>
    <n v="4184"/>
  </r>
  <r>
    <x v="0"/>
    <x v="10"/>
    <x v="9"/>
    <x v="302"/>
    <x v="249"/>
    <x v="249"/>
    <s v="REVENUS"/>
    <x v="2"/>
    <s v="4001.002"/>
    <s v="Impôt complément s/revenu PP"/>
    <n v="0"/>
    <n v="9445.35"/>
    <n v="4001"/>
  </r>
  <r>
    <x v="0"/>
    <x v="10"/>
    <x v="9"/>
    <x v="302"/>
    <x v="249"/>
    <x v="249"/>
    <s v="REVENUS"/>
    <x v="3"/>
    <s v="4002.002"/>
    <s v="Impôt complémentaire s/fortune PP"/>
    <n v="0"/>
    <n v="7306"/>
    <n v="4002"/>
  </r>
  <r>
    <x v="0"/>
    <x v="10"/>
    <x v="9"/>
    <x v="302"/>
    <x v="249"/>
    <x v="249"/>
    <s v="REVENUS"/>
    <x v="6"/>
    <s v="4211.001"/>
    <s v="Intérêts de retard sur factures"/>
    <n v="0"/>
    <n v="42.77"/>
    <n v="4211"/>
  </r>
  <r>
    <x v="0"/>
    <x v="10"/>
    <x v="9"/>
    <x v="302"/>
    <x v="249"/>
    <x v="249"/>
    <s v="REVENUS"/>
    <x v="4"/>
    <s v="4051.001"/>
    <s v="Impôt sur les successions"/>
    <n v="0"/>
    <n v="851251.4"/>
    <n v="4051"/>
  </r>
  <r>
    <x v="0"/>
    <x v="10"/>
    <x v="9"/>
    <x v="302"/>
    <x v="249"/>
    <x v="249"/>
    <s v="REVENUS"/>
    <x v="2"/>
    <s v="4001.007"/>
    <s v="Acompte impôt sur revenu"/>
    <n v="0"/>
    <n v="-3887.3"/>
    <n v="4001"/>
  </r>
  <r>
    <x v="0"/>
    <x v="10"/>
    <x v="9"/>
    <x v="302"/>
    <x v="249"/>
    <x v="249"/>
    <s v="REVENUS"/>
    <x v="3"/>
    <s v="4002.007"/>
    <s v="Acompte impôt sur fortune"/>
    <n v="0"/>
    <n v="6419.54"/>
    <n v="4002"/>
  </r>
  <r>
    <x v="0"/>
    <x v="10"/>
    <x v="9"/>
    <x v="302"/>
    <x v="249"/>
    <x v="249"/>
    <s v="REVENUS"/>
    <x v="9"/>
    <s v="4031.002"/>
    <s v="Complément impôt sur les gains immobiliers"/>
    <n v="0"/>
    <n v="51734.3"/>
    <n v="4031"/>
  </r>
  <r>
    <x v="0"/>
    <x v="10"/>
    <x v="9"/>
    <x v="302"/>
    <x v="249"/>
    <x v="249"/>
    <s v="REVENUS"/>
    <x v="5"/>
    <s v="4061.000"/>
    <s v="Impôt sur les chiens"/>
    <n v="0"/>
    <n v="24360"/>
    <n v="4061"/>
  </r>
  <r>
    <x v="0"/>
    <x v="10"/>
    <x v="9"/>
    <x v="302"/>
    <x v="249"/>
    <x v="249"/>
    <s v="REVENUS"/>
    <x v="3"/>
    <s v="4002.002"/>
    <s v="Impôt complémentaire s/fortune PP"/>
    <n v="0"/>
    <n v="5352.4"/>
    <n v="4002"/>
  </r>
  <r>
    <x v="0"/>
    <x v="10"/>
    <x v="9"/>
    <x v="302"/>
    <x v="249"/>
    <x v="249"/>
    <s v="REVENUS"/>
    <x v="6"/>
    <s v="4211.001"/>
    <s v="Intérêts de retard sur factures"/>
    <n v="0"/>
    <n v="404.05"/>
    <n v="4211"/>
  </r>
  <r>
    <x v="0"/>
    <x v="10"/>
    <x v="9"/>
    <x v="302"/>
    <x v="249"/>
    <x v="249"/>
    <s v="REVENUS"/>
    <x v="6"/>
    <s v="4211.002"/>
    <s v="Intérêts de retard sur acomptes"/>
    <n v="0"/>
    <n v="50.71"/>
    <n v="4211"/>
  </r>
  <r>
    <x v="0"/>
    <x v="10"/>
    <x v="9"/>
    <x v="302"/>
    <x v="249"/>
    <x v="249"/>
    <s v="REVENUS"/>
    <x v="6"/>
    <s v="4221.003"/>
    <s v="Intérêts compensat. / acomptes en faveur du fisc"/>
    <n v="0"/>
    <n v="6.15"/>
    <n v="4221"/>
  </r>
  <r>
    <x v="0"/>
    <x v="10"/>
    <x v="9"/>
    <x v="302"/>
    <x v="249"/>
    <x v="249"/>
    <s v="REVENUS"/>
    <x v="6"/>
    <s v="4221.003"/>
    <s v="Intérêts compensat. / acomptes en faveur du fisc"/>
    <n v="0"/>
    <n v="1.06"/>
    <n v="4221"/>
  </r>
  <r>
    <x v="0"/>
    <x v="10"/>
    <x v="9"/>
    <x v="302"/>
    <x v="249"/>
    <x v="249"/>
    <s v="REVENUS"/>
    <x v="7"/>
    <s v="4184.000"/>
    <s v="Frais de poursuite"/>
    <n v="0"/>
    <n v="3.77"/>
    <n v="4184"/>
  </r>
  <r>
    <x v="0"/>
    <x v="10"/>
    <x v="9"/>
    <x v="302"/>
    <x v="249"/>
    <x v="249"/>
    <s v="REVENUS"/>
    <x v="7"/>
    <s v="4184.000"/>
    <s v="Frais de poursuite"/>
    <n v="0"/>
    <n v="642.61"/>
    <n v="4184"/>
  </r>
  <r>
    <x v="0"/>
    <x v="10"/>
    <x v="9"/>
    <x v="302"/>
    <x v="249"/>
    <x v="249"/>
    <s v="REVENUS"/>
    <x v="12"/>
    <s v="4004.000"/>
    <s v="Impôt spécial étrangers"/>
    <n v="0"/>
    <n v="598583.1"/>
    <n v="4004"/>
  </r>
  <r>
    <x v="0"/>
    <x v="10"/>
    <x v="9"/>
    <x v="302"/>
    <x v="249"/>
    <x v="249"/>
    <s v="REVENUS"/>
    <x v="4"/>
    <s v="4051.002"/>
    <s v="Impôt sur les donations"/>
    <n v="0"/>
    <n v="150754.6"/>
    <n v="4051"/>
  </r>
  <r>
    <x v="0"/>
    <x v="10"/>
    <x v="9"/>
    <x v="302"/>
    <x v="249"/>
    <x v="249"/>
    <s v="REVENUS"/>
    <x v="6"/>
    <s v="4211.001"/>
    <s v="Intérêts de retard sur factures"/>
    <n v="0"/>
    <n v="4.87"/>
    <n v="4211"/>
  </r>
  <r>
    <x v="0"/>
    <x v="10"/>
    <x v="9"/>
    <x v="302"/>
    <x v="249"/>
    <x v="249"/>
    <s v="REVENUS"/>
    <x v="6"/>
    <s v="4211.002"/>
    <s v="Intérêts de retard sur acomptes"/>
    <n v="0"/>
    <n v="70.010000000000005"/>
    <n v="4211"/>
  </r>
  <r>
    <x v="0"/>
    <x v="10"/>
    <x v="9"/>
    <x v="302"/>
    <x v="249"/>
    <x v="249"/>
    <s v="REVENUS"/>
    <x v="2"/>
    <s v="4001.002"/>
    <s v="Impôt complément s/revenu PP"/>
    <n v="0"/>
    <n v="3874.35"/>
    <n v="4001"/>
  </r>
  <r>
    <x v="0"/>
    <x v="10"/>
    <x v="9"/>
    <x v="302"/>
    <x v="249"/>
    <x v="249"/>
    <s v="REVENUS"/>
    <x v="3"/>
    <s v="4002.002"/>
    <s v="Impôt complémentaire s/fortune PP"/>
    <n v="0"/>
    <n v="7252.65"/>
    <n v="4002"/>
  </r>
  <r>
    <x v="0"/>
    <x v="10"/>
    <x v="9"/>
    <x v="302"/>
    <x v="249"/>
    <x v="249"/>
    <s v="REVENUS"/>
    <x v="10"/>
    <s v="4041.002"/>
    <s v="Complément droit de mutation"/>
    <n v="0"/>
    <n v="2230.8000000000002"/>
    <n v="4041"/>
  </r>
  <r>
    <x v="0"/>
    <x v="10"/>
    <x v="9"/>
    <x v="302"/>
    <x v="249"/>
    <x v="249"/>
    <s v="REVENUS"/>
    <x v="8"/>
    <s v="4091.001"/>
    <s v="Impôt récupéré après défalcations"/>
    <n v="0"/>
    <n v="1163.83"/>
    <n v="4091"/>
  </r>
  <r>
    <x v="0"/>
    <x v="10"/>
    <x v="9"/>
    <x v="302"/>
    <x v="249"/>
    <x v="249"/>
    <s v="REVENUS"/>
    <x v="4"/>
    <s v="4051.001"/>
    <s v="Impôt sur les successions"/>
    <n v="0"/>
    <n v="13382.5"/>
    <n v="4051"/>
  </r>
  <r>
    <x v="0"/>
    <x v="10"/>
    <x v="9"/>
    <x v="302"/>
    <x v="249"/>
    <x v="249"/>
    <s v="REVENUS"/>
    <x v="6"/>
    <s v="4221.002"/>
    <s v="Intérêts compensat. sur impôts distincts"/>
    <n v="0"/>
    <n v="0.1"/>
    <n v="4221"/>
  </r>
  <r>
    <x v="0"/>
    <x v="10"/>
    <x v="9"/>
    <x v="302"/>
    <x v="249"/>
    <x v="249"/>
    <s v="REVENUS"/>
    <x v="2"/>
    <s v="4001.002"/>
    <s v="Impôt complément s/revenu PP"/>
    <n v="0"/>
    <n v="3766.5"/>
    <n v="4001"/>
  </r>
  <r>
    <x v="0"/>
    <x v="10"/>
    <x v="9"/>
    <x v="302"/>
    <x v="249"/>
    <x v="249"/>
    <s v="REVENUS"/>
    <x v="7"/>
    <s v="4184.000"/>
    <s v="Frais de poursuite"/>
    <n v="0"/>
    <n v="45.62"/>
    <n v="4184"/>
  </r>
  <r>
    <x v="0"/>
    <x v="10"/>
    <x v="9"/>
    <x v="302"/>
    <x v="249"/>
    <x v="249"/>
    <s v="REVENUS"/>
    <x v="13"/>
    <s v="4371.013"/>
    <s v="Amende soustraction LMSD"/>
    <n v="0"/>
    <n v="22158.85"/>
    <n v="4371"/>
  </r>
  <r>
    <x v="0"/>
    <x v="10"/>
    <x v="9"/>
    <x v="302"/>
    <x v="249"/>
    <x v="249"/>
    <s v="REVENUS"/>
    <x v="4"/>
    <s v="4051.001"/>
    <s v="Impôt sur les successions"/>
    <n v="0"/>
    <n v="4595.5"/>
    <n v="4051"/>
  </r>
  <r>
    <x v="0"/>
    <x v="10"/>
    <x v="9"/>
    <x v="302"/>
    <x v="249"/>
    <x v="249"/>
    <s v="REVENUS"/>
    <x v="6"/>
    <s v="4221.002"/>
    <s v="Intérêts compensat. sur impôts distincts"/>
    <n v="0"/>
    <n v="0.49"/>
    <n v="4221"/>
  </r>
  <r>
    <x v="0"/>
    <x v="10"/>
    <x v="9"/>
    <x v="302"/>
    <x v="249"/>
    <x v="249"/>
    <s v="REVENUS"/>
    <x v="3"/>
    <s v="4002.002"/>
    <s v="Impôt complémentaire s/fortune PP"/>
    <n v="0"/>
    <n v="4907.3500000000004"/>
    <n v="4002"/>
  </r>
  <r>
    <x v="0"/>
    <x v="10"/>
    <x v="9"/>
    <x v="302"/>
    <x v="249"/>
    <x v="249"/>
    <s v="REVENUS"/>
    <x v="2"/>
    <s v="4001.001"/>
    <s v="Impôt revenu"/>
    <n v="0"/>
    <n v="43.35"/>
    <n v="4001"/>
  </r>
  <r>
    <x v="0"/>
    <x v="10"/>
    <x v="9"/>
    <x v="302"/>
    <x v="249"/>
    <x v="249"/>
    <s v="REVENUS"/>
    <x v="3"/>
    <s v="4002.001"/>
    <s v="Impôt ordinaire s/fortune PP"/>
    <n v="0"/>
    <n v="93.2"/>
    <n v="4002"/>
  </r>
  <r>
    <x v="0"/>
    <x v="10"/>
    <x v="9"/>
    <x v="302"/>
    <x v="249"/>
    <x v="249"/>
    <s v="REVENUS"/>
    <x v="6"/>
    <s v="4211.002"/>
    <s v="Intérêts de retard sur acomptes"/>
    <n v="0"/>
    <n v="7.0000000000000007E-2"/>
    <n v="4211"/>
  </r>
  <r>
    <x v="0"/>
    <x v="10"/>
    <x v="9"/>
    <x v="302"/>
    <x v="249"/>
    <x v="249"/>
    <s v="REVENUS"/>
    <x v="4"/>
    <s v="4051.001"/>
    <s v="Impôt sur les successions"/>
    <n v="0"/>
    <n v="15.3"/>
    <n v="4051"/>
  </r>
  <r>
    <x v="0"/>
    <x v="10"/>
    <x v="9"/>
    <x v="302"/>
    <x v="249"/>
    <x v="249"/>
    <s v="REVENUS"/>
    <x v="6"/>
    <s v="4221.002"/>
    <s v="Intérêts compensat. sur impôts distincts"/>
    <n v="0"/>
    <n v="0.03"/>
    <n v="4221"/>
  </r>
  <r>
    <x v="0"/>
    <x v="10"/>
    <x v="9"/>
    <x v="302"/>
    <x v="249"/>
    <x v="249"/>
    <s v="REVENUS"/>
    <x v="4"/>
    <s v="4051.001"/>
    <s v="Impôt sur les successions"/>
    <n v="0"/>
    <n v="621.20000000000005"/>
    <n v="4051"/>
  </r>
  <r>
    <x v="0"/>
    <x v="10"/>
    <x v="9"/>
    <x v="302"/>
    <x v="249"/>
    <x v="249"/>
    <s v="REVENUS"/>
    <x v="6"/>
    <s v="4221.002"/>
    <s v="Intérêts compensat. sur impôts distincts"/>
    <n v="0"/>
    <n v="1.69"/>
    <n v="4221"/>
  </r>
  <r>
    <x v="0"/>
    <x v="10"/>
    <x v="9"/>
    <x v="302"/>
    <x v="249"/>
    <x v="249"/>
    <s v="REVENUS"/>
    <x v="8"/>
    <s v="4091.001"/>
    <s v="Impôt récupéré après défalcations"/>
    <n v="0"/>
    <n v="14317.25"/>
    <n v="4091"/>
  </r>
  <r>
    <x v="0"/>
    <x v="10"/>
    <x v="9"/>
    <x v="302"/>
    <x v="249"/>
    <x v="249"/>
    <s v="REVENUS"/>
    <x v="2"/>
    <s v="4001.001"/>
    <s v="Impôt revenu"/>
    <n v="0"/>
    <n v="-559.15"/>
    <n v="4001"/>
  </r>
  <r>
    <x v="0"/>
    <x v="10"/>
    <x v="9"/>
    <x v="302"/>
    <x v="249"/>
    <x v="249"/>
    <s v="REVENUS"/>
    <x v="3"/>
    <s v="4002.001"/>
    <s v="Impôt ordinaire s/fortune PP"/>
    <n v="0"/>
    <n v="-424.85"/>
    <n v="4002"/>
  </r>
  <r>
    <x v="0"/>
    <x v="10"/>
    <x v="9"/>
    <x v="302"/>
    <x v="249"/>
    <x v="249"/>
    <s v="REVENUS"/>
    <x v="6"/>
    <s v="4211.002"/>
    <s v="Intérêts de retard sur acomptes"/>
    <n v="0"/>
    <n v="-0.56000000000000005"/>
    <n v="4211"/>
  </r>
  <r>
    <x v="0"/>
    <x v="10"/>
    <x v="9"/>
    <x v="303"/>
    <x v="250"/>
    <x v="250"/>
    <s v="CHARGES"/>
    <x v="1"/>
    <s v="3301.001"/>
    <s v="Défalcations, abandons de solde PP et IS"/>
    <n v="27.55"/>
    <n v="0"/>
    <n v="3301"/>
  </r>
  <r>
    <x v="0"/>
    <x v="10"/>
    <x v="9"/>
    <x v="303"/>
    <x v="250"/>
    <x v="250"/>
    <s v="CHARGES"/>
    <x v="0"/>
    <s v="3212.004"/>
    <s v="Intérêts rémun./perçu trop tôt sur acomptes C/C"/>
    <n v="5.69"/>
    <n v="0"/>
    <n v="3212"/>
  </r>
  <r>
    <x v="0"/>
    <x v="10"/>
    <x v="9"/>
    <x v="303"/>
    <x v="250"/>
    <x v="250"/>
    <s v="CHARGES"/>
    <x v="1"/>
    <s v="3301.001"/>
    <s v="Défalcations, abandons de solde PP et IS"/>
    <n v="7.0000000000000007E-2"/>
    <n v="0"/>
    <n v="3301"/>
  </r>
  <r>
    <x v="0"/>
    <x v="10"/>
    <x v="9"/>
    <x v="303"/>
    <x v="250"/>
    <x v="250"/>
    <s v="CHARGES"/>
    <x v="1"/>
    <s v="3301.001"/>
    <s v="Défalcations, abandons de solde PP et IS"/>
    <n v="0.68"/>
    <n v="0"/>
    <n v="3301"/>
  </r>
  <r>
    <x v="0"/>
    <x v="10"/>
    <x v="9"/>
    <x v="303"/>
    <x v="250"/>
    <x v="250"/>
    <s v="CHARGES"/>
    <x v="0"/>
    <s v="3221.002"/>
    <s v="Intérêts compensatoires / créances en faveur ctb."/>
    <n v="0.57999999999999996"/>
    <n v="0"/>
    <n v="3221"/>
  </r>
  <r>
    <x v="0"/>
    <x v="10"/>
    <x v="9"/>
    <x v="303"/>
    <x v="250"/>
    <x v="250"/>
    <s v="CHARGES"/>
    <x v="0"/>
    <s v="3212.004"/>
    <s v="Intérêts rémun./perçu trop tôt sur acomptes C/C"/>
    <n v="259.49"/>
    <n v="0"/>
    <n v="3212"/>
  </r>
  <r>
    <x v="0"/>
    <x v="10"/>
    <x v="9"/>
    <x v="303"/>
    <x v="250"/>
    <x v="250"/>
    <s v="CHARGES"/>
    <x v="0"/>
    <s v="3212.002"/>
    <s v="Intérêts bonifiés/trop perçu acompte C/C"/>
    <n v="1.79"/>
    <n v="0"/>
    <n v="3212"/>
  </r>
  <r>
    <x v="0"/>
    <x v="10"/>
    <x v="9"/>
    <x v="303"/>
    <x v="250"/>
    <x v="250"/>
    <s v="CHARGES"/>
    <x v="0"/>
    <s v="3221.002"/>
    <s v="Intérêts compensatoires / créances en faveur ctb."/>
    <n v="87.4"/>
    <n v="0"/>
    <n v="3221"/>
  </r>
  <r>
    <x v="0"/>
    <x v="10"/>
    <x v="9"/>
    <x v="303"/>
    <x v="250"/>
    <x v="250"/>
    <s v="CHARGES"/>
    <x v="0"/>
    <s v="3212.004"/>
    <s v="Intérêts rémun./perçu trop tôt sur acomptes C/C"/>
    <n v="4.1100000000000003"/>
    <n v="0"/>
    <n v="3212"/>
  </r>
  <r>
    <x v="0"/>
    <x v="10"/>
    <x v="9"/>
    <x v="303"/>
    <x v="250"/>
    <x v="250"/>
    <s v="CHARGES"/>
    <x v="0"/>
    <s v="3212.004"/>
    <s v="Intérêts rémun./perçu trop tôt sur acomptes C/C"/>
    <n v="0.49"/>
    <n v="0"/>
    <n v="3212"/>
  </r>
  <r>
    <x v="0"/>
    <x v="10"/>
    <x v="9"/>
    <x v="303"/>
    <x v="250"/>
    <x v="250"/>
    <s v="CHARGES"/>
    <x v="0"/>
    <s v="3221.002"/>
    <s v="Intérêts compensatoires / créances en faveur ctb."/>
    <n v="0.18"/>
    <n v="0"/>
    <n v="3221"/>
  </r>
  <r>
    <x v="0"/>
    <x v="10"/>
    <x v="9"/>
    <x v="303"/>
    <x v="250"/>
    <x v="250"/>
    <s v="CHARGES"/>
    <x v="0"/>
    <s v="3212.004"/>
    <s v="Intérêts rémun./perçu trop tôt sur acomptes C/C"/>
    <n v="6.75"/>
    <n v="0"/>
    <n v="3212"/>
  </r>
  <r>
    <x v="0"/>
    <x v="10"/>
    <x v="9"/>
    <x v="303"/>
    <x v="250"/>
    <x v="250"/>
    <s v="CHARGES"/>
    <x v="0"/>
    <s v="3221.002"/>
    <s v="Intérêts compensatoires / créances en faveur ctb."/>
    <n v="3.36"/>
    <n v="0"/>
    <n v="3221"/>
  </r>
  <r>
    <x v="0"/>
    <x v="10"/>
    <x v="9"/>
    <x v="303"/>
    <x v="250"/>
    <x v="250"/>
    <s v="CHARGES"/>
    <x v="0"/>
    <s v="3221.002"/>
    <s v="Intérêts compensatoires / créances en faveur ctb."/>
    <n v="2.48"/>
    <n v="0"/>
    <n v="3221"/>
  </r>
  <r>
    <x v="0"/>
    <x v="10"/>
    <x v="9"/>
    <x v="303"/>
    <x v="250"/>
    <x v="250"/>
    <s v="CHARGES"/>
    <x v="0"/>
    <s v="3212.002"/>
    <s v="Intérêts bonifiés/trop perçu acompte C/C"/>
    <n v="0"/>
    <n v="0"/>
    <n v="3212"/>
  </r>
  <r>
    <x v="0"/>
    <x v="10"/>
    <x v="9"/>
    <x v="303"/>
    <x v="250"/>
    <x v="250"/>
    <s v="CHARGES"/>
    <x v="1"/>
    <s v="3301.001"/>
    <s v="Défalcations, abandons de solde PP et IS"/>
    <n v="1.07"/>
    <n v="0"/>
    <n v="3301"/>
  </r>
  <r>
    <x v="0"/>
    <x v="10"/>
    <x v="9"/>
    <x v="303"/>
    <x v="250"/>
    <x v="250"/>
    <s v="CHARGES"/>
    <x v="0"/>
    <s v="3212.004"/>
    <s v="Intérêts rémun./perçu trop tôt sur acomptes C/C"/>
    <n v="0.04"/>
    <n v="0"/>
    <n v="3212"/>
  </r>
  <r>
    <x v="0"/>
    <x v="10"/>
    <x v="9"/>
    <x v="303"/>
    <x v="250"/>
    <x v="250"/>
    <s v="CHARGES"/>
    <x v="0"/>
    <s v="3221.002"/>
    <s v="Intérêts compensatoires / créances en faveur ctb."/>
    <n v="7.0000000000000007E-2"/>
    <n v="0"/>
    <n v="3221"/>
  </r>
  <r>
    <x v="0"/>
    <x v="10"/>
    <x v="9"/>
    <x v="303"/>
    <x v="250"/>
    <x v="250"/>
    <s v="CHARGES"/>
    <x v="1"/>
    <s v="3301.001"/>
    <s v="Défalcations, abandons de solde PP et IS"/>
    <n v="0.08"/>
    <n v="0"/>
    <n v="3301"/>
  </r>
  <r>
    <x v="0"/>
    <x v="10"/>
    <x v="9"/>
    <x v="303"/>
    <x v="250"/>
    <x v="250"/>
    <s v="CHARGES"/>
    <x v="1"/>
    <s v="3301.001"/>
    <s v="Défalcations, abandons de solde PP et IS"/>
    <n v="0.03"/>
    <n v="0"/>
    <n v="3301"/>
  </r>
  <r>
    <x v="0"/>
    <x v="10"/>
    <x v="9"/>
    <x v="303"/>
    <x v="250"/>
    <x v="250"/>
    <s v="CHARGES"/>
    <x v="0"/>
    <s v="3212.004"/>
    <s v="Intérêts rémun./perçu trop tôt sur acomptes C/C"/>
    <n v="0.03"/>
    <n v="0"/>
    <n v="3212"/>
  </r>
  <r>
    <x v="0"/>
    <x v="10"/>
    <x v="9"/>
    <x v="303"/>
    <x v="250"/>
    <x v="250"/>
    <s v="CHARGES"/>
    <x v="0"/>
    <s v="3221.002"/>
    <s v="Intérêts compensatoires / créances en faveur ctb."/>
    <n v="0.08"/>
    <n v="0"/>
    <n v="3221"/>
  </r>
  <r>
    <x v="0"/>
    <x v="10"/>
    <x v="9"/>
    <x v="303"/>
    <x v="250"/>
    <x v="250"/>
    <s v="CHARGES"/>
    <x v="1"/>
    <s v="3301.003"/>
    <s v="Remises PP et IS"/>
    <n v="173.05"/>
    <n v="0"/>
    <n v="3301"/>
  </r>
  <r>
    <x v="0"/>
    <x v="10"/>
    <x v="9"/>
    <x v="303"/>
    <x v="250"/>
    <x v="250"/>
    <s v="REVENUS"/>
    <x v="2"/>
    <s v="4001.007"/>
    <s v="Acompte impôt sur revenu"/>
    <n v="0"/>
    <n v="537.42999999999995"/>
    <n v="4001"/>
  </r>
  <r>
    <x v="0"/>
    <x v="10"/>
    <x v="9"/>
    <x v="303"/>
    <x v="250"/>
    <x v="250"/>
    <s v="REVENUS"/>
    <x v="6"/>
    <s v="4211.001"/>
    <s v="Intérêts de retard sur factures"/>
    <n v="0"/>
    <n v="3679.17"/>
    <n v="4211"/>
  </r>
  <r>
    <x v="0"/>
    <x v="10"/>
    <x v="9"/>
    <x v="303"/>
    <x v="250"/>
    <x v="250"/>
    <s v="REVENUS"/>
    <x v="2"/>
    <s v="4001.001"/>
    <s v="Impôt revenu"/>
    <n v="0"/>
    <n v="5031.6499999999996"/>
    <n v="4001"/>
  </r>
  <r>
    <x v="0"/>
    <x v="10"/>
    <x v="9"/>
    <x v="303"/>
    <x v="250"/>
    <x v="250"/>
    <s v="REVENUS"/>
    <x v="3"/>
    <s v="4002.001"/>
    <s v="Impôt ordinaire s/fortune PP"/>
    <n v="0"/>
    <n v="4301.3"/>
    <n v="4002"/>
  </r>
  <r>
    <x v="0"/>
    <x v="10"/>
    <x v="9"/>
    <x v="303"/>
    <x v="250"/>
    <x v="250"/>
    <s v="REVENUS"/>
    <x v="6"/>
    <s v="4221.003"/>
    <s v="Intérêts compensat. / acomptes en faveur du fisc"/>
    <n v="0"/>
    <n v="7.0000000000000007E-2"/>
    <n v="4221"/>
  </r>
  <r>
    <x v="0"/>
    <x v="10"/>
    <x v="9"/>
    <x v="303"/>
    <x v="250"/>
    <x v="250"/>
    <s v="REVENUS"/>
    <x v="3"/>
    <s v="4002.007"/>
    <s v="Acompte impôt sur fortune"/>
    <n v="0"/>
    <n v="-6737.34"/>
    <n v="4002"/>
  </r>
  <r>
    <x v="0"/>
    <x v="10"/>
    <x v="9"/>
    <x v="303"/>
    <x v="250"/>
    <x v="250"/>
    <s v="REVENUS"/>
    <x v="2"/>
    <s v="4001.007"/>
    <s v="Acompte impôt sur revenu"/>
    <n v="0"/>
    <n v="-10.199999999999999"/>
    <n v="4001"/>
  </r>
  <r>
    <x v="0"/>
    <x v="10"/>
    <x v="9"/>
    <x v="303"/>
    <x v="250"/>
    <x v="250"/>
    <s v="REVENUS"/>
    <x v="3"/>
    <s v="4002.007"/>
    <s v="Acompte impôt sur fortune"/>
    <n v="0"/>
    <n v="-239.9"/>
    <n v="4002"/>
  </r>
  <r>
    <x v="0"/>
    <x v="10"/>
    <x v="9"/>
    <x v="303"/>
    <x v="250"/>
    <x v="250"/>
    <s v="REVENUS"/>
    <x v="2"/>
    <s v="4001.001"/>
    <s v="Impôt revenu"/>
    <n v="0"/>
    <n v="3063.45"/>
    <n v="4001"/>
  </r>
  <r>
    <x v="0"/>
    <x v="10"/>
    <x v="9"/>
    <x v="303"/>
    <x v="250"/>
    <x v="250"/>
    <s v="REVENUS"/>
    <x v="3"/>
    <s v="4002.001"/>
    <s v="Impôt ordinaire s/fortune PP"/>
    <n v="0"/>
    <n v="5991.05"/>
    <n v="4002"/>
  </r>
  <r>
    <x v="0"/>
    <x v="10"/>
    <x v="9"/>
    <x v="303"/>
    <x v="250"/>
    <x v="250"/>
    <s v="REVENUS"/>
    <x v="6"/>
    <s v="4211.002"/>
    <s v="Intérêts de retard sur acomptes"/>
    <n v="0"/>
    <n v="58.45"/>
    <n v="4211"/>
  </r>
  <r>
    <x v="0"/>
    <x v="10"/>
    <x v="9"/>
    <x v="303"/>
    <x v="250"/>
    <x v="250"/>
    <s v="REVENUS"/>
    <x v="6"/>
    <s v="4221.003"/>
    <s v="Intérêts compensat. / acomptes en faveur du fisc"/>
    <n v="0"/>
    <n v="1.3"/>
    <n v="4221"/>
  </r>
  <r>
    <x v="0"/>
    <x v="10"/>
    <x v="9"/>
    <x v="303"/>
    <x v="250"/>
    <x v="250"/>
    <s v="REVENUS"/>
    <x v="2"/>
    <s v="4001.001"/>
    <s v="Impôt revenu"/>
    <n v="0"/>
    <n v="661202.85"/>
    <n v="4001"/>
  </r>
  <r>
    <x v="0"/>
    <x v="10"/>
    <x v="9"/>
    <x v="303"/>
    <x v="250"/>
    <x v="250"/>
    <s v="REVENUS"/>
    <x v="6"/>
    <s v="4221.003"/>
    <s v="Intérêts compensat. / acomptes en faveur du fisc"/>
    <n v="0"/>
    <n v="145.46"/>
    <n v="4221"/>
  </r>
  <r>
    <x v="0"/>
    <x v="10"/>
    <x v="9"/>
    <x v="303"/>
    <x v="250"/>
    <x v="250"/>
    <s v="REVENUS"/>
    <x v="3"/>
    <s v="4002.002"/>
    <s v="Impôt complémentaire s/fortune PP"/>
    <n v="0"/>
    <n v="4529.8999999999996"/>
    <n v="4002"/>
  </r>
  <r>
    <x v="0"/>
    <x v="10"/>
    <x v="9"/>
    <x v="303"/>
    <x v="250"/>
    <x v="250"/>
    <s v="REVENUS"/>
    <x v="10"/>
    <s v="4041.001"/>
    <s v="Droits de mutation"/>
    <n v="0"/>
    <n v="38005"/>
    <n v="4041"/>
  </r>
  <r>
    <x v="0"/>
    <x v="10"/>
    <x v="9"/>
    <x v="303"/>
    <x v="250"/>
    <x v="250"/>
    <s v="REVENUS"/>
    <x v="3"/>
    <s v="4002.001"/>
    <s v="Impôt ordinaire s/fortune PP"/>
    <n v="0"/>
    <n v="130151.45"/>
    <n v="4002"/>
  </r>
  <r>
    <x v="0"/>
    <x v="10"/>
    <x v="9"/>
    <x v="303"/>
    <x v="250"/>
    <x v="250"/>
    <s v="REVENUS"/>
    <x v="6"/>
    <s v="4211.002"/>
    <s v="Intérêts de retard sur acomptes"/>
    <n v="0"/>
    <n v="5582.39"/>
    <n v="4211"/>
  </r>
  <r>
    <x v="0"/>
    <x v="10"/>
    <x v="9"/>
    <x v="303"/>
    <x v="250"/>
    <x v="250"/>
    <s v="REVENUS"/>
    <x v="2"/>
    <s v="4001.002"/>
    <s v="Impôt complément s/revenu PP"/>
    <n v="0"/>
    <n v="126930.55"/>
    <n v="4001"/>
  </r>
  <r>
    <x v="0"/>
    <x v="10"/>
    <x v="9"/>
    <x v="303"/>
    <x v="250"/>
    <x v="250"/>
    <s v="REVENUS"/>
    <x v="3"/>
    <s v="4002.002"/>
    <s v="Impôt complémentaire s/fortune PP"/>
    <n v="0"/>
    <n v="28099.7"/>
    <n v="4002"/>
  </r>
  <r>
    <x v="0"/>
    <x v="10"/>
    <x v="9"/>
    <x v="303"/>
    <x v="250"/>
    <x v="250"/>
    <s v="REVENUS"/>
    <x v="6"/>
    <s v="4211.001"/>
    <s v="Intérêts de retard sur factures"/>
    <n v="0"/>
    <n v="0.57999999999999996"/>
    <n v="4211"/>
  </r>
  <r>
    <x v="0"/>
    <x v="10"/>
    <x v="9"/>
    <x v="303"/>
    <x v="250"/>
    <x v="250"/>
    <s v="REVENUS"/>
    <x v="2"/>
    <s v="4001.007"/>
    <s v="Acompte impôt sur revenu"/>
    <n v="0"/>
    <n v="-1383.75"/>
    <n v="4001"/>
  </r>
  <r>
    <x v="0"/>
    <x v="10"/>
    <x v="9"/>
    <x v="303"/>
    <x v="250"/>
    <x v="250"/>
    <s v="REVENUS"/>
    <x v="3"/>
    <s v="4002.007"/>
    <s v="Acompte impôt sur fortune"/>
    <n v="0"/>
    <n v="-94.8"/>
    <n v="4002"/>
  </r>
  <r>
    <x v="0"/>
    <x v="10"/>
    <x v="9"/>
    <x v="303"/>
    <x v="250"/>
    <x v="250"/>
    <s v="REVENUS"/>
    <x v="6"/>
    <s v="4211.001"/>
    <s v="Intérêts de retard sur factures"/>
    <n v="0"/>
    <n v="15.43"/>
    <n v="4211"/>
  </r>
  <r>
    <x v="0"/>
    <x v="10"/>
    <x v="9"/>
    <x v="303"/>
    <x v="250"/>
    <x v="250"/>
    <s v="REVENUS"/>
    <x v="2"/>
    <s v="4001.007"/>
    <s v="Acompte impôt sur revenu"/>
    <n v="0"/>
    <n v="1474.67"/>
    <n v="4001"/>
  </r>
  <r>
    <x v="0"/>
    <x v="10"/>
    <x v="9"/>
    <x v="303"/>
    <x v="250"/>
    <x v="250"/>
    <s v="REVENUS"/>
    <x v="2"/>
    <s v="4001.007"/>
    <s v="Acompte impôt sur revenu"/>
    <n v="0"/>
    <n v="433.7"/>
    <n v="4001"/>
  </r>
  <r>
    <x v="0"/>
    <x v="10"/>
    <x v="9"/>
    <x v="303"/>
    <x v="250"/>
    <x v="250"/>
    <s v="REVENUS"/>
    <x v="3"/>
    <s v="4002.007"/>
    <s v="Acompte impôt sur fortune"/>
    <n v="0"/>
    <n v="4509.91"/>
    <n v="4002"/>
  </r>
  <r>
    <x v="0"/>
    <x v="10"/>
    <x v="9"/>
    <x v="303"/>
    <x v="250"/>
    <x v="250"/>
    <s v="REVENUS"/>
    <x v="3"/>
    <s v="4002.007"/>
    <s v="Acompte impôt sur fortune"/>
    <n v="0"/>
    <n v="-5347.44"/>
    <n v="4002"/>
  </r>
  <r>
    <x v="0"/>
    <x v="10"/>
    <x v="9"/>
    <x v="303"/>
    <x v="250"/>
    <x v="250"/>
    <s v="REVENUS"/>
    <x v="2"/>
    <s v="4001.007"/>
    <s v="Acompte impôt sur revenu"/>
    <n v="0"/>
    <n v="-3574.89"/>
    <n v="4001"/>
  </r>
  <r>
    <x v="0"/>
    <x v="10"/>
    <x v="9"/>
    <x v="303"/>
    <x v="250"/>
    <x v="250"/>
    <s v="REVENUS"/>
    <x v="3"/>
    <s v="4002.007"/>
    <s v="Acompte impôt sur fortune"/>
    <n v="0"/>
    <n v="2728.38"/>
    <n v="4002"/>
  </r>
  <r>
    <x v="0"/>
    <x v="10"/>
    <x v="9"/>
    <x v="303"/>
    <x v="250"/>
    <x v="250"/>
    <s v="REVENUS"/>
    <x v="2"/>
    <s v="4001.007"/>
    <s v="Acompte impôt sur revenu"/>
    <n v="0"/>
    <n v="3847.01"/>
    <n v="4001"/>
  </r>
  <r>
    <x v="0"/>
    <x v="10"/>
    <x v="9"/>
    <x v="303"/>
    <x v="250"/>
    <x v="250"/>
    <s v="REVENUS"/>
    <x v="2"/>
    <s v="4001.003"/>
    <s v="Impôt s/prest. cap. PP"/>
    <n v="0"/>
    <n v="36625.9"/>
    <n v="4001"/>
  </r>
  <r>
    <x v="0"/>
    <x v="10"/>
    <x v="9"/>
    <x v="303"/>
    <x v="250"/>
    <x v="250"/>
    <s v="REVENUS"/>
    <x v="3"/>
    <s v="4002.007"/>
    <s v="Acompte impôt sur fortune"/>
    <n v="0"/>
    <n v="-274"/>
    <n v="4002"/>
  </r>
  <r>
    <x v="0"/>
    <x v="10"/>
    <x v="9"/>
    <x v="303"/>
    <x v="250"/>
    <x v="250"/>
    <s v="REVENUS"/>
    <x v="7"/>
    <s v="4184.000"/>
    <s v="Frais de poursuite"/>
    <n v="0"/>
    <n v="144.32"/>
    <n v="4184"/>
  </r>
  <r>
    <x v="0"/>
    <x v="10"/>
    <x v="9"/>
    <x v="303"/>
    <x v="250"/>
    <x v="250"/>
    <s v="REVENUS"/>
    <x v="2"/>
    <s v="4001.007"/>
    <s v="Acompte impôt sur revenu"/>
    <n v="0"/>
    <n v="133.5"/>
    <n v="4001"/>
  </r>
  <r>
    <x v="0"/>
    <x v="10"/>
    <x v="9"/>
    <x v="303"/>
    <x v="250"/>
    <x v="250"/>
    <s v="REVENUS"/>
    <x v="3"/>
    <s v="4002.007"/>
    <s v="Acompte impôt sur fortune"/>
    <n v="0"/>
    <n v="-208.55"/>
    <n v="4002"/>
  </r>
  <r>
    <x v="0"/>
    <x v="10"/>
    <x v="9"/>
    <x v="303"/>
    <x v="250"/>
    <x v="250"/>
    <s v="REVENUS"/>
    <x v="11"/>
    <s v="4198.000"/>
    <s v="Contributions communales"/>
    <n v="0"/>
    <n v="137849.54999999999"/>
    <n v="4198"/>
  </r>
  <r>
    <x v="0"/>
    <x v="10"/>
    <x v="9"/>
    <x v="303"/>
    <x v="250"/>
    <x v="250"/>
    <s v="REVENUS"/>
    <x v="2"/>
    <s v="4001.002"/>
    <s v="Impôt complément s/revenu PP"/>
    <n v="0"/>
    <n v="662.8"/>
    <n v="4001"/>
  </r>
  <r>
    <x v="0"/>
    <x v="10"/>
    <x v="9"/>
    <x v="303"/>
    <x v="250"/>
    <x v="250"/>
    <s v="REVENUS"/>
    <x v="3"/>
    <s v="4002.002"/>
    <s v="Impôt complémentaire s/fortune PP"/>
    <n v="0"/>
    <n v="144.5"/>
    <n v="4002"/>
  </r>
  <r>
    <x v="0"/>
    <x v="10"/>
    <x v="9"/>
    <x v="303"/>
    <x v="250"/>
    <x v="250"/>
    <s v="REVENUS"/>
    <x v="9"/>
    <s v="4031.001"/>
    <s v="Impôt sur les gains immobiliers"/>
    <n v="0"/>
    <n v="30389.35"/>
    <n v="4031"/>
  </r>
  <r>
    <x v="0"/>
    <x v="10"/>
    <x v="9"/>
    <x v="303"/>
    <x v="250"/>
    <x v="250"/>
    <s v="REVENUS"/>
    <x v="7"/>
    <s v="4184.000"/>
    <s v="Frais de poursuite"/>
    <n v="0"/>
    <n v="318.66000000000003"/>
    <n v="4184"/>
  </r>
  <r>
    <x v="0"/>
    <x v="10"/>
    <x v="9"/>
    <x v="303"/>
    <x v="250"/>
    <x v="250"/>
    <s v="REVENUS"/>
    <x v="2"/>
    <s v="4001.001"/>
    <s v="Impôt revenu"/>
    <n v="0"/>
    <n v="3507.65"/>
    <n v="4001"/>
  </r>
  <r>
    <x v="0"/>
    <x v="10"/>
    <x v="9"/>
    <x v="303"/>
    <x v="250"/>
    <x v="250"/>
    <s v="REVENUS"/>
    <x v="3"/>
    <s v="4002.001"/>
    <s v="Impôt ordinaire s/fortune PP"/>
    <n v="0"/>
    <n v="1386.7"/>
    <n v="4002"/>
  </r>
  <r>
    <x v="0"/>
    <x v="10"/>
    <x v="9"/>
    <x v="303"/>
    <x v="250"/>
    <x v="250"/>
    <s v="REVENUS"/>
    <x v="2"/>
    <s v="4001.001"/>
    <s v="Impôt revenu"/>
    <n v="0"/>
    <n v="14952.15"/>
    <n v="4001"/>
  </r>
  <r>
    <x v="0"/>
    <x v="10"/>
    <x v="9"/>
    <x v="303"/>
    <x v="250"/>
    <x v="250"/>
    <s v="REVENUS"/>
    <x v="3"/>
    <s v="4002.001"/>
    <s v="Impôt ordinaire s/fortune PP"/>
    <n v="0"/>
    <n v="10578.85"/>
    <n v="4002"/>
  </r>
  <r>
    <x v="0"/>
    <x v="10"/>
    <x v="9"/>
    <x v="303"/>
    <x v="250"/>
    <x v="250"/>
    <s v="REVENUS"/>
    <x v="6"/>
    <s v="4211.002"/>
    <s v="Intérêts de retard sur acomptes"/>
    <n v="0"/>
    <n v="32.82"/>
    <n v="4211"/>
  </r>
  <r>
    <x v="0"/>
    <x v="10"/>
    <x v="9"/>
    <x v="303"/>
    <x v="250"/>
    <x v="250"/>
    <s v="REVENUS"/>
    <x v="2"/>
    <s v="4001.007"/>
    <s v="Acompte impôt sur revenu"/>
    <n v="0"/>
    <n v="-206.3"/>
    <n v="4001"/>
  </r>
  <r>
    <x v="0"/>
    <x v="10"/>
    <x v="9"/>
    <x v="303"/>
    <x v="250"/>
    <x v="250"/>
    <s v="REVENUS"/>
    <x v="3"/>
    <s v="4002.007"/>
    <s v="Acompte impôt sur fortune"/>
    <n v="0"/>
    <n v="-316.39999999999998"/>
    <n v="4002"/>
  </r>
  <r>
    <x v="0"/>
    <x v="10"/>
    <x v="9"/>
    <x v="303"/>
    <x v="250"/>
    <x v="250"/>
    <s v="REVENUS"/>
    <x v="2"/>
    <s v="4001.002"/>
    <s v="Impôt complément s/revenu PP"/>
    <n v="0"/>
    <n v="277.75"/>
    <n v="4001"/>
  </r>
  <r>
    <x v="0"/>
    <x v="10"/>
    <x v="9"/>
    <x v="303"/>
    <x v="250"/>
    <x v="250"/>
    <s v="REVENUS"/>
    <x v="3"/>
    <s v="4002.002"/>
    <s v="Impôt complémentaire s/fortune PP"/>
    <n v="0"/>
    <n v="1171.4000000000001"/>
    <n v="4002"/>
  </r>
  <r>
    <x v="0"/>
    <x v="10"/>
    <x v="9"/>
    <x v="303"/>
    <x v="250"/>
    <x v="250"/>
    <s v="REVENUS"/>
    <x v="6"/>
    <s v="4211.001"/>
    <s v="Intérêts de retard sur factures"/>
    <n v="0"/>
    <n v="2.79"/>
    <n v="4211"/>
  </r>
  <r>
    <x v="0"/>
    <x v="10"/>
    <x v="9"/>
    <x v="303"/>
    <x v="250"/>
    <x v="250"/>
    <s v="REVENUS"/>
    <x v="6"/>
    <s v="4221.003"/>
    <s v="Intérêts compensat. / acomptes en faveur du fisc"/>
    <n v="0"/>
    <n v="0.82"/>
    <n v="4221"/>
  </r>
  <r>
    <x v="0"/>
    <x v="10"/>
    <x v="9"/>
    <x v="303"/>
    <x v="250"/>
    <x v="250"/>
    <s v="REVENUS"/>
    <x v="6"/>
    <s v="4221.002"/>
    <s v="Intérêts compensat. sur impôts distincts"/>
    <n v="0"/>
    <n v="22.42"/>
    <n v="4221"/>
  </r>
  <r>
    <x v="0"/>
    <x v="10"/>
    <x v="9"/>
    <x v="303"/>
    <x v="250"/>
    <x v="250"/>
    <s v="REVENUS"/>
    <x v="6"/>
    <s v="4211.002"/>
    <s v="Intérêts de retard sur acomptes"/>
    <n v="0"/>
    <n v="0.24"/>
    <n v="4211"/>
  </r>
  <r>
    <x v="0"/>
    <x v="10"/>
    <x v="9"/>
    <x v="303"/>
    <x v="250"/>
    <x v="250"/>
    <s v="REVENUS"/>
    <x v="2"/>
    <s v="4001.001"/>
    <s v="Impôt revenu"/>
    <n v="0"/>
    <n v="3889.2"/>
    <n v="4001"/>
  </r>
  <r>
    <x v="0"/>
    <x v="10"/>
    <x v="9"/>
    <x v="303"/>
    <x v="250"/>
    <x v="250"/>
    <s v="REVENUS"/>
    <x v="3"/>
    <s v="4002.001"/>
    <s v="Impôt ordinaire s/fortune PP"/>
    <n v="0"/>
    <n v="1279.0999999999999"/>
    <n v="4002"/>
  </r>
  <r>
    <x v="0"/>
    <x v="10"/>
    <x v="9"/>
    <x v="303"/>
    <x v="250"/>
    <x v="250"/>
    <s v="REVENUS"/>
    <x v="8"/>
    <s v="4091.001"/>
    <s v="Impôt récupéré après défalcations"/>
    <n v="0"/>
    <n v="143.91999999999999"/>
    <n v="4091"/>
  </r>
  <r>
    <x v="0"/>
    <x v="10"/>
    <x v="9"/>
    <x v="303"/>
    <x v="250"/>
    <x v="250"/>
    <s v="REVENUS"/>
    <x v="6"/>
    <s v="4221.003"/>
    <s v="Intérêts compensat. / acomptes en faveur du fisc"/>
    <n v="0"/>
    <n v="0.08"/>
    <n v="4221"/>
  </r>
  <r>
    <x v="0"/>
    <x v="10"/>
    <x v="9"/>
    <x v="303"/>
    <x v="250"/>
    <x v="250"/>
    <s v="REVENUS"/>
    <x v="6"/>
    <s v="4221.003"/>
    <s v="Intérêts compensat. / acomptes en faveur du fisc"/>
    <n v="0"/>
    <n v="0.03"/>
    <n v="4221"/>
  </r>
  <r>
    <x v="0"/>
    <x v="10"/>
    <x v="9"/>
    <x v="303"/>
    <x v="250"/>
    <x v="250"/>
    <s v="REVENUS"/>
    <x v="6"/>
    <s v="4211.002"/>
    <s v="Intérêts de retard sur acomptes"/>
    <n v="0"/>
    <n v="12.55"/>
    <n v="4211"/>
  </r>
  <r>
    <x v="0"/>
    <x v="10"/>
    <x v="9"/>
    <x v="303"/>
    <x v="250"/>
    <x v="250"/>
    <s v="REVENUS"/>
    <x v="5"/>
    <s v="4061.000"/>
    <s v="Impôt sur les chiens"/>
    <n v="0"/>
    <n v="4000"/>
    <n v="4061"/>
  </r>
  <r>
    <x v="0"/>
    <x v="10"/>
    <x v="9"/>
    <x v="303"/>
    <x v="250"/>
    <x v="250"/>
    <s v="REVENUS"/>
    <x v="9"/>
    <s v="4031.002"/>
    <s v="Complément impôt sur les gains immobiliers"/>
    <n v="0"/>
    <n v="3448.7"/>
    <n v="4031"/>
  </r>
  <r>
    <x v="0"/>
    <x v="10"/>
    <x v="9"/>
    <x v="303"/>
    <x v="250"/>
    <x v="250"/>
    <s v="REVENUS"/>
    <x v="6"/>
    <s v="4211.002"/>
    <s v="Intérêts de retard sur acomptes"/>
    <n v="0"/>
    <n v="12.19"/>
    <n v="4211"/>
  </r>
  <r>
    <x v="0"/>
    <x v="10"/>
    <x v="9"/>
    <x v="303"/>
    <x v="250"/>
    <x v="250"/>
    <s v="REVENUS"/>
    <x v="3"/>
    <s v="4002.001"/>
    <s v="Impôt ordinaire s/fortune PP"/>
    <n v="0"/>
    <n v="325.64999999999998"/>
    <n v="4002"/>
  </r>
  <r>
    <x v="0"/>
    <x v="10"/>
    <x v="9"/>
    <x v="303"/>
    <x v="250"/>
    <x v="250"/>
    <s v="REVENUS"/>
    <x v="2"/>
    <s v="4001.001"/>
    <s v="Impôt revenu"/>
    <n v="0"/>
    <n v="0"/>
    <n v="4001"/>
  </r>
  <r>
    <x v="0"/>
    <x v="10"/>
    <x v="9"/>
    <x v="303"/>
    <x v="250"/>
    <x v="250"/>
    <s v="REVENUS"/>
    <x v="2"/>
    <s v="4001.002"/>
    <s v="Impôt complément s/revenu PP"/>
    <n v="0"/>
    <n v="36.9"/>
    <n v="4001"/>
  </r>
  <r>
    <x v="0"/>
    <x v="10"/>
    <x v="9"/>
    <x v="303"/>
    <x v="250"/>
    <x v="250"/>
    <s v="REVENUS"/>
    <x v="3"/>
    <s v="4002.002"/>
    <s v="Impôt complémentaire s/fortune PP"/>
    <n v="0"/>
    <n v="44.35"/>
    <n v="4002"/>
  </r>
  <r>
    <x v="0"/>
    <x v="10"/>
    <x v="9"/>
    <x v="304"/>
    <x v="251"/>
    <x v="251"/>
    <s v="CHARGES"/>
    <x v="0"/>
    <s v="3212.002"/>
    <s v="Intérêts bonifiés/trop perçu acompte C/C"/>
    <n v="34.64"/>
    <n v="0"/>
    <n v="3212"/>
  </r>
  <r>
    <x v="0"/>
    <x v="10"/>
    <x v="9"/>
    <x v="304"/>
    <x v="251"/>
    <x v="251"/>
    <s v="CHARGES"/>
    <x v="0"/>
    <s v="3212.004"/>
    <s v="Intérêts rémun./perçu trop tôt sur acomptes C/C"/>
    <n v="1448.55"/>
    <n v="0"/>
    <n v="3212"/>
  </r>
  <r>
    <x v="0"/>
    <x v="10"/>
    <x v="9"/>
    <x v="304"/>
    <x v="251"/>
    <x v="251"/>
    <s v="CHARGES"/>
    <x v="1"/>
    <s v="3301.001"/>
    <s v="Défalcations, abandons de solde PP et IS"/>
    <n v="1547.41"/>
    <n v="0"/>
    <n v="3301"/>
  </r>
  <r>
    <x v="0"/>
    <x v="10"/>
    <x v="9"/>
    <x v="304"/>
    <x v="251"/>
    <x v="251"/>
    <s v="CHARGES"/>
    <x v="0"/>
    <s v="3212.004"/>
    <s v="Intérêts rémun./perçu trop tôt sur acomptes C/C"/>
    <n v="5.55"/>
    <n v="0"/>
    <n v="3212"/>
  </r>
  <r>
    <x v="0"/>
    <x v="10"/>
    <x v="9"/>
    <x v="304"/>
    <x v="251"/>
    <x v="251"/>
    <s v="CHARGES"/>
    <x v="0"/>
    <s v="3221.002"/>
    <s v="Intérêts compensatoires / créances en faveur ctb."/>
    <n v="0.88"/>
    <n v="0"/>
    <n v="3221"/>
  </r>
  <r>
    <x v="0"/>
    <x v="10"/>
    <x v="9"/>
    <x v="304"/>
    <x v="251"/>
    <x v="251"/>
    <s v="CHARGES"/>
    <x v="1"/>
    <s v="3301.001"/>
    <s v="Défalcations, abandons de solde PP et IS"/>
    <n v="3163.69"/>
    <n v="0"/>
    <n v="3301"/>
  </r>
  <r>
    <x v="0"/>
    <x v="10"/>
    <x v="9"/>
    <x v="304"/>
    <x v="251"/>
    <x v="251"/>
    <s v="CHARGES"/>
    <x v="0"/>
    <s v="3212.004"/>
    <s v="Intérêts rémun./perçu trop tôt sur acomptes C/C"/>
    <n v="36.65"/>
    <n v="0"/>
    <n v="3212"/>
  </r>
  <r>
    <x v="0"/>
    <x v="10"/>
    <x v="9"/>
    <x v="304"/>
    <x v="251"/>
    <x v="251"/>
    <s v="CHARGES"/>
    <x v="0"/>
    <s v="3221.002"/>
    <s v="Intérêts compensatoires / créances en faveur ctb."/>
    <n v="24.5"/>
    <n v="0"/>
    <n v="3221"/>
  </r>
  <r>
    <x v="0"/>
    <x v="10"/>
    <x v="9"/>
    <x v="304"/>
    <x v="251"/>
    <x v="251"/>
    <s v="CHARGES"/>
    <x v="0"/>
    <s v="3221.002"/>
    <s v="Intérêts compensatoires / créances en faveur ctb."/>
    <n v="206.86"/>
    <n v="0"/>
    <n v="3221"/>
  </r>
  <r>
    <x v="0"/>
    <x v="10"/>
    <x v="9"/>
    <x v="304"/>
    <x v="251"/>
    <x v="251"/>
    <s v="CHARGES"/>
    <x v="0"/>
    <s v="3212.004"/>
    <s v="Intérêts rémun./perçu trop tôt sur acomptes C/C"/>
    <n v="10.9"/>
    <n v="0"/>
    <n v="3212"/>
  </r>
  <r>
    <x v="0"/>
    <x v="10"/>
    <x v="9"/>
    <x v="304"/>
    <x v="251"/>
    <x v="251"/>
    <s v="CHARGES"/>
    <x v="0"/>
    <s v="3212.004"/>
    <s v="Intérêts rémun./perçu trop tôt sur acomptes C/C"/>
    <n v="63.14"/>
    <n v="0"/>
    <n v="3212"/>
  </r>
  <r>
    <x v="0"/>
    <x v="10"/>
    <x v="9"/>
    <x v="304"/>
    <x v="251"/>
    <x v="251"/>
    <s v="CHARGES"/>
    <x v="0"/>
    <s v="3212.004"/>
    <s v="Intérêts rémun./perçu trop tôt sur acomptes C/C"/>
    <n v="0.39"/>
    <n v="0"/>
    <n v="3212"/>
  </r>
  <r>
    <x v="0"/>
    <x v="10"/>
    <x v="9"/>
    <x v="304"/>
    <x v="251"/>
    <x v="251"/>
    <s v="CHARGES"/>
    <x v="0"/>
    <s v="3221.002"/>
    <s v="Intérêts compensatoires / créances en faveur ctb."/>
    <n v="0.35"/>
    <n v="0"/>
    <n v="3221"/>
  </r>
  <r>
    <x v="0"/>
    <x v="10"/>
    <x v="9"/>
    <x v="304"/>
    <x v="251"/>
    <x v="251"/>
    <s v="CHARGES"/>
    <x v="1"/>
    <s v="3301.001"/>
    <s v="Défalcations, abandons de solde PP et IS"/>
    <n v="0.82"/>
    <n v="0"/>
    <n v="3301"/>
  </r>
  <r>
    <x v="0"/>
    <x v="10"/>
    <x v="9"/>
    <x v="304"/>
    <x v="251"/>
    <x v="251"/>
    <s v="CHARGES"/>
    <x v="1"/>
    <s v="3301.001"/>
    <s v="Défalcations, abandons de solde PP et IS"/>
    <n v="1.68"/>
    <n v="0"/>
    <n v="3301"/>
  </r>
  <r>
    <x v="0"/>
    <x v="10"/>
    <x v="9"/>
    <x v="304"/>
    <x v="251"/>
    <x v="251"/>
    <s v="CHARGES"/>
    <x v="1"/>
    <s v="3301.001"/>
    <s v="Défalcations, abandons de solde PP et IS"/>
    <n v="0"/>
    <n v="0"/>
    <n v="3301"/>
  </r>
  <r>
    <x v="0"/>
    <x v="10"/>
    <x v="9"/>
    <x v="304"/>
    <x v="251"/>
    <x v="251"/>
    <s v="CHARGES"/>
    <x v="1"/>
    <s v="3301.001"/>
    <s v="Défalcations, abandons de solde PP et IS"/>
    <n v="1.0900000000000001"/>
    <n v="0"/>
    <n v="3301"/>
  </r>
  <r>
    <x v="0"/>
    <x v="10"/>
    <x v="9"/>
    <x v="304"/>
    <x v="251"/>
    <x v="251"/>
    <s v="CHARGES"/>
    <x v="0"/>
    <s v="3221.002"/>
    <s v="Intérêts compensatoires / créances en faveur ctb."/>
    <n v="16.21"/>
    <n v="0"/>
    <n v="3221"/>
  </r>
  <r>
    <x v="0"/>
    <x v="10"/>
    <x v="9"/>
    <x v="304"/>
    <x v="251"/>
    <x v="251"/>
    <s v="CHARGES"/>
    <x v="0"/>
    <s v="3212.002"/>
    <s v="Intérêts bonifiés/trop perçu acompte C/C"/>
    <n v="0.18"/>
    <n v="0"/>
    <n v="3212"/>
  </r>
  <r>
    <x v="0"/>
    <x v="10"/>
    <x v="9"/>
    <x v="304"/>
    <x v="251"/>
    <x v="251"/>
    <s v="CHARGES"/>
    <x v="0"/>
    <s v="3221.002"/>
    <s v="Intérêts compensatoires / créances en faveur ctb."/>
    <n v="1.77"/>
    <n v="0"/>
    <n v="3221"/>
  </r>
  <r>
    <x v="0"/>
    <x v="10"/>
    <x v="9"/>
    <x v="304"/>
    <x v="251"/>
    <x v="251"/>
    <s v="CHARGES"/>
    <x v="1"/>
    <s v="3301.003"/>
    <s v="Remises PP et IS"/>
    <n v="4016.07"/>
    <n v="0"/>
    <n v="3301"/>
  </r>
  <r>
    <x v="0"/>
    <x v="10"/>
    <x v="9"/>
    <x v="304"/>
    <x v="251"/>
    <x v="251"/>
    <s v="CHARGES"/>
    <x v="0"/>
    <s v="3212.002"/>
    <s v="Intérêts bonifiés/trop perçu acompte C/C"/>
    <n v="1.91"/>
    <n v="0"/>
    <n v="3212"/>
  </r>
  <r>
    <x v="0"/>
    <x v="10"/>
    <x v="9"/>
    <x v="304"/>
    <x v="251"/>
    <x v="251"/>
    <s v="CHARGES"/>
    <x v="0"/>
    <s v="3212.004"/>
    <s v="Intérêts rémun./perçu trop tôt sur acomptes C/C"/>
    <n v="7.51"/>
    <n v="0"/>
    <n v="3212"/>
  </r>
  <r>
    <x v="0"/>
    <x v="10"/>
    <x v="9"/>
    <x v="304"/>
    <x v="251"/>
    <x v="251"/>
    <s v="CHARGES"/>
    <x v="1"/>
    <s v="3301.001"/>
    <s v="Défalcations, abandons de solde PP et IS"/>
    <n v="0.1"/>
    <n v="0"/>
    <n v="3301"/>
  </r>
  <r>
    <x v="0"/>
    <x v="10"/>
    <x v="9"/>
    <x v="304"/>
    <x v="251"/>
    <x v="251"/>
    <s v="CHARGES"/>
    <x v="0"/>
    <s v="3221.002"/>
    <s v="Intérêts compensatoires / créances en faveur ctb."/>
    <n v="0.01"/>
    <n v="0"/>
    <n v="3221"/>
  </r>
  <r>
    <x v="0"/>
    <x v="10"/>
    <x v="9"/>
    <x v="304"/>
    <x v="251"/>
    <x v="251"/>
    <s v="CHARGES"/>
    <x v="0"/>
    <s v="3212.004"/>
    <s v="Intérêts rémun./perçu trop tôt sur acomptes C/C"/>
    <n v="-0.04"/>
    <n v="0"/>
    <n v="3212"/>
  </r>
  <r>
    <x v="0"/>
    <x v="10"/>
    <x v="9"/>
    <x v="304"/>
    <x v="251"/>
    <x v="251"/>
    <s v="CHARGES"/>
    <x v="1"/>
    <s v="3301.001"/>
    <s v="Défalcations, abandons de solde PP et IS"/>
    <n v="-0.19"/>
    <n v="0"/>
    <n v="3301"/>
  </r>
  <r>
    <x v="0"/>
    <x v="10"/>
    <x v="9"/>
    <x v="304"/>
    <x v="251"/>
    <x v="251"/>
    <s v="CHARGES"/>
    <x v="0"/>
    <s v="3212.002"/>
    <s v="Intérêts bonifiés/trop perçu acompte C/C"/>
    <n v="0.01"/>
    <n v="0"/>
    <n v="3212"/>
  </r>
  <r>
    <x v="0"/>
    <x v="10"/>
    <x v="9"/>
    <x v="304"/>
    <x v="251"/>
    <x v="251"/>
    <s v="REVENUS"/>
    <x v="2"/>
    <s v="4001.007"/>
    <s v="Acompte impôt sur revenu"/>
    <n v="0"/>
    <n v="-340.95"/>
    <n v="4001"/>
  </r>
  <r>
    <x v="0"/>
    <x v="10"/>
    <x v="9"/>
    <x v="304"/>
    <x v="251"/>
    <x v="251"/>
    <s v="REVENUS"/>
    <x v="3"/>
    <s v="4002.007"/>
    <s v="Acompte impôt sur fortune"/>
    <n v="0"/>
    <n v="-833.3"/>
    <n v="4002"/>
  </r>
  <r>
    <x v="0"/>
    <x v="10"/>
    <x v="9"/>
    <x v="304"/>
    <x v="251"/>
    <x v="251"/>
    <s v="REVENUS"/>
    <x v="2"/>
    <s v="4001.007"/>
    <s v="Acompte impôt sur revenu"/>
    <n v="0"/>
    <n v="-67205.03"/>
    <n v="4001"/>
  </r>
  <r>
    <x v="0"/>
    <x v="10"/>
    <x v="9"/>
    <x v="304"/>
    <x v="251"/>
    <x v="251"/>
    <s v="REVENUS"/>
    <x v="3"/>
    <s v="4002.001"/>
    <s v="Impôt ordinaire s/fortune PP"/>
    <n v="0"/>
    <n v="1062647.75"/>
    <n v="4002"/>
  </r>
  <r>
    <x v="0"/>
    <x v="10"/>
    <x v="9"/>
    <x v="304"/>
    <x v="251"/>
    <x v="251"/>
    <s v="REVENUS"/>
    <x v="3"/>
    <s v="4002.007"/>
    <s v="Acompte impôt sur fortune"/>
    <n v="0"/>
    <n v="332285.13"/>
    <n v="4002"/>
  </r>
  <r>
    <x v="0"/>
    <x v="10"/>
    <x v="9"/>
    <x v="304"/>
    <x v="251"/>
    <x v="251"/>
    <s v="REVENUS"/>
    <x v="6"/>
    <s v="4211.001"/>
    <s v="Intérêts de retard sur factures"/>
    <n v="0"/>
    <n v="19630.919999999998"/>
    <n v="4211"/>
  </r>
  <r>
    <x v="0"/>
    <x v="10"/>
    <x v="9"/>
    <x v="304"/>
    <x v="251"/>
    <x v="251"/>
    <s v="REVENUS"/>
    <x v="2"/>
    <s v="4001.001"/>
    <s v="Impôt revenu"/>
    <n v="0"/>
    <n v="8199.0499999999993"/>
    <n v="4001"/>
  </r>
  <r>
    <x v="0"/>
    <x v="10"/>
    <x v="9"/>
    <x v="304"/>
    <x v="251"/>
    <x v="251"/>
    <s v="REVENUS"/>
    <x v="3"/>
    <s v="4002.001"/>
    <s v="Impôt ordinaire s/fortune PP"/>
    <n v="0"/>
    <n v="6322.75"/>
    <n v="4002"/>
  </r>
  <r>
    <x v="0"/>
    <x v="10"/>
    <x v="9"/>
    <x v="304"/>
    <x v="251"/>
    <x v="251"/>
    <s v="REVENUS"/>
    <x v="2"/>
    <s v="4001.001"/>
    <s v="Impôt revenu"/>
    <n v="0"/>
    <n v="2630661.2000000002"/>
    <n v="4001"/>
  </r>
  <r>
    <x v="0"/>
    <x v="10"/>
    <x v="9"/>
    <x v="304"/>
    <x v="251"/>
    <x v="251"/>
    <s v="REVENUS"/>
    <x v="6"/>
    <s v="4211.002"/>
    <s v="Intérêts de retard sur acomptes"/>
    <n v="0"/>
    <n v="21812.07"/>
    <n v="4211"/>
  </r>
  <r>
    <x v="0"/>
    <x v="10"/>
    <x v="9"/>
    <x v="304"/>
    <x v="251"/>
    <x v="251"/>
    <s v="REVENUS"/>
    <x v="2"/>
    <s v="4001.001"/>
    <s v="Impôt revenu"/>
    <n v="0"/>
    <n v="19856.900000000001"/>
    <n v="4001"/>
  </r>
  <r>
    <x v="0"/>
    <x v="10"/>
    <x v="9"/>
    <x v="304"/>
    <x v="251"/>
    <x v="251"/>
    <s v="REVENUS"/>
    <x v="3"/>
    <s v="4002.001"/>
    <s v="Impôt ordinaire s/fortune PP"/>
    <n v="0"/>
    <n v="10790.55"/>
    <n v="4002"/>
  </r>
  <r>
    <x v="0"/>
    <x v="10"/>
    <x v="9"/>
    <x v="304"/>
    <x v="251"/>
    <x v="251"/>
    <s v="REVENUS"/>
    <x v="3"/>
    <s v="4002.007"/>
    <s v="Acompte impôt sur fortune"/>
    <n v="0"/>
    <n v="7795.63"/>
    <n v="4002"/>
  </r>
  <r>
    <x v="0"/>
    <x v="10"/>
    <x v="9"/>
    <x v="304"/>
    <x v="251"/>
    <x v="251"/>
    <s v="REVENUS"/>
    <x v="6"/>
    <s v="4211.002"/>
    <s v="Intérêts de retard sur acomptes"/>
    <n v="0"/>
    <n v="18.510000000000002"/>
    <n v="4211"/>
  </r>
  <r>
    <x v="0"/>
    <x v="10"/>
    <x v="9"/>
    <x v="304"/>
    <x v="251"/>
    <x v="251"/>
    <s v="REVENUS"/>
    <x v="6"/>
    <s v="4221.003"/>
    <s v="Intérêts compensat. / acomptes en faveur du fisc"/>
    <n v="0"/>
    <n v="2.5099999999999998"/>
    <n v="4221"/>
  </r>
  <r>
    <x v="0"/>
    <x v="10"/>
    <x v="9"/>
    <x v="304"/>
    <x v="251"/>
    <x v="251"/>
    <s v="REVENUS"/>
    <x v="6"/>
    <s v="4221.003"/>
    <s v="Intérêts compensat. / acomptes en faveur du fisc"/>
    <n v="0"/>
    <n v="934.93"/>
    <n v="4221"/>
  </r>
  <r>
    <x v="0"/>
    <x v="10"/>
    <x v="9"/>
    <x v="304"/>
    <x v="251"/>
    <x v="251"/>
    <s v="REVENUS"/>
    <x v="2"/>
    <s v="4001.001"/>
    <s v="Impôt revenu"/>
    <n v="0"/>
    <n v="33279.85"/>
    <n v="4001"/>
  </r>
  <r>
    <x v="0"/>
    <x v="10"/>
    <x v="9"/>
    <x v="304"/>
    <x v="251"/>
    <x v="251"/>
    <s v="REVENUS"/>
    <x v="2"/>
    <s v="4001.003"/>
    <s v="Impôt s/prest. cap. PP"/>
    <n v="0"/>
    <n v="26666.25"/>
    <n v="4001"/>
  </r>
  <r>
    <x v="0"/>
    <x v="10"/>
    <x v="9"/>
    <x v="304"/>
    <x v="251"/>
    <x v="251"/>
    <s v="REVENUS"/>
    <x v="6"/>
    <s v="4221.002"/>
    <s v="Intérêts compensat. sur impôts distincts"/>
    <n v="0"/>
    <n v="257.36"/>
    <n v="4221"/>
  </r>
  <r>
    <x v="0"/>
    <x v="10"/>
    <x v="9"/>
    <x v="304"/>
    <x v="251"/>
    <x v="251"/>
    <s v="REVENUS"/>
    <x v="2"/>
    <s v="4001.007"/>
    <s v="Acompte impôt sur revenu"/>
    <n v="0"/>
    <n v="-4835.32"/>
    <n v="4001"/>
  </r>
  <r>
    <x v="0"/>
    <x v="10"/>
    <x v="9"/>
    <x v="304"/>
    <x v="251"/>
    <x v="251"/>
    <s v="REVENUS"/>
    <x v="3"/>
    <s v="4002.001"/>
    <s v="Impôt ordinaire s/fortune PP"/>
    <n v="0"/>
    <n v="33402.050000000003"/>
    <n v="4002"/>
  </r>
  <r>
    <x v="0"/>
    <x v="10"/>
    <x v="9"/>
    <x v="304"/>
    <x v="251"/>
    <x v="251"/>
    <s v="REVENUS"/>
    <x v="3"/>
    <s v="4002.007"/>
    <s v="Acompte impôt sur fortune"/>
    <n v="0"/>
    <n v="4784.7299999999996"/>
    <n v="4002"/>
  </r>
  <r>
    <x v="0"/>
    <x v="10"/>
    <x v="9"/>
    <x v="304"/>
    <x v="251"/>
    <x v="251"/>
    <s v="REVENUS"/>
    <x v="2"/>
    <s v="4001.007"/>
    <s v="Acompte impôt sur revenu"/>
    <n v="0"/>
    <n v="630.45000000000005"/>
    <n v="4001"/>
  </r>
  <r>
    <x v="0"/>
    <x v="10"/>
    <x v="9"/>
    <x v="304"/>
    <x v="251"/>
    <x v="251"/>
    <s v="REVENUS"/>
    <x v="2"/>
    <s v="4001.001"/>
    <s v="Impôt revenu"/>
    <n v="0"/>
    <n v="44742.400000000001"/>
    <n v="4001"/>
  </r>
  <r>
    <x v="0"/>
    <x v="10"/>
    <x v="9"/>
    <x v="304"/>
    <x v="251"/>
    <x v="251"/>
    <s v="REVENUS"/>
    <x v="3"/>
    <s v="4002.001"/>
    <s v="Impôt ordinaire s/fortune PP"/>
    <n v="0"/>
    <n v="106848.15"/>
    <n v="4002"/>
  </r>
  <r>
    <x v="0"/>
    <x v="10"/>
    <x v="9"/>
    <x v="304"/>
    <x v="251"/>
    <x v="251"/>
    <s v="REVENUS"/>
    <x v="2"/>
    <s v="4001.002"/>
    <s v="Impôt complément s/revenu PP"/>
    <n v="0"/>
    <n v="549124.30000000005"/>
    <n v="4001"/>
  </r>
  <r>
    <x v="0"/>
    <x v="10"/>
    <x v="9"/>
    <x v="304"/>
    <x v="251"/>
    <x v="251"/>
    <s v="REVENUS"/>
    <x v="3"/>
    <s v="4002.002"/>
    <s v="Impôt complémentaire s/fortune PP"/>
    <n v="0"/>
    <n v="316543.05"/>
    <n v="4002"/>
  </r>
  <r>
    <x v="0"/>
    <x v="10"/>
    <x v="9"/>
    <x v="304"/>
    <x v="251"/>
    <x v="251"/>
    <s v="REVENUS"/>
    <x v="3"/>
    <s v="4002.007"/>
    <s v="Acompte impôt sur fortune"/>
    <n v="0"/>
    <n v="153.97999999999999"/>
    <n v="4002"/>
  </r>
  <r>
    <x v="0"/>
    <x v="10"/>
    <x v="9"/>
    <x v="304"/>
    <x v="251"/>
    <x v="251"/>
    <s v="REVENUS"/>
    <x v="10"/>
    <s v="4041.001"/>
    <s v="Droits de mutation"/>
    <n v="0"/>
    <n v="404187.25"/>
    <n v="4041"/>
  </r>
  <r>
    <x v="0"/>
    <x v="10"/>
    <x v="9"/>
    <x v="304"/>
    <x v="251"/>
    <x v="251"/>
    <s v="REVENUS"/>
    <x v="2"/>
    <s v="4001.001"/>
    <s v="Impôt revenu"/>
    <n v="0"/>
    <n v="2004.6"/>
    <n v="4001"/>
  </r>
  <r>
    <x v="0"/>
    <x v="10"/>
    <x v="9"/>
    <x v="304"/>
    <x v="251"/>
    <x v="251"/>
    <s v="REVENUS"/>
    <x v="3"/>
    <s v="4002.001"/>
    <s v="Impôt ordinaire s/fortune PP"/>
    <n v="0"/>
    <n v="35.75"/>
    <n v="4002"/>
  </r>
  <r>
    <x v="0"/>
    <x v="10"/>
    <x v="9"/>
    <x v="304"/>
    <x v="251"/>
    <x v="251"/>
    <s v="REVENUS"/>
    <x v="6"/>
    <s v="4211.002"/>
    <s v="Intérêts de retard sur acomptes"/>
    <n v="0"/>
    <n v="0.14000000000000001"/>
    <n v="4211"/>
  </r>
  <r>
    <x v="0"/>
    <x v="10"/>
    <x v="9"/>
    <x v="304"/>
    <x v="251"/>
    <x v="251"/>
    <s v="REVENUS"/>
    <x v="6"/>
    <s v="4221.003"/>
    <s v="Intérêts compensat. / acomptes en faveur du fisc"/>
    <n v="0"/>
    <n v="0.8"/>
    <n v="4221"/>
  </r>
  <r>
    <x v="0"/>
    <x v="10"/>
    <x v="9"/>
    <x v="304"/>
    <x v="251"/>
    <x v="251"/>
    <s v="REVENUS"/>
    <x v="6"/>
    <s v="4211.001"/>
    <s v="Intérêts de retard sur factures"/>
    <n v="0"/>
    <n v="120.03"/>
    <n v="4211"/>
  </r>
  <r>
    <x v="0"/>
    <x v="10"/>
    <x v="9"/>
    <x v="304"/>
    <x v="251"/>
    <x v="251"/>
    <s v="REVENUS"/>
    <x v="2"/>
    <s v="4001.007"/>
    <s v="Acompte impôt sur revenu"/>
    <n v="0"/>
    <n v="18076.53"/>
    <n v="4001"/>
  </r>
  <r>
    <x v="0"/>
    <x v="10"/>
    <x v="9"/>
    <x v="304"/>
    <x v="251"/>
    <x v="251"/>
    <s v="REVENUS"/>
    <x v="3"/>
    <s v="4002.007"/>
    <s v="Acompte impôt sur fortune"/>
    <n v="0"/>
    <n v="5940.28"/>
    <n v="4002"/>
  </r>
  <r>
    <x v="0"/>
    <x v="10"/>
    <x v="9"/>
    <x v="304"/>
    <x v="251"/>
    <x v="251"/>
    <s v="REVENUS"/>
    <x v="6"/>
    <s v="4221.003"/>
    <s v="Intérêts compensat. / acomptes en faveur du fisc"/>
    <n v="0"/>
    <n v="0.63"/>
    <n v="4221"/>
  </r>
  <r>
    <x v="0"/>
    <x v="10"/>
    <x v="9"/>
    <x v="304"/>
    <x v="251"/>
    <x v="251"/>
    <s v="REVENUS"/>
    <x v="6"/>
    <s v="4211.002"/>
    <s v="Intérêts de retard sur acomptes"/>
    <n v="0"/>
    <n v="52.83"/>
    <n v="4211"/>
  </r>
  <r>
    <x v="0"/>
    <x v="10"/>
    <x v="9"/>
    <x v="304"/>
    <x v="251"/>
    <x v="251"/>
    <s v="REVENUS"/>
    <x v="6"/>
    <s v="4221.003"/>
    <s v="Intérêts compensat. / acomptes en faveur du fisc"/>
    <n v="0"/>
    <n v="9.82"/>
    <n v="4221"/>
  </r>
  <r>
    <x v="0"/>
    <x v="10"/>
    <x v="9"/>
    <x v="304"/>
    <x v="251"/>
    <x v="251"/>
    <s v="REVENUS"/>
    <x v="2"/>
    <s v="4001.007"/>
    <s v="Acompte impôt sur revenu"/>
    <n v="0"/>
    <n v="-582.79999999999995"/>
    <n v="4001"/>
  </r>
  <r>
    <x v="0"/>
    <x v="10"/>
    <x v="9"/>
    <x v="304"/>
    <x v="251"/>
    <x v="251"/>
    <s v="REVENUS"/>
    <x v="6"/>
    <s v="4221.003"/>
    <s v="Intérêts compensat. / acomptes en faveur du fisc"/>
    <n v="0"/>
    <n v="3.9"/>
    <n v="4221"/>
  </r>
  <r>
    <x v="0"/>
    <x v="10"/>
    <x v="9"/>
    <x v="304"/>
    <x v="251"/>
    <x v="251"/>
    <s v="REVENUS"/>
    <x v="4"/>
    <s v="4051.002"/>
    <s v="Impôt sur les donations"/>
    <n v="0"/>
    <n v="416289.8"/>
    <n v="4051"/>
  </r>
  <r>
    <x v="0"/>
    <x v="10"/>
    <x v="9"/>
    <x v="304"/>
    <x v="251"/>
    <x v="251"/>
    <s v="REVENUS"/>
    <x v="2"/>
    <s v="4001.007"/>
    <s v="Acompte impôt sur revenu"/>
    <n v="0"/>
    <n v="-1157.8399999999999"/>
    <n v="4001"/>
  </r>
  <r>
    <x v="0"/>
    <x v="10"/>
    <x v="9"/>
    <x v="304"/>
    <x v="251"/>
    <x v="251"/>
    <s v="REVENUS"/>
    <x v="3"/>
    <s v="4002.007"/>
    <s v="Acompte impôt sur fortune"/>
    <n v="0"/>
    <n v="-2968.63"/>
    <n v="4002"/>
  </r>
  <r>
    <x v="0"/>
    <x v="10"/>
    <x v="9"/>
    <x v="304"/>
    <x v="251"/>
    <x v="251"/>
    <s v="REVENUS"/>
    <x v="6"/>
    <s v="4211.002"/>
    <s v="Intérêts de retard sur acomptes"/>
    <n v="0"/>
    <n v="71.69"/>
    <n v="4211"/>
  </r>
  <r>
    <x v="0"/>
    <x v="10"/>
    <x v="9"/>
    <x v="304"/>
    <x v="251"/>
    <x v="251"/>
    <s v="REVENUS"/>
    <x v="9"/>
    <s v="4031.001"/>
    <s v="Impôt sur les gains immobiliers"/>
    <n v="0"/>
    <n v="138666"/>
    <n v="4031"/>
  </r>
  <r>
    <x v="0"/>
    <x v="10"/>
    <x v="9"/>
    <x v="304"/>
    <x v="251"/>
    <x v="251"/>
    <s v="REVENUS"/>
    <x v="9"/>
    <s v="4031.002"/>
    <s v="Complément impôt sur les gains immobiliers"/>
    <n v="0"/>
    <n v="56120.55"/>
    <n v="4031"/>
  </r>
  <r>
    <x v="0"/>
    <x v="10"/>
    <x v="9"/>
    <x v="304"/>
    <x v="251"/>
    <x v="251"/>
    <s v="REVENUS"/>
    <x v="3"/>
    <s v="4002.007"/>
    <s v="Acompte impôt sur fortune"/>
    <n v="0"/>
    <n v="1036"/>
    <n v="4002"/>
  </r>
  <r>
    <x v="0"/>
    <x v="10"/>
    <x v="9"/>
    <x v="304"/>
    <x v="251"/>
    <x v="251"/>
    <s v="REVENUS"/>
    <x v="12"/>
    <s v="4004.007"/>
    <s v="Acompte spécial étrangers"/>
    <n v="0"/>
    <n v="462108.79"/>
    <n v="4004"/>
  </r>
  <r>
    <x v="0"/>
    <x v="10"/>
    <x v="9"/>
    <x v="304"/>
    <x v="251"/>
    <x v="251"/>
    <s v="REVENUS"/>
    <x v="2"/>
    <s v="4001.007"/>
    <s v="Acompte impôt sur revenu"/>
    <n v="0"/>
    <n v="-638.15"/>
    <n v="4001"/>
  </r>
  <r>
    <x v="0"/>
    <x v="10"/>
    <x v="9"/>
    <x v="304"/>
    <x v="251"/>
    <x v="251"/>
    <s v="REVENUS"/>
    <x v="2"/>
    <s v="4001.007"/>
    <s v="Acompte impôt sur revenu"/>
    <n v="0"/>
    <n v="1356.3"/>
    <n v="4001"/>
  </r>
  <r>
    <x v="0"/>
    <x v="10"/>
    <x v="9"/>
    <x v="304"/>
    <x v="251"/>
    <x v="251"/>
    <s v="REVENUS"/>
    <x v="6"/>
    <s v="4211.001"/>
    <s v="Intérêts de retard sur factures"/>
    <n v="0"/>
    <n v="1.6"/>
    <n v="4211"/>
  </r>
  <r>
    <x v="0"/>
    <x v="10"/>
    <x v="9"/>
    <x v="304"/>
    <x v="251"/>
    <x v="251"/>
    <s v="REVENUS"/>
    <x v="6"/>
    <s v="4211.001"/>
    <s v="Intérêts de retard sur factures"/>
    <n v="0"/>
    <n v="0.28000000000000003"/>
    <n v="4211"/>
  </r>
  <r>
    <x v="0"/>
    <x v="10"/>
    <x v="9"/>
    <x v="304"/>
    <x v="251"/>
    <x v="251"/>
    <s v="REVENUS"/>
    <x v="5"/>
    <s v="4061.000"/>
    <s v="Impôt sur les chiens"/>
    <n v="0"/>
    <n v="5910"/>
    <n v="4061"/>
  </r>
  <r>
    <x v="0"/>
    <x v="10"/>
    <x v="9"/>
    <x v="304"/>
    <x v="251"/>
    <x v="251"/>
    <s v="REVENUS"/>
    <x v="7"/>
    <s v="4184.000"/>
    <s v="Frais de poursuite"/>
    <n v="0"/>
    <n v="1689.09"/>
    <n v="4184"/>
  </r>
  <r>
    <x v="0"/>
    <x v="10"/>
    <x v="9"/>
    <x v="304"/>
    <x v="251"/>
    <x v="251"/>
    <s v="REVENUS"/>
    <x v="3"/>
    <s v="4002.002"/>
    <s v="Impôt complémentaire s/fortune PP"/>
    <n v="0"/>
    <n v="12708.05"/>
    <n v="4002"/>
  </r>
  <r>
    <x v="0"/>
    <x v="10"/>
    <x v="9"/>
    <x v="304"/>
    <x v="251"/>
    <x v="251"/>
    <s v="REVENUS"/>
    <x v="3"/>
    <s v="4002.002"/>
    <s v="Impôt complémentaire s/fortune PP"/>
    <n v="0"/>
    <n v="9112"/>
    <n v="4002"/>
  </r>
  <r>
    <x v="0"/>
    <x v="10"/>
    <x v="9"/>
    <x v="304"/>
    <x v="251"/>
    <x v="251"/>
    <s v="REVENUS"/>
    <x v="7"/>
    <s v="4184.000"/>
    <s v="Frais de poursuite"/>
    <n v="0"/>
    <n v="2.16"/>
    <n v="4184"/>
  </r>
  <r>
    <x v="0"/>
    <x v="10"/>
    <x v="9"/>
    <x v="304"/>
    <x v="251"/>
    <x v="251"/>
    <s v="REVENUS"/>
    <x v="2"/>
    <s v="4001.002"/>
    <s v="Impôt complément s/revenu PP"/>
    <n v="0"/>
    <n v="29275.55"/>
    <n v="4001"/>
  </r>
  <r>
    <x v="0"/>
    <x v="10"/>
    <x v="9"/>
    <x v="304"/>
    <x v="251"/>
    <x v="251"/>
    <s v="REVENUS"/>
    <x v="2"/>
    <s v="4001.002"/>
    <s v="Impôt complément s/revenu PP"/>
    <n v="0"/>
    <n v="61.65"/>
    <n v="4001"/>
  </r>
  <r>
    <x v="0"/>
    <x v="10"/>
    <x v="9"/>
    <x v="304"/>
    <x v="251"/>
    <x v="251"/>
    <s v="REVENUS"/>
    <x v="3"/>
    <s v="4002.002"/>
    <s v="Impôt complémentaire s/fortune PP"/>
    <n v="0"/>
    <n v="11.1"/>
    <n v="4002"/>
  </r>
  <r>
    <x v="0"/>
    <x v="10"/>
    <x v="9"/>
    <x v="304"/>
    <x v="251"/>
    <x v="251"/>
    <s v="REVENUS"/>
    <x v="6"/>
    <s v="4211.001"/>
    <s v="Intérêts de retard sur factures"/>
    <n v="0"/>
    <n v="650.53"/>
    <n v="4211"/>
  </r>
  <r>
    <x v="0"/>
    <x v="10"/>
    <x v="9"/>
    <x v="304"/>
    <x v="251"/>
    <x v="251"/>
    <s v="REVENUS"/>
    <x v="4"/>
    <s v="4051.001"/>
    <s v="Impôt sur les successions"/>
    <n v="0"/>
    <n v="258305.5"/>
    <n v="4051"/>
  </r>
  <r>
    <x v="0"/>
    <x v="10"/>
    <x v="9"/>
    <x v="304"/>
    <x v="251"/>
    <x v="251"/>
    <s v="REVENUS"/>
    <x v="7"/>
    <s v="4184.000"/>
    <s v="Frais de poursuite"/>
    <n v="0"/>
    <n v="15.17"/>
    <n v="4184"/>
  </r>
  <r>
    <x v="0"/>
    <x v="10"/>
    <x v="9"/>
    <x v="304"/>
    <x v="251"/>
    <x v="251"/>
    <s v="REVENUS"/>
    <x v="2"/>
    <s v="4001.001"/>
    <s v="Impôt revenu"/>
    <n v="0"/>
    <n v="6504.45"/>
    <n v="4001"/>
  </r>
  <r>
    <x v="0"/>
    <x v="10"/>
    <x v="9"/>
    <x v="304"/>
    <x v="251"/>
    <x v="251"/>
    <s v="REVENUS"/>
    <x v="3"/>
    <s v="4002.001"/>
    <s v="Impôt ordinaire s/fortune PP"/>
    <n v="0"/>
    <n v="7798.7"/>
    <n v="4002"/>
  </r>
  <r>
    <x v="0"/>
    <x v="10"/>
    <x v="9"/>
    <x v="304"/>
    <x v="251"/>
    <x v="251"/>
    <s v="REVENUS"/>
    <x v="7"/>
    <s v="4184.000"/>
    <s v="Frais de poursuite"/>
    <n v="0"/>
    <n v="324.66000000000003"/>
    <n v="4184"/>
  </r>
  <r>
    <x v="0"/>
    <x v="10"/>
    <x v="9"/>
    <x v="304"/>
    <x v="251"/>
    <x v="251"/>
    <s v="REVENUS"/>
    <x v="2"/>
    <s v="4001.002"/>
    <s v="Impôt complément s/revenu PP"/>
    <n v="0"/>
    <n v="1475.95"/>
    <n v="4001"/>
  </r>
  <r>
    <x v="0"/>
    <x v="10"/>
    <x v="9"/>
    <x v="304"/>
    <x v="251"/>
    <x v="251"/>
    <s v="REVENUS"/>
    <x v="12"/>
    <s v="4004.000"/>
    <s v="Impôt spécial étrangers"/>
    <n v="0"/>
    <n v="801395.95"/>
    <n v="4004"/>
  </r>
  <r>
    <x v="0"/>
    <x v="10"/>
    <x v="9"/>
    <x v="304"/>
    <x v="251"/>
    <x v="251"/>
    <s v="REVENUS"/>
    <x v="2"/>
    <s v="4001.002"/>
    <s v="Impôt complément s/revenu PP"/>
    <n v="0"/>
    <n v="1874.5"/>
    <n v="4001"/>
  </r>
  <r>
    <x v="0"/>
    <x v="10"/>
    <x v="9"/>
    <x v="304"/>
    <x v="251"/>
    <x v="251"/>
    <s v="REVENUS"/>
    <x v="3"/>
    <s v="4002.002"/>
    <s v="Impôt complémentaire s/fortune PP"/>
    <n v="0"/>
    <n v="3300.3"/>
    <n v="4002"/>
  </r>
  <r>
    <x v="0"/>
    <x v="10"/>
    <x v="9"/>
    <x v="304"/>
    <x v="251"/>
    <x v="251"/>
    <s v="REVENUS"/>
    <x v="6"/>
    <s v="4211.002"/>
    <s v="Intérêts de retard sur acomptes"/>
    <n v="0"/>
    <n v="0.43"/>
    <n v="4211"/>
  </r>
  <r>
    <x v="0"/>
    <x v="10"/>
    <x v="9"/>
    <x v="304"/>
    <x v="251"/>
    <x v="251"/>
    <s v="REVENUS"/>
    <x v="4"/>
    <s v="4051.001"/>
    <s v="Impôt sur les successions"/>
    <n v="0"/>
    <n v="28.6"/>
    <n v="4051"/>
  </r>
  <r>
    <x v="0"/>
    <x v="10"/>
    <x v="9"/>
    <x v="304"/>
    <x v="251"/>
    <x v="251"/>
    <s v="REVENUS"/>
    <x v="6"/>
    <s v="4221.002"/>
    <s v="Intérêts compensat. sur impôts distincts"/>
    <n v="0"/>
    <n v="0.97"/>
    <n v="4221"/>
  </r>
  <r>
    <x v="0"/>
    <x v="10"/>
    <x v="9"/>
    <x v="304"/>
    <x v="251"/>
    <x v="251"/>
    <s v="REVENUS"/>
    <x v="6"/>
    <s v="4221.003"/>
    <s v="Intérêts compensat. / acomptes en faveur du fisc"/>
    <n v="0"/>
    <n v="0.1"/>
    <n v="4221"/>
  </r>
  <r>
    <x v="0"/>
    <x v="10"/>
    <x v="9"/>
    <x v="304"/>
    <x v="251"/>
    <x v="251"/>
    <s v="REVENUS"/>
    <x v="3"/>
    <s v="4002.001"/>
    <s v="Impôt ordinaire s/fortune PP"/>
    <n v="0"/>
    <n v="-1049.3499999999999"/>
    <n v="4002"/>
  </r>
  <r>
    <x v="0"/>
    <x v="10"/>
    <x v="9"/>
    <x v="304"/>
    <x v="251"/>
    <x v="251"/>
    <s v="REVENUS"/>
    <x v="6"/>
    <s v="4211.001"/>
    <s v="Intérêts de retard sur factures"/>
    <n v="0"/>
    <n v="-0.05"/>
    <n v="4211"/>
  </r>
  <r>
    <x v="0"/>
    <x v="10"/>
    <x v="9"/>
    <x v="304"/>
    <x v="251"/>
    <x v="251"/>
    <s v="REVENUS"/>
    <x v="6"/>
    <s v="4211.002"/>
    <s v="Intérêts de retard sur acomptes"/>
    <n v="0"/>
    <n v="-16.87"/>
    <n v="4211"/>
  </r>
  <r>
    <x v="0"/>
    <x v="10"/>
    <x v="9"/>
    <x v="304"/>
    <x v="251"/>
    <x v="251"/>
    <s v="REVENUS"/>
    <x v="6"/>
    <s v="4221.003"/>
    <s v="Intérêts compensat. / acomptes en faveur du fisc"/>
    <n v="0"/>
    <n v="-0.53"/>
    <n v="4221"/>
  </r>
  <r>
    <x v="0"/>
    <x v="10"/>
    <x v="9"/>
    <x v="304"/>
    <x v="251"/>
    <x v="251"/>
    <s v="REVENUS"/>
    <x v="2"/>
    <s v="4001.002"/>
    <s v="Impôt complément s/revenu PP"/>
    <n v="0"/>
    <n v="649.70000000000005"/>
    <n v="4001"/>
  </r>
  <r>
    <x v="0"/>
    <x v="10"/>
    <x v="9"/>
    <x v="304"/>
    <x v="251"/>
    <x v="251"/>
    <s v="REVENUS"/>
    <x v="6"/>
    <s v="4211.001"/>
    <s v="Intérêts de retard sur factures"/>
    <n v="0"/>
    <n v="1.27"/>
    <n v="4211"/>
  </r>
  <r>
    <x v="0"/>
    <x v="10"/>
    <x v="9"/>
    <x v="304"/>
    <x v="251"/>
    <x v="251"/>
    <s v="REVENUS"/>
    <x v="6"/>
    <s v="4211.002"/>
    <s v="Intérêts de retard sur acomptes"/>
    <n v="0"/>
    <n v="2.23"/>
    <n v="4211"/>
  </r>
  <r>
    <x v="0"/>
    <x v="10"/>
    <x v="9"/>
    <x v="304"/>
    <x v="251"/>
    <x v="251"/>
    <s v="REVENUS"/>
    <x v="12"/>
    <s v="4004.000"/>
    <s v="Impôt spécial étrangers"/>
    <n v="0"/>
    <n v="5564.35"/>
    <n v="4004"/>
  </r>
  <r>
    <x v="0"/>
    <x v="10"/>
    <x v="9"/>
    <x v="304"/>
    <x v="251"/>
    <x v="251"/>
    <s v="REVENUS"/>
    <x v="12"/>
    <s v="4004.007"/>
    <s v="Acompte spécial étrangers"/>
    <n v="0"/>
    <n v="2691.01"/>
    <n v="4004"/>
  </r>
  <r>
    <x v="0"/>
    <x v="5"/>
    <x v="1"/>
    <x v="305"/>
    <x v="252"/>
    <x v="252"/>
    <s v="CHARGES"/>
    <x v="0"/>
    <s v="3212.004"/>
    <s v="Intérêts rémun./perçu trop tôt sur acomptes C/C"/>
    <n v="150.36000000000001"/>
    <n v="0"/>
    <n v="3212"/>
  </r>
  <r>
    <x v="0"/>
    <x v="5"/>
    <x v="1"/>
    <x v="305"/>
    <x v="252"/>
    <x v="252"/>
    <s v="CHARGES"/>
    <x v="0"/>
    <s v="3221.002"/>
    <s v="Intérêts compensatoires / créances en faveur ctb."/>
    <n v="54.44"/>
    <n v="0"/>
    <n v="3221"/>
  </r>
  <r>
    <x v="0"/>
    <x v="5"/>
    <x v="1"/>
    <x v="305"/>
    <x v="252"/>
    <x v="252"/>
    <s v="CHARGES"/>
    <x v="1"/>
    <s v="3301.001"/>
    <s v="Défalcations, abandons de solde PP et IS"/>
    <n v="29224.77"/>
    <n v="0"/>
    <n v="3301"/>
  </r>
  <r>
    <x v="0"/>
    <x v="5"/>
    <x v="1"/>
    <x v="305"/>
    <x v="252"/>
    <x v="252"/>
    <s v="CHARGES"/>
    <x v="0"/>
    <s v="3212.002"/>
    <s v="Intérêts bonifiés/trop perçu acompte C/C"/>
    <n v="2.0699999999999998"/>
    <n v="0"/>
    <n v="3212"/>
  </r>
  <r>
    <x v="0"/>
    <x v="5"/>
    <x v="1"/>
    <x v="305"/>
    <x v="252"/>
    <x v="252"/>
    <s v="CHARGES"/>
    <x v="1"/>
    <s v="3301.001"/>
    <s v="Défalcations, abandons de solde PP et IS"/>
    <n v="0.09"/>
    <n v="0"/>
    <n v="3301"/>
  </r>
  <r>
    <x v="0"/>
    <x v="5"/>
    <x v="1"/>
    <x v="305"/>
    <x v="252"/>
    <x v="252"/>
    <s v="CHARGES"/>
    <x v="0"/>
    <s v="3212.004"/>
    <s v="Intérêts rémun./perçu trop tôt sur acomptes C/C"/>
    <n v="-0.01"/>
    <n v="0"/>
    <n v="3212"/>
  </r>
  <r>
    <x v="0"/>
    <x v="5"/>
    <x v="1"/>
    <x v="305"/>
    <x v="252"/>
    <x v="252"/>
    <s v="CHARGES"/>
    <x v="0"/>
    <s v="3212.002"/>
    <s v="Intérêts bonifiés/trop perçu acompte C/C"/>
    <n v="0.01"/>
    <n v="0"/>
    <n v="3212"/>
  </r>
  <r>
    <x v="0"/>
    <x v="5"/>
    <x v="1"/>
    <x v="305"/>
    <x v="252"/>
    <x v="252"/>
    <s v="CHARGES"/>
    <x v="0"/>
    <s v="3221.002"/>
    <s v="Intérêts compensatoires / créances en faveur ctb."/>
    <n v="0"/>
    <n v="0"/>
    <n v="3221"/>
  </r>
  <r>
    <x v="0"/>
    <x v="5"/>
    <x v="1"/>
    <x v="305"/>
    <x v="252"/>
    <x v="252"/>
    <s v="CHARGES"/>
    <x v="0"/>
    <s v="3221.002"/>
    <s v="Intérêts compensatoires / créances en faveur ctb."/>
    <n v="0.01"/>
    <n v="0"/>
    <n v="3221"/>
  </r>
  <r>
    <x v="0"/>
    <x v="5"/>
    <x v="1"/>
    <x v="305"/>
    <x v="252"/>
    <x v="252"/>
    <s v="CHARGES"/>
    <x v="0"/>
    <s v="3221.002"/>
    <s v="Intérêts compensatoires / créances en faveur ctb."/>
    <n v="0.01"/>
    <n v="0"/>
    <n v="3221"/>
  </r>
  <r>
    <x v="0"/>
    <x v="5"/>
    <x v="1"/>
    <x v="305"/>
    <x v="252"/>
    <x v="252"/>
    <s v="CHARGES"/>
    <x v="0"/>
    <s v="3212.004"/>
    <s v="Intérêts rémun./perçu trop tôt sur acomptes C/C"/>
    <n v="0.06"/>
    <n v="0"/>
    <n v="3212"/>
  </r>
  <r>
    <x v="0"/>
    <x v="5"/>
    <x v="1"/>
    <x v="305"/>
    <x v="252"/>
    <x v="252"/>
    <s v="CHARGES"/>
    <x v="0"/>
    <s v="3212.004"/>
    <s v="Intérêts rémun./perçu trop tôt sur acomptes C/C"/>
    <n v="0.36"/>
    <n v="0"/>
    <n v="3212"/>
  </r>
  <r>
    <x v="0"/>
    <x v="5"/>
    <x v="1"/>
    <x v="305"/>
    <x v="252"/>
    <x v="252"/>
    <s v="CHARGES"/>
    <x v="1"/>
    <s v="3301.001"/>
    <s v="Défalcations, abandons de solde PP et IS"/>
    <n v="928"/>
    <n v="0"/>
    <n v="3301"/>
  </r>
  <r>
    <x v="0"/>
    <x v="5"/>
    <x v="1"/>
    <x v="305"/>
    <x v="252"/>
    <x v="252"/>
    <s v="CHARGES"/>
    <x v="0"/>
    <s v="3212.004"/>
    <s v="Intérêts rémun./perçu trop tôt sur acomptes C/C"/>
    <n v="0.92"/>
    <n v="0"/>
    <n v="3212"/>
  </r>
  <r>
    <x v="0"/>
    <x v="5"/>
    <x v="1"/>
    <x v="305"/>
    <x v="252"/>
    <x v="252"/>
    <s v="CHARGES"/>
    <x v="1"/>
    <s v="3301.001"/>
    <s v="Défalcations, abandons de solde PP et IS"/>
    <n v="0.05"/>
    <n v="0"/>
    <n v="3301"/>
  </r>
  <r>
    <x v="0"/>
    <x v="5"/>
    <x v="1"/>
    <x v="305"/>
    <x v="252"/>
    <x v="252"/>
    <s v="CHARGES"/>
    <x v="0"/>
    <s v="3212.004"/>
    <s v="Intérêts rémun./perçu trop tôt sur acomptes C/C"/>
    <n v="0.01"/>
    <n v="0"/>
    <n v="3212"/>
  </r>
  <r>
    <x v="0"/>
    <x v="5"/>
    <x v="1"/>
    <x v="305"/>
    <x v="252"/>
    <x v="252"/>
    <s v="REVENUS"/>
    <x v="2"/>
    <s v="4001.007"/>
    <s v="Acompte impôt sur revenu"/>
    <n v="0"/>
    <n v="-294677.49"/>
    <n v="4001"/>
  </r>
  <r>
    <x v="0"/>
    <x v="5"/>
    <x v="1"/>
    <x v="305"/>
    <x v="252"/>
    <x v="252"/>
    <s v="REVENUS"/>
    <x v="3"/>
    <s v="4002.007"/>
    <s v="Acompte impôt sur fortune"/>
    <n v="0"/>
    <n v="-102118.39999999999"/>
    <n v="4002"/>
  </r>
  <r>
    <x v="0"/>
    <x v="5"/>
    <x v="1"/>
    <x v="305"/>
    <x v="252"/>
    <x v="252"/>
    <s v="REVENUS"/>
    <x v="2"/>
    <s v="4001.001"/>
    <s v="Impôt revenu"/>
    <n v="0"/>
    <n v="836931.2"/>
    <n v="4001"/>
  </r>
  <r>
    <x v="0"/>
    <x v="5"/>
    <x v="1"/>
    <x v="305"/>
    <x v="252"/>
    <x v="252"/>
    <s v="REVENUS"/>
    <x v="2"/>
    <s v="4001.007"/>
    <s v="Acompte impôt sur revenu"/>
    <n v="0"/>
    <n v="220061.55"/>
    <n v="4001"/>
  </r>
  <r>
    <x v="0"/>
    <x v="5"/>
    <x v="1"/>
    <x v="305"/>
    <x v="252"/>
    <x v="252"/>
    <s v="REVENUS"/>
    <x v="3"/>
    <s v="4002.001"/>
    <s v="Impôt ordinaire s/fortune PP"/>
    <n v="0"/>
    <n v="142311.20000000001"/>
    <n v="4002"/>
  </r>
  <r>
    <x v="0"/>
    <x v="5"/>
    <x v="1"/>
    <x v="305"/>
    <x v="252"/>
    <x v="252"/>
    <s v="REVENUS"/>
    <x v="6"/>
    <s v="4211.002"/>
    <s v="Intérêts de retard sur acomptes"/>
    <n v="0"/>
    <n v="8000.36"/>
    <n v="4211"/>
  </r>
  <r>
    <x v="0"/>
    <x v="5"/>
    <x v="1"/>
    <x v="305"/>
    <x v="252"/>
    <x v="252"/>
    <s v="REVENUS"/>
    <x v="6"/>
    <s v="4221.003"/>
    <s v="Intérêts compensat. / acomptes en faveur du fisc"/>
    <n v="0"/>
    <n v="142.05000000000001"/>
    <n v="4221"/>
  </r>
  <r>
    <x v="0"/>
    <x v="5"/>
    <x v="1"/>
    <x v="305"/>
    <x v="252"/>
    <x v="252"/>
    <s v="REVENUS"/>
    <x v="3"/>
    <s v="4002.007"/>
    <s v="Acompte impôt sur fortune"/>
    <n v="0"/>
    <n v="80443.679999999993"/>
    <n v="4002"/>
  </r>
  <r>
    <x v="0"/>
    <x v="5"/>
    <x v="1"/>
    <x v="305"/>
    <x v="252"/>
    <x v="252"/>
    <s v="REVENUS"/>
    <x v="2"/>
    <s v="4001.002"/>
    <s v="Impôt complément s/revenu PP"/>
    <n v="0"/>
    <n v="94396.85"/>
    <n v="4001"/>
  </r>
  <r>
    <x v="0"/>
    <x v="5"/>
    <x v="1"/>
    <x v="305"/>
    <x v="252"/>
    <x v="252"/>
    <s v="REVENUS"/>
    <x v="6"/>
    <s v="4211.001"/>
    <s v="Intérêts de retard sur factures"/>
    <n v="0"/>
    <n v="4729.87"/>
    <n v="4211"/>
  </r>
  <r>
    <x v="0"/>
    <x v="5"/>
    <x v="1"/>
    <x v="305"/>
    <x v="252"/>
    <x v="252"/>
    <s v="REVENUS"/>
    <x v="10"/>
    <s v="4041.001"/>
    <s v="Droits de mutation"/>
    <n v="0"/>
    <n v="207.65"/>
    <n v="4041"/>
  </r>
  <r>
    <x v="0"/>
    <x v="5"/>
    <x v="1"/>
    <x v="305"/>
    <x v="252"/>
    <x v="252"/>
    <s v="REVENUS"/>
    <x v="7"/>
    <s v="4184.000"/>
    <s v="Frais de poursuite"/>
    <n v="0"/>
    <n v="1060.33"/>
    <n v="4184"/>
  </r>
  <r>
    <x v="0"/>
    <x v="5"/>
    <x v="1"/>
    <x v="305"/>
    <x v="252"/>
    <x v="252"/>
    <s v="REVENUS"/>
    <x v="3"/>
    <s v="4002.002"/>
    <s v="Impôt complémentaire s/fortune PP"/>
    <n v="0"/>
    <n v="33295.1"/>
    <n v="4002"/>
  </r>
  <r>
    <x v="0"/>
    <x v="5"/>
    <x v="1"/>
    <x v="305"/>
    <x v="252"/>
    <x v="252"/>
    <s v="REVENUS"/>
    <x v="2"/>
    <s v="4001.007"/>
    <s v="Acompte impôt sur revenu"/>
    <n v="0"/>
    <n v="212.16"/>
    <n v="4001"/>
  </r>
  <r>
    <x v="0"/>
    <x v="5"/>
    <x v="1"/>
    <x v="305"/>
    <x v="252"/>
    <x v="252"/>
    <s v="REVENUS"/>
    <x v="2"/>
    <s v="4001.001"/>
    <s v="Impôt revenu"/>
    <n v="0"/>
    <n v="1075.75"/>
    <n v="4001"/>
  </r>
  <r>
    <x v="0"/>
    <x v="5"/>
    <x v="1"/>
    <x v="305"/>
    <x v="252"/>
    <x v="252"/>
    <s v="REVENUS"/>
    <x v="3"/>
    <s v="4002.001"/>
    <s v="Impôt ordinaire s/fortune PP"/>
    <n v="0"/>
    <n v="841.6"/>
    <n v="4002"/>
  </r>
  <r>
    <x v="0"/>
    <x v="5"/>
    <x v="1"/>
    <x v="305"/>
    <x v="252"/>
    <x v="252"/>
    <s v="REVENUS"/>
    <x v="2"/>
    <s v="4001.007"/>
    <s v="Acompte impôt sur revenu"/>
    <n v="0"/>
    <n v="215"/>
    <n v="4001"/>
  </r>
  <r>
    <x v="0"/>
    <x v="5"/>
    <x v="1"/>
    <x v="305"/>
    <x v="252"/>
    <x v="252"/>
    <s v="REVENUS"/>
    <x v="2"/>
    <s v="4001.001"/>
    <s v="Impôt revenu"/>
    <n v="0"/>
    <n v="-806.45"/>
    <n v="4001"/>
  </r>
  <r>
    <x v="0"/>
    <x v="5"/>
    <x v="1"/>
    <x v="305"/>
    <x v="252"/>
    <x v="252"/>
    <s v="REVENUS"/>
    <x v="7"/>
    <s v="4184.000"/>
    <s v="Frais de poursuite"/>
    <n v="0"/>
    <n v="134.99"/>
    <n v="4184"/>
  </r>
  <r>
    <x v="0"/>
    <x v="5"/>
    <x v="1"/>
    <x v="305"/>
    <x v="252"/>
    <x v="252"/>
    <s v="REVENUS"/>
    <x v="6"/>
    <s v="4211.001"/>
    <s v="Intérêts de retard sur factures"/>
    <n v="0"/>
    <n v="98.45"/>
    <n v="4211"/>
  </r>
  <r>
    <x v="0"/>
    <x v="5"/>
    <x v="1"/>
    <x v="305"/>
    <x v="252"/>
    <x v="252"/>
    <s v="REVENUS"/>
    <x v="6"/>
    <s v="4211.002"/>
    <s v="Intérêts de retard sur acomptes"/>
    <n v="0"/>
    <n v="-42.19"/>
    <n v="4211"/>
  </r>
  <r>
    <x v="0"/>
    <x v="5"/>
    <x v="1"/>
    <x v="305"/>
    <x v="252"/>
    <x v="252"/>
    <s v="REVENUS"/>
    <x v="12"/>
    <s v="4004.007"/>
    <s v="Acompte spécial étrangers"/>
    <n v="0"/>
    <n v="137387.79999999999"/>
    <n v="4004"/>
  </r>
  <r>
    <x v="0"/>
    <x v="5"/>
    <x v="1"/>
    <x v="305"/>
    <x v="252"/>
    <x v="252"/>
    <s v="REVENUS"/>
    <x v="3"/>
    <s v="4002.007"/>
    <s v="Acompte impôt sur fortune"/>
    <n v="0"/>
    <n v="456.65"/>
    <n v="4002"/>
  </r>
  <r>
    <x v="0"/>
    <x v="5"/>
    <x v="1"/>
    <x v="305"/>
    <x v="252"/>
    <x v="252"/>
    <s v="REVENUS"/>
    <x v="3"/>
    <s v="4002.007"/>
    <s v="Acompte impôt sur fortune"/>
    <n v="0"/>
    <n v="-48.5"/>
    <n v="4002"/>
  </r>
  <r>
    <x v="0"/>
    <x v="5"/>
    <x v="1"/>
    <x v="305"/>
    <x v="252"/>
    <x v="252"/>
    <s v="REVENUS"/>
    <x v="2"/>
    <s v="4001.007"/>
    <s v="Acompte impôt sur revenu"/>
    <n v="0"/>
    <n v="2701.85"/>
    <n v="4001"/>
  </r>
  <r>
    <x v="0"/>
    <x v="5"/>
    <x v="1"/>
    <x v="305"/>
    <x v="252"/>
    <x v="252"/>
    <s v="REVENUS"/>
    <x v="2"/>
    <s v="4001.007"/>
    <s v="Acompte impôt sur revenu"/>
    <n v="0"/>
    <n v="127.25"/>
    <n v="4001"/>
  </r>
  <r>
    <x v="0"/>
    <x v="5"/>
    <x v="1"/>
    <x v="305"/>
    <x v="252"/>
    <x v="252"/>
    <s v="REVENUS"/>
    <x v="2"/>
    <s v="4001.007"/>
    <s v="Acompte impôt sur revenu"/>
    <n v="0"/>
    <n v="-206.85"/>
    <n v="4001"/>
  </r>
  <r>
    <x v="0"/>
    <x v="5"/>
    <x v="1"/>
    <x v="305"/>
    <x v="252"/>
    <x v="252"/>
    <s v="REVENUS"/>
    <x v="3"/>
    <s v="4002.007"/>
    <s v="Acompte impôt sur fortune"/>
    <n v="0"/>
    <n v="-375.45"/>
    <n v="4002"/>
  </r>
  <r>
    <x v="0"/>
    <x v="5"/>
    <x v="1"/>
    <x v="305"/>
    <x v="252"/>
    <x v="252"/>
    <s v="REVENUS"/>
    <x v="3"/>
    <s v="4002.007"/>
    <s v="Acompte impôt sur fortune"/>
    <n v="0"/>
    <n v="-11.7"/>
    <n v="4002"/>
  </r>
  <r>
    <x v="0"/>
    <x v="5"/>
    <x v="1"/>
    <x v="305"/>
    <x v="252"/>
    <x v="252"/>
    <s v="REVENUS"/>
    <x v="6"/>
    <s v="4221.003"/>
    <s v="Intérêts compensat. / acomptes en faveur du fisc"/>
    <n v="0"/>
    <n v="0.44"/>
    <n v="4221"/>
  </r>
  <r>
    <x v="0"/>
    <x v="5"/>
    <x v="1"/>
    <x v="305"/>
    <x v="252"/>
    <x v="252"/>
    <s v="REVENUS"/>
    <x v="3"/>
    <s v="4002.007"/>
    <s v="Acompte impôt sur fortune"/>
    <n v="0"/>
    <n v="-156.13999999999999"/>
    <n v="4002"/>
  </r>
  <r>
    <x v="0"/>
    <x v="5"/>
    <x v="1"/>
    <x v="305"/>
    <x v="252"/>
    <x v="252"/>
    <s v="REVENUS"/>
    <x v="3"/>
    <s v="4002.001"/>
    <s v="Impôt ordinaire s/fortune PP"/>
    <n v="0"/>
    <n v="-29.7"/>
    <n v="4002"/>
  </r>
  <r>
    <x v="0"/>
    <x v="5"/>
    <x v="1"/>
    <x v="305"/>
    <x v="252"/>
    <x v="252"/>
    <s v="REVENUS"/>
    <x v="3"/>
    <s v="4002.002"/>
    <s v="Impôt complémentaire s/fortune PP"/>
    <n v="0"/>
    <n v="-27.8"/>
    <n v="4002"/>
  </r>
  <r>
    <x v="0"/>
    <x v="5"/>
    <x v="1"/>
    <x v="305"/>
    <x v="252"/>
    <x v="252"/>
    <s v="REVENUS"/>
    <x v="6"/>
    <s v="4211.001"/>
    <s v="Intérêts de retard sur factures"/>
    <n v="0"/>
    <n v="-0.03"/>
    <n v="4211"/>
  </r>
  <r>
    <x v="0"/>
    <x v="5"/>
    <x v="1"/>
    <x v="305"/>
    <x v="252"/>
    <x v="252"/>
    <s v="REVENUS"/>
    <x v="3"/>
    <s v="4002.001"/>
    <s v="Impôt ordinaire s/fortune PP"/>
    <n v="0"/>
    <n v="164.6"/>
    <n v="4002"/>
  </r>
  <r>
    <x v="0"/>
    <x v="5"/>
    <x v="1"/>
    <x v="305"/>
    <x v="252"/>
    <x v="252"/>
    <s v="REVENUS"/>
    <x v="3"/>
    <s v="4002.002"/>
    <s v="Impôt complémentaire s/fortune PP"/>
    <n v="0"/>
    <n v="252.1"/>
    <n v="4002"/>
  </r>
  <r>
    <x v="0"/>
    <x v="5"/>
    <x v="1"/>
    <x v="305"/>
    <x v="252"/>
    <x v="252"/>
    <s v="REVENUS"/>
    <x v="6"/>
    <s v="4211.001"/>
    <s v="Intérêts de retard sur factures"/>
    <n v="0"/>
    <n v="5.95"/>
    <n v="4211"/>
  </r>
  <r>
    <x v="0"/>
    <x v="5"/>
    <x v="1"/>
    <x v="305"/>
    <x v="252"/>
    <x v="252"/>
    <s v="REVENUS"/>
    <x v="6"/>
    <s v="4221.003"/>
    <s v="Intérêts compensat. / acomptes en faveur du fisc"/>
    <n v="0"/>
    <n v="0.54"/>
    <n v="4221"/>
  </r>
  <r>
    <x v="0"/>
    <x v="5"/>
    <x v="1"/>
    <x v="305"/>
    <x v="252"/>
    <x v="252"/>
    <s v="REVENUS"/>
    <x v="6"/>
    <s v="4211.002"/>
    <s v="Intérêts de retard sur acomptes"/>
    <n v="0"/>
    <n v="1.47"/>
    <n v="4211"/>
  </r>
  <r>
    <x v="0"/>
    <x v="5"/>
    <x v="1"/>
    <x v="305"/>
    <x v="252"/>
    <x v="252"/>
    <s v="REVENUS"/>
    <x v="2"/>
    <s v="4001.001"/>
    <s v="Impôt revenu"/>
    <n v="0"/>
    <n v="804.8"/>
    <n v="4001"/>
  </r>
  <r>
    <x v="0"/>
    <x v="5"/>
    <x v="1"/>
    <x v="305"/>
    <x v="252"/>
    <x v="252"/>
    <s v="REVENUS"/>
    <x v="3"/>
    <s v="4002.001"/>
    <s v="Impôt ordinaire s/fortune PP"/>
    <n v="0"/>
    <n v="771.35"/>
    <n v="4002"/>
  </r>
  <r>
    <x v="0"/>
    <x v="5"/>
    <x v="1"/>
    <x v="305"/>
    <x v="252"/>
    <x v="252"/>
    <s v="REVENUS"/>
    <x v="2"/>
    <s v="4001.001"/>
    <s v="Impôt revenu"/>
    <n v="0"/>
    <n v="2014.35"/>
    <n v="4001"/>
  </r>
  <r>
    <x v="0"/>
    <x v="5"/>
    <x v="1"/>
    <x v="305"/>
    <x v="252"/>
    <x v="252"/>
    <s v="REVENUS"/>
    <x v="6"/>
    <s v="4211.002"/>
    <s v="Intérêts de retard sur acomptes"/>
    <n v="0"/>
    <n v="70.95"/>
    <n v="4211"/>
  </r>
  <r>
    <x v="0"/>
    <x v="5"/>
    <x v="1"/>
    <x v="305"/>
    <x v="252"/>
    <x v="252"/>
    <s v="REVENUS"/>
    <x v="3"/>
    <s v="4002.007"/>
    <s v="Acompte impôt sur fortune"/>
    <n v="0"/>
    <n v="-32.35"/>
    <n v="4002"/>
  </r>
  <r>
    <x v="0"/>
    <x v="5"/>
    <x v="1"/>
    <x v="305"/>
    <x v="252"/>
    <x v="252"/>
    <s v="REVENUS"/>
    <x v="2"/>
    <s v="4001.002"/>
    <s v="Impôt complément s/revenu PP"/>
    <n v="0"/>
    <n v="301.3"/>
    <n v="4001"/>
  </r>
  <r>
    <x v="0"/>
    <x v="5"/>
    <x v="1"/>
    <x v="305"/>
    <x v="252"/>
    <x v="252"/>
    <s v="REVENUS"/>
    <x v="3"/>
    <s v="4002.002"/>
    <s v="Impôt complémentaire s/fortune PP"/>
    <n v="0"/>
    <n v="315.3"/>
    <n v="4002"/>
  </r>
  <r>
    <x v="0"/>
    <x v="5"/>
    <x v="1"/>
    <x v="305"/>
    <x v="252"/>
    <x v="252"/>
    <s v="REVENUS"/>
    <x v="2"/>
    <s v="4001.003"/>
    <s v="Impôt s/prest. cap. PP"/>
    <n v="0"/>
    <n v="14679.6"/>
    <n v="4001"/>
  </r>
  <r>
    <x v="0"/>
    <x v="5"/>
    <x v="1"/>
    <x v="305"/>
    <x v="252"/>
    <x v="252"/>
    <s v="REVENUS"/>
    <x v="3"/>
    <s v="4002.001"/>
    <s v="Impôt ordinaire s/fortune PP"/>
    <n v="0"/>
    <n v="157.55000000000001"/>
    <n v="4002"/>
  </r>
  <r>
    <x v="0"/>
    <x v="5"/>
    <x v="1"/>
    <x v="305"/>
    <x v="252"/>
    <x v="252"/>
    <s v="REVENUS"/>
    <x v="7"/>
    <s v="4184.000"/>
    <s v="Frais de poursuite"/>
    <n v="0"/>
    <n v="9.5299999999999994"/>
    <n v="4184"/>
  </r>
  <r>
    <x v="0"/>
    <x v="5"/>
    <x v="1"/>
    <x v="305"/>
    <x v="252"/>
    <x v="252"/>
    <s v="REVENUS"/>
    <x v="5"/>
    <s v="4061.000"/>
    <s v="Impôt sur les chiens"/>
    <n v="0"/>
    <n v="2150"/>
    <n v="4061"/>
  </r>
  <r>
    <x v="0"/>
    <x v="5"/>
    <x v="1"/>
    <x v="305"/>
    <x v="252"/>
    <x v="252"/>
    <s v="REVENUS"/>
    <x v="3"/>
    <s v="4002.001"/>
    <s v="Impôt ordinaire s/fortune PP"/>
    <n v="0"/>
    <n v="19.649999999999999"/>
    <n v="4002"/>
  </r>
  <r>
    <x v="0"/>
    <x v="5"/>
    <x v="1"/>
    <x v="305"/>
    <x v="252"/>
    <x v="252"/>
    <s v="REVENUS"/>
    <x v="6"/>
    <s v="4211.002"/>
    <s v="Intérêts de retard sur acomptes"/>
    <n v="0"/>
    <n v="0.23"/>
    <n v="4211"/>
  </r>
  <r>
    <x v="0"/>
    <x v="5"/>
    <x v="1"/>
    <x v="305"/>
    <x v="252"/>
    <x v="252"/>
    <s v="REVENUS"/>
    <x v="2"/>
    <s v="4001.002"/>
    <s v="Impôt complément s/revenu PP"/>
    <n v="0"/>
    <n v="174.85"/>
    <n v="4001"/>
  </r>
  <r>
    <x v="0"/>
    <x v="5"/>
    <x v="1"/>
    <x v="305"/>
    <x v="252"/>
    <x v="252"/>
    <s v="REVENUS"/>
    <x v="6"/>
    <s v="4221.003"/>
    <s v="Intérêts compensat. / acomptes en faveur du fisc"/>
    <n v="0"/>
    <n v="-0.25"/>
    <n v="4221"/>
  </r>
  <r>
    <x v="0"/>
    <x v="5"/>
    <x v="1"/>
    <x v="305"/>
    <x v="252"/>
    <x v="252"/>
    <s v="REVENUS"/>
    <x v="2"/>
    <s v="4001.002"/>
    <s v="Impôt complément s/revenu PP"/>
    <n v="0"/>
    <n v="-2587.9"/>
    <n v="4001"/>
  </r>
  <r>
    <x v="0"/>
    <x v="5"/>
    <x v="1"/>
    <x v="305"/>
    <x v="252"/>
    <x v="252"/>
    <s v="REVENUS"/>
    <x v="2"/>
    <s v="4001.003"/>
    <s v="Impôt s/prest. cap. PP"/>
    <n v="0"/>
    <n v="-1681.75"/>
    <n v="4001"/>
  </r>
  <r>
    <x v="0"/>
    <x v="5"/>
    <x v="1"/>
    <x v="305"/>
    <x v="252"/>
    <x v="252"/>
    <s v="REVENUS"/>
    <x v="2"/>
    <s v="4001.001"/>
    <s v="Impôt revenu"/>
    <n v="0"/>
    <n v="-28345.25"/>
    <n v="4001"/>
  </r>
  <r>
    <x v="0"/>
    <x v="5"/>
    <x v="1"/>
    <x v="305"/>
    <x v="252"/>
    <x v="252"/>
    <s v="REVENUS"/>
    <x v="6"/>
    <s v="4221.003"/>
    <s v="Intérêts compensat. / acomptes en faveur du fisc"/>
    <n v="0"/>
    <n v="0.05"/>
    <n v="4221"/>
  </r>
  <r>
    <x v="0"/>
    <x v="5"/>
    <x v="1"/>
    <x v="305"/>
    <x v="252"/>
    <x v="252"/>
    <s v="REVENUS"/>
    <x v="6"/>
    <s v="4221.002"/>
    <s v="Intérêts compensat. sur impôts distincts"/>
    <n v="0"/>
    <n v="29.16"/>
    <n v="4221"/>
  </r>
  <r>
    <x v="0"/>
    <x v="5"/>
    <x v="1"/>
    <x v="305"/>
    <x v="252"/>
    <x v="252"/>
    <s v="REVENUS"/>
    <x v="6"/>
    <s v="4211.001"/>
    <s v="Intérêts de retard sur factures"/>
    <n v="0"/>
    <n v="0.14000000000000001"/>
    <n v="4211"/>
  </r>
  <r>
    <x v="0"/>
    <x v="1"/>
    <x v="2"/>
    <x v="306"/>
    <x v="253"/>
    <x v="253"/>
    <s v="CHARGES"/>
    <x v="1"/>
    <s v="3301.001"/>
    <s v="Défalcations, abandons de solde PP et IS"/>
    <n v="19154.8"/>
    <n v="0"/>
    <n v="3301"/>
  </r>
  <r>
    <x v="0"/>
    <x v="1"/>
    <x v="2"/>
    <x v="306"/>
    <x v="253"/>
    <x v="253"/>
    <s v="CHARGES"/>
    <x v="0"/>
    <s v="3212.004"/>
    <s v="Intérêts rémun./perçu trop tôt sur acomptes C/C"/>
    <n v="213.53"/>
    <n v="0"/>
    <n v="3212"/>
  </r>
  <r>
    <x v="0"/>
    <x v="1"/>
    <x v="2"/>
    <x v="306"/>
    <x v="253"/>
    <x v="253"/>
    <s v="CHARGES"/>
    <x v="0"/>
    <s v="3221.002"/>
    <s v="Intérêts compensatoires / créances en faveur ctb."/>
    <n v="88.22"/>
    <n v="0"/>
    <n v="3221"/>
  </r>
  <r>
    <x v="0"/>
    <x v="1"/>
    <x v="2"/>
    <x v="306"/>
    <x v="253"/>
    <x v="253"/>
    <s v="CHARGES"/>
    <x v="0"/>
    <s v="3212.004"/>
    <s v="Intérêts rémun./perçu trop tôt sur acomptes C/C"/>
    <n v="3.57"/>
    <n v="0"/>
    <n v="3212"/>
  </r>
  <r>
    <x v="0"/>
    <x v="1"/>
    <x v="2"/>
    <x v="306"/>
    <x v="253"/>
    <x v="253"/>
    <s v="CHARGES"/>
    <x v="0"/>
    <s v="3221.002"/>
    <s v="Intérêts compensatoires / créances en faveur ctb."/>
    <n v="1.52"/>
    <n v="0"/>
    <n v="3221"/>
  </r>
  <r>
    <x v="0"/>
    <x v="1"/>
    <x v="2"/>
    <x v="306"/>
    <x v="253"/>
    <x v="253"/>
    <s v="CHARGES"/>
    <x v="0"/>
    <s v="3212.004"/>
    <s v="Intérêts rémun./perçu trop tôt sur acomptes C/C"/>
    <n v="0.48"/>
    <n v="0"/>
    <n v="3212"/>
  </r>
  <r>
    <x v="0"/>
    <x v="1"/>
    <x v="2"/>
    <x v="306"/>
    <x v="253"/>
    <x v="253"/>
    <s v="CHARGES"/>
    <x v="1"/>
    <s v="3301.001"/>
    <s v="Défalcations, abandons de solde PP et IS"/>
    <n v="0.18"/>
    <n v="0"/>
    <n v="3301"/>
  </r>
  <r>
    <x v="0"/>
    <x v="1"/>
    <x v="2"/>
    <x v="306"/>
    <x v="253"/>
    <x v="253"/>
    <s v="CHARGES"/>
    <x v="0"/>
    <s v="3212.004"/>
    <s v="Intérêts rémun./perçu trop tôt sur acomptes C/C"/>
    <n v="0.38"/>
    <n v="0"/>
    <n v="3212"/>
  </r>
  <r>
    <x v="0"/>
    <x v="1"/>
    <x v="2"/>
    <x v="306"/>
    <x v="253"/>
    <x v="253"/>
    <s v="CHARGES"/>
    <x v="0"/>
    <s v="3221.002"/>
    <s v="Intérêts compensatoires / créances en faveur ctb."/>
    <n v="0.01"/>
    <n v="0"/>
    <n v="3221"/>
  </r>
  <r>
    <x v="0"/>
    <x v="1"/>
    <x v="2"/>
    <x v="306"/>
    <x v="253"/>
    <x v="253"/>
    <s v="CHARGES"/>
    <x v="0"/>
    <s v="3212.002"/>
    <s v="Intérêts bonifiés/trop perçu acompte C/C"/>
    <n v="219.46"/>
    <n v="0"/>
    <n v="3212"/>
  </r>
  <r>
    <x v="0"/>
    <x v="1"/>
    <x v="2"/>
    <x v="306"/>
    <x v="253"/>
    <x v="253"/>
    <s v="REVENUS"/>
    <x v="2"/>
    <s v="4001.007"/>
    <s v="Acompte impôt sur revenu"/>
    <n v="0"/>
    <n v="379472.75"/>
    <n v="4001"/>
  </r>
  <r>
    <x v="0"/>
    <x v="1"/>
    <x v="2"/>
    <x v="306"/>
    <x v="253"/>
    <x v="253"/>
    <s v="REVENUS"/>
    <x v="3"/>
    <s v="4002.007"/>
    <s v="Acompte impôt sur fortune"/>
    <n v="0"/>
    <n v="453155.12"/>
    <n v="4002"/>
  </r>
  <r>
    <x v="0"/>
    <x v="1"/>
    <x v="2"/>
    <x v="306"/>
    <x v="253"/>
    <x v="253"/>
    <s v="REVENUS"/>
    <x v="2"/>
    <s v="4001.001"/>
    <s v="Impôt revenu"/>
    <n v="0"/>
    <n v="1020472.95"/>
    <n v="4001"/>
  </r>
  <r>
    <x v="0"/>
    <x v="1"/>
    <x v="2"/>
    <x v="306"/>
    <x v="253"/>
    <x v="253"/>
    <s v="REVENUS"/>
    <x v="3"/>
    <s v="4002.001"/>
    <s v="Impôt ordinaire s/fortune PP"/>
    <n v="0"/>
    <n v="317768.59999999998"/>
    <n v="4002"/>
  </r>
  <r>
    <x v="0"/>
    <x v="1"/>
    <x v="2"/>
    <x v="306"/>
    <x v="253"/>
    <x v="253"/>
    <s v="REVENUS"/>
    <x v="6"/>
    <s v="4221.003"/>
    <s v="Intérêts compensat. / acomptes en faveur du fisc"/>
    <n v="0"/>
    <n v="94.83"/>
    <n v="4221"/>
  </r>
  <r>
    <x v="0"/>
    <x v="1"/>
    <x v="2"/>
    <x v="306"/>
    <x v="253"/>
    <x v="253"/>
    <s v="REVENUS"/>
    <x v="6"/>
    <s v="4211.001"/>
    <s v="Intérêts de retard sur factures"/>
    <n v="0"/>
    <n v="-23489.18"/>
    <n v="4211"/>
  </r>
  <r>
    <x v="0"/>
    <x v="1"/>
    <x v="2"/>
    <x v="306"/>
    <x v="253"/>
    <x v="253"/>
    <s v="REVENUS"/>
    <x v="6"/>
    <s v="4211.002"/>
    <s v="Intérêts de retard sur acomptes"/>
    <n v="0"/>
    <n v="39804.61"/>
    <n v="4211"/>
  </r>
  <r>
    <x v="0"/>
    <x v="1"/>
    <x v="2"/>
    <x v="306"/>
    <x v="253"/>
    <x v="253"/>
    <s v="REVENUS"/>
    <x v="2"/>
    <s v="4001.002"/>
    <s v="Impôt complément s/revenu PP"/>
    <n v="0"/>
    <n v="100979.05"/>
    <n v="4001"/>
  </r>
  <r>
    <x v="0"/>
    <x v="1"/>
    <x v="2"/>
    <x v="306"/>
    <x v="253"/>
    <x v="253"/>
    <s v="REVENUS"/>
    <x v="3"/>
    <s v="4002.002"/>
    <s v="Impôt complémentaire s/fortune PP"/>
    <n v="0"/>
    <n v="18251.75"/>
    <n v="4002"/>
  </r>
  <r>
    <x v="0"/>
    <x v="1"/>
    <x v="2"/>
    <x v="306"/>
    <x v="253"/>
    <x v="253"/>
    <s v="REVENUS"/>
    <x v="7"/>
    <s v="4184.000"/>
    <s v="Frais de poursuite"/>
    <n v="0"/>
    <n v="1548.11"/>
    <n v="4184"/>
  </r>
  <r>
    <x v="0"/>
    <x v="1"/>
    <x v="2"/>
    <x v="306"/>
    <x v="253"/>
    <x v="253"/>
    <s v="REVENUS"/>
    <x v="10"/>
    <s v="4041.001"/>
    <s v="Droits de mutation"/>
    <n v="0"/>
    <n v="61570.65"/>
    <n v="4041"/>
  </r>
  <r>
    <x v="0"/>
    <x v="1"/>
    <x v="2"/>
    <x v="306"/>
    <x v="253"/>
    <x v="253"/>
    <s v="REVENUS"/>
    <x v="12"/>
    <s v="4004.007"/>
    <s v="Acompte spécial étrangers"/>
    <n v="0"/>
    <n v="-25658.55"/>
    <n v="4004"/>
  </r>
  <r>
    <x v="0"/>
    <x v="1"/>
    <x v="2"/>
    <x v="306"/>
    <x v="253"/>
    <x v="253"/>
    <s v="REVENUS"/>
    <x v="2"/>
    <s v="4001.007"/>
    <s v="Acompte impôt sur revenu"/>
    <n v="0"/>
    <n v="137.05000000000001"/>
    <n v="4001"/>
  </r>
  <r>
    <x v="0"/>
    <x v="1"/>
    <x v="2"/>
    <x v="306"/>
    <x v="253"/>
    <x v="253"/>
    <s v="REVENUS"/>
    <x v="3"/>
    <s v="4002.007"/>
    <s v="Acompte impôt sur fortune"/>
    <n v="0"/>
    <n v="91.2"/>
    <n v="4002"/>
  </r>
  <r>
    <x v="0"/>
    <x v="1"/>
    <x v="2"/>
    <x v="306"/>
    <x v="253"/>
    <x v="253"/>
    <s v="REVENUS"/>
    <x v="2"/>
    <s v="4001.001"/>
    <s v="Impôt revenu"/>
    <n v="0"/>
    <n v="5002.75"/>
    <n v="4001"/>
  </r>
  <r>
    <x v="0"/>
    <x v="1"/>
    <x v="2"/>
    <x v="306"/>
    <x v="253"/>
    <x v="253"/>
    <s v="REVENUS"/>
    <x v="2"/>
    <s v="4001.007"/>
    <s v="Acompte impôt sur revenu"/>
    <n v="0"/>
    <n v="-1459.02"/>
    <n v="4001"/>
  </r>
  <r>
    <x v="0"/>
    <x v="1"/>
    <x v="2"/>
    <x v="306"/>
    <x v="253"/>
    <x v="253"/>
    <s v="REVENUS"/>
    <x v="6"/>
    <s v="4221.003"/>
    <s v="Intérêts compensat. / acomptes en faveur du fisc"/>
    <n v="0"/>
    <n v="5"/>
    <n v="4221"/>
  </r>
  <r>
    <x v="0"/>
    <x v="1"/>
    <x v="2"/>
    <x v="306"/>
    <x v="253"/>
    <x v="253"/>
    <s v="REVENUS"/>
    <x v="2"/>
    <s v="4001.007"/>
    <s v="Acompte impôt sur revenu"/>
    <n v="0"/>
    <n v="-112.25"/>
    <n v="4001"/>
  </r>
  <r>
    <x v="0"/>
    <x v="1"/>
    <x v="2"/>
    <x v="306"/>
    <x v="253"/>
    <x v="253"/>
    <s v="REVENUS"/>
    <x v="3"/>
    <s v="4002.007"/>
    <s v="Acompte impôt sur fortune"/>
    <n v="0"/>
    <n v="-40.9"/>
    <n v="4002"/>
  </r>
  <r>
    <x v="0"/>
    <x v="1"/>
    <x v="2"/>
    <x v="306"/>
    <x v="253"/>
    <x v="253"/>
    <s v="REVENUS"/>
    <x v="3"/>
    <s v="4002.007"/>
    <s v="Acompte impôt sur fortune"/>
    <n v="0"/>
    <n v="0.7"/>
    <n v="4002"/>
  </r>
  <r>
    <x v="0"/>
    <x v="1"/>
    <x v="2"/>
    <x v="306"/>
    <x v="253"/>
    <x v="253"/>
    <s v="REVENUS"/>
    <x v="2"/>
    <s v="4001.003"/>
    <s v="Impôt s/prest. cap. PP"/>
    <n v="0"/>
    <n v="22543.45"/>
    <n v="4001"/>
  </r>
  <r>
    <x v="0"/>
    <x v="1"/>
    <x v="2"/>
    <x v="306"/>
    <x v="253"/>
    <x v="253"/>
    <s v="REVENUS"/>
    <x v="9"/>
    <s v="4031.001"/>
    <s v="Impôt sur les gains immobiliers"/>
    <n v="0"/>
    <n v="13682.65"/>
    <n v="4031"/>
  </r>
  <r>
    <x v="0"/>
    <x v="1"/>
    <x v="2"/>
    <x v="306"/>
    <x v="253"/>
    <x v="253"/>
    <s v="REVENUS"/>
    <x v="6"/>
    <s v="4221.002"/>
    <s v="Intérêts compensat. sur impôts distincts"/>
    <n v="0"/>
    <n v="-25.23"/>
    <n v="4221"/>
  </r>
  <r>
    <x v="0"/>
    <x v="1"/>
    <x v="2"/>
    <x v="306"/>
    <x v="253"/>
    <x v="253"/>
    <s v="REVENUS"/>
    <x v="12"/>
    <s v="4004.000"/>
    <s v="Impôt spécial étrangers"/>
    <n v="0"/>
    <n v="232750.95"/>
    <n v="4004"/>
  </r>
  <r>
    <x v="0"/>
    <x v="1"/>
    <x v="2"/>
    <x v="306"/>
    <x v="253"/>
    <x v="253"/>
    <s v="REVENUS"/>
    <x v="2"/>
    <s v="4001.001"/>
    <s v="Impôt revenu"/>
    <n v="0"/>
    <n v="711"/>
    <n v="4001"/>
  </r>
  <r>
    <x v="0"/>
    <x v="1"/>
    <x v="2"/>
    <x v="306"/>
    <x v="253"/>
    <x v="253"/>
    <s v="REVENUS"/>
    <x v="3"/>
    <s v="4002.001"/>
    <s v="Impôt ordinaire s/fortune PP"/>
    <n v="0"/>
    <n v="489"/>
    <n v="4002"/>
  </r>
  <r>
    <x v="0"/>
    <x v="1"/>
    <x v="2"/>
    <x v="306"/>
    <x v="253"/>
    <x v="253"/>
    <s v="REVENUS"/>
    <x v="6"/>
    <s v="4221.003"/>
    <s v="Intérêts compensat. / acomptes en faveur du fisc"/>
    <n v="0"/>
    <n v="0.18"/>
    <n v="4221"/>
  </r>
  <r>
    <x v="0"/>
    <x v="1"/>
    <x v="2"/>
    <x v="306"/>
    <x v="253"/>
    <x v="253"/>
    <s v="REVENUS"/>
    <x v="5"/>
    <s v="4061.000"/>
    <s v="Impôt sur les chiens"/>
    <n v="0"/>
    <n v="3442.5"/>
    <n v="4061"/>
  </r>
  <r>
    <x v="0"/>
    <x v="1"/>
    <x v="2"/>
    <x v="306"/>
    <x v="253"/>
    <x v="253"/>
    <s v="REVENUS"/>
    <x v="2"/>
    <s v="4001.001"/>
    <s v="Impôt revenu"/>
    <n v="0"/>
    <n v="462.95"/>
    <n v="4001"/>
  </r>
  <r>
    <x v="0"/>
    <x v="1"/>
    <x v="2"/>
    <x v="306"/>
    <x v="253"/>
    <x v="253"/>
    <s v="REVENUS"/>
    <x v="3"/>
    <s v="4002.001"/>
    <s v="Impôt ordinaire s/fortune PP"/>
    <n v="0"/>
    <n v="167.05"/>
    <n v="4002"/>
  </r>
  <r>
    <x v="0"/>
    <x v="1"/>
    <x v="2"/>
    <x v="307"/>
    <x v="254"/>
    <x v="254"/>
    <s v="CHARGES"/>
    <x v="1"/>
    <s v="3301.001"/>
    <s v="Défalcations, abandons de solde PP et IS"/>
    <n v="-1156.75"/>
    <n v="0"/>
    <n v="3301"/>
  </r>
  <r>
    <x v="0"/>
    <x v="1"/>
    <x v="2"/>
    <x v="307"/>
    <x v="254"/>
    <x v="254"/>
    <s v="CHARGES"/>
    <x v="0"/>
    <s v="3212.002"/>
    <s v="Intérêts bonifiés/trop perçu acompte C/C"/>
    <n v="48.5"/>
    <n v="0"/>
    <n v="3212"/>
  </r>
  <r>
    <x v="0"/>
    <x v="1"/>
    <x v="2"/>
    <x v="307"/>
    <x v="254"/>
    <x v="254"/>
    <s v="CHARGES"/>
    <x v="0"/>
    <s v="3212.004"/>
    <s v="Intérêts rémun./perçu trop tôt sur acomptes C/C"/>
    <n v="360.4"/>
    <n v="0"/>
    <n v="3212"/>
  </r>
  <r>
    <x v="0"/>
    <x v="1"/>
    <x v="2"/>
    <x v="307"/>
    <x v="254"/>
    <x v="254"/>
    <s v="CHARGES"/>
    <x v="0"/>
    <s v="3221.002"/>
    <s v="Intérêts compensatoires / créances en faveur ctb."/>
    <n v="157.63"/>
    <n v="0"/>
    <n v="3221"/>
  </r>
  <r>
    <x v="0"/>
    <x v="1"/>
    <x v="2"/>
    <x v="307"/>
    <x v="254"/>
    <x v="254"/>
    <s v="CHARGES"/>
    <x v="0"/>
    <s v="3212.004"/>
    <s v="Intérêts rémun./perçu trop tôt sur acomptes C/C"/>
    <n v="0.56999999999999995"/>
    <n v="0"/>
    <n v="3212"/>
  </r>
  <r>
    <x v="0"/>
    <x v="1"/>
    <x v="2"/>
    <x v="307"/>
    <x v="254"/>
    <x v="254"/>
    <s v="CHARGES"/>
    <x v="0"/>
    <s v="3221.002"/>
    <s v="Intérêts compensatoires / créances en faveur ctb."/>
    <n v="0.32"/>
    <n v="0"/>
    <n v="3221"/>
  </r>
  <r>
    <x v="0"/>
    <x v="1"/>
    <x v="2"/>
    <x v="307"/>
    <x v="254"/>
    <x v="254"/>
    <s v="CHARGES"/>
    <x v="0"/>
    <s v="3212.004"/>
    <s v="Intérêts rémun./perçu trop tôt sur acomptes C/C"/>
    <n v="-19.29"/>
    <n v="0"/>
    <n v="3212"/>
  </r>
  <r>
    <x v="0"/>
    <x v="1"/>
    <x v="2"/>
    <x v="307"/>
    <x v="254"/>
    <x v="254"/>
    <s v="CHARGES"/>
    <x v="0"/>
    <s v="3221.002"/>
    <s v="Intérêts compensatoires / créances en faveur ctb."/>
    <n v="-0.24"/>
    <n v="0"/>
    <n v="3221"/>
  </r>
  <r>
    <x v="0"/>
    <x v="1"/>
    <x v="2"/>
    <x v="307"/>
    <x v="254"/>
    <x v="254"/>
    <s v="CHARGES"/>
    <x v="0"/>
    <s v="3212.004"/>
    <s v="Intérêts rémun./perçu trop tôt sur acomptes C/C"/>
    <n v="0.74"/>
    <n v="0"/>
    <n v="3212"/>
  </r>
  <r>
    <x v="0"/>
    <x v="1"/>
    <x v="2"/>
    <x v="307"/>
    <x v="254"/>
    <x v="254"/>
    <s v="CHARGES"/>
    <x v="0"/>
    <s v="3221.002"/>
    <s v="Intérêts compensatoires / créances en faveur ctb."/>
    <n v="0.54"/>
    <n v="0"/>
    <n v="3221"/>
  </r>
  <r>
    <x v="0"/>
    <x v="1"/>
    <x v="2"/>
    <x v="307"/>
    <x v="254"/>
    <x v="254"/>
    <s v="CHARGES"/>
    <x v="1"/>
    <s v="3301.001"/>
    <s v="Défalcations, abandons de solde PP et IS"/>
    <n v="0.56000000000000005"/>
    <n v="0"/>
    <n v="3301"/>
  </r>
  <r>
    <x v="0"/>
    <x v="1"/>
    <x v="2"/>
    <x v="307"/>
    <x v="254"/>
    <x v="254"/>
    <s v="CHARGES"/>
    <x v="1"/>
    <s v="3301.001"/>
    <s v="Défalcations, abandons de solde PP et IS"/>
    <n v="-10.47"/>
    <n v="0"/>
    <n v="3301"/>
  </r>
  <r>
    <x v="0"/>
    <x v="1"/>
    <x v="2"/>
    <x v="307"/>
    <x v="254"/>
    <x v="254"/>
    <s v="CHARGES"/>
    <x v="0"/>
    <s v="3212.002"/>
    <s v="Intérêts bonifiés/trop perçu acompte C/C"/>
    <n v="-0.09"/>
    <n v="0"/>
    <n v="3212"/>
  </r>
  <r>
    <x v="0"/>
    <x v="1"/>
    <x v="2"/>
    <x v="307"/>
    <x v="254"/>
    <x v="254"/>
    <s v="CHARGES"/>
    <x v="0"/>
    <s v="3212.004"/>
    <s v="Intérêts rémun./perçu trop tôt sur acomptes C/C"/>
    <n v="0.25"/>
    <n v="0"/>
    <n v="3212"/>
  </r>
  <r>
    <x v="0"/>
    <x v="1"/>
    <x v="2"/>
    <x v="307"/>
    <x v="254"/>
    <x v="254"/>
    <s v="CHARGES"/>
    <x v="1"/>
    <s v="3301.001"/>
    <s v="Défalcations, abandons de solde PP et IS"/>
    <n v="0.01"/>
    <n v="0"/>
    <n v="3301"/>
  </r>
  <r>
    <x v="0"/>
    <x v="1"/>
    <x v="2"/>
    <x v="307"/>
    <x v="254"/>
    <x v="254"/>
    <s v="CHARGES"/>
    <x v="1"/>
    <s v="3301.001"/>
    <s v="Défalcations, abandons de solde PP et IS"/>
    <n v="0.01"/>
    <n v="0"/>
    <n v="3301"/>
  </r>
  <r>
    <x v="0"/>
    <x v="1"/>
    <x v="2"/>
    <x v="307"/>
    <x v="254"/>
    <x v="254"/>
    <s v="CHARGES"/>
    <x v="0"/>
    <s v="3212.004"/>
    <s v="Intérêts rémun./perçu trop tôt sur acomptes C/C"/>
    <n v="0"/>
    <n v="0"/>
    <n v="3212"/>
  </r>
  <r>
    <x v="0"/>
    <x v="1"/>
    <x v="2"/>
    <x v="307"/>
    <x v="254"/>
    <x v="254"/>
    <s v="CHARGES"/>
    <x v="0"/>
    <s v="3212.004"/>
    <s v="Intérêts rémun./perçu trop tôt sur acomptes C/C"/>
    <n v="0.01"/>
    <n v="0"/>
    <n v="3212"/>
  </r>
  <r>
    <x v="0"/>
    <x v="1"/>
    <x v="2"/>
    <x v="307"/>
    <x v="254"/>
    <x v="254"/>
    <s v="CHARGES"/>
    <x v="0"/>
    <s v="3221.002"/>
    <s v="Intérêts compensatoires / créances en faveur ctb."/>
    <n v="0"/>
    <n v="0"/>
    <n v="3221"/>
  </r>
  <r>
    <x v="0"/>
    <x v="1"/>
    <x v="2"/>
    <x v="307"/>
    <x v="254"/>
    <x v="254"/>
    <s v="CHARGES"/>
    <x v="1"/>
    <s v="3301.001"/>
    <s v="Défalcations, abandons de solde PP et IS"/>
    <n v="116766.54"/>
    <n v="0"/>
    <n v="3301"/>
  </r>
  <r>
    <x v="0"/>
    <x v="1"/>
    <x v="2"/>
    <x v="307"/>
    <x v="254"/>
    <x v="254"/>
    <s v="CHARGES"/>
    <x v="1"/>
    <s v="3301.003"/>
    <s v="Remises PP et IS"/>
    <n v="529.1"/>
    <n v="0"/>
    <n v="3301"/>
  </r>
  <r>
    <x v="0"/>
    <x v="1"/>
    <x v="2"/>
    <x v="307"/>
    <x v="254"/>
    <x v="254"/>
    <s v="REVENUS"/>
    <x v="2"/>
    <s v="4001.007"/>
    <s v="Acompte impôt sur revenu"/>
    <n v="0"/>
    <n v="72572.929999999993"/>
    <n v="4001"/>
  </r>
  <r>
    <x v="0"/>
    <x v="1"/>
    <x v="2"/>
    <x v="307"/>
    <x v="254"/>
    <x v="254"/>
    <s v="REVENUS"/>
    <x v="6"/>
    <s v="4211.001"/>
    <s v="Intérêts de retard sur factures"/>
    <n v="0"/>
    <n v="16870.939999999999"/>
    <n v="4211"/>
  </r>
  <r>
    <x v="0"/>
    <x v="1"/>
    <x v="2"/>
    <x v="307"/>
    <x v="254"/>
    <x v="254"/>
    <s v="REVENUS"/>
    <x v="2"/>
    <s v="4001.001"/>
    <s v="Impôt revenu"/>
    <n v="0"/>
    <n v="1918879.05"/>
    <n v="4001"/>
  </r>
  <r>
    <x v="0"/>
    <x v="1"/>
    <x v="2"/>
    <x v="307"/>
    <x v="254"/>
    <x v="254"/>
    <s v="REVENUS"/>
    <x v="3"/>
    <s v="4002.001"/>
    <s v="Impôt ordinaire s/fortune PP"/>
    <n v="0"/>
    <n v="255911.8"/>
    <n v="4002"/>
  </r>
  <r>
    <x v="0"/>
    <x v="1"/>
    <x v="2"/>
    <x v="307"/>
    <x v="254"/>
    <x v="254"/>
    <s v="REVENUS"/>
    <x v="6"/>
    <s v="4211.002"/>
    <s v="Intérêts de retard sur acomptes"/>
    <n v="0"/>
    <n v="19804.43"/>
    <n v="4211"/>
  </r>
  <r>
    <x v="0"/>
    <x v="1"/>
    <x v="2"/>
    <x v="307"/>
    <x v="254"/>
    <x v="254"/>
    <s v="REVENUS"/>
    <x v="2"/>
    <s v="4001.002"/>
    <s v="Impôt complément s/revenu PP"/>
    <n v="0"/>
    <n v="255771.6"/>
    <n v="4001"/>
  </r>
  <r>
    <x v="0"/>
    <x v="1"/>
    <x v="2"/>
    <x v="307"/>
    <x v="254"/>
    <x v="254"/>
    <s v="REVENUS"/>
    <x v="3"/>
    <s v="4002.002"/>
    <s v="Impôt complémentaire s/fortune PP"/>
    <n v="0"/>
    <n v="107371.8"/>
    <n v="4002"/>
  </r>
  <r>
    <x v="0"/>
    <x v="1"/>
    <x v="2"/>
    <x v="307"/>
    <x v="254"/>
    <x v="254"/>
    <s v="REVENUS"/>
    <x v="3"/>
    <s v="4002.007"/>
    <s v="Acompte impôt sur fortune"/>
    <n v="0"/>
    <n v="110761.71"/>
    <n v="4002"/>
  </r>
  <r>
    <x v="0"/>
    <x v="1"/>
    <x v="2"/>
    <x v="307"/>
    <x v="254"/>
    <x v="254"/>
    <s v="REVENUS"/>
    <x v="9"/>
    <s v="4031.001"/>
    <s v="Impôt sur les gains immobiliers"/>
    <n v="0"/>
    <n v="268394.8"/>
    <n v="4031"/>
  </r>
  <r>
    <x v="0"/>
    <x v="1"/>
    <x v="2"/>
    <x v="307"/>
    <x v="254"/>
    <x v="254"/>
    <s v="REVENUS"/>
    <x v="6"/>
    <s v="4221.003"/>
    <s v="Intérêts compensat. / acomptes en faveur du fisc"/>
    <n v="0"/>
    <n v="610.09"/>
    <n v="4221"/>
  </r>
  <r>
    <x v="0"/>
    <x v="1"/>
    <x v="2"/>
    <x v="307"/>
    <x v="254"/>
    <x v="254"/>
    <s v="REVENUS"/>
    <x v="7"/>
    <s v="4184.000"/>
    <s v="Frais de poursuite"/>
    <n v="0"/>
    <n v="2791.28"/>
    <n v="4184"/>
  </r>
  <r>
    <x v="0"/>
    <x v="1"/>
    <x v="2"/>
    <x v="307"/>
    <x v="254"/>
    <x v="254"/>
    <s v="REVENUS"/>
    <x v="3"/>
    <s v="4002.001"/>
    <s v="Impôt ordinaire s/fortune PP"/>
    <n v="0"/>
    <n v="1581.1"/>
    <n v="4002"/>
  </r>
  <r>
    <x v="0"/>
    <x v="1"/>
    <x v="2"/>
    <x v="307"/>
    <x v="254"/>
    <x v="254"/>
    <s v="REVENUS"/>
    <x v="3"/>
    <s v="4002.007"/>
    <s v="Acompte impôt sur fortune"/>
    <n v="0"/>
    <n v="-1508.97"/>
    <n v="4002"/>
  </r>
  <r>
    <x v="0"/>
    <x v="1"/>
    <x v="2"/>
    <x v="307"/>
    <x v="254"/>
    <x v="254"/>
    <s v="REVENUS"/>
    <x v="2"/>
    <s v="4001.003"/>
    <s v="Impôt s/prest. cap. PP"/>
    <n v="0"/>
    <n v="88303.05"/>
    <n v="4001"/>
  </r>
  <r>
    <x v="0"/>
    <x v="1"/>
    <x v="2"/>
    <x v="307"/>
    <x v="254"/>
    <x v="254"/>
    <s v="REVENUS"/>
    <x v="2"/>
    <s v="4001.007"/>
    <s v="Acompte impôt sur revenu"/>
    <n v="0"/>
    <n v="-2534.65"/>
    <n v="4001"/>
  </r>
  <r>
    <x v="0"/>
    <x v="1"/>
    <x v="2"/>
    <x v="307"/>
    <x v="254"/>
    <x v="254"/>
    <s v="REVENUS"/>
    <x v="2"/>
    <s v="4001.007"/>
    <s v="Acompte impôt sur revenu"/>
    <n v="0"/>
    <n v="179.95"/>
    <n v="4001"/>
  </r>
  <r>
    <x v="0"/>
    <x v="1"/>
    <x v="2"/>
    <x v="307"/>
    <x v="254"/>
    <x v="254"/>
    <s v="REVENUS"/>
    <x v="12"/>
    <s v="4004.007"/>
    <s v="Acompte spécial étrangers"/>
    <n v="0"/>
    <n v="15619.44"/>
    <n v="4004"/>
  </r>
  <r>
    <x v="0"/>
    <x v="1"/>
    <x v="2"/>
    <x v="307"/>
    <x v="254"/>
    <x v="254"/>
    <s v="REVENUS"/>
    <x v="2"/>
    <s v="4001.007"/>
    <s v="Acompte impôt sur revenu"/>
    <n v="0"/>
    <n v="-1526.6"/>
    <n v="4001"/>
  </r>
  <r>
    <x v="0"/>
    <x v="1"/>
    <x v="2"/>
    <x v="307"/>
    <x v="254"/>
    <x v="254"/>
    <s v="REVENUS"/>
    <x v="3"/>
    <s v="4002.007"/>
    <s v="Acompte impôt sur fortune"/>
    <n v="0"/>
    <n v="-28.45"/>
    <n v="4002"/>
  </r>
  <r>
    <x v="0"/>
    <x v="1"/>
    <x v="2"/>
    <x v="307"/>
    <x v="254"/>
    <x v="254"/>
    <s v="REVENUS"/>
    <x v="3"/>
    <s v="4002.007"/>
    <s v="Acompte impôt sur fortune"/>
    <n v="0"/>
    <n v="-6741"/>
    <n v="4002"/>
  </r>
  <r>
    <x v="0"/>
    <x v="1"/>
    <x v="2"/>
    <x v="307"/>
    <x v="254"/>
    <x v="254"/>
    <s v="REVENUS"/>
    <x v="8"/>
    <s v="4091.001"/>
    <s v="Impôt récupéré après défalcations"/>
    <n v="0"/>
    <n v="490.12"/>
    <n v="4091"/>
  </r>
  <r>
    <x v="0"/>
    <x v="1"/>
    <x v="2"/>
    <x v="307"/>
    <x v="254"/>
    <x v="254"/>
    <s v="REVENUS"/>
    <x v="3"/>
    <s v="4002.001"/>
    <s v="Impôt ordinaire s/fortune PP"/>
    <n v="0"/>
    <n v="-55249.65"/>
    <n v="4002"/>
  </r>
  <r>
    <x v="0"/>
    <x v="1"/>
    <x v="2"/>
    <x v="307"/>
    <x v="254"/>
    <x v="254"/>
    <s v="REVENUS"/>
    <x v="2"/>
    <s v="4001.001"/>
    <s v="Impôt revenu"/>
    <n v="0"/>
    <n v="9008.9500000000007"/>
    <n v="4001"/>
  </r>
  <r>
    <x v="0"/>
    <x v="1"/>
    <x v="2"/>
    <x v="307"/>
    <x v="254"/>
    <x v="254"/>
    <s v="REVENUS"/>
    <x v="3"/>
    <s v="4002.001"/>
    <s v="Impôt ordinaire s/fortune PP"/>
    <n v="0"/>
    <n v="7784.1"/>
    <n v="4002"/>
  </r>
  <r>
    <x v="0"/>
    <x v="1"/>
    <x v="2"/>
    <x v="307"/>
    <x v="254"/>
    <x v="254"/>
    <s v="REVENUS"/>
    <x v="6"/>
    <s v="4221.003"/>
    <s v="Intérêts compensat. / acomptes en faveur du fisc"/>
    <n v="0"/>
    <n v="0.56000000000000005"/>
    <n v="4221"/>
  </r>
  <r>
    <x v="0"/>
    <x v="1"/>
    <x v="2"/>
    <x v="307"/>
    <x v="254"/>
    <x v="254"/>
    <s v="REVENUS"/>
    <x v="10"/>
    <s v="4041.001"/>
    <s v="Droits de mutation"/>
    <n v="0"/>
    <n v="210472.3"/>
    <n v="4041"/>
  </r>
  <r>
    <x v="0"/>
    <x v="1"/>
    <x v="2"/>
    <x v="307"/>
    <x v="254"/>
    <x v="254"/>
    <s v="REVENUS"/>
    <x v="2"/>
    <s v="4001.001"/>
    <s v="Impôt revenu"/>
    <n v="0"/>
    <n v="-40764.050000000003"/>
    <n v="4001"/>
  </r>
  <r>
    <x v="0"/>
    <x v="1"/>
    <x v="2"/>
    <x v="307"/>
    <x v="254"/>
    <x v="254"/>
    <s v="REVENUS"/>
    <x v="2"/>
    <s v="4001.007"/>
    <s v="Acompte impôt sur revenu"/>
    <n v="0"/>
    <n v="-7956.05"/>
    <n v="4001"/>
  </r>
  <r>
    <x v="0"/>
    <x v="1"/>
    <x v="2"/>
    <x v="307"/>
    <x v="254"/>
    <x v="254"/>
    <s v="REVENUS"/>
    <x v="3"/>
    <s v="4002.007"/>
    <s v="Acompte impôt sur fortune"/>
    <n v="0"/>
    <n v="-4663.25"/>
    <n v="4002"/>
  </r>
  <r>
    <x v="0"/>
    <x v="1"/>
    <x v="2"/>
    <x v="307"/>
    <x v="254"/>
    <x v="254"/>
    <s v="REVENUS"/>
    <x v="6"/>
    <s v="4211.002"/>
    <s v="Intérêts de retard sur acomptes"/>
    <n v="0"/>
    <n v="-581.88"/>
    <n v="4211"/>
  </r>
  <r>
    <x v="0"/>
    <x v="1"/>
    <x v="2"/>
    <x v="307"/>
    <x v="254"/>
    <x v="254"/>
    <s v="REVENUS"/>
    <x v="6"/>
    <s v="4221.003"/>
    <s v="Intérêts compensat. / acomptes en faveur du fisc"/>
    <n v="0"/>
    <n v="-288.2"/>
    <n v="4221"/>
  </r>
  <r>
    <x v="0"/>
    <x v="1"/>
    <x v="2"/>
    <x v="307"/>
    <x v="254"/>
    <x v="254"/>
    <s v="REVENUS"/>
    <x v="2"/>
    <s v="4001.001"/>
    <s v="Impôt revenu"/>
    <n v="0"/>
    <n v="2521.0500000000002"/>
    <n v="4001"/>
  </r>
  <r>
    <x v="0"/>
    <x v="1"/>
    <x v="2"/>
    <x v="307"/>
    <x v="254"/>
    <x v="254"/>
    <s v="REVENUS"/>
    <x v="6"/>
    <s v="4211.001"/>
    <s v="Intérêts de retard sur factures"/>
    <n v="0"/>
    <n v="-109.66"/>
    <n v="4211"/>
  </r>
  <r>
    <x v="0"/>
    <x v="1"/>
    <x v="2"/>
    <x v="307"/>
    <x v="254"/>
    <x v="254"/>
    <s v="REVENUS"/>
    <x v="2"/>
    <s v="4001.001"/>
    <s v="Impôt revenu"/>
    <n v="0"/>
    <n v="218.1"/>
    <n v="4001"/>
  </r>
  <r>
    <x v="0"/>
    <x v="1"/>
    <x v="2"/>
    <x v="307"/>
    <x v="254"/>
    <x v="254"/>
    <s v="REVENUS"/>
    <x v="3"/>
    <s v="4002.001"/>
    <s v="Impôt ordinaire s/fortune PP"/>
    <n v="0"/>
    <n v="128.4"/>
    <n v="4002"/>
  </r>
  <r>
    <x v="0"/>
    <x v="1"/>
    <x v="2"/>
    <x v="307"/>
    <x v="254"/>
    <x v="254"/>
    <s v="REVENUS"/>
    <x v="5"/>
    <s v="4061.000"/>
    <s v="Impôt sur les chiens"/>
    <n v="0"/>
    <n v="6200"/>
    <n v="4061"/>
  </r>
  <r>
    <x v="0"/>
    <x v="1"/>
    <x v="2"/>
    <x v="307"/>
    <x v="254"/>
    <x v="254"/>
    <s v="REVENUS"/>
    <x v="2"/>
    <s v="4001.001"/>
    <s v="Impôt revenu"/>
    <n v="0"/>
    <n v="117.6"/>
    <n v="4001"/>
  </r>
  <r>
    <x v="0"/>
    <x v="1"/>
    <x v="2"/>
    <x v="307"/>
    <x v="254"/>
    <x v="254"/>
    <s v="REVENUS"/>
    <x v="3"/>
    <s v="4002.001"/>
    <s v="Impôt ordinaire s/fortune PP"/>
    <n v="0"/>
    <n v="492.15"/>
    <n v="4002"/>
  </r>
  <r>
    <x v="0"/>
    <x v="1"/>
    <x v="2"/>
    <x v="307"/>
    <x v="254"/>
    <x v="254"/>
    <s v="REVENUS"/>
    <x v="6"/>
    <s v="4221.003"/>
    <s v="Intérêts compensat. / acomptes en faveur du fisc"/>
    <n v="0"/>
    <n v="0.01"/>
    <n v="4221"/>
  </r>
  <r>
    <x v="0"/>
    <x v="1"/>
    <x v="2"/>
    <x v="307"/>
    <x v="254"/>
    <x v="254"/>
    <s v="REVENUS"/>
    <x v="6"/>
    <s v="4221.003"/>
    <s v="Intérêts compensat. / acomptes en faveur du fisc"/>
    <n v="0"/>
    <n v="0.01"/>
    <n v="4221"/>
  </r>
  <r>
    <x v="0"/>
    <x v="1"/>
    <x v="2"/>
    <x v="307"/>
    <x v="254"/>
    <x v="254"/>
    <s v="REVENUS"/>
    <x v="3"/>
    <s v="4002.002"/>
    <s v="Impôt complémentaire s/fortune PP"/>
    <n v="0"/>
    <n v="0"/>
    <n v="4002"/>
  </r>
  <r>
    <x v="0"/>
    <x v="1"/>
    <x v="2"/>
    <x v="307"/>
    <x v="254"/>
    <x v="254"/>
    <s v="REVENUS"/>
    <x v="8"/>
    <s v="4091.001"/>
    <s v="Impôt récupéré après défalcations"/>
    <n v="0"/>
    <n v="194.64"/>
    <n v="4091"/>
  </r>
  <r>
    <x v="0"/>
    <x v="1"/>
    <x v="2"/>
    <x v="307"/>
    <x v="254"/>
    <x v="254"/>
    <s v="REVENUS"/>
    <x v="12"/>
    <s v="4004.000"/>
    <s v="Impôt spécial étrangers"/>
    <n v="0"/>
    <n v="177347.6"/>
    <n v="4004"/>
  </r>
  <r>
    <x v="0"/>
    <x v="1"/>
    <x v="2"/>
    <x v="307"/>
    <x v="254"/>
    <x v="254"/>
    <s v="REVENUS"/>
    <x v="2"/>
    <s v="4001.002"/>
    <s v="Impôt complément s/revenu PP"/>
    <n v="0"/>
    <n v="225"/>
    <n v="4001"/>
  </r>
  <r>
    <x v="0"/>
    <x v="1"/>
    <x v="2"/>
    <x v="307"/>
    <x v="254"/>
    <x v="254"/>
    <s v="REVENUS"/>
    <x v="3"/>
    <s v="4002.002"/>
    <s v="Impôt complémentaire s/fortune PP"/>
    <n v="0"/>
    <n v="167.05"/>
    <n v="4002"/>
  </r>
  <r>
    <x v="0"/>
    <x v="1"/>
    <x v="2"/>
    <x v="307"/>
    <x v="254"/>
    <x v="254"/>
    <s v="REVENUS"/>
    <x v="6"/>
    <s v="4221.002"/>
    <s v="Intérêts compensat. sur impôts distincts"/>
    <n v="0"/>
    <n v="27140.25"/>
    <n v="4221"/>
  </r>
  <r>
    <x v="0"/>
    <x v="1"/>
    <x v="2"/>
    <x v="307"/>
    <x v="254"/>
    <x v="254"/>
    <s v="REVENUS"/>
    <x v="4"/>
    <s v="4051.001"/>
    <s v="Impôt sur les successions"/>
    <n v="0"/>
    <n v="6567275.9000000004"/>
    <n v="4051"/>
  </r>
  <r>
    <x v="0"/>
    <x v="1"/>
    <x v="2"/>
    <x v="307"/>
    <x v="254"/>
    <x v="254"/>
    <s v="REVENUS"/>
    <x v="2"/>
    <s v="4001.003"/>
    <s v="Impôt s/prest. cap. PP"/>
    <n v="0"/>
    <n v="-4058"/>
    <n v="4001"/>
  </r>
  <r>
    <x v="0"/>
    <x v="1"/>
    <x v="2"/>
    <x v="307"/>
    <x v="254"/>
    <x v="254"/>
    <s v="REVENUS"/>
    <x v="6"/>
    <s v="4211.001"/>
    <s v="Intérêts de retard sur factures"/>
    <n v="0"/>
    <n v="0.02"/>
    <n v="4211"/>
  </r>
  <r>
    <x v="0"/>
    <x v="1"/>
    <x v="2"/>
    <x v="307"/>
    <x v="254"/>
    <x v="254"/>
    <s v="REVENUS"/>
    <x v="4"/>
    <s v="4051.002"/>
    <s v="Impôt sur les donations"/>
    <n v="0"/>
    <n v="68756.3"/>
    <n v="4051"/>
  </r>
  <r>
    <x v="0"/>
    <x v="1"/>
    <x v="2"/>
    <x v="307"/>
    <x v="254"/>
    <x v="254"/>
    <s v="REVENUS"/>
    <x v="4"/>
    <s v="4051.002"/>
    <s v="Impôt sur les donations"/>
    <n v="0"/>
    <n v="314"/>
    <n v="4051"/>
  </r>
  <r>
    <x v="0"/>
    <x v="1"/>
    <x v="2"/>
    <x v="308"/>
    <x v="255"/>
    <x v="255"/>
    <s v="CHARGES"/>
    <x v="1"/>
    <s v="3301.001"/>
    <s v="Défalcations, abandons de solde PP et IS"/>
    <n v="5921.99"/>
    <n v="0"/>
    <n v="3301"/>
  </r>
  <r>
    <x v="0"/>
    <x v="1"/>
    <x v="2"/>
    <x v="308"/>
    <x v="255"/>
    <x v="255"/>
    <s v="CHARGES"/>
    <x v="0"/>
    <s v="3212.004"/>
    <s v="Intérêts rémun./perçu trop tôt sur acomptes C/C"/>
    <n v="120.04"/>
    <n v="0"/>
    <n v="3212"/>
  </r>
  <r>
    <x v="0"/>
    <x v="1"/>
    <x v="2"/>
    <x v="308"/>
    <x v="255"/>
    <x v="255"/>
    <s v="CHARGES"/>
    <x v="0"/>
    <s v="3221.002"/>
    <s v="Intérêts compensatoires / créances en faveur ctb."/>
    <n v="25.19"/>
    <n v="0"/>
    <n v="3221"/>
  </r>
  <r>
    <x v="0"/>
    <x v="1"/>
    <x v="2"/>
    <x v="308"/>
    <x v="255"/>
    <x v="255"/>
    <s v="CHARGES"/>
    <x v="0"/>
    <s v="3212.002"/>
    <s v="Intérêts bonifiés/trop perçu acompte C/C"/>
    <n v="35.51"/>
    <n v="0"/>
    <n v="3212"/>
  </r>
  <r>
    <x v="0"/>
    <x v="1"/>
    <x v="2"/>
    <x v="308"/>
    <x v="255"/>
    <x v="255"/>
    <s v="CHARGES"/>
    <x v="0"/>
    <s v="3212.004"/>
    <s v="Intérêts rémun./perçu trop tôt sur acomptes C/C"/>
    <n v="-6.94"/>
    <n v="0"/>
    <n v="3212"/>
  </r>
  <r>
    <x v="0"/>
    <x v="1"/>
    <x v="2"/>
    <x v="308"/>
    <x v="255"/>
    <x v="255"/>
    <s v="CHARGES"/>
    <x v="0"/>
    <s v="3221.002"/>
    <s v="Intérêts compensatoires / créances en faveur ctb."/>
    <n v="0.18"/>
    <n v="0"/>
    <n v="3221"/>
  </r>
  <r>
    <x v="0"/>
    <x v="1"/>
    <x v="2"/>
    <x v="308"/>
    <x v="255"/>
    <x v="255"/>
    <s v="CHARGES"/>
    <x v="0"/>
    <s v="3212.004"/>
    <s v="Intérêts rémun./perçu trop tôt sur acomptes C/C"/>
    <n v="0.23"/>
    <n v="0"/>
    <n v="3212"/>
  </r>
  <r>
    <x v="0"/>
    <x v="1"/>
    <x v="2"/>
    <x v="308"/>
    <x v="255"/>
    <x v="255"/>
    <s v="CHARGES"/>
    <x v="0"/>
    <s v="3221.002"/>
    <s v="Intérêts compensatoires / créances en faveur ctb."/>
    <n v="0.04"/>
    <n v="0"/>
    <n v="3221"/>
  </r>
  <r>
    <x v="0"/>
    <x v="1"/>
    <x v="2"/>
    <x v="308"/>
    <x v="255"/>
    <x v="255"/>
    <s v="CHARGES"/>
    <x v="0"/>
    <s v="3212.004"/>
    <s v="Intérêts rémun./perçu trop tôt sur acomptes C/C"/>
    <n v="0.11"/>
    <n v="0"/>
    <n v="3212"/>
  </r>
  <r>
    <x v="0"/>
    <x v="1"/>
    <x v="2"/>
    <x v="308"/>
    <x v="255"/>
    <x v="255"/>
    <s v="CHARGES"/>
    <x v="0"/>
    <s v="3212.002"/>
    <s v="Intérêts bonifiés/trop perçu acompte C/C"/>
    <n v="-0.19"/>
    <n v="0"/>
    <n v="3212"/>
  </r>
  <r>
    <x v="0"/>
    <x v="1"/>
    <x v="2"/>
    <x v="308"/>
    <x v="255"/>
    <x v="255"/>
    <s v="CHARGES"/>
    <x v="1"/>
    <s v="3301.001"/>
    <s v="Défalcations, abandons de solde PP et IS"/>
    <n v="-3.21"/>
    <n v="0"/>
    <n v="3301"/>
  </r>
  <r>
    <x v="0"/>
    <x v="1"/>
    <x v="2"/>
    <x v="308"/>
    <x v="255"/>
    <x v="255"/>
    <s v="REVENUS"/>
    <x v="6"/>
    <s v="4211.001"/>
    <s v="Intérêts de retard sur factures"/>
    <n v="0"/>
    <n v="6095.9"/>
    <n v="4211"/>
  </r>
  <r>
    <x v="0"/>
    <x v="1"/>
    <x v="2"/>
    <x v="308"/>
    <x v="255"/>
    <x v="255"/>
    <s v="REVENUS"/>
    <x v="2"/>
    <s v="4001.001"/>
    <s v="Impôt revenu"/>
    <n v="0"/>
    <n v="592282.65"/>
    <n v="4001"/>
  </r>
  <r>
    <x v="0"/>
    <x v="1"/>
    <x v="2"/>
    <x v="308"/>
    <x v="255"/>
    <x v="255"/>
    <s v="REVENUS"/>
    <x v="2"/>
    <s v="4001.003"/>
    <s v="Impôt s/prest. cap. PP"/>
    <n v="0"/>
    <n v="21644.85"/>
    <n v="4001"/>
  </r>
  <r>
    <x v="0"/>
    <x v="1"/>
    <x v="2"/>
    <x v="308"/>
    <x v="255"/>
    <x v="255"/>
    <s v="REVENUS"/>
    <x v="2"/>
    <s v="4001.007"/>
    <s v="Acompte impôt sur revenu"/>
    <n v="0"/>
    <n v="-68424.5"/>
    <n v="4001"/>
  </r>
  <r>
    <x v="0"/>
    <x v="1"/>
    <x v="2"/>
    <x v="308"/>
    <x v="255"/>
    <x v="255"/>
    <s v="REVENUS"/>
    <x v="3"/>
    <s v="4002.001"/>
    <s v="Impôt ordinaire s/fortune PP"/>
    <n v="0"/>
    <n v="94721"/>
    <n v="4002"/>
  </r>
  <r>
    <x v="0"/>
    <x v="1"/>
    <x v="2"/>
    <x v="308"/>
    <x v="255"/>
    <x v="255"/>
    <s v="REVENUS"/>
    <x v="3"/>
    <s v="4002.007"/>
    <s v="Acompte impôt sur fortune"/>
    <n v="0"/>
    <n v="12141.62"/>
    <n v="4002"/>
  </r>
  <r>
    <x v="0"/>
    <x v="1"/>
    <x v="2"/>
    <x v="308"/>
    <x v="255"/>
    <x v="255"/>
    <s v="REVENUS"/>
    <x v="6"/>
    <s v="4211.002"/>
    <s v="Intérêts de retard sur acomptes"/>
    <n v="0"/>
    <n v="5981.98"/>
    <n v="4211"/>
  </r>
  <r>
    <x v="0"/>
    <x v="1"/>
    <x v="2"/>
    <x v="308"/>
    <x v="255"/>
    <x v="255"/>
    <s v="REVENUS"/>
    <x v="6"/>
    <s v="4221.003"/>
    <s v="Intérêts compensat. / acomptes en faveur du fisc"/>
    <n v="0"/>
    <n v="116.16"/>
    <n v="4221"/>
  </r>
  <r>
    <x v="0"/>
    <x v="1"/>
    <x v="2"/>
    <x v="308"/>
    <x v="255"/>
    <x v="255"/>
    <s v="REVENUS"/>
    <x v="2"/>
    <s v="4001.002"/>
    <s v="Impôt complément s/revenu PP"/>
    <n v="0"/>
    <n v="91275.95"/>
    <n v="4001"/>
  </r>
  <r>
    <x v="0"/>
    <x v="1"/>
    <x v="2"/>
    <x v="308"/>
    <x v="255"/>
    <x v="255"/>
    <s v="REVENUS"/>
    <x v="3"/>
    <s v="4002.002"/>
    <s v="Impôt complémentaire s/fortune PP"/>
    <n v="0"/>
    <n v="37126.35"/>
    <n v="4002"/>
  </r>
  <r>
    <x v="0"/>
    <x v="1"/>
    <x v="2"/>
    <x v="308"/>
    <x v="255"/>
    <x v="255"/>
    <s v="REVENUS"/>
    <x v="7"/>
    <s v="4184.000"/>
    <s v="Frais de poursuite"/>
    <n v="0"/>
    <n v="1167.6099999999999"/>
    <n v="4184"/>
  </r>
  <r>
    <x v="0"/>
    <x v="1"/>
    <x v="2"/>
    <x v="308"/>
    <x v="255"/>
    <x v="255"/>
    <s v="REVENUS"/>
    <x v="2"/>
    <s v="4001.007"/>
    <s v="Acompte impôt sur revenu"/>
    <n v="0"/>
    <n v="-443.3"/>
    <n v="4001"/>
  </r>
  <r>
    <x v="0"/>
    <x v="1"/>
    <x v="2"/>
    <x v="308"/>
    <x v="255"/>
    <x v="255"/>
    <s v="REVENUS"/>
    <x v="2"/>
    <s v="4001.007"/>
    <s v="Acompte impôt sur revenu"/>
    <n v="0"/>
    <n v="1756.4"/>
    <n v="4001"/>
  </r>
  <r>
    <x v="0"/>
    <x v="1"/>
    <x v="2"/>
    <x v="308"/>
    <x v="255"/>
    <x v="255"/>
    <s v="REVENUS"/>
    <x v="3"/>
    <s v="4002.007"/>
    <s v="Acompte impôt sur fortune"/>
    <n v="0"/>
    <n v="51.2"/>
    <n v="4002"/>
  </r>
  <r>
    <x v="0"/>
    <x v="1"/>
    <x v="2"/>
    <x v="308"/>
    <x v="255"/>
    <x v="255"/>
    <s v="REVENUS"/>
    <x v="3"/>
    <s v="4002.007"/>
    <s v="Acompte impôt sur fortune"/>
    <n v="0"/>
    <n v="58.5"/>
    <n v="4002"/>
  </r>
  <r>
    <x v="0"/>
    <x v="1"/>
    <x v="2"/>
    <x v="308"/>
    <x v="255"/>
    <x v="255"/>
    <s v="REVENUS"/>
    <x v="6"/>
    <s v="4221.002"/>
    <s v="Intérêts compensat. sur impôts distincts"/>
    <n v="0"/>
    <n v="0.24"/>
    <n v="4221"/>
  </r>
  <r>
    <x v="0"/>
    <x v="1"/>
    <x v="2"/>
    <x v="308"/>
    <x v="255"/>
    <x v="255"/>
    <s v="REVENUS"/>
    <x v="3"/>
    <s v="4002.007"/>
    <s v="Acompte impôt sur fortune"/>
    <n v="0"/>
    <n v="-365.15"/>
    <n v="4002"/>
  </r>
  <r>
    <x v="0"/>
    <x v="1"/>
    <x v="2"/>
    <x v="308"/>
    <x v="255"/>
    <x v="255"/>
    <s v="REVENUS"/>
    <x v="2"/>
    <s v="4001.001"/>
    <s v="Impôt revenu"/>
    <n v="0"/>
    <n v="-15679.2"/>
    <n v="4001"/>
  </r>
  <r>
    <x v="0"/>
    <x v="1"/>
    <x v="2"/>
    <x v="308"/>
    <x v="255"/>
    <x v="255"/>
    <s v="REVENUS"/>
    <x v="3"/>
    <s v="4002.001"/>
    <s v="Impôt ordinaire s/fortune PP"/>
    <n v="0"/>
    <n v="-3241.8"/>
    <n v="4002"/>
  </r>
  <r>
    <x v="0"/>
    <x v="1"/>
    <x v="2"/>
    <x v="308"/>
    <x v="255"/>
    <x v="255"/>
    <s v="REVENUS"/>
    <x v="6"/>
    <s v="4221.003"/>
    <s v="Intérêts compensat. / acomptes en faveur du fisc"/>
    <n v="0"/>
    <n v="-2.34"/>
    <n v="4221"/>
  </r>
  <r>
    <x v="0"/>
    <x v="1"/>
    <x v="2"/>
    <x v="308"/>
    <x v="255"/>
    <x v="255"/>
    <s v="REVENUS"/>
    <x v="10"/>
    <s v="4041.001"/>
    <s v="Droits de mutation"/>
    <n v="0"/>
    <n v="37352.6"/>
    <n v="4041"/>
  </r>
  <r>
    <x v="0"/>
    <x v="1"/>
    <x v="2"/>
    <x v="308"/>
    <x v="255"/>
    <x v="255"/>
    <s v="REVENUS"/>
    <x v="9"/>
    <s v="4031.001"/>
    <s v="Impôt sur les gains immobiliers"/>
    <n v="0"/>
    <n v="20949.05"/>
    <n v="4031"/>
  </r>
  <r>
    <x v="0"/>
    <x v="1"/>
    <x v="2"/>
    <x v="308"/>
    <x v="255"/>
    <x v="255"/>
    <s v="REVENUS"/>
    <x v="10"/>
    <s v="4041.002"/>
    <s v="Complément droit de mutation"/>
    <n v="0"/>
    <n v="237.4"/>
    <n v="4041"/>
  </r>
  <r>
    <x v="0"/>
    <x v="1"/>
    <x v="2"/>
    <x v="308"/>
    <x v="255"/>
    <x v="255"/>
    <s v="REVENUS"/>
    <x v="2"/>
    <s v="4001.003"/>
    <s v="Impôt s/prest. cap. PP"/>
    <n v="0"/>
    <n v="-193.6"/>
    <n v="4001"/>
  </r>
  <r>
    <x v="0"/>
    <x v="1"/>
    <x v="2"/>
    <x v="308"/>
    <x v="255"/>
    <x v="255"/>
    <s v="REVENUS"/>
    <x v="2"/>
    <s v="4001.001"/>
    <s v="Impôt revenu"/>
    <n v="0"/>
    <n v="438.35"/>
    <n v="4001"/>
  </r>
  <r>
    <x v="0"/>
    <x v="1"/>
    <x v="2"/>
    <x v="308"/>
    <x v="255"/>
    <x v="255"/>
    <s v="REVENUS"/>
    <x v="3"/>
    <s v="4002.001"/>
    <s v="Impôt ordinaire s/fortune PP"/>
    <n v="0"/>
    <n v="876.5"/>
    <n v="4002"/>
  </r>
  <r>
    <x v="0"/>
    <x v="1"/>
    <x v="2"/>
    <x v="308"/>
    <x v="255"/>
    <x v="255"/>
    <s v="REVENUS"/>
    <x v="6"/>
    <s v="4211.001"/>
    <s v="Intérêts de retard sur factures"/>
    <n v="0"/>
    <n v="0.93"/>
    <n v="4211"/>
  </r>
  <r>
    <x v="0"/>
    <x v="1"/>
    <x v="2"/>
    <x v="308"/>
    <x v="255"/>
    <x v="255"/>
    <s v="REVENUS"/>
    <x v="2"/>
    <s v="4001.001"/>
    <s v="Impôt revenu"/>
    <n v="0"/>
    <n v="1777.85"/>
    <n v="4001"/>
  </r>
  <r>
    <x v="0"/>
    <x v="1"/>
    <x v="2"/>
    <x v="308"/>
    <x v="255"/>
    <x v="255"/>
    <s v="REVENUS"/>
    <x v="3"/>
    <s v="4002.001"/>
    <s v="Impôt ordinaire s/fortune PP"/>
    <n v="0"/>
    <n v="52.8"/>
    <n v="4002"/>
  </r>
  <r>
    <x v="0"/>
    <x v="1"/>
    <x v="2"/>
    <x v="308"/>
    <x v="255"/>
    <x v="255"/>
    <s v="REVENUS"/>
    <x v="2"/>
    <s v="4001.001"/>
    <s v="Impôt revenu"/>
    <n v="0"/>
    <n v="4.6500000000000004"/>
    <n v="4001"/>
  </r>
  <r>
    <x v="0"/>
    <x v="1"/>
    <x v="2"/>
    <x v="308"/>
    <x v="255"/>
    <x v="255"/>
    <s v="REVENUS"/>
    <x v="3"/>
    <s v="4002.001"/>
    <s v="Impôt ordinaire s/fortune PP"/>
    <n v="0"/>
    <n v="1287.2"/>
    <n v="4002"/>
  </r>
  <r>
    <x v="0"/>
    <x v="1"/>
    <x v="2"/>
    <x v="308"/>
    <x v="255"/>
    <x v="255"/>
    <s v="REVENUS"/>
    <x v="9"/>
    <s v="4031.002"/>
    <s v="Complément impôt sur les gains immobiliers"/>
    <n v="0"/>
    <n v="47586.3"/>
    <n v="4031"/>
  </r>
  <r>
    <x v="0"/>
    <x v="1"/>
    <x v="2"/>
    <x v="308"/>
    <x v="255"/>
    <x v="255"/>
    <s v="REVENUS"/>
    <x v="11"/>
    <s v="4198.000"/>
    <s v="Contributions communales"/>
    <n v="0"/>
    <n v="99159.4"/>
    <n v="4198"/>
  </r>
  <r>
    <x v="0"/>
    <x v="1"/>
    <x v="2"/>
    <x v="308"/>
    <x v="255"/>
    <x v="255"/>
    <s v="REVENUS"/>
    <x v="5"/>
    <s v="4061.000"/>
    <s v="Impôt sur les chiens"/>
    <n v="0"/>
    <n v="1050"/>
    <n v="4061"/>
  </r>
  <r>
    <x v="0"/>
    <x v="1"/>
    <x v="2"/>
    <x v="308"/>
    <x v="255"/>
    <x v="255"/>
    <s v="REVENUS"/>
    <x v="3"/>
    <s v="4002.007"/>
    <s v="Acompte impôt sur fortune"/>
    <n v="0"/>
    <n v="-46.35"/>
    <n v="4002"/>
  </r>
  <r>
    <x v="0"/>
    <x v="1"/>
    <x v="2"/>
    <x v="308"/>
    <x v="255"/>
    <x v="255"/>
    <s v="REVENUS"/>
    <x v="6"/>
    <s v="4221.003"/>
    <s v="Intérêts compensat. / acomptes en faveur du fisc"/>
    <n v="0"/>
    <n v="1.55"/>
    <n v="4221"/>
  </r>
  <r>
    <x v="0"/>
    <x v="1"/>
    <x v="2"/>
    <x v="308"/>
    <x v="255"/>
    <x v="255"/>
    <s v="REVENUS"/>
    <x v="6"/>
    <s v="4221.003"/>
    <s v="Intérêts compensat. / acomptes en faveur du fisc"/>
    <n v="0"/>
    <n v="1.47"/>
    <n v="4221"/>
  </r>
  <r>
    <x v="0"/>
    <x v="1"/>
    <x v="2"/>
    <x v="308"/>
    <x v="255"/>
    <x v="255"/>
    <s v="REVENUS"/>
    <x v="6"/>
    <s v="4211.001"/>
    <s v="Intérêts de retard sur factures"/>
    <n v="0"/>
    <n v="-0.86"/>
    <n v="4211"/>
  </r>
  <r>
    <x v="0"/>
    <x v="1"/>
    <x v="2"/>
    <x v="309"/>
    <x v="256"/>
    <x v="256"/>
    <s v="CHARGES"/>
    <x v="0"/>
    <s v="3212.002"/>
    <s v="Intérêts bonifiés/trop perçu acompte C/C"/>
    <n v="2.29"/>
    <n v="0"/>
    <n v="3212"/>
  </r>
  <r>
    <x v="0"/>
    <x v="1"/>
    <x v="2"/>
    <x v="309"/>
    <x v="256"/>
    <x v="256"/>
    <s v="CHARGES"/>
    <x v="0"/>
    <s v="3212.004"/>
    <s v="Intérêts rémun./perçu trop tôt sur acomptes C/C"/>
    <n v="439.53"/>
    <n v="0"/>
    <n v="3212"/>
  </r>
  <r>
    <x v="0"/>
    <x v="1"/>
    <x v="2"/>
    <x v="309"/>
    <x v="256"/>
    <x v="256"/>
    <s v="CHARGES"/>
    <x v="0"/>
    <s v="3221.002"/>
    <s v="Intérêts compensatoires / créances en faveur ctb."/>
    <n v="289.8"/>
    <n v="0"/>
    <n v="3221"/>
  </r>
  <r>
    <x v="0"/>
    <x v="1"/>
    <x v="2"/>
    <x v="309"/>
    <x v="256"/>
    <x v="256"/>
    <s v="CHARGES"/>
    <x v="1"/>
    <s v="3301.001"/>
    <s v="Défalcations, abandons de solde PP et IS"/>
    <n v="1878.19"/>
    <n v="0"/>
    <n v="3301"/>
  </r>
  <r>
    <x v="0"/>
    <x v="1"/>
    <x v="2"/>
    <x v="309"/>
    <x v="256"/>
    <x v="256"/>
    <s v="CHARGES"/>
    <x v="1"/>
    <s v="3301.001"/>
    <s v="Défalcations, abandons de solde PP et IS"/>
    <n v="0.05"/>
    <n v="0"/>
    <n v="3301"/>
  </r>
  <r>
    <x v="0"/>
    <x v="1"/>
    <x v="2"/>
    <x v="309"/>
    <x v="256"/>
    <x v="256"/>
    <s v="CHARGES"/>
    <x v="0"/>
    <s v="3221.002"/>
    <s v="Intérêts compensatoires / créances en faveur ctb."/>
    <n v="0.01"/>
    <n v="0"/>
    <n v="3221"/>
  </r>
  <r>
    <x v="0"/>
    <x v="1"/>
    <x v="2"/>
    <x v="309"/>
    <x v="256"/>
    <x v="256"/>
    <s v="CHARGES"/>
    <x v="0"/>
    <s v="3212.004"/>
    <s v="Intérêts rémun./perçu trop tôt sur acomptes C/C"/>
    <n v="-12.12"/>
    <n v="0"/>
    <n v="3212"/>
  </r>
  <r>
    <x v="0"/>
    <x v="1"/>
    <x v="2"/>
    <x v="309"/>
    <x v="256"/>
    <x v="256"/>
    <s v="CHARGES"/>
    <x v="1"/>
    <s v="3301.001"/>
    <s v="Défalcations, abandons de solde PP et IS"/>
    <n v="-0.06"/>
    <n v="0"/>
    <n v="3301"/>
  </r>
  <r>
    <x v="0"/>
    <x v="1"/>
    <x v="2"/>
    <x v="309"/>
    <x v="256"/>
    <x v="256"/>
    <s v="CHARGES"/>
    <x v="0"/>
    <s v="3212.004"/>
    <s v="Intérêts rémun./perçu trop tôt sur acomptes C/C"/>
    <n v="0.37"/>
    <n v="0"/>
    <n v="3212"/>
  </r>
  <r>
    <x v="0"/>
    <x v="1"/>
    <x v="2"/>
    <x v="309"/>
    <x v="256"/>
    <x v="256"/>
    <s v="CHARGES"/>
    <x v="0"/>
    <s v="3221.002"/>
    <s v="Intérêts compensatoires / créances en faveur ctb."/>
    <n v="0.02"/>
    <n v="0"/>
    <n v="3221"/>
  </r>
  <r>
    <x v="0"/>
    <x v="1"/>
    <x v="2"/>
    <x v="309"/>
    <x v="256"/>
    <x v="256"/>
    <s v="CHARGES"/>
    <x v="0"/>
    <s v="3221.002"/>
    <s v="Intérêts compensatoires / créances en faveur ctb."/>
    <n v="-0.04"/>
    <n v="0"/>
    <n v="3221"/>
  </r>
  <r>
    <x v="0"/>
    <x v="1"/>
    <x v="2"/>
    <x v="309"/>
    <x v="256"/>
    <x v="256"/>
    <s v="REVENUS"/>
    <x v="3"/>
    <s v="4002.007"/>
    <s v="Acompte impôt sur fortune"/>
    <n v="0"/>
    <n v="920.85"/>
    <n v="4002"/>
  </r>
  <r>
    <x v="0"/>
    <x v="1"/>
    <x v="2"/>
    <x v="309"/>
    <x v="256"/>
    <x v="256"/>
    <s v="REVENUS"/>
    <x v="2"/>
    <s v="4001.001"/>
    <s v="Impôt revenu"/>
    <n v="0"/>
    <n v="2109293"/>
    <n v="4001"/>
  </r>
  <r>
    <x v="0"/>
    <x v="1"/>
    <x v="2"/>
    <x v="309"/>
    <x v="256"/>
    <x v="256"/>
    <s v="REVENUS"/>
    <x v="2"/>
    <s v="4001.007"/>
    <s v="Acompte impôt sur revenu"/>
    <n v="0"/>
    <n v="95538.4"/>
    <n v="4001"/>
  </r>
  <r>
    <x v="0"/>
    <x v="1"/>
    <x v="2"/>
    <x v="309"/>
    <x v="256"/>
    <x v="256"/>
    <s v="REVENUS"/>
    <x v="3"/>
    <s v="4002.001"/>
    <s v="Impôt ordinaire s/fortune PP"/>
    <n v="0"/>
    <n v="327039.25"/>
    <n v="4002"/>
  </r>
  <r>
    <x v="0"/>
    <x v="1"/>
    <x v="2"/>
    <x v="309"/>
    <x v="256"/>
    <x v="256"/>
    <s v="REVENUS"/>
    <x v="3"/>
    <s v="4002.007"/>
    <s v="Acompte impôt sur fortune"/>
    <n v="0"/>
    <n v="-117931.83"/>
    <n v="4002"/>
  </r>
  <r>
    <x v="0"/>
    <x v="1"/>
    <x v="2"/>
    <x v="309"/>
    <x v="256"/>
    <x v="256"/>
    <s v="REVENUS"/>
    <x v="7"/>
    <s v="4184.000"/>
    <s v="Frais de poursuite"/>
    <n v="0"/>
    <n v="493.12"/>
    <n v="4184"/>
  </r>
  <r>
    <x v="0"/>
    <x v="1"/>
    <x v="2"/>
    <x v="309"/>
    <x v="256"/>
    <x v="256"/>
    <s v="REVENUS"/>
    <x v="6"/>
    <s v="4221.003"/>
    <s v="Intérêts compensat. / acomptes en faveur du fisc"/>
    <n v="0"/>
    <n v="368.68"/>
    <n v="4221"/>
  </r>
  <r>
    <x v="0"/>
    <x v="1"/>
    <x v="2"/>
    <x v="309"/>
    <x v="256"/>
    <x v="256"/>
    <s v="REVENUS"/>
    <x v="9"/>
    <s v="4031.001"/>
    <s v="Impôt sur les gains immobiliers"/>
    <n v="0"/>
    <n v="259119.6"/>
    <n v="4031"/>
  </r>
  <r>
    <x v="0"/>
    <x v="1"/>
    <x v="2"/>
    <x v="309"/>
    <x v="256"/>
    <x v="256"/>
    <s v="REVENUS"/>
    <x v="6"/>
    <s v="4211.002"/>
    <s v="Intérêts de retard sur acomptes"/>
    <n v="0"/>
    <n v="12500.58"/>
    <n v="4211"/>
  </r>
  <r>
    <x v="0"/>
    <x v="1"/>
    <x v="2"/>
    <x v="309"/>
    <x v="256"/>
    <x v="256"/>
    <s v="REVENUS"/>
    <x v="2"/>
    <s v="4001.003"/>
    <s v="Impôt s/prest. cap. PP"/>
    <n v="0"/>
    <n v="76574.100000000006"/>
    <n v="4001"/>
  </r>
  <r>
    <x v="0"/>
    <x v="1"/>
    <x v="2"/>
    <x v="309"/>
    <x v="256"/>
    <x v="256"/>
    <s v="REVENUS"/>
    <x v="6"/>
    <s v="4211.001"/>
    <s v="Intérêts de retard sur factures"/>
    <n v="0"/>
    <n v="6259.04"/>
    <n v="4211"/>
  </r>
  <r>
    <x v="0"/>
    <x v="1"/>
    <x v="2"/>
    <x v="309"/>
    <x v="256"/>
    <x v="256"/>
    <s v="REVENUS"/>
    <x v="2"/>
    <s v="4001.002"/>
    <s v="Impôt complément s/revenu PP"/>
    <n v="0"/>
    <n v="411341.1"/>
    <n v="4001"/>
  </r>
  <r>
    <x v="0"/>
    <x v="1"/>
    <x v="2"/>
    <x v="309"/>
    <x v="256"/>
    <x v="256"/>
    <s v="REVENUS"/>
    <x v="3"/>
    <s v="4002.002"/>
    <s v="Impôt complémentaire s/fortune PP"/>
    <n v="0"/>
    <n v="472789.9"/>
    <n v="4002"/>
  </r>
  <r>
    <x v="0"/>
    <x v="1"/>
    <x v="2"/>
    <x v="309"/>
    <x v="256"/>
    <x v="256"/>
    <s v="REVENUS"/>
    <x v="2"/>
    <s v="4001.007"/>
    <s v="Acompte impôt sur revenu"/>
    <n v="0"/>
    <n v="-2585.0100000000002"/>
    <n v="4001"/>
  </r>
  <r>
    <x v="0"/>
    <x v="1"/>
    <x v="2"/>
    <x v="309"/>
    <x v="256"/>
    <x v="256"/>
    <s v="REVENUS"/>
    <x v="12"/>
    <s v="4004.007"/>
    <s v="Acompte spécial étrangers"/>
    <n v="0"/>
    <n v="172727.55"/>
    <n v="4004"/>
  </r>
  <r>
    <x v="0"/>
    <x v="1"/>
    <x v="2"/>
    <x v="309"/>
    <x v="256"/>
    <x v="256"/>
    <s v="REVENUS"/>
    <x v="2"/>
    <s v="4001.007"/>
    <s v="Acompte impôt sur revenu"/>
    <n v="0"/>
    <n v="59.95"/>
    <n v="4001"/>
  </r>
  <r>
    <x v="0"/>
    <x v="1"/>
    <x v="2"/>
    <x v="309"/>
    <x v="256"/>
    <x v="256"/>
    <s v="REVENUS"/>
    <x v="3"/>
    <s v="4002.007"/>
    <s v="Acompte impôt sur fortune"/>
    <n v="0"/>
    <n v="29.15"/>
    <n v="4002"/>
  </r>
  <r>
    <x v="0"/>
    <x v="1"/>
    <x v="2"/>
    <x v="309"/>
    <x v="256"/>
    <x v="256"/>
    <s v="REVENUS"/>
    <x v="2"/>
    <s v="4001.001"/>
    <s v="Impôt revenu"/>
    <n v="0"/>
    <n v="45.05"/>
    <n v="4001"/>
  </r>
  <r>
    <x v="0"/>
    <x v="1"/>
    <x v="2"/>
    <x v="309"/>
    <x v="256"/>
    <x v="256"/>
    <s v="REVENUS"/>
    <x v="3"/>
    <s v="4002.001"/>
    <s v="Impôt ordinaire s/fortune PP"/>
    <n v="0"/>
    <n v="59.15"/>
    <n v="4002"/>
  </r>
  <r>
    <x v="0"/>
    <x v="1"/>
    <x v="2"/>
    <x v="309"/>
    <x v="256"/>
    <x v="256"/>
    <s v="REVENUS"/>
    <x v="6"/>
    <s v="4221.003"/>
    <s v="Intérêts compensat. / acomptes en faveur du fisc"/>
    <n v="0"/>
    <n v="0.02"/>
    <n v="4221"/>
  </r>
  <r>
    <x v="0"/>
    <x v="1"/>
    <x v="2"/>
    <x v="309"/>
    <x v="256"/>
    <x v="256"/>
    <s v="REVENUS"/>
    <x v="3"/>
    <s v="4002.007"/>
    <s v="Acompte impôt sur fortune"/>
    <n v="0"/>
    <n v="-161"/>
    <n v="4002"/>
  </r>
  <r>
    <x v="0"/>
    <x v="1"/>
    <x v="2"/>
    <x v="309"/>
    <x v="256"/>
    <x v="256"/>
    <s v="REVENUS"/>
    <x v="7"/>
    <s v="4184.000"/>
    <s v="Frais de poursuite"/>
    <n v="0"/>
    <n v="6.26"/>
    <n v="4184"/>
  </r>
  <r>
    <x v="0"/>
    <x v="1"/>
    <x v="2"/>
    <x v="309"/>
    <x v="256"/>
    <x v="256"/>
    <s v="REVENUS"/>
    <x v="10"/>
    <s v="4041.001"/>
    <s v="Droits de mutation"/>
    <n v="0"/>
    <n v="281767.75"/>
    <n v="4041"/>
  </r>
  <r>
    <x v="0"/>
    <x v="1"/>
    <x v="2"/>
    <x v="309"/>
    <x v="256"/>
    <x v="256"/>
    <s v="REVENUS"/>
    <x v="6"/>
    <s v="4221.002"/>
    <s v="Intérêts compensat. sur impôts distincts"/>
    <n v="0"/>
    <n v="137.52000000000001"/>
    <n v="4221"/>
  </r>
  <r>
    <x v="0"/>
    <x v="1"/>
    <x v="2"/>
    <x v="309"/>
    <x v="256"/>
    <x v="256"/>
    <s v="REVENUS"/>
    <x v="8"/>
    <s v="4091.001"/>
    <s v="Impôt récupéré après défalcations"/>
    <n v="0"/>
    <n v="-1074.52"/>
    <n v="4091"/>
  </r>
  <r>
    <x v="0"/>
    <x v="1"/>
    <x v="2"/>
    <x v="309"/>
    <x v="256"/>
    <x v="256"/>
    <s v="REVENUS"/>
    <x v="2"/>
    <s v="4001.007"/>
    <s v="Acompte impôt sur revenu"/>
    <n v="0"/>
    <n v="-97.63"/>
    <n v="4001"/>
  </r>
  <r>
    <x v="0"/>
    <x v="1"/>
    <x v="2"/>
    <x v="309"/>
    <x v="256"/>
    <x v="256"/>
    <s v="REVENUS"/>
    <x v="5"/>
    <s v="4061.000"/>
    <s v="Impôt sur les chiens"/>
    <n v="0"/>
    <n v="2040"/>
    <n v="4061"/>
  </r>
  <r>
    <x v="0"/>
    <x v="1"/>
    <x v="2"/>
    <x v="309"/>
    <x v="256"/>
    <x v="256"/>
    <s v="REVENUS"/>
    <x v="2"/>
    <s v="4001.001"/>
    <s v="Impôt revenu"/>
    <n v="0"/>
    <n v="1212.7"/>
    <n v="4001"/>
  </r>
  <r>
    <x v="0"/>
    <x v="1"/>
    <x v="2"/>
    <x v="309"/>
    <x v="256"/>
    <x v="256"/>
    <s v="REVENUS"/>
    <x v="3"/>
    <s v="4002.001"/>
    <s v="Impôt ordinaire s/fortune PP"/>
    <n v="0"/>
    <n v="635.95000000000005"/>
    <n v="4002"/>
  </r>
  <r>
    <x v="0"/>
    <x v="1"/>
    <x v="2"/>
    <x v="309"/>
    <x v="256"/>
    <x v="256"/>
    <s v="REVENUS"/>
    <x v="12"/>
    <s v="4004.000"/>
    <s v="Impôt spécial étrangers"/>
    <n v="0"/>
    <n v="451568.65"/>
    <n v="4004"/>
  </r>
  <r>
    <x v="0"/>
    <x v="1"/>
    <x v="2"/>
    <x v="309"/>
    <x v="256"/>
    <x v="256"/>
    <s v="REVENUS"/>
    <x v="3"/>
    <s v="4002.007"/>
    <s v="Acompte impôt sur fortune"/>
    <n v="0"/>
    <n v="-49.5"/>
    <n v="4002"/>
  </r>
  <r>
    <x v="0"/>
    <x v="1"/>
    <x v="2"/>
    <x v="309"/>
    <x v="256"/>
    <x v="256"/>
    <s v="REVENUS"/>
    <x v="6"/>
    <s v="4211.001"/>
    <s v="Intérêts de retard sur factures"/>
    <n v="0"/>
    <n v="0.03"/>
    <n v="4211"/>
  </r>
  <r>
    <x v="0"/>
    <x v="1"/>
    <x v="2"/>
    <x v="309"/>
    <x v="256"/>
    <x v="256"/>
    <s v="REVENUS"/>
    <x v="2"/>
    <s v="4001.001"/>
    <s v="Impôt revenu"/>
    <n v="0"/>
    <n v="-5048.8"/>
    <n v="4001"/>
  </r>
  <r>
    <x v="0"/>
    <x v="1"/>
    <x v="2"/>
    <x v="309"/>
    <x v="256"/>
    <x v="256"/>
    <s v="REVENUS"/>
    <x v="2"/>
    <s v="4001.002"/>
    <s v="Impôt complément s/revenu PP"/>
    <n v="0"/>
    <n v="-2640.55"/>
    <n v="4001"/>
  </r>
  <r>
    <x v="0"/>
    <x v="1"/>
    <x v="2"/>
    <x v="309"/>
    <x v="256"/>
    <x v="256"/>
    <s v="REVENUS"/>
    <x v="3"/>
    <s v="4002.001"/>
    <s v="Impôt ordinaire s/fortune PP"/>
    <n v="0"/>
    <n v="-249.6"/>
    <n v="4002"/>
  </r>
  <r>
    <x v="0"/>
    <x v="1"/>
    <x v="2"/>
    <x v="309"/>
    <x v="256"/>
    <x v="256"/>
    <s v="REVENUS"/>
    <x v="3"/>
    <s v="4002.002"/>
    <s v="Impôt complémentaire s/fortune PP"/>
    <n v="0"/>
    <n v="-94.35"/>
    <n v="4002"/>
  </r>
  <r>
    <x v="0"/>
    <x v="1"/>
    <x v="2"/>
    <x v="309"/>
    <x v="256"/>
    <x v="256"/>
    <s v="REVENUS"/>
    <x v="6"/>
    <s v="4221.003"/>
    <s v="Intérêts compensat. / acomptes en faveur du fisc"/>
    <n v="0"/>
    <n v="-0.06"/>
    <n v="4221"/>
  </r>
  <r>
    <x v="0"/>
    <x v="1"/>
    <x v="2"/>
    <x v="309"/>
    <x v="256"/>
    <x v="256"/>
    <s v="REVENUS"/>
    <x v="2"/>
    <s v="4001.001"/>
    <s v="Impôt revenu"/>
    <n v="0"/>
    <n v="80.599999999999994"/>
    <n v="4001"/>
  </r>
  <r>
    <x v="0"/>
    <x v="1"/>
    <x v="2"/>
    <x v="309"/>
    <x v="256"/>
    <x v="256"/>
    <s v="REVENUS"/>
    <x v="3"/>
    <s v="4002.001"/>
    <s v="Impôt ordinaire s/fortune PP"/>
    <n v="0"/>
    <n v="35.049999999999997"/>
    <n v="4002"/>
  </r>
  <r>
    <x v="0"/>
    <x v="1"/>
    <x v="2"/>
    <x v="309"/>
    <x v="256"/>
    <x v="256"/>
    <s v="REVENUS"/>
    <x v="6"/>
    <s v="4211.002"/>
    <s v="Intérêts de retard sur acomptes"/>
    <n v="0"/>
    <n v="-0.05"/>
    <n v="4211"/>
  </r>
  <r>
    <x v="0"/>
    <x v="1"/>
    <x v="2"/>
    <x v="310"/>
    <x v="257"/>
    <x v="257"/>
    <s v="CHARGES"/>
    <x v="1"/>
    <s v="3301.001"/>
    <s v="Défalcations, abandons de solde PP et IS"/>
    <n v="10554.66"/>
    <n v="0"/>
    <n v="3301"/>
  </r>
  <r>
    <x v="0"/>
    <x v="1"/>
    <x v="2"/>
    <x v="310"/>
    <x v="257"/>
    <x v="257"/>
    <s v="CHARGES"/>
    <x v="0"/>
    <s v="3221.002"/>
    <s v="Intérêts compensatoires / créances en faveur ctb."/>
    <n v="120.85"/>
    <n v="0"/>
    <n v="3221"/>
  </r>
  <r>
    <x v="0"/>
    <x v="1"/>
    <x v="2"/>
    <x v="310"/>
    <x v="257"/>
    <x v="257"/>
    <s v="CHARGES"/>
    <x v="0"/>
    <s v="3212.004"/>
    <s v="Intérêts rémun./perçu trop tôt sur acomptes C/C"/>
    <n v="308.14"/>
    <n v="0"/>
    <n v="3212"/>
  </r>
  <r>
    <x v="0"/>
    <x v="1"/>
    <x v="2"/>
    <x v="310"/>
    <x v="257"/>
    <x v="257"/>
    <s v="CHARGES"/>
    <x v="0"/>
    <s v="3212.002"/>
    <s v="Intérêts bonifiés/trop perçu acompte C/C"/>
    <n v="7.59"/>
    <n v="0"/>
    <n v="3212"/>
  </r>
  <r>
    <x v="0"/>
    <x v="1"/>
    <x v="2"/>
    <x v="310"/>
    <x v="257"/>
    <x v="257"/>
    <s v="CHARGES"/>
    <x v="1"/>
    <s v="3301.001"/>
    <s v="Défalcations, abandons de solde PP et IS"/>
    <n v="0.56000000000000005"/>
    <n v="0"/>
    <n v="3301"/>
  </r>
  <r>
    <x v="0"/>
    <x v="1"/>
    <x v="2"/>
    <x v="310"/>
    <x v="257"/>
    <x v="257"/>
    <s v="CHARGES"/>
    <x v="0"/>
    <s v="3221.002"/>
    <s v="Intérêts compensatoires / créances en faveur ctb."/>
    <n v="2.93"/>
    <n v="0"/>
    <n v="3221"/>
  </r>
  <r>
    <x v="0"/>
    <x v="1"/>
    <x v="2"/>
    <x v="310"/>
    <x v="257"/>
    <x v="257"/>
    <s v="CHARGES"/>
    <x v="0"/>
    <s v="3212.002"/>
    <s v="Intérêts bonifiés/trop perçu acompte C/C"/>
    <n v="0.02"/>
    <n v="0"/>
    <n v="3212"/>
  </r>
  <r>
    <x v="0"/>
    <x v="1"/>
    <x v="2"/>
    <x v="310"/>
    <x v="257"/>
    <x v="257"/>
    <s v="CHARGES"/>
    <x v="1"/>
    <s v="3301.003"/>
    <s v="Remises PP et IS"/>
    <n v="6177.35"/>
    <n v="0"/>
    <n v="3301"/>
  </r>
  <r>
    <x v="0"/>
    <x v="1"/>
    <x v="2"/>
    <x v="310"/>
    <x v="257"/>
    <x v="257"/>
    <s v="CHARGES"/>
    <x v="0"/>
    <s v="3212.004"/>
    <s v="Intérêts rémun./perçu trop tôt sur acomptes C/C"/>
    <n v="8.84"/>
    <n v="0"/>
    <n v="3212"/>
  </r>
  <r>
    <x v="0"/>
    <x v="1"/>
    <x v="2"/>
    <x v="310"/>
    <x v="257"/>
    <x v="257"/>
    <s v="CHARGES"/>
    <x v="0"/>
    <s v="3212.004"/>
    <s v="Intérêts rémun./perçu trop tôt sur acomptes C/C"/>
    <n v="0.03"/>
    <n v="0"/>
    <n v="3212"/>
  </r>
  <r>
    <x v="0"/>
    <x v="1"/>
    <x v="2"/>
    <x v="310"/>
    <x v="257"/>
    <x v="257"/>
    <s v="CHARGES"/>
    <x v="0"/>
    <s v="3221.002"/>
    <s v="Intérêts compensatoires / créances en faveur ctb."/>
    <n v="0.1"/>
    <n v="0"/>
    <n v="3221"/>
  </r>
  <r>
    <x v="0"/>
    <x v="1"/>
    <x v="2"/>
    <x v="310"/>
    <x v="257"/>
    <x v="257"/>
    <s v="REVENUS"/>
    <x v="2"/>
    <s v="4001.007"/>
    <s v="Acompte impôt sur revenu"/>
    <n v="0"/>
    <n v="-4940.83"/>
    <n v="4001"/>
  </r>
  <r>
    <x v="0"/>
    <x v="1"/>
    <x v="2"/>
    <x v="310"/>
    <x v="257"/>
    <x v="257"/>
    <s v="REVENUS"/>
    <x v="3"/>
    <s v="4002.007"/>
    <s v="Acompte impôt sur fortune"/>
    <n v="0"/>
    <n v="-2045.16"/>
    <n v="4002"/>
  </r>
  <r>
    <x v="0"/>
    <x v="1"/>
    <x v="2"/>
    <x v="310"/>
    <x v="257"/>
    <x v="257"/>
    <s v="REVENUS"/>
    <x v="2"/>
    <s v="4001.001"/>
    <s v="Impôt revenu"/>
    <n v="0"/>
    <n v="1453961.6"/>
    <n v="4001"/>
  </r>
  <r>
    <x v="0"/>
    <x v="1"/>
    <x v="2"/>
    <x v="310"/>
    <x v="257"/>
    <x v="257"/>
    <s v="REVENUS"/>
    <x v="2"/>
    <s v="4001.007"/>
    <s v="Acompte impôt sur revenu"/>
    <n v="0"/>
    <n v="-28993.01"/>
    <n v="4001"/>
  </r>
  <r>
    <x v="0"/>
    <x v="1"/>
    <x v="2"/>
    <x v="310"/>
    <x v="257"/>
    <x v="257"/>
    <s v="REVENUS"/>
    <x v="3"/>
    <s v="4002.001"/>
    <s v="Impôt ordinaire s/fortune PP"/>
    <n v="0"/>
    <n v="147039.4"/>
    <n v="4002"/>
  </r>
  <r>
    <x v="0"/>
    <x v="1"/>
    <x v="2"/>
    <x v="310"/>
    <x v="257"/>
    <x v="257"/>
    <s v="REVENUS"/>
    <x v="3"/>
    <s v="4002.007"/>
    <s v="Acompte impôt sur fortune"/>
    <n v="0"/>
    <n v="59139.34"/>
    <n v="4002"/>
  </r>
  <r>
    <x v="0"/>
    <x v="1"/>
    <x v="2"/>
    <x v="310"/>
    <x v="257"/>
    <x v="257"/>
    <s v="REVENUS"/>
    <x v="6"/>
    <s v="4211.001"/>
    <s v="Intérêts de retard sur factures"/>
    <n v="0"/>
    <n v="4422.62"/>
    <n v="4211"/>
  </r>
  <r>
    <x v="0"/>
    <x v="1"/>
    <x v="2"/>
    <x v="310"/>
    <x v="257"/>
    <x v="257"/>
    <s v="REVENUS"/>
    <x v="6"/>
    <s v="4211.002"/>
    <s v="Intérêts de retard sur acomptes"/>
    <n v="0"/>
    <n v="8635.5499999999993"/>
    <n v="4211"/>
  </r>
  <r>
    <x v="0"/>
    <x v="1"/>
    <x v="2"/>
    <x v="310"/>
    <x v="257"/>
    <x v="257"/>
    <s v="REVENUS"/>
    <x v="6"/>
    <s v="4221.003"/>
    <s v="Intérêts compensat. / acomptes en faveur du fisc"/>
    <n v="0"/>
    <n v="90.46"/>
    <n v="4221"/>
  </r>
  <r>
    <x v="0"/>
    <x v="1"/>
    <x v="2"/>
    <x v="310"/>
    <x v="257"/>
    <x v="257"/>
    <s v="REVENUS"/>
    <x v="2"/>
    <s v="4001.002"/>
    <s v="Impôt complément s/revenu PP"/>
    <n v="0"/>
    <n v="266621.09999999998"/>
    <n v="4001"/>
  </r>
  <r>
    <x v="0"/>
    <x v="1"/>
    <x v="2"/>
    <x v="310"/>
    <x v="257"/>
    <x v="257"/>
    <s v="REVENUS"/>
    <x v="3"/>
    <s v="4002.002"/>
    <s v="Impôt complémentaire s/fortune PP"/>
    <n v="0"/>
    <n v="32882.400000000001"/>
    <n v="4002"/>
  </r>
  <r>
    <x v="0"/>
    <x v="1"/>
    <x v="2"/>
    <x v="310"/>
    <x v="257"/>
    <x v="257"/>
    <s v="REVENUS"/>
    <x v="9"/>
    <s v="4031.001"/>
    <s v="Impôt sur les gains immobiliers"/>
    <n v="0"/>
    <n v="98051.85"/>
    <n v="4031"/>
  </r>
  <r>
    <x v="0"/>
    <x v="1"/>
    <x v="2"/>
    <x v="310"/>
    <x v="257"/>
    <x v="257"/>
    <s v="REVENUS"/>
    <x v="6"/>
    <s v="4221.002"/>
    <s v="Intérêts compensat. sur impôts distincts"/>
    <n v="0"/>
    <n v="35.89"/>
    <n v="4221"/>
  </r>
  <r>
    <x v="0"/>
    <x v="1"/>
    <x v="2"/>
    <x v="310"/>
    <x v="257"/>
    <x v="257"/>
    <s v="REVENUS"/>
    <x v="2"/>
    <s v="4001.003"/>
    <s v="Impôt s/prest. cap. PP"/>
    <n v="0"/>
    <n v="69035.899999999994"/>
    <n v="4001"/>
  </r>
  <r>
    <x v="0"/>
    <x v="1"/>
    <x v="2"/>
    <x v="310"/>
    <x v="257"/>
    <x v="257"/>
    <s v="REVENUS"/>
    <x v="7"/>
    <s v="4184.000"/>
    <s v="Frais de poursuite"/>
    <n v="0"/>
    <n v="1294.69"/>
    <n v="4184"/>
  </r>
  <r>
    <x v="0"/>
    <x v="1"/>
    <x v="2"/>
    <x v="310"/>
    <x v="257"/>
    <x v="257"/>
    <s v="REVENUS"/>
    <x v="6"/>
    <s v="4211.001"/>
    <s v="Intérêts de retard sur factures"/>
    <n v="0"/>
    <n v="0.78"/>
    <n v="4211"/>
  </r>
  <r>
    <x v="0"/>
    <x v="1"/>
    <x v="2"/>
    <x v="310"/>
    <x v="257"/>
    <x v="257"/>
    <s v="REVENUS"/>
    <x v="3"/>
    <s v="4002.001"/>
    <s v="Impôt ordinaire s/fortune PP"/>
    <n v="0"/>
    <n v="10610.55"/>
    <n v="4002"/>
  </r>
  <r>
    <x v="0"/>
    <x v="1"/>
    <x v="2"/>
    <x v="310"/>
    <x v="257"/>
    <x v="257"/>
    <s v="REVENUS"/>
    <x v="10"/>
    <s v="4041.001"/>
    <s v="Droits de mutation"/>
    <n v="0"/>
    <n v="169154.25"/>
    <n v="4041"/>
  </r>
  <r>
    <x v="0"/>
    <x v="1"/>
    <x v="2"/>
    <x v="310"/>
    <x v="257"/>
    <x v="257"/>
    <s v="REVENUS"/>
    <x v="3"/>
    <s v="4002.007"/>
    <s v="Acompte impôt sur fortune"/>
    <n v="0"/>
    <n v="663.37"/>
    <n v="4002"/>
  </r>
  <r>
    <x v="0"/>
    <x v="1"/>
    <x v="2"/>
    <x v="310"/>
    <x v="257"/>
    <x v="257"/>
    <s v="REVENUS"/>
    <x v="12"/>
    <s v="4004.007"/>
    <s v="Acompte spécial étrangers"/>
    <n v="0"/>
    <n v="53347.55"/>
    <n v="4004"/>
  </r>
  <r>
    <x v="0"/>
    <x v="1"/>
    <x v="2"/>
    <x v="310"/>
    <x v="257"/>
    <x v="257"/>
    <s v="REVENUS"/>
    <x v="2"/>
    <s v="4001.007"/>
    <s v="Acompte impôt sur revenu"/>
    <n v="0"/>
    <n v="22.6"/>
    <n v="4001"/>
  </r>
  <r>
    <x v="0"/>
    <x v="1"/>
    <x v="2"/>
    <x v="310"/>
    <x v="257"/>
    <x v="257"/>
    <s v="REVENUS"/>
    <x v="3"/>
    <s v="4002.007"/>
    <s v="Acompte impôt sur fortune"/>
    <n v="0"/>
    <n v="2009.05"/>
    <n v="4002"/>
  </r>
  <r>
    <x v="0"/>
    <x v="1"/>
    <x v="2"/>
    <x v="310"/>
    <x v="257"/>
    <x v="257"/>
    <s v="REVENUS"/>
    <x v="2"/>
    <s v="4001.007"/>
    <s v="Acompte impôt sur revenu"/>
    <n v="0"/>
    <n v="2179.0500000000002"/>
    <n v="4001"/>
  </r>
  <r>
    <x v="0"/>
    <x v="1"/>
    <x v="2"/>
    <x v="310"/>
    <x v="257"/>
    <x v="257"/>
    <s v="REVENUS"/>
    <x v="6"/>
    <s v="4211.002"/>
    <s v="Intérêts de retard sur acomptes"/>
    <n v="0"/>
    <n v="53.8"/>
    <n v="4211"/>
  </r>
  <r>
    <x v="0"/>
    <x v="1"/>
    <x v="2"/>
    <x v="310"/>
    <x v="257"/>
    <x v="257"/>
    <s v="REVENUS"/>
    <x v="6"/>
    <s v="4221.003"/>
    <s v="Intérêts compensat. / acomptes en faveur du fisc"/>
    <n v="0"/>
    <n v="0.55000000000000004"/>
    <n v="4221"/>
  </r>
  <r>
    <x v="0"/>
    <x v="1"/>
    <x v="2"/>
    <x v="310"/>
    <x v="257"/>
    <x v="257"/>
    <s v="REVENUS"/>
    <x v="2"/>
    <s v="4001.001"/>
    <s v="Impôt revenu"/>
    <n v="0"/>
    <n v="8936.9"/>
    <n v="4001"/>
  </r>
  <r>
    <x v="0"/>
    <x v="1"/>
    <x v="2"/>
    <x v="310"/>
    <x v="257"/>
    <x v="257"/>
    <s v="REVENUS"/>
    <x v="5"/>
    <s v="4061.000"/>
    <s v="Impôt sur les chiens"/>
    <n v="0"/>
    <n v="3525"/>
    <n v="4061"/>
  </r>
  <r>
    <x v="0"/>
    <x v="1"/>
    <x v="2"/>
    <x v="310"/>
    <x v="257"/>
    <x v="257"/>
    <s v="REVENUS"/>
    <x v="3"/>
    <s v="4002.001"/>
    <s v="Impôt ordinaire s/fortune PP"/>
    <n v="0"/>
    <n v="68.55"/>
    <n v="4002"/>
  </r>
  <r>
    <x v="0"/>
    <x v="1"/>
    <x v="2"/>
    <x v="310"/>
    <x v="257"/>
    <x v="257"/>
    <s v="REVENUS"/>
    <x v="6"/>
    <s v="4211.002"/>
    <s v="Intérêts de retard sur acomptes"/>
    <n v="0"/>
    <n v="0.05"/>
    <n v="4211"/>
  </r>
  <r>
    <x v="0"/>
    <x v="1"/>
    <x v="2"/>
    <x v="310"/>
    <x v="257"/>
    <x v="257"/>
    <s v="REVENUS"/>
    <x v="12"/>
    <s v="4004.000"/>
    <s v="Impôt spécial étrangers"/>
    <n v="0"/>
    <n v="193462.7"/>
    <n v="4004"/>
  </r>
  <r>
    <x v="0"/>
    <x v="1"/>
    <x v="2"/>
    <x v="310"/>
    <x v="257"/>
    <x v="257"/>
    <s v="REVENUS"/>
    <x v="2"/>
    <s v="4001.002"/>
    <s v="Impôt complément s/revenu PP"/>
    <n v="0"/>
    <n v="57.7"/>
    <n v="4001"/>
  </r>
  <r>
    <x v="0"/>
    <x v="1"/>
    <x v="2"/>
    <x v="310"/>
    <x v="257"/>
    <x v="257"/>
    <s v="REVENUS"/>
    <x v="3"/>
    <s v="4002.002"/>
    <s v="Impôt complémentaire s/fortune PP"/>
    <n v="0"/>
    <n v="470.75"/>
    <n v="4002"/>
  </r>
  <r>
    <x v="0"/>
    <x v="1"/>
    <x v="2"/>
    <x v="310"/>
    <x v="257"/>
    <x v="257"/>
    <s v="REVENUS"/>
    <x v="4"/>
    <s v="4051.002"/>
    <s v="Impôt sur les donations"/>
    <n v="0"/>
    <n v="2586.6"/>
    <n v="4051"/>
  </r>
  <r>
    <x v="0"/>
    <x v="1"/>
    <x v="2"/>
    <x v="310"/>
    <x v="257"/>
    <x v="257"/>
    <s v="REVENUS"/>
    <x v="2"/>
    <s v="4001.007"/>
    <s v="Acompte impôt sur revenu"/>
    <n v="0"/>
    <n v="-227.6"/>
    <n v="4001"/>
  </r>
  <r>
    <x v="0"/>
    <x v="1"/>
    <x v="2"/>
    <x v="310"/>
    <x v="257"/>
    <x v="257"/>
    <s v="REVENUS"/>
    <x v="3"/>
    <s v="4002.007"/>
    <s v="Acompte impôt sur fortune"/>
    <n v="0"/>
    <n v="-155.30000000000001"/>
    <n v="4002"/>
  </r>
  <r>
    <x v="0"/>
    <x v="1"/>
    <x v="2"/>
    <x v="311"/>
    <x v="258"/>
    <x v="258"/>
    <s v="CHARGES"/>
    <x v="0"/>
    <s v="3212.002"/>
    <s v="Intérêts bonifiés/trop perçu acompte C/C"/>
    <n v="5.67"/>
    <n v="0"/>
    <n v="3212"/>
  </r>
  <r>
    <x v="0"/>
    <x v="1"/>
    <x v="2"/>
    <x v="311"/>
    <x v="258"/>
    <x v="258"/>
    <s v="CHARGES"/>
    <x v="0"/>
    <s v="3212.004"/>
    <s v="Intérêts rémun./perçu trop tôt sur acomptes C/C"/>
    <n v="777.87"/>
    <n v="0"/>
    <n v="3212"/>
  </r>
  <r>
    <x v="0"/>
    <x v="1"/>
    <x v="2"/>
    <x v="311"/>
    <x v="258"/>
    <x v="258"/>
    <s v="CHARGES"/>
    <x v="0"/>
    <s v="3221.002"/>
    <s v="Intérêts compensatoires / créances en faveur ctb."/>
    <n v="284.43"/>
    <n v="0"/>
    <n v="3221"/>
  </r>
  <r>
    <x v="0"/>
    <x v="1"/>
    <x v="2"/>
    <x v="311"/>
    <x v="258"/>
    <x v="258"/>
    <s v="CHARGES"/>
    <x v="1"/>
    <s v="3301.001"/>
    <s v="Défalcations, abandons de solde PP et IS"/>
    <n v="19914.39"/>
    <n v="0"/>
    <n v="3301"/>
  </r>
  <r>
    <x v="0"/>
    <x v="1"/>
    <x v="2"/>
    <x v="311"/>
    <x v="258"/>
    <x v="258"/>
    <s v="CHARGES"/>
    <x v="0"/>
    <s v="3212.004"/>
    <s v="Intérêts rémun./perçu trop tôt sur acomptes C/C"/>
    <n v="1.78"/>
    <n v="0"/>
    <n v="3212"/>
  </r>
  <r>
    <x v="0"/>
    <x v="1"/>
    <x v="2"/>
    <x v="311"/>
    <x v="258"/>
    <x v="258"/>
    <s v="CHARGES"/>
    <x v="0"/>
    <s v="3221.002"/>
    <s v="Intérêts compensatoires / créances en faveur ctb."/>
    <n v="0.27"/>
    <n v="0"/>
    <n v="3221"/>
  </r>
  <r>
    <x v="0"/>
    <x v="1"/>
    <x v="2"/>
    <x v="311"/>
    <x v="258"/>
    <x v="258"/>
    <s v="CHARGES"/>
    <x v="0"/>
    <s v="3212.004"/>
    <s v="Intérêts rémun./perçu trop tôt sur acomptes C/C"/>
    <n v="-4.3"/>
    <n v="0"/>
    <n v="3212"/>
  </r>
  <r>
    <x v="0"/>
    <x v="1"/>
    <x v="2"/>
    <x v="311"/>
    <x v="258"/>
    <x v="258"/>
    <s v="CHARGES"/>
    <x v="1"/>
    <s v="3301.001"/>
    <s v="Défalcations, abandons de solde PP et IS"/>
    <n v="-1.28"/>
    <n v="0"/>
    <n v="3301"/>
  </r>
  <r>
    <x v="0"/>
    <x v="1"/>
    <x v="2"/>
    <x v="311"/>
    <x v="258"/>
    <x v="258"/>
    <s v="CHARGES"/>
    <x v="0"/>
    <s v="3212.002"/>
    <s v="Intérêts bonifiés/trop perçu acompte C/C"/>
    <n v="-0.06"/>
    <n v="0"/>
    <n v="3212"/>
  </r>
  <r>
    <x v="0"/>
    <x v="1"/>
    <x v="2"/>
    <x v="311"/>
    <x v="258"/>
    <x v="258"/>
    <s v="CHARGES"/>
    <x v="0"/>
    <s v="3221.002"/>
    <s v="Intérêts compensatoires / créances en faveur ctb."/>
    <n v="-1.31"/>
    <n v="0"/>
    <n v="3221"/>
  </r>
  <r>
    <x v="0"/>
    <x v="1"/>
    <x v="2"/>
    <x v="311"/>
    <x v="258"/>
    <x v="258"/>
    <s v="CHARGES"/>
    <x v="1"/>
    <s v="3301.001"/>
    <s v="Défalcations, abandons de solde PP et IS"/>
    <n v="0.02"/>
    <n v="0"/>
    <n v="3301"/>
  </r>
  <r>
    <x v="0"/>
    <x v="1"/>
    <x v="2"/>
    <x v="311"/>
    <x v="258"/>
    <x v="258"/>
    <s v="CHARGES"/>
    <x v="0"/>
    <s v="3212.004"/>
    <s v="Intérêts rémun./perçu trop tôt sur acomptes C/C"/>
    <n v="-0.14000000000000001"/>
    <n v="0"/>
    <n v="3212"/>
  </r>
  <r>
    <x v="0"/>
    <x v="1"/>
    <x v="2"/>
    <x v="311"/>
    <x v="258"/>
    <x v="258"/>
    <s v="CHARGES"/>
    <x v="0"/>
    <s v="3221.002"/>
    <s v="Intérêts compensatoires / créances en faveur ctb."/>
    <n v="0.19"/>
    <n v="0"/>
    <n v="3221"/>
  </r>
  <r>
    <x v="0"/>
    <x v="1"/>
    <x v="2"/>
    <x v="311"/>
    <x v="258"/>
    <x v="258"/>
    <s v="CHARGES"/>
    <x v="1"/>
    <s v="3301.001"/>
    <s v="Défalcations, abandons de solde PP et IS"/>
    <n v="-0.01"/>
    <n v="0"/>
    <n v="3301"/>
  </r>
  <r>
    <x v="0"/>
    <x v="1"/>
    <x v="2"/>
    <x v="311"/>
    <x v="258"/>
    <x v="258"/>
    <s v="CHARGES"/>
    <x v="0"/>
    <s v="3212.004"/>
    <s v="Intérêts rémun./perçu trop tôt sur acomptes C/C"/>
    <n v="2.94"/>
    <n v="0"/>
    <n v="3212"/>
  </r>
  <r>
    <x v="0"/>
    <x v="1"/>
    <x v="2"/>
    <x v="311"/>
    <x v="258"/>
    <x v="258"/>
    <s v="CHARGES"/>
    <x v="0"/>
    <s v="3221.002"/>
    <s v="Intérêts compensatoires / créances en faveur ctb."/>
    <n v="0.5"/>
    <n v="0"/>
    <n v="3221"/>
  </r>
  <r>
    <x v="0"/>
    <x v="1"/>
    <x v="2"/>
    <x v="311"/>
    <x v="258"/>
    <x v="258"/>
    <s v="CHARGES"/>
    <x v="1"/>
    <s v="3301.001"/>
    <s v="Défalcations, abandons de solde PP et IS"/>
    <n v="0.05"/>
    <n v="0"/>
    <n v="3301"/>
  </r>
  <r>
    <x v="0"/>
    <x v="1"/>
    <x v="2"/>
    <x v="311"/>
    <x v="258"/>
    <x v="258"/>
    <s v="CHARGES"/>
    <x v="0"/>
    <s v="3212.004"/>
    <s v="Intérêts rémun./perçu trop tôt sur acomptes C/C"/>
    <n v="0.04"/>
    <n v="0"/>
    <n v="3212"/>
  </r>
  <r>
    <x v="0"/>
    <x v="1"/>
    <x v="2"/>
    <x v="311"/>
    <x v="258"/>
    <x v="258"/>
    <s v="CHARGES"/>
    <x v="0"/>
    <s v="3212.004"/>
    <s v="Intérêts rémun./perçu trop tôt sur acomptes C/C"/>
    <n v="0.06"/>
    <n v="0"/>
    <n v="3212"/>
  </r>
  <r>
    <x v="0"/>
    <x v="1"/>
    <x v="2"/>
    <x v="311"/>
    <x v="258"/>
    <x v="258"/>
    <s v="CHARGES"/>
    <x v="1"/>
    <s v="3301.001"/>
    <s v="Défalcations, abandons de solde PP et IS"/>
    <n v="178.2"/>
    <n v="0"/>
    <n v="3301"/>
  </r>
  <r>
    <x v="0"/>
    <x v="1"/>
    <x v="2"/>
    <x v="311"/>
    <x v="258"/>
    <x v="258"/>
    <s v="CHARGES"/>
    <x v="1"/>
    <s v="3301.001"/>
    <s v="Défalcations, abandons de solde PP et IS"/>
    <n v="0.13"/>
    <n v="0"/>
    <n v="3301"/>
  </r>
  <r>
    <x v="0"/>
    <x v="1"/>
    <x v="2"/>
    <x v="311"/>
    <x v="258"/>
    <x v="258"/>
    <s v="CHARGES"/>
    <x v="0"/>
    <s v="3221.002"/>
    <s v="Intérêts compensatoires / créances en faveur ctb."/>
    <n v="0.08"/>
    <n v="0"/>
    <n v="3221"/>
  </r>
  <r>
    <x v="0"/>
    <x v="1"/>
    <x v="2"/>
    <x v="311"/>
    <x v="258"/>
    <x v="258"/>
    <s v="CHARGES"/>
    <x v="0"/>
    <s v="3212.004"/>
    <s v="Intérêts rémun./perçu trop tôt sur acomptes C/C"/>
    <n v="1.07"/>
    <n v="0"/>
    <n v="3212"/>
  </r>
  <r>
    <x v="0"/>
    <x v="1"/>
    <x v="2"/>
    <x v="311"/>
    <x v="258"/>
    <x v="258"/>
    <s v="CHARGES"/>
    <x v="0"/>
    <s v="3221.002"/>
    <s v="Intérêts compensatoires / créances en faveur ctb."/>
    <n v="0.26"/>
    <n v="0"/>
    <n v="3221"/>
  </r>
  <r>
    <x v="0"/>
    <x v="1"/>
    <x v="2"/>
    <x v="311"/>
    <x v="258"/>
    <x v="258"/>
    <s v="REVENUS"/>
    <x v="2"/>
    <s v="4001.007"/>
    <s v="Acompte impôt sur revenu"/>
    <n v="0"/>
    <n v="114552.97"/>
    <n v="4001"/>
  </r>
  <r>
    <x v="0"/>
    <x v="1"/>
    <x v="2"/>
    <x v="311"/>
    <x v="258"/>
    <x v="258"/>
    <s v="REVENUS"/>
    <x v="2"/>
    <s v="4001.001"/>
    <s v="Impôt revenu"/>
    <n v="0"/>
    <n v="3507219.1"/>
    <n v="4001"/>
  </r>
  <r>
    <x v="0"/>
    <x v="1"/>
    <x v="2"/>
    <x v="311"/>
    <x v="258"/>
    <x v="258"/>
    <s v="REVENUS"/>
    <x v="3"/>
    <s v="4002.001"/>
    <s v="Impôt ordinaire s/fortune PP"/>
    <n v="0"/>
    <n v="831642.65"/>
    <n v="4002"/>
  </r>
  <r>
    <x v="0"/>
    <x v="1"/>
    <x v="2"/>
    <x v="311"/>
    <x v="258"/>
    <x v="258"/>
    <s v="REVENUS"/>
    <x v="3"/>
    <s v="4002.007"/>
    <s v="Acompte impôt sur fortune"/>
    <n v="0"/>
    <n v="-260053.83"/>
    <n v="4002"/>
  </r>
  <r>
    <x v="0"/>
    <x v="1"/>
    <x v="2"/>
    <x v="311"/>
    <x v="258"/>
    <x v="258"/>
    <s v="REVENUS"/>
    <x v="6"/>
    <s v="4211.001"/>
    <s v="Intérêts de retard sur factures"/>
    <n v="0"/>
    <n v="7701.93"/>
    <n v="4211"/>
  </r>
  <r>
    <x v="0"/>
    <x v="1"/>
    <x v="2"/>
    <x v="311"/>
    <x v="258"/>
    <x v="258"/>
    <s v="REVENUS"/>
    <x v="6"/>
    <s v="4211.002"/>
    <s v="Intérêts de retard sur acomptes"/>
    <n v="0"/>
    <n v="25719.94"/>
    <n v="4211"/>
  </r>
  <r>
    <x v="0"/>
    <x v="1"/>
    <x v="2"/>
    <x v="311"/>
    <x v="258"/>
    <x v="258"/>
    <s v="REVENUS"/>
    <x v="6"/>
    <s v="4221.003"/>
    <s v="Intérêts compensat. / acomptes en faveur du fisc"/>
    <n v="0"/>
    <n v="375.77"/>
    <n v="4221"/>
  </r>
  <r>
    <x v="0"/>
    <x v="1"/>
    <x v="2"/>
    <x v="311"/>
    <x v="258"/>
    <x v="258"/>
    <s v="REVENUS"/>
    <x v="7"/>
    <s v="4184.000"/>
    <s v="Frais de poursuite"/>
    <n v="0"/>
    <n v="2462.94"/>
    <n v="4184"/>
  </r>
  <r>
    <x v="0"/>
    <x v="1"/>
    <x v="2"/>
    <x v="311"/>
    <x v="258"/>
    <x v="258"/>
    <s v="REVENUS"/>
    <x v="2"/>
    <s v="4001.002"/>
    <s v="Impôt complément s/revenu PP"/>
    <n v="0"/>
    <n v="491043.35"/>
    <n v="4001"/>
  </r>
  <r>
    <x v="0"/>
    <x v="1"/>
    <x v="2"/>
    <x v="311"/>
    <x v="258"/>
    <x v="258"/>
    <s v="REVENUS"/>
    <x v="3"/>
    <s v="4002.002"/>
    <s v="Impôt complémentaire s/fortune PP"/>
    <n v="0"/>
    <n v="172544.45"/>
    <n v="4002"/>
  </r>
  <r>
    <x v="0"/>
    <x v="1"/>
    <x v="2"/>
    <x v="311"/>
    <x v="258"/>
    <x v="258"/>
    <s v="REVENUS"/>
    <x v="9"/>
    <s v="4031.001"/>
    <s v="Impôt sur les gains immobiliers"/>
    <n v="0"/>
    <n v="55483.5"/>
    <n v="4031"/>
  </r>
  <r>
    <x v="0"/>
    <x v="1"/>
    <x v="2"/>
    <x v="311"/>
    <x v="258"/>
    <x v="258"/>
    <s v="REVENUS"/>
    <x v="3"/>
    <s v="4002.001"/>
    <s v="Impôt ordinaire s/fortune PP"/>
    <n v="0"/>
    <n v="3102.95"/>
    <n v="4002"/>
  </r>
  <r>
    <x v="0"/>
    <x v="1"/>
    <x v="2"/>
    <x v="311"/>
    <x v="258"/>
    <x v="258"/>
    <s v="REVENUS"/>
    <x v="3"/>
    <s v="4002.007"/>
    <s v="Acompte impôt sur fortune"/>
    <n v="0"/>
    <n v="1310.02"/>
    <n v="4002"/>
  </r>
  <r>
    <x v="0"/>
    <x v="1"/>
    <x v="2"/>
    <x v="311"/>
    <x v="258"/>
    <x v="258"/>
    <s v="REVENUS"/>
    <x v="2"/>
    <s v="4001.003"/>
    <s v="Impôt s/prest. cap. PP"/>
    <n v="0"/>
    <n v="73465.7"/>
    <n v="4001"/>
  </r>
  <r>
    <x v="0"/>
    <x v="1"/>
    <x v="2"/>
    <x v="311"/>
    <x v="258"/>
    <x v="258"/>
    <s v="REVENUS"/>
    <x v="10"/>
    <s v="4041.001"/>
    <s v="Droits de mutation"/>
    <n v="0"/>
    <n v="150183.85"/>
    <n v="4041"/>
  </r>
  <r>
    <x v="0"/>
    <x v="1"/>
    <x v="2"/>
    <x v="311"/>
    <x v="258"/>
    <x v="258"/>
    <s v="REVENUS"/>
    <x v="6"/>
    <s v="4221.002"/>
    <s v="Intérêts compensat. sur impôts distincts"/>
    <n v="0"/>
    <n v="18.96"/>
    <n v="4221"/>
  </r>
  <r>
    <x v="0"/>
    <x v="1"/>
    <x v="2"/>
    <x v="311"/>
    <x v="258"/>
    <x v="258"/>
    <s v="REVENUS"/>
    <x v="2"/>
    <s v="4001.007"/>
    <s v="Acompte impôt sur revenu"/>
    <n v="0"/>
    <n v="-3122.04"/>
    <n v="4001"/>
  </r>
  <r>
    <x v="0"/>
    <x v="1"/>
    <x v="2"/>
    <x v="311"/>
    <x v="258"/>
    <x v="258"/>
    <s v="REVENUS"/>
    <x v="2"/>
    <s v="4001.007"/>
    <s v="Acompte impôt sur revenu"/>
    <n v="0"/>
    <n v="1329"/>
    <n v="4001"/>
  </r>
  <r>
    <x v="0"/>
    <x v="1"/>
    <x v="2"/>
    <x v="311"/>
    <x v="258"/>
    <x v="258"/>
    <s v="REVENUS"/>
    <x v="2"/>
    <s v="4001.001"/>
    <s v="Impôt revenu"/>
    <n v="0"/>
    <n v="-43020.15"/>
    <n v="4001"/>
  </r>
  <r>
    <x v="0"/>
    <x v="1"/>
    <x v="2"/>
    <x v="311"/>
    <x v="258"/>
    <x v="258"/>
    <s v="REVENUS"/>
    <x v="6"/>
    <s v="4221.003"/>
    <s v="Intérêts compensat. / acomptes en faveur du fisc"/>
    <n v="0"/>
    <n v="-0.6"/>
    <n v="4221"/>
  </r>
  <r>
    <x v="0"/>
    <x v="1"/>
    <x v="2"/>
    <x v="311"/>
    <x v="258"/>
    <x v="258"/>
    <s v="REVENUS"/>
    <x v="2"/>
    <s v="4001.007"/>
    <s v="Acompte impôt sur revenu"/>
    <n v="0"/>
    <n v="-0.25"/>
    <n v="4001"/>
  </r>
  <r>
    <x v="0"/>
    <x v="1"/>
    <x v="2"/>
    <x v="311"/>
    <x v="258"/>
    <x v="258"/>
    <s v="REVENUS"/>
    <x v="3"/>
    <s v="4002.007"/>
    <s v="Acompte impôt sur fortune"/>
    <n v="0"/>
    <n v="0.05"/>
    <n v="4002"/>
  </r>
  <r>
    <x v="0"/>
    <x v="1"/>
    <x v="2"/>
    <x v="311"/>
    <x v="258"/>
    <x v="258"/>
    <s v="REVENUS"/>
    <x v="3"/>
    <s v="4002.001"/>
    <s v="Impôt ordinaire s/fortune PP"/>
    <n v="0"/>
    <n v="-18391.150000000001"/>
    <n v="4002"/>
  </r>
  <r>
    <x v="0"/>
    <x v="1"/>
    <x v="2"/>
    <x v="311"/>
    <x v="258"/>
    <x v="258"/>
    <s v="REVENUS"/>
    <x v="3"/>
    <s v="4002.007"/>
    <s v="Acompte impôt sur fortune"/>
    <n v="0"/>
    <n v="-96.6"/>
    <n v="4002"/>
  </r>
  <r>
    <x v="0"/>
    <x v="1"/>
    <x v="2"/>
    <x v="311"/>
    <x v="258"/>
    <x v="258"/>
    <s v="REVENUS"/>
    <x v="2"/>
    <s v="4001.007"/>
    <s v="Acompte impôt sur revenu"/>
    <n v="0"/>
    <n v="-199.15"/>
    <n v="4001"/>
  </r>
  <r>
    <x v="0"/>
    <x v="1"/>
    <x v="2"/>
    <x v="311"/>
    <x v="258"/>
    <x v="258"/>
    <s v="REVENUS"/>
    <x v="3"/>
    <s v="4002.001"/>
    <s v="Impôt ordinaire s/fortune PP"/>
    <n v="0"/>
    <n v="1399.8"/>
    <n v="4002"/>
  </r>
  <r>
    <x v="0"/>
    <x v="1"/>
    <x v="2"/>
    <x v="311"/>
    <x v="258"/>
    <x v="258"/>
    <s v="REVENUS"/>
    <x v="6"/>
    <s v="4221.003"/>
    <s v="Intérêts compensat. / acomptes en faveur du fisc"/>
    <n v="0"/>
    <n v="0.01"/>
    <n v="4221"/>
  </r>
  <r>
    <x v="0"/>
    <x v="1"/>
    <x v="2"/>
    <x v="311"/>
    <x v="258"/>
    <x v="258"/>
    <s v="REVENUS"/>
    <x v="2"/>
    <s v="4001.001"/>
    <s v="Impôt revenu"/>
    <n v="0"/>
    <n v="-2769.1"/>
    <n v="4001"/>
  </r>
  <r>
    <x v="0"/>
    <x v="1"/>
    <x v="2"/>
    <x v="311"/>
    <x v="258"/>
    <x v="258"/>
    <s v="REVENUS"/>
    <x v="3"/>
    <s v="4002.001"/>
    <s v="Impôt ordinaire s/fortune PP"/>
    <n v="0"/>
    <n v="-1344.25"/>
    <n v="4002"/>
  </r>
  <r>
    <x v="0"/>
    <x v="1"/>
    <x v="2"/>
    <x v="311"/>
    <x v="258"/>
    <x v="258"/>
    <s v="REVENUS"/>
    <x v="3"/>
    <s v="4002.007"/>
    <s v="Acompte impôt sur fortune"/>
    <n v="0"/>
    <n v="-100"/>
    <n v="4002"/>
  </r>
  <r>
    <x v="0"/>
    <x v="1"/>
    <x v="2"/>
    <x v="311"/>
    <x v="258"/>
    <x v="258"/>
    <s v="REVENUS"/>
    <x v="3"/>
    <s v="4002.007"/>
    <s v="Acompte impôt sur fortune"/>
    <n v="0"/>
    <n v="-1909.79"/>
    <n v="4002"/>
  </r>
  <r>
    <x v="0"/>
    <x v="1"/>
    <x v="2"/>
    <x v="311"/>
    <x v="258"/>
    <x v="258"/>
    <s v="REVENUS"/>
    <x v="2"/>
    <s v="4001.003"/>
    <s v="Impôt s/prest. cap. PP"/>
    <n v="0"/>
    <n v="-1979.15"/>
    <n v="4001"/>
  </r>
  <r>
    <x v="0"/>
    <x v="1"/>
    <x v="2"/>
    <x v="311"/>
    <x v="258"/>
    <x v="258"/>
    <s v="REVENUS"/>
    <x v="6"/>
    <s v="4211.002"/>
    <s v="Intérêts de retard sur acomptes"/>
    <n v="0"/>
    <n v="-121.42"/>
    <n v="4211"/>
  </r>
  <r>
    <x v="0"/>
    <x v="1"/>
    <x v="2"/>
    <x v="311"/>
    <x v="258"/>
    <x v="258"/>
    <s v="REVENUS"/>
    <x v="2"/>
    <s v="4001.007"/>
    <s v="Acompte impôt sur revenu"/>
    <n v="0"/>
    <n v="-1226.3699999999999"/>
    <n v="4001"/>
  </r>
  <r>
    <x v="0"/>
    <x v="1"/>
    <x v="2"/>
    <x v="311"/>
    <x v="258"/>
    <x v="258"/>
    <s v="REVENUS"/>
    <x v="3"/>
    <s v="4002.007"/>
    <s v="Acompte impôt sur fortune"/>
    <n v="0"/>
    <n v="-375.74"/>
    <n v="4002"/>
  </r>
  <r>
    <x v="0"/>
    <x v="1"/>
    <x v="2"/>
    <x v="311"/>
    <x v="258"/>
    <x v="258"/>
    <s v="REVENUS"/>
    <x v="2"/>
    <s v="4001.001"/>
    <s v="Impôt revenu"/>
    <n v="0"/>
    <n v="3934.8"/>
    <n v="4001"/>
  </r>
  <r>
    <x v="0"/>
    <x v="1"/>
    <x v="2"/>
    <x v="311"/>
    <x v="258"/>
    <x v="258"/>
    <s v="REVENUS"/>
    <x v="3"/>
    <s v="4002.001"/>
    <s v="Impôt ordinaire s/fortune PP"/>
    <n v="0"/>
    <n v="2504.15"/>
    <n v="4002"/>
  </r>
  <r>
    <x v="0"/>
    <x v="1"/>
    <x v="2"/>
    <x v="311"/>
    <x v="258"/>
    <x v="258"/>
    <s v="REVENUS"/>
    <x v="6"/>
    <s v="4221.003"/>
    <s v="Intérêts compensat. / acomptes en faveur du fisc"/>
    <n v="0"/>
    <n v="0.46"/>
    <n v="4221"/>
  </r>
  <r>
    <x v="0"/>
    <x v="1"/>
    <x v="2"/>
    <x v="311"/>
    <x v="258"/>
    <x v="258"/>
    <s v="REVENUS"/>
    <x v="6"/>
    <s v="4211.002"/>
    <s v="Intérêts de retard sur acomptes"/>
    <n v="0"/>
    <n v="0.96"/>
    <n v="4211"/>
  </r>
  <r>
    <x v="0"/>
    <x v="1"/>
    <x v="2"/>
    <x v="311"/>
    <x v="258"/>
    <x v="258"/>
    <s v="REVENUS"/>
    <x v="2"/>
    <s v="4001.001"/>
    <s v="Impôt revenu"/>
    <n v="0"/>
    <n v="1932.35"/>
    <n v="4001"/>
  </r>
  <r>
    <x v="0"/>
    <x v="1"/>
    <x v="2"/>
    <x v="311"/>
    <x v="258"/>
    <x v="258"/>
    <s v="REVENUS"/>
    <x v="6"/>
    <s v="4221.003"/>
    <s v="Intérêts compensat. / acomptes en faveur du fisc"/>
    <n v="0"/>
    <n v="0.81"/>
    <n v="4221"/>
  </r>
  <r>
    <x v="0"/>
    <x v="1"/>
    <x v="2"/>
    <x v="311"/>
    <x v="258"/>
    <x v="258"/>
    <s v="REVENUS"/>
    <x v="6"/>
    <s v="4211.002"/>
    <s v="Intérêts de retard sur acomptes"/>
    <n v="0"/>
    <n v="4.93"/>
    <n v="4211"/>
  </r>
  <r>
    <x v="0"/>
    <x v="1"/>
    <x v="2"/>
    <x v="311"/>
    <x v="258"/>
    <x v="258"/>
    <s v="REVENUS"/>
    <x v="2"/>
    <s v="4001.001"/>
    <s v="Impôt revenu"/>
    <n v="0"/>
    <n v="46.4"/>
    <n v="4001"/>
  </r>
  <r>
    <x v="0"/>
    <x v="1"/>
    <x v="2"/>
    <x v="311"/>
    <x v="258"/>
    <x v="258"/>
    <s v="REVENUS"/>
    <x v="3"/>
    <s v="4002.001"/>
    <s v="Impôt ordinaire s/fortune PP"/>
    <n v="0"/>
    <n v="45.95"/>
    <n v="4002"/>
  </r>
  <r>
    <x v="0"/>
    <x v="1"/>
    <x v="2"/>
    <x v="311"/>
    <x v="258"/>
    <x v="258"/>
    <s v="REVENUS"/>
    <x v="3"/>
    <s v="4002.001"/>
    <s v="Impôt ordinaire s/fortune PP"/>
    <n v="0"/>
    <n v="14.05"/>
    <n v="4002"/>
  </r>
  <r>
    <x v="0"/>
    <x v="1"/>
    <x v="2"/>
    <x v="311"/>
    <x v="258"/>
    <x v="258"/>
    <s v="REVENUS"/>
    <x v="5"/>
    <s v="4061.000"/>
    <s v="Impôt sur les chiens"/>
    <n v="0"/>
    <n v="2960"/>
    <n v="4061"/>
  </r>
  <r>
    <x v="0"/>
    <x v="1"/>
    <x v="2"/>
    <x v="311"/>
    <x v="258"/>
    <x v="258"/>
    <s v="REVENUS"/>
    <x v="6"/>
    <s v="4211.002"/>
    <s v="Intérêts de retard sur acomptes"/>
    <n v="0"/>
    <n v="0.12"/>
    <n v="4211"/>
  </r>
  <r>
    <x v="0"/>
    <x v="1"/>
    <x v="2"/>
    <x v="311"/>
    <x v="258"/>
    <x v="258"/>
    <s v="REVENUS"/>
    <x v="2"/>
    <s v="4001.007"/>
    <s v="Acompte impôt sur revenu"/>
    <n v="0"/>
    <n v="-112.6"/>
    <n v="4001"/>
  </r>
  <r>
    <x v="0"/>
    <x v="1"/>
    <x v="2"/>
    <x v="311"/>
    <x v="258"/>
    <x v="258"/>
    <s v="REVENUS"/>
    <x v="3"/>
    <s v="4002.007"/>
    <s v="Acompte impôt sur fortune"/>
    <n v="0"/>
    <n v="-136.05000000000001"/>
    <n v="4002"/>
  </r>
  <r>
    <x v="0"/>
    <x v="1"/>
    <x v="2"/>
    <x v="311"/>
    <x v="258"/>
    <x v="258"/>
    <s v="REVENUS"/>
    <x v="2"/>
    <s v="4001.001"/>
    <s v="Impôt revenu"/>
    <n v="0"/>
    <n v="61.1"/>
    <n v="4001"/>
  </r>
  <r>
    <x v="0"/>
    <x v="1"/>
    <x v="2"/>
    <x v="311"/>
    <x v="258"/>
    <x v="258"/>
    <s v="REVENUS"/>
    <x v="2"/>
    <s v="4001.007"/>
    <s v="Acompte impôt sur revenu"/>
    <n v="0"/>
    <n v="-51.6"/>
    <n v="4001"/>
  </r>
  <r>
    <x v="0"/>
    <x v="1"/>
    <x v="2"/>
    <x v="311"/>
    <x v="258"/>
    <x v="258"/>
    <s v="REVENUS"/>
    <x v="6"/>
    <s v="4211.001"/>
    <s v="Intérêts de retard sur factures"/>
    <n v="0"/>
    <n v="1.63"/>
    <n v="4211"/>
  </r>
  <r>
    <x v="0"/>
    <x v="1"/>
    <x v="2"/>
    <x v="311"/>
    <x v="258"/>
    <x v="258"/>
    <s v="REVENUS"/>
    <x v="6"/>
    <s v="4211.001"/>
    <s v="Intérêts de retard sur factures"/>
    <n v="0"/>
    <n v="0.01"/>
    <n v="4211"/>
  </r>
  <r>
    <x v="0"/>
    <x v="1"/>
    <x v="2"/>
    <x v="311"/>
    <x v="258"/>
    <x v="258"/>
    <s v="REVENUS"/>
    <x v="4"/>
    <s v="4051.001"/>
    <s v="Impôt sur les successions"/>
    <n v="0"/>
    <n v="7273.5"/>
    <n v="4051"/>
  </r>
  <r>
    <x v="0"/>
    <x v="1"/>
    <x v="2"/>
    <x v="311"/>
    <x v="258"/>
    <x v="258"/>
    <s v="REVENUS"/>
    <x v="2"/>
    <s v="4001.001"/>
    <s v="Impôt revenu"/>
    <n v="0"/>
    <n v="2171.8000000000002"/>
    <n v="4001"/>
  </r>
  <r>
    <x v="0"/>
    <x v="1"/>
    <x v="2"/>
    <x v="312"/>
    <x v="259"/>
    <x v="259"/>
    <s v="CHARGES"/>
    <x v="0"/>
    <s v="3212.002"/>
    <s v="Intérêts bonifiés/trop perçu acompte C/C"/>
    <n v="6.3"/>
    <n v="0"/>
    <n v="3212"/>
  </r>
  <r>
    <x v="0"/>
    <x v="1"/>
    <x v="2"/>
    <x v="312"/>
    <x v="259"/>
    <x v="259"/>
    <s v="CHARGES"/>
    <x v="0"/>
    <s v="3212.004"/>
    <s v="Intérêts rémun./perçu trop tôt sur acomptes C/C"/>
    <n v="339.53"/>
    <n v="0"/>
    <n v="3212"/>
  </r>
  <r>
    <x v="0"/>
    <x v="1"/>
    <x v="2"/>
    <x v="312"/>
    <x v="259"/>
    <x v="259"/>
    <s v="CHARGES"/>
    <x v="0"/>
    <s v="3221.002"/>
    <s v="Intérêts compensatoires / créances en faveur ctb."/>
    <n v="123.9"/>
    <n v="0"/>
    <n v="3221"/>
  </r>
  <r>
    <x v="0"/>
    <x v="1"/>
    <x v="2"/>
    <x v="312"/>
    <x v="259"/>
    <x v="259"/>
    <s v="CHARGES"/>
    <x v="1"/>
    <s v="3301.001"/>
    <s v="Défalcations, abandons de solde PP et IS"/>
    <n v="31098.86"/>
    <n v="0"/>
    <n v="3301"/>
  </r>
  <r>
    <x v="0"/>
    <x v="1"/>
    <x v="2"/>
    <x v="312"/>
    <x v="259"/>
    <x v="259"/>
    <s v="CHARGES"/>
    <x v="0"/>
    <s v="3212.004"/>
    <s v="Intérêts rémun./perçu trop tôt sur acomptes C/C"/>
    <n v="0.17"/>
    <n v="0"/>
    <n v="3212"/>
  </r>
  <r>
    <x v="0"/>
    <x v="1"/>
    <x v="2"/>
    <x v="312"/>
    <x v="259"/>
    <x v="259"/>
    <s v="CHARGES"/>
    <x v="0"/>
    <s v="3221.002"/>
    <s v="Intérêts compensatoires / créances en faveur ctb."/>
    <n v="0.11"/>
    <n v="0"/>
    <n v="3221"/>
  </r>
  <r>
    <x v="0"/>
    <x v="1"/>
    <x v="2"/>
    <x v="312"/>
    <x v="259"/>
    <x v="259"/>
    <s v="CHARGES"/>
    <x v="0"/>
    <s v="3212.004"/>
    <s v="Intérêts rémun./perçu trop tôt sur acomptes C/C"/>
    <n v="1.44"/>
    <n v="0"/>
    <n v="3212"/>
  </r>
  <r>
    <x v="0"/>
    <x v="1"/>
    <x v="2"/>
    <x v="312"/>
    <x v="259"/>
    <x v="259"/>
    <s v="CHARGES"/>
    <x v="0"/>
    <s v="3221.002"/>
    <s v="Intérêts compensatoires / créances en faveur ctb."/>
    <n v="1.1299999999999999"/>
    <n v="0"/>
    <n v="3221"/>
  </r>
  <r>
    <x v="0"/>
    <x v="1"/>
    <x v="2"/>
    <x v="312"/>
    <x v="259"/>
    <x v="259"/>
    <s v="CHARGES"/>
    <x v="0"/>
    <s v="3212.004"/>
    <s v="Intérêts rémun./perçu trop tôt sur acomptes C/C"/>
    <n v="0.05"/>
    <n v="0"/>
    <n v="3212"/>
  </r>
  <r>
    <x v="0"/>
    <x v="1"/>
    <x v="2"/>
    <x v="312"/>
    <x v="259"/>
    <x v="259"/>
    <s v="CHARGES"/>
    <x v="0"/>
    <s v="3221.002"/>
    <s v="Intérêts compensatoires / créances en faveur ctb."/>
    <n v="0.01"/>
    <n v="0"/>
    <n v="3221"/>
  </r>
  <r>
    <x v="0"/>
    <x v="1"/>
    <x v="2"/>
    <x v="312"/>
    <x v="259"/>
    <x v="259"/>
    <s v="CHARGES"/>
    <x v="1"/>
    <s v="3301.001"/>
    <s v="Défalcations, abandons de solde PP et IS"/>
    <n v="0.45"/>
    <n v="0"/>
    <n v="3301"/>
  </r>
  <r>
    <x v="0"/>
    <x v="1"/>
    <x v="2"/>
    <x v="312"/>
    <x v="259"/>
    <x v="259"/>
    <s v="CHARGES"/>
    <x v="0"/>
    <s v="3212.004"/>
    <s v="Intérêts rémun./perçu trop tôt sur acomptes C/C"/>
    <n v="0.34"/>
    <n v="0"/>
    <n v="3212"/>
  </r>
  <r>
    <x v="0"/>
    <x v="1"/>
    <x v="2"/>
    <x v="312"/>
    <x v="259"/>
    <x v="259"/>
    <s v="CHARGES"/>
    <x v="0"/>
    <s v="3221.002"/>
    <s v="Intérêts compensatoires / créances en faveur ctb."/>
    <n v="0.28999999999999998"/>
    <n v="0"/>
    <n v="3221"/>
  </r>
  <r>
    <x v="0"/>
    <x v="1"/>
    <x v="2"/>
    <x v="312"/>
    <x v="259"/>
    <x v="259"/>
    <s v="CHARGES"/>
    <x v="1"/>
    <s v="3301.001"/>
    <s v="Défalcations, abandons de solde PP et IS"/>
    <n v="6983.54"/>
    <n v="0"/>
    <n v="3301"/>
  </r>
  <r>
    <x v="0"/>
    <x v="1"/>
    <x v="2"/>
    <x v="312"/>
    <x v="259"/>
    <x v="259"/>
    <s v="CHARGES"/>
    <x v="0"/>
    <s v="3221.002"/>
    <s v="Intérêts compensatoires / créances en faveur ctb."/>
    <n v="0.56999999999999995"/>
    <n v="0"/>
    <n v="3221"/>
  </r>
  <r>
    <x v="0"/>
    <x v="1"/>
    <x v="2"/>
    <x v="312"/>
    <x v="259"/>
    <x v="259"/>
    <s v="CHARGES"/>
    <x v="0"/>
    <s v="3212.004"/>
    <s v="Intérêts rémun./perçu trop tôt sur acomptes C/C"/>
    <n v="-0.56000000000000005"/>
    <n v="0"/>
    <n v="3212"/>
  </r>
  <r>
    <x v="0"/>
    <x v="1"/>
    <x v="2"/>
    <x v="312"/>
    <x v="259"/>
    <x v="259"/>
    <s v="CHARGES"/>
    <x v="1"/>
    <s v="3301.001"/>
    <s v="Défalcations, abandons de solde PP et IS"/>
    <n v="-3.95"/>
    <n v="0"/>
    <n v="3301"/>
  </r>
  <r>
    <x v="0"/>
    <x v="1"/>
    <x v="2"/>
    <x v="312"/>
    <x v="259"/>
    <x v="259"/>
    <s v="CHARGES"/>
    <x v="0"/>
    <s v="3212.002"/>
    <s v="Intérêts bonifiés/trop perçu acompte C/C"/>
    <n v="0.02"/>
    <n v="0"/>
    <n v="3212"/>
  </r>
  <r>
    <x v="0"/>
    <x v="1"/>
    <x v="2"/>
    <x v="312"/>
    <x v="259"/>
    <x v="259"/>
    <s v="REVENUS"/>
    <x v="2"/>
    <s v="4001.001"/>
    <s v="Impôt revenu"/>
    <n v="0"/>
    <n v="1284031"/>
    <n v="4001"/>
  </r>
  <r>
    <x v="0"/>
    <x v="1"/>
    <x v="2"/>
    <x v="312"/>
    <x v="259"/>
    <x v="259"/>
    <s v="REVENUS"/>
    <x v="2"/>
    <s v="4001.007"/>
    <s v="Acompte impôt sur revenu"/>
    <n v="0"/>
    <n v="189347.62"/>
    <n v="4001"/>
  </r>
  <r>
    <x v="0"/>
    <x v="1"/>
    <x v="2"/>
    <x v="312"/>
    <x v="259"/>
    <x v="259"/>
    <s v="REVENUS"/>
    <x v="3"/>
    <s v="4002.001"/>
    <s v="Impôt ordinaire s/fortune PP"/>
    <n v="0"/>
    <n v="181480.75"/>
    <n v="4002"/>
  </r>
  <r>
    <x v="0"/>
    <x v="1"/>
    <x v="2"/>
    <x v="312"/>
    <x v="259"/>
    <x v="259"/>
    <s v="REVENUS"/>
    <x v="3"/>
    <s v="4002.007"/>
    <s v="Acompte impôt sur fortune"/>
    <n v="0"/>
    <n v="-56273.99"/>
    <n v="4002"/>
  </r>
  <r>
    <x v="0"/>
    <x v="1"/>
    <x v="2"/>
    <x v="312"/>
    <x v="259"/>
    <x v="259"/>
    <s v="REVENUS"/>
    <x v="6"/>
    <s v="4211.001"/>
    <s v="Intérêts de retard sur factures"/>
    <n v="0"/>
    <n v="6702.53"/>
    <n v="4211"/>
  </r>
  <r>
    <x v="0"/>
    <x v="1"/>
    <x v="2"/>
    <x v="312"/>
    <x v="259"/>
    <x v="259"/>
    <s v="REVENUS"/>
    <x v="7"/>
    <s v="4184.000"/>
    <s v="Frais de poursuite"/>
    <n v="0"/>
    <n v="4144.59"/>
    <n v="4184"/>
  </r>
  <r>
    <x v="0"/>
    <x v="1"/>
    <x v="2"/>
    <x v="312"/>
    <x v="259"/>
    <x v="259"/>
    <s v="REVENUS"/>
    <x v="2"/>
    <s v="4001.001"/>
    <s v="Impôt revenu"/>
    <n v="0"/>
    <n v="0"/>
    <n v="4001"/>
  </r>
  <r>
    <x v="0"/>
    <x v="1"/>
    <x v="2"/>
    <x v="312"/>
    <x v="259"/>
    <x v="259"/>
    <s v="REVENUS"/>
    <x v="3"/>
    <s v="4002.001"/>
    <s v="Impôt ordinaire s/fortune PP"/>
    <n v="0"/>
    <n v="677.1"/>
    <n v="4002"/>
  </r>
  <r>
    <x v="0"/>
    <x v="1"/>
    <x v="2"/>
    <x v="312"/>
    <x v="259"/>
    <x v="259"/>
    <s v="REVENUS"/>
    <x v="2"/>
    <s v="4001.001"/>
    <s v="Impôt revenu"/>
    <n v="0"/>
    <n v="1702.25"/>
    <n v="4001"/>
  </r>
  <r>
    <x v="0"/>
    <x v="1"/>
    <x v="2"/>
    <x v="312"/>
    <x v="259"/>
    <x v="259"/>
    <s v="REVENUS"/>
    <x v="2"/>
    <s v="4001.007"/>
    <s v="Acompte impôt sur revenu"/>
    <n v="0"/>
    <n v="-482.65"/>
    <n v="4001"/>
  </r>
  <r>
    <x v="0"/>
    <x v="1"/>
    <x v="2"/>
    <x v="312"/>
    <x v="259"/>
    <x v="259"/>
    <s v="REVENUS"/>
    <x v="3"/>
    <s v="4002.001"/>
    <s v="Impôt ordinaire s/fortune PP"/>
    <n v="0"/>
    <n v="1688.55"/>
    <n v="4002"/>
  </r>
  <r>
    <x v="0"/>
    <x v="1"/>
    <x v="2"/>
    <x v="312"/>
    <x v="259"/>
    <x v="259"/>
    <s v="REVENUS"/>
    <x v="3"/>
    <s v="4002.007"/>
    <s v="Acompte impôt sur fortune"/>
    <n v="0"/>
    <n v="-763.02"/>
    <n v="4002"/>
  </r>
  <r>
    <x v="0"/>
    <x v="1"/>
    <x v="2"/>
    <x v="312"/>
    <x v="259"/>
    <x v="259"/>
    <s v="REVENUS"/>
    <x v="6"/>
    <s v="4211.002"/>
    <s v="Intérêts de retard sur acomptes"/>
    <n v="0"/>
    <n v="11274.85"/>
    <n v="4211"/>
  </r>
  <r>
    <x v="0"/>
    <x v="1"/>
    <x v="2"/>
    <x v="312"/>
    <x v="259"/>
    <x v="259"/>
    <s v="REVENUS"/>
    <x v="6"/>
    <s v="4221.003"/>
    <s v="Intérêts compensat. / acomptes en faveur du fisc"/>
    <n v="0"/>
    <n v="-35.11"/>
    <n v="4221"/>
  </r>
  <r>
    <x v="0"/>
    <x v="1"/>
    <x v="2"/>
    <x v="312"/>
    <x v="259"/>
    <x v="259"/>
    <s v="REVENUS"/>
    <x v="2"/>
    <s v="4001.003"/>
    <s v="Impôt s/prest. cap. PP"/>
    <n v="0"/>
    <n v="29488.75"/>
    <n v="4001"/>
  </r>
  <r>
    <x v="0"/>
    <x v="1"/>
    <x v="2"/>
    <x v="312"/>
    <x v="259"/>
    <x v="259"/>
    <s v="REVENUS"/>
    <x v="2"/>
    <s v="4001.002"/>
    <s v="Impôt complément s/revenu PP"/>
    <n v="0"/>
    <n v="270370.2"/>
    <n v="4001"/>
  </r>
  <r>
    <x v="0"/>
    <x v="1"/>
    <x v="2"/>
    <x v="312"/>
    <x v="259"/>
    <x v="259"/>
    <s v="REVENUS"/>
    <x v="3"/>
    <s v="4002.002"/>
    <s v="Impôt complémentaire s/fortune PP"/>
    <n v="0"/>
    <n v="148682.4"/>
    <n v="4002"/>
  </r>
  <r>
    <x v="0"/>
    <x v="1"/>
    <x v="2"/>
    <x v="312"/>
    <x v="259"/>
    <x v="259"/>
    <s v="REVENUS"/>
    <x v="12"/>
    <s v="4004.007"/>
    <s v="Acompte spécial étrangers"/>
    <n v="0"/>
    <n v="125999.94"/>
    <n v="4004"/>
  </r>
  <r>
    <x v="0"/>
    <x v="1"/>
    <x v="2"/>
    <x v="312"/>
    <x v="259"/>
    <x v="259"/>
    <s v="REVENUS"/>
    <x v="10"/>
    <s v="4041.001"/>
    <s v="Droits de mutation"/>
    <n v="0"/>
    <n v="63047"/>
    <n v="4041"/>
  </r>
  <r>
    <x v="0"/>
    <x v="1"/>
    <x v="2"/>
    <x v="312"/>
    <x v="259"/>
    <x v="259"/>
    <s v="REVENUS"/>
    <x v="3"/>
    <s v="4002.007"/>
    <s v="Acompte impôt sur fortune"/>
    <n v="0"/>
    <n v="-71.75"/>
    <n v="4002"/>
  </r>
  <r>
    <x v="0"/>
    <x v="1"/>
    <x v="2"/>
    <x v="312"/>
    <x v="259"/>
    <x v="259"/>
    <s v="REVENUS"/>
    <x v="6"/>
    <s v="4221.002"/>
    <s v="Intérêts compensat. sur impôts distincts"/>
    <n v="0"/>
    <n v="20.78"/>
    <n v="4221"/>
  </r>
  <r>
    <x v="0"/>
    <x v="1"/>
    <x v="2"/>
    <x v="312"/>
    <x v="259"/>
    <x v="259"/>
    <s v="REVENUS"/>
    <x v="3"/>
    <s v="4002.007"/>
    <s v="Acompte impôt sur fortune"/>
    <n v="0"/>
    <n v="0"/>
    <n v="4002"/>
  </r>
  <r>
    <x v="0"/>
    <x v="1"/>
    <x v="2"/>
    <x v="312"/>
    <x v="259"/>
    <x v="259"/>
    <s v="REVENUS"/>
    <x v="2"/>
    <s v="4001.007"/>
    <s v="Acompte impôt sur revenu"/>
    <n v="0"/>
    <n v="-4367"/>
    <n v="4001"/>
  </r>
  <r>
    <x v="0"/>
    <x v="1"/>
    <x v="2"/>
    <x v="312"/>
    <x v="259"/>
    <x v="259"/>
    <s v="REVENUS"/>
    <x v="3"/>
    <s v="4002.007"/>
    <s v="Acompte impôt sur fortune"/>
    <n v="0"/>
    <n v="-730.15"/>
    <n v="4002"/>
  </r>
  <r>
    <x v="0"/>
    <x v="1"/>
    <x v="2"/>
    <x v="312"/>
    <x v="259"/>
    <x v="259"/>
    <s v="REVENUS"/>
    <x v="3"/>
    <s v="4002.007"/>
    <s v="Acompte impôt sur fortune"/>
    <n v="0"/>
    <n v="-1.1499999999999999"/>
    <n v="4002"/>
  </r>
  <r>
    <x v="0"/>
    <x v="1"/>
    <x v="2"/>
    <x v="312"/>
    <x v="259"/>
    <x v="259"/>
    <s v="REVENUS"/>
    <x v="3"/>
    <s v="4002.002"/>
    <s v="Impôt complémentaire s/fortune PP"/>
    <n v="0"/>
    <n v="33.1"/>
    <n v="4002"/>
  </r>
  <r>
    <x v="0"/>
    <x v="1"/>
    <x v="2"/>
    <x v="312"/>
    <x v="259"/>
    <x v="259"/>
    <s v="REVENUS"/>
    <x v="2"/>
    <s v="4001.007"/>
    <s v="Acompte impôt sur revenu"/>
    <n v="0"/>
    <n v="-88.85"/>
    <n v="4001"/>
  </r>
  <r>
    <x v="0"/>
    <x v="1"/>
    <x v="2"/>
    <x v="312"/>
    <x v="259"/>
    <x v="259"/>
    <s v="REVENUS"/>
    <x v="3"/>
    <s v="4002.001"/>
    <s v="Impôt ordinaire s/fortune PP"/>
    <n v="0"/>
    <n v="66.3"/>
    <n v="4002"/>
  </r>
  <r>
    <x v="0"/>
    <x v="1"/>
    <x v="2"/>
    <x v="312"/>
    <x v="259"/>
    <x v="259"/>
    <s v="REVENUS"/>
    <x v="6"/>
    <s v="4221.003"/>
    <s v="Intérêts compensat. / acomptes en faveur du fisc"/>
    <n v="0"/>
    <n v="0.45"/>
    <n v="4221"/>
  </r>
  <r>
    <x v="0"/>
    <x v="1"/>
    <x v="2"/>
    <x v="312"/>
    <x v="259"/>
    <x v="259"/>
    <s v="REVENUS"/>
    <x v="6"/>
    <s v="4211.002"/>
    <s v="Intérêts de retard sur acomptes"/>
    <n v="0"/>
    <n v="0.14000000000000001"/>
    <n v="4211"/>
  </r>
  <r>
    <x v="0"/>
    <x v="1"/>
    <x v="2"/>
    <x v="312"/>
    <x v="259"/>
    <x v="259"/>
    <s v="REVENUS"/>
    <x v="2"/>
    <s v="4001.001"/>
    <s v="Impôt revenu"/>
    <n v="0"/>
    <n v="882.55"/>
    <n v="4001"/>
  </r>
  <r>
    <x v="0"/>
    <x v="1"/>
    <x v="2"/>
    <x v="312"/>
    <x v="259"/>
    <x v="259"/>
    <s v="REVENUS"/>
    <x v="3"/>
    <s v="4002.001"/>
    <s v="Impôt ordinaire s/fortune PP"/>
    <n v="0"/>
    <n v="1620.75"/>
    <n v="4002"/>
  </r>
  <r>
    <x v="0"/>
    <x v="1"/>
    <x v="2"/>
    <x v="312"/>
    <x v="259"/>
    <x v="259"/>
    <s v="REVENUS"/>
    <x v="5"/>
    <s v="4061.000"/>
    <s v="Impôt sur les chiens"/>
    <n v="0"/>
    <n v="2670"/>
    <n v="4061"/>
  </r>
  <r>
    <x v="0"/>
    <x v="1"/>
    <x v="2"/>
    <x v="312"/>
    <x v="259"/>
    <x v="259"/>
    <s v="REVENUS"/>
    <x v="4"/>
    <s v="4051.001"/>
    <s v="Impôt sur les successions"/>
    <n v="0"/>
    <n v="19001.400000000001"/>
    <n v="4051"/>
  </r>
  <r>
    <x v="0"/>
    <x v="1"/>
    <x v="2"/>
    <x v="312"/>
    <x v="259"/>
    <x v="259"/>
    <s v="REVENUS"/>
    <x v="7"/>
    <s v="4184.000"/>
    <s v="Frais de poursuite"/>
    <n v="0"/>
    <n v="156.06"/>
    <n v="4184"/>
  </r>
  <r>
    <x v="0"/>
    <x v="1"/>
    <x v="2"/>
    <x v="312"/>
    <x v="259"/>
    <x v="259"/>
    <s v="REVENUS"/>
    <x v="2"/>
    <s v="4001.001"/>
    <s v="Impôt revenu"/>
    <n v="0"/>
    <n v="-8408.75"/>
    <n v="4001"/>
  </r>
  <r>
    <x v="0"/>
    <x v="1"/>
    <x v="2"/>
    <x v="312"/>
    <x v="259"/>
    <x v="259"/>
    <s v="REVENUS"/>
    <x v="6"/>
    <s v="4211.002"/>
    <s v="Intérêts de retard sur acomptes"/>
    <n v="0"/>
    <n v="0.01"/>
    <n v="4211"/>
  </r>
  <r>
    <x v="0"/>
    <x v="1"/>
    <x v="2"/>
    <x v="312"/>
    <x v="259"/>
    <x v="259"/>
    <s v="REVENUS"/>
    <x v="6"/>
    <s v="4221.003"/>
    <s v="Intérêts compensat. / acomptes en faveur du fisc"/>
    <n v="0"/>
    <n v="-0.67"/>
    <n v="4221"/>
  </r>
  <r>
    <x v="0"/>
    <x v="1"/>
    <x v="2"/>
    <x v="312"/>
    <x v="259"/>
    <x v="259"/>
    <s v="REVENUS"/>
    <x v="2"/>
    <s v="4001.007"/>
    <s v="Acompte impôt sur revenu"/>
    <n v="0"/>
    <n v="-85.8"/>
    <n v="4001"/>
  </r>
  <r>
    <x v="0"/>
    <x v="1"/>
    <x v="2"/>
    <x v="312"/>
    <x v="259"/>
    <x v="259"/>
    <s v="REVENUS"/>
    <x v="3"/>
    <s v="4002.007"/>
    <s v="Acompte impôt sur fortune"/>
    <n v="0"/>
    <n v="-29.25"/>
    <n v="4002"/>
  </r>
  <r>
    <x v="0"/>
    <x v="1"/>
    <x v="2"/>
    <x v="312"/>
    <x v="259"/>
    <x v="259"/>
    <s v="REVENUS"/>
    <x v="6"/>
    <s v="4211.002"/>
    <s v="Intérêts de retard sur acomptes"/>
    <n v="0"/>
    <n v="7.71"/>
    <n v="4211"/>
  </r>
  <r>
    <x v="0"/>
    <x v="1"/>
    <x v="2"/>
    <x v="312"/>
    <x v="259"/>
    <x v="259"/>
    <s v="REVENUS"/>
    <x v="9"/>
    <s v="4031.001"/>
    <s v="Impôt sur les gains immobiliers"/>
    <n v="0"/>
    <n v="21161.9"/>
    <n v="4031"/>
  </r>
  <r>
    <x v="0"/>
    <x v="1"/>
    <x v="2"/>
    <x v="312"/>
    <x v="259"/>
    <x v="259"/>
    <s v="REVENUS"/>
    <x v="3"/>
    <s v="4002.001"/>
    <s v="Impôt ordinaire s/fortune PP"/>
    <n v="0"/>
    <n v="-4617"/>
    <n v="4002"/>
  </r>
  <r>
    <x v="0"/>
    <x v="1"/>
    <x v="2"/>
    <x v="312"/>
    <x v="259"/>
    <x v="259"/>
    <s v="REVENUS"/>
    <x v="2"/>
    <s v="4001.001"/>
    <s v="Impôt revenu"/>
    <n v="0"/>
    <n v="28.35"/>
    <n v="4001"/>
  </r>
  <r>
    <x v="0"/>
    <x v="1"/>
    <x v="2"/>
    <x v="312"/>
    <x v="259"/>
    <x v="259"/>
    <s v="REVENUS"/>
    <x v="6"/>
    <s v="4211.002"/>
    <s v="Intérêts de retard sur acomptes"/>
    <n v="0"/>
    <n v="0.06"/>
    <n v="4211"/>
  </r>
  <r>
    <x v="0"/>
    <x v="1"/>
    <x v="2"/>
    <x v="312"/>
    <x v="259"/>
    <x v="259"/>
    <s v="REVENUS"/>
    <x v="12"/>
    <s v="4004.000"/>
    <s v="Impôt spécial étrangers"/>
    <n v="0"/>
    <n v="50046.9"/>
    <n v="4004"/>
  </r>
  <r>
    <x v="0"/>
    <x v="1"/>
    <x v="2"/>
    <x v="313"/>
    <x v="260"/>
    <x v="260"/>
    <s v="CHARGES"/>
    <x v="0"/>
    <s v="3212.002"/>
    <s v="Intérêts bonifiés/trop perçu acompte C/C"/>
    <n v="119.77"/>
    <n v="0"/>
    <n v="3212"/>
  </r>
  <r>
    <x v="0"/>
    <x v="1"/>
    <x v="2"/>
    <x v="313"/>
    <x v="260"/>
    <x v="260"/>
    <s v="CHARGES"/>
    <x v="0"/>
    <s v="3212.004"/>
    <s v="Intérêts rémun./perçu trop tôt sur acomptes C/C"/>
    <n v="1147.02"/>
    <n v="0"/>
    <n v="3212"/>
  </r>
  <r>
    <x v="0"/>
    <x v="1"/>
    <x v="2"/>
    <x v="313"/>
    <x v="260"/>
    <x v="260"/>
    <s v="CHARGES"/>
    <x v="0"/>
    <s v="3221.002"/>
    <s v="Intérêts compensatoires / créances en faveur ctb."/>
    <n v="576.41999999999996"/>
    <n v="0"/>
    <n v="3221"/>
  </r>
  <r>
    <x v="0"/>
    <x v="1"/>
    <x v="2"/>
    <x v="313"/>
    <x v="260"/>
    <x v="260"/>
    <s v="CHARGES"/>
    <x v="1"/>
    <s v="3301.001"/>
    <s v="Défalcations, abandons de solde PP et IS"/>
    <n v="35590.720000000001"/>
    <n v="0"/>
    <n v="3301"/>
  </r>
  <r>
    <x v="0"/>
    <x v="1"/>
    <x v="2"/>
    <x v="313"/>
    <x v="260"/>
    <x v="260"/>
    <s v="CHARGES"/>
    <x v="0"/>
    <s v="3212.002"/>
    <s v="Intérêts bonifiés/trop perçu acompte C/C"/>
    <n v="1.27"/>
    <n v="0"/>
    <n v="3212"/>
  </r>
  <r>
    <x v="0"/>
    <x v="1"/>
    <x v="2"/>
    <x v="313"/>
    <x v="260"/>
    <x v="260"/>
    <s v="CHARGES"/>
    <x v="0"/>
    <s v="3212.004"/>
    <s v="Intérêts rémun./perçu trop tôt sur acomptes C/C"/>
    <n v="-0.96"/>
    <n v="0"/>
    <n v="3212"/>
  </r>
  <r>
    <x v="0"/>
    <x v="1"/>
    <x v="2"/>
    <x v="313"/>
    <x v="260"/>
    <x v="260"/>
    <s v="CHARGES"/>
    <x v="0"/>
    <s v="3212.004"/>
    <s v="Intérêts rémun./perçu trop tôt sur acomptes C/C"/>
    <n v="4.34"/>
    <n v="0"/>
    <n v="3212"/>
  </r>
  <r>
    <x v="0"/>
    <x v="1"/>
    <x v="2"/>
    <x v="313"/>
    <x v="260"/>
    <x v="260"/>
    <s v="CHARGES"/>
    <x v="0"/>
    <s v="3221.002"/>
    <s v="Intérêts compensatoires / créances en faveur ctb."/>
    <n v="2.79"/>
    <n v="0"/>
    <n v="3221"/>
  </r>
  <r>
    <x v="0"/>
    <x v="1"/>
    <x v="2"/>
    <x v="313"/>
    <x v="260"/>
    <x v="260"/>
    <s v="CHARGES"/>
    <x v="0"/>
    <s v="3212.002"/>
    <s v="Intérêts bonifiés/trop perçu acompte C/C"/>
    <n v="-62.47"/>
    <n v="0"/>
    <n v="3212"/>
  </r>
  <r>
    <x v="0"/>
    <x v="1"/>
    <x v="2"/>
    <x v="313"/>
    <x v="260"/>
    <x v="260"/>
    <s v="CHARGES"/>
    <x v="0"/>
    <s v="3212.004"/>
    <s v="Intérêts rémun./perçu trop tôt sur acomptes C/C"/>
    <n v="-25.04"/>
    <n v="0"/>
    <n v="3212"/>
  </r>
  <r>
    <x v="0"/>
    <x v="1"/>
    <x v="2"/>
    <x v="313"/>
    <x v="260"/>
    <x v="260"/>
    <s v="CHARGES"/>
    <x v="1"/>
    <s v="3301.003"/>
    <s v="Remises PP et IS"/>
    <n v="4482.74"/>
    <n v="0"/>
    <n v="3301"/>
  </r>
  <r>
    <x v="0"/>
    <x v="1"/>
    <x v="2"/>
    <x v="313"/>
    <x v="260"/>
    <x v="260"/>
    <s v="CHARGES"/>
    <x v="0"/>
    <s v="3221.002"/>
    <s v="Intérêts compensatoires / créances en faveur ctb."/>
    <n v="-2.4"/>
    <n v="0"/>
    <n v="3221"/>
  </r>
  <r>
    <x v="0"/>
    <x v="1"/>
    <x v="2"/>
    <x v="313"/>
    <x v="260"/>
    <x v="260"/>
    <s v="CHARGES"/>
    <x v="1"/>
    <s v="3301.001"/>
    <s v="Défalcations, abandons de solde PP et IS"/>
    <n v="-14.11"/>
    <n v="0"/>
    <n v="3301"/>
  </r>
  <r>
    <x v="0"/>
    <x v="1"/>
    <x v="2"/>
    <x v="313"/>
    <x v="260"/>
    <x v="260"/>
    <s v="CHARGES"/>
    <x v="0"/>
    <s v="3212.002"/>
    <s v="Intérêts bonifiés/trop perçu acompte C/C"/>
    <n v="0.06"/>
    <n v="0"/>
    <n v="3212"/>
  </r>
  <r>
    <x v="0"/>
    <x v="1"/>
    <x v="2"/>
    <x v="313"/>
    <x v="260"/>
    <x v="260"/>
    <s v="CHARGES"/>
    <x v="1"/>
    <s v="3301.001"/>
    <s v="Défalcations, abandons de solde PP et IS"/>
    <n v="-0.02"/>
    <n v="0"/>
    <n v="3301"/>
  </r>
  <r>
    <x v="0"/>
    <x v="1"/>
    <x v="2"/>
    <x v="313"/>
    <x v="260"/>
    <x v="260"/>
    <s v="CHARGES"/>
    <x v="0"/>
    <s v="3221.002"/>
    <s v="Intérêts compensatoires / créances en faveur ctb."/>
    <n v="0.01"/>
    <n v="0"/>
    <n v="3221"/>
  </r>
  <r>
    <x v="0"/>
    <x v="1"/>
    <x v="2"/>
    <x v="313"/>
    <x v="260"/>
    <x v="260"/>
    <s v="CHARGES"/>
    <x v="0"/>
    <s v="3212.004"/>
    <s v="Intérêts rémun./perçu trop tôt sur acomptes C/C"/>
    <n v="-0.28999999999999998"/>
    <n v="0"/>
    <n v="3212"/>
  </r>
  <r>
    <x v="0"/>
    <x v="1"/>
    <x v="2"/>
    <x v="313"/>
    <x v="260"/>
    <x v="260"/>
    <s v="CHARGES"/>
    <x v="0"/>
    <s v="3221.002"/>
    <s v="Intérêts compensatoires / créances en faveur ctb."/>
    <n v="-0.08"/>
    <n v="0"/>
    <n v="3221"/>
  </r>
  <r>
    <x v="0"/>
    <x v="1"/>
    <x v="2"/>
    <x v="313"/>
    <x v="260"/>
    <x v="260"/>
    <s v="CHARGES"/>
    <x v="1"/>
    <s v="3301.001"/>
    <s v="Défalcations, abandons de solde PP et IS"/>
    <n v="16643.75"/>
    <n v="0"/>
    <n v="3301"/>
  </r>
  <r>
    <x v="0"/>
    <x v="1"/>
    <x v="2"/>
    <x v="313"/>
    <x v="260"/>
    <x v="260"/>
    <s v="CHARGES"/>
    <x v="0"/>
    <s v="3212.004"/>
    <s v="Intérêts rémun./perçu trop tôt sur acomptes C/C"/>
    <n v="0.02"/>
    <n v="0"/>
    <n v="3212"/>
  </r>
  <r>
    <x v="0"/>
    <x v="1"/>
    <x v="2"/>
    <x v="313"/>
    <x v="260"/>
    <x v="260"/>
    <s v="CHARGES"/>
    <x v="1"/>
    <s v="3301.001"/>
    <s v="Défalcations, abandons de solde PP et IS"/>
    <n v="39.119999999999997"/>
    <n v="0"/>
    <n v="3301"/>
  </r>
  <r>
    <x v="0"/>
    <x v="1"/>
    <x v="2"/>
    <x v="313"/>
    <x v="260"/>
    <x v="260"/>
    <s v="CHARGES"/>
    <x v="1"/>
    <s v="3301.001"/>
    <s v="Défalcations, abandons de solde PP et IS"/>
    <n v="0.04"/>
    <n v="0"/>
    <n v="3301"/>
  </r>
  <r>
    <x v="0"/>
    <x v="1"/>
    <x v="2"/>
    <x v="313"/>
    <x v="260"/>
    <x v="260"/>
    <s v="CHARGES"/>
    <x v="0"/>
    <s v="3212.002"/>
    <s v="Intérêts bonifiés/trop perçu acompte C/C"/>
    <n v="63.1"/>
    <n v="0"/>
    <n v="3212"/>
  </r>
  <r>
    <x v="0"/>
    <x v="1"/>
    <x v="2"/>
    <x v="313"/>
    <x v="260"/>
    <x v="260"/>
    <s v="CHARGES"/>
    <x v="1"/>
    <s v="3301.001"/>
    <s v="Défalcations, abandons de solde PP et IS"/>
    <n v="0.03"/>
    <n v="0"/>
    <n v="3301"/>
  </r>
  <r>
    <x v="0"/>
    <x v="1"/>
    <x v="2"/>
    <x v="313"/>
    <x v="260"/>
    <x v="260"/>
    <s v="CHARGES"/>
    <x v="0"/>
    <s v="3221.002"/>
    <s v="Intérêts compensatoires / créances en faveur ctb."/>
    <n v="-1.32"/>
    <n v="0"/>
    <n v="3221"/>
  </r>
  <r>
    <x v="0"/>
    <x v="1"/>
    <x v="2"/>
    <x v="313"/>
    <x v="260"/>
    <x v="260"/>
    <s v="CHARGES"/>
    <x v="1"/>
    <s v="3301.001"/>
    <s v="Défalcations, abandons de solde PP et IS"/>
    <n v="-7.0000000000000007E-2"/>
    <n v="0"/>
    <n v="3301"/>
  </r>
  <r>
    <x v="0"/>
    <x v="1"/>
    <x v="2"/>
    <x v="313"/>
    <x v="260"/>
    <x v="260"/>
    <s v="REVENUS"/>
    <x v="6"/>
    <s v="4211.001"/>
    <s v="Intérêts de retard sur factures"/>
    <n v="0"/>
    <n v="25155.13"/>
    <n v="4211"/>
  </r>
  <r>
    <x v="0"/>
    <x v="1"/>
    <x v="2"/>
    <x v="313"/>
    <x v="260"/>
    <x v="260"/>
    <s v="REVENUS"/>
    <x v="2"/>
    <s v="4001.001"/>
    <s v="Impôt revenu"/>
    <n v="0"/>
    <n v="5113459.8499999996"/>
    <n v="4001"/>
  </r>
  <r>
    <x v="0"/>
    <x v="1"/>
    <x v="2"/>
    <x v="313"/>
    <x v="260"/>
    <x v="260"/>
    <s v="REVENUS"/>
    <x v="2"/>
    <s v="4001.007"/>
    <s v="Acompte impôt sur revenu"/>
    <n v="0"/>
    <n v="405179.65"/>
    <n v="4001"/>
  </r>
  <r>
    <x v="0"/>
    <x v="1"/>
    <x v="2"/>
    <x v="313"/>
    <x v="260"/>
    <x v="260"/>
    <s v="REVENUS"/>
    <x v="3"/>
    <s v="4002.001"/>
    <s v="Impôt ordinaire s/fortune PP"/>
    <n v="0"/>
    <n v="1166127.3500000001"/>
    <n v="4002"/>
  </r>
  <r>
    <x v="0"/>
    <x v="1"/>
    <x v="2"/>
    <x v="313"/>
    <x v="260"/>
    <x v="260"/>
    <s v="REVENUS"/>
    <x v="3"/>
    <s v="4002.007"/>
    <s v="Acompte impôt sur fortune"/>
    <n v="0"/>
    <n v="176.47"/>
    <n v="4002"/>
  </r>
  <r>
    <x v="0"/>
    <x v="1"/>
    <x v="2"/>
    <x v="313"/>
    <x v="260"/>
    <x v="260"/>
    <s v="REVENUS"/>
    <x v="9"/>
    <s v="4031.001"/>
    <s v="Impôt sur les gains immobiliers"/>
    <n v="0"/>
    <n v="199088.85"/>
    <n v="4031"/>
  </r>
  <r>
    <x v="0"/>
    <x v="1"/>
    <x v="2"/>
    <x v="313"/>
    <x v="260"/>
    <x v="260"/>
    <s v="REVENUS"/>
    <x v="6"/>
    <s v="4211.002"/>
    <s v="Intérêts de retard sur acomptes"/>
    <n v="0"/>
    <n v="43513.86"/>
    <n v="4211"/>
  </r>
  <r>
    <x v="0"/>
    <x v="1"/>
    <x v="2"/>
    <x v="313"/>
    <x v="260"/>
    <x v="260"/>
    <s v="REVENUS"/>
    <x v="6"/>
    <s v="4221.003"/>
    <s v="Intérêts compensat. / acomptes en faveur du fisc"/>
    <n v="0"/>
    <n v="1046.28"/>
    <n v="4221"/>
  </r>
  <r>
    <x v="0"/>
    <x v="1"/>
    <x v="2"/>
    <x v="313"/>
    <x v="260"/>
    <x v="260"/>
    <s v="REVENUS"/>
    <x v="2"/>
    <s v="4001.001"/>
    <s v="Impôt revenu"/>
    <n v="0"/>
    <n v="-1476.7"/>
    <n v="4001"/>
  </r>
  <r>
    <x v="0"/>
    <x v="1"/>
    <x v="2"/>
    <x v="313"/>
    <x v="260"/>
    <x v="260"/>
    <s v="REVENUS"/>
    <x v="2"/>
    <s v="4001.002"/>
    <s v="Impôt complément s/revenu PP"/>
    <n v="0"/>
    <n v="1445.9"/>
    <n v="4001"/>
  </r>
  <r>
    <x v="0"/>
    <x v="1"/>
    <x v="2"/>
    <x v="313"/>
    <x v="260"/>
    <x v="260"/>
    <s v="REVENUS"/>
    <x v="3"/>
    <s v="4002.001"/>
    <s v="Impôt ordinaire s/fortune PP"/>
    <n v="0"/>
    <n v="-1947.9"/>
    <n v="4002"/>
  </r>
  <r>
    <x v="0"/>
    <x v="1"/>
    <x v="2"/>
    <x v="313"/>
    <x v="260"/>
    <x v="260"/>
    <s v="REVENUS"/>
    <x v="3"/>
    <s v="4002.002"/>
    <s v="Impôt complémentaire s/fortune PP"/>
    <n v="0"/>
    <n v="1829.9"/>
    <n v="4002"/>
  </r>
  <r>
    <x v="0"/>
    <x v="1"/>
    <x v="2"/>
    <x v="313"/>
    <x v="260"/>
    <x v="260"/>
    <s v="REVENUS"/>
    <x v="6"/>
    <s v="4211.002"/>
    <s v="Intérêts de retard sur acomptes"/>
    <n v="0"/>
    <n v="-1.64"/>
    <n v="4211"/>
  </r>
  <r>
    <x v="0"/>
    <x v="1"/>
    <x v="2"/>
    <x v="313"/>
    <x v="260"/>
    <x v="260"/>
    <s v="REVENUS"/>
    <x v="2"/>
    <s v="4001.001"/>
    <s v="Impôt revenu"/>
    <n v="0"/>
    <n v="-1514.1"/>
    <n v="4001"/>
  </r>
  <r>
    <x v="0"/>
    <x v="1"/>
    <x v="2"/>
    <x v="313"/>
    <x v="260"/>
    <x v="260"/>
    <s v="REVENUS"/>
    <x v="3"/>
    <s v="4002.001"/>
    <s v="Impôt ordinaire s/fortune PP"/>
    <n v="0"/>
    <n v="2434.9"/>
    <n v="4002"/>
  </r>
  <r>
    <x v="0"/>
    <x v="1"/>
    <x v="2"/>
    <x v="313"/>
    <x v="260"/>
    <x v="260"/>
    <s v="REVENUS"/>
    <x v="2"/>
    <s v="4001.007"/>
    <s v="Acompte impôt sur revenu"/>
    <n v="0"/>
    <n v="-10362.549999999999"/>
    <n v="4001"/>
  </r>
  <r>
    <x v="0"/>
    <x v="1"/>
    <x v="2"/>
    <x v="313"/>
    <x v="260"/>
    <x v="260"/>
    <s v="REVENUS"/>
    <x v="3"/>
    <s v="4002.007"/>
    <s v="Acompte impôt sur fortune"/>
    <n v="0"/>
    <n v="-2739.47"/>
    <n v="4002"/>
  </r>
  <r>
    <x v="0"/>
    <x v="1"/>
    <x v="2"/>
    <x v="313"/>
    <x v="260"/>
    <x v="260"/>
    <s v="REVENUS"/>
    <x v="2"/>
    <s v="4001.002"/>
    <s v="Impôt complément s/revenu PP"/>
    <n v="0"/>
    <n v="1180308.1000000001"/>
    <n v="4001"/>
  </r>
  <r>
    <x v="0"/>
    <x v="1"/>
    <x v="2"/>
    <x v="313"/>
    <x v="260"/>
    <x v="260"/>
    <s v="REVENUS"/>
    <x v="3"/>
    <s v="4002.002"/>
    <s v="Impôt complémentaire s/fortune PP"/>
    <n v="0"/>
    <n v="300330.09999999998"/>
    <n v="4002"/>
  </r>
  <r>
    <x v="0"/>
    <x v="1"/>
    <x v="2"/>
    <x v="313"/>
    <x v="260"/>
    <x v="260"/>
    <s v="REVENUS"/>
    <x v="7"/>
    <s v="4184.000"/>
    <s v="Frais de poursuite"/>
    <n v="0"/>
    <n v="5273.36"/>
    <n v="4184"/>
  </r>
  <r>
    <x v="0"/>
    <x v="1"/>
    <x v="2"/>
    <x v="313"/>
    <x v="260"/>
    <x v="260"/>
    <s v="REVENUS"/>
    <x v="2"/>
    <s v="4001.003"/>
    <s v="Impôt s/prest. cap. PP"/>
    <n v="0"/>
    <n v="84667.4"/>
    <n v="4001"/>
  </r>
  <r>
    <x v="0"/>
    <x v="1"/>
    <x v="2"/>
    <x v="313"/>
    <x v="260"/>
    <x v="260"/>
    <s v="REVENUS"/>
    <x v="6"/>
    <s v="4221.002"/>
    <s v="Intérêts compensat. sur impôts distincts"/>
    <n v="0"/>
    <n v="146.79"/>
    <n v="4221"/>
  </r>
  <r>
    <x v="0"/>
    <x v="1"/>
    <x v="2"/>
    <x v="313"/>
    <x v="260"/>
    <x v="260"/>
    <s v="REVENUS"/>
    <x v="2"/>
    <s v="4001.001"/>
    <s v="Impôt revenu"/>
    <n v="0"/>
    <n v="-152689.9"/>
    <n v="4001"/>
  </r>
  <r>
    <x v="0"/>
    <x v="1"/>
    <x v="2"/>
    <x v="313"/>
    <x v="260"/>
    <x v="260"/>
    <s v="REVENUS"/>
    <x v="3"/>
    <s v="4002.001"/>
    <s v="Impôt ordinaire s/fortune PP"/>
    <n v="0"/>
    <n v="-32138.2"/>
    <n v="4002"/>
  </r>
  <r>
    <x v="0"/>
    <x v="1"/>
    <x v="2"/>
    <x v="313"/>
    <x v="260"/>
    <x v="260"/>
    <s v="REVENUS"/>
    <x v="10"/>
    <s v="4041.001"/>
    <s v="Droits de mutation"/>
    <n v="0"/>
    <n v="308199.95"/>
    <n v="4041"/>
  </r>
  <r>
    <x v="0"/>
    <x v="1"/>
    <x v="2"/>
    <x v="313"/>
    <x v="260"/>
    <x v="260"/>
    <s v="REVENUS"/>
    <x v="6"/>
    <s v="4211.001"/>
    <s v="Intérêts de retard sur factures"/>
    <n v="0"/>
    <n v="-66.709999999999994"/>
    <n v="4211"/>
  </r>
  <r>
    <x v="0"/>
    <x v="1"/>
    <x v="2"/>
    <x v="313"/>
    <x v="260"/>
    <x v="260"/>
    <s v="REVENUS"/>
    <x v="6"/>
    <s v="4211.002"/>
    <s v="Intérêts de retard sur acomptes"/>
    <n v="0"/>
    <n v="-658.75"/>
    <n v="4211"/>
  </r>
  <r>
    <x v="0"/>
    <x v="1"/>
    <x v="2"/>
    <x v="313"/>
    <x v="260"/>
    <x v="260"/>
    <s v="REVENUS"/>
    <x v="3"/>
    <s v="4002.007"/>
    <s v="Acompte impôt sur fortune"/>
    <n v="0"/>
    <n v="1116.0899999999999"/>
    <n v="4002"/>
  </r>
  <r>
    <x v="0"/>
    <x v="1"/>
    <x v="2"/>
    <x v="313"/>
    <x v="260"/>
    <x v="260"/>
    <s v="REVENUS"/>
    <x v="6"/>
    <s v="4211.002"/>
    <s v="Intérêts de retard sur acomptes"/>
    <n v="0"/>
    <n v="35.39"/>
    <n v="4211"/>
  </r>
  <r>
    <x v="0"/>
    <x v="1"/>
    <x v="2"/>
    <x v="313"/>
    <x v="260"/>
    <x v="260"/>
    <s v="REVENUS"/>
    <x v="12"/>
    <s v="4004.007"/>
    <s v="Acompte spécial étrangers"/>
    <n v="0"/>
    <n v="-53613.95"/>
    <n v="4004"/>
  </r>
  <r>
    <x v="0"/>
    <x v="1"/>
    <x v="2"/>
    <x v="313"/>
    <x v="260"/>
    <x v="260"/>
    <s v="REVENUS"/>
    <x v="2"/>
    <s v="4001.007"/>
    <s v="Acompte impôt sur revenu"/>
    <n v="0"/>
    <n v="2198.85"/>
    <n v="4001"/>
  </r>
  <r>
    <x v="0"/>
    <x v="1"/>
    <x v="2"/>
    <x v="313"/>
    <x v="260"/>
    <x v="260"/>
    <s v="REVENUS"/>
    <x v="2"/>
    <s v="4001.007"/>
    <s v="Acompte impôt sur revenu"/>
    <n v="0"/>
    <n v="746.51"/>
    <n v="4001"/>
  </r>
  <r>
    <x v="0"/>
    <x v="1"/>
    <x v="2"/>
    <x v="313"/>
    <x v="260"/>
    <x v="260"/>
    <s v="REVENUS"/>
    <x v="2"/>
    <s v="4001.007"/>
    <s v="Acompte impôt sur revenu"/>
    <n v="0"/>
    <n v="8"/>
    <n v="4001"/>
  </r>
  <r>
    <x v="0"/>
    <x v="1"/>
    <x v="2"/>
    <x v="313"/>
    <x v="260"/>
    <x v="260"/>
    <s v="REVENUS"/>
    <x v="3"/>
    <s v="4002.007"/>
    <s v="Acompte impôt sur fortune"/>
    <n v="0"/>
    <n v="174.65"/>
    <n v="4002"/>
  </r>
  <r>
    <x v="0"/>
    <x v="1"/>
    <x v="2"/>
    <x v="313"/>
    <x v="260"/>
    <x v="260"/>
    <s v="REVENUS"/>
    <x v="6"/>
    <s v="4221.003"/>
    <s v="Intérêts compensat. / acomptes en faveur du fisc"/>
    <n v="0"/>
    <n v="-116.02"/>
    <n v="4221"/>
  </r>
  <r>
    <x v="0"/>
    <x v="1"/>
    <x v="2"/>
    <x v="313"/>
    <x v="260"/>
    <x v="260"/>
    <s v="REVENUS"/>
    <x v="3"/>
    <s v="4002.007"/>
    <s v="Acompte impôt sur fortune"/>
    <n v="0"/>
    <n v="-34.549999999999997"/>
    <n v="4002"/>
  </r>
  <r>
    <x v="0"/>
    <x v="1"/>
    <x v="2"/>
    <x v="313"/>
    <x v="260"/>
    <x v="260"/>
    <s v="REVENUS"/>
    <x v="2"/>
    <s v="4001.007"/>
    <s v="Acompte impôt sur revenu"/>
    <n v="0"/>
    <n v="2166.59"/>
    <n v="4001"/>
  </r>
  <r>
    <x v="0"/>
    <x v="1"/>
    <x v="2"/>
    <x v="313"/>
    <x v="260"/>
    <x v="260"/>
    <s v="REVENUS"/>
    <x v="6"/>
    <s v="4221.003"/>
    <s v="Intérêts compensat. / acomptes en faveur du fisc"/>
    <n v="0"/>
    <n v="1.38"/>
    <n v="4221"/>
  </r>
  <r>
    <x v="0"/>
    <x v="1"/>
    <x v="2"/>
    <x v="313"/>
    <x v="260"/>
    <x v="260"/>
    <s v="REVENUS"/>
    <x v="3"/>
    <s v="4002.007"/>
    <s v="Acompte impôt sur fortune"/>
    <n v="0"/>
    <n v="427.82"/>
    <n v="4002"/>
  </r>
  <r>
    <x v="0"/>
    <x v="1"/>
    <x v="2"/>
    <x v="313"/>
    <x v="260"/>
    <x v="260"/>
    <s v="REVENUS"/>
    <x v="3"/>
    <s v="4002.007"/>
    <s v="Acompte impôt sur fortune"/>
    <n v="0"/>
    <n v="3100.1"/>
    <n v="4002"/>
  </r>
  <r>
    <x v="0"/>
    <x v="1"/>
    <x v="2"/>
    <x v="313"/>
    <x v="260"/>
    <x v="260"/>
    <s v="REVENUS"/>
    <x v="8"/>
    <s v="4091.001"/>
    <s v="Impôt récupéré après défalcations"/>
    <n v="0"/>
    <n v="6635.71"/>
    <n v="4091"/>
  </r>
  <r>
    <x v="0"/>
    <x v="1"/>
    <x v="2"/>
    <x v="313"/>
    <x v="260"/>
    <x v="260"/>
    <s v="REVENUS"/>
    <x v="7"/>
    <s v="4184.000"/>
    <s v="Frais de poursuite"/>
    <n v="0"/>
    <n v="12.54"/>
    <n v="4184"/>
  </r>
  <r>
    <x v="0"/>
    <x v="1"/>
    <x v="2"/>
    <x v="313"/>
    <x v="260"/>
    <x v="260"/>
    <s v="REVENUS"/>
    <x v="6"/>
    <s v="4211.001"/>
    <s v="Intérêts de retard sur factures"/>
    <n v="0"/>
    <n v="35.630000000000003"/>
    <n v="4211"/>
  </r>
  <r>
    <x v="0"/>
    <x v="1"/>
    <x v="2"/>
    <x v="313"/>
    <x v="260"/>
    <x v="260"/>
    <s v="REVENUS"/>
    <x v="4"/>
    <s v="4051.001"/>
    <s v="Impôt sur les successions"/>
    <n v="0"/>
    <n v="86324.9"/>
    <n v="4051"/>
  </r>
  <r>
    <x v="0"/>
    <x v="1"/>
    <x v="2"/>
    <x v="313"/>
    <x v="260"/>
    <x v="260"/>
    <s v="REVENUS"/>
    <x v="4"/>
    <s v="4051.002"/>
    <s v="Impôt sur les donations"/>
    <n v="0"/>
    <n v="15903"/>
    <n v="4051"/>
  </r>
  <r>
    <x v="0"/>
    <x v="1"/>
    <x v="2"/>
    <x v="313"/>
    <x v="260"/>
    <x v="260"/>
    <s v="REVENUS"/>
    <x v="7"/>
    <s v="4184.000"/>
    <s v="Frais de poursuite"/>
    <n v="0"/>
    <n v="56.04"/>
    <n v="4184"/>
  </r>
  <r>
    <x v="0"/>
    <x v="1"/>
    <x v="2"/>
    <x v="313"/>
    <x v="260"/>
    <x v="260"/>
    <s v="REVENUS"/>
    <x v="2"/>
    <s v="4001.003"/>
    <s v="Impôt s/prest. cap. PP"/>
    <n v="0"/>
    <n v="-1639.35"/>
    <n v="4001"/>
  </r>
  <r>
    <x v="0"/>
    <x v="1"/>
    <x v="2"/>
    <x v="313"/>
    <x v="260"/>
    <x v="260"/>
    <s v="REVENUS"/>
    <x v="3"/>
    <s v="4002.001"/>
    <s v="Impôt ordinaire s/fortune PP"/>
    <n v="0"/>
    <n v="20.399999999999999"/>
    <n v="4002"/>
  </r>
  <r>
    <x v="0"/>
    <x v="1"/>
    <x v="2"/>
    <x v="313"/>
    <x v="260"/>
    <x v="260"/>
    <s v="REVENUS"/>
    <x v="9"/>
    <s v="4031.002"/>
    <s v="Complément impôt sur les gains immobiliers"/>
    <n v="0"/>
    <n v="8909"/>
    <n v="4031"/>
  </r>
  <r>
    <x v="0"/>
    <x v="1"/>
    <x v="2"/>
    <x v="313"/>
    <x v="260"/>
    <x v="260"/>
    <s v="REVENUS"/>
    <x v="2"/>
    <s v="4001.001"/>
    <s v="Impôt revenu"/>
    <n v="0"/>
    <n v="25.55"/>
    <n v="4001"/>
  </r>
  <r>
    <x v="0"/>
    <x v="1"/>
    <x v="2"/>
    <x v="313"/>
    <x v="260"/>
    <x v="260"/>
    <s v="REVENUS"/>
    <x v="6"/>
    <s v="4211.002"/>
    <s v="Intérêts de retard sur acomptes"/>
    <n v="0"/>
    <n v="1.5"/>
    <n v="4211"/>
  </r>
  <r>
    <x v="0"/>
    <x v="1"/>
    <x v="2"/>
    <x v="313"/>
    <x v="260"/>
    <x v="260"/>
    <s v="REVENUS"/>
    <x v="2"/>
    <s v="4001.001"/>
    <s v="Impôt revenu"/>
    <n v="0"/>
    <n v="-8882.9500000000007"/>
    <n v="4001"/>
  </r>
  <r>
    <x v="0"/>
    <x v="1"/>
    <x v="2"/>
    <x v="313"/>
    <x v="260"/>
    <x v="260"/>
    <s v="REVENUS"/>
    <x v="3"/>
    <s v="4002.001"/>
    <s v="Impôt ordinaire s/fortune PP"/>
    <n v="0"/>
    <n v="-1943.45"/>
    <n v="4002"/>
  </r>
  <r>
    <x v="0"/>
    <x v="1"/>
    <x v="2"/>
    <x v="313"/>
    <x v="260"/>
    <x v="260"/>
    <s v="REVENUS"/>
    <x v="2"/>
    <s v="4001.001"/>
    <s v="Impôt revenu"/>
    <n v="0"/>
    <n v="688.35"/>
    <n v="4001"/>
  </r>
  <r>
    <x v="0"/>
    <x v="1"/>
    <x v="2"/>
    <x v="313"/>
    <x v="260"/>
    <x v="260"/>
    <s v="REVENUS"/>
    <x v="3"/>
    <s v="4002.001"/>
    <s v="Impôt ordinaire s/fortune PP"/>
    <n v="0"/>
    <n v="504.4"/>
    <n v="4002"/>
  </r>
  <r>
    <x v="0"/>
    <x v="1"/>
    <x v="2"/>
    <x v="313"/>
    <x v="260"/>
    <x v="260"/>
    <s v="REVENUS"/>
    <x v="6"/>
    <s v="4211.002"/>
    <s v="Intérêts de retard sur acomptes"/>
    <n v="0"/>
    <n v="30.03"/>
    <n v="4211"/>
  </r>
  <r>
    <x v="0"/>
    <x v="1"/>
    <x v="2"/>
    <x v="313"/>
    <x v="260"/>
    <x v="260"/>
    <s v="REVENUS"/>
    <x v="5"/>
    <s v="4061.000"/>
    <s v="Impôt sur les chiens"/>
    <n v="0"/>
    <n v="16500"/>
    <n v="4061"/>
  </r>
  <r>
    <x v="0"/>
    <x v="1"/>
    <x v="2"/>
    <x v="313"/>
    <x v="260"/>
    <x v="260"/>
    <s v="REVENUS"/>
    <x v="2"/>
    <s v="4001.002"/>
    <s v="Impôt complément s/revenu PP"/>
    <n v="0"/>
    <n v="9056.65"/>
    <n v="4001"/>
  </r>
  <r>
    <x v="0"/>
    <x v="1"/>
    <x v="2"/>
    <x v="313"/>
    <x v="260"/>
    <x v="260"/>
    <s v="REVENUS"/>
    <x v="3"/>
    <s v="4002.002"/>
    <s v="Impôt complémentaire s/fortune PP"/>
    <n v="0"/>
    <n v="3285.75"/>
    <n v="4002"/>
  </r>
  <r>
    <x v="0"/>
    <x v="1"/>
    <x v="2"/>
    <x v="313"/>
    <x v="260"/>
    <x v="260"/>
    <s v="REVENUS"/>
    <x v="6"/>
    <s v="4211.001"/>
    <s v="Intérêts de retard sur factures"/>
    <n v="0"/>
    <n v="226.61"/>
    <n v="4211"/>
  </r>
  <r>
    <x v="0"/>
    <x v="1"/>
    <x v="2"/>
    <x v="313"/>
    <x v="260"/>
    <x v="260"/>
    <s v="REVENUS"/>
    <x v="12"/>
    <s v="4004.000"/>
    <s v="Impôt spécial étrangers"/>
    <n v="0"/>
    <n v="378818.25"/>
    <n v="4004"/>
  </r>
  <r>
    <x v="0"/>
    <x v="1"/>
    <x v="2"/>
    <x v="313"/>
    <x v="260"/>
    <x v="260"/>
    <s v="REVENUS"/>
    <x v="8"/>
    <s v="4091.001"/>
    <s v="Impôt récupéré après défalcations"/>
    <n v="0"/>
    <n v="2791.47"/>
    <n v="4091"/>
  </r>
  <r>
    <x v="0"/>
    <x v="1"/>
    <x v="2"/>
    <x v="313"/>
    <x v="260"/>
    <x v="260"/>
    <s v="REVENUS"/>
    <x v="2"/>
    <s v="4001.001"/>
    <s v="Impôt revenu"/>
    <n v="0"/>
    <n v="45.3"/>
    <n v="4001"/>
  </r>
  <r>
    <x v="0"/>
    <x v="1"/>
    <x v="2"/>
    <x v="313"/>
    <x v="260"/>
    <x v="260"/>
    <s v="REVENUS"/>
    <x v="3"/>
    <s v="4002.001"/>
    <s v="Impôt ordinaire s/fortune PP"/>
    <n v="0"/>
    <n v="265.45"/>
    <n v="4002"/>
  </r>
  <r>
    <x v="0"/>
    <x v="1"/>
    <x v="2"/>
    <x v="313"/>
    <x v="260"/>
    <x v="260"/>
    <s v="REVENUS"/>
    <x v="6"/>
    <s v="4221.003"/>
    <s v="Intérêts compensat. / acomptes en faveur du fisc"/>
    <n v="0"/>
    <n v="0.04"/>
    <n v="4221"/>
  </r>
  <r>
    <x v="0"/>
    <x v="1"/>
    <x v="2"/>
    <x v="313"/>
    <x v="260"/>
    <x v="260"/>
    <s v="REVENUS"/>
    <x v="2"/>
    <s v="4001.007"/>
    <s v="Acompte impôt sur revenu"/>
    <n v="0"/>
    <n v="-23709.75"/>
    <n v="4001"/>
  </r>
  <r>
    <x v="0"/>
    <x v="1"/>
    <x v="2"/>
    <x v="313"/>
    <x v="260"/>
    <x v="260"/>
    <s v="REVENUS"/>
    <x v="3"/>
    <s v="4002.007"/>
    <s v="Acompte impôt sur fortune"/>
    <n v="0"/>
    <n v="-10966.35"/>
    <n v="4002"/>
  </r>
  <r>
    <x v="0"/>
    <x v="1"/>
    <x v="2"/>
    <x v="313"/>
    <x v="260"/>
    <x v="260"/>
    <s v="REVENUS"/>
    <x v="6"/>
    <s v="4211.001"/>
    <s v="Intérêts de retard sur factures"/>
    <n v="0"/>
    <n v="0.15"/>
    <n v="4211"/>
  </r>
  <r>
    <x v="0"/>
    <x v="1"/>
    <x v="2"/>
    <x v="313"/>
    <x v="260"/>
    <x v="260"/>
    <s v="REVENUS"/>
    <x v="7"/>
    <s v="4184.000"/>
    <s v="Frais de poursuite"/>
    <n v="0"/>
    <n v="38.82"/>
    <n v="4184"/>
  </r>
  <r>
    <x v="0"/>
    <x v="1"/>
    <x v="2"/>
    <x v="313"/>
    <x v="260"/>
    <x v="260"/>
    <s v="REVENUS"/>
    <x v="6"/>
    <s v="4221.003"/>
    <s v="Intérêts compensat. / acomptes en faveur du fisc"/>
    <n v="0"/>
    <n v="0.39"/>
    <n v="4221"/>
  </r>
  <r>
    <x v="0"/>
    <x v="1"/>
    <x v="2"/>
    <x v="314"/>
    <x v="261"/>
    <x v="261"/>
    <s v="CHARGES"/>
    <x v="0"/>
    <s v="3212.004"/>
    <s v="Intérêts rémun./perçu trop tôt sur acomptes C/C"/>
    <n v="5.92"/>
    <n v="0"/>
    <n v="3212"/>
  </r>
  <r>
    <x v="0"/>
    <x v="1"/>
    <x v="2"/>
    <x v="314"/>
    <x v="261"/>
    <x v="261"/>
    <s v="CHARGES"/>
    <x v="0"/>
    <s v="3212.002"/>
    <s v="Intérêts bonifiés/trop perçu acompte C/C"/>
    <n v="31.46"/>
    <n v="0"/>
    <n v="3212"/>
  </r>
  <r>
    <x v="0"/>
    <x v="1"/>
    <x v="2"/>
    <x v="314"/>
    <x v="261"/>
    <x v="261"/>
    <s v="CHARGES"/>
    <x v="0"/>
    <s v="3212.004"/>
    <s v="Intérêts rémun./perçu trop tôt sur acomptes C/C"/>
    <n v="580.76"/>
    <n v="0"/>
    <n v="3212"/>
  </r>
  <r>
    <x v="0"/>
    <x v="1"/>
    <x v="2"/>
    <x v="314"/>
    <x v="261"/>
    <x v="261"/>
    <s v="CHARGES"/>
    <x v="0"/>
    <s v="3221.002"/>
    <s v="Intérêts compensatoires / créances en faveur ctb."/>
    <n v="-173.22"/>
    <n v="0"/>
    <n v="3221"/>
  </r>
  <r>
    <x v="0"/>
    <x v="1"/>
    <x v="2"/>
    <x v="314"/>
    <x v="261"/>
    <x v="261"/>
    <s v="CHARGES"/>
    <x v="1"/>
    <s v="3301.001"/>
    <s v="Défalcations, abandons de solde PP et IS"/>
    <n v="90422.87"/>
    <n v="0"/>
    <n v="3301"/>
  </r>
  <r>
    <x v="0"/>
    <x v="1"/>
    <x v="2"/>
    <x v="314"/>
    <x v="261"/>
    <x v="261"/>
    <s v="CHARGES"/>
    <x v="1"/>
    <s v="3301.001"/>
    <s v="Défalcations, abandons de solde PP et IS"/>
    <n v="0.84"/>
    <n v="0"/>
    <n v="3301"/>
  </r>
  <r>
    <x v="0"/>
    <x v="1"/>
    <x v="2"/>
    <x v="314"/>
    <x v="261"/>
    <x v="261"/>
    <s v="CHARGES"/>
    <x v="1"/>
    <s v="3301.001"/>
    <s v="Défalcations, abandons de solde PP et IS"/>
    <n v="0.16"/>
    <n v="0"/>
    <n v="3301"/>
  </r>
  <r>
    <x v="0"/>
    <x v="1"/>
    <x v="2"/>
    <x v="314"/>
    <x v="261"/>
    <x v="261"/>
    <s v="CHARGES"/>
    <x v="0"/>
    <s v="3221.002"/>
    <s v="Intérêts compensatoires / créances en faveur ctb."/>
    <n v="0.39"/>
    <n v="0"/>
    <n v="3221"/>
  </r>
  <r>
    <x v="0"/>
    <x v="1"/>
    <x v="2"/>
    <x v="314"/>
    <x v="261"/>
    <x v="261"/>
    <s v="CHARGES"/>
    <x v="0"/>
    <s v="3212.004"/>
    <s v="Intérêts rémun./perçu trop tôt sur acomptes C/C"/>
    <n v="-44.53"/>
    <n v="0"/>
    <n v="3212"/>
  </r>
  <r>
    <x v="0"/>
    <x v="1"/>
    <x v="2"/>
    <x v="314"/>
    <x v="261"/>
    <x v="261"/>
    <s v="CHARGES"/>
    <x v="1"/>
    <s v="3301.001"/>
    <s v="Défalcations, abandons de solde PP et IS"/>
    <n v="-17.93"/>
    <n v="0"/>
    <n v="3301"/>
  </r>
  <r>
    <x v="0"/>
    <x v="1"/>
    <x v="2"/>
    <x v="314"/>
    <x v="261"/>
    <x v="261"/>
    <s v="CHARGES"/>
    <x v="0"/>
    <s v="3212.002"/>
    <s v="Intérêts bonifiés/trop perçu acompte C/C"/>
    <n v="-1.42"/>
    <n v="0"/>
    <n v="3212"/>
  </r>
  <r>
    <x v="0"/>
    <x v="1"/>
    <x v="2"/>
    <x v="314"/>
    <x v="261"/>
    <x v="261"/>
    <s v="CHARGES"/>
    <x v="0"/>
    <s v="3221.002"/>
    <s v="Intérêts compensatoires / créances en faveur ctb."/>
    <n v="-1.5"/>
    <n v="0"/>
    <n v="3221"/>
  </r>
  <r>
    <x v="0"/>
    <x v="1"/>
    <x v="2"/>
    <x v="314"/>
    <x v="261"/>
    <x v="261"/>
    <s v="CHARGES"/>
    <x v="0"/>
    <s v="3212.004"/>
    <s v="Intérêts rémun./perçu trop tôt sur acomptes C/C"/>
    <n v="-0.89"/>
    <n v="0"/>
    <n v="3212"/>
  </r>
  <r>
    <x v="0"/>
    <x v="1"/>
    <x v="2"/>
    <x v="314"/>
    <x v="261"/>
    <x v="261"/>
    <s v="CHARGES"/>
    <x v="0"/>
    <s v="3221.002"/>
    <s v="Intérêts compensatoires / créances en faveur ctb."/>
    <n v="-0.52"/>
    <n v="0"/>
    <n v="3221"/>
  </r>
  <r>
    <x v="0"/>
    <x v="1"/>
    <x v="2"/>
    <x v="314"/>
    <x v="261"/>
    <x v="261"/>
    <s v="CHARGES"/>
    <x v="1"/>
    <s v="3301.001"/>
    <s v="Défalcations, abandons de solde PP et IS"/>
    <n v="-0.01"/>
    <n v="0"/>
    <n v="3301"/>
  </r>
  <r>
    <x v="0"/>
    <x v="1"/>
    <x v="2"/>
    <x v="314"/>
    <x v="261"/>
    <x v="261"/>
    <s v="CHARGES"/>
    <x v="0"/>
    <s v="3212.004"/>
    <s v="Intérêts rémun./perçu trop tôt sur acomptes C/C"/>
    <n v="1.64"/>
    <n v="0"/>
    <n v="3212"/>
  </r>
  <r>
    <x v="0"/>
    <x v="1"/>
    <x v="2"/>
    <x v="314"/>
    <x v="261"/>
    <x v="261"/>
    <s v="CHARGES"/>
    <x v="0"/>
    <s v="3221.002"/>
    <s v="Intérêts compensatoires / créances en faveur ctb."/>
    <n v="0.91"/>
    <n v="0"/>
    <n v="3221"/>
  </r>
  <r>
    <x v="0"/>
    <x v="1"/>
    <x v="2"/>
    <x v="314"/>
    <x v="261"/>
    <x v="261"/>
    <s v="CHARGES"/>
    <x v="0"/>
    <s v="3212.004"/>
    <s v="Intérêts rémun./perçu trop tôt sur acomptes C/C"/>
    <n v="0.4"/>
    <n v="0"/>
    <n v="3212"/>
  </r>
  <r>
    <x v="0"/>
    <x v="1"/>
    <x v="2"/>
    <x v="314"/>
    <x v="261"/>
    <x v="261"/>
    <s v="CHARGES"/>
    <x v="1"/>
    <s v="3301.001"/>
    <s v="Défalcations, abandons de solde PP et IS"/>
    <n v="13.05"/>
    <n v="0"/>
    <n v="3301"/>
  </r>
  <r>
    <x v="0"/>
    <x v="1"/>
    <x v="2"/>
    <x v="314"/>
    <x v="261"/>
    <x v="261"/>
    <s v="CHARGES"/>
    <x v="0"/>
    <s v="3212.002"/>
    <s v="Intérêts bonifiés/trop perçu acompte C/C"/>
    <n v="-0.03"/>
    <n v="0"/>
    <n v="3212"/>
  </r>
  <r>
    <x v="0"/>
    <x v="1"/>
    <x v="2"/>
    <x v="314"/>
    <x v="261"/>
    <x v="261"/>
    <s v="CHARGES"/>
    <x v="0"/>
    <s v="3212.004"/>
    <s v="Intérêts rémun./perçu trop tôt sur acomptes C/C"/>
    <n v="42.86"/>
    <n v="0"/>
    <n v="3212"/>
  </r>
  <r>
    <x v="0"/>
    <x v="1"/>
    <x v="2"/>
    <x v="314"/>
    <x v="261"/>
    <x v="261"/>
    <s v="CHARGES"/>
    <x v="1"/>
    <s v="3301.001"/>
    <s v="Défalcations, abandons de solde PP et IS"/>
    <n v="0.02"/>
    <n v="0"/>
    <n v="3301"/>
  </r>
  <r>
    <x v="0"/>
    <x v="1"/>
    <x v="2"/>
    <x v="314"/>
    <x v="261"/>
    <x v="261"/>
    <s v="CHARGES"/>
    <x v="1"/>
    <s v="3301.001"/>
    <s v="Défalcations, abandons de solde PP et IS"/>
    <n v="315.82"/>
    <n v="0"/>
    <n v="3301"/>
  </r>
  <r>
    <x v="0"/>
    <x v="1"/>
    <x v="2"/>
    <x v="314"/>
    <x v="261"/>
    <x v="261"/>
    <s v="CHARGES"/>
    <x v="1"/>
    <s v="3301.001"/>
    <s v="Défalcations, abandons de solde PP et IS"/>
    <n v="2.29"/>
    <n v="0"/>
    <n v="3301"/>
  </r>
  <r>
    <x v="0"/>
    <x v="1"/>
    <x v="2"/>
    <x v="314"/>
    <x v="261"/>
    <x v="261"/>
    <s v="REVENUS"/>
    <x v="2"/>
    <s v="4001.001"/>
    <s v="Impôt revenu"/>
    <n v="0"/>
    <n v="17443.25"/>
    <n v="4001"/>
  </r>
  <r>
    <x v="0"/>
    <x v="1"/>
    <x v="2"/>
    <x v="314"/>
    <x v="261"/>
    <x v="261"/>
    <s v="REVENUS"/>
    <x v="3"/>
    <s v="4002.001"/>
    <s v="Impôt ordinaire s/fortune PP"/>
    <n v="0"/>
    <n v="3451.05"/>
    <n v="4002"/>
  </r>
  <r>
    <x v="0"/>
    <x v="1"/>
    <x v="2"/>
    <x v="314"/>
    <x v="261"/>
    <x v="261"/>
    <s v="REVENUS"/>
    <x v="6"/>
    <s v="4211.002"/>
    <s v="Intérêts de retard sur acomptes"/>
    <n v="0"/>
    <n v="112.79"/>
    <n v="4211"/>
  </r>
  <r>
    <x v="0"/>
    <x v="1"/>
    <x v="2"/>
    <x v="314"/>
    <x v="261"/>
    <x v="261"/>
    <s v="REVENUS"/>
    <x v="2"/>
    <s v="4001.001"/>
    <s v="Impôt revenu"/>
    <n v="0"/>
    <n v="2556309"/>
    <n v="4001"/>
  </r>
  <r>
    <x v="0"/>
    <x v="1"/>
    <x v="2"/>
    <x v="314"/>
    <x v="261"/>
    <x v="261"/>
    <s v="REVENUS"/>
    <x v="2"/>
    <s v="4001.002"/>
    <s v="Impôt complément s/revenu PP"/>
    <n v="0"/>
    <n v="2566745.85"/>
    <n v="4001"/>
  </r>
  <r>
    <x v="0"/>
    <x v="1"/>
    <x v="2"/>
    <x v="314"/>
    <x v="261"/>
    <x v="261"/>
    <s v="REVENUS"/>
    <x v="2"/>
    <s v="4001.007"/>
    <s v="Acompte impôt sur revenu"/>
    <n v="0"/>
    <n v="359347.53"/>
    <n v="4001"/>
  </r>
  <r>
    <x v="0"/>
    <x v="1"/>
    <x v="2"/>
    <x v="314"/>
    <x v="261"/>
    <x v="261"/>
    <s v="REVENUS"/>
    <x v="3"/>
    <s v="4002.001"/>
    <s v="Impôt ordinaire s/fortune PP"/>
    <n v="0"/>
    <n v="691490.35"/>
    <n v="4002"/>
  </r>
  <r>
    <x v="0"/>
    <x v="1"/>
    <x v="2"/>
    <x v="314"/>
    <x v="261"/>
    <x v="261"/>
    <s v="REVENUS"/>
    <x v="3"/>
    <s v="4002.002"/>
    <s v="Impôt complémentaire s/fortune PP"/>
    <n v="0"/>
    <n v="3585045.85"/>
    <n v="4002"/>
  </r>
  <r>
    <x v="0"/>
    <x v="1"/>
    <x v="2"/>
    <x v="314"/>
    <x v="261"/>
    <x v="261"/>
    <s v="REVENUS"/>
    <x v="3"/>
    <s v="4002.007"/>
    <s v="Acompte impôt sur fortune"/>
    <n v="0"/>
    <n v="32553.18"/>
    <n v="4002"/>
  </r>
  <r>
    <x v="0"/>
    <x v="1"/>
    <x v="2"/>
    <x v="314"/>
    <x v="261"/>
    <x v="261"/>
    <s v="REVENUS"/>
    <x v="6"/>
    <s v="4211.001"/>
    <s v="Intérêts de retard sur factures"/>
    <n v="0"/>
    <n v="707992.58"/>
    <n v="4211"/>
  </r>
  <r>
    <x v="0"/>
    <x v="1"/>
    <x v="2"/>
    <x v="314"/>
    <x v="261"/>
    <x v="261"/>
    <s v="REVENUS"/>
    <x v="6"/>
    <s v="4211.002"/>
    <s v="Intérêts de retard sur acomptes"/>
    <n v="0"/>
    <n v="25467.69"/>
    <n v="4211"/>
  </r>
  <r>
    <x v="0"/>
    <x v="1"/>
    <x v="2"/>
    <x v="314"/>
    <x v="261"/>
    <x v="261"/>
    <s v="REVENUS"/>
    <x v="6"/>
    <s v="4221.003"/>
    <s v="Intérêts compensat. / acomptes en faveur du fisc"/>
    <n v="0"/>
    <n v="22934.33"/>
    <n v="4221"/>
  </r>
  <r>
    <x v="0"/>
    <x v="1"/>
    <x v="2"/>
    <x v="314"/>
    <x v="261"/>
    <x v="261"/>
    <s v="REVENUS"/>
    <x v="7"/>
    <s v="4184.000"/>
    <s v="Frais de poursuite"/>
    <n v="0"/>
    <n v="8663.52"/>
    <n v="4184"/>
  </r>
  <r>
    <x v="0"/>
    <x v="1"/>
    <x v="2"/>
    <x v="314"/>
    <x v="261"/>
    <x v="261"/>
    <s v="REVENUS"/>
    <x v="2"/>
    <s v="4001.007"/>
    <s v="Acompte impôt sur revenu"/>
    <n v="0"/>
    <n v="-2088.0500000000002"/>
    <n v="4001"/>
  </r>
  <r>
    <x v="0"/>
    <x v="1"/>
    <x v="2"/>
    <x v="314"/>
    <x v="261"/>
    <x v="261"/>
    <s v="REVENUS"/>
    <x v="3"/>
    <s v="4002.007"/>
    <s v="Acompte impôt sur fortune"/>
    <n v="0"/>
    <n v="3007.89"/>
    <n v="4002"/>
  </r>
  <r>
    <x v="0"/>
    <x v="1"/>
    <x v="2"/>
    <x v="314"/>
    <x v="261"/>
    <x v="261"/>
    <s v="REVENUS"/>
    <x v="6"/>
    <s v="4221.003"/>
    <s v="Intérêts compensat. / acomptes en faveur du fisc"/>
    <n v="0"/>
    <n v="1.05"/>
    <n v="4221"/>
  </r>
  <r>
    <x v="0"/>
    <x v="1"/>
    <x v="2"/>
    <x v="314"/>
    <x v="261"/>
    <x v="261"/>
    <s v="REVENUS"/>
    <x v="2"/>
    <s v="4001.003"/>
    <s v="Impôt s/prest. cap. PP"/>
    <n v="0"/>
    <n v="80200.100000000006"/>
    <n v="4001"/>
  </r>
  <r>
    <x v="0"/>
    <x v="1"/>
    <x v="2"/>
    <x v="314"/>
    <x v="261"/>
    <x v="261"/>
    <s v="REVENUS"/>
    <x v="9"/>
    <s v="4031.001"/>
    <s v="Impôt sur les gains immobiliers"/>
    <n v="0"/>
    <n v="711859.85"/>
    <n v="4031"/>
  </r>
  <r>
    <x v="0"/>
    <x v="1"/>
    <x v="2"/>
    <x v="314"/>
    <x v="261"/>
    <x v="261"/>
    <s v="REVENUS"/>
    <x v="6"/>
    <s v="4211.001"/>
    <s v="Intérêts de retard sur factures"/>
    <n v="0"/>
    <n v="0.16"/>
    <n v="4211"/>
  </r>
  <r>
    <x v="0"/>
    <x v="1"/>
    <x v="2"/>
    <x v="314"/>
    <x v="261"/>
    <x v="261"/>
    <s v="REVENUS"/>
    <x v="12"/>
    <s v="4004.007"/>
    <s v="Acompte spécial étrangers"/>
    <n v="0"/>
    <n v="150488.20000000001"/>
    <n v="4004"/>
  </r>
  <r>
    <x v="0"/>
    <x v="1"/>
    <x v="2"/>
    <x v="314"/>
    <x v="261"/>
    <x v="261"/>
    <s v="REVENUS"/>
    <x v="5"/>
    <s v="4061.000"/>
    <s v="Impôt sur les chiens"/>
    <n v="0"/>
    <n v="8080"/>
    <n v="4061"/>
  </r>
  <r>
    <x v="0"/>
    <x v="1"/>
    <x v="2"/>
    <x v="314"/>
    <x v="261"/>
    <x v="261"/>
    <s v="REVENUS"/>
    <x v="10"/>
    <s v="4041.001"/>
    <s v="Droits de mutation"/>
    <n v="0"/>
    <n v="221596.5"/>
    <n v="4041"/>
  </r>
  <r>
    <x v="0"/>
    <x v="1"/>
    <x v="2"/>
    <x v="314"/>
    <x v="261"/>
    <x v="261"/>
    <s v="REVENUS"/>
    <x v="6"/>
    <s v="4221.002"/>
    <s v="Intérêts compensat. sur impôts distincts"/>
    <n v="0"/>
    <n v="133.51"/>
    <n v="4221"/>
  </r>
  <r>
    <x v="0"/>
    <x v="1"/>
    <x v="2"/>
    <x v="314"/>
    <x v="261"/>
    <x v="261"/>
    <s v="REVENUS"/>
    <x v="2"/>
    <s v="4001.007"/>
    <s v="Acompte impôt sur revenu"/>
    <n v="0"/>
    <n v="-2107.3000000000002"/>
    <n v="4001"/>
  </r>
  <r>
    <x v="0"/>
    <x v="1"/>
    <x v="2"/>
    <x v="314"/>
    <x v="261"/>
    <x v="261"/>
    <s v="REVENUS"/>
    <x v="4"/>
    <s v="4051.001"/>
    <s v="Impôt sur les successions"/>
    <n v="0"/>
    <n v="21869.9"/>
    <n v="4051"/>
  </r>
  <r>
    <x v="0"/>
    <x v="1"/>
    <x v="2"/>
    <x v="314"/>
    <x v="261"/>
    <x v="261"/>
    <s v="REVENUS"/>
    <x v="2"/>
    <s v="4001.001"/>
    <s v="Impôt revenu"/>
    <n v="0"/>
    <n v="-69173.95"/>
    <n v="4001"/>
  </r>
  <r>
    <x v="0"/>
    <x v="1"/>
    <x v="2"/>
    <x v="314"/>
    <x v="261"/>
    <x v="261"/>
    <s v="REVENUS"/>
    <x v="6"/>
    <s v="4211.001"/>
    <s v="Intérêts de retard sur factures"/>
    <n v="0"/>
    <n v="-55.71"/>
    <n v="4211"/>
  </r>
  <r>
    <x v="0"/>
    <x v="1"/>
    <x v="2"/>
    <x v="314"/>
    <x v="261"/>
    <x v="261"/>
    <s v="REVENUS"/>
    <x v="6"/>
    <s v="4221.003"/>
    <s v="Intérêts compensat. / acomptes en faveur du fisc"/>
    <n v="0"/>
    <n v="-39.76"/>
    <n v="4221"/>
  </r>
  <r>
    <x v="0"/>
    <x v="1"/>
    <x v="2"/>
    <x v="314"/>
    <x v="261"/>
    <x v="261"/>
    <s v="REVENUS"/>
    <x v="2"/>
    <s v="4001.007"/>
    <s v="Acompte impôt sur revenu"/>
    <n v="0"/>
    <n v="3759.52"/>
    <n v="4001"/>
  </r>
  <r>
    <x v="0"/>
    <x v="1"/>
    <x v="2"/>
    <x v="314"/>
    <x v="261"/>
    <x v="261"/>
    <s v="REVENUS"/>
    <x v="3"/>
    <s v="4002.007"/>
    <s v="Acompte impôt sur fortune"/>
    <n v="0"/>
    <n v="920.77"/>
    <n v="4002"/>
  </r>
  <r>
    <x v="0"/>
    <x v="1"/>
    <x v="2"/>
    <x v="314"/>
    <x v="261"/>
    <x v="261"/>
    <s v="REVENUS"/>
    <x v="3"/>
    <s v="4002.001"/>
    <s v="Impôt ordinaire s/fortune PP"/>
    <n v="0"/>
    <n v="-32795.75"/>
    <n v="4002"/>
  </r>
  <r>
    <x v="0"/>
    <x v="1"/>
    <x v="2"/>
    <x v="314"/>
    <x v="261"/>
    <x v="261"/>
    <s v="REVENUS"/>
    <x v="3"/>
    <s v="4002.007"/>
    <s v="Acompte impôt sur fortune"/>
    <n v="0"/>
    <n v="-8.3800000000000008"/>
    <n v="4002"/>
  </r>
  <r>
    <x v="0"/>
    <x v="1"/>
    <x v="2"/>
    <x v="314"/>
    <x v="261"/>
    <x v="261"/>
    <s v="REVENUS"/>
    <x v="2"/>
    <s v="4001.007"/>
    <s v="Acompte impôt sur revenu"/>
    <n v="0"/>
    <n v="-10759.1"/>
    <n v="4001"/>
  </r>
  <r>
    <x v="0"/>
    <x v="1"/>
    <x v="2"/>
    <x v="314"/>
    <x v="261"/>
    <x v="261"/>
    <s v="REVENUS"/>
    <x v="3"/>
    <s v="4002.007"/>
    <s v="Acompte impôt sur fortune"/>
    <n v="0"/>
    <n v="-3237.3"/>
    <n v="4002"/>
  </r>
  <r>
    <x v="0"/>
    <x v="1"/>
    <x v="2"/>
    <x v="314"/>
    <x v="261"/>
    <x v="261"/>
    <s v="REVENUS"/>
    <x v="2"/>
    <s v="4001.001"/>
    <s v="Impôt revenu"/>
    <n v="0"/>
    <n v="-10332.200000000001"/>
    <n v="4001"/>
  </r>
  <r>
    <x v="0"/>
    <x v="1"/>
    <x v="2"/>
    <x v="314"/>
    <x v="261"/>
    <x v="261"/>
    <s v="REVENUS"/>
    <x v="3"/>
    <s v="4002.001"/>
    <s v="Impôt ordinaire s/fortune PP"/>
    <n v="0"/>
    <n v="-7838.15"/>
    <n v="4002"/>
  </r>
  <r>
    <x v="0"/>
    <x v="1"/>
    <x v="2"/>
    <x v="314"/>
    <x v="261"/>
    <x v="261"/>
    <s v="REVENUS"/>
    <x v="6"/>
    <s v="4221.003"/>
    <s v="Intérêts compensat. / acomptes en faveur du fisc"/>
    <n v="0"/>
    <n v="0.31"/>
    <n v="4221"/>
  </r>
  <r>
    <x v="0"/>
    <x v="1"/>
    <x v="2"/>
    <x v="314"/>
    <x v="261"/>
    <x v="261"/>
    <s v="REVENUS"/>
    <x v="2"/>
    <s v="4001.007"/>
    <s v="Acompte impôt sur revenu"/>
    <n v="0"/>
    <n v="-0.35"/>
    <n v="4001"/>
  </r>
  <r>
    <x v="0"/>
    <x v="1"/>
    <x v="2"/>
    <x v="314"/>
    <x v="261"/>
    <x v="261"/>
    <s v="REVENUS"/>
    <x v="2"/>
    <s v="4001.007"/>
    <s v="Acompte impôt sur revenu"/>
    <n v="0"/>
    <n v="-11.65"/>
    <n v="4001"/>
  </r>
  <r>
    <x v="0"/>
    <x v="1"/>
    <x v="2"/>
    <x v="314"/>
    <x v="261"/>
    <x v="261"/>
    <s v="REVENUS"/>
    <x v="3"/>
    <s v="4002.007"/>
    <s v="Acompte impôt sur fortune"/>
    <n v="0"/>
    <n v="5848.15"/>
    <n v="4002"/>
  </r>
  <r>
    <x v="0"/>
    <x v="1"/>
    <x v="2"/>
    <x v="314"/>
    <x v="261"/>
    <x v="261"/>
    <s v="REVENUS"/>
    <x v="3"/>
    <s v="4002.007"/>
    <s v="Acompte impôt sur fortune"/>
    <n v="0"/>
    <n v="-480"/>
    <n v="4002"/>
  </r>
  <r>
    <x v="0"/>
    <x v="1"/>
    <x v="2"/>
    <x v="314"/>
    <x v="261"/>
    <x v="261"/>
    <s v="REVENUS"/>
    <x v="2"/>
    <s v="4001.002"/>
    <s v="Impôt complément s/revenu PP"/>
    <n v="0"/>
    <n v="-1336"/>
    <n v="4001"/>
  </r>
  <r>
    <x v="0"/>
    <x v="1"/>
    <x v="2"/>
    <x v="314"/>
    <x v="261"/>
    <x v="261"/>
    <s v="REVENUS"/>
    <x v="3"/>
    <s v="4002.002"/>
    <s v="Impôt complémentaire s/fortune PP"/>
    <n v="0"/>
    <n v="-375"/>
    <n v="4002"/>
  </r>
  <r>
    <x v="0"/>
    <x v="1"/>
    <x v="2"/>
    <x v="314"/>
    <x v="261"/>
    <x v="261"/>
    <s v="REVENUS"/>
    <x v="6"/>
    <s v="4211.002"/>
    <s v="Intérêts de retard sur acomptes"/>
    <n v="0"/>
    <n v="0.19"/>
    <n v="4211"/>
  </r>
  <r>
    <x v="0"/>
    <x v="1"/>
    <x v="2"/>
    <x v="314"/>
    <x v="261"/>
    <x v="261"/>
    <s v="REVENUS"/>
    <x v="4"/>
    <s v="4051.002"/>
    <s v="Impôt sur les donations"/>
    <n v="0"/>
    <n v="5654.8"/>
    <n v="4051"/>
  </r>
  <r>
    <x v="0"/>
    <x v="1"/>
    <x v="2"/>
    <x v="314"/>
    <x v="261"/>
    <x v="261"/>
    <s v="REVENUS"/>
    <x v="13"/>
    <s v="4371.013"/>
    <s v="Amende soustraction LMSD"/>
    <n v="0"/>
    <n v="868.25"/>
    <n v="4371"/>
  </r>
  <r>
    <x v="0"/>
    <x v="1"/>
    <x v="2"/>
    <x v="314"/>
    <x v="261"/>
    <x v="261"/>
    <s v="REVENUS"/>
    <x v="2"/>
    <s v="4001.001"/>
    <s v="Impôt revenu"/>
    <n v="0"/>
    <n v="109.85"/>
    <n v="4001"/>
  </r>
  <r>
    <x v="0"/>
    <x v="1"/>
    <x v="2"/>
    <x v="314"/>
    <x v="261"/>
    <x v="261"/>
    <s v="REVENUS"/>
    <x v="3"/>
    <s v="4002.001"/>
    <s v="Impôt ordinaire s/fortune PP"/>
    <n v="0"/>
    <n v="87.8"/>
    <n v="4002"/>
  </r>
  <r>
    <x v="0"/>
    <x v="1"/>
    <x v="2"/>
    <x v="314"/>
    <x v="261"/>
    <x v="261"/>
    <s v="REVENUS"/>
    <x v="12"/>
    <s v="4004.000"/>
    <s v="Impôt spécial étrangers"/>
    <n v="0"/>
    <n v="343546"/>
    <n v="4004"/>
  </r>
  <r>
    <x v="0"/>
    <x v="1"/>
    <x v="2"/>
    <x v="314"/>
    <x v="261"/>
    <x v="261"/>
    <s v="REVENUS"/>
    <x v="7"/>
    <s v="4184.000"/>
    <s v="Frais de poursuite"/>
    <n v="0"/>
    <n v="1.5"/>
    <n v="4184"/>
  </r>
  <r>
    <x v="0"/>
    <x v="1"/>
    <x v="2"/>
    <x v="314"/>
    <x v="261"/>
    <x v="261"/>
    <s v="REVENUS"/>
    <x v="6"/>
    <s v="4211.001"/>
    <s v="Intérêts de retard sur factures"/>
    <n v="0"/>
    <n v="14.16"/>
    <n v="4211"/>
  </r>
  <r>
    <x v="0"/>
    <x v="1"/>
    <x v="2"/>
    <x v="314"/>
    <x v="261"/>
    <x v="261"/>
    <s v="REVENUS"/>
    <x v="2"/>
    <s v="4001.002"/>
    <s v="Impôt complément s/revenu PP"/>
    <n v="0"/>
    <n v="-2154.5"/>
    <n v="4001"/>
  </r>
  <r>
    <x v="0"/>
    <x v="1"/>
    <x v="2"/>
    <x v="314"/>
    <x v="261"/>
    <x v="261"/>
    <s v="REVENUS"/>
    <x v="3"/>
    <s v="4002.002"/>
    <s v="Impôt complémentaire s/fortune PP"/>
    <n v="0"/>
    <n v="-3991.75"/>
    <n v="4002"/>
  </r>
  <r>
    <x v="0"/>
    <x v="1"/>
    <x v="2"/>
    <x v="314"/>
    <x v="261"/>
    <x v="261"/>
    <s v="REVENUS"/>
    <x v="6"/>
    <s v="4211.002"/>
    <s v="Intérêts de retard sur acomptes"/>
    <n v="0"/>
    <n v="39.65"/>
    <n v="4211"/>
  </r>
  <r>
    <x v="0"/>
    <x v="1"/>
    <x v="2"/>
    <x v="314"/>
    <x v="261"/>
    <x v="261"/>
    <s v="REVENUS"/>
    <x v="6"/>
    <s v="4211.001"/>
    <s v="Intérêts de retard sur factures"/>
    <n v="0"/>
    <n v="0.13"/>
    <n v="4211"/>
  </r>
  <r>
    <x v="0"/>
    <x v="1"/>
    <x v="2"/>
    <x v="314"/>
    <x v="261"/>
    <x v="261"/>
    <s v="REVENUS"/>
    <x v="3"/>
    <s v="4002.001"/>
    <s v="Impôt ordinaire s/fortune PP"/>
    <n v="0"/>
    <n v="79.650000000000006"/>
    <n v="4002"/>
  </r>
  <r>
    <x v="0"/>
    <x v="1"/>
    <x v="2"/>
    <x v="314"/>
    <x v="261"/>
    <x v="261"/>
    <s v="REVENUS"/>
    <x v="2"/>
    <s v="4001.001"/>
    <s v="Impôt revenu"/>
    <n v="0"/>
    <n v="7"/>
    <n v="4001"/>
  </r>
  <r>
    <x v="0"/>
    <x v="1"/>
    <x v="2"/>
    <x v="314"/>
    <x v="261"/>
    <x v="261"/>
    <s v="REVENUS"/>
    <x v="2"/>
    <s v="4001.007"/>
    <s v="Acompte impôt sur revenu"/>
    <n v="0"/>
    <n v="-388.4"/>
    <n v="4001"/>
  </r>
  <r>
    <x v="0"/>
    <x v="1"/>
    <x v="2"/>
    <x v="314"/>
    <x v="261"/>
    <x v="261"/>
    <s v="REVENUS"/>
    <x v="3"/>
    <s v="4002.001"/>
    <s v="Impôt ordinaire s/fortune PP"/>
    <n v="0"/>
    <n v="17.149999999999999"/>
    <n v="4002"/>
  </r>
  <r>
    <x v="0"/>
    <x v="1"/>
    <x v="2"/>
    <x v="314"/>
    <x v="261"/>
    <x v="261"/>
    <s v="REVENUS"/>
    <x v="3"/>
    <s v="4002.007"/>
    <s v="Acompte impôt sur fortune"/>
    <n v="0"/>
    <n v="-630.4"/>
    <n v="4002"/>
  </r>
  <r>
    <x v="0"/>
    <x v="1"/>
    <x v="2"/>
    <x v="314"/>
    <x v="261"/>
    <x v="261"/>
    <s v="REVENUS"/>
    <x v="7"/>
    <s v="4184.000"/>
    <s v="Frais de poursuite"/>
    <n v="0"/>
    <n v="358.96"/>
    <n v="4184"/>
  </r>
  <r>
    <x v="0"/>
    <x v="1"/>
    <x v="2"/>
    <x v="314"/>
    <x v="261"/>
    <x v="261"/>
    <s v="REVENUS"/>
    <x v="2"/>
    <s v="4001.001"/>
    <s v="Impôt revenu"/>
    <n v="0"/>
    <n v="49.4"/>
    <n v="4001"/>
  </r>
  <r>
    <x v="0"/>
    <x v="1"/>
    <x v="2"/>
    <x v="314"/>
    <x v="261"/>
    <x v="261"/>
    <s v="REVENUS"/>
    <x v="6"/>
    <s v="4211.002"/>
    <s v="Intérêts de retard sur acomptes"/>
    <n v="0"/>
    <n v="0.28000000000000003"/>
    <n v="4211"/>
  </r>
  <r>
    <x v="0"/>
    <x v="1"/>
    <x v="2"/>
    <x v="314"/>
    <x v="261"/>
    <x v="261"/>
    <s v="REVENUS"/>
    <x v="8"/>
    <s v="4091.001"/>
    <s v="Impôt récupéré après défalcations"/>
    <n v="0"/>
    <n v="2353.0500000000002"/>
    <n v="4091"/>
  </r>
  <r>
    <x v="0"/>
    <x v="1"/>
    <x v="2"/>
    <x v="314"/>
    <x v="261"/>
    <x v="261"/>
    <s v="REVENUS"/>
    <x v="8"/>
    <s v="4091.001"/>
    <s v="Impôt récupéré après défalcations"/>
    <n v="0"/>
    <n v="1090.08"/>
    <n v="4091"/>
  </r>
  <r>
    <x v="0"/>
    <x v="1"/>
    <x v="2"/>
    <x v="314"/>
    <x v="261"/>
    <x v="261"/>
    <s v="REVENUS"/>
    <x v="3"/>
    <s v="4002.002"/>
    <s v="Impôt complémentaire s/fortune PP"/>
    <n v="0"/>
    <n v="365.7"/>
    <n v="4002"/>
  </r>
  <r>
    <x v="0"/>
    <x v="1"/>
    <x v="2"/>
    <x v="314"/>
    <x v="261"/>
    <x v="261"/>
    <s v="REVENUS"/>
    <x v="6"/>
    <s v="4211.002"/>
    <s v="Intérêts de retard sur acomptes"/>
    <n v="0"/>
    <n v="3.06"/>
    <n v="4211"/>
  </r>
  <r>
    <x v="0"/>
    <x v="1"/>
    <x v="2"/>
    <x v="314"/>
    <x v="261"/>
    <x v="261"/>
    <s v="REVENUS"/>
    <x v="7"/>
    <s v="4184.000"/>
    <s v="Frais de poursuite"/>
    <n v="0"/>
    <n v="0.45"/>
    <n v="4184"/>
  </r>
  <r>
    <x v="0"/>
    <x v="1"/>
    <x v="2"/>
    <x v="314"/>
    <x v="261"/>
    <x v="261"/>
    <s v="REVENUS"/>
    <x v="2"/>
    <s v="4001.001"/>
    <s v="Impôt revenu"/>
    <n v="0"/>
    <n v="18918.3"/>
    <n v="4001"/>
  </r>
  <r>
    <x v="0"/>
    <x v="1"/>
    <x v="2"/>
    <x v="314"/>
    <x v="261"/>
    <x v="261"/>
    <s v="REVENUS"/>
    <x v="3"/>
    <s v="4002.001"/>
    <s v="Impôt ordinaire s/fortune PP"/>
    <n v="0"/>
    <n v="6440.1"/>
    <n v="4002"/>
  </r>
  <r>
    <x v="0"/>
    <x v="1"/>
    <x v="2"/>
    <x v="314"/>
    <x v="261"/>
    <x v="261"/>
    <s v="REVENUS"/>
    <x v="6"/>
    <s v="4211.002"/>
    <s v="Intérêts de retard sur acomptes"/>
    <n v="0"/>
    <n v="870.9"/>
    <n v="4211"/>
  </r>
  <r>
    <x v="0"/>
    <x v="1"/>
    <x v="2"/>
    <x v="314"/>
    <x v="261"/>
    <x v="261"/>
    <s v="REVENUS"/>
    <x v="6"/>
    <s v="4211.001"/>
    <s v="Intérêts de retard sur factures"/>
    <n v="0"/>
    <n v="0.97"/>
    <n v="4211"/>
  </r>
  <r>
    <x v="0"/>
    <x v="1"/>
    <x v="2"/>
    <x v="314"/>
    <x v="261"/>
    <x v="261"/>
    <s v="REVENUS"/>
    <x v="6"/>
    <s v="4221.003"/>
    <s v="Intérêts compensat. / acomptes en faveur du fisc"/>
    <n v="0"/>
    <n v="0.02"/>
    <n v="4221"/>
  </r>
  <r>
    <x v="0"/>
    <x v="1"/>
    <x v="2"/>
    <x v="314"/>
    <x v="261"/>
    <x v="261"/>
    <s v="REVENUS"/>
    <x v="2"/>
    <s v="4001.002"/>
    <s v="Impôt complément s/revenu PP"/>
    <n v="0"/>
    <n v="14542.25"/>
    <n v="4001"/>
  </r>
  <r>
    <x v="0"/>
    <x v="1"/>
    <x v="2"/>
    <x v="314"/>
    <x v="261"/>
    <x v="261"/>
    <s v="REVENUS"/>
    <x v="3"/>
    <s v="4002.002"/>
    <s v="Impôt complémentaire s/fortune PP"/>
    <n v="0"/>
    <n v="4241.05"/>
    <n v="4002"/>
  </r>
  <r>
    <x v="0"/>
    <x v="1"/>
    <x v="2"/>
    <x v="314"/>
    <x v="261"/>
    <x v="261"/>
    <s v="REVENUS"/>
    <x v="6"/>
    <s v="4211.001"/>
    <s v="Intérêts de retard sur factures"/>
    <n v="0"/>
    <n v="596.04999999999995"/>
    <n v="4211"/>
  </r>
  <r>
    <x v="0"/>
    <x v="1"/>
    <x v="2"/>
    <x v="315"/>
    <x v="262"/>
    <x v="262"/>
    <s v="CHARGES"/>
    <x v="0"/>
    <s v="3212.004"/>
    <s v="Intérêts rémun./perçu trop tôt sur acomptes C/C"/>
    <n v="2559.04"/>
    <n v="0"/>
    <n v="3212"/>
  </r>
  <r>
    <x v="0"/>
    <x v="1"/>
    <x v="2"/>
    <x v="315"/>
    <x v="262"/>
    <x v="262"/>
    <s v="CHARGES"/>
    <x v="0"/>
    <s v="3212.004"/>
    <s v="Intérêts rémun./perçu trop tôt sur acomptes C/C"/>
    <n v="33.54"/>
    <n v="0"/>
    <n v="3212"/>
  </r>
  <r>
    <x v="0"/>
    <x v="1"/>
    <x v="2"/>
    <x v="315"/>
    <x v="262"/>
    <x v="262"/>
    <s v="CHARGES"/>
    <x v="0"/>
    <s v="3212.002"/>
    <s v="Intérêts bonifiés/trop perçu acompte C/C"/>
    <n v="616.82000000000005"/>
    <n v="0"/>
    <n v="3212"/>
  </r>
  <r>
    <x v="0"/>
    <x v="1"/>
    <x v="2"/>
    <x v="315"/>
    <x v="262"/>
    <x v="262"/>
    <s v="CHARGES"/>
    <x v="0"/>
    <s v="3221.002"/>
    <s v="Intérêts compensatoires / créances en faveur ctb."/>
    <n v="843.72"/>
    <n v="0"/>
    <n v="3221"/>
  </r>
  <r>
    <x v="0"/>
    <x v="1"/>
    <x v="2"/>
    <x v="315"/>
    <x v="262"/>
    <x v="262"/>
    <s v="CHARGES"/>
    <x v="1"/>
    <s v="3301.001"/>
    <s v="Défalcations, abandons de solde PP et IS"/>
    <n v="120926.76"/>
    <n v="0"/>
    <n v="3301"/>
  </r>
  <r>
    <x v="0"/>
    <x v="1"/>
    <x v="2"/>
    <x v="315"/>
    <x v="262"/>
    <x v="262"/>
    <s v="CHARGES"/>
    <x v="0"/>
    <s v="3221.002"/>
    <s v="Intérêts compensatoires / créances en faveur ctb."/>
    <n v="7.03"/>
    <n v="0"/>
    <n v="3221"/>
  </r>
  <r>
    <x v="0"/>
    <x v="1"/>
    <x v="2"/>
    <x v="315"/>
    <x v="262"/>
    <x v="262"/>
    <s v="CHARGES"/>
    <x v="1"/>
    <s v="3301.001"/>
    <s v="Défalcations, abandons de solde PP et IS"/>
    <n v="-206.07"/>
    <n v="0"/>
    <n v="3301"/>
  </r>
  <r>
    <x v="0"/>
    <x v="1"/>
    <x v="2"/>
    <x v="315"/>
    <x v="262"/>
    <x v="262"/>
    <s v="CHARGES"/>
    <x v="0"/>
    <s v="3221.002"/>
    <s v="Intérêts compensatoires / créances en faveur ctb."/>
    <n v="14.14"/>
    <n v="0"/>
    <n v="3221"/>
  </r>
  <r>
    <x v="0"/>
    <x v="1"/>
    <x v="2"/>
    <x v="315"/>
    <x v="262"/>
    <x v="262"/>
    <s v="CHARGES"/>
    <x v="1"/>
    <s v="3301.001"/>
    <s v="Défalcations, abandons de solde PP et IS"/>
    <n v="4.8499999999999996"/>
    <n v="0"/>
    <n v="3301"/>
  </r>
  <r>
    <x v="0"/>
    <x v="1"/>
    <x v="2"/>
    <x v="315"/>
    <x v="262"/>
    <x v="262"/>
    <s v="CHARGES"/>
    <x v="0"/>
    <s v="3212.002"/>
    <s v="Intérêts bonifiés/trop perçu acompte C/C"/>
    <n v="-0.38"/>
    <n v="0"/>
    <n v="3212"/>
  </r>
  <r>
    <x v="0"/>
    <x v="1"/>
    <x v="2"/>
    <x v="315"/>
    <x v="262"/>
    <x v="262"/>
    <s v="CHARGES"/>
    <x v="0"/>
    <s v="3212.004"/>
    <s v="Intérêts rémun./perçu trop tôt sur acomptes C/C"/>
    <n v="1.37"/>
    <n v="0"/>
    <n v="3212"/>
  </r>
  <r>
    <x v="0"/>
    <x v="1"/>
    <x v="2"/>
    <x v="315"/>
    <x v="262"/>
    <x v="262"/>
    <s v="CHARGES"/>
    <x v="1"/>
    <s v="3301.001"/>
    <s v="Défalcations, abandons de solde PP et IS"/>
    <n v="2.58"/>
    <n v="0"/>
    <n v="3301"/>
  </r>
  <r>
    <x v="0"/>
    <x v="1"/>
    <x v="2"/>
    <x v="315"/>
    <x v="262"/>
    <x v="262"/>
    <s v="CHARGES"/>
    <x v="0"/>
    <s v="3212.004"/>
    <s v="Intérêts rémun./perçu trop tôt sur acomptes C/C"/>
    <n v="-134.44999999999999"/>
    <n v="0"/>
    <n v="3212"/>
  </r>
  <r>
    <x v="0"/>
    <x v="1"/>
    <x v="2"/>
    <x v="315"/>
    <x v="262"/>
    <x v="262"/>
    <s v="CHARGES"/>
    <x v="0"/>
    <s v="3221.004"/>
    <s v="Intérêts compensatoires / acomptes en faveur du ct"/>
    <n v="-1.88"/>
    <n v="0"/>
    <n v="3221"/>
  </r>
  <r>
    <x v="0"/>
    <x v="1"/>
    <x v="2"/>
    <x v="315"/>
    <x v="262"/>
    <x v="262"/>
    <s v="CHARGES"/>
    <x v="0"/>
    <s v="3212.004"/>
    <s v="Intérêts rémun./perçu trop tôt sur acomptes C/C"/>
    <n v="9.9600000000000009"/>
    <n v="0"/>
    <n v="3212"/>
  </r>
  <r>
    <x v="0"/>
    <x v="1"/>
    <x v="2"/>
    <x v="315"/>
    <x v="262"/>
    <x v="262"/>
    <s v="CHARGES"/>
    <x v="0"/>
    <s v="3221.002"/>
    <s v="Intérêts compensatoires / créances en faveur ctb."/>
    <n v="12.45"/>
    <n v="0"/>
    <n v="3221"/>
  </r>
  <r>
    <x v="0"/>
    <x v="1"/>
    <x v="2"/>
    <x v="315"/>
    <x v="262"/>
    <x v="262"/>
    <s v="CHARGES"/>
    <x v="0"/>
    <s v="3212.004"/>
    <s v="Intérêts rémun./perçu trop tôt sur acomptes C/C"/>
    <n v="1.62"/>
    <n v="0"/>
    <n v="3212"/>
  </r>
  <r>
    <x v="0"/>
    <x v="1"/>
    <x v="2"/>
    <x v="315"/>
    <x v="262"/>
    <x v="262"/>
    <s v="CHARGES"/>
    <x v="0"/>
    <s v="3221.002"/>
    <s v="Intérêts compensatoires / créances en faveur ctb."/>
    <n v="0.86"/>
    <n v="0"/>
    <n v="3221"/>
  </r>
  <r>
    <x v="0"/>
    <x v="1"/>
    <x v="2"/>
    <x v="315"/>
    <x v="262"/>
    <x v="262"/>
    <s v="CHARGES"/>
    <x v="0"/>
    <s v="3221.002"/>
    <s v="Intérêts compensatoires / créances en faveur ctb."/>
    <n v="0.22"/>
    <n v="0"/>
    <n v="3221"/>
  </r>
  <r>
    <x v="0"/>
    <x v="1"/>
    <x v="2"/>
    <x v="315"/>
    <x v="262"/>
    <x v="262"/>
    <s v="CHARGES"/>
    <x v="1"/>
    <s v="3301.001"/>
    <s v="Défalcations, abandons de solde PP et IS"/>
    <n v="1695.21"/>
    <n v="0"/>
    <n v="3301"/>
  </r>
  <r>
    <x v="0"/>
    <x v="1"/>
    <x v="2"/>
    <x v="315"/>
    <x v="262"/>
    <x v="262"/>
    <s v="CHARGES"/>
    <x v="0"/>
    <s v="3212.004"/>
    <s v="Intérêts rémun./perçu trop tôt sur acomptes C/C"/>
    <n v="2.86"/>
    <n v="0"/>
    <n v="3212"/>
  </r>
  <r>
    <x v="0"/>
    <x v="1"/>
    <x v="2"/>
    <x v="315"/>
    <x v="262"/>
    <x v="262"/>
    <s v="CHARGES"/>
    <x v="0"/>
    <s v="3221.002"/>
    <s v="Intérêts compensatoires / créances en faveur ctb."/>
    <n v="0.02"/>
    <n v="0"/>
    <n v="3221"/>
  </r>
  <r>
    <x v="0"/>
    <x v="1"/>
    <x v="2"/>
    <x v="315"/>
    <x v="262"/>
    <x v="262"/>
    <s v="CHARGES"/>
    <x v="1"/>
    <s v="3301.001"/>
    <s v="Défalcations, abandons de solde PP et IS"/>
    <n v="0.09"/>
    <n v="0"/>
    <n v="3301"/>
  </r>
  <r>
    <x v="0"/>
    <x v="1"/>
    <x v="2"/>
    <x v="315"/>
    <x v="262"/>
    <x v="262"/>
    <s v="CHARGES"/>
    <x v="1"/>
    <s v="3301.003"/>
    <s v="Remises PP et IS"/>
    <n v="8407.5499999999993"/>
    <n v="0"/>
    <n v="3301"/>
  </r>
  <r>
    <x v="0"/>
    <x v="1"/>
    <x v="2"/>
    <x v="315"/>
    <x v="262"/>
    <x v="262"/>
    <s v="CHARGES"/>
    <x v="0"/>
    <s v="3212.002"/>
    <s v="Intérêts bonifiés/trop perçu acompte C/C"/>
    <n v="0.13"/>
    <n v="0"/>
    <n v="3212"/>
  </r>
  <r>
    <x v="0"/>
    <x v="1"/>
    <x v="2"/>
    <x v="315"/>
    <x v="262"/>
    <x v="262"/>
    <s v="CHARGES"/>
    <x v="1"/>
    <s v="3301.001"/>
    <s v="Défalcations, abandons de solde PP et IS"/>
    <n v="0.01"/>
    <n v="0"/>
    <n v="3301"/>
  </r>
  <r>
    <x v="0"/>
    <x v="1"/>
    <x v="2"/>
    <x v="315"/>
    <x v="262"/>
    <x v="262"/>
    <s v="CHARGES"/>
    <x v="0"/>
    <s v="3221.002"/>
    <s v="Intérêts compensatoires / créances en faveur ctb."/>
    <n v="3.85"/>
    <n v="0"/>
    <n v="3221"/>
  </r>
  <r>
    <x v="0"/>
    <x v="1"/>
    <x v="2"/>
    <x v="315"/>
    <x v="262"/>
    <x v="262"/>
    <s v="CHARGES"/>
    <x v="0"/>
    <s v="3212.004"/>
    <s v="Intérêts rémun./perçu trop tôt sur acomptes C/C"/>
    <n v="9.51"/>
    <n v="0"/>
    <n v="3212"/>
  </r>
  <r>
    <x v="0"/>
    <x v="1"/>
    <x v="2"/>
    <x v="315"/>
    <x v="262"/>
    <x v="262"/>
    <s v="CHARGES"/>
    <x v="1"/>
    <s v="3301.001"/>
    <s v="Défalcations, abandons de solde PP et IS"/>
    <n v="-34.99"/>
    <n v="0"/>
    <n v="3301"/>
  </r>
  <r>
    <x v="0"/>
    <x v="1"/>
    <x v="2"/>
    <x v="315"/>
    <x v="262"/>
    <x v="262"/>
    <s v="CHARGES"/>
    <x v="1"/>
    <s v="3301.001"/>
    <s v="Défalcations, abandons de solde PP et IS"/>
    <n v="449.22"/>
    <n v="0"/>
    <n v="3301"/>
  </r>
  <r>
    <x v="0"/>
    <x v="1"/>
    <x v="2"/>
    <x v="315"/>
    <x v="262"/>
    <x v="262"/>
    <s v="CHARGES"/>
    <x v="0"/>
    <s v="3212.002"/>
    <s v="Intérêts bonifiés/trop perçu acompte C/C"/>
    <n v="1.03"/>
    <n v="0"/>
    <n v="3212"/>
  </r>
  <r>
    <x v="0"/>
    <x v="1"/>
    <x v="2"/>
    <x v="315"/>
    <x v="262"/>
    <x v="262"/>
    <s v="CHARGES"/>
    <x v="1"/>
    <s v="3301.001"/>
    <s v="Défalcations, abandons de solde PP et IS"/>
    <n v="-0.24"/>
    <n v="0"/>
    <n v="3301"/>
  </r>
  <r>
    <x v="0"/>
    <x v="1"/>
    <x v="2"/>
    <x v="315"/>
    <x v="262"/>
    <x v="262"/>
    <s v="REVENUS"/>
    <x v="2"/>
    <s v="4001.001"/>
    <s v="Impôt revenu"/>
    <n v="0"/>
    <n v="10448692.1"/>
    <n v="4001"/>
  </r>
  <r>
    <x v="0"/>
    <x v="1"/>
    <x v="2"/>
    <x v="315"/>
    <x v="262"/>
    <x v="262"/>
    <s v="REVENUS"/>
    <x v="2"/>
    <s v="4001.007"/>
    <s v="Acompte impôt sur revenu"/>
    <n v="0"/>
    <n v="685506.21"/>
    <n v="4001"/>
  </r>
  <r>
    <x v="0"/>
    <x v="1"/>
    <x v="2"/>
    <x v="315"/>
    <x v="262"/>
    <x v="262"/>
    <s v="REVENUS"/>
    <x v="3"/>
    <s v="4002.001"/>
    <s v="Impôt ordinaire s/fortune PP"/>
    <n v="0"/>
    <n v="2047545.5"/>
    <n v="4002"/>
  </r>
  <r>
    <x v="0"/>
    <x v="1"/>
    <x v="2"/>
    <x v="315"/>
    <x v="262"/>
    <x v="262"/>
    <s v="REVENUS"/>
    <x v="3"/>
    <s v="4002.007"/>
    <s v="Acompte impôt sur fortune"/>
    <n v="0"/>
    <n v="247528.1"/>
    <n v="4002"/>
  </r>
  <r>
    <x v="0"/>
    <x v="1"/>
    <x v="2"/>
    <x v="315"/>
    <x v="262"/>
    <x v="262"/>
    <s v="REVENUS"/>
    <x v="6"/>
    <s v="4221.003"/>
    <s v="Intérêts compensat. / acomptes en faveur du fisc"/>
    <n v="0"/>
    <n v="2217.59"/>
    <n v="4221"/>
  </r>
  <r>
    <x v="0"/>
    <x v="1"/>
    <x v="2"/>
    <x v="315"/>
    <x v="262"/>
    <x v="262"/>
    <s v="REVENUS"/>
    <x v="2"/>
    <s v="4001.001"/>
    <s v="Impôt revenu"/>
    <n v="0"/>
    <n v="74211.600000000006"/>
    <n v="4001"/>
  </r>
  <r>
    <x v="0"/>
    <x v="1"/>
    <x v="2"/>
    <x v="315"/>
    <x v="262"/>
    <x v="262"/>
    <s v="REVENUS"/>
    <x v="3"/>
    <s v="4002.001"/>
    <s v="Impôt ordinaire s/fortune PP"/>
    <n v="0"/>
    <n v="26310.1"/>
    <n v="4002"/>
  </r>
  <r>
    <x v="0"/>
    <x v="1"/>
    <x v="2"/>
    <x v="315"/>
    <x v="262"/>
    <x v="262"/>
    <s v="REVENUS"/>
    <x v="2"/>
    <s v="4001.007"/>
    <s v="Acompte impôt sur revenu"/>
    <n v="0"/>
    <n v="-57280.38"/>
    <n v="4001"/>
  </r>
  <r>
    <x v="0"/>
    <x v="1"/>
    <x v="2"/>
    <x v="315"/>
    <x v="262"/>
    <x v="262"/>
    <s v="REVENUS"/>
    <x v="3"/>
    <s v="4002.007"/>
    <s v="Acompte impôt sur fortune"/>
    <n v="0"/>
    <n v="-10467.74"/>
    <n v="4002"/>
  </r>
  <r>
    <x v="0"/>
    <x v="1"/>
    <x v="2"/>
    <x v="315"/>
    <x v="262"/>
    <x v="262"/>
    <s v="REVENUS"/>
    <x v="2"/>
    <s v="4001.002"/>
    <s v="Impôt complément s/revenu PP"/>
    <n v="0"/>
    <n v="3009956.6"/>
    <n v="4001"/>
  </r>
  <r>
    <x v="0"/>
    <x v="1"/>
    <x v="2"/>
    <x v="315"/>
    <x v="262"/>
    <x v="262"/>
    <s v="REVENUS"/>
    <x v="3"/>
    <s v="4002.002"/>
    <s v="Impôt complémentaire s/fortune PP"/>
    <n v="0"/>
    <n v="662180.4"/>
    <n v="4002"/>
  </r>
  <r>
    <x v="0"/>
    <x v="1"/>
    <x v="2"/>
    <x v="315"/>
    <x v="262"/>
    <x v="262"/>
    <s v="REVENUS"/>
    <x v="6"/>
    <s v="4211.001"/>
    <s v="Intérêts de retard sur factures"/>
    <n v="0"/>
    <n v="73515.850000000006"/>
    <n v="4211"/>
  </r>
  <r>
    <x v="0"/>
    <x v="1"/>
    <x v="2"/>
    <x v="315"/>
    <x v="262"/>
    <x v="262"/>
    <s v="REVENUS"/>
    <x v="6"/>
    <s v="4211.002"/>
    <s v="Intérêts de retard sur acomptes"/>
    <n v="0"/>
    <n v="65950.399999999994"/>
    <n v="4211"/>
  </r>
  <r>
    <x v="0"/>
    <x v="1"/>
    <x v="2"/>
    <x v="315"/>
    <x v="262"/>
    <x v="262"/>
    <s v="REVENUS"/>
    <x v="2"/>
    <s v="4001.001"/>
    <s v="Impôt revenu"/>
    <n v="0"/>
    <n v="-556890.9"/>
    <n v="4001"/>
  </r>
  <r>
    <x v="0"/>
    <x v="1"/>
    <x v="2"/>
    <x v="315"/>
    <x v="262"/>
    <x v="262"/>
    <s v="REVENUS"/>
    <x v="3"/>
    <s v="4002.001"/>
    <s v="Impôt ordinaire s/fortune PP"/>
    <n v="0"/>
    <n v="-46549.95"/>
    <n v="4002"/>
  </r>
  <r>
    <x v="0"/>
    <x v="1"/>
    <x v="2"/>
    <x v="315"/>
    <x v="262"/>
    <x v="262"/>
    <s v="REVENUS"/>
    <x v="2"/>
    <s v="4001.007"/>
    <s v="Acompte impôt sur revenu"/>
    <n v="0"/>
    <n v="15205.73"/>
    <n v="4001"/>
  </r>
  <r>
    <x v="0"/>
    <x v="1"/>
    <x v="2"/>
    <x v="315"/>
    <x v="262"/>
    <x v="262"/>
    <s v="REVENUS"/>
    <x v="3"/>
    <s v="4002.007"/>
    <s v="Acompte impôt sur fortune"/>
    <n v="0"/>
    <n v="5009.72"/>
    <n v="4002"/>
  </r>
  <r>
    <x v="0"/>
    <x v="1"/>
    <x v="2"/>
    <x v="315"/>
    <x v="262"/>
    <x v="262"/>
    <s v="REVENUS"/>
    <x v="6"/>
    <s v="4211.002"/>
    <s v="Intérêts de retard sur acomptes"/>
    <n v="0"/>
    <n v="229.49"/>
    <n v="4211"/>
  </r>
  <r>
    <x v="0"/>
    <x v="1"/>
    <x v="2"/>
    <x v="315"/>
    <x v="262"/>
    <x v="262"/>
    <s v="REVENUS"/>
    <x v="6"/>
    <s v="4221.003"/>
    <s v="Intérêts compensat. / acomptes en faveur du fisc"/>
    <n v="0"/>
    <n v="38.340000000000003"/>
    <n v="4221"/>
  </r>
  <r>
    <x v="0"/>
    <x v="1"/>
    <x v="2"/>
    <x v="315"/>
    <x v="262"/>
    <x v="262"/>
    <s v="REVENUS"/>
    <x v="7"/>
    <s v="4184.000"/>
    <s v="Frais de poursuite"/>
    <n v="0"/>
    <n v="12271.12"/>
    <n v="4184"/>
  </r>
  <r>
    <x v="0"/>
    <x v="1"/>
    <x v="2"/>
    <x v="315"/>
    <x v="262"/>
    <x v="262"/>
    <s v="REVENUS"/>
    <x v="12"/>
    <s v="4004.000"/>
    <s v="Impôt spécial étrangers"/>
    <n v="0"/>
    <n v="46365.9"/>
    <n v="4004"/>
  </r>
  <r>
    <x v="0"/>
    <x v="1"/>
    <x v="2"/>
    <x v="315"/>
    <x v="262"/>
    <x v="262"/>
    <s v="REVENUS"/>
    <x v="12"/>
    <s v="4004.007"/>
    <s v="Acompte spécial étrangers"/>
    <n v="0"/>
    <n v="-23157.45"/>
    <n v="4004"/>
  </r>
  <r>
    <x v="0"/>
    <x v="1"/>
    <x v="2"/>
    <x v="315"/>
    <x v="262"/>
    <x v="262"/>
    <s v="REVENUS"/>
    <x v="6"/>
    <s v="4211.002"/>
    <s v="Intérêts de retard sur acomptes"/>
    <n v="0"/>
    <n v="15.35"/>
    <n v="4211"/>
  </r>
  <r>
    <x v="0"/>
    <x v="1"/>
    <x v="2"/>
    <x v="315"/>
    <x v="262"/>
    <x v="262"/>
    <s v="REVENUS"/>
    <x v="2"/>
    <s v="4001.007"/>
    <s v="Acompte impôt sur revenu"/>
    <n v="0"/>
    <n v="446.3"/>
    <n v="4001"/>
  </r>
  <r>
    <x v="0"/>
    <x v="1"/>
    <x v="2"/>
    <x v="315"/>
    <x v="262"/>
    <x v="262"/>
    <s v="REVENUS"/>
    <x v="3"/>
    <s v="4002.007"/>
    <s v="Acompte impôt sur fortune"/>
    <n v="0"/>
    <n v="-143.05000000000001"/>
    <n v="4002"/>
  </r>
  <r>
    <x v="0"/>
    <x v="1"/>
    <x v="2"/>
    <x v="315"/>
    <x v="262"/>
    <x v="262"/>
    <s v="REVENUS"/>
    <x v="2"/>
    <s v="4001.003"/>
    <s v="Impôt s/prest. cap. PP"/>
    <n v="0"/>
    <n v="365237.6"/>
    <n v="4001"/>
  </r>
  <r>
    <x v="0"/>
    <x v="1"/>
    <x v="2"/>
    <x v="315"/>
    <x v="262"/>
    <x v="262"/>
    <s v="REVENUS"/>
    <x v="2"/>
    <s v="4001.001"/>
    <s v="Impôt revenu"/>
    <n v="0"/>
    <n v="36423.550000000003"/>
    <n v="4001"/>
  </r>
  <r>
    <x v="0"/>
    <x v="1"/>
    <x v="2"/>
    <x v="315"/>
    <x v="262"/>
    <x v="262"/>
    <s v="REVENUS"/>
    <x v="3"/>
    <s v="4002.001"/>
    <s v="Impôt ordinaire s/fortune PP"/>
    <n v="0"/>
    <n v="14523.45"/>
    <n v="4002"/>
  </r>
  <r>
    <x v="0"/>
    <x v="1"/>
    <x v="2"/>
    <x v="315"/>
    <x v="262"/>
    <x v="262"/>
    <s v="REVENUS"/>
    <x v="3"/>
    <s v="4002.007"/>
    <s v="Acompte impôt sur fortune"/>
    <n v="0"/>
    <n v="-3943.07"/>
    <n v="4002"/>
  </r>
  <r>
    <x v="0"/>
    <x v="1"/>
    <x v="2"/>
    <x v="315"/>
    <x v="262"/>
    <x v="262"/>
    <s v="REVENUS"/>
    <x v="6"/>
    <s v="4211.002"/>
    <s v="Intérêts de retard sur acomptes"/>
    <n v="0"/>
    <n v="190"/>
    <n v="4211"/>
  </r>
  <r>
    <x v="0"/>
    <x v="1"/>
    <x v="2"/>
    <x v="315"/>
    <x v="262"/>
    <x v="262"/>
    <s v="REVENUS"/>
    <x v="2"/>
    <s v="4001.007"/>
    <s v="Acompte impôt sur revenu"/>
    <n v="0"/>
    <n v="-222.12"/>
    <n v="4001"/>
  </r>
  <r>
    <x v="0"/>
    <x v="1"/>
    <x v="2"/>
    <x v="315"/>
    <x v="262"/>
    <x v="262"/>
    <s v="REVENUS"/>
    <x v="2"/>
    <s v="4001.001"/>
    <s v="Impôt revenu"/>
    <n v="0"/>
    <n v="6923.7"/>
    <n v="4001"/>
  </r>
  <r>
    <x v="0"/>
    <x v="1"/>
    <x v="2"/>
    <x v="315"/>
    <x v="262"/>
    <x v="262"/>
    <s v="REVENUS"/>
    <x v="6"/>
    <s v="4221.003"/>
    <s v="Intérêts compensat. / acomptes en faveur du fisc"/>
    <n v="0"/>
    <n v="2.35"/>
    <n v="4221"/>
  </r>
  <r>
    <x v="0"/>
    <x v="1"/>
    <x v="2"/>
    <x v="315"/>
    <x v="262"/>
    <x v="262"/>
    <s v="REVENUS"/>
    <x v="12"/>
    <s v="4004.007"/>
    <s v="Acompte spécial étrangers"/>
    <n v="0"/>
    <n v="-447538.75"/>
    <n v="4004"/>
  </r>
  <r>
    <x v="0"/>
    <x v="1"/>
    <x v="2"/>
    <x v="315"/>
    <x v="262"/>
    <x v="262"/>
    <s v="REVENUS"/>
    <x v="2"/>
    <s v="4001.002"/>
    <s v="Impôt complément s/revenu PP"/>
    <n v="0"/>
    <n v="-7116.7"/>
    <n v="4001"/>
  </r>
  <r>
    <x v="0"/>
    <x v="1"/>
    <x v="2"/>
    <x v="315"/>
    <x v="262"/>
    <x v="262"/>
    <s v="REVENUS"/>
    <x v="2"/>
    <s v="4001.002"/>
    <s v="Impôt complément s/revenu PP"/>
    <n v="0"/>
    <n v="443.25"/>
    <n v="4001"/>
  </r>
  <r>
    <x v="0"/>
    <x v="1"/>
    <x v="2"/>
    <x v="315"/>
    <x v="262"/>
    <x v="262"/>
    <s v="REVENUS"/>
    <x v="3"/>
    <s v="4002.001"/>
    <s v="Impôt ordinaire s/fortune PP"/>
    <n v="0"/>
    <n v="2031.25"/>
    <n v="4002"/>
  </r>
  <r>
    <x v="0"/>
    <x v="1"/>
    <x v="2"/>
    <x v="315"/>
    <x v="262"/>
    <x v="262"/>
    <s v="REVENUS"/>
    <x v="3"/>
    <s v="4002.002"/>
    <s v="Impôt complémentaire s/fortune PP"/>
    <n v="0"/>
    <n v="51.55"/>
    <n v="4002"/>
  </r>
  <r>
    <x v="0"/>
    <x v="1"/>
    <x v="2"/>
    <x v="315"/>
    <x v="262"/>
    <x v="262"/>
    <s v="REVENUS"/>
    <x v="9"/>
    <s v="4031.001"/>
    <s v="Impôt sur les gains immobiliers"/>
    <n v="0"/>
    <n v="475797.7"/>
    <n v="4031"/>
  </r>
  <r>
    <x v="0"/>
    <x v="1"/>
    <x v="2"/>
    <x v="315"/>
    <x v="262"/>
    <x v="262"/>
    <s v="REVENUS"/>
    <x v="5"/>
    <s v="4061.000"/>
    <s v="Impôt sur les chiens"/>
    <n v="0"/>
    <n v="19650"/>
    <n v="4061"/>
  </r>
  <r>
    <x v="0"/>
    <x v="1"/>
    <x v="2"/>
    <x v="315"/>
    <x v="262"/>
    <x v="262"/>
    <s v="REVENUS"/>
    <x v="6"/>
    <s v="4221.002"/>
    <s v="Intérêts compensat. sur impôts distincts"/>
    <n v="0"/>
    <n v="49.79"/>
    <n v="4221"/>
  </r>
  <r>
    <x v="0"/>
    <x v="1"/>
    <x v="2"/>
    <x v="315"/>
    <x v="262"/>
    <x v="262"/>
    <s v="REVENUS"/>
    <x v="8"/>
    <s v="4091.001"/>
    <s v="Impôt récupéré après défalcations"/>
    <n v="0"/>
    <n v="8468.2999999999993"/>
    <n v="4091"/>
  </r>
  <r>
    <x v="0"/>
    <x v="1"/>
    <x v="2"/>
    <x v="315"/>
    <x v="262"/>
    <x v="262"/>
    <s v="REVENUS"/>
    <x v="2"/>
    <s v="4001.007"/>
    <s v="Acompte impôt sur revenu"/>
    <n v="0"/>
    <n v="5989.31"/>
    <n v="4001"/>
  </r>
  <r>
    <x v="0"/>
    <x v="1"/>
    <x v="2"/>
    <x v="315"/>
    <x v="262"/>
    <x v="262"/>
    <s v="REVENUS"/>
    <x v="2"/>
    <s v="4001.007"/>
    <s v="Acompte impôt sur revenu"/>
    <n v="0"/>
    <n v="-2209.17"/>
    <n v="4001"/>
  </r>
  <r>
    <x v="0"/>
    <x v="1"/>
    <x v="2"/>
    <x v="315"/>
    <x v="262"/>
    <x v="262"/>
    <s v="REVENUS"/>
    <x v="6"/>
    <s v="4211.001"/>
    <s v="Intérêts de retard sur factures"/>
    <n v="0"/>
    <n v="10.94"/>
    <n v="4211"/>
  </r>
  <r>
    <x v="0"/>
    <x v="1"/>
    <x v="2"/>
    <x v="315"/>
    <x v="262"/>
    <x v="262"/>
    <s v="REVENUS"/>
    <x v="2"/>
    <s v="4001.003"/>
    <s v="Impôt s/prest. cap. PP"/>
    <n v="0"/>
    <n v="-7741.75"/>
    <n v="4001"/>
  </r>
  <r>
    <x v="0"/>
    <x v="1"/>
    <x v="2"/>
    <x v="315"/>
    <x v="262"/>
    <x v="262"/>
    <s v="REVENUS"/>
    <x v="3"/>
    <s v="4002.007"/>
    <s v="Acompte impôt sur fortune"/>
    <n v="0"/>
    <n v="4610.8"/>
    <n v="4002"/>
  </r>
  <r>
    <x v="0"/>
    <x v="1"/>
    <x v="2"/>
    <x v="315"/>
    <x v="262"/>
    <x v="262"/>
    <s v="REVENUS"/>
    <x v="6"/>
    <s v="4211.002"/>
    <s v="Intérêts de retard sur acomptes"/>
    <n v="0"/>
    <n v="-821.18"/>
    <n v="4211"/>
  </r>
  <r>
    <x v="0"/>
    <x v="1"/>
    <x v="2"/>
    <x v="315"/>
    <x v="262"/>
    <x v="262"/>
    <s v="REVENUS"/>
    <x v="2"/>
    <s v="4001.002"/>
    <s v="Impôt complément s/revenu PP"/>
    <n v="0"/>
    <n v="26334.05"/>
    <n v="4001"/>
  </r>
  <r>
    <x v="0"/>
    <x v="1"/>
    <x v="2"/>
    <x v="315"/>
    <x v="262"/>
    <x v="262"/>
    <s v="REVENUS"/>
    <x v="3"/>
    <s v="4002.002"/>
    <s v="Impôt complémentaire s/fortune PP"/>
    <n v="0"/>
    <n v="2957.25"/>
    <n v="4002"/>
  </r>
  <r>
    <x v="0"/>
    <x v="1"/>
    <x v="2"/>
    <x v="315"/>
    <x v="262"/>
    <x v="262"/>
    <s v="REVENUS"/>
    <x v="10"/>
    <s v="4041.001"/>
    <s v="Droits de mutation"/>
    <n v="0"/>
    <n v="601404.05000000005"/>
    <n v="4041"/>
  </r>
  <r>
    <x v="0"/>
    <x v="1"/>
    <x v="2"/>
    <x v="315"/>
    <x v="262"/>
    <x v="262"/>
    <s v="REVENUS"/>
    <x v="2"/>
    <s v="4001.002"/>
    <s v="Impôt complément s/revenu PP"/>
    <n v="0"/>
    <n v="580.65"/>
    <n v="4001"/>
  </r>
  <r>
    <x v="0"/>
    <x v="1"/>
    <x v="2"/>
    <x v="315"/>
    <x v="262"/>
    <x v="262"/>
    <s v="REVENUS"/>
    <x v="3"/>
    <s v="4002.002"/>
    <s v="Impôt complémentaire s/fortune PP"/>
    <n v="0"/>
    <n v="422.2"/>
    <n v="4002"/>
  </r>
  <r>
    <x v="0"/>
    <x v="1"/>
    <x v="2"/>
    <x v="315"/>
    <x v="262"/>
    <x v="262"/>
    <s v="REVENUS"/>
    <x v="2"/>
    <s v="4001.007"/>
    <s v="Acompte impôt sur revenu"/>
    <n v="0"/>
    <n v="107.05"/>
    <n v="4001"/>
  </r>
  <r>
    <x v="0"/>
    <x v="1"/>
    <x v="2"/>
    <x v="315"/>
    <x v="262"/>
    <x v="262"/>
    <s v="REVENUS"/>
    <x v="3"/>
    <s v="4002.007"/>
    <s v="Acompte impôt sur fortune"/>
    <n v="0"/>
    <n v="78.400000000000006"/>
    <n v="4002"/>
  </r>
  <r>
    <x v="0"/>
    <x v="1"/>
    <x v="2"/>
    <x v="315"/>
    <x v="262"/>
    <x v="262"/>
    <s v="REVENUS"/>
    <x v="3"/>
    <s v="4002.007"/>
    <s v="Acompte impôt sur fortune"/>
    <n v="0"/>
    <n v="-1026.22"/>
    <n v="4002"/>
  </r>
  <r>
    <x v="0"/>
    <x v="1"/>
    <x v="2"/>
    <x v="315"/>
    <x v="262"/>
    <x v="262"/>
    <s v="REVENUS"/>
    <x v="6"/>
    <s v="4221.003"/>
    <s v="Intérêts compensat. / acomptes en faveur du fisc"/>
    <n v="0"/>
    <n v="-281.27999999999997"/>
    <n v="4221"/>
  </r>
  <r>
    <x v="0"/>
    <x v="1"/>
    <x v="2"/>
    <x v="315"/>
    <x v="262"/>
    <x v="262"/>
    <s v="REVENUS"/>
    <x v="2"/>
    <s v="4001.007"/>
    <s v="Acompte impôt sur revenu"/>
    <n v="0"/>
    <n v="-1026.5"/>
    <n v="4001"/>
  </r>
  <r>
    <x v="0"/>
    <x v="1"/>
    <x v="2"/>
    <x v="315"/>
    <x v="262"/>
    <x v="262"/>
    <s v="REVENUS"/>
    <x v="3"/>
    <s v="4002.007"/>
    <s v="Acompte impôt sur fortune"/>
    <n v="0"/>
    <n v="-150.9"/>
    <n v="4002"/>
  </r>
  <r>
    <x v="0"/>
    <x v="1"/>
    <x v="2"/>
    <x v="315"/>
    <x v="262"/>
    <x v="262"/>
    <s v="REVENUS"/>
    <x v="7"/>
    <s v="4184.000"/>
    <s v="Frais de poursuite"/>
    <n v="0"/>
    <n v="119.55"/>
    <n v="4184"/>
  </r>
  <r>
    <x v="0"/>
    <x v="1"/>
    <x v="2"/>
    <x v="315"/>
    <x v="262"/>
    <x v="262"/>
    <s v="REVENUS"/>
    <x v="2"/>
    <s v="4001.001"/>
    <s v="Impôt revenu"/>
    <n v="0"/>
    <n v="-21573.3"/>
    <n v="4001"/>
  </r>
  <r>
    <x v="0"/>
    <x v="1"/>
    <x v="2"/>
    <x v="315"/>
    <x v="262"/>
    <x v="262"/>
    <s v="REVENUS"/>
    <x v="2"/>
    <s v="4001.002"/>
    <s v="Impôt complément s/revenu PP"/>
    <n v="0"/>
    <n v="-14198.35"/>
    <n v="4001"/>
  </r>
  <r>
    <x v="0"/>
    <x v="1"/>
    <x v="2"/>
    <x v="315"/>
    <x v="262"/>
    <x v="262"/>
    <s v="REVENUS"/>
    <x v="3"/>
    <s v="4002.001"/>
    <s v="Impôt ordinaire s/fortune PP"/>
    <n v="0"/>
    <n v="-6493.3"/>
    <n v="4002"/>
  </r>
  <r>
    <x v="0"/>
    <x v="1"/>
    <x v="2"/>
    <x v="315"/>
    <x v="262"/>
    <x v="262"/>
    <s v="REVENUS"/>
    <x v="3"/>
    <s v="4002.002"/>
    <s v="Impôt complémentaire s/fortune PP"/>
    <n v="0"/>
    <n v="-513.35"/>
    <n v="4002"/>
  </r>
  <r>
    <x v="0"/>
    <x v="1"/>
    <x v="2"/>
    <x v="315"/>
    <x v="262"/>
    <x v="262"/>
    <s v="REVENUS"/>
    <x v="6"/>
    <s v="4211.002"/>
    <s v="Intérêts de retard sur acomptes"/>
    <n v="0"/>
    <n v="-9.91"/>
    <n v="4211"/>
  </r>
  <r>
    <x v="0"/>
    <x v="1"/>
    <x v="2"/>
    <x v="315"/>
    <x v="262"/>
    <x v="262"/>
    <s v="REVENUS"/>
    <x v="6"/>
    <s v="4221.003"/>
    <s v="Intérêts compensat. / acomptes en faveur du fisc"/>
    <n v="0"/>
    <n v="-2.78"/>
    <n v="4221"/>
  </r>
  <r>
    <x v="0"/>
    <x v="1"/>
    <x v="2"/>
    <x v="315"/>
    <x v="262"/>
    <x v="262"/>
    <s v="REVENUS"/>
    <x v="2"/>
    <s v="4001.001"/>
    <s v="Impôt revenu"/>
    <n v="0"/>
    <n v="3553"/>
    <n v="4001"/>
  </r>
  <r>
    <x v="0"/>
    <x v="1"/>
    <x v="2"/>
    <x v="315"/>
    <x v="262"/>
    <x v="262"/>
    <s v="REVENUS"/>
    <x v="3"/>
    <s v="4002.001"/>
    <s v="Impôt ordinaire s/fortune PP"/>
    <n v="0"/>
    <n v="2217.5500000000002"/>
    <n v="4002"/>
  </r>
  <r>
    <x v="0"/>
    <x v="1"/>
    <x v="2"/>
    <x v="315"/>
    <x v="262"/>
    <x v="262"/>
    <s v="REVENUS"/>
    <x v="2"/>
    <s v="4001.002"/>
    <s v="Impôt complément s/revenu PP"/>
    <n v="0"/>
    <n v="-285.7"/>
    <n v="4001"/>
  </r>
  <r>
    <x v="0"/>
    <x v="1"/>
    <x v="2"/>
    <x v="315"/>
    <x v="262"/>
    <x v="262"/>
    <s v="REVENUS"/>
    <x v="3"/>
    <s v="4002.002"/>
    <s v="Impôt complémentaire s/fortune PP"/>
    <n v="0"/>
    <n v="-555.15"/>
    <n v="4002"/>
  </r>
  <r>
    <x v="0"/>
    <x v="1"/>
    <x v="2"/>
    <x v="315"/>
    <x v="262"/>
    <x v="262"/>
    <s v="REVENUS"/>
    <x v="6"/>
    <s v="4211.001"/>
    <s v="Intérêts de retard sur factures"/>
    <n v="0"/>
    <n v="-8.1999999999999993"/>
    <n v="4211"/>
  </r>
  <r>
    <x v="0"/>
    <x v="1"/>
    <x v="2"/>
    <x v="315"/>
    <x v="262"/>
    <x v="262"/>
    <s v="REVENUS"/>
    <x v="6"/>
    <s v="4211.002"/>
    <s v="Intérêts de retard sur acomptes"/>
    <n v="0"/>
    <n v="4.67"/>
    <n v="4211"/>
  </r>
  <r>
    <x v="0"/>
    <x v="1"/>
    <x v="2"/>
    <x v="315"/>
    <x v="262"/>
    <x v="262"/>
    <s v="REVENUS"/>
    <x v="6"/>
    <s v="4221.003"/>
    <s v="Intérêts compensat. / acomptes en faveur du fisc"/>
    <n v="0"/>
    <n v="-1.28"/>
    <n v="4221"/>
  </r>
  <r>
    <x v="0"/>
    <x v="1"/>
    <x v="2"/>
    <x v="315"/>
    <x v="262"/>
    <x v="262"/>
    <s v="REVENUS"/>
    <x v="7"/>
    <s v="4184.000"/>
    <s v="Frais de poursuite"/>
    <n v="0"/>
    <n v="48"/>
    <n v="4184"/>
  </r>
  <r>
    <x v="0"/>
    <x v="1"/>
    <x v="2"/>
    <x v="315"/>
    <x v="262"/>
    <x v="262"/>
    <s v="REVENUS"/>
    <x v="6"/>
    <s v="4211.001"/>
    <s v="Intérêts de retard sur factures"/>
    <n v="0"/>
    <n v="-213.84"/>
    <n v="4211"/>
  </r>
  <r>
    <x v="0"/>
    <x v="1"/>
    <x v="2"/>
    <x v="315"/>
    <x v="262"/>
    <x v="262"/>
    <s v="REVENUS"/>
    <x v="7"/>
    <s v="4184.000"/>
    <s v="Frais de poursuite"/>
    <n v="0"/>
    <n v="0.01"/>
    <n v="4184"/>
  </r>
  <r>
    <x v="0"/>
    <x v="1"/>
    <x v="2"/>
    <x v="315"/>
    <x v="262"/>
    <x v="262"/>
    <s v="REVENUS"/>
    <x v="2"/>
    <s v="4001.001"/>
    <s v="Impôt revenu"/>
    <n v="0"/>
    <n v="2314.4499999999998"/>
    <n v="4001"/>
  </r>
  <r>
    <x v="0"/>
    <x v="1"/>
    <x v="2"/>
    <x v="315"/>
    <x v="262"/>
    <x v="262"/>
    <s v="REVENUS"/>
    <x v="3"/>
    <s v="4002.001"/>
    <s v="Impôt ordinaire s/fortune PP"/>
    <n v="0"/>
    <n v="1522.2"/>
    <n v="4002"/>
  </r>
  <r>
    <x v="0"/>
    <x v="1"/>
    <x v="2"/>
    <x v="315"/>
    <x v="262"/>
    <x v="262"/>
    <s v="REVENUS"/>
    <x v="6"/>
    <s v="4211.001"/>
    <s v="Intérêts de retard sur factures"/>
    <n v="0"/>
    <n v="620.71"/>
    <n v="4211"/>
  </r>
  <r>
    <x v="0"/>
    <x v="1"/>
    <x v="2"/>
    <x v="315"/>
    <x v="262"/>
    <x v="262"/>
    <s v="REVENUS"/>
    <x v="6"/>
    <s v="4221.003"/>
    <s v="Intérêts compensat. / acomptes en faveur du fisc"/>
    <n v="0"/>
    <n v="0.11"/>
    <n v="4221"/>
  </r>
  <r>
    <x v="0"/>
    <x v="1"/>
    <x v="2"/>
    <x v="315"/>
    <x v="262"/>
    <x v="262"/>
    <s v="REVENUS"/>
    <x v="6"/>
    <s v="4211.001"/>
    <s v="Intérêts de retard sur factures"/>
    <n v="0"/>
    <n v="9.81"/>
    <n v="4211"/>
  </r>
  <r>
    <x v="0"/>
    <x v="1"/>
    <x v="2"/>
    <x v="315"/>
    <x v="262"/>
    <x v="262"/>
    <s v="REVENUS"/>
    <x v="6"/>
    <s v="4211.002"/>
    <s v="Intérêts de retard sur acomptes"/>
    <n v="0"/>
    <n v="145.02000000000001"/>
    <n v="4211"/>
  </r>
  <r>
    <x v="0"/>
    <x v="1"/>
    <x v="2"/>
    <x v="315"/>
    <x v="262"/>
    <x v="262"/>
    <s v="REVENUS"/>
    <x v="6"/>
    <s v="4221.003"/>
    <s v="Intérêts compensat. / acomptes en faveur du fisc"/>
    <n v="0"/>
    <n v="11.52"/>
    <n v="4221"/>
  </r>
  <r>
    <x v="0"/>
    <x v="1"/>
    <x v="2"/>
    <x v="315"/>
    <x v="262"/>
    <x v="262"/>
    <s v="REVENUS"/>
    <x v="8"/>
    <s v="4091.001"/>
    <s v="Impôt récupéré après défalcations"/>
    <n v="0"/>
    <n v="24051.71"/>
    <n v="4091"/>
  </r>
  <r>
    <x v="0"/>
    <x v="1"/>
    <x v="2"/>
    <x v="315"/>
    <x v="262"/>
    <x v="262"/>
    <s v="REVENUS"/>
    <x v="7"/>
    <s v="4184.000"/>
    <s v="Frais de poursuite"/>
    <n v="0"/>
    <n v="8.2799999999999994"/>
    <n v="4184"/>
  </r>
  <r>
    <x v="0"/>
    <x v="1"/>
    <x v="2"/>
    <x v="315"/>
    <x v="262"/>
    <x v="262"/>
    <s v="REVENUS"/>
    <x v="7"/>
    <s v="4184.000"/>
    <s v="Frais de poursuite"/>
    <n v="0"/>
    <n v="4.6500000000000004"/>
    <n v="4184"/>
  </r>
  <r>
    <x v="0"/>
    <x v="1"/>
    <x v="2"/>
    <x v="315"/>
    <x v="262"/>
    <x v="262"/>
    <s v="REVENUS"/>
    <x v="2"/>
    <s v="4001.002"/>
    <s v="Impôt complément s/revenu PP"/>
    <n v="0"/>
    <n v="911.55"/>
    <n v="4001"/>
  </r>
  <r>
    <x v="0"/>
    <x v="1"/>
    <x v="2"/>
    <x v="315"/>
    <x v="262"/>
    <x v="262"/>
    <s v="REVENUS"/>
    <x v="3"/>
    <s v="4002.002"/>
    <s v="Impôt complémentaire s/fortune PP"/>
    <n v="0"/>
    <n v="376.75"/>
    <n v="4002"/>
  </r>
  <r>
    <x v="0"/>
    <x v="1"/>
    <x v="2"/>
    <x v="315"/>
    <x v="262"/>
    <x v="262"/>
    <s v="REVENUS"/>
    <x v="6"/>
    <s v="4211.001"/>
    <s v="Intérêts de retard sur factures"/>
    <n v="0"/>
    <n v="5.08"/>
    <n v="4211"/>
  </r>
  <r>
    <x v="0"/>
    <x v="1"/>
    <x v="2"/>
    <x v="315"/>
    <x v="262"/>
    <x v="262"/>
    <s v="REVENUS"/>
    <x v="4"/>
    <s v="4051.002"/>
    <s v="Impôt sur les donations"/>
    <n v="0"/>
    <n v="232917.3"/>
    <n v="4051"/>
  </r>
  <r>
    <x v="0"/>
    <x v="1"/>
    <x v="2"/>
    <x v="315"/>
    <x v="262"/>
    <x v="262"/>
    <s v="REVENUS"/>
    <x v="12"/>
    <s v="4004.000"/>
    <s v="Impôt spécial étrangers"/>
    <n v="0"/>
    <n v="703197.75"/>
    <n v="4004"/>
  </r>
  <r>
    <x v="0"/>
    <x v="1"/>
    <x v="2"/>
    <x v="315"/>
    <x v="262"/>
    <x v="262"/>
    <s v="REVENUS"/>
    <x v="3"/>
    <s v="4002.002"/>
    <s v="Impôt complémentaire s/fortune PP"/>
    <n v="0"/>
    <n v="-2044"/>
    <n v="4002"/>
  </r>
  <r>
    <x v="0"/>
    <x v="1"/>
    <x v="2"/>
    <x v="315"/>
    <x v="262"/>
    <x v="262"/>
    <s v="REVENUS"/>
    <x v="10"/>
    <s v="4041.002"/>
    <s v="Complément droit de mutation"/>
    <n v="0"/>
    <n v="3932.5"/>
    <n v="4041"/>
  </r>
  <r>
    <x v="0"/>
    <x v="1"/>
    <x v="2"/>
    <x v="315"/>
    <x v="262"/>
    <x v="262"/>
    <s v="REVENUS"/>
    <x v="4"/>
    <s v="4051.001"/>
    <s v="Impôt sur les successions"/>
    <n v="0"/>
    <n v="54598.8"/>
    <n v="4051"/>
  </r>
  <r>
    <x v="0"/>
    <x v="1"/>
    <x v="2"/>
    <x v="315"/>
    <x v="262"/>
    <x v="262"/>
    <s v="REVENUS"/>
    <x v="2"/>
    <s v="4001.007"/>
    <s v="Acompte impôt sur revenu"/>
    <n v="0"/>
    <n v="-341.8"/>
    <n v="4001"/>
  </r>
  <r>
    <x v="0"/>
    <x v="1"/>
    <x v="2"/>
    <x v="315"/>
    <x v="262"/>
    <x v="262"/>
    <s v="REVENUS"/>
    <x v="2"/>
    <s v="4001.001"/>
    <s v="Impôt revenu"/>
    <n v="0"/>
    <n v="1231.5999999999999"/>
    <n v="4001"/>
  </r>
  <r>
    <x v="0"/>
    <x v="1"/>
    <x v="2"/>
    <x v="315"/>
    <x v="262"/>
    <x v="262"/>
    <s v="REVENUS"/>
    <x v="3"/>
    <s v="4002.001"/>
    <s v="Impôt ordinaire s/fortune PP"/>
    <n v="0"/>
    <n v="445.85"/>
    <n v="4002"/>
  </r>
  <r>
    <x v="0"/>
    <x v="1"/>
    <x v="2"/>
    <x v="315"/>
    <x v="262"/>
    <x v="262"/>
    <s v="REVENUS"/>
    <x v="6"/>
    <s v="4221.002"/>
    <s v="Intérêts compensat. sur impôts distincts"/>
    <n v="0"/>
    <n v="-1.8"/>
    <n v="4221"/>
  </r>
  <r>
    <x v="0"/>
    <x v="1"/>
    <x v="2"/>
    <x v="315"/>
    <x v="262"/>
    <x v="262"/>
    <s v="REVENUS"/>
    <x v="6"/>
    <s v="4211.002"/>
    <s v="Intérêts de retard sur acomptes"/>
    <n v="0"/>
    <n v="0.23"/>
    <n v="4211"/>
  </r>
  <r>
    <x v="0"/>
    <x v="1"/>
    <x v="2"/>
    <x v="315"/>
    <x v="262"/>
    <x v="262"/>
    <s v="REVENUS"/>
    <x v="6"/>
    <s v="4211.001"/>
    <s v="Intérêts de retard sur factures"/>
    <n v="0"/>
    <n v="-8.82"/>
    <n v="4211"/>
  </r>
  <r>
    <x v="0"/>
    <x v="1"/>
    <x v="2"/>
    <x v="315"/>
    <x v="262"/>
    <x v="262"/>
    <s v="REVENUS"/>
    <x v="9"/>
    <s v="4031.002"/>
    <s v="Complément impôt sur les gains immobiliers"/>
    <n v="0"/>
    <n v="38271.4"/>
    <n v="4031"/>
  </r>
  <r>
    <x v="0"/>
    <x v="1"/>
    <x v="2"/>
    <x v="315"/>
    <x v="262"/>
    <x v="262"/>
    <s v="REVENUS"/>
    <x v="2"/>
    <s v="4001.001"/>
    <s v="Impôt revenu"/>
    <n v="0"/>
    <n v="142.05000000000001"/>
    <n v="4001"/>
  </r>
  <r>
    <x v="0"/>
    <x v="1"/>
    <x v="2"/>
    <x v="315"/>
    <x v="262"/>
    <x v="262"/>
    <s v="REVENUS"/>
    <x v="3"/>
    <s v="4002.001"/>
    <s v="Impôt ordinaire s/fortune PP"/>
    <n v="0"/>
    <n v="77.7"/>
    <n v="4002"/>
  </r>
  <r>
    <x v="0"/>
    <x v="1"/>
    <x v="2"/>
    <x v="315"/>
    <x v="262"/>
    <x v="262"/>
    <s v="REVENUS"/>
    <x v="3"/>
    <s v="4002.007"/>
    <s v="Acompte impôt sur fortune"/>
    <n v="0"/>
    <n v="-22.6"/>
    <n v="4002"/>
  </r>
  <r>
    <x v="0"/>
    <x v="1"/>
    <x v="2"/>
    <x v="316"/>
    <x v="263"/>
    <x v="263"/>
    <s v="CHARGES"/>
    <x v="0"/>
    <s v="3212.004"/>
    <s v="Intérêts rémun./perçu trop tôt sur acomptes C/C"/>
    <n v="130.97"/>
    <n v="0"/>
    <n v="3212"/>
  </r>
  <r>
    <x v="0"/>
    <x v="1"/>
    <x v="2"/>
    <x v="316"/>
    <x v="263"/>
    <x v="263"/>
    <s v="CHARGES"/>
    <x v="0"/>
    <s v="3221.002"/>
    <s v="Intérêts compensatoires / créances en faveur ctb."/>
    <n v="33.44"/>
    <n v="0"/>
    <n v="3221"/>
  </r>
  <r>
    <x v="0"/>
    <x v="1"/>
    <x v="2"/>
    <x v="316"/>
    <x v="263"/>
    <x v="263"/>
    <s v="CHARGES"/>
    <x v="0"/>
    <s v="3212.002"/>
    <s v="Intérêts bonifiés/trop perçu acompte C/C"/>
    <n v="7.0000000000000007E-2"/>
    <n v="0"/>
    <n v="3212"/>
  </r>
  <r>
    <x v="0"/>
    <x v="1"/>
    <x v="2"/>
    <x v="316"/>
    <x v="263"/>
    <x v="263"/>
    <s v="CHARGES"/>
    <x v="1"/>
    <s v="3301.001"/>
    <s v="Défalcations, abandons de solde PP et IS"/>
    <n v="10169.02"/>
    <n v="0"/>
    <n v="3301"/>
  </r>
  <r>
    <x v="0"/>
    <x v="1"/>
    <x v="2"/>
    <x v="316"/>
    <x v="263"/>
    <x v="263"/>
    <s v="CHARGES"/>
    <x v="0"/>
    <s v="3212.004"/>
    <s v="Intérêts rémun./perçu trop tôt sur acomptes C/C"/>
    <n v="0.66"/>
    <n v="0"/>
    <n v="3212"/>
  </r>
  <r>
    <x v="0"/>
    <x v="1"/>
    <x v="2"/>
    <x v="316"/>
    <x v="263"/>
    <x v="263"/>
    <s v="CHARGES"/>
    <x v="0"/>
    <s v="3221.002"/>
    <s v="Intérêts compensatoires / créances en faveur ctb."/>
    <n v="0.48"/>
    <n v="0"/>
    <n v="3221"/>
  </r>
  <r>
    <x v="0"/>
    <x v="1"/>
    <x v="2"/>
    <x v="316"/>
    <x v="263"/>
    <x v="263"/>
    <s v="CHARGES"/>
    <x v="1"/>
    <s v="3301.001"/>
    <s v="Défalcations, abandons de solde PP et IS"/>
    <n v="-1008.87"/>
    <n v="0"/>
    <n v="3301"/>
  </r>
  <r>
    <x v="0"/>
    <x v="1"/>
    <x v="2"/>
    <x v="316"/>
    <x v="263"/>
    <x v="263"/>
    <s v="REVENUS"/>
    <x v="2"/>
    <s v="4001.007"/>
    <s v="Acompte impôt sur revenu"/>
    <n v="0"/>
    <n v="-124.05"/>
    <n v="4001"/>
  </r>
  <r>
    <x v="0"/>
    <x v="1"/>
    <x v="2"/>
    <x v="316"/>
    <x v="263"/>
    <x v="263"/>
    <s v="REVENUS"/>
    <x v="3"/>
    <s v="4002.007"/>
    <s v="Acompte impôt sur fortune"/>
    <n v="0"/>
    <n v="-55.2"/>
    <n v="4002"/>
  </r>
  <r>
    <x v="0"/>
    <x v="1"/>
    <x v="2"/>
    <x v="316"/>
    <x v="263"/>
    <x v="263"/>
    <s v="REVENUS"/>
    <x v="2"/>
    <s v="4001.001"/>
    <s v="Impôt revenu"/>
    <n v="0"/>
    <n v="501389.4"/>
    <n v="4001"/>
  </r>
  <r>
    <x v="0"/>
    <x v="1"/>
    <x v="2"/>
    <x v="316"/>
    <x v="263"/>
    <x v="263"/>
    <s v="REVENUS"/>
    <x v="2"/>
    <s v="4001.007"/>
    <s v="Acompte impôt sur revenu"/>
    <n v="0"/>
    <n v="-61082.57"/>
    <n v="4001"/>
  </r>
  <r>
    <x v="0"/>
    <x v="1"/>
    <x v="2"/>
    <x v="316"/>
    <x v="263"/>
    <x v="263"/>
    <s v="REVENUS"/>
    <x v="3"/>
    <s v="4002.001"/>
    <s v="Impôt ordinaire s/fortune PP"/>
    <n v="0"/>
    <n v="57370.35"/>
    <n v="4002"/>
  </r>
  <r>
    <x v="0"/>
    <x v="1"/>
    <x v="2"/>
    <x v="316"/>
    <x v="263"/>
    <x v="263"/>
    <s v="REVENUS"/>
    <x v="3"/>
    <s v="4002.007"/>
    <s v="Acompte impôt sur fortune"/>
    <n v="0"/>
    <n v="8311.44"/>
    <n v="4002"/>
  </r>
  <r>
    <x v="0"/>
    <x v="1"/>
    <x v="2"/>
    <x v="316"/>
    <x v="263"/>
    <x v="263"/>
    <s v="REVENUS"/>
    <x v="6"/>
    <s v="4211.002"/>
    <s v="Intérêts de retard sur acomptes"/>
    <n v="0"/>
    <n v="3939.22"/>
    <n v="4211"/>
  </r>
  <r>
    <x v="0"/>
    <x v="1"/>
    <x v="2"/>
    <x v="316"/>
    <x v="263"/>
    <x v="263"/>
    <s v="REVENUS"/>
    <x v="2"/>
    <s v="4001.002"/>
    <s v="Impôt complément s/revenu PP"/>
    <n v="0"/>
    <n v="121406.35"/>
    <n v="4001"/>
  </r>
  <r>
    <x v="0"/>
    <x v="1"/>
    <x v="2"/>
    <x v="316"/>
    <x v="263"/>
    <x v="263"/>
    <s v="REVENUS"/>
    <x v="3"/>
    <s v="4002.002"/>
    <s v="Impôt complémentaire s/fortune PP"/>
    <n v="0"/>
    <n v="14953.65"/>
    <n v="4002"/>
  </r>
  <r>
    <x v="0"/>
    <x v="1"/>
    <x v="2"/>
    <x v="316"/>
    <x v="263"/>
    <x v="263"/>
    <s v="REVENUS"/>
    <x v="6"/>
    <s v="4211.001"/>
    <s v="Intérêts de retard sur factures"/>
    <n v="0"/>
    <n v="2359"/>
    <n v="4211"/>
  </r>
  <r>
    <x v="0"/>
    <x v="1"/>
    <x v="2"/>
    <x v="316"/>
    <x v="263"/>
    <x v="263"/>
    <s v="REVENUS"/>
    <x v="6"/>
    <s v="4221.003"/>
    <s v="Intérêts compensat. / acomptes en faveur du fisc"/>
    <n v="0"/>
    <n v="36.409999999999997"/>
    <n v="4221"/>
  </r>
  <r>
    <x v="0"/>
    <x v="1"/>
    <x v="2"/>
    <x v="316"/>
    <x v="263"/>
    <x v="263"/>
    <s v="REVENUS"/>
    <x v="7"/>
    <s v="4184.000"/>
    <s v="Frais de poursuite"/>
    <n v="0"/>
    <n v="415.86"/>
    <n v="4184"/>
  </r>
  <r>
    <x v="0"/>
    <x v="1"/>
    <x v="2"/>
    <x v="316"/>
    <x v="263"/>
    <x v="263"/>
    <s v="REVENUS"/>
    <x v="2"/>
    <s v="4001.003"/>
    <s v="Impôt s/prest. cap. PP"/>
    <n v="0"/>
    <n v="9432.1"/>
    <n v="4001"/>
  </r>
  <r>
    <x v="0"/>
    <x v="1"/>
    <x v="2"/>
    <x v="316"/>
    <x v="263"/>
    <x v="263"/>
    <s v="REVENUS"/>
    <x v="3"/>
    <s v="4002.007"/>
    <s v="Acompte impôt sur fortune"/>
    <n v="0"/>
    <n v="-331.75"/>
    <n v="4002"/>
  </r>
  <r>
    <x v="0"/>
    <x v="1"/>
    <x v="2"/>
    <x v="316"/>
    <x v="263"/>
    <x v="263"/>
    <s v="REVENUS"/>
    <x v="2"/>
    <s v="4001.007"/>
    <s v="Acompte impôt sur revenu"/>
    <n v="0"/>
    <n v="508.35"/>
    <n v="4001"/>
  </r>
  <r>
    <x v="0"/>
    <x v="1"/>
    <x v="2"/>
    <x v="316"/>
    <x v="263"/>
    <x v="263"/>
    <s v="REVENUS"/>
    <x v="3"/>
    <s v="4002.001"/>
    <s v="Impôt ordinaire s/fortune PP"/>
    <n v="0"/>
    <n v="1163.55"/>
    <n v="4002"/>
  </r>
  <r>
    <x v="0"/>
    <x v="1"/>
    <x v="2"/>
    <x v="316"/>
    <x v="263"/>
    <x v="263"/>
    <s v="REVENUS"/>
    <x v="4"/>
    <s v="4051.002"/>
    <s v="Impôt sur les donations"/>
    <n v="0"/>
    <n v="1757.6"/>
    <n v="4051"/>
  </r>
  <r>
    <x v="0"/>
    <x v="1"/>
    <x v="2"/>
    <x v="316"/>
    <x v="263"/>
    <x v="263"/>
    <s v="REVENUS"/>
    <x v="5"/>
    <s v="4061.000"/>
    <s v="Impôt sur les chiens"/>
    <n v="0"/>
    <n v="950"/>
    <n v="4061"/>
  </r>
  <r>
    <x v="0"/>
    <x v="1"/>
    <x v="2"/>
    <x v="316"/>
    <x v="263"/>
    <x v="263"/>
    <s v="REVENUS"/>
    <x v="6"/>
    <s v="4221.002"/>
    <s v="Intérêts compensat. sur impôts distincts"/>
    <n v="0"/>
    <n v="0.03"/>
    <n v="4221"/>
  </r>
  <r>
    <x v="0"/>
    <x v="1"/>
    <x v="2"/>
    <x v="316"/>
    <x v="263"/>
    <x v="263"/>
    <s v="REVENUS"/>
    <x v="2"/>
    <s v="4001.001"/>
    <s v="Impôt revenu"/>
    <n v="0"/>
    <n v="1024.8"/>
    <n v="4001"/>
  </r>
  <r>
    <x v="0"/>
    <x v="1"/>
    <x v="2"/>
    <x v="316"/>
    <x v="263"/>
    <x v="263"/>
    <s v="REVENUS"/>
    <x v="6"/>
    <s v="4221.003"/>
    <s v="Intérêts compensat. / acomptes en faveur du fisc"/>
    <n v="0"/>
    <n v="0.04"/>
    <n v="4221"/>
  </r>
  <r>
    <x v="0"/>
    <x v="1"/>
    <x v="2"/>
    <x v="316"/>
    <x v="263"/>
    <x v="263"/>
    <s v="REVENUS"/>
    <x v="9"/>
    <s v="4031.001"/>
    <s v="Impôt sur les gains immobiliers"/>
    <n v="0"/>
    <n v="-3733.3"/>
    <n v="4031"/>
  </r>
  <r>
    <x v="0"/>
    <x v="1"/>
    <x v="2"/>
    <x v="317"/>
    <x v="264"/>
    <x v="264"/>
    <s v="CHARGES"/>
    <x v="0"/>
    <s v="3212.004"/>
    <s v="Intérêts rémun./perçu trop tôt sur acomptes C/C"/>
    <n v="224.73"/>
    <n v="0"/>
    <n v="3212"/>
  </r>
  <r>
    <x v="0"/>
    <x v="1"/>
    <x v="2"/>
    <x v="317"/>
    <x v="264"/>
    <x v="264"/>
    <s v="CHARGES"/>
    <x v="0"/>
    <s v="3221.002"/>
    <s v="Intérêts compensatoires / créances en faveur ctb."/>
    <n v="112.99"/>
    <n v="0"/>
    <n v="3221"/>
  </r>
  <r>
    <x v="0"/>
    <x v="1"/>
    <x v="2"/>
    <x v="317"/>
    <x v="264"/>
    <x v="264"/>
    <s v="CHARGES"/>
    <x v="1"/>
    <s v="3301.001"/>
    <s v="Défalcations, abandons de solde PP et IS"/>
    <n v="1180.8"/>
    <n v="0"/>
    <n v="3301"/>
  </r>
  <r>
    <x v="0"/>
    <x v="1"/>
    <x v="2"/>
    <x v="317"/>
    <x v="264"/>
    <x v="264"/>
    <s v="CHARGES"/>
    <x v="0"/>
    <s v="3212.004"/>
    <s v="Intérêts rémun./perçu trop tôt sur acomptes C/C"/>
    <n v="0.74"/>
    <n v="0"/>
    <n v="3212"/>
  </r>
  <r>
    <x v="0"/>
    <x v="1"/>
    <x v="2"/>
    <x v="317"/>
    <x v="264"/>
    <x v="264"/>
    <s v="CHARGES"/>
    <x v="0"/>
    <s v="3212.002"/>
    <s v="Intérêts bonifiés/trop perçu acompte C/C"/>
    <n v="2.2400000000000002"/>
    <n v="0"/>
    <n v="3212"/>
  </r>
  <r>
    <x v="0"/>
    <x v="1"/>
    <x v="2"/>
    <x v="317"/>
    <x v="264"/>
    <x v="264"/>
    <s v="CHARGES"/>
    <x v="0"/>
    <s v="3212.004"/>
    <s v="Intérêts rémun./perçu trop tôt sur acomptes C/C"/>
    <n v="4.95"/>
    <n v="0"/>
    <n v="3212"/>
  </r>
  <r>
    <x v="0"/>
    <x v="1"/>
    <x v="2"/>
    <x v="317"/>
    <x v="264"/>
    <x v="264"/>
    <s v="CHARGES"/>
    <x v="1"/>
    <s v="3301.001"/>
    <s v="Défalcations, abandons de solde PP et IS"/>
    <n v="0.14000000000000001"/>
    <n v="0"/>
    <n v="3301"/>
  </r>
  <r>
    <x v="0"/>
    <x v="1"/>
    <x v="2"/>
    <x v="317"/>
    <x v="264"/>
    <x v="264"/>
    <s v="CHARGES"/>
    <x v="1"/>
    <s v="3301.001"/>
    <s v="Défalcations, abandons de solde PP et IS"/>
    <n v="-2.23"/>
    <n v="0"/>
    <n v="3301"/>
  </r>
  <r>
    <x v="0"/>
    <x v="1"/>
    <x v="2"/>
    <x v="317"/>
    <x v="264"/>
    <x v="264"/>
    <s v="CHARGES"/>
    <x v="0"/>
    <s v="3221.002"/>
    <s v="Intérêts compensatoires / créances en faveur ctb."/>
    <n v="0.74"/>
    <n v="0"/>
    <n v="3221"/>
  </r>
  <r>
    <x v="0"/>
    <x v="1"/>
    <x v="2"/>
    <x v="317"/>
    <x v="264"/>
    <x v="264"/>
    <s v="REVENUS"/>
    <x v="2"/>
    <s v="4001.001"/>
    <s v="Impôt revenu"/>
    <n v="0"/>
    <n v="1034042.35"/>
    <n v="4001"/>
  </r>
  <r>
    <x v="0"/>
    <x v="1"/>
    <x v="2"/>
    <x v="317"/>
    <x v="264"/>
    <x v="264"/>
    <s v="REVENUS"/>
    <x v="2"/>
    <s v="4001.007"/>
    <s v="Acompte impôt sur revenu"/>
    <n v="0"/>
    <n v="-2821.49"/>
    <n v="4001"/>
  </r>
  <r>
    <x v="0"/>
    <x v="1"/>
    <x v="2"/>
    <x v="317"/>
    <x v="264"/>
    <x v="264"/>
    <s v="REVENUS"/>
    <x v="3"/>
    <s v="4002.001"/>
    <s v="Impôt ordinaire s/fortune PP"/>
    <n v="0"/>
    <n v="236764.6"/>
    <n v="4002"/>
  </r>
  <r>
    <x v="0"/>
    <x v="1"/>
    <x v="2"/>
    <x v="317"/>
    <x v="264"/>
    <x v="264"/>
    <s v="REVENUS"/>
    <x v="3"/>
    <s v="4002.007"/>
    <s v="Acompte impôt sur fortune"/>
    <n v="0"/>
    <n v="-11314.37"/>
    <n v="4002"/>
  </r>
  <r>
    <x v="0"/>
    <x v="1"/>
    <x v="2"/>
    <x v="317"/>
    <x v="264"/>
    <x v="264"/>
    <s v="REVENUS"/>
    <x v="6"/>
    <s v="4211.002"/>
    <s v="Intérêts de retard sur acomptes"/>
    <n v="0"/>
    <n v="5025.2299999999996"/>
    <n v="4211"/>
  </r>
  <r>
    <x v="0"/>
    <x v="1"/>
    <x v="2"/>
    <x v="317"/>
    <x v="264"/>
    <x v="264"/>
    <s v="REVENUS"/>
    <x v="6"/>
    <s v="4221.003"/>
    <s v="Intérêts compensat. / acomptes en faveur du fisc"/>
    <n v="0"/>
    <n v="126.37"/>
    <n v="4221"/>
  </r>
  <r>
    <x v="0"/>
    <x v="1"/>
    <x v="2"/>
    <x v="317"/>
    <x v="264"/>
    <x v="264"/>
    <s v="REVENUS"/>
    <x v="10"/>
    <s v="4041.001"/>
    <s v="Droits de mutation"/>
    <n v="0"/>
    <n v="37510"/>
    <n v="4041"/>
  </r>
  <r>
    <x v="0"/>
    <x v="1"/>
    <x v="2"/>
    <x v="317"/>
    <x v="264"/>
    <x v="264"/>
    <s v="REVENUS"/>
    <x v="6"/>
    <s v="4211.001"/>
    <s v="Intérêts de retard sur factures"/>
    <n v="0"/>
    <n v="3425.06"/>
    <n v="4211"/>
  </r>
  <r>
    <x v="0"/>
    <x v="1"/>
    <x v="2"/>
    <x v="317"/>
    <x v="264"/>
    <x v="264"/>
    <s v="REVENUS"/>
    <x v="2"/>
    <s v="4001.003"/>
    <s v="Impôt s/prest. cap. PP"/>
    <n v="0"/>
    <n v="15255.8"/>
    <n v="4001"/>
  </r>
  <r>
    <x v="0"/>
    <x v="1"/>
    <x v="2"/>
    <x v="317"/>
    <x v="264"/>
    <x v="264"/>
    <s v="REVENUS"/>
    <x v="2"/>
    <s v="4001.001"/>
    <s v="Impôt revenu"/>
    <n v="0"/>
    <n v="3643.4"/>
    <n v="4001"/>
  </r>
  <r>
    <x v="0"/>
    <x v="1"/>
    <x v="2"/>
    <x v="317"/>
    <x v="264"/>
    <x v="264"/>
    <s v="REVENUS"/>
    <x v="3"/>
    <s v="4002.001"/>
    <s v="Impôt ordinaire s/fortune PP"/>
    <n v="0"/>
    <n v="3514.05"/>
    <n v="4002"/>
  </r>
  <r>
    <x v="0"/>
    <x v="1"/>
    <x v="2"/>
    <x v="317"/>
    <x v="264"/>
    <x v="264"/>
    <s v="REVENUS"/>
    <x v="9"/>
    <s v="4031.001"/>
    <s v="Impôt sur les gains immobiliers"/>
    <n v="0"/>
    <n v="32302.3"/>
    <n v="4031"/>
  </r>
  <r>
    <x v="0"/>
    <x v="1"/>
    <x v="2"/>
    <x v="317"/>
    <x v="264"/>
    <x v="264"/>
    <s v="REVENUS"/>
    <x v="9"/>
    <s v="4031.002"/>
    <s v="Complément impôt sur les gains immobiliers"/>
    <n v="0"/>
    <n v="9179"/>
    <n v="4031"/>
  </r>
  <r>
    <x v="0"/>
    <x v="1"/>
    <x v="2"/>
    <x v="317"/>
    <x v="264"/>
    <x v="264"/>
    <s v="REVENUS"/>
    <x v="7"/>
    <s v="4184.000"/>
    <s v="Frais de poursuite"/>
    <n v="0"/>
    <n v="432.98"/>
    <n v="4184"/>
  </r>
  <r>
    <x v="0"/>
    <x v="1"/>
    <x v="2"/>
    <x v="317"/>
    <x v="264"/>
    <x v="264"/>
    <s v="REVENUS"/>
    <x v="6"/>
    <s v="4221.002"/>
    <s v="Intérêts compensat. sur impôts distincts"/>
    <n v="0"/>
    <n v="14.17"/>
    <n v="4221"/>
  </r>
  <r>
    <x v="0"/>
    <x v="1"/>
    <x v="2"/>
    <x v="317"/>
    <x v="264"/>
    <x v="264"/>
    <s v="REVENUS"/>
    <x v="12"/>
    <s v="4004.000"/>
    <s v="Impôt spécial étrangers"/>
    <n v="0"/>
    <n v="42873.3"/>
    <n v="4004"/>
  </r>
  <r>
    <x v="0"/>
    <x v="1"/>
    <x v="2"/>
    <x v="317"/>
    <x v="264"/>
    <x v="264"/>
    <s v="REVENUS"/>
    <x v="12"/>
    <s v="4004.007"/>
    <s v="Acompte spécial étrangers"/>
    <n v="0"/>
    <n v="-86.45"/>
    <n v="4004"/>
  </r>
  <r>
    <x v="0"/>
    <x v="1"/>
    <x v="2"/>
    <x v="317"/>
    <x v="264"/>
    <x v="264"/>
    <s v="REVENUS"/>
    <x v="2"/>
    <s v="4001.007"/>
    <s v="Acompte impôt sur revenu"/>
    <n v="0"/>
    <n v="1168.3"/>
    <n v="4001"/>
  </r>
  <r>
    <x v="0"/>
    <x v="1"/>
    <x v="2"/>
    <x v="317"/>
    <x v="264"/>
    <x v="264"/>
    <s v="REVENUS"/>
    <x v="3"/>
    <s v="4002.007"/>
    <s v="Acompte impôt sur fortune"/>
    <n v="0"/>
    <n v="-0.2"/>
    <n v="4002"/>
  </r>
  <r>
    <x v="0"/>
    <x v="1"/>
    <x v="2"/>
    <x v="317"/>
    <x v="264"/>
    <x v="264"/>
    <s v="REVENUS"/>
    <x v="3"/>
    <s v="4002.007"/>
    <s v="Acompte impôt sur fortune"/>
    <n v="0"/>
    <n v="-14.75"/>
    <n v="4002"/>
  </r>
  <r>
    <x v="0"/>
    <x v="1"/>
    <x v="2"/>
    <x v="317"/>
    <x v="264"/>
    <x v="264"/>
    <s v="REVENUS"/>
    <x v="2"/>
    <s v="4001.002"/>
    <s v="Impôt complément s/revenu PP"/>
    <n v="0"/>
    <n v="85894"/>
    <n v="4001"/>
  </r>
  <r>
    <x v="0"/>
    <x v="1"/>
    <x v="2"/>
    <x v="317"/>
    <x v="264"/>
    <x v="264"/>
    <s v="REVENUS"/>
    <x v="3"/>
    <s v="4002.002"/>
    <s v="Impôt complémentaire s/fortune PP"/>
    <n v="0"/>
    <n v="9732.4"/>
    <n v="4002"/>
  </r>
  <r>
    <x v="0"/>
    <x v="1"/>
    <x v="2"/>
    <x v="317"/>
    <x v="264"/>
    <x v="264"/>
    <s v="REVENUS"/>
    <x v="3"/>
    <s v="4002.001"/>
    <s v="Impôt ordinaire s/fortune PP"/>
    <n v="0"/>
    <n v="4520.8999999999996"/>
    <n v="4002"/>
  </r>
  <r>
    <x v="0"/>
    <x v="1"/>
    <x v="2"/>
    <x v="317"/>
    <x v="264"/>
    <x v="264"/>
    <s v="REVENUS"/>
    <x v="6"/>
    <s v="4221.003"/>
    <s v="Intérêts compensat. / acomptes en faveur du fisc"/>
    <n v="0"/>
    <n v="0.14000000000000001"/>
    <n v="4221"/>
  </r>
  <r>
    <x v="0"/>
    <x v="1"/>
    <x v="2"/>
    <x v="317"/>
    <x v="264"/>
    <x v="264"/>
    <s v="REVENUS"/>
    <x v="2"/>
    <s v="4001.001"/>
    <s v="Impôt revenu"/>
    <n v="0"/>
    <n v="55.75"/>
    <n v="4001"/>
  </r>
  <r>
    <x v="0"/>
    <x v="1"/>
    <x v="2"/>
    <x v="317"/>
    <x v="264"/>
    <x v="264"/>
    <s v="REVENUS"/>
    <x v="3"/>
    <s v="4002.001"/>
    <s v="Impôt ordinaire s/fortune PP"/>
    <n v="0"/>
    <n v="34.200000000000003"/>
    <n v="4002"/>
  </r>
  <r>
    <x v="0"/>
    <x v="1"/>
    <x v="2"/>
    <x v="317"/>
    <x v="264"/>
    <x v="264"/>
    <s v="REVENUS"/>
    <x v="5"/>
    <s v="4061.000"/>
    <s v="Impôt sur les chiens"/>
    <n v="0"/>
    <n v="2100"/>
    <n v="4061"/>
  </r>
  <r>
    <x v="0"/>
    <x v="1"/>
    <x v="2"/>
    <x v="317"/>
    <x v="264"/>
    <x v="264"/>
    <s v="REVENUS"/>
    <x v="2"/>
    <s v="4001.001"/>
    <s v="Impôt revenu"/>
    <n v="0"/>
    <n v="-19832.8"/>
    <n v="4001"/>
  </r>
  <r>
    <x v="0"/>
    <x v="1"/>
    <x v="2"/>
    <x v="317"/>
    <x v="264"/>
    <x v="264"/>
    <s v="REVENUS"/>
    <x v="6"/>
    <s v="4211.001"/>
    <s v="Intérêts de retard sur factures"/>
    <n v="0"/>
    <n v="-1.26"/>
    <n v="4211"/>
  </r>
  <r>
    <x v="0"/>
    <x v="1"/>
    <x v="2"/>
    <x v="317"/>
    <x v="264"/>
    <x v="264"/>
    <s v="REVENUS"/>
    <x v="6"/>
    <s v="4221.003"/>
    <s v="Intérêts compensat. / acomptes en faveur du fisc"/>
    <n v="0"/>
    <n v="-0.97"/>
    <n v="4221"/>
  </r>
  <r>
    <x v="0"/>
    <x v="1"/>
    <x v="2"/>
    <x v="317"/>
    <x v="264"/>
    <x v="264"/>
    <s v="REVENUS"/>
    <x v="4"/>
    <s v="4051.002"/>
    <s v="Impôt sur les donations"/>
    <n v="0"/>
    <n v="1834.6"/>
    <n v="4051"/>
  </r>
  <r>
    <x v="0"/>
    <x v="11"/>
    <x v="9"/>
    <x v="318"/>
    <x v="265"/>
    <x v="265"/>
    <s v="CHARGES"/>
    <x v="0"/>
    <s v="3212.004"/>
    <s v="Intérêts rémun./perçu trop tôt sur acomptes C/C"/>
    <n v="7.09"/>
    <n v="0"/>
    <n v="3212"/>
  </r>
  <r>
    <x v="0"/>
    <x v="11"/>
    <x v="9"/>
    <x v="318"/>
    <x v="265"/>
    <x v="265"/>
    <s v="CHARGES"/>
    <x v="0"/>
    <s v="3221.002"/>
    <s v="Intérêts compensatoires / créances en faveur ctb."/>
    <n v="1.97"/>
    <n v="0"/>
    <n v="3221"/>
  </r>
  <r>
    <x v="0"/>
    <x v="11"/>
    <x v="9"/>
    <x v="318"/>
    <x v="265"/>
    <x v="265"/>
    <s v="CHARGES"/>
    <x v="0"/>
    <s v="3212.002"/>
    <s v="Intérêts bonifiés/trop perçu acompte C/C"/>
    <n v="0.12"/>
    <n v="0"/>
    <n v="3212"/>
  </r>
  <r>
    <x v="0"/>
    <x v="11"/>
    <x v="9"/>
    <x v="318"/>
    <x v="265"/>
    <x v="265"/>
    <s v="CHARGES"/>
    <x v="0"/>
    <s v="3212.002"/>
    <s v="Intérêts bonifiés/trop perçu acompte C/C"/>
    <n v="232.72"/>
    <n v="0"/>
    <n v="3212"/>
  </r>
  <r>
    <x v="0"/>
    <x v="11"/>
    <x v="9"/>
    <x v="318"/>
    <x v="265"/>
    <x v="265"/>
    <s v="CHARGES"/>
    <x v="0"/>
    <s v="3212.004"/>
    <s v="Intérêts rémun./perçu trop tôt sur acomptes C/C"/>
    <n v="3138.24"/>
    <n v="0"/>
    <n v="3212"/>
  </r>
  <r>
    <x v="0"/>
    <x v="11"/>
    <x v="9"/>
    <x v="318"/>
    <x v="265"/>
    <x v="265"/>
    <s v="CHARGES"/>
    <x v="0"/>
    <s v="3221.002"/>
    <s v="Intérêts compensatoires / créances en faveur ctb."/>
    <n v="1424.79"/>
    <n v="0"/>
    <n v="3221"/>
  </r>
  <r>
    <x v="0"/>
    <x v="11"/>
    <x v="9"/>
    <x v="318"/>
    <x v="265"/>
    <x v="265"/>
    <s v="CHARGES"/>
    <x v="1"/>
    <s v="3301.001"/>
    <s v="Défalcations, abandons de solde PP et IS"/>
    <n v="30375.040000000001"/>
    <n v="0"/>
    <n v="3301"/>
  </r>
  <r>
    <x v="0"/>
    <x v="11"/>
    <x v="9"/>
    <x v="318"/>
    <x v="265"/>
    <x v="265"/>
    <s v="CHARGES"/>
    <x v="1"/>
    <s v="3301.001"/>
    <s v="Défalcations, abandons de solde PP et IS"/>
    <n v="623.89"/>
    <n v="0"/>
    <n v="3301"/>
  </r>
  <r>
    <x v="0"/>
    <x v="11"/>
    <x v="9"/>
    <x v="318"/>
    <x v="265"/>
    <x v="265"/>
    <s v="CHARGES"/>
    <x v="0"/>
    <s v="3212.004"/>
    <s v="Intérêts rémun./perçu trop tôt sur acomptes C/C"/>
    <n v="10.98"/>
    <n v="0"/>
    <n v="3212"/>
  </r>
  <r>
    <x v="0"/>
    <x v="11"/>
    <x v="9"/>
    <x v="318"/>
    <x v="265"/>
    <x v="265"/>
    <s v="CHARGES"/>
    <x v="1"/>
    <s v="3301.003"/>
    <s v="Remises PP et IS"/>
    <n v="5007.72"/>
    <n v="0"/>
    <n v="3301"/>
  </r>
  <r>
    <x v="0"/>
    <x v="11"/>
    <x v="9"/>
    <x v="318"/>
    <x v="265"/>
    <x v="265"/>
    <s v="CHARGES"/>
    <x v="1"/>
    <s v="3301.001"/>
    <s v="Défalcations, abandons de solde PP et IS"/>
    <n v="7.81"/>
    <n v="0"/>
    <n v="3301"/>
  </r>
  <r>
    <x v="0"/>
    <x v="11"/>
    <x v="9"/>
    <x v="318"/>
    <x v="265"/>
    <x v="265"/>
    <s v="CHARGES"/>
    <x v="0"/>
    <s v="3221.002"/>
    <s v="Intérêts compensatoires / créances en faveur ctb."/>
    <n v="12.53"/>
    <n v="0"/>
    <n v="3221"/>
  </r>
  <r>
    <x v="0"/>
    <x v="11"/>
    <x v="9"/>
    <x v="318"/>
    <x v="265"/>
    <x v="265"/>
    <s v="CHARGES"/>
    <x v="0"/>
    <s v="3221.002"/>
    <s v="Intérêts compensatoires / créances en faveur ctb."/>
    <n v="1.25"/>
    <n v="0"/>
    <n v="3221"/>
  </r>
  <r>
    <x v="0"/>
    <x v="11"/>
    <x v="9"/>
    <x v="318"/>
    <x v="265"/>
    <x v="265"/>
    <s v="CHARGES"/>
    <x v="0"/>
    <s v="3212.004"/>
    <s v="Intérêts rémun./perçu trop tôt sur acomptes C/C"/>
    <n v="1.54"/>
    <n v="0"/>
    <n v="3212"/>
  </r>
  <r>
    <x v="0"/>
    <x v="11"/>
    <x v="9"/>
    <x v="318"/>
    <x v="265"/>
    <x v="265"/>
    <s v="CHARGES"/>
    <x v="0"/>
    <s v="3212.002"/>
    <s v="Intérêts bonifiés/trop perçu acompte C/C"/>
    <n v="0.01"/>
    <n v="0"/>
    <n v="3212"/>
  </r>
  <r>
    <x v="0"/>
    <x v="11"/>
    <x v="9"/>
    <x v="318"/>
    <x v="265"/>
    <x v="265"/>
    <s v="CHARGES"/>
    <x v="0"/>
    <s v="3221.002"/>
    <s v="Intérêts compensatoires / créances en faveur ctb."/>
    <n v="3.39"/>
    <n v="0"/>
    <n v="3221"/>
  </r>
  <r>
    <x v="0"/>
    <x v="11"/>
    <x v="9"/>
    <x v="318"/>
    <x v="265"/>
    <x v="265"/>
    <s v="CHARGES"/>
    <x v="1"/>
    <s v="3301.001"/>
    <s v="Défalcations, abandons de solde PP et IS"/>
    <n v="0.28000000000000003"/>
    <n v="0"/>
    <n v="3301"/>
  </r>
  <r>
    <x v="0"/>
    <x v="11"/>
    <x v="9"/>
    <x v="318"/>
    <x v="265"/>
    <x v="265"/>
    <s v="CHARGES"/>
    <x v="0"/>
    <s v="3212.004"/>
    <s v="Intérêts rémun./perçu trop tôt sur acomptes C/C"/>
    <n v="1.26"/>
    <n v="0"/>
    <n v="3212"/>
  </r>
  <r>
    <x v="0"/>
    <x v="11"/>
    <x v="9"/>
    <x v="318"/>
    <x v="265"/>
    <x v="265"/>
    <s v="CHARGES"/>
    <x v="1"/>
    <s v="3301.001"/>
    <s v="Défalcations, abandons de solde PP et IS"/>
    <n v="43238.14"/>
    <n v="0"/>
    <n v="3301"/>
  </r>
  <r>
    <x v="0"/>
    <x v="11"/>
    <x v="9"/>
    <x v="318"/>
    <x v="265"/>
    <x v="265"/>
    <s v="CHARGES"/>
    <x v="0"/>
    <s v="3212.004"/>
    <s v="Intérêts rémun./perçu trop tôt sur acomptes C/C"/>
    <n v="0.89"/>
    <n v="0"/>
    <n v="3212"/>
  </r>
  <r>
    <x v="0"/>
    <x v="11"/>
    <x v="9"/>
    <x v="318"/>
    <x v="265"/>
    <x v="265"/>
    <s v="CHARGES"/>
    <x v="0"/>
    <s v="3212.004"/>
    <s v="Intérêts rémun./perçu trop tôt sur acomptes C/C"/>
    <n v="6.95"/>
    <n v="0"/>
    <n v="3212"/>
  </r>
  <r>
    <x v="0"/>
    <x v="11"/>
    <x v="9"/>
    <x v="318"/>
    <x v="265"/>
    <x v="265"/>
    <s v="CHARGES"/>
    <x v="0"/>
    <s v="3221.002"/>
    <s v="Intérêts compensatoires / créances en faveur ctb."/>
    <n v="4.16"/>
    <n v="0"/>
    <n v="3221"/>
  </r>
  <r>
    <x v="0"/>
    <x v="11"/>
    <x v="9"/>
    <x v="318"/>
    <x v="265"/>
    <x v="265"/>
    <s v="CHARGES"/>
    <x v="1"/>
    <s v="3301.001"/>
    <s v="Défalcations, abandons de solde PP et IS"/>
    <n v="1523.38"/>
    <n v="0"/>
    <n v="3301"/>
  </r>
  <r>
    <x v="0"/>
    <x v="11"/>
    <x v="9"/>
    <x v="318"/>
    <x v="265"/>
    <x v="265"/>
    <s v="CHARGES"/>
    <x v="1"/>
    <s v="3301.001"/>
    <s v="Défalcations, abandons de solde PP et IS"/>
    <n v="0.95"/>
    <n v="0"/>
    <n v="3301"/>
  </r>
  <r>
    <x v="0"/>
    <x v="11"/>
    <x v="9"/>
    <x v="318"/>
    <x v="265"/>
    <x v="265"/>
    <s v="CHARGES"/>
    <x v="0"/>
    <s v="3221.002"/>
    <s v="Intérêts compensatoires / créances en faveur ctb."/>
    <n v="0.01"/>
    <n v="0"/>
    <n v="3221"/>
  </r>
  <r>
    <x v="0"/>
    <x v="11"/>
    <x v="9"/>
    <x v="318"/>
    <x v="265"/>
    <x v="265"/>
    <s v="CHARGES"/>
    <x v="0"/>
    <s v="3212.002"/>
    <s v="Intérêts bonifiés/trop perçu acompte C/C"/>
    <n v="0.14000000000000001"/>
    <n v="0"/>
    <n v="3212"/>
  </r>
  <r>
    <x v="0"/>
    <x v="11"/>
    <x v="9"/>
    <x v="318"/>
    <x v="265"/>
    <x v="265"/>
    <s v="REVENUS"/>
    <x v="2"/>
    <s v="4001.001"/>
    <s v="Impôt revenu"/>
    <n v="0"/>
    <n v="20457"/>
    <n v="4001"/>
  </r>
  <r>
    <x v="0"/>
    <x v="11"/>
    <x v="9"/>
    <x v="318"/>
    <x v="265"/>
    <x v="265"/>
    <s v="REVENUS"/>
    <x v="3"/>
    <s v="4002.001"/>
    <s v="Impôt ordinaire s/fortune PP"/>
    <n v="0"/>
    <n v="16633.05"/>
    <n v="4002"/>
  </r>
  <r>
    <x v="0"/>
    <x v="11"/>
    <x v="9"/>
    <x v="318"/>
    <x v="265"/>
    <x v="265"/>
    <s v="REVENUS"/>
    <x v="6"/>
    <s v="4211.002"/>
    <s v="Intérêts de retard sur acomptes"/>
    <n v="0"/>
    <n v="97.02"/>
    <n v="4211"/>
  </r>
  <r>
    <x v="0"/>
    <x v="11"/>
    <x v="9"/>
    <x v="318"/>
    <x v="265"/>
    <x v="265"/>
    <s v="REVENUS"/>
    <x v="6"/>
    <s v="4211.001"/>
    <s v="Intérêts de retard sur factures"/>
    <n v="0"/>
    <n v="0.24"/>
    <n v="4211"/>
  </r>
  <r>
    <x v="0"/>
    <x v="11"/>
    <x v="9"/>
    <x v="318"/>
    <x v="265"/>
    <x v="265"/>
    <s v="REVENUS"/>
    <x v="2"/>
    <s v="4001.001"/>
    <s v="Impôt revenu"/>
    <n v="0"/>
    <n v="13456265.5"/>
    <n v="4001"/>
  </r>
  <r>
    <x v="0"/>
    <x v="11"/>
    <x v="9"/>
    <x v="318"/>
    <x v="265"/>
    <x v="265"/>
    <s v="REVENUS"/>
    <x v="2"/>
    <s v="4001.002"/>
    <s v="Impôt complément s/revenu PP"/>
    <n v="0"/>
    <n v="4170813.3"/>
    <n v="4001"/>
  </r>
  <r>
    <x v="0"/>
    <x v="11"/>
    <x v="9"/>
    <x v="318"/>
    <x v="265"/>
    <x v="265"/>
    <s v="REVENUS"/>
    <x v="2"/>
    <s v="4001.007"/>
    <s v="Acompte impôt sur revenu"/>
    <n v="0"/>
    <n v="22075.71"/>
    <n v="4001"/>
  </r>
  <r>
    <x v="0"/>
    <x v="11"/>
    <x v="9"/>
    <x v="318"/>
    <x v="265"/>
    <x v="265"/>
    <s v="REVENUS"/>
    <x v="3"/>
    <s v="4002.001"/>
    <s v="Impôt ordinaire s/fortune PP"/>
    <n v="0"/>
    <n v="2294266.25"/>
    <n v="4002"/>
  </r>
  <r>
    <x v="0"/>
    <x v="11"/>
    <x v="9"/>
    <x v="318"/>
    <x v="265"/>
    <x v="265"/>
    <s v="REVENUS"/>
    <x v="3"/>
    <s v="4002.002"/>
    <s v="Impôt complémentaire s/fortune PP"/>
    <n v="0"/>
    <n v="978655.35"/>
    <n v="4002"/>
  </r>
  <r>
    <x v="0"/>
    <x v="11"/>
    <x v="9"/>
    <x v="318"/>
    <x v="265"/>
    <x v="265"/>
    <s v="REVENUS"/>
    <x v="3"/>
    <s v="4002.007"/>
    <s v="Acompte impôt sur fortune"/>
    <n v="0"/>
    <n v="404943.93"/>
    <n v="4002"/>
  </r>
  <r>
    <x v="0"/>
    <x v="11"/>
    <x v="9"/>
    <x v="318"/>
    <x v="265"/>
    <x v="265"/>
    <s v="REVENUS"/>
    <x v="6"/>
    <s v="4211.001"/>
    <s v="Intérêts de retard sur factures"/>
    <n v="0"/>
    <n v="63237.88"/>
    <n v="4211"/>
  </r>
  <r>
    <x v="0"/>
    <x v="11"/>
    <x v="9"/>
    <x v="318"/>
    <x v="265"/>
    <x v="265"/>
    <s v="REVENUS"/>
    <x v="6"/>
    <s v="4211.002"/>
    <s v="Intérêts de retard sur acomptes"/>
    <n v="0"/>
    <n v="93212.4"/>
    <n v="4211"/>
  </r>
  <r>
    <x v="0"/>
    <x v="11"/>
    <x v="9"/>
    <x v="318"/>
    <x v="265"/>
    <x v="265"/>
    <s v="REVENUS"/>
    <x v="6"/>
    <s v="4221.003"/>
    <s v="Intérêts compensat. / acomptes en faveur du fisc"/>
    <n v="0"/>
    <n v="2203.21"/>
    <n v="4221"/>
  </r>
  <r>
    <x v="0"/>
    <x v="11"/>
    <x v="9"/>
    <x v="318"/>
    <x v="265"/>
    <x v="265"/>
    <s v="REVENUS"/>
    <x v="2"/>
    <s v="4001.001"/>
    <s v="Impôt revenu"/>
    <n v="0"/>
    <n v="25830.3"/>
    <n v="4001"/>
  </r>
  <r>
    <x v="0"/>
    <x v="11"/>
    <x v="9"/>
    <x v="318"/>
    <x v="265"/>
    <x v="265"/>
    <s v="REVENUS"/>
    <x v="3"/>
    <s v="4002.001"/>
    <s v="Impôt ordinaire s/fortune PP"/>
    <n v="0"/>
    <n v="15629.1"/>
    <n v="4002"/>
  </r>
  <r>
    <x v="0"/>
    <x v="11"/>
    <x v="9"/>
    <x v="318"/>
    <x v="265"/>
    <x v="265"/>
    <s v="REVENUS"/>
    <x v="6"/>
    <s v="4211.002"/>
    <s v="Intérêts de retard sur acomptes"/>
    <n v="0"/>
    <n v="187.91"/>
    <n v="4211"/>
  </r>
  <r>
    <x v="0"/>
    <x v="11"/>
    <x v="9"/>
    <x v="318"/>
    <x v="265"/>
    <x v="265"/>
    <s v="REVENUS"/>
    <x v="6"/>
    <s v="4221.003"/>
    <s v="Intérêts compensat. / acomptes en faveur du fisc"/>
    <n v="0"/>
    <n v="11.9"/>
    <n v="4221"/>
  </r>
  <r>
    <x v="0"/>
    <x v="11"/>
    <x v="9"/>
    <x v="318"/>
    <x v="265"/>
    <x v="265"/>
    <s v="REVENUS"/>
    <x v="2"/>
    <s v="4001.003"/>
    <s v="Impôt s/prest. cap. PP"/>
    <n v="0"/>
    <n v="479311.35"/>
    <n v="4001"/>
  </r>
  <r>
    <x v="0"/>
    <x v="11"/>
    <x v="9"/>
    <x v="318"/>
    <x v="265"/>
    <x v="265"/>
    <s v="REVENUS"/>
    <x v="10"/>
    <s v="4041.001"/>
    <s v="Droits de mutation"/>
    <n v="0"/>
    <n v="1014289.6"/>
    <n v="4041"/>
  </r>
  <r>
    <x v="0"/>
    <x v="11"/>
    <x v="9"/>
    <x v="318"/>
    <x v="265"/>
    <x v="265"/>
    <s v="REVENUS"/>
    <x v="6"/>
    <s v="4221.002"/>
    <s v="Intérêts compensat. sur impôts distincts"/>
    <n v="0"/>
    <n v="198.93"/>
    <n v="4221"/>
  </r>
  <r>
    <x v="0"/>
    <x v="11"/>
    <x v="9"/>
    <x v="318"/>
    <x v="265"/>
    <x v="265"/>
    <s v="REVENUS"/>
    <x v="3"/>
    <s v="4002.002"/>
    <s v="Impôt complémentaire s/fortune PP"/>
    <n v="0"/>
    <n v="3879.1"/>
    <n v="4002"/>
  </r>
  <r>
    <x v="0"/>
    <x v="11"/>
    <x v="9"/>
    <x v="318"/>
    <x v="265"/>
    <x v="265"/>
    <s v="REVENUS"/>
    <x v="9"/>
    <s v="4031.001"/>
    <s v="Impôt sur les gains immobiliers"/>
    <n v="0"/>
    <n v="1278425.8999999999"/>
    <n v="4031"/>
  </r>
  <r>
    <x v="0"/>
    <x v="11"/>
    <x v="9"/>
    <x v="318"/>
    <x v="265"/>
    <x v="265"/>
    <s v="REVENUS"/>
    <x v="2"/>
    <s v="4001.007"/>
    <s v="Acompte impôt sur revenu"/>
    <n v="0"/>
    <n v="-5343.25"/>
    <n v="4001"/>
  </r>
  <r>
    <x v="0"/>
    <x v="11"/>
    <x v="9"/>
    <x v="318"/>
    <x v="265"/>
    <x v="265"/>
    <s v="REVENUS"/>
    <x v="3"/>
    <s v="4002.007"/>
    <s v="Acompte impôt sur fortune"/>
    <n v="0"/>
    <n v="2916.53"/>
    <n v="4002"/>
  </r>
  <r>
    <x v="0"/>
    <x v="11"/>
    <x v="9"/>
    <x v="318"/>
    <x v="265"/>
    <x v="265"/>
    <s v="REVENUS"/>
    <x v="6"/>
    <s v="4211.001"/>
    <s v="Intérêts de retard sur factures"/>
    <n v="0"/>
    <n v="71.099999999999994"/>
    <n v="4211"/>
  </r>
  <r>
    <x v="0"/>
    <x v="11"/>
    <x v="9"/>
    <x v="318"/>
    <x v="265"/>
    <x v="265"/>
    <s v="REVENUS"/>
    <x v="6"/>
    <s v="4211.001"/>
    <s v="Intérêts de retard sur factures"/>
    <n v="0"/>
    <n v="6.84"/>
    <n v="4211"/>
  </r>
  <r>
    <x v="0"/>
    <x v="11"/>
    <x v="9"/>
    <x v="318"/>
    <x v="265"/>
    <x v="265"/>
    <s v="REVENUS"/>
    <x v="2"/>
    <s v="4001.007"/>
    <s v="Acompte impôt sur revenu"/>
    <n v="0"/>
    <n v="14408.97"/>
    <n v="4001"/>
  </r>
  <r>
    <x v="0"/>
    <x v="11"/>
    <x v="9"/>
    <x v="318"/>
    <x v="265"/>
    <x v="265"/>
    <s v="REVENUS"/>
    <x v="7"/>
    <s v="4184.000"/>
    <s v="Frais de poursuite"/>
    <n v="0"/>
    <n v="8263.61"/>
    <n v="4184"/>
  </r>
  <r>
    <x v="0"/>
    <x v="11"/>
    <x v="9"/>
    <x v="318"/>
    <x v="265"/>
    <x v="265"/>
    <s v="REVENUS"/>
    <x v="8"/>
    <s v="4091.003"/>
    <s v="Impôt récupéré concordat"/>
    <n v="0"/>
    <n v="-24831.11"/>
    <n v="4091"/>
  </r>
  <r>
    <x v="0"/>
    <x v="11"/>
    <x v="9"/>
    <x v="318"/>
    <x v="265"/>
    <x v="265"/>
    <s v="REVENUS"/>
    <x v="7"/>
    <s v="4184.000"/>
    <s v="Frais de poursuite"/>
    <n v="0"/>
    <n v="391.57"/>
    <n v="4184"/>
  </r>
  <r>
    <x v="0"/>
    <x v="11"/>
    <x v="9"/>
    <x v="318"/>
    <x v="265"/>
    <x v="265"/>
    <s v="REVENUS"/>
    <x v="6"/>
    <s v="4211.001"/>
    <s v="Intérêts de retard sur factures"/>
    <n v="0"/>
    <n v="2.14"/>
    <n v="4211"/>
  </r>
  <r>
    <x v="0"/>
    <x v="11"/>
    <x v="9"/>
    <x v="318"/>
    <x v="265"/>
    <x v="265"/>
    <s v="REVENUS"/>
    <x v="2"/>
    <s v="4001.001"/>
    <s v="Impôt revenu"/>
    <n v="0"/>
    <n v="9968.1"/>
    <n v="4001"/>
  </r>
  <r>
    <x v="0"/>
    <x v="11"/>
    <x v="9"/>
    <x v="318"/>
    <x v="265"/>
    <x v="265"/>
    <s v="REVENUS"/>
    <x v="3"/>
    <s v="4002.001"/>
    <s v="Impôt ordinaire s/fortune PP"/>
    <n v="0"/>
    <n v="4372.7"/>
    <n v="4002"/>
  </r>
  <r>
    <x v="0"/>
    <x v="11"/>
    <x v="9"/>
    <x v="318"/>
    <x v="265"/>
    <x v="265"/>
    <s v="REVENUS"/>
    <x v="6"/>
    <s v="4211.002"/>
    <s v="Intérêts de retard sur acomptes"/>
    <n v="0"/>
    <n v="126.8"/>
    <n v="4211"/>
  </r>
  <r>
    <x v="0"/>
    <x v="11"/>
    <x v="9"/>
    <x v="318"/>
    <x v="265"/>
    <x v="265"/>
    <s v="REVENUS"/>
    <x v="2"/>
    <s v="4001.007"/>
    <s v="Acompte impôt sur revenu"/>
    <n v="0"/>
    <n v="2449.66"/>
    <n v="4001"/>
  </r>
  <r>
    <x v="0"/>
    <x v="11"/>
    <x v="9"/>
    <x v="318"/>
    <x v="265"/>
    <x v="265"/>
    <s v="REVENUS"/>
    <x v="2"/>
    <s v="4001.007"/>
    <s v="Acompte impôt sur revenu"/>
    <n v="0"/>
    <n v="896.78"/>
    <n v="4001"/>
  </r>
  <r>
    <x v="0"/>
    <x v="11"/>
    <x v="9"/>
    <x v="318"/>
    <x v="265"/>
    <x v="265"/>
    <s v="REVENUS"/>
    <x v="3"/>
    <s v="4002.007"/>
    <s v="Acompte impôt sur fortune"/>
    <n v="0"/>
    <n v="1691.81"/>
    <n v="4002"/>
  </r>
  <r>
    <x v="0"/>
    <x v="11"/>
    <x v="9"/>
    <x v="318"/>
    <x v="265"/>
    <x v="265"/>
    <s v="REVENUS"/>
    <x v="3"/>
    <s v="4002.007"/>
    <s v="Acompte impôt sur fortune"/>
    <n v="0"/>
    <n v="2333.85"/>
    <n v="4002"/>
  </r>
  <r>
    <x v="0"/>
    <x v="11"/>
    <x v="9"/>
    <x v="318"/>
    <x v="265"/>
    <x v="265"/>
    <s v="REVENUS"/>
    <x v="2"/>
    <s v="4001.001"/>
    <s v="Impôt revenu"/>
    <n v="0"/>
    <n v="11935.7"/>
    <n v="4001"/>
  </r>
  <r>
    <x v="0"/>
    <x v="11"/>
    <x v="9"/>
    <x v="318"/>
    <x v="265"/>
    <x v="265"/>
    <s v="REVENUS"/>
    <x v="2"/>
    <s v="4001.007"/>
    <s v="Acompte impôt sur revenu"/>
    <n v="0"/>
    <n v="449.55"/>
    <n v="4001"/>
  </r>
  <r>
    <x v="0"/>
    <x v="11"/>
    <x v="9"/>
    <x v="318"/>
    <x v="265"/>
    <x v="265"/>
    <s v="REVENUS"/>
    <x v="5"/>
    <s v="4061.000"/>
    <s v="Impôt sur les chiens"/>
    <n v="0"/>
    <n v="41850"/>
    <n v="4061"/>
  </r>
  <r>
    <x v="0"/>
    <x v="11"/>
    <x v="9"/>
    <x v="318"/>
    <x v="265"/>
    <x v="265"/>
    <s v="REVENUS"/>
    <x v="6"/>
    <s v="4221.003"/>
    <s v="Intérêts compensat. / acomptes en faveur du fisc"/>
    <n v="0"/>
    <n v="1.9"/>
    <n v="4221"/>
  </r>
  <r>
    <x v="0"/>
    <x v="11"/>
    <x v="9"/>
    <x v="318"/>
    <x v="265"/>
    <x v="265"/>
    <s v="REVENUS"/>
    <x v="3"/>
    <s v="4002.001"/>
    <s v="Impôt ordinaire s/fortune PP"/>
    <n v="0"/>
    <n v="6232.35"/>
    <n v="4002"/>
  </r>
  <r>
    <x v="0"/>
    <x v="11"/>
    <x v="9"/>
    <x v="318"/>
    <x v="265"/>
    <x v="265"/>
    <s v="REVENUS"/>
    <x v="3"/>
    <s v="4002.007"/>
    <s v="Acompte impôt sur fortune"/>
    <n v="0"/>
    <n v="-7957.74"/>
    <n v="4002"/>
  </r>
  <r>
    <x v="0"/>
    <x v="11"/>
    <x v="9"/>
    <x v="318"/>
    <x v="265"/>
    <x v="265"/>
    <s v="REVENUS"/>
    <x v="6"/>
    <s v="4221.003"/>
    <s v="Intérêts compensat. / acomptes en faveur du fisc"/>
    <n v="0"/>
    <n v="2.74"/>
    <n v="4221"/>
  </r>
  <r>
    <x v="0"/>
    <x v="11"/>
    <x v="9"/>
    <x v="318"/>
    <x v="265"/>
    <x v="265"/>
    <s v="REVENUS"/>
    <x v="6"/>
    <s v="4211.001"/>
    <s v="Intérêts de retard sur factures"/>
    <n v="0"/>
    <n v="10.210000000000001"/>
    <n v="4211"/>
  </r>
  <r>
    <x v="0"/>
    <x v="11"/>
    <x v="9"/>
    <x v="318"/>
    <x v="265"/>
    <x v="265"/>
    <s v="REVENUS"/>
    <x v="2"/>
    <s v="4001.007"/>
    <s v="Acompte impôt sur revenu"/>
    <n v="0"/>
    <n v="515.6"/>
    <n v="4001"/>
  </r>
  <r>
    <x v="0"/>
    <x v="11"/>
    <x v="9"/>
    <x v="318"/>
    <x v="265"/>
    <x v="265"/>
    <s v="REVENUS"/>
    <x v="3"/>
    <s v="4002.007"/>
    <s v="Acompte impôt sur fortune"/>
    <n v="0"/>
    <n v="873.95"/>
    <n v="4002"/>
  </r>
  <r>
    <x v="0"/>
    <x v="11"/>
    <x v="9"/>
    <x v="318"/>
    <x v="265"/>
    <x v="265"/>
    <s v="REVENUS"/>
    <x v="2"/>
    <s v="4001.007"/>
    <s v="Acompte impôt sur revenu"/>
    <n v="0"/>
    <n v="-433.15"/>
    <n v="4001"/>
  </r>
  <r>
    <x v="0"/>
    <x v="11"/>
    <x v="9"/>
    <x v="318"/>
    <x v="265"/>
    <x v="265"/>
    <s v="REVENUS"/>
    <x v="3"/>
    <s v="4002.007"/>
    <s v="Acompte impôt sur fortune"/>
    <n v="0"/>
    <n v="-203.25"/>
    <n v="4002"/>
  </r>
  <r>
    <x v="0"/>
    <x v="11"/>
    <x v="9"/>
    <x v="318"/>
    <x v="265"/>
    <x v="265"/>
    <s v="REVENUS"/>
    <x v="3"/>
    <s v="4002.007"/>
    <s v="Acompte impôt sur fortune"/>
    <n v="0"/>
    <n v="342.49"/>
    <n v="4002"/>
  </r>
  <r>
    <x v="0"/>
    <x v="11"/>
    <x v="9"/>
    <x v="318"/>
    <x v="265"/>
    <x v="265"/>
    <s v="REVENUS"/>
    <x v="6"/>
    <s v="4211.002"/>
    <s v="Intérêts de retard sur acomptes"/>
    <n v="0"/>
    <n v="0.06"/>
    <n v="4211"/>
  </r>
  <r>
    <x v="0"/>
    <x v="11"/>
    <x v="9"/>
    <x v="318"/>
    <x v="265"/>
    <x v="265"/>
    <s v="REVENUS"/>
    <x v="2"/>
    <s v="4001.007"/>
    <s v="Acompte impôt sur revenu"/>
    <n v="0"/>
    <n v="1788.85"/>
    <n v="4001"/>
  </r>
  <r>
    <x v="0"/>
    <x v="11"/>
    <x v="9"/>
    <x v="318"/>
    <x v="265"/>
    <x v="265"/>
    <s v="REVENUS"/>
    <x v="3"/>
    <s v="4002.007"/>
    <s v="Acompte impôt sur fortune"/>
    <n v="0"/>
    <n v="326.89999999999998"/>
    <n v="4002"/>
  </r>
  <r>
    <x v="0"/>
    <x v="11"/>
    <x v="9"/>
    <x v="318"/>
    <x v="265"/>
    <x v="265"/>
    <s v="REVENUS"/>
    <x v="12"/>
    <s v="4004.007"/>
    <s v="Acompte spécial étrangers"/>
    <n v="0"/>
    <n v="-123945.83"/>
    <n v="4004"/>
  </r>
  <r>
    <x v="0"/>
    <x v="11"/>
    <x v="9"/>
    <x v="318"/>
    <x v="265"/>
    <x v="265"/>
    <s v="REVENUS"/>
    <x v="2"/>
    <s v="4001.001"/>
    <s v="Impôt revenu"/>
    <n v="0"/>
    <n v="1577.95"/>
    <n v="4001"/>
  </r>
  <r>
    <x v="0"/>
    <x v="11"/>
    <x v="9"/>
    <x v="318"/>
    <x v="265"/>
    <x v="265"/>
    <s v="REVENUS"/>
    <x v="3"/>
    <s v="4002.001"/>
    <s v="Impôt ordinaire s/fortune PP"/>
    <n v="0"/>
    <n v="670.8"/>
    <n v="4002"/>
  </r>
  <r>
    <x v="0"/>
    <x v="11"/>
    <x v="9"/>
    <x v="318"/>
    <x v="265"/>
    <x v="265"/>
    <s v="REVENUS"/>
    <x v="7"/>
    <s v="4184.000"/>
    <s v="Frais de poursuite"/>
    <n v="0"/>
    <n v="10.06"/>
    <n v="4184"/>
  </r>
  <r>
    <x v="0"/>
    <x v="11"/>
    <x v="9"/>
    <x v="318"/>
    <x v="265"/>
    <x v="265"/>
    <s v="REVENUS"/>
    <x v="9"/>
    <s v="4031.002"/>
    <s v="Complément impôt sur les gains immobiliers"/>
    <n v="0"/>
    <n v="64561.9"/>
    <n v="4031"/>
  </r>
  <r>
    <x v="0"/>
    <x v="11"/>
    <x v="9"/>
    <x v="318"/>
    <x v="265"/>
    <x v="265"/>
    <s v="REVENUS"/>
    <x v="12"/>
    <s v="4004.000"/>
    <s v="Impôt spécial étrangers"/>
    <n v="0"/>
    <n v="876697.59999999998"/>
    <n v="4004"/>
  </r>
  <r>
    <x v="0"/>
    <x v="11"/>
    <x v="9"/>
    <x v="318"/>
    <x v="265"/>
    <x v="265"/>
    <s v="REVENUS"/>
    <x v="3"/>
    <s v="4002.007"/>
    <s v="Acompte impôt sur fortune"/>
    <n v="0"/>
    <n v="-147.65"/>
    <n v="4002"/>
  </r>
  <r>
    <x v="0"/>
    <x v="11"/>
    <x v="9"/>
    <x v="318"/>
    <x v="265"/>
    <x v="265"/>
    <s v="REVENUS"/>
    <x v="3"/>
    <s v="4002.001"/>
    <s v="Impôt ordinaire s/fortune PP"/>
    <n v="0"/>
    <n v="4570.3500000000004"/>
    <n v="4002"/>
  </r>
  <r>
    <x v="0"/>
    <x v="11"/>
    <x v="9"/>
    <x v="318"/>
    <x v="265"/>
    <x v="265"/>
    <s v="REVENUS"/>
    <x v="6"/>
    <s v="4211.002"/>
    <s v="Intérêts de retard sur acomptes"/>
    <n v="0"/>
    <n v="18.059999999999999"/>
    <n v="4211"/>
  </r>
  <r>
    <x v="0"/>
    <x v="11"/>
    <x v="9"/>
    <x v="318"/>
    <x v="265"/>
    <x v="265"/>
    <s v="REVENUS"/>
    <x v="2"/>
    <s v="4001.001"/>
    <s v="Impôt revenu"/>
    <n v="0"/>
    <n v="2168.25"/>
    <n v="4001"/>
  </r>
  <r>
    <x v="0"/>
    <x v="11"/>
    <x v="9"/>
    <x v="318"/>
    <x v="265"/>
    <x v="265"/>
    <s v="REVENUS"/>
    <x v="6"/>
    <s v="4221.003"/>
    <s v="Intérêts compensat. / acomptes en faveur du fisc"/>
    <n v="0"/>
    <n v="0.41"/>
    <n v="4221"/>
  </r>
  <r>
    <x v="0"/>
    <x v="11"/>
    <x v="9"/>
    <x v="318"/>
    <x v="265"/>
    <x v="265"/>
    <s v="REVENUS"/>
    <x v="2"/>
    <s v="4001.002"/>
    <s v="Impôt complément s/revenu PP"/>
    <n v="0"/>
    <n v="192.7"/>
    <n v="4001"/>
  </r>
  <r>
    <x v="0"/>
    <x v="11"/>
    <x v="9"/>
    <x v="318"/>
    <x v="265"/>
    <x v="265"/>
    <s v="REVENUS"/>
    <x v="3"/>
    <s v="4002.002"/>
    <s v="Impôt complémentaire s/fortune PP"/>
    <n v="0"/>
    <n v="156.30000000000001"/>
    <n v="4002"/>
  </r>
  <r>
    <x v="0"/>
    <x v="11"/>
    <x v="9"/>
    <x v="318"/>
    <x v="265"/>
    <x v="265"/>
    <s v="REVENUS"/>
    <x v="6"/>
    <s v="4211.001"/>
    <s v="Intérêts de retard sur factures"/>
    <n v="0"/>
    <n v="51.66"/>
    <n v="4211"/>
  </r>
  <r>
    <x v="0"/>
    <x v="11"/>
    <x v="9"/>
    <x v="318"/>
    <x v="265"/>
    <x v="265"/>
    <s v="REVENUS"/>
    <x v="6"/>
    <s v="4221.003"/>
    <s v="Intérêts compensat. / acomptes en faveur du fisc"/>
    <n v="0"/>
    <n v="1.07"/>
    <n v="4221"/>
  </r>
  <r>
    <x v="0"/>
    <x v="11"/>
    <x v="9"/>
    <x v="318"/>
    <x v="265"/>
    <x v="265"/>
    <s v="REVENUS"/>
    <x v="7"/>
    <s v="4184.000"/>
    <s v="Frais de poursuite"/>
    <n v="0"/>
    <n v="66.98"/>
    <n v="4184"/>
  </r>
  <r>
    <x v="0"/>
    <x v="11"/>
    <x v="9"/>
    <x v="318"/>
    <x v="265"/>
    <x v="265"/>
    <s v="REVENUS"/>
    <x v="8"/>
    <s v="4091.001"/>
    <s v="Impôt récupéré après défalcations"/>
    <n v="0"/>
    <n v="1885.92"/>
    <n v="4091"/>
  </r>
  <r>
    <x v="0"/>
    <x v="11"/>
    <x v="9"/>
    <x v="318"/>
    <x v="265"/>
    <x v="265"/>
    <s v="REVENUS"/>
    <x v="2"/>
    <s v="4001.002"/>
    <s v="Impôt complément s/revenu PP"/>
    <n v="0"/>
    <n v="23120.05"/>
    <n v="4001"/>
  </r>
  <r>
    <x v="0"/>
    <x v="11"/>
    <x v="9"/>
    <x v="318"/>
    <x v="265"/>
    <x v="265"/>
    <s v="REVENUS"/>
    <x v="2"/>
    <s v="4001.007"/>
    <s v="Acompte impôt sur revenu"/>
    <n v="0"/>
    <n v="-127.8"/>
    <n v="4001"/>
  </r>
  <r>
    <x v="0"/>
    <x v="11"/>
    <x v="9"/>
    <x v="318"/>
    <x v="265"/>
    <x v="265"/>
    <s v="REVENUS"/>
    <x v="2"/>
    <s v="4001.002"/>
    <s v="Impôt complément s/revenu PP"/>
    <n v="0"/>
    <n v="4311.05"/>
    <n v="4001"/>
  </r>
  <r>
    <x v="0"/>
    <x v="11"/>
    <x v="9"/>
    <x v="318"/>
    <x v="265"/>
    <x v="265"/>
    <s v="REVENUS"/>
    <x v="7"/>
    <s v="4184.000"/>
    <s v="Frais de poursuite"/>
    <n v="0"/>
    <n v="1.44"/>
    <n v="4184"/>
  </r>
  <r>
    <x v="0"/>
    <x v="11"/>
    <x v="9"/>
    <x v="318"/>
    <x v="265"/>
    <x v="265"/>
    <s v="REVENUS"/>
    <x v="3"/>
    <s v="4002.002"/>
    <s v="Impôt complémentaire s/fortune PP"/>
    <n v="0"/>
    <n v="591.20000000000005"/>
    <n v="4002"/>
  </r>
  <r>
    <x v="0"/>
    <x v="11"/>
    <x v="9"/>
    <x v="318"/>
    <x v="265"/>
    <x v="265"/>
    <s v="REVENUS"/>
    <x v="10"/>
    <s v="4041.002"/>
    <s v="Complément droit de mutation"/>
    <n v="0"/>
    <n v="2062.5"/>
    <n v="4041"/>
  </r>
  <r>
    <x v="0"/>
    <x v="11"/>
    <x v="9"/>
    <x v="318"/>
    <x v="265"/>
    <x v="265"/>
    <s v="REVENUS"/>
    <x v="4"/>
    <s v="4051.001"/>
    <s v="Impôt sur les successions"/>
    <n v="0"/>
    <n v="122753"/>
    <n v="4051"/>
  </r>
  <r>
    <x v="0"/>
    <x v="11"/>
    <x v="9"/>
    <x v="318"/>
    <x v="265"/>
    <x v="265"/>
    <s v="REVENUS"/>
    <x v="3"/>
    <s v="4002.002"/>
    <s v="Impôt complémentaire s/fortune PP"/>
    <n v="0"/>
    <n v="4221.7"/>
    <n v="4002"/>
  </r>
  <r>
    <x v="0"/>
    <x v="11"/>
    <x v="9"/>
    <x v="318"/>
    <x v="265"/>
    <x v="265"/>
    <s v="REVENUS"/>
    <x v="8"/>
    <s v="4091.001"/>
    <s v="Impôt récupéré après défalcations"/>
    <n v="0"/>
    <n v="1341.71"/>
    <n v="4091"/>
  </r>
  <r>
    <x v="0"/>
    <x v="11"/>
    <x v="9"/>
    <x v="318"/>
    <x v="265"/>
    <x v="265"/>
    <s v="REVENUS"/>
    <x v="2"/>
    <s v="4001.002"/>
    <s v="Impôt complément s/revenu PP"/>
    <n v="0"/>
    <n v="1218.4000000000001"/>
    <n v="4001"/>
  </r>
  <r>
    <x v="0"/>
    <x v="11"/>
    <x v="9"/>
    <x v="318"/>
    <x v="265"/>
    <x v="265"/>
    <s v="REVENUS"/>
    <x v="3"/>
    <s v="4002.002"/>
    <s v="Impôt complémentaire s/fortune PP"/>
    <n v="0"/>
    <n v="894.7"/>
    <n v="4002"/>
  </r>
  <r>
    <x v="0"/>
    <x v="11"/>
    <x v="9"/>
    <x v="318"/>
    <x v="265"/>
    <x v="265"/>
    <s v="REVENUS"/>
    <x v="7"/>
    <s v="4184.000"/>
    <s v="Frais de poursuite"/>
    <n v="0"/>
    <n v="1.61"/>
    <n v="4184"/>
  </r>
  <r>
    <x v="0"/>
    <x v="11"/>
    <x v="9"/>
    <x v="318"/>
    <x v="265"/>
    <x v="265"/>
    <s v="REVENUS"/>
    <x v="2"/>
    <s v="4001.003"/>
    <s v="Impôt s/prest. cap. PP"/>
    <n v="0"/>
    <n v="457.55"/>
    <n v="4001"/>
  </r>
  <r>
    <x v="0"/>
    <x v="11"/>
    <x v="9"/>
    <x v="318"/>
    <x v="265"/>
    <x v="265"/>
    <s v="REVENUS"/>
    <x v="4"/>
    <s v="4051.002"/>
    <s v="Impôt sur les donations"/>
    <n v="0"/>
    <n v="8118"/>
    <n v="4051"/>
  </r>
  <r>
    <x v="0"/>
    <x v="11"/>
    <x v="9"/>
    <x v="319"/>
    <x v="266"/>
    <x v="266"/>
    <s v="CHARGES"/>
    <x v="0"/>
    <s v="3212.002"/>
    <s v="Intérêts bonifiés/trop perçu acompte C/C"/>
    <n v="407.12"/>
    <n v="0"/>
    <n v="3212"/>
  </r>
  <r>
    <x v="0"/>
    <x v="11"/>
    <x v="9"/>
    <x v="319"/>
    <x v="266"/>
    <x v="266"/>
    <s v="CHARGES"/>
    <x v="0"/>
    <s v="3212.004"/>
    <s v="Intérêts rémun./perçu trop tôt sur acomptes C/C"/>
    <n v="2388.34"/>
    <n v="0"/>
    <n v="3212"/>
  </r>
  <r>
    <x v="0"/>
    <x v="11"/>
    <x v="9"/>
    <x v="319"/>
    <x v="266"/>
    <x v="266"/>
    <s v="CHARGES"/>
    <x v="0"/>
    <s v="3221.002"/>
    <s v="Intérêts compensatoires / créances en faveur ctb."/>
    <n v="1029.0999999999999"/>
    <n v="0"/>
    <n v="3221"/>
  </r>
  <r>
    <x v="0"/>
    <x v="11"/>
    <x v="9"/>
    <x v="319"/>
    <x v="266"/>
    <x v="266"/>
    <s v="CHARGES"/>
    <x v="1"/>
    <s v="3301.001"/>
    <s v="Défalcations, abandons de solde PP et IS"/>
    <n v="24021.73"/>
    <n v="0"/>
    <n v="3301"/>
  </r>
  <r>
    <x v="0"/>
    <x v="11"/>
    <x v="9"/>
    <x v="319"/>
    <x v="266"/>
    <x v="266"/>
    <s v="CHARGES"/>
    <x v="0"/>
    <s v="3212.004"/>
    <s v="Intérêts rémun./perçu trop tôt sur acomptes C/C"/>
    <n v="39.25"/>
    <n v="0"/>
    <n v="3212"/>
  </r>
  <r>
    <x v="0"/>
    <x v="11"/>
    <x v="9"/>
    <x v="319"/>
    <x v="266"/>
    <x v="266"/>
    <s v="CHARGES"/>
    <x v="0"/>
    <s v="3221.002"/>
    <s v="Intérêts compensatoires / créances en faveur ctb."/>
    <n v="9.98"/>
    <n v="0"/>
    <n v="3221"/>
  </r>
  <r>
    <x v="0"/>
    <x v="11"/>
    <x v="9"/>
    <x v="319"/>
    <x v="266"/>
    <x v="266"/>
    <s v="CHARGES"/>
    <x v="0"/>
    <s v="3212.004"/>
    <s v="Intérêts rémun./perçu trop tôt sur acomptes C/C"/>
    <n v="3.78"/>
    <n v="0"/>
    <n v="3212"/>
  </r>
  <r>
    <x v="0"/>
    <x v="11"/>
    <x v="9"/>
    <x v="319"/>
    <x v="266"/>
    <x v="266"/>
    <s v="CHARGES"/>
    <x v="0"/>
    <s v="3212.004"/>
    <s v="Intérêts rémun./perçu trop tôt sur acomptes C/C"/>
    <n v="20.93"/>
    <n v="0"/>
    <n v="3212"/>
  </r>
  <r>
    <x v="0"/>
    <x v="11"/>
    <x v="9"/>
    <x v="319"/>
    <x v="266"/>
    <x v="266"/>
    <s v="CHARGES"/>
    <x v="1"/>
    <s v="3301.001"/>
    <s v="Défalcations, abandons de solde PP et IS"/>
    <n v="5.63"/>
    <n v="0"/>
    <n v="3301"/>
  </r>
  <r>
    <x v="0"/>
    <x v="11"/>
    <x v="9"/>
    <x v="319"/>
    <x v="266"/>
    <x v="266"/>
    <s v="CHARGES"/>
    <x v="0"/>
    <s v="3212.002"/>
    <s v="Intérêts bonifiés/trop perçu acompte C/C"/>
    <n v="-1.08"/>
    <n v="0"/>
    <n v="3212"/>
  </r>
  <r>
    <x v="0"/>
    <x v="11"/>
    <x v="9"/>
    <x v="319"/>
    <x v="266"/>
    <x v="266"/>
    <s v="CHARGES"/>
    <x v="0"/>
    <s v="3212.004"/>
    <s v="Intérêts rémun./perçu trop tôt sur acomptes C/C"/>
    <n v="4.38"/>
    <n v="0"/>
    <n v="3212"/>
  </r>
  <r>
    <x v="0"/>
    <x v="11"/>
    <x v="9"/>
    <x v="319"/>
    <x v="266"/>
    <x v="266"/>
    <s v="CHARGES"/>
    <x v="0"/>
    <s v="3221.002"/>
    <s v="Intérêts compensatoires / créances en faveur ctb."/>
    <n v="2.5299999999999998"/>
    <n v="0"/>
    <n v="3221"/>
  </r>
  <r>
    <x v="0"/>
    <x v="11"/>
    <x v="9"/>
    <x v="319"/>
    <x v="266"/>
    <x v="266"/>
    <s v="CHARGES"/>
    <x v="1"/>
    <s v="3301.001"/>
    <s v="Défalcations, abandons de solde PP et IS"/>
    <n v="0.27"/>
    <n v="0"/>
    <n v="3301"/>
  </r>
  <r>
    <x v="0"/>
    <x v="11"/>
    <x v="9"/>
    <x v="319"/>
    <x v="266"/>
    <x v="266"/>
    <s v="CHARGES"/>
    <x v="1"/>
    <s v="3301.001"/>
    <s v="Défalcations, abandons de solde PP et IS"/>
    <n v="0.45"/>
    <n v="0"/>
    <n v="3301"/>
  </r>
  <r>
    <x v="0"/>
    <x v="11"/>
    <x v="9"/>
    <x v="319"/>
    <x v="266"/>
    <x v="266"/>
    <s v="CHARGES"/>
    <x v="0"/>
    <s v="3221.002"/>
    <s v="Intérêts compensatoires / créances en faveur ctb."/>
    <n v="0.24"/>
    <n v="0"/>
    <n v="3221"/>
  </r>
  <r>
    <x v="0"/>
    <x v="11"/>
    <x v="9"/>
    <x v="319"/>
    <x v="266"/>
    <x v="266"/>
    <s v="CHARGES"/>
    <x v="1"/>
    <s v="3301.001"/>
    <s v="Défalcations, abandons de solde PP et IS"/>
    <n v="1.83"/>
    <n v="0"/>
    <n v="3301"/>
  </r>
  <r>
    <x v="0"/>
    <x v="11"/>
    <x v="9"/>
    <x v="319"/>
    <x v="266"/>
    <x v="266"/>
    <s v="CHARGES"/>
    <x v="0"/>
    <s v="3221.002"/>
    <s v="Intérêts compensatoires / créances en faveur ctb."/>
    <n v="0.47"/>
    <n v="0"/>
    <n v="3221"/>
  </r>
  <r>
    <x v="0"/>
    <x v="11"/>
    <x v="9"/>
    <x v="319"/>
    <x v="266"/>
    <x v="266"/>
    <s v="CHARGES"/>
    <x v="0"/>
    <s v="3212.004"/>
    <s v="Intérêts rémun./perçu trop tôt sur acomptes C/C"/>
    <n v="0.19"/>
    <n v="0"/>
    <n v="3212"/>
  </r>
  <r>
    <x v="0"/>
    <x v="11"/>
    <x v="9"/>
    <x v="319"/>
    <x v="266"/>
    <x v="266"/>
    <s v="CHARGES"/>
    <x v="1"/>
    <s v="3301.001"/>
    <s v="Défalcations, abandons de solde PP et IS"/>
    <n v="1.89"/>
    <n v="0"/>
    <n v="3301"/>
  </r>
  <r>
    <x v="0"/>
    <x v="11"/>
    <x v="9"/>
    <x v="319"/>
    <x v="266"/>
    <x v="266"/>
    <s v="CHARGES"/>
    <x v="0"/>
    <s v="3221.002"/>
    <s v="Intérêts compensatoires / créances en faveur ctb."/>
    <n v="1.68"/>
    <n v="0"/>
    <n v="3221"/>
  </r>
  <r>
    <x v="0"/>
    <x v="11"/>
    <x v="9"/>
    <x v="319"/>
    <x v="266"/>
    <x v="266"/>
    <s v="CHARGES"/>
    <x v="1"/>
    <s v="3301.001"/>
    <s v="Défalcations, abandons de solde PP et IS"/>
    <n v="1803.45"/>
    <n v="0"/>
    <n v="3301"/>
  </r>
  <r>
    <x v="0"/>
    <x v="11"/>
    <x v="9"/>
    <x v="319"/>
    <x v="266"/>
    <x v="266"/>
    <s v="REVENUS"/>
    <x v="2"/>
    <s v="4001.001"/>
    <s v="Impôt revenu"/>
    <n v="0"/>
    <n v="6094789.4000000004"/>
    <n v="4001"/>
  </r>
  <r>
    <x v="0"/>
    <x v="11"/>
    <x v="9"/>
    <x v="319"/>
    <x v="266"/>
    <x v="266"/>
    <s v="REVENUS"/>
    <x v="2"/>
    <s v="4001.007"/>
    <s v="Acompte impôt sur revenu"/>
    <n v="0"/>
    <n v="292976.88"/>
    <n v="4001"/>
  </r>
  <r>
    <x v="0"/>
    <x v="11"/>
    <x v="9"/>
    <x v="319"/>
    <x v="266"/>
    <x v="266"/>
    <s v="REVENUS"/>
    <x v="3"/>
    <s v="4002.001"/>
    <s v="Impôt ordinaire s/fortune PP"/>
    <n v="0"/>
    <n v="1338643"/>
    <n v="4002"/>
  </r>
  <r>
    <x v="0"/>
    <x v="11"/>
    <x v="9"/>
    <x v="319"/>
    <x v="266"/>
    <x v="266"/>
    <s v="REVENUS"/>
    <x v="3"/>
    <s v="4002.007"/>
    <s v="Acompte impôt sur fortune"/>
    <n v="0"/>
    <n v="40734.730000000003"/>
    <n v="4002"/>
  </r>
  <r>
    <x v="0"/>
    <x v="11"/>
    <x v="9"/>
    <x v="319"/>
    <x v="266"/>
    <x v="266"/>
    <s v="REVENUS"/>
    <x v="6"/>
    <s v="4211.001"/>
    <s v="Intérêts de retard sur factures"/>
    <n v="0"/>
    <n v="38111.879999999997"/>
    <n v="4211"/>
  </r>
  <r>
    <x v="0"/>
    <x v="11"/>
    <x v="9"/>
    <x v="319"/>
    <x v="266"/>
    <x v="266"/>
    <s v="REVENUS"/>
    <x v="6"/>
    <s v="4211.002"/>
    <s v="Intérêts de retard sur acomptes"/>
    <n v="0"/>
    <n v="37264.620000000003"/>
    <n v="4211"/>
  </r>
  <r>
    <x v="0"/>
    <x v="11"/>
    <x v="9"/>
    <x v="319"/>
    <x v="266"/>
    <x v="266"/>
    <s v="REVENUS"/>
    <x v="6"/>
    <s v="4221.003"/>
    <s v="Intérêts compensat. / acomptes en faveur du fisc"/>
    <n v="0"/>
    <n v="1398.43"/>
    <n v="4221"/>
  </r>
  <r>
    <x v="0"/>
    <x v="11"/>
    <x v="9"/>
    <x v="319"/>
    <x v="266"/>
    <x v="266"/>
    <s v="REVENUS"/>
    <x v="9"/>
    <s v="4031.001"/>
    <s v="Impôt sur les gains immobiliers"/>
    <n v="0"/>
    <n v="408186.4"/>
    <n v="4031"/>
  </r>
  <r>
    <x v="0"/>
    <x v="11"/>
    <x v="9"/>
    <x v="319"/>
    <x v="266"/>
    <x v="266"/>
    <s v="REVENUS"/>
    <x v="7"/>
    <s v="4184.000"/>
    <s v="Frais de poursuite"/>
    <n v="0"/>
    <n v="4583.21"/>
    <n v="4184"/>
  </r>
  <r>
    <x v="0"/>
    <x v="11"/>
    <x v="9"/>
    <x v="319"/>
    <x v="266"/>
    <x v="266"/>
    <s v="REVENUS"/>
    <x v="6"/>
    <s v="4221.002"/>
    <s v="Intérêts compensat. sur impôts distincts"/>
    <n v="0"/>
    <n v="94.12"/>
    <n v="4221"/>
  </r>
  <r>
    <x v="0"/>
    <x v="11"/>
    <x v="9"/>
    <x v="319"/>
    <x v="266"/>
    <x v="266"/>
    <s v="REVENUS"/>
    <x v="2"/>
    <s v="4001.001"/>
    <s v="Impôt revenu"/>
    <n v="0"/>
    <n v="20170.3"/>
    <n v="4001"/>
  </r>
  <r>
    <x v="0"/>
    <x v="11"/>
    <x v="9"/>
    <x v="319"/>
    <x v="266"/>
    <x v="266"/>
    <s v="REVENUS"/>
    <x v="2"/>
    <s v="4001.007"/>
    <s v="Acompte impôt sur revenu"/>
    <n v="0"/>
    <n v="5806.57"/>
    <n v="4001"/>
  </r>
  <r>
    <x v="0"/>
    <x v="11"/>
    <x v="9"/>
    <x v="319"/>
    <x v="266"/>
    <x v="266"/>
    <s v="REVENUS"/>
    <x v="3"/>
    <s v="4002.001"/>
    <s v="Impôt ordinaire s/fortune PP"/>
    <n v="0"/>
    <n v="16685.95"/>
    <n v="4002"/>
  </r>
  <r>
    <x v="0"/>
    <x v="11"/>
    <x v="9"/>
    <x v="319"/>
    <x v="266"/>
    <x v="266"/>
    <s v="REVENUS"/>
    <x v="3"/>
    <s v="4002.007"/>
    <s v="Acompte impôt sur fortune"/>
    <n v="0"/>
    <n v="2731.7"/>
    <n v="4002"/>
  </r>
  <r>
    <x v="0"/>
    <x v="11"/>
    <x v="9"/>
    <x v="319"/>
    <x v="266"/>
    <x v="266"/>
    <s v="REVENUS"/>
    <x v="6"/>
    <s v="4211.002"/>
    <s v="Intérêts de retard sur acomptes"/>
    <n v="0"/>
    <n v="145.19999999999999"/>
    <n v="4211"/>
  </r>
  <r>
    <x v="0"/>
    <x v="11"/>
    <x v="9"/>
    <x v="319"/>
    <x v="266"/>
    <x v="266"/>
    <s v="REVENUS"/>
    <x v="6"/>
    <s v="4221.003"/>
    <s v="Intérêts compensat. / acomptes en faveur du fisc"/>
    <n v="0"/>
    <n v="30.6"/>
    <n v="4221"/>
  </r>
  <r>
    <x v="0"/>
    <x v="11"/>
    <x v="9"/>
    <x v="319"/>
    <x v="266"/>
    <x v="266"/>
    <s v="REVENUS"/>
    <x v="2"/>
    <s v="4001.002"/>
    <s v="Impôt complément s/revenu PP"/>
    <n v="0"/>
    <n v="1793148.45"/>
    <n v="4001"/>
  </r>
  <r>
    <x v="0"/>
    <x v="11"/>
    <x v="9"/>
    <x v="319"/>
    <x v="266"/>
    <x v="266"/>
    <s v="REVENUS"/>
    <x v="3"/>
    <s v="4002.002"/>
    <s v="Impôt complémentaire s/fortune PP"/>
    <n v="0"/>
    <n v="404354.85"/>
    <n v="4002"/>
  </r>
  <r>
    <x v="0"/>
    <x v="11"/>
    <x v="9"/>
    <x v="319"/>
    <x v="266"/>
    <x v="266"/>
    <s v="REVENUS"/>
    <x v="5"/>
    <s v="4061.000"/>
    <s v="Impôt sur les chiens"/>
    <n v="0"/>
    <n v="15880"/>
    <n v="4061"/>
  </r>
  <r>
    <x v="0"/>
    <x v="11"/>
    <x v="9"/>
    <x v="319"/>
    <x v="266"/>
    <x v="266"/>
    <s v="REVENUS"/>
    <x v="2"/>
    <s v="4001.003"/>
    <s v="Impôt s/prest. cap. PP"/>
    <n v="0"/>
    <n v="308819.75"/>
    <n v="4001"/>
  </r>
  <r>
    <x v="0"/>
    <x v="11"/>
    <x v="9"/>
    <x v="319"/>
    <x v="266"/>
    <x v="266"/>
    <s v="REVENUS"/>
    <x v="2"/>
    <s v="4001.001"/>
    <s v="Impôt revenu"/>
    <n v="0"/>
    <n v="9460.9"/>
    <n v="4001"/>
  </r>
  <r>
    <x v="0"/>
    <x v="11"/>
    <x v="9"/>
    <x v="319"/>
    <x v="266"/>
    <x v="266"/>
    <s v="REVENUS"/>
    <x v="2"/>
    <s v="4001.007"/>
    <s v="Acompte impôt sur revenu"/>
    <n v="0"/>
    <n v="-2812.92"/>
    <n v="4001"/>
  </r>
  <r>
    <x v="0"/>
    <x v="11"/>
    <x v="9"/>
    <x v="319"/>
    <x v="266"/>
    <x v="266"/>
    <s v="REVENUS"/>
    <x v="3"/>
    <s v="4002.001"/>
    <s v="Impôt ordinaire s/fortune PP"/>
    <n v="0"/>
    <n v="4231.1000000000004"/>
    <n v="4002"/>
  </r>
  <r>
    <x v="0"/>
    <x v="11"/>
    <x v="9"/>
    <x v="319"/>
    <x v="266"/>
    <x v="266"/>
    <s v="REVENUS"/>
    <x v="3"/>
    <s v="4002.007"/>
    <s v="Acompte impôt sur fortune"/>
    <n v="0"/>
    <n v="908.43"/>
    <n v="4002"/>
  </r>
  <r>
    <x v="0"/>
    <x v="11"/>
    <x v="9"/>
    <x v="319"/>
    <x v="266"/>
    <x v="266"/>
    <s v="REVENUS"/>
    <x v="2"/>
    <s v="4001.007"/>
    <s v="Acompte impôt sur revenu"/>
    <n v="0"/>
    <n v="-59.05"/>
    <n v="4001"/>
  </r>
  <r>
    <x v="0"/>
    <x v="11"/>
    <x v="9"/>
    <x v="319"/>
    <x v="266"/>
    <x v="266"/>
    <s v="REVENUS"/>
    <x v="3"/>
    <s v="4002.007"/>
    <s v="Acompte impôt sur fortune"/>
    <n v="0"/>
    <n v="-25.35"/>
    <n v="4002"/>
  </r>
  <r>
    <x v="0"/>
    <x v="11"/>
    <x v="9"/>
    <x v="319"/>
    <x v="266"/>
    <x v="266"/>
    <s v="REVENUS"/>
    <x v="3"/>
    <s v="4002.001"/>
    <s v="Impôt ordinaire s/fortune PP"/>
    <n v="0"/>
    <n v="6973.05"/>
    <n v="4002"/>
  </r>
  <r>
    <x v="0"/>
    <x v="11"/>
    <x v="9"/>
    <x v="319"/>
    <x v="266"/>
    <x v="266"/>
    <s v="REVENUS"/>
    <x v="9"/>
    <s v="4031.002"/>
    <s v="Complément impôt sur les gains immobiliers"/>
    <n v="0"/>
    <n v="3864.35"/>
    <n v="4031"/>
  </r>
  <r>
    <x v="0"/>
    <x v="11"/>
    <x v="9"/>
    <x v="319"/>
    <x v="266"/>
    <x v="266"/>
    <s v="REVENUS"/>
    <x v="8"/>
    <s v="4091.001"/>
    <s v="Impôt récupéré après défalcations"/>
    <n v="0"/>
    <n v="6644.64"/>
    <n v="4091"/>
  </r>
  <r>
    <x v="0"/>
    <x v="11"/>
    <x v="9"/>
    <x v="319"/>
    <x v="266"/>
    <x v="266"/>
    <s v="REVENUS"/>
    <x v="2"/>
    <s v="4001.007"/>
    <s v="Acompte impôt sur revenu"/>
    <n v="0"/>
    <n v="3378.52"/>
    <n v="4001"/>
  </r>
  <r>
    <x v="0"/>
    <x v="11"/>
    <x v="9"/>
    <x v="319"/>
    <x v="266"/>
    <x v="266"/>
    <s v="REVENUS"/>
    <x v="3"/>
    <s v="4002.007"/>
    <s v="Acompte impôt sur fortune"/>
    <n v="0"/>
    <n v="516.29999999999995"/>
    <n v="4002"/>
  </r>
  <r>
    <x v="0"/>
    <x v="11"/>
    <x v="9"/>
    <x v="319"/>
    <x v="266"/>
    <x v="266"/>
    <s v="REVENUS"/>
    <x v="6"/>
    <s v="4211.002"/>
    <s v="Intérêts de retard sur acomptes"/>
    <n v="0"/>
    <n v="33.68"/>
    <n v="4211"/>
  </r>
  <r>
    <x v="0"/>
    <x v="11"/>
    <x v="9"/>
    <x v="319"/>
    <x v="266"/>
    <x v="266"/>
    <s v="REVENUS"/>
    <x v="6"/>
    <s v="4211.001"/>
    <s v="Intérêts de retard sur factures"/>
    <n v="0"/>
    <n v="242.91"/>
    <n v="4211"/>
  </r>
  <r>
    <x v="0"/>
    <x v="11"/>
    <x v="9"/>
    <x v="319"/>
    <x v="266"/>
    <x v="266"/>
    <s v="REVENUS"/>
    <x v="2"/>
    <s v="4001.001"/>
    <s v="Impôt revenu"/>
    <n v="0"/>
    <n v="11887.7"/>
    <n v="4001"/>
  </r>
  <r>
    <x v="0"/>
    <x v="11"/>
    <x v="9"/>
    <x v="319"/>
    <x v="266"/>
    <x v="266"/>
    <s v="REVENUS"/>
    <x v="6"/>
    <s v="4211.002"/>
    <s v="Intérêts de retard sur acomptes"/>
    <n v="0"/>
    <n v="528.54999999999995"/>
    <n v="4211"/>
  </r>
  <r>
    <x v="0"/>
    <x v="11"/>
    <x v="9"/>
    <x v="319"/>
    <x v="266"/>
    <x v="266"/>
    <s v="REVENUS"/>
    <x v="3"/>
    <s v="4002.007"/>
    <s v="Acompte impôt sur fortune"/>
    <n v="0"/>
    <n v="-1069.5"/>
    <n v="4002"/>
  </r>
  <r>
    <x v="0"/>
    <x v="11"/>
    <x v="9"/>
    <x v="319"/>
    <x v="266"/>
    <x v="266"/>
    <s v="REVENUS"/>
    <x v="2"/>
    <s v="4001.007"/>
    <s v="Acompte impôt sur revenu"/>
    <n v="0"/>
    <n v="7786.54"/>
    <n v="4001"/>
  </r>
  <r>
    <x v="0"/>
    <x v="11"/>
    <x v="9"/>
    <x v="319"/>
    <x v="266"/>
    <x v="266"/>
    <s v="REVENUS"/>
    <x v="3"/>
    <s v="4002.001"/>
    <s v="Impôt ordinaire s/fortune PP"/>
    <n v="0"/>
    <n v="11011.25"/>
    <n v="4002"/>
  </r>
  <r>
    <x v="0"/>
    <x v="11"/>
    <x v="9"/>
    <x v="319"/>
    <x v="266"/>
    <x v="266"/>
    <s v="REVENUS"/>
    <x v="3"/>
    <s v="4002.007"/>
    <s v="Acompte impôt sur fortune"/>
    <n v="0"/>
    <n v="18393.5"/>
    <n v="4002"/>
  </r>
  <r>
    <x v="0"/>
    <x v="11"/>
    <x v="9"/>
    <x v="319"/>
    <x v="266"/>
    <x v="266"/>
    <s v="REVENUS"/>
    <x v="2"/>
    <s v="4001.007"/>
    <s v="Acompte impôt sur revenu"/>
    <n v="0"/>
    <n v="-14243.26"/>
    <n v="4001"/>
  </r>
  <r>
    <x v="0"/>
    <x v="11"/>
    <x v="9"/>
    <x v="319"/>
    <x v="266"/>
    <x v="266"/>
    <s v="REVENUS"/>
    <x v="12"/>
    <s v="4004.000"/>
    <s v="Impôt spécial étrangers"/>
    <n v="0"/>
    <n v="288835.75"/>
    <n v="4004"/>
  </r>
  <r>
    <x v="0"/>
    <x v="11"/>
    <x v="9"/>
    <x v="319"/>
    <x v="266"/>
    <x v="266"/>
    <s v="REVENUS"/>
    <x v="12"/>
    <s v="4004.007"/>
    <s v="Acompte spécial étrangers"/>
    <n v="0"/>
    <n v="-76143.8"/>
    <n v="4004"/>
  </r>
  <r>
    <x v="0"/>
    <x v="11"/>
    <x v="9"/>
    <x v="319"/>
    <x v="266"/>
    <x v="266"/>
    <s v="REVENUS"/>
    <x v="10"/>
    <s v="4041.001"/>
    <s v="Droits de mutation"/>
    <n v="0"/>
    <n v="511854.7"/>
    <n v="4041"/>
  </r>
  <r>
    <x v="0"/>
    <x v="11"/>
    <x v="9"/>
    <x v="319"/>
    <x v="266"/>
    <x v="266"/>
    <s v="REVENUS"/>
    <x v="2"/>
    <s v="4001.001"/>
    <s v="Impôt revenu"/>
    <n v="0"/>
    <n v="6052.75"/>
    <n v="4001"/>
  </r>
  <r>
    <x v="0"/>
    <x v="11"/>
    <x v="9"/>
    <x v="319"/>
    <x v="266"/>
    <x v="266"/>
    <s v="REVENUS"/>
    <x v="3"/>
    <s v="4002.001"/>
    <s v="Impôt ordinaire s/fortune PP"/>
    <n v="0"/>
    <n v="4331.45"/>
    <n v="4002"/>
  </r>
  <r>
    <x v="0"/>
    <x v="11"/>
    <x v="9"/>
    <x v="319"/>
    <x v="266"/>
    <x v="266"/>
    <s v="REVENUS"/>
    <x v="6"/>
    <s v="4221.003"/>
    <s v="Intérêts compensat. / acomptes en faveur du fisc"/>
    <n v="0"/>
    <n v="1.81"/>
    <n v="4221"/>
  </r>
  <r>
    <x v="0"/>
    <x v="11"/>
    <x v="9"/>
    <x v="319"/>
    <x v="266"/>
    <x v="266"/>
    <s v="REVENUS"/>
    <x v="7"/>
    <s v="4184.000"/>
    <s v="Frais de poursuite"/>
    <n v="0"/>
    <n v="106.86"/>
    <n v="4184"/>
  </r>
  <r>
    <x v="0"/>
    <x v="11"/>
    <x v="9"/>
    <x v="319"/>
    <x v="266"/>
    <x v="266"/>
    <s v="REVENUS"/>
    <x v="3"/>
    <s v="4002.007"/>
    <s v="Acompte impôt sur fortune"/>
    <n v="0"/>
    <n v="-1576.16"/>
    <n v="4002"/>
  </r>
  <r>
    <x v="0"/>
    <x v="11"/>
    <x v="9"/>
    <x v="319"/>
    <x v="266"/>
    <x v="266"/>
    <s v="REVENUS"/>
    <x v="6"/>
    <s v="4221.003"/>
    <s v="Intérêts compensat. / acomptes en faveur du fisc"/>
    <n v="0"/>
    <n v="1.32"/>
    <n v="4221"/>
  </r>
  <r>
    <x v="0"/>
    <x v="11"/>
    <x v="9"/>
    <x v="319"/>
    <x v="266"/>
    <x v="266"/>
    <s v="REVENUS"/>
    <x v="4"/>
    <s v="4051.001"/>
    <s v="Impôt sur les successions"/>
    <n v="0"/>
    <n v="50121.3"/>
    <n v="4051"/>
  </r>
  <r>
    <x v="0"/>
    <x v="11"/>
    <x v="9"/>
    <x v="319"/>
    <x v="266"/>
    <x v="266"/>
    <s v="REVENUS"/>
    <x v="2"/>
    <s v="4001.001"/>
    <s v="Impôt revenu"/>
    <n v="0"/>
    <n v="6086.8"/>
    <n v="4001"/>
  </r>
  <r>
    <x v="0"/>
    <x v="11"/>
    <x v="9"/>
    <x v="319"/>
    <x v="266"/>
    <x v="266"/>
    <s v="REVENUS"/>
    <x v="6"/>
    <s v="4211.002"/>
    <s v="Intérêts de retard sur acomptes"/>
    <n v="0"/>
    <n v="5.7"/>
    <n v="4211"/>
  </r>
  <r>
    <x v="0"/>
    <x v="11"/>
    <x v="9"/>
    <x v="319"/>
    <x v="266"/>
    <x v="266"/>
    <s v="REVENUS"/>
    <x v="6"/>
    <s v="4221.003"/>
    <s v="Intérêts compensat. / acomptes en faveur du fisc"/>
    <n v="0"/>
    <n v="0.62"/>
    <n v="4221"/>
  </r>
  <r>
    <x v="0"/>
    <x v="11"/>
    <x v="9"/>
    <x v="319"/>
    <x v="266"/>
    <x v="266"/>
    <s v="REVENUS"/>
    <x v="2"/>
    <s v="4001.002"/>
    <s v="Impôt complément s/revenu PP"/>
    <n v="0"/>
    <n v="882.65"/>
    <n v="4001"/>
  </r>
  <r>
    <x v="0"/>
    <x v="11"/>
    <x v="9"/>
    <x v="319"/>
    <x v="266"/>
    <x v="266"/>
    <s v="REVENUS"/>
    <x v="3"/>
    <s v="4002.002"/>
    <s v="Impôt complémentaire s/fortune PP"/>
    <n v="0"/>
    <n v="1612.7"/>
    <n v="4002"/>
  </r>
  <r>
    <x v="0"/>
    <x v="11"/>
    <x v="9"/>
    <x v="319"/>
    <x v="266"/>
    <x v="266"/>
    <s v="REVENUS"/>
    <x v="7"/>
    <s v="4184.000"/>
    <s v="Frais de poursuite"/>
    <n v="0"/>
    <n v="27"/>
    <n v="4184"/>
  </r>
  <r>
    <x v="0"/>
    <x v="11"/>
    <x v="9"/>
    <x v="319"/>
    <x v="266"/>
    <x v="266"/>
    <s v="REVENUS"/>
    <x v="3"/>
    <s v="4002.002"/>
    <s v="Impôt complémentaire s/fortune PP"/>
    <n v="0"/>
    <n v="814"/>
    <n v="4002"/>
  </r>
  <r>
    <x v="0"/>
    <x v="11"/>
    <x v="9"/>
    <x v="319"/>
    <x v="266"/>
    <x v="266"/>
    <s v="REVENUS"/>
    <x v="7"/>
    <s v="4184.000"/>
    <s v="Frais de poursuite"/>
    <n v="0"/>
    <n v="11.72"/>
    <n v="4184"/>
  </r>
  <r>
    <x v="0"/>
    <x v="11"/>
    <x v="9"/>
    <x v="319"/>
    <x v="266"/>
    <x v="266"/>
    <s v="REVENUS"/>
    <x v="7"/>
    <s v="4184.000"/>
    <s v="Frais de poursuite"/>
    <n v="0"/>
    <n v="206.98"/>
    <n v="4184"/>
  </r>
  <r>
    <x v="0"/>
    <x v="11"/>
    <x v="9"/>
    <x v="319"/>
    <x v="266"/>
    <x v="266"/>
    <s v="REVENUS"/>
    <x v="6"/>
    <s v="4221.003"/>
    <s v="Intérêts compensat. / acomptes en faveur du fisc"/>
    <n v="0"/>
    <n v="1.87"/>
    <n v="4221"/>
  </r>
  <r>
    <x v="0"/>
    <x v="11"/>
    <x v="9"/>
    <x v="319"/>
    <x v="266"/>
    <x v="266"/>
    <s v="REVENUS"/>
    <x v="6"/>
    <s v="4211.002"/>
    <s v="Intérêts de retard sur acomptes"/>
    <n v="0"/>
    <n v="24.49"/>
    <n v="4211"/>
  </r>
  <r>
    <x v="0"/>
    <x v="11"/>
    <x v="9"/>
    <x v="319"/>
    <x v="266"/>
    <x v="266"/>
    <s v="REVENUS"/>
    <x v="2"/>
    <s v="4001.002"/>
    <s v="Impôt complément s/revenu PP"/>
    <n v="0"/>
    <n v="8441.9500000000007"/>
    <n v="4001"/>
  </r>
  <r>
    <x v="0"/>
    <x v="11"/>
    <x v="9"/>
    <x v="319"/>
    <x v="266"/>
    <x v="266"/>
    <s v="REVENUS"/>
    <x v="3"/>
    <s v="4002.002"/>
    <s v="Impôt complémentaire s/fortune PP"/>
    <n v="0"/>
    <n v="6204.9"/>
    <n v="4002"/>
  </r>
  <r>
    <x v="0"/>
    <x v="11"/>
    <x v="9"/>
    <x v="319"/>
    <x v="266"/>
    <x v="266"/>
    <s v="REVENUS"/>
    <x v="2"/>
    <s v="4001.002"/>
    <s v="Impôt complément s/revenu PP"/>
    <n v="0"/>
    <n v="4054.5"/>
    <n v="4001"/>
  </r>
  <r>
    <x v="0"/>
    <x v="11"/>
    <x v="9"/>
    <x v="319"/>
    <x v="266"/>
    <x v="266"/>
    <s v="REVENUS"/>
    <x v="3"/>
    <s v="4002.002"/>
    <s v="Impôt complémentaire s/fortune PP"/>
    <n v="0"/>
    <n v="928"/>
    <n v="4002"/>
  </r>
  <r>
    <x v="0"/>
    <x v="11"/>
    <x v="9"/>
    <x v="319"/>
    <x v="266"/>
    <x v="266"/>
    <s v="REVENUS"/>
    <x v="6"/>
    <s v="4211.001"/>
    <s v="Intérêts de retard sur factures"/>
    <n v="0"/>
    <n v="62.55"/>
    <n v="4211"/>
  </r>
  <r>
    <x v="0"/>
    <x v="11"/>
    <x v="9"/>
    <x v="319"/>
    <x v="266"/>
    <x v="266"/>
    <s v="REVENUS"/>
    <x v="8"/>
    <s v="4091.001"/>
    <s v="Impôt récupéré après défalcations"/>
    <n v="0"/>
    <n v="2356.5300000000002"/>
    <n v="4091"/>
  </r>
  <r>
    <x v="0"/>
    <x v="11"/>
    <x v="9"/>
    <x v="319"/>
    <x v="266"/>
    <x v="266"/>
    <s v="REVENUS"/>
    <x v="2"/>
    <s v="4001.002"/>
    <s v="Impôt complément s/revenu PP"/>
    <n v="0"/>
    <n v="452.55"/>
    <n v="4001"/>
  </r>
  <r>
    <x v="0"/>
    <x v="11"/>
    <x v="9"/>
    <x v="319"/>
    <x v="266"/>
    <x v="266"/>
    <s v="REVENUS"/>
    <x v="6"/>
    <s v="4211.001"/>
    <s v="Intérêts de retard sur factures"/>
    <n v="0"/>
    <n v="0.5"/>
    <n v="4211"/>
  </r>
  <r>
    <x v="0"/>
    <x v="11"/>
    <x v="9"/>
    <x v="319"/>
    <x v="266"/>
    <x v="266"/>
    <s v="REVENUS"/>
    <x v="4"/>
    <s v="4051.002"/>
    <s v="Impôt sur les donations"/>
    <n v="0"/>
    <n v="44062.6"/>
    <n v="4051"/>
  </r>
  <r>
    <x v="0"/>
    <x v="11"/>
    <x v="9"/>
    <x v="319"/>
    <x v="266"/>
    <x v="266"/>
    <s v="REVENUS"/>
    <x v="2"/>
    <s v="4001.002"/>
    <s v="Impôt complément s/revenu PP"/>
    <n v="0"/>
    <n v="367.7"/>
    <n v="4001"/>
  </r>
  <r>
    <x v="0"/>
    <x v="11"/>
    <x v="9"/>
    <x v="319"/>
    <x v="266"/>
    <x v="266"/>
    <s v="REVENUS"/>
    <x v="3"/>
    <s v="4002.002"/>
    <s v="Impôt complémentaire s/fortune PP"/>
    <n v="0"/>
    <n v="358.75"/>
    <n v="4002"/>
  </r>
  <r>
    <x v="0"/>
    <x v="11"/>
    <x v="9"/>
    <x v="319"/>
    <x v="266"/>
    <x v="266"/>
    <s v="REVENUS"/>
    <x v="6"/>
    <s v="4211.001"/>
    <s v="Intérêts de retard sur factures"/>
    <n v="0"/>
    <n v="13.48"/>
    <n v="4211"/>
  </r>
  <r>
    <x v="0"/>
    <x v="11"/>
    <x v="9"/>
    <x v="319"/>
    <x v="266"/>
    <x v="266"/>
    <s v="REVENUS"/>
    <x v="6"/>
    <s v="4211.001"/>
    <s v="Intérêts de retard sur factures"/>
    <n v="0"/>
    <n v="0.1"/>
    <n v="4211"/>
  </r>
  <r>
    <x v="0"/>
    <x v="11"/>
    <x v="9"/>
    <x v="319"/>
    <x v="266"/>
    <x v="266"/>
    <s v="REVENUS"/>
    <x v="12"/>
    <s v="4004.000"/>
    <s v="Impôt spécial étrangers"/>
    <n v="0"/>
    <n v="6464.75"/>
    <n v="4004"/>
  </r>
  <r>
    <x v="0"/>
    <x v="11"/>
    <x v="9"/>
    <x v="319"/>
    <x v="266"/>
    <x v="266"/>
    <s v="REVENUS"/>
    <x v="12"/>
    <s v="4004.007"/>
    <s v="Acompte spécial étrangers"/>
    <n v="0"/>
    <n v="-6478.65"/>
    <n v="4004"/>
  </r>
  <r>
    <x v="0"/>
    <x v="11"/>
    <x v="9"/>
    <x v="319"/>
    <x v="266"/>
    <x v="266"/>
    <s v="REVENUS"/>
    <x v="4"/>
    <s v="4051.002"/>
    <s v="Impôt sur les donations"/>
    <n v="0"/>
    <n v="1612.4"/>
    <n v="4051"/>
  </r>
  <r>
    <x v="0"/>
    <x v="11"/>
    <x v="9"/>
    <x v="319"/>
    <x v="266"/>
    <x v="266"/>
    <s v="REVENUS"/>
    <x v="4"/>
    <s v="4051.001"/>
    <s v="Impôt sur les successions"/>
    <n v="0"/>
    <n v="41.7"/>
    <n v="4051"/>
  </r>
  <r>
    <x v="0"/>
    <x v="11"/>
    <x v="9"/>
    <x v="319"/>
    <x v="266"/>
    <x v="266"/>
    <s v="REVENUS"/>
    <x v="6"/>
    <s v="4221.002"/>
    <s v="Intérêts compensat. sur impôts distincts"/>
    <n v="0"/>
    <n v="0.03"/>
    <n v="4221"/>
  </r>
  <r>
    <x v="0"/>
    <x v="11"/>
    <x v="9"/>
    <x v="320"/>
    <x v="267"/>
    <x v="267"/>
    <s v="CHARGES"/>
    <x v="0"/>
    <s v="3212.004"/>
    <s v="Intérêts rémun./perçu trop tôt sur acomptes C/C"/>
    <n v="44.64"/>
    <n v="0"/>
    <n v="3212"/>
  </r>
  <r>
    <x v="0"/>
    <x v="11"/>
    <x v="9"/>
    <x v="320"/>
    <x v="267"/>
    <x v="267"/>
    <s v="CHARGES"/>
    <x v="1"/>
    <s v="3301.001"/>
    <s v="Défalcations, abandons de solde PP et IS"/>
    <n v="2.8"/>
    <n v="0"/>
    <n v="3301"/>
  </r>
  <r>
    <x v="0"/>
    <x v="11"/>
    <x v="9"/>
    <x v="320"/>
    <x v="267"/>
    <x v="267"/>
    <s v="CHARGES"/>
    <x v="0"/>
    <s v="3212.004"/>
    <s v="Intérêts rémun./perçu trop tôt sur acomptes C/C"/>
    <n v="1875.37"/>
    <n v="0"/>
    <n v="3212"/>
  </r>
  <r>
    <x v="0"/>
    <x v="11"/>
    <x v="9"/>
    <x v="320"/>
    <x v="267"/>
    <x v="267"/>
    <s v="CHARGES"/>
    <x v="0"/>
    <s v="3221.002"/>
    <s v="Intérêts compensatoires / créances en faveur ctb."/>
    <n v="757.78"/>
    <n v="0"/>
    <n v="3221"/>
  </r>
  <r>
    <x v="0"/>
    <x v="11"/>
    <x v="9"/>
    <x v="320"/>
    <x v="267"/>
    <x v="267"/>
    <s v="CHARGES"/>
    <x v="1"/>
    <s v="3301.001"/>
    <s v="Défalcations, abandons de solde PP et IS"/>
    <n v="83866.94"/>
    <n v="0"/>
    <n v="3301"/>
  </r>
  <r>
    <x v="0"/>
    <x v="11"/>
    <x v="9"/>
    <x v="320"/>
    <x v="267"/>
    <x v="267"/>
    <s v="CHARGES"/>
    <x v="0"/>
    <s v="3212.002"/>
    <s v="Intérêts bonifiés/trop perçu acompte C/C"/>
    <n v="398.41"/>
    <n v="0"/>
    <n v="3212"/>
  </r>
  <r>
    <x v="0"/>
    <x v="11"/>
    <x v="9"/>
    <x v="320"/>
    <x v="267"/>
    <x v="267"/>
    <s v="CHARGES"/>
    <x v="0"/>
    <s v="3212.002"/>
    <s v="Intérêts bonifiés/trop perçu acompte C/C"/>
    <n v="2.27"/>
    <n v="0"/>
    <n v="3212"/>
  </r>
  <r>
    <x v="0"/>
    <x v="11"/>
    <x v="9"/>
    <x v="320"/>
    <x v="267"/>
    <x v="267"/>
    <s v="CHARGES"/>
    <x v="0"/>
    <s v="3212.004"/>
    <s v="Intérêts rémun./perçu trop tôt sur acomptes C/C"/>
    <n v="3.54"/>
    <n v="0"/>
    <n v="3212"/>
  </r>
  <r>
    <x v="0"/>
    <x v="11"/>
    <x v="9"/>
    <x v="320"/>
    <x v="267"/>
    <x v="267"/>
    <s v="CHARGES"/>
    <x v="0"/>
    <s v="3221.002"/>
    <s v="Intérêts compensatoires / créances en faveur ctb."/>
    <n v="4.3"/>
    <n v="0"/>
    <n v="3221"/>
  </r>
  <r>
    <x v="0"/>
    <x v="11"/>
    <x v="9"/>
    <x v="320"/>
    <x v="267"/>
    <x v="267"/>
    <s v="CHARGES"/>
    <x v="1"/>
    <s v="3301.001"/>
    <s v="Défalcations, abandons de solde PP et IS"/>
    <n v="1.35"/>
    <n v="0"/>
    <n v="3301"/>
  </r>
  <r>
    <x v="0"/>
    <x v="11"/>
    <x v="9"/>
    <x v="320"/>
    <x v="267"/>
    <x v="267"/>
    <s v="CHARGES"/>
    <x v="1"/>
    <s v="3301.001"/>
    <s v="Défalcations, abandons de solde PP et IS"/>
    <n v="0.28000000000000003"/>
    <n v="0"/>
    <n v="3301"/>
  </r>
  <r>
    <x v="0"/>
    <x v="11"/>
    <x v="9"/>
    <x v="320"/>
    <x v="267"/>
    <x v="267"/>
    <s v="CHARGES"/>
    <x v="0"/>
    <s v="3221.002"/>
    <s v="Intérêts compensatoires / créances en faveur ctb."/>
    <n v="19.62"/>
    <n v="0"/>
    <n v="3221"/>
  </r>
  <r>
    <x v="0"/>
    <x v="11"/>
    <x v="9"/>
    <x v="320"/>
    <x v="267"/>
    <x v="267"/>
    <s v="CHARGES"/>
    <x v="0"/>
    <s v="3212.004"/>
    <s v="Intérêts rémun./perçu trop tôt sur acomptes C/C"/>
    <n v="0.34"/>
    <n v="0"/>
    <n v="3212"/>
  </r>
  <r>
    <x v="0"/>
    <x v="11"/>
    <x v="9"/>
    <x v="320"/>
    <x v="267"/>
    <x v="267"/>
    <s v="CHARGES"/>
    <x v="0"/>
    <s v="3221.002"/>
    <s v="Intérêts compensatoires / créances en faveur ctb."/>
    <n v="0.35"/>
    <n v="0"/>
    <n v="3221"/>
  </r>
  <r>
    <x v="0"/>
    <x v="11"/>
    <x v="9"/>
    <x v="320"/>
    <x v="267"/>
    <x v="267"/>
    <s v="CHARGES"/>
    <x v="0"/>
    <s v="3212.004"/>
    <s v="Intérêts rémun./perçu trop tôt sur acomptes C/C"/>
    <n v="0.47"/>
    <n v="0"/>
    <n v="3212"/>
  </r>
  <r>
    <x v="0"/>
    <x v="11"/>
    <x v="9"/>
    <x v="320"/>
    <x v="267"/>
    <x v="267"/>
    <s v="CHARGES"/>
    <x v="0"/>
    <s v="3212.004"/>
    <s v="Intérêts rémun./perçu trop tôt sur acomptes C/C"/>
    <n v="0.05"/>
    <n v="0"/>
    <n v="3212"/>
  </r>
  <r>
    <x v="0"/>
    <x v="11"/>
    <x v="9"/>
    <x v="320"/>
    <x v="267"/>
    <x v="267"/>
    <s v="CHARGES"/>
    <x v="0"/>
    <s v="3221.002"/>
    <s v="Intérêts compensatoires / créances en faveur ctb."/>
    <n v="0.09"/>
    <n v="0"/>
    <n v="3221"/>
  </r>
  <r>
    <x v="0"/>
    <x v="11"/>
    <x v="9"/>
    <x v="320"/>
    <x v="267"/>
    <x v="267"/>
    <s v="CHARGES"/>
    <x v="1"/>
    <s v="3301.001"/>
    <s v="Défalcations, abandons de solde PP et IS"/>
    <n v="0.46"/>
    <n v="0"/>
    <n v="3301"/>
  </r>
  <r>
    <x v="0"/>
    <x v="11"/>
    <x v="9"/>
    <x v="320"/>
    <x v="267"/>
    <x v="267"/>
    <s v="CHARGES"/>
    <x v="0"/>
    <s v="3221.002"/>
    <s v="Intérêts compensatoires / créances en faveur ctb."/>
    <n v="2.36"/>
    <n v="0"/>
    <n v="3221"/>
  </r>
  <r>
    <x v="0"/>
    <x v="11"/>
    <x v="9"/>
    <x v="320"/>
    <x v="267"/>
    <x v="267"/>
    <s v="CHARGES"/>
    <x v="1"/>
    <s v="3301.001"/>
    <s v="Défalcations, abandons de solde PP et IS"/>
    <n v="9555.7800000000007"/>
    <n v="0"/>
    <n v="3301"/>
  </r>
  <r>
    <x v="0"/>
    <x v="11"/>
    <x v="9"/>
    <x v="320"/>
    <x v="267"/>
    <x v="267"/>
    <s v="CHARGES"/>
    <x v="0"/>
    <s v="3212.004"/>
    <s v="Intérêts rémun./perçu trop tôt sur acomptes C/C"/>
    <n v="0.1"/>
    <n v="0"/>
    <n v="3212"/>
  </r>
  <r>
    <x v="0"/>
    <x v="11"/>
    <x v="9"/>
    <x v="320"/>
    <x v="267"/>
    <x v="267"/>
    <s v="CHARGES"/>
    <x v="0"/>
    <s v="3221.002"/>
    <s v="Intérêts compensatoires / créances en faveur ctb."/>
    <n v="0.21"/>
    <n v="0"/>
    <n v="3221"/>
  </r>
  <r>
    <x v="0"/>
    <x v="11"/>
    <x v="9"/>
    <x v="320"/>
    <x v="267"/>
    <x v="267"/>
    <s v="REVENUS"/>
    <x v="2"/>
    <s v="4001.001"/>
    <s v="Impôt revenu"/>
    <n v="0"/>
    <n v="59038.5"/>
    <n v="4001"/>
  </r>
  <r>
    <x v="0"/>
    <x v="11"/>
    <x v="9"/>
    <x v="320"/>
    <x v="267"/>
    <x v="267"/>
    <s v="REVENUS"/>
    <x v="6"/>
    <s v="4221.003"/>
    <s v="Intérêts compensat. / acomptes en faveur du fisc"/>
    <n v="0"/>
    <n v="9.56"/>
    <n v="4221"/>
  </r>
  <r>
    <x v="0"/>
    <x v="11"/>
    <x v="9"/>
    <x v="320"/>
    <x v="267"/>
    <x v="267"/>
    <s v="REVENUS"/>
    <x v="2"/>
    <s v="4001.001"/>
    <s v="Impôt revenu"/>
    <n v="0"/>
    <n v="5771557.7999999998"/>
    <n v="4001"/>
  </r>
  <r>
    <x v="0"/>
    <x v="11"/>
    <x v="9"/>
    <x v="320"/>
    <x v="267"/>
    <x v="267"/>
    <s v="REVENUS"/>
    <x v="2"/>
    <s v="4001.007"/>
    <s v="Acompte impôt sur revenu"/>
    <n v="0"/>
    <n v="508292.9"/>
    <n v="4001"/>
  </r>
  <r>
    <x v="0"/>
    <x v="11"/>
    <x v="9"/>
    <x v="320"/>
    <x v="267"/>
    <x v="267"/>
    <s v="REVENUS"/>
    <x v="3"/>
    <s v="4002.001"/>
    <s v="Impôt ordinaire s/fortune PP"/>
    <n v="0"/>
    <n v="1464490.7"/>
    <n v="4002"/>
  </r>
  <r>
    <x v="0"/>
    <x v="11"/>
    <x v="9"/>
    <x v="320"/>
    <x v="267"/>
    <x v="267"/>
    <s v="REVENUS"/>
    <x v="3"/>
    <s v="4002.007"/>
    <s v="Acompte impôt sur fortune"/>
    <n v="0"/>
    <n v="313580.01"/>
    <n v="4002"/>
  </r>
  <r>
    <x v="0"/>
    <x v="11"/>
    <x v="9"/>
    <x v="320"/>
    <x v="267"/>
    <x v="267"/>
    <s v="REVENUS"/>
    <x v="6"/>
    <s v="4211.001"/>
    <s v="Intérêts de retard sur factures"/>
    <n v="0"/>
    <n v="21289.42"/>
    <n v="4211"/>
  </r>
  <r>
    <x v="0"/>
    <x v="11"/>
    <x v="9"/>
    <x v="320"/>
    <x v="267"/>
    <x v="267"/>
    <s v="REVENUS"/>
    <x v="6"/>
    <s v="4211.002"/>
    <s v="Intérêts de retard sur acomptes"/>
    <n v="0"/>
    <n v="28332.36"/>
    <n v="4211"/>
  </r>
  <r>
    <x v="0"/>
    <x v="11"/>
    <x v="9"/>
    <x v="320"/>
    <x v="267"/>
    <x v="267"/>
    <s v="REVENUS"/>
    <x v="6"/>
    <s v="4221.003"/>
    <s v="Intérêts compensat. / acomptes en faveur du fisc"/>
    <n v="0"/>
    <n v="795.86"/>
    <n v="4221"/>
  </r>
  <r>
    <x v="0"/>
    <x v="11"/>
    <x v="9"/>
    <x v="320"/>
    <x v="267"/>
    <x v="267"/>
    <s v="REVENUS"/>
    <x v="8"/>
    <s v="4091.001"/>
    <s v="Impôt récupéré après défalcations"/>
    <n v="0"/>
    <n v="16511.7"/>
    <n v="4091"/>
  </r>
  <r>
    <x v="0"/>
    <x v="11"/>
    <x v="9"/>
    <x v="320"/>
    <x v="267"/>
    <x v="267"/>
    <s v="REVENUS"/>
    <x v="2"/>
    <s v="4001.007"/>
    <s v="Acompte impôt sur revenu"/>
    <n v="0"/>
    <n v="-272.64999999999998"/>
    <n v="4001"/>
  </r>
  <r>
    <x v="0"/>
    <x v="11"/>
    <x v="9"/>
    <x v="320"/>
    <x v="267"/>
    <x v="267"/>
    <s v="REVENUS"/>
    <x v="3"/>
    <s v="4002.007"/>
    <s v="Acompte impôt sur fortune"/>
    <n v="0"/>
    <n v="-275.35000000000002"/>
    <n v="4002"/>
  </r>
  <r>
    <x v="0"/>
    <x v="11"/>
    <x v="9"/>
    <x v="320"/>
    <x v="267"/>
    <x v="267"/>
    <s v="REVENUS"/>
    <x v="2"/>
    <s v="4001.002"/>
    <s v="Impôt complément s/revenu PP"/>
    <n v="0"/>
    <n v="1161366.75"/>
    <n v="4001"/>
  </r>
  <r>
    <x v="0"/>
    <x v="11"/>
    <x v="9"/>
    <x v="320"/>
    <x v="267"/>
    <x v="267"/>
    <s v="REVENUS"/>
    <x v="3"/>
    <s v="4002.002"/>
    <s v="Impôt complémentaire s/fortune PP"/>
    <n v="0"/>
    <n v="349371.5"/>
    <n v="4002"/>
  </r>
  <r>
    <x v="0"/>
    <x v="11"/>
    <x v="9"/>
    <x v="320"/>
    <x v="267"/>
    <x v="267"/>
    <s v="REVENUS"/>
    <x v="7"/>
    <s v="4184.000"/>
    <s v="Frais de poursuite"/>
    <n v="0"/>
    <n v="1633.21"/>
    <n v="4184"/>
  </r>
  <r>
    <x v="0"/>
    <x v="11"/>
    <x v="9"/>
    <x v="320"/>
    <x v="267"/>
    <x v="267"/>
    <s v="REVENUS"/>
    <x v="2"/>
    <s v="4001.003"/>
    <s v="Impôt s/prest. cap. PP"/>
    <n v="0"/>
    <n v="59884.6"/>
    <n v="4001"/>
  </r>
  <r>
    <x v="0"/>
    <x v="11"/>
    <x v="9"/>
    <x v="320"/>
    <x v="267"/>
    <x v="267"/>
    <s v="REVENUS"/>
    <x v="6"/>
    <s v="4221.002"/>
    <s v="Intérêts compensat. sur impôts distincts"/>
    <n v="0"/>
    <n v="24.93"/>
    <n v="4221"/>
  </r>
  <r>
    <x v="0"/>
    <x v="11"/>
    <x v="9"/>
    <x v="320"/>
    <x v="267"/>
    <x v="267"/>
    <s v="REVENUS"/>
    <x v="2"/>
    <s v="4001.007"/>
    <s v="Acompte impôt sur revenu"/>
    <n v="0"/>
    <n v="-14572.97"/>
    <n v="4001"/>
  </r>
  <r>
    <x v="0"/>
    <x v="11"/>
    <x v="9"/>
    <x v="320"/>
    <x v="267"/>
    <x v="267"/>
    <s v="REVENUS"/>
    <x v="3"/>
    <s v="4002.001"/>
    <s v="Impôt ordinaire s/fortune PP"/>
    <n v="0"/>
    <n v="34953.4"/>
    <n v="4002"/>
  </r>
  <r>
    <x v="0"/>
    <x v="11"/>
    <x v="9"/>
    <x v="320"/>
    <x v="267"/>
    <x v="267"/>
    <s v="REVENUS"/>
    <x v="3"/>
    <s v="4002.007"/>
    <s v="Acompte impôt sur fortune"/>
    <n v="0"/>
    <n v="-21354.86"/>
    <n v="4002"/>
  </r>
  <r>
    <x v="0"/>
    <x v="11"/>
    <x v="9"/>
    <x v="320"/>
    <x v="267"/>
    <x v="267"/>
    <s v="REVENUS"/>
    <x v="6"/>
    <s v="4211.002"/>
    <s v="Intérêts de retard sur acomptes"/>
    <n v="0"/>
    <n v="286.79000000000002"/>
    <n v="4211"/>
  </r>
  <r>
    <x v="0"/>
    <x v="11"/>
    <x v="9"/>
    <x v="320"/>
    <x v="267"/>
    <x v="267"/>
    <s v="REVENUS"/>
    <x v="4"/>
    <s v="4051.001"/>
    <s v="Impôt sur les successions"/>
    <n v="0"/>
    <n v="101828.8"/>
    <n v="4051"/>
  </r>
  <r>
    <x v="0"/>
    <x v="11"/>
    <x v="9"/>
    <x v="320"/>
    <x v="267"/>
    <x v="267"/>
    <s v="REVENUS"/>
    <x v="5"/>
    <s v="4061.000"/>
    <s v="Impôt sur les chiens"/>
    <n v="0"/>
    <n v="5750"/>
    <n v="4061"/>
  </r>
  <r>
    <x v="0"/>
    <x v="11"/>
    <x v="9"/>
    <x v="320"/>
    <x v="267"/>
    <x v="267"/>
    <s v="REVENUS"/>
    <x v="9"/>
    <s v="4031.001"/>
    <s v="Impôt sur les gains immobiliers"/>
    <n v="0"/>
    <n v="357625.1"/>
    <n v="4031"/>
  </r>
  <r>
    <x v="0"/>
    <x v="11"/>
    <x v="9"/>
    <x v="320"/>
    <x v="267"/>
    <x v="267"/>
    <s v="REVENUS"/>
    <x v="3"/>
    <s v="4002.001"/>
    <s v="Impôt ordinaire s/fortune PP"/>
    <n v="0"/>
    <n v="10593.3"/>
    <n v="4002"/>
  </r>
  <r>
    <x v="0"/>
    <x v="11"/>
    <x v="9"/>
    <x v="320"/>
    <x v="267"/>
    <x v="267"/>
    <s v="REVENUS"/>
    <x v="2"/>
    <s v="4001.001"/>
    <s v="Impôt revenu"/>
    <n v="0"/>
    <n v="8650.2999999999993"/>
    <n v="4001"/>
  </r>
  <r>
    <x v="0"/>
    <x v="11"/>
    <x v="9"/>
    <x v="320"/>
    <x v="267"/>
    <x v="267"/>
    <s v="REVENUS"/>
    <x v="2"/>
    <s v="4001.007"/>
    <s v="Acompte impôt sur revenu"/>
    <n v="0"/>
    <n v="116.5"/>
    <n v="4001"/>
  </r>
  <r>
    <x v="0"/>
    <x v="11"/>
    <x v="9"/>
    <x v="320"/>
    <x v="267"/>
    <x v="267"/>
    <s v="REVENUS"/>
    <x v="12"/>
    <s v="4004.007"/>
    <s v="Acompte spécial étrangers"/>
    <n v="0"/>
    <n v="12805.57"/>
    <n v="4004"/>
  </r>
  <r>
    <x v="0"/>
    <x v="11"/>
    <x v="9"/>
    <x v="320"/>
    <x v="267"/>
    <x v="267"/>
    <s v="REVENUS"/>
    <x v="3"/>
    <s v="4002.007"/>
    <s v="Acompte impôt sur fortune"/>
    <n v="0"/>
    <n v="1877.14"/>
    <n v="4002"/>
  </r>
  <r>
    <x v="0"/>
    <x v="11"/>
    <x v="9"/>
    <x v="320"/>
    <x v="267"/>
    <x v="267"/>
    <s v="REVENUS"/>
    <x v="2"/>
    <s v="4001.007"/>
    <s v="Acompte impôt sur revenu"/>
    <n v="0"/>
    <n v="-3956.69"/>
    <n v="4001"/>
  </r>
  <r>
    <x v="0"/>
    <x v="11"/>
    <x v="9"/>
    <x v="320"/>
    <x v="267"/>
    <x v="267"/>
    <s v="REVENUS"/>
    <x v="3"/>
    <s v="4002.007"/>
    <s v="Acompte impôt sur fortune"/>
    <n v="0"/>
    <n v="-1300.45"/>
    <n v="4002"/>
  </r>
  <r>
    <x v="0"/>
    <x v="11"/>
    <x v="9"/>
    <x v="320"/>
    <x v="267"/>
    <x v="267"/>
    <s v="REVENUS"/>
    <x v="2"/>
    <s v="4001.007"/>
    <s v="Acompte impôt sur revenu"/>
    <n v="0"/>
    <n v="-6240.3"/>
    <n v="4001"/>
  </r>
  <r>
    <x v="0"/>
    <x v="11"/>
    <x v="9"/>
    <x v="320"/>
    <x v="267"/>
    <x v="267"/>
    <s v="REVENUS"/>
    <x v="2"/>
    <s v="4001.001"/>
    <s v="Impôt revenu"/>
    <n v="0"/>
    <n v="7075.35"/>
    <n v="4001"/>
  </r>
  <r>
    <x v="0"/>
    <x v="11"/>
    <x v="9"/>
    <x v="320"/>
    <x v="267"/>
    <x v="267"/>
    <s v="REVENUS"/>
    <x v="3"/>
    <s v="4002.001"/>
    <s v="Impôt ordinaire s/fortune PP"/>
    <n v="0"/>
    <n v="4685.45"/>
    <n v="4002"/>
  </r>
  <r>
    <x v="0"/>
    <x v="11"/>
    <x v="9"/>
    <x v="320"/>
    <x v="267"/>
    <x v="267"/>
    <s v="REVENUS"/>
    <x v="6"/>
    <s v="4211.002"/>
    <s v="Intérêts de retard sur acomptes"/>
    <n v="0"/>
    <n v="328.16"/>
    <n v="4211"/>
  </r>
  <r>
    <x v="0"/>
    <x v="11"/>
    <x v="9"/>
    <x v="320"/>
    <x v="267"/>
    <x v="267"/>
    <s v="REVENUS"/>
    <x v="6"/>
    <s v="4221.003"/>
    <s v="Intérêts compensat. / acomptes en faveur du fisc"/>
    <n v="0"/>
    <n v="0.18"/>
    <n v="4221"/>
  </r>
  <r>
    <x v="0"/>
    <x v="11"/>
    <x v="9"/>
    <x v="320"/>
    <x v="267"/>
    <x v="267"/>
    <s v="REVENUS"/>
    <x v="3"/>
    <s v="4002.007"/>
    <s v="Acompte impôt sur fortune"/>
    <n v="0"/>
    <n v="116.4"/>
    <n v="4002"/>
  </r>
  <r>
    <x v="0"/>
    <x v="11"/>
    <x v="9"/>
    <x v="320"/>
    <x v="267"/>
    <x v="267"/>
    <s v="REVENUS"/>
    <x v="2"/>
    <s v="4001.007"/>
    <s v="Acompte impôt sur revenu"/>
    <n v="0"/>
    <n v="33.35"/>
    <n v="4001"/>
  </r>
  <r>
    <x v="0"/>
    <x v="11"/>
    <x v="9"/>
    <x v="320"/>
    <x v="267"/>
    <x v="267"/>
    <s v="REVENUS"/>
    <x v="2"/>
    <s v="4001.007"/>
    <s v="Acompte impôt sur revenu"/>
    <n v="0"/>
    <n v="-6972.45"/>
    <n v="4001"/>
  </r>
  <r>
    <x v="0"/>
    <x v="11"/>
    <x v="9"/>
    <x v="320"/>
    <x v="267"/>
    <x v="267"/>
    <s v="REVENUS"/>
    <x v="3"/>
    <s v="4002.007"/>
    <s v="Acompte impôt sur fortune"/>
    <n v="0"/>
    <n v="-3129.1"/>
    <n v="4002"/>
  </r>
  <r>
    <x v="0"/>
    <x v="11"/>
    <x v="9"/>
    <x v="320"/>
    <x v="267"/>
    <x v="267"/>
    <s v="REVENUS"/>
    <x v="3"/>
    <s v="4002.007"/>
    <s v="Acompte impôt sur fortune"/>
    <n v="0"/>
    <n v="-44.75"/>
    <n v="4002"/>
  </r>
  <r>
    <x v="0"/>
    <x v="11"/>
    <x v="9"/>
    <x v="320"/>
    <x v="267"/>
    <x v="267"/>
    <s v="REVENUS"/>
    <x v="6"/>
    <s v="4211.001"/>
    <s v="Intérêts de retard sur factures"/>
    <n v="0"/>
    <n v="1.29"/>
    <n v="4211"/>
  </r>
  <r>
    <x v="0"/>
    <x v="11"/>
    <x v="9"/>
    <x v="320"/>
    <x v="267"/>
    <x v="267"/>
    <s v="REVENUS"/>
    <x v="2"/>
    <s v="4001.007"/>
    <s v="Acompte impôt sur revenu"/>
    <n v="0"/>
    <n v="-442.35"/>
    <n v="4001"/>
  </r>
  <r>
    <x v="0"/>
    <x v="11"/>
    <x v="9"/>
    <x v="320"/>
    <x v="267"/>
    <x v="267"/>
    <s v="REVENUS"/>
    <x v="3"/>
    <s v="4002.007"/>
    <s v="Acompte impôt sur fortune"/>
    <n v="0"/>
    <n v="-213.95"/>
    <n v="4002"/>
  </r>
  <r>
    <x v="0"/>
    <x v="11"/>
    <x v="9"/>
    <x v="320"/>
    <x v="267"/>
    <x v="267"/>
    <s v="REVENUS"/>
    <x v="2"/>
    <s v="4001.001"/>
    <s v="Impôt revenu"/>
    <n v="0"/>
    <n v="2248.6999999999998"/>
    <n v="4001"/>
  </r>
  <r>
    <x v="0"/>
    <x v="11"/>
    <x v="9"/>
    <x v="320"/>
    <x v="267"/>
    <x v="267"/>
    <s v="REVENUS"/>
    <x v="3"/>
    <s v="4002.001"/>
    <s v="Impôt ordinaire s/fortune PP"/>
    <n v="0"/>
    <n v="1138.55"/>
    <n v="4002"/>
  </r>
  <r>
    <x v="0"/>
    <x v="11"/>
    <x v="9"/>
    <x v="320"/>
    <x v="267"/>
    <x v="267"/>
    <s v="REVENUS"/>
    <x v="9"/>
    <s v="4031.002"/>
    <s v="Complément impôt sur les gains immobiliers"/>
    <n v="0"/>
    <n v="-11217.95"/>
    <n v="4031"/>
  </r>
  <r>
    <x v="0"/>
    <x v="11"/>
    <x v="9"/>
    <x v="320"/>
    <x v="267"/>
    <x v="267"/>
    <s v="REVENUS"/>
    <x v="2"/>
    <s v="4001.002"/>
    <s v="Impôt complément s/revenu PP"/>
    <n v="0"/>
    <n v="13153.8"/>
    <n v="4001"/>
  </r>
  <r>
    <x v="0"/>
    <x v="11"/>
    <x v="9"/>
    <x v="320"/>
    <x v="267"/>
    <x v="267"/>
    <s v="REVENUS"/>
    <x v="3"/>
    <s v="4002.002"/>
    <s v="Impôt complémentaire s/fortune PP"/>
    <n v="0"/>
    <n v="11305.7"/>
    <n v="4002"/>
  </r>
  <r>
    <x v="0"/>
    <x v="11"/>
    <x v="9"/>
    <x v="320"/>
    <x v="267"/>
    <x v="267"/>
    <s v="REVENUS"/>
    <x v="6"/>
    <s v="4211.002"/>
    <s v="Intérêts de retard sur acomptes"/>
    <n v="0"/>
    <n v="15.23"/>
    <n v="4211"/>
  </r>
  <r>
    <x v="0"/>
    <x v="11"/>
    <x v="9"/>
    <x v="320"/>
    <x v="267"/>
    <x v="267"/>
    <s v="REVENUS"/>
    <x v="10"/>
    <s v="4041.001"/>
    <s v="Droits de mutation"/>
    <n v="0"/>
    <n v="344748.15"/>
    <n v="4041"/>
  </r>
  <r>
    <x v="0"/>
    <x v="11"/>
    <x v="9"/>
    <x v="320"/>
    <x v="267"/>
    <x v="267"/>
    <s v="REVENUS"/>
    <x v="12"/>
    <s v="4004.000"/>
    <s v="Impôt spécial étrangers"/>
    <n v="0"/>
    <n v="504631.15"/>
    <n v="4004"/>
  </r>
  <r>
    <x v="0"/>
    <x v="11"/>
    <x v="9"/>
    <x v="320"/>
    <x v="267"/>
    <x v="267"/>
    <s v="REVENUS"/>
    <x v="2"/>
    <s v="4001.001"/>
    <s v="Impôt revenu"/>
    <n v="0"/>
    <n v="65.3"/>
    <n v="4001"/>
  </r>
  <r>
    <x v="0"/>
    <x v="11"/>
    <x v="9"/>
    <x v="320"/>
    <x v="267"/>
    <x v="267"/>
    <s v="REVENUS"/>
    <x v="3"/>
    <s v="4002.001"/>
    <s v="Impôt ordinaire s/fortune PP"/>
    <n v="0"/>
    <n v="64.650000000000006"/>
    <n v="4002"/>
  </r>
  <r>
    <x v="0"/>
    <x v="11"/>
    <x v="9"/>
    <x v="320"/>
    <x v="267"/>
    <x v="267"/>
    <s v="REVENUS"/>
    <x v="6"/>
    <s v="4211.001"/>
    <s v="Intérêts de retard sur factures"/>
    <n v="0"/>
    <n v="234.83"/>
    <n v="4211"/>
  </r>
  <r>
    <x v="0"/>
    <x v="11"/>
    <x v="9"/>
    <x v="320"/>
    <x v="267"/>
    <x v="267"/>
    <s v="REVENUS"/>
    <x v="6"/>
    <s v="4211.001"/>
    <s v="Intérêts de retard sur factures"/>
    <n v="0"/>
    <n v="21.81"/>
    <n v="4211"/>
  </r>
  <r>
    <x v="0"/>
    <x v="11"/>
    <x v="9"/>
    <x v="320"/>
    <x v="267"/>
    <x v="267"/>
    <s v="REVENUS"/>
    <x v="3"/>
    <s v="4002.002"/>
    <s v="Impôt complémentaire s/fortune PP"/>
    <n v="0"/>
    <n v="504.8"/>
    <n v="4002"/>
  </r>
  <r>
    <x v="0"/>
    <x v="11"/>
    <x v="9"/>
    <x v="320"/>
    <x v="267"/>
    <x v="267"/>
    <s v="REVENUS"/>
    <x v="6"/>
    <s v="4221.003"/>
    <s v="Intérêts compensat. / acomptes en faveur du fisc"/>
    <n v="0"/>
    <n v="0.5"/>
    <n v="4221"/>
  </r>
  <r>
    <x v="0"/>
    <x v="11"/>
    <x v="9"/>
    <x v="320"/>
    <x v="267"/>
    <x v="267"/>
    <s v="REVENUS"/>
    <x v="2"/>
    <s v="4001.002"/>
    <s v="Impôt complément s/revenu PP"/>
    <n v="0"/>
    <n v="5093.75"/>
    <n v="4001"/>
  </r>
  <r>
    <x v="0"/>
    <x v="11"/>
    <x v="9"/>
    <x v="320"/>
    <x v="267"/>
    <x v="267"/>
    <s v="REVENUS"/>
    <x v="6"/>
    <s v="4211.001"/>
    <s v="Intérêts de retard sur factures"/>
    <n v="0"/>
    <n v="51.59"/>
    <n v="4211"/>
  </r>
  <r>
    <x v="0"/>
    <x v="11"/>
    <x v="9"/>
    <x v="320"/>
    <x v="267"/>
    <x v="267"/>
    <s v="REVENUS"/>
    <x v="10"/>
    <s v="4041.002"/>
    <s v="Complément droit de mutation"/>
    <n v="0"/>
    <n v="990"/>
    <n v="4041"/>
  </r>
  <r>
    <x v="0"/>
    <x v="11"/>
    <x v="9"/>
    <x v="320"/>
    <x v="267"/>
    <x v="267"/>
    <s v="REVENUS"/>
    <x v="6"/>
    <s v="4211.002"/>
    <s v="Intérêts de retard sur acomptes"/>
    <n v="0"/>
    <n v="6.59"/>
    <n v="4211"/>
  </r>
  <r>
    <x v="0"/>
    <x v="11"/>
    <x v="9"/>
    <x v="320"/>
    <x v="267"/>
    <x v="267"/>
    <s v="REVENUS"/>
    <x v="6"/>
    <s v="4221.003"/>
    <s v="Intérêts compensat. / acomptes en faveur du fisc"/>
    <n v="0"/>
    <n v="0.06"/>
    <n v="4221"/>
  </r>
  <r>
    <x v="0"/>
    <x v="11"/>
    <x v="9"/>
    <x v="320"/>
    <x v="267"/>
    <x v="267"/>
    <s v="REVENUS"/>
    <x v="4"/>
    <s v="4051.002"/>
    <s v="Impôt sur les donations"/>
    <n v="0"/>
    <n v="11550.8"/>
    <n v="4051"/>
  </r>
  <r>
    <x v="0"/>
    <x v="11"/>
    <x v="9"/>
    <x v="320"/>
    <x v="267"/>
    <x v="267"/>
    <s v="REVENUS"/>
    <x v="8"/>
    <s v="4091.001"/>
    <s v="Impôt récupéré après défalcations"/>
    <n v="0"/>
    <n v="15297.55"/>
    <n v="4091"/>
  </r>
  <r>
    <x v="0"/>
    <x v="11"/>
    <x v="9"/>
    <x v="320"/>
    <x v="267"/>
    <x v="267"/>
    <s v="REVENUS"/>
    <x v="4"/>
    <s v="4051.001"/>
    <s v="Impôt sur les successions"/>
    <n v="0"/>
    <n v="2026.5"/>
    <n v="4051"/>
  </r>
  <r>
    <x v="0"/>
    <x v="11"/>
    <x v="9"/>
    <x v="320"/>
    <x v="267"/>
    <x v="267"/>
    <s v="REVENUS"/>
    <x v="6"/>
    <s v="4221.002"/>
    <s v="Intérêts compensat. sur impôts distincts"/>
    <n v="0"/>
    <n v="11.91"/>
    <n v="4221"/>
  </r>
  <r>
    <x v="0"/>
    <x v="11"/>
    <x v="9"/>
    <x v="320"/>
    <x v="267"/>
    <x v="267"/>
    <s v="REVENUS"/>
    <x v="3"/>
    <s v="4002.001"/>
    <s v="Impôt ordinaire s/fortune PP"/>
    <n v="0"/>
    <n v="0"/>
    <n v="4002"/>
  </r>
  <r>
    <x v="0"/>
    <x v="11"/>
    <x v="9"/>
    <x v="320"/>
    <x v="267"/>
    <x v="267"/>
    <s v="REVENUS"/>
    <x v="3"/>
    <s v="4002.002"/>
    <s v="Impôt complémentaire s/fortune PP"/>
    <n v="0"/>
    <n v="561.95000000000005"/>
    <n v="4002"/>
  </r>
  <r>
    <x v="0"/>
    <x v="11"/>
    <x v="9"/>
    <x v="321"/>
    <x v="268"/>
    <x v="268"/>
    <s v="CHARGES"/>
    <x v="1"/>
    <s v="3301.001"/>
    <s v="Défalcations, abandons de solde PP et IS"/>
    <n v="34633.85"/>
    <n v="0"/>
    <n v="3301"/>
  </r>
  <r>
    <x v="0"/>
    <x v="11"/>
    <x v="9"/>
    <x v="321"/>
    <x v="268"/>
    <x v="268"/>
    <s v="CHARGES"/>
    <x v="0"/>
    <s v="3212.002"/>
    <s v="Intérêts bonifiés/trop perçu acompte C/C"/>
    <n v="48.39"/>
    <n v="0"/>
    <n v="3212"/>
  </r>
  <r>
    <x v="0"/>
    <x v="11"/>
    <x v="9"/>
    <x v="321"/>
    <x v="268"/>
    <x v="268"/>
    <s v="CHARGES"/>
    <x v="0"/>
    <s v="3212.004"/>
    <s v="Intérêts rémun./perçu trop tôt sur acomptes C/C"/>
    <n v="1028.55"/>
    <n v="0"/>
    <n v="3212"/>
  </r>
  <r>
    <x v="0"/>
    <x v="11"/>
    <x v="9"/>
    <x v="321"/>
    <x v="268"/>
    <x v="268"/>
    <s v="CHARGES"/>
    <x v="0"/>
    <s v="3221.002"/>
    <s v="Intérêts compensatoires / créances en faveur ctb."/>
    <n v="424.87"/>
    <n v="0"/>
    <n v="3221"/>
  </r>
  <r>
    <x v="0"/>
    <x v="11"/>
    <x v="9"/>
    <x v="321"/>
    <x v="268"/>
    <x v="268"/>
    <s v="CHARGES"/>
    <x v="1"/>
    <s v="3301.001"/>
    <s v="Défalcations, abandons de solde PP et IS"/>
    <n v="29591.47"/>
    <n v="0"/>
    <n v="3301"/>
  </r>
  <r>
    <x v="0"/>
    <x v="11"/>
    <x v="9"/>
    <x v="321"/>
    <x v="268"/>
    <x v="268"/>
    <s v="CHARGES"/>
    <x v="0"/>
    <s v="3212.004"/>
    <s v="Intérêts rémun./perçu trop tôt sur acomptes C/C"/>
    <n v="5.4"/>
    <n v="0"/>
    <n v="3212"/>
  </r>
  <r>
    <x v="0"/>
    <x v="11"/>
    <x v="9"/>
    <x v="321"/>
    <x v="268"/>
    <x v="268"/>
    <s v="CHARGES"/>
    <x v="0"/>
    <s v="3212.004"/>
    <s v="Intérêts rémun./perçu trop tôt sur acomptes C/C"/>
    <n v="0.15"/>
    <n v="0"/>
    <n v="3212"/>
  </r>
  <r>
    <x v="0"/>
    <x v="11"/>
    <x v="9"/>
    <x v="321"/>
    <x v="268"/>
    <x v="268"/>
    <s v="CHARGES"/>
    <x v="0"/>
    <s v="3221.002"/>
    <s v="Intérêts compensatoires / créances en faveur ctb."/>
    <n v="0.23"/>
    <n v="0"/>
    <n v="3221"/>
  </r>
  <r>
    <x v="0"/>
    <x v="11"/>
    <x v="9"/>
    <x v="321"/>
    <x v="268"/>
    <x v="268"/>
    <s v="CHARGES"/>
    <x v="1"/>
    <s v="3301.001"/>
    <s v="Défalcations, abandons de solde PP et IS"/>
    <n v="1.84"/>
    <n v="0"/>
    <n v="3301"/>
  </r>
  <r>
    <x v="0"/>
    <x v="11"/>
    <x v="9"/>
    <x v="321"/>
    <x v="268"/>
    <x v="268"/>
    <s v="CHARGES"/>
    <x v="0"/>
    <s v="3212.004"/>
    <s v="Intérêts rémun./perçu trop tôt sur acomptes C/C"/>
    <n v="7.47"/>
    <n v="0"/>
    <n v="3212"/>
  </r>
  <r>
    <x v="0"/>
    <x v="11"/>
    <x v="9"/>
    <x v="321"/>
    <x v="268"/>
    <x v="268"/>
    <s v="CHARGES"/>
    <x v="0"/>
    <s v="3221.002"/>
    <s v="Intérêts compensatoires / créances en faveur ctb."/>
    <n v="1.1100000000000001"/>
    <n v="0"/>
    <n v="3221"/>
  </r>
  <r>
    <x v="0"/>
    <x v="11"/>
    <x v="9"/>
    <x v="321"/>
    <x v="268"/>
    <x v="268"/>
    <s v="CHARGES"/>
    <x v="0"/>
    <s v="3221.002"/>
    <s v="Intérêts compensatoires / créances en faveur ctb."/>
    <n v="0.71"/>
    <n v="0"/>
    <n v="3221"/>
  </r>
  <r>
    <x v="0"/>
    <x v="11"/>
    <x v="9"/>
    <x v="321"/>
    <x v="268"/>
    <x v="268"/>
    <s v="CHARGES"/>
    <x v="1"/>
    <s v="3301.001"/>
    <s v="Défalcations, abandons de solde PP et IS"/>
    <n v="2805.71"/>
    <n v="0"/>
    <n v="3301"/>
  </r>
  <r>
    <x v="0"/>
    <x v="11"/>
    <x v="9"/>
    <x v="321"/>
    <x v="268"/>
    <x v="268"/>
    <s v="CHARGES"/>
    <x v="1"/>
    <s v="3301.001"/>
    <s v="Défalcations, abandons de solde PP et IS"/>
    <n v="-1062.72"/>
    <n v="0"/>
    <n v="3301"/>
  </r>
  <r>
    <x v="0"/>
    <x v="11"/>
    <x v="9"/>
    <x v="321"/>
    <x v="268"/>
    <x v="268"/>
    <s v="CHARGES"/>
    <x v="0"/>
    <s v="3212.004"/>
    <s v="Intérêts rémun./perçu trop tôt sur acomptes C/C"/>
    <n v="6.88"/>
    <n v="0"/>
    <n v="3212"/>
  </r>
  <r>
    <x v="0"/>
    <x v="11"/>
    <x v="9"/>
    <x v="321"/>
    <x v="268"/>
    <x v="268"/>
    <s v="CHARGES"/>
    <x v="1"/>
    <s v="3301.001"/>
    <s v="Défalcations, abandons de solde PP et IS"/>
    <n v="0.34"/>
    <n v="0"/>
    <n v="3301"/>
  </r>
  <r>
    <x v="0"/>
    <x v="11"/>
    <x v="9"/>
    <x v="321"/>
    <x v="268"/>
    <x v="268"/>
    <s v="CHARGES"/>
    <x v="0"/>
    <s v="3212.004"/>
    <s v="Intérêts rémun./perçu trop tôt sur acomptes C/C"/>
    <n v="6.96"/>
    <n v="0"/>
    <n v="3212"/>
  </r>
  <r>
    <x v="0"/>
    <x v="11"/>
    <x v="9"/>
    <x v="321"/>
    <x v="268"/>
    <x v="268"/>
    <s v="CHARGES"/>
    <x v="0"/>
    <s v="3221.002"/>
    <s v="Intérêts compensatoires / créances en faveur ctb."/>
    <n v="3.14"/>
    <n v="0"/>
    <n v="3221"/>
  </r>
  <r>
    <x v="0"/>
    <x v="11"/>
    <x v="9"/>
    <x v="321"/>
    <x v="268"/>
    <x v="268"/>
    <s v="CHARGES"/>
    <x v="0"/>
    <s v="3221.002"/>
    <s v="Intérêts compensatoires / créances en faveur ctb."/>
    <n v="2.64"/>
    <n v="0"/>
    <n v="3221"/>
  </r>
  <r>
    <x v="0"/>
    <x v="11"/>
    <x v="9"/>
    <x v="321"/>
    <x v="268"/>
    <x v="268"/>
    <s v="CHARGES"/>
    <x v="1"/>
    <s v="3301.003"/>
    <s v="Remises PP et IS"/>
    <n v="713.1"/>
    <n v="0"/>
    <n v="3301"/>
  </r>
  <r>
    <x v="0"/>
    <x v="11"/>
    <x v="9"/>
    <x v="321"/>
    <x v="268"/>
    <x v="268"/>
    <s v="CHARGES"/>
    <x v="0"/>
    <s v="3212.002"/>
    <s v="Intérêts bonifiés/trop perçu acompte C/C"/>
    <n v="1.05"/>
    <n v="0"/>
    <n v="3212"/>
  </r>
  <r>
    <x v="0"/>
    <x v="11"/>
    <x v="9"/>
    <x v="321"/>
    <x v="268"/>
    <x v="268"/>
    <s v="CHARGES"/>
    <x v="1"/>
    <s v="3301.001"/>
    <s v="Défalcations, abandons de solde PP et IS"/>
    <n v="0.25"/>
    <n v="0"/>
    <n v="3301"/>
  </r>
  <r>
    <x v="0"/>
    <x v="11"/>
    <x v="9"/>
    <x v="321"/>
    <x v="268"/>
    <x v="268"/>
    <s v="CHARGES"/>
    <x v="0"/>
    <s v="3212.004"/>
    <s v="Intérêts rémun./perçu trop tôt sur acomptes C/C"/>
    <n v="0.51"/>
    <n v="0"/>
    <n v="3212"/>
  </r>
  <r>
    <x v="0"/>
    <x v="11"/>
    <x v="9"/>
    <x v="321"/>
    <x v="268"/>
    <x v="268"/>
    <s v="REVENUS"/>
    <x v="2"/>
    <s v="4001.007"/>
    <s v="Acompte impôt sur revenu"/>
    <n v="0"/>
    <n v="-26849.46"/>
    <n v="4001"/>
  </r>
  <r>
    <x v="0"/>
    <x v="11"/>
    <x v="9"/>
    <x v="321"/>
    <x v="268"/>
    <x v="268"/>
    <s v="REVENUS"/>
    <x v="3"/>
    <s v="4002.007"/>
    <s v="Acompte impôt sur fortune"/>
    <n v="0"/>
    <n v="-5525.4"/>
    <n v="4002"/>
  </r>
  <r>
    <x v="0"/>
    <x v="11"/>
    <x v="9"/>
    <x v="321"/>
    <x v="268"/>
    <x v="268"/>
    <s v="REVENUS"/>
    <x v="2"/>
    <s v="4001.001"/>
    <s v="Impôt revenu"/>
    <n v="0"/>
    <n v="4488052.6500000004"/>
    <n v="4001"/>
  </r>
  <r>
    <x v="0"/>
    <x v="11"/>
    <x v="9"/>
    <x v="321"/>
    <x v="268"/>
    <x v="268"/>
    <s v="REVENUS"/>
    <x v="2"/>
    <s v="4001.007"/>
    <s v="Acompte impôt sur revenu"/>
    <n v="0"/>
    <n v="94842.91"/>
    <n v="4001"/>
  </r>
  <r>
    <x v="0"/>
    <x v="11"/>
    <x v="9"/>
    <x v="321"/>
    <x v="268"/>
    <x v="268"/>
    <s v="REVENUS"/>
    <x v="3"/>
    <s v="4002.001"/>
    <s v="Impôt ordinaire s/fortune PP"/>
    <n v="0"/>
    <n v="588328.85"/>
    <n v="4002"/>
  </r>
  <r>
    <x v="0"/>
    <x v="11"/>
    <x v="9"/>
    <x v="321"/>
    <x v="268"/>
    <x v="268"/>
    <s v="REVENUS"/>
    <x v="3"/>
    <s v="4002.007"/>
    <s v="Acompte impôt sur fortune"/>
    <n v="0"/>
    <n v="58489.02"/>
    <n v="4002"/>
  </r>
  <r>
    <x v="0"/>
    <x v="11"/>
    <x v="9"/>
    <x v="321"/>
    <x v="268"/>
    <x v="268"/>
    <s v="REVENUS"/>
    <x v="6"/>
    <s v="4211.001"/>
    <s v="Intérêts de retard sur factures"/>
    <n v="0"/>
    <n v="31176.12"/>
    <n v="4211"/>
  </r>
  <r>
    <x v="0"/>
    <x v="11"/>
    <x v="9"/>
    <x v="321"/>
    <x v="268"/>
    <x v="268"/>
    <s v="REVENUS"/>
    <x v="6"/>
    <s v="4211.002"/>
    <s v="Intérêts de retard sur acomptes"/>
    <n v="0"/>
    <n v="26225.02"/>
    <n v="4211"/>
  </r>
  <r>
    <x v="0"/>
    <x v="11"/>
    <x v="9"/>
    <x v="321"/>
    <x v="268"/>
    <x v="268"/>
    <s v="REVENUS"/>
    <x v="6"/>
    <s v="4221.003"/>
    <s v="Intérêts compensat. / acomptes en faveur du fisc"/>
    <n v="0"/>
    <n v="646.22"/>
    <n v="4221"/>
  </r>
  <r>
    <x v="0"/>
    <x v="11"/>
    <x v="9"/>
    <x v="321"/>
    <x v="268"/>
    <x v="268"/>
    <s v="REVENUS"/>
    <x v="10"/>
    <s v="4041.001"/>
    <s v="Droits de mutation"/>
    <n v="0"/>
    <n v="206523.3"/>
    <n v="4041"/>
  </r>
  <r>
    <x v="0"/>
    <x v="11"/>
    <x v="9"/>
    <x v="321"/>
    <x v="268"/>
    <x v="268"/>
    <s v="REVENUS"/>
    <x v="3"/>
    <s v="4002.007"/>
    <s v="Acompte impôt sur fortune"/>
    <n v="0"/>
    <n v="-869.6"/>
    <n v="4002"/>
  </r>
  <r>
    <x v="0"/>
    <x v="11"/>
    <x v="9"/>
    <x v="321"/>
    <x v="268"/>
    <x v="268"/>
    <s v="REVENUS"/>
    <x v="2"/>
    <s v="4001.003"/>
    <s v="Impôt s/prest. cap. PP"/>
    <n v="0"/>
    <n v="117297.25"/>
    <n v="4001"/>
  </r>
  <r>
    <x v="0"/>
    <x v="11"/>
    <x v="9"/>
    <x v="321"/>
    <x v="268"/>
    <x v="268"/>
    <s v="REVENUS"/>
    <x v="6"/>
    <s v="4221.002"/>
    <s v="Intérêts compensat. sur impôts distincts"/>
    <n v="0"/>
    <n v="89.87"/>
    <n v="4221"/>
  </r>
  <r>
    <x v="0"/>
    <x v="11"/>
    <x v="9"/>
    <x v="321"/>
    <x v="268"/>
    <x v="268"/>
    <s v="REVENUS"/>
    <x v="2"/>
    <s v="4001.001"/>
    <s v="Impôt revenu"/>
    <n v="0"/>
    <n v="12520.9"/>
    <n v="4001"/>
  </r>
  <r>
    <x v="0"/>
    <x v="11"/>
    <x v="9"/>
    <x v="321"/>
    <x v="268"/>
    <x v="268"/>
    <s v="REVENUS"/>
    <x v="3"/>
    <s v="4002.001"/>
    <s v="Impôt ordinaire s/fortune PP"/>
    <n v="0"/>
    <n v="1977.85"/>
    <n v="4002"/>
  </r>
  <r>
    <x v="0"/>
    <x v="11"/>
    <x v="9"/>
    <x v="321"/>
    <x v="268"/>
    <x v="268"/>
    <s v="REVENUS"/>
    <x v="7"/>
    <s v="4184.000"/>
    <s v="Frais de poursuite"/>
    <n v="0"/>
    <n v="5072.5600000000004"/>
    <n v="4184"/>
  </r>
  <r>
    <x v="0"/>
    <x v="11"/>
    <x v="9"/>
    <x v="321"/>
    <x v="268"/>
    <x v="268"/>
    <s v="REVENUS"/>
    <x v="2"/>
    <s v="4001.001"/>
    <s v="Impôt revenu"/>
    <n v="0"/>
    <n v="6784.25"/>
    <n v="4001"/>
  </r>
  <r>
    <x v="0"/>
    <x v="11"/>
    <x v="9"/>
    <x v="321"/>
    <x v="268"/>
    <x v="268"/>
    <s v="REVENUS"/>
    <x v="2"/>
    <s v="4001.007"/>
    <s v="Acompte impôt sur revenu"/>
    <n v="0"/>
    <n v="-560.9"/>
    <n v="4001"/>
  </r>
  <r>
    <x v="0"/>
    <x v="11"/>
    <x v="9"/>
    <x v="321"/>
    <x v="268"/>
    <x v="268"/>
    <s v="REVENUS"/>
    <x v="3"/>
    <s v="4002.001"/>
    <s v="Impôt ordinaire s/fortune PP"/>
    <n v="0"/>
    <n v="509.25"/>
    <n v="4002"/>
  </r>
  <r>
    <x v="0"/>
    <x v="11"/>
    <x v="9"/>
    <x v="321"/>
    <x v="268"/>
    <x v="268"/>
    <s v="REVENUS"/>
    <x v="3"/>
    <s v="4002.007"/>
    <s v="Acompte impôt sur fortune"/>
    <n v="0"/>
    <n v="-215.52"/>
    <n v="4002"/>
  </r>
  <r>
    <x v="0"/>
    <x v="11"/>
    <x v="9"/>
    <x v="321"/>
    <x v="268"/>
    <x v="268"/>
    <s v="REVENUS"/>
    <x v="6"/>
    <s v="4221.003"/>
    <s v="Intérêts compensat. / acomptes en faveur du fisc"/>
    <n v="0"/>
    <n v="0.2"/>
    <n v="4221"/>
  </r>
  <r>
    <x v="0"/>
    <x v="11"/>
    <x v="9"/>
    <x v="321"/>
    <x v="268"/>
    <x v="268"/>
    <s v="REVENUS"/>
    <x v="2"/>
    <s v="4001.002"/>
    <s v="Impôt complément s/revenu PP"/>
    <n v="0"/>
    <n v="1030527.7"/>
    <n v="4001"/>
  </r>
  <r>
    <x v="0"/>
    <x v="11"/>
    <x v="9"/>
    <x v="321"/>
    <x v="268"/>
    <x v="268"/>
    <s v="REVENUS"/>
    <x v="3"/>
    <s v="4002.002"/>
    <s v="Impôt complémentaire s/fortune PP"/>
    <n v="0"/>
    <n v="166449.9"/>
    <n v="4002"/>
  </r>
  <r>
    <x v="0"/>
    <x v="11"/>
    <x v="9"/>
    <x v="321"/>
    <x v="268"/>
    <x v="268"/>
    <s v="REVENUS"/>
    <x v="2"/>
    <s v="4001.001"/>
    <s v="Impôt revenu"/>
    <n v="0"/>
    <n v="10888.65"/>
    <n v="4001"/>
  </r>
  <r>
    <x v="0"/>
    <x v="11"/>
    <x v="9"/>
    <x v="321"/>
    <x v="268"/>
    <x v="268"/>
    <s v="REVENUS"/>
    <x v="3"/>
    <s v="4002.001"/>
    <s v="Impôt ordinaire s/fortune PP"/>
    <n v="0"/>
    <n v="5061.75"/>
    <n v="4002"/>
  </r>
  <r>
    <x v="0"/>
    <x v="11"/>
    <x v="9"/>
    <x v="321"/>
    <x v="268"/>
    <x v="268"/>
    <s v="REVENUS"/>
    <x v="6"/>
    <s v="4211.002"/>
    <s v="Intérêts de retard sur acomptes"/>
    <n v="0"/>
    <n v="1.46"/>
    <n v="4211"/>
  </r>
  <r>
    <x v="0"/>
    <x v="11"/>
    <x v="9"/>
    <x v="321"/>
    <x v="268"/>
    <x v="268"/>
    <s v="REVENUS"/>
    <x v="2"/>
    <s v="4001.001"/>
    <s v="Impôt revenu"/>
    <n v="0"/>
    <n v="17968.95"/>
    <n v="4001"/>
  </r>
  <r>
    <x v="0"/>
    <x v="11"/>
    <x v="9"/>
    <x v="321"/>
    <x v="268"/>
    <x v="268"/>
    <s v="REVENUS"/>
    <x v="6"/>
    <s v="4211.002"/>
    <s v="Intérêts de retard sur acomptes"/>
    <n v="0"/>
    <n v="1253.07"/>
    <n v="4211"/>
  </r>
  <r>
    <x v="0"/>
    <x v="11"/>
    <x v="9"/>
    <x v="321"/>
    <x v="268"/>
    <x v="268"/>
    <s v="REVENUS"/>
    <x v="2"/>
    <s v="4001.002"/>
    <s v="Impôt complément s/revenu PP"/>
    <n v="0"/>
    <n v="1780.4"/>
    <n v="4001"/>
  </r>
  <r>
    <x v="0"/>
    <x v="11"/>
    <x v="9"/>
    <x v="321"/>
    <x v="268"/>
    <x v="268"/>
    <s v="REVENUS"/>
    <x v="3"/>
    <s v="4002.002"/>
    <s v="Impôt complémentaire s/fortune PP"/>
    <n v="0"/>
    <n v="1969.05"/>
    <n v="4002"/>
  </r>
  <r>
    <x v="0"/>
    <x v="11"/>
    <x v="9"/>
    <x v="321"/>
    <x v="268"/>
    <x v="268"/>
    <s v="REVENUS"/>
    <x v="6"/>
    <s v="4211.001"/>
    <s v="Intérêts de retard sur factures"/>
    <n v="0"/>
    <n v="12.08"/>
    <n v="4211"/>
  </r>
  <r>
    <x v="0"/>
    <x v="11"/>
    <x v="9"/>
    <x v="321"/>
    <x v="268"/>
    <x v="268"/>
    <s v="REVENUS"/>
    <x v="6"/>
    <s v="4221.003"/>
    <s v="Intérêts compensat. / acomptes en faveur du fisc"/>
    <n v="0"/>
    <n v="1.52"/>
    <n v="4221"/>
  </r>
  <r>
    <x v="0"/>
    <x v="11"/>
    <x v="9"/>
    <x v="321"/>
    <x v="268"/>
    <x v="268"/>
    <s v="REVENUS"/>
    <x v="6"/>
    <s v="4211.001"/>
    <s v="Intérêts de retard sur factures"/>
    <n v="0"/>
    <n v="1.22"/>
    <n v="4211"/>
  </r>
  <r>
    <x v="0"/>
    <x v="11"/>
    <x v="9"/>
    <x v="321"/>
    <x v="268"/>
    <x v="268"/>
    <s v="REVENUS"/>
    <x v="2"/>
    <s v="4001.007"/>
    <s v="Acompte impôt sur revenu"/>
    <n v="0"/>
    <n v="787.96"/>
    <n v="4001"/>
  </r>
  <r>
    <x v="0"/>
    <x v="11"/>
    <x v="9"/>
    <x v="321"/>
    <x v="268"/>
    <x v="268"/>
    <s v="REVENUS"/>
    <x v="3"/>
    <s v="4002.007"/>
    <s v="Acompte impôt sur fortune"/>
    <n v="0"/>
    <n v="-940.65"/>
    <n v="4002"/>
  </r>
  <r>
    <x v="0"/>
    <x v="11"/>
    <x v="9"/>
    <x v="321"/>
    <x v="268"/>
    <x v="268"/>
    <s v="REVENUS"/>
    <x v="3"/>
    <s v="4002.001"/>
    <s v="Impôt ordinaire s/fortune PP"/>
    <n v="0"/>
    <n v="2481.85"/>
    <n v="4002"/>
  </r>
  <r>
    <x v="0"/>
    <x v="11"/>
    <x v="9"/>
    <x v="321"/>
    <x v="268"/>
    <x v="268"/>
    <s v="REVENUS"/>
    <x v="6"/>
    <s v="4221.003"/>
    <s v="Intérêts compensat. / acomptes en faveur du fisc"/>
    <n v="0"/>
    <n v="0.25"/>
    <n v="4221"/>
  </r>
  <r>
    <x v="0"/>
    <x v="11"/>
    <x v="9"/>
    <x v="321"/>
    <x v="268"/>
    <x v="268"/>
    <s v="REVENUS"/>
    <x v="2"/>
    <s v="4001.001"/>
    <s v="Impôt revenu"/>
    <n v="0"/>
    <n v="4694.7"/>
    <n v="4001"/>
  </r>
  <r>
    <x v="0"/>
    <x v="11"/>
    <x v="9"/>
    <x v="321"/>
    <x v="268"/>
    <x v="268"/>
    <s v="REVENUS"/>
    <x v="2"/>
    <s v="4001.007"/>
    <s v="Acompte impôt sur revenu"/>
    <n v="0"/>
    <n v="-4888.87"/>
    <n v="4001"/>
  </r>
  <r>
    <x v="0"/>
    <x v="11"/>
    <x v="9"/>
    <x v="321"/>
    <x v="268"/>
    <x v="268"/>
    <s v="REVENUS"/>
    <x v="3"/>
    <s v="4002.007"/>
    <s v="Acompte impôt sur fortune"/>
    <n v="0"/>
    <n v="-1126.03"/>
    <n v="4002"/>
  </r>
  <r>
    <x v="0"/>
    <x v="11"/>
    <x v="9"/>
    <x v="321"/>
    <x v="268"/>
    <x v="268"/>
    <s v="REVENUS"/>
    <x v="3"/>
    <s v="4002.001"/>
    <s v="Impôt ordinaire s/fortune PP"/>
    <n v="0"/>
    <n v="8179.35"/>
    <n v="4002"/>
  </r>
  <r>
    <x v="0"/>
    <x v="11"/>
    <x v="9"/>
    <x v="321"/>
    <x v="268"/>
    <x v="268"/>
    <s v="REVENUS"/>
    <x v="3"/>
    <s v="4002.007"/>
    <s v="Acompte impôt sur fortune"/>
    <n v="0"/>
    <n v="11841.58"/>
    <n v="4002"/>
  </r>
  <r>
    <x v="0"/>
    <x v="11"/>
    <x v="9"/>
    <x v="321"/>
    <x v="268"/>
    <x v="268"/>
    <s v="REVENUS"/>
    <x v="2"/>
    <s v="4001.007"/>
    <s v="Acompte impôt sur revenu"/>
    <n v="0"/>
    <n v="23101.25"/>
    <n v="4001"/>
  </r>
  <r>
    <x v="0"/>
    <x v="11"/>
    <x v="9"/>
    <x v="321"/>
    <x v="268"/>
    <x v="268"/>
    <s v="REVENUS"/>
    <x v="5"/>
    <s v="4061.000"/>
    <s v="Impôt sur les chiens"/>
    <n v="0"/>
    <n v="20300"/>
    <n v="4061"/>
  </r>
  <r>
    <x v="0"/>
    <x v="11"/>
    <x v="9"/>
    <x v="321"/>
    <x v="268"/>
    <x v="268"/>
    <s v="REVENUS"/>
    <x v="2"/>
    <s v="4001.007"/>
    <s v="Acompte impôt sur revenu"/>
    <n v="0"/>
    <n v="-987.35"/>
    <n v="4001"/>
  </r>
  <r>
    <x v="0"/>
    <x v="11"/>
    <x v="9"/>
    <x v="321"/>
    <x v="268"/>
    <x v="268"/>
    <s v="REVENUS"/>
    <x v="3"/>
    <s v="4002.007"/>
    <s v="Acompte impôt sur fortune"/>
    <n v="0"/>
    <n v="-1103.8499999999999"/>
    <n v="4002"/>
  </r>
  <r>
    <x v="0"/>
    <x v="11"/>
    <x v="9"/>
    <x v="321"/>
    <x v="268"/>
    <x v="268"/>
    <s v="REVENUS"/>
    <x v="12"/>
    <s v="4004.007"/>
    <s v="Acompte spécial étrangers"/>
    <n v="0"/>
    <n v="0"/>
    <n v="4004"/>
  </r>
  <r>
    <x v="0"/>
    <x v="11"/>
    <x v="9"/>
    <x v="321"/>
    <x v="268"/>
    <x v="268"/>
    <s v="REVENUS"/>
    <x v="6"/>
    <s v="4221.003"/>
    <s v="Intérêts compensat. / acomptes en faveur du fisc"/>
    <n v="0"/>
    <n v="0.33"/>
    <n v="4221"/>
  </r>
  <r>
    <x v="0"/>
    <x v="11"/>
    <x v="9"/>
    <x v="321"/>
    <x v="268"/>
    <x v="268"/>
    <s v="REVENUS"/>
    <x v="9"/>
    <s v="4031.001"/>
    <s v="Impôt sur les gains immobiliers"/>
    <n v="0"/>
    <n v="114391.8"/>
    <n v="4031"/>
  </r>
  <r>
    <x v="0"/>
    <x v="11"/>
    <x v="9"/>
    <x v="321"/>
    <x v="268"/>
    <x v="268"/>
    <s v="REVENUS"/>
    <x v="6"/>
    <s v="4211.002"/>
    <s v="Intérêts de retard sur acomptes"/>
    <n v="0"/>
    <n v="299.35000000000002"/>
    <n v="4211"/>
  </r>
  <r>
    <x v="0"/>
    <x v="11"/>
    <x v="9"/>
    <x v="321"/>
    <x v="268"/>
    <x v="268"/>
    <s v="REVENUS"/>
    <x v="6"/>
    <s v="4211.001"/>
    <s v="Intérêts de retard sur factures"/>
    <n v="0"/>
    <n v="6.97"/>
    <n v="4211"/>
  </r>
  <r>
    <x v="0"/>
    <x v="11"/>
    <x v="9"/>
    <x v="321"/>
    <x v="268"/>
    <x v="268"/>
    <s v="REVENUS"/>
    <x v="2"/>
    <s v="4001.002"/>
    <s v="Impôt complément s/revenu PP"/>
    <n v="0"/>
    <n v="492.35"/>
    <n v="4001"/>
  </r>
  <r>
    <x v="0"/>
    <x v="11"/>
    <x v="9"/>
    <x v="321"/>
    <x v="268"/>
    <x v="268"/>
    <s v="REVENUS"/>
    <x v="3"/>
    <s v="4002.002"/>
    <s v="Impôt complémentaire s/fortune PP"/>
    <n v="0"/>
    <n v="513.65"/>
    <n v="4002"/>
  </r>
  <r>
    <x v="0"/>
    <x v="11"/>
    <x v="9"/>
    <x v="321"/>
    <x v="268"/>
    <x v="268"/>
    <s v="REVENUS"/>
    <x v="7"/>
    <s v="4184.000"/>
    <s v="Frais de poursuite"/>
    <n v="0"/>
    <n v="501.81"/>
    <n v="4184"/>
  </r>
  <r>
    <x v="0"/>
    <x v="11"/>
    <x v="9"/>
    <x v="321"/>
    <x v="268"/>
    <x v="268"/>
    <s v="REVENUS"/>
    <x v="10"/>
    <s v="4041.002"/>
    <s v="Complément droit de mutation"/>
    <n v="0"/>
    <n v="9977"/>
    <n v="4041"/>
  </r>
  <r>
    <x v="0"/>
    <x v="11"/>
    <x v="9"/>
    <x v="321"/>
    <x v="268"/>
    <x v="268"/>
    <s v="REVENUS"/>
    <x v="6"/>
    <s v="4211.002"/>
    <s v="Intérêts de retard sur acomptes"/>
    <n v="0"/>
    <n v="16.47"/>
    <n v="4211"/>
  </r>
  <r>
    <x v="0"/>
    <x v="11"/>
    <x v="9"/>
    <x v="321"/>
    <x v="268"/>
    <x v="268"/>
    <s v="REVENUS"/>
    <x v="2"/>
    <s v="4001.005"/>
    <s v="Amende de soustract. Impôt"/>
    <n v="0"/>
    <n v="350"/>
    <n v="4001"/>
  </r>
  <r>
    <x v="0"/>
    <x v="11"/>
    <x v="9"/>
    <x v="321"/>
    <x v="268"/>
    <x v="268"/>
    <s v="REVENUS"/>
    <x v="7"/>
    <s v="4184.000"/>
    <s v="Frais de poursuite"/>
    <n v="0"/>
    <n v="336.17"/>
    <n v="4184"/>
  </r>
  <r>
    <x v="0"/>
    <x v="11"/>
    <x v="9"/>
    <x v="321"/>
    <x v="268"/>
    <x v="268"/>
    <s v="REVENUS"/>
    <x v="9"/>
    <s v="4031.002"/>
    <s v="Complément impôt sur les gains immobiliers"/>
    <n v="0"/>
    <n v="100281.85"/>
    <n v="4031"/>
  </r>
  <r>
    <x v="0"/>
    <x v="11"/>
    <x v="9"/>
    <x v="321"/>
    <x v="268"/>
    <x v="268"/>
    <s v="REVENUS"/>
    <x v="6"/>
    <s v="4211.001"/>
    <s v="Intérêts de retard sur factures"/>
    <n v="0"/>
    <n v="2.4"/>
    <n v="4211"/>
  </r>
  <r>
    <x v="0"/>
    <x v="11"/>
    <x v="9"/>
    <x v="321"/>
    <x v="268"/>
    <x v="268"/>
    <s v="REVENUS"/>
    <x v="8"/>
    <s v="4091.001"/>
    <s v="Impôt récupéré après défalcations"/>
    <n v="0"/>
    <n v="5749.26"/>
    <n v="4091"/>
  </r>
  <r>
    <x v="0"/>
    <x v="11"/>
    <x v="9"/>
    <x v="321"/>
    <x v="268"/>
    <x v="268"/>
    <s v="REVENUS"/>
    <x v="8"/>
    <s v="4091.001"/>
    <s v="Impôt récupéré après défalcations"/>
    <n v="0"/>
    <n v="859.27"/>
    <n v="4091"/>
  </r>
  <r>
    <x v="0"/>
    <x v="11"/>
    <x v="9"/>
    <x v="321"/>
    <x v="268"/>
    <x v="268"/>
    <s v="REVENUS"/>
    <x v="6"/>
    <s v="4221.003"/>
    <s v="Intérêts compensat. / acomptes en faveur du fisc"/>
    <n v="0"/>
    <n v="0.25"/>
    <n v="4221"/>
  </r>
  <r>
    <x v="0"/>
    <x v="11"/>
    <x v="9"/>
    <x v="321"/>
    <x v="268"/>
    <x v="268"/>
    <s v="REVENUS"/>
    <x v="2"/>
    <s v="4001.002"/>
    <s v="Impôt complément s/revenu PP"/>
    <n v="0"/>
    <n v="-505.2"/>
    <n v="4001"/>
  </r>
  <r>
    <x v="0"/>
    <x v="11"/>
    <x v="9"/>
    <x v="321"/>
    <x v="268"/>
    <x v="268"/>
    <s v="REVENUS"/>
    <x v="3"/>
    <s v="4002.002"/>
    <s v="Impôt complémentaire s/fortune PP"/>
    <n v="0"/>
    <n v="-446.45"/>
    <n v="4002"/>
  </r>
  <r>
    <x v="0"/>
    <x v="11"/>
    <x v="9"/>
    <x v="321"/>
    <x v="268"/>
    <x v="268"/>
    <s v="REVENUS"/>
    <x v="6"/>
    <s v="4221.003"/>
    <s v="Intérêts compensat. / acomptes en faveur du fisc"/>
    <n v="0"/>
    <n v="0.19"/>
    <n v="4221"/>
  </r>
  <r>
    <x v="0"/>
    <x v="11"/>
    <x v="9"/>
    <x v="321"/>
    <x v="268"/>
    <x v="268"/>
    <s v="REVENUS"/>
    <x v="2"/>
    <s v="4001.002"/>
    <s v="Impôt complément s/revenu PP"/>
    <n v="0"/>
    <n v="1008.55"/>
    <n v="4001"/>
  </r>
  <r>
    <x v="0"/>
    <x v="11"/>
    <x v="9"/>
    <x v="321"/>
    <x v="268"/>
    <x v="268"/>
    <s v="REVENUS"/>
    <x v="3"/>
    <s v="4002.002"/>
    <s v="Impôt complémentaire s/fortune PP"/>
    <n v="0"/>
    <n v="761.75"/>
    <n v="4002"/>
  </r>
  <r>
    <x v="0"/>
    <x v="11"/>
    <x v="9"/>
    <x v="321"/>
    <x v="268"/>
    <x v="268"/>
    <s v="REVENUS"/>
    <x v="6"/>
    <s v="4211.001"/>
    <s v="Intérêts de retard sur factures"/>
    <n v="0"/>
    <n v="-0.04"/>
    <n v="4211"/>
  </r>
  <r>
    <x v="0"/>
    <x v="11"/>
    <x v="9"/>
    <x v="321"/>
    <x v="268"/>
    <x v="268"/>
    <s v="REVENUS"/>
    <x v="12"/>
    <s v="4004.000"/>
    <s v="Impôt spécial étrangers"/>
    <n v="0"/>
    <n v="26243.7"/>
    <n v="4004"/>
  </r>
  <r>
    <x v="0"/>
    <x v="11"/>
    <x v="9"/>
    <x v="321"/>
    <x v="268"/>
    <x v="268"/>
    <s v="REVENUS"/>
    <x v="6"/>
    <s v="4211.002"/>
    <s v="Intérêts de retard sur acomptes"/>
    <n v="0"/>
    <n v="95.39"/>
    <n v="4211"/>
  </r>
  <r>
    <x v="0"/>
    <x v="11"/>
    <x v="9"/>
    <x v="322"/>
    <x v="269"/>
    <x v="269"/>
    <s v="CHARGES"/>
    <x v="1"/>
    <s v="3301.001"/>
    <s v="Défalcations, abandons de solde PP et IS"/>
    <n v="4818.71"/>
    <n v="0"/>
    <n v="3301"/>
  </r>
  <r>
    <x v="0"/>
    <x v="11"/>
    <x v="9"/>
    <x v="322"/>
    <x v="269"/>
    <x v="269"/>
    <s v="CHARGES"/>
    <x v="0"/>
    <s v="3221.002"/>
    <s v="Intérêts compensatoires / créances en faveur ctb."/>
    <n v="469.65"/>
    <n v="0"/>
    <n v="3221"/>
  </r>
  <r>
    <x v="0"/>
    <x v="11"/>
    <x v="9"/>
    <x v="322"/>
    <x v="269"/>
    <x v="269"/>
    <s v="CHARGES"/>
    <x v="0"/>
    <s v="3212.002"/>
    <s v="Intérêts bonifiés/trop perçu acompte C/C"/>
    <n v="227.26"/>
    <n v="0"/>
    <n v="3212"/>
  </r>
  <r>
    <x v="0"/>
    <x v="11"/>
    <x v="9"/>
    <x v="322"/>
    <x v="269"/>
    <x v="269"/>
    <s v="CHARGES"/>
    <x v="0"/>
    <s v="3212.004"/>
    <s v="Intérêts rémun./perçu trop tôt sur acomptes C/C"/>
    <n v="1120.04"/>
    <n v="0"/>
    <n v="3212"/>
  </r>
  <r>
    <x v="0"/>
    <x v="11"/>
    <x v="9"/>
    <x v="322"/>
    <x v="269"/>
    <x v="269"/>
    <s v="CHARGES"/>
    <x v="0"/>
    <s v="3221.002"/>
    <s v="Intérêts compensatoires / créances en faveur ctb."/>
    <n v="0.17"/>
    <n v="0"/>
    <n v="3221"/>
  </r>
  <r>
    <x v="0"/>
    <x v="11"/>
    <x v="9"/>
    <x v="322"/>
    <x v="269"/>
    <x v="269"/>
    <s v="CHARGES"/>
    <x v="1"/>
    <s v="3301.001"/>
    <s v="Défalcations, abandons de solde PP et IS"/>
    <n v="0.28999999999999998"/>
    <n v="0"/>
    <n v="3301"/>
  </r>
  <r>
    <x v="0"/>
    <x v="11"/>
    <x v="9"/>
    <x v="322"/>
    <x v="269"/>
    <x v="269"/>
    <s v="CHARGES"/>
    <x v="1"/>
    <s v="3301.001"/>
    <s v="Défalcations, abandons de solde PP et IS"/>
    <n v="3.45"/>
    <n v="0"/>
    <n v="3301"/>
  </r>
  <r>
    <x v="0"/>
    <x v="11"/>
    <x v="9"/>
    <x v="322"/>
    <x v="269"/>
    <x v="269"/>
    <s v="CHARGES"/>
    <x v="0"/>
    <s v="3212.004"/>
    <s v="Intérêts rémun./perçu trop tôt sur acomptes C/C"/>
    <n v="3.53"/>
    <n v="0"/>
    <n v="3212"/>
  </r>
  <r>
    <x v="0"/>
    <x v="11"/>
    <x v="9"/>
    <x v="322"/>
    <x v="269"/>
    <x v="269"/>
    <s v="CHARGES"/>
    <x v="0"/>
    <s v="3221.002"/>
    <s v="Intérêts compensatoires / créances en faveur ctb."/>
    <n v="-0.8"/>
    <n v="0"/>
    <n v="3221"/>
  </r>
  <r>
    <x v="0"/>
    <x v="11"/>
    <x v="9"/>
    <x v="322"/>
    <x v="269"/>
    <x v="269"/>
    <s v="CHARGES"/>
    <x v="0"/>
    <s v="3221.002"/>
    <s v="Intérêts compensatoires / créances en faveur ctb."/>
    <n v="0.69"/>
    <n v="0"/>
    <n v="3221"/>
  </r>
  <r>
    <x v="0"/>
    <x v="11"/>
    <x v="9"/>
    <x v="322"/>
    <x v="269"/>
    <x v="269"/>
    <s v="CHARGES"/>
    <x v="0"/>
    <s v="3212.004"/>
    <s v="Intérêts rémun./perçu trop tôt sur acomptes C/C"/>
    <n v="0.69"/>
    <n v="0"/>
    <n v="3212"/>
  </r>
  <r>
    <x v="0"/>
    <x v="11"/>
    <x v="9"/>
    <x v="322"/>
    <x v="269"/>
    <x v="269"/>
    <s v="CHARGES"/>
    <x v="1"/>
    <s v="3301.001"/>
    <s v="Défalcations, abandons de solde PP et IS"/>
    <n v="2.91"/>
    <n v="0"/>
    <n v="3301"/>
  </r>
  <r>
    <x v="0"/>
    <x v="11"/>
    <x v="9"/>
    <x v="322"/>
    <x v="269"/>
    <x v="269"/>
    <s v="CHARGES"/>
    <x v="1"/>
    <s v="3301.001"/>
    <s v="Défalcations, abandons de solde PP et IS"/>
    <n v="230.5"/>
    <n v="0"/>
    <n v="3301"/>
  </r>
  <r>
    <x v="0"/>
    <x v="11"/>
    <x v="9"/>
    <x v="322"/>
    <x v="269"/>
    <x v="269"/>
    <s v="CHARGES"/>
    <x v="0"/>
    <s v="3212.004"/>
    <s v="Intérêts rémun./perçu trop tôt sur acomptes C/C"/>
    <n v="0.09"/>
    <n v="0"/>
    <n v="3212"/>
  </r>
  <r>
    <x v="0"/>
    <x v="11"/>
    <x v="9"/>
    <x v="322"/>
    <x v="269"/>
    <x v="269"/>
    <s v="CHARGES"/>
    <x v="0"/>
    <s v="3221.002"/>
    <s v="Intérêts compensatoires / créances en faveur ctb."/>
    <n v="7.0000000000000007E-2"/>
    <n v="0"/>
    <n v="3221"/>
  </r>
  <r>
    <x v="0"/>
    <x v="11"/>
    <x v="9"/>
    <x v="322"/>
    <x v="269"/>
    <x v="269"/>
    <s v="CHARGES"/>
    <x v="0"/>
    <s v="3212.002"/>
    <s v="Intérêts bonifiés/trop perçu acompte C/C"/>
    <n v="0.01"/>
    <n v="0"/>
    <n v="3212"/>
  </r>
  <r>
    <x v="0"/>
    <x v="11"/>
    <x v="9"/>
    <x v="322"/>
    <x v="269"/>
    <x v="269"/>
    <s v="CHARGES"/>
    <x v="1"/>
    <s v="3301.001"/>
    <s v="Défalcations, abandons de solde PP et IS"/>
    <n v="1.57"/>
    <n v="0"/>
    <n v="3301"/>
  </r>
  <r>
    <x v="0"/>
    <x v="11"/>
    <x v="9"/>
    <x v="322"/>
    <x v="269"/>
    <x v="269"/>
    <s v="CHARGES"/>
    <x v="0"/>
    <s v="3212.004"/>
    <s v="Intérêts rémun./perçu trop tôt sur acomptes C/C"/>
    <n v="0.09"/>
    <n v="0"/>
    <n v="3212"/>
  </r>
  <r>
    <x v="0"/>
    <x v="11"/>
    <x v="9"/>
    <x v="322"/>
    <x v="269"/>
    <x v="269"/>
    <s v="REVENUS"/>
    <x v="2"/>
    <s v="4001.001"/>
    <s v="Impôt revenu"/>
    <n v="0"/>
    <n v="3966575.35"/>
    <n v="4001"/>
  </r>
  <r>
    <x v="0"/>
    <x v="11"/>
    <x v="9"/>
    <x v="322"/>
    <x v="269"/>
    <x v="269"/>
    <s v="REVENUS"/>
    <x v="3"/>
    <s v="4002.001"/>
    <s v="Impôt ordinaire s/fortune PP"/>
    <n v="0"/>
    <n v="622554.5"/>
    <n v="4002"/>
  </r>
  <r>
    <x v="0"/>
    <x v="11"/>
    <x v="9"/>
    <x v="322"/>
    <x v="269"/>
    <x v="269"/>
    <s v="REVENUS"/>
    <x v="3"/>
    <s v="4002.007"/>
    <s v="Acompte impôt sur fortune"/>
    <n v="0"/>
    <n v="-31975.94"/>
    <n v="4002"/>
  </r>
  <r>
    <x v="0"/>
    <x v="11"/>
    <x v="9"/>
    <x v="322"/>
    <x v="269"/>
    <x v="269"/>
    <s v="REVENUS"/>
    <x v="11"/>
    <s v="4198.000"/>
    <s v="Contributions communales"/>
    <n v="0"/>
    <n v="442521.3"/>
    <n v="4198"/>
  </r>
  <r>
    <x v="0"/>
    <x v="11"/>
    <x v="9"/>
    <x v="322"/>
    <x v="269"/>
    <x v="269"/>
    <s v="REVENUS"/>
    <x v="6"/>
    <s v="4211.001"/>
    <s v="Intérêts de retard sur factures"/>
    <n v="0"/>
    <n v="7840.56"/>
    <n v="4211"/>
  </r>
  <r>
    <x v="0"/>
    <x v="11"/>
    <x v="9"/>
    <x v="322"/>
    <x v="269"/>
    <x v="269"/>
    <s v="REVENUS"/>
    <x v="2"/>
    <s v="4001.007"/>
    <s v="Acompte impôt sur revenu"/>
    <n v="0"/>
    <n v="27506.37"/>
    <n v="4001"/>
  </r>
  <r>
    <x v="0"/>
    <x v="11"/>
    <x v="9"/>
    <x v="322"/>
    <x v="269"/>
    <x v="269"/>
    <s v="REVENUS"/>
    <x v="2"/>
    <s v="4001.002"/>
    <s v="Impôt complément s/revenu PP"/>
    <n v="0"/>
    <n v="639307.85"/>
    <n v="4001"/>
  </r>
  <r>
    <x v="0"/>
    <x v="11"/>
    <x v="9"/>
    <x v="322"/>
    <x v="269"/>
    <x v="269"/>
    <s v="REVENUS"/>
    <x v="6"/>
    <s v="4211.002"/>
    <s v="Intérêts de retard sur acomptes"/>
    <n v="0"/>
    <n v="22793.360000000001"/>
    <n v="4211"/>
  </r>
  <r>
    <x v="0"/>
    <x v="11"/>
    <x v="9"/>
    <x v="322"/>
    <x v="269"/>
    <x v="269"/>
    <s v="REVENUS"/>
    <x v="6"/>
    <s v="4221.003"/>
    <s v="Intérêts compensat. / acomptes en faveur du fisc"/>
    <n v="0"/>
    <n v="465.19"/>
    <n v="4221"/>
  </r>
  <r>
    <x v="0"/>
    <x v="11"/>
    <x v="9"/>
    <x v="322"/>
    <x v="269"/>
    <x v="269"/>
    <s v="REVENUS"/>
    <x v="3"/>
    <s v="4002.002"/>
    <s v="Impôt complémentaire s/fortune PP"/>
    <n v="0"/>
    <n v="96620.65"/>
    <n v="4002"/>
  </r>
  <r>
    <x v="0"/>
    <x v="11"/>
    <x v="9"/>
    <x v="322"/>
    <x v="269"/>
    <x v="269"/>
    <s v="REVENUS"/>
    <x v="2"/>
    <s v="4001.001"/>
    <s v="Impôt revenu"/>
    <n v="0"/>
    <n v="2336.1999999999998"/>
    <n v="4001"/>
  </r>
  <r>
    <x v="0"/>
    <x v="11"/>
    <x v="9"/>
    <x v="322"/>
    <x v="269"/>
    <x v="269"/>
    <s v="REVENUS"/>
    <x v="6"/>
    <s v="4221.003"/>
    <s v="Intérêts compensat. / acomptes en faveur du fisc"/>
    <n v="0"/>
    <n v="0.28999999999999998"/>
    <n v="4221"/>
  </r>
  <r>
    <x v="0"/>
    <x v="11"/>
    <x v="9"/>
    <x v="322"/>
    <x v="269"/>
    <x v="269"/>
    <s v="REVENUS"/>
    <x v="2"/>
    <s v="4001.003"/>
    <s v="Impôt s/prest. cap. PP"/>
    <n v="0"/>
    <n v="64455.45"/>
    <n v="4001"/>
  </r>
  <r>
    <x v="0"/>
    <x v="11"/>
    <x v="9"/>
    <x v="322"/>
    <x v="269"/>
    <x v="269"/>
    <s v="REVENUS"/>
    <x v="9"/>
    <s v="4031.001"/>
    <s v="Impôt sur les gains immobiliers"/>
    <n v="0"/>
    <n v="226474.45"/>
    <n v="4031"/>
  </r>
  <r>
    <x v="0"/>
    <x v="11"/>
    <x v="9"/>
    <x v="322"/>
    <x v="269"/>
    <x v="269"/>
    <s v="REVENUS"/>
    <x v="6"/>
    <s v="4221.002"/>
    <s v="Intérêts compensat. sur impôts distincts"/>
    <n v="0"/>
    <n v="94.6"/>
    <n v="4221"/>
  </r>
  <r>
    <x v="0"/>
    <x v="11"/>
    <x v="9"/>
    <x v="322"/>
    <x v="269"/>
    <x v="269"/>
    <s v="REVENUS"/>
    <x v="10"/>
    <s v="4041.001"/>
    <s v="Droits de mutation"/>
    <n v="0"/>
    <n v="202693.65"/>
    <n v="4041"/>
  </r>
  <r>
    <x v="0"/>
    <x v="11"/>
    <x v="9"/>
    <x v="322"/>
    <x v="269"/>
    <x v="269"/>
    <s v="REVENUS"/>
    <x v="2"/>
    <s v="4001.001"/>
    <s v="Impôt revenu"/>
    <n v="0"/>
    <n v="2806.15"/>
    <n v="4001"/>
  </r>
  <r>
    <x v="0"/>
    <x v="11"/>
    <x v="9"/>
    <x v="322"/>
    <x v="269"/>
    <x v="269"/>
    <s v="REVENUS"/>
    <x v="3"/>
    <s v="4002.001"/>
    <s v="Impôt ordinaire s/fortune PP"/>
    <n v="0"/>
    <n v="6551.7"/>
    <n v="4002"/>
  </r>
  <r>
    <x v="0"/>
    <x v="11"/>
    <x v="9"/>
    <x v="322"/>
    <x v="269"/>
    <x v="269"/>
    <s v="REVENUS"/>
    <x v="6"/>
    <s v="4211.002"/>
    <s v="Intérêts de retard sur acomptes"/>
    <n v="0"/>
    <n v="42.04"/>
    <n v="4211"/>
  </r>
  <r>
    <x v="0"/>
    <x v="11"/>
    <x v="9"/>
    <x v="322"/>
    <x v="269"/>
    <x v="269"/>
    <s v="REVENUS"/>
    <x v="2"/>
    <s v="4001.007"/>
    <s v="Acompte impôt sur revenu"/>
    <n v="0"/>
    <n v="-71863.45"/>
    <n v="4001"/>
  </r>
  <r>
    <x v="0"/>
    <x v="11"/>
    <x v="9"/>
    <x v="322"/>
    <x v="269"/>
    <x v="269"/>
    <s v="REVENUS"/>
    <x v="3"/>
    <s v="4002.007"/>
    <s v="Acompte impôt sur fortune"/>
    <n v="0"/>
    <n v="-16614"/>
    <n v="4002"/>
  </r>
  <r>
    <x v="0"/>
    <x v="11"/>
    <x v="9"/>
    <x v="322"/>
    <x v="269"/>
    <x v="269"/>
    <s v="REVENUS"/>
    <x v="2"/>
    <s v="4001.001"/>
    <s v="Impôt revenu"/>
    <n v="0"/>
    <n v="89598.7"/>
    <n v="4001"/>
  </r>
  <r>
    <x v="0"/>
    <x v="11"/>
    <x v="9"/>
    <x v="322"/>
    <x v="269"/>
    <x v="269"/>
    <s v="REVENUS"/>
    <x v="2"/>
    <s v="4001.007"/>
    <s v="Acompte impôt sur revenu"/>
    <n v="0"/>
    <n v="29145.51"/>
    <n v="4001"/>
  </r>
  <r>
    <x v="0"/>
    <x v="11"/>
    <x v="9"/>
    <x v="322"/>
    <x v="269"/>
    <x v="269"/>
    <s v="REVENUS"/>
    <x v="3"/>
    <s v="4002.001"/>
    <s v="Impôt ordinaire s/fortune PP"/>
    <n v="0"/>
    <n v="17273.55"/>
    <n v="4002"/>
  </r>
  <r>
    <x v="0"/>
    <x v="11"/>
    <x v="9"/>
    <x v="322"/>
    <x v="269"/>
    <x v="269"/>
    <s v="REVENUS"/>
    <x v="3"/>
    <s v="4002.007"/>
    <s v="Acompte impôt sur fortune"/>
    <n v="0"/>
    <n v="6983.66"/>
    <n v="4002"/>
  </r>
  <r>
    <x v="0"/>
    <x v="11"/>
    <x v="9"/>
    <x v="322"/>
    <x v="269"/>
    <x v="269"/>
    <s v="REVENUS"/>
    <x v="6"/>
    <s v="4221.003"/>
    <s v="Intérêts compensat. / acomptes en faveur du fisc"/>
    <n v="0"/>
    <n v="15.19"/>
    <n v="4221"/>
  </r>
  <r>
    <x v="0"/>
    <x v="11"/>
    <x v="9"/>
    <x v="322"/>
    <x v="269"/>
    <x v="269"/>
    <s v="REVENUS"/>
    <x v="7"/>
    <s v="4184.000"/>
    <s v="Frais de poursuite"/>
    <n v="0"/>
    <n v="2990.46"/>
    <n v="4184"/>
  </r>
  <r>
    <x v="0"/>
    <x v="11"/>
    <x v="9"/>
    <x v="322"/>
    <x v="269"/>
    <x v="269"/>
    <s v="REVENUS"/>
    <x v="3"/>
    <s v="4002.001"/>
    <s v="Impôt ordinaire s/fortune PP"/>
    <n v="0"/>
    <n v="10488.85"/>
    <n v="4002"/>
  </r>
  <r>
    <x v="0"/>
    <x v="11"/>
    <x v="9"/>
    <x v="322"/>
    <x v="269"/>
    <x v="269"/>
    <s v="REVENUS"/>
    <x v="3"/>
    <s v="4002.007"/>
    <s v="Acompte impôt sur fortune"/>
    <n v="0"/>
    <n v="282.45"/>
    <n v="4002"/>
  </r>
  <r>
    <x v="0"/>
    <x v="11"/>
    <x v="9"/>
    <x v="322"/>
    <x v="269"/>
    <x v="269"/>
    <s v="REVENUS"/>
    <x v="2"/>
    <s v="4001.007"/>
    <s v="Acompte impôt sur revenu"/>
    <n v="0"/>
    <n v="-2084.25"/>
    <n v="4001"/>
  </r>
  <r>
    <x v="0"/>
    <x v="11"/>
    <x v="9"/>
    <x v="322"/>
    <x v="269"/>
    <x v="269"/>
    <s v="REVENUS"/>
    <x v="3"/>
    <s v="4002.007"/>
    <s v="Acompte impôt sur fortune"/>
    <n v="0"/>
    <n v="-4498.96"/>
    <n v="4002"/>
  </r>
  <r>
    <x v="0"/>
    <x v="11"/>
    <x v="9"/>
    <x v="322"/>
    <x v="269"/>
    <x v="269"/>
    <s v="REVENUS"/>
    <x v="3"/>
    <s v="4002.007"/>
    <s v="Acompte impôt sur fortune"/>
    <n v="0"/>
    <n v="1181.3800000000001"/>
    <n v="4002"/>
  </r>
  <r>
    <x v="0"/>
    <x v="11"/>
    <x v="9"/>
    <x v="322"/>
    <x v="269"/>
    <x v="269"/>
    <s v="REVENUS"/>
    <x v="2"/>
    <s v="4001.007"/>
    <s v="Acompte impôt sur revenu"/>
    <n v="0"/>
    <n v="220.3"/>
    <n v="4001"/>
  </r>
  <r>
    <x v="0"/>
    <x v="11"/>
    <x v="9"/>
    <x v="322"/>
    <x v="269"/>
    <x v="269"/>
    <s v="REVENUS"/>
    <x v="6"/>
    <s v="4221.003"/>
    <s v="Intérêts compensat. / acomptes en faveur du fisc"/>
    <n v="0"/>
    <n v="0.19"/>
    <n v="4221"/>
  </r>
  <r>
    <x v="0"/>
    <x v="11"/>
    <x v="9"/>
    <x v="322"/>
    <x v="269"/>
    <x v="269"/>
    <s v="REVENUS"/>
    <x v="2"/>
    <s v="4001.007"/>
    <s v="Acompte impôt sur revenu"/>
    <n v="0"/>
    <n v="984.61"/>
    <n v="4001"/>
  </r>
  <r>
    <x v="0"/>
    <x v="11"/>
    <x v="9"/>
    <x v="322"/>
    <x v="269"/>
    <x v="269"/>
    <s v="REVENUS"/>
    <x v="2"/>
    <s v="4001.007"/>
    <s v="Acompte impôt sur revenu"/>
    <n v="0"/>
    <n v="79.3"/>
    <n v="4001"/>
  </r>
  <r>
    <x v="0"/>
    <x v="11"/>
    <x v="9"/>
    <x v="322"/>
    <x v="269"/>
    <x v="269"/>
    <s v="REVENUS"/>
    <x v="2"/>
    <s v="4001.007"/>
    <s v="Acompte impôt sur revenu"/>
    <n v="0"/>
    <n v="27.9"/>
    <n v="4001"/>
  </r>
  <r>
    <x v="0"/>
    <x v="11"/>
    <x v="9"/>
    <x v="322"/>
    <x v="269"/>
    <x v="269"/>
    <s v="REVENUS"/>
    <x v="3"/>
    <s v="4002.007"/>
    <s v="Acompte impôt sur fortune"/>
    <n v="0"/>
    <n v="8.1"/>
    <n v="4002"/>
  </r>
  <r>
    <x v="0"/>
    <x v="11"/>
    <x v="9"/>
    <x v="322"/>
    <x v="269"/>
    <x v="269"/>
    <s v="REVENUS"/>
    <x v="12"/>
    <s v="4004.007"/>
    <s v="Acompte spécial étrangers"/>
    <n v="0"/>
    <n v="-56639.5"/>
    <n v="4004"/>
  </r>
  <r>
    <x v="0"/>
    <x v="11"/>
    <x v="9"/>
    <x v="322"/>
    <x v="269"/>
    <x v="269"/>
    <s v="REVENUS"/>
    <x v="7"/>
    <s v="4184.000"/>
    <s v="Frais de poursuite"/>
    <n v="0"/>
    <n v="4.76"/>
    <n v="4184"/>
  </r>
  <r>
    <x v="0"/>
    <x v="11"/>
    <x v="9"/>
    <x v="322"/>
    <x v="269"/>
    <x v="269"/>
    <s v="REVENUS"/>
    <x v="5"/>
    <s v="4061.000"/>
    <s v="Impôt sur les chiens"/>
    <n v="0"/>
    <n v="8600"/>
    <n v="4061"/>
  </r>
  <r>
    <x v="0"/>
    <x v="11"/>
    <x v="9"/>
    <x v="322"/>
    <x v="269"/>
    <x v="269"/>
    <s v="REVENUS"/>
    <x v="6"/>
    <s v="4211.001"/>
    <s v="Intérêts de retard sur factures"/>
    <n v="0"/>
    <n v="15.51"/>
    <n v="4211"/>
  </r>
  <r>
    <x v="0"/>
    <x v="11"/>
    <x v="9"/>
    <x v="322"/>
    <x v="269"/>
    <x v="269"/>
    <s v="REVENUS"/>
    <x v="3"/>
    <s v="4002.002"/>
    <s v="Impôt complémentaire s/fortune PP"/>
    <n v="0"/>
    <n v="355.2"/>
    <n v="4002"/>
  </r>
  <r>
    <x v="0"/>
    <x v="11"/>
    <x v="9"/>
    <x v="322"/>
    <x v="269"/>
    <x v="269"/>
    <s v="REVENUS"/>
    <x v="2"/>
    <s v="4001.001"/>
    <s v="Impôt revenu"/>
    <n v="0"/>
    <n v="17488.900000000001"/>
    <n v="4001"/>
  </r>
  <r>
    <x v="0"/>
    <x v="11"/>
    <x v="9"/>
    <x v="322"/>
    <x v="269"/>
    <x v="269"/>
    <s v="REVENUS"/>
    <x v="6"/>
    <s v="4211.002"/>
    <s v="Intérêts de retard sur acomptes"/>
    <n v="0"/>
    <n v="3.97"/>
    <n v="4211"/>
  </r>
  <r>
    <x v="0"/>
    <x v="11"/>
    <x v="9"/>
    <x v="322"/>
    <x v="269"/>
    <x v="269"/>
    <s v="REVENUS"/>
    <x v="12"/>
    <s v="4004.000"/>
    <s v="Impôt spécial étrangers"/>
    <n v="0"/>
    <n v="121997.9"/>
    <n v="4004"/>
  </r>
  <r>
    <x v="0"/>
    <x v="11"/>
    <x v="9"/>
    <x v="322"/>
    <x v="269"/>
    <x v="269"/>
    <s v="REVENUS"/>
    <x v="4"/>
    <s v="4051.001"/>
    <s v="Impôt sur les successions"/>
    <n v="0"/>
    <n v="24912.400000000001"/>
    <n v="4051"/>
  </r>
  <r>
    <x v="0"/>
    <x v="11"/>
    <x v="9"/>
    <x v="322"/>
    <x v="269"/>
    <x v="269"/>
    <s v="REVENUS"/>
    <x v="3"/>
    <s v="4002.007"/>
    <s v="Acompte impôt sur fortune"/>
    <n v="0"/>
    <n v="-566"/>
    <n v="4002"/>
  </r>
  <r>
    <x v="0"/>
    <x v="11"/>
    <x v="9"/>
    <x v="322"/>
    <x v="269"/>
    <x v="269"/>
    <s v="REVENUS"/>
    <x v="3"/>
    <s v="4002.002"/>
    <s v="Impôt complémentaire s/fortune PP"/>
    <n v="0"/>
    <n v="723.85"/>
    <n v="4002"/>
  </r>
  <r>
    <x v="0"/>
    <x v="11"/>
    <x v="9"/>
    <x v="322"/>
    <x v="269"/>
    <x v="269"/>
    <s v="REVENUS"/>
    <x v="6"/>
    <s v="4211.001"/>
    <s v="Intérêts de retard sur factures"/>
    <n v="0"/>
    <n v="62.17"/>
    <n v="4211"/>
  </r>
  <r>
    <x v="0"/>
    <x v="11"/>
    <x v="9"/>
    <x v="322"/>
    <x v="269"/>
    <x v="269"/>
    <s v="REVENUS"/>
    <x v="6"/>
    <s v="4211.002"/>
    <s v="Intérêts de retard sur acomptes"/>
    <n v="0"/>
    <n v="12.93"/>
    <n v="4211"/>
  </r>
  <r>
    <x v="0"/>
    <x v="11"/>
    <x v="9"/>
    <x v="322"/>
    <x v="269"/>
    <x v="269"/>
    <s v="REVENUS"/>
    <x v="10"/>
    <s v="4041.002"/>
    <s v="Complément droit de mutation"/>
    <n v="0"/>
    <n v="14221.5"/>
    <n v="4041"/>
  </r>
  <r>
    <x v="0"/>
    <x v="11"/>
    <x v="9"/>
    <x v="322"/>
    <x v="269"/>
    <x v="269"/>
    <s v="REVENUS"/>
    <x v="6"/>
    <s v="4221.003"/>
    <s v="Intérêts compensat. / acomptes en faveur du fisc"/>
    <n v="0"/>
    <n v="0.56999999999999995"/>
    <n v="4221"/>
  </r>
  <r>
    <x v="0"/>
    <x v="11"/>
    <x v="9"/>
    <x v="322"/>
    <x v="269"/>
    <x v="269"/>
    <s v="REVENUS"/>
    <x v="3"/>
    <s v="4002.001"/>
    <s v="Impôt ordinaire s/fortune PP"/>
    <n v="0"/>
    <n v="2021.2"/>
    <n v="4002"/>
  </r>
  <r>
    <x v="0"/>
    <x v="11"/>
    <x v="9"/>
    <x v="322"/>
    <x v="269"/>
    <x v="269"/>
    <s v="REVENUS"/>
    <x v="6"/>
    <s v="4211.002"/>
    <s v="Intérêts de retard sur acomptes"/>
    <n v="0"/>
    <n v="0.24"/>
    <n v="4211"/>
  </r>
  <r>
    <x v="0"/>
    <x v="11"/>
    <x v="9"/>
    <x v="322"/>
    <x v="269"/>
    <x v="269"/>
    <s v="REVENUS"/>
    <x v="3"/>
    <s v="4002.002"/>
    <s v="Impôt complémentaire s/fortune PP"/>
    <n v="0"/>
    <n v="31.55"/>
    <n v="4002"/>
  </r>
  <r>
    <x v="0"/>
    <x v="11"/>
    <x v="9"/>
    <x v="322"/>
    <x v="269"/>
    <x v="269"/>
    <s v="REVENUS"/>
    <x v="3"/>
    <s v="4002.002"/>
    <s v="Impôt complémentaire s/fortune PP"/>
    <n v="0"/>
    <n v="660.7"/>
    <n v="4002"/>
  </r>
  <r>
    <x v="0"/>
    <x v="11"/>
    <x v="9"/>
    <x v="322"/>
    <x v="269"/>
    <x v="269"/>
    <s v="REVENUS"/>
    <x v="2"/>
    <s v="4001.002"/>
    <s v="Impôt complément s/revenu PP"/>
    <n v="0"/>
    <n v="65.5"/>
    <n v="4001"/>
  </r>
  <r>
    <x v="0"/>
    <x v="11"/>
    <x v="9"/>
    <x v="322"/>
    <x v="269"/>
    <x v="269"/>
    <s v="REVENUS"/>
    <x v="9"/>
    <s v="4031.002"/>
    <s v="Complément impôt sur les gains immobiliers"/>
    <n v="0"/>
    <n v="3837"/>
    <n v="4031"/>
  </r>
  <r>
    <x v="0"/>
    <x v="11"/>
    <x v="9"/>
    <x v="322"/>
    <x v="269"/>
    <x v="269"/>
    <s v="REVENUS"/>
    <x v="6"/>
    <s v="4211.001"/>
    <s v="Intérêts de retard sur factures"/>
    <n v="0"/>
    <n v="0.8"/>
    <n v="4211"/>
  </r>
  <r>
    <x v="0"/>
    <x v="11"/>
    <x v="9"/>
    <x v="323"/>
    <x v="270"/>
    <x v="270"/>
    <s v="CHARGES"/>
    <x v="0"/>
    <s v="3212.004"/>
    <s v="Intérêts rémun./perçu trop tôt sur acomptes C/C"/>
    <n v="212.75"/>
    <n v="0"/>
    <n v="3212"/>
  </r>
  <r>
    <x v="0"/>
    <x v="11"/>
    <x v="9"/>
    <x v="323"/>
    <x v="270"/>
    <x v="270"/>
    <s v="CHARGES"/>
    <x v="1"/>
    <s v="3301.001"/>
    <s v="Défalcations, abandons de solde PP et IS"/>
    <n v="56.68"/>
    <n v="0"/>
    <n v="3301"/>
  </r>
  <r>
    <x v="0"/>
    <x v="11"/>
    <x v="9"/>
    <x v="323"/>
    <x v="270"/>
    <x v="270"/>
    <s v="CHARGES"/>
    <x v="0"/>
    <s v="3212.002"/>
    <s v="Intérêts bonifiés/trop perçu acompte C/C"/>
    <n v="1265.22"/>
    <n v="0"/>
    <n v="3212"/>
  </r>
  <r>
    <x v="0"/>
    <x v="11"/>
    <x v="9"/>
    <x v="323"/>
    <x v="270"/>
    <x v="270"/>
    <s v="CHARGES"/>
    <x v="0"/>
    <s v="3212.004"/>
    <s v="Intérêts rémun./perçu trop tôt sur acomptes C/C"/>
    <n v="10069.120000000001"/>
    <n v="0"/>
    <n v="3212"/>
  </r>
  <r>
    <x v="0"/>
    <x v="11"/>
    <x v="9"/>
    <x v="323"/>
    <x v="270"/>
    <x v="270"/>
    <s v="CHARGES"/>
    <x v="0"/>
    <s v="3221.002"/>
    <s v="Intérêts compensatoires / créances en faveur ctb."/>
    <n v="3055"/>
    <n v="0"/>
    <n v="3221"/>
  </r>
  <r>
    <x v="0"/>
    <x v="11"/>
    <x v="9"/>
    <x v="323"/>
    <x v="270"/>
    <x v="270"/>
    <s v="CHARGES"/>
    <x v="1"/>
    <s v="3301.001"/>
    <s v="Défalcations, abandons de solde PP et IS"/>
    <n v="611890.53"/>
    <n v="0"/>
    <n v="3301"/>
  </r>
  <r>
    <x v="0"/>
    <x v="11"/>
    <x v="9"/>
    <x v="323"/>
    <x v="270"/>
    <x v="270"/>
    <s v="CHARGES"/>
    <x v="0"/>
    <s v="3212.004"/>
    <s v="Intérêts rémun./perçu trop tôt sur acomptes C/C"/>
    <n v="28.03"/>
    <n v="0"/>
    <n v="3212"/>
  </r>
  <r>
    <x v="0"/>
    <x v="11"/>
    <x v="9"/>
    <x v="323"/>
    <x v="270"/>
    <x v="270"/>
    <s v="CHARGES"/>
    <x v="0"/>
    <s v="3212.004"/>
    <s v="Intérêts rémun./perçu trop tôt sur acomptes C/C"/>
    <n v="95.08"/>
    <n v="0"/>
    <n v="3212"/>
  </r>
  <r>
    <x v="0"/>
    <x v="11"/>
    <x v="9"/>
    <x v="323"/>
    <x v="270"/>
    <x v="270"/>
    <s v="CHARGES"/>
    <x v="1"/>
    <s v="3301.001"/>
    <s v="Défalcations, abandons de solde PP et IS"/>
    <n v="56.74"/>
    <n v="0"/>
    <n v="3301"/>
  </r>
  <r>
    <x v="0"/>
    <x v="11"/>
    <x v="9"/>
    <x v="323"/>
    <x v="270"/>
    <x v="270"/>
    <s v="CHARGES"/>
    <x v="0"/>
    <s v="3221.002"/>
    <s v="Intérêts compensatoires / créances en faveur ctb."/>
    <n v="227.73"/>
    <n v="0"/>
    <n v="3221"/>
  </r>
  <r>
    <x v="0"/>
    <x v="11"/>
    <x v="9"/>
    <x v="323"/>
    <x v="270"/>
    <x v="270"/>
    <s v="CHARGES"/>
    <x v="0"/>
    <s v="3221.002"/>
    <s v="Intérêts compensatoires / créances en faveur ctb."/>
    <n v="63.06"/>
    <n v="0"/>
    <n v="3221"/>
  </r>
  <r>
    <x v="0"/>
    <x v="11"/>
    <x v="9"/>
    <x v="323"/>
    <x v="270"/>
    <x v="270"/>
    <s v="CHARGES"/>
    <x v="0"/>
    <s v="3221.002"/>
    <s v="Intérêts compensatoires / créances en faveur ctb."/>
    <n v="11.09"/>
    <n v="0"/>
    <n v="3221"/>
  </r>
  <r>
    <x v="0"/>
    <x v="11"/>
    <x v="9"/>
    <x v="323"/>
    <x v="270"/>
    <x v="270"/>
    <s v="CHARGES"/>
    <x v="1"/>
    <s v="3301.001"/>
    <s v="Défalcations, abandons de solde PP et IS"/>
    <n v="1363.51"/>
    <n v="0"/>
    <n v="3301"/>
  </r>
  <r>
    <x v="0"/>
    <x v="11"/>
    <x v="9"/>
    <x v="323"/>
    <x v="270"/>
    <x v="270"/>
    <s v="CHARGES"/>
    <x v="0"/>
    <s v="3212.002"/>
    <s v="Intérêts bonifiés/trop perçu acompte C/C"/>
    <n v="26.55"/>
    <n v="0"/>
    <n v="3212"/>
  </r>
  <r>
    <x v="0"/>
    <x v="11"/>
    <x v="9"/>
    <x v="323"/>
    <x v="270"/>
    <x v="270"/>
    <s v="CHARGES"/>
    <x v="1"/>
    <s v="3301.001"/>
    <s v="Défalcations, abandons de solde PP et IS"/>
    <n v="110080.87"/>
    <n v="0"/>
    <n v="3301"/>
  </r>
  <r>
    <x v="0"/>
    <x v="11"/>
    <x v="9"/>
    <x v="323"/>
    <x v="270"/>
    <x v="270"/>
    <s v="CHARGES"/>
    <x v="0"/>
    <s v="3212.002"/>
    <s v="Intérêts bonifiés/trop perçu acompte C/C"/>
    <n v="3.79"/>
    <n v="0"/>
    <n v="3212"/>
  </r>
  <r>
    <x v="0"/>
    <x v="11"/>
    <x v="9"/>
    <x v="323"/>
    <x v="270"/>
    <x v="270"/>
    <s v="CHARGES"/>
    <x v="0"/>
    <s v="3212.004"/>
    <s v="Intérêts rémun./perçu trop tôt sur acomptes C/C"/>
    <n v="88.18"/>
    <n v="0"/>
    <n v="3212"/>
  </r>
  <r>
    <x v="0"/>
    <x v="11"/>
    <x v="9"/>
    <x v="323"/>
    <x v="270"/>
    <x v="270"/>
    <s v="CHARGES"/>
    <x v="0"/>
    <s v="3221.002"/>
    <s v="Intérêts compensatoires / créances en faveur ctb."/>
    <n v="6.36"/>
    <n v="0"/>
    <n v="3221"/>
  </r>
  <r>
    <x v="0"/>
    <x v="11"/>
    <x v="9"/>
    <x v="323"/>
    <x v="270"/>
    <x v="270"/>
    <s v="CHARGES"/>
    <x v="1"/>
    <s v="3301.001"/>
    <s v="Défalcations, abandons de solde PP et IS"/>
    <n v="-188.49"/>
    <n v="0"/>
    <n v="3301"/>
  </r>
  <r>
    <x v="0"/>
    <x v="11"/>
    <x v="9"/>
    <x v="323"/>
    <x v="270"/>
    <x v="270"/>
    <s v="CHARGES"/>
    <x v="1"/>
    <s v="3301.003"/>
    <s v="Remises PP et IS"/>
    <n v="10358.14"/>
    <n v="0"/>
    <n v="3301"/>
  </r>
  <r>
    <x v="0"/>
    <x v="11"/>
    <x v="9"/>
    <x v="323"/>
    <x v="270"/>
    <x v="270"/>
    <s v="CHARGES"/>
    <x v="0"/>
    <s v="3221.002"/>
    <s v="Intérêts compensatoires / créances en faveur ctb."/>
    <n v="1.65"/>
    <n v="0"/>
    <n v="3221"/>
  </r>
  <r>
    <x v="0"/>
    <x v="11"/>
    <x v="9"/>
    <x v="323"/>
    <x v="270"/>
    <x v="270"/>
    <s v="CHARGES"/>
    <x v="1"/>
    <s v="3301.001"/>
    <s v="Défalcations, abandons de solde PP et IS"/>
    <n v="1.17"/>
    <n v="0"/>
    <n v="3301"/>
  </r>
  <r>
    <x v="0"/>
    <x v="11"/>
    <x v="9"/>
    <x v="323"/>
    <x v="270"/>
    <x v="270"/>
    <s v="CHARGES"/>
    <x v="0"/>
    <s v="3212.004"/>
    <s v="Intérêts rémun./perçu trop tôt sur acomptes C/C"/>
    <n v="6.14"/>
    <n v="0"/>
    <n v="3212"/>
  </r>
  <r>
    <x v="0"/>
    <x v="11"/>
    <x v="9"/>
    <x v="323"/>
    <x v="270"/>
    <x v="270"/>
    <s v="CHARGES"/>
    <x v="1"/>
    <s v="3301.001"/>
    <s v="Défalcations, abandons de solde PP et IS"/>
    <n v="1.29"/>
    <n v="0"/>
    <n v="3301"/>
  </r>
  <r>
    <x v="0"/>
    <x v="11"/>
    <x v="9"/>
    <x v="323"/>
    <x v="270"/>
    <x v="270"/>
    <s v="CHARGES"/>
    <x v="0"/>
    <s v="3212.002"/>
    <s v="Intérêts bonifiés/trop perçu acompte C/C"/>
    <n v="-0.06"/>
    <n v="0"/>
    <n v="3212"/>
  </r>
  <r>
    <x v="0"/>
    <x v="11"/>
    <x v="9"/>
    <x v="323"/>
    <x v="270"/>
    <x v="270"/>
    <s v="CHARGES"/>
    <x v="0"/>
    <s v="3212.002"/>
    <s v="Intérêts bonifiés/trop perçu acompte C/C"/>
    <n v="1.68"/>
    <n v="0"/>
    <n v="3212"/>
  </r>
  <r>
    <x v="0"/>
    <x v="11"/>
    <x v="9"/>
    <x v="323"/>
    <x v="270"/>
    <x v="270"/>
    <s v="CHARGES"/>
    <x v="0"/>
    <s v="3212.004"/>
    <s v="Intérêts rémun./perçu trop tôt sur acomptes C/C"/>
    <n v="0.44"/>
    <n v="0"/>
    <n v="3212"/>
  </r>
  <r>
    <x v="0"/>
    <x v="11"/>
    <x v="9"/>
    <x v="323"/>
    <x v="270"/>
    <x v="270"/>
    <s v="CHARGES"/>
    <x v="0"/>
    <s v="3212.002"/>
    <s v="Intérêts bonifiés/trop perçu acompte C/C"/>
    <n v="0.04"/>
    <n v="0"/>
    <n v="3212"/>
  </r>
  <r>
    <x v="0"/>
    <x v="11"/>
    <x v="9"/>
    <x v="323"/>
    <x v="270"/>
    <x v="270"/>
    <s v="CHARGES"/>
    <x v="0"/>
    <s v="3212.004"/>
    <s v="Intérêts rémun./perçu trop tôt sur acomptes C/C"/>
    <n v="-7.0000000000000007E-2"/>
    <n v="0"/>
    <n v="3212"/>
  </r>
  <r>
    <x v="0"/>
    <x v="11"/>
    <x v="9"/>
    <x v="323"/>
    <x v="270"/>
    <x v="270"/>
    <s v="CHARGES"/>
    <x v="0"/>
    <s v="3212.004"/>
    <s v="Intérêts rémun./perçu trop tôt sur acomptes C/C"/>
    <n v="-1.37"/>
    <n v="0"/>
    <n v="3212"/>
  </r>
  <r>
    <x v="0"/>
    <x v="11"/>
    <x v="9"/>
    <x v="323"/>
    <x v="270"/>
    <x v="270"/>
    <s v="CHARGES"/>
    <x v="0"/>
    <s v="3221.002"/>
    <s v="Intérêts compensatoires / créances en faveur ctb."/>
    <n v="-0.08"/>
    <n v="0"/>
    <n v="3221"/>
  </r>
  <r>
    <x v="0"/>
    <x v="11"/>
    <x v="9"/>
    <x v="323"/>
    <x v="270"/>
    <x v="270"/>
    <s v="CHARGES"/>
    <x v="0"/>
    <s v="3221.002"/>
    <s v="Intérêts compensatoires / créances en faveur ctb."/>
    <n v="-0.65"/>
    <n v="0"/>
    <n v="3221"/>
  </r>
  <r>
    <x v="0"/>
    <x v="11"/>
    <x v="9"/>
    <x v="323"/>
    <x v="270"/>
    <x v="270"/>
    <s v="CHARGES"/>
    <x v="0"/>
    <s v="3212.002"/>
    <s v="Intérêts bonifiés/trop perçu acompte C/C"/>
    <n v="-0.51"/>
    <n v="0"/>
    <n v="3212"/>
  </r>
  <r>
    <x v="0"/>
    <x v="11"/>
    <x v="9"/>
    <x v="323"/>
    <x v="270"/>
    <x v="270"/>
    <s v="CHARGES"/>
    <x v="1"/>
    <s v="3301.001"/>
    <s v="Défalcations, abandons de solde PP et IS"/>
    <n v="-0.06"/>
    <n v="0"/>
    <n v="3301"/>
  </r>
  <r>
    <x v="0"/>
    <x v="11"/>
    <x v="9"/>
    <x v="323"/>
    <x v="270"/>
    <x v="270"/>
    <s v="CHARGES"/>
    <x v="0"/>
    <s v="3212.002"/>
    <s v="Intérêts bonifiés/trop perçu acompte C/C"/>
    <n v="-0.06"/>
    <n v="0"/>
    <n v="3212"/>
  </r>
  <r>
    <x v="0"/>
    <x v="11"/>
    <x v="9"/>
    <x v="323"/>
    <x v="270"/>
    <x v="270"/>
    <s v="CHARGES"/>
    <x v="0"/>
    <s v="3212.004"/>
    <s v="Intérêts rémun./perçu trop tôt sur acomptes C/C"/>
    <n v="-0.69"/>
    <n v="0"/>
    <n v="3212"/>
  </r>
  <r>
    <x v="0"/>
    <x v="11"/>
    <x v="9"/>
    <x v="323"/>
    <x v="270"/>
    <x v="270"/>
    <s v="CHARGES"/>
    <x v="0"/>
    <s v="3221.002"/>
    <s v="Intérêts compensatoires / créances en faveur ctb."/>
    <n v="0.05"/>
    <n v="0"/>
    <n v="3221"/>
  </r>
  <r>
    <x v="0"/>
    <x v="11"/>
    <x v="9"/>
    <x v="323"/>
    <x v="270"/>
    <x v="270"/>
    <s v="CHARGES"/>
    <x v="1"/>
    <s v="3301.001"/>
    <s v="Défalcations, abandons de solde PP et IS"/>
    <n v="-0.16"/>
    <n v="0"/>
    <n v="3301"/>
  </r>
  <r>
    <x v="0"/>
    <x v="11"/>
    <x v="9"/>
    <x v="323"/>
    <x v="270"/>
    <x v="270"/>
    <s v="REVENUS"/>
    <x v="2"/>
    <s v="4001.007"/>
    <s v="Acompte impôt sur revenu"/>
    <n v="0"/>
    <n v="-107570.18"/>
    <n v="4001"/>
  </r>
  <r>
    <x v="0"/>
    <x v="11"/>
    <x v="9"/>
    <x v="323"/>
    <x v="270"/>
    <x v="270"/>
    <s v="REVENUS"/>
    <x v="3"/>
    <s v="4002.007"/>
    <s v="Acompte impôt sur fortune"/>
    <n v="0"/>
    <n v="8617.73"/>
    <n v="4002"/>
  </r>
  <r>
    <x v="0"/>
    <x v="11"/>
    <x v="9"/>
    <x v="323"/>
    <x v="270"/>
    <x v="270"/>
    <s v="REVENUS"/>
    <x v="2"/>
    <s v="4001.001"/>
    <s v="Impôt revenu"/>
    <n v="0"/>
    <n v="780847.65"/>
    <n v="4001"/>
  </r>
  <r>
    <x v="0"/>
    <x v="11"/>
    <x v="9"/>
    <x v="323"/>
    <x v="270"/>
    <x v="270"/>
    <s v="REVENUS"/>
    <x v="2"/>
    <s v="4001.007"/>
    <s v="Acompte impôt sur revenu"/>
    <n v="0"/>
    <n v="31398.080000000002"/>
    <n v="4001"/>
  </r>
  <r>
    <x v="0"/>
    <x v="11"/>
    <x v="9"/>
    <x v="323"/>
    <x v="270"/>
    <x v="270"/>
    <s v="REVENUS"/>
    <x v="3"/>
    <s v="4002.001"/>
    <s v="Impôt ordinaire s/fortune PP"/>
    <n v="0"/>
    <n v="136669.79999999999"/>
    <n v="4002"/>
  </r>
  <r>
    <x v="0"/>
    <x v="11"/>
    <x v="9"/>
    <x v="323"/>
    <x v="270"/>
    <x v="270"/>
    <s v="REVENUS"/>
    <x v="3"/>
    <s v="4002.007"/>
    <s v="Acompte impôt sur fortune"/>
    <n v="0"/>
    <n v="-34747.760000000002"/>
    <n v="4002"/>
  </r>
  <r>
    <x v="0"/>
    <x v="11"/>
    <x v="9"/>
    <x v="323"/>
    <x v="270"/>
    <x v="270"/>
    <s v="REVENUS"/>
    <x v="6"/>
    <s v="4211.001"/>
    <s v="Intérêts de retard sur factures"/>
    <n v="0"/>
    <n v="2810.77"/>
    <n v="4211"/>
  </r>
  <r>
    <x v="0"/>
    <x v="11"/>
    <x v="9"/>
    <x v="323"/>
    <x v="270"/>
    <x v="270"/>
    <s v="REVENUS"/>
    <x v="6"/>
    <s v="4221.003"/>
    <s v="Intérêts compensat. / acomptes en faveur du fisc"/>
    <n v="0"/>
    <n v="385.73"/>
    <n v="4221"/>
  </r>
  <r>
    <x v="0"/>
    <x v="11"/>
    <x v="9"/>
    <x v="323"/>
    <x v="270"/>
    <x v="270"/>
    <s v="REVENUS"/>
    <x v="2"/>
    <s v="4001.001"/>
    <s v="Impôt revenu"/>
    <n v="0"/>
    <n v="32989486.949999999"/>
    <n v="4001"/>
  </r>
  <r>
    <x v="0"/>
    <x v="11"/>
    <x v="9"/>
    <x v="323"/>
    <x v="270"/>
    <x v="270"/>
    <s v="REVENUS"/>
    <x v="2"/>
    <s v="4001.002"/>
    <s v="Impôt complément s/revenu PP"/>
    <n v="0"/>
    <n v="7706787.5999999996"/>
    <n v="4001"/>
  </r>
  <r>
    <x v="0"/>
    <x v="11"/>
    <x v="9"/>
    <x v="323"/>
    <x v="270"/>
    <x v="270"/>
    <s v="REVENUS"/>
    <x v="2"/>
    <s v="4001.007"/>
    <s v="Acompte impôt sur revenu"/>
    <n v="0"/>
    <n v="-333501.21999999997"/>
    <n v="4001"/>
  </r>
  <r>
    <x v="0"/>
    <x v="11"/>
    <x v="9"/>
    <x v="323"/>
    <x v="270"/>
    <x v="270"/>
    <s v="REVENUS"/>
    <x v="3"/>
    <s v="4002.001"/>
    <s v="Impôt ordinaire s/fortune PP"/>
    <n v="0"/>
    <n v="7949119.75"/>
    <n v="4002"/>
  </r>
  <r>
    <x v="0"/>
    <x v="11"/>
    <x v="9"/>
    <x v="323"/>
    <x v="270"/>
    <x v="270"/>
    <s v="REVENUS"/>
    <x v="3"/>
    <s v="4002.002"/>
    <s v="Impôt complémentaire s/fortune PP"/>
    <n v="0"/>
    <n v="2606601.5499999998"/>
    <n v="4002"/>
  </r>
  <r>
    <x v="0"/>
    <x v="11"/>
    <x v="9"/>
    <x v="323"/>
    <x v="270"/>
    <x v="270"/>
    <s v="REVENUS"/>
    <x v="3"/>
    <s v="4002.007"/>
    <s v="Acompte impôt sur fortune"/>
    <n v="0"/>
    <n v="517187.85"/>
    <n v="4002"/>
  </r>
  <r>
    <x v="0"/>
    <x v="11"/>
    <x v="9"/>
    <x v="323"/>
    <x v="270"/>
    <x v="270"/>
    <s v="REVENUS"/>
    <x v="10"/>
    <s v="4041.001"/>
    <s v="Droits de mutation"/>
    <n v="0"/>
    <n v="2651387.4500000002"/>
    <n v="4041"/>
  </r>
  <r>
    <x v="0"/>
    <x v="11"/>
    <x v="9"/>
    <x v="323"/>
    <x v="270"/>
    <x v="270"/>
    <s v="REVENUS"/>
    <x v="4"/>
    <s v="4051.001"/>
    <s v="Impôt sur les successions"/>
    <n v="0"/>
    <n v="11573621.300000001"/>
    <n v="4051"/>
  </r>
  <r>
    <x v="0"/>
    <x v="11"/>
    <x v="9"/>
    <x v="323"/>
    <x v="270"/>
    <x v="270"/>
    <s v="REVENUS"/>
    <x v="4"/>
    <s v="4051.002"/>
    <s v="Impôt sur les donations"/>
    <n v="0"/>
    <n v="2560204.2000000002"/>
    <n v="4051"/>
  </r>
  <r>
    <x v="0"/>
    <x v="11"/>
    <x v="9"/>
    <x v="323"/>
    <x v="270"/>
    <x v="270"/>
    <s v="REVENUS"/>
    <x v="6"/>
    <s v="4211.001"/>
    <s v="Intérêts de retard sur factures"/>
    <n v="0"/>
    <n v="415461.8"/>
    <n v="4211"/>
  </r>
  <r>
    <x v="0"/>
    <x v="11"/>
    <x v="9"/>
    <x v="323"/>
    <x v="270"/>
    <x v="270"/>
    <s v="REVENUS"/>
    <x v="6"/>
    <s v="4211.002"/>
    <s v="Intérêts de retard sur acomptes"/>
    <n v="0"/>
    <n v="302095.94"/>
    <n v="4211"/>
  </r>
  <r>
    <x v="0"/>
    <x v="11"/>
    <x v="9"/>
    <x v="323"/>
    <x v="270"/>
    <x v="270"/>
    <s v="REVENUS"/>
    <x v="6"/>
    <s v="4221.003"/>
    <s v="Intérêts compensat. / acomptes en faveur du fisc"/>
    <n v="0"/>
    <n v="8697.48"/>
    <n v="4221"/>
  </r>
  <r>
    <x v="0"/>
    <x v="11"/>
    <x v="9"/>
    <x v="323"/>
    <x v="270"/>
    <x v="270"/>
    <s v="REVENUS"/>
    <x v="2"/>
    <s v="4001.007"/>
    <s v="Acompte impôt sur revenu"/>
    <n v="0"/>
    <n v="3580.88"/>
    <n v="4001"/>
  </r>
  <r>
    <x v="0"/>
    <x v="11"/>
    <x v="9"/>
    <x v="323"/>
    <x v="270"/>
    <x v="270"/>
    <s v="REVENUS"/>
    <x v="3"/>
    <s v="4002.007"/>
    <s v="Acompte impôt sur fortune"/>
    <n v="0"/>
    <n v="13515.58"/>
    <n v="4002"/>
  </r>
  <r>
    <x v="0"/>
    <x v="11"/>
    <x v="9"/>
    <x v="323"/>
    <x v="270"/>
    <x v="270"/>
    <s v="REVENUS"/>
    <x v="8"/>
    <s v="4091.001"/>
    <s v="Impôt récupéré après défalcations"/>
    <n v="0"/>
    <n v="123832.87"/>
    <n v="4091"/>
  </r>
  <r>
    <x v="0"/>
    <x v="11"/>
    <x v="9"/>
    <x v="323"/>
    <x v="270"/>
    <x v="270"/>
    <s v="REVENUS"/>
    <x v="6"/>
    <s v="4211.002"/>
    <s v="Intérêts de retard sur acomptes"/>
    <n v="0"/>
    <n v="4972.09"/>
    <n v="4211"/>
  </r>
  <r>
    <x v="0"/>
    <x v="11"/>
    <x v="9"/>
    <x v="323"/>
    <x v="270"/>
    <x v="270"/>
    <s v="REVENUS"/>
    <x v="2"/>
    <s v="4001.007"/>
    <s v="Acompte impôt sur revenu"/>
    <n v="0"/>
    <n v="-7891.2"/>
    <n v="4001"/>
  </r>
  <r>
    <x v="0"/>
    <x v="11"/>
    <x v="9"/>
    <x v="323"/>
    <x v="270"/>
    <x v="270"/>
    <s v="REVENUS"/>
    <x v="3"/>
    <s v="4002.007"/>
    <s v="Acompte impôt sur fortune"/>
    <n v="0"/>
    <n v="-6472.37"/>
    <n v="4002"/>
  </r>
  <r>
    <x v="0"/>
    <x v="11"/>
    <x v="9"/>
    <x v="323"/>
    <x v="270"/>
    <x v="270"/>
    <s v="REVENUS"/>
    <x v="7"/>
    <s v="4184.000"/>
    <s v="Frais de poursuite"/>
    <n v="0"/>
    <n v="73755.33"/>
    <n v="4184"/>
  </r>
  <r>
    <x v="0"/>
    <x v="11"/>
    <x v="9"/>
    <x v="323"/>
    <x v="270"/>
    <x v="270"/>
    <s v="REVENUS"/>
    <x v="2"/>
    <s v="4001.001"/>
    <s v="Impôt revenu"/>
    <n v="0"/>
    <n v="28809"/>
    <n v="4001"/>
  </r>
  <r>
    <x v="0"/>
    <x v="11"/>
    <x v="9"/>
    <x v="323"/>
    <x v="270"/>
    <x v="270"/>
    <s v="REVENUS"/>
    <x v="3"/>
    <s v="4002.001"/>
    <s v="Impôt ordinaire s/fortune PP"/>
    <n v="0"/>
    <n v="17877.599999999999"/>
    <n v="4002"/>
  </r>
  <r>
    <x v="0"/>
    <x v="11"/>
    <x v="9"/>
    <x v="323"/>
    <x v="270"/>
    <x v="270"/>
    <s v="REVENUS"/>
    <x v="12"/>
    <s v="4004.000"/>
    <s v="Impôt spécial étrangers"/>
    <n v="0"/>
    <n v="8082.6"/>
    <n v="4004"/>
  </r>
  <r>
    <x v="0"/>
    <x v="11"/>
    <x v="9"/>
    <x v="323"/>
    <x v="270"/>
    <x v="270"/>
    <s v="REVENUS"/>
    <x v="12"/>
    <s v="4004.007"/>
    <s v="Acompte spécial étrangers"/>
    <n v="0"/>
    <n v="-3961.2"/>
    <n v="4004"/>
  </r>
  <r>
    <x v="0"/>
    <x v="11"/>
    <x v="9"/>
    <x v="323"/>
    <x v="270"/>
    <x v="270"/>
    <s v="REVENUS"/>
    <x v="2"/>
    <s v="4001.007"/>
    <s v="Acompte impôt sur revenu"/>
    <n v="0"/>
    <n v="-33536.699999999997"/>
    <n v="4001"/>
  </r>
  <r>
    <x v="0"/>
    <x v="11"/>
    <x v="9"/>
    <x v="323"/>
    <x v="270"/>
    <x v="270"/>
    <s v="REVENUS"/>
    <x v="3"/>
    <s v="4002.007"/>
    <s v="Acompte impôt sur fortune"/>
    <n v="0"/>
    <n v="-12578.24"/>
    <n v="4002"/>
  </r>
  <r>
    <x v="0"/>
    <x v="11"/>
    <x v="9"/>
    <x v="323"/>
    <x v="270"/>
    <x v="270"/>
    <s v="REVENUS"/>
    <x v="2"/>
    <s v="4001.003"/>
    <s v="Impôt s/prest. cap. PP"/>
    <n v="0"/>
    <n v="926852.45"/>
    <n v="4001"/>
  </r>
  <r>
    <x v="0"/>
    <x v="11"/>
    <x v="9"/>
    <x v="323"/>
    <x v="270"/>
    <x v="270"/>
    <s v="REVENUS"/>
    <x v="6"/>
    <s v="4221.002"/>
    <s v="Intérêts compensat. sur impôts distincts"/>
    <n v="0"/>
    <n v="2292.88"/>
    <n v="4221"/>
  </r>
  <r>
    <x v="0"/>
    <x v="11"/>
    <x v="9"/>
    <x v="323"/>
    <x v="270"/>
    <x v="270"/>
    <s v="REVENUS"/>
    <x v="2"/>
    <s v="4001.001"/>
    <s v="Impôt revenu"/>
    <n v="0"/>
    <n v="296446.40000000002"/>
    <n v="4001"/>
  </r>
  <r>
    <x v="0"/>
    <x v="11"/>
    <x v="9"/>
    <x v="323"/>
    <x v="270"/>
    <x v="270"/>
    <s v="REVENUS"/>
    <x v="3"/>
    <s v="4002.001"/>
    <s v="Impôt ordinaire s/fortune PP"/>
    <n v="0"/>
    <n v="55844.3"/>
    <n v="4002"/>
  </r>
  <r>
    <x v="0"/>
    <x v="11"/>
    <x v="9"/>
    <x v="323"/>
    <x v="270"/>
    <x v="270"/>
    <s v="REVENUS"/>
    <x v="4"/>
    <s v="4051.002"/>
    <s v="Impôt sur les donations"/>
    <n v="0"/>
    <n v="9418"/>
    <n v="4051"/>
  </r>
  <r>
    <x v="0"/>
    <x v="11"/>
    <x v="9"/>
    <x v="323"/>
    <x v="270"/>
    <x v="270"/>
    <s v="REVENUS"/>
    <x v="6"/>
    <s v="4211.002"/>
    <s v="Intérêts de retard sur acomptes"/>
    <n v="0"/>
    <n v="1254.79"/>
    <n v="4211"/>
  </r>
  <r>
    <x v="0"/>
    <x v="11"/>
    <x v="9"/>
    <x v="323"/>
    <x v="270"/>
    <x v="270"/>
    <s v="REVENUS"/>
    <x v="6"/>
    <s v="4221.003"/>
    <s v="Intérêts compensat. / acomptes en faveur du fisc"/>
    <n v="0"/>
    <n v="249.13"/>
    <n v="4221"/>
  </r>
  <r>
    <x v="0"/>
    <x v="11"/>
    <x v="9"/>
    <x v="323"/>
    <x v="270"/>
    <x v="270"/>
    <s v="REVENUS"/>
    <x v="2"/>
    <s v="4001.001"/>
    <s v="Impôt revenu"/>
    <n v="0"/>
    <n v="211839"/>
    <n v="4001"/>
  </r>
  <r>
    <x v="0"/>
    <x v="11"/>
    <x v="9"/>
    <x v="323"/>
    <x v="270"/>
    <x v="270"/>
    <s v="REVENUS"/>
    <x v="2"/>
    <s v="4001.002"/>
    <s v="Impôt complément s/revenu PP"/>
    <n v="0"/>
    <n v="18357.3"/>
    <n v="4001"/>
  </r>
  <r>
    <x v="0"/>
    <x v="11"/>
    <x v="9"/>
    <x v="323"/>
    <x v="270"/>
    <x v="270"/>
    <s v="REVENUS"/>
    <x v="3"/>
    <s v="4002.001"/>
    <s v="Impôt ordinaire s/fortune PP"/>
    <n v="0"/>
    <n v="60178.45"/>
    <n v="4002"/>
  </r>
  <r>
    <x v="0"/>
    <x v="11"/>
    <x v="9"/>
    <x v="323"/>
    <x v="270"/>
    <x v="270"/>
    <s v="REVENUS"/>
    <x v="3"/>
    <s v="4002.002"/>
    <s v="Impôt complémentaire s/fortune PP"/>
    <n v="0"/>
    <n v="17149.75"/>
    <n v="4002"/>
  </r>
  <r>
    <x v="0"/>
    <x v="11"/>
    <x v="9"/>
    <x v="323"/>
    <x v="270"/>
    <x v="270"/>
    <s v="REVENUS"/>
    <x v="6"/>
    <s v="4211.001"/>
    <s v="Intérêts de retard sur factures"/>
    <n v="0"/>
    <n v="804"/>
    <n v="4211"/>
  </r>
  <r>
    <x v="0"/>
    <x v="11"/>
    <x v="9"/>
    <x v="323"/>
    <x v="270"/>
    <x v="270"/>
    <s v="REVENUS"/>
    <x v="5"/>
    <s v="4061.000"/>
    <s v="Impôt sur les chiens"/>
    <n v="0"/>
    <n v="93050"/>
    <n v="4061"/>
  </r>
  <r>
    <x v="0"/>
    <x v="11"/>
    <x v="9"/>
    <x v="323"/>
    <x v="270"/>
    <x v="270"/>
    <s v="REVENUS"/>
    <x v="9"/>
    <s v="4031.001"/>
    <s v="Impôt sur les gains immobiliers"/>
    <n v="0"/>
    <n v="2797262.15"/>
    <n v="4031"/>
  </r>
  <r>
    <x v="0"/>
    <x v="11"/>
    <x v="9"/>
    <x v="323"/>
    <x v="270"/>
    <x v="270"/>
    <s v="REVENUS"/>
    <x v="2"/>
    <s v="4001.002"/>
    <s v="Impôt complément s/revenu PP"/>
    <n v="0"/>
    <n v="101776.15"/>
    <n v="4001"/>
  </r>
  <r>
    <x v="0"/>
    <x v="11"/>
    <x v="9"/>
    <x v="323"/>
    <x v="270"/>
    <x v="270"/>
    <s v="REVENUS"/>
    <x v="3"/>
    <s v="4002.002"/>
    <s v="Impôt complémentaire s/fortune PP"/>
    <n v="0"/>
    <n v="46978.1"/>
    <n v="4002"/>
  </r>
  <r>
    <x v="0"/>
    <x v="11"/>
    <x v="9"/>
    <x v="323"/>
    <x v="270"/>
    <x v="270"/>
    <s v="REVENUS"/>
    <x v="7"/>
    <s v="4184.000"/>
    <s v="Frais de poursuite"/>
    <n v="0"/>
    <n v="195.18"/>
    <n v="4184"/>
  </r>
  <r>
    <x v="0"/>
    <x v="11"/>
    <x v="9"/>
    <x v="323"/>
    <x v="270"/>
    <x v="270"/>
    <s v="REVENUS"/>
    <x v="6"/>
    <s v="4211.001"/>
    <s v="Intérêts de retard sur factures"/>
    <n v="0"/>
    <n v="813.35"/>
    <n v="4211"/>
  </r>
  <r>
    <x v="0"/>
    <x v="11"/>
    <x v="9"/>
    <x v="323"/>
    <x v="270"/>
    <x v="270"/>
    <s v="REVENUS"/>
    <x v="7"/>
    <s v="4184.000"/>
    <s v="Frais de poursuite"/>
    <n v="0"/>
    <n v="15.46"/>
    <n v="4184"/>
  </r>
  <r>
    <x v="0"/>
    <x v="11"/>
    <x v="9"/>
    <x v="323"/>
    <x v="270"/>
    <x v="270"/>
    <s v="REVENUS"/>
    <x v="12"/>
    <s v="4004.007"/>
    <s v="Acompte spécial étrangers"/>
    <n v="0"/>
    <n v="119437.36"/>
    <n v="4004"/>
  </r>
  <r>
    <x v="0"/>
    <x v="11"/>
    <x v="9"/>
    <x v="323"/>
    <x v="270"/>
    <x v="270"/>
    <s v="REVENUS"/>
    <x v="7"/>
    <s v="4184.000"/>
    <s v="Frais de poursuite"/>
    <n v="0"/>
    <n v="5051.62"/>
    <n v="4184"/>
  </r>
  <r>
    <x v="0"/>
    <x v="11"/>
    <x v="9"/>
    <x v="323"/>
    <x v="270"/>
    <x v="270"/>
    <s v="REVENUS"/>
    <x v="2"/>
    <s v="4001.007"/>
    <s v="Acompte impôt sur revenu"/>
    <n v="0"/>
    <n v="44269.24"/>
    <n v="4001"/>
  </r>
  <r>
    <x v="0"/>
    <x v="11"/>
    <x v="9"/>
    <x v="323"/>
    <x v="270"/>
    <x v="270"/>
    <s v="REVENUS"/>
    <x v="3"/>
    <s v="4002.007"/>
    <s v="Acompte impôt sur fortune"/>
    <n v="0"/>
    <n v="3205.02"/>
    <n v="4002"/>
  </r>
  <r>
    <x v="0"/>
    <x v="11"/>
    <x v="9"/>
    <x v="323"/>
    <x v="270"/>
    <x v="270"/>
    <s v="REVENUS"/>
    <x v="6"/>
    <s v="4211.001"/>
    <s v="Intérêts de retard sur factures"/>
    <n v="0"/>
    <n v="70.14"/>
    <n v="4211"/>
  </r>
  <r>
    <x v="0"/>
    <x v="11"/>
    <x v="9"/>
    <x v="323"/>
    <x v="270"/>
    <x v="270"/>
    <s v="REVENUS"/>
    <x v="6"/>
    <s v="4211.002"/>
    <s v="Intérêts de retard sur acomptes"/>
    <n v="0"/>
    <n v="1814.05"/>
    <n v="4211"/>
  </r>
  <r>
    <x v="0"/>
    <x v="11"/>
    <x v="9"/>
    <x v="323"/>
    <x v="270"/>
    <x v="270"/>
    <s v="REVENUS"/>
    <x v="9"/>
    <s v="4031.002"/>
    <s v="Complément impôt sur les gains immobiliers"/>
    <n v="0"/>
    <n v="166782.1"/>
    <n v="4031"/>
  </r>
  <r>
    <x v="0"/>
    <x v="11"/>
    <x v="9"/>
    <x v="323"/>
    <x v="270"/>
    <x v="270"/>
    <s v="REVENUS"/>
    <x v="2"/>
    <s v="4001.001"/>
    <s v="Impôt revenu"/>
    <n v="0"/>
    <n v="17576.05"/>
    <n v="4001"/>
  </r>
  <r>
    <x v="0"/>
    <x v="11"/>
    <x v="9"/>
    <x v="323"/>
    <x v="270"/>
    <x v="270"/>
    <s v="REVENUS"/>
    <x v="2"/>
    <s v="4001.007"/>
    <s v="Acompte impôt sur revenu"/>
    <n v="0"/>
    <n v="4736.12"/>
    <n v="4001"/>
  </r>
  <r>
    <x v="0"/>
    <x v="11"/>
    <x v="9"/>
    <x v="323"/>
    <x v="270"/>
    <x v="270"/>
    <s v="REVENUS"/>
    <x v="3"/>
    <s v="4002.001"/>
    <s v="Impôt ordinaire s/fortune PP"/>
    <n v="0"/>
    <n v="10968.85"/>
    <n v="4002"/>
  </r>
  <r>
    <x v="0"/>
    <x v="11"/>
    <x v="9"/>
    <x v="323"/>
    <x v="270"/>
    <x v="270"/>
    <s v="REVENUS"/>
    <x v="3"/>
    <s v="4002.007"/>
    <s v="Acompte impôt sur fortune"/>
    <n v="0"/>
    <n v="-1490.43"/>
    <n v="4002"/>
  </r>
  <r>
    <x v="0"/>
    <x v="11"/>
    <x v="9"/>
    <x v="323"/>
    <x v="270"/>
    <x v="270"/>
    <s v="REVENUS"/>
    <x v="7"/>
    <s v="4184.000"/>
    <s v="Frais de poursuite"/>
    <n v="0"/>
    <n v="267.48"/>
    <n v="4184"/>
  </r>
  <r>
    <x v="0"/>
    <x v="11"/>
    <x v="9"/>
    <x v="323"/>
    <x v="270"/>
    <x v="270"/>
    <s v="REVENUS"/>
    <x v="6"/>
    <s v="4221.003"/>
    <s v="Intérêts compensat. / acomptes en faveur du fisc"/>
    <n v="0"/>
    <n v="-21.46"/>
    <n v="4221"/>
  </r>
  <r>
    <x v="0"/>
    <x v="11"/>
    <x v="9"/>
    <x v="323"/>
    <x v="270"/>
    <x v="270"/>
    <s v="REVENUS"/>
    <x v="2"/>
    <s v="4001.001"/>
    <s v="Impôt revenu"/>
    <n v="0"/>
    <n v="5039.5"/>
    <n v="4001"/>
  </r>
  <r>
    <x v="0"/>
    <x v="11"/>
    <x v="9"/>
    <x v="323"/>
    <x v="270"/>
    <x v="270"/>
    <s v="REVENUS"/>
    <x v="2"/>
    <s v="4001.007"/>
    <s v="Acompte impôt sur revenu"/>
    <n v="0"/>
    <n v="-167.11"/>
    <n v="4001"/>
  </r>
  <r>
    <x v="0"/>
    <x v="11"/>
    <x v="9"/>
    <x v="323"/>
    <x v="270"/>
    <x v="270"/>
    <s v="REVENUS"/>
    <x v="6"/>
    <s v="4211.002"/>
    <s v="Intérêts de retard sur acomptes"/>
    <n v="0"/>
    <n v="116.32"/>
    <n v="4211"/>
  </r>
  <r>
    <x v="0"/>
    <x v="11"/>
    <x v="9"/>
    <x v="323"/>
    <x v="270"/>
    <x v="270"/>
    <s v="REVENUS"/>
    <x v="6"/>
    <s v="4221.003"/>
    <s v="Intérêts compensat. / acomptes en faveur du fisc"/>
    <n v="0"/>
    <n v="0.88"/>
    <n v="4221"/>
  </r>
  <r>
    <x v="0"/>
    <x v="11"/>
    <x v="9"/>
    <x v="323"/>
    <x v="270"/>
    <x v="270"/>
    <s v="REVENUS"/>
    <x v="6"/>
    <s v="4221.003"/>
    <s v="Intérêts compensat. / acomptes en faveur du fisc"/>
    <n v="0"/>
    <n v="10.83"/>
    <n v="4221"/>
  </r>
  <r>
    <x v="0"/>
    <x v="11"/>
    <x v="9"/>
    <x v="323"/>
    <x v="270"/>
    <x v="270"/>
    <s v="REVENUS"/>
    <x v="8"/>
    <s v="4091.001"/>
    <s v="Impôt récupéré après défalcations"/>
    <n v="0"/>
    <n v="78034.509999999995"/>
    <n v="4091"/>
  </r>
  <r>
    <x v="0"/>
    <x v="11"/>
    <x v="9"/>
    <x v="323"/>
    <x v="270"/>
    <x v="270"/>
    <s v="REVENUS"/>
    <x v="2"/>
    <s v="4001.007"/>
    <s v="Acompte impôt sur revenu"/>
    <n v="0"/>
    <n v="152"/>
    <n v="4001"/>
  </r>
  <r>
    <x v="0"/>
    <x v="11"/>
    <x v="9"/>
    <x v="323"/>
    <x v="270"/>
    <x v="270"/>
    <s v="REVENUS"/>
    <x v="3"/>
    <s v="4002.007"/>
    <s v="Acompte impôt sur fortune"/>
    <n v="0"/>
    <n v="75.75"/>
    <n v="4002"/>
  </r>
  <r>
    <x v="0"/>
    <x v="11"/>
    <x v="9"/>
    <x v="323"/>
    <x v="270"/>
    <x v="270"/>
    <s v="REVENUS"/>
    <x v="3"/>
    <s v="4002.001"/>
    <s v="Impôt ordinaire s/fortune PP"/>
    <n v="0"/>
    <n v="2501.4"/>
    <n v="4002"/>
  </r>
  <r>
    <x v="0"/>
    <x v="11"/>
    <x v="9"/>
    <x v="323"/>
    <x v="270"/>
    <x v="270"/>
    <s v="REVENUS"/>
    <x v="3"/>
    <s v="4002.007"/>
    <s v="Acompte impôt sur fortune"/>
    <n v="0"/>
    <n v="-3859.23"/>
    <n v="4002"/>
  </r>
  <r>
    <x v="0"/>
    <x v="11"/>
    <x v="9"/>
    <x v="323"/>
    <x v="270"/>
    <x v="270"/>
    <s v="REVENUS"/>
    <x v="3"/>
    <s v="4002.002"/>
    <s v="Impôt complémentaire s/fortune PP"/>
    <n v="0"/>
    <n v="2246.3000000000002"/>
    <n v="4002"/>
  </r>
  <r>
    <x v="0"/>
    <x v="11"/>
    <x v="9"/>
    <x v="323"/>
    <x v="270"/>
    <x v="270"/>
    <s v="REVENUS"/>
    <x v="12"/>
    <s v="4004.000"/>
    <s v="Impôt spécial étrangers"/>
    <n v="0"/>
    <n v="3307239.35"/>
    <n v="4004"/>
  </r>
  <r>
    <x v="0"/>
    <x v="11"/>
    <x v="9"/>
    <x v="323"/>
    <x v="270"/>
    <x v="270"/>
    <s v="REVENUS"/>
    <x v="6"/>
    <s v="4221.003"/>
    <s v="Intérêts compensat. / acomptes en faveur du fisc"/>
    <n v="0"/>
    <n v="3.27"/>
    <n v="4221"/>
  </r>
  <r>
    <x v="0"/>
    <x v="11"/>
    <x v="9"/>
    <x v="323"/>
    <x v="270"/>
    <x v="270"/>
    <s v="REVENUS"/>
    <x v="4"/>
    <s v="4051.002"/>
    <s v="Impôt sur les donations"/>
    <n v="0"/>
    <n v="1571.7"/>
    <n v="4051"/>
  </r>
  <r>
    <x v="0"/>
    <x v="11"/>
    <x v="9"/>
    <x v="323"/>
    <x v="270"/>
    <x v="270"/>
    <s v="REVENUS"/>
    <x v="10"/>
    <s v="4041.002"/>
    <s v="Complément droit de mutation"/>
    <n v="0"/>
    <n v="36279.949999999997"/>
    <n v="4041"/>
  </r>
  <r>
    <x v="0"/>
    <x v="11"/>
    <x v="9"/>
    <x v="323"/>
    <x v="270"/>
    <x v="270"/>
    <s v="REVENUS"/>
    <x v="6"/>
    <s v="4211.002"/>
    <s v="Intérêts de retard sur acomptes"/>
    <n v="0"/>
    <n v="49.02"/>
    <n v="4211"/>
  </r>
  <r>
    <x v="0"/>
    <x v="11"/>
    <x v="9"/>
    <x v="323"/>
    <x v="270"/>
    <x v="270"/>
    <s v="REVENUS"/>
    <x v="13"/>
    <s v="4371.013"/>
    <s v="Amende soustraction LMSD"/>
    <n v="0"/>
    <n v="67629.75"/>
    <n v="4371"/>
  </r>
  <r>
    <x v="0"/>
    <x v="11"/>
    <x v="9"/>
    <x v="323"/>
    <x v="270"/>
    <x v="270"/>
    <s v="REVENUS"/>
    <x v="2"/>
    <s v="4001.002"/>
    <s v="Impôt complément s/revenu PP"/>
    <n v="0"/>
    <n v="1871.6"/>
    <n v="4001"/>
  </r>
  <r>
    <x v="0"/>
    <x v="11"/>
    <x v="9"/>
    <x v="323"/>
    <x v="270"/>
    <x v="270"/>
    <s v="REVENUS"/>
    <x v="6"/>
    <s v="4211.001"/>
    <s v="Intérêts de retard sur factures"/>
    <n v="0"/>
    <n v="20.260000000000002"/>
    <n v="4211"/>
  </r>
  <r>
    <x v="0"/>
    <x v="11"/>
    <x v="9"/>
    <x v="323"/>
    <x v="270"/>
    <x v="270"/>
    <s v="REVENUS"/>
    <x v="2"/>
    <s v="4001.002"/>
    <s v="Impôt complément s/revenu PP"/>
    <n v="0"/>
    <n v="106928.9"/>
    <n v="4001"/>
  </r>
  <r>
    <x v="0"/>
    <x v="11"/>
    <x v="9"/>
    <x v="323"/>
    <x v="270"/>
    <x v="270"/>
    <s v="REVENUS"/>
    <x v="7"/>
    <s v="4184.000"/>
    <s v="Frais de poursuite"/>
    <n v="0"/>
    <n v="0.53"/>
    <n v="4184"/>
  </r>
  <r>
    <x v="0"/>
    <x v="11"/>
    <x v="9"/>
    <x v="323"/>
    <x v="270"/>
    <x v="270"/>
    <s v="REVENUS"/>
    <x v="2"/>
    <s v="4001.002"/>
    <s v="Impôt complément s/revenu PP"/>
    <n v="0"/>
    <n v="1766.7"/>
    <n v="4001"/>
  </r>
  <r>
    <x v="0"/>
    <x v="11"/>
    <x v="9"/>
    <x v="323"/>
    <x v="270"/>
    <x v="270"/>
    <s v="REVENUS"/>
    <x v="3"/>
    <s v="4002.002"/>
    <s v="Impôt complémentaire s/fortune PP"/>
    <n v="0"/>
    <n v="1304.1500000000001"/>
    <n v="4002"/>
  </r>
  <r>
    <x v="0"/>
    <x v="11"/>
    <x v="9"/>
    <x v="323"/>
    <x v="270"/>
    <x v="270"/>
    <s v="REVENUS"/>
    <x v="3"/>
    <s v="4002.002"/>
    <s v="Impôt complémentaire s/fortune PP"/>
    <n v="0"/>
    <n v="15500.5"/>
    <n v="4002"/>
  </r>
  <r>
    <x v="0"/>
    <x v="11"/>
    <x v="9"/>
    <x v="323"/>
    <x v="270"/>
    <x v="270"/>
    <s v="REVENUS"/>
    <x v="3"/>
    <s v="4002.001"/>
    <s v="Impôt ordinaire s/fortune PP"/>
    <n v="0"/>
    <n v="-2330.3000000000002"/>
    <n v="4002"/>
  </r>
  <r>
    <x v="0"/>
    <x v="11"/>
    <x v="9"/>
    <x v="323"/>
    <x v="270"/>
    <x v="270"/>
    <s v="REVENUS"/>
    <x v="6"/>
    <s v="4211.002"/>
    <s v="Intérêts de retard sur acomptes"/>
    <n v="0"/>
    <n v="-0.03"/>
    <n v="4211"/>
  </r>
  <r>
    <x v="0"/>
    <x v="11"/>
    <x v="9"/>
    <x v="323"/>
    <x v="270"/>
    <x v="270"/>
    <s v="REVENUS"/>
    <x v="6"/>
    <s v="4221.003"/>
    <s v="Intérêts compensat. / acomptes en faveur du fisc"/>
    <n v="0"/>
    <n v="-1.17"/>
    <n v="4221"/>
  </r>
  <r>
    <x v="0"/>
    <x v="11"/>
    <x v="9"/>
    <x v="323"/>
    <x v="270"/>
    <x v="270"/>
    <s v="REVENUS"/>
    <x v="6"/>
    <s v="4211.001"/>
    <s v="Intérêts de retard sur factures"/>
    <n v="0"/>
    <n v="334.03"/>
    <n v="4211"/>
  </r>
  <r>
    <x v="0"/>
    <x v="11"/>
    <x v="9"/>
    <x v="323"/>
    <x v="270"/>
    <x v="270"/>
    <s v="REVENUS"/>
    <x v="6"/>
    <s v="4211.002"/>
    <s v="Intérêts de retard sur acomptes"/>
    <n v="0"/>
    <n v="18.57"/>
    <n v="4211"/>
  </r>
  <r>
    <x v="0"/>
    <x v="11"/>
    <x v="9"/>
    <x v="323"/>
    <x v="270"/>
    <x v="270"/>
    <s v="REVENUS"/>
    <x v="6"/>
    <s v="4211.001"/>
    <s v="Intérêts de retard sur factures"/>
    <n v="0"/>
    <n v="0.03"/>
    <n v="4211"/>
  </r>
  <r>
    <x v="0"/>
    <x v="11"/>
    <x v="9"/>
    <x v="323"/>
    <x v="270"/>
    <x v="270"/>
    <s v="REVENUS"/>
    <x v="2"/>
    <s v="4001.002"/>
    <s v="Impôt complément s/revenu PP"/>
    <n v="0"/>
    <n v="-2267.4"/>
    <n v="4001"/>
  </r>
  <r>
    <x v="0"/>
    <x v="11"/>
    <x v="9"/>
    <x v="323"/>
    <x v="270"/>
    <x v="270"/>
    <s v="REVENUS"/>
    <x v="3"/>
    <s v="4002.001"/>
    <s v="Impôt ordinaire s/fortune PP"/>
    <n v="0"/>
    <n v="593.65"/>
    <n v="4002"/>
  </r>
  <r>
    <x v="0"/>
    <x v="11"/>
    <x v="9"/>
    <x v="323"/>
    <x v="270"/>
    <x v="270"/>
    <s v="REVENUS"/>
    <x v="12"/>
    <s v="4004.007"/>
    <s v="Acompte spécial étrangers"/>
    <n v="0"/>
    <n v="-2820.28"/>
    <n v="4004"/>
  </r>
  <r>
    <x v="0"/>
    <x v="11"/>
    <x v="9"/>
    <x v="323"/>
    <x v="270"/>
    <x v="270"/>
    <s v="REVENUS"/>
    <x v="2"/>
    <s v="4001.001"/>
    <s v="Impôt revenu"/>
    <n v="0"/>
    <n v="-1366.7"/>
    <n v="4001"/>
  </r>
  <r>
    <x v="0"/>
    <x v="11"/>
    <x v="9"/>
    <x v="323"/>
    <x v="270"/>
    <x v="270"/>
    <s v="REVENUS"/>
    <x v="4"/>
    <s v="4051.001"/>
    <s v="Impôt sur les successions"/>
    <n v="0"/>
    <n v="901.2"/>
    <n v="4051"/>
  </r>
  <r>
    <x v="0"/>
    <x v="11"/>
    <x v="9"/>
    <x v="323"/>
    <x v="270"/>
    <x v="270"/>
    <s v="REVENUS"/>
    <x v="6"/>
    <s v="4221.002"/>
    <s v="Intérêts compensat. sur impôts distincts"/>
    <n v="0"/>
    <n v="0.01"/>
    <n v="4221"/>
  </r>
  <r>
    <x v="0"/>
    <x v="11"/>
    <x v="9"/>
    <x v="323"/>
    <x v="270"/>
    <x v="270"/>
    <s v="REVENUS"/>
    <x v="2"/>
    <s v="4001.001"/>
    <s v="Impôt revenu"/>
    <n v="0"/>
    <n v="-1071.75"/>
    <n v="4001"/>
  </r>
  <r>
    <x v="0"/>
    <x v="11"/>
    <x v="9"/>
    <x v="323"/>
    <x v="270"/>
    <x v="270"/>
    <s v="REVENUS"/>
    <x v="3"/>
    <s v="4002.001"/>
    <s v="Impôt ordinaire s/fortune PP"/>
    <n v="0"/>
    <n v="-3010.8"/>
    <n v="4002"/>
  </r>
  <r>
    <x v="0"/>
    <x v="11"/>
    <x v="9"/>
    <x v="323"/>
    <x v="270"/>
    <x v="270"/>
    <s v="REVENUS"/>
    <x v="3"/>
    <s v="4002.002"/>
    <s v="Impôt complémentaire s/fortune PP"/>
    <n v="0"/>
    <n v="-140.19999999999999"/>
    <n v="4002"/>
  </r>
  <r>
    <x v="0"/>
    <x v="11"/>
    <x v="9"/>
    <x v="323"/>
    <x v="270"/>
    <x v="270"/>
    <s v="REVENUS"/>
    <x v="6"/>
    <s v="4221.003"/>
    <s v="Intérêts compensat. / acomptes en faveur du fisc"/>
    <n v="0"/>
    <n v="-7.0000000000000007E-2"/>
    <n v="4221"/>
  </r>
  <r>
    <x v="0"/>
    <x v="11"/>
    <x v="9"/>
    <x v="323"/>
    <x v="270"/>
    <x v="270"/>
    <s v="REVENUS"/>
    <x v="12"/>
    <s v="4004.000"/>
    <s v="Impôt spécial étrangers"/>
    <n v="0"/>
    <n v="9933.6"/>
    <n v="4004"/>
  </r>
  <r>
    <x v="0"/>
    <x v="11"/>
    <x v="9"/>
    <x v="323"/>
    <x v="270"/>
    <x v="270"/>
    <s v="REVENUS"/>
    <x v="4"/>
    <s v="4051.001"/>
    <s v="Impôt sur les successions"/>
    <n v="0"/>
    <n v="1533.2"/>
    <n v="4051"/>
  </r>
  <r>
    <x v="0"/>
    <x v="11"/>
    <x v="9"/>
    <x v="323"/>
    <x v="270"/>
    <x v="270"/>
    <s v="REVENUS"/>
    <x v="6"/>
    <s v="4221.002"/>
    <s v="Intérêts compensat. sur impôts distincts"/>
    <n v="0"/>
    <n v="2.75"/>
    <n v="4221"/>
  </r>
  <r>
    <x v="0"/>
    <x v="11"/>
    <x v="9"/>
    <x v="323"/>
    <x v="270"/>
    <x v="270"/>
    <s v="REVENUS"/>
    <x v="6"/>
    <s v="4211.002"/>
    <s v="Intérêts de retard sur acomptes"/>
    <n v="0"/>
    <n v="-0.46"/>
    <n v="4211"/>
  </r>
  <r>
    <x v="0"/>
    <x v="11"/>
    <x v="9"/>
    <x v="323"/>
    <x v="270"/>
    <x v="270"/>
    <s v="REVENUS"/>
    <x v="2"/>
    <s v="4001.007"/>
    <s v="Acompte impôt sur revenu"/>
    <n v="0"/>
    <n v="-54.55"/>
    <n v="4001"/>
  </r>
  <r>
    <x v="0"/>
    <x v="11"/>
    <x v="9"/>
    <x v="323"/>
    <x v="270"/>
    <x v="270"/>
    <s v="REVENUS"/>
    <x v="3"/>
    <s v="4002.007"/>
    <s v="Acompte impôt sur fortune"/>
    <n v="0"/>
    <n v="-16.95"/>
    <n v="4002"/>
  </r>
  <r>
    <x v="0"/>
    <x v="11"/>
    <x v="9"/>
    <x v="323"/>
    <x v="270"/>
    <x v="270"/>
    <s v="REVENUS"/>
    <x v="2"/>
    <s v="4001.001"/>
    <s v="Impôt revenu"/>
    <n v="0"/>
    <n v="127.85"/>
    <n v="4001"/>
  </r>
  <r>
    <x v="0"/>
    <x v="11"/>
    <x v="9"/>
    <x v="323"/>
    <x v="270"/>
    <x v="270"/>
    <s v="REVENUS"/>
    <x v="6"/>
    <s v="4211.002"/>
    <s v="Intérêts de retard sur acomptes"/>
    <n v="0"/>
    <n v="0.47"/>
    <n v="4211"/>
  </r>
  <r>
    <x v="0"/>
    <x v="11"/>
    <x v="9"/>
    <x v="323"/>
    <x v="270"/>
    <x v="270"/>
    <s v="REVENUS"/>
    <x v="2"/>
    <s v="4001.003"/>
    <s v="Impôt s/prest. cap. PP"/>
    <n v="0"/>
    <n v="9948.7000000000007"/>
    <n v="4001"/>
  </r>
  <r>
    <x v="0"/>
    <x v="11"/>
    <x v="9"/>
    <x v="323"/>
    <x v="270"/>
    <x v="270"/>
    <s v="REVENUS"/>
    <x v="4"/>
    <s v="4051.001"/>
    <s v="Impôt sur les successions"/>
    <n v="0"/>
    <n v="28187"/>
    <n v="4051"/>
  </r>
  <r>
    <x v="0"/>
    <x v="11"/>
    <x v="9"/>
    <x v="323"/>
    <x v="270"/>
    <x v="270"/>
    <s v="REVENUS"/>
    <x v="6"/>
    <s v="4221.002"/>
    <s v="Intérêts compensat. sur impôts distincts"/>
    <n v="0"/>
    <n v="4.1399999999999997"/>
    <n v="4221"/>
  </r>
  <r>
    <x v="0"/>
    <x v="11"/>
    <x v="9"/>
    <x v="323"/>
    <x v="270"/>
    <x v="270"/>
    <s v="REVENUS"/>
    <x v="9"/>
    <s v="4031.001"/>
    <s v="Impôt sur les gains immobiliers"/>
    <n v="0"/>
    <n v="47765.65"/>
    <n v="4031"/>
  </r>
  <r>
    <x v="0"/>
    <x v="11"/>
    <x v="9"/>
    <x v="323"/>
    <x v="270"/>
    <x v="270"/>
    <s v="REVENUS"/>
    <x v="9"/>
    <s v="4031.002"/>
    <s v="Complément impôt sur les gains immobiliers"/>
    <n v="0"/>
    <n v="47765.65"/>
    <n v="4031"/>
  </r>
  <r>
    <x v="0"/>
    <x v="11"/>
    <x v="9"/>
    <x v="323"/>
    <x v="270"/>
    <x v="270"/>
    <s v="REVENUS"/>
    <x v="2"/>
    <s v="4001.003"/>
    <s v="Impôt s/prest. cap. PP"/>
    <n v="0"/>
    <n v="9470.4500000000007"/>
    <n v="4001"/>
  </r>
  <r>
    <x v="0"/>
    <x v="11"/>
    <x v="9"/>
    <x v="323"/>
    <x v="270"/>
    <x v="270"/>
    <s v="REVENUS"/>
    <x v="10"/>
    <s v="4041.001"/>
    <s v="Droits de mutation"/>
    <n v="0"/>
    <n v="43.35"/>
    <n v="4041"/>
  </r>
  <r>
    <x v="0"/>
    <x v="11"/>
    <x v="9"/>
    <x v="323"/>
    <x v="270"/>
    <x v="270"/>
    <s v="REVENUS"/>
    <x v="2"/>
    <s v="4001.001"/>
    <s v="Impôt revenu"/>
    <n v="0"/>
    <n v="-4.75"/>
    <n v="4001"/>
  </r>
  <r>
    <x v="0"/>
    <x v="11"/>
    <x v="9"/>
    <x v="323"/>
    <x v="270"/>
    <x v="270"/>
    <s v="REVENUS"/>
    <x v="3"/>
    <s v="4002.001"/>
    <s v="Impôt ordinaire s/fortune PP"/>
    <n v="0"/>
    <n v="-678.4"/>
    <n v="4002"/>
  </r>
  <r>
    <x v="0"/>
    <x v="11"/>
    <x v="9"/>
    <x v="323"/>
    <x v="270"/>
    <x v="270"/>
    <s v="REVENUS"/>
    <x v="6"/>
    <s v="4211.001"/>
    <s v="Intérêts de retard sur factures"/>
    <n v="0"/>
    <n v="-0.16"/>
    <n v="4211"/>
  </r>
  <r>
    <x v="0"/>
    <x v="11"/>
    <x v="9"/>
    <x v="323"/>
    <x v="270"/>
    <x v="270"/>
    <s v="REVENUS"/>
    <x v="6"/>
    <s v="4221.003"/>
    <s v="Intérêts compensat. / acomptes en faveur du fisc"/>
    <n v="0"/>
    <n v="-0.37"/>
    <n v="4221"/>
  </r>
  <r>
    <x v="0"/>
    <x v="11"/>
    <x v="9"/>
    <x v="323"/>
    <x v="270"/>
    <x v="270"/>
    <s v="REVENUS"/>
    <x v="12"/>
    <s v="4004.000"/>
    <s v="Impôt spécial étrangers"/>
    <n v="0"/>
    <n v="3060.7"/>
    <n v="4004"/>
  </r>
  <r>
    <x v="0"/>
    <x v="11"/>
    <x v="9"/>
    <x v="324"/>
    <x v="271"/>
    <x v="271"/>
    <s v="CHARGES"/>
    <x v="0"/>
    <s v="3212.002"/>
    <s v="Intérêts bonifiés/trop perçu acompte C/C"/>
    <n v="0.22"/>
    <n v="0"/>
    <n v="3212"/>
  </r>
  <r>
    <x v="0"/>
    <x v="11"/>
    <x v="9"/>
    <x v="324"/>
    <x v="271"/>
    <x v="271"/>
    <s v="CHARGES"/>
    <x v="0"/>
    <s v="3212.004"/>
    <s v="Intérêts rémun./perçu trop tôt sur acomptes C/C"/>
    <n v="22.07"/>
    <n v="0"/>
    <n v="3212"/>
  </r>
  <r>
    <x v="0"/>
    <x v="11"/>
    <x v="9"/>
    <x v="324"/>
    <x v="271"/>
    <x v="271"/>
    <s v="CHARGES"/>
    <x v="0"/>
    <s v="3221.002"/>
    <s v="Intérêts compensatoires / créances en faveur ctb."/>
    <n v="7.97"/>
    <n v="0"/>
    <n v="3221"/>
  </r>
  <r>
    <x v="0"/>
    <x v="11"/>
    <x v="9"/>
    <x v="324"/>
    <x v="271"/>
    <x v="271"/>
    <s v="CHARGES"/>
    <x v="1"/>
    <s v="3301.001"/>
    <s v="Défalcations, abandons de solde PP et IS"/>
    <n v="1761.82"/>
    <n v="0"/>
    <n v="3301"/>
  </r>
  <r>
    <x v="0"/>
    <x v="11"/>
    <x v="9"/>
    <x v="324"/>
    <x v="271"/>
    <x v="271"/>
    <s v="CHARGES"/>
    <x v="0"/>
    <s v="3212.002"/>
    <s v="Intérêts bonifiés/trop perçu acompte C/C"/>
    <n v="315.83"/>
    <n v="0"/>
    <n v="3212"/>
  </r>
  <r>
    <x v="0"/>
    <x v="11"/>
    <x v="9"/>
    <x v="324"/>
    <x v="271"/>
    <x v="271"/>
    <s v="CHARGES"/>
    <x v="0"/>
    <s v="3212.004"/>
    <s v="Intérêts rémun./perçu trop tôt sur acomptes C/C"/>
    <n v="3350.23"/>
    <n v="0"/>
    <n v="3212"/>
  </r>
  <r>
    <x v="0"/>
    <x v="11"/>
    <x v="9"/>
    <x v="324"/>
    <x v="271"/>
    <x v="271"/>
    <s v="CHARGES"/>
    <x v="0"/>
    <s v="3221.002"/>
    <s v="Intérêts compensatoires / créances en faveur ctb."/>
    <n v="1099.0999999999999"/>
    <n v="0"/>
    <n v="3221"/>
  </r>
  <r>
    <x v="0"/>
    <x v="11"/>
    <x v="9"/>
    <x v="324"/>
    <x v="271"/>
    <x v="271"/>
    <s v="CHARGES"/>
    <x v="1"/>
    <s v="3301.001"/>
    <s v="Défalcations, abandons de solde PP et IS"/>
    <n v="21665.25"/>
    <n v="0"/>
    <n v="3301"/>
  </r>
  <r>
    <x v="0"/>
    <x v="11"/>
    <x v="9"/>
    <x v="324"/>
    <x v="271"/>
    <x v="271"/>
    <s v="CHARGES"/>
    <x v="0"/>
    <s v="3212.002"/>
    <s v="Intérêts bonifiés/trop perçu acompte C/C"/>
    <n v="0.03"/>
    <n v="0"/>
    <n v="3212"/>
  </r>
  <r>
    <x v="0"/>
    <x v="11"/>
    <x v="9"/>
    <x v="324"/>
    <x v="271"/>
    <x v="271"/>
    <s v="CHARGES"/>
    <x v="0"/>
    <s v="3212.004"/>
    <s v="Intérêts rémun./perçu trop tôt sur acomptes C/C"/>
    <n v="4.09"/>
    <n v="0"/>
    <n v="3212"/>
  </r>
  <r>
    <x v="0"/>
    <x v="11"/>
    <x v="9"/>
    <x v="324"/>
    <x v="271"/>
    <x v="271"/>
    <s v="CHARGES"/>
    <x v="0"/>
    <s v="3221.002"/>
    <s v="Intérêts compensatoires / créances en faveur ctb."/>
    <n v="4.09"/>
    <n v="0"/>
    <n v="3221"/>
  </r>
  <r>
    <x v="0"/>
    <x v="11"/>
    <x v="9"/>
    <x v="324"/>
    <x v="271"/>
    <x v="271"/>
    <s v="CHARGES"/>
    <x v="0"/>
    <s v="3212.004"/>
    <s v="Intérêts rémun./perçu trop tôt sur acomptes C/C"/>
    <n v="19.97"/>
    <n v="0"/>
    <n v="3212"/>
  </r>
  <r>
    <x v="0"/>
    <x v="11"/>
    <x v="9"/>
    <x v="324"/>
    <x v="271"/>
    <x v="271"/>
    <s v="CHARGES"/>
    <x v="0"/>
    <s v="3221.002"/>
    <s v="Intérêts compensatoires / créances en faveur ctb."/>
    <n v="0.65"/>
    <n v="0"/>
    <n v="3221"/>
  </r>
  <r>
    <x v="0"/>
    <x v="11"/>
    <x v="9"/>
    <x v="324"/>
    <x v="271"/>
    <x v="271"/>
    <s v="CHARGES"/>
    <x v="0"/>
    <s v="3212.002"/>
    <s v="Intérêts bonifiés/trop perçu acompte C/C"/>
    <n v="17.72"/>
    <n v="0"/>
    <n v="3212"/>
  </r>
  <r>
    <x v="0"/>
    <x v="11"/>
    <x v="9"/>
    <x v="324"/>
    <x v="271"/>
    <x v="271"/>
    <s v="CHARGES"/>
    <x v="1"/>
    <s v="3301.001"/>
    <s v="Défalcations, abandons de solde PP et IS"/>
    <n v="805.91"/>
    <n v="0"/>
    <n v="3301"/>
  </r>
  <r>
    <x v="0"/>
    <x v="11"/>
    <x v="9"/>
    <x v="324"/>
    <x v="271"/>
    <x v="271"/>
    <s v="CHARGES"/>
    <x v="0"/>
    <s v="3212.004"/>
    <s v="Intérêts rémun./perçu trop tôt sur acomptes C/C"/>
    <n v="23.47"/>
    <n v="0"/>
    <n v="3212"/>
  </r>
  <r>
    <x v="0"/>
    <x v="11"/>
    <x v="9"/>
    <x v="324"/>
    <x v="271"/>
    <x v="271"/>
    <s v="CHARGES"/>
    <x v="0"/>
    <s v="3221.002"/>
    <s v="Intérêts compensatoires / créances en faveur ctb."/>
    <n v="3.52"/>
    <n v="0"/>
    <n v="3221"/>
  </r>
  <r>
    <x v="0"/>
    <x v="11"/>
    <x v="9"/>
    <x v="324"/>
    <x v="271"/>
    <x v="271"/>
    <s v="CHARGES"/>
    <x v="1"/>
    <s v="3301.001"/>
    <s v="Défalcations, abandons de solde PP et IS"/>
    <n v="2.5"/>
    <n v="0"/>
    <n v="3301"/>
  </r>
  <r>
    <x v="0"/>
    <x v="11"/>
    <x v="9"/>
    <x v="324"/>
    <x v="271"/>
    <x v="271"/>
    <s v="CHARGES"/>
    <x v="0"/>
    <s v="3212.004"/>
    <s v="Intérêts rémun./perçu trop tôt sur acomptes C/C"/>
    <n v="0.45"/>
    <n v="0"/>
    <n v="3212"/>
  </r>
  <r>
    <x v="0"/>
    <x v="11"/>
    <x v="9"/>
    <x v="324"/>
    <x v="271"/>
    <x v="271"/>
    <s v="CHARGES"/>
    <x v="0"/>
    <s v="3221.002"/>
    <s v="Intérêts compensatoires / créances en faveur ctb."/>
    <n v="0.18"/>
    <n v="0"/>
    <n v="3221"/>
  </r>
  <r>
    <x v="0"/>
    <x v="11"/>
    <x v="9"/>
    <x v="324"/>
    <x v="271"/>
    <x v="271"/>
    <s v="CHARGES"/>
    <x v="1"/>
    <s v="3301.001"/>
    <s v="Défalcations, abandons de solde PP et IS"/>
    <n v="34883.629999999997"/>
    <n v="0"/>
    <n v="3301"/>
  </r>
  <r>
    <x v="0"/>
    <x v="11"/>
    <x v="9"/>
    <x v="324"/>
    <x v="271"/>
    <x v="271"/>
    <s v="CHARGES"/>
    <x v="0"/>
    <s v="3212.002"/>
    <s v="Intérêts bonifiés/trop perçu acompte C/C"/>
    <n v="0.01"/>
    <n v="0"/>
    <n v="3212"/>
  </r>
  <r>
    <x v="0"/>
    <x v="11"/>
    <x v="9"/>
    <x v="324"/>
    <x v="271"/>
    <x v="271"/>
    <s v="CHARGES"/>
    <x v="1"/>
    <s v="3301.001"/>
    <s v="Défalcations, abandons de solde PP et IS"/>
    <n v="0.63"/>
    <n v="0"/>
    <n v="3301"/>
  </r>
  <r>
    <x v="0"/>
    <x v="11"/>
    <x v="9"/>
    <x v="324"/>
    <x v="271"/>
    <x v="271"/>
    <s v="REVENUS"/>
    <x v="2"/>
    <s v="4001.001"/>
    <s v="Impôt revenu"/>
    <n v="0"/>
    <n v="30534.95"/>
    <n v="4001"/>
  </r>
  <r>
    <x v="0"/>
    <x v="11"/>
    <x v="9"/>
    <x v="324"/>
    <x v="271"/>
    <x v="271"/>
    <s v="REVENUS"/>
    <x v="2"/>
    <s v="4001.007"/>
    <s v="Acompte impôt sur revenu"/>
    <n v="0"/>
    <n v="-26368.92"/>
    <n v="4001"/>
  </r>
  <r>
    <x v="0"/>
    <x v="11"/>
    <x v="9"/>
    <x v="324"/>
    <x v="271"/>
    <x v="271"/>
    <s v="REVENUS"/>
    <x v="3"/>
    <s v="4002.001"/>
    <s v="Impôt ordinaire s/fortune PP"/>
    <n v="0"/>
    <n v="18574.05"/>
    <n v="4002"/>
  </r>
  <r>
    <x v="0"/>
    <x v="11"/>
    <x v="9"/>
    <x v="324"/>
    <x v="271"/>
    <x v="271"/>
    <s v="REVENUS"/>
    <x v="3"/>
    <s v="4002.007"/>
    <s v="Acompte impôt sur fortune"/>
    <n v="0"/>
    <n v="-11577.5"/>
    <n v="4002"/>
  </r>
  <r>
    <x v="0"/>
    <x v="11"/>
    <x v="9"/>
    <x v="324"/>
    <x v="271"/>
    <x v="271"/>
    <s v="REVENUS"/>
    <x v="6"/>
    <s v="4221.003"/>
    <s v="Intérêts compensat. / acomptes en faveur du fisc"/>
    <n v="0"/>
    <n v="6.64"/>
    <n v="4221"/>
  </r>
  <r>
    <x v="0"/>
    <x v="11"/>
    <x v="9"/>
    <x v="324"/>
    <x v="271"/>
    <x v="271"/>
    <s v="REVENUS"/>
    <x v="2"/>
    <s v="4001.001"/>
    <s v="Impôt revenu"/>
    <n v="0"/>
    <n v="12001767.85"/>
    <n v="4001"/>
  </r>
  <r>
    <x v="0"/>
    <x v="11"/>
    <x v="9"/>
    <x v="324"/>
    <x v="271"/>
    <x v="271"/>
    <s v="REVENUS"/>
    <x v="2"/>
    <s v="4001.007"/>
    <s v="Acompte impôt sur revenu"/>
    <n v="0"/>
    <n v="-73180.88"/>
    <n v="4001"/>
  </r>
  <r>
    <x v="0"/>
    <x v="11"/>
    <x v="9"/>
    <x v="324"/>
    <x v="271"/>
    <x v="271"/>
    <s v="REVENUS"/>
    <x v="3"/>
    <s v="4002.001"/>
    <s v="Impôt ordinaire s/fortune PP"/>
    <n v="0"/>
    <n v="2341478.7000000002"/>
    <n v="4002"/>
  </r>
  <r>
    <x v="0"/>
    <x v="11"/>
    <x v="9"/>
    <x v="324"/>
    <x v="271"/>
    <x v="271"/>
    <s v="REVENUS"/>
    <x v="3"/>
    <s v="4002.007"/>
    <s v="Acompte impôt sur fortune"/>
    <n v="0"/>
    <n v="634981.29"/>
    <n v="4002"/>
  </r>
  <r>
    <x v="0"/>
    <x v="11"/>
    <x v="9"/>
    <x v="324"/>
    <x v="271"/>
    <x v="271"/>
    <s v="REVENUS"/>
    <x v="10"/>
    <s v="4041.001"/>
    <s v="Droits de mutation"/>
    <n v="0"/>
    <n v="990675.8"/>
    <n v="4041"/>
  </r>
  <r>
    <x v="0"/>
    <x v="11"/>
    <x v="9"/>
    <x v="324"/>
    <x v="271"/>
    <x v="271"/>
    <s v="REVENUS"/>
    <x v="6"/>
    <s v="4211.001"/>
    <s v="Intérêts de retard sur factures"/>
    <n v="0"/>
    <n v="53344.6"/>
    <n v="4211"/>
  </r>
  <r>
    <x v="0"/>
    <x v="11"/>
    <x v="9"/>
    <x v="324"/>
    <x v="271"/>
    <x v="271"/>
    <s v="REVENUS"/>
    <x v="6"/>
    <s v="4211.002"/>
    <s v="Intérêts de retard sur acomptes"/>
    <n v="0"/>
    <n v="72290.98"/>
    <n v="4211"/>
  </r>
  <r>
    <x v="0"/>
    <x v="11"/>
    <x v="9"/>
    <x v="324"/>
    <x v="271"/>
    <x v="271"/>
    <s v="REVENUS"/>
    <x v="3"/>
    <s v="4002.001"/>
    <s v="Impôt ordinaire s/fortune PP"/>
    <n v="0"/>
    <n v="5208.8"/>
    <n v="4002"/>
  </r>
  <r>
    <x v="0"/>
    <x v="11"/>
    <x v="9"/>
    <x v="324"/>
    <x v="271"/>
    <x v="271"/>
    <s v="REVENUS"/>
    <x v="3"/>
    <s v="4002.007"/>
    <s v="Acompte impôt sur fortune"/>
    <n v="0"/>
    <n v="-1816.05"/>
    <n v="4002"/>
  </r>
  <r>
    <x v="0"/>
    <x v="11"/>
    <x v="9"/>
    <x v="324"/>
    <x v="271"/>
    <x v="271"/>
    <s v="REVENUS"/>
    <x v="7"/>
    <s v="4184.000"/>
    <s v="Frais de poursuite"/>
    <n v="0"/>
    <n v="5658.77"/>
    <n v="4184"/>
  </r>
  <r>
    <x v="0"/>
    <x v="11"/>
    <x v="9"/>
    <x v="324"/>
    <x v="271"/>
    <x v="271"/>
    <s v="REVENUS"/>
    <x v="6"/>
    <s v="4221.003"/>
    <s v="Intérêts compensat. / acomptes en faveur du fisc"/>
    <n v="0"/>
    <n v="5117.28"/>
    <n v="4221"/>
  </r>
  <r>
    <x v="0"/>
    <x v="11"/>
    <x v="9"/>
    <x v="324"/>
    <x v="271"/>
    <x v="271"/>
    <s v="REVENUS"/>
    <x v="2"/>
    <s v="4001.002"/>
    <s v="Impôt complément s/revenu PP"/>
    <n v="0"/>
    <n v="3705175.15"/>
    <n v="4001"/>
  </r>
  <r>
    <x v="0"/>
    <x v="11"/>
    <x v="9"/>
    <x v="324"/>
    <x v="271"/>
    <x v="271"/>
    <s v="REVENUS"/>
    <x v="3"/>
    <s v="4002.002"/>
    <s v="Impôt complémentaire s/fortune PP"/>
    <n v="0"/>
    <n v="816672.4"/>
    <n v="4002"/>
  </r>
  <r>
    <x v="0"/>
    <x v="11"/>
    <x v="9"/>
    <x v="324"/>
    <x v="271"/>
    <x v="271"/>
    <s v="REVENUS"/>
    <x v="5"/>
    <s v="4061.000"/>
    <s v="Impôt sur les chiens"/>
    <n v="0"/>
    <n v="35650"/>
    <n v="4061"/>
  </r>
  <r>
    <x v="0"/>
    <x v="11"/>
    <x v="9"/>
    <x v="324"/>
    <x v="271"/>
    <x v="271"/>
    <s v="REVENUS"/>
    <x v="2"/>
    <s v="4001.003"/>
    <s v="Impôt s/prest. cap. PP"/>
    <n v="0"/>
    <n v="438425.75"/>
    <n v="4001"/>
  </r>
  <r>
    <x v="0"/>
    <x v="11"/>
    <x v="9"/>
    <x v="324"/>
    <x v="271"/>
    <x v="271"/>
    <s v="REVENUS"/>
    <x v="6"/>
    <s v="4221.002"/>
    <s v="Intérêts compensat. sur impôts distincts"/>
    <n v="0"/>
    <n v="133.36000000000001"/>
    <n v="4221"/>
  </r>
  <r>
    <x v="0"/>
    <x v="11"/>
    <x v="9"/>
    <x v="324"/>
    <x v="271"/>
    <x v="271"/>
    <s v="REVENUS"/>
    <x v="9"/>
    <s v="4031.001"/>
    <s v="Impôt sur les gains immobiliers"/>
    <n v="0"/>
    <n v="215396"/>
    <n v="4031"/>
  </r>
  <r>
    <x v="0"/>
    <x v="11"/>
    <x v="9"/>
    <x v="324"/>
    <x v="271"/>
    <x v="271"/>
    <s v="REVENUS"/>
    <x v="2"/>
    <s v="4001.001"/>
    <s v="Impôt revenu"/>
    <n v="0"/>
    <n v="4442.3999999999996"/>
    <n v="4001"/>
  </r>
  <r>
    <x v="0"/>
    <x v="11"/>
    <x v="9"/>
    <x v="324"/>
    <x v="271"/>
    <x v="271"/>
    <s v="REVENUS"/>
    <x v="3"/>
    <s v="4002.001"/>
    <s v="Impôt ordinaire s/fortune PP"/>
    <n v="0"/>
    <n v="12873.5"/>
    <n v="4002"/>
  </r>
  <r>
    <x v="0"/>
    <x v="11"/>
    <x v="9"/>
    <x v="324"/>
    <x v="271"/>
    <x v="271"/>
    <s v="REVENUS"/>
    <x v="3"/>
    <s v="4002.001"/>
    <s v="Impôt ordinaire s/fortune PP"/>
    <n v="0"/>
    <n v="3862.2"/>
    <n v="4002"/>
  </r>
  <r>
    <x v="0"/>
    <x v="11"/>
    <x v="9"/>
    <x v="324"/>
    <x v="271"/>
    <x v="271"/>
    <s v="REVENUS"/>
    <x v="2"/>
    <s v="4001.007"/>
    <s v="Acompte impôt sur revenu"/>
    <n v="0"/>
    <n v="-3126.3"/>
    <n v="4001"/>
  </r>
  <r>
    <x v="0"/>
    <x v="11"/>
    <x v="9"/>
    <x v="324"/>
    <x v="271"/>
    <x v="271"/>
    <s v="REVENUS"/>
    <x v="2"/>
    <s v="4001.001"/>
    <s v="Impôt revenu"/>
    <n v="0"/>
    <n v="32207.95"/>
    <n v="4001"/>
  </r>
  <r>
    <x v="0"/>
    <x v="11"/>
    <x v="9"/>
    <x v="324"/>
    <x v="271"/>
    <x v="271"/>
    <s v="REVENUS"/>
    <x v="6"/>
    <s v="4211.002"/>
    <s v="Intérêts de retard sur acomptes"/>
    <n v="0"/>
    <n v="466.09"/>
    <n v="4211"/>
  </r>
  <r>
    <x v="0"/>
    <x v="11"/>
    <x v="9"/>
    <x v="324"/>
    <x v="271"/>
    <x v="271"/>
    <s v="REVENUS"/>
    <x v="3"/>
    <s v="4002.002"/>
    <s v="Impôt complémentaire s/fortune PP"/>
    <n v="0"/>
    <n v="3068.3"/>
    <n v="4002"/>
  </r>
  <r>
    <x v="0"/>
    <x v="11"/>
    <x v="9"/>
    <x v="324"/>
    <x v="271"/>
    <x v="271"/>
    <s v="REVENUS"/>
    <x v="6"/>
    <s v="4211.001"/>
    <s v="Intérêts de retard sur factures"/>
    <n v="0"/>
    <n v="180.41"/>
    <n v="4211"/>
  </r>
  <r>
    <x v="0"/>
    <x v="11"/>
    <x v="9"/>
    <x v="324"/>
    <x v="271"/>
    <x v="271"/>
    <s v="REVENUS"/>
    <x v="3"/>
    <s v="4002.007"/>
    <s v="Acompte impôt sur fortune"/>
    <n v="0"/>
    <n v="393.13"/>
    <n v="4002"/>
  </r>
  <r>
    <x v="0"/>
    <x v="11"/>
    <x v="9"/>
    <x v="324"/>
    <x v="271"/>
    <x v="271"/>
    <s v="REVENUS"/>
    <x v="2"/>
    <s v="4001.007"/>
    <s v="Acompte impôt sur revenu"/>
    <n v="0"/>
    <n v="-2844.95"/>
    <n v="4001"/>
  </r>
  <r>
    <x v="0"/>
    <x v="11"/>
    <x v="9"/>
    <x v="324"/>
    <x v="271"/>
    <x v="271"/>
    <s v="REVENUS"/>
    <x v="3"/>
    <s v="4002.007"/>
    <s v="Acompte impôt sur fortune"/>
    <n v="0"/>
    <n v="-3723.1"/>
    <n v="4002"/>
  </r>
  <r>
    <x v="0"/>
    <x v="11"/>
    <x v="9"/>
    <x v="324"/>
    <x v="271"/>
    <x v="271"/>
    <s v="REVENUS"/>
    <x v="6"/>
    <s v="4211.002"/>
    <s v="Intérêts de retard sur acomptes"/>
    <n v="0"/>
    <n v="55.79"/>
    <n v="4211"/>
  </r>
  <r>
    <x v="0"/>
    <x v="11"/>
    <x v="9"/>
    <x v="324"/>
    <x v="271"/>
    <x v="271"/>
    <s v="REVENUS"/>
    <x v="2"/>
    <s v="4001.007"/>
    <s v="Acompte impôt sur revenu"/>
    <n v="0"/>
    <n v="8866.32"/>
    <n v="4001"/>
  </r>
  <r>
    <x v="0"/>
    <x v="11"/>
    <x v="9"/>
    <x v="324"/>
    <x v="271"/>
    <x v="271"/>
    <s v="REVENUS"/>
    <x v="2"/>
    <s v="4001.007"/>
    <s v="Acompte impôt sur revenu"/>
    <n v="0"/>
    <n v="-340.5"/>
    <n v="4001"/>
  </r>
  <r>
    <x v="0"/>
    <x v="11"/>
    <x v="9"/>
    <x v="324"/>
    <x v="271"/>
    <x v="271"/>
    <s v="REVENUS"/>
    <x v="3"/>
    <s v="4002.007"/>
    <s v="Acompte impôt sur fortune"/>
    <n v="0"/>
    <n v="6607.59"/>
    <n v="4002"/>
  </r>
  <r>
    <x v="0"/>
    <x v="11"/>
    <x v="9"/>
    <x v="324"/>
    <x v="271"/>
    <x v="271"/>
    <s v="REVENUS"/>
    <x v="12"/>
    <s v="4004.007"/>
    <s v="Acompte spécial étrangers"/>
    <n v="0"/>
    <n v="26641.25"/>
    <n v="4004"/>
  </r>
  <r>
    <x v="0"/>
    <x v="11"/>
    <x v="9"/>
    <x v="324"/>
    <x v="271"/>
    <x v="271"/>
    <s v="REVENUS"/>
    <x v="2"/>
    <s v="4001.007"/>
    <s v="Acompte impôt sur revenu"/>
    <n v="0"/>
    <n v="-8175.45"/>
    <n v="4001"/>
  </r>
  <r>
    <x v="0"/>
    <x v="11"/>
    <x v="9"/>
    <x v="324"/>
    <x v="271"/>
    <x v="271"/>
    <s v="REVENUS"/>
    <x v="6"/>
    <s v="4211.001"/>
    <s v="Intérêts de retard sur factures"/>
    <n v="0"/>
    <n v="59.77"/>
    <n v="4211"/>
  </r>
  <r>
    <x v="0"/>
    <x v="11"/>
    <x v="9"/>
    <x v="324"/>
    <x v="271"/>
    <x v="271"/>
    <s v="REVENUS"/>
    <x v="12"/>
    <s v="4004.000"/>
    <s v="Impôt spécial étrangers"/>
    <n v="0"/>
    <n v="291645.40000000002"/>
    <n v="4004"/>
  </r>
  <r>
    <x v="0"/>
    <x v="11"/>
    <x v="9"/>
    <x v="324"/>
    <x v="271"/>
    <x v="271"/>
    <s v="REVENUS"/>
    <x v="6"/>
    <s v="4211.002"/>
    <s v="Intérêts de retard sur acomptes"/>
    <n v="0"/>
    <n v="2.08"/>
    <n v="4211"/>
  </r>
  <r>
    <x v="0"/>
    <x v="11"/>
    <x v="9"/>
    <x v="324"/>
    <x v="271"/>
    <x v="271"/>
    <s v="REVENUS"/>
    <x v="10"/>
    <s v="4041.002"/>
    <s v="Complément droit de mutation"/>
    <n v="0"/>
    <n v="22880"/>
    <n v="4041"/>
  </r>
  <r>
    <x v="0"/>
    <x v="11"/>
    <x v="9"/>
    <x v="324"/>
    <x v="271"/>
    <x v="271"/>
    <s v="REVENUS"/>
    <x v="9"/>
    <s v="4031.002"/>
    <s v="Complément impôt sur les gains immobiliers"/>
    <n v="0"/>
    <n v="330863.90000000002"/>
    <n v="4031"/>
  </r>
  <r>
    <x v="0"/>
    <x v="11"/>
    <x v="9"/>
    <x v="324"/>
    <x v="271"/>
    <x v="271"/>
    <s v="REVENUS"/>
    <x v="6"/>
    <s v="4211.002"/>
    <s v="Intérêts de retard sur acomptes"/>
    <n v="0"/>
    <n v="0.49"/>
    <n v="4211"/>
  </r>
  <r>
    <x v="0"/>
    <x v="11"/>
    <x v="9"/>
    <x v="324"/>
    <x v="271"/>
    <x v="271"/>
    <s v="REVENUS"/>
    <x v="2"/>
    <s v="4001.001"/>
    <s v="Impôt revenu"/>
    <n v="0"/>
    <n v="4688.55"/>
    <n v="4001"/>
  </r>
  <r>
    <x v="0"/>
    <x v="11"/>
    <x v="9"/>
    <x v="324"/>
    <x v="271"/>
    <x v="271"/>
    <s v="REVENUS"/>
    <x v="6"/>
    <s v="4221.003"/>
    <s v="Intérêts compensat. / acomptes en faveur du fisc"/>
    <n v="0"/>
    <n v="2.0299999999999998"/>
    <n v="4221"/>
  </r>
  <r>
    <x v="0"/>
    <x v="11"/>
    <x v="9"/>
    <x v="324"/>
    <x v="271"/>
    <x v="271"/>
    <s v="REVENUS"/>
    <x v="3"/>
    <s v="4002.001"/>
    <s v="Impôt ordinaire s/fortune PP"/>
    <n v="0"/>
    <n v="745.45"/>
    <n v="4002"/>
  </r>
  <r>
    <x v="0"/>
    <x v="11"/>
    <x v="9"/>
    <x v="324"/>
    <x v="271"/>
    <x v="271"/>
    <s v="REVENUS"/>
    <x v="7"/>
    <s v="4184.000"/>
    <s v="Frais de poursuite"/>
    <n v="0"/>
    <n v="44.1"/>
    <n v="4184"/>
  </r>
  <r>
    <x v="0"/>
    <x v="11"/>
    <x v="9"/>
    <x v="324"/>
    <x v="271"/>
    <x v="271"/>
    <s v="REVENUS"/>
    <x v="3"/>
    <s v="4002.007"/>
    <s v="Acompte impôt sur fortune"/>
    <n v="0"/>
    <n v="-781.5"/>
    <n v="4002"/>
  </r>
  <r>
    <x v="0"/>
    <x v="11"/>
    <x v="9"/>
    <x v="324"/>
    <x v="271"/>
    <x v="271"/>
    <s v="REVENUS"/>
    <x v="8"/>
    <s v="4091.001"/>
    <s v="Impôt récupéré après défalcations"/>
    <n v="0"/>
    <n v="302.43"/>
    <n v="4091"/>
  </r>
  <r>
    <x v="0"/>
    <x v="11"/>
    <x v="9"/>
    <x v="324"/>
    <x v="271"/>
    <x v="271"/>
    <s v="REVENUS"/>
    <x v="3"/>
    <s v="4002.002"/>
    <s v="Impôt complémentaire s/fortune PP"/>
    <n v="0"/>
    <n v="2148.85"/>
    <n v="4002"/>
  </r>
  <r>
    <x v="0"/>
    <x v="11"/>
    <x v="9"/>
    <x v="324"/>
    <x v="271"/>
    <x v="271"/>
    <s v="REVENUS"/>
    <x v="2"/>
    <s v="4001.002"/>
    <s v="Impôt complément s/revenu PP"/>
    <n v="0"/>
    <n v="2451.1"/>
    <n v="4001"/>
  </r>
  <r>
    <x v="0"/>
    <x v="11"/>
    <x v="9"/>
    <x v="324"/>
    <x v="271"/>
    <x v="271"/>
    <s v="REVENUS"/>
    <x v="2"/>
    <s v="4001.002"/>
    <s v="Impôt complément s/revenu PP"/>
    <n v="0"/>
    <n v="2048.3000000000002"/>
    <n v="4001"/>
  </r>
  <r>
    <x v="0"/>
    <x v="11"/>
    <x v="9"/>
    <x v="324"/>
    <x v="271"/>
    <x v="271"/>
    <s v="REVENUS"/>
    <x v="3"/>
    <s v="4002.002"/>
    <s v="Impôt complémentaire s/fortune PP"/>
    <n v="0"/>
    <n v="6402.95"/>
    <n v="4002"/>
  </r>
  <r>
    <x v="0"/>
    <x v="11"/>
    <x v="9"/>
    <x v="324"/>
    <x v="271"/>
    <x v="271"/>
    <s v="REVENUS"/>
    <x v="6"/>
    <s v="4221.003"/>
    <s v="Intérêts compensat. / acomptes en faveur du fisc"/>
    <n v="0"/>
    <n v="1.69"/>
    <n v="4221"/>
  </r>
  <r>
    <x v="0"/>
    <x v="11"/>
    <x v="9"/>
    <x v="324"/>
    <x v="271"/>
    <x v="271"/>
    <s v="REVENUS"/>
    <x v="8"/>
    <s v="4091.001"/>
    <s v="Impôt récupéré après défalcations"/>
    <n v="0"/>
    <n v="46218.67"/>
    <n v="4091"/>
  </r>
  <r>
    <x v="0"/>
    <x v="11"/>
    <x v="9"/>
    <x v="324"/>
    <x v="271"/>
    <x v="271"/>
    <s v="REVENUS"/>
    <x v="2"/>
    <s v="4001.002"/>
    <s v="Impôt complément s/revenu PP"/>
    <n v="0"/>
    <n v="13878.6"/>
    <n v="4001"/>
  </r>
  <r>
    <x v="0"/>
    <x v="11"/>
    <x v="9"/>
    <x v="324"/>
    <x v="271"/>
    <x v="271"/>
    <s v="REVENUS"/>
    <x v="3"/>
    <s v="4002.002"/>
    <s v="Impôt complémentaire s/fortune PP"/>
    <n v="0"/>
    <n v="5012.7"/>
    <n v="4002"/>
  </r>
  <r>
    <x v="0"/>
    <x v="11"/>
    <x v="9"/>
    <x v="324"/>
    <x v="271"/>
    <x v="271"/>
    <s v="REVENUS"/>
    <x v="6"/>
    <s v="4221.003"/>
    <s v="Intérêts compensat. / acomptes en faveur du fisc"/>
    <n v="0"/>
    <n v="0.82"/>
    <n v="4221"/>
  </r>
  <r>
    <x v="0"/>
    <x v="11"/>
    <x v="9"/>
    <x v="324"/>
    <x v="271"/>
    <x v="271"/>
    <s v="REVENUS"/>
    <x v="2"/>
    <s v="4001.001"/>
    <s v="Impôt revenu"/>
    <n v="0"/>
    <n v="5232"/>
    <n v="4001"/>
  </r>
  <r>
    <x v="0"/>
    <x v="11"/>
    <x v="9"/>
    <x v="324"/>
    <x v="271"/>
    <x v="271"/>
    <s v="REVENUS"/>
    <x v="6"/>
    <s v="4211.002"/>
    <s v="Intérêts de retard sur acomptes"/>
    <n v="0"/>
    <n v="159.13999999999999"/>
    <n v="4211"/>
  </r>
  <r>
    <x v="0"/>
    <x v="11"/>
    <x v="9"/>
    <x v="324"/>
    <x v="271"/>
    <x v="271"/>
    <s v="REVENUS"/>
    <x v="6"/>
    <s v="4221.003"/>
    <s v="Intérêts compensat. / acomptes en faveur du fisc"/>
    <n v="0"/>
    <n v="3.89"/>
    <n v="4221"/>
  </r>
  <r>
    <x v="0"/>
    <x v="11"/>
    <x v="9"/>
    <x v="324"/>
    <x v="271"/>
    <x v="271"/>
    <s v="REVENUS"/>
    <x v="7"/>
    <s v="4184.000"/>
    <s v="Frais de poursuite"/>
    <n v="0"/>
    <n v="348.63"/>
    <n v="4184"/>
  </r>
  <r>
    <x v="0"/>
    <x v="11"/>
    <x v="9"/>
    <x v="324"/>
    <x v="271"/>
    <x v="271"/>
    <s v="REVENUS"/>
    <x v="2"/>
    <s v="4001.007"/>
    <s v="Acompte impôt sur revenu"/>
    <n v="0"/>
    <n v="-9166.1"/>
    <n v="4001"/>
  </r>
  <r>
    <x v="0"/>
    <x v="11"/>
    <x v="9"/>
    <x v="324"/>
    <x v="271"/>
    <x v="271"/>
    <s v="REVENUS"/>
    <x v="3"/>
    <s v="4002.007"/>
    <s v="Acompte impôt sur fortune"/>
    <n v="0"/>
    <n v="-5364.8"/>
    <n v="4002"/>
  </r>
  <r>
    <x v="0"/>
    <x v="11"/>
    <x v="9"/>
    <x v="324"/>
    <x v="271"/>
    <x v="271"/>
    <s v="REVENUS"/>
    <x v="7"/>
    <s v="4184.000"/>
    <s v="Frais de poursuite"/>
    <n v="0"/>
    <n v="0.77"/>
    <n v="4184"/>
  </r>
  <r>
    <x v="0"/>
    <x v="11"/>
    <x v="9"/>
    <x v="324"/>
    <x v="271"/>
    <x v="271"/>
    <s v="REVENUS"/>
    <x v="2"/>
    <s v="4001.002"/>
    <s v="Impôt complément s/revenu PP"/>
    <n v="0"/>
    <n v="4906.1000000000004"/>
    <n v="4001"/>
  </r>
  <r>
    <x v="0"/>
    <x v="11"/>
    <x v="9"/>
    <x v="324"/>
    <x v="271"/>
    <x v="271"/>
    <s v="REVENUS"/>
    <x v="6"/>
    <s v="4211.001"/>
    <s v="Intérêts de retard sur factures"/>
    <n v="0"/>
    <n v="20.12"/>
    <n v="4211"/>
  </r>
  <r>
    <x v="0"/>
    <x v="11"/>
    <x v="9"/>
    <x v="324"/>
    <x v="271"/>
    <x v="271"/>
    <s v="REVENUS"/>
    <x v="6"/>
    <s v="4211.001"/>
    <s v="Intérêts de retard sur factures"/>
    <n v="0"/>
    <n v="2.2400000000000002"/>
    <n v="4211"/>
  </r>
  <r>
    <x v="0"/>
    <x v="11"/>
    <x v="9"/>
    <x v="324"/>
    <x v="271"/>
    <x v="271"/>
    <s v="REVENUS"/>
    <x v="4"/>
    <s v="4051.001"/>
    <s v="Impôt sur les successions"/>
    <n v="0"/>
    <n v="4698.6000000000004"/>
    <n v="4051"/>
  </r>
  <r>
    <x v="0"/>
    <x v="11"/>
    <x v="9"/>
    <x v="325"/>
    <x v="272"/>
    <x v="272"/>
    <s v="CHARGES"/>
    <x v="0"/>
    <s v="3212.002"/>
    <s v="Intérêts bonifiés/trop perçu acompte C/C"/>
    <n v="247.65"/>
    <n v="0"/>
    <n v="3212"/>
  </r>
  <r>
    <x v="0"/>
    <x v="11"/>
    <x v="9"/>
    <x v="325"/>
    <x v="272"/>
    <x v="272"/>
    <s v="CHARGES"/>
    <x v="0"/>
    <s v="3212.004"/>
    <s v="Intérêts rémun./perçu trop tôt sur acomptes C/C"/>
    <n v="5427.92"/>
    <n v="0"/>
    <n v="3212"/>
  </r>
  <r>
    <x v="0"/>
    <x v="11"/>
    <x v="9"/>
    <x v="325"/>
    <x v="272"/>
    <x v="272"/>
    <s v="CHARGES"/>
    <x v="0"/>
    <s v="3221.002"/>
    <s v="Intérêts compensatoires / créances en faveur ctb."/>
    <n v="1803.95"/>
    <n v="0"/>
    <n v="3221"/>
  </r>
  <r>
    <x v="0"/>
    <x v="11"/>
    <x v="9"/>
    <x v="325"/>
    <x v="272"/>
    <x v="272"/>
    <s v="CHARGES"/>
    <x v="1"/>
    <s v="3301.001"/>
    <s v="Défalcations, abandons de solde PP et IS"/>
    <n v="212831.52"/>
    <n v="0"/>
    <n v="3301"/>
  </r>
  <r>
    <x v="0"/>
    <x v="11"/>
    <x v="9"/>
    <x v="325"/>
    <x v="272"/>
    <x v="272"/>
    <s v="CHARGES"/>
    <x v="0"/>
    <s v="3212.004"/>
    <s v="Intérêts rémun./perçu trop tôt sur acomptes C/C"/>
    <n v="14.89"/>
    <n v="0"/>
    <n v="3212"/>
  </r>
  <r>
    <x v="0"/>
    <x v="11"/>
    <x v="9"/>
    <x v="325"/>
    <x v="272"/>
    <x v="272"/>
    <s v="CHARGES"/>
    <x v="0"/>
    <s v="3221.002"/>
    <s v="Intérêts compensatoires / créances en faveur ctb."/>
    <n v="5.88"/>
    <n v="0"/>
    <n v="3221"/>
  </r>
  <r>
    <x v="0"/>
    <x v="11"/>
    <x v="9"/>
    <x v="325"/>
    <x v="272"/>
    <x v="272"/>
    <s v="CHARGES"/>
    <x v="0"/>
    <s v="3212.004"/>
    <s v="Intérêts rémun./perçu trop tôt sur acomptes C/C"/>
    <n v="23.99"/>
    <n v="0"/>
    <n v="3212"/>
  </r>
  <r>
    <x v="0"/>
    <x v="11"/>
    <x v="9"/>
    <x v="325"/>
    <x v="272"/>
    <x v="272"/>
    <s v="CHARGES"/>
    <x v="1"/>
    <s v="3301.001"/>
    <s v="Défalcations, abandons de solde PP et IS"/>
    <n v="3970.32"/>
    <n v="0"/>
    <n v="3301"/>
  </r>
  <r>
    <x v="0"/>
    <x v="11"/>
    <x v="9"/>
    <x v="325"/>
    <x v="272"/>
    <x v="272"/>
    <s v="CHARGES"/>
    <x v="1"/>
    <s v="3301.001"/>
    <s v="Défalcations, abandons de solde PP et IS"/>
    <n v="6.17"/>
    <n v="0"/>
    <n v="3301"/>
  </r>
  <r>
    <x v="0"/>
    <x v="11"/>
    <x v="9"/>
    <x v="325"/>
    <x v="272"/>
    <x v="272"/>
    <s v="CHARGES"/>
    <x v="0"/>
    <s v="3212.004"/>
    <s v="Intérêts rémun./perçu trop tôt sur acomptes C/C"/>
    <n v="371.36"/>
    <n v="0"/>
    <n v="3212"/>
  </r>
  <r>
    <x v="0"/>
    <x v="11"/>
    <x v="9"/>
    <x v="325"/>
    <x v="272"/>
    <x v="272"/>
    <s v="CHARGES"/>
    <x v="0"/>
    <s v="3221.002"/>
    <s v="Intérêts compensatoires / créances en faveur ctb."/>
    <n v="39.57"/>
    <n v="0"/>
    <n v="3221"/>
  </r>
  <r>
    <x v="0"/>
    <x v="11"/>
    <x v="9"/>
    <x v="325"/>
    <x v="272"/>
    <x v="272"/>
    <s v="CHARGES"/>
    <x v="1"/>
    <s v="3301.001"/>
    <s v="Défalcations, abandons de solde PP et IS"/>
    <n v="15.42"/>
    <n v="0"/>
    <n v="3301"/>
  </r>
  <r>
    <x v="0"/>
    <x v="11"/>
    <x v="9"/>
    <x v="325"/>
    <x v="272"/>
    <x v="272"/>
    <s v="CHARGES"/>
    <x v="0"/>
    <s v="3221.002"/>
    <s v="Intérêts compensatoires / créances en faveur ctb."/>
    <n v="76.81"/>
    <n v="0"/>
    <n v="3221"/>
  </r>
  <r>
    <x v="0"/>
    <x v="11"/>
    <x v="9"/>
    <x v="325"/>
    <x v="272"/>
    <x v="272"/>
    <s v="CHARGES"/>
    <x v="0"/>
    <s v="3212.004"/>
    <s v="Intérêts rémun./perçu trop tôt sur acomptes C/C"/>
    <n v="8.06"/>
    <n v="0"/>
    <n v="3212"/>
  </r>
  <r>
    <x v="0"/>
    <x v="11"/>
    <x v="9"/>
    <x v="325"/>
    <x v="272"/>
    <x v="272"/>
    <s v="CHARGES"/>
    <x v="1"/>
    <s v="3301.001"/>
    <s v="Défalcations, abandons de solde PP et IS"/>
    <n v="20.66"/>
    <n v="0"/>
    <n v="3301"/>
  </r>
  <r>
    <x v="0"/>
    <x v="11"/>
    <x v="9"/>
    <x v="325"/>
    <x v="272"/>
    <x v="272"/>
    <s v="CHARGES"/>
    <x v="0"/>
    <s v="3212.002"/>
    <s v="Intérêts bonifiés/trop perçu acompte C/C"/>
    <n v="0.35"/>
    <n v="0"/>
    <n v="3212"/>
  </r>
  <r>
    <x v="0"/>
    <x v="11"/>
    <x v="9"/>
    <x v="325"/>
    <x v="272"/>
    <x v="272"/>
    <s v="CHARGES"/>
    <x v="1"/>
    <s v="3301.003"/>
    <s v="Remises PP et IS"/>
    <n v="7322.01"/>
    <n v="0"/>
    <n v="3301"/>
  </r>
  <r>
    <x v="0"/>
    <x v="11"/>
    <x v="9"/>
    <x v="325"/>
    <x v="272"/>
    <x v="272"/>
    <s v="CHARGES"/>
    <x v="0"/>
    <s v="3212.004"/>
    <s v="Intérêts rémun./perçu trop tôt sur acomptes C/C"/>
    <n v="5.34"/>
    <n v="0"/>
    <n v="3212"/>
  </r>
  <r>
    <x v="0"/>
    <x v="11"/>
    <x v="9"/>
    <x v="325"/>
    <x v="272"/>
    <x v="272"/>
    <s v="CHARGES"/>
    <x v="0"/>
    <s v="3212.002"/>
    <s v="Intérêts bonifiés/trop perçu acompte C/C"/>
    <n v="0.01"/>
    <n v="0"/>
    <n v="3212"/>
  </r>
  <r>
    <x v="0"/>
    <x v="11"/>
    <x v="9"/>
    <x v="325"/>
    <x v="272"/>
    <x v="272"/>
    <s v="CHARGES"/>
    <x v="0"/>
    <s v="3212.004"/>
    <s v="Intérêts rémun./perçu trop tôt sur acomptes C/C"/>
    <n v="-0.91"/>
    <n v="0"/>
    <n v="3212"/>
  </r>
  <r>
    <x v="0"/>
    <x v="11"/>
    <x v="9"/>
    <x v="325"/>
    <x v="272"/>
    <x v="272"/>
    <s v="CHARGES"/>
    <x v="1"/>
    <s v="3301.001"/>
    <s v="Défalcations, abandons de solde PP et IS"/>
    <n v="33199.86"/>
    <n v="0"/>
    <n v="3301"/>
  </r>
  <r>
    <x v="0"/>
    <x v="11"/>
    <x v="9"/>
    <x v="325"/>
    <x v="272"/>
    <x v="272"/>
    <s v="CHARGES"/>
    <x v="0"/>
    <s v="3212.002"/>
    <s v="Intérêts bonifiés/trop perçu acompte C/C"/>
    <n v="129.19999999999999"/>
    <n v="0"/>
    <n v="3212"/>
  </r>
  <r>
    <x v="0"/>
    <x v="11"/>
    <x v="9"/>
    <x v="325"/>
    <x v="272"/>
    <x v="272"/>
    <s v="CHARGES"/>
    <x v="0"/>
    <s v="3221.002"/>
    <s v="Intérêts compensatoires / créances en faveur ctb."/>
    <n v="0.47"/>
    <n v="0"/>
    <n v="3221"/>
  </r>
  <r>
    <x v="0"/>
    <x v="11"/>
    <x v="9"/>
    <x v="325"/>
    <x v="272"/>
    <x v="272"/>
    <s v="CHARGES"/>
    <x v="1"/>
    <s v="3301.001"/>
    <s v="Défalcations, abandons de solde PP et IS"/>
    <n v="-658.26"/>
    <n v="0"/>
    <n v="3301"/>
  </r>
  <r>
    <x v="0"/>
    <x v="11"/>
    <x v="9"/>
    <x v="325"/>
    <x v="272"/>
    <x v="272"/>
    <s v="CHARGES"/>
    <x v="0"/>
    <s v="3212.004"/>
    <s v="Intérêts rémun./perçu trop tôt sur acomptes C/C"/>
    <n v="0.28999999999999998"/>
    <n v="0"/>
    <n v="3212"/>
  </r>
  <r>
    <x v="0"/>
    <x v="11"/>
    <x v="9"/>
    <x v="325"/>
    <x v="272"/>
    <x v="272"/>
    <s v="CHARGES"/>
    <x v="0"/>
    <s v="3221.002"/>
    <s v="Intérêts compensatoires / créances en faveur ctb."/>
    <n v="0.01"/>
    <n v="0"/>
    <n v="3221"/>
  </r>
  <r>
    <x v="0"/>
    <x v="11"/>
    <x v="9"/>
    <x v="325"/>
    <x v="272"/>
    <x v="272"/>
    <s v="CHARGES"/>
    <x v="0"/>
    <s v="3221.002"/>
    <s v="Intérêts compensatoires / créances en faveur ctb."/>
    <n v="1.42"/>
    <n v="0"/>
    <n v="3221"/>
  </r>
  <r>
    <x v="0"/>
    <x v="11"/>
    <x v="9"/>
    <x v="325"/>
    <x v="272"/>
    <x v="272"/>
    <s v="CHARGES"/>
    <x v="0"/>
    <s v="3221.002"/>
    <s v="Intérêts compensatoires / créances en faveur ctb."/>
    <n v="0.01"/>
    <n v="0"/>
    <n v="3221"/>
  </r>
  <r>
    <x v="0"/>
    <x v="11"/>
    <x v="9"/>
    <x v="325"/>
    <x v="272"/>
    <x v="272"/>
    <s v="REVENUS"/>
    <x v="2"/>
    <s v="4001.007"/>
    <s v="Acompte impôt sur revenu"/>
    <n v="0"/>
    <n v="1041.6300000000001"/>
    <n v="4001"/>
  </r>
  <r>
    <x v="0"/>
    <x v="11"/>
    <x v="9"/>
    <x v="325"/>
    <x v="272"/>
    <x v="272"/>
    <s v="REVENUS"/>
    <x v="3"/>
    <s v="4002.007"/>
    <s v="Acompte impôt sur fortune"/>
    <n v="0"/>
    <n v="14528.62"/>
    <n v="4002"/>
  </r>
  <r>
    <x v="0"/>
    <x v="11"/>
    <x v="9"/>
    <x v="325"/>
    <x v="272"/>
    <x v="272"/>
    <s v="REVENUS"/>
    <x v="2"/>
    <s v="4001.001"/>
    <s v="Impôt revenu"/>
    <n v="0"/>
    <n v="20055320.850000001"/>
    <n v="4001"/>
  </r>
  <r>
    <x v="0"/>
    <x v="11"/>
    <x v="9"/>
    <x v="325"/>
    <x v="272"/>
    <x v="272"/>
    <s v="REVENUS"/>
    <x v="2"/>
    <s v="4001.002"/>
    <s v="Impôt complément s/revenu PP"/>
    <n v="0"/>
    <n v="4713338.6500000004"/>
    <n v="4001"/>
  </r>
  <r>
    <x v="0"/>
    <x v="11"/>
    <x v="9"/>
    <x v="325"/>
    <x v="272"/>
    <x v="272"/>
    <s v="REVENUS"/>
    <x v="2"/>
    <s v="4001.003"/>
    <s v="Impôt s/prest. cap. PP"/>
    <n v="0"/>
    <n v="505936.9"/>
    <n v="4001"/>
  </r>
  <r>
    <x v="0"/>
    <x v="11"/>
    <x v="9"/>
    <x v="325"/>
    <x v="272"/>
    <x v="272"/>
    <s v="REVENUS"/>
    <x v="2"/>
    <s v="4001.007"/>
    <s v="Acompte impôt sur revenu"/>
    <n v="0"/>
    <n v="3132325.63"/>
    <n v="4001"/>
  </r>
  <r>
    <x v="0"/>
    <x v="11"/>
    <x v="9"/>
    <x v="325"/>
    <x v="272"/>
    <x v="272"/>
    <s v="REVENUS"/>
    <x v="3"/>
    <s v="4002.001"/>
    <s v="Impôt ordinaire s/fortune PP"/>
    <n v="0"/>
    <n v="3938520.2"/>
    <n v="4002"/>
  </r>
  <r>
    <x v="0"/>
    <x v="11"/>
    <x v="9"/>
    <x v="325"/>
    <x v="272"/>
    <x v="272"/>
    <s v="REVENUS"/>
    <x v="3"/>
    <s v="4002.002"/>
    <s v="Impôt complémentaire s/fortune PP"/>
    <n v="0"/>
    <n v="1297141.1499999999"/>
    <n v="4002"/>
  </r>
  <r>
    <x v="0"/>
    <x v="11"/>
    <x v="9"/>
    <x v="325"/>
    <x v="272"/>
    <x v="272"/>
    <s v="REVENUS"/>
    <x v="3"/>
    <s v="4002.007"/>
    <s v="Acompte impôt sur fortune"/>
    <n v="0"/>
    <n v="533225.23"/>
    <n v="4002"/>
  </r>
  <r>
    <x v="0"/>
    <x v="11"/>
    <x v="9"/>
    <x v="325"/>
    <x v="272"/>
    <x v="272"/>
    <s v="REVENUS"/>
    <x v="6"/>
    <s v="4211.001"/>
    <s v="Intérêts de retard sur factures"/>
    <n v="0"/>
    <n v="109001.04"/>
    <n v="4211"/>
  </r>
  <r>
    <x v="0"/>
    <x v="11"/>
    <x v="9"/>
    <x v="325"/>
    <x v="272"/>
    <x v="272"/>
    <s v="REVENUS"/>
    <x v="6"/>
    <s v="4211.002"/>
    <s v="Intérêts de retard sur acomptes"/>
    <n v="0"/>
    <n v="131414.70000000001"/>
    <n v="4211"/>
  </r>
  <r>
    <x v="0"/>
    <x v="11"/>
    <x v="9"/>
    <x v="325"/>
    <x v="272"/>
    <x v="272"/>
    <s v="REVENUS"/>
    <x v="6"/>
    <s v="4221.002"/>
    <s v="Intérêts compensat. sur impôts distincts"/>
    <n v="0"/>
    <n v="767.09"/>
    <n v="4221"/>
  </r>
  <r>
    <x v="0"/>
    <x v="11"/>
    <x v="9"/>
    <x v="325"/>
    <x v="272"/>
    <x v="272"/>
    <s v="REVENUS"/>
    <x v="6"/>
    <s v="4221.003"/>
    <s v="Intérêts compensat. / acomptes en faveur du fisc"/>
    <n v="0"/>
    <n v="3275.18"/>
    <n v="4221"/>
  </r>
  <r>
    <x v="0"/>
    <x v="11"/>
    <x v="9"/>
    <x v="325"/>
    <x v="272"/>
    <x v="272"/>
    <s v="REVENUS"/>
    <x v="2"/>
    <s v="4001.007"/>
    <s v="Acompte impôt sur revenu"/>
    <n v="0"/>
    <n v="-3394.14"/>
    <n v="4001"/>
  </r>
  <r>
    <x v="0"/>
    <x v="11"/>
    <x v="9"/>
    <x v="325"/>
    <x v="272"/>
    <x v="272"/>
    <s v="REVENUS"/>
    <x v="3"/>
    <s v="4002.007"/>
    <s v="Acompte impôt sur fortune"/>
    <n v="0"/>
    <n v="4729.6000000000004"/>
    <n v="4002"/>
  </r>
  <r>
    <x v="0"/>
    <x v="11"/>
    <x v="9"/>
    <x v="325"/>
    <x v="272"/>
    <x v="272"/>
    <s v="REVENUS"/>
    <x v="2"/>
    <s v="4001.007"/>
    <s v="Acompte impôt sur revenu"/>
    <n v="0"/>
    <n v="19808.12"/>
    <n v="4001"/>
  </r>
  <r>
    <x v="0"/>
    <x v="11"/>
    <x v="9"/>
    <x v="325"/>
    <x v="272"/>
    <x v="272"/>
    <s v="REVENUS"/>
    <x v="3"/>
    <s v="4002.007"/>
    <s v="Acompte impôt sur fortune"/>
    <n v="0"/>
    <n v="7508.62"/>
    <n v="4002"/>
  </r>
  <r>
    <x v="0"/>
    <x v="11"/>
    <x v="9"/>
    <x v="325"/>
    <x v="272"/>
    <x v="272"/>
    <s v="REVENUS"/>
    <x v="7"/>
    <s v="4184.000"/>
    <s v="Frais de poursuite"/>
    <n v="0"/>
    <n v="20757.71"/>
    <n v="4184"/>
  </r>
  <r>
    <x v="0"/>
    <x v="11"/>
    <x v="9"/>
    <x v="325"/>
    <x v="272"/>
    <x v="272"/>
    <s v="REVENUS"/>
    <x v="10"/>
    <s v="4041.001"/>
    <s v="Droits de mutation"/>
    <n v="0"/>
    <n v="741822"/>
    <n v="4041"/>
  </r>
  <r>
    <x v="0"/>
    <x v="11"/>
    <x v="9"/>
    <x v="325"/>
    <x v="272"/>
    <x v="272"/>
    <s v="REVENUS"/>
    <x v="2"/>
    <s v="4001.001"/>
    <s v="Impôt revenu"/>
    <n v="0"/>
    <n v="45971.45"/>
    <n v="4001"/>
  </r>
  <r>
    <x v="0"/>
    <x v="11"/>
    <x v="9"/>
    <x v="325"/>
    <x v="272"/>
    <x v="272"/>
    <s v="REVENUS"/>
    <x v="3"/>
    <s v="4002.001"/>
    <s v="Impôt ordinaire s/fortune PP"/>
    <n v="0"/>
    <n v="13656.45"/>
    <n v="4002"/>
  </r>
  <r>
    <x v="0"/>
    <x v="11"/>
    <x v="9"/>
    <x v="325"/>
    <x v="272"/>
    <x v="272"/>
    <s v="REVENUS"/>
    <x v="6"/>
    <s v="4211.002"/>
    <s v="Intérêts de retard sur acomptes"/>
    <n v="0"/>
    <n v="410.47"/>
    <n v="4211"/>
  </r>
  <r>
    <x v="0"/>
    <x v="11"/>
    <x v="9"/>
    <x v="325"/>
    <x v="272"/>
    <x v="272"/>
    <s v="REVENUS"/>
    <x v="2"/>
    <s v="4001.001"/>
    <s v="Impôt revenu"/>
    <n v="0"/>
    <n v="-310231.95"/>
    <n v="4001"/>
  </r>
  <r>
    <x v="0"/>
    <x v="11"/>
    <x v="9"/>
    <x v="325"/>
    <x v="272"/>
    <x v="272"/>
    <s v="REVENUS"/>
    <x v="3"/>
    <s v="4002.001"/>
    <s v="Impôt ordinaire s/fortune PP"/>
    <n v="0"/>
    <n v="-109439.9"/>
    <n v="4002"/>
  </r>
  <r>
    <x v="0"/>
    <x v="11"/>
    <x v="9"/>
    <x v="325"/>
    <x v="272"/>
    <x v="272"/>
    <s v="REVENUS"/>
    <x v="6"/>
    <s v="4221.003"/>
    <s v="Intérêts compensat. / acomptes en faveur du fisc"/>
    <n v="0"/>
    <n v="155.38"/>
    <n v="4221"/>
  </r>
  <r>
    <x v="0"/>
    <x v="11"/>
    <x v="9"/>
    <x v="325"/>
    <x v="272"/>
    <x v="272"/>
    <s v="REVENUS"/>
    <x v="9"/>
    <s v="4031.001"/>
    <s v="Impôt sur les gains immobiliers"/>
    <n v="0"/>
    <n v="893927.25"/>
    <n v="4031"/>
  </r>
  <r>
    <x v="0"/>
    <x v="11"/>
    <x v="9"/>
    <x v="325"/>
    <x v="272"/>
    <x v="272"/>
    <s v="REVENUS"/>
    <x v="5"/>
    <s v="4061.000"/>
    <s v="Impôt sur les chiens"/>
    <n v="0"/>
    <n v="45300"/>
    <n v="4061"/>
  </r>
  <r>
    <x v="0"/>
    <x v="11"/>
    <x v="9"/>
    <x v="325"/>
    <x v="272"/>
    <x v="272"/>
    <s v="REVENUS"/>
    <x v="7"/>
    <s v="4184.000"/>
    <s v="Frais de poursuite"/>
    <n v="0"/>
    <n v="469.71"/>
    <n v="4184"/>
  </r>
  <r>
    <x v="0"/>
    <x v="11"/>
    <x v="9"/>
    <x v="325"/>
    <x v="272"/>
    <x v="272"/>
    <s v="REVENUS"/>
    <x v="2"/>
    <s v="4001.001"/>
    <s v="Impôt revenu"/>
    <n v="0"/>
    <n v="45148.35"/>
    <n v="4001"/>
  </r>
  <r>
    <x v="0"/>
    <x v="11"/>
    <x v="9"/>
    <x v="325"/>
    <x v="272"/>
    <x v="272"/>
    <s v="REVENUS"/>
    <x v="2"/>
    <s v="4001.002"/>
    <s v="Impôt complément s/revenu PP"/>
    <n v="0"/>
    <n v="112899.85"/>
    <n v="4001"/>
  </r>
  <r>
    <x v="0"/>
    <x v="11"/>
    <x v="9"/>
    <x v="325"/>
    <x v="272"/>
    <x v="272"/>
    <s v="REVENUS"/>
    <x v="3"/>
    <s v="4002.001"/>
    <s v="Impôt ordinaire s/fortune PP"/>
    <n v="0"/>
    <n v="25738.799999999999"/>
    <n v="4002"/>
  </r>
  <r>
    <x v="0"/>
    <x v="11"/>
    <x v="9"/>
    <x v="325"/>
    <x v="272"/>
    <x v="272"/>
    <s v="REVENUS"/>
    <x v="3"/>
    <s v="4002.002"/>
    <s v="Impôt complémentaire s/fortune PP"/>
    <n v="0"/>
    <n v="34044.75"/>
    <n v="4002"/>
  </r>
  <r>
    <x v="0"/>
    <x v="11"/>
    <x v="9"/>
    <x v="325"/>
    <x v="272"/>
    <x v="272"/>
    <s v="REVENUS"/>
    <x v="6"/>
    <s v="4221.003"/>
    <s v="Intérêts compensat. / acomptes en faveur du fisc"/>
    <n v="0"/>
    <n v="11.2"/>
    <n v="4221"/>
  </r>
  <r>
    <x v="0"/>
    <x v="11"/>
    <x v="9"/>
    <x v="325"/>
    <x v="272"/>
    <x v="272"/>
    <s v="REVENUS"/>
    <x v="6"/>
    <s v="4211.002"/>
    <s v="Intérêts de retard sur acomptes"/>
    <n v="0"/>
    <n v="476.41"/>
    <n v="4211"/>
  </r>
  <r>
    <x v="0"/>
    <x v="11"/>
    <x v="9"/>
    <x v="325"/>
    <x v="272"/>
    <x v="272"/>
    <s v="REVENUS"/>
    <x v="6"/>
    <s v="4211.001"/>
    <s v="Intérêts de retard sur factures"/>
    <n v="0"/>
    <n v="111.57"/>
    <n v="4211"/>
  </r>
  <r>
    <x v="0"/>
    <x v="11"/>
    <x v="9"/>
    <x v="325"/>
    <x v="272"/>
    <x v="272"/>
    <s v="REVENUS"/>
    <x v="3"/>
    <s v="4002.001"/>
    <s v="Impôt ordinaire s/fortune PP"/>
    <n v="0"/>
    <n v="4826.6000000000004"/>
    <n v="4002"/>
  </r>
  <r>
    <x v="0"/>
    <x v="11"/>
    <x v="9"/>
    <x v="325"/>
    <x v="272"/>
    <x v="272"/>
    <s v="REVENUS"/>
    <x v="3"/>
    <s v="4002.002"/>
    <s v="Impôt complémentaire s/fortune PP"/>
    <n v="0"/>
    <n v="106.6"/>
    <n v="4002"/>
  </r>
  <r>
    <x v="0"/>
    <x v="11"/>
    <x v="9"/>
    <x v="325"/>
    <x v="272"/>
    <x v="272"/>
    <s v="REVENUS"/>
    <x v="6"/>
    <s v="4211.002"/>
    <s v="Intérêts de retard sur acomptes"/>
    <n v="0"/>
    <n v="165.31"/>
    <n v="4211"/>
  </r>
  <r>
    <x v="0"/>
    <x v="11"/>
    <x v="9"/>
    <x v="325"/>
    <x v="272"/>
    <x v="272"/>
    <s v="REVENUS"/>
    <x v="2"/>
    <s v="4001.007"/>
    <s v="Acompte impôt sur revenu"/>
    <n v="0"/>
    <n v="54.8"/>
    <n v="4001"/>
  </r>
  <r>
    <x v="0"/>
    <x v="11"/>
    <x v="9"/>
    <x v="325"/>
    <x v="272"/>
    <x v="272"/>
    <s v="REVENUS"/>
    <x v="6"/>
    <s v="4221.003"/>
    <s v="Intérêts compensat. / acomptes en faveur du fisc"/>
    <n v="0"/>
    <n v="11.25"/>
    <n v="4221"/>
  </r>
  <r>
    <x v="0"/>
    <x v="11"/>
    <x v="9"/>
    <x v="325"/>
    <x v="272"/>
    <x v="272"/>
    <s v="REVENUS"/>
    <x v="2"/>
    <s v="4001.001"/>
    <s v="Impôt revenu"/>
    <n v="0"/>
    <n v="8532.2000000000007"/>
    <n v="4001"/>
  </r>
  <r>
    <x v="0"/>
    <x v="11"/>
    <x v="9"/>
    <x v="325"/>
    <x v="272"/>
    <x v="272"/>
    <s v="REVENUS"/>
    <x v="2"/>
    <s v="4001.002"/>
    <s v="Impôt complément s/revenu PP"/>
    <n v="0"/>
    <n v="547109.19999999995"/>
    <n v="4001"/>
  </r>
  <r>
    <x v="0"/>
    <x v="11"/>
    <x v="9"/>
    <x v="325"/>
    <x v="272"/>
    <x v="272"/>
    <s v="REVENUS"/>
    <x v="3"/>
    <s v="4002.002"/>
    <s v="Impôt complémentaire s/fortune PP"/>
    <n v="0"/>
    <n v="190999.35"/>
    <n v="4002"/>
  </r>
  <r>
    <x v="0"/>
    <x v="11"/>
    <x v="9"/>
    <x v="325"/>
    <x v="272"/>
    <x v="272"/>
    <s v="REVENUS"/>
    <x v="9"/>
    <s v="4031.002"/>
    <s v="Complément impôt sur les gains immobiliers"/>
    <n v="0"/>
    <n v="20937.849999999999"/>
    <n v="4031"/>
  </r>
  <r>
    <x v="0"/>
    <x v="11"/>
    <x v="9"/>
    <x v="325"/>
    <x v="272"/>
    <x v="272"/>
    <s v="REVENUS"/>
    <x v="2"/>
    <s v="4001.001"/>
    <s v="Impôt revenu"/>
    <n v="0"/>
    <n v="17377.45"/>
    <n v="4001"/>
  </r>
  <r>
    <x v="0"/>
    <x v="11"/>
    <x v="9"/>
    <x v="325"/>
    <x v="272"/>
    <x v="272"/>
    <s v="REVENUS"/>
    <x v="2"/>
    <s v="4001.007"/>
    <s v="Acompte impôt sur revenu"/>
    <n v="0"/>
    <n v="2107.5300000000002"/>
    <n v="4001"/>
  </r>
  <r>
    <x v="0"/>
    <x v="11"/>
    <x v="9"/>
    <x v="325"/>
    <x v="272"/>
    <x v="272"/>
    <s v="REVENUS"/>
    <x v="3"/>
    <s v="4002.001"/>
    <s v="Impôt ordinaire s/fortune PP"/>
    <n v="0"/>
    <n v="8608.7999999999993"/>
    <n v="4002"/>
  </r>
  <r>
    <x v="0"/>
    <x v="11"/>
    <x v="9"/>
    <x v="325"/>
    <x v="272"/>
    <x v="272"/>
    <s v="REVENUS"/>
    <x v="3"/>
    <s v="4002.007"/>
    <s v="Acompte impôt sur fortune"/>
    <n v="0"/>
    <n v="-87.33"/>
    <n v="4002"/>
  </r>
  <r>
    <x v="0"/>
    <x v="11"/>
    <x v="9"/>
    <x v="325"/>
    <x v="272"/>
    <x v="272"/>
    <s v="REVENUS"/>
    <x v="6"/>
    <s v="4221.003"/>
    <s v="Intérêts compensat. / acomptes en faveur du fisc"/>
    <n v="0"/>
    <n v="11.26"/>
    <n v="4221"/>
  </r>
  <r>
    <x v="0"/>
    <x v="11"/>
    <x v="9"/>
    <x v="325"/>
    <x v="272"/>
    <x v="272"/>
    <s v="REVENUS"/>
    <x v="2"/>
    <s v="4001.002"/>
    <s v="Impôt complément s/revenu PP"/>
    <n v="0"/>
    <n v="5885"/>
    <n v="4001"/>
  </r>
  <r>
    <x v="0"/>
    <x v="11"/>
    <x v="9"/>
    <x v="325"/>
    <x v="272"/>
    <x v="272"/>
    <s v="REVENUS"/>
    <x v="3"/>
    <s v="4002.002"/>
    <s v="Impôt complémentaire s/fortune PP"/>
    <n v="0"/>
    <n v="2990.1"/>
    <n v="4002"/>
  </r>
  <r>
    <x v="0"/>
    <x v="11"/>
    <x v="9"/>
    <x v="325"/>
    <x v="272"/>
    <x v="272"/>
    <s v="REVENUS"/>
    <x v="6"/>
    <s v="4211.001"/>
    <s v="Intérêts de retard sur factures"/>
    <n v="0"/>
    <n v="109.31"/>
    <n v="4211"/>
  </r>
  <r>
    <x v="0"/>
    <x v="11"/>
    <x v="9"/>
    <x v="325"/>
    <x v="272"/>
    <x v="272"/>
    <s v="REVENUS"/>
    <x v="2"/>
    <s v="4001.002"/>
    <s v="Impôt complément s/revenu PP"/>
    <n v="0"/>
    <n v="-12220.8"/>
    <n v="4001"/>
  </r>
  <r>
    <x v="0"/>
    <x v="11"/>
    <x v="9"/>
    <x v="325"/>
    <x v="272"/>
    <x v="272"/>
    <s v="REVENUS"/>
    <x v="3"/>
    <s v="4002.002"/>
    <s v="Impôt complémentaire s/fortune PP"/>
    <n v="0"/>
    <n v="-9634.75"/>
    <n v="4002"/>
  </r>
  <r>
    <x v="0"/>
    <x v="11"/>
    <x v="9"/>
    <x v="325"/>
    <x v="272"/>
    <x v="272"/>
    <s v="REVENUS"/>
    <x v="6"/>
    <s v="4211.001"/>
    <s v="Intérêts de retard sur factures"/>
    <n v="0"/>
    <n v="-0.08"/>
    <n v="4211"/>
  </r>
  <r>
    <x v="0"/>
    <x v="11"/>
    <x v="9"/>
    <x v="325"/>
    <x v="272"/>
    <x v="272"/>
    <s v="REVENUS"/>
    <x v="3"/>
    <s v="4002.007"/>
    <s v="Acompte impôt sur fortune"/>
    <n v="0"/>
    <n v="8"/>
    <n v="4002"/>
  </r>
  <r>
    <x v="0"/>
    <x v="11"/>
    <x v="9"/>
    <x v="325"/>
    <x v="272"/>
    <x v="272"/>
    <s v="REVENUS"/>
    <x v="2"/>
    <s v="4001.007"/>
    <s v="Acompte impôt sur revenu"/>
    <n v="0"/>
    <n v="-44133.31"/>
    <n v="4001"/>
  </r>
  <r>
    <x v="0"/>
    <x v="11"/>
    <x v="9"/>
    <x v="325"/>
    <x v="272"/>
    <x v="272"/>
    <s v="REVENUS"/>
    <x v="3"/>
    <s v="4002.007"/>
    <s v="Acompte impôt sur fortune"/>
    <n v="0"/>
    <n v="-26552.47"/>
    <n v="4002"/>
  </r>
  <r>
    <x v="0"/>
    <x v="11"/>
    <x v="9"/>
    <x v="325"/>
    <x v="272"/>
    <x v="272"/>
    <s v="REVENUS"/>
    <x v="12"/>
    <s v="4004.000"/>
    <s v="Impôt spécial étrangers"/>
    <n v="0"/>
    <n v="874901.15"/>
    <n v="4004"/>
  </r>
  <r>
    <x v="0"/>
    <x v="11"/>
    <x v="9"/>
    <x v="325"/>
    <x v="272"/>
    <x v="272"/>
    <s v="REVENUS"/>
    <x v="12"/>
    <s v="4004.007"/>
    <s v="Acompte spécial étrangers"/>
    <n v="0"/>
    <n v="-378872.7"/>
    <n v="4004"/>
  </r>
  <r>
    <x v="0"/>
    <x v="11"/>
    <x v="9"/>
    <x v="325"/>
    <x v="272"/>
    <x v="272"/>
    <s v="REVENUS"/>
    <x v="3"/>
    <s v="4002.007"/>
    <s v="Acompte impôt sur fortune"/>
    <n v="0"/>
    <n v="-349.17"/>
    <n v="4002"/>
  </r>
  <r>
    <x v="0"/>
    <x v="11"/>
    <x v="9"/>
    <x v="325"/>
    <x v="272"/>
    <x v="272"/>
    <s v="REVENUS"/>
    <x v="8"/>
    <s v="4091.001"/>
    <s v="Impôt récupéré après défalcations"/>
    <n v="0"/>
    <n v="29342.25"/>
    <n v="4091"/>
  </r>
  <r>
    <x v="0"/>
    <x v="11"/>
    <x v="9"/>
    <x v="325"/>
    <x v="272"/>
    <x v="272"/>
    <s v="REVENUS"/>
    <x v="4"/>
    <s v="4051.001"/>
    <s v="Impôt sur les successions"/>
    <n v="0"/>
    <n v="700990.6"/>
    <n v="4051"/>
  </r>
  <r>
    <x v="0"/>
    <x v="11"/>
    <x v="9"/>
    <x v="325"/>
    <x v="272"/>
    <x v="272"/>
    <s v="REVENUS"/>
    <x v="6"/>
    <s v="4211.002"/>
    <s v="Intérêts de retard sur acomptes"/>
    <n v="0"/>
    <n v="137.19999999999999"/>
    <n v="4211"/>
  </r>
  <r>
    <x v="0"/>
    <x v="11"/>
    <x v="9"/>
    <x v="325"/>
    <x v="272"/>
    <x v="272"/>
    <s v="REVENUS"/>
    <x v="8"/>
    <s v="4091.001"/>
    <s v="Impôt récupéré après défalcations"/>
    <n v="0"/>
    <n v="95871.57"/>
    <n v="4091"/>
  </r>
  <r>
    <x v="0"/>
    <x v="11"/>
    <x v="9"/>
    <x v="325"/>
    <x v="272"/>
    <x v="272"/>
    <s v="REVENUS"/>
    <x v="6"/>
    <s v="4211.001"/>
    <s v="Intérêts de retard sur factures"/>
    <n v="0"/>
    <n v="3587.01"/>
    <n v="4211"/>
  </r>
  <r>
    <x v="0"/>
    <x v="11"/>
    <x v="9"/>
    <x v="325"/>
    <x v="272"/>
    <x v="272"/>
    <s v="REVENUS"/>
    <x v="2"/>
    <s v="4001.002"/>
    <s v="Impôt complément s/revenu PP"/>
    <n v="0"/>
    <n v="61.1"/>
    <n v="4001"/>
  </r>
  <r>
    <x v="0"/>
    <x v="11"/>
    <x v="9"/>
    <x v="325"/>
    <x v="272"/>
    <x v="272"/>
    <s v="REVENUS"/>
    <x v="6"/>
    <s v="4211.001"/>
    <s v="Intérêts de retard sur factures"/>
    <n v="0"/>
    <n v="0.11"/>
    <n v="4211"/>
  </r>
  <r>
    <x v="0"/>
    <x v="11"/>
    <x v="9"/>
    <x v="325"/>
    <x v="272"/>
    <x v="272"/>
    <s v="REVENUS"/>
    <x v="6"/>
    <s v="4221.003"/>
    <s v="Intérêts compensat. / acomptes en faveur du fisc"/>
    <n v="0"/>
    <n v="1.05"/>
    <n v="4221"/>
  </r>
  <r>
    <x v="0"/>
    <x v="11"/>
    <x v="9"/>
    <x v="325"/>
    <x v="272"/>
    <x v="272"/>
    <s v="REVENUS"/>
    <x v="6"/>
    <s v="4211.001"/>
    <s v="Intérêts de retard sur factures"/>
    <n v="0"/>
    <n v="18.21"/>
    <n v="4211"/>
  </r>
  <r>
    <x v="0"/>
    <x v="11"/>
    <x v="9"/>
    <x v="325"/>
    <x v="272"/>
    <x v="272"/>
    <s v="REVENUS"/>
    <x v="3"/>
    <s v="4002.001"/>
    <s v="Impôt ordinaire s/fortune PP"/>
    <n v="0"/>
    <n v="384.8"/>
    <n v="4002"/>
  </r>
  <r>
    <x v="0"/>
    <x v="11"/>
    <x v="9"/>
    <x v="325"/>
    <x v="272"/>
    <x v="272"/>
    <s v="REVENUS"/>
    <x v="3"/>
    <s v="4002.001"/>
    <s v="Impôt ordinaire s/fortune PP"/>
    <n v="0"/>
    <n v="121.95"/>
    <n v="4002"/>
  </r>
  <r>
    <x v="0"/>
    <x v="11"/>
    <x v="9"/>
    <x v="325"/>
    <x v="272"/>
    <x v="272"/>
    <s v="REVENUS"/>
    <x v="2"/>
    <s v="4001.001"/>
    <s v="Impôt revenu"/>
    <n v="0"/>
    <n v="545.9"/>
    <n v="4001"/>
  </r>
  <r>
    <x v="0"/>
    <x v="11"/>
    <x v="9"/>
    <x v="325"/>
    <x v="272"/>
    <x v="272"/>
    <s v="REVENUS"/>
    <x v="6"/>
    <s v="4211.002"/>
    <s v="Intérêts de retard sur acomptes"/>
    <n v="0"/>
    <n v="3.81"/>
    <n v="4211"/>
  </r>
  <r>
    <x v="0"/>
    <x v="11"/>
    <x v="9"/>
    <x v="325"/>
    <x v="272"/>
    <x v="272"/>
    <s v="REVENUS"/>
    <x v="2"/>
    <s v="4001.005"/>
    <s v="Amende de soustract. Impôt"/>
    <n v="0"/>
    <n v="50"/>
    <n v="4001"/>
  </r>
  <r>
    <x v="0"/>
    <x v="11"/>
    <x v="9"/>
    <x v="325"/>
    <x v="272"/>
    <x v="272"/>
    <s v="REVENUS"/>
    <x v="7"/>
    <s v="4184.000"/>
    <s v="Frais de poursuite"/>
    <n v="0"/>
    <n v="21.47"/>
    <n v="4184"/>
  </r>
  <r>
    <x v="0"/>
    <x v="11"/>
    <x v="9"/>
    <x v="325"/>
    <x v="272"/>
    <x v="272"/>
    <s v="REVENUS"/>
    <x v="6"/>
    <s v="4211.002"/>
    <s v="Intérêts de retard sur acomptes"/>
    <n v="0"/>
    <n v="13.43"/>
    <n v="4211"/>
  </r>
  <r>
    <x v="0"/>
    <x v="11"/>
    <x v="9"/>
    <x v="325"/>
    <x v="272"/>
    <x v="272"/>
    <s v="REVENUS"/>
    <x v="8"/>
    <s v="4091.001"/>
    <s v="Impôt récupéré après défalcations"/>
    <n v="0"/>
    <n v="4104.3500000000004"/>
    <n v="4091"/>
  </r>
  <r>
    <x v="0"/>
    <x v="11"/>
    <x v="9"/>
    <x v="326"/>
    <x v="273"/>
    <x v="273"/>
    <s v="CHARGES"/>
    <x v="0"/>
    <s v="3212.002"/>
    <s v="Intérêts bonifiés/trop perçu acompte C/C"/>
    <n v="752.47"/>
    <n v="0"/>
    <n v="3212"/>
  </r>
  <r>
    <x v="0"/>
    <x v="11"/>
    <x v="9"/>
    <x v="326"/>
    <x v="273"/>
    <x v="273"/>
    <s v="CHARGES"/>
    <x v="0"/>
    <s v="3212.004"/>
    <s v="Intérêts rémun./perçu trop tôt sur acomptes C/C"/>
    <n v="6139.08"/>
    <n v="0"/>
    <n v="3212"/>
  </r>
  <r>
    <x v="0"/>
    <x v="11"/>
    <x v="9"/>
    <x v="326"/>
    <x v="273"/>
    <x v="273"/>
    <s v="CHARGES"/>
    <x v="0"/>
    <s v="3221.002"/>
    <s v="Intérêts compensatoires / créances en faveur ctb."/>
    <n v="2305.5100000000002"/>
    <n v="0"/>
    <n v="3221"/>
  </r>
  <r>
    <x v="0"/>
    <x v="11"/>
    <x v="9"/>
    <x v="326"/>
    <x v="273"/>
    <x v="273"/>
    <s v="CHARGES"/>
    <x v="1"/>
    <s v="3301.001"/>
    <s v="Défalcations, abandons de solde PP et IS"/>
    <n v="339234.58"/>
    <n v="0"/>
    <n v="3301"/>
  </r>
  <r>
    <x v="0"/>
    <x v="11"/>
    <x v="9"/>
    <x v="326"/>
    <x v="273"/>
    <x v="273"/>
    <s v="CHARGES"/>
    <x v="1"/>
    <s v="3301.001"/>
    <s v="Défalcations, abandons de solde PP et IS"/>
    <n v="991.76"/>
    <n v="0"/>
    <n v="3301"/>
  </r>
  <r>
    <x v="0"/>
    <x v="11"/>
    <x v="9"/>
    <x v="326"/>
    <x v="273"/>
    <x v="273"/>
    <s v="CHARGES"/>
    <x v="1"/>
    <s v="3301.001"/>
    <s v="Défalcations, abandons de solde PP et IS"/>
    <n v="5.83"/>
    <n v="0"/>
    <n v="3301"/>
  </r>
  <r>
    <x v="0"/>
    <x v="11"/>
    <x v="9"/>
    <x v="326"/>
    <x v="273"/>
    <x v="273"/>
    <s v="CHARGES"/>
    <x v="0"/>
    <s v="3212.004"/>
    <s v="Intérêts rémun./perçu trop tôt sur acomptes C/C"/>
    <n v="206.81"/>
    <n v="0"/>
    <n v="3212"/>
  </r>
  <r>
    <x v="0"/>
    <x v="11"/>
    <x v="9"/>
    <x v="326"/>
    <x v="273"/>
    <x v="273"/>
    <s v="CHARGES"/>
    <x v="0"/>
    <s v="3221.002"/>
    <s v="Intérêts compensatoires / créances en faveur ctb."/>
    <n v="98.42"/>
    <n v="0"/>
    <n v="3221"/>
  </r>
  <r>
    <x v="0"/>
    <x v="11"/>
    <x v="9"/>
    <x v="326"/>
    <x v="273"/>
    <x v="273"/>
    <s v="CHARGES"/>
    <x v="0"/>
    <s v="3212.004"/>
    <s v="Intérêts rémun./perçu trop tôt sur acomptes C/C"/>
    <n v="74.599999999999994"/>
    <n v="0"/>
    <n v="3212"/>
  </r>
  <r>
    <x v="0"/>
    <x v="11"/>
    <x v="9"/>
    <x v="326"/>
    <x v="273"/>
    <x v="273"/>
    <s v="CHARGES"/>
    <x v="1"/>
    <s v="3301.001"/>
    <s v="Défalcations, abandons de solde PP et IS"/>
    <n v="10.28"/>
    <n v="0"/>
    <n v="3301"/>
  </r>
  <r>
    <x v="0"/>
    <x v="11"/>
    <x v="9"/>
    <x v="326"/>
    <x v="273"/>
    <x v="273"/>
    <s v="CHARGES"/>
    <x v="0"/>
    <s v="3212.004"/>
    <s v="Intérêts rémun./perçu trop tôt sur acomptes C/C"/>
    <n v="56.56"/>
    <n v="0"/>
    <n v="3212"/>
  </r>
  <r>
    <x v="0"/>
    <x v="11"/>
    <x v="9"/>
    <x v="326"/>
    <x v="273"/>
    <x v="273"/>
    <s v="CHARGES"/>
    <x v="1"/>
    <s v="3301.001"/>
    <s v="Défalcations, abandons de solde PP et IS"/>
    <n v="28.13"/>
    <n v="0"/>
    <n v="3301"/>
  </r>
  <r>
    <x v="0"/>
    <x v="11"/>
    <x v="9"/>
    <x v="326"/>
    <x v="273"/>
    <x v="273"/>
    <s v="CHARGES"/>
    <x v="1"/>
    <s v="3301.001"/>
    <s v="Défalcations, abandons de solde PP et IS"/>
    <n v="87375.35"/>
    <n v="0"/>
    <n v="3301"/>
  </r>
  <r>
    <x v="0"/>
    <x v="11"/>
    <x v="9"/>
    <x v="326"/>
    <x v="273"/>
    <x v="273"/>
    <s v="CHARGES"/>
    <x v="0"/>
    <s v="3221.002"/>
    <s v="Intérêts compensatoires / créances en faveur ctb."/>
    <n v="24.98"/>
    <n v="0"/>
    <n v="3221"/>
  </r>
  <r>
    <x v="0"/>
    <x v="11"/>
    <x v="9"/>
    <x v="326"/>
    <x v="273"/>
    <x v="273"/>
    <s v="CHARGES"/>
    <x v="0"/>
    <s v="3221.002"/>
    <s v="Intérêts compensatoires / créances en faveur ctb."/>
    <n v="64.87"/>
    <n v="0"/>
    <n v="3221"/>
  </r>
  <r>
    <x v="0"/>
    <x v="11"/>
    <x v="9"/>
    <x v="326"/>
    <x v="273"/>
    <x v="273"/>
    <s v="CHARGES"/>
    <x v="0"/>
    <s v="3212.002"/>
    <s v="Intérêts bonifiés/trop perçu acompte C/C"/>
    <n v="94.13"/>
    <n v="0"/>
    <n v="3212"/>
  </r>
  <r>
    <x v="0"/>
    <x v="11"/>
    <x v="9"/>
    <x v="326"/>
    <x v="273"/>
    <x v="273"/>
    <s v="CHARGES"/>
    <x v="1"/>
    <s v="3301.003"/>
    <s v="Remises PP et IS"/>
    <n v="5433.54"/>
    <n v="0"/>
    <n v="3301"/>
  </r>
  <r>
    <x v="0"/>
    <x v="11"/>
    <x v="9"/>
    <x v="326"/>
    <x v="273"/>
    <x v="273"/>
    <s v="CHARGES"/>
    <x v="0"/>
    <s v="3212.004"/>
    <s v="Intérêts rémun./perçu trop tôt sur acomptes C/C"/>
    <n v="40.619999999999997"/>
    <n v="0"/>
    <n v="3212"/>
  </r>
  <r>
    <x v="0"/>
    <x v="11"/>
    <x v="9"/>
    <x v="326"/>
    <x v="273"/>
    <x v="273"/>
    <s v="CHARGES"/>
    <x v="0"/>
    <s v="3212.002"/>
    <s v="Intérêts bonifiés/trop perçu acompte C/C"/>
    <n v="0.06"/>
    <n v="0"/>
    <n v="3212"/>
  </r>
  <r>
    <x v="0"/>
    <x v="11"/>
    <x v="9"/>
    <x v="326"/>
    <x v="273"/>
    <x v="273"/>
    <s v="CHARGES"/>
    <x v="0"/>
    <s v="3221.002"/>
    <s v="Intérêts compensatoires / créances en faveur ctb."/>
    <n v="21.85"/>
    <n v="0"/>
    <n v="3221"/>
  </r>
  <r>
    <x v="0"/>
    <x v="11"/>
    <x v="9"/>
    <x v="326"/>
    <x v="273"/>
    <x v="273"/>
    <s v="CHARGES"/>
    <x v="0"/>
    <s v="3212.004"/>
    <s v="Intérêts rémun./perçu trop tôt sur acomptes C/C"/>
    <n v="0.6"/>
    <n v="0"/>
    <n v="3212"/>
  </r>
  <r>
    <x v="0"/>
    <x v="11"/>
    <x v="9"/>
    <x v="326"/>
    <x v="273"/>
    <x v="273"/>
    <s v="CHARGES"/>
    <x v="0"/>
    <s v="3212.002"/>
    <s v="Intérêts bonifiés/trop perçu acompte C/C"/>
    <n v="0.23"/>
    <n v="0"/>
    <n v="3212"/>
  </r>
  <r>
    <x v="0"/>
    <x v="11"/>
    <x v="9"/>
    <x v="326"/>
    <x v="273"/>
    <x v="273"/>
    <s v="CHARGES"/>
    <x v="0"/>
    <s v="3221.002"/>
    <s v="Intérêts compensatoires / créances en faveur ctb."/>
    <n v="6.81"/>
    <n v="0"/>
    <n v="3221"/>
  </r>
  <r>
    <x v="0"/>
    <x v="11"/>
    <x v="9"/>
    <x v="326"/>
    <x v="273"/>
    <x v="273"/>
    <s v="CHARGES"/>
    <x v="1"/>
    <s v="3301.001"/>
    <s v="Défalcations, abandons de solde PP et IS"/>
    <n v="0.2"/>
    <n v="0"/>
    <n v="3301"/>
  </r>
  <r>
    <x v="0"/>
    <x v="11"/>
    <x v="9"/>
    <x v="326"/>
    <x v="273"/>
    <x v="273"/>
    <s v="CHARGES"/>
    <x v="0"/>
    <s v="3212.004"/>
    <s v="Intérêts rémun./perçu trop tôt sur acomptes C/C"/>
    <n v="7.1"/>
    <n v="0"/>
    <n v="3212"/>
  </r>
  <r>
    <x v="0"/>
    <x v="11"/>
    <x v="9"/>
    <x v="326"/>
    <x v="273"/>
    <x v="273"/>
    <s v="CHARGES"/>
    <x v="0"/>
    <s v="3212.004"/>
    <s v="Intérêts rémun./perçu trop tôt sur acomptes C/C"/>
    <n v="0.31"/>
    <n v="0"/>
    <n v="3212"/>
  </r>
  <r>
    <x v="0"/>
    <x v="11"/>
    <x v="9"/>
    <x v="326"/>
    <x v="273"/>
    <x v="273"/>
    <s v="CHARGES"/>
    <x v="0"/>
    <s v="3221.002"/>
    <s v="Intérêts compensatoires / créances en faveur ctb."/>
    <n v="0.03"/>
    <n v="0"/>
    <n v="3221"/>
  </r>
  <r>
    <x v="0"/>
    <x v="11"/>
    <x v="9"/>
    <x v="326"/>
    <x v="273"/>
    <x v="273"/>
    <s v="CHARGES"/>
    <x v="1"/>
    <s v="3301.001"/>
    <s v="Défalcations, abandons de solde PP et IS"/>
    <n v="-0.49"/>
    <n v="0"/>
    <n v="3301"/>
  </r>
  <r>
    <x v="0"/>
    <x v="11"/>
    <x v="9"/>
    <x v="326"/>
    <x v="273"/>
    <x v="273"/>
    <s v="CHARGES"/>
    <x v="0"/>
    <s v="3212.002"/>
    <s v="Intérêts bonifiés/trop perçu acompte C/C"/>
    <n v="0.65"/>
    <n v="0"/>
    <n v="3212"/>
  </r>
  <r>
    <x v="0"/>
    <x v="11"/>
    <x v="9"/>
    <x v="326"/>
    <x v="273"/>
    <x v="273"/>
    <s v="CHARGES"/>
    <x v="0"/>
    <s v="3212.004"/>
    <s v="Intérêts rémun./perçu trop tôt sur acomptes C/C"/>
    <n v="-0.01"/>
    <n v="0"/>
    <n v="3212"/>
  </r>
  <r>
    <x v="0"/>
    <x v="11"/>
    <x v="9"/>
    <x v="326"/>
    <x v="273"/>
    <x v="273"/>
    <s v="CHARGES"/>
    <x v="1"/>
    <s v="3301.001"/>
    <s v="Défalcations, abandons de solde PP et IS"/>
    <n v="-0.03"/>
    <n v="0"/>
    <n v="3301"/>
  </r>
  <r>
    <x v="0"/>
    <x v="11"/>
    <x v="9"/>
    <x v="326"/>
    <x v="273"/>
    <x v="273"/>
    <s v="CHARGES"/>
    <x v="0"/>
    <s v="3212.004"/>
    <s v="Intérêts rémun./perçu trop tôt sur acomptes C/C"/>
    <n v="-0.01"/>
    <n v="0"/>
    <n v="3212"/>
  </r>
  <r>
    <x v="0"/>
    <x v="11"/>
    <x v="9"/>
    <x v="326"/>
    <x v="273"/>
    <x v="273"/>
    <s v="CHARGES"/>
    <x v="0"/>
    <s v="3221.002"/>
    <s v="Intérêts compensatoires / créances en faveur ctb."/>
    <n v="-0.09"/>
    <n v="0"/>
    <n v="3221"/>
  </r>
  <r>
    <x v="0"/>
    <x v="11"/>
    <x v="9"/>
    <x v="326"/>
    <x v="273"/>
    <x v="273"/>
    <s v="REVENUS"/>
    <x v="2"/>
    <s v="4001.007"/>
    <s v="Acompte impôt sur revenu"/>
    <n v="0"/>
    <n v="-7393.52"/>
    <n v="4001"/>
  </r>
  <r>
    <x v="0"/>
    <x v="11"/>
    <x v="9"/>
    <x v="326"/>
    <x v="273"/>
    <x v="273"/>
    <s v="REVENUS"/>
    <x v="3"/>
    <s v="4002.001"/>
    <s v="Impôt ordinaire s/fortune PP"/>
    <n v="0"/>
    <n v="5694.2"/>
    <n v="4002"/>
  </r>
  <r>
    <x v="0"/>
    <x v="11"/>
    <x v="9"/>
    <x v="326"/>
    <x v="273"/>
    <x v="273"/>
    <s v="REVENUS"/>
    <x v="3"/>
    <s v="4002.007"/>
    <s v="Acompte impôt sur fortune"/>
    <n v="0"/>
    <n v="-10734.14"/>
    <n v="4002"/>
  </r>
  <r>
    <x v="0"/>
    <x v="11"/>
    <x v="9"/>
    <x v="326"/>
    <x v="273"/>
    <x v="273"/>
    <s v="REVENUS"/>
    <x v="6"/>
    <s v="4211.002"/>
    <s v="Intérêts de retard sur acomptes"/>
    <n v="0"/>
    <n v="21.14"/>
    <n v="4211"/>
  </r>
  <r>
    <x v="0"/>
    <x v="11"/>
    <x v="9"/>
    <x v="326"/>
    <x v="273"/>
    <x v="273"/>
    <s v="REVENUS"/>
    <x v="2"/>
    <s v="4001.001"/>
    <s v="Impôt revenu"/>
    <n v="0"/>
    <n v="29627695.300000001"/>
    <n v="4001"/>
  </r>
  <r>
    <x v="0"/>
    <x v="11"/>
    <x v="9"/>
    <x v="326"/>
    <x v="273"/>
    <x v="273"/>
    <s v="REVENUS"/>
    <x v="2"/>
    <s v="4001.002"/>
    <s v="Impôt complément s/revenu PP"/>
    <n v="0"/>
    <n v="6674975.1500000004"/>
    <n v="4001"/>
  </r>
  <r>
    <x v="0"/>
    <x v="11"/>
    <x v="9"/>
    <x v="326"/>
    <x v="273"/>
    <x v="273"/>
    <s v="REVENUS"/>
    <x v="2"/>
    <s v="4001.007"/>
    <s v="Acompte impôt sur revenu"/>
    <n v="0"/>
    <n v="-2170577.14"/>
    <n v="4001"/>
  </r>
  <r>
    <x v="0"/>
    <x v="11"/>
    <x v="9"/>
    <x v="326"/>
    <x v="273"/>
    <x v="273"/>
    <s v="REVENUS"/>
    <x v="3"/>
    <s v="4002.001"/>
    <s v="Impôt ordinaire s/fortune PP"/>
    <n v="0"/>
    <n v="3551485.85"/>
    <n v="4002"/>
  </r>
  <r>
    <x v="0"/>
    <x v="11"/>
    <x v="9"/>
    <x v="326"/>
    <x v="273"/>
    <x v="273"/>
    <s v="REVENUS"/>
    <x v="3"/>
    <s v="4002.007"/>
    <s v="Acompte impôt sur fortune"/>
    <n v="0"/>
    <n v="-144355.24"/>
    <n v="4002"/>
  </r>
  <r>
    <x v="0"/>
    <x v="11"/>
    <x v="9"/>
    <x v="326"/>
    <x v="273"/>
    <x v="273"/>
    <s v="REVENUS"/>
    <x v="6"/>
    <s v="4211.001"/>
    <s v="Intérêts de retard sur factures"/>
    <n v="0"/>
    <n v="218120.42"/>
    <n v="4211"/>
  </r>
  <r>
    <x v="0"/>
    <x v="11"/>
    <x v="9"/>
    <x v="326"/>
    <x v="273"/>
    <x v="273"/>
    <s v="REVENUS"/>
    <x v="6"/>
    <s v="4211.002"/>
    <s v="Intérêts de retard sur acomptes"/>
    <n v="0"/>
    <n v="217506.45"/>
    <n v="4211"/>
  </r>
  <r>
    <x v="0"/>
    <x v="11"/>
    <x v="9"/>
    <x v="326"/>
    <x v="273"/>
    <x v="273"/>
    <s v="REVENUS"/>
    <x v="6"/>
    <s v="4221.003"/>
    <s v="Intérêts compensat. / acomptes en faveur du fisc"/>
    <n v="0"/>
    <n v="4457.83"/>
    <n v="4221"/>
  </r>
  <r>
    <x v="0"/>
    <x v="11"/>
    <x v="9"/>
    <x v="326"/>
    <x v="273"/>
    <x v="273"/>
    <s v="REVENUS"/>
    <x v="2"/>
    <s v="4001.001"/>
    <s v="Impôt revenu"/>
    <n v="0"/>
    <n v="435402.35"/>
    <n v="4001"/>
  </r>
  <r>
    <x v="0"/>
    <x v="11"/>
    <x v="9"/>
    <x v="326"/>
    <x v="273"/>
    <x v="273"/>
    <s v="REVENUS"/>
    <x v="2"/>
    <s v="4001.007"/>
    <s v="Acompte impôt sur revenu"/>
    <n v="0"/>
    <n v="-289956.63"/>
    <n v="4001"/>
  </r>
  <r>
    <x v="0"/>
    <x v="11"/>
    <x v="9"/>
    <x v="326"/>
    <x v="273"/>
    <x v="273"/>
    <s v="REVENUS"/>
    <x v="3"/>
    <s v="4002.001"/>
    <s v="Impôt ordinaire s/fortune PP"/>
    <n v="0"/>
    <n v="1366.6"/>
    <n v="4002"/>
  </r>
  <r>
    <x v="0"/>
    <x v="11"/>
    <x v="9"/>
    <x v="326"/>
    <x v="273"/>
    <x v="273"/>
    <s v="REVENUS"/>
    <x v="3"/>
    <s v="4002.007"/>
    <s v="Acompte impôt sur fortune"/>
    <n v="0"/>
    <n v="-39501.199999999997"/>
    <n v="4002"/>
  </r>
  <r>
    <x v="0"/>
    <x v="11"/>
    <x v="9"/>
    <x v="326"/>
    <x v="273"/>
    <x v="273"/>
    <s v="REVENUS"/>
    <x v="6"/>
    <s v="4221.003"/>
    <s v="Intérêts compensat. / acomptes en faveur du fisc"/>
    <n v="0"/>
    <n v="170.79"/>
    <n v="4221"/>
  </r>
  <r>
    <x v="0"/>
    <x v="11"/>
    <x v="9"/>
    <x v="326"/>
    <x v="273"/>
    <x v="273"/>
    <s v="REVENUS"/>
    <x v="2"/>
    <s v="4001.003"/>
    <s v="Impôt s/prest. cap. PP"/>
    <n v="0"/>
    <n v="586052.9"/>
    <n v="4001"/>
  </r>
  <r>
    <x v="0"/>
    <x v="11"/>
    <x v="9"/>
    <x v="326"/>
    <x v="273"/>
    <x v="273"/>
    <s v="REVENUS"/>
    <x v="3"/>
    <s v="4002.002"/>
    <s v="Impôt complémentaire s/fortune PP"/>
    <n v="0"/>
    <n v="1216048.8999999999"/>
    <n v="4002"/>
  </r>
  <r>
    <x v="0"/>
    <x v="11"/>
    <x v="9"/>
    <x v="326"/>
    <x v="273"/>
    <x v="273"/>
    <s v="REVENUS"/>
    <x v="9"/>
    <s v="4031.001"/>
    <s v="Impôt sur les gains immobiliers"/>
    <n v="0"/>
    <n v="1942274.6"/>
    <n v="4031"/>
  </r>
  <r>
    <x v="0"/>
    <x v="11"/>
    <x v="9"/>
    <x v="326"/>
    <x v="273"/>
    <x v="273"/>
    <s v="REVENUS"/>
    <x v="7"/>
    <s v="4184.000"/>
    <s v="Frais de poursuite"/>
    <n v="0"/>
    <n v="54150.59"/>
    <n v="4184"/>
  </r>
  <r>
    <x v="0"/>
    <x v="11"/>
    <x v="9"/>
    <x v="326"/>
    <x v="273"/>
    <x v="273"/>
    <s v="REVENUS"/>
    <x v="6"/>
    <s v="4221.002"/>
    <s v="Intérêts compensat. sur impôts distincts"/>
    <n v="0"/>
    <n v="664.16"/>
    <n v="4221"/>
  </r>
  <r>
    <x v="0"/>
    <x v="11"/>
    <x v="9"/>
    <x v="326"/>
    <x v="273"/>
    <x v="273"/>
    <s v="REVENUS"/>
    <x v="2"/>
    <s v="4001.001"/>
    <s v="Impôt revenu"/>
    <n v="0"/>
    <n v="56286.35"/>
    <n v="4001"/>
  </r>
  <r>
    <x v="0"/>
    <x v="11"/>
    <x v="9"/>
    <x v="326"/>
    <x v="273"/>
    <x v="273"/>
    <s v="REVENUS"/>
    <x v="6"/>
    <s v="4221.003"/>
    <s v="Intérêts compensat. / acomptes en faveur du fisc"/>
    <n v="0"/>
    <n v="8.06"/>
    <n v="4221"/>
  </r>
  <r>
    <x v="0"/>
    <x v="11"/>
    <x v="9"/>
    <x v="326"/>
    <x v="273"/>
    <x v="273"/>
    <s v="REVENUS"/>
    <x v="2"/>
    <s v="4001.002"/>
    <s v="Impôt complément s/revenu PP"/>
    <n v="0"/>
    <n v="269433.59999999998"/>
    <n v="4001"/>
  </r>
  <r>
    <x v="0"/>
    <x v="11"/>
    <x v="9"/>
    <x v="326"/>
    <x v="273"/>
    <x v="273"/>
    <s v="REVENUS"/>
    <x v="3"/>
    <s v="4002.002"/>
    <s v="Impôt complémentaire s/fortune PP"/>
    <n v="0"/>
    <n v="91175"/>
    <n v="4002"/>
  </r>
  <r>
    <x v="0"/>
    <x v="11"/>
    <x v="9"/>
    <x v="326"/>
    <x v="273"/>
    <x v="273"/>
    <s v="REVENUS"/>
    <x v="6"/>
    <s v="4211.002"/>
    <s v="Intérêts de retard sur acomptes"/>
    <n v="0"/>
    <n v="2713.19"/>
    <n v="4211"/>
  </r>
  <r>
    <x v="0"/>
    <x v="11"/>
    <x v="9"/>
    <x v="326"/>
    <x v="273"/>
    <x v="273"/>
    <s v="REVENUS"/>
    <x v="2"/>
    <s v="4001.001"/>
    <s v="Impôt revenu"/>
    <n v="0"/>
    <n v="122044.9"/>
    <n v="4001"/>
  </r>
  <r>
    <x v="0"/>
    <x v="11"/>
    <x v="9"/>
    <x v="326"/>
    <x v="273"/>
    <x v="273"/>
    <s v="REVENUS"/>
    <x v="2"/>
    <s v="4001.002"/>
    <s v="Impôt complément s/revenu PP"/>
    <n v="0"/>
    <n v="22195.1"/>
    <n v="4001"/>
  </r>
  <r>
    <x v="0"/>
    <x v="11"/>
    <x v="9"/>
    <x v="326"/>
    <x v="273"/>
    <x v="273"/>
    <s v="REVENUS"/>
    <x v="2"/>
    <s v="4001.007"/>
    <s v="Acompte impôt sur revenu"/>
    <n v="0"/>
    <n v="538251.63"/>
    <n v="4001"/>
  </r>
  <r>
    <x v="0"/>
    <x v="11"/>
    <x v="9"/>
    <x v="326"/>
    <x v="273"/>
    <x v="273"/>
    <s v="REVENUS"/>
    <x v="3"/>
    <s v="4002.001"/>
    <s v="Impôt ordinaire s/fortune PP"/>
    <n v="0"/>
    <n v="50002.75"/>
    <n v="4002"/>
  </r>
  <r>
    <x v="0"/>
    <x v="11"/>
    <x v="9"/>
    <x v="326"/>
    <x v="273"/>
    <x v="273"/>
    <s v="REVENUS"/>
    <x v="3"/>
    <s v="4002.002"/>
    <s v="Impôt complémentaire s/fortune PP"/>
    <n v="0"/>
    <n v="5481.5"/>
    <n v="4002"/>
  </r>
  <r>
    <x v="0"/>
    <x v="11"/>
    <x v="9"/>
    <x v="326"/>
    <x v="273"/>
    <x v="273"/>
    <s v="REVENUS"/>
    <x v="3"/>
    <s v="4002.007"/>
    <s v="Acompte impôt sur fortune"/>
    <n v="0"/>
    <n v="111084.13"/>
    <n v="4002"/>
  </r>
  <r>
    <x v="0"/>
    <x v="11"/>
    <x v="9"/>
    <x v="326"/>
    <x v="273"/>
    <x v="273"/>
    <s v="REVENUS"/>
    <x v="6"/>
    <s v="4211.001"/>
    <s v="Intérêts de retard sur factures"/>
    <n v="0"/>
    <n v="3672.75"/>
    <n v="4211"/>
  </r>
  <r>
    <x v="0"/>
    <x v="11"/>
    <x v="9"/>
    <x v="326"/>
    <x v="273"/>
    <x v="273"/>
    <s v="REVENUS"/>
    <x v="6"/>
    <s v="4211.002"/>
    <s v="Intérêts de retard sur acomptes"/>
    <n v="0"/>
    <n v="1181.54"/>
    <n v="4211"/>
  </r>
  <r>
    <x v="0"/>
    <x v="11"/>
    <x v="9"/>
    <x v="326"/>
    <x v="273"/>
    <x v="273"/>
    <s v="REVENUS"/>
    <x v="6"/>
    <s v="4221.003"/>
    <s v="Intérêts compensat. / acomptes en faveur du fisc"/>
    <n v="0"/>
    <n v="12.19"/>
    <n v="4221"/>
  </r>
  <r>
    <x v="0"/>
    <x v="11"/>
    <x v="9"/>
    <x v="326"/>
    <x v="273"/>
    <x v="273"/>
    <s v="REVENUS"/>
    <x v="10"/>
    <s v="4041.001"/>
    <s v="Droits de mutation"/>
    <n v="0"/>
    <n v="594587.44999999995"/>
    <n v="4041"/>
  </r>
  <r>
    <x v="0"/>
    <x v="11"/>
    <x v="9"/>
    <x v="326"/>
    <x v="273"/>
    <x v="273"/>
    <s v="REVENUS"/>
    <x v="8"/>
    <s v="4091.001"/>
    <s v="Impôt récupéré après défalcations"/>
    <n v="0"/>
    <n v="110893.75"/>
    <n v="4091"/>
  </r>
  <r>
    <x v="0"/>
    <x v="11"/>
    <x v="9"/>
    <x v="326"/>
    <x v="273"/>
    <x v="273"/>
    <s v="REVENUS"/>
    <x v="2"/>
    <s v="4001.001"/>
    <s v="Impôt revenu"/>
    <n v="0"/>
    <n v="209857.4"/>
    <n v="4001"/>
  </r>
  <r>
    <x v="0"/>
    <x v="11"/>
    <x v="9"/>
    <x v="326"/>
    <x v="273"/>
    <x v="273"/>
    <s v="REVENUS"/>
    <x v="2"/>
    <s v="4001.007"/>
    <s v="Acompte impôt sur revenu"/>
    <n v="0"/>
    <n v="23241.72"/>
    <n v="4001"/>
  </r>
  <r>
    <x v="0"/>
    <x v="11"/>
    <x v="9"/>
    <x v="326"/>
    <x v="273"/>
    <x v="273"/>
    <s v="REVENUS"/>
    <x v="6"/>
    <s v="4211.002"/>
    <s v="Intérêts de retard sur acomptes"/>
    <n v="0"/>
    <n v="2268.0700000000002"/>
    <n v="4211"/>
  </r>
  <r>
    <x v="0"/>
    <x v="11"/>
    <x v="9"/>
    <x v="326"/>
    <x v="273"/>
    <x v="273"/>
    <s v="REVENUS"/>
    <x v="6"/>
    <s v="4221.003"/>
    <s v="Intérêts compensat. / acomptes en faveur du fisc"/>
    <n v="0"/>
    <n v="47.49"/>
    <n v="4221"/>
  </r>
  <r>
    <x v="0"/>
    <x v="11"/>
    <x v="9"/>
    <x v="326"/>
    <x v="273"/>
    <x v="273"/>
    <s v="REVENUS"/>
    <x v="12"/>
    <s v="4004.007"/>
    <s v="Acompte spécial étrangers"/>
    <n v="0"/>
    <n v="-15051.59"/>
    <n v="4004"/>
  </r>
  <r>
    <x v="0"/>
    <x v="11"/>
    <x v="9"/>
    <x v="326"/>
    <x v="273"/>
    <x v="273"/>
    <s v="REVENUS"/>
    <x v="5"/>
    <s v="4061.000"/>
    <s v="Impôt sur les chiens"/>
    <n v="0"/>
    <n v="54900"/>
    <n v="4061"/>
  </r>
  <r>
    <x v="0"/>
    <x v="11"/>
    <x v="9"/>
    <x v="326"/>
    <x v="273"/>
    <x v="273"/>
    <s v="REVENUS"/>
    <x v="6"/>
    <s v="4211.001"/>
    <s v="Intérêts de retard sur factures"/>
    <n v="0"/>
    <n v="58.77"/>
    <n v="4211"/>
  </r>
  <r>
    <x v="0"/>
    <x v="11"/>
    <x v="9"/>
    <x v="326"/>
    <x v="273"/>
    <x v="273"/>
    <s v="REVENUS"/>
    <x v="4"/>
    <s v="4051.002"/>
    <s v="Impôt sur les donations"/>
    <n v="0"/>
    <n v="1543877.8"/>
    <n v="4051"/>
  </r>
  <r>
    <x v="0"/>
    <x v="11"/>
    <x v="9"/>
    <x v="326"/>
    <x v="273"/>
    <x v="273"/>
    <s v="REVENUS"/>
    <x v="8"/>
    <s v="4091.003"/>
    <s v="Impôt récupéré concordat"/>
    <n v="0"/>
    <n v="-354.18"/>
    <n v="4091"/>
  </r>
  <r>
    <x v="0"/>
    <x v="11"/>
    <x v="9"/>
    <x v="326"/>
    <x v="273"/>
    <x v="273"/>
    <s v="REVENUS"/>
    <x v="3"/>
    <s v="4002.001"/>
    <s v="Impôt ordinaire s/fortune PP"/>
    <n v="0"/>
    <n v="40626.949999999997"/>
    <n v="4002"/>
  </r>
  <r>
    <x v="0"/>
    <x v="11"/>
    <x v="9"/>
    <x v="326"/>
    <x v="273"/>
    <x v="273"/>
    <s v="REVENUS"/>
    <x v="7"/>
    <s v="4184.000"/>
    <s v="Frais de poursuite"/>
    <n v="0"/>
    <n v="6152.06"/>
    <n v="4184"/>
  </r>
  <r>
    <x v="0"/>
    <x v="11"/>
    <x v="9"/>
    <x v="326"/>
    <x v="273"/>
    <x v="273"/>
    <s v="REVENUS"/>
    <x v="3"/>
    <s v="4002.007"/>
    <s v="Acompte impôt sur fortune"/>
    <n v="0"/>
    <n v="-18115.12"/>
    <n v="4002"/>
  </r>
  <r>
    <x v="0"/>
    <x v="11"/>
    <x v="9"/>
    <x v="326"/>
    <x v="273"/>
    <x v="273"/>
    <s v="REVENUS"/>
    <x v="3"/>
    <s v="4002.007"/>
    <s v="Acompte impôt sur fortune"/>
    <n v="0"/>
    <n v="-2330.91"/>
    <n v="4002"/>
  </r>
  <r>
    <x v="0"/>
    <x v="11"/>
    <x v="9"/>
    <x v="326"/>
    <x v="273"/>
    <x v="273"/>
    <s v="REVENUS"/>
    <x v="8"/>
    <s v="4091.001"/>
    <s v="Impôt récupéré après défalcations"/>
    <n v="0"/>
    <n v="28660.03"/>
    <n v="4091"/>
  </r>
  <r>
    <x v="0"/>
    <x v="11"/>
    <x v="9"/>
    <x v="326"/>
    <x v="273"/>
    <x v="273"/>
    <s v="REVENUS"/>
    <x v="3"/>
    <s v="4002.001"/>
    <s v="Impôt ordinaire s/fortune PP"/>
    <n v="0"/>
    <n v="27490.9"/>
    <n v="4002"/>
  </r>
  <r>
    <x v="0"/>
    <x v="11"/>
    <x v="9"/>
    <x v="326"/>
    <x v="273"/>
    <x v="273"/>
    <s v="REVENUS"/>
    <x v="6"/>
    <s v="4211.002"/>
    <s v="Intérêts de retard sur acomptes"/>
    <n v="0"/>
    <n v="560.5"/>
    <n v="4211"/>
  </r>
  <r>
    <x v="0"/>
    <x v="11"/>
    <x v="9"/>
    <x v="326"/>
    <x v="273"/>
    <x v="273"/>
    <s v="REVENUS"/>
    <x v="2"/>
    <s v="4001.007"/>
    <s v="Acompte impôt sur revenu"/>
    <n v="0"/>
    <n v="-17735.580000000002"/>
    <n v="4001"/>
  </r>
  <r>
    <x v="0"/>
    <x v="11"/>
    <x v="9"/>
    <x v="326"/>
    <x v="273"/>
    <x v="273"/>
    <s v="REVENUS"/>
    <x v="3"/>
    <s v="4002.007"/>
    <s v="Acompte impôt sur fortune"/>
    <n v="0"/>
    <n v="-9514.73"/>
    <n v="4002"/>
  </r>
  <r>
    <x v="0"/>
    <x v="11"/>
    <x v="9"/>
    <x v="326"/>
    <x v="273"/>
    <x v="273"/>
    <s v="REVENUS"/>
    <x v="2"/>
    <s v="4001.001"/>
    <s v="Impôt revenu"/>
    <n v="0"/>
    <n v="19594.7"/>
    <n v="4001"/>
  </r>
  <r>
    <x v="0"/>
    <x v="11"/>
    <x v="9"/>
    <x v="326"/>
    <x v="273"/>
    <x v="273"/>
    <s v="REVENUS"/>
    <x v="6"/>
    <s v="4211.001"/>
    <s v="Intérêts de retard sur factures"/>
    <n v="0"/>
    <n v="7.59"/>
    <n v="4211"/>
  </r>
  <r>
    <x v="0"/>
    <x v="11"/>
    <x v="9"/>
    <x v="326"/>
    <x v="273"/>
    <x v="273"/>
    <s v="REVENUS"/>
    <x v="3"/>
    <s v="4002.002"/>
    <s v="Impôt complémentaire s/fortune PP"/>
    <n v="0"/>
    <n v="5829.4"/>
    <n v="4002"/>
  </r>
  <r>
    <x v="0"/>
    <x v="11"/>
    <x v="9"/>
    <x v="326"/>
    <x v="273"/>
    <x v="273"/>
    <s v="REVENUS"/>
    <x v="6"/>
    <s v="4211.001"/>
    <s v="Intérêts de retard sur factures"/>
    <n v="0"/>
    <n v="1133"/>
    <n v="4211"/>
  </r>
  <r>
    <x v="0"/>
    <x v="11"/>
    <x v="9"/>
    <x v="326"/>
    <x v="273"/>
    <x v="273"/>
    <s v="REVENUS"/>
    <x v="2"/>
    <s v="4001.002"/>
    <s v="Impôt complément s/revenu PP"/>
    <n v="0"/>
    <n v="16884.05"/>
    <n v="4001"/>
  </r>
  <r>
    <x v="0"/>
    <x v="11"/>
    <x v="9"/>
    <x v="326"/>
    <x v="273"/>
    <x v="273"/>
    <s v="REVENUS"/>
    <x v="4"/>
    <s v="4051.001"/>
    <s v="Impôt sur les successions"/>
    <n v="0"/>
    <n v="1015203.4"/>
    <n v="4051"/>
  </r>
  <r>
    <x v="0"/>
    <x v="11"/>
    <x v="9"/>
    <x v="326"/>
    <x v="273"/>
    <x v="273"/>
    <s v="REVENUS"/>
    <x v="2"/>
    <s v="4001.007"/>
    <s v="Acompte impôt sur revenu"/>
    <n v="0"/>
    <n v="-36163.230000000003"/>
    <n v="4001"/>
  </r>
  <r>
    <x v="0"/>
    <x v="11"/>
    <x v="9"/>
    <x v="326"/>
    <x v="273"/>
    <x v="273"/>
    <s v="REVENUS"/>
    <x v="6"/>
    <s v="4211.001"/>
    <s v="Intérêts de retard sur factures"/>
    <n v="0"/>
    <n v="1485.54"/>
    <n v="4211"/>
  </r>
  <r>
    <x v="0"/>
    <x v="11"/>
    <x v="9"/>
    <x v="326"/>
    <x v="273"/>
    <x v="273"/>
    <s v="REVENUS"/>
    <x v="2"/>
    <s v="4001.007"/>
    <s v="Acompte impôt sur revenu"/>
    <n v="0"/>
    <n v="53.7"/>
    <n v="4001"/>
  </r>
  <r>
    <x v="0"/>
    <x v="11"/>
    <x v="9"/>
    <x v="326"/>
    <x v="273"/>
    <x v="273"/>
    <s v="REVENUS"/>
    <x v="3"/>
    <s v="4002.007"/>
    <s v="Acompte impôt sur fortune"/>
    <n v="0"/>
    <n v="227.6"/>
    <n v="4002"/>
  </r>
  <r>
    <x v="0"/>
    <x v="11"/>
    <x v="9"/>
    <x v="326"/>
    <x v="273"/>
    <x v="273"/>
    <s v="REVENUS"/>
    <x v="3"/>
    <s v="4002.007"/>
    <s v="Acompte impôt sur fortune"/>
    <n v="0"/>
    <n v="2672.42"/>
    <n v="4002"/>
  </r>
  <r>
    <x v="0"/>
    <x v="11"/>
    <x v="9"/>
    <x v="326"/>
    <x v="273"/>
    <x v="273"/>
    <s v="REVENUS"/>
    <x v="2"/>
    <s v="4001.001"/>
    <s v="Impôt revenu"/>
    <n v="0"/>
    <n v="0"/>
    <n v="4001"/>
  </r>
  <r>
    <x v="0"/>
    <x v="11"/>
    <x v="9"/>
    <x v="326"/>
    <x v="273"/>
    <x v="273"/>
    <s v="REVENUS"/>
    <x v="3"/>
    <s v="4002.001"/>
    <s v="Impôt ordinaire s/fortune PP"/>
    <n v="0"/>
    <n v="596"/>
    <n v="4002"/>
  </r>
  <r>
    <x v="0"/>
    <x v="11"/>
    <x v="9"/>
    <x v="326"/>
    <x v="273"/>
    <x v="273"/>
    <s v="REVENUS"/>
    <x v="6"/>
    <s v="4221.003"/>
    <s v="Intérêts compensat. / acomptes en faveur du fisc"/>
    <n v="0"/>
    <n v="3.26"/>
    <n v="4221"/>
  </r>
  <r>
    <x v="0"/>
    <x v="11"/>
    <x v="9"/>
    <x v="326"/>
    <x v="273"/>
    <x v="273"/>
    <s v="REVENUS"/>
    <x v="6"/>
    <s v="4221.003"/>
    <s v="Intérêts compensat. / acomptes en faveur du fisc"/>
    <n v="0"/>
    <n v="7.95"/>
    <n v="4221"/>
  </r>
  <r>
    <x v="0"/>
    <x v="11"/>
    <x v="9"/>
    <x v="326"/>
    <x v="273"/>
    <x v="273"/>
    <s v="REVENUS"/>
    <x v="13"/>
    <s v="4371.013"/>
    <s v="Amende soustraction LMSD"/>
    <n v="0"/>
    <n v="53202.15"/>
    <n v="4371"/>
  </r>
  <r>
    <x v="0"/>
    <x v="11"/>
    <x v="9"/>
    <x v="326"/>
    <x v="273"/>
    <x v="273"/>
    <s v="REVENUS"/>
    <x v="2"/>
    <s v="4001.002"/>
    <s v="Impôt complément s/revenu PP"/>
    <n v="0"/>
    <n v="10074.4"/>
    <n v="4001"/>
  </r>
  <r>
    <x v="0"/>
    <x v="11"/>
    <x v="9"/>
    <x v="326"/>
    <x v="273"/>
    <x v="273"/>
    <s v="REVENUS"/>
    <x v="3"/>
    <s v="4002.002"/>
    <s v="Impôt complémentaire s/fortune PP"/>
    <n v="0"/>
    <n v="354.25"/>
    <n v="4002"/>
  </r>
  <r>
    <x v="0"/>
    <x v="11"/>
    <x v="9"/>
    <x v="326"/>
    <x v="273"/>
    <x v="273"/>
    <s v="REVENUS"/>
    <x v="7"/>
    <s v="4184.000"/>
    <s v="Frais de poursuite"/>
    <n v="0"/>
    <n v="53.23"/>
    <n v="4184"/>
  </r>
  <r>
    <x v="0"/>
    <x v="11"/>
    <x v="9"/>
    <x v="326"/>
    <x v="273"/>
    <x v="273"/>
    <s v="REVENUS"/>
    <x v="9"/>
    <s v="4031.001"/>
    <s v="Impôt sur les gains immobiliers"/>
    <n v="0"/>
    <n v="22421.85"/>
    <n v="4031"/>
  </r>
  <r>
    <x v="0"/>
    <x v="11"/>
    <x v="9"/>
    <x v="326"/>
    <x v="273"/>
    <x v="273"/>
    <s v="REVENUS"/>
    <x v="2"/>
    <s v="4001.001"/>
    <s v="Impôt revenu"/>
    <n v="0"/>
    <n v="129.44999999999999"/>
    <n v="4001"/>
  </r>
  <r>
    <x v="0"/>
    <x v="11"/>
    <x v="9"/>
    <x v="326"/>
    <x v="273"/>
    <x v="273"/>
    <s v="REVENUS"/>
    <x v="3"/>
    <s v="4002.001"/>
    <s v="Impôt ordinaire s/fortune PP"/>
    <n v="0"/>
    <n v="364.5"/>
    <n v="4002"/>
  </r>
  <r>
    <x v="0"/>
    <x v="11"/>
    <x v="9"/>
    <x v="326"/>
    <x v="273"/>
    <x v="273"/>
    <s v="REVENUS"/>
    <x v="3"/>
    <s v="4002.002"/>
    <s v="Impôt complémentaire s/fortune PP"/>
    <n v="0"/>
    <n v="3934.95"/>
    <n v="4002"/>
  </r>
  <r>
    <x v="0"/>
    <x v="11"/>
    <x v="9"/>
    <x v="326"/>
    <x v="273"/>
    <x v="273"/>
    <s v="REVENUS"/>
    <x v="7"/>
    <s v="4184.000"/>
    <s v="Frais de poursuite"/>
    <n v="0"/>
    <n v="2.95"/>
    <n v="4184"/>
  </r>
  <r>
    <x v="0"/>
    <x v="11"/>
    <x v="9"/>
    <x v="326"/>
    <x v="273"/>
    <x v="273"/>
    <s v="REVENUS"/>
    <x v="12"/>
    <s v="4004.000"/>
    <s v="Impôt spécial étrangers"/>
    <n v="0"/>
    <n v="316653.95"/>
    <n v="4004"/>
  </r>
  <r>
    <x v="0"/>
    <x v="11"/>
    <x v="9"/>
    <x v="326"/>
    <x v="273"/>
    <x v="273"/>
    <s v="REVENUS"/>
    <x v="6"/>
    <s v="4211.002"/>
    <s v="Intérêts de retard sur acomptes"/>
    <n v="0"/>
    <n v="9.4600000000000009"/>
    <n v="4211"/>
  </r>
  <r>
    <x v="0"/>
    <x v="11"/>
    <x v="9"/>
    <x v="326"/>
    <x v="273"/>
    <x v="273"/>
    <s v="REVENUS"/>
    <x v="2"/>
    <s v="4001.007"/>
    <s v="Acompte impôt sur revenu"/>
    <n v="0"/>
    <n v="-10868.6"/>
    <n v="4001"/>
  </r>
  <r>
    <x v="0"/>
    <x v="11"/>
    <x v="9"/>
    <x v="326"/>
    <x v="273"/>
    <x v="273"/>
    <s v="REVENUS"/>
    <x v="2"/>
    <s v="4001.002"/>
    <s v="Impôt complément s/revenu PP"/>
    <n v="0"/>
    <n v="13443.9"/>
    <n v="4001"/>
  </r>
  <r>
    <x v="0"/>
    <x v="11"/>
    <x v="9"/>
    <x v="326"/>
    <x v="273"/>
    <x v="273"/>
    <s v="REVENUS"/>
    <x v="2"/>
    <s v="4001.005"/>
    <s v="Amende de soustract. Impôt"/>
    <n v="0"/>
    <n v="3600"/>
    <n v="4001"/>
  </r>
  <r>
    <x v="0"/>
    <x v="11"/>
    <x v="9"/>
    <x v="326"/>
    <x v="273"/>
    <x v="273"/>
    <s v="REVENUS"/>
    <x v="12"/>
    <s v="4004.000"/>
    <s v="Impôt spécial étrangers"/>
    <n v="0"/>
    <n v="38.450000000000003"/>
    <n v="4004"/>
  </r>
  <r>
    <x v="0"/>
    <x v="11"/>
    <x v="9"/>
    <x v="326"/>
    <x v="273"/>
    <x v="273"/>
    <s v="REVENUS"/>
    <x v="10"/>
    <s v="4041.002"/>
    <s v="Complément droit de mutation"/>
    <n v="0"/>
    <n v="11000"/>
    <n v="4041"/>
  </r>
  <r>
    <x v="0"/>
    <x v="11"/>
    <x v="9"/>
    <x v="326"/>
    <x v="273"/>
    <x v="273"/>
    <s v="REVENUS"/>
    <x v="9"/>
    <s v="4031.002"/>
    <s v="Complément impôt sur les gains immobiliers"/>
    <n v="0"/>
    <n v="29916.9"/>
    <n v="4031"/>
  </r>
  <r>
    <x v="0"/>
    <x v="11"/>
    <x v="9"/>
    <x v="326"/>
    <x v="273"/>
    <x v="273"/>
    <s v="REVENUS"/>
    <x v="2"/>
    <s v="4001.007"/>
    <s v="Acompte impôt sur revenu"/>
    <n v="0"/>
    <n v="-1121.3"/>
    <n v="4001"/>
  </r>
  <r>
    <x v="0"/>
    <x v="11"/>
    <x v="9"/>
    <x v="326"/>
    <x v="273"/>
    <x v="273"/>
    <s v="REVENUS"/>
    <x v="2"/>
    <s v="4001.001"/>
    <s v="Impôt revenu"/>
    <n v="0"/>
    <n v="-103.05"/>
    <n v="4001"/>
  </r>
  <r>
    <x v="0"/>
    <x v="11"/>
    <x v="9"/>
    <x v="326"/>
    <x v="273"/>
    <x v="273"/>
    <s v="REVENUS"/>
    <x v="6"/>
    <s v="4211.001"/>
    <s v="Intérêts de retard sur factures"/>
    <n v="0"/>
    <n v="-0.21"/>
    <n v="4211"/>
  </r>
  <r>
    <x v="0"/>
    <x v="11"/>
    <x v="9"/>
    <x v="326"/>
    <x v="273"/>
    <x v="273"/>
    <s v="REVENUS"/>
    <x v="6"/>
    <s v="4211.002"/>
    <s v="Intérêts de retard sur acomptes"/>
    <n v="0"/>
    <n v="-0.9"/>
    <n v="4211"/>
  </r>
  <r>
    <x v="0"/>
    <x v="11"/>
    <x v="9"/>
    <x v="326"/>
    <x v="273"/>
    <x v="273"/>
    <s v="REVENUS"/>
    <x v="6"/>
    <s v="4221.003"/>
    <s v="Intérêts compensat. / acomptes en faveur du fisc"/>
    <n v="0"/>
    <n v="-0.03"/>
    <n v="4221"/>
  </r>
  <r>
    <x v="0"/>
    <x v="11"/>
    <x v="9"/>
    <x v="326"/>
    <x v="273"/>
    <x v="273"/>
    <s v="REVENUS"/>
    <x v="2"/>
    <s v="4001.002"/>
    <s v="Impôt complément s/revenu PP"/>
    <n v="0"/>
    <n v="5009.95"/>
    <n v="4001"/>
  </r>
  <r>
    <x v="0"/>
    <x v="11"/>
    <x v="9"/>
    <x v="326"/>
    <x v="273"/>
    <x v="273"/>
    <s v="REVENUS"/>
    <x v="3"/>
    <s v="4002.002"/>
    <s v="Impôt complémentaire s/fortune PP"/>
    <n v="0"/>
    <n v="4668.1499999999996"/>
    <n v="4002"/>
  </r>
  <r>
    <x v="0"/>
    <x v="11"/>
    <x v="9"/>
    <x v="326"/>
    <x v="273"/>
    <x v="273"/>
    <s v="REVENUS"/>
    <x v="3"/>
    <s v="4002.001"/>
    <s v="Impôt ordinaire s/fortune PP"/>
    <n v="0"/>
    <n v="-125.35"/>
    <n v="4002"/>
  </r>
  <r>
    <x v="0"/>
    <x v="11"/>
    <x v="9"/>
    <x v="326"/>
    <x v="273"/>
    <x v="273"/>
    <s v="REVENUS"/>
    <x v="6"/>
    <s v="4211.002"/>
    <s v="Intérêts de retard sur acomptes"/>
    <n v="0"/>
    <n v="-0.02"/>
    <n v="4211"/>
  </r>
  <r>
    <x v="0"/>
    <x v="11"/>
    <x v="9"/>
    <x v="326"/>
    <x v="273"/>
    <x v="273"/>
    <s v="REVENUS"/>
    <x v="2"/>
    <s v="4001.001"/>
    <s v="Impôt revenu"/>
    <n v="0"/>
    <n v="-1143.45"/>
    <n v="4001"/>
  </r>
  <r>
    <x v="0"/>
    <x v="11"/>
    <x v="9"/>
    <x v="327"/>
    <x v="274"/>
    <x v="274"/>
    <s v="CHARGES"/>
    <x v="1"/>
    <s v="3301.001"/>
    <s v="Défalcations, abandons de solde PP et IS"/>
    <n v="71969.679999999993"/>
    <n v="0"/>
    <n v="3301"/>
  </r>
  <r>
    <x v="0"/>
    <x v="11"/>
    <x v="9"/>
    <x v="327"/>
    <x v="274"/>
    <x v="274"/>
    <s v="CHARGES"/>
    <x v="0"/>
    <s v="3212.004"/>
    <s v="Intérêts rémun./perçu trop tôt sur acomptes C/C"/>
    <n v="217.99"/>
    <n v="0"/>
    <n v="3212"/>
  </r>
  <r>
    <x v="0"/>
    <x v="11"/>
    <x v="9"/>
    <x v="327"/>
    <x v="274"/>
    <x v="274"/>
    <s v="CHARGES"/>
    <x v="0"/>
    <s v="3221.002"/>
    <s v="Intérêts compensatoires / créances en faveur ctb."/>
    <n v="-63.41"/>
    <n v="0"/>
    <n v="3221"/>
  </r>
  <r>
    <x v="0"/>
    <x v="11"/>
    <x v="9"/>
    <x v="327"/>
    <x v="274"/>
    <x v="274"/>
    <s v="CHARGES"/>
    <x v="0"/>
    <s v="3212.004"/>
    <s v="Intérêts rémun./perçu trop tôt sur acomptes C/C"/>
    <n v="7.68"/>
    <n v="0"/>
    <n v="3212"/>
  </r>
  <r>
    <x v="0"/>
    <x v="11"/>
    <x v="9"/>
    <x v="327"/>
    <x v="274"/>
    <x v="274"/>
    <s v="CHARGES"/>
    <x v="1"/>
    <s v="3301.001"/>
    <s v="Défalcations, abandons de solde PP et IS"/>
    <n v="0.16"/>
    <n v="0"/>
    <n v="3301"/>
  </r>
  <r>
    <x v="0"/>
    <x v="11"/>
    <x v="9"/>
    <x v="327"/>
    <x v="274"/>
    <x v="274"/>
    <s v="CHARGES"/>
    <x v="0"/>
    <s v="3212.004"/>
    <s v="Intérêts rémun./perçu trop tôt sur acomptes C/C"/>
    <n v="0.99"/>
    <n v="0"/>
    <n v="3212"/>
  </r>
  <r>
    <x v="0"/>
    <x v="11"/>
    <x v="9"/>
    <x v="327"/>
    <x v="274"/>
    <x v="274"/>
    <s v="CHARGES"/>
    <x v="0"/>
    <s v="3221.002"/>
    <s v="Intérêts compensatoires / créances en faveur ctb."/>
    <n v="1.31"/>
    <n v="0"/>
    <n v="3221"/>
  </r>
  <r>
    <x v="0"/>
    <x v="11"/>
    <x v="9"/>
    <x v="327"/>
    <x v="274"/>
    <x v="274"/>
    <s v="CHARGES"/>
    <x v="0"/>
    <s v="3212.002"/>
    <s v="Intérêts bonifiés/trop perçu acompte C/C"/>
    <n v="-55.4"/>
    <n v="0"/>
    <n v="3212"/>
  </r>
  <r>
    <x v="0"/>
    <x v="11"/>
    <x v="9"/>
    <x v="327"/>
    <x v="274"/>
    <x v="274"/>
    <s v="CHARGES"/>
    <x v="0"/>
    <s v="3212.004"/>
    <s v="Intérêts rémun./perçu trop tôt sur acomptes C/C"/>
    <n v="0.46"/>
    <n v="0"/>
    <n v="3212"/>
  </r>
  <r>
    <x v="0"/>
    <x v="11"/>
    <x v="9"/>
    <x v="327"/>
    <x v="274"/>
    <x v="274"/>
    <s v="CHARGES"/>
    <x v="0"/>
    <s v="3212.004"/>
    <s v="Intérêts rémun./perçu trop tôt sur acomptes C/C"/>
    <n v="3.47"/>
    <n v="0"/>
    <n v="3212"/>
  </r>
  <r>
    <x v="0"/>
    <x v="11"/>
    <x v="9"/>
    <x v="327"/>
    <x v="274"/>
    <x v="274"/>
    <s v="CHARGES"/>
    <x v="0"/>
    <s v="3221.002"/>
    <s v="Intérêts compensatoires / créances en faveur ctb."/>
    <n v="3.19"/>
    <n v="0"/>
    <n v="3221"/>
  </r>
  <r>
    <x v="0"/>
    <x v="11"/>
    <x v="9"/>
    <x v="327"/>
    <x v="274"/>
    <x v="274"/>
    <s v="CHARGES"/>
    <x v="0"/>
    <s v="3221.002"/>
    <s v="Intérêts compensatoires / créances en faveur ctb."/>
    <n v="-4.21"/>
    <n v="0"/>
    <n v="3221"/>
  </r>
  <r>
    <x v="0"/>
    <x v="11"/>
    <x v="9"/>
    <x v="327"/>
    <x v="274"/>
    <x v="274"/>
    <s v="CHARGES"/>
    <x v="1"/>
    <s v="3301.001"/>
    <s v="Défalcations, abandons de solde PP et IS"/>
    <n v="1.41"/>
    <n v="0"/>
    <n v="3301"/>
  </r>
  <r>
    <x v="0"/>
    <x v="11"/>
    <x v="9"/>
    <x v="327"/>
    <x v="274"/>
    <x v="274"/>
    <s v="CHARGES"/>
    <x v="0"/>
    <s v="3212.002"/>
    <s v="Intérêts bonifiés/trop perçu acompte C/C"/>
    <n v="0.14000000000000001"/>
    <n v="0"/>
    <n v="3212"/>
  </r>
  <r>
    <x v="0"/>
    <x v="11"/>
    <x v="9"/>
    <x v="327"/>
    <x v="274"/>
    <x v="274"/>
    <s v="CHARGES"/>
    <x v="0"/>
    <s v="3212.002"/>
    <s v="Intérêts bonifiés/trop perçu acompte C/C"/>
    <n v="-0.03"/>
    <n v="0"/>
    <n v="3212"/>
  </r>
  <r>
    <x v="0"/>
    <x v="11"/>
    <x v="9"/>
    <x v="327"/>
    <x v="274"/>
    <x v="274"/>
    <s v="CHARGES"/>
    <x v="0"/>
    <s v="3212.004"/>
    <s v="Intérêts rémun./perçu trop tôt sur acomptes C/C"/>
    <n v="-0.67"/>
    <n v="0"/>
    <n v="3212"/>
  </r>
  <r>
    <x v="0"/>
    <x v="11"/>
    <x v="9"/>
    <x v="327"/>
    <x v="274"/>
    <x v="274"/>
    <s v="CHARGES"/>
    <x v="0"/>
    <s v="3221.002"/>
    <s v="Intérêts compensatoires / créances en faveur ctb."/>
    <n v="-0.56999999999999995"/>
    <n v="0"/>
    <n v="3221"/>
  </r>
  <r>
    <x v="0"/>
    <x v="11"/>
    <x v="9"/>
    <x v="327"/>
    <x v="274"/>
    <x v="274"/>
    <s v="CHARGES"/>
    <x v="1"/>
    <s v="3301.001"/>
    <s v="Défalcations, abandons de solde PP et IS"/>
    <n v="-0.35"/>
    <n v="0"/>
    <n v="3301"/>
  </r>
  <r>
    <x v="0"/>
    <x v="11"/>
    <x v="9"/>
    <x v="327"/>
    <x v="274"/>
    <x v="274"/>
    <s v="CHARGES"/>
    <x v="1"/>
    <s v="3301.001"/>
    <s v="Défalcations, abandons de solde PP et IS"/>
    <n v="41310"/>
    <n v="0"/>
    <n v="3301"/>
  </r>
  <r>
    <x v="0"/>
    <x v="11"/>
    <x v="9"/>
    <x v="327"/>
    <x v="274"/>
    <x v="274"/>
    <s v="CHARGES"/>
    <x v="1"/>
    <s v="3301.003"/>
    <s v="Remises PP et IS"/>
    <n v="47.84"/>
    <n v="0"/>
    <n v="3301"/>
  </r>
  <r>
    <x v="0"/>
    <x v="11"/>
    <x v="9"/>
    <x v="327"/>
    <x v="274"/>
    <x v="274"/>
    <s v="CHARGES"/>
    <x v="1"/>
    <s v="3301.003"/>
    <s v="Remises PP et IS"/>
    <n v="53.19"/>
    <n v="0"/>
    <n v="3301"/>
  </r>
  <r>
    <x v="0"/>
    <x v="11"/>
    <x v="9"/>
    <x v="327"/>
    <x v="274"/>
    <x v="274"/>
    <s v="REVENUS"/>
    <x v="2"/>
    <s v="4001.001"/>
    <s v="Impôt revenu"/>
    <n v="0"/>
    <n v="1264348.1000000001"/>
    <n v="4001"/>
  </r>
  <r>
    <x v="0"/>
    <x v="11"/>
    <x v="9"/>
    <x v="327"/>
    <x v="274"/>
    <x v="274"/>
    <s v="REVENUS"/>
    <x v="2"/>
    <s v="4001.007"/>
    <s v="Acompte impôt sur revenu"/>
    <n v="0"/>
    <n v="-146444.76"/>
    <n v="4001"/>
  </r>
  <r>
    <x v="0"/>
    <x v="11"/>
    <x v="9"/>
    <x v="327"/>
    <x v="274"/>
    <x v="274"/>
    <s v="REVENUS"/>
    <x v="3"/>
    <s v="4002.001"/>
    <s v="Impôt ordinaire s/fortune PP"/>
    <n v="0"/>
    <n v="282676.34999999998"/>
    <n v="4002"/>
  </r>
  <r>
    <x v="0"/>
    <x v="11"/>
    <x v="9"/>
    <x v="327"/>
    <x v="274"/>
    <x v="274"/>
    <s v="REVENUS"/>
    <x v="3"/>
    <s v="4002.007"/>
    <s v="Acompte impôt sur fortune"/>
    <n v="0"/>
    <n v="-48997.68"/>
    <n v="4002"/>
  </r>
  <r>
    <x v="0"/>
    <x v="11"/>
    <x v="9"/>
    <x v="327"/>
    <x v="274"/>
    <x v="274"/>
    <s v="REVENUS"/>
    <x v="6"/>
    <s v="4211.002"/>
    <s v="Intérêts de retard sur acomptes"/>
    <n v="0"/>
    <n v="11798.37"/>
    <n v="4211"/>
  </r>
  <r>
    <x v="0"/>
    <x v="11"/>
    <x v="9"/>
    <x v="327"/>
    <x v="274"/>
    <x v="274"/>
    <s v="REVENUS"/>
    <x v="6"/>
    <s v="4221.003"/>
    <s v="Intérêts compensat. / acomptes en faveur du fisc"/>
    <n v="0"/>
    <n v="1972.78"/>
    <n v="4221"/>
  </r>
  <r>
    <x v="0"/>
    <x v="11"/>
    <x v="9"/>
    <x v="327"/>
    <x v="274"/>
    <x v="274"/>
    <s v="REVENUS"/>
    <x v="2"/>
    <s v="4001.002"/>
    <s v="Impôt complément s/revenu PP"/>
    <n v="0"/>
    <n v="877183.2"/>
    <n v="4001"/>
  </r>
  <r>
    <x v="0"/>
    <x v="11"/>
    <x v="9"/>
    <x v="327"/>
    <x v="274"/>
    <x v="274"/>
    <s v="REVENUS"/>
    <x v="2"/>
    <s v="4001.003"/>
    <s v="Impôt s/prest. cap. PP"/>
    <n v="0"/>
    <n v="49710.75"/>
    <n v="4001"/>
  </r>
  <r>
    <x v="0"/>
    <x v="11"/>
    <x v="9"/>
    <x v="327"/>
    <x v="274"/>
    <x v="274"/>
    <s v="REVENUS"/>
    <x v="3"/>
    <s v="4002.002"/>
    <s v="Impôt complémentaire s/fortune PP"/>
    <n v="0"/>
    <n v="319286.90000000002"/>
    <n v="4002"/>
  </r>
  <r>
    <x v="0"/>
    <x v="11"/>
    <x v="9"/>
    <x v="327"/>
    <x v="274"/>
    <x v="274"/>
    <s v="REVENUS"/>
    <x v="7"/>
    <s v="4184.000"/>
    <s v="Frais de poursuite"/>
    <n v="0"/>
    <n v="3189.9"/>
    <n v="4184"/>
  </r>
  <r>
    <x v="0"/>
    <x v="11"/>
    <x v="9"/>
    <x v="327"/>
    <x v="274"/>
    <x v="274"/>
    <s v="REVENUS"/>
    <x v="6"/>
    <s v="4211.001"/>
    <s v="Intérêts de retard sur factures"/>
    <n v="0"/>
    <n v="61705.58"/>
    <n v="4211"/>
  </r>
  <r>
    <x v="0"/>
    <x v="11"/>
    <x v="9"/>
    <x v="327"/>
    <x v="274"/>
    <x v="274"/>
    <s v="REVENUS"/>
    <x v="2"/>
    <s v="4001.001"/>
    <s v="Impôt revenu"/>
    <n v="0"/>
    <n v="16451.849999999999"/>
    <n v="4001"/>
  </r>
  <r>
    <x v="0"/>
    <x v="11"/>
    <x v="9"/>
    <x v="327"/>
    <x v="274"/>
    <x v="274"/>
    <s v="REVENUS"/>
    <x v="2"/>
    <s v="4001.007"/>
    <s v="Acompte impôt sur revenu"/>
    <n v="0"/>
    <n v="-10837.74"/>
    <n v="4001"/>
  </r>
  <r>
    <x v="0"/>
    <x v="11"/>
    <x v="9"/>
    <x v="327"/>
    <x v="274"/>
    <x v="274"/>
    <s v="REVENUS"/>
    <x v="3"/>
    <s v="4002.001"/>
    <s v="Impôt ordinaire s/fortune PP"/>
    <n v="0"/>
    <n v="1021.5"/>
    <n v="4002"/>
  </r>
  <r>
    <x v="0"/>
    <x v="11"/>
    <x v="9"/>
    <x v="327"/>
    <x v="274"/>
    <x v="274"/>
    <s v="REVENUS"/>
    <x v="3"/>
    <s v="4002.007"/>
    <s v="Acompte impôt sur fortune"/>
    <n v="0"/>
    <n v="-2666.73"/>
    <n v="4002"/>
  </r>
  <r>
    <x v="0"/>
    <x v="11"/>
    <x v="9"/>
    <x v="327"/>
    <x v="274"/>
    <x v="274"/>
    <s v="REVENUS"/>
    <x v="6"/>
    <s v="4221.003"/>
    <s v="Intérêts compensat. / acomptes en faveur du fisc"/>
    <n v="0"/>
    <n v="12.96"/>
    <n v="4221"/>
  </r>
  <r>
    <x v="0"/>
    <x v="11"/>
    <x v="9"/>
    <x v="327"/>
    <x v="274"/>
    <x v="274"/>
    <s v="REVENUS"/>
    <x v="2"/>
    <s v="4001.007"/>
    <s v="Acompte impôt sur revenu"/>
    <n v="0"/>
    <n v="-2205.1"/>
    <n v="4001"/>
  </r>
  <r>
    <x v="0"/>
    <x v="11"/>
    <x v="9"/>
    <x v="327"/>
    <x v="274"/>
    <x v="274"/>
    <s v="REVENUS"/>
    <x v="3"/>
    <s v="4002.001"/>
    <s v="Impôt ordinaire s/fortune PP"/>
    <n v="0"/>
    <n v="6830.7"/>
    <n v="4002"/>
  </r>
  <r>
    <x v="0"/>
    <x v="11"/>
    <x v="9"/>
    <x v="327"/>
    <x v="274"/>
    <x v="274"/>
    <s v="REVENUS"/>
    <x v="6"/>
    <s v="4211.002"/>
    <s v="Intérêts de retard sur acomptes"/>
    <n v="0"/>
    <n v="41.75"/>
    <n v="4211"/>
  </r>
  <r>
    <x v="0"/>
    <x v="11"/>
    <x v="9"/>
    <x v="327"/>
    <x v="274"/>
    <x v="274"/>
    <s v="REVENUS"/>
    <x v="7"/>
    <s v="4184.000"/>
    <s v="Frais de poursuite"/>
    <n v="0"/>
    <n v="727.71"/>
    <n v="4184"/>
  </r>
  <r>
    <x v="0"/>
    <x v="11"/>
    <x v="9"/>
    <x v="327"/>
    <x v="274"/>
    <x v="274"/>
    <s v="REVENUS"/>
    <x v="2"/>
    <s v="4001.001"/>
    <s v="Impôt revenu"/>
    <n v="0"/>
    <n v="3278.45"/>
    <n v="4001"/>
  </r>
  <r>
    <x v="0"/>
    <x v="11"/>
    <x v="9"/>
    <x v="327"/>
    <x v="274"/>
    <x v="274"/>
    <s v="REVENUS"/>
    <x v="3"/>
    <s v="4002.001"/>
    <s v="Impôt ordinaire s/fortune PP"/>
    <n v="0"/>
    <n v="4444"/>
    <n v="4002"/>
  </r>
  <r>
    <x v="0"/>
    <x v="11"/>
    <x v="9"/>
    <x v="327"/>
    <x v="274"/>
    <x v="274"/>
    <s v="REVENUS"/>
    <x v="2"/>
    <s v="4001.001"/>
    <s v="Impôt revenu"/>
    <n v="0"/>
    <n v="367.65"/>
    <n v="4001"/>
  </r>
  <r>
    <x v="0"/>
    <x v="11"/>
    <x v="9"/>
    <x v="327"/>
    <x v="274"/>
    <x v="274"/>
    <s v="REVENUS"/>
    <x v="2"/>
    <s v="4001.007"/>
    <s v="Acompte impôt sur revenu"/>
    <n v="0"/>
    <n v="827.44"/>
    <n v="4001"/>
  </r>
  <r>
    <x v="0"/>
    <x v="11"/>
    <x v="9"/>
    <x v="327"/>
    <x v="274"/>
    <x v="274"/>
    <s v="REVENUS"/>
    <x v="3"/>
    <s v="4002.001"/>
    <s v="Impôt ordinaire s/fortune PP"/>
    <n v="0"/>
    <n v="398.45"/>
    <n v="4002"/>
  </r>
  <r>
    <x v="0"/>
    <x v="11"/>
    <x v="9"/>
    <x v="327"/>
    <x v="274"/>
    <x v="274"/>
    <s v="REVENUS"/>
    <x v="3"/>
    <s v="4002.007"/>
    <s v="Acompte impôt sur fortune"/>
    <n v="0"/>
    <n v="179.01"/>
    <n v="4002"/>
  </r>
  <r>
    <x v="0"/>
    <x v="11"/>
    <x v="9"/>
    <x v="327"/>
    <x v="274"/>
    <x v="274"/>
    <s v="REVENUS"/>
    <x v="6"/>
    <s v="4211.002"/>
    <s v="Intérêts de retard sur acomptes"/>
    <n v="0"/>
    <n v="1.5"/>
    <n v="4211"/>
  </r>
  <r>
    <x v="0"/>
    <x v="11"/>
    <x v="9"/>
    <x v="327"/>
    <x v="274"/>
    <x v="274"/>
    <s v="REVENUS"/>
    <x v="2"/>
    <s v="4001.001"/>
    <s v="Impôt revenu"/>
    <n v="0"/>
    <n v="8158.1"/>
    <n v="4001"/>
  </r>
  <r>
    <x v="0"/>
    <x v="11"/>
    <x v="9"/>
    <x v="327"/>
    <x v="274"/>
    <x v="274"/>
    <s v="REVENUS"/>
    <x v="3"/>
    <s v="4002.007"/>
    <s v="Acompte impôt sur fortune"/>
    <n v="0"/>
    <n v="-1665.95"/>
    <n v="4002"/>
  </r>
  <r>
    <x v="0"/>
    <x v="11"/>
    <x v="9"/>
    <x v="327"/>
    <x v="274"/>
    <x v="274"/>
    <s v="REVENUS"/>
    <x v="2"/>
    <s v="4001.005"/>
    <s v="Amende de soustract. Impôt"/>
    <n v="0"/>
    <n v="15150"/>
    <n v="4001"/>
  </r>
  <r>
    <x v="0"/>
    <x v="11"/>
    <x v="9"/>
    <x v="327"/>
    <x v="274"/>
    <x v="274"/>
    <s v="REVENUS"/>
    <x v="3"/>
    <s v="4002.007"/>
    <s v="Acompte impôt sur fortune"/>
    <n v="0"/>
    <n v="2773.7"/>
    <n v="4002"/>
  </r>
  <r>
    <x v="0"/>
    <x v="11"/>
    <x v="9"/>
    <x v="327"/>
    <x v="274"/>
    <x v="274"/>
    <s v="REVENUS"/>
    <x v="2"/>
    <s v="4001.007"/>
    <s v="Acompte impôt sur revenu"/>
    <n v="0"/>
    <n v="7716.4"/>
    <n v="4001"/>
  </r>
  <r>
    <x v="0"/>
    <x v="11"/>
    <x v="9"/>
    <x v="327"/>
    <x v="274"/>
    <x v="274"/>
    <s v="REVENUS"/>
    <x v="6"/>
    <s v="4221.003"/>
    <s v="Intérêts compensat. / acomptes en faveur du fisc"/>
    <n v="0"/>
    <n v="0.7"/>
    <n v="4221"/>
  </r>
  <r>
    <x v="0"/>
    <x v="11"/>
    <x v="9"/>
    <x v="327"/>
    <x v="274"/>
    <x v="274"/>
    <s v="REVENUS"/>
    <x v="9"/>
    <s v="4031.001"/>
    <s v="Impôt sur les gains immobiliers"/>
    <n v="0"/>
    <n v="39283.199999999997"/>
    <n v="4031"/>
  </r>
  <r>
    <x v="0"/>
    <x v="11"/>
    <x v="9"/>
    <x v="327"/>
    <x v="274"/>
    <x v="274"/>
    <s v="REVENUS"/>
    <x v="12"/>
    <s v="4004.007"/>
    <s v="Acompte spécial étrangers"/>
    <n v="0"/>
    <n v="-657.85"/>
    <n v="4004"/>
  </r>
  <r>
    <x v="0"/>
    <x v="11"/>
    <x v="9"/>
    <x v="327"/>
    <x v="274"/>
    <x v="274"/>
    <s v="REVENUS"/>
    <x v="8"/>
    <s v="4091.001"/>
    <s v="Impôt récupéré après défalcations"/>
    <n v="0"/>
    <n v="25686.27"/>
    <n v="4091"/>
  </r>
  <r>
    <x v="0"/>
    <x v="11"/>
    <x v="9"/>
    <x v="327"/>
    <x v="274"/>
    <x v="274"/>
    <s v="REVENUS"/>
    <x v="6"/>
    <s v="4211.001"/>
    <s v="Intérêts de retard sur factures"/>
    <n v="0"/>
    <n v="20.71"/>
    <n v="4211"/>
  </r>
  <r>
    <x v="0"/>
    <x v="11"/>
    <x v="9"/>
    <x v="327"/>
    <x v="274"/>
    <x v="274"/>
    <s v="REVENUS"/>
    <x v="5"/>
    <s v="4061.000"/>
    <s v="Impôt sur les chiens"/>
    <n v="0"/>
    <n v="4650"/>
    <n v="4061"/>
  </r>
  <r>
    <x v="0"/>
    <x v="11"/>
    <x v="9"/>
    <x v="327"/>
    <x v="274"/>
    <x v="274"/>
    <s v="REVENUS"/>
    <x v="4"/>
    <s v="4051.001"/>
    <s v="Impôt sur les successions"/>
    <n v="0"/>
    <n v="192719"/>
    <n v="4051"/>
  </r>
  <r>
    <x v="0"/>
    <x v="11"/>
    <x v="9"/>
    <x v="327"/>
    <x v="274"/>
    <x v="274"/>
    <s v="REVENUS"/>
    <x v="6"/>
    <s v="4221.002"/>
    <s v="Intérêts compensat. sur impôts distincts"/>
    <n v="0"/>
    <n v="170.19"/>
    <n v="4221"/>
  </r>
  <r>
    <x v="0"/>
    <x v="11"/>
    <x v="9"/>
    <x v="327"/>
    <x v="274"/>
    <x v="274"/>
    <s v="REVENUS"/>
    <x v="10"/>
    <s v="4041.001"/>
    <s v="Droits de mutation"/>
    <n v="0"/>
    <n v="70018.95"/>
    <n v="4041"/>
  </r>
  <r>
    <x v="0"/>
    <x v="11"/>
    <x v="9"/>
    <x v="327"/>
    <x v="274"/>
    <x v="274"/>
    <s v="REVENUS"/>
    <x v="2"/>
    <s v="4001.002"/>
    <s v="Impôt complément s/revenu PP"/>
    <n v="0"/>
    <n v="2545.35"/>
    <n v="4001"/>
  </r>
  <r>
    <x v="0"/>
    <x v="11"/>
    <x v="9"/>
    <x v="327"/>
    <x v="274"/>
    <x v="274"/>
    <s v="REVENUS"/>
    <x v="3"/>
    <s v="4002.002"/>
    <s v="Impôt complémentaire s/fortune PP"/>
    <n v="0"/>
    <n v="1624.5"/>
    <n v="4002"/>
  </r>
  <r>
    <x v="0"/>
    <x v="11"/>
    <x v="9"/>
    <x v="327"/>
    <x v="274"/>
    <x v="274"/>
    <s v="REVENUS"/>
    <x v="7"/>
    <s v="4184.000"/>
    <s v="Frais de poursuite"/>
    <n v="0"/>
    <n v="64.12"/>
    <n v="4184"/>
  </r>
  <r>
    <x v="0"/>
    <x v="11"/>
    <x v="9"/>
    <x v="327"/>
    <x v="274"/>
    <x v="274"/>
    <s v="REVENUS"/>
    <x v="2"/>
    <s v="4001.002"/>
    <s v="Impôt complément s/revenu PP"/>
    <n v="0"/>
    <n v="16687.25"/>
    <n v="4001"/>
  </r>
  <r>
    <x v="0"/>
    <x v="11"/>
    <x v="9"/>
    <x v="327"/>
    <x v="274"/>
    <x v="274"/>
    <s v="REVENUS"/>
    <x v="3"/>
    <s v="4002.002"/>
    <s v="Impôt complémentaire s/fortune PP"/>
    <n v="0"/>
    <n v="13652.35"/>
    <n v="4002"/>
  </r>
  <r>
    <x v="0"/>
    <x v="11"/>
    <x v="9"/>
    <x v="327"/>
    <x v="274"/>
    <x v="274"/>
    <s v="REVENUS"/>
    <x v="6"/>
    <s v="4211.001"/>
    <s v="Intérêts de retard sur factures"/>
    <n v="0"/>
    <n v="302.98"/>
    <n v="4211"/>
  </r>
  <r>
    <x v="0"/>
    <x v="11"/>
    <x v="9"/>
    <x v="327"/>
    <x v="274"/>
    <x v="274"/>
    <s v="REVENUS"/>
    <x v="6"/>
    <s v="4211.002"/>
    <s v="Intérêts de retard sur acomptes"/>
    <n v="0"/>
    <n v="9.1300000000000008"/>
    <n v="4211"/>
  </r>
  <r>
    <x v="0"/>
    <x v="11"/>
    <x v="9"/>
    <x v="327"/>
    <x v="274"/>
    <x v="274"/>
    <s v="REVENUS"/>
    <x v="2"/>
    <s v="4001.001"/>
    <s v="Impôt revenu"/>
    <n v="0"/>
    <n v="-4961.05"/>
    <n v="4001"/>
  </r>
  <r>
    <x v="0"/>
    <x v="11"/>
    <x v="9"/>
    <x v="327"/>
    <x v="274"/>
    <x v="274"/>
    <s v="REVENUS"/>
    <x v="2"/>
    <s v="4001.002"/>
    <s v="Impôt complément s/revenu PP"/>
    <n v="0"/>
    <n v="-2298.0500000000002"/>
    <n v="4001"/>
  </r>
  <r>
    <x v="0"/>
    <x v="11"/>
    <x v="9"/>
    <x v="327"/>
    <x v="274"/>
    <x v="274"/>
    <s v="REVENUS"/>
    <x v="3"/>
    <s v="4002.001"/>
    <s v="Impôt ordinaire s/fortune PP"/>
    <n v="0"/>
    <n v="-6863.25"/>
    <n v="4002"/>
  </r>
  <r>
    <x v="0"/>
    <x v="11"/>
    <x v="9"/>
    <x v="327"/>
    <x v="274"/>
    <x v="274"/>
    <s v="REVENUS"/>
    <x v="3"/>
    <s v="4002.002"/>
    <s v="Impôt complémentaire s/fortune PP"/>
    <n v="0"/>
    <n v="-1890.2"/>
    <n v="4002"/>
  </r>
  <r>
    <x v="0"/>
    <x v="11"/>
    <x v="9"/>
    <x v="327"/>
    <x v="274"/>
    <x v="274"/>
    <s v="REVENUS"/>
    <x v="6"/>
    <s v="4211.002"/>
    <s v="Intérêts de retard sur acomptes"/>
    <n v="0"/>
    <n v="-4.2699999999999996"/>
    <n v="4211"/>
  </r>
  <r>
    <x v="0"/>
    <x v="11"/>
    <x v="9"/>
    <x v="327"/>
    <x v="274"/>
    <x v="274"/>
    <s v="REVENUS"/>
    <x v="6"/>
    <s v="4221.003"/>
    <s v="Intérêts compensat. / acomptes en faveur du fisc"/>
    <n v="0"/>
    <n v="-2.5299999999999998"/>
    <n v="4221"/>
  </r>
  <r>
    <x v="0"/>
    <x v="11"/>
    <x v="9"/>
    <x v="327"/>
    <x v="274"/>
    <x v="274"/>
    <s v="REVENUS"/>
    <x v="8"/>
    <s v="4091.001"/>
    <s v="Impôt récupéré après défalcations"/>
    <n v="0"/>
    <n v="0"/>
    <n v="4091"/>
  </r>
  <r>
    <x v="0"/>
    <x v="11"/>
    <x v="9"/>
    <x v="327"/>
    <x v="274"/>
    <x v="274"/>
    <s v="REVENUS"/>
    <x v="12"/>
    <s v="4004.000"/>
    <s v="Impôt spécial étrangers"/>
    <n v="0"/>
    <n v="33723.599999999999"/>
    <n v="4004"/>
  </r>
  <r>
    <x v="0"/>
    <x v="11"/>
    <x v="9"/>
    <x v="327"/>
    <x v="274"/>
    <x v="274"/>
    <s v="REVENUS"/>
    <x v="3"/>
    <s v="4002.002"/>
    <s v="Impôt complémentaire s/fortune PP"/>
    <n v="0"/>
    <n v="1162.1500000000001"/>
    <n v="4002"/>
  </r>
  <r>
    <x v="0"/>
    <x v="11"/>
    <x v="9"/>
    <x v="327"/>
    <x v="274"/>
    <x v="274"/>
    <s v="REVENUS"/>
    <x v="6"/>
    <s v="4211.002"/>
    <s v="Intérêts de retard sur acomptes"/>
    <n v="0"/>
    <n v="0.24"/>
    <n v="4211"/>
  </r>
  <r>
    <x v="0"/>
    <x v="11"/>
    <x v="9"/>
    <x v="327"/>
    <x v="274"/>
    <x v="274"/>
    <s v="REVENUS"/>
    <x v="6"/>
    <s v="4221.003"/>
    <s v="Intérêts compensat. / acomptes en faveur du fisc"/>
    <n v="0"/>
    <n v="0.11"/>
    <n v="4221"/>
  </r>
  <r>
    <x v="0"/>
    <x v="12"/>
    <x v="5"/>
    <x v="328"/>
    <x v="275"/>
    <x v="275"/>
    <s v="CHARGES"/>
    <x v="1"/>
    <s v="3301.001"/>
    <s v="Défalcations, abandons de solde PP et IS"/>
    <n v="3.99"/>
    <n v="0"/>
    <n v="3301"/>
  </r>
  <r>
    <x v="0"/>
    <x v="12"/>
    <x v="5"/>
    <x v="328"/>
    <x v="275"/>
    <x v="275"/>
    <s v="CHARGES"/>
    <x v="0"/>
    <s v="3212.002"/>
    <s v="Intérêts bonifiés/trop perçu acompte C/C"/>
    <n v="4.34"/>
    <n v="0"/>
    <n v="3212"/>
  </r>
  <r>
    <x v="0"/>
    <x v="12"/>
    <x v="5"/>
    <x v="328"/>
    <x v="275"/>
    <x v="275"/>
    <s v="REVENUS"/>
    <x v="9"/>
    <s v="4031.001"/>
    <s v="Impôt sur les gains immobiliers"/>
    <n v="0"/>
    <n v="31121.5"/>
    <n v="4031"/>
  </r>
  <r>
    <x v="0"/>
    <x v="12"/>
    <x v="5"/>
    <x v="328"/>
    <x v="275"/>
    <x v="275"/>
    <s v="REVENUS"/>
    <x v="6"/>
    <s v="4221.002"/>
    <s v="Intérêts compensat. sur impôts distincts"/>
    <n v="0"/>
    <n v="3.09"/>
    <n v="4221"/>
  </r>
  <r>
    <x v="0"/>
    <x v="12"/>
    <x v="5"/>
    <x v="328"/>
    <x v="275"/>
    <x v="275"/>
    <s v="REVENUS"/>
    <x v="2"/>
    <s v="4001.007"/>
    <s v="Acompte impôt sur revenu"/>
    <n v="0"/>
    <n v="541950.65"/>
    <n v="4001"/>
  </r>
  <r>
    <x v="0"/>
    <x v="12"/>
    <x v="5"/>
    <x v="328"/>
    <x v="275"/>
    <x v="275"/>
    <s v="REVENUS"/>
    <x v="3"/>
    <s v="4002.007"/>
    <s v="Acompte impôt sur fortune"/>
    <n v="0"/>
    <n v="42207.3"/>
    <n v="4002"/>
  </r>
  <r>
    <x v="0"/>
    <x v="12"/>
    <x v="5"/>
    <x v="328"/>
    <x v="275"/>
    <x v="275"/>
    <s v="REVENUS"/>
    <x v="2"/>
    <s v="4001.007"/>
    <s v="Acompte impôt sur revenu"/>
    <n v="0"/>
    <n v="247.25"/>
    <n v="4001"/>
  </r>
  <r>
    <x v="0"/>
    <x v="12"/>
    <x v="5"/>
    <x v="328"/>
    <x v="275"/>
    <x v="275"/>
    <s v="REVENUS"/>
    <x v="3"/>
    <s v="4002.007"/>
    <s v="Acompte impôt sur fortune"/>
    <n v="0"/>
    <n v="300.5"/>
    <n v="4002"/>
  </r>
  <r>
    <x v="0"/>
    <x v="12"/>
    <x v="5"/>
    <x v="328"/>
    <x v="275"/>
    <x v="275"/>
    <s v="REVENUS"/>
    <x v="3"/>
    <s v="4002.007"/>
    <s v="Acompte impôt sur fortune"/>
    <n v="0"/>
    <n v="254.95"/>
    <n v="4002"/>
  </r>
  <r>
    <x v="0"/>
    <x v="12"/>
    <x v="5"/>
    <x v="328"/>
    <x v="275"/>
    <x v="275"/>
    <s v="REVENUS"/>
    <x v="2"/>
    <s v="4001.007"/>
    <s v="Acompte impôt sur revenu"/>
    <n v="0"/>
    <n v="152.5"/>
    <n v="4001"/>
  </r>
  <r>
    <x v="0"/>
    <x v="12"/>
    <x v="5"/>
    <x v="328"/>
    <x v="275"/>
    <x v="275"/>
    <s v="REVENUS"/>
    <x v="3"/>
    <s v="4002.007"/>
    <s v="Acompte impôt sur fortune"/>
    <n v="0"/>
    <n v="61.1"/>
    <n v="4002"/>
  </r>
  <r>
    <x v="0"/>
    <x v="12"/>
    <x v="5"/>
    <x v="328"/>
    <x v="275"/>
    <x v="275"/>
    <s v="REVENUS"/>
    <x v="2"/>
    <s v="4001.007"/>
    <s v="Acompte impôt sur revenu"/>
    <n v="0"/>
    <n v="7074"/>
    <n v="4001"/>
  </r>
  <r>
    <x v="0"/>
    <x v="12"/>
    <x v="5"/>
    <x v="328"/>
    <x v="275"/>
    <x v="275"/>
    <s v="REVENUS"/>
    <x v="3"/>
    <s v="4002.007"/>
    <s v="Acompte impôt sur fortune"/>
    <n v="0"/>
    <n v="59.75"/>
    <n v="4002"/>
  </r>
  <r>
    <x v="0"/>
    <x v="12"/>
    <x v="5"/>
    <x v="328"/>
    <x v="275"/>
    <x v="275"/>
    <s v="REVENUS"/>
    <x v="2"/>
    <s v="4001.003"/>
    <s v="Impôt s/prest. cap. PP"/>
    <n v="0"/>
    <n v="7239.65"/>
    <n v="4001"/>
  </r>
  <r>
    <x v="0"/>
    <x v="12"/>
    <x v="5"/>
    <x v="328"/>
    <x v="275"/>
    <x v="275"/>
    <s v="REVENUS"/>
    <x v="10"/>
    <s v="4041.001"/>
    <s v="Droits de mutation"/>
    <n v="0"/>
    <n v="46110.400000000001"/>
    <n v="4041"/>
  </r>
  <r>
    <x v="0"/>
    <x v="12"/>
    <x v="5"/>
    <x v="328"/>
    <x v="275"/>
    <x v="275"/>
    <s v="REVENUS"/>
    <x v="5"/>
    <s v="4061.000"/>
    <s v="Impôt sur les chiens"/>
    <n v="0"/>
    <n v="2760"/>
    <n v="4061"/>
  </r>
  <r>
    <x v="0"/>
    <x v="12"/>
    <x v="5"/>
    <x v="328"/>
    <x v="275"/>
    <x v="275"/>
    <s v="REVENUS"/>
    <x v="2"/>
    <s v="4001.001"/>
    <s v="Impôt revenu"/>
    <n v="0"/>
    <n v="2129"/>
    <n v="4001"/>
  </r>
  <r>
    <x v="0"/>
    <x v="12"/>
    <x v="5"/>
    <x v="328"/>
    <x v="275"/>
    <x v="275"/>
    <s v="REVENUS"/>
    <x v="3"/>
    <s v="4002.001"/>
    <s v="Impôt ordinaire s/fortune PP"/>
    <n v="0"/>
    <n v="790.9"/>
    <n v="4002"/>
  </r>
  <r>
    <x v="0"/>
    <x v="12"/>
    <x v="5"/>
    <x v="328"/>
    <x v="275"/>
    <x v="275"/>
    <s v="REVENUS"/>
    <x v="4"/>
    <s v="4051.001"/>
    <s v="Impôt sur les successions"/>
    <n v="0"/>
    <n v="651.9"/>
    <n v="4051"/>
  </r>
  <r>
    <x v="0"/>
    <x v="12"/>
    <x v="5"/>
    <x v="328"/>
    <x v="275"/>
    <x v="275"/>
    <s v="REVENUS"/>
    <x v="6"/>
    <s v="4211.001"/>
    <s v="Intérêts de retard sur factures"/>
    <n v="0"/>
    <n v="1.01"/>
    <n v="4211"/>
  </r>
  <r>
    <x v="0"/>
    <x v="12"/>
    <x v="5"/>
    <x v="328"/>
    <x v="275"/>
    <x v="275"/>
    <s v="REVENUS"/>
    <x v="10"/>
    <s v="4041.002"/>
    <s v="Complément droit de mutation"/>
    <n v="0"/>
    <n v="198"/>
    <n v="4041"/>
  </r>
  <r>
    <x v="0"/>
    <x v="12"/>
    <x v="5"/>
    <x v="329"/>
    <x v="276"/>
    <x v="276"/>
    <s v="CHARGES"/>
    <x v="0"/>
    <s v="3212.004"/>
    <s v="Intérêts rémun./perçu trop tôt sur acomptes C/C"/>
    <n v="177.53"/>
    <n v="0"/>
    <n v="3212"/>
  </r>
  <r>
    <x v="0"/>
    <x v="12"/>
    <x v="5"/>
    <x v="329"/>
    <x v="276"/>
    <x v="276"/>
    <s v="CHARGES"/>
    <x v="0"/>
    <s v="3221.002"/>
    <s v="Intérêts compensatoires / créances en faveur ctb."/>
    <n v="63.25"/>
    <n v="0"/>
    <n v="3221"/>
  </r>
  <r>
    <x v="0"/>
    <x v="12"/>
    <x v="5"/>
    <x v="329"/>
    <x v="276"/>
    <x v="276"/>
    <s v="CHARGES"/>
    <x v="1"/>
    <s v="3301.001"/>
    <s v="Défalcations, abandons de solde PP et IS"/>
    <n v="1931.77"/>
    <n v="0"/>
    <n v="3301"/>
  </r>
  <r>
    <x v="0"/>
    <x v="12"/>
    <x v="5"/>
    <x v="329"/>
    <x v="276"/>
    <x v="276"/>
    <s v="CHARGES"/>
    <x v="1"/>
    <s v="3301.001"/>
    <s v="Défalcations, abandons de solde PP et IS"/>
    <n v="0.16"/>
    <n v="0"/>
    <n v="3301"/>
  </r>
  <r>
    <x v="0"/>
    <x v="12"/>
    <x v="5"/>
    <x v="329"/>
    <x v="276"/>
    <x v="276"/>
    <s v="CHARGES"/>
    <x v="0"/>
    <s v="3212.004"/>
    <s v="Intérêts rémun./perçu trop tôt sur acomptes C/C"/>
    <n v="1.47"/>
    <n v="0"/>
    <n v="3212"/>
  </r>
  <r>
    <x v="0"/>
    <x v="12"/>
    <x v="5"/>
    <x v="329"/>
    <x v="276"/>
    <x v="276"/>
    <s v="CHARGES"/>
    <x v="0"/>
    <s v="3221.002"/>
    <s v="Intérêts compensatoires / créances en faveur ctb."/>
    <n v="0.1"/>
    <n v="0"/>
    <n v="3221"/>
  </r>
  <r>
    <x v="0"/>
    <x v="12"/>
    <x v="5"/>
    <x v="329"/>
    <x v="276"/>
    <x v="276"/>
    <s v="CHARGES"/>
    <x v="0"/>
    <s v="3212.004"/>
    <s v="Intérêts rémun./perçu trop tôt sur acomptes C/C"/>
    <n v="0.2"/>
    <n v="0"/>
    <n v="3212"/>
  </r>
  <r>
    <x v="0"/>
    <x v="12"/>
    <x v="5"/>
    <x v="329"/>
    <x v="276"/>
    <x v="276"/>
    <s v="CHARGES"/>
    <x v="1"/>
    <s v="3301.001"/>
    <s v="Défalcations, abandons de solde PP et IS"/>
    <n v="0.03"/>
    <n v="0"/>
    <n v="3301"/>
  </r>
  <r>
    <x v="0"/>
    <x v="12"/>
    <x v="5"/>
    <x v="329"/>
    <x v="276"/>
    <x v="276"/>
    <s v="CHARGES"/>
    <x v="0"/>
    <s v="3212.002"/>
    <s v="Intérêts bonifiés/trop perçu acompte C/C"/>
    <n v="2.16"/>
    <n v="0"/>
    <n v="3212"/>
  </r>
  <r>
    <x v="0"/>
    <x v="12"/>
    <x v="5"/>
    <x v="329"/>
    <x v="276"/>
    <x v="276"/>
    <s v="CHARGES"/>
    <x v="0"/>
    <s v="3212.004"/>
    <s v="Intérêts rémun./perçu trop tôt sur acomptes C/C"/>
    <n v="0.75"/>
    <n v="0"/>
    <n v="3212"/>
  </r>
  <r>
    <x v="0"/>
    <x v="12"/>
    <x v="5"/>
    <x v="329"/>
    <x v="276"/>
    <x v="276"/>
    <s v="CHARGES"/>
    <x v="0"/>
    <s v="3221.002"/>
    <s v="Intérêts compensatoires / créances en faveur ctb."/>
    <n v="1.86"/>
    <n v="0"/>
    <n v="3221"/>
  </r>
  <r>
    <x v="0"/>
    <x v="12"/>
    <x v="5"/>
    <x v="329"/>
    <x v="276"/>
    <x v="276"/>
    <s v="REVENUS"/>
    <x v="2"/>
    <s v="4001.001"/>
    <s v="Impôt revenu"/>
    <n v="0"/>
    <n v="482790.2"/>
    <n v="4001"/>
  </r>
  <r>
    <x v="0"/>
    <x v="12"/>
    <x v="5"/>
    <x v="329"/>
    <x v="276"/>
    <x v="276"/>
    <s v="REVENUS"/>
    <x v="2"/>
    <s v="4001.007"/>
    <s v="Acompte impôt sur revenu"/>
    <n v="0"/>
    <n v="-236879.83"/>
    <n v="4001"/>
  </r>
  <r>
    <x v="0"/>
    <x v="12"/>
    <x v="5"/>
    <x v="329"/>
    <x v="276"/>
    <x v="276"/>
    <s v="REVENUS"/>
    <x v="3"/>
    <s v="4002.001"/>
    <s v="Impôt ordinaire s/fortune PP"/>
    <n v="0"/>
    <n v="69053"/>
    <n v="4002"/>
  </r>
  <r>
    <x v="0"/>
    <x v="12"/>
    <x v="5"/>
    <x v="329"/>
    <x v="276"/>
    <x v="276"/>
    <s v="REVENUS"/>
    <x v="3"/>
    <s v="4002.007"/>
    <s v="Acompte impôt sur fortune"/>
    <n v="0"/>
    <n v="-41070.550000000003"/>
    <n v="4002"/>
  </r>
  <r>
    <x v="0"/>
    <x v="12"/>
    <x v="5"/>
    <x v="329"/>
    <x v="276"/>
    <x v="276"/>
    <s v="REVENUS"/>
    <x v="6"/>
    <s v="4221.003"/>
    <s v="Intérêts compensat. / acomptes en faveur du fisc"/>
    <n v="0"/>
    <n v="46.43"/>
    <n v="4221"/>
  </r>
  <r>
    <x v="0"/>
    <x v="12"/>
    <x v="5"/>
    <x v="329"/>
    <x v="276"/>
    <x v="276"/>
    <s v="REVENUS"/>
    <x v="6"/>
    <s v="4211.002"/>
    <s v="Intérêts de retard sur acomptes"/>
    <n v="0"/>
    <n v="1481.61"/>
    <n v="4211"/>
  </r>
  <r>
    <x v="0"/>
    <x v="12"/>
    <x v="5"/>
    <x v="329"/>
    <x v="276"/>
    <x v="276"/>
    <s v="REVENUS"/>
    <x v="2"/>
    <s v="4001.003"/>
    <s v="Impôt s/prest. cap. PP"/>
    <n v="0"/>
    <n v="3988.1"/>
    <n v="4001"/>
  </r>
  <r>
    <x v="0"/>
    <x v="12"/>
    <x v="5"/>
    <x v="329"/>
    <x v="276"/>
    <x v="276"/>
    <s v="REVENUS"/>
    <x v="6"/>
    <s v="4211.001"/>
    <s v="Intérêts de retard sur factures"/>
    <n v="0"/>
    <n v="720.01"/>
    <n v="4211"/>
  </r>
  <r>
    <x v="0"/>
    <x v="12"/>
    <x v="5"/>
    <x v="329"/>
    <x v="276"/>
    <x v="276"/>
    <s v="REVENUS"/>
    <x v="6"/>
    <s v="4221.002"/>
    <s v="Intérêts compensat. sur impôts distincts"/>
    <n v="0"/>
    <n v="0.16"/>
    <n v="4221"/>
  </r>
  <r>
    <x v="0"/>
    <x v="12"/>
    <x v="5"/>
    <x v="329"/>
    <x v="276"/>
    <x v="276"/>
    <s v="REVENUS"/>
    <x v="6"/>
    <s v="4211.001"/>
    <s v="Intérêts de retard sur factures"/>
    <n v="0"/>
    <n v="0.5"/>
    <n v="4211"/>
  </r>
  <r>
    <x v="0"/>
    <x v="12"/>
    <x v="5"/>
    <x v="329"/>
    <x v="276"/>
    <x v="276"/>
    <s v="REVENUS"/>
    <x v="2"/>
    <s v="4001.002"/>
    <s v="Impôt complément s/revenu PP"/>
    <n v="0"/>
    <n v="36967.050000000003"/>
    <n v="4001"/>
  </r>
  <r>
    <x v="0"/>
    <x v="12"/>
    <x v="5"/>
    <x v="329"/>
    <x v="276"/>
    <x v="276"/>
    <s v="REVENUS"/>
    <x v="3"/>
    <s v="4002.002"/>
    <s v="Impôt complémentaire s/fortune PP"/>
    <n v="0"/>
    <n v="4751.55"/>
    <n v="4002"/>
  </r>
  <r>
    <x v="0"/>
    <x v="12"/>
    <x v="5"/>
    <x v="329"/>
    <x v="276"/>
    <x v="276"/>
    <s v="REVENUS"/>
    <x v="2"/>
    <s v="4001.007"/>
    <s v="Acompte impôt sur revenu"/>
    <n v="0"/>
    <n v="-5"/>
    <n v="4001"/>
  </r>
  <r>
    <x v="0"/>
    <x v="12"/>
    <x v="5"/>
    <x v="329"/>
    <x v="276"/>
    <x v="276"/>
    <s v="REVENUS"/>
    <x v="2"/>
    <s v="4001.007"/>
    <s v="Acompte impôt sur revenu"/>
    <n v="0"/>
    <n v="7.3"/>
    <n v="4001"/>
  </r>
  <r>
    <x v="0"/>
    <x v="12"/>
    <x v="5"/>
    <x v="329"/>
    <x v="276"/>
    <x v="276"/>
    <s v="REVENUS"/>
    <x v="3"/>
    <s v="4002.007"/>
    <s v="Acompte impôt sur fortune"/>
    <n v="0"/>
    <n v="-5.0999999999999996"/>
    <n v="4002"/>
  </r>
  <r>
    <x v="0"/>
    <x v="12"/>
    <x v="5"/>
    <x v="329"/>
    <x v="276"/>
    <x v="276"/>
    <s v="REVENUS"/>
    <x v="3"/>
    <s v="4002.007"/>
    <s v="Acompte impôt sur fortune"/>
    <n v="0"/>
    <n v="889.89"/>
    <n v="4002"/>
  </r>
  <r>
    <x v="0"/>
    <x v="12"/>
    <x v="5"/>
    <x v="329"/>
    <x v="276"/>
    <x v="276"/>
    <s v="REVENUS"/>
    <x v="2"/>
    <s v="4001.007"/>
    <s v="Acompte impôt sur revenu"/>
    <n v="0"/>
    <n v="-417.69"/>
    <n v="4001"/>
  </r>
  <r>
    <x v="0"/>
    <x v="12"/>
    <x v="5"/>
    <x v="329"/>
    <x v="276"/>
    <x v="276"/>
    <s v="REVENUS"/>
    <x v="3"/>
    <s v="4002.007"/>
    <s v="Acompte impôt sur fortune"/>
    <n v="0"/>
    <n v="52.88"/>
    <n v="4002"/>
  </r>
  <r>
    <x v="0"/>
    <x v="12"/>
    <x v="5"/>
    <x v="329"/>
    <x v="276"/>
    <x v="276"/>
    <s v="REVENUS"/>
    <x v="2"/>
    <s v="4001.007"/>
    <s v="Acompte impôt sur revenu"/>
    <n v="0"/>
    <n v="97.89"/>
    <n v="4001"/>
  </r>
  <r>
    <x v="0"/>
    <x v="12"/>
    <x v="5"/>
    <x v="329"/>
    <x v="276"/>
    <x v="276"/>
    <s v="REVENUS"/>
    <x v="3"/>
    <s v="4002.007"/>
    <s v="Acompte impôt sur fortune"/>
    <n v="0"/>
    <n v="-0.6"/>
    <n v="4002"/>
  </r>
  <r>
    <x v="0"/>
    <x v="12"/>
    <x v="5"/>
    <x v="329"/>
    <x v="276"/>
    <x v="276"/>
    <s v="REVENUS"/>
    <x v="10"/>
    <s v="4041.001"/>
    <s v="Droits de mutation"/>
    <n v="0"/>
    <n v="6.95"/>
    <n v="4041"/>
  </r>
  <r>
    <x v="0"/>
    <x v="12"/>
    <x v="5"/>
    <x v="329"/>
    <x v="276"/>
    <x v="276"/>
    <s v="REVENUS"/>
    <x v="2"/>
    <s v="4001.001"/>
    <s v="Impôt revenu"/>
    <n v="0"/>
    <n v="470.8"/>
    <n v="4001"/>
  </r>
  <r>
    <x v="0"/>
    <x v="12"/>
    <x v="5"/>
    <x v="329"/>
    <x v="276"/>
    <x v="276"/>
    <s v="REVENUS"/>
    <x v="6"/>
    <s v="4221.003"/>
    <s v="Intérêts compensat. / acomptes en faveur du fisc"/>
    <n v="0"/>
    <n v="0.16"/>
    <n v="4221"/>
  </r>
  <r>
    <x v="0"/>
    <x v="12"/>
    <x v="5"/>
    <x v="329"/>
    <x v="276"/>
    <x v="276"/>
    <s v="REVENUS"/>
    <x v="7"/>
    <s v="4184.000"/>
    <s v="Frais de poursuite"/>
    <n v="0"/>
    <n v="263.79000000000002"/>
    <n v="4184"/>
  </r>
  <r>
    <x v="0"/>
    <x v="12"/>
    <x v="5"/>
    <x v="329"/>
    <x v="276"/>
    <x v="276"/>
    <s v="REVENUS"/>
    <x v="3"/>
    <s v="4002.001"/>
    <s v="Impôt ordinaire s/fortune PP"/>
    <n v="0"/>
    <n v="130.94999999999999"/>
    <n v="4002"/>
  </r>
  <r>
    <x v="0"/>
    <x v="12"/>
    <x v="5"/>
    <x v="329"/>
    <x v="276"/>
    <x v="276"/>
    <s v="REVENUS"/>
    <x v="6"/>
    <s v="4211.002"/>
    <s v="Intérêts de retard sur acomptes"/>
    <n v="0"/>
    <n v="8.6"/>
    <n v="4211"/>
  </r>
  <r>
    <x v="0"/>
    <x v="12"/>
    <x v="5"/>
    <x v="329"/>
    <x v="276"/>
    <x v="276"/>
    <s v="REVENUS"/>
    <x v="10"/>
    <s v="4041.001"/>
    <s v="Droits de mutation"/>
    <n v="0"/>
    <n v="825"/>
    <n v="4041"/>
  </r>
  <r>
    <x v="0"/>
    <x v="12"/>
    <x v="5"/>
    <x v="329"/>
    <x v="276"/>
    <x v="276"/>
    <s v="REVENUS"/>
    <x v="9"/>
    <s v="4031.001"/>
    <s v="Impôt sur les gains immobiliers"/>
    <n v="0"/>
    <n v="11.65"/>
    <n v="4031"/>
  </r>
  <r>
    <x v="0"/>
    <x v="12"/>
    <x v="5"/>
    <x v="329"/>
    <x v="276"/>
    <x v="276"/>
    <s v="REVENUS"/>
    <x v="2"/>
    <s v="4001.002"/>
    <s v="Impôt complément s/revenu PP"/>
    <n v="0"/>
    <n v="2758.45"/>
    <n v="4001"/>
  </r>
  <r>
    <x v="0"/>
    <x v="12"/>
    <x v="5"/>
    <x v="329"/>
    <x v="276"/>
    <x v="276"/>
    <s v="REVENUS"/>
    <x v="3"/>
    <s v="4002.002"/>
    <s v="Impôt complémentaire s/fortune PP"/>
    <n v="0"/>
    <n v="1294.9000000000001"/>
    <n v="4002"/>
  </r>
  <r>
    <x v="0"/>
    <x v="12"/>
    <x v="5"/>
    <x v="329"/>
    <x v="276"/>
    <x v="276"/>
    <s v="REVENUS"/>
    <x v="9"/>
    <s v="4031.001"/>
    <s v="Impôt sur les gains immobiliers"/>
    <n v="0"/>
    <n v="4511.8999999999996"/>
    <n v="4031"/>
  </r>
  <r>
    <x v="0"/>
    <x v="12"/>
    <x v="5"/>
    <x v="329"/>
    <x v="276"/>
    <x v="276"/>
    <s v="REVENUS"/>
    <x v="2"/>
    <s v="4001.001"/>
    <s v="Impôt revenu"/>
    <n v="0"/>
    <n v="843.2"/>
    <n v="4001"/>
  </r>
  <r>
    <x v="0"/>
    <x v="12"/>
    <x v="5"/>
    <x v="329"/>
    <x v="276"/>
    <x v="276"/>
    <s v="REVENUS"/>
    <x v="6"/>
    <s v="4221.003"/>
    <s v="Intérêts compensat. / acomptes en faveur du fisc"/>
    <n v="0"/>
    <n v="0.03"/>
    <n v="4221"/>
  </r>
  <r>
    <x v="0"/>
    <x v="12"/>
    <x v="5"/>
    <x v="329"/>
    <x v="276"/>
    <x v="276"/>
    <s v="REVENUS"/>
    <x v="5"/>
    <s v="4061.000"/>
    <s v="Impôt sur les chiens"/>
    <n v="0"/>
    <n v="1120"/>
    <n v="4061"/>
  </r>
  <r>
    <x v="0"/>
    <x v="12"/>
    <x v="5"/>
    <x v="329"/>
    <x v="276"/>
    <x v="276"/>
    <s v="REVENUS"/>
    <x v="3"/>
    <s v="4002.001"/>
    <s v="Impôt ordinaire s/fortune PP"/>
    <n v="0"/>
    <n v="713.95"/>
    <n v="4002"/>
  </r>
  <r>
    <x v="0"/>
    <x v="12"/>
    <x v="5"/>
    <x v="330"/>
    <x v="277"/>
    <x v="277"/>
    <s v="CHARGES"/>
    <x v="1"/>
    <s v="3301.001"/>
    <s v="Défalcations, abandons de solde PP et IS"/>
    <n v="10782.95"/>
    <n v="0"/>
    <n v="3301"/>
  </r>
  <r>
    <x v="0"/>
    <x v="12"/>
    <x v="5"/>
    <x v="330"/>
    <x v="277"/>
    <x v="277"/>
    <s v="CHARGES"/>
    <x v="0"/>
    <s v="3212.004"/>
    <s v="Intérêts rémun./perçu trop tôt sur acomptes C/C"/>
    <n v="207.49"/>
    <n v="0"/>
    <n v="3212"/>
  </r>
  <r>
    <x v="0"/>
    <x v="12"/>
    <x v="5"/>
    <x v="330"/>
    <x v="277"/>
    <x v="277"/>
    <s v="CHARGES"/>
    <x v="0"/>
    <s v="3221.002"/>
    <s v="Intérêts compensatoires / créances en faveur ctb."/>
    <n v="126.14"/>
    <n v="0"/>
    <n v="3221"/>
  </r>
  <r>
    <x v="0"/>
    <x v="12"/>
    <x v="5"/>
    <x v="330"/>
    <x v="277"/>
    <x v="277"/>
    <s v="CHARGES"/>
    <x v="0"/>
    <s v="3212.002"/>
    <s v="Intérêts bonifiés/trop perçu acompte C/C"/>
    <n v="1.47"/>
    <n v="0"/>
    <n v="3212"/>
  </r>
  <r>
    <x v="0"/>
    <x v="12"/>
    <x v="5"/>
    <x v="330"/>
    <x v="277"/>
    <x v="277"/>
    <s v="CHARGES"/>
    <x v="0"/>
    <s v="3212.004"/>
    <s v="Intérêts rémun./perçu trop tôt sur acomptes C/C"/>
    <n v="0.03"/>
    <n v="0"/>
    <n v="3212"/>
  </r>
  <r>
    <x v="0"/>
    <x v="12"/>
    <x v="5"/>
    <x v="330"/>
    <x v="277"/>
    <x v="277"/>
    <s v="CHARGES"/>
    <x v="0"/>
    <s v="3212.004"/>
    <s v="Intérêts rémun./perçu trop tôt sur acomptes C/C"/>
    <n v="0.3"/>
    <n v="0"/>
    <n v="3212"/>
  </r>
  <r>
    <x v="0"/>
    <x v="12"/>
    <x v="5"/>
    <x v="330"/>
    <x v="277"/>
    <x v="277"/>
    <s v="CHARGES"/>
    <x v="0"/>
    <s v="3221.002"/>
    <s v="Intérêts compensatoires / créances en faveur ctb."/>
    <n v="0.18"/>
    <n v="0"/>
    <n v="3221"/>
  </r>
  <r>
    <x v="0"/>
    <x v="12"/>
    <x v="5"/>
    <x v="330"/>
    <x v="277"/>
    <x v="277"/>
    <s v="CHARGES"/>
    <x v="0"/>
    <s v="3212.004"/>
    <s v="Intérêts rémun./perçu trop tôt sur acomptes C/C"/>
    <n v="0.24"/>
    <n v="0"/>
    <n v="3212"/>
  </r>
  <r>
    <x v="0"/>
    <x v="12"/>
    <x v="5"/>
    <x v="330"/>
    <x v="277"/>
    <x v="277"/>
    <s v="CHARGES"/>
    <x v="0"/>
    <s v="3221.002"/>
    <s v="Intérêts compensatoires / créances en faveur ctb."/>
    <n v="0.62"/>
    <n v="0"/>
    <n v="3221"/>
  </r>
  <r>
    <x v="0"/>
    <x v="12"/>
    <x v="5"/>
    <x v="330"/>
    <x v="277"/>
    <x v="277"/>
    <s v="REVENUS"/>
    <x v="2"/>
    <s v="4001.007"/>
    <s v="Acompte impôt sur revenu"/>
    <n v="0"/>
    <n v="-128435.05"/>
    <n v="4001"/>
  </r>
  <r>
    <x v="0"/>
    <x v="12"/>
    <x v="5"/>
    <x v="330"/>
    <x v="277"/>
    <x v="277"/>
    <s v="REVENUS"/>
    <x v="6"/>
    <s v="4211.001"/>
    <s v="Intérêts de retard sur factures"/>
    <n v="0"/>
    <n v="1312.37"/>
    <n v="4211"/>
  </r>
  <r>
    <x v="0"/>
    <x v="12"/>
    <x v="5"/>
    <x v="330"/>
    <x v="277"/>
    <x v="277"/>
    <s v="REVENUS"/>
    <x v="3"/>
    <s v="4002.007"/>
    <s v="Acompte impôt sur fortune"/>
    <n v="0"/>
    <n v="-13198.33"/>
    <n v="4002"/>
  </r>
  <r>
    <x v="0"/>
    <x v="12"/>
    <x v="5"/>
    <x v="330"/>
    <x v="277"/>
    <x v="277"/>
    <s v="REVENUS"/>
    <x v="2"/>
    <s v="4001.001"/>
    <s v="Impôt revenu"/>
    <n v="0"/>
    <n v="1150030.05"/>
    <n v="4001"/>
  </r>
  <r>
    <x v="0"/>
    <x v="12"/>
    <x v="5"/>
    <x v="330"/>
    <x v="277"/>
    <x v="277"/>
    <s v="REVENUS"/>
    <x v="3"/>
    <s v="4002.001"/>
    <s v="Impôt ordinaire s/fortune PP"/>
    <n v="0"/>
    <n v="151324.29999999999"/>
    <n v="4002"/>
  </r>
  <r>
    <x v="0"/>
    <x v="12"/>
    <x v="5"/>
    <x v="330"/>
    <x v="277"/>
    <x v="277"/>
    <s v="REVENUS"/>
    <x v="6"/>
    <s v="4211.002"/>
    <s v="Intérêts de retard sur acomptes"/>
    <n v="0"/>
    <n v="11911.68"/>
    <n v="4211"/>
  </r>
  <r>
    <x v="0"/>
    <x v="12"/>
    <x v="5"/>
    <x v="330"/>
    <x v="277"/>
    <x v="277"/>
    <s v="REVENUS"/>
    <x v="6"/>
    <s v="4221.003"/>
    <s v="Intérêts compensat. / acomptes en faveur du fisc"/>
    <n v="0"/>
    <n v="311.04000000000002"/>
    <n v="4221"/>
  </r>
  <r>
    <x v="0"/>
    <x v="12"/>
    <x v="5"/>
    <x v="330"/>
    <x v="277"/>
    <x v="277"/>
    <s v="REVENUS"/>
    <x v="7"/>
    <s v="4184.000"/>
    <s v="Frais de poursuite"/>
    <n v="0"/>
    <n v="473.1"/>
    <n v="4184"/>
  </r>
  <r>
    <x v="0"/>
    <x v="12"/>
    <x v="5"/>
    <x v="330"/>
    <x v="277"/>
    <x v="277"/>
    <s v="REVENUS"/>
    <x v="2"/>
    <s v="4001.003"/>
    <s v="Impôt s/prest. cap. PP"/>
    <n v="0"/>
    <n v="44648.85"/>
    <n v="4001"/>
  </r>
  <r>
    <x v="0"/>
    <x v="12"/>
    <x v="5"/>
    <x v="330"/>
    <x v="277"/>
    <x v="277"/>
    <s v="REVENUS"/>
    <x v="7"/>
    <s v="4184.000"/>
    <s v="Frais de poursuite"/>
    <n v="0"/>
    <n v="273.86"/>
    <n v="4184"/>
  </r>
  <r>
    <x v="0"/>
    <x v="12"/>
    <x v="5"/>
    <x v="330"/>
    <x v="277"/>
    <x v="277"/>
    <s v="REVENUS"/>
    <x v="2"/>
    <s v="4001.002"/>
    <s v="Impôt complément s/revenu PP"/>
    <n v="0"/>
    <n v="100136.15"/>
    <n v="4001"/>
  </r>
  <r>
    <x v="0"/>
    <x v="12"/>
    <x v="5"/>
    <x v="330"/>
    <x v="277"/>
    <x v="277"/>
    <s v="REVENUS"/>
    <x v="2"/>
    <s v="4001.007"/>
    <s v="Acompte impôt sur revenu"/>
    <n v="0"/>
    <n v="560.5"/>
    <n v="4001"/>
  </r>
  <r>
    <x v="0"/>
    <x v="12"/>
    <x v="5"/>
    <x v="330"/>
    <x v="277"/>
    <x v="277"/>
    <s v="REVENUS"/>
    <x v="2"/>
    <s v="4001.007"/>
    <s v="Acompte impôt sur revenu"/>
    <n v="0"/>
    <n v="360.15"/>
    <n v="4001"/>
  </r>
  <r>
    <x v="0"/>
    <x v="12"/>
    <x v="5"/>
    <x v="330"/>
    <x v="277"/>
    <x v="277"/>
    <s v="REVENUS"/>
    <x v="3"/>
    <s v="4002.002"/>
    <s v="Impôt complémentaire s/fortune PP"/>
    <n v="0"/>
    <n v="11343.65"/>
    <n v="4002"/>
  </r>
  <r>
    <x v="0"/>
    <x v="12"/>
    <x v="5"/>
    <x v="330"/>
    <x v="277"/>
    <x v="277"/>
    <s v="REVENUS"/>
    <x v="3"/>
    <s v="4002.007"/>
    <s v="Acompte impôt sur fortune"/>
    <n v="0"/>
    <n v="307.64999999999998"/>
    <n v="4002"/>
  </r>
  <r>
    <x v="0"/>
    <x v="12"/>
    <x v="5"/>
    <x v="330"/>
    <x v="277"/>
    <x v="277"/>
    <s v="REVENUS"/>
    <x v="2"/>
    <s v="4001.007"/>
    <s v="Acompte impôt sur revenu"/>
    <n v="0"/>
    <n v="303.45"/>
    <n v="4001"/>
  </r>
  <r>
    <x v="0"/>
    <x v="12"/>
    <x v="5"/>
    <x v="330"/>
    <x v="277"/>
    <x v="277"/>
    <s v="REVENUS"/>
    <x v="3"/>
    <s v="4002.007"/>
    <s v="Acompte impôt sur fortune"/>
    <n v="0"/>
    <n v="859.45"/>
    <n v="4002"/>
  </r>
  <r>
    <x v="0"/>
    <x v="12"/>
    <x v="5"/>
    <x v="330"/>
    <x v="277"/>
    <x v="277"/>
    <s v="REVENUS"/>
    <x v="3"/>
    <s v="4002.007"/>
    <s v="Acompte impôt sur fortune"/>
    <n v="0"/>
    <n v="-666.21"/>
    <n v="4002"/>
  </r>
  <r>
    <x v="0"/>
    <x v="12"/>
    <x v="5"/>
    <x v="330"/>
    <x v="277"/>
    <x v="277"/>
    <s v="REVENUS"/>
    <x v="2"/>
    <s v="4001.007"/>
    <s v="Acompte impôt sur revenu"/>
    <n v="0"/>
    <n v="-3708.28"/>
    <n v="4001"/>
  </r>
  <r>
    <x v="0"/>
    <x v="12"/>
    <x v="5"/>
    <x v="330"/>
    <x v="277"/>
    <x v="277"/>
    <s v="REVENUS"/>
    <x v="3"/>
    <s v="4002.007"/>
    <s v="Acompte impôt sur fortune"/>
    <n v="0"/>
    <n v="581.29999999999995"/>
    <n v="4002"/>
  </r>
  <r>
    <x v="0"/>
    <x v="12"/>
    <x v="5"/>
    <x v="330"/>
    <x v="277"/>
    <x v="277"/>
    <s v="REVENUS"/>
    <x v="6"/>
    <s v="4221.002"/>
    <s v="Intérêts compensat. sur impôts distincts"/>
    <n v="0"/>
    <n v="2.1800000000000002"/>
    <n v="4221"/>
  </r>
  <r>
    <x v="0"/>
    <x v="12"/>
    <x v="5"/>
    <x v="330"/>
    <x v="277"/>
    <x v="277"/>
    <s v="REVENUS"/>
    <x v="2"/>
    <s v="4001.001"/>
    <s v="Impôt revenu"/>
    <n v="0"/>
    <n v="182.55"/>
    <n v="4001"/>
  </r>
  <r>
    <x v="0"/>
    <x v="12"/>
    <x v="5"/>
    <x v="330"/>
    <x v="277"/>
    <x v="277"/>
    <s v="REVENUS"/>
    <x v="2"/>
    <s v="4001.002"/>
    <s v="Impôt complément s/revenu PP"/>
    <n v="0"/>
    <n v="111.05"/>
    <n v="4001"/>
  </r>
  <r>
    <x v="0"/>
    <x v="12"/>
    <x v="5"/>
    <x v="330"/>
    <x v="277"/>
    <x v="277"/>
    <s v="REVENUS"/>
    <x v="3"/>
    <s v="4002.001"/>
    <s v="Impôt ordinaire s/fortune PP"/>
    <n v="0"/>
    <n v="20.8"/>
    <n v="4002"/>
  </r>
  <r>
    <x v="0"/>
    <x v="12"/>
    <x v="5"/>
    <x v="330"/>
    <x v="277"/>
    <x v="277"/>
    <s v="REVENUS"/>
    <x v="3"/>
    <s v="4002.002"/>
    <s v="Impôt complémentaire s/fortune PP"/>
    <n v="0"/>
    <n v="128.05000000000001"/>
    <n v="4002"/>
  </r>
  <r>
    <x v="0"/>
    <x v="12"/>
    <x v="5"/>
    <x v="330"/>
    <x v="277"/>
    <x v="277"/>
    <s v="REVENUS"/>
    <x v="6"/>
    <s v="4211.001"/>
    <s v="Intérêts de retard sur factures"/>
    <n v="0"/>
    <n v="3.35"/>
    <n v="4211"/>
  </r>
  <r>
    <x v="0"/>
    <x v="12"/>
    <x v="5"/>
    <x v="330"/>
    <x v="277"/>
    <x v="277"/>
    <s v="REVENUS"/>
    <x v="6"/>
    <s v="4211.002"/>
    <s v="Intérêts de retard sur acomptes"/>
    <n v="0"/>
    <n v="5.83"/>
    <n v="4211"/>
  </r>
  <r>
    <x v="0"/>
    <x v="12"/>
    <x v="5"/>
    <x v="330"/>
    <x v="277"/>
    <x v="277"/>
    <s v="REVENUS"/>
    <x v="2"/>
    <s v="4001.001"/>
    <s v="Impôt revenu"/>
    <n v="0"/>
    <n v="3374.6"/>
    <n v="4001"/>
  </r>
  <r>
    <x v="0"/>
    <x v="12"/>
    <x v="5"/>
    <x v="330"/>
    <x v="277"/>
    <x v="277"/>
    <s v="REVENUS"/>
    <x v="3"/>
    <s v="4002.001"/>
    <s v="Impôt ordinaire s/fortune PP"/>
    <n v="0"/>
    <n v="712.2"/>
    <n v="4002"/>
  </r>
  <r>
    <x v="0"/>
    <x v="12"/>
    <x v="5"/>
    <x v="330"/>
    <x v="277"/>
    <x v="277"/>
    <s v="REVENUS"/>
    <x v="10"/>
    <s v="4041.001"/>
    <s v="Droits de mutation"/>
    <n v="0"/>
    <n v="50985"/>
    <n v="4041"/>
  </r>
  <r>
    <x v="0"/>
    <x v="12"/>
    <x v="5"/>
    <x v="330"/>
    <x v="277"/>
    <x v="277"/>
    <s v="REVENUS"/>
    <x v="9"/>
    <s v="4031.001"/>
    <s v="Impôt sur les gains immobiliers"/>
    <n v="0"/>
    <n v="21469.3"/>
    <n v="4031"/>
  </r>
  <r>
    <x v="0"/>
    <x v="12"/>
    <x v="5"/>
    <x v="330"/>
    <x v="277"/>
    <x v="277"/>
    <s v="REVENUS"/>
    <x v="8"/>
    <s v="4091.001"/>
    <s v="Impôt récupéré après défalcations"/>
    <n v="0"/>
    <n v="441.06"/>
    <n v="4091"/>
  </r>
  <r>
    <x v="0"/>
    <x v="12"/>
    <x v="5"/>
    <x v="330"/>
    <x v="277"/>
    <x v="277"/>
    <s v="REVENUS"/>
    <x v="3"/>
    <s v="4002.001"/>
    <s v="Impôt ordinaire s/fortune PP"/>
    <n v="0"/>
    <n v="501.75"/>
    <n v="4002"/>
  </r>
  <r>
    <x v="0"/>
    <x v="12"/>
    <x v="5"/>
    <x v="330"/>
    <x v="277"/>
    <x v="277"/>
    <s v="REVENUS"/>
    <x v="7"/>
    <s v="4184.000"/>
    <s v="Frais de poursuite"/>
    <n v="0"/>
    <n v="0.85"/>
    <n v="4184"/>
  </r>
  <r>
    <x v="0"/>
    <x v="12"/>
    <x v="5"/>
    <x v="330"/>
    <x v="277"/>
    <x v="277"/>
    <s v="REVENUS"/>
    <x v="6"/>
    <s v="4221.003"/>
    <s v="Intérêts compensat. / acomptes en faveur du fisc"/>
    <n v="0"/>
    <n v="0.16"/>
    <n v="4221"/>
  </r>
  <r>
    <x v="0"/>
    <x v="12"/>
    <x v="5"/>
    <x v="330"/>
    <x v="277"/>
    <x v="277"/>
    <s v="REVENUS"/>
    <x v="6"/>
    <s v="4211.002"/>
    <s v="Intérêts de retard sur acomptes"/>
    <n v="0"/>
    <n v="1.38"/>
    <n v="4211"/>
  </r>
  <r>
    <x v="0"/>
    <x v="12"/>
    <x v="5"/>
    <x v="330"/>
    <x v="277"/>
    <x v="277"/>
    <s v="REVENUS"/>
    <x v="11"/>
    <s v="4198.000"/>
    <s v="Contributions communales"/>
    <n v="0"/>
    <n v="87598.3"/>
    <n v="4198"/>
  </r>
  <r>
    <x v="0"/>
    <x v="12"/>
    <x v="5"/>
    <x v="331"/>
    <x v="278"/>
    <x v="278"/>
    <s v="CHARGES"/>
    <x v="1"/>
    <s v="3301.001"/>
    <s v="Défalcations, abandons de solde PP et IS"/>
    <n v="4543.1099999999997"/>
    <n v="0"/>
    <n v="3301"/>
  </r>
  <r>
    <x v="0"/>
    <x v="12"/>
    <x v="5"/>
    <x v="331"/>
    <x v="278"/>
    <x v="278"/>
    <s v="CHARGES"/>
    <x v="0"/>
    <s v="3212.004"/>
    <s v="Intérêts rémun./perçu trop tôt sur acomptes C/C"/>
    <n v="363.16"/>
    <n v="0"/>
    <n v="3212"/>
  </r>
  <r>
    <x v="0"/>
    <x v="12"/>
    <x v="5"/>
    <x v="331"/>
    <x v="278"/>
    <x v="278"/>
    <s v="CHARGES"/>
    <x v="0"/>
    <s v="3221.002"/>
    <s v="Intérêts compensatoires / créances en faveur ctb."/>
    <n v="248.77"/>
    <n v="0"/>
    <n v="3221"/>
  </r>
  <r>
    <x v="0"/>
    <x v="12"/>
    <x v="5"/>
    <x v="331"/>
    <x v="278"/>
    <x v="278"/>
    <s v="CHARGES"/>
    <x v="0"/>
    <s v="3212.004"/>
    <s v="Intérêts rémun./perçu trop tôt sur acomptes C/C"/>
    <n v="7.0000000000000007E-2"/>
    <n v="0"/>
    <n v="3212"/>
  </r>
  <r>
    <x v="0"/>
    <x v="12"/>
    <x v="5"/>
    <x v="331"/>
    <x v="278"/>
    <x v="278"/>
    <s v="CHARGES"/>
    <x v="0"/>
    <s v="3221.002"/>
    <s v="Intérêts compensatoires / créances en faveur ctb."/>
    <n v="0.09"/>
    <n v="0"/>
    <n v="3221"/>
  </r>
  <r>
    <x v="0"/>
    <x v="12"/>
    <x v="5"/>
    <x v="331"/>
    <x v="278"/>
    <x v="278"/>
    <s v="CHARGES"/>
    <x v="0"/>
    <s v="3212.002"/>
    <s v="Intérêts bonifiés/trop perçu acompte C/C"/>
    <n v="3.62"/>
    <n v="0"/>
    <n v="3212"/>
  </r>
  <r>
    <x v="0"/>
    <x v="12"/>
    <x v="5"/>
    <x v="331"/>
    <x v="278"/>
    <x v="278"/>
    <s v="CHARGES"/>
    <x v="0"/>
    <s v="3212.004"/>
    <s v="Intérêts rémun./perçu trop tôt sur acomptes C/C"/>
    <n v="3.52"/>
    <n v="0"/>
    <n v="3212"/>
  </r>
  <r>
    <x v="0"/>
    <x v="12"/>
    <x v="5"/>
    <x v="331"/>
    <x v="278"/>
    <x v="278"/>
    <s v="CHARGES"/>
    <x v="0"/>
    <s v="3221.002"/>
    <s v="Intérêts compensatoires / créances en faveur ctb."/>
    <n v="3.87"/>
    <n v="0"/>
    <n v="3221"/>
  </r>
  <r>
    <x v="0"/>
    <x v="12"/>
    <x v="5"/>
    <x v="331"/>
    <x v="278"/>
    <x v="278"/>
    <s v="CHARGES"/>
    <x v="0"/>
    <s v="3212.004"/>
    <s v="Intérêts rémun./perçu trop tôt sur acomptes C/C"/>
    <n v="0.03"/>
    <n v="0"/>
    <n v="3212"/>
  </r>
  <r>
    <x v="0"/>
    <x v="12"/>
    <x v="5"/>
    <x v="331"/>
    <x v="278"/>
    <x v="278"/>
    <s v="CHARGES"/>
    <x v="0"/>
    <s v="3212.004"/>
    <s v="Intérêts rémun./perçu trop tôt sur acomptes C/C"/>
    <n v="0.11"/>
    <n v="0"/>
    <n v="3212"/>
  </r>
  <r>
    <x v="0"/>
    <x v="12"/>
    <x v="5"/>
    <x v="331"/>
    <x v="278"/>
    <x v="278"/>
    <s v="CHARGES"/>
    <x v="1"/>
    <s v="3301.001"/>
    <s v="Défalcations, abandons de solde PP et IS"/>
    <n v="0.01"/>
    <n v="0"/>
    <n v="3301"/>
  </r>
  <r>
    <x v="0"/>
    <x v="12"/>
    <x v="5"/>
    <x v="331"/>
    <x v="278"/>
    <x v="278"/>
    <s v="CHARGES"/>
    <x v="0"/>
    <s v="3221.002"/>
    <s v="Intérêts compensatoires / créances en faveur ctb."/>
    <n v="0.01"/>
    <n v="0"/>
    <n v="3221"/>
  </r>
  <r>
    <x v="0"/>
    <x v="12"/>
    <x v="5"/>
    <x v="331"/>
    <x v="278"/>
    <x v="278"/>
    <s v="CHARGES"/>
    <x v="1"/>
    <s v="3301.001"/>
    <s v="Défalcations, abandons de solde PP et IS"/>
    <n v="0.02"/>
    <n v="0"/>
    <n v="3301"/>
  </r>
  <r>
    <x v="0"/>
    <x v="12"/>
    <x v="5"/>
    <x v="331"/>
    <x v="278"/>
    <x v="278"/>
    <s v="CHARGES"/>
    <x v="1"/>
    <s v="3301.001"/>
    <s v="Défalcations, abandons de solde PP et IS"/>
    <n v="22.42"/>
    <n v="0"/>
    <n v="3301"/>
  </r>
  <r>
    <x v="0"/>
    <x v="12"/>
    <x v="5"/>
    <x v="331"/>
    <x v="278"/>
    <x v="278"/>
    <s v="REVENUS"/>
    <x v="2"/>
    <s v="4001.001"/>
    <s v="Impôt revenu"/>
    <n v="0"/>
    <n v="1134862.3"/>
    <n v="4001"/>
  </r>
  <r>
    <x v="0"/>
    <x v="12"/>
    <x v="5"/>
    <x v="331"/>
    <x v="278"/>
    <x v="278"/>
    <s v="REVENUS"/>
    <x v="2"/>
    <s v="4001.007"/>
    <s v="Acompte impôt sur revenu"/>
    <n v="0"/>
    <n v="-211973.33"/>
    <n v="4001"/>
  </r>
  <r>
    <x v="0"/>
    <x v="12"/>
    <x v="5"/>
    <x v="331"/>
    <x v="278"/>
    <x v="278"/>
    <s v="REVENUS"/>
    <x v="3"/>
    <s v="4002.007"/>
    <s v="Acompte impôt sur fortune"/>
    <n v="0"/>
    <n v="-11225.43"/>
    <n v="4002"/>
  </r>
  <r>
    <x v="0"/>
    <x v="12"/>
    <x v="5"/>
    <x v="331"/>
    <x v="278"/>
    <x v="278"/>
    <s v="REVENUS"/>
    <x v="6"/>
    <s v="4211.001"/>
    <s v="Intérêts de retard sur factures"/>
    <n v="0"/>
    <n v="2380.66"/>
    <n v="4211"/>
  </r>
  <r>
    <x v="0"/>
    <x v="12"/>
    <x v="5"/>
    <x v="331"/>
    <x v="278"/>
    <x v="278"/>
    <s v="REVENUS"/>
    <x v="6"/>
    <s v="4211.002"/>
    <s v="Intérêts de retard sur acomptes"/>
    <n v="0"/>
    <n v="5293.62"/>
    <n v="4211"/>
  </r>
  <r>
    <x v="0"/>
    <x v="12"/>
    <x v="5"/>
    <x v="331"/>
    <x v="278"/>
    <x v="278"/>
    <s v="REVENUS"/>
    <x v="6"/>
    <s v="4221.003"/>
    <s v="Intérêts compensat. / acomptes en faveur du fisc"/>
    <n v="0"/>
    <n v="202.27"/>
    <n v="4221"/>
  </r>
  <r>
    <x v="0"/>
    <x v="12"/>
    <x v="5"/>
    <x v="331"/>
    <x v="278"/>
    <x v="278"/>
    <s v="REVENUS"/>
    <x v="3"/>
    <s v="4002.001"/>
    <s v="Impôt ordinaire s/fortune PP"/>
    <n v="0"/>
    <n v="123113.15"/>
    <n v="4002"/>
  </r>
  <r>
    <x v="0"/>
    <x v="12"/>
    <x v="5"/>
    <x v="331"/>
    <x v="278"/>
    <x v="278"/>
    <s v="REVENUS"/>
    <x v="6"/>
    <s v="4211.001"/>
    <s v="Intérêts de retard sur factures"/>
    <n v="0"/>
    <n v="0.17"/>
    <n v="4211"/>
  </r>
  <r>
    <x v="0"/>
    <x v="12"/>
    <x v="5"/>
    <x v="331"/>
    <x v="278"/>
    <x v="278"/>
    <s v="REVENUS"/>
    <x v="3"/>
    <s v="4002.002"/>
    <s v="Impôt complémentaire s/fortune PP"/>
    <n v="0"/>
    <n v="9982.7000000000007"/>
    <n v="4002"/>
  </r>
  <r>
    <x v="0"/>
    <x v="12"/>
    <x v="5"/>
    <x v="331"/>
    <x v="278"/>
    <x v="278"/>
    <s v="REVENUS"/>
    <x v="9"/>
    <s v="4031.001"/>
    <s v="Impôt sur les gains immobiliers"/>
    <n v="0"/>
    <n v="87319.85"/>
    <n v="4031"/>
  </r>
  <r>
    <x v="0"/>
    <x v="12"/>
    <x v="5"/>
    <x v="331"/>
    <x v="278"/>
    <x v="278"/>
    <s v="REVENUS"/>
    <x v="2"/>
    <s v="4001.003"/>
    <s v="Impôt s/prest. cap. PP"/>
    <n v="0"/>
    <n v="124928.15"/>
    <n v="4001"/>
  </r>
  <r>
    <x v="0"/>
    <x v="12"/>
    <x v="5"/>
    <x v="331"/>
    <x v="278"/>
    <x v="278"/>
    <s v="REVENUS"/>
    <x v="10"/>
    <s v="4041.001"/>
    <s v="Droits de mutation"/>
    <n v="0"/>
    <n v="44806.3"/>
    <n v="4041"/>
  </r>
  <r>
    <x v="0"/>
    <x v="12"/>
    <x v="5"/>
    <x v="331"/>
    <x v="278"/>
    <x v="278"/>
    <s v="REVENUS"/>
    <x v="3"/>
    <s v="4002.007"/>
    <s v="Acompte impôt sur fortune"/>
    <n v="0"/>
    <n v="25.6"/>
    <n v="4002"/>
  </r>
  <r>
    <x v="0"/>
    <x v="12"/>
    <x v="5"/>
    <x v="331"/>
    <x v="278"/>
    <x v="278"/>
    <s v="REVENUS"/>
    <x v="3"/>
    <s v="4002.007"/>
    <s v="Acompte impôt sur fortune"/>
    <n v="0"/>
    <n v="-8.5500000000000007"/>
    <n v="4002"/>
  </r>
  <r>
    <x v="0"/>
    <x v="12"/>
    <x v="5"/>
    <x v="331"/>
    <x v="278"/>
    <x v="278"/>
    <s v="REVENUS"/>
    <x v="2"/>
    <s v="4001.007"/>
    <s v="Acompte impôt sur revenu"/>
    <n v="0"/>
    <n v="720.25"/>
    <n v="4001"/>
  </r>
  <r>
    <x v="0"/>
    <x v="12"/>
    <x v="5"/>
    <x v="331"/>
    <x v="278"/>
    <x v="278"/>
    <s v="REVENUS"/>
    <x v="2"/>
    <s v="4001.007"/>
    <s v="Acompte impôt sur revenu"/>
    <n v="0"/>
    <n v="-4416.3500000000004"/>
    <n v="4001"/>
  </r>
  <r>
    <x v="0"/>
    <x v="12"/>
    <x v="5"/>
    <x v="331"/>
    <x v="278"/>
    <x v="278"/>
    <s v="REVENUS"/>
    <x v="3"/>
    <s v="4002.007"/>
    <s v="Acompte impôt sur fortune"/>
    <n v="0"/>
    <n v="2728.71"/>
    <n v="4002"/>
  </r>
  <r>
    <x v="0"/>
    <x v="12"/>
    <x v="5"/>
    <x v="331"/>
    <x v="278"/>
    <x v="278"/>
    <s v="REVENUS"/>
    <x v="2"/>
    <s v="4001.007"/>
    <s v="Acompte impôt sur revenu"/>
    <n v="0"/>
    <n v="-16.100000000000001"/>
    <n v="4001"/>
  </r>
  <r>
    <x v="0"/>
    <x v="12"/>
    <x v="5"/>
    <x v="331"/>
    <x v="278"/>
    <x v="278"/>
    <s v="REVENUS"/>
    <x v="7"/>
    <s v="4184.000"/>
    <s v="Frais de poursuite"/>
    <n v="0"/>
    <n v="1123.8599999999999"/>
    <n v="4184"/>
  </r>
  <r>
    <x v="0"/>
    <x v="12"/>
    <x v="5"/>
    <x v="331"/>
    <x v="278"/>
    <x v="278"/>
    <s v="REVENUS"/>
    <x v="6"/>
    <s v="4221.002"/>
    <s v="Intérêts compensat. sur impôts distincts"/>
    <n v="0"/>
    <n v="265.07"/>
    <n v="4221"/>
  </r>
  <r>
    <x v="0"/>
    <x v="12"/>
    <x v="5"/>
    <x v="331"/>
    <x v="278"/>
    <x v="278"/>
    <s v="REVENUS"/>
    <x v="2"/>
    <s v="4001.002"/>
    <s v="Impôt complément s/revenu PP"/>
    <n v="0"/>
    <n v="170191.45"/>
    <n v="4001"/>
  </r>
  <r>
    <x v="0"/>
    <x v="12"/>
    <x v="5"/>
    <x v="331"/>
    <x v="278"/>
    <x v="278"/>
    <s v="REVENUS"/>
    <x v="3"/>
    <s v="4002.001"/>
    <s v="Impôt ordinaire s/fortune PP"/>
    <n v="0"/>
    <n v="1272.25"/>
    <n v="4002"/>
  </r>
  <r>
    <x v="0"/>
    <x v="12"/>
    <x v="5"/>
    <x v="331"/>
    <x v="278"/>
    <x v="278"/>
    <s v="REVENUS"/>
    <x v="6"/>
    <s v="4211.002"/>
    <s v="Intérêts de retard sur acomptes"/>
    <n v="0"/>
    <n v="4.41"/>
    <n v="4211"/>
  </r>
  <r>
    <x v="0"/>
    <x v="12"/>
    <x v="5"/>
    <x v="331"/>
    <x v="278"/>
    <x v="278"/>
    <s v="REVENUS"/>
    <x v="6"/>
    <s v="4221.003"/>
    <s v="Intérêts compensat. / acomptes en faveur du fisc"/>
    <n v="0"/>
    <n v="0.9"/>
    <n v="4221"/>
  </r>
  <r>
    <x v="0"/>
    <x v="12"/>
    <x v="5"/>
    <x v="331"/>
    <x v="278"/>
    <x v="278"/>
    <s v="REVENUS"/>
    <x v="2"/>
    <s v="4001.001"/>
    <s v="Impôt revenu"/>
    <n v="0"/>
    <n v="70.599999999999994"/>
    <n v="4001"/>
  </r>
  <r>
    <x v="0"/>
    <x v="12"/>
    <x v="5"/>
    <x v="331"/>
    <x v="278"/>
    <x v="278"/>
    <s v="REVENUS"/>
    <x v="3"/>
    <s v="4002.007"/>
    <s v="Acompte impôt sur fortune"/>
    <n v="0"/>
    <n v="-732.95"/>
    <n v="4002"/>
  </r>
  <r>
    <x v="0"/>
    <x v="12"/>
    <x v="5"/>
    <x v="331"/>
    <x v="278"/>
    <x v="278"/>
    <s v="REVENUS"/>
    <x v="2"/>
    <s v="4001.001"/>
    <s v="Impôt revenu"/>
    <n v="0"/>
    <n v="25129.05"/>
    <n v="4001"/>
  </r>
  <r>
    <x v="0"/>
    <x v="12"/>
    <x v="5"/>
    <x v="331"/>
    <x v="278"/>
    <x v="278"/>
    <s v="REVENUS"/>
    <x v="3"/>
    <s v="4002.001"/>
    <s v="Impôt ordinaire s/fortune PP"/>
    <n v="0"/>
    <n v="634.79999999999995"/>
    <n v="4002"/>
  </r>
  <r>
    <x v="0"/>
    <x v="12"/>
    <x v="5"/>
    <x v="331"/>
    <x v="278"/>
    <x v="278"/>
    <s v="REVENUS"/>
    <x v="7"/>
    <s v="4184.000"/>
    <s v="Frais de poursuite"/>
    <n v="0"/>
    <n v="441.88"/>
    <n v="4184"/>
  </r>
  <r>
    <x v="0"/>
    <x v="12"/>
    <x v="5"/>
    <x v="331"/>
    <x v="278"/>
    <x v="278"/>
    <s v="REVENUS"/>
    <x v="3"/>
    <s v="4002.001"/>
    <s v="Impôt ordinaire s/fortune PP"/>
    <n v="0"/>
    <n v="110.1"/>
    <n v="4002"/>
  </r>
  <r>
    <x v="0"/>
    <x v="12"/>
    <x v="5"/>
    <x v="331"/>
    <x v="278"/>
    <x v="278"/>
    <s v="REVENUS"/>
    <x v="3"/>
    <s v="4002.001"/>
    <s v="Impôt ordinaire s/fortune PP"/>
    <n v="0"/>
    <n v="177.65"/>
    <n v="4002"/>
  </r>
  <r>
    <x v="0"/>
    <x v="12"/>
    <x v="5"/>
    <x v="331"/>
    <x v="278"/>
    <x v="278"/>
    <s v="REVENUS"/>
    <x v="6"/>
    <s v="4221.003"/>
    <s v="Intérêts compensat. / acomptes en faveur du fisc"/>
    <n v="0"/>
    <n v="0.01"/>
    <n v="4221"/>
  </r>
  <r>
    <x v="0"/>
    <x v="12"/>
    <x v="5"/>
    <x v="331"/>
    <x v="278"/>
    <x v="278"/>
    <s v="REVENUS"/>
    <x v="2"/>
    <s v="4001.001"/>
    <s v="Impôt revenu"/>
    <n v="0"/>
    <n v="54.05"/>
    <n v="4001"/>
  </r>
  <r>
    <x v="0"/>
    <x v="12"/>
    <x v="5"/>
    <x v="331"/>
    <x v="278"/>
    <x v="278"/>
    <s v="REVENUS"/>
    <x v="2"/>
    <s v="4001.007"/>
    <s v="Acompte impôt sur revenu"/>
    <n v="0"/>
    <n v="-2282.6"/>
    <n v="4001"/>
  </r>
  <r>
    <x v="0"/>
    <x v="12"/>
    <x v="5"/>
    <x v="331"/>
    <x v="278"/>
    <x v="278"/>
    <s v="REVENUS"/>
    <x v="6"/>
    <s v="4211.002"/>
    <s v="Intérêts de retard sur acomptes"/>
    <n v="0"/>
    <n v="0.14000000000000001"/>
    <n v="4211"/>
  </r>
  <r>
    <x v="0"/>
    <x v="12"/>
    <x v="5"/>
    <x v="331"/>
    <x v="278"/>
    <x v="278"/>
    <s v="REVENUS"/>
    <x v="8"/>
    <s v="4091.001"/>
    <s v="Impôt récupéré après défalcations"/>
    <n v="0"/>
    <n v="-665.43"/>
    <n v="4091"/>
  </r>
  <r>
    <x v="0"/>
    <x v="12"/>
    <x v="4"/>
    <x v="332"/>
    <x v="161"/>
    <x v="161"/>
    <s v="CHARGES"/>
    <x v="0"/>
    <s v="3212.002"/>
    <s v="Intérêts bonifiés/trop perçu acompte C/C"/>
    <n v="0.26"/>
    <n v="0"/>
    <n v="3212"/>
  </r>
  <r>
    <x v="0"/>
    <x v="12"/>
    <x v="4"/>
    <x v="332"/>
    <x v="161"/>
    <x v="161"/>
    <s v="CHARGES"/>
    <x v="0"/>
    <s v="3221.002"/>
    <s v="Intérêts compensatoires / créances en faveur ctb."/>
    <n v="-0.03"/>
    <n v="0"/>
    <n v="3221"/>
  </r>
  <r>
    <x v="0"/>
    <x v="12"/>
    <x v="4"/>
    <x v="332"/>
    <x v="161"/>
    <x v="161"/>
    <s v="CHARGES"/>
    <x v="1"/>
    <s v="3301.001"/>
    <s v="Défalcations, abandons de solde PP et IS"/>
    <n v="0.12"/>
    <n v="0"/>
    <n v="3301"/>
  </r>
  <r>
    <x v="0"/>
    <x v="12"/>
    <x v="4"/>
    <x v="332"/>
    <x v="161"/>
    <x v="161"/>
    <s v="REVENUS"/>
    <x v="2"/>
    <s v="4001.001"/>
    <s v="Impôt revenu"/>
    <n v="0"/>
    <n v="-1337.1"/>
    <n v="4001"/>
  </r>
  <r>
    <x v="0"/>
    <x v="12"/>
    <x v="4"/>
    <x v="332"/>
    <x v="161"/>
    <x v="161"/>
    <s v="REVENUS"/>
    <x v="2"/>
    <s v="4001.002"/>
    <s v="Impôt complément s/revenu PP"/>
    <n v="0"/>
    <n v="1349.55"/>
    <n v="4001"/>
  </r>
  <r>
    <x v="0"/>
    <x v="12"/>
    <x v="4"/>
    <x v="332"/>
    <x v="161"/>
    <x v="161"/>
    <s v="REVENUS"/>
    <x v="6"/>
    <s v="4211.002"/>
    <s v="Intérêts de retard sur acomptes"/>
    <n v="0"/>
    <n v="-0.01"/>
    <n v="4211"/>
  </r>
  <r>
    <x v="0"/>
    <x v="12"/>
    <x v="4"/>
    <x v="332"/>
    <x v="161"/>
    <x v="161"/>
    <s v="REVENUS"/>
    <x v="6"/>
    <s v="4221.003"/>
    <s v="Intérêts compensat. / acomptes en faveur du fisc"/>
    <n v="0"/>
    <n v="0.08"/>
    <n v="4221"/>
  </r>
  <r>
    <x v="0"/>
    <x v="12"/>
    <x v="4"/>
    <x v="332"/>
    <x v="161"/>
    <x v="161"/>
    <s v="REVENUS"/>
    <x v="6"/>
    <s v="4211.001"/>
    <s v="Intérêts de retard sur factures"/>
    <n v="0"/>
    <n v="202.32"/>
    <n v="4211"/>
  </r>
  <r>
    <x v="0"/>
    <x v="12"/>
    <x v="5"/>
    <x v="333"/>
    <x v="279"/>
    <x v="279"/>
    <s v="CHARGES"/>
    <x v="1"/>
    <s v="3301.001"/>
    <s v="Défalcations, abandons de solde PP et IS"/>
    <n v="2346.81"/>
    <n v="0"/>
    <n v="3301"/>
  </r>
  <r>
    <x v="0"/>
    <x v="12"/>
    <x v="5"/>
    <x v="333"/>
    <x v="279"/>
    <x v="279"/>
    <s v="CHARGES"/>
    <x v="0"/>
    <s v="3212.004"/>
    <s v="Intérêts rémun./perçu trop tôt sur acomptes C/C"/>
    <n v="0.01"/>
    <n v="0"/>
    <n v="3212"/>
  </r>
  <r>
    <x v="0"/>
    <x v="12"/>
    <x v="5"/>
    <x v="333"/>
    <x v="279"/>
    <x v="279"/>
    <s v="CHARGES"/>
    <x v="0"/>
    <s v="3221.002"/>
    <s v="Intérêts compensatoires / créances en faveur ctb."/>
    <n v="0.01"/>
    <n v="0"/>
    <n v="3221"/>
  </r>
  <r>
    <x v="0"/>
    <x v="12"/>
    <x v="5"/>
    <x v="333"/>
    <x v="279"/>
    <x v="279"/>
    <s v="CHARGES"/>
    <x v="0"/>
    <s v="3212.004"/>
    <s v="Intérêts rémun./perçu trop tôt sur acomptes C/C"/>
    <n v="86.93"/>
    <n v="0"/>
    <n v="3212"/>
  </r>
  <r>
    <x v="0"/>
    <x v="12"/>
    <x v="5"/>
    <x v="333"/>
    <x v="279"/>
    <x v="279"/>
    <s v="CHARGES"/>
    <x v="1"/>
    <s v="3301.003"/>
    <s v="Remises PP et IS"/>
    <n v="7591.85"/>
    <n v="0"/>
    <n v="3301"/>
  </r>
  <r>
    <x v="0"/>
    <x v="12"/>
    <x v="5"/>
    <x v="333"/>
    <x v="279"/>
    <x v="279"/>
    <s v="CHARGES"/>
    <x v="0"/>
    <s v="3221.002"/>
    <s v="Intérêts compensatoires / créances en faveur ctb."/>
    <n v="58.61"/>
    <n v="0"/>
    <n v="3221"/>
  </r>
  <r>
    <x v="0"/>
    <x v="12"/>
    <x v="5"/>
    <x v="333"/>
    <x v="279"/>
    <x v="279"/>
    <s v="CHARGES"/>
    <x v="0"/>
    <s v="3212.004"/>
    <s v="Intérêts rémun./perçu trop tôt sur acomptes C/C"/>
    <n v="0.1"/>
    <n v="0"/>
    <n v="3212"/>
  </r>
  <r>
    <x v="0"/>
    <x v="12"/>
    <x v="5"/>
    <x v="333"/>
    <x v="279"/>
    <x v="279"/>
    <s v="CHARGES"/>
    <x v="0"/>
    <s v="3221.002"/>
    <s v="Intérêts compensatoires / créances en faveur ctb."/>
    <n v="0.12"/>
    <n v="0"/>
    <n v="3221"/>
  </r>
  <r>
    <x v="0"/>
    <x v="12"/>
    <x v="5"/>
    <x v="333"/>
    <x v="279"/>
    <x v="279"/>
    <s v="CHARGES"/>
    <x v="1"/>
    <s v="3301.003"/>
    <s v="Remises PP et IS"/>
    <n v="442.9"/>
    <n v="0"/>
    <n v="3301"/>
  </r>
  <r>
    <x v="0"/>
    <x v="12"/>
    <x v="5"/>
    <x v="333"/>
    <x v="279"/>
    <x v="279"/>
    <s v="CHARGES"/>
    <x v="0"/>
    <s v="3212.004"/>
    <s v="Intérêts rémun./perçu trop tôt sur acomptes C/C"/>
    <n v="0.36"/>
    <n v="0"/>
    <n v="3212"/>
  </r>
  <r>
    <x v="0"/>
    <x v="12"/>
    <x v="5"/>
    <x v="333"/>
    <x v="279"/>
    <x v="279"/>
    <s v="CHARGES"/>
    <x v="0"/>
    <s v="3212.002"/>
    <s v="Intérêts bonifiés/trop perçu acompte C/C"/>
    <n v="6.54"/>
    <n v="0"/>
    <n v="3212"/>
  </r>
  <r>
    <x v="0"/>
    <x v="12"/>
    <x v="5"/>
    <x v="333"/>
    <x v="279"/>
    <x v="279"/>
    <s v="CHARGES"/>
    <x v="1"/>
    <s v="3301.001"/>
    <s v="Défalcations, abandons de solde PP et IS"/>
    <n v="0.01"/>
    <n v="0"/>
    <n v="3301"/>
  </r>
  <r>
    <x v="0"/>
    <x v="12"/>
    <x v="5"/>
    <x v="333"/>
    <x v="279"/>
    <x v="279"/>
    <s v="REVENUS"/>
    <x v="2"/>
    <s v="4001.001"/>
    <s v="Impôt revenu"/>
    <n v="0"/>
    <n v="639241.25"/>
    <n v="4001"/>
  </r>
  <r>
    <x v="0"/>
    <x v="12"/>
    <x v="5"/>
    <x v="333"/>
    <x v="279"/>
    <x v="279"/>
    <s v="REVENUS"/>
    <x v="2"/>
    <s v="4001.007"/>
    <s v="Acompte impôt sur revenu"/>
    <n v="0"/>
    <n v="-117883.06"/>
    <n v="4001"/>
  </r>
  <r>
    <x v="0"/>
    <x v="12"/>
    <x v="5"/>
    <x v="333"/>
    <x v="279"/>
    <x v="279"/>
    <s v="REVENUS"/>
    <x v="9"/>
    <s v="4031.001"/>
    <s v="Impôt sur les gains immobiliers"/>
    <n v="0"/>
    <n v="17180.400000000001"/>
    <n v="4031"/>
  </r>
  <r>
    <x v="0"/>
    <x v="12"/>
    <x v="5"/>
    <x v="333"/>
    <x v="279"/>
    <x v="279"/>
    <s v="REVENUS"/>
    <x v="6"/>
    <s v="4211.002"/>
    <s v="Intérêts de retard sur acomptes"/>
    <n v="0"/>
    <n v="5516.45"/>
    <n v="4211"/>
  </r>
  <r>
    <x v="0"/>
    <x v="12"/>
    <x v="5"/>
    <x v="333"/>
    <x v="279"/>
    <x v="279"/>
    <s v="REVENUS"/>
    <x v="6"/>
    <s v="4221.002"/>
    <s v="Intérêts compensat. sur impôts distincts"/>
    <n v="0"/>
    <n v="1.24"/>
    <n v="4221"/>
  </r>
  <r>
    <x v="0"/>
    <x v="12"/>
    <x v="5"/>
    <x v="333"/>
    <x v="279"/>
    <x v="279"/>
    <s v="REVENUS"/>
    <x v="6"/>
    <s v="4221.003"/>
    <s v="Intérêts compensat. / acomptes en faveur du fisc"/>
    <n v="0"/>
    <n v="92.62"/>
    <n v="4221"/>
  </r>
  <r>
    <x v="0"/>
    <x v="12"/>
    <x v="5"/>
    <x v="333"/>
    <x v="279"/>
    <x v="279"/>
    <s v="REVENUS"/>
    <x v="2"/>
    <s v="4001.001"/>
    <s v="Impôt revenu"/>
    <n v="0"/>
    <n v="23.9"/>
    <n v="4001"/>
  </r>
  <r>
    <x v="0"/>
    <x v="12"/>
    <x v="5"/>
    <x v="333"/>
    <x v="279"/>
    <x v="279"/>
    <s v="REVENUS"/>
    <x v="3"/>
    <s v="4002.001"/>
    <s v="Impôt ordinaire s/fortune PP"/>
    <n v="0"/>
    <n v="10.15"/>
    <n v="4002"/>
  </r>
  <r>
    <x v="0"/>
    <x v="12"/>
    <x v="5"/>
    <x v="333"/>
    <x v="279"/>
    <x v="279"/>
    <s v="REVENUS"/>
    <x v="3"/>
    <s v="4002.001"/>
    <s v="Impôt ordinaire s/fortune PP"/>
    <n v="0"/>
    <n v="90498.35"/>
    <n v="4002"/>
  </r>
  <r>
    <x v="0"/>
    <x v="12"/>
    <x v="5"/>
    <x v="333"/>
    <x v="279"/>
    <x v="279"/>
    <s v="REVENUS"/>
    <x v="3"/>
    <s v="4002.007"/>
    <s v="Acompte impôt sur fortune"/>
    <n v="0"/>
    <n v="-53890.38"/>
    <n v="4002"/>
  </r>
  <r>
    <x v="0"/>
    <x v="12"/>
    <x v="5"/>
    <x v="333"/>
    <x v="279"/>
    <x v="279"/>
    <s v="REVENUS"/>
    <x v="6"/>
    <s v="4211.001"/>
    <s v="Intérêts de retard sur factures"/>
    <n v="0"/>
    <n v="1541.08"/>
    <n v="4211"/>
  </r>
  <r>
    <x v="0"/>
    <x v="12"/>
    <x v="5"/>
    <x v="333"/>
    <x v="279"/>
    <x v="279"/>
    <s v="REVENUS"/>
    <x v="7"/>
    <s v="4184.000"/>
    <s v="Frais de poursuite"/>
    <n v="0"/>
    <n v="675.06"/>
    <n v="4184"/>
  </r>
  <r>
    <x v="0"/>
    <x v="12"/>
    <x v="5"/>
    <x v="333"/>
    <x v="279"/>
    <x v="279"/>
    <s v="REVENUS"/>
    <x v="2"/>
    <s v="4001.007"/>
    <s v="Acompte impôt sur revenu"/>
    <n v="0"/>
    <n v="-1921.45"/>
    <n v="4001"/>
  </r>
  <r>
    <x v="0"/>
    <x v="12"/>
    <x v="5"/>
    <x v="333"/>
    <x v="279"/>
    <x v="279"/>
    <s v="REVENUS"/>
    <x v="3"/>
    <s v="4002.007"/>
    <s v="Acompte impôt sur fortune"/>
    <n v="0"/>
    <n v="-212.55"/>
    <n v="4002"/>
  </r>
  <r>
    <x v="0"/>
    <x v="12"/>
    <x v="5"/>
    <x v="333"/>
    <x v="279"/>
    <x v="279"/>
    <s v="REVENUS"/>
    <x v="2"/>
    <s v="4001.002"/>
    <s v="Impôt complément s/revenu PP"/>
    <n v="0"/>
    <n v="81237.149999999994"/>
    <n v="4001"/>
  </r>
  <r>
    <x v="0"/>
    <x v="12"/>
    <x v="5"/>
    <x v="333"/>
    <x v="279"/>
    <x v="279"/>
    <s v="REVENUS"/>
    <x v="2"/>
    <s v="4001.007"/>
    <s v="Acompte impôt sur revenu"/>
    <n v="0"/>
    <n v="-119.45"/>
    <n v="4001"/>
  </r>
  <r>
    <x v="0"/>
    <x v="12"/>
    <x v="5"/>
    <x v="333"/>
    <x v="279"/>
    <x v="279"/>
    <s v="REVENUS"/>
    <x v="2"/>
    <s v="4001.007"/>
    <s v="Acompte impôt sur revenu"/>
    <n v="0"/>
    <n v="448.25"/>
    <n v="4001"/>
  </r>
  <r>
    <x v="0"/>
    <x v="12"/>
    <x v="5"/>
    <x v="333"/>
    <x v="279"/>
    <x v="279"/>
    <s v="REVENUS"/>
    <x v="3"/>
    <s v="4002.007"/>
    <s v="Acompte impôt sur fortune"/>
    <n v="0"/>
    <n v="93"/>
    <n v="4002"/>
  </r>
  <r>
    <x v="0"/>
    <x v="12"/>
    <x v="5"/>
    <x v="333"/>
    <x v="279"/>
    <x v="279"/>
    <s v="REVENUS"/>
    <x v="3"/>
    <s v="4002.002"/>
    <s v="Impôt complémentaire s/fortune PP"/>
    <n v="0"/>
    <n v="20619.900000000001"/>
    <n v="4002"/>
  </r>
  <r>
    <x v="0"/>
    <x v="12"/>
    <x v="5"/>
    <x v="333"/>
    <x v="279"/>
    <x v="279"/>
    <s v="REVENUS"/>
    <x v="2"/>
    <s v="4001.003"/>
    <s v="Impôt s/prest. cap. PP"/>
    <n v="0"/>
    <n v="33813"/>
    <n v="4001"/>
  </r>
  <r>
    <x v="0"/>
    <x v="12"/>
    <x v="5"/>
    <x v="333"/>
    <x v="279"/>
    <x v="279"/>
    <s v="REVENUS"/>
    <x v="10"/>
    <s v="4041.001"/>
    <s v="Droits de mutation"/>
    <n v="0"/>
    <n v="14552.4"/>
    <n v="4041"/>
  </r>
  <r>
    <x v="0"/>
    <x v="12"/>
    <x v="5"/>
    <x v="333"/>
    <x v="279"/>
    <x v="279"/>
    <s v="REVENUS"/>
    <x v="3"/>
    <s v="4002.007"/>
    <s v="Acompte impôt sur fortune"/>
    <n v="0"/>
    <n v="-13.15"/>
    <n v="4002"/>
  </r>
  <r>
    <x v="0"/>
    <x v="12"/>
    <x v="5"/>
    <x v="333"/>
    <x v="279"/>
    <x v="279"/>
    <s v="REVENUS"/>
    <x v="2"/>
    <s v="4001.001"/>
    <s v="Impôt revenu"/>
    <n v="0"/>
    <n v="970.7"/>
    <n v="4001"/>
  </r>
  <r>
    <x v="0"/>
    <x v="12"/>
    <x v="5"/>
    <x v="333"/>
    <x v="279"/>
    <x v="279"/>
    <s v="REVENUS"/>
    <x v="3"/>
    <s v="4002.001"/>
    <s v="Impôt ordinaire s/fortune PP"/>
    <n v="0"/>
    <n v="14.3"/>
    <n v="4002"/>
  </r>
  <r>
    <x v="0"/>
    <x v="12"/>
    <x v="5"/>
    <x v="333"/>
    <x v="279"/>
    <x v="279"/>
    <s v="REVENUS"/>
    <x v="3"/>
    <s v="4002.007"/>
    <s v="Acompte impôt sur fortune"/>
    <n v="0"/>
    <n v="-73.06"/>
    <n v="4002"/>
  </r>
  <r>
    <x v="0"/>
    <x v="12"/>
    <x v="5"/>
    <x v="333"/>
    <x v="279"/>
    <x v="279"/>
    <s v="REVENUS"/>
    <x v="7"/>
    <s v="4184.000"/>
    <s v="Frais de poursuite"/>
    <n v="0"/>
    <n v="112.95"/>
    <n v="4184"/>
  </r>
  <r>
    <x v="0"/>
    <x v="12"/>
    <x v="5"/>
    <x v="333"/>
    <x v="279"/>
    <x v="279"/>
    <s v="REVENUS"/>
    <x v="2"/>
    <s v="4001.001"/>
    <s v="Impôt revenu"/>
    <n v="0"/>
    <n v="361.2"/>
    <n v="4001"/>
  </r>
  <r>
    <x v="0"/>
    <x v="12"/>
    <x v="5"/>
    <x v="333"/>
    <x v="279"/>
    <x v="279"/>
    <s v="REVENUS"/>
    <x v="3"/>
    <s v="4002.001"/>
    <s v="Impôt ordinaire s/fortune PP"/>
    <n v="0"/>
    <n v="59.2"/>
    <n v="4002"/>
  </r>
  <r>
    <x v="0"/>
    <x v="12"/>
    <x v="5"/>
    <x v="333"/>
    <x v="279"/>
    <x v="279"/>
    <s v="REVENUS"/>
    <x v="2"/>
    <s v="4001.007"/>
    <s v="Acompte impôt sur revenu"/>
    <n v="0"/>
    <n v="-21.65"/>
    <n v="4001"/>
  </r>
  <r>
    <x v="0"/>
    <x v="12"/>
    <x v="5"/>
    <x v="333"/>
    <x v="279"/>
    <x v="279"/>
    <s v="REVENUS"/>
    <x v="6"/>
    <s v="4211.002"/>
    <s v="Intérêts de retard sur acomptes"/>
    <n v="0"/>
    <n v="0.33"/>
    <n v="4211"/>
  </r>
  <r>
    <x v="0"/>
    <x v="12"/>
    <x v="5"/>
    <x v="333"/>
    <x v="279"/>
    <x v="279"/>
    <s v="REVENUS"/>
    <x v="2"/>
    <s v="4001.002"/>
    <s v="Impôt complément s/revenu PP"/>
    <n v="0"/>
    <n v="340.35"/>
    <n v="4001"/>
  </r>
  <r>
    <x v="0"/>
    <x v="12"/>
    <x v="5"/>
    <x v="333"/>
    <x v="279"/>
    <x v="279"/>
    <s v="REVENUS"/>
    <x v="3"/>
    <s v="4002.002"/>
    <s v="Impôt complémentaire s/fortune PP"/>
    <n v="0"/>
    <n v="11.25"/>
    <n v="4002"/>
  </r>
  <r>
    <x v="0"/>
    <x v="12"/>
    <x v="5"/>
    <x v="333"/>
    <x v="279"/>
    <x v="279"/>
    <s v="REVENUS"/>
    <x v="8"/>
    <s v="4091.001"/>
    <s v="Impôt récupéré après défalcations"/>
    <n v="0"/>
    <n v="2826.42"/>
    <n v="4091"/>
  </r>
  <r>
    <x v="0"/>
    <x v="12"/>
    <x v="5"/>
    <x v="333"/>
    <x v="279"/>
    <x v="279"/>
    <s v="REVENUS"/>
    <x v="6"/>
    <s v="4221.003"/>
    <s v="Intérêts compensat. / acomptes en faveur du fisc"/>
    <n v="0"/>
    <n v="0.01"/>
    <n v="4221"/>
  </r>
  <r>
    <x v="0"/>
    <x v="12"/>
    <x v="5"/>
    <x v="334"/>
    <x v="280"/>
    <x v="280"/>
    <s v="CHARGES"/>
    <x v="0"/>
    <s v="3212.004"/>
    <s v="Intérêts rémun./perçu trop tôt sur acomptes C/C"/>
    <n v="69.099999999999994"/>
    <n v="0"/>
    <n v="3212"/>
  </r>
  <r>
    <x v="0"/>
    <x v="12"/>
    <x v="5"/>
    <x v="334"/>
    <x v="280"/>
    <x v="280"/>
    <s v="CHARGES"/>
    <x v="0"/>
    <s v="3221.002"/>
    <s v="Intérêts compensatoires / créances en faveur ctb."/>
    <n v="36.94"/>
    <n v="0"/>
    <n v="3221"/>
  </r>
  <r>
    <x v="0"/>
    <x v="12"/>
    <x v="5"/>
    <x v="334"/>
    <x v="280"/>
    <x v="280"/>
    <s v="CHARGES"/>
    <x v="1"/>
    <s v="3301.001"/>
    <s v="Défalcations, abandons de solde PP et IS"/>
    <n v="1088.17"/>
    <n v="0"/>
    <n v="3301"/>
  </r>
  <r>
    <x v="0"/>
    <x v="12"/>
    <x v="5"/>
    <x v="334"/>
    <x v="280"/>
    <x v="280"/>
    <s v="CHARGES"/>
    <x v="0"/>
    <s v="3212.004"/>
    <s v="Intérêts rémun./perçu trop tôt sur acomptes C/C"/>
    <n v="0.28000000000000003"/>
    <n v="0"/>
    <n v="3212"/>
  </r>
  <r>
    <x v="0"/>
    <x v="12"/>
    <x v="5"/>
    <x v="334"/>
    <x v="280"/>
    <x v="280"/>
    <s v="CHARGES"/>
    <x v="0"/>
    <s v="3212.002"/>
    <s v="Intérêts bonifiés/trop perçu acompte C/C"/>
    <n v="0.37"/>
    <n v="0"/>
    <n v="3212"/>
  </r>
  <r>
    <x v="0"/>
    <x v="12"/>
    <x v="5"/>
    <x v="334"/>
    <x v="280"/>
    <x v="280"/>
    <s v="REVENUS"/>
    <x v="2"/>
    <s v="4001.007"/>
    <s v="Acompte impôt sur revenu"/>
    <n v="0"/>
    <n v="2231.56"/>
    <n v="4001"/>
  </r>
  <r>
    <x v="0"/>
    <x v="12"/>
    <x v="5"/>
    <x v="334"/>
    <x v="280"/>
    <x v="280"/>
    <s v="REVENUS"/>
    <x v="2"/>
    <s v="4001.001"/>
    <s v="Impôt revenu"/>
    <n v="0"/>
    <n v="272546.5"/>
    <n v="4001"/>
  </r>
  <r>
    <x v="0"/>
    <x v="12"/>
    <x v="5"/>
    <x v="334"/>
    <x v="280"/>
    <x v="280"/>
    <s v="REVENUS"/>
    <x v="3"/>
    <s v="4002.001"/>
    <s v="Impôt ordinaire s/fortune PP"/>
    <n v="0"/>
    <n v="71972.899999999994"/>
    <n v="4002"/>
  </r>
  <r>
    <x v="0"/>
    <x v="12"/>
    <x v="5"/>
    <x v="334"/>
    <x v="280"/>
    <x v="280"/>
    <s v="REVENUS"/>
    <x v="3"/>
    <s v="4002.007"/>
    <s v="Acompte impôt sur fortune"/>
    <n v="0"/>
    <n v="-39723.22"/>
    <n v="4002"/>
  </r>
  <r>
    <x v="0"/>
    <x v="12"/>
    <x v="5"/>
    <x v="334"/>
    <x v="280"/>
    <x v="280"/>
    <s v="REVENUS"/>
    <x v="6"/>
    <s v="4211.001"/>
    <s v="Intérêts de retard sur factures"/>
    <n v="0"/>
    <n v="946.14"/>
    <n v="4211"/>
  </r>
  <r>
    <x v="0"/>
    <x v="12"/>
    <x v="5"/>
    <x v="334"/>
    <x v="280"/>
    <x v="280"/>
    <s v="REVENUS"/>
    <x v="2"/>
    <s v="4001.002"/>
    <s v="Impôt complément s/revenu PP"/>
    <n v="0"/>
    <n v="128598.55"/>
    <n v="4001"/>
  </r>
  <r>
    <x v="0"/>
    <x v="12"/>
    <x v="5"/>
    <x v="334"/>
    <x v="280"/>
    <x v="280"/>
    <s v="REVENUS"/>
    <x v="6"/>
    <s v="4221.003"/>
    <s v="Intérêts compensat. / acomptes en faveur du fisc"/>
    <n v="0"/>
    <n v="65.010000000000005"/>
    <n v="4221"/>
  </r>
  <r>
    <x v="0"/>
    <x v="12"/>
    <x v="5"/>
    <x v="334"/>
    <x v="280"/>
    <x v="280"/>
    <s v="REVENUS"/>
    <x v="3"/>
    <s v="4002.002"/>
    <s v="Impôt complémentaire s/fortune PP"/>
    <n v="0"/>
    <n v="8388.7999999999993"/>
    <n v="4002"/>
  </r>
  <r>
    <x v="0"/>
    <x v="12"/>
    <x v="5"/>
    <x v="334"/>
    <x v="280"/>
    <x v="280"/>
    <s v="REVENUS"/>
    <x v="3"/>
    <s v="4002.007"/>
    <s v="Acompte impôt sur fortune"/>
    <n v="0"/>
    <n v="47.8"/>
    <n v="4002"/>
  </r>
  <r>
    <x v="0"/>
    <x v="12"/>
    <x v="5"/>
    <x v="334"/>
    <x v="280"/>
    <x v="280"/>
    <s v="REVENUS"/>
    <x v="3"/>
    <s v="4002.007"/>
    <s v="Acompte impôt sur fortune"/>
    <n v="0"/>
    <n v="870.15"/>
    <n v="4002"/>
  </r>
  <r>
    <x v="0"/>
    <x v="12"/>
    <x v="5"/>
    <x v="334"/>
    <x v="280"/>
    <x v="280"/>
    <s v="REVENUS"/>
    <x v="2"/>
    <s v="4001.007"/>
    <s v="Acompte impôt sur revenu"/>
    <n v="0"/>
    <n v="615.15"/>
    <n v="4001"/>
  </r>
  <r>
    <x v="0"/>
    <x v="12"/>
    <x v="5"/>
    <x v="334"/>
    <x v="280"/>
    <x v="280"/>
    <s v="REVENUS"/>
    <x v="2"/>
    <s v="4001.003"/>
    <s v="Impôt s/prest. cap. PP"/>
    <n v="0"/>
    <n v="29886.05"/>
    <n v="4001"/>
  </r>
  <r>
    <x v="0"/>
    <x v="12"/>
    <x v="5"/>
    <x v="334"/>
    <x v="280"/>
    <x v="280"/>
    <s v="REVENUS"/>
    <x v="6"/>
    <s v="4211.002"/>
    <s v="Intérêts de retard sur acomptes"/>
    <n v="0"/>
    <n v="2391.04"/>
    <n v="4211"/>
  </r>
  <r>
    <x v="0"/>
    <x v="12"/>
    <x v="5"/>
    <x v="334"/>
    <x v="280"/>
    <x v="280"/>
    <s v="REVENUS"/>
    <x v="7"/>
    <s v="4184.000"/>
    <s v="Frais de poursuite"/>
    <n v="0"/>
    <n v="239.9"/>
    <n v="4184"/>
  </r>
  <r>
    <x v="0"/>
    <x v="12"/>
    <x v="5"/>
    <x v="334"/>
    <x v="280"/>
    <x v="280"/>
    <s v="REVENUS"/>
    <x v="2"/>
    <s v="4001.001"/>
    <s v="Impôt revenu"/>
    <n v="0"/>
    <n v="230.25"/>
    <n v="4001"/>
  </r>
  <r>
    <x v="0"/>
    <x v="12"/>
    <x v="5"/>
    <x v="334"/>
    <x v="280"/>
    <x v="280"/>
    <s v="REVENUS"/>
    <x v="3"/>
    <s v="4002.001"/>
    <s v="Impôt ordinaire s/fortune PP"/>
    <n v="0"/>
    <n v="288"/>
    <n v="4002"/>
  </r>
  <r>
    <x v="0"/>
    <x v="12"/>
    <x v="5"/>
    <x v="334"/>
    <x v="280"/>
    <x v="280"/>
    <s v="REVENUS"/>
    <x v="10"/>
    <s v="4041.001"/>
    <s v="Droits de mutation"/>
    <n v="0"/>
    <n v="5995"/>
    <n v="4041"/>
  </r>
  <r>
    <x v="0"/>
    <x v="12"/>
    <x v="5"/>
    <x v="334"/>
    <x v="280"/>
    <x v="280"/>
    <s v="REVENUS"/>
    <x v="3"/>
    <s v="4002.001"/>
    <s v="Impôt ordinaire s/fortune PP"/>
    <n v="0"/>
    <n v="47.35"/>
    <n v="4002"/>
  </r>
  <r>
    <x v="0"/>
    <x v="12"/>
    <x v="5"/>
    <x v="334"/>
    <x v="280"/>
    <x v="280"/>
    <s v="REVENUS"/>
    <x v="2"/>
    <s v="4001.007"/>
    <s v="Acompte impôt sur revenu"/>
    <n v="0"/>
    <n v="-2481.8000000000002"/>
    <n v="4001"/>
  </r>
  <r>
    <x v="0"/>
    <x v="12"/>
    <x v="5"/>
    <x v="334"/>
    <x v="280"/>
    <x v="280"/>
    <s v="REVENUS"/>
    <x v="3"/>
    <s v="4002.007"/>
    <s v="Acompte impôt sur fortune"/>
    <n v="0"/>
    <n v="-202.5"/>
    <n v="4002"/>
  </r>
  <r>
    <x v="0"/>
    <x v="12"/>
    <x v="5"/>
    <x v="334"/>
    <x v="280"/>
    <x v="280"/>
    <s v="REVENUS"/>
    <x v="9"/>
    <s v="4031.001"/>
    <s v="Impôt sur les gains immobiliers"/>
    <n v="0"/>
    <n v="2762.55"/>
    <n v="4031"/>
  </r>
  <r>
    <x v="0"/>
    <x v="12"/>
    <x v="5"/>
    <x v="334"/>
    <x v="280"/>
    <x v="280"/>
    <s v="REVENUS"/>
    <x v="6"/>
    <s v="4221.002"/>
    <s v="Intérêts compensat. sur impôts distincts"/>
    <n v="0"/>
    <n v="1.05"/>
    <n v="4221"/>
  </r>
  <r>
    <x v="0"/>
    <x v="12"/>
    <x v="5"/>
    <x v="335"/>
    <x v="281"/>
    <x v="281"/>
    <s v="CHARGES"/>
    <x v="0"/>
    <s v="3212.004"/>
    <s v="Intérêts rémun./perçu trop tôt sur acomptes C/C"/>
    <n v="448.39"/>
    <n v="0"/>
    <n v="3212"/>
  </r>
  <r>
    <x v="0"/>
    <x v="12"/>
    <x v="5"/>
    <x v="335"/>
    <x v="281"/>
    <x v="281"/>
    <s v="CHARGES"/>
    <x v="0"/>
    <s v="3221.002"/>
    <s v="Intérêts compensatoires / créances en faveur ctb."/>
    <n v="176.36"/>
    <n v="0"/>
    <n v="3221"/>
  </r>
  <r>
    <x v="0"/>
    <x v="12"/>
    <x v="5"/>
    <x v="335"/>
    <x v="281"/>
    <x v="281"/>
    <s v="CHARGES"/>
    <x v="1"/>
    <s v="3301.001"/>
    <s v="Défalcations, abandons de solde PP et IS"/>
    <n v="2017.99"/>
    <n v="0"/>
    <n v="3301"/>
  </r>
  <r>
    <x v="0"/>
    <x v="12"/>
    <x v="5"/>
    <x v="335"/>
    <x v="281"/>
    <x v="281"/>
    <s v="CHARGES"/>
    <x v="0"/>
    <s v="3212.004"/>
    <s v="Intérêts rémun./perçu trop tôt sur acomptes C/C"/>
    <n v="1.71"/>
    <n v="0"/>
    <n v="3212"/>
  </r>
  <r>
    <x v="0"/>
    <x v="12"/>
    <x v="5"/>
    <x v="335"/>
    <x v="281"/>
    <x v="281"/>
    <s v="CHARGES"/>
    <x v="0"/>
    <s v="3221.002"/>
    <s v="Intérêts compensatoires / créances en faveur ctb."/>
    <n v="3"/>
    <n v="0"/>
    <n v="3221"/>
  </r>
  <r>
    <x v="0"/>
    <x v="12"/>
    <x v="5"/>
    <x v="335"/>
    <x v="281"/>
    <x v="281"/>
    <s v="CHARGES"/>
    <x v="1"/>
    <s v="3301.001"/>
    <s v="Défalcations, abandons de solde PP et IS"/>
    <n v="0.06"/>
    <n v="0"/>
    <n v="3301"/>
  </r>
  <r>
    <x v="0"/>
    <x v="12"/>
    <x v="5"/>
    <x v="335"/>
    <x v="281"/>
    <x v="281"/>
    <s v="CHARGES"/>
    <x v="1"/>
    <s v="3301.001"/>
    <s v="Défalcations, abandons de solde PP et IS"/>
    <n v="-0.02"/>
    <n v="0"/>
    <n v="3301"/>
  </r>
  <r>
    <x v="0"/>
    <x v="12"/>
    <x v="5"/>
    <x v="335"/>
    <x v="281"/>
    <x v="281"/>
    <s v="CHARGES"/>
    <x v="0"/>
    <s v="3212.002"/>
    <s v="Intérêts bonifiés/trop perçu acompte C/C"/>
    <n v="-0.42"/>
    <n v="0"/>
    <n v="3212"/>
  </r>
  <r>
    <x v="0"/>
    <x v="12"/>
    <x v="5"/>
    <x v="335"/>
    <x v="281"/>
    <x v="281"/>
    <s v="CHARGES"/>
    <x v="0"/>
    <s v="3221.002"/>
    <s v="Intérêts compensatoires / créances en faveur ctb."/>
    <n v="3.06"/>
    <n v="0"/>
    <n v="3221"/>
  </r>
  <r>
    <x v="0"/>
    <x v="12"/>
    <x v="5"/>
    <x v="335"/>
    <x v="281"/>
    <x v="281"/>
    <s v="CHARGES"/>
    <x v="1"/>
    <s v="3301.001"/>
    <s v="Défalcations, abandons de solde PP et IS"/>
    <n v="0.13"/>
    <n v="0"/>
    <n v="3301"/>
  </r>
  <r>
    <x v="0"/>
    <x v="12"/>
    <x v="5"/>
    <x v="335"/>
    <x v="281"/>
    <x v="281"/>
    <s v="CHARGES"/>
    <x v="0"/>
    <s v="3212.004"/>
    <s v="Intérêts rémun./perçu trop tôt sur acomptes C/C"/>
    <n v="1.06"/>
    <n v="0"/>
    <n v="3212"/>
  </r>
  <r>
    <x v="0"/>
    <x v="12"/>
    <x v="5"/>
    <x v="335"/>
    <x v="281"/>
    <x v="281"/>
    <s v="CHARGES"/>
    <x v="0"/>
    <s v="3212.004"/>
    <s v="Intérêts rémun./perçu trop tôt sur acomptes C/C"/>
    <n v="0.15"/>
    <n v="0"/>
    <n v="3212"/>
  </r>
  <r>
    <x v="0"/>
    <x v="12"/>
    <x v="5"/>
    <x v="335"/>
    <x v="281"/>
    <x v="281"/>
    <s v="CHARGES"/>
    <x v="0"/>
    <s v="3221.002"/>
    <s v="Intérêts compensatoires / créances en faveur ctb."/>
    <n v="0.01"/>
    <n v="0"/>
    <n v="3221"/>
  </r>
  <r>
    <x v="0"/>
    <x v="12"/>
    <x v="5"/>
    <x v="335"/>
    <x v="281"/>
    <x v="281"/>
    <s v="CHARGES"/>
    <x v="0"/>
    <s v="3212.004"/>
    <s v="Intérêts rémun./perçu trop tôt sur acomptes C/C"/>
    <n v="0.02"/>
    <n v="0"/>
    <n v="3212"/>
  </r>
  <r>
    <x v="0"/>
    <x v="12"/>
    <x v="5"/>
    <x v="335"/>
    <x v="281"/>
    <x v="281"/>
    <s v="CHARGES"/>
    <x v="0"/>
    <s v="3212.004"/>
    <s v="Intérêts rémun./perçu trop tôt sur acomptes C/C"/>
    <n v="0.01"/>
    <n v="0"/>
    <n v="3212"/>
  </r>
  <r>
    <x v="0"/>
    <x v="12"/>
    <x v="5"/>
    <x v="335"/>
    <x v="281"/>
    <x v="281"/>
    <s v="REVENUS"/>
    <x v="2"/>
    <s v="4001.001"/>
    <s v="Impôt revenu"/>
    <n v="0"/>
    <n v="1918076.55"/>
    <n v="4001"/>
  </r>
  <r>
    <x v="0"/>
    <x v="12"/>
    <x v="5"/>
    <x v="335"/>
    <x v="281"/>
    <x v="281"/>
    <s v="REVENUS"/>
    <x v="2"/>
    <s v="4001.007"/>
    <s v="Acompte impôt sur revenu"/>
    <n v="0"/>
    <n v="-286430.09999999998"/>
    <n v="4001"/>
  </r>
  <r>
    <x v="0"/>
    <x v="12"/>
    <x v="5"/>
    <x v="335"/>
    <x v="281"/>
    <x v="281"/>
    <s v="REVENUS"/>
    <x v="3"/>
    <s v="4002.001"/>
    <s v="Impôt ordinaire s/fortune PP"/>
    <n v="0"/>
    <n v="321787.09999999998"/>
    <n v="4002"/>
  </r>
  <r>
    <x v="0"/>
    <x v="12"/>
    <x v="5"/>
    <x v="335"/>
    <x v="281"/>
    <x v="281"/>
    <s v="REVENUS"/>
    <x v="6"/>
    <s v="4211.001"/>
    <s v="Intérêts de retard sur factures"/>
    <n v="0"/>
    <n v="9048.49"/>
    <n v="4211"/>
  </r>
  <r>
    <x v="0"/>
    <x v="12"/>
    <x v="5"/>
    <x v="335"/>
    <x v="281"/>
    <x v="281"/>
    <s v="REVENUS"/>
    <x v="2"/>
    <s v="4001.001"/>
    <s v="Impôt revenu"/>
    <n v="0"/>
    <n v="1285.5"/>
    <n v="4001"/>
  </r>
  <r>
    <x v="0"/>
    <x v="12"/>
    <x v="5"/>
    <x v="335"/>
    <x v="281"/>
    <x v="281"/>
    <s v="REVENUS"/>
    <x v="3"/>
    <s v="4002.001"/>
    <s v="Impôt ordinaire s/fortune PP"/>
    <n v="0"/>
    <n v="2457.4499999999998"/>
    <n v="4002"/>
  </r>
  <r>
    <x v="0"/>
    <x v="12"/>
    <x v="5"/>
    <x v="335"/>
    <x v="281"/>
    <x v="281"/>
    <s v="REVENUS"/>
    <x v="6"/>
    <s v="4221.003"/>
    <s v="Intérêts compensat. / acomptes en faveur du fisc"/>
    <n v="0"/>
    <n v="0.06"/>
    <n v="4221"/>
  </r>
  <r>
    <x v="0"/>
    <x v="12"/>
    <x v="5"/>
    <x v="335"/>
    <x v="281"/>
    <x v="281"/>
    <s v="REVENUS"/>
    <x v="3"/>
    <s v="4002.007"/>
    <s v="Acompte impôt sur fortune"/>
    <n v="0"/>
    <n v="-71868.740000000005"/>
    <n v="4002"/>
  </r>
  <r>
    <x v="0"/>
    <x v="12"/>
    <x v="5"/>
    <x v="335"/>
    <x v="281"/>
    <x v="281"/>
    <s v="REVENUS"/>
    <x v="6"/>
    <s v="4211.002"/>
    <s v="Intérêts de retard sur acomptes"/>
    <n v="0"/>
    <n v="9044.98"/>
    <n v="4211"/>
  </r>
  <r>
    <x v="0"/>
    <x v="12"/>
    <x v="5"/>
    <x v="335"/>
    <x v="281"/>
    <x v="281"/>
    <s v="REVENUS"/>
    <x v="6"/>
    <s v="4221.003"/>
    <s v="Intérêts compensat. / acomptes en faveur du fisc"/>
    <n v="0"/>
    <n v="508.49"/>
    <n v="4221"/>
  </r>
  <r>
    <x v="0"/>
    <x v="12"/>
    <x v="5"/>
    <x v="335"/>
    <x v="281"/>
    <x v="281"/>
    <s v="REVENUS"/>
    <x v="2"/>
    <s v="4001.003"/>
    <s v="Impôt s/prest. cap. PP"/>
    <n v="0"/>
    <n v="111794.75"/>
    <n v="4001"/>
  </r>
  <r>
    <x v="0"/>
    <x v="12"/>
    <x v="5"/>
    <x v="335"/>
    <x v="281"/>
    <x v="281"/>
    <s v="REVENUS"/>
    <x v="6"/>
    <s v="4221.002"/>
    <s v="Intérêts compensat. sur impôts distincts"/>
    <n v="0"/>
    <n v="13.84"/>
    <n v="4221"/>
  </r>
  <r>
    <x v="0"/>
    <x v="12"/>
    <x v="5"/>
    <x v="335"/>
    <x v="281"/>
    <x v="281"/>
    <s v="REVENUS"/>
    <x v="10"/>
    <s v="4041.001"/>
    <s v="Droits de mutation"/>
    <n v="0"/>
    <n v="45029.45"/>
    <n v="4041"/>
  </r>
  <r>
    <x v="0"/>
    <x v="12"/>
    <x v="5"/>
    <x v="335"/>
    <x v="281"/>
    <x v="281"/>
    <s v="REVENUS"/>
    <x v="2"/>
    <s v="4001.007"/>
    <s v="Acompte impôt sur revenu"/>
    <n v="0"/>
    <n v="-796.2"/>
    <n v="4001"/>
  </r>
  <r>
    <x v="0"/>
    <x v="12"/>
    <x v="5"/>
    <x v="335"/>
    <x v="281"/>
    <x v="281"/>
    <s v="REVENUS"/>
    <x v="3"/>
    <s v="4002.007"/>
    <s v="Acompte impôt sur fortune"/>
    <n v="0"/>
    <n v="-931.08"/>
    <n v="4002"/>
  </r>
  <r>
    <x v="0"/>
    <x v="12"/>
    <x v="5"/>
    <x v="335"/>
    <x v="281"/>
    <x v="281"/>
    <s v="REVENUS"/>
    <x v="2"/>
    <s v="4001.001"/>
    <s v="Impôt revenu"/>
    <n v="0"/>
    <n v="-1061.1500000000001"/>
    <n v="4001"/>
  </r>
  <r>
    <x v="0"/>
    <x v="12"/>
    <x v="5"/>
    <x v="335"/>
    <x v="281"/>
    <x v="281"/>
    <s v="REVENUS"/>
    <x v="2"/>
    <s v="4001.002"/>
    <s v="Impôt complément s/revenu PP"/>
    <n v="0"/>
    <n v="1203.2"/>
    <n v="4001"/>
  </r>
  <r>
    <x v="0"/>
    <x v="12"/>
    <x v="5"/>
    <x v="335"/>
    <x v="281"/>
    <x v="281"/>
    <s v="REVENUS"/>
    <x v="3"/>
    <s v="4002.001"/>
    <s v="Impôt ordinaire s/fortune PP"/>
    <n v="0"/>
    <n v="293.39999999999998"/>
    <n v="4002"/>
  </r>
  <r>
    <x v="0"/>
    <x v="12"/>
    <x v="5"/>
    <x v="335"/>
    <x v="281"/>
    <x v="281"/>
    <s v="REVENUS"/>
    <x v="3"/>
    <s v="4002.002"/>
    <s v="Impôt complémentaire s/fortune PP"/>
    <n v="0"/>
    <n v="171.6"/>
    <n v="4002"/>
  </r>
  <r>
    <x v="0"/>
    <x v="12"/>
    <x v="5"/>
    <x v="335"/>
    <x v="281"/>
    <x v="281"/>
    <s v="REVENUS"/>
    <x v="6"/>
    <s v="4211.002"/>
    <s v="Intérêts de retard sur acomptes"/>
    <n v="0"/>
    <n v="1.65"/>
    <n v="4211"/>
  </r>
  <r>
    <x v="0"/>
    <x v="12"/>
    <x v="5"/>
    <x v="335"/>
    <x v="281"/>
    <x v="281"/>
    <s v="REVENUS"/>
    <x v="2"/>
    <s v="4001.002"/>
    <s v="Impôt complément s/revenu PP"/>
    <n v="0"/>
    <n v="274867.95"/>
    <n v="4001"/>
  </r>
  <r>
    <x v="0"/>
    <x v="12"/>
    <x v="5"/>
    <x v="335"/>
    <x v="281"/>
    <x v="281"/>
    <s v="REVENUS"/>
    <x v="3"/>
    <s v="4002.002"/>
    <s v="Impôt complémentaire s/fortune PP"/>
    <n v="0"/>
    <n v="140450.15"/>
    <n v="4002"/>
  </r>
  <r>
    <x v="0"/>
    <x v="12"/>
    <x v="5"/>
    <x v="335"/>
    <x v="281"/>
    <x v="281"/>
    <s v="REVENUS"/>
    <x v="3"/>
    <s v="4002.007"/>
    <s v="Acompte impôt sur fortune"/>
    <n v="0"/>
    <n v="776.6"/>
    <n v="4002"/>
  </r>
  <r>
    <x v="0"/>
    <x v="12"/>
    <x v="5"/>
    <x v="335"/>
    <x v="281"/>
    <x v="281"/>
    <s v="REVENUS"/>
    <x v="2"/>
    <s v="4001.007"/>
    <s v="Acompte impôt sur revenu"/>
    <n v="0"/>
    <n v="4493.42"/>
    <n v="4001"/>
  </r>
  <r>
    <x v="0"/>
    <x v="12"/>
    <x v="5"/>
    <x v="335"/>
    <x v="281"/>
    <x v="281"/>
    <s v="REVENUS"/>
    <x v="3"/>
    <s v="4002.001"/>
    <s v="Impôt ordinaire s/fortune PP"/>
    <n v="0"/>
    <n v="193.9"/>
    <n v="4002"/>
  </r>
  <r>
    <x v="0"/>
    <x v="12"/>
    <x v="5"/>
    <x v="335"/>
    <x v="281"/>
    <x v="281"/>
    <s v="REVENUS"/>
    <x v="3"/>
    <s v="4002.007"/>
    <s v="Acompte impôt sur fortune"/>
    <n v="0"/>
    <n v="-59.34"/>
    <n v="4002"/>
  </r>
  <r>
    <x v="0"/>
    <x v="12"/>
    <x v="5"/>
    <x v="335"/>
    <x v="281"/>
    <x v="281"/>
    <s v="REVENUS"/>
    <x v="6"/>
    <s v="4211.002"/>
    <s v="Intérêts de retard sur acomptes"/>
    <n v="0"/>
    <n v="0.86"/>
    <n v="4211"/>
  </r>
  <r>
    <x v="0"/>
    <x v="12"/>
    <x v="5"/>
    <x v="335"/>
    <x v="281"/>
    <x v="281"/>
    <s v="REVENUS"/>
    <x v="6"/>
    <s v="4211.001"/>
    <s v="Intérêts de retard sur factures"/>
    <n v="0"/>
    <n v="1.29"/>
    <n v="4211"/>
  </r>
  <r>
    <x v="0"/>
    <x v="12"/>
    <x v="5"/>
    <x v="335"/>
    <x v="281"/>
    <x v="281"/>
    <s v="REVENUS"/>
    <x v="6"/>
    <s v="4221.003"/>
    <s v="Intérêts compensat. / acomptes en faveur du fisc"/>
    <n v="0"/>
    <n v="0.12"/>
    <n v="4221"/>
  </r>
  <r>
    <x v="0"/>
    <x v="12"/>
    <x v="5"/>
    <x v="335"/>
    <x v="281"/>
    <x v="281"/>
    <s v="REVENUS"/>
    <x v="7"/>
    <s v="4184.000"/>
    <s v="Frais de poursuite"/>
    <n v="0"/>
    <n v="470.75"/>
    <n v="4184"/>
  </r>
  <r>
    <x v="0"/>
    <x v="12"/>
    <x v="5"/>
    <x v="335"/>
    <x v="281"/>
    <x v="281"/>
    <s v="REVENUS"/>
    <x v="3"/>
    <s v="4002.007"/>
    <s v="Acompte impôt sur fortune"/>
    <n v="0"/>
    <n v="7.15"/>
    <n v="4002"/>
  </r>
  <r>
    <x v="0"/>
    <x v="12"/>
    <x v="5"/>
    <x v="335"/>
    <x v="281"/>
    <x v="281"/>
    <s v="REVENUS"/>
    <x v="4"/>
    <s v="4051.001"/>
    <s v="Impôt sur les successions"/>
    <n v="0"/>
    <n v="74.599999999999994"/>
    <n v="4051"/>
  </r>
  <r>
    <x v="0"/>
    <x v="12"/>
    <x v="5"/>
    <x v="335"/>
    <x v="281"/>
    <x v="281"/>
    <s v="REVENUS"/>
    <x v="2"/>
    <s v="4001.001"/>
    <s v="Impôt revenu"/>
    <n v="0"/>
    <n v="273.60000000000002"/>
    <n v="4001"/>
  </r>
  <r>
    <x v="0"/>
    <x v="12"/>
    <x v="5"/>
    <x v="335"/>
    <x v="281"/>
    <x v="281"/>
    <s v="REVENUS"/>
    <x v="6"/>
    <s v="4221.003"/>
    <s v="Intérêts compensat. / acomptes en faveur du fisc"/>
    <n v="0"/>
    <n v="0.11"/>
    <n v="4221"/>
  </r>
  <r>
    <x v="0"/>
    <x v="12"/>
    <x v="5"/>
    <x v="335"/>
    <x v="281"/>
    <x v="281"/>
    <s v="REVENUS"/>
    <x v="6"/>
    <s v="4211.002"/>
    <s v="Intérêts de retard sur acomptes"/>
    <n v="0"/>
    <n v="0.65"/>
    <n v="4211"/>
  </r>
  <r>
    <x v="0"/>
    <x v="12"/>
    <x v="5"/>
    <x v="335"/>
    <x v="281"/>
    <x v="281"/>
    <s v="REVENUS"/>
    <x v="9"/>
    <s v="4031.001"/>
    <s v="Impôt sur les gains immobiliers"/>
    <n v="0"/>
    <n v="42814.05"/>
    <n v="4031"/>
  </r>
  <r>
    <x v="0"/>
    <x v="12"/>
    <x v="5"/>
    <x v="335"/>
    <x v="281"/>
    <x v="281"/>
    <s v="REVENUS"/>
    <x v="8"/>
    <s v="4091.001"/>
    <s v="Impôt récupéré après défalcations"/>
    <n v="0"/>
    <n v="724.05"/>
    <n v="4091"/>
  </r>
  <r>
    <x v="0"/>
    <x v="12"/>
    <x v="5"/>
    <x v="335"/>
    <x v="281"/>
    <x v="281"/>
    <s v="REVENUS"/>
    <x v="4"/>
    <s v="4051.002"/>
    <s v="Impôt sur les donations"/>
    <n v="0"/>
    <n v="2891.8"/>
    <n v="4051"/>
  </r>
  <r>
    <x v="0"/>
    <x v="12"/>
    <x v="5"/>
    <x v="335"/>
    <x v="281"/>
    <x v="281"/>
    <s v="REVENUS"/>
    <x v="2"/>
    <s v="4001.001"/>
    <s v="Impôt revenu"/>
    <n v="0"/>
    <n v="16.2"/>
    <n v="4001"/>
  </r>
  <r>
    <x v="0"/>
    <x v="12"/>
    <x v="5"/>
    <x v="335"/>
    <x v="281"/>
    <x v="281"/>
    <s v="REVENUS"/>
    <x v="3"/>
    <s v="4002.001"/>
    <s v="Impôt ordinaire s/fortune PP"/>
    <n v="0"/>
    <n v="10.5"/>
    <n v="4002"/>
  </r>
  <r>
    <x v="0"/>
    <x v="12"/>
    <x v="5"/>
    <x v="335"/>
    <x v="281"/>
    <x v="281"/>
    <s v="REVENUS"/>
    <x v="6"/>
    <s v="4211.001"/>
    <s v="Intérêts de retard sur factures"/>
    <n v="0"/>
    <n v="0.02"/>
    <n v="4211"/>
  </r>
  <r>
    <x v="0"/>
    <x v="12"/>
    <x v="5"/>
    <x v="335"/>
    <x v="281"/>
    <x v="281"/>
    <s v="REVENUS"/>
    <x v="3"/>
    <s v="4002.002"/>
    <s v="Impôt complémentaire s/fortune PP"/>
    <n v="0"/>
    <n v="149.4"/>
    <n v="4002"/>
  </r>
  <r>
    <x v="0"/>
    <x v="12"/>
    <x v="5"/>
    <x v="335"/>
    <x v="281"/>
    <x v="281"/>
    <s v="REVENUS"/>
    <x v="3"/>
    <s v="4002.001"/>
    <s v="Impôt ordinaire s/fortune PP"/>
    <n v="0"/>
    <n v="27.1"/>
    <n v="4002"/>
  </r>
  <r>
    <x v="0"/>
    <x v="12"/>
    <x v="5"/>
    <x v="336"/>
    <x v="282"/>
    <x v="282"/>
    <s v="CHARGES"/>
    <x v="0"/>
    <s v="3212.004"/>
    <s v="Intérêts rémun./perçu trop tôt sur acomptes C/C"/>
    <n v="185.31"/>
    <n v="0"/>
    <n v="3212"/>
  </r>
  <r>
    <x v="0"/>
    <x v="12"/>
    <x v="5"/>
    <x v="336"/>
    <x v="282"/>
    <x v="282"/>
    <s v="CHARGES"/>
    <x v="0"/>
    <s v="3221.002"/>
    <s v="Intérêts compensatoires / créances en faveur ctb."/>
    <n v="70.38"/>
    <n v="0"/>
    <n v="3221"/>
  </r>
  <r>
    <x v="0"/>
    <x v="12"/>
    <x v="5"/>
    <x v="336"/>
    <x v="282"/>
    <x v="282"/>
    <s v="CHARGES"/>
    <x v="1"/>
    <s v="3301.001"/>
    <s v="Défalcations, abandons de solde PP et IS"/>
    <n v="5105.6000000000004"/>
    <n v="0"/>
    <n v="3301"/>
  </r>
  <r>
    <x v="0"/>
    <x v="12"/>
    <x v="5"/>
    <x v="336"/>
    <x v="282"/>
    <x v="282"/>
    <s v="CHARGES"/>
    <x v="1"/>
    <s v="3301.001"/>
    <s v="Défalcations, abandons de solde PP et IS"/>
    <n v="0.05"/>
    <n v="0"/>
    <n v="3301"/>
  </r>
  <r>
    <x v="0"/>
    <x v="12"/>
    <x v="5"/>
    <x v="336"/>
    <x v="282"/>
    <x v="282"/>
    <s v="CHARGES"/>
    <x v="0"/>
    <s v="3212.004"/>
    <s v="Intérêts rémun./perçu trop tôt sur acomptes C/C"/>
    <n v="0.05"/>
    <n v="0"/>
    <n v="3212"/>
  </r>
  <r>
    <x v="0"/>
    <x v="12"/>
    <x v="5"/>
    <x v="336"/>
    <x v="282"/>
    <x v="282"/>
    <s v="CHARGES"/>
    <x v="0"/>
    <s v="3212.002"/>
    <s v="Intérêts bonifiés/trop perçu acompte C/C"/>
    <n v="-4.87"/>
    <n v="0"/>
    <n v="3212"/>
  </r>
  <r>
    <x v="0"/>
    <x v="12"/>
    <x v="5"/>
    <x v="336"/>
    <x v="282"/>
    <x v="282"/>
    <s v="CHARGES"/>
    <x v="1"/>
    <s v="3301.001"/>
    <s v="Défalcations, abandons de solde PP et IS"/>
    <n v="310.81"/>
    <n v="0"/>
    <n v="3301"/>
  </r>
  <r>
    <x v="0"/>
    <x v="12"/>
    <x v="5"/>
    <x v="336"/>
    <x v="282"/>
    <x v="282"/>
    <s v="CHARGES"/>
    <x v="0"/>
    <s v="3212.004"/>
    <s v="Intérêts rémun./perçu trop tôt sur acomptes C/C"/>
    <n v="0.01"/>
    <n v="0"/>
    <n v="3212"/>
  </r>
  <r>
    <x v="0"/>
    <x v="12"/>
    <x v="5"/>
    <x v="336"/>
    <x v="282"/>
    <x v="282"/>
    <s v="REVENUS"/>
    <x v="7"/>
    <s v="4184.000"/>
    <s v="Frais de poursuite"/>
    <n v="0"/>
    <n v="904.75"/>
    <n v="4184"/>
  </r>
  <r>
    <x v="0"/>
    <x v="12"/>
    <x v="5"/>
    <x v="336"/>
    <x v="282"/>
    <x v="282"/>
    <s v="REVENUS"/>
    <x v="2"/>
    <s v="4001.001"/>
    <s v="Impôt revenu"/>
    <n v="0"/>
    <n v="611605.19999999995"/>
    <n v="4001"/>
  </r>
  <r>
    <x v="0"/>
    <x v="12"/>
    <x v="5"/>
    <x v="336"/>
    <x v="282"/>
    <x v="282"/>
    <s v="REVENUS"/>
    <x v="2"/>
    <s v="4001.007"/>
    <s v="Acompte impôt sur revenu"/>
    <n v="0"/>
    <n v="-102280.57"/>
    <n v="4001"/>
  </r>
  <r>
    <x v="0"/>
    <x v="12"/>
    <x v="5"/>
    <x v="336"/>
    <x v="282"/>
    <x v="282"/>
    <s v="REVENUS"/>
    <x v="3"/>
    <s v="4002.001"/>
    <s v="Impôt ordinaire s/fortune PP"/>
    <n v="0"/>
    <n v="58572.05"/>
    <n v="4002"/>
  </r>
  <r>
    <x v="0"/>
    <x v="12"/>
    <x v="5"/>
    <x v="336"/>
    <x v="282"/>
    <x v="282"/>
    <s v="REVENUS"/>
    <x v="3"/>
    <s v="4002.007"/>
    <s v="Acompte impôt sur fortune"/>
    <n v="0"/>
    <n v="-14827.47"/>
    <n v="4002"/>
  </r>
  <r>
    <x v="0"/>
    <x v="12"/>
    <x v="5"/>
    <x v="336"/>
    <x v="282"/>
    <x v="282"/>
    <s v="REVENUS"/>
    <x v="6"/>
    <s v="4211.002"/>
    <s v="Intérêts de retard sur acomptes"/>
    <n v="0"/>
    <n v="3123.36"/>
    <n v="4211"/>
  </r>
  <r>
    <x v="0"/>
    <x v="12"/>
    <x v="5"/>
    <x v="336"/>
    <x v="282"/>
    <x v="282"/>
    <s v="REVENUS"/>
    <x v="6"/>
    <s v="4211.001"/>
    <s v="Intérêts de retard sur factures"/>
    <n v="0"/>
    <n v="2899.01"/>
    <n v="4211"/>
  </r>
  <r>
    <x v="0"/>
    <x v="12"/>
    <x v="5"/>
    <x v="336"/>
    <x v="282"/>
    <x v="282"/>
    <s v="REVENUS"/>
    <x v="10"/>
    <s v="4041.001"/>
    <s v="Droits de mutation"/>
    <n v="0"/>
    <n v="7150"/>
    <n v="4041"/>
  </r>
  <r>
    <x v="0"/>
    <x v="12"/>
    <x v="5"/>
    <x v="336"/>
    <x v="282"/>
    <x v="282"/>
    <s v="REVENUS"/>
    <x v="6"/>
    <s v="4221.003"/>
    <s v="Intérêts compensat. / acomptes en faveur du fisc"/>
    <n v="0"/>
    <n v="59.84"/>
    <n v="4221"/>
  </r>
  <r>
    <x v="0"/>
    <x v="12"/>
    <x v="5"/>
    <x v="336"/>
    <x v="282"/>
    <x v="282"/>
    <s v="REVENUS"/>
    <x v="2"/>
    <s v="4001.003"/>
    <s v="Impôt s/prest. cap. PP"/>
    <n v="0"/>
    <n v="38218.550000000003"/>
    <n v="4001"/>
  </r>
  <r>
    <x v="0"/>
    <x v="12"/>
    <x v="5"/>
    <x v="336"/>
    <x v="282"/>
    <x v="282"/>
    <s v="REVENUS"/>
    <x v="3"/>
    <s v="4002.007"/>
    <s v="Acompte impôt sur fortune"/>
    <n v="0"/>
    <n v="-0.9"/>
    <n v="4002"/>
  </r>
  <r>
    <x v="0"/>
    <x v="12"/>
    <x v="5"/>
    <x v="336"/>
    <x v="282"/>
    <x v="282"/>
    <s v="REVENUS"/>
    <x v="2"/>
    <s v="4001.007"/>
    <s v="Acompte impôt sur revenu"/>
    <n v="0"/>
    <n v="4.2"/>
    <n v="4001"/>
  </r>
  <r>
    <x v="0"/>
    <x v="12"/>
    <x v="5"/>
    <x v="336"/>
    <x v="282"/>
    <x v="282"/>
    <s v="REVENUS"/>
    <x v="6"/>
    <s v="4211.001"/>
    <s v="Intérêts de retard sur factures"/>
    <n v="0"/>
    <n v="0.03"/>
    <n v="4211"/>
  </r>
  <r>
    <x v="0"/>
    <x v="12"/>
    <x v="5"/>
    <x v="336"/>
    <x v="282"/>
    <x v="282"/>
    <s v="REVENUS"/>
    <x v="2"/>
    <s v="4001.007"/>
    <s v="Acompte impôt sur revenu"/>
    <n v="0"/>
    <n v="3.5"/>
    <n v="4001"/>
  </r>
  <r>
    <x v="0"/>
    <x v="12"/>
    <x v="5"/>
    <x v="336"/>
    <x v="282"/>
    <x v="282"/>
    <s v="REVENUS"/>
    <x v="3"/>
    <s v="4002.007"/>
    <s v="Acompte impôt sur fortune"/>
    <n v="0"/>
    <n v="-1.05"/>
    <n v="4002"/>
  </r>
  <r>
    <x v="0"/>
    <x v="12"/>
    <x v="5"/>
    <x v="336"/>
    <x v="282"/>
    <x v="282"/>
    <s v="REVENUS"/>
    <x v="6"/>
    <s v="4221.002"/>
    <s v="Intérêts compensat. sur impôts distincts"/>
    <n v="0"/>
    <n v="-14.95"/>
    <n v="4221"/>
  </r>
  <r>
    <x v="0"/>
    <x v="12"/>
    <x v="5"/>
    <x v="336"/>
    <x v="282"/>
    <x v="282"/>
    <s v="REVENUS"/>
    <x v="2"/>
    <s v="4001.002"/>
    <s v="Impôt complément s/revenu PP"/>
    <n v="0"/>
    <n v="80921"/>
    <n v="4001"/>
  </r>
  <r>
    <x v="0"/>
    <x v="12"/>
    <x v="5"/>
    <x v="336"/>
    <x v="282"/>
    <x v="282"/>
    <s v="REVENUS"/>
    <x v="4"/>
    <s v="4051.001"/>
    <s v="Impôt sur les successions"/>
    <n v="0"/>
    <n v="9.8000000000000007"/>
    <n v="4051"/>
  </r>
  <r>
    <x v="0"/>
    <x v="12"/>
    <x v="5"/>
    <x v="336"/>
    <x v="282"/>
    <x v="282"/>
    <s v="REVENUS"/>
    <x v="3"/>
    <s v="4002.002"/>
    <s v="Impôt complémentaire s/fortune PP"/>
    <n v="0"/>
    <n v="23673.599999999999"/>
    <n v="4002"/>
  </r>
  <r>
    <x v="0"/>
    <x v="12"/>
    <x v="5"/>
    <x v="336"/>
    <x v="282"/>
    <x v="282"/>
    <s v="REVENUS"/>
    <x v="3"/>
    <s v="4002.001"/>
    <s v="Impôt ordinaire s/fortune PP"/>
    <n v="0"/>
    <n v="54.25"/>
    <n v="4002"/>
  </r>
  <r>
    <x v="0"/>
    <x v="12"/>
    <x v="5"/>
    <x v="336"/>
    <x v="282"/>
    <x v="282"/>
    <s v="REVENUS"/>
    <x v="2"/>
    <s v="4001.001"/>
    <s v="Impôt revenu"/>
    <n v="0"/>
    <n v="380.15"/>
    <n v="4001"/>
  </r>
  <r>
    <x v="0"/>
    <x v="12"/>
    <x v="5"/>
    <x v="336"/>
    <x v="282"/>
    <x v="282"/>
    <s v="REVENUS"/>
    <x v="3"/>
    <s v="4002.001"/>
    <s v="Impôt ordinaire s/fortune PP"/>
    <n v="0"/>
    <n v="625"/>
    <n v="4002"/>
  </r>
  <r>
    <x v="0"/>
    <x v="12"/>
    <x v="5"/>
    <x v="336"/>
    <x v="282"/>
    <x v="282"/>
    <s v="REVENUS"/>
    <x v="6"/>
    <s v="4221.003"/>
    <s v="Intérêts compensat. / acomptes en faveur du fisc"/>
    <n v="0"/>
    <n v="0.02"/>
    <n v="4221"/>
  </r>
  <r>
    <x v="0"/>
    <x v="12"/>
    <x v="5"/>
    <x v="336"/>
    <x v="282"/>
    <x v="282"/>
    <s v="REVENUS"/>
    <x v="2"/>
    <s v="4001.007"/>
    <s v="Acompte impôt sur revenu"/>
    <n v="0"/>
    <n v="0.01"/>
    <n v="4001"/>
  </r>
  <r>
    <x v="0"/>
    <x v="12"/>
    <x v="5"/>
    <x v="336"/>
    <x v="282"/>
    <x v="282"/>
    <s v="REVENUS"/>
    <x v="3"/>
    <s v="4002.007"/>
    <s v="Acompte impôt sur fortune"/>
    <n v="0"/>
    <n v="0"/>
    <n v="4002"/>
  </r>
  <r>
    <x v="0"/>
    <x v="12"/>
    <x v="5"/>
    <x v="336"/>
    <x v="282"/>
    <x v="282"/>
    <s v="REVENUS"/>
    <x v="9"/>
    <s v="4031.001"/>
    <s v="Impôt sur les gains immobiliers"/>
    <n v="0"/>
    <n v="-35616.050000000003"/>
    <n v="4031"/>
  </r>
  <r>
    <x v="0"/>
    <x v="12"/>
    <x v="5"/>
    <x v="336"/>
    <x v="282"/>
    <x v="282"/>
    <s v="REVENUS"/>
    <x v="6"/>
    <s v="4211.001"/>
    <s v="Intérêts de retard sur factures"/>
    <n v="0"/>
    <n v="7.24"/>
    <n v="4211"/>
  </r>
  <r>
    <x v="0"/>
    <x v="12"/>
    <x v="5"/>
    <x v="336"/>
    <x v="282"/>
    <x v="282"/>
    <s v="REVENUS"/>
    <x v="2"/>
    <s v="4001.001"/>
    <s v="Impôt revenu"/>
    <n v="0"/>
    <n v="557.15"/>
    <n v="4001"/>
  </r>
  <r>
    <x v="0"/>
    <x v="12"/>
    <x v="5"/>
    <x v="336"/>
    <x v="282"/>
    <x v="282"/>
    <s v="REVENUS"/>
    <x v="6"/>
    <s v="4211.002"/>
    <s v="Intérêts de retard sur acomptes"/>
    <n v="0"/>
    <n v="20.6"/>
    <n v="4211"/>
  </r>
  <r>
    <x v="0"/>
    <x v="12"/>
    <x v="5"/>
    <x v="336"/>
    <x v="282"/>
    <x v="282"/>
    <s v="REVENUS"/>
    <x v="6"/>
    <s v="4211.002"/>
    <s v="Intérêts de retard sur acomptes"/>
    <n v="0"/>
    <n v="0.38"/>
    <n v="4211"/>
  </r>
  <r>
    <x v="0"/>
    <x v="12"/>
    <x v="5"/>
    <x v="337"/>
    <x v="283"/>
    <x v="283"/>
    <s v="CHARGES"/>
    <x v="1"/>
    <s v="3301.001"/>
    <s v="Défalcations, abandons de solde PP et IS"/>
    <n v="94.71"/>
    <n v="0"/>
    <n v="3301"/>
  </r>
  <r>
    <x v="0"/>
    <x v="12"/>
    <x v="5"/>
    <x v="337"/>
    <x v="283"/>
    <x v="283"/>
    <s v="CHARGES"/>
    <x v="0"/>
    <s v="3212.004"/>
    <s v="Intérêts rémun./perçu trop tôt sur acomptes C/C"/>
    <n v="150.94999999999999"/>
    <n v="0"/>
    <n v="3212"/>
  </r>
  <r>
    <x v="0"/>
    <x v="12"/>
    <x v="5"/>
    <x v="337"/>
    <x v="283"/>
    <x v="283"/>
    <s v="CHARGES"/>
    <x v="0"/>
    <s v="3221.002"/>
    <s v="Intérêts compensatoires / créances en faveur ctb."/>
    <n v="63.9"/>
    <n v="0"/>
    <n v="3221"/>
  </r>
  <r>
    <x v="0"/>
    <x v="12"/>
    <x v="5"/>
    <x v="337"/>
    <x v="283"/>
    <x v="283"/>
    <s v="CHARGES"/>
    <x v="0"/>
    <s v="3212.002"/>
    <s v="Intérêts bonifiés/trop perçu acompte C/C"/>
    <n v="4.71"/>
    <n v="0"/>
    <n v="3212"/>
  </r>
  <r>
    <x v="0"/>
    <x v="12"/>
    <x v="5"/>
    <x v="337"/>
    <x v="283"/>
    <x v="283"/>
    <s v="CHARGES"/>
    <x v="0"/>
    <s v="3212.004"/>
    <s v="Intérêts rémun./perçu trop tôt sur acomptes C/C"/>
    <n v="0.09"/>
    <n v="0"/>
    <n v="3212"/>
  </r>
  <r>
    <x v="0"/>
    <x v="12"/>
    <x v="5"/>
    <x v="337"/>
    <x v="283"/>
    <x v="283"/>
    <s v="CHARGES"/>
    <x v="0"/>
    <s v="3221.002"/>
    <s v="Intérêts compensatoires / créances en faveur ctb."/>
    <n v="0.03"/>
    <n v="0"/>
    <n v="3221"/>
  </r>
  <r>
    <x v="0"/>
    <x v="12"/>
    <x v="5"/>
    <x v="337"/>
    <x v="283"/>
    <x v="283"/>
    <s v="CHARGES"/>
    <x v="1"/>
    <s v="3301.001"/>
    <s v="Défalcations, abandons de solde PP et IS"/>
    <n v="0.19"/>
    <n v="0"/>
    <n v="3301"/>
  </r>
  <r>
    <x v="0"/>
    <x v="12"/>
    <x v="5"/>
    <x v="337"/>
    <x v="283"/>
    <x v="283"/>
    <s v="CHARGES"/>
    <x v="0"/>
    <s v="3212.004"/>
    <s v="Intérêts rémun./perçu trop tôt sur acomptes C/C"/>
    <n v="0.28999999999999998"/>
    <n v="0"/>
    <n v="3212"/>
  </r>
  <r>
    <x v="0"/>
    <x v="12"/>
    <x v="5"/>
    <x v="337"/>
    <x v="283"/>
    <x v="283"/>
    <s v="CHARGES"/>
    <x v="1"/>
    <s v="3301.001"/>
    <s v="Défalcations, abandons de solde PP et IS"/>
    <n v="0.01"/>
    <n v="0"/>
    <n v="3301"/>
  </r>
  <r>
    <x v="0"/>
    <x v="12"/>
    <x v="5"/>
    <x v="337"/>
    <x v="283"/>
    <x v="283"/>
    <s v="REVENUS"/>
    <x v="2"/>
    <s v="4001.003"/>
    <s v="Impôt s/prest. cap. PP"/>
    <n v="0"/>
    <n v="21051"/>
    <n v="4001"/>
  </r>
  <r>
    <x v="0"/>
    <x v="12"/>
    <x v="5"/>
    <x v="337"/>
    <x v="283"/>
    <x v="283"/>
    <s v="REVENUS"/>
    <x v="2"/>
    <s v="4001.007"/>
    <s v="Acompte impôt sur revenu"/>
    <n v="0"/>
    <n v="-135095.26999999999"/>
    <n v="4001"/>
  </r>
  <r>
    <x v="0"/>
    <x v="12"/>
    <x v="5"/>
    <x v="337"/>
    <x v="283"/>
    <x v="283"/>
    <s v="REVENUS"/>
    <x v="3"/>
    <s v="4002.007"/>
    <s v="Acompte impôt sur fortune"/>
    <n v="0"/>
    <n v="-11724.48"/>
    <n v="4002"/>
  </r>
  <r>
    <x v="0"/>
    <x v="12"/>
    <x v="5"/>
    <x v="337"/>
    <x v="283"/>
    <x v="283"/>
    <s v="REVENUS"/>
    <x v="6"/>
    <s v="4211.001"/>
    <s v="Intérêts de retard sur factures"/>
    <n v="0"/>
    <n v="542.78"/>
    <n v="4211"/>
  </r>
  <r>
    <x v="0"/>
    <x v="12"/>
    <x v="5"/>
    <x v="337"/>
    <x v="283"/>
    <x v="283"/>
    <s v="REVENUS"/>
    <x v="2"/>
    <s v="4001.001"/>
    <s v="Impôt revenu"/>
    <n v="0"/>
    <n v="505563.45"/>
    <n v="4001"/>
  </r>
  <r>
    <x v="0"/>
    <x v="12"/>
    <x v="5"/>
    <x v="337"/>
    <x v="283"/>
    <x v="283"/>
    <s v="REVENUS"/>
    <x v="6"/>
    <s v="4221.003"/>
    <s v="Intérêts compensat. / acomptes en faveur du fisc"/>
    <n v="0"/>
    <n v="78.290000000000006"/>
    <n v="4221"/>
  </r>
  <r>
    <x v="0"/>
    <x v="12"/>
    <x v="5"/>
    <x v="337"/>
    <x v="283"/>
    <x v="283"/>
    <s v="REVENUS"/>
    <x v="3"/>
    <s v="4002.001"/>
    <s v="Impôt ordinaire s/fortune PP"/>
    <n v="0"/>
    <n v="53339.15"/>
    <n v="4002"/>
  </r>
  <r>
    <x v="0"/>
    <x v="12"/>
    <x v="5"/>
    <x v="337"/>
    <x v="283"/>
    <x v="283"/>
    <s v="REVENUS"/>
    <x v="3"/>
    <s v="4002.002"/>
    <s v="Impôt complémentaire s/fortune PP"/>
    <n v="0"/>
    <n v="4243.1000000000004"/>
    <n v="4002"/>
  </r>
  <r>
    <x v="0"/>
    <x v="12"/>
    <x v="5"/>
    <x v="337"/>
    <x v="283"/>
    <x v="283"/>
    <s v="REVENUS"/>
    <x v="2"/>
    <s v="4001.007"/>
    <s v="Acompte impôt sur revenu"/>
    <n v="0"/>
    <n v="274.2"/>
    <n v="4001"/>
  </r>
  <r>
    <x v="0"/>
    <x v="12"/>
    <x v="5"/>
    <x v="337"/>
    <x v="283"/>
    <x v="283"/>
    <s v="REVENUS"/>
    <x v="7"/>
    <s v="4184.000"/>
    <s v="Frais de poursuite"/>
    <n v="0"/>
    <n v="414.29"/>
    <n v="4184"/>
  </r>
  <r>
    <x v="0"/>
    <x v="12"/>
    <x v="5"/>
    <x v="337"/>
    <x v="283"/>
    <x v="283"/>
    <s v="REVENUS"/>
    <x v="2"/>
    <s v="4001.002"/>
    <s v="Impôt complément s/revenu PP"/>
    <n v="0"/>
    <n v="59645.95"/>
    <n v="4001"/>
  </r>
  <r>
    <x v="0"/>
    <x v="12"/>
    <x v="5"/>
    <x v="337"/>
    <x v="283"/>
    <x v="283"/>
    <s v="REVENUS"/>
    <x v="3"/>
    <s v="4002.007"/>
    <s v="Acompte impôt sur fortune"/>
    <n v="0"/>
    <n v="1.33"/>
    <n v="4002"/>
  </r>
  <r>
    <x v="0"/>
    <x v="12"/>
    <x v="5"/>
    <x v="337"/>
    <x v="283"/>
    <x v="283"/>
    <s v="REVENUS"/>
    <x v="2"/>
    <s v="4001.007"/>
    <s v="Acompte impôt sur revenu"/>
    <n v="0"/>
    <n v="0"/>
    <n v="4001"/>
  </r>
  <r>
    <x v="0"/>
    <x v="12"/>
    <x v="5"/>
    <x v="337"/>
    <x v="283"/>
    <x v="283"/>
    <s v="REVENUS"/>
    <x v="2"/>
    <s v="4001.007"/>
    <s v="Acompte impôt sur revenu"/>
    <n v="0"/>
    <n v="651.75"/>
    <n v="4001"/>
  </r>
  <r>
    <x v="0"/>
    <x v="12"/>
    <x v="5"/>
    <x v="337"/>
    <x v="283"/>
    <x v="283"/>
    <s v="REVENUS"/>
    <x v="3"/>
    <s v="4002.007"/>
    <s v="Acompte impôt sur fortune"/>
    <n v="0"/>
    <n v="22.35"/>
    <n v="4002"/>
  </r>
  <r>
    <x v="0"/>
    <x v="12"/>
    <x v="5"/>
    <x v="337"/>
    <x v="283"/>
    <x v="283"/>
    <s v="REVENUS"/>
    <x v="6"/>
    <s v="4211.002"/>
    <s v="Intérêts de retard sur acomptes"/>
    <n v="0"/>
    <n v="3146.62"/>
    <n v="4211"/>
  </r>
  <r>
    <x v="0"/>
    <x v="12"/>
    <x v="5"/>
    <x v="337"/>
    <x v="283"/>
    <x v="283"/>
    <s v="REVENUS"/>
    <x v="4"/>
    <s v="4051.001"/>
    <s v="Impôt sur les successions"/>
    <n v="0"/>
    <n v="1237.2"/>
    <n v="4051"/>
  </r>
  <r>
    <x v="0"/>
    <x v="12"/>
    <x v="5"/>
    <x v="337"/>
    <x v="283"/>
    <x v="283"/>
    <s v="REVENUS"/>
    <x v="6"/>
    <s v="4221.002"/>
    <s v="Intérêts compensat. sur impôts distincts"/>
    <n v="0"/>
    <n v="2.97"/>
    <n v="4221"/>
  </r>
  <r>
    <x v="0"/>
    <x v="12"/>
    <x v="5"/>
    <x v="337"/>
    <x v="283"/>
    <x v="283"/>
    <s v="REVENUS"/>
    <x v="2"/>
    <s v="4001.001"/>
    <s v="Impôt revenu"/>
    <n v="0"/>
    <n v="0"/>
    <n v="4001"/>
  </r>
  <r>
    <x v="0"/>
    <x v="12"/>
    <x v="5"/>
    <x v="337"/>
    <x v="283"/>
    <x v="283"/>
    <s v="REVENUS"/>
    <x v="3"/>
    <s v="4002.001"/>
    <s v="Impôt ordinaire s/fortune PP"/>
    <n v="0"/>
    <n v="0"/>
    <n v="4002"/>
  </r>
  <r>
    <x v="0"/>
    <x v="12"/>
    <x v="5"/>
    <x v="337"/>
    <x v="283"/>
    <x v="283"/>
    <s v="REVENUS"/>
    <x v="3"/>
    <s v="4002.002"/>
    <s v="Impôt complémentaire s/fortune PP"/>
    <n v="0"/>
    <n v="41.4"/>
    <n v="4002"/>
  </r>
  <r>
    <x v="0"/>
    <x v="12"/>
    <x v="5"/>
    <x v="337"/>
    <x v="283"/>
    <x v="283"/>
    <s v="REVENUS"/>
    <x v="6"/>
    <s v="4211.001"/>
    <s v="Intérêts de retard sur factures"/>
    <n v="0"/>
    <n v="0.09"/>
    <n v="4211"/>
  </r>
  <r>
    <x v="0"/>
    <x v="12"/>
    <x v="5"/>
    <x v="337"/>
    <x v="283"/>
    <x v="283"/>
    <s v="REVENUS"/>
    <x v="6"/>
    <s v="4211.002"/>
    <s v="Intérêts de retard sur acomptes"/>
    <n v="0"/>
    <n v="2.2799999999999998"/>
    <n v="4211"/>
  </r>
  <r>
    <x v="0"/>
    <x v="12"/>
    <x v="5"/>
    <x v="337"/>
    <x v="283"/>
    <x v="283"/>
    <s v="REVENUS"/>
    <x v="2"/>
    <s v="4001.001"/>
    <s v="Impôt revenu"/>
    <n v="0"/>
    <n v="690.35"/>
    <n v="4001"/>
  </r>
  <r>
    <x v="0"/>
    <x v="12"/>
    <x v="5"/>
    <x v="337"/>
    <x v="283"/>
    <x v="283"/>
    <s v="REVENUS"/>
    <x v="6"/>
    <s v="4221.003"/>
    <s v="Intérêts compensat. / acomptes en faveur du fisc"/>
    <n v="0"/>
    <n v="0.22"/>
    <n v="4221"/>
  </r>
  <r>
    <x v="0"/>
    <x v="12"/>
    <x v="5"/>
    <x v="337"/>
    <x v="283"/>
    <x v="283"/>
    <s v="REVENUS"/>
    <x v="7"/>
    <s v="4184.000"/>
    <s v="Frais de poursuite"/>
    <n v="0"/>
    <n v="0.19"/>
    <n v="4184"/>
  </r>
  <r>
    <x v="0"/>
    <x v="12"/>
    <x v="5"/>
    <x v="337"/>
    <x v="283"/>
    <x v="283"/>
    <s v="REVENUS"/>
    <x v="2"/>
    <s v="4001.001"/>
    <s v="Impôt revenu"/>
    <n v="0"/>
    <n v="457.1"/>
    <n v="4001"/>
  </r>
  <r>
    <x v="0"/>
    <x v="12"/>
    <x v="5"/>
    <x v="337"/>
    <x v="283"/>
    <x v="283"/>
    <s v="REVENUS"/>
    <x v="3"/>
    <s v="4002.001"/>
    <s v="Impôt ordinaire s/fortune PP"/>
    <n v="0"/>
    <n v="90.15"/>
    <n v="4002"/>
  </r>
  <r>
    <x v="0"/>
    <x v="12"/>
    <x v="5"/>
    <x v="337"/>
    <x v="283"/>
    <x v="283"/>
    <s v="REVENUS"/>
    <x v="6"/>
    <s v="4221.003"/>
    <s v="Intérêts compensat. / acomptes en faveur du fisc"/>
    <n v="0"/>
    <n v="0.01"/>
    <n v="4221"/>
  </r>
  <r>
    <x v="0"/>
    <x v="12"/>
    <x v="5"/>
    <x v="337"/>
    <x v="283"/>
    <x v="283"/>
    <s v="REVENUS"/>
    <x v="7"/>
    <s v="4184.000"/>
    <s v="Frais de poursuite"/>
    <n v="0"/>
    <n v="25.21"/>
    <n v="4184"/>
  </r>
  <r>
    <x v="0"/>
    <x v="12"/>
    <x v="5"/>
    <x v="337"/>
    <x v="283"/>
    <x v="283"/>
    <s v="REVENUS"/>
    <x v="3"/>
    <s v="4002.007"/>
    <s v="Acompte impôt sur fortune"/>
    <n v="0"/>
    <n v="-634.20000000000005"/>
    <n v="4002"/>
  </r>
  <r>
    <x v="0"/>
    <x v="12"/>
    <x v="5"/>
    <x v="337"/>
    <x v="283"/>
    <x v="283"/>
    <s v="REVENUS"/>
    <x v="11"/>
    <s v="4198.000"/>
    <s v="Contributions communales"/>
    <n v="0"/>
    <n v="32152.1"/>
    <n v="4198"/>
  </r>
  <r>
    <x v="0"/>
    <x v="12"/>
    <x v="5"/>
    <x v="338"/>
    <x v="284"/>
    <x v="284"/>
    <s v="CHARGES"/>
    <x v="0"/>
    <s v="3212.004"/>
    <s v="Intérêts rémun./perçu trop tôt sur acomptes C/C"/>
    <n v="21"/>
    <n v="0"/>
    <n v="3212"/>
  </r>
  <r>
    <x v="0"/>
    <x v="12"/>
    <x v="5"/>
    <x v="338"/>
    <x v="284"/>
    <x v="284"/>
    <s v="CHARGES"/>
    <x v="1"/>
    <s v="3301.001"/>
    <s v="Défalcations, abandons de solde PP et IS"/>
    <n v="663.77"/>
    <n v="0"/>
    <n v="3301"/>
  </r>
  <r>
    <x v="0"/>
    <x v="12"/>
    <x v="5"/>
    <x v="338"/>
    <x v="284"/>
    <x v="284"/>
    <s v="CHARGES"/>
    <x v="0"/>
    <s v="3212.004"/>
    <s v="Intérêts rémun./perçu trop tôt sur acomptes C/C"/>
    <n v="1.44"/>
    <n v="0"/>
    <n v="3212"/>
  </r>
  <r>
    <x v="0"/>
    <x v="12"/>
    <x v="5"/>
    <x v="338"/>
    <x v="284"/>
    <x v="284"/>
    <s v="CHARGES"/>
    <x v="0"/>
    <s v="3221.002"/>
    <s v="Intérêts compensatoires / créances en faveur ctb."/>
    <n v="2.42"/>
    <n v="0"/>
    <n v="3221"/>
  </r>
  <r>
    <x v="0"/>
    <x v="12"/>
    <x v="5"/>
    <x v="338"/>
    <x v="284"/>
    <x v="284"/>
    <s v="CHARGES"/>
    <x v="0"/>
    <s v="3212.002"/>
    <s v="Intérêts bonifiés/trop perçu acompte C/C"/>
    <n v="5.44"/>
    <n v="0"/>
    <n v="3212"/>
  </r>
  <r>
    <x v="0"/>
    <x v="12"/>
    <x v="5"/>
    <x v="338"/>
    <x v="284"/>
    <x v="284"/>
    <s v="CHARGES"/>
    <x v="0"/>
    <s v="3221.002"/>
    <s v="Intérêts compensatoires / créances en faveur ctb."/>
    <n v="14.62"/>
    <n v="0"/>
    <n v="3221"/>
  </r>
  <r>
    <x v="0"/>
    <x v="12"/>
    <x v="5"/>
    <x v="338"/>
    <x v="284"/>
    <x v="284"/>
    <s v="CHARGES"/>
    <x v="1"/>
    <s v="3301.001"/>
    <s v="Défalcations, abandons de solde PP et IS"/>
    <n v="0.01"/>
    <n v="0"/>
    <n v="3301"/>
  </r>
  <r>
    <x v="0"/>
    <x v="12"/>
    <x v="5"/>
    <x v="338"/>
    <x v="284"/>
    <x v="284"/>
    <s v="REVENUS"/>
    <x v="3"/>
    <s v="4002.007"/>
    <s v="Acompte impôt sur fortune"/>
    <n v="0"/>
    <n v="-137.65"/>
    <n v="4002"/>
  </r>
  <r>
    <x v="0"/>
    <x v="12"/>
    <x v="5"/>
    <x v="338"/>
    <x v="284"/>
    <x v="284"/>
    <s v="REVENUS"/>
    <x v="2"/>
    <s v="4001.001"/>
    <s v="Impôt revenu"/>
    <n v="0"/>
    <n v="240613.1"/>
    <n v="4001"/>
  </r>
  <r>
    <x v="0"/>
    <x v="12"/>
    <x v="5"/>
    <x v="338"/>
    <x v="284"/>
    <x v="284"/>
    <s v="REVENUS"/>
    <x v="3"/>
    <s v="4002.001"/>
    <s v="Impôt ordinaire s/fortune PP"/>
    <n v="0"/>
    <n v="20966.099999999999"/>
    <n v="4002"/>
  </r>
  <r>
    <x v="0"/>
    <x v="12"/>
    <x v="5"/>
    <x v="338"/>
    <x v="284"/>
    <x v="284"/>
    <s v="REVENUS"/>
    <x v="6"/>
    <s v="4221.003"/>
    <s v="Intérêts compensat. / acomptes en faveur du fisc"/>
    <n v="0"/>
    <n v="36.76"/>
    <n v="4221"/>
  </r>
  <r>
    <x v="0"/>
    <x v="12"/>
    <x v="5"/>
    <x v="338"/>
    <x v="284"/>
    <x v="284"/>
    <s v="REVENUS"/>
    <x v="3"/>
    <s v="4002.001"/>
    <s v="Impôt ordinaire s/fortune PP"/>
    <n v="0"/>
    <n v="5101.8"/>
    <n v="4002"/>
  </r>
  <r>
    <x v="0"/>
    <x v="12"/>
    <x v="5"/>
    <x v="338"/>
    <x v="284"/>
    <x v="284"/>
    <s v="REVENUS"/>
    <x v="3"/>
    <s v="4002.007"/>
    <s v="Acompte impôt sur fortune"/>
    <n v="0"/>
    <n v="-61"/>
    <n v="4002"/>
  </r>
  <r>
    <x v="0"/>
    <x v="12"/>
    <x v="5"/>
    <x v="338"/>
    <x v="284"/>
    <x v="284"/>
    <s v="REVENUS"/>
    <x v="2"/>
    <s v="4001.007"/>
    <s v="Acompte impôt sur revenu"/>
    <n v="0"/>
    <n v="4206.24"/>
    <n v="4001"/>
  </r>
  <r>
    <x v="0"/>
    <x v="12"/>
    <x v="5"/>
    <x v="338"/>
    <x v="284"/>
    <x v="284"/>
    <s v="REVENUS"/>
    <x v="3"/>
    <s v="4002.007"/>
    <s v="Acompte impôt sur fortune"/>
    <n v="0"/>
    <n v="2649.95"/>
    <n v="4002"/>
  </r>
  <r>
    <x v="0"/>
    <x v="12"/>
    <x v="5"/>
    <x v="338"/>
    <x v="284"/>
    <x v="284"/>
    <s v="REVENUS"/>
    <x v="6"/>
    <s v="4211.002"/>
    <s v="Intérêts de retard sur acomptes"/>
    <n v="0"/>
    <n v="1724.73"/>
    <n v="4211"/>
  </r>
  <r>
    <x v="0"/>
    <x v="12"/>
    <x v="5"/>
    <x v="338"/>
    <x v="284"/>
    <x v="284"/>
    <s v="REVENUS"/>
    <x v="6"/>
    <s v="4211.001"/>
    <s v="Intérêts de retard sur factures"/>
    <n v="0"/>
    <n v="180.72"/>
    <n v="4211"/>
  </r>
  <r>
    <x v="0"/>
    <x v="12"/>
    <x v="5"/>
    <x v="338"/>
    <x v="284"/>
    <x v="284"/>
    <s v="REVENUS"/>
    <x v="2"/>
    <s v="4001.001"/>
    <s v="Impôt revenu"/>
    <n v="0"/>
    <n v="9091.4"/>
    <n v="4001"/>
  </r>
  <r>
    <x v="0"/>
    <x v="12"/>
    <x v="5"/>
    <x v="338"/>
    <x v="284"/>
    <x v="284"/>
    <s v="REVENUS"/>
    <x v="7"/>
    <s v="4184.000"/>
    <s v="Frais de poursuite"/>
    <n v="0"/>
    <n v="323.5"/>
    <n v="4184"/>
  </r>
  <r>
    <x v="0"/>
    <x v="12"/>
    <x v="5"/>
    <x v="338"/>
    <x v="284"/>
    <x v="284"/>
    <s v="REVENUS"/>
    <x v="2"/>
    <s v="4001.007"/>
    <s v="Acompte impôt sur revenu"/>
    <n v="0"/>
    <n v="182.1"/>
    <n v="4001"/>
  </r>
  <r>
    <x v="0"/>
    <x v="12"/>
    <x v="5"/>
    <x v="338"/>
    <x v="284"/>
    <x v="284"/>
    <s v="REVENUS"/>
    <x v="2"/>
    <s v="4001.002"/>
    <s v="Impôt complément s/revenu PP"/>
    <n v="0"/>
    <n v="2397.15"/>
    <n v="4001"/>
  </r>
  <r>
    <x v="0"/>
    <x v="12"/>
    <x v="5"/>
    <x v="338"/>
    <x v="284"/>
    <x v="284"/>
    <s v="REVENUS"/>
    <x v="3"/>
    <s v="4002.002"/>
    <s v="Impôt complémentaire s/fortune PP"/>
    <n v="0"/>
    <n v="65.849999999999994"/>
    <n v="4002"/>
  </r>
  <r>
    <x v="0"/>
    <x v="12"/>
    <x v="5"/>
    <x v="338"/>
    <x v="284"/>
    <x v="284"/>
    <s v="REVENUS"/>
    <x v="2"/>
    <s v="4001.007"/>
    <s v="Acompte impôt sur revenu"/>
    <n v="0"/>
    <n v="-1963.51"/>
    <n v="4001"/>
  </r>
  <r>
    <x v="0"/>
    <x v="12"/>
    <x v="5"/>
    <x v="338"/>
    <x v="284"/>
    <x v="284"/>
    <s v="REVENUS"/>
    <x v="10"/>
    <s v="4041.001"/>
    <s v="Droits de mutation"/>
    <n v="0"/>
    <n v="14300"/>
    <n v="4041"/>
  </r>
  <r>
    <x v="0"/>
    <x v="12"/>
    <x v="5"/>
    <x v="338"/>
    <x v="284"/>
    <x v="284"/>
    <s v="REVENUS"/>
    <x v="3"/>
    <s v="4002.007"/>
    <s v="Acompte impôt sur fortune"/>
    <n v="0"/>
    <n v="-3.95"/>
    <n v="4002"/>
  </r>
  <r>
    <x v="0"/>
    <x v="12"/>
    <x v="5"/>
    <x v="338"/>
    <x v="284"/>
    <x v="284"/>
    <s v="REVENUS"/>
    <x v="2"/>
    <s v="4001.003"/>
    <s v="Impôt s/prest. cap. PP"/>
    <n v="0"/>
    <n v="3792.35"/>
    <n v="4001"/>
  </r>
  <r>
    <x v="0"/>
    <x v="12"/>
    <x v="5"/>
    <x v="338"/>
    <x v="284"/>
    <x v="284"/>
    <s v="REVENUS"/>
    <x v="6"/>
    <s v="4221.002"/>
    <s v="Intérêts compensat. sur impôts distincts"/>
    <n v="0"/>
    <n v="0.05"/>
    <n v="4221"/>
  </r>
  <r>
    <x v="0"/>
    <x v="12"/>
    <x v="5"/>
    <x v="338"/>
    <x v="284"/>
    <x v="284"/>
    <s v="REVENUS"/>
    <x v="6"/>
    <s v="4211.002"/>
    <s v="Intérêts de retard sur acomptes"/>
    <n v="0"/>
    <n v="0.03"/>
    <n v="4211"/>
  </r>
  <r>
    <x v="0"/>
    <x v="12"/>
    <x v="5"/>
    <x v="338"/>
    <x v="284"/>
    <x v="284"/>
    <s v="REVENUS"/>
    <x v="6"/>
    <s v="4221.003"/>
    <s v="Intérêts compensat. / acomptes en faveur du fisc"/>
    <n v="0"/>
    <n v="2.73"/>
    <n v="4221"/>
  </r>
  <r>
    <x v="0"/>
    <x v="12"/>
    <x v="5"/>
    <x v="338"/>
    <x v="284"/>
    <x v="284"/>
    <s v="REVENUS"/>
    <x v="2"/>
    <s v="4001.001"/>
    <s v="Impôt revenu"/>
    <n v="0"/>
    <n v="1135.3499999999999"/>
    <n v="4001"/>
  </r>
  <r>
    <x v="0"/>
    <x v="12"/>
    <x v="5"/>
    <x v="338"/>
    <x v="284"/>
    <x v="284"/>
    <s v="REVENUS"/>
    <x v="3"/>
    <s v="4002.001"/>
    <s v="Impôt ordinaire s/fortune PP"/>
    <n v="0"/>
    <n v="118.8"/>
    <n v="4002"/>
  </r>
  <r>
    <x v="0"/>
    <x v="12"/>
    <x v="5"/>
    <x v="338"/>
    <x v="284"/>
    <x v="284"/>
    <s v="REVENUS"/>
    <x v="6"/>
    <s v="4211.002"/>
    <s v="Intérêts de retard sur acomptes"/>
    <n v="0"/>
    <n v="1.76"/>
    <n v="4211"/>
  </r>
  <r>
    <x v="0"/>
    <x v="12"/>
    <x v="5"/>
    <x v="338"/>
    <x v="284"/>
    <x v="284"/>
    <s v="REVENUS"/>
    <x v="6"/>
    <s v="4211.001"/>
    <s v="Intérêts de retard sur factures"/>
    <n v="0"/>
    <n v="0.32"/>
    <n v="4211"/>
  </r>
  <r>
    <x v="0"/>
    <x v="12"/>
    <x v="5"/>
    <x v="338"/>
    <x v="284"/>
    <x v="284"/>
    <s v="REVENUS"/>
    <x v="11"/>
    <s v="4198.000"/>
    <s v="Contributions communales"/>
    <n v="0"/>
    <n v="18818.8"/>
    <n v="4198"/>
  </r>
  <r>
    <x v="0"/>
    <x v="12"/>
    <x v="5"/>
    <x v="338"/>
    <x v="284"/>
    <x v="284"/>
    <s v="REVENUS"/>
    <x v="9"/>
    <s v="4031.001"/>
    <s v="Impôt sur les gains immobiliers"/>
    <n v="0"/>
    <n v="6755.3"/>
    <n v="4031"/>
  </r>
  <r>
    <x v="0"/>
    <x v="12"/>
    <x v="5"/>
    <x v="338"/>
    <x v="284"/>
    <x v="284"/>
    <s v="REVENUS"/>
    <x v="3"/>
    <s v="4002.001"/>
    <s v="Impôt ordinaire s/fortune PP"/>
    <n v="0"/>
    <n v="320.8"/>
    <n v="4002"/>
  </r>
  <r>
    <x v="0"/>
    <x v="12"/>
    <x v="5"/>
    <x v="338"/>
    <x v="284"/>
    <x v="284"/>
    <s v="REVENUS"/>
    <x v="6"/>
    <s v="4211.002"/>
    <s v="Intérêts de retard sur acomptes"/>
    <n v="0"/>
    <n v="0.99"/>
    <n v="4211"/>
  </r>
  <r>
    <x v="0"/>
    <x v="12"/>
    <x v="5"/>
    <x v="338"/>
    <x v="284"/>
    <x v="284"/>
    <s v="REVENUS"/>
    <x v="6"/>
    <s v="4221.003"/>
    <s v="Intérêts compensat. / acomptes en faveur du fisc"/>
    <n v="0"/>
    <n v="0.75"/>
    <n v="4221"/>
  </r>
  <r>
    <x v="0"/>
    <x v="12"/>
    <x v="5"/>
    <x v="338"/>
    <x v="284"/>
    <x v="284"/>
    <s v="REVENUS"/>
    <x v="3"/>
    <s v="4002.002"/>
    <s v="Impôt complémentaire s/fortune PP"/>
    <n v="0"/>
    <n v="49.4"/>
    <n v="4002"/>
  </r>
  <r>
    <x v="0"/>
    <x v="12"/>
    <x v="5"/>
    <x v="339"/>
    <x v="285"/>
    <x v="285"/>
    <s v="CHARGES"/>
    <x v="0"/>
    <s v="3212.004"/>
    <s v="Intérêts rémun./perçu trop tôt sur acomptes C/C"/>
    <n v="3.68"/>
    <n v="0"/>
    <n v="3212"/>
  </r>
  <r>
    <x v="0"/>
    <x v="12"/>
    <x v="5"/>
    <x v="339"/>
    <x v="285"/>
    <x v="285"/>
    <s v="CHARGES"/>
    <x v="0"/>
    <s v="3221.002"/>
    <s v="Intérêts compensatoires / créances en faveur ctb."/>
    <n v="3.94"/>
    <n v="0"/>
    <n v="3221"/>
  </r>
  <r>
    <x v="0"/>
    <x v="12"/>
    <x v="5"/>
    <x v="339"/>
    <x v="285"/>
    <x v="285"/>
    <s v="CHARGES"/>
    <x v="0"/>
    <s v="3212.002"/>
    <s v="Intérêts bonifiés/trop perçu acompte C/C"/>
    <n v="14.46"/>
    <n v="0"/>
    <n v="3212"/>
  </r>
  <r>
    <x v="0"/>
    <x v="12"/>
    <x v="5"/>
    <x v="339"/>
    <x v="285"/>
    <x v="285"/>
    <s v="CHARGES"/>
    <x v="0"/>
    <s v="3212.004"/>
    <s v="Intérêts rémun./perçu trop tôt sur acomptes C/C"/>
    <n v="344.94"/>
    <n v="0"/>
    <n v="3212"/>
  </r>
  <r>
    <x v="0"/>
    <x v="12"/>
    <x v="5"/>
    <x v="339"/>
    <x v="285"/>
    <x v="285"/>
    <s v="CHARGES"/>
    <x v="0"/>
    <s v="3221.002"/>
    <s v="Intérêts compensatoires / créances en faveur ctb."/>
    <n v="177.69"/>
    <n v="0"/>
    <n v="3221"/>
  </r>
  <r>
    <x v="0"/>
    <x v="12"/>
    <x v="5"/>
    <x v="339"/>
    <x v="285"/>
    <x v="285"/>
    <s v="CHARGES"/>
    <x v="1"/>
    <s v="3301.001"/>
    <s v="Défalcations, abandons de solde PP et IS"/>
    <n v="7580.96"/>
    <n v="0"/>
    <n v="3301"/>
  </r>
  <r>
    <x v="0"/>
    <x v="12"/>
    <x v="5"/>
    <x v="339"/>
    <x v="285"/>
    <x v="285"/>
    <s v="CHARGES"/>
    <x v="0"/>
    <s v="3212.004"/>
    <s v="Intérêts rémun./perçu trop tôt sur acomptes C/C"/>
    <n v="0.43"/>
    <n v="0"/>
    <n v="3212"/>
  </r>
  <r>
    <x v="0"/>
    <x v="12"/>
    <x v="5"/>
    <x v="339"/>
    <x v="285"/>
    <x v="285"/>
    <s v="CHARGES"/>
    <x v="0"/>
    <s v="3221.002"/>
    <s v="Intérêts compensatoires / créances en faveur ctb."/>
    <n v="0.02"/>
    <n v="0"/>
    <n v="3221"/>
  </r>
  <r>
    <x v="0"/>
    <x v="12"/>
    <x v="5"/>
    <x v="339"/>
    <x v="285"/>
    <x v="285"/>
    <s v="CHARGES"/>
    <x v="0"/>
    <s v="3221.002"/>
    <s v="Intérêts compensatoires / créances en faveur ctb."/>
    <n v="0.01"/>
    <n v="0"/>
    <n v="3221"/>
  </r>
  <r>
    <x v="0"/>
    <x v="12"/>
    <x v="5"/>
    <x v="339"/>
    <x v="285"/>
    <x v="285"/>
    <s v="CHARGES"/>
    <x v="0"/>
    <s v="3212.002"/>
    <s v="Intérêts bonifiés/trop perçu acompte C/C"/>
    <n v="0.03"/>
    <n v="0"/>
    <n v="3212"/>
  </r>
  <r>
    <x v="0"/>
    <x v="12"/>
    <x v="5"/>
    <x v="339"/>
    <x v="285"/>
    <x v="285"/>
    <s v="CHARGES"/>
    <x v="0"/>
    <s v="3212.004"/>
    <s v="Intérêts rémun./perçu trop tôt sur acomptes C/C"/>
    <n v="0.41"/>
    <n v="0"/>
    <n v="3212"/>
  </r>
  <r>
    <x v="0"/>
    <x v="12"/>
    <x v="5"/>
    <x v="339"/>
    <x v="285"/>
    <x v="285"/>
    <s v="CHARGES"/>
    <x v="0"/>
    <s v="3212.004"/>
    <s v="Intérêts rémun./perçu trop tôt sur acomptes C/C"/>
    <n v="0.01"/>
    <n v="0"/>
    <n v="3212"/>
  </r>
  <r>
    <x v="0"/>
    <x v="12"/>
    <x v="5"/>
    <x v="339"/>
    <x v="285"/>
    <x v="285"/>
    <s v="CHARGES"/>
    <x v="1"/>
    <s v="3301.001"/>
    <s v="Défalcations, abandons de solde PP et IS"/>
    <n v="0.01"/>
    <n v="0"/>
    <n v="3301"/>
  </r>
  <r>
    <x v="0"/>
    <x v="12"/>
    <x v="5"/>
    <x v="339"/>
    <x v="285"/>
    <x v="285"/>
    <s v="CHARGES"/>
    <x v="1"/>
    <s v="3301.001"/>
    <s v="Défalcations, abandons de solde PP et IS"/>
    <n v="0.08"/>
    <n v="0"/>
    <n v="3301"/>
  </r>
  <r>
    <x v="0"/>
    <x v="12"/>
    <x v="5"/>
    <x v="339"/>
    <x v="285"/>
    <x v="285"/>
    <s v="CHARGES"/>
    <x v="1"/>
    <s v="3301.003"/>
    <s v="Remises PP et IS"/>
    <n v="13133.7"/>
    <n v="0"/>
    <n v="3301"/>
  </r>
  <r>
    <x v="0"/>
    <x v="12"/>
    <x v="5"/>
    <x v="339"/>
    <x v="285"/>
    <x v="285"/>
    <s v="REVENUS"/>
    <x v="2"/>
    <s v="4001.007"/>
    <s v="Acompte impôt sur revenu"/>
    <n v="0"/>
    <n v="2309.44"/>
    <n v="4001"/>
  </r>
  <r>
    <x v="0"/>
    <x v="12"/>
    <x v="5"/>
    <x v="339"/>
    <x v="285"/>
    <x v="285"/>
    <s v="REVENUS"/>
    <x v="3"/>
    <s v="4002.001"/>
    <s v="Impôt ordinaire s/fortune PP"/>
    <n v="0"/>
    <n v="2029.15"/>
    <n v="4002"/>
  </r>
  <r>
    <x v="0"/>
    <x v="12"/>
    <x v="5"/>
    <x v="339"/>
    <x v="285"/>
    <x v="285"/>
    <s v="REVENUS"/>
    <x v="3"/>
    <s v="4002.007"/>
    <s v="Acompte impôt sur fortune"/>
    <n v="0"/>
    <n v="-2848.52"/>
    <n v="4002"/>
  </r>
  <r>
    <x v="0"/>
    <x v="12"/>
    <x v="5"/>
    <x v="339"/>
    <x v="285"/>
    <x v="285"/>
    <s v="REVENUS"/>
    <x v="6"/>
    <s v="4211.002"/>
    <s v="Intérêts de retard sur acomptes"/>
    <n v="0"/>
    <n v="1.1299999999999999"/>
    <n v="4211"/>
  </r>
  <r>
    <x v="0"/>
    <x v="12"/>
    <x v="5"/>
    <x v="339"/>
    <x v="285"/>
    <x v="285"/>
    <s v="REVENUS"/>
    <x v="3"/>
    <s v="4002.002"/>
    <s v="Impôt complémentaire s/fortune PP"/>
    <n v="0"/>
    <n v="69.2"/>
    <n v="4002"/>
  </r>
  <r>
    <x v="0"/>
    <x v="12"/>
    <x v="5"/>
    <x v="339"/>
    <x v="285"/>
    <x v="285"/>
    <s v="REVENUS"/>
    <x v="2"/>
    <s v="4001.001"/>
    <s v="Impôt revenu"/>
    <n v="0"/>
    <n v="1424393.05"/>
    <n v="4001"/>
  </r>
  <r>
    <x v="0"/>
    <x v="12"/>
    <x v="5"/>
    <x v="339"/>
    <x v="285"/>
    <x v="285"/>
    <s v="REVENUS"/>
    <x v="2"/>
    <s v="4001.007"/>
    <s v="Acompte impôt sur revenu"/>
    <n v="0"/>
    <n v="-386409.41"/>
    <n v="4001"/>
  </r>
  <r>
    <x v="0"/>
    <x v="12"/>
    <x v="5"/>
    <x v="339"/>
    <x v="285"/>
    <x v="285"/>
    <s v="REVENUS"/>
    <x v="3"/>
    <s v="4002.001"/>
    <s v="Impôt ordinaire s/fortune PP"/>
    <n v="0"/>
    <n v="193232.3"/>
    <n v="4002"/>
  </r>
  <r>
    <x v="0"/>
    <x v="12"/>
    <x v="5"/>
    <x v="339"/>
    <x v="285"/>
    <x v="285"/>
    <s v="REVENUS"/>
    <x v="3"/>
    <s v="4002.007"/>
    <s v="Acompte impôt sur fortune"/>
    <n v="0"/>
    <n v="-84641.99"/>
    <n v="4002"/>
  </r>
  <r>
    <x v="0"/>
    <x v="12"/>
    <x v="5"/>
    <x v="339"/>
    <x v="285"/>
    <x v="285"/>
    <s v="REVENUS"/>
    <x v="3"/>
    <s v="4002.007"/>
    <s v="Acompte impôt sur fortune"/>
    <n v="0"/>
    <n v="-217.8"/>
    <n v="4002"/>
  </r>
  <r>
    <x v="0"/>
    <x v="12"/>
    <x v="5"/>
    <x v="339"/>
    <x v="285"/>
    <x v="285"/>
    <s v="REVENUS"/>
    <x v="3"/>
    <s v="4002.001"/>
    <s v="Impôt ordinaire s/fortune PP"/>
    <n v="0"/>
    <n v="398.15"/>
    <n v="4002"/>
  </r>
  <r>
    <x v="0"/>
    <x v="12"/>
    <x v="5"/>
    <x v="339"/>
    <x v="285"/>
    <x v="285"/>
    <s v="REVENUS"/>
    <x v="6"/>
    <s v="4211.001"/>
    <s v="Intérêts de retard sur factures"/>
    <n v="0"/>
    <n v="3893.48"/>
    <n v="4211"/>
  </r>
  <r>
    <x v="0"/>
    <x v="12"/>
    <x v="5"/>
    <x v="339"/>
    <x v="285"/>
    <x v="285"/>
    <s v="REVENUS"/>
    <x v="6"/>
    <s v="4211.002"/>
    <s v="Intérêts de retard sur acomptes"/>
    <n v="0"/>
    <n v="8922.06"/>
    <n v="4211"/>
  </r>
  <r>
    <x v="0"/>
    <x v="12"/>
    <x v="5"/>
    <x v="339"/>
    <x v="285"/>
    <x v="285"/>
    <s v="REVENUS"/>
    <x v="10"/>
    <s v="4041.001"/>
    <s v="Droits de mutation"/>
    <n v="0"/>
    <n v="41661.050000000003"/>
    <n v="4041"/>
  </r>
  <r>
    <x v="0"/>
    <x v="12"/>
    <x v="5"/>
    <x v="339"/>
    <x v="285"/>
    <x v="285"/>
    <s v="REVENUS"/>
    <x v="6"/>
    <s v="4221.003"/>
    <s v="Intérêts compensat. / acomptes en faveur du fisc"/>
    <n v="0"/>
    <n v="146.18"/>
    <n v="4221"/>
  </r>
  <r>
    <x v="0"/>
    <x v="12"/>
    <x v="5"/>
    <x v="339"/>
    <x v="285"/>
    <x v="285"/>
    <s v="REVENUS"/>
    <x v="2"/>
    <s v="4001.002"/>
    <s v="Impôt complément s/revenu PP"/>
    <n v="0"/>
    <n v="118875.85"/>
    <n v="4001"/>
  </r>
  <r>
    <x v="0"/>
    <x v="12"/>
    <x v="5"/>
    <x v="339"/>
    <x v="285"/>
    <x v="285"/>
    <s v="REVENUS"/>
    <x v="3"/>
    <s v="4002.002"/>
    <s v="Impôt complémentaire s/fortune PP"/>
    <n v="0"/>
    <n v="13583.7"/>
    <n v="4002"/>
  </r>
  <r>
    <x v="0"/>
    <x v="12"/>
    <x v="5"/>
    <x v="339"/>
    <x v="285"/>
    <x v="285"/>
    <s v="REVENUS"/>
    <x v="2"/>
    <s v="4001.007"/>
    <s v="Acompte impôt sur revenu"/>
    <n v="0"/>
    <n v="-110.75"/>
    <n v="4001"/>
  </r>
  <r>
    <x v="0"/>
    <x v="12"/>
    <x v="5"/>
    <x v="339"/>
    <x v="285"/>
    <x v="285"/>
    <s v="REVENUS"/>
    <x v="2"/>
    <s v="4001.003"/>
    <s v="Impôt s/prest. cap. PP"/>
    <n v="0"/>
    <n v="19186.05"/>
    <n v="4001"/>
  </r>
  <r>
    <x v="0"/>
    <x v="12"/>
    <x v="5"/>
    <x v="339"/>
    <x v="285"/>
    <x v="285"/>
    <s v="REVENUS"/>
    <x v="7"/>
    <s v="4184.000"/>
    <s v="Frais de poursuite"/>
    <n v="0"/>
    <n v="1365.47"/>
    <n v="4184"/>
  </r>
  <r>
    <x v="0"/>
    <x v="12"/>
    <x v="5"/>
    <x v="339"/>
    <x v="285"/>
    <x v="285"/>
    <s v="REVENUS"/>
    <x v="3"/>
    <s v="4002.007"/>
    <s v="Acompte impôt sur fortune"/>
    <n v="0"/>
    <n v="91.2"/>
    <n v="4002"/>
  </r>
  <r>
    <x v="0"/>
    <x v="12"/>
    <x v="5"/>
    <x v="339"/>
    <x v="285"/>
    <x v="285"/>
    <s v="REVENUS"/>
    <x v="3"/>
    <s v="4002.007"/>
    <s v="Acompte impôt sur fortune"/>
    <n v="0"/>
    <n v="628.6"/>
    <n v="4002"/>
  </r>
  <r>
    <x v="0"/>
    <x v="12"/>
    <x v="5"/>
    <x v="339"/>
    <x v="285"/>
    <x v="285"/>
    <s v="REVENUS"/>
    <x v="2"/>
    <s v="4001.007"/>
    <s v="Acompte impôt sur revenu"/>
    <n v="0"/>
    <n v="5470.25"/>
    <n v="4001"/>
  </r>
  <r>
    <x v="0"/>
    <x v="12"/>
    <x v="5"/>
    <x v="339"/>
    <x v="285"/>
    <x v="285"/>
    <s v="REVENUS"/>
    <x v="9"/>
    <s v="4031.001"/>
    <s v="Impôt sur les gains immobiliers"/>
    <n v="0"/>
    <n v="30580"/>
    <n v="4031"/>
  </r>
  <r>
    <x v="0"/>
    <x v="12"/>
    <x v="5"/>
    <x v="339"/>
    <x v="285"/>
    <x v="285"/>
    <s v="REVENUS"/>
    <x v="2"/>
    <s v="4001.007"/>
    <s v="Acompte impôt sur revenu"/>
    <n v="0"/>
    <n v="1309.2"/>
    <n v="4001"/>
  </r>
  <r>
    <x v="0"/>
    <x v="12"/>
    <x v="5"/>
    <x v="339"/>
    <x v="285"/>
    <x v="285"/>
    <s v="REVENUS"/>
    <x v="6"/>
    <s v="4221.002"/>
    <s v="Intérêts compensat. sur impôts distincts"/>
    <n v="0"/>
    <n v="5.64"/>
    <n v="4221"/>
  </r>
  <r>
    <x v="0"/>
    <x v="12"/>
    <x v="5"/>
    <x v="339"/>
    <x v="285"/>
    <x v="285"/>
    <s v="REVENUS"/>
    <x v="3"/>
    <s v="4002.007"/>
    <s v="Acompte impôt sur fortune"/>
    <n v="0"/>
    <n v="-44.5"/>
    <n v="4002"/>
  </r>
  <r>
    <x v="0"/>
    <x v="12"/>
    <x v="5"/>
    <x v="339"/>
    <x v="285"/>
    <x v="285"/>
    <s v="REVENUS"/>
    <x v="3"/>
    <s v="4002.002"/>
    <s v="Impôt complémentaire s/fortune PP"/>
    <n v="0"/>
    <n v="240.95"/>
    <n v="4002"/>
  </r>
  <r>
    <x v="0"/>
    <x v="12"/>
    <x v="5"/>
    <x v="339"/>
    <x v="285"/>
    <x v="285"/>
    <s v="REVENUS"/>
    <x v="6"/>
    <s v="4211.001"/>
    <s v="Intérêts de retard sur factures"/>
    <n v="0"/>
    <n v="2.4700000000000002"/>
    <n v="4211"/>
  </r>
  <r>
    <x v="0"/>
    <x v="12"/>
    <x v="5"/>
    <x v="339"/>
    <x v="285"/>
    <x v="285"/>
    <s v="REVENUS"/>
    <x v="2"/>
    <s v="4001.007"/>
    <s v="Acompte impôt sur revenu"/>
    <n v="0"/>
    <n v="-597.6"/>
    <n v="4001"/>
  </r>
  <r>
    <x v="0"/>
    <x v="12"/>
    <x v="5"/>
    <x v="339"/>
    <x v="285"/>
    <x v="285"/>
    <s v="REVENUS"/>
    <x v="3"/>
    <s v="4002.007"/>
    <s v="Acompte impôt sur fortune"/>
    <n v="0"/>
    <n v="-529.1"/>
    <n v="4002"/>
  </r>
  <r>
    <x v="0"/>
    <x v="12"/>
    <x v="5"/>
    <x v="339"/>
    <x v="285"/>
    <x v="285"/>
    <s v="REVENUS"/>
    <x v="2"/>
    <s v="4001.001"/>
    <s v="Impôt revenu"/>
    <n v="0"/>
    <n v="374.9"/>
    <n v="4001"/>
  </r>
  <r>
    <x v="0"/>
    <x v="12"/>
    <x v="5"/>
    <x v="339"/>
    <x v="285"/>
    <x v="285"/>
    <s v="REVENUS"/>
    <x v="3"/>
    <s v="4002.001"/>
    <s v="Impôt ordinaire s/fortune PP"/>
    <n v="0"/>
    <n v="400.6"/>
    <n v="4002"/>
  </r>
  <r>
    <x v="0"/>
    <x v="12"/>
    <x v="5"/>
    <x v="339"/>
    <x v="285"/>
    <x v="285"/>
    <s v="REVENUS"/>
    <x v="2"/>
    <s v="4001.001"/>
    <s v="Impôt revenu"/>
    <n v="0"/>
    <n v="189.65"/>
    <n v="4001"/>
  </r>
  <r>
    <x v="0"/>
    <x v="12"/>
    <x v="5"/>
    <x v="339"/>
    <x v="285"/>
    <x v="285"/>
    <s v="REVENUS"/>
    <x v="3"/>
    <s v="4002.001"/>
    <s v="Impôt ordinaire s/fortune PP"/>
    <n v="0"/>
    <n v="775"/>
    <n v="4002"/>
  </r>
  <r>
    <x v="0"/>
    <x v="12"/>
    <x v="5"/>
    <x v="339"/>
    <x v="285"/>
    <x v="285"/>
    <s v="REVENUS"/>
    <x v="2"/>
    <s v="4001.001"/>
    <s v="Impôt revenu"/>
    <n v="0"/>
    <n v="4551.8500000000004"/>
    <n v="4001"/>
  </r>
  <r>
    <x v="0"/>
    <x v="12"/>
    <x v="5"/>
    <x v="339"/>
    <x v="285"/>
    <x v="285"/>
    <s v="REVENUS"/>
    <x v="6"/>
    <s v="4211.002"/>
    <s v="Intérêts de retard sur acomptes"/>
    <n v="0"/>
    <n v="5.21"/>
    <n v="4211"/>
  </r>
  <r>
    <x v="0"/>
    <x v="12"/>
    <x v="5"/>
    <x v="339"/>
    <x v="285"/>
    <x v="285"/>
    <s v="REVENUS"/>
    <x v="2"/>
    <s v="4001.001"/>
    <s v="Impôt revenu"/>
    <n v="0"/>
    <n v="3947.45"/>
    <n v="4001"/>
  </r>
  <r>
    <x v="0"/>
    <x v="12"/>
    <x v="5"/>
    <x v="339"/>
    <x v="285"/>
    <x v="285"/>
    <s v="REVENUS"/>
    <x v="2"/>
    <s v="4001.002"/>
    <s v="Impôt complément s/revenu PP"/>
    <n v="0"/>
    <n v="49.85"/>
    <n v="4001"/>
  </r>
  <r>
    <x v="0"/>
    <x v="12"/>
    <x v="5"/>
    <x v="339"/>
    <x v="285"/>
    <x v="285"/>
    <s v="REVENUS"/>
    <x v="6"/>
    <s v="4211.002"/>
    <s v="Intérêts de retard sur acomptes"/>
    <n v="0"/>
    <n v="3.8"/>
    <n v="4211"/>
  </r>
  <r>
    <x v="0"/>
    <x v="12"/>
    <x v="5"/>
    <x v="339"/>
    <x v="285"/>
    <x v="285"/>
    <s v="REVENUS"/>
    <x v="6"/>
    <s v="4221.003"/>
    <s v="Intérêts compensat. / acomptes en faveur du fisc"/>
    <n v="0"/>
    <n v="0.49"/>
    <n v="4221"/>
  </r>
  <r>
    <x v="0"/>
    <x v="12"/>
    <x v="5"/>
    <x v="339"/>
    <x v="285"/>
    <x v="285"/>
    <s v="REVENUS"/>
    <x v="8"/>
    <s v="4091.001"/>
    <s v="Impôt récupéré après défalcations"/>
    <n v="0"/>
    <n v="1533.53"/>
    <n v="4091"/>
  </r>
  <r>
    <x v="0"/>
    <x v="12"/>
    <x v="5"/>
    <x v="339"/>
    <x v="285"/>
    <x v="285"/>
    <s v="REVENUS"/>
    <x v="6"/>
    <s v="4211.002"/>
    <s v="Intérêts de retard sur acomptes"/>
    <n v="0"/>
    <n v="0.01"/>
    <n v="4211"/>
  </r>
  <r>
    <x v="0"/>
    <x v="12"/>
    <x v="5"/>
    <x v="339"/>
    <x v="285"/>
    <x v="285"/>
    <s v="REVENUS"/>
    <x v="7"/>
    <s v="4184.000"/>
    <s v="Frais de poursuite"/>
    <n v="0"/>
    <n v="7.11"/>
    <n v="4184"/>
  </r>
  <r>
    <x v="0"/>
    <x v="12"/>
    <x v="5"/>
    <x v="340"/>
    <x v="286"/>
    <x v="286"/>
    <s v="CHARGES"/>
    <x v="1"/>
    <s v="3301.001"/>
    <s v="Défalcations, abandons de solde PP et IS"/>
    <n v="5388.96"/>
    <n v="0"/>
    <n v="3301"/>
  </r>
  <r>
    <x v="0"/>
    <x v="12"/>
    <x v="5"/>
    <x v="340"/>
    <x v="286"/>
    <x v="286"/>
    <s v="CHARGES"/>
    <x v="0"/>
    <s v="3212.004"/>
    <s v="Intérêts rémun./perçu trop tôt sur acomptes C/C"/>
    <n v="86.52"/>
    <n v="0"/>
    <n v="3212"/>
  </r>
  <r>
    <x v="0"/>
    <x v="12"/>
    <x v="5"/>
    <x v="340"/>
    <x v="286"/>
    <x v="286"/>
    <s v="CHARGES"/>
    <x v="0"/>
    <s v="3221.002"/>
    <s v="Intérêts compensatoires / créances en faveur ctb."/>
    <n v="26.12"/>
    <n v="0"/>
    <n v="3221"/>
  </r>
  <r>
    <x v="0"/>
    <x v="12"/>
    <x v="5"/>
    <x v="340"/>
    <x v="286"/>
    <x v="286"/>
    <s v="CHARGES"/>
    <x v="0"/>
    <s v="3212.002"/>
    <s v="Intérêts bonifiés/trop perçu acompte C/C"/>
    <n v="11.43"/>
    <n v="0"/>
    <n v="3212"/>
  </r>
  <r>
    <x v="0"/>
    <x v="12"/>
    <x v="5"/>
    <x v="340"/>
    <x v="286"/>
    <x v="286"/>
    <s v="CHARGES"/>
    <x v="0"/>
    <s v="3212.004"/>
    <s v="Intérêts rémun./perçu trop tôt sur acomptes C/C"/>
    <n v="0.1"/>
    <n v="0"/>
    <n v="3212"/>
  </r>
  <r>
    <x v="0"/>
    <x v="12"/>
    <x v="5"/>
    <x v="340"/>
    <x v="286"/>
    <x v="286"/>
    <s v="CHARGES"/>
    <x v="0"/>
    <s v="3221.002"/>
    <s v="Intérêts compensatoires / créances en faveur ctb."/>
    <n v="0.17"/>
    <n v="0"/>
    <n v="3221"/>
  </r>
  <r>
    <x v="0"/>
    <x v="12"/>
    <x v="5"/>
    <x v="340"/>
    <x v="286"/>
    <x v="286"/>
    <s v="CHARGES"/>
    <x v="0"/>
    <s v="3212.004"/>
    <s v="Intérêts rémun./perçu trop tôt sur acomptes C/C"/>
    <n v="0.4"/>
    <n v="0"/>
    <n v="3212"/>
  </r>
  <r>
    <x v="0"/>
    <x v="12"/>
    <x v="5"/>
    <x v="340"/>
    <x v="286"/>
    <x v="286"/>
    <s v="CHARGES"/>
    <x v="1"/>
    <s v="3301.001"/>
    <s v="Défalcations, abandons de solde PP et IS"/>
    <n v="0.01"/>
    <n v="0"/>
    <n v="3301"/>
  </r>
  <r>
    <x v="0"/>
    <x v="12"/>
    <x v="5"/>
    <x v="340"/>
    <x v="286"/>
    <x v="286"/>
    <s v="CHARGES"/>
    <x v="0"/>
    <s v="3212.004"/>
    <s v="Intérêts rémun./perçu trop tôt sur acomptes C/C"/>
    <n v="2.41"/>
    <n v="0"/>
    <n v="3212"/>
  </r>
  <r>
    <x v="0"/>
    <x v="12"/>
    <x v="5"/>
    <x v="340"/>
    <x v="286"/>
    <x v="286"/>
    <s v="CHARGES"/>
    <x v="1"/>
    <s v="3301.001"/>
    <s v="Défalcations, abandons de solde PP et IS"/>
    <n v="3808.56"/>
    <n v="0"/>
    <n v="3301"/>
  </r>
  <r>
    <x v="0"/>
    <x v="12"/>
    <x v="5"/>
    <x v="340"/>
    <x v="286"/>
    <x v="286"/>
    <s v="CHARGES"/>
    <x v="0"/>
    <s v="3221.002"/>
    <s v="Intérêts compensatoires / créances en faveur ctb."/>
    <n v="0.99"/>
    <n v="0"/>
    <n v="3221"/>
  </r>
  <r>
    <x v="0"/>
    <x v="12"/>
    <x v="5"/>
    <x v="340"/>
    <x v="286"/>
    <x v="286"/>
    <s v="REVENUS"/>
    <x v="3"/>
    <s v="4002.007"/>
    <s v="Acompte impôt sur fortune"/>
    <n v="0"/>
    <n v="-61373.24"/>
    <n v="4002"/>
  </r>
  <r>
    <x v="0"/>
    <x v="12"/>
    <x v="5"/>
    <x v="340"/>
    <x v="286"/>
    <x v="286"/>
    <s v="REVENUS"/>
    <x v="2"/>
    <s v="4001.001"/>
    <s v="Impôt revenu"/>
    <n v="0"/>
    <n v="617704.94999999995"/>
    <n v="4001"/>
  </r>
  <r>
    <x v="0"/>
    <x v="12"/>
    <x v="5"/>
    <x v="340"/>
    <x v="286"/>
    <x v="286"/>
    <s v="REVENUS"/>
    <x v="2"/>
    <s v="4001.007"/>
    <s v="Acompte impôt sur revenu"/>
    <n v="0"/>
    <n v="-38398.39"/>
    <n v="4001"/>
  </r>
  <r>
    <x v="0"/>
    <x v="12"/>
    <x v="5"/>
    <x v="340"/>
    <x v="286"/>
    <x v="286"/>
    <s v="REVENUS"/>
    <x v="3"/>
    <s v="4002.001"/>
    <s v="Impôt ordinaire s/fortune PP"/>
    <n v="0"/>
    <n v="81926.149999999994"/>
    <n v="4002"/>
  </r>
  <r>
    <x v="0"/>
    <x v="12"/>
    <x v="5"/>
    <x v="340"/>
    <x v="286"/>
    <x v="286"/>
    <s v="REVENUS"/>
    <x v="6"/>
    <s v="4211.001"/>
    <s v="Intérêts de retard sur factures"/>
    <n v="0"/>
    <n v="3729.94"/>
    <n v="4211"/>
  </r>
  <r>
    <x v="0"/>
    <x v="12"/>
    <x v="5"/>
    <x v="340"/>
    <x v="286"/>
    <x v="286"/>
    <s v="REVENUS"/>
    <x v="2"/>
    <s v="4001.002"/>
    <s v="Impôt complément s/revenu PP"/>
    <n v="0"/>
    <n v="55028.15"/>
    <n v="4001"/>
  </r>
  <r>
    <x v="0"/>
    <x v="12"/>
    <x v="5"/>
    <x v="340"/>
    <x v="286"/>
    <x v="286"/>
    <s v="REVENUS"/>
    <x v="3"/>
    <s v="4002.002"/>
    <s v="Impôt complémentaire s/fortune PP"/>
    <n v="0"/>
    <n v="12378.45"/>
    <n v="4002"/>
  </r>
  <r>
    <x v="0"/>
    <x v="12"/>
    <x v="5"/>
    <x v="340"/>
    <x v="286"/>
    <x v="286"/>
    <s v="REVENUS"/>
    <x v="6"/>
    <s v="4211.002"/>
    <s v="Intérêts de retard sur acomptes"/>
    <n v="0"/>
    <n v="8863.51"/>
    <n v="4211"/>
  </r>
  <r>
    <x v="0"/>
    <x v="12"/>
    <x v="5"/>
    <x v="340"/>
    <x v="286"/>
    <x v="286"/>
    <s v="REVENUS"/>
    <x v="6"/>
    <s v="4221.003"/>
    <s v="Intérêts compensat. / acomptes en faveur du fisc"/>
    <n v="0"/>
    <n v="87.64"/>
    <n v="4221"/>
  </r>
  <r>
    <x v="0"/>
    <x v="12"/>
    <x v="5"/>
    <x v="340"/>
    <x v="286"/>
    <x v="286"/>
    <s v="REVENUS"/>
    <x v="2"/>
    <s v="4001.003"/>
    <s v="Impôt s/prest. cap. PP"/>
    <n v="0"/>
    <n v="18439.75"/>
    <n v="4001"/>
  </r>
  <r>
    <x v="0"/>
    <x v="12"/>
    <x v="5"/>
    <x v="340"/>
    <x v="286"/>
    <x v="286"/>
    <s v="REVENUS"/>
    <x v="7"/>
    <s v="4184.000"/>
    <s v="Frais de poursuite"/>
    <n v="0"/>
    <n v="1023.52"/>
    <n v="4184"/>
  </r>
  <r>
    <x v="0"/>
    <x v="12"/>
    <x v="5"/>
    <x v="340"/>
    <x v="286"/>
    <x v="286"/>
    <s v="REVENUS"/>
    <x v="3"/>
    <s v="4002.007"/>
    <s v="Acompte impôt sur fortune"/>
    <n v="0"/>
    <n v="164.1"/>
    <n v="4002"/>
  </r>
  <r>
    <x v="0"/>
    <x v="12"/>
    <x v="5"/>
    <x v="340"/>
    <x v="286"/>
    <x v="286"/>
    <s v="REVENUS"/>
    <x v="2"/>
    <s v="4001.007"/>
    <s v="Acompte impôt sur revenu"/>
    <n v="0"/>
    <n v="781.7"/>
    <n v="4001"/>
  </r>
  <r>
    <x v="0"/>
    <x v="12"/>
    <x v="5"/>
    <x v="340"/>
    <x v="286"/>
    <x v="286"/>
    <s v="REVENUS"/>
    <x v="3"/>
    <s v="4002.007"/>
    <s v="Acompte impôt sur fortune"/>
    <n v="0"/>
    <n v="28.85"/>
    <n v="4002"/>
  </r>
  <r>
    <x v="0"/>
    <x v="12"/>
    <x v="5"/>
    <x v="340"/>
    <x v="286"/>
    <x v="286"/>
    <s v="REVENUS"/>
    <x v="3"/>
    <s v="4002.007"/>
    <s v="Acompte impôt sur fortune"/>
    <n v="0"/>
    <n v="-526.85"/>
    <n v="4002"/>
  </r>
  <r>
    <x v="0"/>
    <x v="12"/>
    <x v="5"/>
    <x v="340"/>
    <x v="286"/>
    <x v="286"/>
    <s v="REVENUS"/>
    <x v="10"/>
    <s v="4041.001"/>
    <s v="Droits de mutation"/>
    <n v="0"/>
    <n v="30871.5"/>
    <n v="4041"/>
  </r>
  <r>
    <x v="0"/>
    <x v="12"/>
    <x v="5"/>
    <x v="340"/>
    <x v="286"/>
    <x v="286"/>
    <s v="REVENUS"/>
    <x v="3"/>
    <s v="4002.001"/>
    <s v="Impôt ordinaire s/fortune PP"/>
    <n v="0"/>
    <n v="735.45"/>
    <n v="4002"/>
  </r>
  <r>
    <x v="0"/>
    <x v="12"/>
    <x v="5"/>
    <x v="340"/>
    <x v="286"/>
    <x v="286"/>
    <s v="REVENUS"/>
    <x v="3"/>
    <s v="4002.001"/>
    <s v="Impôt ordinaire s/fortune PP"/>
    <n v="0"/>
    <n v="749.75"/>
    <n v="4002"/>
  </r>
  <r>
    <x v="0"/>
    <x v="12"/>
    <x v="5"/>
    <x v="340"/>
    <x v="286"/>
    <x v="286"/>
    <s v="REVENUS"/>
    <x v="2"/>
    <s v="4001.001"/>
    <s v="Impôt revenu"/>
    <n v="0"/>
    <n v="201.95"/>
    <n v="4001"/>
  </r>
  <r>
    <x v="0"/>
    <x v="12"/>
    <x v="5"/>
    <x v="340"/>
    <x v="286"/>
    <x v="286"/>
    <s v="REVENUS"/>
    <x v="6"/>
    <s v="4221.003"/>
    <s v="Intérêts compensat. / acomptes en faveur du fisc"/>
    <n v="0"/>
    <n v="0.01"/>
    <n v="4221"/>
  </r>
  <r>
    <x v="0"/>
    <x v="12"/>
    <x v="5"/>
    <x v="340"/>
    <x v="286"/>
    <x v="286"/>
    <s v="REVENUS"/>
    <x v="2"/>
    <s v="4001.007"/>
    <s v="Acompte impôt sur revenu"/>
    <n v="0"/>
    <n v="-468.05"/>
    <n v="4001"/>
  </r>
  <r>
    <x v="0"/>
    <x v="12"/>
    <x v="5"/>
    <x v="340"/>
    <x v="286"/>
    <x v="286"/>
    <s v="REVENUS"/>
    <x v="3"/>
    <s v="4002.007"/>
    <s v="Acompte impôt sur fortune"/>
    <n v="0"/>
    <n v="-480.35"/>
    <n v="4002"/>
  </r>
  <r>
    <x v="0"/>
    <x v="12"/>
    <x v="5"/>
    <x v="340"/>
    <x v="286"/>
    <x v="286"/>
    <s v="REVENUS"/>
    <x v="3"/>
    <s v="4002.001"/>
    <s v="Impôt ordinaire s/fortune PP"/>
    <n v="0"/>
    <n v="442.1"/>
    <n v="4002"/>
  </r>
  <r>
    <x v="0"/>
    <x v="12"/>
    <x v="5"/>
    <x v="340"/>
    <x v="286"/>
    <x v="286"/>
    <s v="REVENUS"/>
    <x v="6"/>
    <s v="4221.002"/>
    <s v="Intérêts compensat. sur impôts distincts"/>
    <n v="0"/>
    <n v="3.8"/>
    <n v="4221"/>
  </r>
  <r>
    <x v="0"/>
    <x v="12"/>
    <x v="5"/>
    <x v="340"/>
    <x v="286"/>
    <x v="286"/>
    <s v="REVENUS"/>
    <x v="9"/>
    <s v="4031.001"/>
    <s v="Impôt sur les gains immobiliers"/>
    <n v="0"/>
    <n v="14806.6"/>
    <n v="4031"/>
  </r>
  <r>
    <x v="0"/>
    <x v="12"/>
    <x v="5"/>
    <x v="340"/>
    <x v="286"/>
    <x v="286"/>
    <s v="REVENUS"/>
    <x v="2"/>
    <s v="4001.007"/>
    <s v="Acompte impôt sur revenu"/>
    <n v="0"/>
    <n v="-2849.2"/>
    <n v="4001"/>
  </r>
  <r>
    <x v="0"/>
    <x v="12"/>
    <x v="5"/>
    <x v="340"/>
    <x v="286"/>
    <x v="286"/>
    <s v="REVENUS"/>
    <x v="2"/>
    <s v="4001.001"/>
    <s v="Impôt revenu"/>
    <n v="0"/>
    <n v="4015.35"/>
    <n v="4001"/>
  </r>
  <r>
    <x v="0"/>
    <x v="12"/>
    <x v="5"/>
    <x v="340"/>
    <x v="286"/>
    <x v="286"/>
    <s v="REVENUS"/>
    <x v="6"/>
    <s v="4221.003"/>
    <s v="Intérêts compensat. / acomptes en faveur du fisc"/>
    <n v="0"/>
    <n v="0.27"/>
    <n v="4221"/>
  </r>
  <r>
    <x v="0"/>
    <x v="12"/>
    <x v="5"/>
    <x v="340"/>
    <x v="286"/>
    <x v="286"/>
    <s v="REVENUS"/>
    <x v="11"/>
    <s v="4198.000"/>
    <s v="Contributions communales"/>
    <n v="0"/>
    <n v="37993.550000000003"/>
    <n v="4198"/>
  </r>
  <r>
    <x v="0"/>
    <x v="12"/>
    <x v="5"/>
    <x v="341"/>
    <x v="213"/>
    <x v="213"/>
    <s v="CHARGES"/>
    <x v="1"/>
    <s v="3301.001"/>
    <s v="Défalcations, abandons de solde PP et IS"/>
    <n v="2365.12"/>
    <n v="0"/>
    <n v="3301"/>
  </r>
  <r>
    <x v="0"/>
    <x v="12"/>
    <x v="5"/>
    <x v="341"/>
    <x v="213"/>
    <x v="213"/>
    <s v="REVENUS"/>
    <x v="2"/>
    <s v="4001.007"/>
    <s v="Acompte impôt sur revenu"/>
    <n v="0"/>
    <n v="-683.6"/>
    <n v="4001"/>
  </r>
  <r>
    <x v="0"/>
    <x v="12"/>
    <x v="5"/>
    <x v="342"/>
    <x v="278"/>
    <x v="278"/>
    <s v="CHARGES"/>
    <x v="0"/>
    <s v="3212.002"/>
    <s v="Intérêts bonifiés/trop perçu acompte C/C"/>
    <n v="-0.6"/>
    <n v="0"/>
    <n v="3212"/>
  </r>
  <r>
    <x v="0"/>
    <x v="12"/>
    <x v="5"/>
    <x v="342"/>
    <x v="278"/>
    <x v="278"/>
    <s v="CHARGES"/>
    <x v="0"/>
    <s v="3212.004"/>
    <s v="Intérêts rémun./perçu trop tôt sur acomptes C/C"/>
    <n v="-2.0099999999999998"/>
    <n v="0"/>
    <n v="3212"/>
  </r>
  <r>
    <x v="0"/>
    <x v="12"/>
    <x v="5"/>
    <x v="342"/>
    <x v="278"/>
    <x v="278"/>
    <s v="CHARGES"/>
    <x v="0"/>
    <s v="3221.002"/>
    <s v="Intérêts compensatoires / créances en faveur ctb."/>
    <n v="-0.26"/>
    <n v="0"/>
    <n v="3221"/>
  </r>
  <r>
    <x v="0"/>
    <x v="12"/>
    <x v="5"/>
    <x v="342"/>
    <x v="278"/>
    <x v="278"/>
    <s v="CHARGES"/>
    <x v="1"/>
    <s v="3301.001"/>
    <s v="Défalcations, abandons de solde PP et IS"/>
    <n v="0.35"/>
    <n v="0"/>
    <n v="3301"/>
  </r>
  <r>
    <x v="0"/>
    <x v="12"/>
    <x v="5"/>
    <x v="342"/>
    <x v="278"/>
    <x v="278"/>
    <s v="REVENUS"/>
    <x v="2"/>
    <s v="4001.001"/>
    <s v="Impôt revenu"/>
    <n v="0"/>
    <n v="-13845.05"/>
    <n v="4001"/>
  </r>
  <r>
    <x v="0"/>
    <x v="12"/>
    <x v="5"/>
    <x v="342"/>
    <x v="278"/>
    <x v="278"/>
    <s v="REVENUS"/>
    <x v="2"/>
    <s v="4001.002"/>
    <s v="Impôt complément s/revenu PP"/>
    <n v="0"/>
    <n v="14169.55"/>
    <n v="4001"/>
  </r>
  <r>
    <x v="0"/>
    <x v="12"/>
    <x v="5"/>
    <x v="342"/>
    <x v="278"/>
    <x v="278"/>
    <s v="REVENUS"/>
    <x v="6"/>
    <s v="4211.001"/>
    <s v="Intérêts de retard sur factures"/>
    <n v="0"/>
    <n v="99.43"/>
    <n v="4211"/>
  </r>
  <r>
    <x v="0"/>
    <x v="12"/>
    <x v="5"/>
    <x v="342"/>
    <x v="278"/>
    <x v="278"/>
    <s v="REVENUS"/>
    <x v="6"/>
    <s v="4211.002"/>
    <s v="Intérêts de retard sur acomptes"/>
    <n v="0"/>
    <n v="0.02"/>
    <n v="4211"/>
  </r>
  <r>
    <x v="0"/>
    <x v="12"/>
    <x v="5"/>
    <x v="342"/>
    <x v="278"/>
    <x v="278"/>
    <s v="REVENUS"/>
    <x v="6"/>
    <s v="4221.003"/>
    <s v="Intérêts compensat. / acomptes en faveur du fisc"/>
    <n v="0"/>
    <n v="0.35"/>
    <n v="4221"/>
  </r>
  <r>
    <x v="0"/>
    <x v="12"/>
    <x v="5"/>
    <x v="342"/>
    <x v="278"/>
    <x v="278"/>
    <s v="REVENUS"/>
    <x v="2"/>
    <s v="4001.003"/>
    <s v="Impôt s/prest. cap. PP"/>
    <n v="0"/>
    <n v="-104046.3"/>
    <n v="4001"/>
  </r>
  <r>
    <x v="0"/>
    <x v="12"/>
    <x v="5"/>
    <x v="342"/>
    <x v="278"/>
    <x v="278"/>
    <s v="REVENUS"/>
    <x v="6"/>
    <s v="4221.002"/>
    <s v="Intérêts compensat. sur impôts distincts"/>
    <n v="0"/>
    <n v="-200.06"/>
    <n v="4221"/>
  </r>
  <r>
    <x v="0"/>
    <x v="12"/>
    <x v="5"/>
    <x v="343"/>
    <x v="287"/>
    <x v="287"/>
    <s v="CHARGES"/>
    <x v="0"/>
    <s v="3212.004"/>
    <s v="Intérêts rémun./perçu trop tôt sur acomptes C/C"/>
    <n v="193.74"/>
    <n v="0"/>
    <n v="3212"/>
  </r>
  <r>
    <x v="0"/>
    <x v="12"/>
    <x v="5"/>
    <x v="343"/>
    <x v="287"/>
    <x v="287"/>
    <s v="CHARGES"/>
    <x v="0"/>
    <s v="3221.002"/>
    <s v="Intérêts compensatoires / créances en faveur ctb."/>
    <n v="82.28"/>
    <n v="0"/>
    <n v="3221"/>
  </r>
  <r>
    <x v="0"/>
    <x v="12"/>
    <x v="5"/>
    <x v="343"/>
    <x v="287"/>
    <x v="287"/>
    <s v="CHARGES"/>
    <x v="1"/>
    <s v="3301.001"/>
    <s v="Défalcations, abandons de solde PP et IS"/>
    <n v="21828.21"/>
    <n v="0"/>
    <n v="3301"/>
  </r>
  <r>
    <x v="0"/>
    <x v="12"/>
    <x v="5"/>
    <x v="343"/>
    <x v="287"/>
    <x v="287"/>
    <s v="CHARGES"/>
    <x v="0"/>
    <s v="3221.002"/>
    <s v="Intérêts compensatoires / créances en faveur ctb."/>
    <n v="5.07"/>
    <n v="0"/>
    <n v="3221"/>
  </r>
  <r>
    <x v="0"/>
    <x v="12"/>
    <x v="5"/>
    <x v="343"/>
    <x v="287"/>
    <x v="287"/>
    <s v="CHARGES"/>
    <x v="1"/>
    <s v="3301.001"/>
    <s v="Défalcations, abandons de solde PP et IS"/>
    <n v="364.54"/>
    <n v="0"/>
    <n v="3301"/>
  </r>
  <r>
    <x v="0"/>
    <x v="12"/>
    <x v="5"/>
    <x v="343"/>
    <x v="287"/>
    <x v="287"/>
    <s v="CHARGES"/>
    <x v="0"/>
    <s v="3221.002"/>
    <s v="Intérêts compensatoires / créances en faveur ctb."/>
    <n v="0.01"/>
    <n v="0"/>
    <n v="3221"/>
  </r>
  <r>
    <x v="0"/>
    <x v="12"/>
    <x v="5"/>
    <x v="343"/>
    <x v="287"/>
    <x v="287"/>
    <s v="CHARGES"/>
    <x v="1"/>
    <s v="3301.001"/>
    <s v="Défalcations, abandons de solde PP et IS"/>
    <n v="0.02"/>
    <n v="0"/>
    <n v="3301"/>
  </r>
  <r>
    <x v="0"/>
    <x v="12"/>
    <x v="5"/>
    <x v="343"/>
    <x v="287"/>
    <x v="287"/>
    <s v="CHARGES"/>
    <x v="0"/>
    <s v="3212.004"/>
    <s v="Intérêts rémun./perçu trop tôt sur acomptes C/C"/>
    <n v="5.36"/>
    <n v="0"/>
    <n v="3212"/>
  </r>
  <r>
    <x v="0"/>
    <x v="12"/>
    <x v="5"/>
    <x v="343"/>
    <x v="287"/>
    <x v="287"/>
    <s v="CHARGES"/>
    <x v="0"/>
    <s v="3212.002"/>
    <s v="Intérêts bonifiés/trop perçu acompte C/C"/>
    <n v="2.75"/>
    <n v="0"/>
    <n v="3212"/>
  </r>
  <r>
    <x v="0"/>
    <x v="12"/>
    <x v="5"/>
    <x v="343"/>
    <x v="287"/>
    <x v="287"/>
    <s v="CHARGES"/>
    <x v="1"/>
    <s v="3301.001"/>
    <s v="Défalcations, abandons de solde PP et IS"/>
    <n v="0.05"/>
    <n v="0"/>
    <n v="3301"/>
  </r>
  <r>
    <x v="0"/>
    <x v="12"/>
    <x v="5"/>
    <x v="343"/>
    <x v="287"/>
    <x v="287"/>
    <s v="CHARGES"/>
    <x v="0"/>
    <s v="3212.004"/>
    <s v="Intérêts rémun./perçu trop tôt sur acomptes C/C"/>
    <n v="0.1"/>
    <n v="0"/>
    <n v="3212"/>
  </r>
  <r>
    <x v="0"/>
    <x v="12"/>
    <x v="5"/>
    <x v="343"/>
    <x v="287"/>
    <x v="287"/>
    <s v="CHARGES"/>
    <x v="0"/>
    <s v="3221.002"/>
    <s v="Intérêts compensatoires / créances en faveur ctb."/>
    <n v="0.09"/>
    <n v="0"/>
    <n v="3221"/>
  </r>
  <r>
    <x v="0"/>
    <x v="12"/>
    <x v="5"/>
    <x v="343"/>
    <x v="287"/>
    <x v="287"/>
    <s v="CHARGES"/>
    <x v="0"/>
    <s v="3212.004"/>
    <s v="Intérêts rémun./perçu trop tôt sur acomptes C/C"/>
    <n v="0.67"/>
    <n v="0"/>
    <n v="3212"/>
  </r>
  <r>
    <x v="0"/>
    <x v="12"/>
    <x v="5"/>
    <x v="343"/>
    <x v="287"/>
    <x v="287"/>
    <s v="CHARGES"/>
    <x v="1"/>
    <s v="3301.001"/>
    <s v="Défalcations, abandons de solde PP et IS"/>
    <n v="0.04"/>
    <n v="0"/>
    <n v="3301"/>
  </r>
  <r>
    <x v="0"/>
    <x v="12"/>
    <x v="5"/>
    <x v="343"/>
    <x v="287"/>
    <x v="287"/>
    <s v="REVENUS"/>
    <x v="2"/>
    <s v="4001.001"/>
    <s v="Impôt revenu"/>
    <n v="0"/>
    <n v="1060712.8"/>
    <n v="4001"/>
  </r>
  <r>
    <x v="0"/>
    <x v="12"/>
    <x v="5"/>
    <x v="343"/>
    <x v="287"/>
    <x v="287"/>
    <s v="REVENUS"/>
    <x v="2"/>
    <s v="4001.007"/>
    <s v="Acompte impôt sur revenu"/>
    <n v="0"/>
    <n v="-151036.26999999999"/>
    <n v="4001"/>
  </r>
  <r>
    <x v="0"/>
    <x v="12"/>
    <x v="5"/>
    <x v="343"/>
    <x v="287"/>
    <x v="287"/>
    <s v="REVENUS"/>
    <x v="3"/>
    <s v="4002.001"/>
    <s v="Impôt ordinaire s/fortune PP"/>
    <n v="0"/>
    <n v="254246.3"/>
    <n v="4002"/>
  </r>
  <r>
    <x v="0"/>
    <x v="12"/>
    <x v="5"/>
    <x v="343"/>
    <x v="287"/>
    <x v="287"/>
    <s v="REVENUS"/>
    <x v="3"/>
    <s v="4002.007"/>
    <s v="Acompte impôt sur fortune"/>
    <n v="0"/>
    <n v="-397.83"/>
    <n v="4002"/>
  </r>
  <r>
    <x v="0"/>
    <x v="12"/>
    <x v="5"/>
    <x v="343"/>
    <x v="287"/>
    <x v="287"/>
    <s v="REVENUS"/>
    <x v="6"/>
    <s v="4211.001"/>
    <s v="Intérêts de retard sur factures"/>
    <n v="0"/>
    <n v="3722.17"/>
    <n v="4211"/>
  </r>
  <r>
    <x v="0"/>
    <x v="12"/>
    <x v="5"/>
    <x v="343"/>
    <x v="287"/>
    <x v="287"/>
    <s v="REVENUS"/>
    <x v="6"/>
    <s v="4221.003"/>
    <s v="Intérêts compensat. / acomptes en faveur du fisc"/>
    <n v="0"/>
    <n v="380.4"/>
    <n v="4221"/>
  </r>
  <r>
    <x v="0"/>
    <x v="12"/>
    <x v="5"/>
    <x v="343"/>
    <x v="287"/>
    <x v="287"/>
    <s v="REVENUS"/>
    <x v="6"/>
    <s v="4211.002"/>
    <s v="Intérêts de retard sur acomptes"/>
    <n v="0"/>
    <n v="8229.7000000000007"/>
    <n v="4211"/>
  </r>
  <r>
    <x v="0"/>
    <x v="12"/>
    <x v="5"/>
    <x v="343"/>
    <x v="287"/>
    <x v="287"/>
    <s v="REVENUS"/>
    <x v="2"/>
    <s v="4001.003"/>
    <s v="Impôt s/prest. cap. PP"/>
    <n v="0"/>
    <n v="53273.8"/>
    <n v="4001"/>
  </r>
  <r>
    <x v="0"/>
    <x v="12"/>
    <x v="5"/>
    <x v="343"/>
    <x v="287"/>
    <x v="287"/>
    <s v="REVENUS"/>
    <x v="7"/>
    <s v="4184.000"/>
    <s v="Frais de poursuite"/>
    <n v="0"/>
    <n v="1250.3900000000001"/>
    <n v="4184"/>
  </r>
  <r>
    <x v="0"/>
    <x v="12"/>
    <x v="5"/>
    <x v="343"/>
    <x v="287"/>
    <x v="287"/>
    <s v="REVENUS"/>
    <x v="3"/>
    <s v="4002.002"/>
    <s v="Impôt complémentaire s/fortune PP"/>
    <n v="0"/>
    <n v="4929.1000000000004"/>
    <n v="4002"/>
  </r>
  <r>
    <x v="0"/>
    <x v="12"/>
    <x v="5"/>
    <x v="343"/>
    <x v="287"/>
    <x v="287"/>
    <s v="REVENUS"/>
    <x v="2"/>
    <s v="4001.007"/>
    <s v="Acompte impôt sur revenu"/>
    <n v="0"/>
    <n v="-4714.28"/>
    <n v="4001"/>
  </r>
  <r>
    <x v="0"/>
    <x v="12"/>
    <x v="5"/>
    <x v="343"/>
    <x v="287"/>
    <x v="287"/>
    <s v="REVENUS"/>
    <x v="3"/>
    <s v="4002.007"/>
    <s v="Acompte impôt sur fortune"/>
    <n v="0"/>
    <n v="30"/>
    <n v="4002"/>
  </r>
  <r>
    <x v="0"/>
    <x v="12"/>
    <x v="5"/>
    <x v="343"/>
    <x v="287"/>
    <x v="287"/>
    <s v="REVENUS"/>
    <x v="3"/>
    <s v="4002.007"/>
    <s v="Acompte impôt sur fortune"/>
    <n v="0"/>
    <n v="-1441.55"/>
    <n v="4002"/>
  </r>
  <r>
    <x v="0"/>
    <x v="12"/>
    <x v="5"/>
    <x v="343"/>
    <x v="287"/>
    <x v="287"/>
    <s v="REVENUS"/>
    <x v="2"/>
    <s v="4001.007"/>
    <s v="Acompte impôt sur revenu"/>
    <n v="0"/>
    <n v="43.25"/>
    <n v="4001"/>
  </r>
  <r>
    <x v="0"/>
    <x v="12"/>
    <x v="5"/>
    <x v="343"/>
    <x v="287"/>
    <x v="287"/>
    <s v="REVENUS"/>
    <x v="9"/>
    <s v="4031.001"/>
    <s v="Impôt sur les gains immobiliers"/>
    <n v="0"/>
    <n v="55582.5"/>
    <n v="4031"/>
  </r>
  <r>
    <x v="0"/>
    <x v="12"/>
    <x v="5"/>
    <x v="343"/>
    <x v="287"/>
    <x v="287"/>
    <s v="REVENUS"/>
    <x v="2"/>
    <s v="4001.001"/>
    <s v="Impôt revenu"/>
    <n v="0"/>
    <n v="21478.7"/>
    <n v="4001"/>
  </r>
  <r>
    <x v="0"/>
    <x v="12"/>
    <x v="5"/>
    <x v="343"/>
    <x v="287"/>
    <x v="287"/>
    <s v="REVENUS"/>
    <x v="3"/>
    <s v="4002.007"/>
    <s v="Acompte impôt sur fortune"/>
    <n v="0"/>
    <n v="-16.75"/>
    <n v="4002"/>
  </r>
  <r>
    <x v="0"/>
    <x v="12"/>
    <x v="5"/>
    <x v="343"/>
    <x v="287"/>
    <x v="287"/>
    <s v="REVENUS"/>
    <x v="2"/>
    <s v="4001.007"/>
    <s v="Acompte impôt sur revenu"/>
    <n v="0"/>
    <n v="-9215.94"/>
    <n v="4001"/>
  </r>
  <r>
    <x v="0"/>
    <x v="12"/>
    <x v="5"/>
    <x v="343"/>
    <x v="287"/>
    <x v="287"/>
    <s v="REVENUS"/>
    <x v="10"/>
    <s v="4041.001"/>
    <s v="Droits de mutation"/>
    <n v="0"/>
    <n v="92174.85"/>
    <n v="4041"/>
  </r>
  <r>
    <x v="0"/>
    <x v="12"/>
    <x v="5"/>
    <x v="343"/>
    <x v="287"/>
    <x v="287"/>
    <s v="REVENUS"/>
    <x v="3"/>
    <s v="4002.001"/>
    <s v="Impôt ordinaire s/fortune PP"/>
    <n v="0"/>
    <n v="11808.25"/>
    <n v="4002"/>
  </r>
  <r>
    <x v="0"/>
    <x v="12"/>
    <x v="5"/>
    <x v="343"/>
    <x v="287"/>
    <x v="287"/>
    <s v="REVENUS"/>
    <x v="6"/>
    <s v="4211.002"/>
    <s v="Intérêts de retard sur acomptes"/>
    <n v="0"/>
    <n v="52.65"/>
    <n v="4211"/>
  </r>
  <r>
    <x v="0"/>
    <x v="12"/>
    <x v="5"/>
    <x v="343"/>
    <x v="287"/>
    <x v="287"/>
    <s v="REVENUS"/>
    <x v="3"/>
    <s v="4002.007"/>
    <s v="Acompte impôt sur fortune"/>
    <n v="0"/>
    <n v="-2737.93"/>
    <n v="4002"/>
  </r>
  <r>
    <x v="0"/>
    <x v="12"/>
    <x v="5"/>
    <x v="343"/>
    <x v="287"/>
    <x v="287"/>
    <s v="REVENUS"/>
    <x v="7"/>
    <s v="4184.000"/>
    <s v="Frais de poursuite"/>
    <n v="0"/>
    <n v="63.29"/>
    <n v="4184"/>
  </r>
  <r>
    <x v="0"/>
    <x v="12"/>
    <x v="5"/>
    <x v="343"/>
    <x v="287"/>
    <x v="287"/>
    <s v="REVENUS"/>
    <x v="2"/>
    <s v="4001.002"/>
    <s v="Impôt complément s/revenu PP"/>
    <n v="0"/>
    <n v="114717.5"/>
    <n v="4001"/>
  </r>
  <r>
    <x v="0"/>
    <x v="12"/>
    <x v="5"/>
    <x v="343"/>
    <x v="287"/>
    <x v="287"/>
    <s v="REVENUS"/>
    <x v="4"/>
    <s v="4051.002"/>
    <s v="Impôt sur les donations"/>
    <n v="0"/>
    <n v="1340.6"/>
    <n v="4051"/>
  </r>
  <r>
    <x v="0"/>
    <x v="12"/>
    <x v="5"/>
    <x v="343"/>
    <x v="287"/>
    <x v="287"/>
    <s v="REVENUS"/>
    <x v="6"/>
    <s v="4221.002"/>
    <s v="Intérêts compensat. sur impôts distincts"/>
    <n v="0"/>
    <n v="16.809999999999999"/>
    <n v="4221"/>
  </r>
  <r>
    <x v="0"/>
    <x v="12"/>
    <x v="5"/>
    <x v="343"/>
    <x v="287"/>
    <x v="287"/>
    <s v="REVENUS"/>
    <x v="2"/>
    <s v="4001.001"/>
    <s v="Impôt revenu"/>
    <n v="0"/>
    <n v="17103.5"/>
    <n v="4001"/>
  </r>
  <r>
    <x v="0"/>
    <x v="12"/>
    <x v="5"/>
    <x v="343"/>
    <x v="287"/>
    <x v="287"/>
    <s v="REVENUS"/>
    <x v="3"/>
    <s v="4002.001"/>
    <s v="Impôt ordinaire s/fortune PP"/>
    <n v="0"/>
    <n v="2446.6999999999998"/>
    <n v="4002"/>
  </r>
  <r>
    <x v="0"/>
    <x v="12"/>
    <x v="5"/>
    <x v="343"/>
    <x v="287"/>
    <x v="287"/>
    <s v="REVENUS"/>
    <x v="3"/>
    <s v="4002.001"/>
    <s v="Impôt ordinaire s/fortune PP"/>
    <n v="0"/>
    <n v="89.35"/>
    <n v="4002"/>
  </r>
  <r>
    <x v="0"/>
    <x v="12"/>
    <x v="5"/>
    <x v="343"/>
    <x v="287"/>
    <x v="287"/>
    <s v="REVENUS"/>
    <x v="3"/>
    <s v="4002.002"/>
    <s v="Impôt complémentaire s/fortune PP"/>
    <n v="0"/>
    <n v="88.65"/>
    <n v="4002"/>
  </r>
  <r>
    <x v="0"/>
    <x v="12"/>
    <x v="5"/>
    <x v="343"/>
    <x v="287"/>
    <x v="287"/>
    <s v="REVENUS"/>
    <x v="2"/>
    <s v="4001.002"/>
    <s v="Impôt complément s/revenu PP"/>
    <n v="0"/>
    <n v="2286.35"/>
    <n v="4001"/>
  </r>
  <r>
    <x v="0"/>
    <x v="12"/>
    <x v="5"/>
    <x v="343"/>
    <x v="287"/>
    <x v="287"/>
    <s v="REVENUS"/>
    <x v="3"/>
    <s v="4002.002"/>
    <s v="Impôt complémentaire s/fortune PP"/>
    <n v="0"/>
    <n v="1800.55"/>
    <n v="4002"/>
  </r>
  <r>
    <x v="0"/>
    <x v="12"/>
    <x v="5"/>
    <x v="343"/>
    <x v="287"/>
    <x v="287"/>
    <s v="REVENUS"/>
    <x v="2"/>
    <s v="4001.007"/>
    <s v="Acompte impôt sur revenu"/>
    <n v="0"/>
    <n v="-72.55"/>
    <n v="4001"/>
  </r>
  <r>
    <x v="0"/>
    <x v="12"/>
    <x v="5"/>
    <x v="343"/>
    <x v="287"/>
    <x v="287"/>
    <s v="REVENUS"/>
    <x v="6"/>
    <s v="4221.003"/>
    <s v="Intérêts compensat. / acomptes en faveur du fisc"/>
    <n v="0"/>
    <n v="0.63"/>
    <n v="4221"/>
  </r>
  <r>
    <x v="0"/>
    <x v="12"/>
    <x v="5"/>
    <x v="343"/>
    <x v="287"/>
    <x v="287"/>
    <s v="REVENUS"/>
    <x v="4"/>
    <s v="4051.001"/>
    <s v="Impôt sur les successions"/>
    <n v="0"/>
    <n v="98490"/>
    <n v="4051"/>
  </r>
  <r>
    <x v="0"/>
    <x v="12"/>
    <x v="5"/>
    <x v="343"/>
    <x v="287"/>
    <x v="287"/>
    <s v="REVENUS"/>
    <x v="2"/>
    <s v="4001.007"/>
    <s v="Acompte impôt sur revenu"/>
    <n v="0"/>
    <n v="-2682.8"/>
    <n v="4001"/>
  </r>
  <r>
    <x v="0"/>
    <x v="12"/>
    <x v="5"/>
    <x v="343"/>
    <x v="287"/>
    <x v="287"/>
    <s v="REVENUS"/>
    <x v="3"/>
    <s v="4002.007"/>
    <s v="Acompte impôt sur fortune"/>
    <n v="0"/>
    <n v="-400.35"/>
    <n v="4002"/>
  </r>
  <r>
    <x v="0"/>
    <x v="12"/>
    <x v="5"/>
    <x v="343"/>
    <x v="287"/>
    <x v="287"/>
    <s v="REVENUS"/>
    <x v="5"/>
    <s v="4061.000"/>
    <s v="Impôt sur les chiens"/>
    <n v="0"/>
    <n v="3550"/>
    <n v="4061"/>
  </r>
  <r>
    <x v="0"/>
    <x v="12"/>
    <x v="5"/>
    <x v="343"/>
    <x v="287"/>
    <x v="287"/>
    <s v="REVENUS"/>
    <x v="6"/>
    <s v="4221.003"/>
    <s v="Intérêts compensat. / acomptes en faveur du fisc"/>
    <n v="0"/>
    <n v="0.04"/>
    <n v="4221"/>
  </r>
  <r>
    <x v="0"/>
    <x v="12"/>
    <x v="5"/>
    <x v="343"/>
    <x v="287"/>
    <x v="287"/>
    <s v="REVENUS"/>
    <x v="2"/>
    <s v="4001.001"/>
    <s v="Impôt revenu"/>
    <n v="0"/>
    <n v="92.25"/>
    <n v="4001"/>
  </r>
  <r>
    <x v="0"/>
    <x v="12"/>
    <x v="5"/>
    <x v="343"/>
    <x v="287"/>
    <x v="287"/>
    <s v="REVENUS"/>
    <x v="6"/>
    <s v="4221.003"/>
    <s v="Intérêts compensat. / acomptes en faveur du fisc"/>
    <n v="0"/>
    <n v="0.01"/>
    <n v="4221"/>
  </r>
  <r>
    <x v="0"/>
    <x v="12"/>
    <x v="5"/>
    <x v="343"/>
    <x v="287"/>
    <x v="287"/>
    <s v="REVENUS"/>
    <x v="11"/>
    <s v="4198.000"/>
    <s v="Contributions communales"/>
    <n v="0"/>
    <n v="98005.1"/>
    <n v="4198"/>
  </r>
  <r>
    <x v="0"/>
    <x v="12"/>
    <x v="5"/>
    <x v="343"/>
    <x v="287"/>
    <x v="287"/>
    <s v="REVENUS"/>
    <x v="4"/>
    <s v="4051.002"/>
    <s v="Impôt sur les donations"/>
    <n v="0"/>
    <n v="255.2"/>
    <n v="4051"/>
  </r>
  <r>
    <x v="0"/>
    <x v="12"/>
    <x v="5"/>
    <x v="343"/>
    <x v="287"/>
    <x v="287"/>
    <s v="REVENUS"/>
    <x v="6"/>
    <s v="4211.002"/>
    <s v="Intérêts de retard sur acomptes"/>
    <n v="0"/>
    <n v="47.07"/>
    <n v="4211"/>
  </r>
  <r>
    <x v="0"/>
    <x v="12"/>
    <x v="5"/>
    <x v="344"/>
    <x v="288"/>
    <x v="288"/>
    <s v="CHARGES"/>
    <x v="0"/>
    <s v="3212.004"/>
    <s v="Intérêts rémun./perçu trop tôt sur acomptes C/C"/>
    <n v="83.52"/>
    <n v="0"/>
    <n v="3212"/>
  </r>
  <r>
    <x v="0"/>
    <x v="12"/>
    <x v="5"/>
    <x v="344"/>
    <x v="288"/>
    <x v="288"/>
    <s v="CHARGES"/>
    <x v="0"/>
    <s v="3221.002"/>
    <s v="Intérêts compensatoires / créances en faveur ctb."/>
    <n v="81.45"/>
    <n v="0"/>
    <n v="3221"/>
  </r>
  <r>
    <x v="0"/>
    <x v="12"/>
    <x v="5"/>
    <x v="344"/>
    <x v="288"/>
    <x v="288"/>
    <s v="CHARGES"/>
    <x v="1"/>
    <s v="3301.001"/>
    <s v="Défalcations, abandons de solde PP et IS"/>
    <n v="5980.86"/>
    <n v="0"/>
    <n v="3301"/>
  </r>
  <r>
    <x v="0"/>
    <x v="12"/>
    <x v="5"/>
    <x v="344"/>
    <x v="288"/>
    <x v="288"/>
    <s v="CHARGES"/>
    <x v="0"/>
    <s v="3212.002"/>
    <s v="Intérêts bonifiés/trop perçu acompte C/C"/>
    <n v="22.55"/>
    <n v="0"/>
    <n v="3212"/>
  </r>
  <r>
    <x v="0"/>
    <x v="12"/>
    <x v="5"/>
    <x v="344"/>
    <x v="288"/>
    <x v="288"/>
    <s v="CHARGES"/>
    <x v="0"/>
    <s v="3212.004"/>
    <s v="Intérêts rémun./perçu trop tôt sur acomptes C/C"/>
    <n v="0.51"/>
    <n v="0"/>
    <n v="3212"/>
  </r>
  <r>
    <x v="0"/>
    <x v="12"/>
    <x v="5"/>
    <x v="344"/>
    <x v="288"/>
    <x v="288"/>
    <s v="CHARGES"/>
    <x v="0"/>
    <s v="3221.002"/>
    <s v="Intérêts compensatoires / créances en faveur ctb."/>
    <n v="0.05"/>
    <n v="0"/>
    <n v="3221"/>
  </r>
  <r>
    <x v="0"/>
    <x v="12"/>
    <x v="5"/>
    <x v="344"/>
    <x v="288"/>
    <x v="288"/>
    <s v="CHARGES"/>
    <x v="1"/>
    <s v="3301.001"/>
    <s v="Défalcations, abandons de solde PP et IS"/>
    <n v="7.0000000000000007E-2"/>
    <n v="0"/>
    <n v="3301"/>
  </r>
  <r>
    <x v="0"/>
    <x v="12"/>
    <x v="5"/>
    <x v="344"/>
    <x v="288"/>
    <x v="288"/>
    <s v="CHARGES"/>
    <x v="0"/>
    <s v="3212.004"/>
    <s v="Intérêts rémun./perçu trop tôt sur acomptes C/C"/>
    <n v="0.25"/>
    <n v="0"/>
    <n v="3212"/>
  </r>
  <r>
    <x v="0"/>
    <x v="12"/>
    <x v="5"/>
    <x v="344"/>
    <x v="288"/>
    <x v="288"/>
    <s v="CHARGES"/>
    <x v="0"/>
    <s v="3221.002"/>
    <s v="Intérêts compensatoires / créances en faveur ctb."/>
    <n v="7.0000000000000007E-2"/>
    <n v="0"/>
    <n v="3221"/>
  </r>
  <r>
    <x v="0"/>
    <x v="12"/>
    <x v="5"/>
    <x v="344"/>
    <x v="288"/>
    <x v="288"/>
    <s v="CHARGES"/>
    <x v="0"/>
    <s v="3212.004"/>
    <s v="Intérêts rémun./perçu trop tôt sur acomptes C/C"/>
    <n v="0.62"/>
    <n v="0"/>
    <n v="3212"/>
  </r>
  <r>
    <x v="0"/>
    <x v="12"/>
    <x v="5"/>
    <x v="344"/>
    <x v="288"/>
    <x v="288"/>
    <s v="CHARGES"/>
    <x v="1"/>
    <s v="3301.001"/>
    <s v="Défalcations, abandons de solde PP et IS"/>
    <n v="0.3"/>
    <n v="0"/>
    <n v="3301"/>
  </r>
  <r>
    <x v="0"/>
    <x v="12"/>
    <x v="5"/>
    <x v="344"/>
    <x v="288"/>
    <x v="288"/>
    <s v="CHARGES"/>
    <x v="1"/>
    <s v="3301.001"/>
    <s v="Défalcations, abandons de solde PP et IS"/>
    <n v="0.11"/>
    <n v="0"/>
    <n v="3301"/>
  </r>
  <r>
    <x v="0"/>
    <x v="12"/>
    <x v="5"/>
    <x v="344"/>
    <x v="288"/>
    <x v="288"/>
    <s v="CHARGES"/>
    <x v="1"/>
    <s v="3301.001"/>
    <s v="Défalcations, abandons de solde PP et IS"/>
    <n v="0.21"/>
    <n v="0"/>
    <n v="3301"/>
  </r>
  <r>
    <x v="0"/>
    <x v="12"/>
    <x v="5"/>
    <x v="344"/>
    <x v="288"/>
    <x v="288"/>
    <s v="CHARGES"/>
    <x v="0"/>
    <s v="3212.004"/>
    <s v="Intérêts rémun./perçu trop tôt sur acomptes C/C"/>
    <n v="0.01"/>
    <n v="0"/>
    <n v="3212"/>
  </r>
  <r>
    <x v="0"/>
    <x v="12"/>
    <x v="5"/>
    <x v="344"/>
    <x v="288"/>
    <x v="288"/>
    <s v="CHARGES"/>
    <x v="0"/>
    <s v="3212.004"/>
    <s v="Intérêts rémun./perçu trop tôt sur acomptes C/C"/>
    <n v="0.01"/>
    <n v="0"/>
    <n v="3212"/>
  </r>
  <r>
    <x v="0"/>
    <x v="12"/>
    <x v="5"/>
    <x v="344"/>
    <x v="288"/>
    <x v="288"/>
    <s v="REVENUS"/>
    <x v="2"/>
    <s v="4001.001"/>
    <s v="Impôt revenu"/>
    <n v="0"/>
    <n v="364599.45"/>
    <n v="4001"/>
  </r>
  <r>
    <x v="0"/>
    <x v="12"/>
    <x v="5"/>
    <x v="344"/>
    <x v="288"/>
    <x v="288"/>
    <s v="REVENUS"/>
    <x v="2"/>
    <s v="4001.007"/>
    <s v="Acompte impôt sur revenu"/>
    <n v="0"/>
    <n v="-81018.960000000006"/>
    <n v="4001"/>
  </r>
  <r>
    <x v="0"/>
    <x v="12"/>
    <x v="5"/>
    <x v="344"/>
    <x v="288"/>
    <x v="288"/>
    <s v="REVENUS"/>
    <x v="3"/>
    <s v="4002.001"/>
    <s v="Impôt ordinaire s/fortune PP"/>
    <n v="0"/>
    <n v="47112.5"/>
    <n v="4002"/>
  </r>
  <r>
    <x v="0"/>
    <x v="12"/>
    <x v="5"/>
    <x v="344"/>
    <x v="288"/>
    <x v="288"/>
    <s v="REVENUS"/>
    <x v="3"/>
    <s v="4002.007"/>
    <s v="Acompte impôt sur fortune"/>
    <n v="0"/>
    <n v="-22894.69"/>
    <n v="4002"/>
  </r>
  <r>
    <x v="0"/>
    <x v="12"/>
    <x v="5"/>
    <x v="344"/>
    <x v="288"/>
    <x v="288"/>
    <s v="REVENUS"/>
    <x v="7"/>
    <s v="4184.000"/>
    <s v="Frais de poursuite"/>
    <n v="0"/>
    <n v="700.07"/>
    <n v="4184"/>
  </r>
  <r>
    <x v="0"/>
    <x v="12"/>
    <x v="5"/>
    <x v="344"/>
    <x v="288"/>
    <x v="288"/>
    <s v="REVENUS"/>
    <x v="6"/>
    <s v="4221.003"/>
    <s v="Intérêts compensat. / acomptes en faveur du fisc"/>
    <n v="0"/>
    <n v="103.15"/>
    <n v="4221"/>
  </r>
  <r>
    <x v="0"/>
    <x v="12"/>
    <x v="5"/>
    <x v="344"/>
    <x v="288"/>
    <x v="288"/>
    <s v="REVENUS"/>
    <x v="2"/>
    <s v="4001.007"/>
    <s v="Acompte impôt sur revenu"/>
    <n v="0"/>
    <n v="-118.7"/>
    <n v="4001"/>
  </r>
  <r>
    <x v="0"/>
    <x v="12"/>
    <x v="5"/>
    <x v="344"/>
    <x v="288"/>
    <x v="288"/>
    <s v="REVENUS"/>
    <x v="3"/>
    <s v="4002.007"/>
    <s v="Acompte impôt sur fortune"/>
    <n v="0"/>
    <n v="-18.649999999999999"/>
    <n v="4002"/>
  </r>
  <r>
    <x v="0"/>
    <x v="12"/>
    <x v="5"/>
    <x v="344"/>
    <x v="288"/>
    <x v="288"/>
    <s v="REVENUS"/>
    <x v="6"/>
    <s v="4211.002"/>
    <s v="Intérêts de retard sur acomptes"/>
    <n v="0"/>
    <n v="2731.3"/>
    <n v="4211"/>
  </r>
  <r>
    <x v="0"/>
    <x v="12"/>
    <x v="5"/>
    <x v="344"/>
    <x v="288"/>
    <x v="288"/>
    <s v="REVENUS"/>
    <x v="2"/>
    <s v="4001.007"/>
    <s v="Acompte impôt sur revenu"/>
    <n v="0"/>
    <n v="-14.85"/>
    <n v="4001"/>
  </r>
  <r>
    <x v="0"/>
    <x v="12"/>
    <x v="5"/>
    <x v="344"/>
    <x v="288"/>
    <x v="288"/>
    <s v="REVENUS"/>
    <x v="3"/>
    <s v="4002.007"/>
    <s v="Acompte impôt sur fortune"/>
    <n v="0"/>
    <n v="-211.86"/>
    <n v="4002"/>
  </r>
  <r>
    <x v="0"/>
    <x v="12"/>
    <x v="5"/>
    <x v="344"/>
    <x v="288"/>
    <x v="288"/>
    <s v="REVENUS"/>
    <x v="6"/>
    <s v="4211.001"/>
    <s v="Intérêts de retard sur factures"/>
    <n v="0"/>
    <n v="1109.2"/>
    <n v="4211"/>
  </r>
  <r>
    <x v="0"/>
    <x v="12"/>
    <x v="5"/>
    <x v="344"/>
    <x v="288"/>
    <x v="288"/>
    <s v="REVENUS"/>
    <x v="3"/>
    <s v="4002.001"/>
    <s v="Impôt ordinaire s/fortune PP"/>
    <n v="0"/>
    <n v="417.15"/>
    <n v="4002"/>
  </r>
  <r>
    <x v="0"/>
    <x v="12"/>
    <x v="5"/>
    <x v="344"/>
    <x v="288"/>
    <x v="288"/>
    <s v="REVENUS"/>
    <x v="3"/>
    <s v="4002.007"/>
    <s v="Acompte impôt sur fortune"/>
    <n v="0"/>
    <n v="1302.02"/>
    <n v="4002"/>
  </r>
  <r>
    <x v="0"/>
    <x v="12"/>
    <x v="5"/>
    <x v="344"/>
    <x v="288"/>
    <x v="288"/>
    <s v="REVENUS"/>
    <x v="3"/>
    <s v="4002.007"/>
    <s v="Acompte impôt sur fortune"/>
    <n v="0"/>
    <n v="1.05"/>
    <n v="4002"/>
  </r>
  <r>
    <x v="0"/>
    <x v="12"/>
    <x v="5"/>
    <x v="344"/>
    <x v="288"/>
    <x v="288"/>
    <s v="REVENUS"/>
    <x v="2"/>
    <s v="4001.007"/>
    <s v="Acompte impôt sur revenu"/>
    <n v="0"/>
    <n v="1253.01"/>
    <n v="4001"/>
  </r>
  <r>
    <x v="0"/>
    <x v="12"/>
    <x v="5"/>
    <x v="344"/>
    <x v="288"/>
    <x v="288"/>
    <s v="REVENUS"/>
    <x v="4"/>
    <s v="4051.002"/>
    <s v="Impôt sur les donations"/>
    <n v="0"/>
    <n v="6074.9"/>
    <n v="4051"/>
  </r>
  <r>
    <x v="0"/>
    <x v="12"/>
    <x v="5"/>
    <x v="344"/>
    <x v="288"/>
    <x v="288"/>
    <s v="REVENUS"/>
    <x v="2"/>
    <s v="4001.001"/>
    <s v="Impôt revenu"/>
    <n v="0"/>
    <n v="476.8"/>
    <n v="4001"/>
  </r>
  <r>
    <x v="0"/>
    <x v="12"/>
    <x v="5"/>
    <x v="344"/>
    <x v="288"/>
    <x v="288"/>
    <s v="REVENUS"/>
    <x v="2"/>
    <s v="4001.007"/>
    <s v="Acompte impôt sur revenu"/>
    <n v="0"/>
    <n v="2837.5"/>
    <n v="4001"/>
  </r>
  <r>
    <x v="0"/>
    <x v="12"/>
    <x v="5"/>
    <x v="344"/>
    <x v="288"/>
    <x v="288"/>
    <s v="REVENUS"/>
    <x v="3"/>
    <s v="4002.007"/>
    <s v="Acompte impôt sur fortune"/>
    <n v="0"/>
    <n v="448.63"/>
    <n v="4002"/>
  </r>
  <r>
    <x v="0"/>
    <x v="12"/>
    <x v="5"/>
    <x v="344"/>
    <x v="288"/>
    <x v="288"/>
    <s v="REVENUS"/>
    <x v="2"/>
    <s v="4001.007"/>
    <s v="Acompte impôt sur revenu"/>
    <n v="0"/>
    <n v="-12.6"/>
    <n v="4001"/>
  </r>
  <r>
    <x v="0"/>
    <x v="12"/>
    <x v="5"/>
    <x v="344"/>
    <x v="288"/>
    <x v="288"/>
    <s v="REVENUS"/>
    <x v="2"/>
    <s v="4001.001"/>
    <s v="Impôt revenu"/>
    <n v="0"/>
    <n v="145.85"/>
    <n v="4001"/>
  </r>
  <r>
    <x v="0"/>
    <x v="12"/>
    <x v="5"/>
    <x v="344"/>
    <x v="288"/>
    <x v="288"/>
    <s v="REVENUS"/>
    <x v="3"/>
    <s v="4002.001"/>
    <s v="Impôt ordinaire s/fortune PP"/>
    <n v="0"/>
    <n v="257.89999999999998"/>
    <n v="4002"/>
  </r>
  <r>
    <x v="0"/>
    <x v="12"/>
    <x v="5"/>
    <x v="344"/>
    <x v="288"/>
    <x v="288"/>
    <s v="REVENUS"/>
    <x v="6"/>
    <s v="4221.003"/>
    <s v="Intérêts compensat. / acomptes en faveur du fisc"/>
    <n v="0"/>
    <n v="7.0000000000000007E-2"/>
    <n v="4221"/>
  </r>
  <r>
    <x v="0"/>
    <x v="12"/>
    <x v="5"/>
    <x v="344"/>
    <x v="288"/>
    <x v="288"/>
    <s v="REVENUS"/>
    <x v="2"/>
    <s v="4001.002"/>
    <s v="Impôt complément s/revenu PP"/>
    <n v="0"/>
    <n v="27103.15"/>
    <n v="4001"/>
  </r>
  <r>
    <x v="0"/>
    <x v="12"/>
    <x v="5"/>
    <x v="344"/>
    <x v="288"/>
    <x v="288"/>
    <s v="REVENUS"/>
    <x v="3"/>
    <s v="4002.002"/>
    <s v="Impôt complémentaire s/fortune PP"/>
    <n v="0"/>
    <n v="24458.65"/>
    <n v="4002"/>
  </r>
  <r>
    <x v="0"/>
    <x v="12"/>
    <x v="5"/>
    <x v="344"/>
    <x v="288"/>
    <x v="288"/>
    <s v="REVENUS"/>
    <x v="2"/>
    <s v="4001.003"/>
    <s v="Impôt s/prest. cap. PP"/>
    <n v="0"/>
    <n v="47938.5"/>
    <n v="4001"/>
  </r>
  <r>
    <x v="0"/>
    <x v="12"/>
    <x v="5"/>
    <x v="344"/>
    <x v="288"/>
    <x v="288"/>
    <s v="REVENUS"/>
    <x v="10"/>
    <s v="4041.001"/>
    <s v="Droits de mutation"/>
    <n v="0"/>
    <n v="16006.1"/>
    <n v="4041"/>
  </r>
  <r>
    <x v="0"/>
    <x v="12"/>
    <x v="5"/>
    <x v="344"/>
    <x v="288"/>
    <x v="288"/>
    <s v="REVENUS"/>
    <x v="2"/>
    <s v="4001.001"/>
    <s v="Impôt revenu"/>
    <n v="0"/>
    <n v="18.899999999999999"/>
    <n v="4001"/>
  </r>
  <r>
    <x v="0"/>
    <x v="12"/>
    <x v="5"/>
    <x v="344"/>
    <x v="288"/>
    <x v="288"/>
    <s v="REVENUS"/>
    <x v="2"/>
    <s v="4001.002"/>
    <s v="Impôt complément s/revenu PP"/>
    <n v="0"/>
    <n v="-51.6"/>
    <n v="4001"/>
  </r>
  <r>
    <x v="0"/>
    <x v="12"/>
    <x v="5"/>
    <x v="344"/>
    <x v="288"/>
    <x v="288"/>
    <s v="REVENUS"/>
    <x v="3"/>
    <s v="4002.001"/>
    <s v="Impôt ordinaire s/fortune PP"/>
    <n v="0"/>
    <n v="4.8499999999999996"/>
    <n v="4002"/>
  </r>
  <r>
    <x v="0"/>
    <x v="12"/>
    <x v="5"/>
    <x v="344"/>
    <x v="288"/>
    <x v="288"/>
    <s v="REVENUS"/>
    <x v="3"/>
    <s v="4002.002"/>
    <s v="Impôt complémentaire s/fortune PP"/>
    <n v="0"/>
    <n v="1288"/>
    <n v="4002"/>
  </r>
  <r>
    <x v="0"/>
    <x v="12"/>
    <x v="5"/>
    <x v="344"/>
    <x v="288"/>
    <x v="288"/>
    <s v="REVENUS"/>
    <x v="2"/>
    <s v="4001.001"/>
    <s v="Impôt revenu"/>
    <n v="0"/>
    <n v="2900.4"/>
    <n v="4001"/>
  </r>
  <r>
    <x v="0"/>
    <x v="12"/>
    <x v="5"/>
    <x v="344"/>
    <x v="288"/>
    <x v="288"/>
    <s v="REVENUS"/>
    <x v="3"/>
    <s v="4002.001"/>
    <s v="Impôt ordinaire s/fortune PP"/>
    <n v="0"/>
    <n v="1332.05"/>
    <n v="4002"/>
  </r>
  <r>
    <x v="0"/>
    <x v="12"/>
    <x v="5"/>
    <x v="344"/>
    <x v="288"/>
    <x v="288"/>
    <s v="REVENUS"/>
    <x v="6"/>
    <s v="4221.002"/>
    <s v="Intérêts compensat. sur impôts distincts"/>
    <n v="0"/>
    <n v="21.86"/>
    <n v="4221"/>
  </r>
  <r>
    <x v="0"/>
    <x v="12"/>
    <x v="5"/>
    <x v="344"/>
    <x v="288"/>
    <x v="288"/>
    <s v="REVENUS"/>
    <x v="2"/>
    <s v="4001.007"/>
    <s v="Acompte impôt sur revenu"/>
    <n v="0"/>
    <n v="-789.45"/>
    <n v="4001"/>
  </r>
  <r>
    <x v="0"/>
    <x v="12"/>
    <x v="5"/>
    <x v="344"/>
    <x v="288"/>
    <x v="288"/>
    <s v="REVENUS"/>
    <x v="3"/>
    <s v="4002.007"/>
    <s v="Acompte impôt sur fortune"/>
    <n v="0"/>
    <n v="-1384"/>
    <n v="4002"/>
  </r>
  <r>
    <x v="0"/>
    <x v="12"/>
    <x v="5"/>
    <x v="344"/>
    <x v="288"/>
    <x v="288"/>
    <s v="REVENUS"/>
    <x v="6"/>
    <s v="4221.003"/>
    <s v="Intérêts compensat. / acomptes en faveur du fisc"/>
    <n v="0"/>
    <n v="0.21"/>
    <n v="4221"/>
  </r>
  <r>
    <x v="0"/>
    <x v="12"/>
    <x v="5"/>
    <x v="344"/>
    <x v="288"/>
    <x v="288"/>
    <s v="REVENUS"/>
    <x v="6"/>
    <s v="4221.003"/>
    <s v="Intérêts compensat. / acomptes en faveur du fisc"/>
    <n v="0"/>
    <n v="0.11"/>
    <n v="4221"/>
  </r>
  <r>
    <x v="0"/>
    <x v="12"/>
    <x v="5"/>
    <x v="344"/>
    <x v="288"/>
    <x v="288"/>
    <s v="REVENUS"/>
    <x v="2"/>
    <s v="4001.007"/>
    <s v="Acompte impôt sur revenu"/>
    <n v="0"/>
    <n v="-64.599999999999994"/>
    <n v="4001"/>
  </r>
  <r>
    <x v="0"/>
    <x v="12"/>
    <x v="5"/>
    <x v="344"/>
    <x v="288"/>
    <x v="288"/>
    <s v="REVENUS"/>
    <x v="3"/>
    <s v="4002.007"/>
    <s v="Acompte impôt sur fortune"/>
    <n v="0"/>
    <n v="-10"/>
    <n v="4002"/>
  </r>
  <r>
    <x v="0"/>
    <x v="12"/>
    <x v="5"/>
    <x v="344"/>
    <x v="288"/>
    <x v="288"/>
    <s v="REVENUS"/>
    <x v="2"/>
    <s v="4001.001"/>
    <s v="Impôt revenu"/>
    <n v="0"/>
    <n v="150.94999999999999"/>
    <n v="4001"/>
  </r>
  <r>
    <x v="0"/>
    <x v="12"/>
    <x v="5"/>
    <x v="344"/>
    <x v="288"/>
    <x v="288"/>
    <s v="REVENUS"/>
    <x v="3"/>
    <s v="4002.001"/>
    <s v="Impôt ordinaire s/fortune PP"/>
    <n v="0"/>
    <n v="224.1"/>
    <n v="4002"/>
  </r>
  <r>
    <x v="0"/>
    <x v="12"/>
    <x v="5"/>
    <x v="344"/>
    <x v="288"/>
    <x v="288"/>
    <s v="REVENUS"/>
    <x v="6"/>
    <s v="4211.002"/>
    <s v="Intérêts de retard sur acomptes"/>
    <n v="0"/>
    <n v="13.75"/>
    <n v="4211"/>
  </r>
  <r>
    <x v="0"/>
    <x v="12"/>
    <x v="5"/>
    <x v="344"/>
    <x v="288"/>
    <x v="288"/>
    <s v="REVENUS"/>
    <x v="9"/>
    <s v="4031.001"/>
    <s v="Impôt sur les gains immobiliers"/>
    <n v="0"/>
    <n v="882.55"/>
    <n v="4031"/>
  </r>
  <r>
    <x v="0"/>
    <x v="12"/>
    <x v="5"/>
    <x v="344"/>
    <x v="288"/>
    <x v="288"/>
    <s v="REVENUS"/>
    <x v="2"/>
    <s v="4001.001"/>
    <s v="Impôt revenu"/>
    <n v="0"/>
    <n v="48.55"/>
    <n v="4001"/>
  </r>
  <r>
    <x v="0"/>
    <x v="12"/>
    <x v="5"/>
    <x v="344"/>
    <x v="288"/>
    <x v="288"/>
    <s v="REVENUS"/>
    <x v="3"/>
    <s v="4002.001"/>
    <s v="Impôt ordinaire s/fortune PP"/>
    <n v="0"/>
    <n v="180.35"/>
    <n v="4002"/>
  </r>
  <r>
    <x v="0"/>
    <x v="12"/>
    <x v="5"/>
    <x v="344"/>
    <x v="288"/>
    <x v="288"/>
    <s v="REVENUS"/>
    <x v="6"/>
    <s v="4211.001"/>
    <s v="Intérêts de retard sur factures"/>
    <n v="0"/>
    <n v="0.27"/>
    <n v="4211"/>
  </r>
  <r>
    <x v="0"/>
    <x v="12"/>
    <x v="5"/>
    <x v="345"/>
    <x v="289"/>
    <x v="289"/>
    <s v="CHARGES"/>
    <x v="0"/>
    <s v="3212.004"/>
    <s v="Intérêts rémun./perçu trop tôt sur acomptes C/C"/>
    <n v="494.45"/>
    <n v="0"/>
    <n v="3212"/>
  </r>
  <r>
    <x v="0"/>
    <x v="12"/>
    <x v="5"/>
    <x v="345"/>
    <x v="289"/>
    <x v="289"/>
    <s v="CHARGES"/>
    <x v="0"/>
    <s v="3221.002"/>
    <s v="Intérêts compensatoires / créances en faveur ctb."/>
    <n v="269.48"/>
    <n v="0"/>
    <n v="3221"/>
  </r>
  <r>
    <x v="0"/>
    <x v="12"/>
    <x v="5"/>
    <x v="345"/>
    <x v="289"/>
    <x v="289"/>
    <s v="CHARGES"/>
    <x v="1"/>
    <s v="3301.001"/>
    <s v="Défalcations, abandons de solde PP et IS"/>
    <n v="16016.76"/>
    <n v="0"/>
    <n v="3301"/>
  </r>
  <r>
    <x v="0"/>
    <x v="12"/>
    <x v="5"/>
    <x v="345"/>
    <x v="289"/>
    <x v="289"/>
    <s v="CHARGES"/>
    <x v="0"/>
    <s v="3212.002"/>
    <s v="Intérêts bonifiés/trop perçu acompte C/C"/>
    <n v="0.14000000000000001"/>
    <n v="0"/>
    <n v="3212"/>
  </r>
  <r>
    <x v="0"/>
    <x v="12"/>
    <x v="5"/>
    <x v="345"/>
    <x v="289"/>
    <x v="289"/>
    <s v="CHARGES"/>
    <x v="0"/>
    <s v="3221.002"/>
    <s v="Intérêts compensatoires / créances en faveur ctb."/>
    <n v="0.25"/>
    <n v="0"/>
    <n v="3221"/>
  </r>
  <r>
    <x v="0"/>
    <x v="12"/>
    <x v="5"/>
    <x v="345"/>
    <x v="289"/>
    <x v="289"/>
    <s v="CHARGES"/>
    <x v="0"/>
    <s v="3212.004"/>
    <s v="Intérêts rémun./perçu trop tôt sur acomptes C/C"/>
    <n v="2.72"/>
    <n v="0"/>
    <n v="3212"/>
  </r>
  <r>
    <x v="0"/>
    <x v="12"/>
    <x v="5"/>
    <x v="345"/>
    <x v="289"/>
    <x v="289"/>
    <s v="CHARGES"/>
    <x v="0"/>
    <s v="3221.002"/>
    <s v="Intérêts compensatoires / créances en faveur ctb."/>
    <n v="5.24"/>
    <n v="0"/>
    <n v="3221"/>
  </r>
  <r>
    <x v="0"/>
    <x v="12"/>
    <x v="5"/>
    <x v="345"/>
    <x v="289"/>
    <x v="289"/>
    <s v="CHARGES"/>
    <x v="0"/>
    <s v="3212.004"/>
    <s v="Intérêts rémun./perçu trop tôt sur acomptes C/C"/>
    <n v="1.24"/>
    <n v="0"/>
    <n v="3212"/>
  </r>
  <r>
    <x v="0"/>
    <x v="12"/>
    <x v="5"/>
    <x v="345"/>
    <x v="289"/>
    <x v="289"/>
    <s v="CHARGES"/>
    <x v="1"/>
    <s v="3301.001"/>
    <s v="Défalcations, abandons de solde PP et IS"/>
    <n v="0.08"/>
    <n v="0"/>
    <n v="3301"/>
  </r>
  <r>
    <x v="0"/>
    <x v="12"/>
    <x v="5"/>
    <x v="345"/>
    <x v="289"/>
    <x v="289"/>
    <s v="CHARGES"/>
    <x v="0"/>
    <s v="3221.002"/>
    <s v="Intérêts compensatoires / créances en faveur ctb."/>
    <n v="7.0000000000000007E-2"/>
    <n v="0"/>
    <n v="3221"/>
  </r>
  <r>
    <x v="0"/>
    <x v="12"/>
    <x v="5"/>
    <x v="345"/>
    <x v="289"/>
    <x v="289"/>
    <s v="CHARGES"/>
    <x v="1"/>
    <s v="3301.001"/>
    <s v="Défalcations, abandons de solde PP et IS"/>
    <n v="2.65"/>
    <n v="0"/>
    <n v="3301"/>
  </r>
  <r>
    <x v="0"/>
    <x v="12"/>
    <x v="5"/>
    <x v="345"/>
    <x v="289"/>
    <x v="289"/>
    <s v="CHARGES"/>
    <x v="0"/>
    <s v="3212.004"/>
    <s v="Intérêts rémun./perçu trop tôt sur acomptes C/C"/>
    <n v="0.01"/>
    <n v="0"/>
    <n v="3212"/>
  </r>
  <r>
    <x v="0"/>
    <x v="12"/>
    <x v="5"/>
    <x v="345"/>
    <x v="289"/>
    <x v="289"/>
    <s v="CHARGES"/>
    <x v="1"/>
    <s v="3301.001"/>
    <s v="Défalcations, abandons de solde PP et IS"/>
    <n v="266.87"/>
    <n v="0"/>
    <n v="3301"/>
  </r>
  <r>
    <x v="0"/>
    <x v="12"/>
    <x v="5"/>
    <x v="345"/>
    <x v="289"/>
    <x v="289"/>
    <s v="CHARGES"/>
    <x v="1"/>
    <s v="3301.001"/>
    <s v="Défalcations, abandons de solde PP et IS"/>
    <n v="0.04"/>
    <n v="0"/>
    <n v="3301"/>
  </r>
  <r>
    <x v="0"/>
    <x v="12"/>
    <x v="5"/>
    <x v="345"/>
    <x v="289"/>
    <x v="289"/>
    <s v="REVENUS"/>
    <x v="2"/>
    <s v="4001.001"/>
    <s v="Impôt revenu"/>
    <n v="0"/>
    <n v="1466648.15"/>
    <n v="4001"/>
  </r>
  <r>
    <x v="0"/>
    <x v="12"/>
    <x v="5"/>
    <x v="345"/>
    <x v="289"/>
    <x v="289"/>
    <s v="REVENUS"/>
    <x v="2"/>
    <s v="4001.007"/>
    <s v="Acompte impôt sur revenu"/>
    <n v="0"/>
    <n v="-462536.55"/>
    <n v="4001"/>
  </r>
  <r>
    <x v="0"/>
    <x v="12"/>
    <x v="5"/>
    <x v="345"/>
    <x v="289"/>
    <x v="289"/>
    <s v="REVENUS"/>
    <x v="3"/>
    <s v="4002.001"/>
    <s v="Impôt ordinaire s/fortune PP"/>
    <n v="0"/>
    <n v="181331.5"/>
    <n v="4002"/>
  </r>
  <r>
    <x v="0"/>
    <x v="12"/>
    <x v="5"/>
    <x v="345"/>
    <x v="289"/>
    <x v="289"/>
    <s v="REVENUS"/>
    <x v="3"/>
    <s v="4002.007"/>
    <s v="Acompte impôt sur fortune"/>
    <n v="0"/>
    <n v="-38499.22"/>
    <n v="4002"/>
  </r>
  <r>
    <x v="0"/>
    <x v="12"/>
    <x v="5"/>
    <x v="345"/>
    <x v="289"/>
    <x v="289"/>
    <s v="REVENUS"/>
    <x v="6"/>
    <s v="4211.001"/>
    <s v="Intérêts de retard sur factures"/>
    <n v="0"/>
    <n v="3820.24"/>
    <n v="4211"/>
  </r>
  <r>
    <x v="0"/>
    <x v="12"/>
    <x v="5"/>
    <x v="345"/>
    <x v="289"/>
    <x v="289"/>
    <s v="REVENUS"/>
    <x v="6"/>
    <s v="4221.003"/>
    <s v="Intérêts compensat. / acomptes en faveur du fisc"/>
    <n v="0"/>
    <n v="185.19"/>
    <n v="4221"/>
  </r>
  <r>
    <x v="0"/>
    <x v="12"/>
    <x v="5"/>
    <x v="345"/>
    <x v="289"/>
    <x v="289"/>
    <s v="REVENUS"/>
    <x v="6"/>
    <s v="4211.002"/>
    <s v="Intérêts de retard sur acomptes"/>
    <n v="0"/>
    <n v="7246.53"/>
    <n v="4211"/>
  </r>
  <r>
    <x v="0"/>
    <x v="12"/>
    <x v="5"/>
    <x v="345"/>
    <x v="289"/>
    <x v="289"/>
    <s v="REVENUS"/>
    <x v="2"/>
    <s v="4001.002"/>
    <s v="Impôt complément s/revenu PP"/>
    <n v="0"/>
    <n v="107316.15"/>
    <n v="4001"/>
  </r>
  <r>
    <x v="0"/>
    <x v="12"/>
    <x v="5"/>
    <x v="345"/>
    <x v="289"/>
    <x v="289"/>
    <s v="REVENUS"/>
    <x v="7"/>
    <s v="4184.000"/>
    <s v="Frais de poursuite"/>
    <n v="0"/>
    <n v="2402.16"/>
    <n v="4184"/>
  </r>
  <r>
    <x v="0"/>
    <x v="12"/>
    <x v="5"/>
    <x v="345"/>
    <x v="289"/>
    <x v="289"/>
    <s v="REVENUS"/>
    <x v="3"/>
    <s v="4002.002"/>
    <s v="Impôt complémentaire s/fortune PP"/>
    <n v="0"/>
    <n v="29383.95"/>
    <n v="4002"/>
  </r>
  <r>
    <x v="0"/>
    <x v="12"/>
    <x v="5"/>
    <x v="345"/>
    <x v="289"/>
    <x v="289"/>
    <s v="REVENUS"/>
    <x v="3"/>
    <s v="4002.001"/>
    <s v="Impôt ordinaire s/fortune PP"/>
    <n v="0"/>
    <n v="5718.95"/>
    <n v="4002"/>
  </r>
  <r>
    <x v="0"/>
    <x v="12"/>
    <x v="5"/>
    <x v="345"/>
    <x v="289"/>
    <x v="289"/>
    <s v="REVENUS"/>
    <x v="3"/>
    <s v="4002.007"/>
    <s v="Acompte impôt sur fortune"/>
    <n v="0"/>
    <n v="-1019.6"/>
    <n v="4002"/>
  </r>
  <r>
    <x v="0"/>
    <x v="12"/>
    <x v="5"/>
    <x v="345"/>
    <x v="289"/>
    <x v="289"/>
    <s v="REVENUS"/>
    <x v="2"/>
    <s v="4001.003"/>
    <s v="Impôt s/prest. cap. PP"/>
    <n v="0"/>
    <n v="52915.1"/>
    <n v="4001"/>
  </r>
  <r>
    <x v="0"/>
    <x v="12"/>
    <x v="5"/>
    <x v="345"/>
    <x v="289"/>
    <x v="289"/>
    <s v="REVENUS"/>
    <x v="6"/>
    <s v="4221.002"/>
    <s v="Intérêts compensat. sur impôts distincts"/>
    <n v="0"/>
    <n v="3.91"/>
    <n v="4221"/>
  </r>
  <r>
    <x v="0"/>
    <x v="12"/>
    <x v="5"/>
    <x v="345"/>
    <x v="289"/>
    <x v="289"/>
    <s v="REVENUS"/>
    <x v="3"/>
    <s v="4002.007"/>
    <s v="Acompte impôt sur fortune"/>
    <n v="0"/>
    <n v="-188.38"/>
    <n v="4002"/>
  </r>
  <r>
    <x v="0"/>
    <x v="12"/>
    <x v="5"/>
    <x v="345"/>
    <x v="289"/>
    <x v="289"/>
    <s v="REVENUS"/>
    <x v="2"/>
    <s v="4001.007"/>
    <s v="Acompte impôt sur revenu"/>
    <n v="0"/>
    <n v="-2003.75"/>
    <n v="4001"/>
  </r>
  <r>
    <x v="0"/>
    <x v="12"/>
    <x v="5"/>
    <x v="345"/>
    <x v="289"/>
    <x v="289"/>
    <s v="REVENUS"/>
    <x v="3"/>
    <s v="4002.007"/>
    <s v="Acompte impôt sur fortune"/>
    <n v="0"/>
    <n v="14"/>
    <n v="4002"/>
  </r>
  <r>
    <x v="0"/>
    <x v="12"/>
    <x v="5"/>
    <x v="345"/>
    <x v="289"/>
    <x v="289"/>
    <s v="REVENUS"/>
    <x v="2"/>
    <s v="4001.007"/>
    <s v="Acompte impôt sur revenu"/>
    <n v="0"/>
    <n v="-5671.19"/>
    <n v="4001"/>
  </r>
  <r>
    <x v="0"/>
    <x v="12"/>
    <x v="5"/>
    <x v="345"/>
    <x v="289"/>
    <x v="289"/>
    <s v="REVENUS"/>
    <x v="2"/>
    <s v="4001.007"/>
    <s v="Acompte impôt sur revenu"/>
    <n v="0"/>
    <n v="-2690.3"/>
    <n v="4001"/>
  </r>
  <r>
    <x v="0"/>
    <x v="12"/>
    <x v="5"/>
    <x v="345"/>
    <x v="289"/>
    <x v="289"/>
    <s v="REVENUS"/>
    <x v="3"/>
    <s v="4002.007"/>
    <s v="Acompte impôt sur fortune"/>
    <n v="0"/>
    <n v="-1381.05"/>
    <n v="4002"/>
  </r>
  <r>
    <x v="0"/>
    <x v="12"/>
    <x v="5"/>
    <x v="345"/>
    <x v="289"/>
    <x v="289"/>
    <s v="REVENUS"/>
    <x v="6"/>
    <s v="4221.003"/>
    <s v="Intérêts compensat. / acomptes en faveur du fisc"/>
    <n v="0"/>
    <n v="0.04"/>
    <n v="4221"/>
  </r>
  <r>
    <x v="0"/>
    <x v="12"/>
    <x v="5"/>
    <x v="345"/>
    <x v="289"/>
    <x v="289"/>
    <s v="REVENUS"/>
    <x v="7"/>
    <s v="4184.000"/>
    <s v="Frais de poursuite"/>
    <n v="0"/>
    <n v="42.84"/>
    <n v="4184"/>
  </r>
  <r>
    <x v="0"/>
    <x v="12"/>
    <x v="5"/>
    <x v="345"/>
    <x v="289"/>
    <x v="289"/>
    <s v="REVENUS"/>
    <x v="3"/>
    <s v="4002.001"/>
    <s v="Impôt ordinaire s/fortune PP"/>
    <n v="0"/>
    <n v="470.3"/>
    <n v="4002"/>
  </r>
  <r>
    <x v="0"/>
    <x v="12"/>
    <x v="5"/>
    <x v="345"/>
    <x v="289"/>
    <x v="289"/>
    <s v="REVENUS"/>
    <x v="2"/>
    <s v="4001.007"/>
    <s v="Acompte impôt sur revenu"/>
    <n v="0"/>
    <n v="-2871.5"/>
    <n v="4001"/>
  </r>
  <r>
    <x v="0"/>
    <x v="12"/>
    <x v="5"/>
    <x v="345"/>
    <x v="289"/>
    <x v="289"/>
    <s v="REVENUS"/>
    <x v="3"/>
    <s v="4002.007"/>
    <s v="Acompte impôt sur fortune"/>
    <n v="0"/>
    <n v="-67.75"/>
    <n v="4002"/>
  </r>
  <r>
    <x v="0"/>
    <x v="12"/>
    <x v="5"/>
    <x v="345"/>
    <x v="289"/>
    <x v="289"/>
    <s v="REVENUS"/>
    <x v="2"/>
    <s v="4001.001"/>
    <s v="Impôt revenu"/>
    <n v="0"/>
    <n v="5779.6"/>
    <n v="4001"/>
  </r>
  <r>
    <x v="0"/>
    <x v="12"/>
    <x v="5"/>
    <x v="345"/>
    <x v="289"/>
    <x v="289"/>
    <s v="REVENUS"/>
    <x v="3"/>
    <s v="4002.001"/>
    <s v="Impôt ordinaire s/fortune PP"/>
    <n v="0"/>
    <n v="622.79999999999995"/>
    <n v="4002"/>
  </r>
  <r>
    <x v="0"/>
    <x v="12"/>
    <x v="5"/>
    <x v="345"/>
    <x v="289"/>
    <x v="289"/>
    <s v="REVENUS"/>
    <x v="2"/>
    <s v="4001.001"/>
    <s v="Impôt revenu"/>
    <n v="0"/>
    <n v="1410.7"/>
    <n v="4001"/>
  </r>
  <r>
    <x v="0"/>
    <x v="12"/>
    <x v="5"/>
    <x v="345"/>
    <x v="289"/>
    <x v="289"/>
    <s v="REVENUS"/>
    <x v="2"/>
    <s v="4001.002"/>
    <s v="Impôt complément s/revenu PP"/>
    <n v="0"/>
    <n v="765.45"/>
    <n v="4001"/>
  </r>
  <r>
    <x v="0"/>
    <x v="12"/>
    <x v="5"/>
    <x v="345"/>
    <x v="289"/>
    <x v="289"/>
    <s v="REVENUS"/>
    <x v="3"/>
    <s v="4002.002"/>
    <s v="Impôt complémentaire s/fortune PP"/>
    <n v="0"/>
    <n v="356.4"/>
    <n v="4002"/>
  </r>
  <r>
    <x v="0"/>
    <x v="12"/>
    <x v="5"/>
    <x v="345"/>
    <x v="289"/>
    <x v="289"/>
    <s v="REVENUS"/>
    <x v="6"/>
    <s v="4221.003"/>
    <s v="Intérêts compensat. / acomptes en faveur du fisc"/>
    <n v="0"/>
    <n v="0.1"/>
    <n v="4221"/>
  </r>
  <r>
    <x v="0"/>
    <x v="12"/>
    <x v="5"/>
    <x v="345"/>
    <x v="289"/>
    <x v="289"/>
    <s v="REVENUS"/>
    <x v="10"/>
    <s v="4041.001"/>
    <s v="Droits de mutation"/>
    <n v="0"/>
    <n v="25443"/>
    <n v="4041"/>
  </r>
  <r>
    <x v="0"/>
    <x v="12"/>
    <x v="5"/>
    <x v="345"/>
    <x v="289"/>
    <x v="289"/>
    <s v="REVENUS"/>
    <x v="2"/>
    <s v="4001.001"/>
    <s v="Impôt revenu"/>
    <n v="0"/>
    <n v="16889.599999999999"/>
    <n v="4001"/>
  </r>
  <r>
    <x v="0"/>
    <x v="12"/>
    <x v="5"/>
    <x v="345"/>
    <x v="289"/>
    <x v="289"/>
    <s v="REVENUS"/>
    <x v="9"/>
    <s v="4031.001"/>
    <s v="Impôt sur les gains immobiliers"/>
    <n v="0"/>
    <n v="33978.300000000003"/>
    <n v="4031"/>
  </r>
  <r>
    <x v="0"/>
    <x v="12"/>
    <x v="5"/>
    <x v="345"/>
    <x v="289"/>
    <x v="289"/>
    <s v="REVENUS"/>
    <x v="6"/>
    <s v="4211.001"/>
    <s v="Intérêts de retard sur factures"/>
    <n v="0"/>
    <n v="9.11"/>
    <n v="4211"/>
  </r>
  <r>
    <x v="0"/>
    <x v="12"/>
    <x v="5"/>
    <x v="345"/>
    <x v="289"/>
    <x v="289"/>
    <s v="REVENUS"/>
    <x v="6"/>
    <s v="4211.001"/>
    <s v="Intérêts de retard sur factures"/>
    <n v="0"/>
    <n v="0.54"/>
    <n v="4211"/>
  </r>
  <r>
    <x v="0"/>
    <x v="12"/>
    <x v="5"/>
    <x v="345"/>
    <x v="289"/>
    <x v="289"/>
    <s v="REVENUS"/>
    <x v="6"/>
    <s v="4221.003"/>
    <s v="Intérêts compensat. / acomptes en faveur du fisc"/>
    <n v="0"/>
    <n v="2.11"/>
    <n v="4221"/>
  </r>
  <r>
    <x v="0"/>
    <x v="12"/>
    <x v="5"/>
    <x v="345"/>
    <x v="289"/>
    <x v="289"/>
    <s v="REVENUS"/>
    <x v="4"/>
    <s v="4051.001"/>
    <s v="Impôt sur les successions"/>
    <n v="0"/>
    <n v="-6233.6"/>
    <n v="4051"/>
  </r>
  <r>
    <x v="0"/>
    <x v="12"/>
    <x v="5"/>
    <x v="345"/>
    <x v="289"/>
    <x v="289"/>
    <s v="REVENUS"/>
    <x v="2"/>
    <s v="4001.002"/>
    <s v="Impôt complément s/revenu PP"/>
    <n v="0"/>
    <n v="784.2"/>
    <n v="4001"/>
  </r>
  <r>
    <x v="0"/>
    <x v="12"/>
    <x v="5"/>
    <x v="345"/>
    <x v="289"/>
    <x v="289"/>
    <s v="REVENUS"/>
    <x v="3"/>
    <s v="4002.002"/>
    <s v="Impôt complémentaire s/fortune PP"/>
    <n v="0"/>
    <n v="460.55"/>
    <n v="4002"/>
  </r>
  <r>
    <x v="0"/>
    <x v="12"/>
    <x v="5"/>
    <x v="345"/>
    <x v="289"/>
    <x v="289"/>
    <s v="REVENUS"/>
    <x v="8"/>
    <s v="4091.001"/>
    <s v="Impôt récupéré après défalcations"/>
    <n v="0"/>
    <n v="1081.54"/>
    <n v="4091"/>
  </r>
  <r>
    <x v="0"/>
    <x v="12"/>
    <x v="5"/>
    <x v="345"/>
    <x v="289"/>
    <x v="289"/>
    <s v="REVENUS"/>
    <x v="6"/>
    <s v="4211.002"/>
    <s v="Intérêts de retard sur acomptes"/>
    <n v="0"/>
    <n v="8.42"/>
    <n v="4211"/>
  </r>
  <r>
    <x v="0"/>
    <x v="12"/>
    <x v="5"/>
    <x v="345"/>
    <x v="289"/>
    <x v="289"/>
    <s v="REVENUS"/>
    <x v="8"/>
    <s v="4091.001"/>
    <s v="Impôt récupéré après défalcations"/>
    <n v="0"/>
    <n v="293.95999999999998"/>
    <n v="4091"/>
  </r>
  <r>
    <x v="0"/>
    <x v="12"/>
    <x v="5"/>
    <x v="345"/>
    <x v="289"/>
    <x v="289"/>
    <s v="REVENUS"/>
    <x v="3"/>
    <s v="4002.002"/>
    <s v="Impôt complémentaire s/fortune PP"/>
    <n v="0"/>
    <n v="459.45"/>
    <n v="4002"/>
  </r>
  <r>
    <x v="0"/>
    <x v="12"/>
    <x v="5"/>
    <x v="345"/>
    <x v="289"/>
    <x v="289"/>
    <s v="REVENUS"/>
    <x v="6"/>
    <s v="4211.001"/>
    <s v="Intérêts de retard sur factures"/>
    <n v="0"/>
    <n v="1.06"/>
    <n v="4211"/>
  </r>
  <r>
    <x v="0"/>
    <x v="12"/>
    <x v="5"/>
    <x v="345"/>
    <x v="289"/>
    <x v="289"/>
    <s v="REVENUS"/>
    <x v="10"/>
    <s v="4041.002"/>
    <s v="Complément droit de mutation"/>
    <n v="0"/>
    <n v="1529.85"/>
    <n v="4041"/>
  </r>
  <r>
    <x v="0"/>
    <x v="4"/>
    <x v="4"/>
    <x v="346"/>
    <x v="290"/>
    <x v="290"/>
    <s v="CHARGES"/>
    <x v="1"/>
    <s v="3301.001"/>
    <s v="Défalcations, abandons de solde PP et IS"/>
    <n v="3895.26"/>
    <n v="0"/>
    <n v="3301"/>
  </r>
  <r>
    <x v="0"/>
    <x v="4"/>
    <x v="4"/>
    <x v="346"/>
    <x v="290"/>
    <x v="290"/>
    <s v="CHARGES"/>
    <x v="0"/>
    <s v="3212.004"/>
    <s v="Intérêts rémun./perçu trop tôt sur acomptes C/C"/>
    <n v="71.52"/>
    <n v="0"/>
    <n v="3212"/>
  </r>
  <r>
    <x v="0"/>
    <x v="4"/>
    <x v="4"/>
    <x v="346"/>
    <x v="290"/>
    <x v="290"/>
    <s v="CHARGES"/>
    <x v="0"/>
    <s v="3221.002"/>
    <s v="Intérêts compensatoires / créances en faveur ctb."/>
    <n v="51.96"/>
    <n v="0"/>
    <n v="3221"/>
  </r>
  <r>
    <x v="0"/>
    <x v="4"/>
    <x v="4"/>
    <x v="346"/>
    <x v="290"/>
    <x v="290"/>
    <s v="CHARGES"/>
    <x v="0"/>
    <s v="3212.002"/>
    <s v="Intérêts bonifiés/trop perçu acompte C/C"/>
    <n v="0.37"/>
    <n v="0"/>
    <n v="3212"/>
  </r>
  <r>
    <x v="0"/>
    <x v="4"/>
    <x v="4"/>
    <x v="346"/>
    <x v="290"/>
    <x v="290"/>
    <s v="CHARGES"/>
    <x v="1"/>
    <s v="3301.001"/>
    <s v="Défalcations, abandons de solde PP et IS"/>
    <n v="0.18"/>
    <n v="0"/>
    <n v="3301"/>
  </r>
  <r>
    <x v="0"/>
    <x v="4"/>
    <x v="4"/>
    <x v="346"/>
    <x v="290"/>
    <x v="290"/>
    <s v="CHARGES"/>
    <x v="0"/>
    <s v="3212.004"/>
    <s v="Intérêts rémun./perçu trop tôt sur acomptes C/C"/>
    <n v="1.2"/>
    <n v="0"/>
    <n v="3212"/>
  </r>
  <r>
    <x v="0"/>
    <x v="4"/>
    <x v="4"/>
    <x v="346"/>
    <x v="290"/>
    <x v="290"/>
    <s v="CHARGES"/>
    <x v="1"/>
    <s v="3301.001"/>
    <s v="Défalcations, abandons de solde PP et IS"/>
    <n v="0.02"/>
    <n v="0"/>
    <n v="3301"/>
  </r>
  <r>
    <x v="0"/>
    <x v="4"/>
    <x v="4"/>
    <x v="346"/>
    <x v="290"/>
    <x v="290"/>
    <s v="CHARGES"/>
    <x v="0"/>
    <s v="3212.004"/>
    <s v="Intérêts rémun./perçu trop tôt sur acomptes C/C"/>
    <n v="0.17"/>
    <n v="0"/>
    <n v="3212"/>
  </r>
  <r>
    <x v="0"/>
    <x v="4"/>
    <x v="4"/>
    <x v="346"/>
    <x v="290"/>
    <x v="290"/>
    <s v="CHARGES"/>
    <x v="0"/>
    <s v="3221.002"/>
    <s v="Intérêts compensatoires / créances en faveur ctb."/>
    <n v="0.08"/>
    <n v="0"/>
    <n v="3221"/>
  </r>
  <r>
    <x v="0"/>
    <x v="4"/>
    <x v="4"/>
    <x v="346"/>
    <x v="290"/>
    <x v="290"/>
    <s v="CHARGES"/>
    <x v="0"/>
    <s v="3212.004"/>
    <s v="Intérêts rémun./perçu trop tôt sur acomptes C/C"/>
    <n v="0.21"/>
    <n v="0"/>
    <n v="3212"/>
  </r>
  <r>
    <x v="0"/>
    <x v="4"/>
    <x v="4"/>
    <x v="346"/>
    <x v="290"/>
    <x v="290"/>
    <s v="CHARGES"/>
    <x v="0"/>
    <s v="3221.002"/>
    <s v="Intérêts compensatoires / créances en faveur ctb."/>
    <n v="0.03"/>
    <n v="0"/>
    <n v="3221"/>
  </r>
  <r>
    <x v="0"/>
    <x v="4"/>
    <x v="4"/>
    <x v="346"/>
    <x v="290"/>
    <x v="290"/>
    <s v="CHARGES"/>
    <x v="0"/>
    <s v="3221.002"/>
    <s v="Intérêts compensatoires / créances en faveur ctb."/>
    <n v="0.02"/>
    <n v="0"/>
    <n v="3221"/>
  </r>
  <r>
    <x v="0"/>
    <x v="4"/>
    <x v="4"/>
    <x v="346"/>
    <x v="290"/>
    <x v="290"/>
    <s v="REVENUS"/>
    <x v="2"/>
    <s v="4001.001"/>
    <s v="Impôt revenu"/>
    <n v="0"/>
    <n v="233416.6"/>
    <n v="4001"/>
  </r>
  <r>
    <x v="0"/>
    <x v="4"/>
    <x v="4"/>
    <x v="346"/>
    <x v="290"/>
    <x v="290"/>
    <s v="REVENUS"/>
    <x v="2"/>
    <s v="4001.003"/>
    <s v="Impôt s/prest. cap. PP"/>
    <n v="0"/>
    <n v="9284.1"/>
    <n v="4001"/>
  </r>
  <r>
    <x v="0"/>
    <x v="4"/>
    <x v="4"/>
    <x v="346"/>
    <x v="290"/>
    <x v="290"/>
    <s v="REVENUS"/>
    <x v="2"/>
    <s v="4001.007"/>
    <s v="Acompte impôt sur revenu"/>
    <n v="0"/>
    <n v="4147.84"/>
    <n v="4001"/>
  </r>
  <r>
    <x v="0"/>
    <x v="4"/>
    <x v="4"/>
    <x v="346"/>
    <x v="290"/>
    <x v="290"/>
    <s v="REVENUS"/>
    <x v="3"/>
    <s v="4002.001"/>
    <s v="Impôt ordinaire s/fortune PP"/>
    <n v="0"/>
    <n v="28282.2"/>
    <n v="4002"/>
  </r>
  <r>
    <x v="0"/>
    <x v="4"/>
    <x v="4"/>
    <x v="346"/>
    <x v="290"/>
    <x v="290"/>
    <s v="REVENUS"/>
    <x v="3"/>
    <s v="4002.007"/>
    <s v="Acompte impôt sur fortune"/>
    <n v="0"/>
    <n v="-11112.8"/>
    <n v="4002"/>
  </r>
  <r>
    <x v="0"/>
    <x v="4"/>
    <x v="4"/>
    <x v="346"/>
    <x v="290"/>
    <x v="290"/>
    <s v="REVENUS"/>
    <x v="6"/>
    <s v="4211.002"/>
    <s v="Intérêts de retard sur acomptes"/>
    <n v="0"/>
    <n v="3147.76"/>
    <n v="4211"/>
  </r>
  <r>
    <x v="0"/>
    <x v="4"/>
    <x v="4"/>
    <x v="346"/>
    <x v="290"/>
    <x v="290"/>
    <s v="REVENUS"/>
    <x v="6"/>
    <s v="4221.003"/>
    <s v="Intérêts compensat. / acomptes en faveur du fisc"/>
    <n v="0"/>
    <n v="26.91"/>
    <n v="4221"/>
  </r>
  <r>
    <x v="0"/>
    <x v="4"/>
    <x v="4"/>
    <x v="346"/>
    <x v="290"/>
    <x v="290"/>
    <s v="REVENUS"/>
    <x v="6"/>
    <s v="4211.001"/>
    <s v="Intérêts de retard sur factures"/>
    <n v="0"/>
    <n v="1770.11"/>
    <n v="4211"/>
  </r>
  <r>
    <x v="0"/>
    <x v="4"/>
    <x v="4"/>
    <x v="346"/>
    <x v="290"/>
    <x v="290"/>
    <s v="REVENUS"/>
    <x v="2"/>
    <s v="4001.002"/>
    <s v="Impôt complément s/revenu PP"/>
    <n v="0"/>
    <n v="69184.7"/>
    <n v="4001"/>
  </r>
  <r>
    <x v="0"/>
    <x v="4"/>
    <x v="4"/>
    <x v="346"/>
    <x v="290"/>
    <x v="290"/>
    <s v="REVENUS"/>
    <x v="2"/>
    <s v="4001.007"/>
    <s v="Acompte impôt sur revenu"/>
    <n v="0"/>
    <n v="281.79000000000002"/>
    <n v="4001"/>
  </r>
  <r>
    <x v="0"/>
    <x v="4"/>
    <x v="4"/>
    <x v="346"/>
    <x v="290"/>
    <x v="290"/>
    <s v="REVENUS"/>
    <x v="3"/>
    <s v="4002.007"/>
    <s v="Acompte impôt sur fortune"/>
    <n v="0"/>
    <n v="-10.050000000000001"/>
    <n v="4002"/>
  </r>
  <r>
    <x v="0"/>
    <x v="4"/>
    <x v="4"/>
    <x v="346"/>
    <x v="290"/>
    <x v="290"/>
    <s v="REVENUS"/>
    <x v="2"/>
    <s v="4001.007"/>
    <s v="Acompte impôt sur revenu"/>
    <n v="0"/>
    <n v="-95.4"/>
    <n v="4001"/>
  </r>
  <r>
    <x v="0"/>
    <x v="4"/>
    <x v="4"/>
    <x v="346"/>
    <x v="290"/>
    <x v="290"/>
    <s v="REVENUS"/>
    <x v="3"/>
    <s v="4002.007"/>
    <s v="Acompte impôt sur fortune"/>
    <n v="0"/>
    <n v="-73.099999999999994"/>
    <n v="4002"/>
  </r>
  <r>
    <x v="0"/>
    <x v="4"/>
    <x v="4"/>
    <x v="346"/>
    <x v="290"/>
    <x v="290"/>
    <s v="REVENUS"/>
    <x v="3"/>
    <s v="4002.002"/>
    <s v="Impôt complémentaire s/fortune PP"/>
    <n v="0"/>
    <n v="586.54999999999995"/>
    <n v="4002"/>
  </r>
  <r>
    <x v="0"/>
    <x v="4"/>
    <x v="4"/>
    <x v="346"/>
    <x v="290"/>
    <x v="290"/>
    <s v="REVENUS"/>
    <x v="2"/>
    <s v="4001.007"/>
    <s v="Acompte impôt sur revenu"/>
    <n v="0"/>
    <n v="-5.5"/>
    <n v="4001"/>
  </r>
  <r>
    <x v="0"/>
    <x v="4"/>
    <x v="4"/>
    <x v="346"/>
    <x v="290"/>
    <x v="290"/>
    <s v="REVENUS"/>
    <x v="7"/>
    <s v="4184.000"/>
    <s v="Frais de poursuite"/>
    <n v="0"/>
    <n v="488.14"/>
    <n v="4184"/>
  </r>
  <r>
    <x v="0"/>
    <x v="4"/>
    <x v="4"/>
    <x v="346"/>
    <x v="290"/>
    <x v="290"/>
    <s v="REVENUS"/>
    <x v="3"/>
    <s v="4002.007"/>
    <s v="Acompte impôt sur fortune"/>
    <n v="0"/>
    <n v="-347.22"/>
    <n v="4002"/>
  </r>
  <r>
    <x v="0"/>
    <x v="4"/>
    <x v="4"/>
    <x v="346"/>
    <x v="290"/>
    <x v="290"/>
    <s v="REVENUS"/>
    <x v="3"/>
    <s v="4002.007"/>
    <s v="Acompte impôt sur fortune"/>
    <n v="0"/>
    <n v="68.099999999999994"/>
    <n v="4002"/>
  </r>
  <r>
    <x v="0"/>
    <x v="4"/>
    <x v="4"/>
    <x v="346"/>
    <x v="290"/>
    <x v="290"/>
    <s v="REVENUS"/>
    <x v="7"/>
    <s v="4184.000"/>
    <s v="Frais de poursuite"/>
    <n v="0"/>
    <n v="59.81"/>
    <n v="4184"/>
  </r>
  <r>
    <x v="0"/>
    <x v="4"/>
    <x v="4"/>
    <x v="346"/>
    <x v="290"/>
    <x v="290"/>
    <s v="REVENUS"/>
    <x v="2"/>
    <s v="4001.001"/>
    <s v="Impôt revenu"/>
    <n v="0"/>
    <n v="610.95000000000005"/>
    <n v="4001"/>
  </r>
  <r>
    <x v="0"/>
    <x v="4"/>
    <x v="4"/>
    <x v="346"/>
    <x v="290"/>
    <x v="290"/>
    <s v="REVENUS"/>
    <x v="3"/>
    <s v="4002.001"/>
    <s v="Impôt ordinaire s/fortune PP"/>
    <n v="0"/>
    <n v="336.95"/>
    <n v="4002"/>
  </r>
  <r>
    <x v="0"/>
    <x v="4"/>
    <x v="4"/>
    <x v="346"/>
    <x v="290"/>
    <x v="290"/>
    <s v="REVENUS"/>
    <x v="6"/>
    <s v="4211.002"/>
    <s v="Intérêts de retard sur acomptes"/>
    <n v="0"/>
    <n v="4.17"/>
    <n v="4211"/>
  </r>
  <r>
    <x v="0"/>
    <x v="4"/>
    <x v="4"/>
    <x v="346"/>
    <x v="290"/>
    <x v="290"/>
    <s v="REVENUS"/>
    <x v="6"/>
    <s v="4221.003"/>
    <s v="Intérêts compensat. / acomptes en faveur du fisc"/>
    <n v="0"/>
    <n v="0.11"/>
    <n v="4221"/>
  </r>
  <r>
    <x v="0"/>
    <x v="4"/>
    <x v="4"/>
    <x v="346"/>
    <x v="290"/>
    <x v="290"/>
    <s v="REVENUS"/>
    <x v="2"/>
    <s v="4001.001"/>
    <s v="Impôt revenu"/>
    <n v="0"/>
    <n v="1807.6"/>
    <n v="4001"/>
  </r>
  <r>
    <x v="0"/>
    <x v="4"/>
    <x v="4"/>
    <x v="346"/>
    <x v="290"/>
    <x v="290"/>
    <s v="REVENUS"/>
    <x v="3"/>
    <s v="4002.001"/>
    <s v="Impôt ordinaire s/fortune PP"/>
    <n v="0"/>
    <n v="276.89999999999998"/>
    <n v="4002"/>
  </r>
  <r>
    <x v="0"/>
    <x v="4"/>
    <x v="4"/>
    <x v="346"/>
    <x v="290"/>
    <x v="290"/>
    <s v="REVENUS"/>
    <x v="6"/>
    <s v="4221.003"/>
    <s v="Intérêts compensat. / acomptes en faveur du fisc"/>
    <n v="0"/>
    <n v="1.01"/>
    <n v="4221"/>
  </r>
  <r>
    <x v="0"/>
    <x v="4"/>
    <x v="4"/>
    <x v="346"/>
    <x v="290"/>
    <x v="290"/>
    <s v="REVENUS"/>
    <x v="7"/>
    <s v="4184.000"/>
    <s v="Frais de poursuite"/>
    <n v="0"/>
    <n v="89.39"/>
    <n v="4184"/>
  </r>
  <r>
    <x v="0"/>
    <x v="4"/>
    <x v="4"/>
    <x v="346"/>
    <x v="290"/>
    <x v="290"/>
    <s v="REVENUS"/>
    <x v="6"/>
    <s v="4211.001"/>
    <s v="Intérêts de retard sur factures"/>
    <n v="0"/>
    <n v="7.0000000000000007E-2"/>
    <n v="4211"/>
  </r>
  <r>
    <x v="0"/>
    <x v="4"/>
    <x v="4"/>
    <x v="346"/>
    <x v="290"/>
    <x v="290"/>
    <s v="REVENUS"/>
    <x v="2"/>
    <s v="4001.001"/>
    <s v="Impôt revenu"/>
    <n v="0"/>
    <n v="71.55"/>
    <n v="4001"/>
  </r>
  <r>
    <x v="0"/>
    <x v="4"/>
    <x v="4"/>
    <x v="346"/>
    <x v="290"/>
    <x v="290"/>
    <s v="REVENUS"/>
    <x v="3"/>
    <s v="4002.001"/>
    <s v="Impôt ordinaire s/fortune PP"/>
    <n v="0"/>
    <n v="158.9"/>
    <n v="4002"/>
  </r>
  <r>
    <x v="0"/>
    <x v="4"/>
    <x v="4"/>
    <x v="346"/>
    <x v="290"/>
    <x v="290"/>
    <s v="REVENUS"/>
    <x v="6"/>
    <s v="4211.001"/>
    <s v="Intérêts de retard sur factures"/>
    <n v="0"/>
    <n v="10.09"/>
    <n v="4211"/>
  </r>
  <r>
    <x v="0"/>
    <x v="4"/>
    <x v="4"/>
    <x v="346"/>
    <x v="290"/>
    <x v="290"/>
    <s v="REVENUS"/>
    <x v="10"/>
    <s v="4041.001"/>
    <s v="Droits de mutation"/>
    <n v="0"/>
    <n v="6036.25"/>
    <n v="4041"/>
  </r>
  <r>
    <x v="0"/>
    <x v="4"/>
    <x v="4"/>
    <x v="346"/>
    <x v="290"/>
    <x v="290"/>
    <s v="REVENUS"/>
    <x v="3"/>
    <s v="4002.001"/>
    <s v="Impôt ordinaire s/fortune PP"/>
    <n v="0"/>
    <n v="60.4"/>
    <n v="4002"/>
  </r>
  <r>
    <x v="0"/>
    <x v="4"/>
    <x v="4"/>
    <x v="346"/>
    <x v="290"/>
    <x v="290"/>
    <s v="REVENUS"/>
    <x v="6"/>
    <s v="4211.002"/>
    <s v="Intérêts de retard sur acomptes"/>
    <n v="0"/>
    <n v="6.44"/>
    <n v="4211"/>
  </r>
  <r>
    <x v="0"/>
    <x v="4"/>
    <x v="4"/>
    <x v="346"/>
    <x v="290"/>
    <x v="290"/>
    <s v="REVENUS"/>
    <x v="4"/>
    <s v="4051.001"/>
    <s v="Impôt sur les successions"/>
    <n v="0"/>
    <n v="10"/>
    <n v="4051"/>
  </r>
  <r>
    <x v="0"/>
    <x v="4"/>
    <x v="4"/>
    <x v="346"/>
    <x v="290"/>
    <x v="290"/>
    <s v="REVENUS"/>
    <x v="6"/>
    <s v="4221.002"/>
    <s v="Intérêts compensat. sur impôts distincts"/>
    <n v="0"/>
    <n v="0.04"/>
    <n v="4221"/>
  </r>
  <r>
    <x v="0"/>
    <x v="4"/>
    <x v="4"/>
    <x v="346"/>
    <x v="290"/>
    <x v="290"/>
    <s v="REVENUS"/>
    <x v="9"/>
    <s v="4031.001"/>
    <s v="Impôt sur les gains immobiliers"/>
    <n v="0"/>
    <n v="14162.6"/>
    <n v="4031"/>
  </r>
  <r>
    <x v="0"/>
    <x v="12"/>
    <x v="5"/>
    <x v="347"/>
    <x v="291"/>
    <x v="291"/>
    <s v="CHARGES"/>
    <x v="0"/>
    <s v="3212.002"/>
    <s v="Intérêts bonifiés/trop perçu acompte C/C"/>
    <n v="3"/>
    <n v="0"/>
    <n v="3212"/>
  </r>
  <r>
    <x v="0"/>
    <x v="12"/>
    <x v="5"/>
    <x v="347"/>
    <x v="291"/>
    <x v="291"/>
    <s v="CHARGES"/>
    <x v="1"/>
    <s v="3301.001"/>
    <s v="Défalcations, abandons de solde PP et IS"/>
    <n v="4060.5"/>
    <n v="0"/>
    <n v="3301"/>
  </r>
  <r>
    <x v="0"/>
    <x v="12"/>
    <x v="5"/>
    <x v="347"/>
    <x v="291"/>
    <x v="291"/>
    <s v="CHARGES"/>
    <x v="0"/>
    <s v="3212.004"/>
    <s v="Intérêts rémun./perçu trop tôt sur acomptes C/C"/>
    <n v="120.38"/>
    <n v="0"/>
    <n v="3212"/>
  </r>
  <r>
    <x v="0"/>
    <x v="12"/>
    <x v="5"/>
    <x v="347"/>
    <x v="291"/>
    <x v="291"/>
    <s v="CHARGES"/>
    <x v="0"/>
    <s v="3221.002"/>
    <s v="Intérêts compensatoires / créances en faveur ctb."/>
    <n v="62.8"/>
    <n v="0"/>
    <n v="3221"/>
  </r>
  <r>
    <x v="0"/>
    <x v="12"/>
    <x v="5"/>
    <x v="347"/>
    <x v="291"/>
    <x v="291"/>
    <s v="CHARGES"/>
    <x v="0"/>
    <s v="3212.004"/>
    <s v="Intérêts rémun./perçu trop tôt sur acomptes C/C"/>
    <n v="5.71"/>
    <n v="0"/>
    <n v="3212"/>
  </r>
  <r>
    <x v="0"/>
    <x v="12"/>
    <x v="5"/>
    <x v="347"/>
    <x v="291"/>
    <x v="291"/>
    <s v="CHARGES"/>
    <x v="0"/>
    <s v="3221.002"/>
    <s v="Intérêts compensatoires / créances en faveur ctb."/>
    <n v="0.12"/>
    <n v="0"/>
    <n v="3221"/>
  </r>
  <r>
    <x v="0"/>
    <x v="12"/>
    <x v="5"/>
    <x v="347"/>
    <x v="291"/>
    <x v="291"/>
    <s v="CHARGES"/>
    <x v="0"/>
    <s v="3212.004"/>
    <s v="Intérêts rémun./perçu trop tôt sur acomptes C/C"/>
    <n v="0.1"/>
    <n v="0"/>
    <n v="3212"/>
  </r>
  <r>
    <x v="0"/>
    <x v="12"/>
    <x v="5"/>
    <x v="347"/>
    <x v="291"/>
    <x v="291"/>
    <s v="CHARGES"/>
    <x v="0"/>
    <s v="3221.002"/>
    <s v="Intérêts compensatoires / créances en faveur ctb."/>
    <n v="0.2"/>
    <n v="0"/>
    <n v="3221"/>
  </r>
  <r>
    <x v="0"/>
    <x v="12"/>
    <x v="5"/>
    <x v="347"/>
    <x v="291"/>
    <x v="291"/>
    <s v="CHARGES"/>
    <x v="1"/>
    <s v="3301.001"/>
    <s v="Défalcations, abandons de solde PP et IS"/>
    <n v="0.46"/>
    <n v="0"/>
    <n v="3301"/>
  </r>
  <r>
    <x v="0"/>
    <x v="12"/>
    <x v="5"/>
    <x v="347"/>
    <x v="291"/>
    <x v="291"/>
    <s v="CHARGES"/>
    <x v="0"/>
    <s v="3212.004"/>
    <s v="Intérêts rémun./perçu trop tôt sur acomptes C/C"/>
    <n v="1.02"/>
    <n v="0"/>
    <n v="3212"/>
  </r>
  <r>
    <x v="0"/>
    <x v="12"/>
    <x v="5"/>
    <x v="347"/>
    <x v="291"/>
    <x v="291"/>
    <s v="CHARGES"/>
    <x v="0"/>
    <s v="3221.002"/>
    <s v="Intérêts compensatoires / créances en faveur ctb."/>
    <n v="2.52"/>
    <n v="0"/>
    <n v="3221"/>
  </r>
  <r>
    <x v="0"/>
    <x v="12"/>
    <x v="5"/>
    <x v="347"/>
    <x v="291"/>
    <x v="291"/>
    <s v="REVENUS"/>
    <x v="2"/>
    <s v="4001.001"/>
    <s v="Impôt revenu"/>
    <n v="0"/>
    <n v="689935.65"/>
    <n v="4001"/>
  </r>
  <r>
    <x v="0"/>
    <x v="12"/>
    <x v="5"/>
    <x v="347"/>
    <x v="291"/>
    <x v="291"/>
    <s v="REVENUS"/>
    <x v="2"/>
    <s v="4001.007"/>
    <s v="Acompte impôt sur revenu"/>
    <n v="0"/>
    <n v="-56495.65"/>
    <n v="4001"/>
  </r>
  <r>
    <x v="0"/>
    <x v="12"/>
    <x v="5"/>
    <x v="347"/>
    <x v="291"/>
    <x v="291"/>
    <s v="REVENUS"/>
    <x v="3"/>
    <s v="4002.001"/>
    <s v="Impôt ordinaire s/fortune PP"/>
    <n v="0"/>
    <n v="79559.600000000006"/>
    <n v="4002"/>
  </r>
  <r>
    <x v="0"/>
    <x v="12"/>
    <x v="5"/>
    <x v="347"/>
    <x v="291"/>
    <x v="291"/>
    <s v="REVENUS"/>
    <x v="6"/>
    <s v="4211.001"/>
    <s v="Intérêts de retard sur factures"/>
    <n v="0"/>
    <n v="1374.82"/>
    <n v="4211"/>
  </r>
  <r>
    <x v="0"/>
    <x v="12"/>
    <x v="5"/>
    <x v="347"/>
    <x v="291"/>
    <x v="291"/>
    <s v="REVENUS"/>
    <x v="2"/>
    <s v="4001.003"/>
    <s v="Impôt s/prest. cap. PP"/>
    <n v="0"/>
    <n v="19459.3"/>
    <n v="4001"/>
  </r>
  <r>
    <x v="0"/>
    <x v="12"/>
    <x v="5"/>
    <x v="347"/>
    <x v="291"/>
    <x v="291"/>
    <s v="REVENUS"/>
    <x v="3"/>
    <s v="4002.007"/>
    <s v="Acompte impôt sur fortune"/>
    <n v="0"/>
    <n v="-5358.21"/>
    <n v="4002"/>
  </r>
  <r>
    <x v="0"/>
    <x v="12"/>
    <x v="5"/>
    <x v="347"/>
    <x v="291"/>
    <x v="291"/>
    <s v="REVENUS"/>
    <x v="6"/>
    <s v="4211.002"/>
    <s v="Intérêts de retard sur acomptes"/>
    <n v="0"/>
    <n v="6690.4"/>
    <n v="4211"/>
  </r>
  <r>
    <x v="0"/>
    <x v="12"/>
    <x v="5"/>
    <x v="347"/>
    <x v="291"/>
    <x v="291"/>
    <s v="REVENUS"/>
    <x v="10"/>
    <s v="4041.001"/>
    <s v="Droits de mutation"/>
    <n v="0"/>
    <n v="29655.85"/>
    <n v="4041"/>
  </r>
  <r>
    <x v="0"/>
    <x v="12"/>
    <x v="5"/>
    <x v="347"/>
    <x v="291"/>
    <x v="291"/>
    <s v="REVENUS"/>
    <x v="2"/>
    <s v="4001.007"/>
    <s v="Acompte impôt sur revenu"/>
    <n v="0"/>
    <n v="3683.2"/>
    <n v="4001"/>
  </r>
  <r>
    <x v="0"/>
    <x v="12"/>
    <x v="5"/>
    <x v="347"/>
    <x v="291"/>
    <x v="291"/>
    <s v="REVENUS"/>
    <x v="7"/>
    <s v="4184.000"/>
    <s v="Frais de poursuite"/>
    <n v="0"/>
    <n v="921.69"/>
    <n v="4184"/>
  </r>
  <r>
    <x v="0"/>
    <x v="12"/>
    <x v="5"/>
    <x v="347"/>
    <x v="291"/>
    <x v="291"/>
    <s v="REVENUS"/>
    <x v="6"/>
    <s v="4221.003"/>
    <s v="Intérêts compensat. / acomptes en faveur du fisc"/>
    <n v="0"/>
    <n v="148.83000000000001"/>
    <n v="4221"/>
  </r>
  <r>
    <x v="0"/>
    <x v="12"/>
    <x v="5"/>
    <x v="347"/>
    <x v="291"/>
    <x v="291"/>
    <s v="REVENUS"/>
    <x v="3"/>
    <s v="4002.002"/>
    <s v="Impôt complémentaire s/fortune PP"/>
    <n v="0"/>
    <n v="670.95"/>
    <n v="4002"/>
  </r>
  <r>
    <x v="0"/>
    <x v="12"/>
    <x v="5"/>
    <x v="347"/>
    <x v="291"/>
    <x v="291"/>
    <s v="REVENUS"/>
    <x v="2"/>
    <s v="4001.007"/>
    <s v="Acompte impôt sur revenu"/>
    <n v="0"/>
    <n v="-527.65"/>
    <n v="4001"/>
  </r>
  <r>
    <x v="0"/>
    <x v="12"/>
    <x v="5"/>
    <x v="347"/>
    <x v="291"/>
    <x v="291"/>
    <s v="REVENUS"/>
    <x v="3"/>
    <s v="4002.007"/>
    <s v="Acompte impôt sur fortune"/>
    <n v="0"/>
    <n v="0.65"/>
    <n v="4002"/>
  </r>
  <r>
    <x v="0"/>
    <x v="12"/>
    <x v="5"/>
    <x v="347"/>
    <x v="291"/>
    <x v="291"/>
    <s v="REVENUS"/>
    <x v="3"/>
    <s v="4002.007"/>
    <s v="Acompte impôt sur fortune"/>
    <n v="0"/>
    <n v="444.12"/>
    <n v="4002"/>
  </r>
  <r>
    <x v="0"/>
    <x v="12"/>
    <x v="5"/>
    <x v="347"/>
    <x v="291"/>
    <x v="291"/>
    <s v="REVENUS"/>
    <x v="2"/>
    <s v="4001.007"/>
    <s v="Acompte impôt sur revenu"/>
    <n v="0"/>
    <n v="-212.4"/>
    <n v="4001"/>
  </r>
  <r>
    <x v="0"/>
    <x v="12"/>
    <x v="5"/>
    <x v="347"/>
    <x v="291"/>
    <x v="291"/>
    <s v="REVENUS"/>
    <x v="3"/>
    <s v="4002.007"/>
    <s v="Acompte impôt sur fortune"/>
    <n v="0"/>
    <n v="-7.35"/>
    <n v="4002"/>
  </r>
  <r>
    <x v="0"/>
    <x v="12"/>
    <x v="5"/>
    <x v="347"/>
    <x v="291"/>
    <x v="291"/>
    <s v="REVENUS"/>
    <x v="3"/>
    <s v="4002.007"/>
    <s v="Acompte impôt sur fortune"/>
    <n v="0"/>
    <n v="-50.45"/>
    <n v="4002"/>
  </r>
  <r>
    <x v="0"/>
    <x v="12"/>
    <x v="5"/>
    <x v="347"/>
    <x v="291"/>
    <x v="291"/>
    <s v="REVENUS"/>
    <x v="2"/>
    <s v="4001.007"/>
    <s v="Acompte impôt sur revenu"/>
    <n v="0"/>
    <n v="1485.1"/>
    <n v="4001"/>
  </r>
  <r>
    <x v="0"/>
    <x v="12"/>
    <x v="5"/>
    <x v="347"/>
    <x v="291"/>
    <x v="291"/>
    <s v="REVENUS"/>
    <x v="6"/>
    <s v="4221.002"/>
    <s v="Intérêts compensat. sur impôts distincts"/>
    <n v="0"/>
    <n v="79.64"/>
    <n v="4221"/>
  </r>
  <r>
    <x v="0"/>
    <x v="12"/>
    <x v="5"/>
    <x v="347"/>
    <x v="291"/>
    <x v="291"/>
    <s v="REVENUS"/>
    <x v="2"/>
    <s v="4001.007"/>
    <s v="Acompte impôt sur revenu"/>
    <n v="0"/>
    <n v="-428.9"/>
    <n v="4001"/>
  </r>
  <r>
    <x v="0"/>
    <x v="12"/>
    <x v="5"/>
    <x v="347"/>
    <x v="291"/>
    <x v="291"/>
    <s v="REVENUS"/>
    <x v="9"/>
    <s v="4031.001"/>
    <s v="Impôt sur les gains immobiliers"/>
    <n v="0"/>
    <n v="89990.55"/>
    <n v="4031"/>
  </r>
  <r>
    <x v="0"/>
    <x v="12"/>
    <x v="5"/>
    <x v="347"/>
    <x v="291"/>
    <x v="291"/>
    <s v="REVENUS"/>
    <x v="2"/>
    <s v="4001.001"/>
    <s v="Impôt revenu"/>
    <n v="0"/>
    <n v="3944.1"/>
    <n v="4001"/>
  </r>
  <r>
    <x v="0"/>
    <x v="12"/>
    <x v="5"/>
    <x v="347"/>
    <x v="291"/>
    <x v="291"/>
    <s v="REVENUS"/>
    <x v="3"/>
    <s v="4002.001"/>
    <s v="Impôt ordinaire s/fortune PP"/>
    <n v="0"/>
    <n v="753"/>
    <n v="4002"/>
  </r>
  <r>
    <x v="0"/>
    <x v="12"/>
    <x v="5"/>
    <x v="347"/>
    <x v="291"/>
    <x v="291"/>
    <s v="REVENUS"/>
    <x v="2"/>
    <s v="4001.001"/>
    <s v="Impôt revenu"/>
    <n v="0"/>
    <n v="3710.95"/>
    <n v="4001"/>
  </r>
  <r>
    <x v="0"/>
    <x v="12"/>
    <x v="5"/>
    <x v="347"/>
    <x v="291"/>
    <x v="291"/>
    <s v="REVENUS"/>
    <x v="3"/>
    <s v="4002.001"/>
    <s v="Impôt ordinaire s/fortune PP"/>
    <n v="0"/>
    <n v="1235.6500000000001"/>
    <n v="4002"/>
  </r>
  <r>
    <x v="0"/>
    <x v="12"/>
    <x v="5"/>
    <x v="347"/>
    <x v="291"/>
    <x v="291"/>
    <s v="REVENUS"/>
    <x v="6"/>
    <s v="4211.002"/>
    <s v="Intérêts de retard sur acomptes"/>
    <n v="0"/>
    <n v="0.82"/>
    <n v="4211"/>
  </r>
  <r>
    <x v="0"/>
    <x v="12"/>
    <x v="5"/>
    <x v="347"/>
    <x v="291"/>
    <x v="291"/>
    <s v="REVENUS"/>
    <x v="6"/>
    <s v="4221.003"/>
    <s v="Intérêts compensat. / acomptes en faveur du fisc"/>
    <n v="0"/>
    <n v="0.65"/>
    <n v="4221"/>
  </r>
  <r>
    <x v="0"/>
    <x v="12"/>
    <x v="5"/>
    <x v="347"/>
    <x v="291"/>
    <x v="291"/>
    <s v="REVENUS"/>
    <x v="2"/>
    <s v="4001.002"/>
    <s v="Impôt complément s/revenu PP"/>
    <n v="0"/>
    <n v="72033.649999999994"/>
    <n v="4001"/>
  </r>
  <r>
    <x v="0"/>
    <x v="12"/>
    <x v="5"/>
    <x v="347"/>
    <x v="291"/>
    <x v="291"/>
    <s v="REVENUS"/>
    <x v="2"/>
    <s v="4001.001"/>
    <s v="Impôt revenu"/>
    <n v="0"/>
    <n v="3174.4"/>
    <n v="4001"/>
  </r>
  <r>
    <x v="0"/>
    <x v="12"/>
    <x v="5"/>
    <x v="347"/>
    <x v="291"/>
    <x v="291"/>
    <s v="REVENUS"/>
    <x v="3"/>
    <s v="4002.001"/>
    <s v="Impôt ordinaire s/fortune PP"/>
    <n v="0"/>
    <n v="707.55"/>
    <n v="4002"/>
  </r>
  <r>
    <x v="0"/>
    <x v="12"/>
    <x v="5"/>
    <x v="347"/>
    <x v="291"/>
    <x v="291"/>
    <s v="REVENUS"/>
    <x v="11"/>
    <s v="4198.000"/>
    <s v="Contributions communales"/>
    <n v="0"/>
    <n v="54197.75"/>
    <n v="4198"/>
  </r>
  <r>
    <x v="0"/>
    <x v="12"/>
    <x v="5"/>
    <x v="347"/>
    <x v="291"/>
    <x v="291"/>
    <s v="REVENUS"/>
    <x v="6"/>
    <s v="4211.001"/>
    <s v="Intérêts de retard sur factures"/>
    <n v="0"/>
    <n v="0.01"/>
    <n v="4211"/>
  </r>
  <r>
    <x v="0"/>
    <x v="12"/>
    <x v="5"/>
    <x v="347"/>
    <x v="291"/>
    <x v="291"/>
    <s v="REVENUS"/>
    <x v="4"/>
    <s v="4051.001"/>
    <s v="Impôt sur les successions"/>
    <n v="0"/>
    <n v="7385"/>
    <n v="4051"/>
  </r>
  <r>
    <x v="0"/>
    <x v="12"/>
    <x v="5"/>
    <x v="348"/>
    <x v="292"/>
    <x v="292"/>
    <s v="CHARGES"/>
    <x v="0"/>
    <s v="3221.002"/>
    <s v="Intérêts compensatoires / créances en faveur ctb."/>
    <n v="393.97"/>
    <n v="0"/>
    <n v="3221"/>
  </r>
  <r>
    <x v="0"/>
    <x v="12"/>
    <x v="5"/>
    <x v="348"/>
    <x v="292"/>
    <x v="292"/>
    <s v="CHARGES"/>
    <x v="0"/>
    <s v="3212.004"/>
    <s v="Intérêts rémun./perçu trop tôt sur acomptes C/C"/>
    <n v="222.75"/>
    <n v="0"/>
    <n v="3212"/>
  </r>
  <r>
    <x v="0"/>
    <x v="12"/>
    <x v="5"/>
    <x v="348"/>
    <x v="292"/>
    <x v="292"/>
    <s v="CHARGES"/>
    <x v="1"/>
    <s v="3301.001"/>
    <s v="Défalcations, abandons de solde PP et IS"/>
    <n v="10403.18"/>
    <n v="0"/>
    <n v="3301"/>
  </r>
  <r>
    <x v="0"/>
    <x v="12"/>
    <x v="5"/>
    <x v="348"/>
    <x v="292"/>
    <x v="292"/>
    <s v="CHARGES"/>
    <x v="1"/>
    <s v="3301.001"/>
    <s v="Défalcations, abandons de solde PP et IS"/>
    <n v="0.54"/>
    <n v="0"/>
    <n v="3301"/>
  </r>
  <r>
    <x v="0"/>
    <x v="12"/>
    <x v="5"/>
    <x v="348"/>
    <x v="292"/>
    <x v="292"/>
    <s v="CHARGES"/>
    <x v="0"/>
    <s v="3212.004"/>
    <s v="Intérêts rémun./perçu trop tôt sur acomptes C/C"/>
    <n v="0.04"/>
    <n v="0"/>
    <n v="3212"/>
  </r>
  <r>
    <x v="0"/>
    <x v="12"/>
    <x v="5"/>
    <x v="348"/>
    <x v="292"/>
    <x v="292"/>
    <s v="CHARGES"/>
    <x v="1"/>
    <s v="3301.001"/>
    <s v="Défalcations, abandons de solde PP et IS"/>
    <n v="0.44"/>
    <n v="0"/>
    <n v="3301"/>
  </r>
  <r>
    <x v="0"/>
    <x v="12"/>
    <x v="5"/>
    <x v="348"/>
    <x v="292"/>
    <x v="292"/>
    <s v="CHARGES"/>
    <x v="0"/>
    <s v="3212.004"/>
    <s v="Intérêts rémun./perçu trop tôt sur acomptes C/C"/>
    <n v="0.91"/>
    <n v="0"/>
    <n v="3212"/>
  </r>
  <r>
    <x v="0"/>
    <x v="12"/>
    <x v="5"/>
    <x v="348"/>
    <x v="292"/>
    <x v="292"/>
    <s v="CHARGES"/>
    <x v="0"/>
    <s v="3212.002"/>
    <s v="Intérêts bonifiés/trop perçu acompte C/C"/>
    <n v="20.57"/>
    <n v="0"/>
    <n v="3212"/>
  </r>
  <r>
    <x v="0"/>
    <x v="12"/>
    <x v="5"/>
    <x v="348"/>
    <x v="292"/>
    <x v="292"/>
    <s v="CHARGES"/>
    <x v="0"/>
    <s v="3221.002"/>
    <s v="Intérêts compensatoires / créances en faveur ctb."/>
    <n v="0.03"/>
    <n v="0"/>
    <n v="3221"/>
  </r>
  <r>
    <x v="0"/>
    <x v="12"/>
    <x v="5"/>
    <x v="348"/>
    <x v="292"/>
    <x v="292"/>
    <s v="REVENUS"/>
    <x v="6"/>
    <s v="4211.001"/>
    <s v="Intérêts de retard sur factures"/>
    <n v="0"/>
    <n v="5.27"/>
    <n v="4211"/>
  </r>
  <r>
    <x v="0"/>
    <x v="12"/>
    <x v="5"/>
    <x v="348"/>
    <x v="292"/>
    <x v="292"/>
    <s v="REVENUS"/>
    <x v="2"/>
    <s v="4001.003"/>
    <s v="Impôt s/prest. cap. PP"/>
    <n v="0"/>
    <n v="9679.9"/>
    <n v="4001"/>
  </r>
  <r>
    <x v="0"/>
    <x v="12"/>
    <x v="5"/>
    <x v="348"/>
    <x v="292"/>
    <x v="292"/>
    <s v="REVENUS"/>
    <x v="2"/>
    <s v="4001.007"/>
    <s v="Acompte impôt sur revenu"/>
    <n v="0"/>
    <n v="-99668.72"/>
    <n v="4001"/>
  </r>
  <r>
    <x v="0"/>
    <x v="12"/>
    <x v="5"/>
    <x v="348"/>
    <x v="292"/>
    <x v="292"/>
    <s v="REVENUS"/>
    <x v="2"/>
    <s v="4001.001"/>
    <s v="Impôt revenu"/>
    <n v="0"/>
    <n v="1524.35"/>
    <n v="4001"/>
  </r>
  <r>
    <x v="0"/>
    <x v="12"/>
    <x v="5"/>
    <x v="348"/>
    <x v="292"/>
    <x v="292"/>
    <s v="REVENUS"/>
    <x v="3"/>
    <s v="4002.001"/>
    <s v="Impôt ordinaire s/fortune PP"/>
    <n v="0"/>
    <n v="416.15"/>
    <n v="4002"/>
  </r>
  <r>
    <x v="0"/>
    <x v="12"/>
    <x v="5"/>
    <x v="348"/>
    <x v="292"/>
    <x v="292"/>
    <s v="REVENUS"/>
    <x v="3"/>
    <s v="4002.007"/>
    <s v="Acompte impôt sur fortune"/>
    <n v="0"/>
    <n v="-51637.54"/>
    <n v="4002"/>
  </r>
  <r>
    <x v="0"/>
    <x v="12"/>
    <x v="5"/>
    <x v="348"/>
    <x v="292"/>
    <x v="292"/>
    <s v="REVENUS"/>
    <x v="6"/>
    <s v="4211.001"/>
    <s v="Intérêts de retard sur factures"/>
    <n v="0"/>
    <n v="2312.4899999999998"/>
    <n v="4211"/>
  </r>
  <r>
    <x v="0"/>
    <x v="12"/>
    <x v="5"/>
    <x v="348"/>
    <x v="292"/>
    <x v="292"/>
    <s v="REVENUS"/>
    <x v="2"/>
    <s v="4001.001"/>
    <s v="Impôt revenu"/>
    <n v="0"/>
    <n v="476726.8"/>
    <n v="4001"/>
  </r>
  <r>
    <x v="0"/>
    <x v="12"/>
    <x v="5"/>
    <x v="348"/>
    <x v="292"/>
    <x v="292"/>
    <s v="REVENUS"/>
    <x v="7"/>
    <s v="4184.000"/>
    <s v="Frais de poursuite"/>
    <n v="0"/>
    <n v="973.66"/>
    <n v="4184"/>
  </r>
  <r>
    <x v="0"/>
    <x v="12"/>
    <x v="5"/>
    <x v="348"/>
    <x v="292"/>
    <x v="292"/>
    <s v="REVENUS"/>
    <x v="6"/>
    <s v="4211.002"/>
    <s v="Intérêts de retard sur acomptes"/>
    <n v="0"/>
    <n v="2302.91"/>
    <n v="4211"/>
  </r>
  <r>
    <x v="0"/>
    <x v="12"/>
    <x v="5"/>
    <x v="348"/>
    <x v="292"/>
    <x v="292"/>
    <s v="REVENUS"/>
    <x v="3"/>
    <s v="4002.001"/>
    <s v="Impôt ordinaire s/fortune PP"/>
    <n v="0"/>
    <n v="64350.5"/>
    <n v="4002"/>
  </r>
  <r>
    <x v="0"/>
    <x v="12"/>
    <x v="5"/>
    <x v="348"/>
    <x v="292"/>
    <x v="292"/>
    <s v="REVENUS"/>
    <x v="2"/>
    <s v="4001.007"/>
    <s v="Acompte impôt sur revenu"/>
    <n v="0"/>
    <n v="-518.41"/>
    <n v="4001"/>
  </r>
  <r>
    <x v="0"/>
    <x v="12"/>
    <x v="5"/>
    <x v="348"/>
    <x v="292"/>
    <x v="292"/>
    <s v="REVENUS"/>
    <x v="2"/>
    <s v="4001.001"/>
    <s v="Impôt revenu"/>
    <n v="0"/>
    <n v="1604.75"/>
    <n v="4001"/>
  </r>
  <r>
    <x v="0"/>
    <x v="12"/>
    <x v="5"/>
    <x v="348"/>
    <x v="292"/>
    <x v="292"/>
    <s v="REVENUS"/>
    <x v="3"/>
    <s v="4002.001"/>
    <s v="Impôt ordinaire s/fortune PP"/>
    <n v="0"/>
    <n v="2263.65"/>
    <n v="4002"/>
  </r>
  <r>
    <x v="0"/>
    <x v="12"/>
    <x v="5"/>
    <x v="348"/>
    <x v="292"/>
    <x v="292"/>
    <s v="REVENUS"/>
    <x v="6"/>
    <s v="4221.003"/>
    <s v="Intérêts compensat. / acomptes en faveur du fisc"/>
    <n v="0"/>
    <n v="0.54"/>
    <n v="4221"/>
  </r>
  <r>
    <x v="0"/>
    <x v="12"/>
    <x v="5"/>
    <x v="348"/>
    <x v="292"/>
    <x v="292"/>
    <s v="REVENUS"/>
    <x v="3"/>
    <s v="4002.007"/>
    <s v="Acompte impôt sur fortune"/>
    <n v="0"/>
    <n v="-590.30999999999995"/>
    <n v="4002"/>
  </r>
  <r>
    <x v="0"/>
    <x v="12"/>
    <x v="5"/>
    <x v="348"/>
    <x v="292"/>
    <x v="292"/>
    <s v="REVENUS"/>
    <x v="3"/>
    <s v="4002.007"/>
    <s v="Acompte impôt sur fortune"/>
    <n v="0"/>
    <n v="102.2"/>
    <n v="4002"/>
  </r>
  <r>
    <x v="0"/>
    <x v="12"/>
    <x v="5"/>
    <x v="348"/>
    <x v="292"/>
    <x v="292"/>
    <s v="REVENUS"/>
    <x v="10"/>
    <s v="4041.001"/>
    <s v="Droits de mutation"/>
    <n v="0"/>
    <n v="15290"/>
    <n v="4041"/>
  </r>
  <r>
    <x v="0"/>
    <x v="12"/>
    <x v="5"/>
    <x v="348"/>
    <x v="292"/>
    <x v="292"/>
    <s v="REVENUS"/>
    <x v="2"/>
    <s v="4001.007"/>
    <s v="Acompte impôt sur revenu"/>
    <n v="0"/>
    <n v="-418.52"/>
    <n v="4001"/>
  </r>
  <r>
    <x v="0"/>
    <x v="12"/>
    <x v="5"/>
    <x v="348"/>
    <x v="292"/>
    <x v="292"/>
    <s v="REVENUS"/>
    <x v="3"/>
    <s v="4002.007"/>
    <s v="Acompte impôt sur fortune"/>
    <n v="0"/>
    <n v="129.80000000000001"/>
    <n v="4002"/>
  </r>
  <r>
    <x v="0"/>
    <x v="12"/>
    <x v="5"/>
    <x v="348"/>
    <x v="292"/>
    <x v="292"/>
    <s v="REVENUS"/>
    <x v="6"/>
    <s v="4221.003"/>
    <s v="Intérêts compensat. / acomptes en faveur du fisc"/>
    <n v="0"/>
    <n v="59.73"/>
    <n v="4221"/>
  </r>
  <r>
    <x v="0"/>
    <x v="12"/>
    <x v="5"/>
    <x v="348"/>
    <x v="292"/>
    <x v="292"/>
    <s v="REVENUS"/>
    <x v="4"/>
    <s v="4051.002"/>
    <s v="Impôt sur les donations"/>
    <n v="0"/>
    <n v="112428.5"/>
    <n v="4051"/>
  </r>
  <r>
    <x v="0"/>
    <x v="12"/>
    <x v="5"/>
    <x v="348"/>
    <x v="292"/>
    <x v="292"/>
    <s v="REVENUS"/>
    <x v="6"/>
    <s v="4221.002"/>
    <s v="Intérêts compensat. sur impôts distincts"/>
    <n v="0"/>
    <n v="0.28000000000000003"/>
    <n v="4221"/>
  </r>
  <r>
    <x v="0"/>
    <x v="12"/>
    <x v="5"/>
    <x v="348"/>
    <x v="292"/>
    <x v="292"/>
    <s v="REVENUS"/>
    <x v="6"/>
    <s v="4211.002"/>
    <s v="Intérêts de retard sur acomptes"/>
    <n v="0"/>
    <n v="0.56000000000000005"/>
    <n v="4211"/>
  </r>
  <r>
    <x v="0"/>
    <x v="12"/>
    <x v="5"/>
    <x v="348"/>
    <x v="292"/>
    <x v="292"/>
    <s v="REVENUS"/>
    <x v="6"/>
    <s v="4221.003"/>
    <s v="Intérêts compensat. / acomptes en faveur du fisc"/>
    <n v="0"/>
    <n v="0.47"/>
    <n v="4221"/>
  </r>
  <r>
    <x v="0"/>
    <x v="12"/>
    <x v="5"/>
    <x v="348"/>
    <x v="292"/>
    <x v="292"/>
    <s v="REVENUS"/>
    <x v="2"/>
    <s v="4001.002"/>
    <s v="Impôt complément s/revenu PP"/>
    <n v="0"/>
    <n v="31976.799999999999"/>
    <n v="4001"/>
  </r>
  <r>
    <x v="0"/>
    <x v="12"/>
    <x v="5"/>
    <x v="348"/>
    <x v="292"/>
    <x v="292"/>
    <s v="REVENUS"/>
    <x v="4"/>
    <s v="4051.001"/>
    <s v="Impôt sur les successions"/>
    <n v="0"/>
    <n v="-0.8"/>
    <n v="4051"/>
  </r>
  <r>
    <x v="0"/>
    <x v="12"/>
    <x v="5"/>
    <x v="348"/>
    <x v="292"/>
    <x v="292"/>
    <s v="REVENUS"/>
    <x v="3"/>
    <s v="4002.002"/>
    <s v="Impôt complémentaire s/fortune PP"/>
    <n v="0"/>
    <n v="2347.6999999999998"/>
    <n v="4002"/>
  </r>
  <r>
    <x v="0"/>
    <x v="12"/>
    <x v="5"/>
    <x v="348"/>
    <x v="292"/>
    <x v="292"/>
    <s v="REVENUS"/>
    <x v="9"/>
    <s v="4031.001"/>
    <s v="Impôt sur les gains immobiliers"/>
    <n v="0"/>
    <n v="4637.55"/>
    <n v="4031"/>
  </r>
  <r>
    <x v="0"/>
    <x v="12"/>
    <x v="5"/>
    <x v="349"/>
    <x v="293"/>
    <x v="293"/>
    <s v="CHARGES"/>
    <x v="0"/>
    <s v="3212.004"/>
    <s v="Intérêts rémun./perçu trop tôt sur acomptes C/C"/>
    <n v="0.67"/>
    <n v="0"/>
    <n v="3212"/>
  </r>
  <r>
    <x v="0"/>
    <x v="12"/>
    <x v="5"/>
    <x v="349"/>
    <x v="293"/>
    <x v="293"/>
    <s v="CHARGES"/>
    <x v="1"/>
    <s v="3301.001"/>
    <s v="Défalcations, abandons de solde PP et IS"/>
    <n v="0.42"/>
    <n v="0"/>
    <n v="3301"/>
  </r>
  <r>
    <x v="0"/>
    <x v="12"/>
    <x v="5"/>
    <x v="349"/>
    <x v="293"/>
    <x v="293"/>
    <s v="CHARGES"/>
    <x v="1"/>
    <s v="3301.001"/>
    <s v="Défalcations, abandons de solde PP et IS"/>
    <n v="4555.47"/>
    <n v="0"/>
    <n v="3301"/>
  </r>
  <r>
    <x v="0"/>
    <x v="12"/>
    <x v="5"/>
    <x v="349"/>
    <x v="293"/>
    <x v="293"/>
    <s v="CHARGES"/>
    <x v="0"/>
    <s v="3212.004"/>
    <s v="Intérêts rémun./perçu trop tôt sur acomptes C/C"/>
    <n v="486.9"/>
    <n v="0"/>
    <n v="3212"/>
  </r>
  <r>
    <x v="0"/>
    <x v="12"/>
    <x v="5"/>
    <x v="349"/>
    <x v="293"/>
    <x v="293"/>
    <s v="CHARGES"/>
    <x v="0"/>
    <s v="3221.002"/>
    <s v="Intérêts compensatoires / créances en faveur ctb."/>
    <n v="429.04"/>
    <n v="0"/>
    <n v="3221"/>
  </r>
  <r>
    <x v="0"/>
    <x v="12"/>
    <x v="5"/>
    <x v="349"/>
    <x v="293"/>
    <x v="293"/>
    <s v="CHARGES"/>
    <x v="0"/>
    <s v="3212.002"/>
    <s v="Intérêts bonifiés/trop perçu acompte C/C"/>
    <n v="78.209999999999994"/>
    <n v="0"/>
    <n v="3212"/>
  </r>
  <r>
    <x v="0"/>
    <x v="12"/>
    <x v="5"/>
    <x v="349"/>
    <x v="293"/>
    <x v="293"/>
    <s v="CHARGES"/>
    <x v="0"/>
    <s v="3212.004"/>
    <s v="Intérêts rémun./perçu trop tôt sur acomptes C/C"/>
    <n v="1.61"/>
    <n v="0"/>
    <n v="3212"/>
  </r>
  <r>
    <x v="0"/>
    <x v="12"/>
    <x v="5"/>
    <x v="349"/>
    <x v="293"/>
    <x v="293"/>
    <s v="CHARGES"/>
    <x v="0"/>
    <s v="3221.002"/>
    <s v="Intérêts compensatoires / créances en faveur ctb."/>
    <n v="1.08"/>
    <n v="0"/>
    <n v="3221"/>
  </r>
  <r>
    <x v="0"/>
    <x v="12"/>
    <x v="5"/>
    <x v="349"/>
    <x v="293"/>
    <x v="293"/>
    <s v="CHARGES"/>
    <x v="1"/>
    <s v="3301.001"/>
    <s v="Défalcations, abandons de solde PP et IS"/>
    <n v="0.38"/>
    <n v="0"/>
    <n v="3301"/>
  </r>
  <r>
    <x v="0"/>
    <x v="12"/>
    <x v="5"/>
    <x v="349"/>
    <x v="293"/>
    <x v="293"/>
    <s v="CHARGES"/>
    <x v="0"/>
    <s v="3212.004"/>
    <s v="Intérêts rémun./perçu trop tôt sur acomptes C/C"/>
    <n v="0.88"/>
    <n v="0"/>
    <n v="3212"/>
  </r>
  <r>
    <x v="0"/>
    <x v="12"/>
    <x v="5"/>
    <x v="349"/>
    <x v="293"/>
    <x v="293"/>
    <s v="CHARGES"/>
    <x v="0"/>
    <s v="3212.004"/>
    <s v="Intérêts rémun./perçu trop tôt sur acomptes C/C"/>
    <n v="7.0000000000000007E-2"/>
    <n v="0"/>
    <n v="3212"/>
  </r>
  <r>
    <x v="0"/>
    <x v="12"/>
    <x v="5"/>
    <x v="349"/>
    <x v="293"/>
    <x v="293"/>
    <s v="CHARGES"/>
    <x v="0"/>
    <s v="3212.002"/>
    <s v="Intérêts bonifiés/trop perçu acompte C/C"/>
    <n v="0.03"/>
    <n v="0"/>
    <n v="3212"/>
  </r>
  <r>
    <x v="0"/>
    <x v="12"/>
    <x v="5"/>
    <x v="349"/>
    <x v="293"/>
    <x v="293"/>
    <s v="CHARGES"/>
    <x v="0"/>
    <s v="3221.002"/>
    <s v="Intérêts compensatoires / créances en faveur ctb."/>
    <n v="0.03"/>
    <n v="0"/>
    <n v="3221"/>
  </r>
  <r>
    <x v="0"/>
    <x v="12"/>
    <x v="5"/>
    <x v="349"/>
    <x v="293"/>
    <x v="293"/>
    <s v="CHARGES"/>
    <x v="0"/>
    <s v="3221.002"/>
    <s v="Intérêts compensatoires / créances en faveur ctb."/>
    <n v="0.01"/>
    <n v="0"/>
    <n v="3221"/>
  </r>
  <r>
    <x v="0"/>
    <x v="12"/>
    <x v="5"/>
    <x v="349"/>
    <x v="293"/>
    <x v="293"/>
    <s v="REVENUS"/>
    <x v="2"/>
    <s v="4001.001"/>
    <s v="Impôt revenu"/>
    <n v="0"/>
    <n v="891.4"/>
    <n v="4001"/>
  </r>
  <r>
    <x v="0"/>
    <x v="12"/>
    <x v="5"/>
    <x v="349"/>
    <x v="293"/>
    <x v="293"/>
    <s v="REVENUS"/>
    <x v="6"/>
    <s v="4221.003"/>
    <s v="Intérêts compensat. / acomptes en faveur du fisc"/>
    <n v="0"/>
    <n v="0.11"/>
    <n v="4221"/>
  </r>
  <r>
    <x v="0"/>
    <x v="12"/>
    <x v="5"/>
    <x v="349"/>
    <x v="293"/>
    <x v="293"/>
    <s v="REVENUS"/>
    <x v="2"/>
    <s v="4001.007"/>
    <s v="Acompte impôt sur revenu"/>
    <n v="0"/>
    <n v="-243030.96"/>
    <n v="4001"/>
  </r>
  <r>
    <x v="0"/>
    <x v="12"/>
    <x v="5"/>
    <x v="349"/>
    <x v="293"/>
    <x v="293"/>
    <s v="REVENUS"/>
    <x v="6"/>
    <s v="4211.001"/>
    <s v="Intérêts de retard sur factures"/>
    <n v="0"/>
    <n v="3267.89"/>
    <n v="4211"/>
  </r>
  <r>
    <x v="0"/>
    <x v="12"/>
    <x v="5"/>
    <x v="349"/>
    <x v="293"/>
    <x v="293"/>
    <s v="REVENUS"/>
    <x v="2"/>
    <s v="4001.003"/>
    <s v="Impôt s/prest. cap. PP"/>
    <n v="0"/>
    <n v="120076.85"/>
    <n v="4001"/>
  </r>
  <r>
    <x v="0"/>
    <x v="12"/>
    <x v="5"/>
    <x v="349"/>
    <x v="293"/>
    <x v="293"/>
    <s v="REVENUS"/>
    <x v="3"/>
    <s v="4002.007"/>
    <s v="Acompte impôt sur fortune"/>
    <n v="0"/>
    <n v="16141.97"/>
    <n v="4002"/>
  </r>
  <r>
    <x v="0"/>
    <x v="12"/>
    <x v="5"/>
    <x v="349"/>
    <x v="293"/>
    <x v="293"/>
    <s v="REVENUS"/>
    <x v="6"/>
    <s v="4221.002"/>
    <s v="Intérêts compensat. sur impôts distincts"/>
    <n v="0"/>
    <n v="58.8"/>
    <n v="4221"/>
  </r>
  <r>
    <x v="0"/>
    <x v="12"/>
    <x v="5"/>
    <x v="349"/>
    <x v="293"/>
    <x v="293"/>
    <s v="REVENUS"/>
    <x v="2"/>
    <s v="4001.001"/>
    <s v="Impôt revenu"/>
    <n v="0"/>
    <n v="1428924.65"/>
    <n v="4001"/>
  </r>
  <r>
    <x v="0"/>
    <x v="12"/>
    <x v="5"/>
    <x v="349"/>
    <x v="293"/>
    <x v="293"/>
    <s v="REVENUS"/>
    <x v="6"/>
    <s v="4211.002"/>
    <s v="Intérêts de retard sur acomptes"/>
    <n v="0"/>
    <n v="7695.56"/>
    <n v="4211"/>
  </r>
  <r>
    <x v="0"/>
    <x v="12"/>
    <x v="5"/>
    <x v="349"/>
    <x v="293"/>
    <x v="293"/>
    <s v="REVENUS"/>
    <x v="6"/>
    <s v="4221.003"/>
    <s v="Intérêts compensat. / acomptes en faveur du fisc"/>
    <n v="0"/>
    <n v="234.93"/>
    <n v="4221"/>
  </r>
  <r>
    <x v="0"/>
    <x v="12"/>
    <x v="5"/>
    <x v="349"/>
    <x v="293"/>
    <x v="293"/>
    <s v="REVENUS"/>
    <x v="3"/>
    <s v="4002.007"/>
    <s v="Acompte impôt sur fortune"/>
    <n v="0"/>
    <n v="419.15"/>
    <n v="4002"/>
  </r>
  <r>
    <x v="0"/>
    <x v="12"/>
    <x v="5"/>
    <x v="349"/>
    <x v="293"/>
    <x v="293"/>
    <s v="REVENUS"/>
    <x v="3"/>
    <s v="4002.007"/>
    <s v="Acompte impôt sur fortune"/>
    <n v="0"/>
    <n v="-2287.52"/>
    <n v="4002"/>
  </r>
  <r>
    <x v="0"/>
    <x v="12"/>
    <x v="5"/>
    <x v="349"/>
    <x v="293"/>
    <x v="293"/>
    <s v="REVENUS"/>
    <x v="3"/>
    <s v="4002.007"/>
    <s v="Acompte impôt sur fortune"/>
    <n v="0"/>
    <n v="963.58"/>
    <n v="4002"/>
  </r>
  <r>
    <x v="0"/>
    <x v="12"/>
    <x v="5"/>
    <x v="349"/>
    <x v="293"/>
    <x v="293"/>
    <s v="REVENUS"/>
    <x v="2"/>
    <s v="4001.002"/>
    <s v="Impôt complément s/revenu PP"/>
    <n v="0"/>
    <n v="246613.1"/>
    <n v="4001"/>
  </r>
  <r>
    <x v="0"/>
    <x v="12"/>
    <x v="5"/>
    <x v="349"/>
    <x v="293"/>
    <x v="293"/>
    <s v="REVENUS"/>
    <x v="3"/>
    <s v="4002.001"/>
    <s v="Impôt ordinaire s/fortune PP"/>
    <n v="0"/>
    <n v="216467.75"/>
    <n v="4002"/>
  </r>
  <r>
    <x v="0"/>
    <x v="12"/>
    <x v="5"/>
    <x v="349"/>
    <x v="293"/>
    <x v="293"/>
    <s v="REVENUS"/>
    <x v="7"/>
    <s v="4184.000"/>
    <s v="Frais de poursuite"/>
    <n v="0"/>
    <n v="870.24"/>
    <n v="4184"/>
  </r>
  <r>
    <x v="0"/>
    <x v="12"/>
    <x v="5"/>
    <x v="349"/>
    <x v="293"/>
    <x v="293"/>
    <s v="REVENUS"/>
    <x v="7"/>
    <s v="4184.000"/>
    <s v="Frais de poursuite"/>
    <n v="0"/>
    <n v="419.65"/>
    <n v="4184"/>
  </r>
  <r>
    <x v="0"/>
    <x v="12"/>
    <x v="5"/>
    <x v="349"/>
    <x v="293"/>
    <x v="293"/>
    <s v="REVENUS"/>
    <x v="3"/>
    <s v="4002.002"/>
    <s v="Impôt complémentaire s/fortune PP"/>
    <n v="0"/>
    <n v="15480.8"/>
    <n v="4002"/>
  </r>
  <r>
    <x v="0"/>
    <x v="12"/>
    <x v="5"/>
    <x v="349"/>
    <x v="293"/>
    <x v="293"/>
    <s v="REVENUS"/>
    <x v="9"/>
    <s v="4031.001"/>
    <s v="Impôt sur les gains immobiliers"/>
    <n v="0"/>
    <n v="42778.35"/>
    <n v="4031"/>
  </r>
  <r>
    <x v="0"/>
    <x v="12"/>
    <x v="5"/>
    <x v="349"/>
    <x v="293"/>
    <x v="293"/>
    <s v="REVENUS"/>
    <x v="2"/>
    <s v="4001.007"/>
    <s v="Acompte impôt sur revenu"/>
    <n v="0"/>
    <n v="-34.549999999999997"/>
    <n v="4001"/>
  </r>
  <r>
    <x v="0"/>
    <x v="12"/>
    <x v="5"/>
    <x v="349"/>
    <x v="293"/>
    <x v="293"/>
    <s v="REVENUS"/>
    <x v="3"/>
    <s v="4002.007"/>
    <s v="Acompte impôt sur fortune"/>
    <n v="0"/>
    <n v="-4.9000000000000004"/>
    <n v="4002"/>
  </r>
  <r>
    <x v="0"/>
    <x v="12"/>
    <x v="5"/>
    <x v="349"/>
    <x v="293"/>
    <x v="293"/>
    <s v="REVENUS"/>
    <x v="2"/>
    <s v="4001.007"/>
    <s v="Acompte impôt sur revenu"/>
    <n v="0"/>
    <n v="73.45"/>
    <n v="4001"/>
  </r>
  <r>
    <x v="0"/>
    <x v="12"/>
    <x v="5"/>
    <x v="349"/>
    <x v="293"/>
    <x v="293"/>
    <s v="REVENUS"/>
    <x v="3"/>
    <s v="4002.007"/>
    <s v="Acompte impôt sur fortune"/>
    <n v="0"/>
    <n v="19"/>
    <n v="4002"/>
  </r>
  <r>
    <x v="0"/>
    <x v="12"/>
    <x v="5"/>
    <x v="349"/>
    <x v="293"/>
    <x v="293"/>
    <s v="REVENUS"/>
    <x v="2"/>
    <s v="4001.007"/>
    <s v="Acompte impôt sur revenu"/>
    <n v="0"/>
    <n v="874.78"/>
    <n v="4001"/>
  </r>
  <r>
    <x v="0"/>
    <x v="12"/>
    <x v="5"/>
    <x v="349"/>
    <x v="293"/>
    <x v="293"/>
    <s v="REVENUS"/>
    <x v="9"/>
    <s v="4031.002"/>
    <s v="Complément impôt sur les gains immobiliers"/>
    <n v="0"/>
    <n v="8543.35"/>
    <n v="4031"/>
  </r>
  <r>
    <x v="0"/>
    <x v="12"/>
    <x v="5"/>
    <x v="349"/>
    <x v="293"/>
    <x v="293"/>
    <s v="REVENUS"/>
    <x v="10"/>
    <s v="4041.001"/>
    <s v="Droits de mutation"/>
    <n v="0"/>
    <n v="100571.3"/>
    <n v="4041"/>
  </r>
  <r>
    <x v="0"/>
    <x v="12"/>
    <x v="5"/>
    <x v="349"/>
    <x v="293"/>
    <x v="293"/>
    <s v="REVENUS"/>
    <x v="2"/>
    <s v="4001.007"/>
    <s v="Acompte impôt sur revenu"/>
    <n v="0"/>
    <n v="821.5"/>
    <n v="4001"/>
  </r>
  <r>
    <x v="0"/>
    <x v="12"/>
    <x v="5"/>
    <x v="349"/>
    <x v="293"/>
    <x v="293"/>
    <s v="REVENUS"/>
    <x v="8"/>
    <s v="4091.001"/>
    <s v="Impôt récupéré après défalcations"/>
    <n v="0"/>
    <n v="4972.66"/>
    <n v="4091"/>
  </r>
  <r>
    <x v="0"/>
    <x v="12"/>
    <x v="5"/>
    <x v="349"/>
    <x v="293"/>
    <x v="293"/>
    <s v="REVENUS"/>
    <x v="4"/>
    <s v="4051.001"/>
    <s v="Impôt sur les successions"/>
    <n v="0"/>
    <n v="19099.900000000001"/>
    <n v="4051"/>
  </r>
  <r>
    <x v="0"/>
    <x v="12"/>
    <x v="5"/>
    <x v="349"/>
    <x v="293"/>
    <x v="293"/>
    <s v="REVENUS"/>
    <x v="2"/>
    <s v="4001.001"/>
    <s v="Impôt revenu"/>
    <n v="0"/>
    <n v="585.1"/>
    <n v="4001"/>
  </r>
  <r>
    <x v="0"/>
    <x v="12"/>
    <x v="5"/>
    <x v="349"/>
    <x v="293"/>
    <x v="293"/>
    <s v="REVENUS"/>
    <x v="3"/>
    <s v="4002.001"/>
    <s v="Impôt ordinaire s/fortune PP"/>
    <n v="0"/>
    <n v="306.25"/>
    <n v="4002"/>
  </r>
  <r>
    <x v="0"/>
    <x v="12"/>
    <x v="5"/>
    <x v="349"/>
    <x v="293"/>
    <x v="293"/>
    <s v="REVENUS"/>
    <x v="2"/>
    <s v="4001.002"/>
    <s v="Impôt complément s/revenu PP"/>
    <n v="0"/>
    <n v="396.05"/>
    <n v="4001"/>
  </r>
  <r>
    <x v="0"/>
    <x v="12"/>
    <x v="5"/>
    <x v="349"/>
    <x v="293"/>
    <x v="293"/>
    <s v="REVENUS"/>
    <x v="3"/>
    <s v="4002.002"/>
    <s v="Impôt complémentaire s/fortune PP"/>
    <n v="0"/>
    <n v="216.3"/>
    <n v="4002"/>
  </r>
  <r>
    <x v="0"/>
    <x v="12"/>
    <x v="5"/>
    <x v="349"/>
    <x v="293"/>
    <x v="293"/>
    <s v="REVENUS"/>
    <x v="6"/>
    <s v="4211.001"/>
    <s v="Intérêts de retard sur factures"/>
    <n v="0"/>
    <n v="49.78"/>
    <n v="4211"/>
  </r>
  <r>
    <x v="0"/>
    <x v="12"/>
    <x v="5"/>
    <x v="349"/>
    <x v="293"/>
    <x v="293"/>
    <s v="REVENUS"/>
    <x v="6"/>
    <s v="4211.002"/>
    <s v="Intérêts de retard sur acomptes"/>
    <n v="0"/>
    <n v="18.350000000000001"/>
    <n v="4211"/>
  </r>
  <r>
    <x v="0"/>
    <x v="12"/>
    <x v="5"/>
    <x v="349"/>
    <x v="293"/>
    <x v="293"/>
    <s v="REVENUS"/>
    <x v="6"/>
    <s v="4221.003"/>
    <s v="Intérêts compensat. / acomptes en faveur du fisc"/>
    <n v="0"/>
    <n v="0.38"/>
    <n v="4221"/>
  </r>
  <r>
    <x v="0"/>
    <x v="12"/>
    <x v="5"/>
    <x v="349"/>
    <x v="293"/>
    <x v="293"/>
    <s v="REVENUS"/>
    <x v="2"/>
    <s v="4001.007"/>
    <s v="Acompte impôt sur revenu"/>
    <n v="0"/>
    <n v="-1326.7"/>
    <n v="4001"/>
  </r>
  <r>
    <x v="0"/>
    <x v="12"/>
    <x v="5"/>
    <x v="349"/>
    <x v="293"/>
    <x v="293"/>
    <s v="REVENUS"/>
    <x v="2"/>
    <s v="4001.001"/>
    <s v="Impôt revenu"/>
    <n v="0"/>
    <n v="1405.8"/>
    <n v="4001"/>
  </r>
  <r>
    <x v="0"/>
    <x v="12"/>
    <x v="5"/>
    <x v="349"/>
    <x v="293"/>
    <x v="293"/>
    <s v="REVENUS"/>
    <x v="3"/>
    <s v="4002.001"/>
    <s v="Impôt ordinaire s/fortune PP"/>
    <n v="0"/>
    <n v="1545.8"/>
    <n v="4002"/>
  </r>
  <r>
    <x v="0"/>
    <x v="12"/>
    <x v="5"/>
    <x v="349"/>
    <x v="293"/>
    <x v="293"/>
    <s v="REVENUS"/>
    <x v="6"/>
    <s v="4211.002"/>
    <s v="Intérêts de retard sur acomptes"/>
    <n v="0"/>
    <n v="23.55"/>
    <n v="4211"/>
  </r>
  <r>
    <x v="0"/>
    <x v="12"/>
    <x v="5"/>
    <x v="349"/>
    <x v="293"/>
    <x v="293"/>
    <s v="REVENUS"/>
    <x v="6"/>
    <s v="4221.003"/>
    <s v="Intérêts compensat. / acomptes en faveur du fisc"/>
    <n v="0"/>
    <n v="7.6"/>
    <n v="4221"/>
  </r>
  <r>
    <x v="0"/>
    <x v="12"/>
    <x v="5"/>
    <x v="349"/>
    <x v="293"/>
    <x v="293"/>
    <s v="REVENUS"/>
    <x v="2"/>
    <s v="4001.001"/>
    <s v="Impôt revenu"/>
    <n v="0"/>
    <n v="473.2"/>
    <n v="4001"/>
  </r>
  <r>
    <x v="0"/>
    <x v="12"/>
    <x v="5"/>
    <x v="349"/>
    <x v="293"/>
    <x v="293"/>
    <s v="REVENUS"/>
    <x v="3"/>
    <s v="4002.001"/>
    <s v="Impôt ordinaire s/fortune PP"/>
    <n v="0"/>
    <n v="640.35"/>
    <n v="4002"/>
  </r>
  <r>
    <x v="0"/>
    <x v="12"/>
    <x v="5"/>
    <x v="349"/>
    <x v="293"/>
    <x v="293"/>
    <s v="REVENUS"/>
    <x v="3"/>
    <s v="4002.001"/>
    <s v="Impôt ordinaire s/fortune PP"/>
    <n v="0"/>
    <n v="178.5"/>
    <n v="4002"/>
  </r>
  <r>
    <x v="0"/>
    <x v="12"/>
    <x v="5"/>
    <x v="349"/>
    <x v="293"/>
    <x v="293"/>
    <s v="REVENUS"/>
    <x v="6"/>
    <s v="4211.001"/>
    <s v="Intérêts de retard sur factures"/>
    <n v="0"/>
    <n v="0.31"/>
    <n v="4211"/>
  </r>
  <r>
    <x v="0"/>
    <x v="12"/>
    <x v="5"/>
    <x v="349"/>
    <x v="293"/>
    <x v="293"/>
    <s v="REVENUS"/>
    <x v="2"/>
    <s v="4001.002"/>
    <s v="Impôt complément s/revenu PP"/>
    <n v="0"/>
    <n v="2066.5"/>
    <n v="4001"/>
  </r>
  <r>
    <x v="0"/>
    <x v="12"/>
    <x v="5"/>
    <x v="349"/>
    <x v="293"/>
    <x v="293"/>
    <s v="REVENUS"/>
    <x v="3"/>
    <s v="4002.002"/>
    <s v="Impôt complémentaire s/fortune PP"/>
    <n v="0"/>
    <n v="1928.45"/>
    <n v="4002"/>
  </r>
  <r>
    <x v="0"/>
    <x v="12"/>
    <x v="5"/>
    <x v="349"/>
    <x v="293"/>
    <x v="293"/>
    <s v="REVENUS"/>
    <x v="6"/>
    <s v="4211.001"/>
    <s v="Intérêts de retard sur factures"/>
    <n v="0"/>
    <n v="83.54"/>
    <n v="4211"/>
  </r>
  <r>
    <x v="0"/>
    <x v="12"/>
    <x v="5"/>
    <x v="349"/>
    <x v="293"/>
    <x v="293"/>
    <s v="REVENUS"/>
    <x v="7"/>
    <s v="4184.000"/>
    <s v="Frais de poursuite"/>
    <n v="0"/>
    <n v="2.79"/>
    <n v="4184"/>
  </r>
  <r>
    <x v="0"/>
    <x v="12"/>
    <x v="5"/>
    <x v="349"/>
    <x v="293"/>
    <x v="293"/>
    <s v="REVENUS"/>
    <x v="5"/>
    <s v="4061.000"/>
    <s v="Impôt sur les chiens"/>
    <n v="0"/>
    <n v="4300"/>
    <n v="4061"/>
  </r>
  <r>
    <x v="0"/>
    <x v="12"/>
    <x v="5"/>
    <x v="349"/>
    <x v="293"/>
    <x v="293"/>
    <s v="REVENUS"/>
    <x v="14"/>
    <s v="4003.010"/>
    <s v="IS - Employés et sourciers étrangers"/>
    <n v="0"/>
    <n v="69.45"/>
    <n v="4003"/>
  </r>
  <r>
    <x v="0"/>
    <x v="12"/>
    <x v="5"/>
    <x v="349"/>
    <x v="293"/>
    <x v="293"/>
    <s v="REVENUS"/>
    <x v="2"/>
    <s v="4001.001"/>
    <s v="Impôt revenu"/>
    <n v="0"/>
    <n v="1254.2"/>
    <n v="4001"/>
  </r>
  <r>
    <x v="0"/>
    <x v="12"/>
    <x v="5"/>
    <x v="349"/>
    <x v="293"/>
    <x v="293"/>
    <s v="REVENUS"/>
    <x v="3"/>
    <s v="4002.001"/>
    <s v="Impôt ordinaire s/fortune PP"/>
    <n v="0"/>
    <n v="497.65"/>
    <n v="4002"/>
  </r>
  <r>
    <x v="0"/>
    <x v="12"/>
    <x v="5"/>
    <x v="350"/>
    <x v="294"/>
    <x v="294"/>
    <s v="CHARGES"/>
    <x v="0"/>
    <s v="3212.004"/>
    <s v="Intérêts rémun./perçu trop tôt sur acomptes C/C"/>
    <n v="100.9"/>
    <n v="0"/>
    <n v="3212"/>
  </r>
  <r>
    <x v="0"/>
    <x v="12"/>
    <x v="5"/>
    <x v="350"/>
    <x v="294"/>
    <x v="294"/>
    <s v="CHARGES"/>
    <x v="0"/>
    <s v="3221.002"/>
    <s v="Intérêts compensatoires / créances en faveur ctb."/>
    <n v="53.51"/>
    <n v="0"/>
    <n v="3221"/>
  </r>
  <r>
    <x v="0"/>
    <x v="12"/>
    <x v="5"/>
    <x v="350"/>
    <x v="294"/>
    <x v="294"/>
    <s v="CHARGES"/>
    <x v="1"/>
    <s v="3301.001"/>
    <s v="Défalcations, abandons de solde PP et IS"/>
    <n v="6552.87"/>
    <n v="0"/>
    <n v="3301"/>
  </r>
  <r>
    <x v="0"/>
    <x v="12"/>
    <x v="5"/>
    <x v="350"/>
    <x v="294"/>
    <x v="294"/>
    <s v="CHARGES"/>
    <x v="0"/>
    <s v="3212.004"/>
    <s v="Intérêts rémun./perçu trop tôt sur acomptes C/C"/>
    <n v="0.06"/>
    <n v="0"/>
    <n v="3212"/>
  </r>
  <r>
    <x v="0"/>
    <x v="12"/>
    <x v="5"/>
    <x v="350"/>
    <x v="294"/>
    <x v="294"/>
    <s v="CHARGES"/>
    <x v="0"/>
    <s v="3221.002"/>
    <s v="Intérêts compensatoires / créances en faveur ctb."/>
    <n v="0.05"/>
    <n v="0"/>
    <n v="3221"/>
  </r>
  <r>
    <x v="0"/>
    <x v="12"/>
    <x v="5"/>
    <x v="350"/>
    <x v="294"/>
    <x v="294"/>
    <s v="CHARGES"/>
    <x v="0"/>
    <s v="3212.002"/>
    <s v="Intérêts bonifiés/trop perçu acompte C/C"/>
    <n v="0.53"/>
    <n v="0"/>
    <n v="3212"/>
  </r>
  <r>
    <x v="0"/>
    <x v="12"/>
    <x v="5"/>
    <x v="350"/>
    <x v="294"/>
    <x v="294"/>
    <s v="CHARGES"/>
    <x v="0"/>
    <s v="3221.002"/>
    <s v="Intérêts compensatoires / créances en faveur ctb."/>
    <n v="0.03"/>
    <n v="0"/>
    <n v="3221"/>
  </r>
  <r>
    <x v="0"/>
    <x v="12"/>
    <x v="5"/>
    <x v="350"/>
    <x v="294"/>
    <x v="294"/>
    <s v="CHARGES"/>
    <x v="0"/>
    <s v="3212.004"/>
    <s v="Intérêts rémun./perçu trop tôt sur acomptes C/C"/>
    <n v="2.0299999999999998"/>
    <n v="0"/>
    <n v="3212"/>
  </r>
  <r>
    <x v="0"/>
    <x v="12"/>
    <x v="5"/>
    <x v="350"/>
    <x v="294"/>
    <x v="294"/>
    <s v="CHARGES"/>
    <x v="1"/>
    <s v="3301.001"/>
    <s v="Défalcations, abandons de solde PP et IS"/>
    <n v="0.01"/>
    <n v="0"/>
    <n v="3301"/>
  </r>
  <r>
    <x v="0"/>
    <x v="12"/>
    <x v="5"/>
    <x v="350"/>
    <x v="294"/>
    <x v="294"/>
    <s v="REVENUS"/>
    <x v="2"/>
    <s v="4001.001"/>
    <s v="Impôt revenu"/>
    <n v="0"/>
    <n v="310227.09999999998"/>
    <n v="4001"/>
  </r>
  <r>
    <x v="0"/>
    <x v="12"/>
    <x v="5"/>
    <x v="350"/>
    <x v="294"/>
    <x v="294"/>
    <s v="REVENUS"/>
    <x v="2"/>
    <s v="4001.007"/>
    <s v="Acompte impôt sur revenu"/>
    <n v="0"/>
    <n v="-37626.54"/>
    <n v="4001"/>
  </r>
  <r>
    <x v="0"/>
    <x v="12"/>
    <x v="5"/>
    <x v="350"/>
    <x v="294"/>
    <x v="294"/>
    <s v="REVENUS"/>
    <x v="3"/>
    <s v="4002.001"/>
    <s v="Impôt ordinaire s/fortune PP"/>
    <n v="0"/>
    <n v="58894"/>
    <n v="4002"/>
  </r>
  <r>
    <x v="0"/>
    <x v="12"/>
    <x v="5"/>
    <x v="350"/>
    <x v="294"/>
    <x v="294"/>
    <s v="REVENUS"/>
    <x v="3"/>
    <s v="4002.007"/>
    <s v="Acompte impôt sur fortune"/>
    <n v="0"/>
    <n v="-7782.1"/>
    <n v="4002"/>
  </r>
  <r>
    <x v="0"/>
    <x v="12"/>
    <x v="5"/>
    <x v="350"/>
    <x v="294"/>
    <x v="294"/>
    <s v="REVENUS"/>
    <x v="6"/>
    <s v="4211.001"/>
    <s v="Intérêts de retard sur factures"/>
    <n v="0"/>
    <n v="1063.2"/>
    <n v="4211"/>
  </r>
  <r>
    <x v="0"/>
    <x v="12"/>
    <x v="5"/>
    <x v="350"/>
    <x v="294"/>
    <x v="294"/>
    <s v="REVENUS"/>
    <x v="6"/>
    <s v="4221.003"/>
    <s v="Intérêts compensat. / acomptes en faveur du fisc"/>
    <n v="0"/>
    <n v="52.75"/>
    <n v="4221"/>
  </r>
  <r>
    <x v="0"/>
    <x v="12"/>
    <x v="5"/>
    <x v="350"/>
    <x v="294"/>
    <x v="294"/>
    <s v="REVENUS"/>
    <x v="2"/>
    <s v="4001.001"/>
    <s v="Impôt revenu"/>
    <n v="0"/>
    <n v="259.3"/>
    <n v="4001"/>
  </r>
  <r>
    <x v="0"/>
    <x v="12"/>
    <x v="5"/>
    <x v="350"/>
    <x v="294"/>
    <x v="294"/>
    <s v="REVENUS"/>
    <x v="3"/>
    <s v="4002.001"/>
    <s v="Impôt ordinaire s/fortune PP"/>
    <n v="0"/>
    <n v="37.15"/>
    <n v="4002"/>
  </r>
  <r>
    <x v="0"/>
    <x v="12"/>
    <x v="5"/>
    <x v="350"/>
    <x v="294"/>
    <x v="294"/>
    <s v="REVENUS"/>
    <x v="3"/>
    <s v="4002.007"/>
    <s v="Acompte impôt sur fortune"/>
    <n v="0"/>
    <n v="-22.73"/>
    <n v="4002"/>
  </r>
  <r>
    <x v="0"/>
    <x v="12"/>
    <x v="5"/>
    <x v="350"/>
    <x v="294"/>
    <x v="294"/>
    <s v="REVENUS"/>
    <x v="2"/>
    <s v="4001.003"/>
    <s v="Impôt s/prest. cap. PP"/>
    <n v="0"/>
    <n v="4669.3999999999996"/>
    <n v="4001"/>
  </r>
  <r>
    <x v="0"/>
    <x v="12"/>
    <x v="5"/>
    <x v="350"/>
    <x v="294"/>
    <x v="294"/>
    <s v="REVENUS"/>
    <x v="7"/>
    <s v="4184.000"/>
    <s v="Frais de poursuite"/>
    <n v="0"/>
    <n v="653.26"/>
    <n v="4184"/>
  </r>
  <r>
    <x v="0"/>
    <x v="12"/>
    <x v="5"/>
    <x v="350"/>
    <x v="294"/>
    <x v="294"/>
    <s v="REVENUS"/>
    <x v="4"/>
    <s v="4051.002"/>
    <s v="Impôt sur les donations"/>
    <n v="0"/>
    <n v="-22567.3"/>
    <n v="4051"/>
  </r>
  <r>
    <x v="0"/>
    <x v="12"/>
    <x v="5"/>
    <x v="350"/>
    <x v="294"/>
    <x v="294"/>
    <s v="REVENUS"/>
    <x v="2"/>
    <s v="4001.002"/>
    <s v="Impôt complément s/revenu PP"/>
    <n v="0"/>
    <n v="25706.25"/>
    <n v="4001"/>
  </r>
  <r>
    <x v="0"/>
    <x v="12"/>
    <x v="5"/>
    <x v="350"/>
    <x v="294"/>
    <x v="294"/>
    <s v="REVENUS"/>
    <x v="3"/>
    <s v="4002.002"/>
    <s v="Impôt complémentaire s/fortune PP"/>
    <n v="0"/>
    <n v="3171.05"/>
    <n v="4002"/>
  </r>
  <r>
    <x v="0"/>
    <x v="12"/>
    <x v="5"/>
    <x v="350"/>
    <x v="294"/>
    <x v="294"/>
    <s v="REVENUS"/>
    <x v="6"/>
    <s v="4221.002"/>
    <s v="Intérêts compensat. sur impôts distincts"/>
    <n v="0"/>
    <n v="22.62"/>
    <n v="4221"/>
  </r>
  <r>
    <x v="0"/>
    <x v="12"/>
    <x v="5"/>
    <x v="350"/>
    <x v="294"/>
    <x v="294"/>
    <s v="REVENUS"/>
    <x v="3"/>
    <s v="4002.007"/>
    <s v="Acompte impôt sur fortune"/>
    <n v="0"/>
    <n v="-238.15"/>
    <n v="4002"/>
  </r>
  <r>
    <x v="0"/>
    <x v="12"/>
    <x v="5"/>
    <x v="350"/>
    <x v="294"/>
    <x v="294"/>
    <s v="REVENUS"/>
    <x v="6"/>
    <s v="4211.002"/>
    <s v="Intérêts de retard sur acomptes"/>
    <n v="0"/>
    <n v="637.03"/>
    <n v="4211"/>
  </r>
  <r>
    <x v="0"/>
    <x v="12"/>
    <x v="5"/>
    <x v="350"/>
    <x v="294"/>
    <x v="294"/>
    <s v="REVENUS"/>
    <x v="2"/>
    <s v="4001.007"/>
    <s v="Acompte impôt sur revenu"/>
    <n v="0"/>
    <n v="-2673.8"/>
    <n v="4001"/>
  </r>
  <r>
    <x v="0"/>
    <x v="12"/>
    <x v="5"/>
    <x v="350"/>
    <x v="294"/>
    <x v="294"/>
    <s v="REVENUS"/>
    <x v="3"/>
    <s v="4002.007"/>
    <s v="Acompte impôt sur fortune"/>
    <n v="0"/>
    <n v="-1450"/>
    <n v="4002"/>
  </r>
  <r>
    <x v="0"/>
    <x v="12"/>
    <x v="5"/>
    <x v="350"/>
    <x v="294"/>
    <x v="294"/>
    <s v="REVENUS"/>
    <x v="11"/>
    <s v="4198.000"/>
    <s v="Contributions communales"/>
    <n v="0"/>
    <n v="22587"/>
    <n v="4198"/>
  </r>
  <r>
    <x v="0"/>
    <x v="12"/>
    <x v="5"/>
    <x v="350"/>
    <x v="294"/>
    <x v="294"/>
    <s v="REVENUS"/>
    <x v="10"/>
    <s v="4041.001"/>
    <s v="Droits de mutation"/>
    <n v="0"/>
    <n v="12822.7"/>
    <n v="4041"/>
  </r>
  <r>
    <x v="0"/>
    <x v="12"/>
    <x v="5"/>
    <x v="350"/>
    <x v="294"/>
    <x v="294"/>
    <s v="REVENUS"/>
    <x v="2"/>
    <s v="4001.007"/>
    <s v="Acompte impôt sur revenu"/>
    <n v="0"/>
    <n v="-293.39999999999998"/>
    <n v="4001"/>
  </r>
  <r>
    <x v="0"/>
    <x v="12"/>
    <x v="5"/>
    <x v="350"/>
    <x v="294"/>
    <x v="294"/>
    <s v="REVENUS"/>
    <x v="3"/>
    <s v="4002.001"/>
    <s v="Impôt ordinaire s/fortune PP"/>
    <n v="0"/>
    <n v="204.4"/>
    <n v="4002"/>
  </r>
  <r>
    <x v="0"/>
    <x v="12"/>
    <x v="5"/>
    <x v="350"/>
    <x v="294"/>
    <x v="294"/>
    <s v="REVENUS"/>
    <x v="6"/>
    <s v="4211.002"/>
    <s v="Intérêts de retard sur acomptes"/>
    <n v="0"/>
    <n v="1.28"/>
    <n v="4211"/>
  </r>
  <r>
    <x v="0"/>
    <x v="12"/>
    <x v="5"/>
    <x v="350"/>
    <x v="294"/>
    <x v="294"/>
    <s v="REVENUS"/>
    <x v="5"/>
    <s v="4061.000"/>
    <s v="Impôt sur les chiens"/>
    <n v="0"/>
    <n v="1440"/>
    <n v="4061"/>
  </r>
  <r>
    <x v="0"/>
    <x v="12"/>
    <x v="5"/>
    <x v="350"/>
    <x v="294"/>
    <x v="294"/>
    <s v="REVENUS"/>
    <x v="9"/>
    <s v="4031.001"/>
    <s v="Impôt sur les gains immobiliers"/>
    <n v="0"/>
    <n v="14703.3"/>
    <n v="4031"/>
  </r>
  <r>
    <x v="0"/>
    <x v="12"/>
    <x v="5"/>
    <x v="350"/>
    <x v="294"/>
    <x v="294"/>
    <s v="REVENUS"/>
    <x v="2"/>
    <s v="4001.001"/>
    <s v="Impôt revenu"/>
    <n v="0"/>
    <n v="446.85"/>
    <n v="4001"/>
  </r>
  <r>
    <x v="0"/>
    <x v="12"/>
    <x v="5"/>
    <x v="350"/>
    <x v="294"/>
    <x v="294"/>
    <s v="REVENUS"/>
    <x v="2"/>
    <s v="4001.007"/>
    <s v="Acompte impôt sur revenu"/>
    <n v="0"/>
    <n v="446.85"/>
    <n v="4001"/>
  </r>
  <r>
    <x v="0"/>
    <x v="12"/>
    <x v="5"/>
    <x v="350"/>
    <x v="294"/>
    <x v="294"/>
    <s v="REVENUS"/>
    <x v="6"/>
    <s v="4221.003"/>
    <s v="Intérêts compensat. / acomptes en faveur du fisc"/>
    <n v="0"/>
    <n v="0.01"/>
    <n v="4221"/>
  </r>
  <r>
    <x v="0"/>
    <x v="12"/>
    <x v="5"/>
    <x v="351"/>
    <x v="295"/>
    <x v="295"/>
    <s v="CHARGES"/>
    <x v="0"/>
    <s v="3212.004"/>
    <s v="Intérêts rémun./perçu trop tôt sur acomptes C/C"/>
    <n v="223.47"/>
    <n v="0"/>
    <n v="3212"/>
  </r>
  <r>
    <x v="0"/>
    <x v="12"/>
    <x v="5"/>
    <x v="351"/>
    <x v="295"/>
    <x v="295"/>
    <s v="CHARGES"/>
    <x v="0"/>
    <s v="3221.002"/>
    <s v="Intérêts compensatoires / créances en faveur ctb."/>
    <n v="107.49"/>
    <n v="0"/>
    <n v="3221"/>
  </r>
  <r>
    <x v="0"/>
    <x v="12"/>
    <x v="5"/>
    <x v="351"/>
    <x v="295"/>
    <x v="295"/>
    <s v="CHARGES"/>
    <x v="1"/>
    <s v="3301.001"/>
    <s v="Défalcations, abandons de solde PP et IS"/>
    <n v="21209.88"/>
    <n v="0"/>
    <n v="3301"/>
  </r>
  <r>
    <x v="0"/>
    <x v="12"/>
    <x v="5"/>
    <x v="351"/>
    <x v="295"/>
    <x v="295"/>
    <s v="CHARGES"/>
    <x v="0"/>
    <s v="3212.004"/>
    <s v="Intérêts rémun./perçu trop tôt sur acomptes C/C"/>
    <n v="0.17"/>
    <n v="0"/>
    <n v="3212"/>
  </r>
  <r>
    <x v="0"/>
    <x v="12"/>
    <x v="5"/>
    <x v="351"/>
    <x v="295"/>
    <x v="295"/>
    <s v="CHARGES"/>
    <x v="0"/>
    <s v="3221.002"/>
    <s v="Intérêts compensatoires / créances en faveur ctb."/>
    <n v="1.1399999999999999"/>
    <n v="0"/>
    <n v="3221"/>
  </r>
  <r>
    <x v="0"/>
    <x v="12"/>
    <x v="5"/>
    <x v="351"/>
    <x v="295"/>
    <x v="295"/>
    <s v="CHARGES"/>
    <x v="1"/>
    <s v="3301.001"/>
    <s v="Défalcations, abandons de solde PP et IS"/>
    <n v="1.67"/>
    <n v="0"/>
    <n v="3301"/>
  </r>
  <r>
    <x v="0"/>
    <x v="12"/>
    <x v="5"/>
    <x v="351"/>
    <x v="295"/>
    <x v="295"/>
    <s v="CHARGES"/>
    <x v="0"/>
    <s v="3212.002"/>
    <s v="Intérêts bonifiés/trop perçu acompte C/C"/>
    <n v="7.59"/>
    <n v="0"/>
    <n v="3212"/>
  </r>
  <r>
    <x v="0"/>
    <x v="12"/>
    <x v="5"/>
    <x v="351"/>
    <x v="295"/>
    <x v="295"/>
    <s v="CHARGES"/>
    <x v="0"/>
    <s v="3212.004"/>
    <s v="Intérêts rémun./perçu trop tôt sur acomptes C/C"/>
    <n v="7.0000000000000007E-2"/>
    <n v="0"/>
    <n v="3212"/>
  </r>
  <r>
    <x v="0"/>
    <x v="12"/>
    <x v="5"/>
    <x v="351"/>
    <x v="295"/>
    <x v="295"/>
    <s v="CHARGES"/>
    <x v="0"/>
    <s v="3221.002"/>
    <s v="Intérêts compensatoires / créances en faveur ctb."/>
    <n v="0.2"/>
    <n v="0"/>
    <n v="3221"/>
  </r>
  <r>
    <x v="0"/>
    <x v="12"/>
    <x v="5"/>
    <x v="351"/>
    <x v="295"/>
    <x v="295"/>
    <s v="CHARGES"/>
    <x v="0"/>
    <s v="3212.004"/>
    <s v="Intérêts rémun./perçu trop tôt sur acomptes C/C"/>
    <n v="0.12"/>
    <n v="0"/>
    <n v="3212"/>
  </r>
  <r>
    <x v="0"/>
    <x v="12"/>
    <x v="5"/>
    <x v="351"/>
    <x v="295"/>
    <x v="295"/>
    <s v="CHARGES"/>
    <x v="0"/>
    <s v="3221.002"/>
    <s v="Intérêts compensatoires / créances en faveur ctb."/>
    <n v="7.0000000000000007E-2"/>
    <n v="0"/>
    <n v="3221"/>
  </r>
  <r>
    <x v="0"/>
    <x v="12"/>
    <x v="5"/>
    <x v="351"/>
    <x v="295"/>
    <x v="295"/>
    <s v="CHARGES"/>
    <x v="1"/>
    <s v="3301.001"/>
    <s v="Défalcations, abandons de solde PP et IS"/>
    <n v="0.01"/>
    <n v="0"/>
    <n v="3301"/>
  </r>
  <r>
    <x v="0"/>
    <x v="12"/>
    <x v="5"/>
    <x v="351"/>
    <x v="295"/>
    <x v="295"/>
    <s v="CHARGES"/>
    <x v="0"/>
    <s v="3212.004"/>
    <s v="Intérêts rémun./perçu trop tôt sur acomptes C/C"/>
    <n v="0.23"/>
    <n v="0"/>
    <n v="3212"/>
  </r>
  <r>
    <x v="0"/>
    <x v="12"/>
    <x v="5"/>
    <x v="351"/>
    <x v="295"/>
    <x v="295"/>
    <s v="CHARGES"/>
    <x v="1"/>
    <s v="3301.001"/>
    <s v="Défalcations, abandons de solde PP et IS"/>
    <n v="7.0000000000000007E-2"/>
    <n v="0"/>
    <n v="3301"/>
  </r>
  <r>
    <x v="0"/>
    <x v="12"/>
    <x v="5"/>
    <x v="351"/>
    <x v="295"/>
    <x v="295"/>
    <s v="CHARGES"/>
    <x v="1"/>
    <s v="3301.001"/>
    <s v="Défalcations, abandons de solde PP et IS"/>
    <n v="0.02"/>
    <n v="0"/>
    <n v="3301"/>
  </r>
  <r>
    <x v="0"/>
    <x v="12"/>
    <x v="5"/>
    <x v="351"/>
    <x v="295"/>
    <x v="295"/>
    <s v="CHARGES"/>
    <x v="0"/>
    <s v="3221.002"/>
    <s v="Intérêts compensatoires / créances en faveur ctb."/>
    <n v="0.1"/>
    <n v="0"/>
    <n v="3221"/>
  </r>
  <r>
    <x v="0"/>
    <x v="12"/>
    <x v="5"/>
    <x v="351"/>
    <x v="295"/>
    <x v="295"/>
    <s v="REVENUS"/>
    <x v="2"/>
    <s v="4001.001"/>
    <s v="Impôt revenu"/>
    <n v="0"/>
    <n v="1163048"/>
    <n v="4001"/>
  </r>
  <r>
    <x v="0"/>
    <x v="12"/>
    <x v="5"/>
    <x v="351"/>
    <x v="295"/>
    <x v="295"/>
    <s v="REVENUS"/>
    <x v="2"/>
    <s v="4001.007"/>
    <s v="Acompte impôt sur revenu"/>
    <n v="0"/>
    <n v="-202774.08"/>
    <n v="4001"/>
  </r>
  <r>
    <x v="0"/>
    <x v="12"/>
    <x v="5"/>
    <x v="351"/>
    <x v="295"/>
    <x v="295"/>
    <s v="REVENUS"/>
    <x v="3"/>
    <s v="4002.007"/>
    <s v="Acompte impôt sur fortune"/>
    <n v="0"/>
    <n v="-44918.16"/>
    <n v="4002"/>
  </r>
  <r>
    <x v="0"/>
    <x v="12"/>
    <x v="5"/>
    <x v="351"/>
    <x v="295"/>
    <x v="295"/>
    <s v="REVENUS"/>
    <x v="6"/>
    <s v="4211.001"/>
    <s v="Intérêts de retard sur factures"/>
    <n v="0"/>
    <n v="1892.51"/>
    <n v="4211"/>
  </r>
  <r>
    <x v="0"/>
    <x v="12"/>
    <x v="5"/>
    <x v="351"/>
    <x v="295"/>
    <x v="295"/>
    <s v="REVENUS"/>
    <x v="3"/>
    <s v="4002.001"/>
    <s v="Impôt ordinaire s/fortune PP"/>
    <n v="0"/>
    <n v="112365.65"/>
    <n v="4002"/>
  </r>
  <r>
    <x v="0"/>
    <x v="12"/>
    <x v="5"/>
    <x v="351"/>
    <x v="295"/>
    <x v="295"/>
    <s v="REVENUS"/>
    <x v="6"/>
    <s v="4211.002"/>
    <s v="Intérêts de retard sur acomptes"/>
    <n v="0"/>
    <n v="8374.69"/>
    <n v="4211"/>
  </r>
  <r>
    <x v="0"/>
    <x v="12"/>
    <x v="5"/>
    <x v="351"/>
    <x v="295"/>
    <x v="295"/>
    <s v="REVENUS"/>
    <x v="6"/>
    <s v="4221.003"/>
    <s v="Intérêts compensat. / acomptes en faveur du fisc"/>
    <n v="0"/>
    <n v="186.75"/>
    <n v="4221"/>
  </r>
  <r>
    <x v="0"/>
    <x v="12"/>
    <x v="5"/>
    <x v="351"/>
    <x v="295"/>
    <x v="295"/>
    <s v="REVENUS"/>
    <x v="2"/>
    <s v="4001.007"/>
    <s v="Acompte impôt sur revenu"/>
    <n v="0"/>
    <n v="-7269.6"/>
    <n v="4001"/>
  </r>
  <r>
    <x v="0"/>
    <x v="12"/>
    <x v="5"/>
    <x v="351"/>
    <x v="295"/>
    <x v="295"/>
    <s v="REVENUS"/>
    <x v="3"/>
    <s v="4002.007"/>
    <s v="Acompte impôt sur fortune"/>
    <n v="0"/>
    <n v="-543.4"/>
    <n v="4002"/>
  </r>
  <r>
    <x v="0"/>
    <x v="12"/>
    <x v="5"/>
    <x v="351"/>
    <x v="295"/>
    <x v="295"/>
    <s v="REVENUS"/>
    <x v="2"/>
    <s v="4001.001"/>
    <s v="Impôt revenu"/>
    <n v="0"/>
    <n v="5689.45"/>
    <n v="4001"/>
  </r>
  <r>
    <x v="0"/>
    <x v="12"/>
    <x v="5"/>
    <x v="351"/>
    <x v="295"/>
    <x v="295"/>
    <s v="REVENUS"/>
    <x v="3"/>
    <s v="4002.001"/>
    <s v="Impôt ordinaire s/fortune PP"/>
    <n v="0"/>
    <n v="2179"/>
    <n v="4002"/>
  </r>
  <r>
    <x v="0"/>
    <x v="12"/>
    <x v="5"/>
    <x v="351"/>
    <x v="295"/>
    <x v="295"/>
    <s v="REVENUS"/>
    <x v="6"/>
    <s v="4211.002"/>
    <s v="Intérêts de retard sur acomptes"/>
    <n v="0"/>
    <n v="13.3"/>
    <n v="4211"/>
  </r>
  <r>
    <x v="0"/>
    <x v="12"/>
    <x v="5"/>
    <x v="351"/>
    <x v="295"/>
    <x v="295"/>
    <s v="REVENUS"/>
    <x v="6"/>
    <s v="4221.003"/>
    <s v="Intérêts compensat. / acomptes en faveur du fisc"/>
    <n v="0"/>
    <n v="1.67"/>
    <n v="4221"/>
  </r>
  <r>
    <x v="0"/>
    <x v="12"/>
    <x v="5"/>
    <x v="351"/>
    <x v="295"/>
    <x v="295"/>
    <s v="REVENUS"/>
    <x v="7"/>
    <s v="4184.000"/>
    <s v="Frais de poursuite"/>
    <n v="0"/>
    <n v="869.71"/>
    <n v="4184"/>
  </r>
  <r>
    <x v="0"/>
    <x v="12"/>
    <x v="5"/>
    <x v="351"/>
    <x v="295"/>
    <x v="295"/>
    <s v="REVENUS"/>
    <x v="2"/>
    <s v="4001.002"/>
    <s v="Impôt complément s/revenu PP"/>
    <n v="0"/>
    <n v="90736.1"/>
    <n v="4001"/>
  </r>
  <r>
    <x v="0"/>
    <x v="12"/>
    <x v="5"/>
    <x v="351"/>
    <x v="295"/>
    <x v="295"/>
    <s v="REVENUS"/>
    <x v="10"/>
    <s v="4041.001"/>
    <s v="Droits de mutation"/>
    <n v="0"/>
    <n v="46370.5"/>
    <n v="4041"/>
  </r>
  <r>
    <x v="0"/>
    <x v="12"/>
    <x v="5"/>
    <x v="351"/>
    <x v="295"/>
    <x v="295"/>
    <s v="REVENUS"/>
    <x v="3"/>
    <s v="4002.002"/>
    <s v="Impôt complémentaire s/fortune PP"/>
    <n v="0"/>
    <n v="26281.25"/>
    <n v="4002"/>
  </r>
  <r>
    <x v="0"/>
    <x v="12"/>
    <x v="5"/>
    <x v="351"/>
    <x v="295"/>
    <x v="295"/>
    <s v="REVENUS"/>
    <x v="2"/>
    <s v="4001.003"/>
    <s v="Impôt s/prest. cap. PP"/>
    <n v="0"/>
    <n v="17918.8"/>
    <n v="4001"/>
  </r>
  <r>
    <x v="0"/>
    <x v="12"/>
    <x v="5"/>
    <x v="351"/>
    <x v="295"/>
    <x v="295"/>
    <s v="REVENUS"/>
    <x v="2"/>
    <s v="4001.007"/>
    <s v="Acompte impôt sur revenu"/>
    <n v="0"/>
    <n v="100.05"/>
    <n v="4001"/>
  </r>
  <r>
    <x v="0"/>
    <x v="12"/>
    <x v="5"/>
    <x v="351"/>
    <x v="295"/>
    <x v="295"/>
    <s v="REVENUS"/>
    <x v="3"/>
    <s v="4002.001"/>
    <s v="Impôt ordinaire s/fortune PP"/>
    <n v="0"/>
    <n v="-98.95"/>
    <n v="4002"/>
  </r>
  <r>
    <x v="0"/>
    <x v="12"/>
    <x v="5"/>
    <x v="351"/>
    <x v="295"/>
    <x v="295"/>
    <s v="REVENUS"/>
    <x v="3"/>
    <s v="4002.002"/>
    <s v="Impôt complémentaire s/fortune PP"/>
    <n v="0"/>
    <n v="349.45"/>
    <n v="4002"/>
  </r>
  <r>
    <x v="0"/>
    <x v="12"/>
    <x v="5"/>
    <x v="351"/>
    <x v="295"/>
    <x v="295"/>
    <s v="REVENUS"/>
    <x v="3"/>
    <s v="4002.007"/>
    <s v="Acompte impôt sur fortune"/>
    <n v="0"/>
    <n v="2011.6"/>
    <n v="4002"/>
  </r>
  <r>
    <x v="0"/>
    <x v="12"/>
    <x v="5"/>
    <x v="351"/>
    <x v="295"/>
    <x v="295"/>
    <s v="REVENUS"/>
    <x v="2"/>
    <s v="4001.007"/>
    <s v="Acompte impôt sur revenu"/>
    <n v="0"/>
    <n v="-201.05"/>
    <n v="4001"/>
  </r>
  <r>
    <x v="0"/>
    <x v="12"/>
    <x v="5"/>
    <x v="351"/>
    <x v="295"/>
    <x v="295"/>
    <s v="REVENUS"/>
    <x v="3"/>
    <s v="4002.007"/>
    <s v="Acompte impôt sur fortune"/>
    <n v="0"/>
    <n v="-268.35000000000002"/>
    <n v="4002"/>
  </r>
  <r>
    <x v="0"/>
    <x v="12"/>
    <x v="5"/>
    <x v="351"/>
    <x v="295"/>
    <x v="295"/>
    <s v="REVENUS"/>
    <x v="2"/>
    <s v="4001.007"/>
    <s v="Acompte impôt sur revenu"/>
    <n v="0"/>
    <n v="5073.1499999999996"/>
    <n v="4001"/>
  </r>
  <r>
    <x v="0"/>
    <x v="12"/>
    <x v="5"/>
    <x v="351"/>
    <x v="295"/>
    <x v="295"/>
    <s v="REVENUS"/>
    <x v="2"/>
    <s v="4001.007"/>
    <s v="Acompte impôt sur revenu"/>
    <n v="0"/>
    <n v="-277.63"/>
    <n v="4001"/>
  </r>
  <r>
    <x v="0"/>
    <x v="12"/>
    <x v="5"/>
    <x v="351"/>
    <x v="295"/>
    <x v="295"/>
    <s v="REVENUS"/>
    <x v="3"/>
    <s v="4002.007"/>
    <s v="Acompte impôt sur fortune"/>
    <n v="0"/>
    <n v="-1.05"/>
    <n v="4002"/>
  </r>
  <r>
    <x v="0"/>
    <x v="12"/>
    <x v="5"/>
    <x v="351"/>
    <x v="295"/>
    <x v="295"/>
    <s v="REVENUS"/>
    <x v="9"/>
    <s v="4031.001"/>
    <s v="Impôt sur les gains immobiliers"/>
    <n v="0"/>
    <n v="35210"/>
    <n v="4031"/>
  </r>
  <r>
    <x v="0"/>
    <x v="12"/>
    <x v="5"/>
    <x v="351"/>
    <x v="295"/>
    <x v="295"/>
    <s v="REVENUS"/>
    <x v="12"/>
    <s v="4004.007"/>
    <s v="Acompte spécial étrangers"/>
    <n v="0"/>
    <n v="41100.15"/>
    <n v="4004"/>
  </r>
  <r>
    <x v="0"/>
    <x v="12"/>
    <x v="5"/>
    <x v="351"/>
    <x v="295"/>
    <x v="295"/>
    <s v="REVENUS"/>
    <x v="6"/>
    <s v="4221.002"/>
    <s v="Intérêts compensat. sur impôts distincts"/>
    <n v="0"/>
    <n v="7.59"/>
    <n v="4221"/>
  </r>
  <r>
    <x v="0"/>
    <x v="12"/>
    <x v="5"/>
    <x v="351"/>
    <x v="295"/>
    <x v="295"/>
    <s v="REVENUS"/>
    <x v="3"/>
    <s v="4002.007"/>
    <s v="Acompte impôt sur fortune"/>
    <n v="0"/>
    <n v="-9.6"/>
    <n v="4002"/>
  </r>
  <r>
    <x v="0"/>
    <x v="12"/>
    <x v="5"/>
    <x v="351"/>
    <x v="295"/>
    <x v="295"/>
    <s v="REVENUS"/>
    <x v="2"/>
    <s v="4001.001"/>
    <s v="Impôt revenu"/>
    <n v="0"/>
    <n v="1188.6500000000001"/>
    <n v="4001"/>
  </r>
  <r>
    <x v="0"/>
    <x v="12"/>
    <x v="5"/>
    <x v="351"/>
    <x v="295"/>
    <x v="295"/>
    <s v="REVENUS"/>
    <x v="6"/>
    <s v="4211.002"/>
    <s v="Intérêts de retard sur acomptes"/>
    <n v="0"/>
    <n v="0.1"/>
    <n v="4211"/>
  </r>
  <r>
    <x v="0"/>
    <x v="12"/>
    <x v="5"/>
    <x v="351"/>
    <x v="295"/>
    <x v="295"/>
    <s v="REVENUS"/>
    <x v="6"/>
    <s v="4221.003"/>
    <s v="Intérêts compensat. / acomptes en faveur du fisc"/>
    <n v="0"/>
    <n v="0.05"/>
    <n v="4221"/>
  </r>
  <r>
    <x v="0"/>
    <x v="12"/>
    <x v="5"/>
    <x v="351"/>
    <x v="295"/>
    <x v="295"/>
    <s v="REVENUS"/>
    <x v="3"/>
    <s v="4002.001"/>
    <s v="Impôt ordinaire s/fortune PP"/>
    <n v="0"/>
    <n v="1414.75"/>
    <n v="4002"/>
  </r>
  <r>
    <x v="0"/>
    <x v="12"/>
    <x v="5"/>
    <x v="351"/>
    <x v="295"/>
    <x v="295"/>
    <s v="REVENUS"/>
    <x v="6"/>
    <s v="4221.003"/>
    <s v="Intérêts compensat. / acomptes en faveur du fisc"/>
    <n v="0"/>
    <n v="7.0000000000000007E-2"/>
    <n v="4221"/>
  </r>
  <r>
    <x v="0"/>
    <x v="12"/>
    <x v="5"/>
    <x v="351"/>
    <x v="295"/>
    <x v="295"/>
    <s v="REVENUS"/>
    <x v="2"/>
    <s v="4001.001"/>
    <s v="Impôt revenu"/>
    <n v="0"/>
    <n v="1273.4000000000001"/>
    <n v="4001"/>
  </r>
  <r>
    <x v="0"/>
    <x v="12"/>
    <x v="5"/>
    <x v="351"/>
    <x v="295"/>
    <x v="295"/>
    <s v="REVENUS"/>
    <x v="6"/>
    <s v="4211.002"/>
    <s v="Intérêts de retard sur acomptes"/>
    <n v="0"/>
    <n v="0.66"/>
    <n v="4211"/>
  </r>
  <r>
    <x v="0"/>
    <x v="12"/>
    <x v="5"/>
    <x v="351"/>
    <x v="295"/>
    <x v="295"/>
    <s v="REVENUS"/>
    <x v="2"/>
    <s v="4001.001"/>
    <s v="Impôt revenu"/>
    <n v="0"/>
    <n v="45.95"/>
    <n v="4001"/>
  </r>
  <r>
    <x v="0"/>
    <x v="12"/>
    <x v="5"/>
    <x v="351"/>
    <x v="295"/>
    <x v="295"/>
    <s v="REVENUS"/>
    <x v="2"/>
    <s v="4001.001"/>
    <s v="Impôt revenu"/>
    <n v="0"/>
    <n v="0"/>
    <n v="4001"/>
  </r>
  <r>
    <x v="0"/>
    <x v="12"/>
    <x v="5"/>
    <x v="351"/>
    <x v="295"/>
    <x v="295"/>
    <s v="REVENUS"/>
    <x v="2"/>
    <s v="4001.002"/>
    <s v="Impôt complément s/revenu PP"/>
    <n v="0"/>
    <n v="384.2"/>
    <n v="4001"/>
  </r>
  <r>
    <x v="0"/>
    <x v="12"/>
    <x v="5"/>
    <x v="351"/>
    <x v="295"/>
    <x v="295"/>
    <s v="REVENUS"/>
    <x v="3"/>
    <s v="4002.001"/>
    <s v="Impôt ordinaire s/fortune PP"/>
    <n v="0"/>
    <n v="0"/>
    <n v="4002"/>
  </r>
  <r>
    <x v="0"/>
    <x v="12"/>
    <x v="5"/>
    <x v="351"/>
    <x v="295"/>
    <x v="295"/>
    <s v="REVENUS"/>
    <x v="3"/>
    <s v="4002.002"/>
    <s v="Impôt complémentaire s/fortune PP"/>
    <n v="0"/>
    <n v="490.05"/>
    <n v="4002"/>
  </r>
  <r>
    <x v="0"/>
    <x v="12"/>
    <x v="5"/>
    <x v="351"/>
    <x v="295"/>
    <x v="295"/>
    <s v="REVENUS"/>
    <x v="3"/>
    <s v="4002.001"/>
    <s v="Impôt ordinaire s/fortune PP"/>
    <n v="0"/>
    <n v="692.95"/>
    <n v="4002"/>
  </r>
  <r>
    <x v="0"/>
    <x v="12"/>
    <x v="5"/>
    <x v="351"/>
    <x v="295"/>
    <x v="295"/>
    <s v="REVENUS"/>
    <x v="6"/>
    <s v="4221.003"/>
    <s v="Intérêts compensat. / acomptes en faveur du fisc"/>
    <n v="0"/>
    <n v="0.02"/>
    <n v="4221"/>
  </r>
  <r>
    <x v="0"/>
    <x v="12"/>
    <x v="5"/>
    <x v="351"/>
    <x v="295"/>
    <x v="295"/>
    <s v="REVENUS"/>
    <x v="2"/>
    <s v="4001.007"/>
    <s v="Acompte impôt sur revenu"/>
    <n v="0"/>
    <n v="-625.25"/>
    <n v="4001"/>
  </r>
  <r>
    <x v="0"/>
    <x v="12"/>
    <x v="5"/>
    <x v="351"/>
    <x v="295"/>
    <x v="295"/>
    <s v="REVENUS"/>
    <x v="3"/>
    <s v="4002.007"/>
    <s v="Acompte impôt sur fortune"/>
    <n v="0"/>
    <n v="-914.45"/>
    <n v="4002"/>
  </r>
  <r>
    <x v="0"/>
    <x v="12"/>
    <x v="5"/>
    <x v="351"/>
    <x v="295"/>
    <x v="295"/>
    <s v="REVENUS"/>
    <x v="5"/>
    <s v="4061.000"/>
    <s v="Impôt sur les chiens"/>
    <n v="0"/>
    <n v="2370"/>
    <n v="4061"/>
  </r>
  <r>
    <x v="0"/>
    <x v="12"/>
    <x v="5"/>
    <x v="351"/>
    <x v="295"/>
    <x v="295"/>
    <s v="REVENUS"/>
    <x v="11"/>
    <s v="4198.000"/>
    <s v="Contributions communales"/>
    <n v="0"/>
    <n v="79800.45"/>
    <n v="4198"/>
  </r>
  <r>
    <x v="0"/>
    <x v="12"/>
    <x v="5"/>
    <x v="352"/>
    <x v="296"/>
    <x v="296"/>
    <s v="CHARGES"/>
    <x v="0"/>
    <s v="3212.004"/>
    <s v="Intérêts rémun./perçu trop tôt sur acomptes C/C"/>
    <n v="76.3"/>
    <n v="0"/>
    <n v="3212"/>
  </r>
  <r>
    <x v="0"/>
    <x v="12"/>
    <x v="5"/>
    <x v="352"/>
    <x v="296"/>
    <x v="296"/>
    <s v="CHARGES"/>
    <x v="1"/>
    <s v="3301.001"/>
    <s v="Défalcations, abandons de solde PP et IS"/>
    <n v="13397.46"/>
    <n v="0"/>
    <n v="3301"/>
  </r>
  <r>
    <x v="0"/>
    <x v="12"/>
    <x v="5"/>
    <x v="352"/>
    <x v="296"/>
    <x v="296"/>
    <s v="CHARGES"/>
    <x v="0"/>
    <s v="3221.002"/>
    <s v="Intérêts compensatoires / créances en faveur ctb."/>
    <n v="50.43"/>
    <n v="0"/>
    <n v="3221"/>
  </r>
  <r>
    <x v="0"/>
    <x v="12"/>
    <x v="5"/>
    <x v="352"/>
    <x v="296"/>
    <x v="296"/>
    <s v="CHARGES"/>
    <x v="0"/>
    <s v="3212.002"/>
    <s v="Intérêts bonifiés/trop perçu acompte C/C"/>
    <n v="0.67"/>
    <n v="0"/>
    <n v="3212"/>
  </r>
  <r>
    <x v="0"/>
    <x v="12"/>
    <x v="5"/>
    <x v="352"/>
    <x v="296"/>
    <x v="296"/>
    <s v="CHARGES"/>
    <x v="0"/>
    <s v="3212.004"/>
    <s v="Intérêts rémun./perçu trop tôt sur acomptes C/C"/>
    <n v="0.15"/>
    <n v="0"/>
    <n v="3212"/>
  </r>
  <r>
    <x v="0"/>
    <x v="12"/>
    <x v="5"/>
    <x v="352"/>
    <x v="296"/>
    <x v="296"/>
    <s v="CHARGES"/>
    <x v="0"/>
    <s v="3221.002"/>
    <s v="Intérêts compensatoires / créances en faveur ctb."/>
    <n v="0.02"/>
    <n v="0"/>
    <n v="3221"/>
  </r>
  <r>
    <x v="0"/>
    <x v="12"/>
    <x v="5"/>
    <x v="352"/>
    <x v="296"/>
    <x v="296"/>
    <s v="CHARGES"/>
    <x v="0"/>
    <s v="3212.004"/>
    <s v="Intérêts rémun./perçu trop tôt sur acomptes C/C"/>
    <n v="0.19"/>
    <n v="0"/>
    <n v="3212"/>
  </r>
  <r>
    <x v="0"/>
    <x v="12"/>
    <x v="5"/>
    <x v="352"/>
    <x v="296"/>
    <x v="296"/>
    <s v="CHARGES"/>
    <x v="0"/>
    <s v="3221.002"/>
    <s v="Intérêts compensatoires / créances en faveur ctb."/>
    <n v="0.11"/>
    <n v="0"/>
    <n v="3221"/>
  </r>
  <r>
    <x v="0"/>
    <x v="12"/>
    <x v="5"/>
    <x v="352"/>
    <x v="296"/>
    <x v="296"/>
    <s v="CHARGES"/>
    <x v="1"/>
    <s v="3301.001"/>
    <s v="Défalcations, abandons de solde PP et IS"/>
    <n v="0.02"/>
    <n v="0"/>
    <n v="3301"/>
  </r>
  <r>
    <x v="0"/>
    <x v="12"/>
    <x v="5"/>
    <x v="352"/>
    <x v="296"/>
    <x v="296"/>
    <s v="CHARGES"/>
    <x v="1"/>
    <s v="3301.001"/>
    <s v="Défalcations, abandons de solde PP et IS"/>
    <n v="19.23"/>
    <n v="0"/>
    <n v="3301"/>
  </r>
  <r>
    <x v="0"/>
    <x v="12"/>
    <x v="5"/>
    <x v="352"/>
    <x v="296"/>
    <x v="296"/>
    <s v="REVENUS"/>
    <x v="2"/>
    <s v="4001.001"/>
    <s v="Impôt revenu"/>
    <n v="0"/>
    <n v="375646.95"/>
    <n v="4001"/>
  </r>
  <r>
    <x v="0"/>
    <x v="12"/>
    <x v="5"/>
    <x v="352"/>
    <x v="296"/>
    <x v="296"/>
    <s v="REVENUS"/>
    <x v="2"/>
    <s v="4001.007"/>
    <s v="Acompte impôt sur revenu"/>
    <n v="0"/>
    <n v="-63246.09"/>
    <n v="4001"/>
  </r>
  <r>
    <x v="0"/>
    <x v="12"/>
    <x v="5"/>
    <x v="352"/>
    <x v="296"/>
    <x v="296"/>
    <s v="REVENUS"/>
    <x v="3"/>
    <s v="4002.001"/>
    <s v="Impôt ordinaire s/fortune PP"/>
    <n v="0"/>
    <n v="41705.15"/>
    <n v="4002"/>
  </r>
  <r>
    <x v="0"/>
    <x v="12"/>
    <x v="5"/>
    <x v="352"/>
    <x v="296"/>
    <x v="296"/>
    <s v="REVENUS"/>
    <x v="3"/>
    <s v="4002.007"/>
    <s v="Acompte impôt sur fortune"/>
    <n v="0"/>
    <n v="-7556.43"/>
    <n v="4002"/>
  </r>
  <r>
    <x v="0"/>
    <x v="12"/>
    <x v="5"/>
    <x v="352"/>
    <x v="296"/>
    <x v="296"/>
    <s v="REVENUS"/>
    <x v="6"/>
    <s v="4221.003"/>
    <s v="Intérêts compensat. / acomptes en faveur du fisc"/>
    <n v="0"/>
    <n v="28.04"/>
    <n v="4221"/>
  </r>
  <r>
    <x v="0"/>
    <x v="12"/>
    <x v="5"/>
    <x v="352"/>
    <x v="296"/>
    <x v="296"/>
    <s v="REVENUS"/>
    <x v="6"/>
    <s v="4211.002"/>
    <s v="Intérêts de retard sur acomptes"/>
    <n v="0"/>
    <n v="2909.98"/>
    <n v="4211"/>
  </r>
  <r>
    <x v="0"/>
    <x v="12"/>
    <x v="5"/>
    <x v="352"/>
    <x v="296"/>
    <x v="296"/>
    <s v="REVENUS"/>
    <x v="7"/>
    <s v="4184.000"/>
    <s v="Frais de poursuite"/>
    <n v="0"/>
    <n v="525.85"/>
    <n v="4184"/>
  </r>
  <r>
    <x v="0"/>
    <x v="12"/>
    <x v="5"/>
    <x v="352"/>
    <x v="296"/>
    <x v="296"/>
    <s v="REVENUS"/>
    <x v="6"/>
    <s v="4211.001"/>
    <s v="Intérêts de retard sur factures"/>
    <n v="0"/>
    <n v="834.21"/>
    <n v="4211"/>
  </r>
  <r>
    <x v="0"/>
    <x v="12"/>
    <x v="5"/>
    <x v="352"/>
    <x v="296"/>
    <x v="296"/>
    <s v="REVENUS"/>
    <x v="2"/>
    <s v="4001.002"/>
    <s v="Impôt complément s/revenu PP"/>
    <n v="0"/>
    <n v="12867.75"/>
    <n v="4001"/>
  </r>
  <r>
    <x v="0"/>
    <x v="12"/>
    <x v="5"/>
    <x v="352"/>
    <x v="296"/>
    <x v="296"/>
    <s v="REVENUS"/>
    <x v="3"/>
    <s v="4002.007"/>
    <s v="Acompte impôt sur fortune"/>
    <n v="0"/>
    <n v="36"/>
    <n v="4002"/>
  </r>
  <r>
    <x v="0"/>
    <x v="12"/>
    <x v="5"/>
    <x v="352"/>
    <x v="296"/>
    <x v="296"/>
    <s v="REVENUS"/>
    <x v="3"/>
    <s v="4002.007"/>
    <s v="Acompte impôt sur fortune"/>
    <n v="0"/>
    <n v="49.3"/>
    <n v="4002"/>
  </r>
  <r>
    <x v="0"/>
    <x v="12"/>
    <x v="5"/>
    <x v="352"/>
    <x v="296"/>
    <x v="296"/>
    <s v="REVENUS"/>
    <x v="2"/>
    <s v="4001.007"/>
    <s v="Acompte impôt sur revenu"/>
    <n v="0"/>
    <n v="-574.45000000000005"/>
    <n v="4001"/>
  </r>
  <r>
    <x v="0"/>
    <x v="12"/>
    <x v="5"/>
    <x v="352"/>
    <x v="296"/>
    <x v="296"/>
    <s v="REVENUS"/>
    <x v="10"/>
    <s v="4041.001"/>
    <s v="Droits de mutation"/>
    <n v="0"/>
    <n v="2750"/>
    <n v="4041"/>
  </r>
  <r>
    <x v="0"/>
    <x v="12"/>
    <x v="5"/>
    <x v="352"/>
    <x v="296"/>
    <x v="296"/>
    <s v="REVENUS"/>
    <x v="3"/>
    <s v="4002.002"/>
    <s v="Impôt complémentaire s/fortune PP"/>
    <n v="0"/>
    <n v="932.75"/>
    <n v="4002"/>
  </r>
  <r>
    <x v="0"/>
    <x v="12"/>
    <x v="5"/>
    <x v="352"/>
    <x v="296"/>
    <x v="296"/>
    <s v="REVENUS"/>
    <x v="2"/>
    <s v="4001.003"/>
    <s v="Impôt s/prest. cap. PP"/>
    <n v="0"/>
    <n v="11863.35"/>
    <n v="4001"/>
  </r>
  <r>
    <x v="0"/>
    <x v="12"/>
    <x v="5"/>
    <x v="352"/>
    <x v="296"/>
    <x v="296"/>
    <s v="REVENUS"/>
    <x v="2"/>
    <s v="4001.001"/>
    <s v="Impôt revenu"/>
    <n v="0"/>
    <n v="981.25"/>
    <n v="4001"/>
  </r>
  <r>
    <x v="0"/>
    <x v="12"/>
    <x v="5"/>
    <x v="352"/>
    <x v="296"/>
    <x v="296"/>
    <s v="REVENUS"/>
    <x v="3"/>
    <s v="4002.001"/>
    <s v="Impôt ordinaire s/fortune PP"/>
    <n v="0"/>
    <n v="195.2"/>
    <n v="4002"/>
  </r>
  <r>
    <x v="0"/>
    <x v="12"/>
    <x v="5"/>
    <x v="352"/>
    <x v="296"/>
    <x v="296"/>
    <s v="REVENUS"/>
    <x v="7"/>
    <s v="4184.000"/>
    <s v="Frais de poursuite"/>
    <n v="0"/>
    <n v="1.3"/>
    <n v="4184"/>
  </r>
  <r>
    <x v="0"/>
    <x v="12"/>
    <x v="5"/>
    <x v="352"/>
    <x v="296"/>
    <x v="296"/>
    <s v="REVENUS"/>
    <x v="4"/>
    <s v="4051.002"/>
    <s v="Impôt sur les donations"/>
    <n v="0"/>
    <n v="0"/>
    <n v="4051"/>
  </r>
  <r>
    <x v="0"/>
    <x v="12"/>
    <x v="5"/>
    <x v="352"/>
    <x v="296"/>
    <x v="296"/>
    <s v="REVENUS"/>
    <x v="2"/>
    <s v="4001.001"/>
    <s v="Impôt revenu"/>
    <n v="0"/>
    <n v="38.25"/>
    <n v="4001"/>
  </r>
  <r>
    <x v="0"/>
    <x v="12"/>
    <x v="5"/>
    <x v="352"/>
    <x v="296"/>
    <x v="296"/>
    <s v="REVENUS"/>
    <x v="3"/>
    <s v="4002.001"/>
    <s v="Impôt ordinaire s/fortune PP"/>
    <n v="0"/>
    <n v="273.14999999999998"/>
    <n v="4002"/>
  </r>
  <r>
    <x v="0"/>
    <x v="12"/>
    <x v="5"/>
    <x v="352"/>
    <x v="296"/>
    <x v="296"/>
    <s v="REVENUS"/>
    <x v="2"/>
    <s v="4001.001"/>
    <s v="Impôt revenu"/>
    <n v="0"/>
    <n v="8432.35"/>
    <n v="4001"/>
  </r>
  <r>
    <x v="0"/>
    <x v="12"/>
    <x v="5"/>
    <x v="352"/>
    <x v="296"/>
    <x v="296"/>
    <s v="REVENUS"/>
    <x v="3"/>
    <s v="4002.001"/>
    <s v="Impôt ordinaire s/fortune PP"/>
    <n v="0"/>
    <n v="1333.8"/>
    <n v="4002"/>
  </r>
  <r>
    <x v="0"/>
    <x v="12"/>
    <x v="5"/>
    <x v="352"/>
    <x v="296"/>
    <x v="296"/>
    <s v="REVENUS"/>
    <x v="6"/>
    <s v="4211.002"/>
    <s v="Intérêts de retard sur acomptes"/>
    <n v="0"/>
    <n v="19.21"/>
    <n v="4211"/>
  </r>
  <r>
    <x v="0"/>
    <x v="12"/>
    <x v="5"/>
    <x v="352"/>
    <x v="296"/>
    <x v="296"/>
    <s v="REVENUS"/>
    <x v="6"/>
    <s v="4221.003"/>
    <s v="Intérêts compensat. / acomptes en faveur du fisc"/>
    <n v="0"/>
    <n v="12.69"/>
    <n v="4221"/>
  </r>
  <r>
    <x v="0"/>
    <x v="12"/>
    <x v="5"/>
    <x v="352"/>
    <x v="296"/>
    <x v="296"/>
    <s v="REVENUS"/>
    <x v="6"/>
    <s v="4211.002"/>
    <s v="Intérêts de retard sur acomptes"/>
    <n v="0"/>
    <n v="0.12"/>
    <n v="4211"/>
  </r>
  <r>
    <x v="0"/>
    <x v="12"/>
    <x v="5"/>
    <x v="352"/>
    <x v="296"/>
    <x v="296"/>
    <s v="REVENUS"/>
    <x v="6"/>
    <s v="4221.003"/>
    <s v="Intérêts compensat. / acomptes en faveur du fisc"/>
    <n v="0"/>
    <n v="0.02"/>
    <n v="4221"/>
  </r>
  <r>
    <x v="0"/>
    <x v="12"/>
    <x v="5"/>
    <x v="352"/>
    <x v="296"/>
    <x v="296"/>
    <s v="REVENUS"/>
    <x v="6"/>
    <s v="4211.001"/>
    <s v="Intérêts de retard sur factures"/>
    <n v="0"/>
    <n v="0.91"/>
    <n v="4211"/>
  </r>
  <r>
    <x v="0"/>
    <x v="12"/>
    <x v="5"/>
    <x v="352"/>
    <x v="296"/>
    <x v="296"/>
    <s v="REVENUS"/>
    <x v="2"/>
    <s v="4001.007"/>
    <s v="Acompte impôt sur revenu"/>
    <n v="0"/>
    <n v="-17.100000000000001"/>
    <n v="4001"/>
  </r>
  <r>
    <x v="0"/>
    <x v="12"/>
    <x v="5"/>
    <x v="352"/>
    <x v="296"/>
    <x v="296"/>
    <s v="REVENUS"/>
    <x v="3"/>
    <s v="4002.007"/>
    <s v="Acompte impôt sur fortune"/>
    <n v="0"/>
    <n v="-2.9"/>
    <n v="4002"/>
  </r>
  <r>
    <x v="0"/>
    <x v="12"/>
    <x v="5"/>
    <x v="352"/>
    <x v="296"/>
    <x v="296"/>
    <s v="REVENUS"/>
    <x v="4"/>
    <s v="4051.002"/>
    <s v="Impôt sur les donations"/>
    <n v="0"/>
    <n v="4.9000000000000004"/>
    <n v="4051"/>
  </r>
  <r>
    <x v="0"/>
    <x v="12"/>
    <x v="5"/>
    <x v="352"/>
    <x v="296"/>
    <x v="296"/>
    <s v="REVENUS"/>
    <x v="2"/>
    <s v="4001.001"/>
    <s v="Impôt revenu"/>
    <n v="0"/>
    <n v="113.2"/>
    <n v="4001"/>
  </r>
  <r>
    <x v="0"/>
    <x v="12"/>
    <x v="5"/>
    <x v="352"/>
    <x v="296"/>
    <x v="296"/>
    <s v="REVENUS"/>
    <x v="6"/>
    <s v="4211.002"/>
    <s v="Intérêts de retard sur acomptes"/>
    <n v="0"/>
    <n v="1.18"/>
    <n v="4211"/>
  </r>
  <r>
    <x v="0"/>
    <x v="12"/>
    <x v="5"/>
    <x v="352"/>
    <x v="296"/>
    <x v="296"/>
    <s v="REVENUS"/>
    <x v="2"/>
    <s v="4001.007"/>
    <s v="Acompte impôt sur revenu"/>
    <n v="0"/>
    <n v="-16.8"/>
    <n v="4001"/>
  </r>
  <r>
    <x v="0"/>
    <x v="12"/>
    <x v="5"/>
    <x v="353"/>
    <x v="297"/>
    <x v="297"/>
    <s v="CHARGES"/>
    <x v="1"/>
    <s v="3301.001"/>
    <s v="Défalcations, abandons de solde PP et IS"/>
    <n v="4507.07"/>
    <n v="0"/>
    <n v="3301"/>
  </r>
  <r>
    <x v="0"/>
    <x v="12"/>
    <x v="5"/>
    <x v="353"/>
    <x v="297"/>
    <x v="297"/>
    <s v="CHARGES"/>
    <x v="0"/>
    <s v="3212.004"/>
    <s v="Intérêts rémun./perçu trop tôt sur acomptes C/C"/>
    <n v="152.51"/>
    <n v="0"/>
    <n v="3212"/>
  </r>
  <r>
    <x v="0"/>
    <x v="12"/>
    <x v="5"/>
    <x v="353"/>
    <x v="297"/>
    <x v="297"/>
    <s v="CHARGES"/>
    <x v="0"/>
    <s v="3221.002"/>
    <s v="Intérêts compensatoires / créances en faveur ctb."/>
    <n v="40.950000000000003"/>
    <n v="0"/>
    <n v="3221"/>
  </r>
  <r>
    <x v="0"/>
    <x v="12"/>
    <x v="5"/>
    <x v="353"/>
    <x v="297"/>
    <x v="297"/>
    <s v="CHARGES"/>
    <x v="0"/>
    <s v="3212.002"/>
    <s v="Intérêts bonifiés/trop perçu acompte C/C"/>
    <n v="-3.13"/>
    <n v="0"/>
    <n v="3212"/>
  </r>
  <r>
    <x v="0"/>
    <x v="12"/>
    <x v="5"/>
    <x v="353"/>
    <x v="297"/>
    <x v="297"/>
    <s v="CHARGES"/>
    <x v="0"/>
    <s v="3212.002"/>
    <s v="Intérêts bonifiés/trop perçu acompte C/C"/>
    <n v="0.66"/>
    <n v="0"/>
    <n v="3212"/>
  </r>
  <r>
    <x v="0"/>
    <x v="12"/>
    <x v="5"/>
    <x v="353"/>
    <x v="297"/>
    <x v="297"/>
    <s v="CHARGES"/>
    <x v="1"/>
    <s v="3301.001"/>
    <s v="Défalcations, abandons de solde PP et IS"/>
    <n v="6.14"/>
    <n v="0"/>
    <n v="3301"/>
  </r>
  <r>
    <x v="0"/>
    <x v="12"/>
    <x v="5"/>
    <x v="353"/>
    <x v="297"/>
    <x v="297"/>
    <s v="CHARGES"/>
    <x v="1"/>
    <s v="3301.001"/>
    <s v="Défalcations, abandons de solde PP et IS"/>
    <n v="0.01"/>
    <n v="0"/>
    <n v="3301"/>
  </r>
  <r>
    <x v="0"/>
    <x v="12"/>
    <x v="5"/>
    <x v="353"/>
    <x v="297"/>
    <x v="297"/>
    <s v="CHARGES"/>
    <x v="0"/>
    <s v="3212.004"/>
    <s v="Intérêts rémun./perçu trop tôt sur acomptes C/C"/>
    <n v="0.23"/>
    <n v="0"/>
    <n v="3212"/>
  </r>
  <r>
    <x v="0"/>
    <x v="12"/>
    <x v="5"/>
    <x v="353"/>
    <x v="297"/>
    <x v="297"/>
    <s v="CHARGES"/>
    <x v="0"/>
    <s v="3221.002"/>
    <s v="Intérêts compensatoires / créances en faveur ctb."/>
    <n v="0.01"/>
    <n v="0"/>
    <n v="3221"/>
  </r>
  <r>
    <x v="0"/>
    <x v="12"/>
    <x v="5"/>
    <x v="353"/>
    <x v="297"/>
    <x v="297"/>
    <s v="CHARGES"/>
    <x v="0"/>
    <s v="3212.004"/>
    <s v="Intérêts rémun./perçu trop tôt sur acomptes C/C"/>
    <n v="17.649999999999999"/>
    <n v="0"/>
    <n v="3212"/>
  </r>
  <r>
    <x v="0"/>
    <x v="12"/>
    <x v="5"/>
    <x v="353"/>
    <x v="297"/>
    <x v="297"/>
    <s v="CHARGES"/>
    <x v="0"/>
    <s v="3221.002"/>
    <s v="Intérêts compensatoires / créances en faveur ctb."/>
    <n v="16.55"/>
    <n v="0"/>
    <n v="3221"/>
  </r>
  <r>
    <x v="0"/>
    <x v="12"/>
    <x v="5"/>
    <x v="353"/>
    <x v="297"/>
    <x v="297"/>
    <s v="CHARGES"/>
    <x v="1"/>
    <s v="3301.001"/>
    <s v="Défalcations, abandons de solde PP et IS"/>
    <n v="0.19"/>
    <n v="0"/>
    <n v="3301"/>
  </r>
  <r>
    <x v="0"/>
    <x v="12"/>
    <x v="5"/>
    <x v="353"/>
    <x v="297"/>
    <x v="297"/>
    <s v="CHARGES"/>
    <x v="0"/>
    <s v="3212.004"/>
    <s v="Intérêts rémun./perçu trop tôt sur acomptes C/C"/>
    <n v="1.99"/>
    <n v="0"/>
    <n v="3212"/>
  </r>
  <r>
    <x v="0"/>
    <x v="12"/>
    <x v="5"/>
    <x v="353"/>
    <x v="297"/>
    <x v="297"/>
    <s v="REVENUS"/>
    <x v="6"/>
    <s v="4211.001"/>
    <s v="Intérêts de retard sur factures"/>
    <n v="0"/>
    <n v="8085.56"/>
    <n v="4211"/>
  </r>
  <r>
    <x v="0"/>
    <x v="12"/>
    <x v="5"/>
    <x v="353"/>
    <x v="297"/>
    <x v="297"/>
    <s v="REVENUS"/>
    <x v="2"/>
    <s v="4001.001"/>
    <s v="Impôt revenu"/>
    <n v="0"/>
    <n v="704812.55"/>
    <n v="4001"/>
  </r>
  <r>
    <x v="0"/>
    <x v="12"/>
    <x v="5"/>
    <x v="353"/>
    <x v="297"/>
    <x v="297"/>
    <s v="REVENUS"/>
    <x v="2"/>
    <s v="4001.007"/>
    <s v="Acompte impôt sur revenu"/>
    <n v="0"/>
    <n v="-84804.63"/>
    <n v="4001"/>
  </r>
  <r>
    <x v="0"/>
    <x v="12"/>
    <x v="5"/>
    <x v="353"/>
    <x v="297"/>
    <x v="297"/>
    <s v="REVENUS"/>
    <x v="3"/>
    <s v="4002.001"/>
    <s v="Impôt ordinaire s/fortune PP"/>
    <n v="0"/>
    <n v="39260.25"/>
    <n v="4002"/>
  </r>
  <r>
    <x v="0"/>
    <x v="12"/>
    <x v="5"/>
    <x v="353"/>
    <x v="297"/>
    <x v="297"/>
    <s v="REVENUS"/>
    <x v="3"/>
    <s v="4002.007"/>
    <s v="Acompte impôt sur fortune"/>
    <n v="0"/>
    <n v="1092.9100000000001"/>
    <n v="4002"/>
  </r>
  <r>
    <x v="0"/>
    <x v="12"/>
    <x v="5"/>
    <x v="353"/>
    <x v="297"/>
    <x v="297"/>
    <s v="REVENUS"/>
    <x v="6"/>
    <s v="4221.003"/>
    <s v="Intérêts compensat. / acomptes en faveur du fisc"/>
    <n v="0"/>
    <n v="196.29"/>
    <n v="4221"/>
  </r>
  <r>
    <x v="0"/>
    <x v="12"/>
    <x v="5"/>
    <x v="353"/>
    <x v="297"/>
    <x v="297"/>
    <s v="REVENUS"/>
    <x v="7"/>
    <s v="4184.000"/>
    <s v="Frais de poursuite"/>
    <n v="0"/>
    <n v="365.63"/>
    <n v="4184"/>
  </r>
  <r>
    <x v="0"/>
    <x v="12"/>
    <x v="5"/>
    <x v="353"/>
    <x v="297"/>
    <x v="297"/>
    <s v="REVENUS"/>
    <x v="6"/>
    <s v="4211.002"/>
    <s v="Intérêts de retard sur acomptes"/>
    <n v="0"/>
    <n v="5474.96"/>
    <n v="4211"/>
  </r>
  <r>
    <x v="0"/>
    <x v="12"/>
    <x v="5"/>
    <x v="353"/>
    <x v="297"/>
    <x v="297"/>
    <s v="REVENUS"/>
    <x v="2"/>
    <s v="4001.002"/>
    <s v="Impôt complément s/revenu PP"/>
    <n v="0"/>
    <n v="247340.5"/>
    <n v="4001"/>
  </r>
  <r>
    <x v="0"/>
    <x v="12"/>
    <x v="5"/>
    <x v="353"/>
    <x v="297"/>
    <x v="297"/>
    <s v="REVENUS"/>
    <x v="3"/>
    <s v="4002.002"/>
    <s v="Impôt complémentaire s/fortune PP"/>
    <n v="0"/>
    <n v="72058.45"/>
    <n v="4002"/>
  </r>
  <r>
    <x v="0"/>
    <x v="12"/>
    <x v="5"/>
    <x v="353"/>
    <x v="297"/>
    <x v="297"/>
    <s v="REVENUS"/>
    <x v="2"/>
    <s v="4001.003"/>
    <s v="Impôt s/prest. cap. PP"/>
    <n v="0"/>
    <n v="20268.8"/>
    <n v="4001"/>
  </r>
  <r>
    <x v="0"/>
    <x v="12"/>
    <x v="5"/>
    <x v="353"/>
    <x v="297"/>
    <x v="297"/>
    <s v="REVENUS"/>
    <x v="2"/>
    <s v="4001.007"/>
    <s v="Acompte impôt sur revenu"/>
    <n v="0"/>
    <n v="603.25"/>
    <n v="4001"/>
  </r>
  <r>
    <x v="0"/>
    <x v="12"/>
    <x v="5"/>
    <x v="353"/>
    <x v="297"/>
    <x v="297"/>
    <s v="REVENUS"/>
    <x v="9"/>
    <s v="4031.001"/>
    <s v="Impôt sur les gains immobiliers"/>
    <n v="0"/>
    <n v="42587.45"/>
    <n v="4031"/>
  </r>
  <r>
    <x v="0"/>
    <x v="12"/>
    <x v="5"/>
    <x v="353"/>
    <x v="297"/>
    <x v="297"/>
    <s v="REVENUS"/>
    <x v="3"/>
    <s v="4002.007"/>
    <s v="Acompte impôt sur fortune"/>
    <n v="0"/>
    <n v="716.07"/>
    <n v="4002"/>
  </r>
  <r>
    <x v="0"/>
    <x v="12"/>
    <x v="5"/>
    <x v="353"/>
    <x v="297"/>
    <x v="297"/>
    <s v="REVENUS"/>
    <x v="3"/>
    <s v="4002.007"/>
    <s v="Acompte impôt sur fortune"/>
    <n v="0"/>
    <n v="234.3"/>
    <n v="4002"/>
  </r>
  <r>
    <x v="0"/>
    <x v="12"/>
    <x v="5"/>
    <x v="353"/>
    <x v="297"/>
    <x v="297"/>
    <s v="REVENUS"/>
    <x v="2"/>
    <s v="4001.007"/>
    <s v="Acompte impôt sur revenu"/>
    <n v="0"/>
    <n v="1147.51"/>
    <n v="4001"/>
  </r>
  <r>
    <x v="0"/>
    <x v="12"/>
    <x v="5"/>
    <x v="353"/>
    <x v="297"/>
    <x v="297"/>
    <s v="REVENUS"/>
    <x v="2"/>
    <s v="4001.007"/>
    <s v="Acompte impôt sur revenu"/>
    <n v="0"/>
    <n v="-55.9"/>
    <n v="4001"/>
  </r>
  <r>
    <x v="0"/>
    <x v="12"/>
    <x v="5"/>
    <x v="353"/>
    <x v="297"/>
    <x v="297"/>
    <s v="REVENUS"/>
    <x v="3"/>
    <s v="4002.001"/>
    <s v="Impôt ordinaire s/fortune PP"/>
    <n v="0"/>
    <n v="1327.75"/>
    <n v="4002"/>
  </r>
  <r>
    <x v="0"/>
    <x v="12"/>
    <x v="5"/>
    <x v="353"/>
    <x v="297"/>
    <x v="297"/>
    <s v="REVENUS"/>
    <x v="2"/>
    <s v="4001.007"/>
    <s v="Acompte impôt sur revenu"/>
    <n v="0"/>
    <n v="-85.6"/>
    <n v="4001"/>
  </r>
  <r>
    <x v="0"/>
    <x v="12"/>
    <x v="5"/>
    <x v="353"/>
    <x v="297"/>
    <x v="297"/>
    <s v="REVENUS"/>
    <x v="3"/>
    <s v="4002.007"/>
    <s v="Acompte impôt sur fortune"/>
    <n v="0"/>
    <n v="872.2"/>
    <n v="4002"/>
  </r>
  <r>
    <x v="0"/>
    <x v="12"/>
    <x v="5"/>
    <x v="353"/>
    <x v="297"/>
    <x v="297"/>
    <s v="REVENUS"/>
    <x v="3"/>
    <s v="4002.007"/>
    <s v="Acompte impôt sur fortune"/>
    <n v="0"/>
    <n v="-78.75"/>
    <n v="4002"/>
  </r>
  <r>
    <x v="0"/>
    <x v="12"/>
    <x v="5"/>
    <x v="353"/>
    <x v="297"/>
    <x v="297"/>
    <s v="REVENUS"/>
    <x v="6"/>
    <s v="4211.001"/>
    <s v="Intérêts de retard sur factures"/>
    <n v="0"/>
    <n v="6.1"/>
    <n v="4211"/>
  </r>
  <r>
    <x v="0"/>
    <x v="12"/>
    <x v="5"/>
    <x v="353"/>
    <x v="297"/>
    <x v="297"/>
    <s v="REVENUS"/>
    <x v="8"/>
    <s v="4091.001"/>
    <s v="Impôt récupéré après défalcations"/>
    <n v="0"/>
    <n v="4418.49"/>
    <n v="4091"/>
  </r>
  <r>
    <x v="0"/>
    <x v="12"/>
    <x v="5"/>
    <x v="353"/>
    <x v="297"/>
    <x v="297"/>
    <s v="REVENUS"/>
    <x v="2"/>
    <s v="4001.001"/>
    <s v="Impôt revenu"/>
    <n v="0"/>
    <n v="5340.25"/>
    <n v="4001"/>
  </r>
  <r>
    <x v="0"/>
    <x v="12"/>
    <x v="5"/>
    <x v="353"/>
    <x v="297"/>
    <x v="297"/>
    <s v="REVENUS"/>
    <x v="3"/>
    <s v="4002.001"/>
    <s v="Impôt ordinaire s/fortune PP"/>
    <n v="0"/>
    <n v="4585.45"/>
    <n v="4002"/>
  </r>
  <r>
    <x v="0"/>
    <x v="12"/>
    <x v="5"/>
    <x v="353"/>
    <x v="297"/>
    <x v="297"/>
    <s v="REVENUS"/>
    <x v="6"/>
    <s v="4211.002"/>
    <s v="Intérêts de retard sur acomptes"/>
    <n v="0"/>
    <n v="59.11"/>
    <n v="4211"/>
  </r>
  <r>
    <x v="0"/>
    <x v="12"/>
    <x v="5"/>
    <x v="353"/>
    <x v="297"/>
    <x v="297"/>
    <s v="REVENUS"/>
    <x v="6"/>
    <s v="4221.003"/>
    <s v="Intérêts compensat. / acomptes en faveur du fisc"/>
    <n v="0"/>
    <n v="0.21"/>
    <n v="4221"/>
  </r>
  <r>
    <x v="0"/>
    <x v="12"/>
    <x v="5"/>
    <x v="353"/>
    <x v="297"/>
    <x v="297"/>
    <s v="REVENUS"/>
    <x v="6"/>
    <s v="4211.001"/>
    <s v="Intérêts de retard sur factures"/>
    <n v="0"/>
    <n v="15.38"/>
    <n v="4211"/>
  </r>
  <r>
    <x v="0"/>
    <x v="12"/>
    <x v="5"/>
    <x v="353"/>
    <x v="297"/>
    <x v="297"/>
    <s v="REVENUS"/>
    <x v="10"/>
    <s v="4041.001"/>
    <s v="Droits de mutation"/>
    <n v="0"/>
    <n v="38500"/>
    <n v="4041"/>
  </r>
  <r>
    <x v="0"/>
    <x v="12"/>
    <x v="5"/>
    <x v="353"/>
    <x v="297"/>
    <x v="297"/>
    <s v="REVENUS"/>
    <x v="6"/>
    <s v="4221.002"/>
    <s v="Intérêts compensat. sur impôts distincts"/>
    <n v="0"/>
    <n v="6.77"/>
    <n v="4221"/>
  </r>
  <r>
    <x v="0"/>
    <x v="12"/>
    <x v="5"/>
    <x v="353"/>
    <x v="297"/>
    <x v="297"/>
    <s v="REVENUS"/>
    <x v="2"/>
    <s v="4001.001"/>
    <s v="Impôt revenu"/>
    <n v="0"/>
    <n v="465.7"/>
    <n v="4001"/>
  </r>
  <r>
    <x v="0"/>
    <x v="12"/>
    <x v="5"/>
    <x v="353"/>
    <x v="297"/>
    <x v="297"/>
    <s v="REVENUS"/>
    <x v="3"/>
    <s v="4002.001"/>
    <s v="Impôt ordinaire s/fortune PP"/>
    <n v="0"/>
    <n v="732.45"/>
    <n v="4002"/>
  </r>
  <r>
    <x v="0"/>
    <x v="12"/>
    <x v="5"/>
    <x v="353"/>
    <x v="297"/>
    <x v="297"/>
    <s v="REVENUS"/>
    <x v="6"/>
    <s v="4221.003"/>
    <s v="Intérêts compensat. / acomptes en faveur du fisc"/>
    <n v="0"/>
    <n v="0.65"/>
    <n v="4221"/>
  </r>
  <r>
    <x v="0"/>
    <x v="12"/>
    <x v="5"/>
    <x v="353"/>
    <x v="297"/>
    <x v="297"/>
    <s v="REVENUS"/>
    <x v="2"/>
    <s v="4001.001"/>
    <s v="Impôt revenu"/>
    <n v="0"/>
    <n v="202.45"/>
    <n v="4001"/>
  </r>
  <r>
    <x v="0"/>
    <x v="12"/>
    <x v="5"/>
    <x v="353"/>
    <x v="297"/>
    <x v="297"/>
    <s v="REVENUS"/>
    <x v="3"/>
    <s v="4002.001"/>
    <s v="Impôt ordinaire s/fortune PP"/>
    <n v="0"/>
    <n v="32.450000000000003"/>
    <n v="4002"/>
  </r>
  <r>
    <x v="0"/>
    <x v="12"/>
    <x v="5"/>
    <x v="353"/>
    <x v="297"/>
    <x v="297"/>
    <s v="REVENUS"/>
    <x v="6"/>
    <s v="4211.002"/>
    <s v="Intérêts de retard sur acomptes"/>
    <n v="0"/>
    <n v="8.7899999999999991"/>
    <n v="4211"/>
  </r>
  <r>
    <x v="0"/>
    <x v="12"/>
    <x v="5"/>
    <x v="353"/>
    <x v="297"/>
    <x v="297"/>
    <s v="REVENUS"/>
    <x v="6"/>
    <s v="4221.003"/>
    <s v="Intérêts compensat. / acomptes en faveur du fisc"/>
    <n v="0"/>
    <n v="0.04"/>
    <n v="4221"/>
  </r>
  <r>
    <x v="0"/>
    <x v="12"/>
    <x v="5"/>
    <x v="353"/>
    <x v="297"/>
    <x v="297"/>
    <s v="REVENUS"/>
    <x v="2"/>
    <s v="4001.001"/>
    <s v="Impôt revenu"/>
    <n v="0"/>
    <n v="2626.25"/>
    <n v="4001"/>
  </r>
  <r>
    <x v="0"/>
    <x v="12"/>
    <x v="5"/>
    <x v="353"/>
    <x v="297"/>
    <x v="297"/>
    <s v="REVENUS"/>
    <x v="6"/>
    <s v="4211.001"/>
    <s v="Intérêts de retard sur factures"/>
    <n v="0"/>
    <n v="0.05"/>
    <n v="4211"/>
  </r>
  <r>
    <x v="0"/>
    <x v="12"/>
    <x v="5"/>
    <x v="353"/>
    <x v="297"/>
    <x v="297"/>
    <s v="REVENUS"/>
    <x v="6"/>
    <s v="4211.002"/>
    <s v="Intérêts de retard sur acomptes"/>
    <n v="0"/>
    <n v="0.96"/>
    <n v="4211"/>
  </r>
  <r>
    <x v="0"/>
    <x v="12"/>
    <x v="5"/>
    <x v="353"/>
    <x v="297"/>
    <x v="297"/>
    <s v="REVENUS"/>
    <x v="6"/>
    <s v="4221.003"/>
    <s v="Intérêts compensat. / acomptes en faveur du fisc"/>
    <n v="0"/>
    <n v="0.63"/>
    <n v="4221"/>
  </r>
  <r>
    <x v="0"/>
    <x v="12"/>
    <x v="5"/>
    <x v="353"/>
    <x v="297"/>
    <x v="297"/>
    <s v="REVENUS"/>
    <x v="5"/>
    <s v="4061.000"/>
    <s v="Impôt sur les chiens"/>
    <n v="0"/>
    <n v="3850"/>
    <n v="4061"/>
  </r>
  <r>
    <x v="0"/>
    <x v="12"/>
    <x v="5"/>
    <x v="353"/>
    <x v="297"/>
    <x v="297"/>
    <s v="REVENUS"/>
    <x v="7"/>
    <s v="4184.000"/>
    <s v="Frais de poursuite"/>
    <n v="0"/>
    <n v="0.14000000000000001"/>
    <n v="4184"/>
  </r>
  <r>
    <x v="0"/>
    <x v="12"/>
    <x v="5"/>
    <x v="353"/>
    <x v="297"/>
    <x v="297"/>
    <s v="REVENUS"/>
    <x v="2"/>
    <s v="4001.002"/>
    <s v="Impôt complément s/revenu PP"/>
    <n v="0"/>
    <n v="658.95"/>
    <n v="4001"/>
  </r>
  <r>
    <x v="0"/>
    <x v="12"/>
    <x v="5"/>
    <x v="353"/>
    <x v="297"/>
    <x v="297"/>
    <s v="REVENUS"/>
    <x v="3"/>
    <s v="4002.002"/>
    <s v="Impôt complémentaire s/fortune PP"/>
    <n v="0"/>
    <n v="114.8"/>
    <n v="4002"/>
  </r>
  <r>
    <x v="0"/>
    <x v="12"/>
    <x v="5"/>
    <x v="353"/>
    <x v="297"/>
    <x v="297"/>
    <s v="REVENUS"/>
    <x v="7"/>
    <s v="4184.000"/>
    <s v="Frais de poursuite"/>
    <n v="0"/>
    <n v="85.03"/>
    <n v="4184"/>
  </r>
  <r>
    <x v="0"/>
    <x v="12"/>
    <x v="5"/>
    <x v="353"/>
    <x v="297"/>
    <x v="297"/>
    <s v="REVENUS"/>
    <x v="2"/>
    <s v="4001.005"/>
    <s v="Amende de soustract. Impôt"/>
    <n v="0"/>
    <n v="9950"/>
    <n v="4001"/>
  </r>
  <r>
    <x v="0"/>
    <x v="12"/>
    <x v="5"/>
    <x v="353"/>
    <x v="297"/>
    <x v="297"/>
    <s v="REVENUS"/>
    <x v="11"/>
    <s v="4198.000"/>
    <s v="Contributions communales"/>
    <n v="0"/>
    <n v="76900"/>
    <n v="4198"/>
  </r>
  <r>
    <x v="0"/>
    <x v="12"/>
    <x v="5"/>
    <x v="354"/>
    <x v="298"/>
    <x v="298"/>
    <s v="CHARGES"/>
    <x v="0"/>
    <s v="3212.004"/>
    <s v="Intérêts rémun./perçu trop tôt sur acomptes C/C"/>
    <n v="102.55"/>
    <n v="0"/>
    <n v="3212"/>
  </r>
  <r>
    <x v="0"/>
    <x v="12"/>
    <x v="5"/>
    <x v="354"/>
    <x v="298"/>
    <x v="298"/>
    <s v="CHARGES"/>
    <x v="0"/>
    <s v="3221.002"/>
    <s v="Intérêts compensatoires / créances en faveur ctb."/>
    <n v="157.12"/>
    <n v="0"/>
    <n v="3221"/>
  </r>
  <r>
    <x v="0"/>
    <x v="12"/>
    <x v="5"/>
    <x v="354"/>
    <x v="298"/>
    <x v="298"/>
    <s v="CHARGES"/>
    <x v="1"/>
    <s v="3301.001"/>
    <s v="Défalcations, abandons de solde PP et IS"/>
    <n v="16508.78"/>
    <n v="0"/>
    <n v="3301"/>
  </r>
  <r>
    <x v="0"/>
    <x v="12"/>
    <x v="5"/>
    <x v="354"/>
    <x v="298"/>
    <x v="298"/>
    <s v="CHARGES"/>
    <x v="0"/>
    <s v="3212.004"/>
    <s v="Intérêts rémun./perçu trop tôt sur acomptes C/C"/>
    <n v="0.24"/>
    <n v="0"/>
    <n v="3212"/>
  </r>
  <r>
    <x v="0"/>
    <x v="12"/>
    <x v="5"/>
    <x v="354"/>
    <x v="298"/>
    <x v="298"/>
    <s v="CHARGES"/>
    <x v="0"/>
    <s v="3212.004"/>
    <s v="Intérêts rémun./perçu trop tôt sur acomptes C/C"/>
    <n v="0.12"/>
    <n v="0"/>
    <n v="3212"/>
  </r>
  <r>
    <x v="0"/>
    <x v="12"/>
    <x v="5"/>
    <x v="354"/>
    <x v="298"/>
    <x v="298"/>
    <s v="CHARGES"/>
    <x v="0"/>
    <s v="3212.004"/>
    <s v="Intérêts rémun./perçu trop tôt sur acomptes C/C"/>
    <n v="0.71"/>
    <n v="0"/>
    <n v="3212"/>
  </r>
  <r>
    <x v="0"/>
    <x v="12"/>
    <x v="5"/>
    <x v="354"/>
    <x v="298"/>
    <x v="298"/>
    <s v="CHARGES"/>
    <x v="0"/>
    <s v="3221.002"/>
    <s v="Intérêts compensatoires / créances en faveur ctb."/>
    <n v="0.88"/>
    <n v="0"/>
    <n v="3221"/>
  </r>
  <r>
    <x v="0"/>
    <x v="12"/>
    <x v="5"/>
    <x v="354"/>
    <x v="298"/>
    <x v="298"/>
    <s v="REVENUS"/>
    <x v="6"/>
    <s v="4211.001"/>
    <s v="Intérêts de retard sur factures"/>
    <n v="0"/>
    <n v="264.52"/>
    <n v="4211"/>
  </r>
  <r>
    <x v="0"/>
    <x v="12"/>
    <x v="5"/>
    <x v="354"/>
    <x v="298"/>
    <x v="298"/>
    <s v="REVENUS"/>
    <x v="2"/>
    <s v="4001.001"/>
    <s v="Impôt revenu"/>
    <n v="0"/>
    <n v="347107.2"/>
    <n v="4001"/>
  </r>
  <r>
    <x v="0"/>
    <x v="12"/>
    <x v="5"/>
    <x v="354"/>
    <x v="298"/>
    <x v="298"/>
    <s v="REVENUS"/>
    <x v="2"/>
    <s v="4001.007"/>
    <s v="Acompte impôt sur revenu"/>
    <n v="0"/>
    <n v="-159344.47"/>
    <n v="4001"/>
  </r>
  <r>
    <x v="0"/>
    <x v="12"/>
    <x v="5"/>
    <x v="354"/>
    <x v="298"/>
    <x v="298"/>
    <s v="REVENUS"/>
    <x v="3"/>
    <s v="4002.001"/>
    <s v="Impôt ordinaire s/fortune PP"/>
    <n v="0"/>
    <n v="35380.550000000003"/>
    <n v="4002"/>
  </r>
  <r>
    <x v="0"/>
    <x v="12"/>
    <x v="5"/>
    <x v="354"/>
    <x v="298"/>
    <x v="298"/>
    <s v="REVENUS"/>
    <x v="3"/>
    <s v="4002.007"/>
    <s v="Acompte impôt sur fortune"/>
    <n v="0"/>
    <n v="-6496.25"/>
    <n v="4002"/>
  </r>
  <r>
    <x v="0"/>
    <x v="12"/>
    <x v="5"/>
    <x v="354"/>
    <x v="298"/>
    <x v="298"/>
    <s v="REVENUS"/>
    <x v="6"/>
    <s v="4221.003"/>
    <s v="Intérêts compensat. / acomptes en faveur du fisc"/>
    <n v="0"/>
    <n v="133.96"/>
    <n v="4221"/>
  </r>
  <r>
    <x v="0"/>
    <x v="12"/>
    <x v="5"/>
    <x v="354"/>
    <x v="298"/>
    <x v="298"/>
    <s v="REVENUS"/>
    <x v="2"/>
    <s v="4001.007"/>
    <s v="Acompte impôt sur revenu"/>
    <n v="0"/>
    <n v="-1758.6"/>
    <n v="4001"/>
  </r>
  <r>
    <x v="0"/>
    <x v="12"/>
    <x v="5"/>
    <x v="354"/>
    <x v="298"/>
    <x v="298"/>
    <s v="REVENUS"/>
    <x v="3"/>
    <s v="4002.007"/>
    <s v="Acompte impôt sur fortune"/>
    <n v="0"/>
    <n v="-823.85"/>
    <n v="4002"/>
  </r>
  <r>
    <x v="0"/>
    <x v="12"/>
    <x v="5"/>
    <x v="354"/>
    <x v="298"/>
    <x v="298"/>
    <s v="REVENUS"/>
    <x v="6"/>
    <s v="4211.002"/>
    <s v="Intérêts de retard sur acomptes"/>
    <n v="0"/>
    <n v="5769.02"/>
    <n v="4211"/>
  </r>
  <r>
    <x v="0"/>
    <x v="12"/>
    <x v="5"/>
    <x v="354"/>
    <x v="298"/>
    <x v="298"/>
    <s v="REVENUS"/>
    <x v="12"/>
    <s v="4004.007"/>
    <s v="Acompte spécial étrangers"/>
    <n v="0"/>
    <n v="2096.4"/>
    <n v="4004"/>
  </r>
  <r>
    <x v="0"/>
    <x v="12"/>
    <x v="5"/>
    <x v="354"/>
    <x v="298"/>
    <x v="298"/>
    <s v="REVENUS"/>
    <x v="2"/>
    <s v="4001.007"/>
    <s v="Acompte impôt sur revenu"/>
    <n v="0"/>
    <n v="-142.5"/>
    <n v="4001"/>
  </r>
  <r>
    <x v="0"/>
    <x v="12"/>
    <x v="5"/>
    <x v="354"/>
    <x v="298"/>
    <x v="298"/>
    <s v="REVENUS"/>
    <x v="3"/>
    <s v="4002.007"/>
    <s v="Acompte impôt sur fortune"/>
    <n v="0"/>
    <n v="-88"/>
    <n v="4002"/>
  </r>
  <r>
    <x v="0"/>
    <x v="12"/>
    <x v="5"/>
    <x v="354"/>
    <x v="298"/>
    <x v="298"/>
    <s v="REVENUS"/>
    <x v="3"/>
    <s v="4002.001"/>
    <s v="Impôt ordinaire s/fortune PP"/>
    <n v="0"/>
    <n v="177.85"/>
    <n v="4002"/>
  </r>
  <r>
    <x v="0"/>
    <x v="12"/>
    <x v="5"/>
    <x v="354"/>
    <x v="298"/>
    <x v="298"/>
    <s v="REVENUS"/>
    <x v="3"/>
    <s v="4002.001"/>
    <s v="Impôt ordinaire s/fortune PP"/>
    <n v="0"/>
    <n v="59.8"/>
    <n v="4002"/>
  </r>
  <r>
    <x v="0"/>
    <x v="12"/>
    <x v="5"/>
    <x v="354"/>
    <x v="298"/>
    <x v="298"/>
    <s v="REVENUS"/>
    <x v="2"/>
    <s v="4001.003"/>
    <s v="Impôt s/prest. cap. PP"/>
    <n v="0"/>
    <n v="3968.1"/>
    <n v="4001"/>
  </r>
  <r>
    <x v="0"/>
    <x v="12"/>
    <x v="5"/>
    <x v="354"/>
    <x v="298"/>
    <x v="298"/>
    <s v="REVENUS"/>
    <x v="6"/>
    <s v="4221.002"/>
    <s v="Intérêts compensat. sur impôts distincts"/>
    <n v="0"/>
    <n v="-23.94"/>
    <n v="4221"/>
  </r>
  <r>
    <x v="0"/>
    <x v="12"/>
    <x v="5"/>
    <x v="354"/>
    <x v="298"/>
    <x v="298"/>
    <s v="REVENUS"/>
    <x v="2"/>
    <s v="4001.001"/>
    <s v="Impôt revenu"/>
    <n v="0"/>
    <n v="1480.6"/>
    <n v="4001"/>
  </r>
  <r>
    <x v="0"/>
    <x v="12"/>
    <x v="5"/>
    <x v="354"/>
    <x v="298"/>
    <x v="298"/>
    <s v="REVENUS"/>
    <x v="3"/>
    <s v="4002.001"/>
    <s v="Impôt ordinaire s/fortune PP"/>
    <n v="0"/>
    <n v="1481.25"/>
    <n v="4002"/>
  </r>
  <r>
    <x v="0"/>
    <x v="12"/>
    <x v="5"/>
    <x v="354"/>
    <x v="298"/>
    <x v="298"/>
    <s v="REVENUS"/>
    <x v="2"/>
    <s v="4001.002"/>
    <s v="Impôt complément s/revenu PP"/>
    <n v="0"/>
    <n v="196228.2"/>
    <n v="4001"/>
  </r>
  <r>
    <x v="0"/>
    <x v="12"/>
    <x v="5"/>
    <x v="354"/>
    <x v="298"/>
    <x v="298"/>
    <s v="REVENUS"/>
    <x v="7"/>
    <s v="4184.000"/>
    <s v="Frais de poursuite"/>
    <n v="0"/>
    <n v="112.07"/>
    <n v="4184"/>
  </r>
  <r>
    <x v="0"/>
    <x v="12"/>
    <x v="5"/>
    <x v="354"/>
    <x v="298"/>
    <x v="298"/>
    <s v="REVENUS"/>
    <x v="7"/>
    <s v="4184.000"/>
    <s v="Frais de poursuite"/>
    <n v="0"/>
    <n v="511.13"/>
    <n v="4184"/>
  </r>
  <r>
    <x v="0"/>
    <x v="12"/>
    <x v="5"/>
    <x v="354"/>
    <x v="298"/>
    <x v="298"/>
    <s v="REVENUS"/>
    <x v="3"/>
    <s v="4002.002"/>
    <s v="Impôt complémentaire s/fortune PP"/>
    <n v="0"/>
    <n v="18606.75"/>
    <n v="4002"/>
  </r>
  <r>
    <x v="0"/>
    <x v="12"/>
    <x v="5"/>
    <x v="354"/>
    <x v="298"/>
    <x v="298"/>
    <s v="REVENUS"/>
    <x v="2"/>
    <s v="4001.001"/>
    <s v="Impôt revenu"/>
    <n v="0"/>
    <n v="111.5"/>
    <n v="4001"/>
  </r>
  <r>
    <x v="0"/>
    <x v="12"/>
    <x v="5"/>
    <x v="354"/>
    <x v="298"/>
    <x v="298"/>
    <s v="REVENUS"/>
    <x v="6"/>
    <s v="4221.003"/>
    <s v="Intérêts compensat. / acomptes en faveur du fisc"/>
    <n v="0"/>
    <n v="0.01"/>
    <n v="4221"/>
  </r>
  <r>
    <x v="0"/>
    <x v="12"/>
    <x v="5"/>
    <x v="354"/>
    <x v="298"/>
    <x v="298"/>
    <s v="REVENUS"/>
    <x v="12"/>
    <s v="4004.000"/>
    <s v="Impôt spécial étrangers"/>
    <n v="0"/>
    <n v="36203.449999999997"/>
    <n v="4004"/>
  </r>
  <r>
    <x v="0"/>
    <x v="12"/>
    <x v="5"/>
    <x v="354"/>
    <x v="298"/>
    <x v="298"/>
    <s v="REVENUS"/>
    <x v="8"/>
    <s v="4091.001"/>
    <s v="Impôt récupéré après défalcations"/>
    <n v="0"/>
    <n v="11784.75"/>
    <n v="4091"/>
  </r>
  <r>
    <x v="0"/>
    <x v="12"/>
    <x v="5"/>
    <x v="354"/>
    <x v="298"/>
    <x v="298"/>
    <s v="REVENUS"/>
    <x v="2"/>
    <s v="4001.007"/>
    <s v="Acompte impôt sur revenu"/>
    <n v="0"/>
    <n v="-84.7"/>
    <n v="4001"/>
  </r>
  <r>
    <x v="0"/>
    <x v="12"/>
    <x v="5"/>
    <x v="354"/>
    <x v="298"/>
    <x v="298"/>
    <s v="REVENUS"/>
    <x v="3"/>
    <s v="4002.007"/>
    <s v="Acompte impôt sur fortune"/>
    <n v="0"/>
    <n v="-189.2"/>
    <n v="4002"/>
  </r>
  <r>
    <x v="0"/>
    <x v="12"/>
    <x v="5"/>
    <x v="354"/>
    <x v="298"/>
    <x v="298"/>
    <s v="REVENUS"/>
    <x v="8"/>
    <s v="4091.001"/>
    <s v="Impôt récupéré après défalcations"/>
    <n v="0"/>
    <n v="2609.14"/>
    <n v="4091"/>
  </r>
  <r>
    <x v="0"/>
    <x v="12"/>
    <x v="5"/>
    <x v="355"/>
    <x v="299"/>
    <x v="299"/>
    <s v="CHARGES"/>
    <x v="0"/>
    <s v="3212.004"/>
    <s v="Intérêts rémun./perçu trop tôt sur acomptes C/C"/>
    <n v="263.48"/>
    <n v="0"/>
    <n v="3212"/>
  </r>
  <r>
    <x v="0"/>
    <x v="12"/>
    <x v="5"/>
    <x v="355"/>
    <x v="299"/>
    <x v="299"/>
    <s v="CHARGES"/>
    <x v="0"/>
    <s v="3221.002"/>
    <s v="Intérêts compensatoires / créances en faveur ctb."/>
    <n v="91.16"/>
    <n v="0"/>
    <n v="3221"/>
  </r>
  <r>
    <x v="0"/>
    <x v="12"/>
    <x v="5"/>
    <x v="355"/>
    <x v="299"/>
    <x v="299"/>
    <s v="CHARGES"/>
    <x v="1"/>
    <s v="3301.001"/>
    <s v="Défalcations, abandons de solde PP et IS"/>
    <n v="5342.28"/>
    <n v="0"/>
    <n v="3301"/>
  </r>
  <r>
    <x v="0"/>
    <x v="12"/>
    <x v="5"/>
    <x v="355"/>
    <x v="299"/>
    <x v="299"/>
    <s v="CHARGES"/>
    <x v="0"/>
    <s v="3212.002"/>
    <s v="Intérêts bonifiés/trop perçu acompte C/C"/>
    <n v="8.58"/>
    <n v="0"/>
    <n v="3212"/>
  </r>
  <r>
    <x v="0"/>
    <x v="12"/>
    <x v="5"/>
    <x v="355"/>
    <x v="299"/>
    <x v="299"/>
    <s v="CHARGES"/>
    <x v="1"/>
    <s v="3301.001"/>
    <s v="Défalcations, abandons de solde PP et IS"/>
    <n v="0.33"/>
    <n v="0"/>
    <n v="3301"/>
  </r>
  <r>
    <x v="0"/>
    <x v="12"/>
    <x v="5"/>
    <x v="355"/>
    <x v="299"/>
    <x v="299"/>
    <s v="CHARGES"/>
    <x v="0"/>
    <s v="3212.004"/>
    <s v="Intérêts rémun./perçu trop tôt sur acomptes C/C"/>
    <n v="0.02"/>
    <n v="0"/>
    <n v="3212"/>
  </r>
  <r>
    <x v="0"/>
    <x v="12"/>
    <x v="5"/>
    <x v="355"/>
    <x v="299"/>
    <x v="299"/>
    <s v="CHARGES"/>
    <x v="0"/>
    <s v="3212.004"/>
    <s v="Intérêts rémun./perçu trop tôt sur acomptes C/C"/>
    <n v="0.19"/>
    <n v="0"/>
    <n v="3212"/>
  </r>
  <r>
    <x v="0"/>
    <x v="12"/>
    <x v="5"/>
    <x v="355"/>
    <x v="299"/>
    <x v="299"/>
    <s v="CHARGES"/>
    <x v="0"/>
    <s v="3212.004"/>
    <s v="Intérêts rémun./perçu trop tôt sur acomptes C/C"/>
    <n v="0.25"/>
    <n v="0"/>
    <n v="3212"/>
  </r>
  <r>
    <x v="0"/>
    <x v="12"/>
    <x v="5"/>
    <x v="355"/>
    <x v="299"/>
    <x v="299"/>
    <s v="CHARGES"/>
    <x v="0"/>
    <s v="3221.002"/>
    <s v="Intérêts compensatoires / créances en faveur ctb."/>
    <n v="0.04"/>
    <n v="0"/>
    <n v="3221"/>
  </r>
  <r>
    <x v="0"/>
    <x v="12"/>
    <x v="5"/>
    <x v="355"/>
    <x v="299"/>
    <x v="299"/>
    <s v="CHARGES"/>
    <x v="0"/>
    <s v="3212.004"/>
    <s v="Intérêts rémun./perçu trop tôt sur acomptes C/C"/>
    <n v="0.02"/>
    <n v="0"/>
    <n v="3212"/>
  </r>
  <r>
    <x v="0"/>
    <x v="12"/>
    <x v="5"/>
    <x v="355"/>
    <x v="299"/>
    <x v="299"/>
    <s v="CHARGES"/>
    <x v="1"/>
    <s v="3301.001"/>
    <s v="Défalcations, abandons de solde PP et IS"/>
    <n v="0.01"/>
    <n v="0"/>
    <n v="3301"/>
  </r>
  <r>
    <x v="0"/>
    <x v="12"/>
    <x v="5"/>
    <x v="355"/>
    <x v="299"/>
    <x v="299"/>
    <s v="CHARGES"/>
    <x v="0"/>
    <s v="3212.002"/>
    <s v="Intérêts bonifiés/trop perçu acompte C/C"/>
    <n v="0.11"/>
    <n v="0"/>
    <n v="3212"/>
  </r>
  <r>
    <x v="0"/>
    <x v="12"/>
    <x v="5"/>
    <x v="355"/>
    <x v="299"/>
    <x v="299"/>
    <s v="CHARGES"/>
    <x v="1"/>
    <s v="3301.001"/>
    <s v="Défalcations, abandons de solde PP et IS"/>
    <n v="1250.53"/>
    <n v="0"/>
    <n v="3301"/>
  </r>
  <r>
    <x v="0"/>
    <x v="12"/>
    <x v="5"/>
    <x v="355"/>
    <x v="299"/>
    <x v="299"/>
    <s v="REVENUS"/>
    <x v="2"/>
    <s v="4001.001"/>
    <s v="Impôt revenu"/>
    <n v="0"/>
    <n v="1101403.75"/>
    <n v="4001"/>
  </r>
  <r>
    <x v="0"/>
    <x v="12"/>
    <x v="5"/>
    <x v="355"/>
    <x v="299"/>
    <x v="299"/>
    <s v="REVENUS"/>
    <x v="2"/>
    <s v="4001.007"/>
    <s v="Acompte impôt sur revenu"/>
    <n v="0"/>
    <n v="-274421.99"/>
    <n v="4001"/>
  </r>
  <r>
    <x v="0"/>
    <x v="12"/>
    <x v="5"/>
    <x v="355"/>
    <x v="299"/>
    <x v="299"/>
    <s v="REVENUS"/>
    <x v="3"/>
    <s v="4002.001"/>
    <s v="Impôt ordinaire s/fortune PP"/>
    <n v="0"/>
    <n v="142345.4"/>
    <n v="4002"/>
  </r>
  <r>
    <x v="0"/>
    <x v="12"/>
    <x v="5"/>
    <x v="355"/>
    <x v="299"/>
    <x v="299"/>
    <s v="REVENUS"/>
    <x v="3"/>
    <s v="4002.007"/>
    <s v="Acompte impôt sur fortune"/>
    <n v="0"/>
    <n v="-47751.07"/>
    <n v="4002"/>
  </r>
  <r>
    <x v="0"/>
    <x v="12"/>
    <x v="5"/>
    <x v="355"/>
    <x v="299"/>
    <x v="299"/>
    <s v="REVENUS"/>
    <x v="6"/>
    <s v="4211.001"/>
    <s v="Intérêts de retard sur factures"/>
    <n v="0"/>
    <n v="26060.400000000001"/>
    <n v="4211"/>
  </r>
  <r>
    <x v="0"/>
    <x v="12"/>
    <x v="5"/>
    <x v="355"/>
    <x v="299"/>
    <x v="299"/>
    <s v="REVENUS"/>
    <x v="6"/>
    <s v="4221.003"/>
    <s v="Intérêts compensat. / acomptes en faveur du fisc"/>
    <n v="0"/>
    <n v="394.01"/>
    <n v="4221"/>
  </r>
  <r>
    <x v="0"/>
    <x v="12"/>
    <x v="5"/>
    <x v="355"/>
    <x v="299"/>
    <x v="299"/>
    <s v="REVENUS"/>
    <x v="2"/>
    <s v="4001.003"/>
    <s v="Impôt s/prest. cap. PP"/>
    <n v="0"/>
    <n v="62584.3"/>
    <n v="4001"/>
  </r>
  <r>
    <x v="0"/>
    <x v="12"/>
    <x v="5"/>
    <x v="355"/>
    <x v="299"/>
    <x v="299"/>
    <s v="REVENUS"/>
    <x v="10"/>
    <s v="4041.001"/>
    <s v="Droits de mutation"/>
    <n v="0"/>
    <n v="32743.5"/>
    <n v="4041"/>
  </r>
  <r>
    <x v="0"/>
    <x v="12"/>
    <x v="5"/>
    <x v="355"/>
    <x v="299"/>
    <x v="299"/>
    <s v="REVENUS"/>
    <x v="6"/>
    <s v="4221.002"/>
    <s v="Intérêts compensat. sur impôts distincts"/>
    <n v="0"/>
    <n v="12.89"/>
    <n v="4221"/>
  </r>
  <r>
    <x v="0"/>
    <x v="12"/>
    <x v="5"/>
    <x v="355"/>
    <x v="299"/>
    <x v="299"/>
    <s v="REVENUS"/>
    <x v="6"/>
    <s v="4211.002"/>
    <s v="Intérêts de retard sur acomptes"/>
    <n v="0"/>
    <n v="9100.82"/>
    <n v="4211"/>
  </r>
  <r>
    <x v="0"/>
    <x v="12"/>
    <x v="5"/>
    <x v="355"/>
    <x v="299"/>
    <x v="299"/>
    <s v="REVENUS"/>
    <x v="7"/>
    <s v="4184.000"/>
    <s v="Frais de poursuite"/>
    <n v="0"/>
    <n v="1982.37"/>
    <n v="4184"/>
  </r>
  <r>
    <x v="0"/>
    <x v="12"/>
    <x v="5"/>
    <x v="355"/>
    <x v="299"/>
    <x v="299"/>
    <s v="REVENUS"/>
    <x v="2"/>
    <s v="4001.007"/>
    <s v="Acompte impôt sur revenu"/>
    <n v="0"/>
    <n v="117.12"/>
    <n v="4001"/>
  </r>
  <r>
    <x v="0"/>
    <x v="12"/>
    <x v="5"/>
    <x v="355"/>
    <x v="299"/>
    <x v="299"/>
    <s v="REVENUS"/>
    <x v="3"/>
    <s v="4002.007"/>
    <s v="Acompte impôt sur fortune"/>
    <n v="0"/>
    <n v="-25.01"/>
    <n v="4002"/>
  </r>
  <r>
    <x v="0"/>
    <x v="12"/>
    <x v="5"/>
    <x v="355"/>
    <x v="299"/>
    <x v="299"/>
    <s v="REVENUS"/>
    <x v="2"/>
    <s v="4001.002"/>
    <s v="Impôt complément s/revenu PP"/>
    <n v="0"/>
    <n v="355849.55"/>
    <n v="4001"/>
  </r>
  <r>
    <x v="0"/>
    <x v="12"/>
    <x v="5"/>
    <x v="355"/>
    <x v="299"/>
    <x v="299"/>
    <s v="REVENUS"/>
    <x v="3"/>
    <s v="4002.002"/>
    <s v="Impôt complémentaire s/fortune PP"/>
    <n v="0"/>
    <n v="50720.5"/>
    <n v="4002"/>
  </r>
  <r>
    <x v="0"/>
    <x v="12"/>
    <x v="5"/>
    <x v="355"/>
    <x v="299"/>
    <x v="299"/>
    <s v="REVENUS"/>
    <x v="2"/>
    <s v="4001.001"/>
    <s v="Impôt revenu"/>
    <n v="0"/>
    <n v="1073.7"/>
    <n v="4001"/>
  </r>
  <r>
    <x v="0"/>
    <x v="12"/>
    <x v="5"/>
    <x v="355"/>
    <x v="299"/>
    <x v="299"/>
    <s v="REVENUS"/>
    <x v="4"/>
    <s v="4051.001"/>
    <s v="Impôt sur les successions"/>
    <n v="0"/>
    <n v="10361.5"/>
    <n v="4051"/>
  </r>
  <r>
    <x v="0"/>
    <x v="12"/>
    <x v="5"/>
    <x v="355"/>
    <x v="299"/>
    <x v="299"/>
    <s v="REVENUS"/>
    <x v="3"/>
    <s v="4002.007"/>
    <s v="Acompte impôt sur fortune"/>
    <n v="0"/>
    <n v="85.25"/>
    <n v="4002"/>
  </r>
  <r>
    <x v="0"/>
    <x v="12"/>
    <x v="5"/>
    <x v="355"/>
    <x v="299"/>
    <x v="299"/>
    <s v="REVENUS"/>
    <x v="2"/>
    <s v="4001.007"/>
    <s v="Acompte impôt sur revenu"/>
    <n v="0"/>
    <n v="468.65"/>
    <n v="4001"/>
  </r>
  <r>
    <x v="0"/>
    <x v="12"/>
    <x v="5"/>
    <x v="355"/>
    <x v="299"/>
    <x v="299"/>
    <s v="REVENUS"/>
    <x v="3"/>
    <s v="4002.007"/>
    <s v="Acompte impôt sur fortune"/>
    <n v="0"/>
    <n v="-5.15"/>
    <n v="4002"/>
  </r>
  <r>
    <x v="0"/>
    <x v="12"/>
    <x v="5"/>
    <x v="355"/>
    <x v="299"/>
    <x v="299"/>
    <s v="REVENUS"/>
    <x v="2"/>
    <s v="4001.007"/>
    <s v="Acompte impôt sur revenu"/>
    <n v="0"/>
    <n v="-37.6"/>
    <n v="4001"/>
  </r>
  <r>
    <x v="0"/>
    <x v="12"/>
    <x v="5"/>
    <x v="355"/>
    <x v="299"/>
    <x v="299"/>
    <s v="REVENUS"/>
    <x v="3"/>
    <s v="4002.001"/>
    <s v="Impôt ordinaire s/fortune PP"/>
    <n v="0"/>
    <n v="42.65"/>
    <n v="4002"/>
  </r>
  <r>
    <x v="0"/>
    <x v="12"/>
    <x v="5"/>
    <x v="355"/>
    <x v="299"/>
    <x v="299"/>
    <s v="REVENUS"/>
    <x v="6"/>
    <s v="4221.003"/>
    <s v="Intérêts compensat. / acomptes en faveur du fisc"/>
    <n v="0"/>
    <n v="0.24"/>
    <n v="4221"/>
  </r>
  <r>
    <x v="0"/>
    <x v="12"/>
    <x v="5"/>
    <x v="355"/>
    <x v="299"/>
    <x v="299"/>
    <s v="REVENUS"/>
    <x v="6"/>
    <s v="4211.002"/>
    <s v="Intérêts de retard sur acomptes"/>
    <n v="0"/>
    <n v="0.46"/>
    <n v="4211"/>
  </r>
  <r>
    <x v="0"/>
    <x v="12"/>
    <x v="5"/>
    <x v="355"/>
    <x v="299"/>
    <x v="299"/>
    <s v="REVENUS"/>
    <x v="9"/>
    <s v="4031.001"/>
    <s v="Impôt sur les gains immobiliers"/>
    <n v="0"/>
    <n v="19802.150000000001"/>
    <n v="4031"/>
  </r>
  <r>
    <x v="0"/>
    <x v="12"/>
    <x v="5"/>
    <x v="355"/>
    <x v="299"/>
    <x v="299"/>
    <s v="REVENUS"/>
    <x v="3"/>
    <s v="4002.001"/>
    <s v="Impôt ordinaire s/fortune PP"/>
    <n v="0"/>
    <n v="253.4"/>
    <n v="4002"/>
  </r>
  <r>
    <x v="0"/>
    <x v="12"/>
    <x v="5"/>
    <x v="355"/>
    <x v="299"/>
    <x v="299"/>
    <s v="REVENUS"/>
    <x v="2"/>
    <s v="4001.001"/>
    <s v="Impôt revenu"/>
    <n v="0"/>
    <n v="337.5"/>
    <n v="4001"/>
  </r>
  <r>
    <x v="0"/>
    <x v="12"/>
    <x v="5"/>
    <x v="355"/>
    <x v="299"/>
    <x v="299"/>
    <s v="REVENUS"/>
    <x v="3"/>
    <s v="4002.001"/>
    <s v="Impôt ordinaire s/fortune PP"/>
    <n v="0"/>
    <n v="234.3"/>
    <n v="4002"/>
  </r>
  <r>
    <x v="0"/>
    <x v="12"/>
    <x v="5"/>
    <x v="355"/>
    <x v="299"/>
    <x v="299"/>
    <s v="REVENUS"/>
    <x v="6"/>
    <s v="4211.002"/>
    <s v="Intérêts de retard sur acomptes"/>
    <n v="0"/>
    <n v="0.11"/>
    <n v="4211"/>
  </r>
  <r>
    <x v="0"/>
    <x v="12"/>
    <x v="5"/>
    <x v="355"/>
    <x v="299"/>
    <x v="299"/>
    <s v="REVENUS"/>
    <x v="6"/>
    <s v="4211.001"/>
    <s v="Intérêts de retard sur factures"/>
    <n v="0"/>
    <n v="0.09"/>
    <n v="4211"/>
  </r>
  <r>
    <x v="0"/>
    <x v="12"/>
    <x v="5"/>
    <x v="355"/>
    <x v="299"/>
    <x v="299"/>
    <s v="REVENUS"/>
    <x v="3"/>
    <s v="4002.007"/>
    <s v="Acompte impôt sur fortune"/>
    <n v="0"/>
    <n v="-87.5"/>
    <n v="4002"/>
  </r>
  <r>
    <x v="0"/>
    <x v="12"/>
    <x v="5"/>
    <x v="355"/>
    <x v="299"/>
    <x v="299"/>
    <s v="REVENUS"/>
    <x v="2"/>
    <s v="4001.001"/>
    <s v="Impôt revenu"/>
    <n v="0"/>
    <n v="29.65"/>
    <n v="4001"/>
  </r>
  <r>
    <x v="0"/>
    <x v="12"/>
    <x v="5"/>
    <x v="355"/>
    <x v="299"/>
    <x v="299"/>
    <s v="REVENUS"/>
    <x v="3"/>
    <s v="4002.001"/>
    <s v="Impôt ordinaire s/fortune PP"/>
    <n v="0"/>
    <n v="12.25"/>
    <n v="4002"/>
  </r>
  <r>
    <x v="0"/>
    <x v="12"/>
    <x v="5"/>
    <x v="355"/>
    <x v="299"/>
    <x v="299"/>
    <s v="REVENUS"/>
    <x v="7"/>
    <s v="4184.000"/>
    <s v="Frais de poursuite"/>
    <n v="0"/>
    <n v="824.72"/>
    <n v="4184"/>
  </r>
  <r>
    <x v="0"/>
    <x v="12"/>
    <x v="5"/>
    <x v="355"/>
    <x v="299"/>
    <x v="299"/>
    <s v="REVENUS"/>
    <x v="8"/>
    <s v="4091.001"/>
    <s v="Impôt récupéré après défalcations"/>
    <n v="0"/>
    <n v="120.09"/>
    <n v="4091"/>
  </r>
  <r>
    <x v="0"/>
    <x v="12"/>
    <x v="5"/>
    <x v="355"/>
    <x v="299"/>
    <x v="299"/>
    <s v="REVENUS"/>
    <x v="5"/>
    <s v="4061.000"/>
    <s v="Impôt sur les chiens"/>
    <n v="0"/>
    <n v="4160"/>
    <n v="4061"/>
  </r>
  <r>
    <x v="0"/>
    <x v="12"/>
    <x v="5"/>
    <x v="355"/>
    <x v="299"/>
    <x v="299"/>
    <s v="REVENUS"/>
    <x v="6"/>
    <s v="4221.003"/>
    <s v="Intérêts compensat. / acomptes en faveur du fisc"/>
    <n v="0"/>
    <n v="0.01"/>
    <n v="4221"/>
  </r>
  <r>
    <x v="0"/>
    <x v="12"/>
    <x v="5"/>
    <x v="355"/>
    <x v="299"/>
    <x v="299"/>
    <s v="REVENUS"/>
    <x v="2"/>
    <s v="4001.007"/>
    <s v="Acompte impôt sur revenu"/>
    <n v="0"/>
    <n v="-26.5"/>
    <n v="4001"/>
  </r>
  <r>
    <x v="0"/>
    <x v="12"/>
    <x v="5"/>
    <x v="355"/>
    <x v="299"/>
    <x v="299"/>
    <s v="REVENUS"/>
    <x v="8"/>
    <s v="4091.001"/>
    <s v="Impôt récupéré après défalcations"/>
    <n v="0"/>
    <n v="28689.93"/>
    <n v="4091"/>
  </r>
  <r>
    <x v="0"/>
    <x v="12"/>
    <x v="5"/>
    <x v="355"/>
    <x v="299"/>
    <x v="299"/>
    <s v="REVENUS"/>
    <x v="2"/>
    <s v="4001.005"/>
    <s v="Amende de soustract. Impôt"/>
    <n v="0"/>
    <n v="3700"/>
    <n v="4001"/>
  </r>
  <r>
    <x v="0"/>
    <x v="12"/>
    <x v="5"/>
    <x v="356"/>
    <x v="300"/>
    <x v="300"/>
    <s v="CHARGES"/>
    <x v="0"/>
    <s v="3212.004"/>
    <s v="Intérêts rémun./perçu trop tôt sur acomptes C/C"/>
    <n v="131.1"/>
    <n v="0"/>
    <n v="3212"/>
  </r>
  <r>
    <x v="0"/>
    <x v="12"/>
    <x v="5"/>
    <x v="356"/>
    <x v="300"/>
    <x v="300"/>
    <s v="CHARGES"/>
    <x v="0"/>
    <s v="3221.002"/>
    <s v="Intérêts compensatoires / créances en faveur ctb."/>
    <n v="74.14"/>
    <n v="0"/>
    <n v="3221"/>
  </r>
  <r>
    <x v="0"/>
    <x v="12"/>
    <x v="5"/>
    <x v="356"/>
    <x v="300"/>
    <x v="300"/>
    <s v="CHARGES"/>
    <x v="1"/>
    <s v="3301.001"/>
    <s v="Défalcations, abandons de solde PP et IS"/>
    <n v="523.12"/>
    <n v="0"/>
    <n v="3301"/>
  </r>
  <r>
    <x v="0"/>
    <x v="12"/>
    <x v="5"/>
    <x v="356"/>
    <x v="300"/>
    <x v="300"/>
    <s v="CHARGES"/>
    <x v="0"/>
    <s v="3212.004"/>
    <s v="Intérêts rémun./perçu trop tôt sur acomptes C/C"/>
    <n v="0.17"/>
    <n v="0"/>
    <n v="3212"/>
  </r>
  <r>
    <x v="0"/>
    <x v="12"/>
    <x v="5"/>
    <x v="356"/>
    <x v="300"/>
    <x v="300"/>
    <s v="CHARGES"/>
    <x v="1"/>
    <s v="3301.001"/>
    <s v="Défalcations, abandons de solde PP et IS"/>
    <n v="0.3"/>
    <n v="0"/>
    <n v="3301"/>
  </r>
  <r>
    <x v="0"/>
    <x v="12"/>
    <x v="5"/>
    <x v="356"/>
    <x v="300"/>
    <x v="300"/>
    <s v="CHARGES"/>
    <x v="0"/>
    <s v="3212.004"/>
    <s v="Intérêts rémun./perçu trop tôt sur acomptes C/C"/>
    <n v="1.96"/>
    <n v="0"/>
    <n v="3212"/>
  </r>
  <r>
    <x v="0"/>
    <x v="12"/>
    <x v="5"/>
    <x v="356"/>
    <x v="300"/>
    <x v="300"/>
    <s v="CHARGES"/>
    <x v="0"/>
    <s v="3221.002"/>
    <s v="Intérêts compensatoires / créances en faveur ctb."/>
    <n v="0.11"/>
    <n v="0"/>
    <n v="3221"/>
  </r>
  <r>
    <x v="0"/>
    <x v="12"/>
    <x v="5"/>
    <x v="356"/>
    <x v="300"/>
    <x v="300"/>
    <s v="CHARGES"/>
    <x v="0"/>
    <s v="3212.002"/>
    <s v="Intérêts bonifiés/trop perçu acompte C/C"/>
    <n v="3.65"/>
    <n v="0"/>
    <n v="3212"/>
  </r>
  <r>
    <x v="0"/>
    <x v="12"/>
    <x v="5"/>
    <x v="356"/>
    <x v="300"/>
    <x v="300"/>
    <s v="REVENUS"/>
    <x v="2"/>
    <s v="4001.001"/>
    <s v="Impôt revenu"/>
    <n v="0"/>
    <n v="484977.05"/>
    <n v="4001"/>
  </r>
  <r>
    <x v="0"/>
    <x v="12"/>
    <x v="5"/>
    <x v="356"/>
    <x v="300"/>
    <x v="300"/>
    <s v="REVENUS"/>
    <x v="2"/>
    <s v="4001.007"/>
    <s v="Acompte impôt sur revenu"/>
    <n v="0"/>
    <n v="-112537.14"/>
    <n v="4001"/>
  </r>
  <r>
    <x v="0"/>
    <x v="12"/>
    <x v="5"/>
    <x v="356"/>
    <x v="300"/>
    <x v="300"/>
    <s v="REVENUS"/>
    <x v="6"/>
    <s v="4211.002"/>
    <s v="Intérêts de retard sur acomptes"/>
    <n v="0"/>
    <n v="2850.98"/>
    <n v="4211"/>
  </r>
  <r>
    <x v="0"/>
    <x v="12"/>
    <x v="5"/>
    <x v="356"/>
    <x v="300"/>
    <x v="300"/>
    <s v="REVENUS"/>
    <x v="6"/>
    <s v="4211.001"/>
    <s v="Intérêts de retard sur factures"/>
    <n v="0"/>
    <n v="1058.95"/>
    <n v="4211"/>
  </r>
  <r>
    <x v="0"/>
    <x v="12"/>
    <x v="5"/>
    <x v="356"/>
    <x v="300"/>
    <x v="300"/>
    <s v="REVENUS"/>
    <x v="3"/>
    <s v="4002.001"/>
    <s v="Impôt ordinaire s/fortune PP"/>
    <n v="0"/>
    <n v="68548.05"/>
    <n v="4002"/>
  </r>
  <r>
    <x v="0"/>
    <x v="12"/>
    <x v="5"/>
    <x v="356"/>
    <x v="300"/>
    <x v="300"/>
    <s v="REVENUS"/>
    <x v="3"/>
    <s v="4002.007"/>
    <s v="Acompte impôt sur fortune"/>
    <n v="0"/>
    <n v="-23015.32"/>
    <n v="4002"/>
  </r>
  <r>
    <x v="0"/>
    <x v="12"/>
    <x v="5"/>
    <x v="356"/>
    <x v="300"/>
    <x v="300"/>
    <s v="REVENUS"/>
    <x v="7"/>
    <s v="4184.000"/>
    <s v="Frais de poursuite"/>
    <n v="0"/>
    <n v="667"/>
    <n v="4184"/>
  </r>
  <r>
    <x v="0"/>
    <x v="12"/>
    <x v="5"/>
    <x v="356"/>
    <x v="300"/>
    <x v="300"/>
    <s v="REVENUS"/>
    <x v="2"/>
    <s v="4001.002"/>
    <s v="Impôt complément s/revenu PP"/>
    <n v="0"/>
    <n v="82477.149999999994"/>
    <n v="4001"/>
  </r>
  <r>
    <x v="0"/>
    <x v="12"/>
    <x v="5"/>
    <x v="356"/>
    <x v="300"/>
    <x v="300"/>
    <s v="REVENUS"/>
    <x v="3"/>
    <s v="4002.002"/>
    <s v="Impôt complémentaire s/fortune PP"/>
    <n v="0"/>
    <n v="8222.4500000000007"/>
    <n v="4002"/>
  </r>
  <r>
    <x v="0"/>
    <x v="12"/>
    <x v="5"/>
    <x v="356"/>
    <x v="300"/>
    <x v="300"/>
    <s v="REVENUS"/>
    <x v="3"/>
    <s v="4002.007"/>
    <s v="Acompte impôt sur fortune"/>
    <n v="0"/>
    <n v="237.95"/>
    <n v="4002"/>
  </r>
  <r>
    <x v="0"/>
    <x v="12"/>
    <x v="5"/>
    <x v="356"/>
    <x v="300"/>
    <x v="300"/>
    <s v="REVENUS"/>
    <x v="2"/>
    <s v="4001.007"/>
    <s v="Acompte impôt sur revenu"/>
    <n v="0"/>
    <n v="681.8"/>
    <n v="4001"/>
  </r>
  <r>
    <x v="0"/>
    <x v="12"/>
    <x v="5"/>
    <x v="356"/>
    <x v="300"/>
    <x v="300"/>
    <s v="REVENUS"/>
    <x v="3"/>
    <s v="4002.007"/>
    <s v="Acompte impôt sur fortune"/>
    <n v="0"/>
    <n v="-0.7"/>
    <n v="4002"/>
  </r>
  <r>
    <x v="0"/>
    <x v="12"/>
    <x v="5"/>
    <x v="356"/>
    <x v="300"/>
    <x v="300"/>
    <s v="REVENUS"/>
    <x v="6"/>
    <s v="4221.003"/>
    <s v="Intérêts compensat. / acomptes en faveur du fisc"/>
    <n v="0"/>
    <n v="46.17"/>
    <n v="4221"/>
  </r>
  <r>
    <x v="0"/>
    <x v="12"/>
    <x v="5"/>
    <x v="356"/>
    <x v="300"/>
    <x v="300"/>
    <s v="REVENUS"/>
    <x v="2"/>
    <s v="4001.003"/>
    <s v="Impôt s/prest. cap. PP"/>
    <n v="0"/>
    <n v="43728.4"/>
    <n v="4001"/>
  </r>
  <r>
    <x v="0"/>
    <x v="12"/>
    <x v="5"/>
    <x v="356"/>
    <x v="300"/>
    <x v="300"/>
    <s v="REVENUS"/>
    <x v="2"/>
    <s v="4001.001"/>
    <s v="Impôt revenu"/>
    <n v="0"/>
    <n v="738.35"/>
    <n v="4001"/>
  </r>
  <r>
    <x v="0"/>
    <x v="12"/>
    <x v="5"/>
    <x v="356"/>
    <x v="300"/>
    <x v="300"/>
    <s v="REVENUS"/>
    <x v="3"/>
    <s v="4002.001"/>
    <s v="Impôt ordinaire s/fortune PP"/>
    <n v="0"/>
    <n v="417.2"/>
    <n v="4002"/>
  </r>
  <r>
    <x v="0"/>
    <x v="12"/>
    <x v="5"/>
    <x v="356"/>
    <x v="300"/>
    <x v="300"/>
    <s v="REVENUS"/>
    <x v="6"/>
    <s v="4221.003"/>
    <s v="Intérêts compensat. / acomptes en faveur du fisc"/>
    <n v="0"/>
    <n v="0.3"/>
    <n v="4221"/>
  </r>
  <r>
    <x v="0"/>
    <x v="12"/>
    <x v="5"/>
    <x v="356"/>
    <x v="300"/>
    <x v="300"/>
    <s v="REVENUS"/>
    <x v="2"/>
    <s v="4001.001"/>
    <s v="Impôt revenu"/>
    <n v="0"/>
    <n v="1623.25"/>
    <n v="4001"/>
  </r>
  <r>
    <x v="0"/>
    <x v="12"/>
    <x v="5"/>
    <x v="356"/>
    <x v="300"/>
    <x v="300"/>
    <s v="REVENUS"/>
    <x v="3"/>
    <s v="4002.001"/>
    <s v="Impôt ordinaire s/fortune PP"/>
    <n v="0"/>
    <n v="223.95"/>
    <n v="4002"/>
  </r>
  <r>
    <x v="0"/>
    <x v="12"/>
    <x v="5"/>
    <x v="356"/>
    <x v="300"/>
    <x v="300"/>
    <s v="REVENUS"/>
    <x v="6"/>
    <s v="4221.002"/>
    <s v="Intérêts compensat. sur impôts distincts"/>
    <n v="0"/>
    <n v="1.39"/>
    <n v="4221"/>
  </r>
  <r>
    <x v="0"/>
    <x v="12"/>
    <x v="5"/>
    <x v="356"/>
    <x v="300"/>
    <x v="300"/>
    <s v="REVENUS"/>
    <x v="9"/>
    <s v="4031.001"/>
    <s v="Impôt sur les gains immobiliers"/>
    <n v="0"/>
    <n v="14383.95"/>
    <n v="4031"/>
  </r>
  <r>
    <x v="0"/>
    <x v="12"/>
    <x v="5"/>
    <x v="356"/>
    <x v="300"/>
    <x v="300"/>
    <s v="REVENUS"/>
    <x v="10"/>
    <s v="4041.001"/>
    <s v="Droits de mutation"/>
    <n v="0"/>
    <n v="17975.900000000001"/>
    <n v="4041"/>
  </r>
  <r>
    <x v="0"/>
    <x v="12"/>
    <x v="5"/>
    <x v="356"/>
    <x v="300"/>
    <x v="300"/>
    <s v="REVENUS"/>
    <x v="7"/>
    <s v="4184.000"/>
    <s v="Frais de poursuite"/>
    <n v="0"/>
    <n v="103.41"/>
    <n v="4184"/>
  </r>
  <r>
    <x v="0"/>
    <x v="12"/>
    <x v="5"/>
    <x v="357"/>
    <x v="301"/>
    <x v="301"/>
    <s v="CHARGES"/>
    <x v="1"/>
    <s v="3301.001"/>
    <s v="Défalcations, abandons de solde PP et IS"/>
    <n v="21.92"/>
    <n v="0"/>
    <n v="3301"/>
  </r>
  <r>
    <x v="0"/>
    <x v="12"/>
    <x v="5"/>
    <x v="357"/>
    <x v="301"/>
    <x v="301"/>
    <s v="CHARGES"/>
    <x v="0"/>
    <s v="3212.004"/>
    <s v="Intérêts rémun./perçu trop tôt sur acomptes C/C"/>
    <n v="102.13"/>
    <n v="0"/>
    <n v="3212"/>
  </r>
  <r>
    <x v="0"/>
    <x v="12"/>
    <x v="5"/>
    <x v="357"/>
    <x v="301"/>
    <x v="301"/>
    <s v="CHARGES"/>
    <x v="0"/>
    <s v="3221.002"/>
    <s v="Intérêts compensatoires / créances en faveur ctb."/>
    <n v="215.81"/>
    <n v="0"/>
    <n v="3221"/>
  </r>
  <r>
    <x v="0"/>
    <x v="12"/>
    <x v="5"/>
    <x v="357"/>
    <x v="301"/>
    <x v="301"/>
    <s v="CHARGES"/>
    <x v="0"/>
    <s v="3212.002"/>
    <s v="Intérêts bonifiés/trop perçu acompte C/C"/>
    <n v="3.3"/>
    <n v="0"/>
    <n v="3212"/>
  </r>
  <r>
    <x v="0"/>
    <x v="12"/>
    <x v="5"/>
    <x v="357"/>
    <x v="301"/>
    <x v="301"/>
    <s v="REVENUS"/>
    <x v="3"/>
    <s v="4002.001"/>
    <s v="Impôt ordinaire s/fortune PP"/>
    <n v="0"/>
    <n v="10311.4"/>
    <n v="4002"/>
  </r>
  <r>
    <x v="0"/>
    <x v="12"/>
    <x v="5"/>
    <x v="357"/>
    <x v="301"/>
    <x v="301"/>
    <s v="REVENUS"/>
    <x v="10"/>
    <s v="4041.001"/>
    <s v="Droits de mutation"/>
    <n v="0"/>
    <n v="15644"/>
    <n v="4041"/>
  </r>
  <r>
    <x v="0"/>
    <x v="12"/>
    <x v="5"/>
    <x v="357"/>
    <x v="301"/>
    <x v="301"/>
    <s v="REVENUS"/>
    <x v="2"/>
    <s v="4001.007"/>
    <s v="Acompte impôt sur revenu"/>
    <n v="0"/>
    <n v="-124838.42"/>
    <n v="4001"/>
  </r>
  <r>
    <x v="0"/>
    <x v="12"/>
    <x v="5"/>
    <x v="357"/>
    <x v="301"/>
    <x v="301"/>
    <s v="REVENUS"/>
    <x v="6"/>
    <s v="4211.001"/>
    <s v="Intérêts de retard sur factures"/>
    <n v="0"/>
    <n v="358.54"/>
    <n v="4211"/>
  </r>
  <r>
    <x v="0"/>
    <x v="12"/>
    <x v="5"/>
    <x v="357"/>
    <x v="301"/>
    <x v="301"/>
    <s v="REVENUS"/>
    <x v="2"/>
    <s v="4001.001"/>
    <s v="Impôt revenu"/>
    <n v="0"/>
    <n v="197659.9"/>
    <n v="4001"/>
  </r>
  <r>
    <x v="0"/>
    <x v="12"/>
    <x v="5"/>
    <x v="357"/>
    <x v="301"/>
    <x v="301"/>
    <s v="REVENUS"/>
    <x v="2"/>
    <s v="4001.002"/>
    <s v="Impôt complément s/revenu PP"/>
    <n v="0"/>
    <n v="101574.95"/>
    <n v="4001"/>
  </r>
  <r>
    <x v="0"/>
    <x v="12"/>
    <x v="5"/>
    <x v="357"/>
    <x v="301"/>
    <x v="301"/>
    <s v="REVENUS"/>
    <x v="3"/>
    <s v="4002.002"/>
    <s v="Impôt complémentaire s/fortune PP"/>
    <n v="0"/>
    <n v="25076.65"/>
    <n v="4002"/>
  </r>
  <r>
    <x v="0"/>
    <x v="12"/>
    <x v="5"/>
    <x v="357"/>
    <x v="301"/>
    <x v="301"/>
    <s v="REVENUS"/>
    <x v="3"/>
    <s v="4002.007"/>
    <s v="Acompte impôt sur fortune"/>
    <n v="0"/>
    <n v="4262.88"/>
    <n v="4002"/>
  </r>
  <r>
    <x v="0"/>
    <x v="12"/>
    <x v="5"/>
    <x v="357"/>
    <x v="301"/>
    <x v="301"/>
    <s v="REVENUS"/>
    <x v="6"/>
    <s v="4211.002"/>
    <s v="Intérêts de retard sur acomptes"/>
    <n v="0"/>
    <n v="937.42"/>
    <n v="4211"/>
  </r>
  <r>
    <x v="0"/>
    <x v="12"/>
    <x v="5"/>
    <x v="357"/>
    <x v="301"/>
    <x v="301"/>
    <s v="REVENUS"/>
    <x v="6"/>
    <s v="4221.003"/>
    <s v="Intérêts compensat. / acomptes en faveur du fisc"/>
    <n v="0"/>
    <n v="35.74"/>
    <n v="4221"/>
  </r>
  <r>
    <x v="0"/>
    <x v="12"/>
    <x v="5"/>
    <x v="357"/>
    <x v="301"/>
    <x v="301"/>
    <s v="REVENUS"/>
    <x v="2"/>
    <s v="4001.003"/>
    <s v="Impôt s/prest. cap. PP"/>
    <n v="0"/>
    <n v="730.8"/>
    <n v="4001"/>
  </r>
  <r>
    <x v="0"/>
    <x v="12"/>
    <x v="5"/>
    <x v="357"/>
    <x v="301"/>
    <x v="301"/>
    <s v="REVENUS"/>
    <x v="9"/>
    <s v="4031.001"/>
    <s v="Impôt sur les gains immobiliers"/>
    <n v="0"/>
    <n v="10999.25"/>
    <n v="4031"/>
  </r>
  <r>
    <x v="0"/>
    <x v="12"/>
    <x v="5"/>
    <x v="357"/>
    <x v="301"/>
    <x v="301"/>
    <s v="REVENUS"/>
    <x v="6"/>
    <s v="4221.002"/>
    <s v="Intérêts compensat. sur impôts distincts"/>
    <n v="0"/>
    <n v="3.34"/>
    <n v="4221"/>
  </r>
  <r>
    <x v="0"/>
    <x v="12"/>
    <x v="5"/>
    <x v="357"/>
    <x v="301"/>
    <x v="301"/>
    <s v="REVENUS"/>
    <x v="7"/>
    <s v="4184.000"/>
    <s v="Frais de poursuite"/>
    <n v="0"/>
    <n v="8.2899999999999991"/>
    <n v="4184"/>
  </r>
  <r>
    <x v="0"/>
    <x v="12"/>
    <x v="5"/>
    <x v="358"/>
    <x v="302"/>
    <x v="302"/>
    <s v="CHARGES"/>
    <x v="0"/>
    <s v="3212.002"/>
    <s v="Intérêts bonifiés/trop perçu acompte C/C"/>
    <n v="30.5"/>
    <n v="0"/>
    <n v="3212"/>
  </r>
  <r>
    <x v="0"/>
    <x v="12"/>
    <x v="5"/>
    <x v="358"/>
    <x v="302"/>
    <x v="302"/>
    <s v="CHARGES"/>
    <x v="0"/>
    <s v="3221.002"/>
    <s v="Intérêts compensatoires / créances en faveur ctb."/>
    <n v="16.2"/>
    <n v="0"/>
    <n v="3221"/>
  </r>
  <r>
    <x v="0"/>
    <x v="12"/>
    <x v="5"/>
    <x v="358"/>
    <x v="302"/>
    <x v="302"/>
    <s v="CHARGES"/>
    <x v="1"/>
    <s v="3301.001"/>
    <s v="Défalcations, abandons de solde PP et IS"/>
    <n v="3789.93"/>
    <n v="0"/>
    <n v="3301"/>
  </r>
  <r>
    <x v="0"/>
    <x v="12"/>
    <x v="5"/>
    <x v="358"/>
    <x v="302"/>
    <x v="302"/>
    <s v="CHARGES"/>
    <x v="0"/>
    <s v="3212.004"/>
    <s v="Intérêts rémun./perçu trop tôt sur acomptes C/C"/>
    <n v="17.510000000000002"/>
    <n v="0"/>
    <n v="3212"/>
  </r>
  <r>
    <x v="0"/>
    <x v="12"/>
    <x v="5"/>
    <x v="358"/>
    <x v="302"/>
    <x v="302"/>
    <s v="CHARGES"/>
    <x v="0"/>
    <s v="3212.004"/>
    <s v="Intérêts rémun./perçu trop tôt sur acomptes C/C"/>
    <n v="0.46"/>
    <n v="0"/>
    <n v="3212"/>
  </r>
  <r>
    <x v="0"/>
    <x v="12"/>
    <x v="5"/>
    <x v="358"/>
    <x v="302"/>
    <x v="302"/>
    <s v="REVENUS"/>
    <x v="10"/>
    <s v="4041.001"/>
    <s v="Droits de mutation"/>
    <n v="0"/>
    <n v="10.65"/>
    <n v="4041"/>
  </r>
  <r>
    <x v="0"/>
    <x v="12"/>
    <x v="5"/>
    <x v="358"/>
    <x v="302"/>
    <x v="302"/>
    <s v="REVENUS"/>
    <x v="2"/>
    <s v="4001.001"/>
    <s v="Impôt revenu"/>
    <n v="0"/>
    <n v="110736.5"/>
    <n v="4001"/>
  </r>
  <r>
    <x v="0"/>
    <x v="12"/>
    <x v="5"/>
    <x v="358"/>
    <x v="302"/>
    <x v="302"/>
    <s v="REVENUS"/>
    <x v="2"/>
    <s v="4001.002"/>
    <s v="Impôt complément s/revenu PP"/>
    <n v="0"/>
    <n v="45843.95"/>
    <n v="4001"/>
  </r>
  <r>
    <x v="0"/>
    <x v="12"/>
    <x v="5"/>
    <x v="358"/>
    <x v="302"/>
    <x v="302"/>
    <s v="REVENUS"/>
    <x v="3"/>
    <s v="4002.001"/>
    <s v="Impôt ordinaire s/fortune PP"/>
    <n v="0"/>
    <n v="12643.3"/>
    <n v="4002"/>
  </r>
  <r>
    <x v="0"/>
    <x v="12"/>
    <x v="5"/>
    <x v="358"/>
    <x v="302"/>
    <x v="302"/>
    <s v="REVENUS"/>
    <x v="6"/>
    <s v="4221.003"/>
    <s v="Intérêts compensat. / acomptes en faveur du fisc"/>
    <n v="0"/>
    <n v="37.06"/>
    <n v="4221"/>
  </r>
  <r>
    <x v="0"/>
    <x v="12"/>
    <x v="5"/>
    <x v="358"/>
    <x v="302"/>
    <x v="302"/>
    <s v="REVENUS"/>
    <x v="7"/>
    <s v="4184.000"/>
    <s v="Frais de poursuite"/>
    <n v="0"/>
    <n v="779.71"/>
    <n v="4184"/>
  </r>
  <r>
    <x v="0"/>
    <x v="12"/>
    <x v="5"/>
    <x v="358"/>
    <x v="302"/>
    <x v="302"/>
    <s v="REVENUS"/>
    <x v="6"/>
    <s v="4211.001"/>
    <s v="Intérêts de retard sur factures"/>
    <n v="0"/>
    <n v="887.01"/>
    <n v="4211"/>
  </r>
  <r>
    <x v="0"/>
    <x v="12"/>
    <x v="5"/>
    <x v="358"/>
    <x v="302"/>
    <x v="302"/>
    <s v="REVENUS"/>
    <x v="2"/>
    <s v="4001.007"/>
    <s v="Acompte impôt sur revenu"/>
    <n v="0"/>
    <n v="9464.85"/>
    <n v="4001"/>
  </r>
  <r>
    <x v="0"/>
    <x v="12"/>
    <x v="5"/>
    <x v="358"/>
    <x v="302"/>
    <x v="302"/>
    <s v="REVENUS"/>
    <x v="6"/>
    <s v="4211.002"/>
    <s v="Intérêts de retard sur acomptes"/>
    <n v="0"/>
    <n v="1557"/>
    <n v="4211"/>
  </r>
  <r>
    <x v="0"/>
    <x v="12"/>
    <x v="5"/>
    <x v="358"/>
    <x v="302"/>
    <x v="302"/>
    <s v="REVENUS"/>
    <x v="3"/>
    <s v="4002.007"/>
    <s v="Acompte impôt sur fortune"/>
    <n v="0"/>
    <n v="10293.4"/>
    <n v="4002"/>
  </r>
  <r>
    <x v="0"/>
    <x v="12"/>
    <x v="5"/>
    <x v="358"/>
    <x v="302"/>
    <x v="302"/>
    <s v="REVENUS"/>
    <x v="2"/>
    <s v="4001.003"/>
    <s v="Impôt s/prest. cap. PP"/>
    <n v="0"/>
    <n v="4579.25"/>
    <n v="4001"/>
  </r>
  <r>
    <x v="0"/>
    <x v="12"/>
    <x v="5"/>
    <x v="358"/>
    <x v="302"/>
    <x v="302"/>
    <s v="REVENUS"/>
    <x v="9"/>
    <s v="4031.001"/>
    <s v="Impôt sur les gains immobiliers"/>
    <n v="0"/>
    <n v="10627.5"/>
    <n v="4031"/>
  </r>
  <r>
    <x v="0"/>
    <x v="12"/>
    <x v="5"/>
    <x v="358"/>
    <x v="302"/>
    <x v="302"/>
    <s v="REVENUS"/>
    <x v="6"/>
    <s v="4221.002"/>
    <s v="Intérêts compensat. sur impôts distincts"/>
    <n v="0"/>
    <n v="10.69"/>
    <n v="4221"/>
  </r>
  <r>
    <x v="0"/>
    <x v="12"/>
    <x v="5"/>
    <x v="358"/>
    <x v="302"/>
    <x v="302"/>
    <s v="REVENUS"/>
    <x v="3"/>
    <s v="4002.002"/>
    <s v="Impôt complémentaire s/fortune PP"/>
    <n v="0"/>
    <n v="8320.85"/>
    <n v="4002"/>
  </r>
  <r>
    <x v="0"/>
    <x v="12"/>
    <x v="5"/>
    <x v="358"/>
    <x v="302"/>
    <x v="302"/>
    <s v="REVENUS"/>
    <x v="2"/>
    <s v="4001.001"/>
    <s v="Impôt revenu"/>
    <n v="0"/>
    <n v="836.1"/>
    <n v="4001"/>
  </r>
  <r>
    <x v="0"/>
    <x v="12"/>
    <x v="5"/>
    <x v="358"/>
    <x v="302"/>
    <x v="302"/>
    <s v="REVENUS"/>
    <x v="3"/>
    <s v="4002.001"/>
    <s v="Impôt ordinaire s/fortune PP"/>
    <n v="0"/>
    <n v="55.8"/>
    <n v="4002"/>
  </r>
  <r>
    <x v="0"/>
    <x v="12"/>
    <x v="5"/>
    <x v="359"/>
    <x v="303"/>
    <x v="303"/>
    <s v="CHARGES"/>
    <x v="1"/>
    <s v="3301.001"/>
    <s v="Défalcations, abandons de solde PP et IS"/>
    <n v="19.84"/>
    <n v="0"/>
    <n v="3301"/>
  </r>
  <r>
    <x v="0"/>
    <x v="12"/>
    <x v="5"/>
    <x v="359"/>
    <x v="303"/>
    <x v="303"/>
    <s v="CHARGES"/>
    <x v="0"/>
    <s v="3212.004"/>
    <s v="Intérêts rémun./perçu trop tôt sur acomptes C/C"/>
    <n v="106.71"/>
    <n v="0"/>
    <n v="3212"/>
  </r>
  <r>
    <x v="0"/>
    <x v="12"/>
    <x v="5"/>
    <x v="359"/>
    <x v="303"/>
    <x v="303"/>
    <s v="CHARGES"/>
    <x v="0"/>
    <s v="3221.002"/>
    <s v="Intérêts compensatoires / créances en faveur ctb."/>
    <n v="31.91"/>
    <n v="0"/>
    <n v="3221"/>
  </r>
  <r>
    <x v="0"/>
    <x v="12"/>
    <x v="5"/>
    <x v="359"/>
    <x v="303"/>
    <x v="303"/>
    <s v="CHARGES"/>
    <x v="1"/>
    <s v="3301.001"/>
    <s v="Défalcations, abandons de solde PP et IS"/>
    <n v="443.76"/>
    <n v="0"/>
    <n v="3301"/>
  </r>
  <r>
    <x v="0"/>
    <x v="12"/>
    <x v="5"/>
    <x v="359"/>
    <x v="303"/>
    <x v="303"/>
    <s v="CHARGES"/>
    <x v="0"/>
    <s v="3212.002"/>
    <s v="Intérêts bonifiés/trop perçu acompte C/C"/>
    <n v="153.37"/>
    <n v="0"/>
    <n v="3212"/>
  </r>
  <r>
    <x v="0"/>
    <x v="12"/>
    <x v="5"/>
    <x v="359"/>
    <x v="303"/>
    <x v="303"/>
    <s v="CHARGES"/>
    <x v="0"/>
    <s v="3212.004"/>
    <s v="Intérêts rémun./perçu trop tôt sur acomptes C/C"/>
    <n v="10716.78"/>
    <n v="0"/>
    <n v="3212"/>
  </r>
  <r>
    <x v="0"/>
    <x v="12"/>
    <x v="5"/>
    <x v="359"/>
    <x v="303"/>
    <x v="303"/>
    <s v="CHARGES"/>
    <x v="0"/>
    <s v="3221.002"/>
    <s v="Intérêts compensatoires / créances en faveur ctb."/>
    <n v="3949.6"/>
    <n v="0"/>
    <n v="3221"/>
  </r>
  <r>
    <x v="0"/>
    <x v="12"/>
    <x v="5"/>
    <x v="359"/>
    <x v="303"/>
    <x v="303"/>
    <s v="CHARGES"/>
    <x v="1"/>
    <s v="3301.001"/>
    <s v="Défalcations, abandons de solde PP et IS"/>
    <n v="1111586.1599999999"/>
    <n v="0"/>
    <n v="3301"/>
  </r>
  <r>
    <x v="0"/>
    <x v="12"/>
    <x v="5"/>
    <x v="359"/>
    <x v="303"/>
    <x v="303"/>
    <s v="CHARGES"/>
    <x v="0"/>
    <s v="3221.002"/>
    <s v="Intérêts compensatoires / créances en faveur ctb."/>
    <n v="268"/>
    <n v="0"/>
    <n v="3221"/>
  </r>
  <r>
    <x v="0"/>
    <x v="12"/>
    <x v="5"/>
    <x v="359"/>
    <x v="303"/>
    <x v="303"/>
    <s v="CHARGES"/>
    <x v="1"/>
    <s v="3301.001"/>
    <s v="Défalcations, abandons de solde PP et IS"/>
    <n v="126295.96"/>
    <n v="0"/>
    <n v="3301"/>
  </r>
  <r>
    <x v="0"/>
    <x v="12"/>
    <x v="5"/>
    <x v="359"/>
    <x v="303"/>
    <x v="303"/>
    <s v="CHARGES"/>
    <x v="0"/>
    <s v="3212.004"/>
    <s v="Intérêts rémun./perçu trop tôt sur acomptes C/C"/>
    <n v="48.04"/>
    <n v="0"/>
    <n v="3212"/>
  </r>
  <r>
    <x v="0"/>
    <x v="12"/>
    <x v="5"/>
    <x v="359"/>
    <x v="303"/>
    <x v="303"/>
    <s v="CHARGES"/>
    <x v="0"/>
    <s v="3212.004"/>
    <s v="Intérêts rémun./perçu trop tôt sur acomptes C/C"/>
    <n v="224.09"/>
    <n v="0"/>
    <n v="3212"/>
  </r>
  <r>
    <x v="0"/>
    <x v="12"/>
    <x v="5"/>
    <x v="359"/>
    <x v="303"/>
    <x v="303"/>
    <s v="CHARGES"/>
    <x v="1"/>
    <s v="3301.001"/>
    <s v="Défalcations, abandons de solde PP et IS"/>
    <n v="2148.2399999999998"/>
    <n v="0"/>
    <n v="3301"/>
  </r>
  <r>
    <x v="0"/>
    <x v="12"/>
    <x v="5"/>
    <x v="359"/>
    <x v="303"/>
    <x v="303"/>
    <s v="CHARGES"/>
    <x v="0"/>
    <s v="3212.002"/>
    <s v="Intérêts bonifiés/trop perçu acompte C/C"/>
    <n v="1.06"/>
    <n v="0"/>
    <n v="3212"/>
  </r>
  <r>
    <x v="0"/>
    <x v="12"/>
    <x v="5"/>
    <x v="359"/>
    <x v="303"/>
    <x v="303"/>
    <s v="CHARGES"/>
    <x v="0"/>
    <s v="3212.004"/>
    <s v="Intérêts rémun./perçu trop tôt sur acomptes C/C"/>
    <n v="47.52"/>
    <n v="0"/>
    <n v="3212"/>
  </r>
  <r>
    <x v="0"/>
    <x v="12"/>
    <x v="5"/>
    <x v="359"/>
    <x v="303"/>
    <x v="303"/>
    <s v="CHARGES"/>
    <x v="0"/>
    <s v="3221.002"/>
    <s v="Intérêts compensatoires / créances en faveur ctb."/>
    <n v="55.53"/>
    <n v="0"/>
    <n v="3221"/>
  </r>
  <r>
    <x v="0"/>
    <x v="12"/>
    <x v="5"/>
    <x v="359"/>
    <x v="303"/>
    <x v="303"/>
    <s v="CHARGES"/>
    <x v="0"/>
    <s v="3212.002"/>
    <s v="Intérêts bonifiés/trop perçu acompte C/C"/>
    <n v="-0.28000000000000003"/>
    <n v="0"/>
    <n v="3212"/>
  </r>
  <r>
    <x v="0"/>
    <x v="12"/>
    <x v="5"/>
    <x v="359"/>
    <x v="303"/>
    <x v="303"/>
    <s v="CHARGES"/>
    <x v="0"/>
    <s v="3212.004"/>
    <s v="Intérêts rémun./perçu trop tôt sur acomptes C/C"/>
    <n v="-3.99"/>
    <n v="0"/>
    <n v="3212"/>
  </r>
  <r>
    <x v="0"/>
    <x v="12"/>
    <x v="5"/>
    <x v="359"/>
    <x v="303"/>
    <x v="303"/>
    <s v="CHARGES"/>
    <x v="0"/>
    <s v="3221.002"/>
    <s v="Intérêts compensatoires / créances en faveur ctb."/>
    <n v="-4.3099999999999996"/>
    <n v="0"/>
    <n v="3221"/>
  </r>
  <r>
    <x v="0"/>
    <x v="12"/>
    <x v="5"/>
    <x v="359"/>
    <x v="303"/>
    <x v="303"/>
    <s v="CHARGES"/>
    <x v="1"/>
    <s v="3301.001"/>
    <s v="Défalcations, abandons de solde PP et IS"/>
    <n v="-0.31"/>
    <n v="0"/>
    <n v="3301"/>
  </r>
  <r>
    <x v="0"/>
    <x v="12"/>
    <x v="5"/>
    <x v="359"/>
    <x v="303"/>
    <x v="303"/>
    <s v="CHARGES"/>
    <x v="1"/>
    <s v="3301.001"/>
    <s v="Défalcations, abandons de solde PP et IS"/>
    <n v="13.96"/>
    <n v="0"/>
    <n v="3301"/>
  </r>
  <r>
    <x v="0"/>
    <x v="12"/>
    <x v="5"/>
    <x v="359"/>
    <x v="303"/>
    <x v="303"/>
    <s v="CHARGES"/>
    <x v="0"/>
    <s v="3221.002"/>
    <s v="Intérêts compensatoires / créances en faveur ctb."/>
    <n v="38.03"/>
    <n v="0"/>
    <n v="3221"/>
  </r>
  <r>
    <x v="0"/>
    <x v="12"/>
    <x v="5"/>
    <x v="359"/>
    <x v="303"/>
    <x v="303"/>
    <s v="CHARGES"/>
    <x v="0"/>
    <s v="3212.002"/>
    <s v="Intérêts bonifiés/trop perçu acompte C/C"/>
    <n v="0.04"/>
    <n v="0"/>
    <n v="3212"/>
  </r>
  <r>
    <x v="0"/>
    <x v="12"/>
    <x v="5"/>
    <x v="359"/>
    <x v="303"/>
    <x v="303"/>
    <s v="CHARGES"/>
    <x v="0"/>
    <s v="3212.004"/>
    <s v="Intérêts rémun./perçu trop tôt sur acomptes C/C"/>
    <n v="-0.89"/>
    <n v="0"/>
    <n v="3212"/>
  </r>
  <r>
    <x v="0"/>
    <x v="12"/>
    <x v="5"/>
    <x v="359"/>
    <x v="303"/>
    <x v="303"/>
    <s v="CHARGES"/>
    <x v="1"/>
    <s v="3301.001"/>
    <s v="Défalcations, abandons de solde PP et IS"/>
    <n v="2.56"/>
    <n v="0"/>
    <n v="3301"/>
  </r>
  <r>
    <x v="0"/>
    <x v="12"/>
    <x v="5"/>
    <x v="359"/>
    <x v="303"/>
    <x v="303"/>
    <s v="CHARGES"/>
    <x v="1"/>
    <s v="3301.001"/>
    <s v="Défalcations, abandons de solde PP et IS"/>
    <n v="0.83"/>
    <n v="0"/>
    <n v="3301"/>
  </r>
  <r>
    <x v="0"/>
    <x v="12"/>
    <x v="5"/>
    <x v="359"/>
    <x v="303"/>
    <x v="303"/>
    <s v="CHARGES"/>
    <x v="0"/>
    <s v="3212.004"/>
    <s v="Intérêts rémun./perçu trop tôt sur acomptes C/C"/>
    <n v="7.67"/>
    <n v="0"/>
    <n v="3212"/>
  </r>
  <r>
    <x v="0"/>
    <x v="12"/>
    <x v="5"/>
    <x v="359"/>
    <x v="303"/>
    <x v="303"/>
    <s v="CHARGES"/>
    <x v="0"/>
    <s v="3221.002"/>
    <s v="Intérêts compensatoires / créances en faveur ctb."/>
    <n v="2.9"/>
    <n v="0"/>
    <n v="3221"/>
  </r>
  <r>
    <x v="0"/>
    <x v="12"/>
    <x v="5"/>
    <x v="359"/>
    <x v="303"/>
    <x v="303"/>
    <s v="CHARGES"/>
    <x v="0"/>
    <s v="3212.002"/>
    <s v="Intérêts bonifiés/trop perçu acompte C/C"/>
    <n v="8.89"/>
    <n v="0"/>
    <n v="3212"/>
  </r>
  <r>
    <x v="0"/>
    <x v="12"/>
    <x v="5"/>
    <x v="359"/>
    <x v="303"/>
    <x v="303"/>
    <s v="CHARGES"/>
    <x v="0"/>
    <s v="3212.002"/>
    <s v="Intérêts bonifiés/trop perçu acompte C/C"/>
    <n v="0.68"/>
    <n v="0"/>
    <n v="3212"/>
  </r>
  <r>
    <x v="0"/>
    <x v="12"/>
    <x v="5"/>
    <x v="359"/>
    <x v="303"/>
    <x v="303"/>
    <s v="CHARGES"/>
    <x v="1"/>
    <s v="3301.003"/>
    <s v="Remises PP et IS"/>
    <n v="10734.17"/>
    <n v="0"/>
    <n v="3301"/>
  </r>
  <r>
    <x v="0"/>
    <x v="12"/>
    <x v="5"/>
    <x v="359"/>
    <x v="303"/>
    <x v="303"/>
    <s v="CHARGES"/>
    <x v="0"/>
    <s v="3212.004"/>
    <s v="Intérêts rémun./perçu trop tôt sur acomptes C/C"/>
    <n v="10.32"/>
    <n v="0"/>
    <n v="3212"/>
  </r>
  <r>
    <x v="0"/>
    <x v="12"/>
    <x v="5"/>
    <x v="359"/>
    <x v="303"/>
    <x v="303"/>
    <s v="CHARGES"/>
    <x v="0"/>
    <s v="3221.002"/>
    <s v="Intérêts compensatoires / créances en faveur ctb."/>
    <n v="1.52"/>
    <n v="0"/>
    <n v="3221"/>
  </r>
  <r>
    <x v="0"/>
    <x v="12"/>
    <x v="5"/>
    <x v="359"/>
    <x v="303"/>
    <x v="303"/>
    <s v="CHARGES"/>
    <x v="0"/>
    <s v="3221.002"/>
    <s v="Intérêts compensatoires / créances en faveur ctb."/>
    <n v="-0.51"/>
    <n v="0"/>
    <n v="3221"/>
  </r>
  <r>
    <x v="0"/>
    <x v="12"/>
    <x v="5"/>
    <x v="359"/>
    <x v="303"/>
    <x v="303"/>
    <s v="CHARGES"/>
    <x v="1"/>
    <s v="3301.001"/>
    <s v="Défalcations, abandons de solde PP et IS"/>
    <n v="0.71"/>
    <n v="0"/>
    <n v="3301"/>
  </r>
  <r>
    <x v="0"/>
    <x v="12"/>
    <x v="5"/>
    <x v="359"/>
    <x v="303"/>
    <x v="303"/>
    <s v="REVENUS"/>
    <x v="8"/>
    <s v="4091.001"/>
    <s v="Impôt récupéré après défalcations"/>
    <n v="0"/>
    <n v="167778.73"/>
    <n v="4091"/>
  </r>
  <r>
    <x v="0"/>
    <x v="12"/>
    <x v="5"/>
    <x v="359"/>
    <x v="303"/>
    <x v="303"/>
    <s v="REVENUS"/>
    <x v="2"/>
    <s v="4001.001"/>
    <s v="Impôt revenu"/>
    <n v="0"/>
    <n v="208452.35"/>
    <n v="4001"/>
  </r>
  <r>
    <x v="0"/>
    <x v="12"/>
    <x v="5"/>
    <x v="359"/>
    <x v="303"/>
    <x v="303"/>
    <s v="REVENUS"/>
    <x v="2"/>
    <s v="4001.007"/>
    <s v="Acompte impôt sur revenu"/>
    <n v="0"/>
    <n v="-52588.52"/>
    <n v="4001"/>
  </r>
  <r>
    <x v="0"/>
    <x v="12"/>
    <x v="5"/>
    <x v="359"/>
    <x v="303"/>
    <x v="303"/>
    <s v="REVENUS"/>
    <x v="3"/>
    <s v="4002.001"/>
    <s v="Impôt ordinaire s/fortune PP"/>
    <n v="0"/>
    <n v="44012.9"/>
    <n v="4002"/>
  </r>
  <r>
    <x v="0"/>
    <x v="12"/>
    <x v="5"/>
    <x v="359"/>
    <x v="303"/>
    <x v="303"/>
    <s v="REVENUS"/>
    <x v="3"/>
    <s v="4002.007"/>
    <s v="Acompte impôt sur fortune"/>
    <n v="0"/>
    <n v="-11091.71"/>
    <n v="4002"/>
  </r>
  <r>
    <x v="0"/>
    <x v="12"/>
    <x v="5"/>
    <x v="359"/>
    <x v="303"/>
    <x v="303"/>
    <s v="REVENUS"/>
    <x v="6"/>
    <s v="4211.002"/>
    <s v="Intérêts de retard sur acomptes"/>
    <n v="0"/>
    <n v="640.07000000000005"/>
    <n v="4211"/>
  </r>
  <r>
    <x v="0"/>
    <x v="12"/>
    <x v="5"/>
    <x v="359"/>
    <x v="303"/>
    <x v="303"/>
    <s v="REVENUS"/>
    <x v="6"/>
    <s v="4221.003"/>
    <s v="Intérêts compensat. / acomptes en faveur du fisc"/>
    <n v="0"/>
    <n v="31.4"/>
    <n v="4221"/>
  </r>
  <r>
    <x v="0"/>
    <x v="12"/>
    <x v="5"/>
    <x v="359"/>
    <x v="303"/>
    <x v="303"/>
    <s v="REVENUS"/>
    <x v="6"/>
    <s v="4211.001"/>
    <s v="Intérêts de retard sur factures"/>
    <n v="0"/>
    <n v="5154.6000000000004"/>
    <n v="4211"/>
  </r>
  <r>
    <x v="0"/>
    <x v="12"/>
    <x v="5"/>
    <x v="359"/>
    <x v="303"/>
    <x v="303"/>
    <s v="REVENUS"/>
    <x v="2"/>
    <s v="4001.007"/>
    <s v="Acompte impôt sur revenu"/>
    <n v="0"/>
    <n v="-88650.75"/>
    <n v="4001"/>
  </r>
  <r>
    <x v="0"/>
    <x v="12"/>
    <x v="5"/>
    <x v="359"/>
    <x v="303"/>
    <x v="303"/>
    <s v="REVENUS"/>
    <x v="3"/>
    <s v="4002.007"/>
    <s v="Acompte impôt sur fortune"/>
    <n v="0"/>
    <n v="-18542.66"/>
    <n v="4002"/>
  </r>
  <r>
    <x v="0"/>
    <x v="12"/>
    <x v="5"/>
    <x v="359"/>
    <x v="303"/>
    <x v="303"/>
    <s v="REVENUS"/>
    <x v="2"/>
    <s v="4001.001"/>
    <s v="Impôt revenu"/>
    <n v="0"/>
    <n v="329148.84999999998"/>
    <n v="4001"/>
  </r>
  <r>
    <x v="0"/>
    <x v="12"/>
    <x v="5"/>
    <x v="359"/>
    <x v="303"/>
    <x v="303"/>
    <s v="REVENUS"/>
    <x v="3"/>
    <s v="4002.001"/>
    <s v="Impôt ordinaire s/fortune PP"/>
    <n v="0"/>
    <n v="60402.35"/>
    <n v="4002"/>
  </r>
  <r>
    <x v="0"/>
    <x v="12"/>
    <x v="5"/>
    <x v="359"/>
    <x v="303"/>
    <x v="303"/>
    <s v="REVENUS"/>
    <x v="6"/>
    <s v="4211.002"/>
    <s v="Intérêts de retard sur acomptes"/>
    <n v="0"/>
    <n v="4294.5600000000004"/>
    <n v="4211"/>
  </r>
  <r>
    <x v="0"/>
    <x v="12"/>
    <x v="5"/>
    <x v="359"/>
    <x v="303"/>
    <x v="303"/>
    <s v="REVENUS"/>
    <x v="6"/>
    <s v="4221.003"/>
    <s v="Intérêts compensat. / acomptes en faveur du fisc"/>
    <n v="0"/>
    <n v="33.43"/>
    <n v="4221"/>
  </r>
  <r>
    <x v="0"/>
    <x v="12"/>
    <x v="5"/>
    <x v="359"/>
    <x v="303"/>
    <x v="303"/>
    <s v="REVENUS"/>
    <x v="2"/>
    <s v="4001.001"/>
    <s v="Impôt revenu"/>
    <n v="0"/>
    <n v="41677341.25"/>
    <n v="4001"/>
  </r>
  <r>
    <x v="0"/>
    <x v="12"/>
    <x v="5"/>
    <x v="359"/>
    <x v="303"/>
    <x v="303"/>
    <s v="REVENUS"/>
    <x v="2"/>
    <s v="4001.002"/>
    <s v="Impôt complément s/revenu PP"/>
    <n v="0"/>
    <n v="6924509.0499999998"/>
    <n v="4001"/>
  </r>
  <r>
    <x v="0"/>
    <x v="12"/>
    <x v="5"/>
    <x v="359"/>
    <x v="303"/>
    <x v="303"/>
    <s v="REVENUS"/>
    <x v="2"/>
    <s v="4001.003"/>
    <s v="Impôt s/prest. cap. PP"/>
    <n v="0"/>
    <n v="949175.05"/>
    <n v="4001"/>
  </r>
  <r>
    <x v="0"/>
    <x v="12"/>
    <x v="5"/>
    <x v="359"/>
    <x v="303"/>
    <x v="303"/>
    <s v="REVENUS"/>
    <x v="2"/>
    <s v="4001.007"/>
    <s v="Acompte impôt sur revenu"/>
    <n v="0"/>
    <n v="-8242676.0300000003"/>
    <n v="4001"/>
  </r>
  <r>
    <x v="0"/>
    <x v="12"/>
    <x v="5"/>
    <x v="359"/>
    <x v="303"/>
    <x v="303"/>
    <s v="REVENUS"/>
    <x v="3"/>
    <s v="4002.001"/>
    <s v="Impôt ordinaire s/fortune PP"/>
    <n v="0"/>
    <n v="4777415.1500000004"/>
    <n v="4002"/>
  </r>
  <r>
    <x v="0"/>
    <x v="12"/>
    <x v="5"/>
    <x v="359"/>
    <x v="303"/>
    <x v="303"/>
    <s v="REVENUS"/>
    <x v="3"/>
    <s v="4002.002"/>
    <s v="Impôt complémentaire s/fortune PP"/>
    <n v="0"/>
    <n v="1217205.8500000001"/>
    <n v="4002"/>
  </r>
  <r>
    <x v="0"/>
    <x v="12"/>
    <x v="5"/>
    <x v="359"/>
    <x v="303"/>
    <x v="303"/>
    <s v="REVENUS"/>
    <x v="3"/>
    <s v="4002.007"/>
    <s v="Acompte impôt sur fortune"/>
    <n v="0"/>
    <n v="-1603578.36"/>
    <n v="4002"/>
  </r>
  <r>
    <x v="0"/>
    <x v="12"/>
    <x v="5"/>
    <x v="359"/>
    <x v="303"/>
    <x v="303"/>
    <s v="REVENUS"/>
    <x v="6"/>
    <s v="4211.001"/>
    <s v="Intérêts de retard sur factures"/>
    <n v="0"/>
    <n v="244249.15"/>
    <n v="4211"/>
  </r>
  <r>
    <x v="0"/>
    <x v="12"/>
    <x v="5"/>
    <x v="359"/>
    <x v="303"/>
    <x v="303"/>
    <s v="REVENUS"/>
    <x v="6"/>
    <s v="4211.002"/>
    <s v="Intérêts de retard sur acomptes"/>
    <n v="0"/>
    <n v="304467.15999999997"/>
    <n v="4211"/>
  </r>
  <r>
    <x v="0"/>
    <x v="12"/>
    <x v="5"/>
    <x v="359"/>
    <x v="303"/>
    <x v="303"/>
    <s v="REVENUS"/>
    <x v="6"/>
    <s v="4221.003"/>
    <s v="Intérêts compensat. / acomptes en faveur du fisc"/>
    <n v="0"/>
    <n v="6997.78"/>
    <n v="4221"/>
  </r>
  <r>
    <x v="0"/>
    <x v="12"/>
    <x v="5"/>
    <x v="359"/>
    <x v="303"/>
    <x v="303"/>
    <s v="REVENUS"/>
    <x v="2"/>
    <s v="4001.001"/>
    <s v="Impôt revenu"/>
    <n v="0"/>
    <n v="388263.75"/>
    <n v="4001"/>
  </r>
  <r>
    <x v="0"/>
    <x v="12"/>
    <x v="5"/>
    <x v="359"/>
    <x v="303"/>
    <x v="303"/>
    <s v="REVENUS"/>
    <x v="6"/>
    <s v="4211.002"/>
    <s v="Intérêts de retard sur acomptes"/>
    <n v="0"/>
    <n v="3104.68"/>
    <n v="4211"/>
  </r>
  <r>
    <x v="0"/>
    <x v="12"/>
    <x v="5"/>
    <x v="359"/>
    <x v="303"/>
    <x v="303"/>
    <s v="REVENUS"/>
    <x v="2"/>
    <s v="4001.007"/>
    <s v="Acompte impôt sur revenu"/>
    <n v="0"/>
    <n v="291784.03999999998"/>
    <n v="4001"/>
  </r>
  <r>
    <x v="0"/>
    <x v="12"/>
    <x v="5"/>
    <x v="359"/>
    <x v="303"/>
    <x v="303"/>
    <s v="REVENUS"/>
    <x v="3"/>
    <s v="4002.007"/>
    <s v="Acompte impôt sur fortune"/>
    <n v="0"/>
    <n v="20877.86"/>
    <n v="4002"/>
  </r>
  <r>
    <x v="0"/>
    <x v="12"/>
    <x v="5"/>
    <x v="359"/>
    <x v="303"/>
    <x v="303"/>
    <s v="REVENUS"/>
    <x v="8"/>
    <s v="4091.001"/>
    <s v="Impôt récupéré après défalcations"/>
    <n v="0"/>
    <n v="46156.28"/>
    <n v="4091"/>
  </r>
  <r>
    <x v="0"/>
    <x v="12"/>
    <x v="5"/>
    <x v="359"/>
    <x v="303"/>
    <x v="303"/>
    <s v="REVENUS"/>
    <x v="7"/>
    <s v="4184.000"/>
    <s v="Frais de poursuite"/>
    <n v="0"/>
    <n v="92875.16"/>
    <n v="4184"/>
  </r>
  <r>
    <x v="0"/>
    <x v="12"/>
    <x v="5"/>
    <x v="359"/>
    <x v="303"/>
    <x v="303"/>
    <s v="REVENUS"/>
    <x v="6"/>
    <s v="4221.002"/>
    <s v="Intérêts compensat. sur impôts distincts"/>
    <n v="0"/>
    <n v="491.74"/>
    <n v="4221"/>
  </r>
  <r>
    <x v="0"/>
    <x v="12"/>
    <x v="5"/>
    <x v="359"/>
    <x v="303"/>
    <x v="303"/>
    <s v="REVENUS"/>
    <x v="2"/>
    <s v="4001.007"/>
    <s v="Acompte impôt sur revenu"/>
    <n v="0"/>
    <n v="113534.83"/>
    <n v="4001"/>
  </r>
  <r>
    <x v="0"/>
    <x v="12"/>
    <x v="5"/>
    <x v="359"/>
    <x v="303"/>
    <x v="303"/>
    <s v="REVENUS"/>
    <x v="3"/>
    <s v="4002.001"/>
    <s v="Impôt ordinaire s/fortune PP"/>
    <n v="0"/>
    <n v="75454"/>
    <n v="4002"/>
  </r>
  <r>
    <x v="0"/>
    <x v="12"/>
    <x v="5"/>
    <x v="359"/>
    <x v="303"/>
    <x v="303"/>
    <s v="REVENUS"/>
    <x v="3"/>
    <s v="4002.007"/>
    <s v="Acompte impôt sur fortune"/>
    <n v="0"/>
    <n v="29451.11"/>
    <n v="4002"/>
  </r>
  <r>
    <x v="0"/>
    <x v="12"/>
    <x v="5"/>
    <x v="359"/>
    <x v="303"/>
    <x v="303"/>
    <s v="REVENUS"/>
    <x v="6"/>
    <s v="4221.003"/>
    <s v="Intérêts compensat. / acomptes en faveur du fisc"/>
    <n v="0"/>
    <n v="43.85"/>
    <n v="4221"/>
  </r>
  <r>
    <x v="0"/>
    <x v="12"/>
    <x v="5"/>
    <x v="359"/>
    <x v="303"/>
    <x v="303"/>
    <s v="REVENUS"/>
    <x v="2"/>
    <s v="4001.007"/>
    <s v="Acompte impôt sur revenu"/>
    <n v="0"/>
    <n v="-24250.35"/>
    <n v="4001"/>
  </r>
  <r>
    <x v="0"/>
    <x v="12"/>
    <x v="5"/>
    <x v="359"/>
    <x v="303"/>
    <x v="303"/>
    <s v="REVENUS"/>
    <x v="3"/>
    <s v="4002.007"/>
    <s v="Acompte impôt sur fortune"/>
    <n v="0"/>
    <n v="-3412.55"/>
    <n v="4002"/>
  </r>
  <r>
    <x v="0"/>
    <x v="12"/>
    <x v="5"/>
    <x v="359"/>
    <x v="303"/>
    <x v="303"/>
    <s v="REVENUS"/>
    <x v="6"/>
    <s v="4211.001"/>
    <s v="Intérêts de retard sur factures"/>
    <n v="0"/>
    <n v="166.07"/>
    <n v="4211"/>
  </r>
  <r>
    <x v="0"/>
    <x v="12"/>
    <x v="5"/>
    <x v="359"/>
    <x v="303"/>
    <x v="303"/>
    <s v="REVENUS"/>
    <x v="9"/>
    <s v="4031.001"/>
    <s v="Impôt sur les gains immobiliers"/>
    <n v="0"/>
    <n v="1192383.05"/>
    <n v="4031"/>
  </r>
  <r>
    <x v="0"/>
    <x v="12"/>
    <x v="5"/>
    <x v="359"/>
    <x v="303"/>
    <x v="303"/>
    <s v="REVENUS"/>
    <x v="10"/>
    <s v="4041.001"/>
    <s v="Droits de mutation"/>
    <n v="0"/>
    <n v="754296.35"/>
    <n v="4041"/>
  </r>
  <r>
    <x v="0"/>
    <x v="12"/>
    <x v="5"/>
    <x v="359"/>
    <x v="303"/>
    <x v="303"/>
    <s v="REVENUS"/>
    <x v="4"/>
    <s v="4051.001"/>
    <s v="Impôt sur les successions"/>
    <n v="0"/>
    <n v="959393.6"/>
    <n v="4051"/>
  </r>
  <r>
    <x v="0"/>
    <x v="12"/>
    <x v="5"/>
    <x v="359"/>
    <x v="303"/>
    <x v="303"/>
    <s v="REVENUS"/>
    <x v="2"/>
    <s v="4001.001"/>
    <s v="Impôt revenu"/>
    <n v="0"/>
    <n v="229655.25"/>
    <n v="4001"/>
  </r>
  <r>
    <x v="0"/>
    <x v="12"/>
    <x v="5"/>
    <x v="359"/>
    <x v="303"/>
    <x v="303"/>
    <s v="REVENUS"/>
    <x v="2"/>
    <s v="4001.007"/>
    <s v="Acompte impôt sur revenu"/>
    <n v="0"/>
    <n v="-46526.38"/>
    <n v="4001"/>
  </r>
  <r>
    <x v="0"/>
    <x v="12"/>
    <x v="5"/>
    <x v="359"/>
    <x v="303"/>
    <x v="303"/>
    <s v="REVENUS"/>
    <x v="3"/>
    <s v="4002.001"/>
    <s v="Impôt ordinaire s/fortune PP"/>
    <n v="0"/>
    <n v="48259.5"/>
    <n v="4002"/>
  </r>
  <r>
    <x v="0"/>
    <x v="12"/>
    <x v="5"/>
    <x v="359"/>
    <x v="303"/>
    <x v="303"/>
    <s v="REVENUS"/>
    <x v="3"/>
    <s v="4002.007"/>
    <s v="Acompte impôt sur fortune"/>
    <n v="0"/>
    <n v="-5623.69"/>
    <n v="4002"/>
  </r>
  <r>
    <x v="0"/>
    <x v="12"/>
    <x v="5"/>
    <x v="359"/>
    <x v="303"/>
    <x v="303"/>
    <s v="REVENUS"/>
    <x v="6"/>
    <s v="4211.002"/>
    <s v="Intérêts de retard sur acomptes"/>
    <n v="0"/>
    <n v="1728.26"/>
    <n v="4211"/>
  </r>
  <r>
    <x v="0"/>
    <x v="12"/>
    <x v="5"/>
    <x v="359"/>
    <x v="303"/>
    <x v="303"/>
    <s v="REVENUS"/>
    <x v="7"/>
    <s v="4184.000"/>
    <s v="Frais de poursuite"/>
    <n v="0"/>
    <n v="82.43"/>
    <n v="4184"/>
  </r>
  <r>
    <x v="0"/>
    <x v="12"/>
    <x v="5"/>
    <x v="359"/>
    <x v="303"/>
    <x v="303"/>
    <s v="REVENUS"/>
    <x v="5"/>
    <s v="4061.000"/>
    <s v="Impôt sur les chiens"/>
    <n v="0"/>
    <n v="59115"/>
    <n v="4061"/>
  </r>
  <r>
    <x v="0"/>
    <x v="12"/>
    <x v="5"/>
    <x v="359"/>
    <x v="303"/>
    <x v="303"/>
    <s v="REVENUS"/>
    <x v="2"/>
    <s v="4001.001"/>
    <s v="Impôt revenu"/>
    <n v="0"/>
    <n v="-39912.300000000003"/>
    <n v="4001"/>
  </r>
  <r>
    <x v="0"/>
    <x v="12"/>
    <x v="5"/>
    <x v="359"/>
    <x v="303"/>
    <x v="303"/>
    <s v="REVENUS"/>
    <x v="3"/>
    <s v="4002.001"/>
    <s v="Impôt ordinaire s/fortune PP"/>
    <n v="0"/>
    <n v="-6883.95"/>
    <n v="4002"/>
  </r>
  <r>
    <x v="0"/>
    <x v="12"/>
    <x v="5"/>
    <x v="359"/>
    <x v="303"/>
    <x v="303"/>
    <s v="REVENUS"/>
    <x v="6"/>
    <s v="4211.001"/>
    <s v="Intérêts de retard sur factures"/>
    <n v="0"/>
    <n v="-0.02"/>
    <n v="4211"/>
  </r>
  <r>
    <x v="0"/>
    <x v="12"/>
    <x v="5"/>
    <x v="359"/>
    <x v="303"/>
    <x v="303"/>
    <s v="REVENUS"/>
    <x v="6"/>
    <s v="4211.002"/>
    <s v="Intérêts de retard sur acomptes"/>
    <n v="0"/>
    <n v="-1.54"/>
    <n v="4211"/>
  </r>
  <r>
    <x v="0"/>
    <x v="12"/>
    <x v="5"/>
    <x v="359"/>
    <x v="303"/>
    <x v="303"/>
    <s v="REVENUS"/>
    <x v="6"/>
    <s v="4221.003"/>
    <s v="Intérêts compensat. / acomptes en faveur du fisc"/>
    <n v="0"/>
    <n v="-0.28999999999999998"/>
    <n v="4221"/>
  </r>
  <r>
    <x v="0"/>
    <x v="12"/>
    <x v="5"/>
    <x v="359"/>
    <x v="303"/>
    <x v="303"/>
    <s v="REVENUS"/>
    <x v="7"/>
    <s v="4184.000"/>
    <s v="Frais de poursuite"/>
    <n v="0"/>
    <n v="3095.24"/>
    <n v="4184"/>
  </r>
  <r>
    <x v="0"/>
    <x v="12"/>
    <x v="5"/>
    <x v="359"/>
    <x v="303"/>
    <x v="303"/>
    <s v="REVENUS"/>
    <x v="3"/>
    <s v="4002.002"/>
    <s v="Impôt complémentaire s/fortune PP"/>
    <n v="0"/>
    <n v="8176.05"/>
    <n v="4002"/>
  </r>
  <r>
    <x v="0"/>
    <x v="12"/>
    <x v="5"/>
    <x v="359"/>
    <x v="303"/>
    <x v="303"/>
    <s v="REVENUS"/>
    <x v="2"/>
    <s v="4001.002"/>
    <s v="Impôt complément s/revenu PP"/>
    <n v="0"/>
    <n v="32362.2"/>
    <n v="4001"/>
  </r>
  <r>
    <x v="0"/>
    <x v="12"/>
    <x v="5"/>
    <x v="359"/>
    <x v="303"/>
    <x v="303"/>
    <s v="REVENUS"/>
    <x v="6"/>
    <s v="4211.001"/>
    <s v="Intérêts de retard sur factures"/>
    <n v="0"/>
    <n v="11327.27"/>
    <n v="4211"/>
  </r>
  <r>
    <x v="0"/>
    <x v="12"/>
    <x v="5"/>
    <x v="359"/>
    <x v="303"/>
    <x v="303"/>
    <s v="REVENUS"/>
    <x v="2"/>
    <s v="4001.005"/>
    <s v="Amende de soustract. Impôt"/>
    <n v="0"/>
    <n v="2250"/>
    <n v="4001"/>
  </r>
  <r>
    <x v="0"/>
    <x v="12"/>
    <x v="5"/>
    <x v="359"/>
    <x v="303"/>
    <x v="303"/>
    <s v="REVENUS"/>
    <x v="4"/>
    <s v="4051.002"/>
    <s v="Impôt sur les donations"/>
    <n v="0"/>
    <n v="100912.5"/>
    <n v="4051"/>
  </r>
  <r>
    <x v="0"/>
    <x v="12"/>
    <x v="5"/>
    <x v="359"/>
    <x v="303"/>
    <x v="303"/>
    <s v="REVENUS"/>
    <x v="6"/>
    <s v="4221.003"/>
    <s v="Intérêts compensat. / acomptes en faveur du fisc"/>
    <n v="0"/>
    <n v="49.34"/>
    <n v="4221"/>
  </r>
  <r>
    <x v="0"/>
    <x v="12"/>
    <x v="5"/>
    <x v="359"/>
    <x v="303"/>
    <x v="303"/>
    <s v="REVENUS"/>
    <x v="2"/>
    <s v="4001.007"/>
    <s v="Acompte impôt sur revenu"/>
    <n v="0"/>
    <n v="577.45000000000005"/>
    <n v="4001"/>
  </r>
  <r>
    <x v="0"/>
    <x v="12"/>
    <x v="5"/>
    <x v="359"/>
    <x v="303"/>
    <x v="303"/>
    <s v="REVENUS"/>
    <x v="3"/>
    <s v="4002.007"/>
    <s v="Acompte impôt sur fortune"/>
    <n v="0"/>
    <n v="-497.89"/>
    <n v="4002"/>
  </r>
  <r>
    <x v="0"/>
    <x v="12"/>
    <x v="5"/>
    <x v="359"/>
    <x v="303"/>
    <x v="303"/>
    <s v="REVENUS"/>
    <x v="6"/>
    <s v="4211.001"/>
    <s v="Intérêts de retard sur factures"/>
    <n v="0"/>
    <n v="192.58"/>
    <n v="4211"/>
  </r>
  <r>
    <x v="0"/>
    <x v="12"/>
    <x v="5"/>
    <x v="359"/>
    <x v="303"/>
    <x v="303"/>
    <s v="REVENUS"/>
    <x v="2"/>
    <s v="4001.007"/>
    <s v="Acompte impôt sur revenu"/>
    <n v="0"/>
    <n v="-97564.33"/>
    <n v="4001"/>
  </r>
  <r>
    <x v="0"/>
    <x v="12"/>
    <x v="5"/>
    <x v="359"/>
    <x v="303"/>
    <x v="303"/>
    <s v="REVENUS"/>
    <x v="3"/>
    <s v="4002.007"/>
    <s v="Acompte impôt sur fortune"/>
    <n v="0"/>
    <n v="-4658.1899999999996"/>
    <n v="4002"/>
  </r>
  <r>
    <x v="0"/>
    <x v="12"/>
    <x v="5"/>
    <x v="359"/>
    <x v="303"/>
    <x v="303"/>
    <s v="REVENUS"/>
    <x v="2"/>
    <s v="4001.002"/>
    <s v="Impôt complément s/revenu PP"/>
    <n v="0"/>
    <n v="15940.35"/>
    <n v="4001"/>
  </r>
  <r>
    <x v="0"/>
    <x v="12"/>
    <x v="5"/>
    <x v="359"/>
    <x v="303"/>
    <x v="303"/>
    <s v="REVENUS"/>
    <x v="3"/>
    <s v="4002.002"/>
    <s v="Impôt complémentaire s/fortune PP"/>
    <n v="0"/>
    <n v="5746.85"/>
    <n v="4002"/>
  </r>
  <r>
    <x v="0"/>
    <x v="12"/>
    <x v="5"/>
    <x v="359"/>
    <x v="303"/>
    <x v="303"/>
    <s v="REVENUS"/>
    <x v="13"/>
    <s v="4371.013"/>
    <s v="Amende soustraction LMSD"/>
    <n v="0"/>
    <n v="2465"/>
    <n v="4371"/>
  </r>
  <r>
    <x v="0"/>
    <x v="12"/>
    <x v="5"/>
    <x v="359"/>
    <x v="303"/>
    <x v="303"/>
    <s v="REVENUS"/>
    <x v="12"/>
    <s v="4004.007"/>
    <s v="Acompte spécial étrangers"/>
    <n v="0"/>
    <n v="-721.1"/>
    <n v="4004"/>
  </r>
  <r>
    <x v="0"/>
    <x v="12"/>
    <x v="5"/>
    <x v="359"/>
    <x v="303"/>
    <x v="303"/>
    <s v="REVENUS"/>
    <x v="6"/>
    <s v="4211.001"/>
    <s v="Intérêts de retard sur factures"/>
    <n v="0"/>
    <n v="1.33"/>
    <n v="4211"/>
  </r>
  <r>
    <x v="0"/>
    <x v="12"/>
    <x v="5"/>
    <x v="359"/>
    <x v="303"/>
    <x v="303"/>
    <s v="REVENUS"/>
    <x v="6"/>
    <s v="4211.002"/>
    <s v="Intérêts de retard sur acomptes"/>
    <n v="0"/>
    <n v="20.440000000000001"/>
    <n v="4211"/>
  </r>
  <r>
    <x v="0"/>
    <x v="12"/>
    <x v="5"/>
    <x v="359"/>
    <x v="303"/>
    <x v="303"/>
    <s v="REVENUS"/>
    <x v="6"/>
    <s v="4221.003"/>
    <s v="Intérêts compensat. / acomptes en faveur du fisc"/>
    <n v="0"/>
    <n v="1.76"/>
    <n v="4221"/>
  </r>
  <r>
    <x v="0"/>
    <x v="12"/>
    <x v="5"/>
    <x v="359"/>
    <x v="303"/>
    <x v="303"/>
    <s v="REVENUS"/>
    <x v="2"/>
    <s v="4001.001"/>
    <s v="Impôt revenu"/>
    <n v="0"/>
    <n v="39334.699999999997"/>
    <n v="4001"/>
  </r>
  <r>
    <x v="0"/>
    <x v="12"/>
    <x v="5"/>
    <x v="359"/>
    <x v="303"/>
    <x v="303"/>
    <s v="REVENUS"/>
    <x v="3"/>
    <s v="4002.001"/>
    <s v="Impôt ordinaire s/fortune PP"/>
    <n v="0"/>
    <n v="8743.25"/>
    <n v="4002"/>
  </r>
  <r>
    <x v="0"/>
    <x v="12"/>
    <x v="5"/>
    <x v="359"/>
    <x v="303"/>
    <x v="303"/>
    <s v="REVENUS"/>
    <x v="6"/>
    <s v="4221.003"/>
    <s v="Intérêts compensat. / acomptes en faveur du fisc"/>
    <n v="0"/>
    <n v="0.73"/>
    <n v="4221"/>
  </r>
  <r>
    <x v="0"/>
    <x v="12"/>
    <x v="5"/>
    <x v="359"/>
    <x v="303"/>
    <x v="303"/>
    <s v="REVENUS"/>
    <x v="2"/>
    <s v="4001.002"/>
    <s v="Impôt complément s/revenu PP"/>
    <n v="0"/>
    <n v="56135.25"/>
    <n v="4001"/>
  </r>
  <r>
    <x v="0"/>
    <x v="12"/>
    <x v="5"/>
    <x v="359"/>
    <x v="303"/>
    <x v="303"/>
    <s v="REVENUS"/>
    <x v="3"/>
    <s v="4002.002"/>
    <s v="Impôt complémentaire s/fortune PP"/>
    <n v="0"/>
    <n v="19186.75"/>
    <n v="4002"/>
  </r>
  <r>
    <x v="0"/>
    <x v="12"/>
    <x v="5"/>
    <x v="359"/>
    <x v="303"/>
    <x v="303"/>
    <s v="REVENUS"/>
    <x v="6"/>
    <s v="4211.002"/>
    <s v="Intérêts de retard sur acomptes"/>
    <n v="0"/>
    <n v="69.400000000000006"/>
    <n v="4211"/>
  </r>
  <r>
    <x v="0"/>
    <x v="12"/>
    <x v="5"/>
    <x v="359"/>
    <x v="303"/>
    <x v="303"/>
    <s v="REVENUS"/>
    <x v="2"/>
    <s v="4001.002"/>
    <s v="Impôt complément s/revenu PP"/>
    <n v="0"/>
    <n v="78347.25"/>
    <n v="4001"/>
  </r>
  <r>
    <x v="0"/>
    <x v="12"/>
    <x v="5"/>
    <x v="359"/>
    <x v="303"/>
    <x v="303"/>
    <s v="REVENUS"/>
    <x v="6"/>
    <s v="4211.001"/>
    <s v="Intérêts de retard sur factures"/>
    <n v="0"/>
    <n v="0.12"/>
    <n v="4211"/>
  </r>
  <r>
    <x v="0"/>
    <x v="12"/>
    <x v="5"/>
    <x v="359"/>
    <x v="303"/>
    <x v="303"/>
    <s v="REVENUS"/>
    <x v="9"/>
    <s v="4031.002"/>
    <s v="Complément impôt sur les gains immobiliers"/>
    <n v="0"/>
    <n v="21969.8"/>
    <n v="4031"/>
  </r>
  <r>
    <x v="0"/>
    <x v="12"/>
    <x v="5"/>
    <x v="359"/>
    <x v="303"/>
    <x v="303"/>
    <s v="REVENUS"/>
    <x v="11"/>
    <s v="4198.000"/>
    <s v="Contributions communales"/>
    <n v="0"/>
    <n v="2226663.15"/>
    <n v="4198"/>
  </r>
  <r>
    <x v="0"/>
    <x v="12"/>
    <x v="5"/>
    <x v="359"/>
    <x v="303"/>
    <x v="303"/>
    <s v="REVENUS"/>
    <x v="9"/>
    <s v="4031.001"/>
    <s v="Impôt sur les gains immobiliers"/>
    <n v="0"/>
    <n v="4743.75"/>
    <n v="4031"/>
  </r>
  <r>
    <x v="0"/>
    <x v="12"/>
    <x v="5"/>
    <x v="359"/>
    <x v="303"/>
    <x v="303"/>
    <s v="REVENUS"/>
    <x v="2"/>
    <s v="4001.001"/>
    <s v="Impôt revenu"/>
    <n v="0"/>
    <n v="6817.45"/>
    <n v="4001"/>
  </r>
  <r>
    <x v="0"/>
    <x v="12"/>
    <x v="5"/>
    <x v="359"/>
    <x v="303"/>
    <x v="303"/>
    <s v="REVENUS"/>
    <x v="3"/>
    <s v="4002.001"/>
    <s v="Impôt ordinaire s/fortune PP"/>
    <n v="0"/>
    <n v="5163"/>
    <n v="4002"/>
  </r>
  <r>
    <x v="0"/>
    <x v="12"/>
    <x v="5"/>
    <x v="359"/>
    <x v="303"/>
    <x v="303"/>
    <s v="REVENUS"/>
    <x v="2"/>
    <s v="4001.002"/>
    <s v="Impôt complément s/revenu PP"/>
    <n v="0"/>
    <n v="3715.3"/>
    <n v="4001"/>
  </r>
  <r>
    <x v="0"/>
    <x v="12"/>
    <x v="5"/>
    <x v="359"/>
    <x v="303"/>
    <x v="303"/>
    <s v="REVENUS"/>
    <x v="3"/>
    <s v="4002.002"/>
    <s v="Impôt complémentaire s/fortune PP"/>
    <n v="0"/>
    <n v="2463.25"/>
    <n v="4002"/>
  </r>
  <r>
    <x v="0"/>
    <x v="12"/>
    <x v="5"/>
    <x v="359"/>
    <x v="303"/>
    <x v="303"/>
    <s v="REVENUS"/>
    <x v="3"/>
    <s v="4002.002"/>
    <s v="Impôt complémentaire s/fortune PP"/>
    <n v="0"/>
    <n v="19273.7"/>
    <n v="4002"/>
  </r>
  <r>
    <x v="0"/>
    <x v="12"/>
    <x v="5"/>
    <x v="359"/>
    <x v="303"/>
    <x v="303"/>
    <s v="REVENUS"/>
    <x v="8"/>
    <s v="4091.001"/>
    <s v="Impôt récupéré après défalcations"/>
    <n v="0"/>
    <n v="1136"/>
    <n v="4091"/>
  </r>
  <r>
    <x v="0"/>
    <x v="12"/>
    <x v="5"/>
    <x v="359"/>
    <x v="303"/>
    <x v="303"/>
    <s v="REVENUS"/>
    <x v="2"/>
    <s v="4001.002"/>
    <s v="Impôt complément s/revenu PP"/>
    <n v="0"/>
    <n v="11718.65"/>
    <n v="4001"/>
  </r>
  <r>
    <x v="0"/>
    <x v="12"/>
    <x v="5"/>
    <x v="359"/>
    <x v="303"/>
    <x v="303"/>
    <s v="REVENUS"/>
    <x v="3"/>
    <s v="4002.002"/>
    <s v="Impôt complémentaire s/fortune PP"/>
    <n v="0"/>
    <n v="77.75"/>
    <n v="4002"/>
  </r>
  <r>
    <x v="0"/>
    <x v="12"/>
    <x v="5"/>
    <x v="359"/>
    <x v="303"/>
    <x v="303"/>
    <s v="REVENUS"/>
    <x v="7"/>
    <s v="4184.000"/>
    <s v="Frais de poursuite"/>
    <n v="0"/>
    <n v="119.05"/>
    <n v="4184"/>
  </r>
  <r>
    <x v="0"/>
    <x v="12"/>
    <x v="5"/>
    <x v="359"/>
    <x v="303"/>
    <x v="303"/>
    <s v="REVENUS"/>
    <x v="2"/>
    <s v="4001.001"/>
    <s v="Impôt revenu"/>
    <n v="0"/>
    <n v="-18217.2"/>
    <n v="4001"/>
  </r>
  <r>
    <x v="0"/>
    <x v="12"/>
    <x v="5"/>
    <x v="359"/>
    <x v="303"/>
    <x v="303"/>
    <s v="REVENUS"/>
    <x v="2"/>
    <s v="4001.002"/>
    <s v="Impôt complément s/revenu PP"/>
    <n v="0"/>
    <n v="-6226.5"/>
    <n v="4001"/>
  </r>
  <r>
    <x v="0"/>
    <x v="12"/>
    <x v="5"/>
    <x v="359"/>
    <x v="303"/>
    <x v="303"/>
    <s v="REVENUS"/>
    <x v="3"/>
    <s v="4002.001"/>
    <s v="Impôt ordinaire s/fortune PP"/>
    <n v="0"/>
    <n v="-4662.1000000000004"/>
    <n v="4002"/>
  </r>
  <r>
    <x v="0"/>
    <x v="12"/>
    <x v="5"/>
    <x v="359"/>
    <x v="303"/>
    <x v="303"/>
    <s v="REVENUS"/>
    <x v="3"/>
    <s v="4002.002"/>
    <s v="Impôt complémentaire s/fortune PP"/>
    <n v="0"/>
    <n v="-1117.25"/>
    <n v="4002"/>
  </r>
  <r>
    <x v="0"/>
    <x v="12"/>
    <x v="5"/>
    <x v="359"/>
    <x v="303"/>
    <x v="303"/>
    <s v="REVENUS"/>
    <x v="7"/>
    <s v="4184.000"/>
    <s v="Frais de poursuite"/>
    <n v="0"/>
    <n v="125.59"/>
    <n v="4184"/>
  </r>
  <r>
    <x v="0"/>
    <x v="12"/>
    <x v="5"/>
    <x v="359"/>
    <x v="303"/>
    <x v="303"/>
    <s v="REVENUS"/>
    <x v="10"/>
    <s v="4041.002"/>
    <s v="Complément droit de mutation"/>
    <n v="0"/>
    <n v="14300"/>
    <n v="4041"/>
  </r>
  <r>
    <x v="0"/>
    <x v="12"/>
    <x v="5"/>
    <x v="359"/>
    <x v="303"/>
    <x v="303"/>
    <s v="REVENUS"/>
    <x v="10"/>
    <s v="4041.002"/>
    <s v="Complément droit de mutation"/>
    <n v="0"/>
    <n v="22090.05"/>
    <n v="4041"/>
  </r>
  <r>
    <x v="0"/>
    <x v="12"/>
    <x v="5"/>
    <x v="359"/>
    <x v="303"/>
    <x v="303"/>
    <s v="REVENUS"/>
    <x v="6"/>
    <s v="4211.002"/>
    <s v="Intérêts de retard sur acomptes"/>
    <n v="0"/>
    <n v="122.32"/>
    <n v="4211"/>
  </r>
  <r>
    <x v="0"/>
    <x v="12"/>
    <x v="5"/>
    <x v="359"/>
    <x v="303"/>
    <x v="303"/>
    <s v="REVENUS"/>
    <x v="6"/>
    <s v="4221.003"/>
    <s v="Intérêts compensat. / acomptes en faveur du fisc"/>
    <n v="0"/>
    <n v="0.33"/>
    <n v="4221"/>
  </r>
  <r>
    <x v="0"/>
    <x v="12"/>
    <x v="5"/>
    <x v="359"/>
    <x v="303"/>
    <x v="303"/>
    <s v="REVENUS"/>
    <x v="4"/>
    <s v="4051.001"/>
    <s v="Impôt sur les successions"/>
    <n v="0"/>
    <n v="13"/>
    <n v="4051"/>
  </r>
  <r>
    <x v="0"/>
    <x v="12"/>
    <x v="5"/>
    <x v="359"/>
    <x v="303"/>
    <x v="303"/>
    <s v="REVENUS"/>
    <x v="6"/>
    <s v="4221.002"/>
    <s v="Intérêts compensat. sur impôts distincts"/>
    <n v="0"/>
    <n v="0.02"/>
    <n v="4221"/>
  </r>
  <r>
    <x v="0"/>
    <x v="12"/>
    <x v="5"/>
    <x v="359"/>
    <x v="303"/>
    <x v="303"/>
    <s v="REVENUS"/>
    <x v="12"/>
    <s v="4004.000"/>
    <s v="Impôt spécial étrangers"/>
    <n v="0"/>
    <n v="37296.449999999997"/>
    <n v="4004"/>
  </r>
  <r>
    <x v="0"/>
    <x v="12"/>
    <x v="5"/>
    <x v="359"/>
    <x v="303"/>
    <x v="303"/>
    <s v="REVENUS"/>
    <x v="6"/>
    <s v="4211.001"/>
    <s v="Intérêts de retard sur factures"/>
    <n v="0"/>
    <n v="0.38"/>
    <n v="4211"/>
  </r>
  <r>
    <x v="0"/>
    <x v="12"/>
    <x v="5"/>
    <x v="360"/>
    <x v="304"/>
    <x v="304"/>
    <s v="CHARGES"/>
    <x v="0"/>
    <s v="3212.002"/>
    <s v="Intérêts bonifiés/trop perçu acompte C/C"/>
    <n v="-16.86"/>
    <n v="0"/>
    <n v="3212"/>
  </r>
  <r>
    <x v="0"/>
    <x v="12"/>
    <x v="5"/>
    <x v="360"/>
    <x v="304"/>
    <x v="304"/>
    <s v="CHARGES"/>
    <x v="0"/>
    <s v="3212.004"/>
    <s v="Intérêts rémun./perçu trop tôt sur acomptes C/C"/>
    <n v="1087.18"/>
    <n v="0"/>
    <n v="3212"/>
  </r>
  <r>
    <x v="0"/>
    <x v="12"/>
    <x v="5"/>
    <x v="360"/>
    <x v="304"/>
    <x v="304"/>
    <s v="CHARGES"/>
    <x v="0"/>
    <s v="3221.002"/>
    <s v="Intérêts compensatoires / créances en faveur ctb."/>
    <n v="420.51"/>
    <n v="0"/>
    <n v="3221"/>
  </r>
  <r>
    <x v="0"/>
    <x v="12"/>
    <x v="5"/>
    <x v="360"/>
    <x v="304"/>
    <x v="304"/>
    <s v="CHARGES"/>
    <x v="1"/>
    <s v="3301.001"/>
    <s v="Défalcations, abandons de solde PP et IS"/>
    <n v="83093.990000000005"/>
    <n v="0"/>
    <n v="3301"/>
  </r>
  <r>
    <x v="0"/>
    <x v="12"/>
    <x v="5"/>
    <x v="360"/>
    <x v="304"/>
    <x v="304"/>
    <s v="CHARGES"/>
    <x v="1"/>
    <s v="3301.001"/>
    <s v="Défalcations, abandons de solde PP et IS"/>
    <n v="1.1399999999999999"/>
    <n v="0"/>
    <n v="3301"/>
  </r>
  <r>
    <x v="0"/>
    <x v="12"/>
    <x v="5"/>
    <x v="360"/>
    <x v="304"/>
    <x v="304"/>
    <s v="CHARGES"/>
    <x v="1"/>
    <s v="3301.001"/>
    <s v="Défalcations, abandons de solde PP et IS"/>
    <n v="0.56999999999999995"/>
    <n v="0"/>
    <n v="3301"/>
  </r>
  <r>
    <x v="0"/>
    <x v="12"/>
    <x v="5"/>
    <x v="360"/>
    <x v="304"/>
    <x v="304"/>
    <s v="CHARGES"/>
    <x v="0"/>
    <s v="3212.004"/>
    <s v="Intérêts rémun./perçu trop tôt sur acomptes C/C"/>
    <n v="2.74"/>
    <n v="0"/>
    <n v="3212"/>
  </r>
  <r>
    <x v="0"/>
    <x v="12"/>
    <x v="5"/>
    <x v="360"/>
    <x v="304"/>
    <x v="304"/>
    <s v="CHARGES"/>
    <x v="0"/>
    <s v="3212.004"/>
    <s v="Intérêts rémun./perçu trop tôt sur acomptes C/C"/>
    <n v="2.71"/>
    <n v="0"/>
    <n v="3212"/>
  </r>
  <r>
    <x v="0"/>
    <x v="12"/>
    <x v="5"/>
    <x v="360"/>
    <x v="304"/>
    <x v="304"/>
    <s v="CHARGES"/>
    <x v="1"/>
    <s v="3301.001"/>
    <s v="Défalcations, abandons de solde PP et IS"/>
    <n v="0.43"/>
    <n v="0"/>
    <n v="3301"/>
  </r>
  <r>
    <x v="0"/>
    <x v="12"/>
    <x v="5"/>
    <x v="360"/>
    <x v="304"/>
    <x v="304"/>
    <s v="CHARGES"/>
    <x v="0"/>
    <s v="3212.004"/>
    <s v="Intérêts rémun./perçu trop tôt sur acomptes C/C"/>
    <n v="0.3"/>
    <n v="0"/>
    <n v="3212"/>
  </r>
  <r>
    <x v="0"/>
    <x v="12"/>
    <x v="5"/>
    <x v="360"/>
    <x v="304"/>
    <x v="304"/>
    <s v="CHARGES"/>
    <x v="0"/>
    <s v="3221.002"/>
    <s v="Intérêts compensatoires / créances en faveur ctb."/>
    <n v="0.16"/>
    <n v="0"/>
    <n v="3221"/>
  </r>
  <r>
    <x v="0"/>
    <x v="12"/>
    <x v="5"/>
    <x v="360"/>
    <x v="304"/>
    <x v="304"/>
    <s v="CHARGES"/>
    <x v="0"/>
    <s v="3221.002"/>
    <s v="Intérêts compensatoires / créances en faveur ctb."/>
    <n v="1.1200000000000001"/>
    <n v="0"/>
    <n v="3221"/>
  </r>
  <r>
    <x v="0"/>
    <x v="12"/>
    <x v="5"/>
    <x v="360"/>
    <x v="304"/>
    <x v="304"/>
    <s v="CHARGES"/>
    <x v="0"/>
    <s v="3221.002"/>
    <s v="Intérêts compensatoires / créances en faveur ctb."/>
    <n v="0.57999999999999996"/>
    <n v="0"/>
    <n v="3221"/>
  </r>
  <r>
    <x v="0"/>
    <x v="12"/>
    <x v="5"/>
    <x v="360"/>
    <x v="304"/>
    <x v="304"/>
    <s v="CHARGES"/>
    <x v="0"/>
    <s v="3212.002"/>
    <s v="Intérêts bonifiés/trop perçu acompte C/C"/>
    <n v="0.02"/>
    <n v="0"/>
    <n v="3212"/>
  </r>
  <r>
    <x v="0"/>
    <x v="12"/>
    <x v="5"/>
    <x v="360"/>
    <x v="304"/>
    <x v="304"/>
    <s v="CHARGES"/>
    <x v="0"/>
    <s v="3212.004"/>
    <s v="Intérêts rémun./perçu trop tôt sur acomptes C/C"/>
    <n v="-7.0000000000000007E-2"/>
    <n v="0"/>
    <n v="3212"/>
  </r>
  <r>
    <x v="0"/>
    <x v="12"/>
    <x v="5"/>
    <x v="360"/>
    <x v="304"/>
    <x v="304"/>
    <s v="CHARGES"/>
    <x v="0"/>
    <s v="3221.002"/>
    <s v="Intérêts compensatoires / créances en faveur ctb."/>
    <n v="-0.01"/>
    <n v="0"/>
    <n v="3221"/>
  </r>
  <r>
    <x v="0"/>
    <x v="12"/>
    <x v="5"/>
    <x v="360"/>
    <x v="304"/>
    <x v="304"/>
    <s v="CHARGES"/>
    <x v="1"/>
    <s v="3301.001"/>
    <s v="Défalcations, abandons de solde PP et IS"/>
    <n v="6029.79"/>
    <n v="0"/>
    <n v="3301"/>
  </r>
  <r>
    <x v="0"/>
    <x v="12"/>
    <x v="5"/>
    <x v="360"/>
    <x v="304"/>
    <x v="304"/>
    <s v="CHARGES"/>
    <x v="0"/>
    <s v="3212.004"/>
    <s v="Intérêts rémun./perçu trop tôt sur acomptes C/C"/>
    <n v="5.0999999999999996"/>
    <n v="0"/>
    <n v="3212"/>
  </r>
  <r>
    <x v="0"/>
    <x v="12"/>
    <x v="5"/>
    <x v="360"/>
    <x v="304"/>
    <x v="304"/>
    <s v="CHARGES"/>
    <x v="0"/>
    <s v="3221.002"/>
    <s v="Intérêts compensatoires / créances en faveur ctb."/>
    <n v="3.83"/>
    <n v="0"/>
    <n v="3221"/>
  </r>
  <r>
    <x v="0"/>
    <x v="12"/>
    <x v="5"/>
    <x v="360"/>
    <x v="304"/>
    <x v="304"/>
    <s v="CHARGES"/>
    <x v="0"/>
    <s v="3212.004"/>
    <s v="Intérêts rémun./perçu trop tôt sur acomptes C/C"/>
    <n v="1.52"/>
    <n v="0"/>
    <n v="3212"/>
  </r>
  <r>
    <x v="0"/>
    <x v="12"/>
    <x v="5"/>
    <x v="360"/>
    <x v="304"/>
    <x v="304"/>
    <s v="CHARGES"/>
    <x v="0"/>
    <s v="3221.002"/>
    <s v="Intérêts compensatoires / créances en faveur ctb."/>
    <n v="0.21"/>
    <n v="0"/>
    <n v="3221"/>
  </r>
  <r>
    <x v="0"/>
    <x v="12"/>
    <x v="5"/>
    <x v="360"/>
    <x v="304"/>
    <x v="304"/>
    <s v="CHARGES"/>
    <x v="1"/>
    <s v="3301.001"/>
    <s v="Défalcations, abandons de solde PP et IS"/>
    <n v="0.6"/>
    <n v="0"/>
    <n v="3301"/>
  </r>
  <r>
    <x v="0"/>
    <x v="12"/>
    <x v="5"/>
    <x v="360"/>
    <x v="304"/>
    <x v="304"/>
    <s v="CHARGES"/>
    <x v="0"/>
    <s v="3212.002"/>
    <s v="Intérêts bonifiés/trop perçu acompte C/C"/>
    <n v="0.97"/>
    <n v="0"/>
    <n v="3212"/>
  </r>
  <r>
    <x v="0"/>
    <x v="12"/>
    <x v="5"/>
    <x v="360"/>
    <x v="304"/>
    <x v="304"/>
    <s v="CHARGES"/>
    <x v="1"/>
    <s v="3301.001"/>
    <s v="Défalcations, abandons de solde PP et IS"/>
    <n v="0.01"/>
    <n v="0"/>
    <n v="3301"/>
  </r>
  <r>
    <x v="0"/>
    <x v="12"/>
    <x v="5"/>
    <x v="360"/>
    <x v="304"/>
    <x v="304"/>
    <s v="REVENUS"/>
    <x v="2"/>
    <s v="4001.001"/>
    <s v="Impôt revenu"/>
    <n v="0"/>
    <n v="5347759"/>
    <n v="4001"/>
  </r>
  <r>
    <x v="0"/>
    <x v="12"/>
    <x v="5"/>
    <x v="360"/>
    <x v="304"/>
    <x v="304"/>
    <s v="REVENUS"/>
    <x v="2"/>
    <s v="4001.007"/>
    <s v="Acompte impôt sur revenu"/>
    <n v="0"/>
    <n v="-852780.07"/>
    <n v="4001"/>
  </r>
  <r>
    <x v="0"/>
    <x v="12"/>
    <x v="5"/>
    <x v="360"/>
    <x v="304"/>
    <x v="304"/>
    <s v="REVENUS"/>
    <x v="3"/>
    <s v="4002.001"/>
    <s v="Impôt ordinaire s/fortune PP"/>
    <n v="0"/>
    <n v="663210.15"/>
    <n v="4002"/>
  </r>
  <r>
    <x v="0"/>
    <x v="12"/>
    <x v="5"/>
    <x v="360"/>
    <x v="304"/>
    <x v="304"/>
    <s v="REVENUS"/>
    <x v="3"/>
    <s v="4002.007"/>
    <s v="Acompte impôt sur fortune"/>
    <n v="0"/>
    <n v="-151678.32999999999"/>
    <n v="4002"/>
  </r>
  <r>
    <x v="0"/>
    <x v="12"/>
    <x v="5"/>
    <x v="360"/>
    <x v="304"/>
    <x v="304"/>
    <s v="REVENUS"/>
    <x v="9"/>
    <s v="4031.001"/>
    <s v="Impôt sur les gains immobiliers"/>
    <n v="0"/>
    <n v="102511.3"/>
    <n v="4031"/>
  </r>
  <r>
    <x v="0"/>
    <x v="12"/>
    <x v="5"/>
    <x v="360"/>
    <x v="304"/>
    <x v="304"/>
    <s v="REVENUS"/>
    <x v="6"/>
    <s v="4211.001"/>
    <s v="Intérêts de retard sur factures"/>
    <n v="0"/>
    <n v="17561.71"/>
    <n v="4211"/>
  </r>
  <r>
    <x v="0"/>
    <x v="12"/>
    <x v="5"/>
    <x v="360"/>
    <x v="304"/>
    <x v="304"/>
    <s v="REVENUS"/>
    <x v="6"/>
    <s v="4211.002"/>
    <s v="Intérêts de retard sur acomptes"/>
    <n v="0"/>
    <n v="34968.129999999997"/>
    <n v="4211"/>
  </r>
  <r>
    <x v="0"/>
    <x v="12"/>
    <x v="5"/>
    <x v="360"/>
    <x v="304"/>
    <x v="304"/>
    <s v="REVENUS"/>
    <x v="6"/>
    <s v="4221.002"/>
    <s v="Intérêts compensat. sur impôts distincts"/>
    <n v="0"/>
    <n v="72.28"/>
    <n v="4221"/>
  </r>
  <r>
    <x v="0"/>
    <x v="12"/>
    <x v="5"/>
    <x v="360"/>
    <x v="304"/>
    <x v="304"/>
    <s v="REVENUS"/>
    <x v="6"/>
    <s v="4221.003"/>
    <s v="Intérêts compensat. / acomptes en faveur du fisc"/>
    <n v="0"/>
    <n v="688.09"/>
    <n v="4221"/>
  </r>
  <r>
    <x v="0"/>
    <x v="12"/>
    <x v="5"/>
    <x v="360"/>
    <x v="304"/>
    <x v="304"/>
    <s v="REVENUS"/>
    <x v="2"/>
    <s v="4001.003"/>
    <s v="Impôt s/prest. cap. PP"/>
    <n v="0"/>
    <n v="193002.85"/>
    <n v="4001"/>
  </r>
  <r>
    <x v="0"/>
    <x v="12"/>
    <x v="5"/>
    <x v="360"/>
    <x v="304"/>
    <x v="304"/>
    <s v="REVENUS"/>
    <x v="6"/>
    <s v="4211.001"/>
    <s v="Intérêts de retard sur factures"/>
    <n v="0"/>
    <n v="3.98"/>
    <n v="4211"/>
  </r>
  <r>
    <x v="0"/>
    <x v="12"/>
    <x v="5"/>
    <x v="360"/>
    <x v="304"/>
    <x v="304"/>
    <s v="REVENUS"/>
    <x v="2"/>
    <s v="4001.002"/>
    <s v="Impôt complément s/revenu PP"/>
    <n v="0"/>
    <n v="449396.45"/>
    <n v="4001"/>
  </r>
  <r>
    <x v="0"/>
    <x v="12"/>
    <x v="5"/>
    <x v="360"/>
    <x v="304"/>
    <x v="304"/>
    <s v="REVENUS"/>
    <x v="3"/>
    <s v="4002.002"/>
    <s v="Impôt complémentaire s/fortune PP"/>
    <n v="0"/>
    <n v="73574.850000000006"/>
    <n v="4002"/>
  </r>
  <r>
    <x v="0"/>
    <x v="12"/>
    <x v="5"/>
    <x v="360"/>
    <x v="304"/>
    <x v="304"/>
    <s v="REVENUS"/>
    <x v="7"/>
    <s v="4184.000"/>
    <s v="Frais de poursuite"/>
    <n v="0"/>
    <n v="8053.76"/>
    <n v="4184"/>
  </r>
  <r>
    <x v="0"/>
    <x v="12"/>
    <x v="5"/>
    <x v="360"/>
    <x v="304"/>
    <x v="304"/>
    <s v="REVENUS"/>
    <x v="7"/>
    <s v="4184.000"/>
    <s v="Frais de poursuite"/>
    <n v="0"/>
    <n v="1956.89"/>
    <n v="4184"/>
  </r>
  <r>
    <x v="0"/>
    <x v="12"/>
    <x v="5"/>
    <x v="360"/>
    <x v="304"/>
    <x v="304"/>
    <s v="REVENUS"/>
    <x v="3"/>
    <s v="4002.001"/>
    <s v="Impôt ordinaire s/fortune PP"/>
    <n v="0"/>
    <n v="1412.45"/>
    <n v="4002"/>
  </r>
  <r>
    <x v="0"/>
    <x v="12"/>
    <x v="5"/>
    <x v="360"/>
    <x v="304"/>
    <x v="304"/>
    <s v="REVENUS"/>
    <x v="6"/>
    <s v="4211.002"/>
    <s v="Intérêts de retard sur acomptes"/>
    <n v="0"/>
    <n v="18.91"/>
    <n v="4211"/>
  </r>
  <r>
    <x v="0"/>
    <x v="12"/>
    <x v="5"/>
    <x v="360"/>
    <x v="304"/>
    <x v="304"/>
    <s v="REVENUS"/>
    <x v="6"/>
    <s v="4221.003"/>
    <s v="Intérêts compensat. / acomptes en faveur du fisc"/>
    <n v="0"/>
    <n v="0.57999999999999996"/>
    <n v="4221"/>
  </r>
  <r>
    <x v="0"/>
    <x v="12"/>
    <x v="5"/>
    <x v="360"/>
    <x v="304"/>
    <x v="304"/>
    <s v="REVENUS"/>
    <x v="2"/>
    <s v="4001.001"/>
    <s v="Impôt revenu"/>
    <n v="0"/>
    <n v="5466.6"/>
    <n v="4001"/>
  </r>
  <r>
    <x v="0"/>
    <x v="12"/>
    <x v="5"/>
    <x v="360"/>
    <x v="304"/>
    <x v="304"/>
    <s v="REVENUS"/>
    <x v="2"/>
    <s v="4001.007"/>
    <s v="Acompte impôt sur revenu"/>
    <n v="0"/>
    <n v="-1075.6500000000001"/>
    <n v="4001"/>
  </r>
  <r>
    <x v="0"/>
    <x v="12"/>
    <x v="5"/>
    <x v="360"/>
    <x v="304"/>
    <x v="304"/>
    <s v="REVENUS"/>
    <x v="3"/>
    <s v="4002.007"/>
    <s v="Acompte impôt sur fortune"/>
    <n v="0"/>
    <n v="-1923.35"/>
    <n v="4002"/>
  </r>
  <r>
    <x v="0"/>
    <x v="12"/>
    <x v="5"/>
    <x v="360"/>
    <x v="304"/>
    <x v="304"/>
    <s v="REVENUS"/>
    <x v="2"/>
    <s v="4001.001"/>
    <s v="Impôt revenu"/>
    <n v="0"/>
    <n v="7295.7"/>
    <n v="4001"/>
  </r>
  <r>
    <x v="0"/>
    <x v="12"/>
    <x v="5"/>
    <x v="360"/>
    <x v="304"/>
    <x v="304"/>
    <s v="REVENUS"/>
    <x v="2"/>
    <s v="4001.007"/>
    <s v="Acompte impôt sur revenu"/>
    <n v="0"/>
    <n v="7849.36"/>
    <n v="4001"/>
  </r>
  <r>
    <x v="0"/>
    <x v="12"/>
    <x v="5"/>
    <x v="360"/>
    <x v="304"/>
    <x v="304"/>
    <s v="REVENUS"/>
    <x v="3"/>
    <s v="4002.001"/>
    <s v="Impôt ordinaire s/fortune PP"/>
    <n v="0"/>
    <n v="6330.2"/>
    <n v="4002"/>
  </r>
  <r>
    <x v="0"/>
    <x v="12"/>
    <x v="5"/>
    <x v="360"/>
    <x v="304"/>
    <x v="304"/>
    <s v="REVENUS"/>
    <x v="3"/>
    <s v="4002.007"/>
    <s v="Acompte impôt sur fortune"/>
    <n v="0"/>
    <n v="9308.26"/>
    <n v="4002"/>
  </r>
  <r>
    <x v="0"/>
    <x v="12"/>
    <x v="5"/>
    <x v="360"/>
    <x v="304"/>
    <x v="304"/>
    <s v="REVENUS"/>
    <x v="6"/>
    <s v="4221.003"/>
    <s v="Intérêts compensat. / acomptes en faveur du fisc"/>
    <n v="0"/>
    <n v="0.45"/>
    <n v="4221"/>
  </r>
  <r>
    <x v="0"/>
    <x v="12"/>
    <x v="5"/>
    <x v="360"/>
    <x v="304"/>
    <x v="304"/>
    <s v="REVENUS"/>
    <x v="3"/>
    <s v="4002.001"/>
    <s v="Impôt ordinaire s/fortune PP"/>
    <n v="0"/>
    <n v="741.85"/>
    <n v="4002"/>
  </r>
  <r>
    <x v="0"/>
    <x v="12"/>
    <x v="5"/>
    <x v="360"/>
    <x v="304"/>
    <x v="304"/>
    <s v="REVENUS"/>
    <x v="2"/>
    <s v="4001.002"/>
    <s v="Impôt complément s/revenu PP"/>
    <n v="0"/>
    <n v="2928.4"/>
    <n v="4001"/>
  </r>
  <r>
    <x v="0"/>
    <x v="12"/>
    <x v="5"/>
    <x v="360"/>
    <x v="304"/>
    <x v="304"/>
    <s v="REVENUS"/>
    <x v="3"/>
    <s v="4002.002"/>
    <s v="Impôt complémentaire s/fortune PP"/>
    <n v="0"/>
    <n v="1881.9"/>
    <n v="4002"/>
  </r>
  <r>
    <x v="0"/>
    <x v="12"/>
    <x v="5"/>
    <x v="360"/>
    <x v="304"/>
    <x v="304"/>
    <s v="REVENUS"/>
    <x v="2"/>
    <s v="4001.007"/>
    <s v="Acompte impôt sur revenu"/>
    <n v="0"/>
    <n v="-3615.35"/>
    <n v="4001"/>
  </r>
  <r>
    <x v="0"/>
    <x v="12"/>
    <x v="5"/>
    <x v="360"/>
    <x v="304"/>
    <x v="304"/>
    <s v="REVENUS"/>
    <x v="3"/>
    <s v="4002.007"/>
    <s v="Acompte impôt sur fortune"/>
    <n v="0"/>
    <n v="-93.24"/>
    <n v="4002"/>
  </r>
  <r>
    <x v="0"/>
    <x v="12"/>
    <x v="5"/>
    <x v="360"/>
    <x v="304"/>
    <x v="304"/>
    <s v="REVENUS"/>
    <x v="10"/>
    <s v="4041.001"/>
    <s v="Droits de mutation"/>
    <n v="0"/>
    <n v="199590.5"/>
    <n v="4041"/>
  </r>
  <r>
    <x v="0"/>
    <x v="12"/>
    <x v="5"/>
    <x v="360"/>
    <x v="304"/>
    <x v="304"/>
    <s v="REVENUS"/>
    <x v="2"/>
    <s v="4001.007"/>
    <s v="Acompte impôt sur revenu"/>
    <n v="0"/>
    <n v="481.67"/>
    <n v="4001"/>
  </r>
  <r>
    <x v="0"/>
    <x v="12"/>
    <x v="5"/>
    <x v="360"/>
    <x v="304"/>
    <x v="304"/>
    <s v="REVENUS"/>
    <x v="2"/>
    <s v="4001.007"/>
    <s v="Acompte impôt sur revenu"/>
    <n v="0"/>
    <n v="-30579.15"/>
    <n v="4001"/>
  </r>
  <r>
    <x v="0"/>
    <x v="12"/>
    <x v="5"/>
    <x v="360"/>
    <x v="304"/>
    <x v="304"/>
    <s v="REVENUS"/>
    <x v="3"/>
    <s v="4002.007"/>
    <s v="Acompte impôt sur fortune"/>
    <n v="0"/>
    <n v="-1610.35"/>
    <n v="4002"/>
  </r>
  <r>
    <x v="0"/>
    <x v="12"/>
    <x v="5"/>
    <x v="360"/>
    <x v="304"/>
    <x v="304"/>
    <s v="REVENUS"/>
    <x v="2"/>
    <s v="4001.007"/>
    <s v="Acompte impôt sur revenu"/>
    <n v="0"/>
    <n v="711.5"/>
    <n v="4001"/>
  </r>
  <r>
    <x v="0"/>
    <x v="12"/>
    <x v="5"/>
    <x v="360"/>
    <x v="304"/>
    <x v="304"/>
    <s v="REVENUS"/>
    <x v="3"/>
    <s v="4002.007"/>
    <s v="Acompte impôt sur fortune"/>
    <n v="0"/>
    <n v="381.8"/>
    <n v="4002"/>
  </r>
  <r>
    <x v="0"/>
    <x v="12"/>
    <x v="5"/>
    <x v="360"/>
    <x v="304"/>
    <x v="304"/>
    <s v="REVENUS"/>
    <x v="3"/>
    <s v="4002.007"/>
    <s v="Acompte impôt sur fortune"/>
    <n v="0"/>
    <n v="-559.16999999999996"/>
    <n v="4002"/>
  </r>
  <r>
    <x v="0"/>
    <x v="12"/>
    <x v="5"/>
    <x v="360"/>
    <x v="304"/>
    <x v="304"/>
    <s v="REVENUS"/>
    <x v="6"/>
    <s v="4211.001"/>
    <s v="Intérêts de retard sur factures"/>
    <n v="0"/>
    <n v="46.91"/>
    <n v="4211"/>
  </r>
  <r>
    <x v="0"/>
    <x v="12"/>
    <x v="5"/>
    <x v="360"/>
    <x v="304"/>
    <x v="304"/>
    <s v="REVENUS"/>
    <x v="2"/>
    <s v="4001.001"/>
    <s v="Impôt revenu"/>
    <n v="0"/>
    <n v="-1837.8"/>
    <n v="4001"/>
  </r>
  <r>
    <x v="0"/>
    <x v="12"/>
    <x v="5"/>
    <x v="360"/>
    <x v="304"/>
    <x v="304"/>
    <s v="REVENUS"/>
    <x v="3"/>
    <s v="4002.001"/>
    <s v="Impôt ordinaire s/fortune PP"/>
    <n v="0"/>
    <n v="-1180.95"/>
    <n v="4002"/>
  </r>
  <r>
    <x v="0"/>
    <x v="12"/>
    <x v="5"/>
    <x v="360"/>
    <x v="304"/>
    <x v="304"/>
    <s v="REVENUS"/>
    <x v="3"/>
    <s v="4002.007"/>
    <s v="Acompte impôt sur fortune"/>
    <n v="0"/>
    <n v="-730.95"/>
    <n v="4002"/>
  </r>
  <r>
    <x v="0"/>
    <x v="12"/>
    <x v="5"/>
    <x v="360"/>
    <x v="304"/>
    <x v="304"/>
    <s v="REVENUS"/>
    <x v="4"/>
    <s v="4051.001"/>
    <s v="Impôt sur les successions"/>
    <n v="0"/>
    <n v="117527.6"/>
    <n v="4051"/>
  </r>
  <r>
    <x v="0"/>
    <x v="12"/>
    <x v="5"/>
    <x v="360"/>
    <x v="304"/>
    <x v="304"/>
    <s v="REVENUS"/>
    <x v="6"/>
    <s v="4211.002"/>
    <s v="Intérêts de retard sur acomptes"/>
    <n v="0"/>
    <n v="44.45"/>
    <n v="4211"/>
  </r>
  <r>
    <x v="0"/>
    <x v="12"/>
    <x v="5"/>
    <x v="360"/>
    <x v="304"/>
    <x v="304"/>
    <s v="REVENUS"/>
    <x v="2"/>
    <s v="4001.007"/>
    <s v="Acompte impôt sur revenu"/>
    <n v="0"/>
    <n v="-962.8"/>
    <n v="4001"/>
  </r>
  <r>
    <x v="0"/>
    <x v="12"/>
    <x v="5"/>
    <x v="360"/>
    <x v="304"/>
    <x v="304"/>
    <s v="REVENUS"/>
    <x v="2"/>
    <s v="4001.001"/>
    <s v="Impôt revenu"/>
    <n v="0"/>
    <n v="30891"/>
    <n v="4001"/>
  </r>
  <r>
    <x v="0"/>
    <x v="12"/>
    <x v="5"/>
    <x v="360"/>
    <x v="304"/>
    <x v="304"/>
    <s v="REVENUS"/>
    <x v="3"/>
    <s v="4002.001"/>
    <s v="Impôt ordinaire s/fortune PP"/>
    <n v="0"/>
    <n v="11932.95"/>
    <n v="4002"/>
  </r>
  <r>
    <x v="0"/>
    <x v="12"/>
    <x v="5"/>
    <x v="360"/>
    <x v="304"/>
    <x v="304"/>
    <s v="REVENUS"/>
    <x v="6"/>
    <s v="4221.003"/>
    <s v="Intérêts compensat. / acomptes en faveur du fisc"/>
    <n v="0"/>
    <n v="3.95"/>
    <n v="4221"/>
  </r>
  <r>
    <x v="0"/>
    <x v="12"/>
    <x v="5"/>
    <x v="360"/>
    <x v="304"/>
    <x v="304"/>
    <s v="REVENUS"/>
    <x v="3"/>
    <s v="4002.002"/>
    <s v="Impôt complémentaire s/fortune PP"/>
    <n v="0"/>
    <n v="1275.55"/>
    <n v="4002"/>
  </r>
  <r>
    <x v="0"/>
    <x v="12"/>
    <x v="5"/>
    <x v="360"/>
    <x v="304"/>
    <x v="304"/>
    <s v="REVENUS"/>
    <x v="6"/>
    <s v="4211.002"/>
    <s v="Intérêts de retard sur acomptes"/>
    <n v="0"/>
    <n v="17.260000000000002"/>
    <n v="4211"/>
  </r>
  <r>
    <x v="0"/>
    <x v="12"/>
    <x v="5"/>
    <x v="360"/>
    <x v="304"/>
    <x v="304"/>
    <s v="REVENUS"/>
    <x v="3"/>
    <s v="4002.001"/>
    <s v="Impôt ordinaire s/fortune PP"/>
    <n v="0"/>
    <n v="4421.1000000000004"/>
    <n v="4002"/>
  </r>
  <r>
    <x v="0"/>
    <x v="12"/>
    <x v="5"/>
    <x v="360"/>
    <x v="304"/>
    <x v="304"/>
    <s v="REVENUS"/>
    <x v="6"/>
    <s v="4211.002"/>
    <s v="Intérêts de retard sur acomptes"/>
    <n v="0"/>
    <n v="45.33"/>
    <n v="4211"/>
  </r>
  <r>
    <x v="0"/>
    <x v="12"/>
    <x v="5"/>
    <x v="360"/>
    <x v="304"/>
    <x v="304"/>
    <s v="REVENUS"/>
    <x v="7"/>
    <s v="4184.000"/>
    <s v="Frais de poursuite"/>
    <n v="0"/>
    <n v="-52.92"/>
    <n v="4184"/>
  </r>
  <r>
    <x v="0"/>
    <x v="12"/>
    <x v="5"/>
    <x v="360"/>
    <x v="304"/>
    <x v="304"/>
    <s v="REVENUS"/>
    <x v="2"/>
    <s v="4001.001"/>
    <s v="Impôt revenu"/>
    <n v="0"/>
    <n v="6048.7"/>
    <n v="4001"/>
  </r>
  <r>
    <x v="0"/>
    <x v="12"/>
    <x v="5"/>
    <x v="360"/>
    <x v="304"/>
    <x v="304"/>
    <s v="REVENUS"/>
    <x v="6"/>
    <s v="4221.003"/>
    <s v="Intérêts compensat. / acomptes en faveur du fisc"/>
    <n v="0"/>
    <n v="1"/>
    <n v="4221"/>
  </r>
  <r>
    <x v="0"/>
    <x v="12"/>
    <x v="5"/>
    <x v="360"/>
    <x v="304"/>
    <x v="304"/>
    <s v="REVENUS"/>
    <x v="8"/>
    <s v="4091.001"/>
    <s v="Impôt récupéré après défalcations"/>
    <n v="0"/>
    <n v="13733.97"/>
    <n v="4091"/>
  </r>
  <r>
    <x v="0"/>
    <x v="12"/>
    <x v="5"/>
    <x v="360"/>
    <x v="304"/>
    <x v="304"/>
    <s v="REVENUS"/>
    <x v="4"/>
    <s v="4051.002"/>
    <s v="Impôt sur les donations"/>
    <n v="0"/>
    <n v="7359.1"/>
    <n v="4051"/>
  </r>
  <r>
    <x v="0"/>
    <x v="12"/>
    <x v="5"/>
    <x v="360"/>
    <x v="304"/>
    <x v="304"/>
    <s v="REVENUS"/>
    <x v="2"/>
    <s v="4001.002"/>
    <s v="Impôt complément s/revenu PP"/>
    <n v="0"/>
    <n v="334.9"/>
    <n v="4001"/>
  </r>
  <r>
    <x v="0"/>
    <x v="12"/>
    <x v="5"/>
    <x v="360"/>
    <x v="304"/>
    <x v="304"/>
    <s v="REVENUS"/>
    <x v="6"/>
    <s v="4211.001"/>
    <s v="Intérêts de retard sur factures"/>
    <n v="0"/>
    <n v="12.3"/>
    <n v="4211"/>
  </r>
  <r>
    <x v="0"/>
    <x v="12"/>
    <x v="5"/>
    <x v="360"/>
    <x v="304"/>
    <x v="304"/>
    <s v="REVENUS"/>
    <x v="7"/>
    <s v="4184.000"/>
    <s v="Frais de poursuite"/>
    <n v="0"/>
    <n v="12.32"/>
    <n v="4184"/>
  </r>
  <r>
    <x v="0"/>
    <x v="12"/>
    <x v="5"/>
    <x v="360"/>
    <x v="304"/>
    <x v="304"/>
    <s v="REVENUS"/>
    <x v="2"/>
    <s v="4001.002"/>
    <s v="Impôt complément s/revenu PP"/>
    <n v="0"/>
    <n v="501.15"/>
    <n v="4001"/>
  </r>
  <r>
    <x v="0"/>
    <x v="12"/>
    <x v="5"/>
    <x v="360"/>
    <x v="304"/>
    <x v="304"/>
    <s v="REVENUS"/>
    <x v="7"/>
    <s v="4184.000"/>
    <s v="Frais de poursuite"/>
    <n v="0"/>
    <n v="8.23"/>
    <n v="4184"/>
  </r>
  <r>
    <x v="0"/>
    <x v="12"/>
    <x v="5"/>
    <x v="360"/>
    <x v="304"/>
    <x v="304"/>
    <s v="REVENUS"/>
    <x v="2"/>
    <s v="4001.002"/>
    <s v="Impôt complément s/revenu PP"/>
    <n v="0"/>
    <n v="124.45"/>
    <n v="4001"/>
  </r>
  <r>
    <x v="0"/>
    <x v="12"/>
    <x v="5"/>
    <x v="360"/>
    <x v="304"/>
    <x v="304"/>
    <s v="REVENUS"/>
    <x v="3"/>
    <s v="4002.002"/>
    <s v="Impôt complémentaire s/fortune PP"/>
    <n v="0"/>
    <n v="127.7"/>
    <n v="4002"/>
  </r>
  <r>
    <x v="0"/>
    <x v="12"/>
    <x v="5"/>
    <x v="360"/>
    <x v="304"/>
    <x v="304"/>
    <s v="REVENUS"/>
    <x v="8"/>
    <s v="4091.001"/>
    <s v="Impôt récupéré après défalcations"/>
    <n v="0"/>
    <n v="4612.6099999999997"/>
    <n v="4091"/>
  </r>
  <r>
    <x v="0"/>
    <x v="12"/>
    <x v="5"/>
    <x v="360"/>
    <x v="304"/>
    <x v="304"/>
    <s v="REVENUS"/>
    <x v="2"/>
    <s v="4001.002"/>
    <s v="Impôt complément s/revenu PP"/>
    <n v="0"/>
    <n v="-937.45"/>
    <n v="4001"/>
  </r>
  <r>
    <x v="0"/>
    <x v="12"/>
    <x v="5"/>
    <x v="360"/>
    <x v="304"/>
    <x v="304"/>
    <s v="REVENUS"/>
    <x v="3"/>
    <s v="4002.002"/>
    <s v="Impôt complémentaire s/fortune PP"/>
    <n v="0"/>
    <n v="-503.05"/>
    <n v="4002"/>
  </r>
  <r>
    <x v="0"/>
    <x v="12"/>
    <x v="5"/>
    <x v="360"/>
    <x v="304"/>
    <x v="304"/>
    <s v="REVENUS"/>
    <x v="7"/>
    <s v="4184.000"/>
    <s v="Frais de poursuite"/>
    <n v="0"/>
    <n v="0.65"/>
    <n v="4184"/>
  </r>
  <r>
    <x v="0"/>
    <x v="12"/>
    <x v="5"/>
    <x v="360"/>
    <x v="304"/>
    <x v="304"/>
    <s v="REVENUS"/>
    <x v="6"/>
    <s v="4211.001"/>
    <s v="Intérêts de retard sur factures"/>
    <n v="0"/>
    <n v="7.18"/>
    <n v="4211"/>
  </r>
  <r>
    <x v="0"/>
    <x v="12"/>
    <x v="5"/>
    <x v="360"/>
    <x v="304"/>
    <x v="304"/>
    <s v="REVENUS"/>
    <x v="6"/>
    <s v="4211.002"/>
    <s v="Intérêts de retard sur acomptes"/>
    <n v="0"/>
    <n v="6.98"/>
    <n v="4211"/>
  </r>
  <r>
    <x v="0"/>
    <x v="12"/>
    <x v="5"/>
    <x v="360"/>
    <x v="304"/>
    <x v="304"/>
    <s v="REVENUS"/>
    <x v="6"/>
    <s v="4221.003"/>
    <s v="Intérêts compensat. / acomptes en faveur du fisc"/>
    <n v="0"/>
    <n v="0.09"/>
    <n v="4221"/>
  </r>
  <r>
    <x v="0"/>
    <x v="12"/>
    <x v="5"/>
    <x v="360"/>
    <x v="304"/>
    <x v="304"/>
    <s v="REVENUS"/>
    <x v="6"/>
    <s v="4221.003"/>
    <s v="Intérêts compensat. / acomptes en faveur du fisc"/>
    <n v="0"/>
    <n v="0.01"/>
    <n v="4221"/>
  </r>
  <r>
    <x v="0"/>
    <x v="12"/>
    <x v="5"/>
    <x v="360"/>
    <x v="304"/>
    <x v="304"/>
    <s v="REVENUS"/>
    <x v="2"/>
    <s v="4001.001"/>
    <s v="Impôt revenu"/>
    <n v="0"/>
    <n v="841"/>
    <n v="4001"/>
  </r>
  <r>
    <x v="0"/>
    <x v="13"/>
    <x v="5"/>
    <x v="361"/>
    <x v="305"/>
    <x v="305"/>
    <s v="CHARGES"/>
    <x v="0"/>
    <s v="3212.002"/>
    <s v="Intérêts bonifiés/trop perçu acompte C/C"/>
    <n v="23.29"/>
    <n v="0"/>
    <n v="3212"/>
  </r>
  <r>
    <x v="0"/>
    <x v="13"/>
    <x v="5"/>
    <x v="361"/>
    <x v="305"/>
    <x v="305"/>
    <s v="CHARGES"/>
    <x v="0"/>
    <s v="3212.004"/>
    <s v="Intérêts rémun./perçu trop tôt sur acomptes C/C"/>
    <n v="631.91"/>
    <n v="0"/>
    <n v="3212"/>
  </r>
  <r>
    <x v="0"/>
    <x v="13"/>
    <x v="5"/>
    <x v="361"/>
    <x v="305"/>
    <x v="305"/>
    <s v="CHARGES"/>
    <x v="1"/>
    <s v="3301.001"/>
    <s v="Défalcations, abandons de solde PP et IS"/>
    <n v="38511.300000000003"/>
    <n v="0"/>
    <n v="3301"/>
  </r>
  <r>
    <x v="0"/>
    <x v="13"/>
    <x v="5"/>
    <x v="361"/>
    <x v="305"/>
    <x v="305"/>
    <s v="CHARGES"/>
    <x v="0"/>
    <s v="3221.002"/>
    <s v="Intérêts compensatoires / créances en faveur ctb."/>
    <n v="261.75"/>
    <n v="0"/>
    <n v="3221"/>
  </r>
  <r>
    <x v="0"/>
    <x v="13"/>
    <x v="5"/>
    <x v="361"/>
    <x v="305"/>
    <x v="305"/>
    <s v="CHARGES"/>
    <x v="0"/>
    <s v="3212.004"/>
    <s v="Intérêts rémun./perçu trop tôt sur acomptes C/C"/>
    <n v="0.02"/>
    <n v="0"/>
    <n v="3212"/>
  </r>
  <r>
    <x v="0"/>
    <x v="13"/>
    <x v="5"/>
    <x v="361"/>
    <x v="305"/>
    <x v="305"/>
    <s v="CHARGES"/>
    <x v="0"/>
    <s v="3212.004"/>
    <s v="Intérêts rémun./perçu trop tôt sur acomptes C/C"/>
    <n v="1.95"/>
    <n v="0"/>
    <n v="3212"/>
  </r>
  <r>
    <x v="0"/>
    <x v="13"/>
    <x v="5"/>
    <x v="361"/>
    <x v="305"/>
    <x v="305"/>
    <s v="CHARGES"/>
    <x v="0"/>
    <s v="3221.002"/>
    <s v="Intérêts compensatoires / créances en faveur ctb."/>
    <n v="1.38"/>
    <n v="0"/>
    <n v="3221"/>
  </r>
  <r>
    <x v="0"/>
    <x v="13"/>
    <x v="5"/>
    <x v="361"/>
    <x v="305"/>
    <x v="305"/>
    <s v="CHARGES"/>
    <x v="0"/>
    <s v="3212.004"/>
    <s v="Intérêts rémun./perçu trop tôt sur acomptes C/C"/>
    <n v="5.39"/>
    <n v="0"/>
    <n v="3212"/>
  </r>
  <r>
    <x v="0"/>
    <x v="13"/>
    <x v="5"/>
    <x v="361"/>
    <x v="305"/>
    <x v="305"/>
    <s v="CHARGES"/>
    <x v="0"/>
    <s v="3221.002"/>
    <s v="Intérêts compensatoires / créances en faveur ctb."/>
    <n v="1.23"/>
    <n v="0"/>
    <n v="3221"/>
  </r>
  <r>
    <x v="0"/>
    <x v="13"/>
    <x v="5"/>
    <x v="361"/>
    <x v="305"/>
    <x v="305"/>
    <s v="CHARGES"/>
    <x v="1"/>
    <s v="3301.001"/>
    <s v="Défalcations, abandons de solde PP et IS"/>
    <n v="1.73"/>
    <n v="0"/>
    <n v="3301"/>
  </r>
  <r>
    <x v="0"/>
    <x v="13"/>
    <x v="5"/>
    <x v="361"/>
    <x v="305"/>
    <x v="305"/>
    <s v="CHARGES"/>
    <x v="1"/>
    <s v="3301.001"/>
    <s v="Défalcations, abandons de solde PP et IS"/>
    <n v="0.12"/>
    <n v="0"/>
    <n v="3301"/>
  </r>
  <r>
    <x v="0"/>
    <x v="13"/>
    <x v="5"/>
    <x v="361"/>
    <x v="305"/>
    <x v="305"/>
    <s v="CHARGES"/>
    <x v="1"/>
    <s v="3301.001"/>
    <s v="Défalcations, abandons de solde PP et IS"/>
    <n v="12855.36"/>
    <n v="0"/>
    <n v="3301"/>
  </r>
  <r>
    <x v="0"/>
    <x v="13"/>
    <x v="5"/>
    <x v="361"/>
    <x v="305"/>
    <x v="305"/>
    <s v="CHARGES"/>
    <x v="0"/>
    <s v="3212.004"/>
    <s v="Intérêts rémun./perçu trop tôt sur acomptes C/C"/>
    <n v="9.31"/>
    <n v="0"/>
    <n v="3212"/>
  </r>
  <r>
    <x v="0"/>
    <x v="13"/>
    <x v="5"/>
    <x v="361"/>
    <x v="305"/>
    <x v="305"/>
    <s v="CHARGES"/>
    <x v="0"/>
    <s v="3221.002"/>
    <s v="Intérêts compensatoires / créances en faveur ctb."/>
    <n v="9.99"/>
    <n v="0"/>
    <n v="3221"/>
  </r>
  <r>
    <x v="0"/>
    <x v="13"/>
    <x v="5"/>
    <x v="361"/>
    <x v="305"/>
    <x v="305"/>
    <s v="CHARGES"/>
    <x v="1"/>
    <s v="3301.001"/>
    <s v="Défalcations, abandons de solde PP et IS"/>
    <n v="1.25"/>
    <n v="0"/>
    <n v="3301"/>
  </r>
  <r>
    <x v="0"/>
    <x v="13"/>
    <x v="5"/>
    <x v="361"/>
    <x v="305"/>
    <x v="305"/>
    <s v="CHARGES"/>
    <x v="1"/>
    <s v="3301.001"/>
    <s v="Défalcations, abandons de solde PP et IS"/>
    <n v="0.16"/>
    <n v="0"/>
    <n v="3301"/>
  </r>
  <r>
    <x v="0"/>
    <x v="13"/>
    <x v="5"/>
    <x v="361"/>
    <x v="305"/>
    <x v="305"/>
    <s v="CHARGES"/>
    <x v="0"/>
    <s v="3212.004"/>
    <s v="Intérêts rémun./perçu trop tôt sur acomptes C/C"/>
    <n v="0.23"/>
    <n v="0"/>
    <n v="3212"/>
  </r>
  <r>
    <x v="0"/>
    <x v="13"/>
    <x v="5"/>
    <x v="361"/>
    <x v="305"/>
    <x v="305"/>
    <s v="CHARGES"/>
    <x v="0"/>
    <s v="3221.002"/>
    <s v="Intérêts compensatoires / créances en faveur ctb."/>
    <n v="7.0000000000000007E-2"/>
    <n v="0"/>
    <n v="3221"/>
  </r>
  <r>
    <x v="0"/>
    <x v="13"/>
    <x v="5"/>
    <x v="361"/>
    <x v="305"/>
    <x v="305"/>
    <s v="CHARGES"/>
    <x v="0"/>
    <s v="3212.004"/>
    <s v="Intérêts rémun./perçu trop tôt sur acomptes C/C"/>
    <n v="0.12"/>
    <n v="0"/>
    <n v="3212"/>
  </r>
  <r>
    <x v="0"/>
    <x v="13"/>
    <x v="5"/>
    <x v="361"/>
    <x v="305"/>
    <x v="305"/>
    <s v="CHARGES"/>
    <x v="0"/>
    <s v="3221.002"/>
    <s v="Intérêts compensatoires / créances en faveur ctb."/>
    <n v="0.39"/>
    <n v="0"/>
    <n v="3221"/>
  </r>
  <r>
    <x v="0"/>
    <x v="13"/>
    <x v="5"/>
    <x v="361"/>
    <x v="305"/>
    <x v="305"/>
    <s v="CHARGES"/>
    <x v="1"/>
    <s v="3301.001"/>
    <s v="Défalcations, abandons de solde PP et IS"/>
    <n v="6881.98"/>
    <n v="0"/>
    <n v="3301"/>
  </r>
  <r>
    <x v="0"/>
    <x v="13"/>
    <x v="5"/>
    <x v="361"/>
    <x v="305"/>
    <x v="305"/>
    <s v="CHARGES"/>
    <x v="0"/>
    <s v="3212.002"/>
    <s v="Intérêts bonifiés/trop perçu acompte C/C"/>
    <n v="0.06"/>
    <n v="0"/>
    <n v="3212"/>
  </r>
  <r>
    <x v="0"/>
    <x v="13"/>
    <x v="5"/>
    <x v="361"/>
    <x v="305"/>
    <x v="305"/>
    <s v="CHARGES"/>
    <x v="0"/>
    <s v="3212.002"/>
    <s v="Intérêts bonifiés/trop perçu acompte C/C"/>
    <n v="0.08"/>
    <n v="0"/>
    <n v="3212"/>
  </r>
  <r>
    <x v="0"/>
    <x v="13"/>
    <x v="5"/>
    <x v="361"/>
    <x v="305"/>
    <x v="305"/>
    <s v="REVENUS"/>
    <x v="2"/>
    <s v="4001.007"/>
    <s v="Acompte impôt sur revenu"/>
    <n v="0"/>
    <n v="-333343.44"/>
    <n v="4001"/>
  </r>
  <r>
    <x v="0"/>
    <x v="13"/>
    <x v="5"/>
    <x v="361"/>
    <x v="305"/>
    <x v="305"/>
    <s v="REVENUS"/>
    <x v="2"/>
    <s v="4001.001"/>
    <s v="Impôt revenu"/>
    <n v="0"/>
    <n v="2889042.75"/>
    <n v="4001"/>
  </r>
  <r>
    <x v="0"/>
    <x v="13"/>
    <x v="5"/>
    <x v="361"/>
    <x v="305"/>
    <x v="305"/>
    <s v="REVENUS"/>
    <x v="3"/>
    <s v="4002.001"/>
    <s v="Impôt ordinaire s/fortune PP"/>
    <n v="0"/>
    <n v="370349.6"/>
    <n v="4002"/>
  </r>
  <r>
    <x v="0"/>
    <x v="13"/>
    <x v="5"/>
    <x v="361"/>
    <x v="305"/>
    <x v="305"/>
    <s v="REVENUS"/>
    <x v="3"/>
    <s v="4002.007"/>
    <s v="Acompte impôt sur fortune"/>
    <n v="0"/>
    <n v="-41219.79"/>
    <n v="4002"/>
  </r>
  <r>
    <x v="0"/>
    <x v="13"/>
    <x v="5"/>
    <x v="361"/>
    <x v="305"/>
    <x v="305"/>
    <s v="REVENUS"/>
    <x v="6"/>
    <s v="4211.002"/>
    <s v="Intérêts de retard sur acomptes"/>
    <n v="0"/>
    <n v="19043.650000000001"/>
    <n v="4211"/>
  </r>
  <r>
    <x v="0"/>
    <x v="13"/>
    <x v="5"/>
    <x v="361"/>
    <x v="305"/>
    <x v="305"/>
    <s v="REVENUS"/>
    <x v="6"/>
    <s v="4221.003"/>
    <s v="Intérêts compensat. / acomptes en faveur du fisc"/>
    <n v="0"/>
    <n v="370.22"/>
    <n v="4221"/>
  </r>
  <r>
    <x v="0"/>
    <x v="13"/>
    <x v="5"/>
    <x v="361"/>
    <x v="305"/>
    <x v="305"/>
    <s v="REVENUS"/>
    <x v="2"/>
    <s v="4001.003"/>
    <s v="Impôt s/prest. cap. PP"/>
    <n v="0"/>
    <n v="66862.75"/>
    <n v="4001"/>
  </r>
  <r>
    <x v="0"/>
    <x v="13"/>
    <x v="5"/>
    <x v="361"/>
    <x v="305"/>
    <x v="305"/>
    <s v="REVENUS"/>
    <x v="6"/>
    <s v="4221.002"/>
    <s v="Intérêts compensat. sur impôts distincts"/>
    <n v="0"/>
    <n v="771.9"/>
    <n v="4221"/>
  </r>
  <r>
    <x v="0"/>
    <x v="13"/>
    <x v="5"/>
    <x v="361"/>
    <x v="305"/>
    <x v="305"/>
    <s v="REVENUS"/>
    <x v="9"/>
    <s v="4031.001"/>
    <s v="Impôt sur les gains immobiliers"/>
    <n v="0"/>
    <n v="107418.3"/>
    <n v="4031"/>
  </r>
  <r>
    <x v="0"/>
    <x v="13"/>
    <x v="5"/>
    <x v="361"/>
    <x v="305"/>
    <x v="305"/>
    <s v="REVENUS"/>
    <x v="6"/>
    <s v="4211.001"/>
    <s v="Intérêts de retard sur factures"/>
    <n v="0"/>
    <n v="17568.87"/>
    <n v="4211"/>
  </r>
  <r>
    <x v="0"/>
    <x v="13"/>
    <x v="5"/>
    <x v="361"/>
    <x v="305"/>
    <x v="305"/>
    <s v="REVENUS"/>
    <x v="3"/>
    <s v="4002.001"/>
    <s v="Impôt ordinaire s/fortune PP"/>
    <n v="0"/>
    <n v="118.2"/>
    <n v="4002"/>
  </r>
  <r>
    <x v="0"/>
    <x v="13"/>
    <x v="5"/>
    <x v="361"/>
    <x v="305"/>
    <x v="305"/>
    <s v="REVENUS"/>
    <x v="3"/>
    <s v="4002.007"/>
    <s v="Acompte impôt sur fortune"/>
    <n v="0"/>
    <n v="91.5"/>
    <n v="4002"/>
  </r>
  <r>
    <x v="0"/>
    <x v="13"/>
    <x v="5"/>
    <x v="361"/>
    <x v="305"/>
    <x v="305"/>
    <s v="REVENUS"/>
    <x v="3"/>
    <s v="4002.001"/>
    <s v="Impôt ordinaire s/fortune PP"/>
    <n v="0"/>
    <n v="2639.15"/>
    <n v="4002"/>
  </r>
  <r>
    <x v="0"/>
    <x v="13"/>
    <x v="5"/>
    <x v="361"/>
    <x v="305"/>
    <x v="305"/>
    <s v="REVENUS"/>
    <x v="2"/>
    <s v="4001.007"/>
    <s v="Acompte impôt sur revenu"/>
    <n v="0"/>
    <n v="-591.85"/>
    <n v="4001"/>
  </r>
  <r>
    <x v="0"/>
    <x v="13"/>
    <x v="5"/>
    <x v="361"/>
    <x v="305"/>
    <x v="305"/>
    <s v="REVENUS"/>
    <x v="2"/>
    <s v="4001.001"/>
    <s v="Impôt revenu"/>
    <n v="0"/>
    <n v="8986.35"/>
    <n v="4001"/>
  </r>
  <r>
    <x v="0"/>
    <x v="13"/>
    <x v="5"/>
    <x v="361"/>
    <x v="305"/>
    <x v="305"/>
    <s v="REVENUS"/>
    <x v="6"/>
    <s v="4211.001"/>
    <s v="Intérêts de retard sur factures"/>
    <n v="0"/>
    <n v="41.22"/>
    <n v="4211"/>
  </r>
  <r>
    <x v="0"/>
    <x v="13"/>
    <x v="5"/>
    <x v="361"/>
    <x v="305"/>
    <x v="305"/>
    <s v="REVENUS"/>
    <x v="7"/>
    <s v="4184.000"/>
    <s v="Frais de poursuite"/>
    <n v="0"/>
    <n v="3124.59"/>
    <n v="4184"/>
  </r>
  <r>
    <x v="0"/>
    <x v="13"/>
    <x v="5"/>
    <x v="361"/>
    <x v="305"/>
    <x v="305"/>
    <s v="REVENUS"/>
    <x v="7"/>
    <s v="4184.000"/>
    <s v="Frais de poursuite"/>
    <n v="0"/>
    <n v="353.28"/>
    <n v="4184"/>
  </r>
  <r>
    <x v="0"/>
    <x v="13"/>
    <x v="5"/>
    <x v="361"/>
    <x v="305"/>
    <x v="305"/>
    <s v="REVENUS"/>
    <x v="10"/>
    <s v="4041.001"/>
    <s v="Droits de mutation"/>
    <n v="0"/>
    <n v="70636.149999999994"/>
    <n v="4041"/>
  </r>
  <r>
    <x v="0"/>
    <x v="13"/>
    <x v="5"/>
    <x v="361"/>
    <x v="305"/>
    <x v="305"/>
    <s v="REVENUS"/>
    <x v="3"/>
    <s v="4002.001"/>
    <s v="Impôt ordinaire s/fortune PP"/>
    <n v="0"/>
    <n v="6849.8"/>
    <n v="4002"/>
  </r>
  <r>
    <x v="0"/>
    <x v="13"/>
    <x v="5"/>
    <x v="361"/>
    <x v="305"/>
    <x v="305"/>
    <s v="REVENUS"/>
    <x v="6"/>
    <s v="4211.002"/>
    <s v="Intérêts de retard sur acomptes"/>
    <n v="0"/>
    <n v="173.72"/>
    <n v="4211"/>
  </r>
  <r>
    <x v="0"/>
    <x v="13"/>
    <x v="5"/>
    <x v="361"/>
    <x v="305"/>
    <x v="305"/>
    <s v="REVENUS"/>
    <x v="2"/>
    <s v="4001.007"/>
    <s v="Acompte impôt sur revenu"/>
    <n v="0"/>
    <n v="10342.08"/>
    <n v="4001"/>
  </r>
  <r>
    <x v="0"/>
    <x v="13"/>
    <x v="5"/>
    <x v="361"/>
    <x v="305"/>
    <x v="305"/>
    <s v="REVENUS"/>
    <x v="2"/>
    <s v="4001.007"/>
    <s v="Acompte impôt sur revenu"/>
    <n v="0"/>
    <n v="-9711.2000000000007"/>
    <n v="4001"/>
  </r>
  <r>
    <x v="0"/>
    <x v="13"/>
    <x v="5"/>
    <x v="361"/>
    <x v="305"/>
    <x v="305"/>
    <s v="REVENUS"/>
    <x v="3"/>
    <s v="4002.007"/>
    <s v="Acompte impôt sur fortune"/>
    <n v="0"/>
    <n v="1261.69"/>
    <n v="4002"/>
  </r>
  <r>
    <x v="0"/>
    <x v="13"/>
    <x v="5"/>
    <x v="361"/>
    <x v="305"/>
    <x v="305"/>
    <s v="REVENUS"/>
    <x v="2"/>
    <s v="4001.007"/>
    <s v="Acompte impôt sur revenu"/>
    <n v="0"/>
    <n v="-7.5"/>
    <n v="4001"/>
  </r>
  <r>
    <x v="0"/>
    <x v="13"/>
    <x v="5"/>
    <x v="361"/>
    <x v="305"/>
    <x v="305"/>
    <s v="REVENUS"/>
    <x v="2"/>
    <s v="4001.007"/>
    <s v="Acompte impôt sur revenu"/>
    <n v="0"/>
    <n v="-2338.98"/>
    <n v="4001"/>
  </r>
  <r>
    <x v="0"/>
    <x v="13"/>
    <x v="5"/>
    <x v="361"/>
    <x v="305"/>
    <x v="305"/>
    <s v="REVENUS"/>
    <x v="3"/>
    <s v="4002.007"/>
    <s v="Acompte impôt sur fortune"/>
    <n v="0"/>
    <n v="-3289.75"/>
    <n v="4002"/>
  </r>
  <r>
    <x v="0"/>
    <x v="13"/>
    <x v="5"/>
    <x v="361"/>
    <x v="305"/>
    <x v="305"/>
    <s v="REVENUS"/>
    <x v="6"/>
    <s v="4211.001"/>
    <s v="Intérêts de retard sur factures"/>
    <n v="0"/>
    <n v="0.01"/>
    <n v="4211"/>
  </r>
  <r>
    <x v="0"/>
    <x v="13"/>
    <x v="5"/>
    <x v="361"/>
    <x v="305"/>
    <x v="305"/>
    <s v="REVENUS"/>
    <x v="2"/>
    <s v="4001.007"/>
    <s v="Acompte impôt sur revenu"/>
    <n v="0"/>
    <n v="-1487.39"/>
    <n v="4001"/>
  </r>
  <r>
    <x v="0"/>
    <x v="13"/>
    <x v="5"/>
    <x v="361"/>
    <x v="305"/>
    <x v="305"/>
    <s v="REVENUS"/>
    <x v="7"/>
    <s v="4184.000"/>
    <s v="Frais de poursuite"/>
    <n v="0"/>
    <n v="1525.35"/>
    <n v="4184"/>
  </r>
  <r>
    <x v="0"/>
    <x v="13"/>
    <x v="5"/>
    <x v="361"/>
    <x v="305"/>
    <x v="305"/>
    <s v="REVENUS"/>
    <x v="2"/>
    <s v="4001.007"/>
    <s v="Acompte impôt sur revenu"/>
    <n v="0"/>
    <n v="-3962.96"/>
    <n v="4001"/>
  </r>
  <r>
    <x v="0"/>
    <x v="13"/>
    <x v="5"/>
    <x v="361"/>
    <x v="305"/>
    <x v="305"/>
    <s v="REVENUS"/>
    <x v="3"/>
    <s v="4002.007"/>
    <s v="Acompte impôt sur fortune"/>
    <n v="0"/>
    <n v="-570.88"/>
    <n v="4002"/>
  </r>
  <r>
    <x v="0"/>
    <x v="13"/>
    <x v="5"/>
    <x v="361"/>
    <x v="305"/>
    <x v="305"/>
    <s v="REVENUS"/>
    <x v="5"/>
    <s v="4061.000"/>
    <s v="Impôt sur les chiens"/>
    <n v="0"/>
    <n v="11750"/>
    <n v="4061"/>
  </r>
  <r>
    <x v="0"/>
    <x v="13"/>
    <x v="5"/>
    <x v="361"/>
    <x v="305"/>
    <x v="305"/>
    <s v="REVENUS"/>
    <x v="2"/>
    <s v="4001.002"/>
    <s v="Impôt complément s/revenu PP"/>
    <n v="0"/>
    <n v="570282.85"/>
    <n v="4001"/>
  </r>
  <r>
    <x v="0"/>
    <x v="13"/>
    <x v="5"/>
    <x v="361"/>
    <x v="305"/>
    <x v="305"/>
    <s v="REVENUS"/>
    <x v="3"/>
    <s v="4002.002"/>
    <s v="Impôt complémentaire s/fortune PP"/>
    <n v="0"/>
    <n v="99815.7"/>
    <n v="4002"/>
  </r>
  <r>
    <x v="0"/>
    <x v="13"/>
    <x v="5"/>
    <x v="361"/>
    <x v="305"/>
    <x v="305"/>
    <s v="REVENUS"/>
    <x v="3"/>
    <s v="4002.007"/>
    <s v="Acompte impôt sur fortune"/>
    <n v="0"/>
    <n v="-808.45"/>
    <n v="4002"/>
  </r>
  <r>
    <x v="0"/>
    <x v="13"/>
    <x v="5"/>
    <x v="361"/>
    <x v="305"/>
    <x v="305"/>
    <s v="REVENUS"/>
    <x v="6"/>
    <s v="4221.003"/>
    <s v="Intérêts compensat. / acomptes en faveur du fisc"/>
    <n v="0"/>
    <n v="2.04"/>
    <n v="4221"/>
  </r>
  <r>
    <x v="0"/>
    <x v="13"/>
    <x v="5"/>
    <x v="361"/>
    <x v="305"/>
    <x v="305"/>
    <s v="REVENUS"/>
    <x v="3"/>
    <s v="4002.007"/>
    <s v="Acompte impôt sur fortune"/>
    <n v="0"/>
    <n v="1593.56"/>
    <n v="4002"/>
  </r>
  <r>
    <x v="0"/>
    <x v="13"/>
    <x v="5"/>
    <x v="361"/>
    <x v="305"/>
    <x v="305"/>
    <s v="REVENUS"/>
    <x v="2"/>
    <s v="4001.001"/>
    <s v="Impôt revenu"/>
    <n v="0"/>
    <n v="-24457.85"/>
    <n v="4001"/>
  </r>
  <r>
    <x v="0"/>
    <x v="13"/>
    <x v="5"/>
    <x v="361"/>
    <x v="305"/>
    <x v="305"/>
    <s v="REVENUS"/>
    <x v="6"/>
    <s v="4211.002"/>
    <s v="Intérêts de retard sur acomptes"/>
    <n v="0"/>
    <n v="47.56"/>
    <n v="4211"/>
  </r>
  <r>
    <x v="0"/>
    <x v="13"/>
    <x v="5"/>
    <x v="361"/>
    <x v="305"/>
    <x v="305"/>
    <s v="REVENUS"/>
    <x v="6"/>
    <s v="4221.003"/>
    <s v="Intérêts compensat. / acomptes en faveur du fisc"/>
    <n v="0"/>
    <n v="-5.79"/>
    <n v="4221"/>
  </r>
  <r>
    <x v="0"/>
    <x v="13"/>
    <x v="5"/>
    <x v="361"/>
    <x v="305"/>
    <x v="305"/>
    <s v="REVENUS"/>
    <x v="2"/>
    <s v="4001.007"/>
    <s v="Acompte impôt sur revenu"/>
    <n v="0"/>
    <n v="-2754.05"/>
    <n v="4001"/>
  </r>
  <r>
    <x v="0"/>
    <x v="13"/>
    <x v="5"/>
    <x v="361"/>
    <x v="305"/>
    <x v="305"/>
    <s v="REVENUS"/>
    <x v="3"/>
    <s v="4002.007"/>
    <s v="Acompte impôt sur fortune"/>
    <n v="0"/>
    <n v="-1267.05"/>
    <n v="4002"/>
  </r>
  <r>
    <x v="0"/>
    <x v="13"/>
    <x v="5"/>
    <x v="361"/>
    <x v="305"/>
    <x v="305"/>
    <s v="REVENUS"/>
    <x v="3"/>
    <s v="4002.001"/>
    <s v="Impôt ordinaire s/fortune PP"/>
    <n v="0"/>
    <n v="387.8"/>
    <n v="4002"/>
  </r>
  <r>
    <x v="0"/>
    <x v="13"/>
    <x v="5"/>
    <x v="361"/>
    <x v="305"/>
    <x v="305"/>
    <s v="REVENUS"/>
    <x v="7"/>
    <s v="4184.000"/>
    <s v="Frais de poursuite"/>
    <n v="0"/>
    <n v="8.94"/>
    <n v="4184"/>
  </r>
  <r>
    <x v="0"/>
    <x v="13"/>
    <x v="5"/>
    <x v="361"/>
    <x v="305"/>
    <x v="305"/>
    <s v="REVENUS"/>
    <x v="6"/>
    <s v="4211.002"/>
    <s v="Intérêts de retard sur acomptes"/>
    <n v="0"/>
    <n v="33.92"/>
    <n v="4211"/>
  </r>
  <r>
    <x v="0"/>
    <x v="13"/>
    <x v="5"/>
    <x v="361"/>
    <x v="305"/>
    <x v="305"/>
    <s v="REVENUS"/>
    <x v="6"/>
    <s v="4221.003"/>
    <s v="Intérêts compensat. / acomptes en faveur du fisc"/>
    <n v="0"/>
    <n v="1.08"/>
    <n v="4221"/>
  </r>
  <r>
    <x v="0"/>
    <x v="13"/>
    <x v="5"/>
    <x v="361"/>
    <x v="305"/>
    <x v="305"/>
    <s v="REVENUS"/>
    <x v="2"/>
    <s v="4001.001"/>
    <s v="Impôt revenu"/>
    <n v="0"/>
    <n v="2251.1"/>
    <n v="4001"/>
  </r>
  <r>
    <x v="0"/>
    <x v="13"/>
    <x v="5"/>
    <x v="361"/>
    <x v="305"/>
    <x v="305"/>
    <s v="REVENUS"/>
    <x v="3"/>
    <s v="4002.001"/>
    <s v="Impôt ordinaire s/fortune PP"/>
    <n v="0"/>
    <n v="2052.6"/>
    <n v="4002"/>
  </r>
  <r>
    <x v="0"/>
    <x v="13"/>
    <x v="5"/>
    <x v="361"/>
    <x v="305"/>
    <x v="305"/>
    <s v="REVENUS"/>
    <x v="6"/>
    <s v="4221.003"/>
    <s v="Intérêts compensat. / acomptes en faveur du fisc"/>
    <n v="0"/>
    <n v="0.37"/>
    <n v="4221"/>
  </r>
  <r>
    <x v="0"/>
    <x v="13"/>
    <x v="5"/>
    <x v="361"/>
    <x v="305"/>
    <x v="305"/>
    <s v="REVENUS"/>
    <x v="2"/>
    <s v="4001.002"/>
    <s v="Impôt complément s/revenu PP"/>
    <n v="0"/>
    <n v="38101.4"/>
    <n v="4001"/>
  </r>
  <r>
    <x v="0"/>
    <x v="13"/>
    <x v="5"/>
    <x v="361"/>
    <x v="305"/>
    <x v="305"/>
    <s v="REVENUS"/>
    <x v="3"/>
    <s v="4002.002"/>
    <s v="Impôt complémentaire s/fortune PP"/>
    <n v="0"/>
    <n v="5659.1"/>
    <n v="4002"/>
  </r>
  <r>
    <x v="0"/>
    <x v="13"/>
    <x v="5"/>
    <x v="361"/>
    <x v="305"/>
    <x v="305"/>
    <s v="REVENUS"/>
    <x v="3"/>
    <s v="4002.002"/>
    <s v="Impôt complémentaire s/fortune PP"/>
    <n v="0"/>
    <n v="5551.5"/>
    <n v="4002"/>
  </r>
  <r>
    <x v="0"/>
    <x v="13"/>
    <x v="5"/>
    <x v="361"/>
    <x v="305"/>
    <x v="305"/>
    <s v="REVENUS"/>
    <x v="6"/>
    <s v="4211.001"/>
    <s v="Intérêts de retard sur factures"/>
    <n v="0"/>
    <n v="4.1399999999999997"/>
    <n v="4211"/>
  </r>
  <r>
    <x v="0"/>
    <x v="13"/>
    <x v="5"/>
    <x v="361"/>
    <x v="305"/>
    <x v="305"/>
    <s v="REVENUS"/>
    <x v="3"/>
    <s v="4002.001"/>
    <s v="Impôt ordinaire s/fortune PP"/>
    <n v="0"/>
    <n v="1833.3"/>
    <n v="4002"/>
  </r>
  <r>
    <x v="0"/>
    <x v="13"/>
    <x v="5"/>
    <x v="361"/>
    <x v="305"/>
    <x v="305"/>
    <s v="REVENUS"/>
    <x v="4"/>
    <s v="4051.001"/>
    <s v="Impôt sur les successions"/>
    <n v="0"/>
    <n v="3484906.3"/>
    <n v="4051"/>
  </r>
  <r>
    <x v="0"/>
    <x v="13"/>
    <x v="5"/>
    <x v="361"/>
    <x v="305"/>
    <x v="305"/>
    <s v="REVENUS"/>
    <x v="2"/>
    <s v="4001.001"/>
    <s v="Impôt revenu"/>
    <n v="0"/>
    <n v="2894"/>
    <n v="4001"/>
  </r>
  <r>
    <x v="0"/>
    <x v="13"/>
    <x v="5"/>
    <x v="361"/>
    <x v="305"/>
    <x v="305"/>
    <s v="REVENUS"/>
    <x v="3"/>
    <s v="4002.007"/>
    <s v="Acompte impôt sur fortune"/>
    <n v="0"/>
    <n v="-191.8"/>
    <n v="4002"/>
  </r>
  <r>
    <x v="0"/>
    <x v="13"/>
    <x v="5"/>
    <x v="361"/>
    <x v="305"/>
    <x v="305"/>
    <s v="REVENUS"/>
    <x v="2"/>
    <s v="4001.002"/>
    <s v="Impôt complément s/revenu PP"/>
    <n v="0"/>
    <n v="8078.05"/>
    <n v="4001"/>
  </r>
  <r>
    <x v="0"/>
    <x v="13"/>
    <x v="5"/>
    <x v="361"/>
    <x v="305"/>
    <x v="305"/>
    <s v="REVENUS"/>
    <x v="3"/>
    <s v="4002.002"/>
    <s v="Impôt complémentaire s/fortune PP"/>
    <n v="0"/>
    <n v="1431.6"/>
    <n v="4002"/>
  </r>
  <r>
    <x v="0"/>
    <x v="13"/>
    <x v="5"/>
    <x v="361"/>
    <x v="305"/>
    <x v="305"/>
    <s v="REVENUS"/>
    <x v="6"/>
    <s v="4211.002"/>
    <s v="Intérêts de retard sur acomptes"/>
    <n v="0"/>
    <n v="0.56999999999999995"/>
    <n v="4211"/>
  </r>
  <r>
    <x v="0"/>
    <x v="13"/>
    <x v="5"/>
    <x v="361"/>
    <x v="305"/>
    <x v="305"/>
    <s v="REVENUS"/>
    <x v="2"/>
    <s v="4001.001"/>
    <s v="Impôt revenu"/>
    <n v="0"/>
    <n v="2572.8000000000002"/>
    <n v="4001"/>
  </r>
  <r>
    <x v="0"/>
    <x v="13"/>
    <x v="5"/>
    <x v="361"/>
    <x v="305"/>
    <x v="305"/>
    <s v="REVENUS"/>
    <x v="4"/>
    <s v="4051.002"/>
    <s v="Impôt sur les donations"/>
    <n v="0"/>
    <n v="3580.1"/>
    <n v="4051"/>
  </r>
  <r>
    <x v="0"/>
    <x v="13"/>
    <x v="5"/>
    <x v="361"/>
    <x v="305"/>
    <x v="305"/>
    <s v="REVENUS"/>
    <x v="7"/>
    <s v="4184.000"/>
    <s v="Frais de poursuite"/>
    <n v="0"/>
    <n v="3.12"/>
    <n v="4184"/>
  </r>
  <r>
    <x v="0"/>
    <x v="13"/>
    <x v="5"/>
    <x v="361"/>
    <x v="305"/>
    <x v="305"/>
    <s v="REVENUS"/>
    <x v="2"/>
    <s v="4001.002"/>
    <s v="Impôt complément s/revenu PP"/>
    <n v="0"/>
    <n v="43.4"/>
    <n v="4001"/>
  </r>
  <r>
    <x v="0"/>
    <x v="13"/>
    <x v="5"/>
    <x v="361"/>
    <x v="305"/>
    <x v="305"/>
    <s v="REVENUS"/>
    <x v="3"/>
    <s v="4002.002"/>
    <s v="Impôt complémentaire s/fortune PP"/>
    <n v="0"/>
    <n v="237.1"/>
    <n v="4002"/>
  </r>
  <r>
    <x v="0"/>
    <x v="13"/>
    <x v="5"/>
    <x v="361"/>
    <x v="305"/>
    <x v="305"/>
    <s v="REVENUS"/>
    <x v="8"/>
    <s v="4091.001"/>
    <s v="Impôt récupéré après défalcations"/>
    <n v="0"/>
    <n v="1714.55"/>
    <n v="4091"/>
  </r>
  <r>
    <x v="0"/>
    <x v="13"/>
    <x v="5"/>
    <x v="361"/>
    <x v="305"/>
    <x v="305"/>
    <s v="REVENUS"/>
    <x v="6"/>
    <s v="4211.002"/>
    <s v="Intérêts de retard sur acomptes"/>
    <n v="0"/>
    <n v="53.96"/>
    <n v="4211"/>
  </r>
  <r>
    <x v="0"/>
    <x v="13"/>
    <x v="5"/>
    <x v="361"/>
    <x v="305"/>
    <x v="305"/>
    <s v="REVENUS"/>
    <x v="6"/>
    <s v="4221.003"/>
    <s v="Intérêts compensat. / acomptes en faveur du fisc"/>
    <n v="0"/>
    <n v="0.13"/>
    <n v="4221"/>
  </r>
  <r>
    <x v="0"/>
    <x v="13"/>
    <x v="5"/>
    <x v="361"/>
    <x v="305"/>
    <x v="305"/>
    <s v="REVENUS"/>
    <x v="6"/>
    <s v="4211.001"/>
    <s v="Intérêts de retard sur factures"/>
    <n v="0"/>
    <n v="246.16"/>
    <n v="4211"/>
  </r>
  <r>
    <x v="0"/>
    <x v="13"/>
    <x v="5"/>
    <x v="361"/>
    <x v="305"/>
    <x v="305"/>
    <s v="REVENUS"/>
    <x v="2"/>
    <s v="4001.002"/>
    <s v="Impôt complément s/revenu PP"/>
    <n v="0"/>
    <n v="5323.85"/>
    <n v="4001"/>
  </r>
  <r>
    <x v="0"/>
    <x v="13"/>
    <x v="5"/>
    <x v="362"/>
    <x v="306"/>
    <x v="306"/>
    <s v="CHARGES"/>
    <x v="1"/>
    <s v="3301.001"/>
    <s v="Défalcations, abandons de solde PP et IS"/>
    <n v="7059.19"/>
    <n v="0"/>
    <n v="3301"/>
  </r>
  <r>
    <x v="0"/>
    <x v="13"/>
    <x v="5"/>
    <x v="362"/>
    <x v="306"/>
    <x v="306"/>
    <s v="CHARGES"/>
    <x v="0"/>
    <s v="3212.004"/>
    <s v="Intérêts rémun./perçu trop tôt sur acomptes C/C"/>
    <n v="7.88"/>
    <n v="0"/>
    <n v="3212"/>
  </r>
  <r>
    <x v="0"/>
    <x v="13"/>
    <x v="5"/>
    <x v="362"/>
    <x v="306"/>
    <x v="306"/>
    <s v="CHARGES"/>
    <x v="0"/>
    <s v="3212.004"/>
    <s v="Intérêts rémun./perçu trop tôt sur acomptes C/C"/>
    <n v="640.54999999999995"/>
    <n v="0"/>
    <n v="3212"/>
  </r>
  <r>
    <x v="0"/>
    <x v="13"/>
    <x v="5"/>
    <x v="362"/>
    <x v="306"/>
    <x v="306"/>
    <s v="CHARGES"/>
    <x v="0"/>
    <s v="3221.002"/>
    <s v="Intérêts compensatoires / créances en faveur ctb."/>
    <n v="278.39"/>
    <n v="0"/>
    <n v="3221"/>
  </r>
  <r>
    <x v="0"/>
    <x v="13"/>
    <x v="5"/>
    <x v="362"/>
    <x v="306"/>
    <x v="306"/>
    <s v="CHARGES"/>
    <x v="1"/>
    <s v="3301.001"/>
    <s v="Défalcations, abandons de solde PP et IS"/>
    <n v="16787.2"/>
    <n v="0"/>
    <n v="3301"/>
  </r>
  <r>
    <x v="0"/>
    <x v="13"/>
    <x v="5"/>
    <x v="362"/>
    <x v="306"/>
    <x v="306"/>
    <s v="CHARGES"/>
    <x v="0"/>
    <s v="3212.004"/>
    <s v="Intérêts rémun./perçu trop tôt sur acomptes C/C"/>
    <n v="0.28000000000000003"/>
    <n v="0"/>
    <n v="3212"/>
  </r>
  <r>
    <x v="0"/>
    <x v="13"/>
    <x v="5"/>
    <x v="362"/>
    <x v="306"/>
    <x v="306"/>
    <s v="CHARGES"/>
    <x v="0"/>
    <s v="3221.002"/>
    <s v="Intérêts compensatoires / créances en faveur ctb."/>
    <n v="0.16"/>
    <n v="0"/>
    <n v="3221"/>
  </r>
  <r>
    <x v="0"/>
    <x v="13"/>
    <x v="5"/>
    <x v="362"/>
    <x v="306"/>
    <x v="306"/>
    <s v="CHARGES"/>
    <x v="1"/>
    <s v="3301.001"/>
    <s v="Défalcations, abandons de solde PP et IS"/>
    <n v="953.56"/>
    <n v="0"/>
    <n v="3301"/>
  </r>
  <r>
    <x v="0"/>
    <x v="13"/>
    <x v="5"/>
    <x v="362"/>
    <x v="306"/>
    <x v="306"/>
    <s v="CHARGES"/>
    <x v="0"/>
    <s v="3212.002"/>
    <s v="Intérêts bonifiés/trop perçu acompte C/C"/>
    <n v="20.23"/>
    <n v="0"/>
    <n v="3212"/>
  </r>
  <r>
    <x v="0"/>
    <x v="13"/>
    <x v="5"/>
    <x v="362"/>
    <x v="306"/>
    <x v="306"/>
    <s v="CHARGES"/>
    <x v="0"/>
    <s v="3212.004"/>
    <s v="Intérêts rémun./perçu trop tôt sur acomptes C/C"/>
    <n v="0.28999999999999998"/>
    <n v="0"/>
    <n v="3212"/>
  </r>
  <r>
    <x v="0"/>
    <x v="13"/>
    <x v="5"/>
    <x v="362"/>
    <x v="306"/>
    <x v="306"/>
    <s v="CHARGES"/>
    <x v="0"/>
    <s v="3221.002"/>
    <s v="Intérêts compensatoires / créances en faveur ctb."/>
    <n v="7.0000000000000007E-2"/>
    <n v="0"/>
    <n v="3221"/>
  </r>
  <r>
    <x v="0"/>
    <x v="13"/>
    <x v="5"/>
    <x v="362"/>
    <x v="306"/>
    <x v="306"/>
    <s v="CHARGES"/>
    <x v="1"/>
    <s v="3301.001"/>
    <s v="Défalcations, abandons de solde PP et IS"/>
    <n v="0.03"/>
    <n v="0"/>
    <n v="3301"/>
  </r>
  <r>
    <x v="0"/>
    <x v="13"/>
    <x v="5"/>
    <x v="362"/>
    <x v="306"/>
    <x v="306"/>
    <s v="CHARGES"/>
    <x v="0"/>
    <s v="3221.002"/>
    <s v="Intérêts compensatoires / créances en faveur ctb."/>
    <n v="10.46"/>
    <n v="0"/>
    <n v="3221"/>
  </r>
  <r>
    <x v="0"/>
    <x v="13"/>
    <x v="5"/>
    <x v="362"/>
    <x v="306"/>
    <x v="306"/>
    <s v="CHARGES"/>
    <x v="0"/>
    <s v="3212.004"/>
    <s v="Intérêts rémun./perçu trop tôt sur acomptes C/C"/>
    <n v="10.050000000000001"/>
    <n v="0"/>
    <n v="3212"/>
  </r>
  <r>
    <x v="0"/>
    <x v="13"/>
    <x v="5"/>
    <x v="362"/>
    <x v="306"/>
    <x v="306"/>
    <s v="CHARGES"/>
    <x v="1"/>
    <s v="3301.001"/>
    <s v="Défalcations, abandons de solde PP et IS"/>
    <n v="419.86"/>
    <n v="0"/>
    <n v="3301"/>
  </r>
  <r>
    <x v="0"/>
    <x v="13"/>
    <x v="5"/>
    <x v="362"/>
    <x v="306"/>
    <x v="306"/>
    <s v="CHARGES"/>
    <x v="0"/>
    <s v="3212.004"/>
    <s v="Intérêts rémun./perçu trop tôt sur acomptes C/C"/>
    <n v="0.05"/>
    <n v="0"/>
    <n v="3212"/>
  </r>
  <r>
    <x v="0"/>
    <x v="13"/>
    <x v="5"/>
    <x v="362"/>
    <x v="306"/>
    <x v="306"/>
    <s v="CHARGES"/>
    <x v="0"/>
    <s v="3221.002"/>
    <s v="Intérêts compensatoires / créances en faveur ctb."/>
    <n v="1.45"/>
    <n v="0"/>
    <n v="3221"/>
  </r>
  <r>
    <x v="0"/>
    <x v="13"/>
    <x v="5"/>
    <x v="362"/>
    <x v="306"/>
    <x v="306"/>
    <s v="CHARGES"/>
    <x v="0"/>
    <s v="3221.002"/>
    <s v="Intérêts compensatoires / créances en faveur ctb."/>
    <n v="0.02"/>
    <n v="0"/>
    <n v="3221"/>
  </r>
  <r>
    <x v="0"/>
    <x v="13"/>
    <x v="5"/>
    <x v="362"/>
    <x v="306"/>
    <x v="306"/>
    <s v="CHARGES"/>
    <x v="1"/>
    <s v="3301.001"/>
    <s v="Défalcations, abandons de solde PP et IS"/>
    <n v="1.46"/>
    <n v="0"/>
    <n v="3301"/>
  </r>
  <r>
    <x v="0"/>
    <x v="13"/>
    <x v="5"/>
    <x v="362"/>
    <x v="306"/>
    <x v="306"/>
    <s v="CHARGES"/>
    <x v="0"/>
    <s v="3212.004"/>
    <s v="Intérêts rémun./perçu trop tôt sur acomptes C/C"/>
    <n v="0.28000000000000003"/>
    <n v="0"/>
    <n v="3212"/>
  </r>
  <r>
    <x v="0"/>
    <x v="13"/>
    <x v="5"/>
    <x v="362"/>
    <x v="306"/>
    <x v="306"/>
    <s v="CHARGES"/>
    <x v="0"/>
    <s v="3221.002"/>
    <s v="Intérêts compensatoires / créances en faveur ctb."/>
    <n v="0.32"/>
    <n v="0"/>
    <n v="3221"/>
  </r>
  <r>
    <x v="0"/>
    <x v="13"/>
    <x v="5"/>
    <x v="362"/>
    <x v="306"/>
    <x v="306"/>
    <s v="REVENUS"/>
    <x v="2"/>
    <s v="4001.003"/>
    <s v="Impôt s/prest. cap. PP"/>
    <n v="0"/>
    <n v="195921.8"/>
    <n v="4001"/>
  </r>
  <r>
    <x v="0"/>
    <x v="13"/>
    <x v="5"/>
    <x v="362"/>
    <x v="306"/>
    <x v="306"/>
    <s v="REVENUS"/>
    <x v="6"/>
    <s v="4211.001"/>
    <s v="Intérêts de retard sur factures"/>
    <n v="0"/>
    <n v="8074.1"/>
    <n v="4211"/>
  </r>
  <r>
    <x v="0"/>
    <x v="13"/>
    <x v="5"/>
    <x v="362"/>
    <x v="306"/>
    <x v="306"/>
    <s v="REVENUS"/>
    <x v="2"/>
    <s v="4001.007"/>
    <s v="Acompte impôt sur revenu"/>
    <n v="0"/>
    <n v="-10497.81"/>
    <n v="4001"/>
  </r>
  <r>
    <x v="0"/>
    <x v="13"/>
    <x v="5"/>
    <x v="362"/>
    <x v="306"/>
    <x v="306"/>
    <s v="REVENUS"/>
    <x v="9"/>
    <s v="4031.001"/>
    <s v="Impôt sur les gains immobiliers"/>
    <n v="0"/>
    <n v="53609.2"/>
    <n v="4031"/>
  </r>
  <r>
    <x v="0"/>
    <x v="13"/>
    <x v="5"/>
    <x v="362"/>
    <x v="306"/>
    <x v="306"/>
    <s v="REVENUS"/>
    <x v="7"/>
    <s v="4184.000"/>
    <s v="Frais de poursuite"/>
    <n v="0"/>
    <n v="1714.89"/>
    <n v="4184"/>
  </r>
  <r>
    <x v="0"/>
    <x v="13"/>
    <x v="5"/>
    <x v="362"/>
    <x v="306"/>
    <x v="306"/>
    <s v="REVENUS"/>
    <x v="2"/>
    <s v="4001.001"/>
    <s v="Impôt revenu"/>
    <n v="0"/>
    <n v="7401.95"/>
    <n v="4001"/>
  </r>
  <r>
    <x v="0"/>
    <x v="13"/>
    <x v="5"/>
    <x v="362"/>
    <x v="306"/>
    <x v="306"/>
    <s v="REVENUS"/>
    <x v="3"/>
    <s v="4002.001"/>
    <s v="Impôt ordinaire s/fortune PP"/>
    <n v="0"/>
    <n v="2157.8000000000002"/>
    <n v="4002"/>
  </r>
  <r>
    <x v="0"/>
    <x v="13"/>
    <x v="5"/>
    <x v="362"/>
    <x v="306"/>
    <x v="306"/>
    <s v="REVENUS"/>
    <x v="6"/>
    <s v="4221.003"/>
    <s v="Intérêts compensat. / acomptes en faveur du fisc"/>
    <n v="0"/>
    <n v="2.0499999999999998"/>
    <n v="4221"/>
  </r>
  <r>
    <x v="0"/>
    <x v="13"/>
    <x v="5"/>
    <x v="362"/>
    <x v="306"/>
    <x v="306"/>
    <s v="REVENUS"/>
    <x v="2"/>
    <s v="4001.001"/>
    <s v="Impôt revenu"/>
    <n v="0"/>
    <n v="2172991.7999999998"/>
    <n v="4001"/>
  </r>
  <r>
    <x v="0"/>
    <x v="13"/>
    <x v="5"/>
    <x v="362"/>
    <x v="306"/>
    <x v="306"/>
    <s v="REVENUS"/>
    <x v="2"/>
    <s v="4001.002"/>
    <s v="Impôt complément s/revenu PP"/>
    <n v="0"/>
    <n v="356284.4"/>
    <n v="4001"/>
  </r>
  <r>
    <x v="0"/>
    <x v="13"/>
    <x v="5"/>
    <x v="362"/>
    <x v="306"/>
    <x v="306"/>
    <s v="REVENUS"/>
    <x v="2"/>
    <s v="4001.007"/>
    <s v="Acompte impôt sur revenu"/>
    <n v="0"/>
    <n v="-429808.18"/>
    <n v="4001"/>
  </r>
  <r>
    <x v="0"/>
    <x v="13"/>
    <x v="5"/>
    <x v="362"/>
    <x v="306"/>
    <x v="306"/>
    <s v="REVENUS"/>
    <x v="3"/>
    <s v="4002.001"/>
    <s v="Impôt ordinaire s/fortune PP"/>
    <n v="0"/>
    <n v="409107"/>
    <n v="4002"/>
  </r>
  <r>
    <x v="0"/>
    <x v="13"/>
    <x v="5"/>
    <x v="362"/>
    <x v="306"/>
    <x v="306"/>
    <s v="REVENUS"/>
    <x v="3"/>
    <s v="4002.002"/>
    <s v="Impôt complémentaire s/fortune PP"/>
    <n v="0"/>
    <n v="77244.2"/>
    <n v="4002"/>
  </r>
  <r>
    <x v="0"/>
    <x v="13"/>
    <x v="5"/>
    <x v="362"/>
    <x v="306"/>
    <x v="306"/>
    <s v="REVENUS"/>
    <x v="3"/>
    <s v="4002.007"/>
    <s v="Acompte impôt sur fortune"/>
    <n v="0"/>
    <n v="-94030.74"/>
    <n v="4002"/>
  </r>
  <r>
    <x v="0"/>
    <x v="13"/>
    <x v="5"/>
    <x v="362"/>
    <x v="306"/>
    <x v="306"/>
    <s v="REVENUS"/>
    <x v="6"/>
    <s v="4211.002"/>
    <s v="Intérêts de retard sur acomptes"/>
    <n v="0"/>
    <n v="13145.41"/>
    <n v="4211"/>
  </r>
  <r>
    <x v="0"/>
    <x v="13"/>
    <x v="5"/>
    <x v="362"/>
    <x v="306"/>
    <x v="306"/>
    <s v="REVENUS"/>
    <x v="6"/>
    <s v="4221.003"/>
    <s v="Intérêts compensat. / acomptes en faveur du fisc"/>
    <n v="0"/>
    <n v="335.99"/>
    <n v="4221"/>
  </r>
  <r>
    <x v="0"/>
    <x v="13"/>
    <x v="5"/>
    <x v="362"/>
    <x v="306"/>
    <x v="306"/>
    <s v="REVENUS"/>
    <x v="7"/>
    <s v="4184.000"/>
    <s v="Frais de poursuite"/>
    <n v="0"/>
    <n v="533.76"/>
    <n v="4184"/>
  </r>
  <r>
    <x v="0"/>
    <x v="13"/>
    <x v="5"/>
    <x v="362"/>
    <x v="306"/>
    <x v="306"/>
    <s v="REVENUS"/>
    <x v="3"/>
    <s v="4002.001"/>
    <s v="Impôt ordinaire s/fortune PP"/>
    <n v="0"/>
    <n v="4080.5"/>
    <n v="4002"/>
  </r>
  <r>
    <x v="0"/>
    <x v="13"/>
    <x v="5"/>
    <x v="362"/>
    <x v="306"/>
    <x v="306"/>
    <s v="REVENUS"/>
    <x v="3"/>
    <s v="4002.007"/>
    <s v="Acompte impôt sur fortune"/>
    <n v="0"/>
    <n v="-4038.6"/>
    <n v="4002"/>
  </r>
  <r>
    <x v="0"/>
    <x v="13"/>
    <x v="5"/>
    <x v="362"/>
    <x v="306"/>
    <x v="306"/>
    <s v="REVENUS"/>
    <x v="2"/>
    <s v="4001.001"/>
    <s v="Impôt revenu"/>
    <n v="0"/>
    <n v="7575.4"/>
    <n v="4001"/>
  </r>
  <r>
    <x v="0"/>
    <x v="13"/>
    <x v="5"/>
    <x v="362"/>
    <x v="306"/>
    <x v="306"/>
    <s v="REVENUS"/>
    <x v="3"/>
    <s v="4002.001"/>
    <s v="Impôt ordinaire s/fortune PP"/>
    <n v="0"/>
    <n v="4974.8"/>
    <n v="4002"/>
  </r>
  <r>
    <x v="0"/>
    <x v="13"/>
    <x v="5"/>
    <x v="362"/>
    <x v="306"/>
    <x v="306"/>
    <s v="REVENUS"/>
    <x v="6"/>
    <s v="4211.002"/>
    <s v="Intérêts de retard sur acomptes"/>
    <n v="0"/>
    <n v="79.5"/>
    <n v="4211"/>
  </r>
  <r>
    <x v="0"/>
    <x v="13"/>
    <x v="5"/>
    <x v="362"/>
    <x v="306"/>
    <x v="306"/>
    <s v="REVENUS"/>
    <x v="6"/>
    <s v="4221.003"/>
    <s v="Intérêts compensat. / acomptes en faveur du fisc"/>
    <n v="0"/>
    <n v="0.87"/>
    <n v="4221"/>
  </r>
  <r>
    <x v="0"/>
    <x v="13"/>
    <x v="5"/>
    <x v="362"/>
    <x v="306"/>
    <x v="306"/>
    <s v="REVENUS"/>
    <x v="2"/>
    <s v="4001.007"/>
    <s v="Acompte impôt sur revenu"/>
    <n v="0"/>
    <n v="10867.4"/>
    <n v="4001"/>
  </r>
  <r>
    <x v="0"/>
    <x v="13"/>
    <x v="5"/>
    <x v="362"/>
    <x v="306"/>
    <x v="306"/>
    <s v="REVENUS"/>
    <x v="3"/>
    <s v="4002.007"/>
    <s v="Acompte impôt sur fortune"/>
    <n v="0"/>
    <n v="8243.93"/>
    <n v="4002"/>
  </r>
  <r>
    <x v="0"/>
    <x v="13"/>
    <x v="5"/>
    <x v="362"/>
    <x v="306"/>
    <x v="306"/>
    <s v="REVENUS"/>
    <x v="7"/>
    <s v="4184.000"/>
    <s v="Frais de poursuite"/>
    <n v="0"/>
    <n v="898.48"/>
    <n v="4184"/>
  </r>
  <r>
    <x v="0"/>
    <x v="13"/>
    <x v="5"/>
    <x v="362"/>
    <x v="306"/>
    <x v="306"/>
    <s v="REVENUS"/>
    <x v="6"/>
    <s v="4221.002"/>
    <s v="Intérêts compensat. sur impôts distincts"/>
    <n v="0"/>
    <n v="16.239999999999998"/>
    <n v="4221"/>
  </r>
  <r>
    <x v="0"/>
    <x v="13"/>
    <x v="5"/>
    <x v="362"/>
    <x v="306"/>
    <x v="306"/>
    <s v="REVENUS"/>
    <x v="2"/>
    <s v="4001.002"/>
    <s v="Impôt complément s/revenu PP"/>
    <n v="0"/>
    <n v="6861.15"/>
    <n v="4001"/>
  </r>
  <r>
    <x v="0"/>
    <x v="13"/>
    <x v="5"/>
    <x v="362"/>
    <x v="306"/>
    <x v="306"/>
    <s v="REVENUS"/>
    <x v="2"/>
    <s v="4001.007"/>
    <s v="Acompte impôt sur revenu"/>
    <n v="0"/>
    <n v="-1227.45"/>
    <n v="4001"/>
  </r>
  <r>
    <x v="0"/>
    <x v="13"/>
    <x v="5"/>
    <x v="362"/>
    <x v="306"/>
    <x v="306"/>
    <s v="REVENUS"/>
    <x v="2"/>
    <s v="4001.007"/>
    <s v="Acompte impôt sur revenu"/>
    <n v="0"/>
    <n v="3069.53"/>
    <n v="4001"/>
  </r>
  <r>
    <x v="0"/>
    <x v="13"/>
    <x v="5"/>
    <x v="362"/>
    <x v="306"/>
    <x v="306"/>
    <s v="REVENUS"/>
    <x v="3"/>
    <s v="4002.001"/>
    <s v="Impôt ordinaire s/fortune PP"/>
    <n v="0"/>
    <n v="212.4"/>
    <n v="4002"/>
  </r>
  <r>
    <x v="0"/>
    <x v="13"/>
    <x v="5"/>
    <x v="362"/>
    <x v="306"/>
    <x v="306"/>
    <s v="REVENUS"/>
    <x v="3"/>
    <s v="4002.007"/>
    <s v="Acompte impôt sur fortune"/>
    <n v="0"/>
    <n v="-679.59"/>
    <n v="4002"/>
  </r>
  <r>
    <x v="0"/>
    <x v="13"/>
    <x v="5"/>
    <x v="362"/>
    <x v="306"/>
    <x v="306"/>
    <s v="REVENUS"/>
    <x v="2"/>
    <s v="4001.001"/>
    <s v="Impôt revenu"/>
    <n v="0"/>
    <n v="1693.5"/>
    <n v="4001"/>
  </r>
  <r>
    <x v="0"/>
    <x v="13"/>
    <x v="5"/>
    <x v="362"/>
    <x v="306"/>
    <x v="306"/>
    <s v="REVENUS"/>
    <x v="3"/>
    <s v="4002.007"/>
    <s v="Acompte impôt sur fortune"/>
    <n v="0"/>
    <n v="-3.5"/>
    <n v="4002"/>
  </r>
  <r>
    <x v="0"/>
    <x v="13"/>
    <x v="5"/>
    <x v="362"/>
    <x v="306"/>
    <x v="306"/>
    <s v="REVENUS"/>
    <x v="2"/>
    <s v="4001.002"/>
    <s v="Impôt complément s/revenu PP"/>
    <n v="0"/>
    <n v="632.25"/>
    <n v="4001"/>
  </r>
  <r>
    <x v="0"/>
    <x v="13"/>
    <x v="5"/>
    <x v="362"/>
    <x v="306"/>
    <x v="306"/>
    <s v="REVENUS"/>
    <x v="2"/>
    <s v="4001.007"/>
    <s v="Acompte impôt sur revenu"/>
    <n v="0"/>
    <n v="26.35"/>
    <n v="4001"/>
  </r>
  <r>
    <x v="0"/>
    <x v="13"/>
    <x v="5"/>
    <x v="362"/>
    <x v="306"/>
    <x v="306"/>
    <s v="REVENUS"/>
    <x v="3"/>
    <s v="4002.007"/>
    <s v="Acompte impôt sur fortune"/>
    <n v="0"/>
    <n v="-15.25"/>
    <n v="4002"/>
  </r>
  <r>
    <x v="0"/>
    <x v="13"/>
    <x v="5"/>
    <x v="362"/>
    <x v="306"/>
    <x v="306"/>
    <s v="REVENUS"/>
    <x v="10"/>
    <s v="4041.001"/>
    <s v="Droits de mutation"/>
    <n v="0"/>
    <n v="85570.7"/>
    <n v="4041"/>
  </r>
  <r>
    <x v="0"/>
    <x v="13"/>
    <x v="5"/>
    <x v="362"/>
    <x v="306"/>
    <x v="306"/>
    <s v="REVENUS"/>
    <x v="5"/>
    <s v="4061.000"/>
    <s v="Impôt sur les chiens"/>
    <n v="0"/>
    <n v="11550"/>
    <n v="4061"/>
  </r>
  <r>
    <x v="0"/>
    <x v="13"/>
    <x v="5"/>
    <x v="362"/>
    <x v="306"/>
    <x v="306"/>
    <s v="REVENUS"/>
    <x v="3"/>
    <s v="4002.001"/>
    <s v="Impôt ordinaire s/fortune PP"/>
    <n v="0"/>
    <n v="378.05"/>
    <n v="4002"/>
  </r>
  <r>
    <x v="0"/>
    <x v="13"/>
    <x v="5"/>
    <x v="362"/>
    <x v="306"/>
    <x v="306"/>
    <s v="REVENUS"/>
    <x v="6"/>
    <s v="4211.001"/>
    <s v="Intérêts de retard sur factures"/>
    <n v="0"/>
    <n v="0.02"/>
    <n v="4211"/>
  </r>
  <r>
    <x v="0"/>
    <x v="13"/>
    <x v="5"/>
    <x v="362"/>
    <x v="306"/>
    <x v="306"/>
    <s v="REVENUS"/>
    <x v="3"/>
    <s v="4002.002"/>
    <s v="Impôt complémentaire s/fortune PP"/>
    <n v="0"/>
    <n v="371.3"/>
    <n v="4002"/>
  </r>
  <r>
    <x v="0"/>
    <x v="13"/>
    <x v="5"/>
    <x v="362"/>
    <x v="306"/>
    <x v="306"/>
    <s v="REVENUS"/>
    <x v="6"/>
    <s v="4211.001"/>
    <s v="Intérêts de retard sur factures"/>
    <n v="0"/>
    <n v="0.1"/>
    <n v="4211"/>
  </r>
  <r>
    <x v="0"/>
    <x v="13"/>
    <x v="5"/>
    <x v="362"/>
    <x v="306"/>
    <x v="306"/>
    <s v="REVENUS"/>
    <x v="6"/>
    <s v="4211.002"/>
    <s v="Intérêts de retard sur acomptes"/>
    <n v="0"/>
    <n v="120.02"/>
    <n v="4211"/>
  </r>
  <r>
    <x v="0"/>
    <x v="13"/>
    <x v="5"/>
    <x v="362"/>
    <x v="306"/>
    <x v="306"/>
    <s v="REVENUS"/>
    <x v="3"/>
    <s v="4002.007"/>
    <s v="Acompte impôt sur fortune"/>
    <n v="0"/>
    <n v="530.72"/>
    <n v="4002"/>
  </r>
  <r>
    <x v="0"/>
    <x v="13"/>
    <x v="5"/>
    <x v="362"/>
    <x v="306"/>
    <x v="306"/>
    <s v="REVENUS"/>
    <x v="2"/>
    <s v="4001.007"/>
    <s v="Acompte impôt sur revenu"/>
    <n v="0"/>
    <n v="2.4500000000000002"/>
    <n v="4001"/>
  </r>
  <r>
    <x v="0"/>
    <x v="13"/>
    <x v="5"/>
    <x v="362"/>
    <x v="306"/>
    <x v="306"/>
    <s v="REVENUS"/>
    <x v="2"/>
    <s v="4001.007"/>
    <s v="Acompte impôt sur revenu"/>
    <n v="0"/>
    <n v="-4612.05"/>
    <n v="4001"/>
  </r>
  <r>
    <x v="0"/>
    <x v="13"/>
    <x v="5"/>
    <x v="362"/>
    <x v="306"/>
    <x v="306"/>
    <s v="REVENUS"/>
    <x v="8"/>
    <s v="4091.001"/>
    <s v="Impôt récupéré après défalcations"/>
    <n v="0"/>
    <n v="3486.56"/>
    <n v="4091"/>
  </r>
  <r>
    <x v="0"/>
    <x v="13"/>
    <x v="5"/>
    <x v="362"/>
    <x v="306"/>
    <x v="306"/>
    <s v="REVENUS"/>
    <x v="8"/>
    <s v="4091.001"/>
    <s v="Impôt récupéré après défalcations"/>
    <n v="0"/>
    <n v="952.72"/>
    <n v="4091"/>
  </r>
  <r>
    <x v="0"/>
    <x v="13"/>
    <x v="5"/>
    <x v="362"/>
    <x v="306"/>
    <x v="306"/>
    <s v="REVENUS"/>
    <x v="6"/>
    <s v="4221.003"/>
    <s v="Intérêts compensat. / acomptes en faveur du fisc"/>
    <n v="0"/>
    <n v="1.01"/>
    <n v="4221"/>
  </r>
  <r>
    <x v="0"/>
    <x v="13"/>
    <x v="5"/>
    <x v="362"/>
    <x v="306"/>
    <x v="306"/>
    <s v="REVENUS"/>
    <x v="3"/>
    <s v="4002.007"/>
    <s v="Acompte impôt sur fortune"/>
    <n v="0"/>
    <n v="-3417.05"/>
    <n v="4002"/>
  </r>
  <r>
    <x v="0"/>
    <x v="13"/>
    <x v="5"/>
    <x v="362"/>
    <x v="306"/>
    <x v="306"/>
    <s v="REVENUS"/>
    <x v="6"/>
    <s v="4221.003"/>
    <s v="Intérêts compensat. / acomptes en faveur du fisc"/>
    <n v="0"/>
    <n v="1.48"/>
    <n v="4221"/>
  </r>
  <r>
    <x v="0"/>
    <x v="13"/>
    <x v="5"/>
    <x v="362"/>
    <x v="306"/>
    <x v="306"/>
    <s v="REVENUS"/>
    <x v="6"/>
    <s v="4211.002"/>
    <s v="Intérêts de retard sur acomptes"/>
    <n v="0"/>
    <n v="60.49"/>
    <n v="4211"/>
  </r>
  <r>
    <x v="0"/>
    <x v="13"/>
    <x v="5"/>
    <x v="362"/>
    <x v="306"/>
    <x v="306"/>
    <s v="REVENUS"/>
    <x v="3"/>
    <s v="4002.002"/>
    <s v="Impôt complémentaire s/fortune PP"/>
    <n v="0"/>
    <n v="3288.05"/>
    <n v="4002"/>
  </r>
  <r>
    <x v="0"/>
    <x v="13"/>
    <x v="5"/>
    <x v="362"/>
    <x v="306"/>
    <x v="306"/>
    <s v="REVENUS"/>
    <x v="6"/>
    <s v="4211.001"/>
    <s v="Intérêts de retard sur factures"/>
    <n v="0"/>
    <n v="26.58"/>
    <n v="4211"/>
  </r>
  <r>
    <x v="0"/>
    <x v="13"/>
    <x v="5"/>
    <x v="362"/>
    <x v="306"/>
    <x v="306"/>
    <s v="REVENUS"/>
    <x v="2"/>
    <s v="4001.001"/>
    <s v="Impôt revenu"/>
    <n v="0"/>
    <n v="80.599999999999994"/>
    <n v="4001"/>
  </r>
  <r>
    <x v="0"/>
    <x v="13"/>
    <x v="5"/>
    <x v="362"/>
    <x v="306"/>
    <x v="306"/>
    <s v="REVENUS"/>
    <x v="2"/>
    <s v="4001.001"/>
    <s v="Impôt revenu"/>
    <n v="0"/>
    <n v="8036.45"/>
    <n v="4001"/>
  </r>
  <r>
    <x v="0"/>
    <x v="13"/>
    <x v="5"/>
    <x v="362"/>
    <x v="306"/>
    <x v="306"/>
    <s v="REVENUS"/>
    <x v="7"/>
    <s v="4184.000"/>
    <s v="Frais de poursuite"/>
    <n v="0"/>
    <n v="0.8"/>
    <n v="4184"/>
  </r>
  <r>
    <x v="0"/>
    <x v="13"/>
    <x v="5"/>
    <x v="362"/>
    <x v="306"/>
    <x v="306"/>
    <s v="REVENUS"/>
    <x v="4"/>
    <s v="4051.001"/>
    <s v="Impôt sur les successions"/>
    <n v="0"/>
    <n v="-0.8"/>
    <n v="4051"/>
  </r>
  <r>
    <x v="0"/>
    <x v="13"/>
    <x v="5"/>
    <x v="362"/>
    <x v="306"/>
    <x v="306"/>
    <s v="REVENUS"/>
    <x v="7"/>
    <s v="4184.000"/>
    <s v="Frais de poursuite"/>
    <n v="0"/>
    <n v="15.02"/>
    <n v="4184"/>
  </r>
  <r>
    <x v="0"/>
    <x v="13"/>
    <x v="5"/>
    <x v="362"/>
    <x v="306"/>
    <x v="306"/>
    <s v="REVENUS"/>
    <x v="2"/>
    <s v="4001.001"/>
    <s v="Impôt revenu"/>
    <n v="0"/>
    <n v="101.6"/>
    <n v="4001"/>
  </r>
  <r>
    <x v="0"/>
    <x v="13"/>
    <x v="5"/>
    <x v="362"/>
    <x v="306"/>
    <x v="306"/>
    <s v="REVENUS"/>
    <x v="3"/>
    <s v="4002.001"/>
    <s v="Impôt ordinaire s/fortune PP"/>
    <n v="0"/>
    <n v="375.2"/>
    <n v="4002"/>
  </r>
  <r>
    <x v="0"/>
    <x v="13"/>
    <x v="5"/>
    <x v="362"/>
    <x v="306"/>
    <x v="306"/>
    <s v="REVENUS"/>
    <x v="6"/>
    <s v="4211.002"/>
    <s v="Intérêts de retard sur acomptes"/>
    <n v="0"/>
    <n v="2.64"/>
    <n v="4211"/>
  </r>
  <r>
    <x v="0"/>
    <x v="13"/>
    <x v="5"/>
    <x v="362"/>
    <x v="306"/>
    <x v="306"/>
    <s v="REVENUS"/>
    <x v="9"/>
    <s v="4031.002"/>
    <s v="Complément impôt sur les gains immobiliers"/>
    <n v="0"/>
    <n v="3353.85"/>
    <n v="4031"/>
  </r>
  <r>
    <x v="0"/>
    <x v="13"/>
    <x v="5"/>
    <x v="362"/>
    <x v="306"/>
    <x v="306"/>
    <s v="REVENUS"/>
    <x v="4"/>
    <s v="4051.002"/>
    <s v="Impôt sur les donations"/>
    <n v="0"/>
    <n v="9988"/>
    <n v="4051"/>
  </r>
  <r>
    <x v="0"/>
    <x v="13"/>
    <x v="5"/>
    <x v="363"/>
    <x v="307"/>
    <x v="307"/>
    <s v="CHARGES"/>
    <x v="1"/>
    <s v="3301.001"/>
    <s v="Défalcations, abandons de solde PP et IS"/>
    <n v="3800.99"/>
    <n v="0"/>
    <n v="3301"/>
  </r>
  <r>
    <x v="0"/>
    <x v="13"/>
    <x v="5"/>
    <x v="363"/>
    <x v="307"/>
    <x v="307"/>
    <s v="CHARGES"/>
    <x v="0"/>
    <s v="3212.004"/>
    <s v="Intérêts rémun./perçu trop tôt sur acomptes C/C"/>
    <n v="171.48"/>
    <n v="0"/>
    <n v="3212"/>
  </r>
  <r>
    <x v="0"/>
    <x v="13"/>
    <x v="5"/>
    <x v="363"/>
    <x v="307"/>
    <x v="307"/>
    <s v="CHARGES"/>
    <x v="0"/>
    <s v="3221.002"/>
    <s v="Intérêts compensatoires / créances en faveur ctb."/>
    <n v="46.35"/>
    <n v="0"/>
    <n v="3221"/>
  </r>
  <r>
    <x v="0"/>
    <x v="13"/>
    <x v="5"/>
    <x v="363"/>
    <x v="307"/>
    <x v="307"/>
    <s v="CHARGES"/>
    <x v="0"/>
    <s v="3212.002"/>
    <s v="Intérêts bonifiés/trop perçu acompte C/C"/>
    <n v="6.15"/>
    <n v="0"/>
    <n v="3212"/>
  </r>
  <r>
    <x v="0"/>
    <x v="13"/>
    <x v="5"/>
    <x v="363"/>
    <x v="307"/>
    <x v="307"/>
    <s v="CHARGES"/>
    <x v="0"/>
    <s v="3212.004"/>
    <s v="Intérêts rémun./perçu trop tôt sur acomptes C/C"/>
    <n v="0.08"/>
    <n v="0"/>
    <n v="3212"/>
  </r>
  <r>
    <x v="0"/>
    <x v="13"/>
    <x v="5"/>
    <x v="363"/>
    <x v="307"/>
    <x v="307"/>
    <s v="CHARGES"/>
    <x v="0"/>
    <s v="3212.004"/>
    <s v="Intérêts rémun./perçu trop tôt sur acomptes C/C"/>
    <n v="0.08"/>
    <n v="0"/>
    <n v="3212"/>
  </r>
  <r>
    <x v="0"/>
    <x v="13"/>
    <x v="5"/>
    <x v="363"/>
    <x v="307"/>
    <x v="307"/>
    <s v="CHARGES"/>
    <x v="0"/>
    <s v="3221.002"/>
    <s v="Intérêts compensatoires / créances en faveur ctb."/>
    <n v="0.04"/>
    <n v="0"/>
    <n v="3221"/>
  </r>
  <r>
    <x v="0"/>
    <x v="13"/>
    <x v="5"/>
    <x v="363"/>
    <x v="307"/>
    <x v="307"/>
    <s v="CHARGES"/>
    <x v="0"/>
    <s v="3212.004"/>
    <s v="Intérêts rémun./perçu trop tôt sur acomptes C/C"/>
    <n v="2.99"/>
    <n v="0"/>
    <n v="3212"/>
  </r>
  <r>
    <x v="0"/>
    <x v="13"/>
    <x v="5"/>
    <x v="363"/>
    <x v="307"/>
    <x v="307"/>
    <s v="CHARGES"/>
    <x v="0"/>
    <s v="3221.002"/>
    <s v="Intérêts compensatoires / créances en faveur ctb."/>
    <n v="1"/>
    <n v="0"/>
    <n v="3221"/>
  </r>
  <r>
    <x v="0"/>
    <x v="13"/>
    <x v="5"/>
    <x v="363"/>
    <x v="307"/>
    <x v="307"/>
    <s v="CHARGES"/>
    <x v="1"/>
    <s v="3301.001"/>
    <s v="Défalcations, abandons de solde PP et IS"/>
    <n v="0.01"/>
    <n v="0"/>
    <n v="3301"/>
  </r>
  <r>
    <x v="0"/>
    <x v="13"/>
    <x v="5"/>
    <x v="363"/>
    <x v="307"/>
    <x v="307"/>
    <s v="CHARGES"/>
    <x v="1"/>
    <s v="3301.001"/>
    <s v="Défalcations, abandons de solde PP et IS"/>
    <n v="2.1"/>
    <n v="0"/>
    <n v="3301"/>
  </r>
  <r>
    <x v="0"/>
    <x v="13"/>
    <x v="5"/>
    <x v="363"/>
    <x v="307"/>
    <x v="307"/>
    <s v="CHARGES"/>
    <x v="0"/>
    <s v="3221.002"/>
    <s v="Intérêts compensatoires / créances en faveur ctb."/>
    <n v="0.04"/>
    <n v="0"/>
    <n v="3221"/>
  </r>
  <r>
    <x v="0"/>
    <x v="13"/>
    <x v="5"/>
    <x v="363"/>
    <x v="307"/>
    <x v="307"/>
    <s v="CHARGES"/>
    <x v="1"/>
    <s v="3301.001"/>
    <s v="Défalcations, abandons de solde PP et IS"/>
    <n v="6688.21"/>
    <n v="0"/>
    <n v="3301"/>
  </r>
  <r>
    <x v="0"/>
    <x v="13"/>
    <x v="5"/>
    <x v="363"/>
    <x v="307"/>
    <x v="307"/>
    <s v="CHARGES"/>
    <x v="0"/>
    <s v="3212.004"/>
    <s v="Intérêts rémun./perçu trop tôt sur acomptes C/C"/>
    <n v="0.02"/>
    <n v="0"/>
    <n v="3212"/>
  </r>
  <r>
    <x v="0"/>
    <x v="13"/>
    <x v="5"/>
    <x v="363"/>
    <x v="307"/>
    <x v="307"/>
    <s v="CHARGES"/>
    <x v="1"/>
    <s v="3301.001"/>
    <s v="Défalcations, abandons de solde PP et IS"/>
    <n v="0.04"/>
    <n v="0"/>
    <n v="3301"/>
  </r>
  <r>
    <x v="0"/>
    <x v="13"/>
    <x v="5"/>
    <x v="363"/>
    <x v="307"/>
    <x v="307"/>
    <s v="CHARGES"/>
    <x v="0"/>
    <s v="3221.002"/>
    <s v="Intérêts compensatoires / créances en faveur ctb."/>
    <n v="0.02"/>
    <n v="0"/>
    <n v="3221"/>
  </r>
  <r>
    <x v="0"/>
    <x v="13"/>
    <x v="5"/>
    <x v="363"/>
    <x v="307"/>
    <x v="307"/>
    <s v="REVENUS"/>
    <x v="3"/>
    <s v="4002.007"/>
    <s v="Acompte impôt sur fortune"/>
    <n v="0"/>
    <n v="25120.98"/>
    <n v="4002"/>
  </r>
  <r>
    <x v="0"/>
    <x v="13"/>
    <x v="5"/>
    <x v="363"/>
    <x v="307"/>
    <x v="307"/>
    <s v="REVENUS"/>
    <x v="9"/>
    <s v="4031.001"/>
    <s v="Impôt sur les gains immobiliers"/>
    <n v="0"/>
    <n v="30786.85"/>
    <n v="4031"/>
  </r>
  <r>
    <x v="0"/>
    <x v="13"/>
    <x v="5"/>
    <x v="363"/>
    <x v="307"/>
    <x v="307"/>
    <s v="REVENUS"/>
    <x v="6"/>
    <s v="4211.001"/>
    <s v="Intérêts de retard sur factures"/>
    <n v="0"/>
    <n v="5829.02"/>
    <n v="4211"/>
  </r>
  <r>
    <x v="0"/>
    <x v="13"/>
    <x v="5"/>
    <x v="363"/>
    <x v="307"/>
    <x v="307"/>
    <s v="REVENUS"/>
    <x v="6"/>
    <s v="4221.002"/>
    <s v="Intérêts compensat. sur impôts distincts"/>
    <n v="0"/>
    <n v="3.11"/>
    <n v="4221"/>
  </r>
  <r>
    <x v="0"/>
    <x v="13"/>
    <x v="5"/>
    <x v="363"/>
    <x v="307"/>
    <x v="307"/>
    <s v="REVENUS"/>
    <x v="2"/>
    <s v="4001.001"/>
    <s v="Impôt revenu"/>
    <n v="0"/>
    <n v="1005264.05"/>
    <n v="4001"/>
  </r>
  <r>
    <x v="0"/>
    <x v="13"/>
    <x v="5"/>
    <x v="363"/>
    <x v="307"/>
    <x v="307"/>
    <s v="REVENUS"/>
    <x v="2"/>
    <s v="4001.003"/>
    <s v="Impôt s/prest. cap. PP"/>
    <n v="0"/>
    <n v="31119"/>
    <n v="4001"/>
  </r>
  <r>
    <x v="0"/>
    <x v="13"/>
    <x v="5"/>
    <x v="363"/>
    <x v="307"/>
    <x v="307"/>
    <s v="REVENUS"/>
    <x v="2"/>
    <s v="4001.007"/>
    <s v="Acompte impôt sur revenu"/>
    <n v="0"/>
    <n v="-103857.92"/>
    <n v="4001"/>
  </r>
  <r>
    <x v="0"/>
    <x v="13"/>
    <x v="5"/>
    <x v="363"/>
    <x v="307"/>
    <x v="307"/>
    <s v="REVENUS"/>
    <x v="3"/>
    <s v="4002.001"/>
    <s v="Impôt ordinaire s/fortune PP"/>
    <n v="0"/>
    <n v="83743.100000000006"/>
    <n v="4002"/>
  </r>
  <r>
    <x v="0"/>
    <x v="13"/>
    <x v="5"/>
    <x v="363"/>
    <x v="307"/>
    <x v="307"/>
    <s v="REVENUS"/>
    <x v="6"/>
    <s v="4211.002"/>
    <s v="Intérêts de retard sur acomptes"/>
    <n v="0"/>
    <n v="5433.32"/>
    <n v="4211"/>
  </r>
  <r>
    <x v="0"/>
    <x v="13"/>
    <x v="5"/>
    <x v="363"/>
    <x v="307"/>
    <x v="307"/>
    <s v="REVENUS"/>
    <x v="6"/>
    <s v="4221.003"/>
    <s v="Intérêts compensat. / acomptes en faveur du fisc"/>
    <n v="0"/>
    <n v="130.4"/>
    <n v="4221"/>
  </r>
  <r>
    <x v="0"/>
    <x v="13"/>
    <x v="5"/>
    <x v="363"/>
    <x v="307"/>
    <x v="307"/>
    <s v="REVENUS"/>
    <x v="7"/>
    <s v="4184.000"/>
    <s v="Frais de poursuite"/>
    <n v="0"/>
    <n v="765.6"/>
    <n v="4184"/>
  </r>
  <r>
    <x v="0"/>
    <x v="13"/>
    <x v="5"/>
    <x v="363"/>
    <x v="307"/>
    <x v="307"/>
    <s v="REVENUS"/>
    <x v="2"/>
    <s v="4001.002"/>
    <s v="Impôt complément s/revenu PP"/>
    <n v="0"/>
    <n v="137618"/>
    <n v="4001"/>
  </r>
  <r>
    <x v="0"/>
    <x v="13"/>
    <x v="5"/>
    <x v="363"/>
    <x v="307"/>
    <x v="307"/>
    <s v="REVENUS"/>
    <x v="3"/>
    <s v="4002.002"/>
    <s v="Impôt complémentaire s/fortune PP"/>
    <n v="0"/>
    <n v="4916.8500000000004"/>
    <n v="4002"/>
  </r>
  <r>
    <x v="0"/>
    <x v="13"/>
    <x v="5"/>
    <x v="363"/>
    <x v="307"/>
    <x v="307"/>
    <s v="REVENUS"/>
    <x v="2"/>
    <s v="4001.007"/>
    <s v="Acompte impôt sur revenu"/>
    <n v="0"/>
    <n v="-3.15"/>
    <n v="4001"/>
  </r>
  <r>
    <x v="0"/>
    <x v="13"/>
    <x v="5"/>
    <x v="363"/>
    <x v="307"/>
    <x v="307"/>
    <s v="REVENUS"/>
    <x v="3"/>
    <s v="4002.007"/>
    <s v="Acompte impôt sur fortune"/>
    <n v="0"/>
    <n v="555.55999999999995"/>
    <n v="4002"/>
  </r>
  <r>
    <x v="0"/>
    <x v="13"/>
    <x v="5"/>
    <x v="363"/>
    <x v="307"/>
    <x v="307"/>
    <s v="REVENUS"/>
    <x v="2"/>
    <s v="4001.007"/>
    <s v="Acompte impôt sur revenu"/>
    <n v="0"/>
    <n v="32.15"/>
    <n v="4001"/>
  </r>
  <r>
    <x v="0"/>
    <x v="13"/>
    <x v="5"/>
    <x v="363"/>
    <x v="307"/>
    <x v="307"/>
    <s v="REVENUS"/>
    <x v="3"/>
    <s v="4002.007"/>
    <s v="Acompte impôt sur fortune"/>
    <n v="0"/>
    <n v="-2.5499999999999998"/>
    <n v="4002"/>
  </r>
  <r>
    <x v="0"/>
    <x v="13"/>
    <x v="5"/>
    <x v="363"/>
    <x v="307"/>
    <x v="307"/>
    <s v="REVENUS"/>
    <x v="2"/>
    <s v="4001.007"/>
    <s v="Acompte impôt sur revenu"/>
    <n v="0"/>
    <n v="1151.2"/>
    <n v="4001"/>
  </r>
  <r>
    <x v="0"/>
    <x v="13"/>
    <x v="5"/>
    <x v="363"/>
    <x v="307"/>
    <x v="307"/>
    <s v="REVENUS"/>
    <x v="3"/>
    <s v="4002.007"/>
    <s v="Acompte impôt sur fortune"/>
    <n v="0"/>
    <n v="-65.55"/>
    <n v="4002"/>
  </r>
  <r>
    <x v="0"/>
    <x v="13"/>
    <x v="5"/>
    <x v="363"/>
    <x v="307"/>
    <x v="307"/>
    <s v="REVENUS"/>
    <x v="2"/>
    <s v="4001.007"/>
    <s v="Acompte impôt sur revenu"/>
    <n v="0"/>
    <n v="6197.05"/>
    <n v="4001"/>
  </r>
  <r>
    <x v="0"/>
    <x v="13"/>
    <x v="5"/>
    <x v="363"/>
    <x v="307"/>
    <x v="307"/>
    <s v="REVENUS"/>
    <x v="3"/>
    <s v="4002.007"/>
    <s v="Acompte impôt sur fortune"/>
    <n v="0"/>
    <n v="-3.8"/>
    <n v="4002"/>
  </r>
  <r>
    <x v="0"/>
    <x v="13"/>
    <x v="5"/>
    <x v="363"/>
    <x v="307"/>
    <x v="307"/>
    <s v="REVENUS"/>
    <x v="3"/>
    <s v="4002.007"/>
    <s v="Acompte impôt sur fortune"/>
    <n v="0"/>
    <n v="144.85"/>
    <n v="4002"/>
  </r>
  <r>
    <x v="0"/>
    <x v="13"/>
    <x v="5"/>
    <x v="363"/>
    <x v="307"/>
    <x v="307"/>
    <s v="REVENUS"/>
    <x v="10"/>
    <s v="4041.001"/>
    <s v="Droits de mutation"/>
    <n v="0"/>
    <n v="18864.95"/>
    <n v="4041"/>
  </r>
  <r>
    <x v="0"/>
    <x v="13"/>
    <x v="5"/>
    <x v="363"/>
    <x v="307"/>
    <x v="307"/>
    <s v="REVENUS"/>
    <x v="2"/>
    <s v="4001.007"/>
    <s v="Acompte impôt sur revenu"/>
    <n v="0"/>
    <n v="-458.1"/>
    <n v="4001"/>
  </r>
  <r>
    <x v="0"/>
    <x v="13"/>
    <x v="5"/>
    <x v="363"/>
    <x v="307"/>
    <x v="307"/>
    <s v="REVENUS"/>
    <x v="3"/>
    <s v="4002.007"/>
    <s v="Acompte impôt sur fortune"/>
    <n v="0"/>
    <n v="-133.80000000000001"/>
    <n v="4002"/>
  </r>
  <r>
    <x v="0"/>
    <x v="13"/>
    <x v="5"/>
    <x v="363"/>
    <x v="307"/>
    <x v="307"/>
    <s v="REVENUS"/>
    <x v="2"/>
    <s v="4001.001"/>
    <s v="Impôt revenu"/>
    <n v="0"/>
    <n v="1139"/>
    <n v="4001"/>
  </r>
  <r>
    <x v="0"/>
    <x v="13"/>
    <x v="5"/>
    <x v="363"/>
    <x v="307"/>
    <x v="307"/>
    <s v="REVENUS"/>
    <x v="6"/>
    <s v="4211.002"/>
    <s v="Intérêts de retard sur acomptes"/>
    <n v="0"/>
    <n v="3.7"/>
    <n v="4211"/>
  </r>
  <r>
    <x v="0"/>
    <x v="13"/>
    <x v="5"/>
    <x v="363"/>
    <x v="307"/>
    <x v="307"/>
    <s v="REVENUS"/>
    <x v="3"/>
    <s v="4002.001"/>
    <s v="Impôt ordinaire s/fortune PP"/>
    <n v="0"/>
    <n v="377.65"/>
    <n v="4002"/>
  </r>
  <r>
    <x v="0"/>
    <x v="13"/>
    <x v="5"/>
    <x v="363"/>
    <x v="307"/>
    <x v="307"/>
    <s v="REVENUS"/>
    <x v="7"/>
    <s v="4184.000"/>
    <s v="Frais de poursuite"/>
    <n v="0"/>
    <n v="206.76"/>
    <n v="4184"/>
  </r>
  <r>
    <x v="0"/>
    <x v="13"/>
    <x v="5"/>
    <x v="363"/>
    <x v="307"/>
    <x v="307"/>
    <s v="REVENUS"/>
    <x v="2"/>
    <s v="4001.001"/>
    <s v="Impôt revenu"/>
    <n v="0"/>
    <n v="5969.1"/>
    <n v="4001"/>
  </r>
  <r>
    <x v="0"/>
    <x v="13"/>
    <x v="5"/>
    <x v="363"/>
    <x v="307"/>
    <x v="307"/>
    <s v="REVENUS"/>
    <x v="3"/>
    <s v="4002.001"/>
    <s v="Impôt ordinaire s/fortune PP"/>
    <n v="0"/>
    <n v="5116.1499999999996"/>
    <n v="4002"/>
  </r>
  <r>
    <x v="0"/>
    <x v="13"/>
    <x v="5"/>
    <x v="363"/>
    <x v="307"/>
    <x v="307"/>
    <s v="REVENUS"/>
    <x v="2"/>
    <s v="4001.001"/>
    <s v="Impôt revenu"/>
    <n v="0"/>
    <n v="4328"/>
    <n v="4001"/>
  </r>
  <r>
    <x v="0"/>
    <x v="13"/>
    <x v="5"/>
    <x v="363"/>
    <x v="307"/>
    <x v="307"/>
    <s v="REVENUS"/>
    <x v="3"/>
    <s v="4002.001"/>
    <s v="Impôt ordinaire s/fortune PP"/>
    <n v="0"/>
    <n v="2871.4"/>
    <n v="4002"/>
  </r>
  <r>
    <x v="0"/>
    <x v="13"/>
    <x v="5"/>
    <x v="363"/>
    <x v="307"/>
    <x v="307"/>
    <s v="REVENUS"/>
    <x v="2"/>
    <s v="4001.007"/>
    <s v="Acompte impôt sur revenu"/>
    <n v="0"/>
    <n v="-164.45"/>
    <n v="4001"/>
  </r>
  <r>
    <x v="0"/>
    <x v="13"/>
    <x v="5"/>
    <x v="363"/>
    <x v="307"/>
    <x v="307"/>
    <s v="REVENUS"/>
    <x v="6"/>
    <s v="4211.002"/>
    <s v="Intérêts de retard sur acomptes"/>
    <n v="0"/>
    <n v="6.25"/>
    <n v="4211"/>
  </r>
  <r>
    <x v="0"/>
    <x v="13"/>
    <x v="5"/>
    <x v="363"/>
    <x v="307"/>
    <x v="307"/>
    <s v="REVENUS"/>
    <x v="6"/>
    <s v="4221.003"/>
    <s v="Intérêts compensat. / acomptes en faveur du fisc"/>
    <n v="0"/>
    <n v="0.01"/>
    <n v="4221"/>
  </r>
  <r>
    <x v="0"/>
    <x v="13"/>
    <x v="5"/>
    <x v="363"/>
    <x v="307"/>
    <x v="307"/>
    <s v="REVENUS"/>
    <x v="6"/>
    <s v="4221.003"/>
    <s v="Intérêts compensat. / acomptes en faveur du fisc"/>
    <n v="0"/>
    <n v="2.1"/>
    <n v="4221"/>
  </r>
  <r>
    <x v="0"/>
    <x v="13"/>
    <x v="5"/>
    <x v="363"/>
    <x v="307"/>
    <x v="307"/>
    <s v="REVENUS"/>
    <x v="2"/>
    <s v="4001.001"/>
    <s v="Impôt revenu"/>
    <n v="0"/>
    <n v="619.5"/>
    <n v="4001"/>
  </r>
  <r>
    <x v="0"/>
    <x v="13"/>
    <x v="5"/>
    <x v="363"/>
    <x v="307"/>
    <x v="307"/>
    <s v="REVENUS"/>
    <x v="3"/>
    <s v="4002.001"/>
    <s v="Impôt ordinaire s/fortune PP"/>
    <n v="0"/>
    <n v="327.95"/>
    <n v="4002"/>
  </r>
  <r>
    <x v="0"/>
    <x v="13"/>
    <x v="5"/>
    <x v="363"/>
    <x v="307"/>
    <x v="307"/>
    <s v="REVENUS"/>
    <x v="6"/>
    <s v="4211.002"/>
    <s v="Intérêts de retard sur acomptes"/>
    <n v="0"/>
    <n v="58.83"/>
    <n v="4211"/>
  </r>
  <r>
    <x v="0"/>
    <x v="13"/>
    <x v="5"/>
    <x v="363"/>
    <x v="307"/>
    <x v="307"/>
    <s v="REVENUS"/>
    <x v="5"/>
    <s v="4061.000"/>
    <s v="Impôt sur les chiens"/>
    <n v="0"/>
    <n v="6750"/>
    <n v="4061"/>
  </r>
  <r>
    <x v="0"/>
    <x v="13"/>
    <x v="5"/>
    <x v="363"/>
    <x v="307"/>
    <x v="307"/>
    <s v="REVENUS"/>
    <x v="6"/>
    <s v="4211.001"/>
    <s v="Intérêts de retard sur factures"/>
    <n v="0"/>
    <n v="6.87"/>
    <n v="4211"/>
  </r>
  <r>
    <x v="0"/>
    <x v="13"/>
    <x v="5"/>
    <x v="363"/>
    <x v="307"/>
    <x v="307"/>
    <s v="REVENUS"/>
    <x v="6"/>
    <s v="4221.003"/>
    <s v="Intérêts compensat. / acomptes en faveur du fisc"/>
    <n v="0"/>
    <n v="0.01"/>
    <n v="4221"/>
  </r>
  <r>
    <x v="0"/>
    <x v="13"/>
    <x v="5"/>
    <x v="363"/>
    <x v="307"/>
    <x v="307"/>
    <s v="REVENUS"/>
    <x v="6"/>
    <s v="4221.003"/>
    <s v="Intérêts compensat. / acomptes en faveur du fisc"/>
    <n v="0"/>
    <n v="0.04"/>
    <n v="4221"/>
  </r>
  <r>
    <x v="0"/>
    <x v="13"/>
    <x v="5"/>
    <x v="363"/>
    <x v="307"/>
    <x v="307"/>
    <s v="REVENUS"/>
    <x v="2"/>
    <s v="4001.002"/>
    <s v="Impôt complément s/revenu PP"/>
    <n v="0"/>
    <n v="669.2"/>
    <n v="4001"/>
  </r>
  <r>
    <x v="0"/>
    <x v="13"/>
    <x v="5"/>
    <x v="363"/>
    <x v="307"/>
    <x v="307"/>
    <s v="REVENUS"/>
    <x v="3"/>
    <s v="4002.002"/>
    <s v="Impôt complémentaire s/fortune PP"/>
    <n v="0"/>
    <n v="1947.5"/>
    <n v="4002"/>
  </r>
  <r>
    <x v="0"/>
    <x v="13"/>
    <x v="5"/>
    <x v="363"/>
    <x v="307"/>
    <x v="307"/>
    <s v="REVENUS"/>
    <x v="6"/>
    <s v="4211.001"/>
    <s v="Intérêts de retard sur factures"/>
    <n v="0"/>
    <n v="0.54"/>
    <n v="4211"/>
  </r>
  <r>
    <x v="0"/>
    <x v="13"/>
    <x v="5"/>
    <x v="363"/>
    <x v="307"/>
    <x v="307"/>
    <s v="REVENUS"/>
    <x v="6"/>
    <s v="4211.001"/>
    <s v="Intérêts de retard sur factures"/>
    <n v="0"/>
    <n v="3.74"/>
    <n v="4211"/>
  </r>
  <r>
    <x v="0"/>
    <x v="13"/>
    <x v="5"/>
    <x v="363"/>
    <x v="307"/>
    <x v="307"/>
    <s v="REVENUS"/>
    <x v="2"/>
    <s v="4001.001"/>
    <s v="Impôt revenu"/>
    <n v="0"/>
    <n v="40.35"/>
    <n v="4001"/>
  </r>
  <r>
    <x v="0"/>
    <x v="13"/>
    <x v="5"/>
    <x v="363"/>
    <x v="307"/>
    <x v="307"/>
    <s v="REVENUS"/>
    <x v="6"/>
    <s v="4211.002"/>
    <s v="Intérêts de retard sur acomptes"/>
    <n v="0"/>
    <n v="1.91"/>
    <n v="4211"/>
  </r>
  <r>
    <x v="0"/>
    <x v="13"/>
    <x v="5"/>
    <x v="364"/>
    <x v="308"/>
    <x v="308"/>
    <s v="CHARGES"/>
    <x v="0"/>
    <s v="3212.004"/>
    <s v="Intérêts rémun./perçu trop tôt sur acomptes C/C"/>
    <n v="159.38"/>
    <n v="0"/>
    <n v="3212"/>
  </r>
  <r>
    <x v="0"/>
    <x v="13"/>
    <x v="5"/>
    <x v="364"/>
    <x v="308"/>
    <x v="308"/>
    <s v="CHARGES"/>
    <x v="1"/>
    <s v="3301.001"/>
    <s v="Défalcations, abandons de solde PP et IS"/>
    <n v="206.8"/>
    <n v="0"/>
    <n v="3301"/>
  </r>
  <r>
    <x v="0"/>
    <x v="13"/>
    <x v="5"/>
    <x v="364"/>
    <x v="308"/>
    <x v="308"/>
    <s v="CHARGES"/>
    <x v="1"/>
    <s v="3301.001"/>
    <s v="Défalcations, abandons de solde PP et IS"/>
    <n v="21070.04"/>
    <n v="0"/>
    <n v="3301"/>
  </r>
  <r>
    <x v="0"/>
    <x v="13"/>
    <x v="5"/>
    <x v="364"/>
    <x v="308"/>
    <x v="308"/>
    <s v="CHARGES"/>
    <x v="0"/>
    <s v="3221.002"/>
    <s v="Intérêts compensatoires / créances en faveur ctb."/>
    <n v="124.99"/>
    <n v="0"/>
    <n v="3221"/>
  </r>
  <r>
    <x v="0"/>
    <x v="13"/>
    <x v="5"/>
    <x v="364"/>
    <x v="308"/>
    <x v="308"/>
    <s v="CHARGES"/>
    <x v="0"/>
    <s v="3212.004"/>
    <s v="Intérêts rémun./perçu trop tôt sur acomptes C/C"/>
    <n v="0.04"/>
    <n v="0"/>
    <n v="3212"/>
  </r>
  <r>
    <x v="0"/>
    <x v="13"/>
    <x v="5"/>
    <x v="364"/>
    <x v="308"/>
    <x v="308"/>
    <s v="CHARGES"/>
    <x v="0"/>
    <s v="3212.002"/>
    <s v="Intérêts bonifiés/trop perçu acompte C/C"/>
    <n v="0.23"/>
    <n v="0"/>
    <n v="3212"/>
  </r>
  <r>
    <x v="0"/>
    <x v="13"/>
    <x v="5"/>
    <x v="364"/>
    <x v="308"/>
    <x v="308"/>
    <s v="CHARGES"/>
    <x v="1"/>
    <s v="3301.001"/>
    <s v="Défalcations, abandons de solde PP et IS"/>
    <n v="0.01"/>
    <n v="0"/>
    <n v="3301"/>
  </r>
  <r>
    <x v="0"/>
    <x v="13"/>
    <x v="5"/>
    <x v="364"/>
    <x v="308"/>
    <x v="308"/>
    <s v="CHARGES"/>
    <x v="0"/>
    <s v="3212.004"/>
    <s v="Intérêts rémun./perçu trop tôt sur acomptes C/C"/>
    <n v="3.4"/>
    <n v="0"/>
    <n v="3212"/>
  </r>
  <r>
    <x v="0"/>
    <x v="13"/>
    <x v="5"/>
    <x v="364"/>
    <x v="308"/>
    <x v="308"/>
    <s v="CHARGES"/>
    <x v="0"/>
    <s v="3221.002"/>
    <s v="Intérêts compensatoires / créances en faveur ctb."/>
    <n v="2.5299999999999998"/>
    <n v="0"/>
    <n v="3221"/>
  </r>
  <r>
    <x v="0"/>
    <x v="13"/>
    <x v="5"/>
    <x v="364"/>
    <x v="308"/>
    <x v="308"/>
    <s v="CHARGES"/>
    <x v="0"/>
    <s v="3212.004"/>
    <s v="Intérêts rémun./perçu trop tôt sur acomptes C/C"/>
    <n v="0.3"/>
    <n v="0"/>
    <n v="3212"/>
  </r>
  <r>
    <x v="0"/>
    <x v="13"/>
    <x v="5"/>
    <x v="364"/>
    <x v="308"/>
    <x v="308"/>
    <s v="CHARGES"/>
    <x v="0"/>
    <s v="3221.002"/>
    <s v="Intérêts compensatoires / créances en faveur ctb."/>
    <n v="0.06"/>
    <n v="0"/>
    <n v="3221"/>
  </r>
  <r>
    <x v="0"/>
    <x v="13"/>
    <x v="5"/>
    <x v="364"/>
    <x v="308"/>
    <x v="308"/>
    <s v="REVENUS"/>
    <x v="2"/>
    <s v="4001.001"/>
    <s v="Impôt revenu"/>
    <n v="0"/>
    <n v="522626.85"/>
    <n v="4001"/>
  </r>
  <r>
    <x v="0"/>
    <x v="13"/>
    <x v="5"/>
    <x v="364"/>
    <x v="308"/>
    <x v="308"/>
    <s v="REVENUS"/>
    <x v="2"/>
    <s v="4001.003"/>
    <s v="Impôt s/prest. cap. PP"/>
    <n v="0"/>
    <n v="14187.7"/>
    <n v="4001"/>
  </r>
  <r>
    <x v="0"/>
    <x v="13"/>
    <x v="5"/>
    <x v="364"/>
    <x v="308"/>
    <x v="308"/>
    <s v="REVENUS"/>
    <x v="2"/>
    <s v="4001.007"/>
    <s v="Acompte impôt sur revenu"/>
    <n v="0"/>
    <n v="-183681.27"/>
    <n v="4001"/>
  </r>
  <r>
    <x v="0"/>
    <x v="13"/>
    <x v="5"/>
    <x v="364"/>
    <x v="308"/>
    <x v="308"/>
    <s v="REVENUS"/>
    <x v="3"/>
    <s v="4002.001"/>
    <s v="Impôt ordinaire s/fortune PP"/>
    <n v="0"/>
    <n v="82998.05"/>
    <n v="4002"/>
  </r>
  <r>
    <x v="0"/>
    <x v="13"/>
    <x v="5"/>
    <x v="364"/>
    <x v="308"/>
    <x v="308"/>
    <s v="REVENUS"/>
    <x v="3"/>
    <s v="4002.007"/>
    <s v="Acompte impôt sur fortune"/>
    <n v="0"/>
    <n v="-10348.870000000001"/>
    <n v="4002"/>
  </r>
  <r>
    <x v="0"/>
    <x v="13"/>
    <x v="5"/>
    <x v="364"/>
    <x v="308"/>
    <x v="308"/>
    <s v="REVENUS"/>
    <x v="6"/>
    <s v="4211.001"/>
    <s v="Intérêts de retard sur factures"/>
    <n v="0"/>
    <n v="2514.4"/>
    <n v="4211"/>
  </r>
  <r>
    <x v="0"/>
    <x v="13"/>
    <x v="5"/>
    <x v="364"/>
    <x v="308"/>
    <x v="308"/>
    <s v="REVENUS"/>
    <x v="6"/>
    <s v="4221.003"/>
    <s v="Intérêts compensat. / acomptes en faveur du fisc"/>
    <n v="0"/>
    <n v="32.200000000000003"/>
    <n v="4221"/>
  </r>
  <r>
    <x v="0"/>
    <x v="13"/>
    <x v="5"/>
    <x v="364"/>
    <x v="308"/>
    <x v="308"/>
    <s v="REVENUS"/>
    <x v="6"/>
    <s v="4211.002"/>
    <s v="Intérêts de retard sur acomptes"/>
    <n v="0"/>
    <n v="1570.96"/>
    <n v="4211"/>
  </r>
  <r>
    <x v="0"/>
    <x v="13"/>
    <x v="5"/>
    <x v="364"/>
    <x v="308"/>
    <x v="308"/>
    <s v="REVENUS"/>
    <x v="9"/>
    <s v="4031.001"/>
    <s v="Impôt sur les gains immobiliers"/>
    <n v="0"/>
    <n v="12903.15"/>
    <n v="4031"/>
  </r>
  <r>
    <x v="0"/>
    <x v="13"/>
    <x v="5"/>
    <x v="364"/>
    <x v="308"/>
    <x v="308"/>
    <s v="REVENUS"/>
    <x v="10"/>
    <s v="4041.001"/>
    <s v="Droits de mutation"/>
    <n v="0"/>
    <n v="7998.3"/>
    <n v="4041"/>
  </r>
  <r>
    <x v="0"/>
    <x v="13"/>
    <x v="5"/>
    <x v="364"/>
    <x v="308"/>
    <x v="308"/>
    <s v="REVENUS"/>
    <x v="2"/>
    <s v="4001.002"/>
    <s v="Impôt complément s/revenu PP"/>
    <n v="0"/>
    <n v="26570.7"/>
    <n v="4001"/>
  </r>
  <r>
    <x v="0"/>
    <x v="13"/>
    <x v="5"/>
    <x v="364"/>
    <x v="308"/>
    <x v="308"/>
    <s v="REVENUS"/>
    <x v="3"/>
    <s v="4002.002"/>
    <s v="Impôt complémentaire s/fortune PP"/>
    <n v="0"/>
    <n v="3026"/>
    <n v="4002"/>
  </r>
  <r>
    <x v="0"/>
    <x v="13"/>
    <x v="5"/>
    <x v="364"/>
    <x v="308"/>
    <x v="308"/>
    <s v="REVENUS"/>
    <x v="2"/>
    <s v="4001.001"/>
    <s v="Impôt revenu"/>
    <n v="0"/>
    <n v="141.94999999999999"/>
    <n v="4001"/>
  </r>
  <r>
    <x v="0"/>
    <x v="13"/>
    <x v="5"/>
    <x v="364"/>
    <x v="308"/>
    <x v="308"/>
    <s v="REVENUS"/>
    <x v="3"/>
    <s v="4002.001"/>
    <s v="Impôt ordinaire s/fortune PP"/>
    <n v="0"/>
    <n v="220.9"/>
    <n v="4002"/>
  </r>
  <r>
    <x v="0"/>
    <x v="13"/>
    <x v="5"/>
    <x v="364"/>
    <x v="308"/>
    <x v="308"/>
    <s v="REVENUS"/>
    <x v="2"/>
    <s v="4001.007"/>
    <s v="Acompte impôt sur revenu"/>
    <n v="0"/>
    <n v="-18.399999999999999"/>
    <n v="4001"/>
  </r>
  <r>
    <x v="0"/>
    <x v="13"/>
    <x v="5"/>
    <x v="364"/>
    <x v="308"/>
    <x v="308"/>
    <s v="REVENUS"/>
    <x v="7"/>
    <s v="4184.000"/>
    <s v="Frais de poursuite"/>
    <n v="0"/>
    <n v="403.2"/>
    <n v="4184"/>
  </r>
  <r>
    <x v="0"/>
    <x v="13"/>
    <x v="5"/>
    <x v="364"/>
    <x v="308"/>
    <x v="308"/>
    <s v="REVENUS"/>
    <x v="2"/>
    <s v="4001.007"/>
    <s v="Acompte impôt sur revenu"/>
    <n v="0"/>
    <n v="-219.65"/>
    <n v="4001"/>
  </r>
  <r>
    <x v="0"/>
    <x v="13"/>
    <x v="5"/>
    <x v="364"/>
    <x v="308"/>
    <x v="308"/>
    <s v="REVENUS"/>
    <x v="2"/>
    <s v="4001.007"/>
    <s v="Acompte impôt sur revenu"/>
    <n v="0"/>
    <n v="-7212.15"/>
    <n v="4001"/>
  </r>
  <r>
    <x v="0"/>
    <x v="13"/>
    <x v="5"/>
    <x v="364"/>
    <x v="308"/>
    <x v="308"/>
    <s v="REVENUS"/>
    <x v="3"/>
    <s v="4002.007"/>
    <s v="Acompte impôt sur fortune"/>
    <n v="0"/>
    <n v="-80.02"/>
    <n v="4002"/>
  </r>
  <r>
    <x v="0"/>
    <x v="13"/>
    <x v="5"/>
    <x v="364"/>
    <x v="308"/>
    <x v="308"/>
    <s v="REVENUS"/>
    <x v="2"/>
    <s v="4001.007"/>
    <s v="Acompte impôt sur revenu"/>
    <n v="0"/>
    <n v="-1073.5999999999999"/>
    <n v="4001"/>
  </r>
  <r>
    <x v="0"/>
    <x v="13"/>
    <x v="5"/>
    <x v="364"/>
    <x v="308"/>
    <x v="308"/>
    <s v="REVENUS"/>
    <x v="2"/>
    <s v="4001.007"/>
    <s v="Acompte impôt sur revenu"/>
    <n v="0"/>
    <n v="-177.95"/>
    <n v="4001"/>
  </r>
  <r>
    <x v="0"/>
    <x v="13"/>
    <x v="5"/>
    <x v="364"/>
    <x v="308"/>
    <x v="308"/>
    <s v="REVENUS"/>
    <x v="3"/>
    <s v="4002.007"/>
    <s v="Acompte impôt sur fortune"/>
    <n v="0"/>
    <n v="-315.3"/>
    <n v="4002"/>
  </r>
  <r>
    <x v="0"/>
    <x v="13"/>
    <x v="5"/>
    <x v="364"/>
    <x v="308"/>
    <x v="308"/>
    <s v="REVENUS"/>
    <x v="3"/>
    <s v="4002.007"/>
    <s v="Acompte impôt sur fortune"/>
    <n v="0"/>
    <n v="-53.25"/>
    <n v="4002"/>
  </r>
  <r>
    <x v="0"/>
    <x v="13"/>
    <x v="5"/>
    <x v="364"/>
    <x v="308"/>
    <x v="308"/>
    <s v="REVENUS"/>
    <x v="3"/>
    <s v="4002.007"/>
    <s v="Acompte impôt sur fortune"/>
    <n v="0"/>
    <n v="28.85"/>
    <n v="4002"/>
  </r>
  <r>
    <x v="0"/>
    <x v="13"/>
    <x v="5"/>
    <x v="364"/>
    <x v="308"/>
    <x v="308"/>
    <s v="REVENUS"/>
    <x v="7"/>
    <s v="4184.000"/>
    <s v="Frais de poursuite"/>
    <n v="0"/>
    <n v="120.8"/>
    <n v="4184"/>
  </r>
  <r>
    <x v="0"/>
    <x v="13"/>
    <x v="5"/>
    <x v="364"/>
    <x v="308"/>
    <x v="308"/>
    <s v="REVENUS"/>
    <x v="6"/>
    <s v="4211.001"/>
    <s v="Intérêts de retard sur factures"/>
    <n v="0"/>
    <n v="7.44"/>
    <n v="4211"/>
  </r>
  <r>
    <x v="0"/>
    <x v="13"/>
    <x v="5"/>
    <x v="364"/>
    <x v="308"/>
    <x v="308"/>
    <s v="REVENUS"/>
    <x v="2"/>
    <s v="4001.001"/>
    <s v="Impôt revenu"/>
    <n v="0"/>
    <n v="9062.2000000000007"/>
    <n v="4001"/>
  </r>
  <r>
    <x v="0"/>
    <x v="13"/>
    <x v="5"/>
    <x v="364"/>
    <x v="308"/>
    <x v="308"/>
    <s v="REVENUS"/>
    <x v="6"/>
    <s v="4211.002"/>
    <s v="Intérêts de retard sur acomptes"/>
    <n v="0"/>
    <n v="5.78"/>
    <n v="4211"/>
  </r>
  <r>
    <x v="0"/>
    <x v="13"/>
    <x v="5"/>
    <x v="364"/>
    <x v="308"/>
    <x v="308"/>
    <s v="REVENUS"/>
    <x v="3"/>
    <s v="4002.001"/>
    <s v="Impôt ordinaire s/fortune PP"/>
    <n v="0"/>
    <n v="236.95"/>
    <n v="4002"/>
  </r>
  <r>
    <x v="0"/>
    <x v="13"/>
    <x v="5"/>
    <x v="364"/>
    <x v="308"/>
    <x v="308"/>
    <s v="REVENUS"/>
    <x v="4"/>
    <s v="4051.001"/>
    <s v="Impôt sur les successions"/>
    <n v="0"/>
    <n v="2772"/>
    <n v="4051"/>
  </r>
  <r>
    <x v="0"/>
    <x v="13"/>
    <x v="5"/>
    <x v="364"/>
    <x v="308"/>
    <x v="308"/>
    <s v="REVENUS"/>
    <x v="6"/>
    <s v="4221.002"/>
    <s v="Intérêts compensat. sur impôts distincts"/>
    <n v="0"/>
    <n v="7.41"/>
    <n v="4221"/>
  </r>
  <r>
    <x v="0"/>
    <x v="13"/>
    <x v="5"/>
    <x v="364"/>
    <x v="308"/>
    <x v="308"/>
    <s v="REVENUS"/>
    <x v="2"/>
    <s v="4001.001"/>
    <s v="Impôt revenu"/>
    <n v="0"/>
    <n v="503.95"/>
    <n v="4001"/>
  </r>
  <r>
    <x v="0"/>
    <x v="13"/>
    <x v="5"/>
    <x v="364"/>
    <x v="308"/>
    <x v="308"/>
    <s v="REVENUS"/>
    <x v="5"/>
    <s v="4061.000"/>
    <s v="Impôt sur les chiens"/>
    <n v="0"/>
    <n v="3350"/>
    <n v="4061"/>
  </r>
  <r>
    <x v="0"/>
    <x v="13"/>
    <x v="5"/>
    <x v="364"/>
    <x v="308"/>
    <x v="308"/>
    <s v="REVENUS"/>
    <x v="3"/>
    <s v="4002.002"/>
    <s v="Impôt complémentaire s/fortune PP"/>
    <n v="0"/>
    <n v="930.6"/>
    <n v="4002"/>
  </r>
  <r>
    <x v="0"/>
    <x v="13"/>
    <x v="5"/>
    <x v="364"/>
    <x v="308"/>
    <x v="308"/>
    <s v="REVENUS"/>
    <x v="2"/>
    <s v="4001.007"/>
    <s v="Acompte impôt sur revenu"/>
    <n v="0"/>
    <n v="-77.45"/>
    <n v="4001"/>
  </r>
  <r>
    <x v="0"/>
    <x v="13"/>
    <x v="5"/>
    <x v="364"/>
    <x v="308"/>
    <x v="308"/>
    <s v="REVENUS"/>
    <x v="3"/>
    <s v="4002.007"/>
    <s v="Acompte impôt sur fortune"/>
    <n v="0"/>
    <n v="-140.80000000000001"/>
    <n v="4002"/>
  </r>
  <r>
    <x v="0"/>
    <x v="13"/>
    <x v="5"/>
    <x v="364"/>
    <x v="308"/>
    <x v="308"/>
    <s v="REVENUS"/>
    <x v="2"/>
    <s v="4001.001"/>
    <s v="Impôt revenu"/>
    <n v="0"/>
    <n v="0"/>
    <n v="4001"/>
  </r>
  <r>
    <x v="0"/>
    <x v="13"/>
    <x v="5"/>
    <x v="364"/>
    <x v="308"/>
    <x v="308"/>
    <s v="REVENUS"/>
    <x v="3"/>
    <s v="4002.001"/>
    <s v="Impôt ordinaire s/fortune PP"/>
    <n v="0"/>
    <n v="0"/>
    <n v="4002"/>
  </r>
  <r>
    <x v="0"/>
    <x v="13"/>
    <x v="5"/>
    <x v="364"/>
    <x v="308"/>
    <x v="308"/>
    <s v="REVENUS"/>
    <x v="6"/>
    <s v="4211.002"/>
    <s v="Intérêts de retard sur acomptes"/>
    <n v="0"/>
    <n v="84.02"/>
    <n v="4211"/>
  </r>
  <r>
    <x v="0"/>
    <x v="13"/>
    <x v="5"/>
    <x v="364"/>
    <x v="308"/>
    <x v="308"/>
    <s v="REVENUS"/>
    <x v="6"/>
    <s v="4221.003"/>
    <s v="Intérêts compensat. / acomptes en faveur du fisc"/>
    <n v="0"/>
    <n v="1.7"/>
    <n v="4221"/>
  </r>
  <r>
    <x v="0"/>
    <x v="13"/>
    <x v="5"/>
    <x v="364"/>
    <x v="308"/>
    <x v="308"/>
    <s v="REVENUS"/>
    <x v="3"/>
    <s v="4002.007"/>
    <s v="Acompte impôt sur fortune"/>
    <n v="0"/>
    <n v="-472.5"/>
    <n v="4002"/>
  </r>
  <r>
    <x v="0"/>
    <x v="13"/>
    <x v="5"/>
    <x v="364"/>
    <x v="308"/>
    <x v="308"/>
    <s v="REVENUS"/>
    <x v="2"/>
    <s v="4001.002"/>
    <s v="Impôt complément s/revenu PP"/>
    <n v="0"/>
    <n v="1189.95"/>
    <n v="4001"/>
  </r>
  <r>
    <x v="0"/>
    <x v="13"/>
    <x v="5"/>
    <x v="365"/>
    <x v="309"/>
    <x v="309"/>
    <s v="CHARGES"/>
    <x v="0"/>
    <s v="3212.004"/>
    <s v="Intérêts rémun./perçu trop tôt sur acomptes C/C"/>
    <n v="210.99"/>
    <n v="0"/>
    <n v="3212"/>
  </r>
  <r>
    <x v="0"/>
    <x v="13"/>
    <x v="5"/>
    <x v="365"/>
    <x v="309"/>
    <x v="309"/>
    <s v="CHARGES"/>
    <x v="0"/>
    <s v="3221.002"/>
    <s v="Intérêts compensatoires / créances en faveur ctb."/>
    <n v="29.06"/>
    <n v="0"/>
    <n v="3221"/>
  </r>
  <r>
    <x v="0"/>
    <x v="13"/>
    <x v="5"/>
    <x v="365"/>
    <x v="309"/>
    <x v="309"/>
    <s v="CHARGES"/>
    <x v="1"/>
    <s v="3301.001"/>
    <s v="Défalcations, abandons de solde PP et IS"/>
    <n v="2716.37"/>
    <n v="0"/>
    <n v="3301"/>
  </r>
  <r>
    <x v="0"/>
    <x v="13"/>
    <x v="5"/>
    <x v="365"/>
    <x v="309"/>
    <x v="309"/>
    <s v="CHARGES"/>
    <x v="0"/>
    <s v="3212.002"/>
    <s v="Intérêts bonifiés/trop perçu acompte C/C"/>
    <n v="3.57"/>
    <n v="0"/>
    <n v="3212"/>
  </r>
  <r>
    <x v="0"/>
    <x v="13"/>
    <x v="5"/>
    <x v="365"/>
    <x v="309"/>
    <x v="309"/>
    <s v="CHARGES"/>
    <x v="0"/>
    <s v="3212.004"/>
    <s v="Intérêts rémun./perçu trop tôt sur acomptes C/C"/>
    <n v="1.66"/>
    <n v="0"/>
    <n v="3212"/>
  </r>
  <r>
    <x v="0"/>
    <x v="13"/>
    <x v="5"/>
    <x v="365"/>
    <x v="309"/>
    <x v="309"/>
    <s v="CHARGES"/>
    <x v="0"/>
    <s v="3221.002"/>
    <s v="Intérêts compensatoires / créances en faveur ctb."/>
    <n v="0.95"/>
    <n v="0"/>
    <n v="3221"/>
  </r>
  <r>
    <x v="0"/>
    <x v="13"/>
    <x v="5"/>
    <x v="365"/>
    <x v="309"/>
    <x v="309"/>
    <s v="CHARGES"/>
    <x v="0"/>
    <s v="3212.004"/>
    <s v="Intérêts rémun./perçu trop tôt sur acomptes C/C"/>
    <n v="0"/>
    <n v="0"/>
    <n v="3212"/>
  </r>
  <r>
    <x v="0"/>
    <x v="13"/>
    <x v="5"/>
    <x v="365"/>
    <x v="309"/>
    <x v="309"/>
    <s v="CHARGES"/>
    <x v="0"/>
    <s v="3221.002"/>
    <s v="Intérêts compensatoires / créances en faveur ctb."/>
    <n v="0"/>
    <n v="0"/>
    <n v="3221"/>
  </r>
  <r>
    <x v="0"/>
    <x v="13"/>
    <x v="5"/>
    <x v="365"/>
    <x v="309"/>
    <x v="309"/>
    <s v="CHARGES"/>
    <x v="1"/>
    <s v="3301.001"/>
    <s v="Défalcations, abandons de solde PP et IS"/>
    <n v="6577.58"/>
    <n v="0"/>
    <n v="3301"/>
  </r>
  <r>
    <x v="0"/>
    <x v="13"/>
    <x v="5"/>
    <x v="365"/>
    <x v="309"/>
    <x v="309"/>
    <s v="CHARGES"/>
    <x v="1"/>
    <s v="3301.003"/>
    <s v="Remises PP et IS"/>
    <n v="3401.83"/>
    <n v="0"/>
    <n v="3301"/>
  </r>
  <r>
    <x v="0"/>
    <x v="13"/>
    <x v="5"/>
    <x v="365"/>
    <x v="309"/>
    <x v="309"/>
    <s v="CHARGES"/>
    <x v="1"/>
    <s v="3301.001"/>
    <s v="Défalcations, abandons de solde PP et IS"/>
    <n v="1670.75"/>
    <n v="0"/>
    <n v="3301"/>
  </r>
  <r>
    <x v="0"/>
    <x v="13"/>
    <x v="5"/>
    <x v="365"/>
    <x v="309"/>
    <x v="309"/>
    <s v="REVENUS"/>
    <x v="2"/>
    <s v="4001.007"/>
    <s v="Acompte impôt sur revenu"/>
    <n v="0"/>
    <n v="-27445.439999999999"/>
    <n v="4001"/>
  </r>
  <r>
    <x v="0"/>
    <x v="13"/>
    <x v="5"/>
    <x v="365"/>
    <x v="309"/>
    <x v="309"/>
    <s v="REVENUS"/>
    <x v="3"/>
    <s v="4002.007"/>
    <s v="Acompte impôt sur fortune"/>
    <n v="0"/>
    <n v="-26638.86"/>
    <n v="4002"/>
  </r>
  <r>
    <x v="0"/>
    <x v="13"/>
    <x v="5"/>
    <x v="365"/>
    <x v="309"/>
    <x v="309"/>
    <s v="REVENUS"/>
    <x v="2"/>
    <s v="4001.001"/>
    <s v="Impôt revenu"/>
    <n v="0"/>
    <n v="777482.2"/>
    <n v="4001"/>
  </r>
  <r>
    <x v="0"/>
    <x v="13"/>
    <x v="5"/>
    <x v="365"/>
    <x v="309"/>
    <x v="309"/>
    <s v="REVENUS"/>
    <x v="3"/>
    <s v="4002.001"/>
    <s v="Impôt ordinaire s/fortune PP"/>
    <n v="0"/>
    <n v="148568.95000000001"/>
    <n v="4002"/>
  </r>
  <r>
    <x v="0"/>
    <x v="13"/>
    <x v="5"/>
    <x v="365"/>
    <x v="309"/>
    <x v="309"/>
    <s v="REVENUS"/>
    <x v="6"/>
    <s v="4211.001"/>
    <s v="Intérêts de retard sur factures"/>
    <n v="0"/>
    <n v="5587.89"/>
    <n v="4211"/>
  </r>
  <r>
    <x v="0"/>
    <x v="13"/>
    <x v="5"/>
    <x v="365"/>
    <x v="309"/>
    <x v="309"/>
    <s v="REVENUS"/>
    <x v="6"/>
    <s v="4211.002"/>
    <s v="Intérêts de retard sur acomptes"/>
    <n v="0"/>
    <n v="4707.51"/>
    <n v="4211"/>
  </r>
  <r>
    <x v="0"/>
    <x v="13"/>
    <x v="5"/>
    <x v="365"/>
    <x v="309"/>
    <x v="309"/>
    <s v="REVENUS"/>
    <x v="2"/>
    <s v="4001.003"/>
    <s v="Impôt s/prest. cap. PP"/>
    <n v="0"/>
    <n v="22701.05"/>
    <n v="4001"/>
  </r>
  <r>
    <x v="0"/>
    <x v="13"/>
    <x v="5"/>
    <x v="365"/>
    <x v="309"/>
    <x v="309"/>
    <s v="REVENUS"/>
    <x v="2"/>
    <s v="4001.002"/>
    <s v="Impôt complément s/revenu PP"/>
    <n v="0"/>
    <n v="281455.25"/>
    <n v="4001"/>
  </r>
  <r>
    <x v="0"/>
    <x v="13"/>
    <x v="5"/>
    <x v="365"/>
    <x v="309"/>
    <x v="309"/>
    <s v="REVENUS"/>
    <x v="3"/>
    <s v="4002.002"/>
    <s v="Impôt complémentaire s/fortune PP"/>
    <n v="0"/>
    <n v="76259.75"/>
    <n v="4002"/>
  </r>
  <r>
    <x v="0"/>
    <x v="13"/>
    <x v="5"/>
    <x v="365"/>
    <x v="309"/>
    <x v="309"/>
    <s v="REVENUS"/>
    <x v="6"/>
    <s v="4221.003"/>
    <s v="Intérêts compensat. / acomptes en faveur du fisc"/>
    <n v="0"/>
    <n v="264.02"/>
    <n v="4221"/>
  </r>
  <r>
    <x v="0"/>
    <x v="13"/>
    <x v="5"/>
    <x v="365"/>
    <x v="309"/>
    <x v="309"/>
    <s v="REVENUS"/>
    <x v="3"/>
    <s v="4002.007"/>
    <s v="Acompte impôt sur fortune"/>
    <n v="0"/>
    <n v="-2481.7199999999998"/>
    <n v="4002"/>
  </r>
  <r>
    <x v="0"/>
    <x v="13"/>
    <x v="5"/>
    <x v="365"/>
    <x v="309"/>
    <x v="309"/>
    <s v="REVENUS"/>
    <x v="2"/>
    <s v="4001.007"/>
    <s v="Acompte impôt sur revenu"/>
    <n v="0"/>
    <n v="-351.55"/>
    <n v="4001"/>
  </r>
  <r>
    <x v="0"/>
    <x v="13"/>
    <x v="5"/>
    <x v="365"/>
    <x v="309"/>
    <x v="309"/>
    <s v="REVENUS"/>
    <x v="3"/>
    <s v="4002.007"/>
    <s v="Acompte impôt sur fortune"/>
    <n v="0"/>
    <n v="-1870.1"/>
    <n v="4002"/>
  </r>
  <r>
    <x v="0"/>
    <x v="13"/>
    <x v="5"/>
    <x v="365"/>
    <x v="309"/>
    <x v="309"/>
    <s v="REVENUS"/>
    <x v="7"/>
    <s v="4184.000"/>
    <s v="Frais de poursuite"/>
    <n v="0"/>
    <n v="682.73"/>
    <n v="4184"/>
  </r>
  <r>
    <x v="0"/>
    <x v="13"/>
    <x v="5"/>
    <x v="365"/>
    <x v="309"/>
    <x v="309"/>
    <s v="REVENUS"/>
    <x v="2"/>
    <s v="4001.007"/>
    <s v="Acompte impôt sur revenu"/>
    <n v="0"/>
    <n v="222.45"/>
    <n v="4001"/>
  </r>
  <r>
    <x v="0"/>
    <x v="13"/>
    <x v="5"/>
    <x v="365"/>
    <x v="309"/>
    <x v="309"/>
    <s v="REVENUS"/>
    <x v="3"/>
    <s v="4002.007"/>
    <s v="Acompte impôt sur fortune"/>
    <n v="0"/>
    <n v="7.95"/>
    <n v="4002"/>
  </r>
  <r>
    <x v="0"/>
    <x v="13"/>
    <x v="5"/>
    <x v="365"/>
    <x v="309"/>
    <x v="309"/>
    <s v="REVENUS"/>
    <x v="2"/>
    <s v="4001.007"/>
    <s v="Acompte impôt sur revenu"/>
    <n v="0"/>
    <n v="76.7"/>
    <n v="4001"/>
  </r>
  <r>
    <x v="0"/>
    <x v="13"/>
    <x v="5"/>
    <x v="365"/>
    <x v="309"/>
    <x v="309"/>
    <s v="REVENUS"/>
    <x v="2"/>
    <s v="4001.007"/>
    <s v="Acompte impôt sur revenu"/>
    <n v="0"/>
    <n v="-388.55"/>
    <n v="4001"/>
  </r>
  <r>
    <x v="0"/>
    <x v="13"/>
    <x v="5"/>
    <x v="365"/>
    <x v="309"/>
    <x v="309"/>
    <s v="REVENUS"/>
    <x v="3"/>
    <s v="4002.007"/>
    <s v="Acompte impôt sur fortune"/>
    <n v="0"/>
    <n v="-755.35"/>
    <n v="4002"/>
  </r>
  <r>
    <x v="0"/>
    <x v="13"/>
    <x v="5"/>
    <x v="365"/>
    <x v="309"/>
    <x v="309"/>
    <s v="REVENUS"/>
    <x v="6"/>
    <s v="4211.001"/>
    <s v="Intérêts de retard sur factures"/>
    <n v="0"/>
    <n v="1.1399999999999999"/>
    <n v="4211"/>
  </r>
  <r>
    <x v="0"/>
    <x v="13"/>
    <x v="5"/>
    <x v="365"/>
    <x v="309"/>
    <x v="309"/>
    <s v="REVENUS"/>
    <x v="7"/>
    <s v="4184.000"/>
    <s v="Frais de poursuite"/>
    <n v="0"/>
    <n v="592.51"/>
    <n v="4184"/>
  </r>
  <r>
    <x v="0"/>
    <x v="13"/>
    <x v="5"/>
    <x v="365"/>
    <x v="309"/>
    <x v="309"/>
    <s v="REVENUS"/>
    <x v="7"/>
    <s v="4184.000"/>
    <s v="Frais de poursuite"/>
    <n v="0"/>
    <n v="819.74"/>
    <n v="4184"/>
  </r>
  <r>
    <x v="0"/>
    <x v="13"/>
    <x v="5"/>
    <x v="365"/>
    <x v="309"/>
    <x v="309"/>
    <s v="REVENUS"/>
    <x v="2"/>
    <s v="4001.001"/>
    <s v="Impôt revenu"/>
    <n v="0"/>
    <n v="410.7"/>
    <n v="4001"/>
  </r>
  <r>
    <x v="0"/>
    <x v="13"/>
    <x v="5"/>
    <x v="365"/>
    <x v="309"/>
    <x v="309"/>
    <s v="REVENUS"/>
    <x v="3"/>
    <s v="4002.001"/>
    <s v="Impôt ordinaire s/fortune PP"/>
    <n v="0"/>
    <n v="1219.0999999999999"/>
    <n v="4002"/>
  </r>
  <r>
    <x v="0"/>
    <x v="13"/>
    <x v="5"/>
    <x v="365"/>
    <x v="309"/>
    <x v="309"/>
    <s v="REVENUS"/>
    <x v="3"/>
    <s v="4002.007"/>
    <s v="Acompte impôt sur fortune"/>
    <n v="0"/>
    <n v="-157.5"/>
    <n v="4002"/>
  </r>
  <r>
    <x v="0"/>
    <x v="13"/>
    <x v="5"/>
    <x v="365"/>
    <x v="309"/>
    <x v="309"/>
    <s v="REVENUS"/>
    <x v="6"/>
    <s v="4221.002"/>
    <s v="Intérêts compensat. sur impôts distincts"/>
    <n v="0"/>
    <n v="3.36"/>
    <n v="4221"/>
  </r>
  <r>
    <x v="0"/>
    <x v="13"/>
    <x v="5"/>
    <x v="365"/>
    <x v="309"/>
    <x v="309"/>
    <s v="REVENUS"/>
    <x v="2"/>
    <s v="4001.001"/>
    <s v="Impôt revenu"/>
    <n v="0"/>
    <n v="0"/>
    <n v="4001"/>
  </r>
  <r>
    <x v="0"/>
    <x v="13"/>
    <x v="5"/>
    <x v="365"/>
    <x v="309"/>
    <x v="309"/>
    <s v="REVENUS"/>
    <x v="3"/>
    <s v="4002.001"/>
    <s v="Impôt ordinaire s/fortune PP"/>
    <n v="0"/>
    <n v="0"/>
    <n v="4002"/>
  </r>
  <r>
    <x v="0"/>
    <x v="13"/>
    <x v="5"/>
    <x v="365"/>
    <x v="309"/>
    <x v="309"/>
    <s v="REVENUS"/>
    <x v="3"/>
    <s v="4002.001"/>
    <s v="Impôt ordinaire s/fortune PP"/>
    <n v="0"/>
    <n v="30.45"/>
    <n v="4002"/>
  </r>
  <r>
    <x v="0"/>
    <x v="13"/>
    <x v="5"/>
    <x v="365"/>
    <x v="309"/>
    <x v="309"/>
    <s v="REVENUS"/>
    <x v="5"/>
    <s v="4061.000"/>
    <s v="Impôt sur les chiens"/>
    <n v="0"/>
    <n v="3800"/>
    <n v="4061"/>
  </r>
  <r>
    <x v="0"/>
    <x v="13"/>
    <x v="5"/>
    <x v="365"/>
    <x v="309"/>
    <x v="309"/>
    <s v="REVENUS"/>
    <x v="9"/>
    <s v="4031.001"/>
    <s v="Impôt sur les gains immobiliers"/>
    <n v="0"/>
    <n v="7425"/>
    <n v="4031"/>
  </r>
  <r>
    <x v="0"/>
    <x v="13"/>
    <x v="5"/>
    <x v="365"/>
    <x v="309"/>
    <x v="309"/>
    <s v="REVENUS"/>
    <x v="8"/>
    <s v="4091.001"/>
    <s v="Impôt récupéré après défalcations"/>
    <n v="0"/>
    <n v="28.04"/>
    <n v="4091"/>
  </r>
  <r>
    <x v="0"/>
    <x v="13"/>
    <x v="5"/>
    <x v="365"/>
    <x v="309"/>
    <x v="309"/>
    <s v="REVENUS"/>
    <x v="2"/>
    <s v="4001.001"/>
    <s v="Impôt revenu"/>
    <n v="0"/>
    <n v="114.85"/>
    <n v="4001"/>
  </r>
  <r>
    <x v="0"/>
    <x v="13"/>
    <x v="5"/>
    <x v="365"/>
    <x v="309"/>
    <x v="309"/>
    <s v="REVENUS"/>
    <x v="3"/>
    <s v="4002.001"/>
    <s v="Impôt ordinaire s/fortune PP"/>
    <n v="0"/>
    <n v="942.5"/>
    <n v="4002"/>
  </r>
  <r>
    <x v="0"/>
    <x v="13"/>
    <x v="5"/>
    <x v="365"/>
    <x v="309"/>
    <x v="309"/>
    <s v="REVENUS"/>
    <x v="6"/>
    <s v="4221.003"/>
    <s v="Intérêts compensat. / acomptes en faveur du fisc"/>
    <n v="0"/>
    <n v="0.01"/>
    <n v="4221"/>
  </r>
  <r>
    <x v="0"/>
    <x v="13"/>
    <x v="5"/>
    <x v="365"/>
    <x v="309"/>
    <x v="309"/>
    <s v="REVENUS"/>
    <x v="6"/>
    <s v="4211.002"/>
    <s v="Intérêts de retard sur acomptes"/>
    <n v="0"/>
    <n v="5.81"/>
    <n v="4211"/>
  </r>
  <r>
    <x v="0"/>
    <x v="13"/>
    <x v="5"/>
    <x v="365"/>
    <x v="309"/>
    <x v="309"/>
    <s v="REVENUS"/>
    <x v="6"/>
    <s v="4211.001"/>
    <s v="Intérêts de retard sur factures"/>
    <n v="0"/>
    <n v="0.42"/>
    <n v="4211"/>
  </r>
  <r>
    <x v="0"/>
    <x v="13"/>
    <x v="5"/>
    <x v="366"/>
    <x v="310"/>
    <x v="310"/>
    <s v="CHARGES"/>
    <x v="0"/>
    <s v="3212.004"/>
    <s v="Intérêts rémun./perçu trop tôt sur acomptes C/C"/>
    <n v="148.69999999999999"/>
    <n v="0"/>
    <n v="3212"/>
  </r>
  <r>
    <x v="0"/>
    <x v="13"/>
    <x v="5"/>
    <x v="366"/>
    <x v="310"/>
    <x v="310"/>
    <s v="CHARGES"/>
    <x v="0"/>
    <s v="3221.002"/>
    <s v="Intérêts compensatoires / créances en faveur ctb."/>
    <n v="87.42"/>
    <n v="0"/>
    <n v="3221"/>
  </r>
  <r>
    <x v="0"/>
    <x v="13"/>
    <x v="5"/>
    <x v="366"/>
    <x v="310"/>
    <x v="310"/>
    <s v="CHARGES"/>
    <x v="1"/>
    <s v="3301.001"/>
    <s v="Défalcations, abandons de solde PP et IS"/>
    <n v="2708.29"/>
    <n v="0"/>
    <n v="3301"/>
  </r>
  <r>
    <x v="0"/>
    <x v="13"/>
    <x v="5"/>
    <x v="366"/>
    <x v="310"/>
    <x v="310"/>
    <s v="CHARGES"/>
    <x v="0"/>
    <s v="3212.004"/>
    <s v="Intérêts rémun./perçu trop tôt sur acomptes C/C"/>
    <n v="35.17"/>
    <n v="0"/>
    <n v="3212"/>
  </r>
  <r>
    <x v="0"/>
    <x v="13"/>
    <x v="5"/>
    <x v="366"/>
    <x v="310"/>
    <x v="310"/>
    <s v="CHARGES"/>
    <x v="0"/>
    <s v="3221.002"/>
    <s v="Intérêts compensatoires / créances en faveur ctb."/>
    <n v="13.87"/>
    <n v="0"/>
    <n v="3221"/>
  </r>
  <r>
    <x v="0"/>
    <x v="13"/>
    <x v="5"/>
    <x v="366"/>
    <x v="310"/>
    <x v="310"/>
    <s v="CHARGES"/>
    <x v="0"/>
    <s v="3212.002"/>
    <s v="Intérêts bonifiés/trop perçu acompte C/C"/>
    <n v="0"/>
    <n v="0"/>
    <n v="3212"/>
  </r>
  <r>
    <x v="0"/>
    <x v="13"/>
    <x v="5"/>
    <x v="366"/>
    <x v="310"/>
    <x v="310"/>
    <s v="CHARGES"/>
    <x v="0"/>
    <s v="3212.004"/>
    <s v="Intérêts rémun./perçu trop tôt sur acomptes C/C"/>
    <n v="3.63"/>
    <n v="0"/>
    <n v="3212"/>
  </r>
  <r>
    <x v="0"/>
    <x v="13"/>
    <x v="5"/>
    <x v="366"/>
    <x v="310"/>
    <x v="310"/>
    <s v="CHARGES"/>
    <x v="1"/>
    <s v="3301.001"/>
    <s v="Défalcations, abandons de solde PP et IS"/>
    <n v="5.29"/>
    <n v="0"/>
    <n v="3301"/>
  </r>
  <r>
    <x v="0"/>
    <x v="13"/>
    <x v="5"/>
    <x v="366"/>
    <x v="310"/>
    <x v="310"/>
    <s v="CHARGES"/>
    <x v="1"/>
    <s v="3301.001"/>
    <s v="Défalcations, abandons de solde PP et IS"/>
    <n v="-0.02"/>
    <n v="0"/>
    <n v="3301"/>
  </r>
  <r>
    <x v="0"/>
    <x v="13"/>
    <x v="5"/>
    <x v="366"/>
    <x v="310"/>
    <x v="310"/>
    <s v="CHARGES"/>
    <x v="1"/>
    <s v="3301.001"/>
    <s v="Défalcations, abandons de solde PP et IS"/>
    <n v="1.21"/>
    <n v="0"/>
    <n v="3301"/>
  </r>
  <r>
    <x v="0"/>
    <x v="13"/>
    <x v="5"/>
    <x v="366"/>
    <x v="310"/>
    <x v="310"/>
    <s v="CHARGES"/>
    <x v="1"/>
    <s v="3301.001"/>
    <s v="Défalcations, abandons de solde PP et IS"/>
    <n v="7.15"/>
    <n v="0"/>
    <n v="3301"/>
  </r>
  <r>
    <x v="0"/>
    <x v="13"/>
    <x v="5"/>
    <x v="366"/>
    <x v="310"/>
    <x v="310"/>
    <s v="CHARGES"/>
    <x v="0"/>
    <s v="3212.002"/>
    <s v="Intérêts bonifiés/trop perçu acompte C/C"/>
    <n v="3.04"/>
    <n v="0"/>
    <n v="3212"/>
  </r>
  <r>
    <x v="0"/>
    <x v="13"/>
    <x v="5"/>
    <x v="366"/>
    <x v="310"/>
    <x v="310"/>
    <s v="CHARGES"/>
    <x v="0"/>
    <s v="3212.004"/>
    <s v="Intérêts rémun./perçu trop tôt sur acomptes C/C"/>
    <n v="0.02"/>
    <n v="0"/>
    <n v="3212"/>
  </r>
  <r>
    <x v="0"/>
    <x v="13"/>
    <x v="5"/>
    <x v="366"/>
    <x v="310"/>
    <x v="310"/>
    <s v="CHARGES"/>
    <x v="0"/>
    <s v="3221.002"/>
    <s v="Intérêts compensatoires / créances en faveur ctb."/>
    <n v="0.01"/>
    <n v="0"/>
    <n v="3221"/>
  </r>
  <r>
    <x v="0"/>
    <x v="13"/>
    <x v="5"/>
    <x v="366"/>
    <x v="310"/>
    <x v="310"/>
    <s v="CHARGES"/>
    <x v="0"/>
    <s v="3212.004"/>
    <s v="Intérêts rémun./perçu trop tôt sur acomptes C/C"/>
    <n v="0.3"/>
    <n v="0"/>
    <n v="3212"/>
  </r>
  <r>
    <x v="0"/>
    <x v="13"/>
    <x v="5"/>
    <x v="366"/>
    <x v="310"/>
    <x v="310"/>
    <s v="CHARGES"/>
    <x v="0"/>
    <s v="3221.002"/>
    <s v="Intérêts compensatoires / créances en faveur ctb."/>
    <n v="0.09"/>
    <n v="0"/>
    <n v="3221"/>
  </r>
  <r>
    <x v="0"/>
    <x v="13"/>
    <x v="5"/>
    <x v="366"/>
    <x v="310"/>
    <x v="310"/>
    <s v="CHARGES"/>
    <x v="0"/>
    <s v="3212.002"/>
    <s v="Intérêts bonifiés/trop perçu acompte C/C"/>
    <n v="0.17"/>
    <n v="0"/>
    <n v="3212"/>
  </r>
  <r>
    <x v="0"/>
    <x v="13"/>
    <x v="5"/>
    <x v="366"/>
    <x v="310"/>
    <x v="310"/>
    <s v="CHARGES"/>
    <x v="1"/>
    <s v="3301.001"/>
    <s v="Défalcations, abandons de solde PP et IS"/>
    <n v="1.93"/>
    <n v="0"/>
    <n v="3301"/>
  </r>
  <r>
    <x v="0"/>
    <x v="13"/>
    <x v="5"/>
    <x v="366"/>
    <x v="310"/>
    <x v="310"/>
    <s v="CHARGES"/>
    <x v="0"/>
    <s v="3221.002"/>
    <s v="Intérêts compensatoires / créances en faveur ctb."/>
    <n v="0.01"/>
    <n v="0"/>
    <n v="3221"/>
  </r>
  <r>
    <x v="0"/>
    <x v="13"/>
    <x v="5"/>
    <x v="366"/>
    <x v="310"/>
    <x v="310"/>
    <s v="CHARGES"/>
    <x v="0"/>
    <s v="3221.002"/>
    <s v="Intérêts compensatoires / créances en faveur ctb."/>
    <n v="1.53"/>
    <n v="0"/>
    <n v="3221"/>
  </r>
  <r>
    <x v="0"/>
    <x v="13"/>
    <x v="5"/>
    <x v="366"/>
    <x v="310"/>
    <x v="310"/>
    <s v="CHARGES"/>
    <x v="0"/>
    <s v="3212.004"/>
    <s v="Intérêts rémun./perçu trop tôt sur acomptes C/C"/>
    <n v="0.66"/>
    <n v="0"/>
    <n v="3212"/>
  </r>
  <r>
    <x v="0"/>
    <x v="13"/>
    <x v="5"/>
    <x v="366"/>
    <x v="310"/>
    <x v="310"/>
    <s v="CHARGES"/>
    <x v="0"/>
    <s v="3221.002"/>
    <s v="Intérêts compensatoires / créances en faveur ctb."/>
    <n v="0.11"/>
    <n v="0"/>
    <n v="3221"/>
  </r>
  <r>
    <x v="0"/>
    <x v="13"/>
    <x v="5"/>
    <x v="366"/>
    <x v="310"/>
    <x v="310"/>
    <s v="CHARGES"/>
    <x v="1"/>
    <s v="3301.001"/>
    <s v="Défalcations, abandons de solde PP et IS"/>
    <n v="0.19"/>
    <n v="0"/>
    <n v="3301"/>
  </r>
  <r>
    <x v="0"/>
    <x v="13"/>
    <x v="5"/>
    <x v="366"/>
    <x v="310"/>
    <x v="310"/>
    <s v="CHARGES"/>
    <x v="0"/>
    <s v="3212.004"/>
    <s v="Intérêts rémun./perçu trop tôt sur acomptes C/C"/>
    <n v="0.13"/>
    <n v="0"/>
    <n v="3212"/>
  </r>
  <r>
    <x v="0"/>
    <x v="13"/>
    <x v="5"/>
    <x v="366"/>
    <x v="310"/>
    <x v="310"/>
    <s v="CHARGES"/>
    <x v="0"/>
    <s v="3212.004"/>
    <s v="Intérêts rémun./perçu trop tôt sur acomptes C/C"/>
    <n v="0.46"/>
    <n v="0"/>
    <n v="3212"/>
  </r>
  <r>
    <x v="0"/>
    <x v="13"/>
    <x v="5"/>
    <x v="366"/>
    <x v="310"/>
    <x v="310"/>
    <s v="CHARGES"/>
    <x v="0"/>
    <s v="3221.002"/>
    <s v="Intérêts compensatoires / créances en faveur ctb."/>
    <n v="0.05"/>
    <n v="0"/>
    <n v="3221"/>
  </r>
  <r>
    <x v="0"/>
    <x v="13"/>
    <x v="5"/>
    <x v="366"/>
    <x v="310"/>
    <x v="310"/>
    <s v="REVENUS"/>
    <x v="2"/>
    <s v="4001.007"/>
    <s v="Acompte impôt sur revenu"/>
    <n v="0"/>
    <n v="-81081.37"/>
    <n v="4001"/>
  </r>
  <r>
    <x v="0"/>
    <x v="13"/>
    <x v="5"/>
    <x v="366"/>
    <x v="310"/>
    <x v="310"/>
    <s v="REVENUS"/>
    <x v="2"/>
    <s v="4001.001"/>
    <s v="Impôt revenu"/>
    <n v="0"/>
    <n v="501660.25"/>
    <n v="4001"/>
  </r>
  <r>
    <x v="0"/>
    <x v="13"/>
    <x v="5"/>
    <x v="366"/>
    <x v="310"/>
    <x v="310"/>
    <s v="REVENUS"/>
    <x v="3"/>
    <s v="4002.001"/>
    <s v="Impôt ordinaire s/fortune PP"/>
    <n v="0"/>
    <n v="69445.850000000006"/>
    <n v="4002"/>
  </r>
  <r>
    <x v="0"/>
    <x v="13"/>
    <x v="5"/>
    <x v="366"/>
    <x v="310"/>
    <x v="310"/>
    <s v="REVENUS"/>
    <x v="3"/>
    <s v="4002.007"/>
    <s v="Acompte impôt sur fortune"/>
    <n v="0"/>
    <n v="14380.13"/>
    <n v="4002"/>
  </r>
  <r>
    <x v="0"/>
    <x v="13"/>
    <x v="5"/>
    <x v="366"/>
    <x v="310"/>
    <x v="310"/>
    <s v="REVENUS"/>
    <x v="6"/>
    <s v="4221.003"/>
    <s v="Intérêts compensat. / acomptes en faveur du fisc"/>
    <n v="0"/>
    <n v="94.47"/>
    <n v="4221"/>
  </r>
  <r>
    <x v="0"/>
    <x v="13"/>
    <x v="5"/>
    <x v="366"/>
    <x v="310"/>
    <x v="310"/>
    <s v="REVENUS"/>
    <x v="2"/>
    <s v="4001.007"/>
    <s v="Acompte impôt sur revenu"/>
    <n v="0"/>
    <n v="2197.38"/>
    <n v="4001"/>
  </r>
  <r>
    <x v="0"/>
    <x v="13"/>
    <x v="5"/>
    <x v="366"/>
    <x v="310"/>
    <x v="310"/>
    <s v="REVENUS"/>
    <x v="3"/>
    <s v="4002.007"/>
    <s v="Acompte impôt sur fortune"/>
    <n v="0"/>
    <n v="-1266.71"/>
    <n v="4002"/>
  </r>
  <r>
    <x v="0"/>
    <x v="13"/>
    <x v="5"/>
    <x v="366"/>
    <x v="310"/>
    <x v="310"/>
    <s v="REVENUS"/>
    <x v="6"/>
    <s v="4211.002"/>
    <s v="Intérêts de retard sur acomptes"/>
    <n v="0"/>
    <n v="3080.03"/>
    <n v="4211"/>
  </r>
  <r>
    <x v="0"/>
    <x v="13"/>
    <x v="5"/>
    <x v="366"/>
    <x v="310"/>
    <x v="310"/>
    <s v="REVENUS"/>
    <x v="2"/>
    <s v="4001.003"/>
    <s v="Impôt s/prest. cap. PP"/>
    <n v="0"/>
    <n v="17825.75"/>
    <n v="4001"/>
  </r>
  <r>
    <x v="0"/>
    <x v="13"/>
    <x v="5"/>
    <x v="366"/>
    <x v="310"/>
    <x v="310"/>
    <s v="REVENUS"/>
    <x v="6"/>
    <s v="4211.001"/>
    <s v="Intérêts de retard sur factures"/>
    <n v="0"/>
    <n v="1651.85"/>
    <n v="4211"/>
  </r>
  <r>
    <x v="0"/>
    <x v="13"/>
    <x v="5"/>
    <x v="366"/>
    <x v="310"/>
    <x v="310"/>
    <s v="REVENUS"/>
    <x v="6"/>
    <s v="4211.001"/>
    <s v="Intérêts de retard sur factures"/>
    <n v="0"/>
    <n v="0.17"/>
    <n v="4211"/>
  </r>
  <r>
    <x v="0"/>
    <x v="13"/>
    <x v="5"/>
    <x v="366"/>
    <x v="310"/>
    <x v="310"/>
    <s v="REVENUS"/>
    <x v="2"/>
    <s v="4001.007"/>
    <s v="Acompte impôt sur revenu"/>
    <n v="0"/>
    <n v="-8407.2000000000007"/>
    <n v="4001"/>
  </r>
  <r>
    <x v="0"/>
    <x v="13"/>
    <x v="5"/>
    <x v="366"/>
    <x v="310"/>
    <x v="310"/>
    <s v="REVENUS"/>
    <x v="3"/>
    <s v="4002.001"/>
    <s v="Impôt ordinaire s/fortune PP"/>
    <n v="0"/>
    <n v="9855.0499999999993"/>
    <n v="4002"/>
  </r>
  <r>
    <x v="0"/>
    <x v="13"/>
    <x v="5"/>
    <x v="366"/>
    <x v="310"/>
    <x v="310"/>
    <s v="REVENUS"/>
    <x v="3"/>
    <s v="4002.007"/>
    <s v="Acompte impôt sur fortune"/>
    <n v="0"/>
    <n v="274.31"/>
    <n v="4002"/>
  </r>
  <r>
    <x v="0"/>
    <x v="13"/>
    <x v="5"/>
    <x v="366"/>
    <x v="310"/>
    <x v="310"/>
    <s v="REVENUS"/>
    <x v="3"/>
    <s v="4002.007"/>
    <s v="Acompte impôt sur fortune"/>
    <n v="0"/>
    <n v="-778.46"/>
    <n v="4002"/>
  </r>
  <r>
    <x v="0"/>
    <x v="13"/>
    <x v="5"/>
    <x v="366"/>
    <x v="310"/>
    <x v="310"/>
    <s v="REVENUS"/>
    <x v="2"/>
    <s v="4001.002"/>
    <s v="Impôt complément s/revenu PP"/>
    <n v="0"/>
    <n v="45.65"/>
    <n v="4001"/>
  </r>
  <r>
    <x v="0"/>
    <x v="13"/>
    <x v="5"/>
    <x v="366"/>
    <x v="310"/>
    <x v="310"/>
    <s v="REVENUS"/>
    <x v="3"/>
    <s v="4002.002"/>
    <s v="Impôt complémentaire s/fortune PP"/>
    <n v="0"/>
    <n v="86.65"/>
    <n v="4002"/>
  </r>
  <r>
    <x v="0"/>
    <x v="13"/>
    <x v="5"/>
    <x v="366"/>
    <x v="310"/>
    <x v="310"/>
    <s v="REVENUS"/>
    <x v="6"/>
    <s v="4211.001"/>
    <s v="Intérêts de retard sur factures"/>
    <n v="0"/>
    <n v="26.72"/>
    <n v="4211"/>
  </r>
  <r>
    <x v="0"/>
    <x v="13"/>
    <x v="5"/>
    <x v="366"/>
    <x v="310"/>
    <x v="310"/>
    <s v="REVENUS"/>
    <x v="3"/>
    <s v="4002.001"/>
    <s v="Impôt ordinaire s/fortune PP"/>
    <n v="0"/>
    <n v="4659.05"/>
    <n v="4002"/>
  </r>
  <r>
    <x v="0"/>
    <x v="13"/>
    <x v="5"/>
    <x v="366"/>
    <x v="310"/>
    <x v="310"/>
    <s v="REVENUS"/>
    <x v="2"/>
    <s v="4001.001"/>
    <s v="Impôt revenu"/>
    <n v="0"/>
    <n v="12715.85"/>
    <n v="4001"/>
  </r>
  <r>
    <x v="0"/>
    <x v="13"/>
    <x v="5"/>
    <x v="366"/>
    <x v="310"/>
    <x v="310"/>
    <s v="REVENUS"/>
    <x v="7"/>
    <s v="4184.000"/>
    <s v="Frais de poursuite"/>
    <n v="0"/>
    <n v="980.07"/>
    <n v="4184"/>
  </r>
  <r>
    <x v="0"/>
    <x v="13"/>
    <x v="5"/>
    <x v="366"/>
    <x v="310"/>
    <x v="310"/>
    <s v="REVENUS"/>
    <x v="2"/>
    <s v="4001.002"/>
    <s v="Impôt complément s/revenu PP"/>
    <n v="0"/>
    <n v="5.8"/>
    <n v="4001"/>
  </r>
  <r>
    <x v="0"/>
    <x v="13"/>
    <x v="5"/>
    <x v="366"/>
    <x v="310"/>
    <x v="310"/>
    <s v="REVENUS"/>
    <x v="6"/>
    <s v="4211.001"/>
    <s v="Intérêts de retard sur factures"/>
    <n v="0"/>
    <n v="19.420000000000002"/>
    <n v="4211"/>
  </r>
  <r>
    <x v="0"/>
    <x v="13"/>
    <x v="5"/>
    <x v="366"/>
    <x v="310"/>
    <x v="310"/>
    <s v="REVENUS"/>
    <x v="2"/>
    <s v="4001.001"/>
    <s v="Impôt revenu"/>
    <n v="0"/>
    <n v="13293.25"/>
    <n v="4001"/>
  </r>
  <r>
    <x v="0"/>
    <x v="13"/>
    <x v="5"/>
    <x v="366"/>
    <x v="310"/>
    <x v="310"/>
    <s v="REVENUS"/>
    <x v="3"/>
    <s v="4002.001"/>
    <s v="Impôt ordinaire s/fortune PP"/>
    <n v="0"/>
    <n v="8580.9"/>
    <n v="4002"/>
  </r>
  <r>
    <x v="0"/>
    <x v="13"/>
    <x v="5"/>
    <x v="366"/>
    <x v="310"/>
    <x v="310"/>
    <s v="REVENUS"/>
    <x v="2"/>
    <s v="4001.007"/>
    <s v="Acompte impôt sur revenu"/>
    <n v="0"/>
    <n v="328.3"/>
    <n v="4001"/>
  </r>
  <r>
    <x v="0"/>
    <x v="13"/>
    <x v="5"/>
    <x v="366"/>
    <x v="310"/>
    <x v="310"/>
    <s v="REVENUS"/>
    <x v="2"/>
    <s v="4001.007"/>
    <s v="Acompte impôt sur revenu"/>
    <n v="0"/>
    <n v="-1490.6"/>
    <n v="4001"/>
  </r>
  <r>
    <x v="0"/>
    <x v="13"/>
    <x v="5"/>
    <x v="366"/>
    <x v="310"/>
    <x v="310"/>
    <s v="REVENUS"/>
    <x v="2"/>
    <s v="4001.001"/>
    <s v="Impôt revenu"/>
    <n v="0"/>
    <n v="62.65"/>
    <n v="4001"/>
  </r>
  <r>
    <x v="0"/>
    <x v="13"/>
    <x v="5"/>
    <x v="366"/>
    <x v="310"/>
    <x v="310"/>
    <s v="REVENUS"/>
    <x v="2"/>
    <s v="4001.002"/>
    <s v="Impôt complément s/revenu PP"/>
    <n v="0"/>
    <n v="83.45"/>
    <n v="4001"/>
  </r>
  <r>
    <x v="0"/>
    <x v="13"/>
    <x v="5"/>
    <x v="366"/>
    <x v="310"/>
    <x v="310"/>
    <s v="REVENUS"/>
    <x v="3"/>
    <s v="4002.001"/>
    <s v="Impôt ordinaire s/fortune PP"/>
    <n v="0"/>
    <n v="277.55"/>
    <n v="4002"/>
  </r>
  <r>
    <x v="0"/>
    <x v="13"/>
    <x v="5"/>
    <x v="366"/>
    <x v="310"/>
    <x v="310"/>
    <s v="REVENUS"/>
    <x v="3"/>
    <s v="4002.002"/>
    <s v="Impôt complémentaire s/fortune PP"/>
    <n v="0"/>
    <n v="228.4"/>
    <n v="4002"/>
  </r>
  <r>
    <x v="0"/>
    <x v="13"/>
    <x v="5"/>
    <x v="366"/>
    <x v="310"/>
    <x v="310"/>
    <s v="REVENUS"/>
    <x v="6"/>
    <s v="4221.003"/>
    <s v="Intérêts compensat. / acomptes en faveur du fisc"/>
    <n v="0"/>
    <n v="-0.02"/>
    <n v="4221"/>
  </r>
  <r>
    <x v="0"/>
    <x v="13"/>
    <x v="5"/>
    <x v="366"/>
    <x v="310"/>
    <x v="310"/>
    <s v="REVENUS"/>
    <x v="2"/>
    <s v="4001.002"/>
    <s v="Impôt complément s/revenu PP"/>
    <n v="0"/>
    <n v="21624.2"/>
    <n v="4001"/>
  </r>
  <r>
    <x v="0"/>
    <x v="13"/>
    <x v="5"/>
    <x v="366"/>
    <x v="310"/>
    <x v="310"/>
    <s v="REVENUS"/>
    <x v="3"/>
    <s v="4002.002"/>
    <s v="Impôt complémentaire s/fortune PP"/>
    <n v="0"/>
    <n v="7213.5"/>
    <n v="4002"/>
  </r>
  <r>
    <x v="0"/>
    <x v="13"/>
    <x v="5"/>
    <x v="366"/>
    <x v="310"/>
    <x v="310"/>
    <s v="REVENUS"/>
    <x v="6"/>
    <s v="4221.003"/>
    <s v="Intérêts compensat. / acomptes en faveur du fisc"/>
    <n v="0"/>
    <n v="1.08"/>
    <n v="4221"/>
  </r>
  <r>
    <x v="0"/>
    <x v="13"/>
    <x v="5"/>
    <x v="366"/>
    <x v="310"/>
    <x v="310"/>
    <s v="REVENUS"/>
    <x v="3"/>
    <s v="4002.007"/>
    <s v="Acompte impôt sur fortune"/>
    <n v="0"/>
    <n v="0.55000000000000004"/>
    <n v="4002"/>
  </r>
  <r>
    <x v="0"/>
    <x v="13"/>
    <x v="5"/>
    <x v="366"/>
    <x v="310"/>
    <x v="310"/>
    <s v="REVENUS"/>
    <x v="3"/>
    <s v="4002.007"/>
    <s v="Acompte impôt sur fortune"/>
    <n v="0"/>
    <n v="-674.36"/>
    <n v="4002"/>
  </r>
  <r>
    <x v="0"/>
    <x v="13"/>
    <x v="5"/>
    <x v="366"/>
    <x v="310"/>
    <x v="310"/>
    <s v="REVENUS"/>
    <x v="2"/>
    <s v="4001.007"/>
    <s v="Acompte impôt sur revenu"/>
    <n v="0"/>
    <n v="72.59"/>
    <n v="4001"/>
  </r>
  <r>
    <x v="0"/>
    <x v="13"/>
    <x v="5"/>
    <x v="366"/>
    <x v="310"/>
    <x v="310"/>
    <s v="REVENUS"/>
    <x v="3"/>
    <s v="4002.001"/>
    <s v="Impôt ordinaire s/fortune PP"/>
    <n v="0"/>
    <n v="26.6"/>
    <n v="4002"/>
  </r>
  <r>
    <x v="0"/>
    <x v="13"/>
    <x v="5"/>
    <x v="366"/>
    <x v="310"/>
    <x v="310"/>
    <s v="REVENUS"/>
    <x v="10"/>
    <s v="4041.001"/>
    <s v="Droits de mutation"/>
    <n v="0"/>
    <n v="124690.45"/>
    <n v="4041"/>
  </r>
  <r>
    <x v="0"/>
    <x v="13"/>
    <x v="5"/>
    <x v="366"/>
    <x v="310"/>
    <x v="310"/>
    <s v="REVENUS"/>
    <x v="6"/>
    <s v="4211.002"/>
    <s v="Intérêts de retard sur acomptes"/>
    <n v="0"/>
    <n v="92.06"/>
    <n v="4211"/>
  </r>
  <r>
    <x v="0"/>
    <x v="13"/>
    <x v="5"/>
    <x v="366"/>
    <x v="310"/>
    <x v="310"/>
    <s v="REVENUS"/>
    <x v="6"/>
    <s v="4221.003"/>
    <s v="Intérêts compensat. / acomptes en faveur du fisc"/>
    <n v="0"/>
    <n v="1.63"/>
    <n v="4221"/>
  </r>
  <r>
    <x v="0"/>
    <x v="13"/>
    <x v="5"/>
    <x v="366"/>
    <x v="310"/>
    <x v="310"/>
    <s v="REVENUS"/>
    <x v="9"/>
    <s v="4031.001"/>
    <s v="Impôt sur les gains immobiliers"/>
    <n v="0"/>
    <n v="39450.35"/>
    <n v="4031"/>
  </r>
  <r>
    <x v="0"/>
    <x v="13"/>
    <x v="5"/>
    <x v="366"/>
    <x v="310"/>
    <x v="310"/>
    <s v="REVENUS"/>
    <x v="6"/>
    <s v="4221.002"/>
    <s v="Intérêts compensat. sur impôts distincts"/>
    <n v="0"/>
    <n v="7.48"/>
    <n v="4221"/>
  </r>
  <r>
    <x v="0"/>
    <x v="13"/>
    <x v="5"/>
    <x v="366"/>
    <x v="310"/>
    <x v="310"/>
    <s v="REVENUS"/>
    <x v="3"/>
    <s v="4002.007"/>
    <s v="Acompte impôt sur fortune"/>
    <n v="0"/>
    <n v="-1144.4100000000001"/>
    <n v="4002"/>
  </r>
  <r>
    <x v="0"/>
    <x v="13"/>
    <x v="5"/>
    <x v="366"/>
    <x v="310"/>
    <x v="310"/>
    <s v="REVENUS"/>
    <x v="6"/>
    <s v="4221.003"/>
    <s v="Intérêts compensat. / acomptes en faveur du fisc"/>
    <n v="0"/>
    <n v="3.07"/>
    <n v="4221"/>
  </r>
  <r>
    <x v="0"/>
    <x v="13"/>
    <x v="5"/>
    <x v="366"/>
    <x v="310"/>
    <x v="310"/>
    <s v="REVENUS"/>
    <x v="3"/>
    <s v="4002.007"/>
    <s v="Acompte impôt sur fortune"/>
    <n v="0"/>
    <n v="590.5"/>
    <n v="4002"/>
  </r>
  <r>
    <x v="0"/>
    <x v="13"/>
    <x v="5"/>
    <x v="366"/>
    <x v="310"/>
    <x v="310"/>
    <s v="REVENUS"/>
    <x v="4"/>
    <s v="4051.002"/>
    <s v="Impôt sur les donations"/>
    <n v="0"/>
    <n v="5028.6000000000004"/>
    <n v="4051"/>
  </r>
  <r>
    <x v="0"/>
    <x v="13"/>
    <x v="5"/>
    <x v="366"/>
    <x v="310"/>
    <x v="310"/>
    <s v="REVENUS"/>
    <x v="6"/>
    <s v="4211.001"/>
    <s v="Intérêts de retard sur factures"/>
    <n v="0"/>
    <n v="2.79"/>
    <n v="4211"/>
  </r>
  <r>
    <x v="0"/>
    <x v="13"/>
    <x v="5"/>
    <x v="366"/>
    <x v="310"/>
    <x v="310"/>
    <s v="REVENUS"/>
    <x v="2"/>
    <s v="4001.002"/>
    <s v="Impôt complément s/revenu PP"/>
    <n v="0"/>
    <n v="121560.5"/>
    <n v="4001"/>
  </r>
  <r>
    <x v="0"/>
    <x v="13"/>
    <x v="5"/>
    <x v="366"/>
    <x v="310"/>
    <x v="310"/>
    <s v="REVENUS"/>
    <x v="3"/>
    <s v="4002.002"/>
    <s v="Impôt complémentaire s/fortune PP"/>
    <n v="0"/>
    <n v="9654.2999999999993"/>
    <n v="4002"/>
  </r>
  <r>
    <x v="0"/>
    <x v="13"/>
    <x v="5"/>
    <x v="366"/>
    <x v="310"/>
    <x v="310"/>
    <s v="REVENUS"/>
    <x v="2"/>
    <s v="4001.001"/>
    <s v="Impôt revenu"/>
    <n v="0"/>
    <n v="9101.7999999999993"/>
    <n v="4001"/>
  </r>
  <r>
    <x v="0"/>
    <x v="13"/>
    <x v="5"/>
    <x v="366"/>
    <x v="310"/>
    <x v="310"/>
    <s v="REVENUS"/>
    <x v="6"/>
    <s v="4211.002"/>
    <s v="Intérêts de retard sur acomptes"/>
    <n v="0"/>
    <n v="40.06"/>
    <n v="4211"/>
  </r>
  <r>
    <x v="0"/>
    <x v="13"/>
    <x v="5"/>
    <x v="366"/>
    <x v="310"/>
    <x v="310"/>
    <s v="REVENUS"/>
    <x v="2"/>
    <s v="4001.001"/>
    <s v="Impôt revenu"/>
    <n v="0"/>
    <n v="806"/>
    <n v="4001"/>
  </r>
  <r>
    <x v="0"/>
    <x v="13"/>
    <x v="5"/>
    <x v="366"/>
    <x v="310"/>
    <x v="310"/>
    <s v="REVENUS"/>
    <x v="3"/>
    <s v="4002.001"/>
    <s v="Impôt ordinaire s/fortune PP"/>
    <n v="0"/>
    <n v="554.6"/>
    <n v="4002"/>
  </r>
  <r>
    <x v="0"/>
    <x v="13"/>
    <x v="5"/>
    <x v="366"/>
    <x v="310"/>
    <x v="310"/>
    <s v="REVENUS"/>
    <x v="6"/>
    <s v="4211.002"/>
    <s v="Intérêts de retard sur acomptes"/>
    <n v="0"/>
    <n v="47.05"/>
    <n v="4211"/>
  </r>
  <r>
    <x v="0"/>
    <x v="13"/>
    <x v="5"/>
    <x v="366"/>
    <x v="310"/>
    <x v="310"/>
    <s v="REVENUS"/>
    <x v="6"/>
    <s v="4221.003"/>
    <s v="Intérêts compensat. / acomptes en faveur du fisc"/>
    <n v="0"/>
    <n v="5.05"/>
    <n v="4221"/>
  </r>
  <r>
    <x v="0"/>
    <x v="13"/>
    <x v="5"/>
    <x v="366"/>
    <x v="310"/>
    <x v="310"/>
    <s v="REVENUS"/>
    <x v="3"/>
    <s v="4002.007"/>
    <s v="Acompte impôt sur fortune"/>
    <n v="0"/>
    <n v="-145.05000000000001"/>
    <n v="4002"/>
  </r>
  <r>
    <x v="0"/>
    <x v="13"/>
    <x v="5"/>
    <x v="366"/>
    <x v="310"/>
    <x v="310"/>
    <s v="REVENUS"/>
    <x v="4"/>
    <s v="4051.001"/>
    <s v="Impôt sur les successions"/>
    <n v="0"/>
    <n v="2616.4"/>
    <n v="4051"/>
  </r>
  <r>
    <x v="0"/>
    <x v="13"/>
    <x v="5"/>
    <x v="366"/>
    <x v="310"/>
    <x v="310"/>
    <s v="REVENUS"/>
    <x v="6"/>
    <s v="4221.002"/>
    <s v="Intérêts compensat. sur impôts distincts"/>
    <n v="0"/>
    <n v="2.73"/>
    <n v="4221"/>
  </r>
  <r>
    <x v="0"/>
    <x v="13"/>
    <x v="5"/>
    <x v="366"/>
    <x v="310"/>
    <x v="310"/>
    <s v="REVENUS"/>
    <x v="2"/>
    <s v="4001.001"/>
    <s v="Impôt revenu"/>
    <n v="0"/>
    <n v="1898"/>
    <n v="4001"/>
  </r>
  <r>
    <x v="0"/>
    <x v="13"/>
    <x v="5"/>
    <x v="366"/>
    <x v="310"/>
    <x v="310"/>
    <s v="REVENUS"/>
    <x v="3"/>
    <s v="4002.001"/>
    <s v="Impôt ordinaire s/fortune PP"/>
    <n v="0"/>
    <n v="1135.2"/>
    <n v="4002"/>
  </r>
  <r>
    <x v="0"/>
    <x v="13"/>
    <x v="5"/>
    <x v="366"/>
    <x v="310"/>
    <x v="310"/>
    <s v="REVENUS"/>
    <x v="4"/>
    <s v="4051.001"/>
    <s v="Impôt sur les successions"/>
    <n v="0"/>
    <n v="74266.8"/>
    <n v="4051"/>
  </r>
  <r>
    <x v="0"/>
    <x v="13"/>
    <x v="5"/>
    <x v="366"/>
    <x v="310"/>
    <x v="310"/>
    <s v="REVENUS"/>
    <x v="6"/>
    <s v="4211.002"/>
    <s v="Intérêts de retard sur acomptes"/>
    <n v="0"/>
    <n v="1.18"/>
    <n v="4211"/>
  </r>
  <r>
    <x v="0"/>
    <x v="13"/>
    <x v="5"/>
    <x v="366"/>
    <x v="310"/>
    <x v="310"/>
    <s v="REVENUS"/>
    <x v="6"/>
    <s v="4221.003"/>
    <s v="Intérêts compensat. / acomptes en faveur du fisc"/>
    <n v="0"/>
    <n v="0.67"/>
    <n v="4221"/>
  </r>
  <r>
    <x v="0"/>
    <x v="13"/>
    <x v="5"/>
    <x v="366"/>
    <x v="310"/>
    <x v="310"/>
    <s v="REVENUS"/>
    <x v="2"/>
    <s v="4001.007"/>
    <s v="Acompte impôt sur revenu"/>
    <n v="0"/>
    <n v="326.06"/>
    <n v="4001"/>
  </r>
  <r>
    <x v="0"/>
    <x v="13"/>
    <x v="5"/>
    <x v="366"/>
    <x v="310"/>
    <x v="310"/>
    <s v="REVENUS"/>
    <x v="6"/>
    <s v="4211.002"/>
    <s v="Intérêts de retard sur acomptes"/>
    <n v="0"/>
    <n v="0.54"/>
    <n v="4211"/>
  </r>
  <r>
    <x v="0"/>
    <x v="13"/>
    <x v="5"/>
    <x v="366"/>
    <x v="310"/>
    <x v="310"/>
    <s v="REVENUS"/>
    <x v="2"/>
    <s v="4001.002"/>
    <s v="Impôt complément s/revenu PP"/>
    <n v="0"/>
    <n v="3494.6"/>
    <n v="4001"/>
  </r>
  <r>
    <x v="0"/>
    <x v="13"/>
    <x v="5"/>
    <x v="366"/>
    <x v="310"/>
    <x v="310"/>
    <s v="REVENUS"/>
    <x v="3"/>
    <s v="4002.002"/>
    <s v="Impôt complémentaire s/fortune PP"/>
    <n v="0"/>
    <n v="17.100000000000001"/>
    <n v="4002"/>
  </r>
  <r>
    <x v="0"/>
    <x v="13"/>
    <x v="5"/>
    <x v="366"/>
    <x v="310"/>
    <x v="310"/>
    <s v="REVENUS"/>
    <x v="6"/>
    <s v="4211.001"/>
    <s v="Intérêts de retard sur factures"/>
    <n v="0"/>
    <n v="56.77"/>
    <n v="4211"/>
  </r>
  <r>
    <x v="0"/>
    <x v="13"/>
    <x v="5"/>
    <x v="366"/>
    <x v="310"/>
    <x v="310"/>
    <s v="REVENUS"/>
    <x v="7"/>
    <s v="4184.000"/>
    <s v="Frais de poursuite"/>
    <n v="0"/>
    <n v="1.05"/>
    <n v="4184"/>
  </r>
  <r>
    <x v="0"/>
    <x v="13"/>
    <x v="5"/>
    <x v="366"/>
    <x v="310"/>
    <x v="310"/>
    <s v="REVENUS"/>
    <x v="4"/>
    <s v="4051.001"/>
    <s v="Impôt sur les successions"/>
    <n v="0"/>
    <n v="-0.55000000000000004"/>
    <n v="4051"/>
  </r>
  <r>
    <x v="0"/>
    <x v="13"/>
    <x v="5"/>
    <x v="366"/>
    <x v="310"/>
    <x v="310"/>
    <s v="REVENUS"/>
    <x v="5"/>
    <s v="4061.000"/>
    <s v="Impôt sur les chiens"/>
    <n v="0"/>
    <n v="3000"/>
    <n v="4061"/>
  </r>
  <r>
    <x v="0"/>
    <x v="13"/>
    <x v="5"/>
    <x v="366"/>
    <x v="310"/>
    <x v="310"/>
    <s v="REVENUS"/>
    <x v="13"/>
    <s v="4371.013"/>
    <s v="Amende soustraction LMSD"/>
    <n v="0"/>
    <n v="4781.2"/>
    <n v="4371"/>
  </r>
  <r>
    <x v="0"/>
    <x v="13"/>
    <x v="5"/>
    <x v="366"/>
    <x v="310"/>
    <x v="310"/>
    <s v="REVENUS"/>
    <x v="2"/>
    <s v="4001.007"/>
    <s v="Acompte impôt sur revenu"/>
    <n v="0"/>
    <n v="-198"/>
    <n v="4001"/>
  </r>
  <r>
    <x v="0"/>
    <x v="13"/>
    <x v="5"/>
    <x v="366"/>
    <x v="310"/>
    <x v="310"/>
    <s v="REVENUS"/>
    <x v="7"/>
    <s v="4184.000"/>
    <s v="Frais de poursuite"/>
    <n v="0"/>
    <n v="0.57999999999999996"/>
    <n v="4184"/>
  </r>
  <r>
    <x v="0"/>
    <x v="13"/>
    <x v="5"/>
    <x v="366"/>
    <x v="310"/>
    <x v="310"/>
    <s v="REVENUS"/>
    <x v="6"/>
    <s v="4211.002"/>
    <s v="Intérêts de retard sur acomptes"/>
    <n v="0"/>
    <n v="0"/>
    <n v="4211"/>
  </r>
  <r>
    <x v="0"/>
    <x v="13"/>
    <x v="5"/>
    <x v="367"/>
    <x v="311"/>
    <x v="311"/>
    <s v="CHARGES"/>
    <x v="0"/>
    <s v="3212.002"/>
    <s v="Intérêts bonifiés/trop perçu acompte C/C"/>
    <n v="11.71"/>
    <n v="0"/>
    <n v="3212"/>
  </r>
  <r>
    <x v="0"/>
    <x v="13"/>
    <x v="5"/>
    <x v="367"/>
    <x v="311"/>
    <x v="311"/>
    <s v="CHARGES"/>
    <x v="0"/>
    <s v="3212.004"/>
    <s v="Intérêts rémun./perçu trop tôt sur acomptes C/C"/>
    <n v="284.08999999999997"/>
    <n v="0"/>
    <n v="3212"/>
  </r>
  <r>
    <x v="0"/>
    <x v="13"/>
    <x v="5"/>
    <x v="367"/>
    <x v="311"/>
    <x v="311"/>
    <s v="CHARGES"/>
    <x v="0"/>
    <s v="3221.002"/>
    <s v="Intérêts compensatoires / créances en faveur ctb."/>
    <n v="130.82"/>
    <n v="0"/>
    <n v="3221"/>
  </r>
  <r>
    <x v="0"/>
    <x v="13"/>
    <x v="5"/>
    <x v="367"/>
    <x v="311"/>
    <x v="311"/>
    <s v="CHARGES"/>
    <x v="1"/>
    <s v="3301.001"/>
    <s v="Défalcations, abandons de solde PP et IS"/>
    <n v="9141.59"/>
    <n v="0"/>
    <n v="3301"/>
  </r>
  <r>
    <x v="0"/>
    <x v="13"/>
    <x v="5"/>
    <x v="367"/>
    <x v="311"/>
    <x v="311"/>
    <s v="CHARGES"/>
    <x v="1"/>
    <s v="3301.001"/>
    <s v="Défalcations, abandons de solde PP et IS"/>
    <n v="0.08"/>
    <n v="0"/>
    <n v="3301"/>
  </r>
  <r>
    <x v="0"/>
    <x v="13"/>
    <x v="5"/>
    <x v="367"/>
    <x v="311"/>
    <x v="311"/>
    <s v="CHARGES"/>
    <x v="0"/>
    <s v="3212.004"/>
    <s v="Intérêts rémun./perçu trop tôt sur acomptes C/C"/>
    <n v="1.41"/>
    <n v="0"/>
    <n v="3212"/>
  </r>
  <r>
    <x v="0"/>
    <x v="13"/>
    <x v="5"/>
    <x v="367"/>
    <x v="311"/>
    <x v="311"/>
    <s v="CHARGES"/>
    <x v="1"/>
    <s v="3301.001"/>
    <s v="Défalcations, abandons de solde PP et IS"/>
    <n v="0.06"/>
    <n v="0"/>
    <n v="3301"/>
  </r>
  <r>
    <x v="0"/>
    <x v="13"/>
    <x v="5"/>
    <x v="367"/>
    <x v="311"/>
    <x v="311"/>
    <s v="CHARGES"/>
    <x v="0"/>
    <s v="3221.002"/>
    <s v="Intérêts compensatoires / créances en faveur ctb."/>
    <n v="0.33"/>
    <n v="0"/>
    <n v="3221"/>
  </r>
  <r>
    <x v="0"/>
    <x v="13"/>
    <x v="5"/>
    <x v="367"/>
    <x v="311"/>
    <x v="311"/>
    <s v="CHARGES"/>
    <x v="1"/>
    <s v="3301.001"/>
    <s v="Défalcations, abandons de solde PP et IS"/>
    <n v="1.79"/>
    <n v="0"/>
    <n v="3301"/>
  </r>
  <r>
    <x v="0"/>
    <x v="13"/>
    <x v="5"/>
    <x v="367"/>
    <x v="311"/>
    <x v="311"/>
    <s v="CHARGES"/>
    <x v="1"/>
    <s v="3301.001"/>
    <s v="Défalcations, abandons de solde PP et IS"/>
    <n v="0.32"/>
    <n v="0"/>
    <n v="3301"/>
  </r>
  <r>
    <x v="0"/>
    <x v="13"/>
    <x v="5"/>
    <x v="367"/>
    <x v="311"/>
    <x v="311"/>
    <s v="CHARGES"/>
    <x v="0"/>
    <s v="3212.004"/>
    <s v="Intérêts rémun./perçu trop tôt sur acomptes C/C"/>
    <n v="0.94"/>
    <n v="0"/>
    <n v="3212"/>
  </r>
  <r>
    <x v="0"/>
    <x v="13"/>
    <x v="5"/>
    <x v="367"/>
    <x v="311"/>
    <x v="311"/>
    <s v="CHARGES"/>
    <x v="0"/>
    <s v="3221.002"/>
    <s v="Intérêts compensatoires / créances en faveur ctb."/>
    <n v="0.37"/>
    <n v="0"/>
    <n v="3221"/>
  </r>
  <r>
    <x v="0"/>
    <x v="13"/>
    <x v="5"/>
    <x v="367"/>
    <x v="311"/>
    <x v="311"/>
    <s v="CHARGES"/>
    <x v="0"/>
    <s v="3212.004"/>
    <s v="Intérêts rémun./perçu trop tôt sur acomptes C/C"/>
    <n v="0.54"/>
    <n v="0"/>
    <n v="3212"/>
  </r>
  <r>
    <x v="0"/>
    <x v="13"/>
    <x v="5"/>
    <x v="367"/>
    <x v="311"/>
    <x v="311"/>
    <s v="CHARGES"/>
    <x v="1"/>
    <s v="3301.001"/>
    <s v="Défalcations, abandons de solde PP et IS"/>
    <n v="10984.09"/>
    <n v="0"/>
    <n v="3301"/>
  </r>
  <r>
    <x v="0"/>
    <x v="13"/>
    <x v="5"/>
    <x v="367"/>
    <x v="311"/>
    <x v="311"/>
    <s v="CHARGES"/>
    <x v="0"/>
    <s v="3221.002"/>
    <s v="Intérêts compensatoires / créances en faveur ctb."/>
    <n v="0.03"/>
    <n v="0"/>
    <n v="3221"/>
  </r>
  <r>
    <x v="0"/>
    <x v="13"/>
    <x v="5"/>
    <x v="367"/>
    <x v="311"/>
    <x v="311"/>
    <s v="CHARGES"/>
    <x v="0"/>
    <s v="3212.004"/>
    <s v="Intérêts rémun./perçu trop tôt sur acomptes C/C"/>
    <n v="0.32"/>
    <n v="0"/>
    <n v="3212"/>
  </r>
  <r>
    <x v="0"/>
    <x v="13"/>
    <x v="5"/>
    <x v="367"/>
    <x v="311"/>
    <x v="311"/>
    <s v="CHARGES"/>
    <x v="1"/>
    <s v="3301.003"/>
    <s v="Remises PP et IS"/>
    <n v="5421.1"/>
    <n v="0"/>
    <n v="3301"/>
  </r>
  <r>
    <x v="0"/>
    <x v="13"/>
    <x v="5"/>
    <x v="367"/>
    <x v="311"/>
    <x v="311"/>
    <s v="CHARGES"/>
    <x v="0"/>
    <s v="3212.004"/>
    <s v="Intérêts rémun./perçu trop tôt sur acomptes C/C"/>
    <n v="0.99"/>
    <n v="0"/>
    <n v="3212"/>
  </r>
  <r>
    <x v="0"/>
    <x v="13"/>
    <x v="5"/>
    <x v="367"/>
    <x v="311"/>
    <x v="311"/>
    <s v="CHARGES"/>
    <x v="0"/>
    <s v="3221.002"/>
    <s v="Intérêts compensatoires / créances en faveur ctb."/>
    <n v="0.78"/>
    <n v="0"/>
    <n v="3221"/>
  </r>
  <r>
    <x v="0"/>
    <x v="13"/>
    <x v="5"/>
    <x v="367"/>
    <x v="311"/>
    <x v="311"/>
    <s v="CHARGES"/>
    <x v="1"/>
    <s v="3301.001"/>
    <s v="Défalcations, abandons de solde PP et IS"/>
    <n v="0.43"/>
    <n v="0"/>
    <n v="3301"/>
  </r>
  <r>
    <x v="0"/>
    <x v="13"/>
    <x v="5"/>
    <x v="367"/>
    <x v="311"/>
    <x v="311"/>
    <s v="REVENUS"/>
    <x v="2"/>
    <s v="4001.007"/>
    <s v="Acompte impôt sur revenu"/>
    <n v="0"/>
    <n v="-157487.64000000001"/>
    <n v="4001"/>
  </r>
  <r>
    <x v="0"/>
    <x v="13"/>
    <x v="5"/>
    <x v="367"/>
    <x v="311"/>
    <x v="311"/>
    <s v="REVENUS"/>
    <x v="2"/>
    <s v="4001.001"/>
    <s v="Impôt revenu"/>
    <n v="0"/>
    <n v="1065467.3"/>
    <n v="4001"/>
  </r>
  <r>
    <x v="0"/>
    <x v="13"/>
    <x v="5"/>
    <x v="367"/>
    <x v="311"/>
    <x v="311"/>
    <s v="REVENUS"/>
    <x v="2"/>
    <s v="4001.002"/>
    <s v="Impôt complément s/revenu PP"/>
    <n v="0"/>
    <n v="284983.45"/>
    <n v="4001"/>
  </r>
  <r>
    <x v="0"/>
    <x v="13"/>
    <x v="5"/>
    <x v="367"/>
    <x v="311"/>
    <x v="311"/>
    <s v="REVENUS"/>
    <x v="3"/>
    <s v="4002.002"/>
    <s v="Impôt complémentaire s/fortune PP"/>
    <n v="0"/>
    <n v="49751.1"/>
    <n v="4002"/>
  </r>
  <r>
    <x v="0"/>
    <x v="13"/>
    <x v="5"/>
    <x v="367"/>
    <x v="311"/>
    <x v="311"/>
    <s v="REVENUS"/>
    <x v="6"/>
    <s v="4211.001"/>
    <s v="Intérêts de retard sur factures"/>
    <n v="0"/>
    <n v="5716.16"/>
    <n v="4211"/>
  </r>
  <r>
    <x v="0"/>
    <x v="13"/>
    <x v="5"/>
    <x v="367"/>
    <x v="311"/>
    <x v="311"/>
    <s v="REVENUS"/>
    <x v="6"/>
    <s v="4211.002"/>
    <s v="Intérêts de retard sur acomptes"/>
    <n v="0"/>
    <n v="6435.28"/>
    <n v="4211"/>
  </r>
  <r>
    <x v="0"/>
    <x v="13"/>
    <x v="5"/>
    <x v="367"/>
    <x v="311"/>
    <x v="311"/>
    <s v="REVENUS"/>
    <x v="6"/>
    <s v="4221.003"/>
    <s v="Intérêts compensat. / acomptes en faveur du fisc"/>
    <n v="0"/>
    <n v="129.07"/>
    <n v="4221"/>
  </r>
  <r>
    <x v="0"/>
    <x v="13"/>
    <x v="5"/>
    <x v="367"/>
    <x v="311"/>
    <x v="311"/>
    <s v="REVENUS"/>
    <x v="3"/>
    <s v="4002.001"/>
    <s v="Impôt ordinaire s/fortune PP"/>
    <n v="0"/>
    <n v="164390.39999999999"/>
    <n v="4002"/>
  </r>
  <r>
    <x v="0"/>
    <x v="13"/>
    <x v="5"/>
    <x v="367"/>
    <x v="311"/>
    <x v="311"/>
    <s v="REVENUS"/>
    <x v="3"/>
    <s v="4002.007"/>
    <s v="Acompte impôt sur fortune"/>
    <n v="0"/>
    <n v="-33432.49"/>
    <n v="4002"/>
  </r>
  <r>
    <x v="0"/>
    <x v="13"/>
    <x v="5"/>
    <x v="367"/>
    <x v="311"/>
    <x v="311"/>
    <s v="REVENUS"/>
    <x v="2"/>
    <s v="4001.003"/>
    <s v="Impôt s/prest. cap. PP"/>
    <n v="0"/>
    <n v="14418.85"/>
    <n v="4001"/>
  </r>
  <r>
    <x v="0"/>
    <x v="13"/>
    <x v="5"/>
    <x v="367"/>
    <x v="311"/>
    <x v="311"/>
    <s v="REVENUS"/>
    <x v="7"/>
    <s v="4184.000"/>
    <s v="Frais de poursuite"/>
    <n v="0"/>
    <n v="970.72"/>
    <n v="4184"/>
  </r>
  <r>
    <x v="0"/>
    <x v="13"/>
    <x v="5"/>
    <x v="367"/>
    <x v="311"/>
    <x v="311"/>
    <s v="REVENUS"/>
    <x v="2"/>
    <s v="4001.007"/>
    <s v="Acompte impôt sur revenu"/>
    <n v="0"/>
    <n v="-2235.85"/>
    <n v="4001"/>
  </r>
  <r>
    <x v="0"/>
    <x v="13"/>
    <x v="5"/>
    <x v="367"/>
    <x v="311"/>
    <x v="311"/>
    <s v="REVENUS"/>
    <x v="2"/>
    <s v="4001.001"/>
    <s v="Impôt revenu"/>
    <n v="0"/>
    <n v="570.45000000000005"/>
    <n v="4001"/>
  </r>
  <r>
    <x v="0"/>
    <x v="13"/>
    <x v="5"/>
    <x v="367"/>
    <x v="311"/>
    <x v="311"/>
    <s v="REVENUS"/>
    <x v="6"/>
    <s v="4221.003"/>
    <s v="Intérêts compensat. / acomptes en faveur du fisc"/>
    <n v="0"/>
    <n v="0.08"/>
    <n v="4221"/>
  </r>
  <r>
    <x v="0"/>
    <x v="13"/>
    <x v="5"/>
    <x v="367"/>
    <x v="311"/>
    <x v="311"/>
    <s v="REVENUS"/>
    <x v="2"/>
    <s v="4001.007"/>
    <s v="Acompte impôt sur revenu"/>
    <n v="0"/>
    <n v="386.11"/>
    <n v="4001"/>
  </r>
  <r>
    <x v="0"/>
    <x v="13"/>
    <x v="5"/>
    <x v="367"/>
    <x v="311"/>
    <x v="311"/>
    <s v="REVENUS"/>
    <x v="3"/>
    <s v="4002.007"/>
    <s v="Acompte impôt sur fortune"/>
    <n v="0"/>
    <n v="260.85000000000002"/>
    <n v="4002"/>
  </r>
  <r>
    <x v="0"/>
    <x v="13"/>
    <x v="5"/>
    <x v="367"/>
    <x v="311"/>
    <x v="311"/>
    <s v="REVENUS"/>
    <x v="2"/>
    <s v="4001.007"/>
    <s v="Acompte impôt sur revenu"/>
    <n v="0"/>
    <n v="-5560.95"/>
    <n v="4001"/>
  </r>
  <r>
    <x v="0"/>
    <x v="13"/>
    <x v="5"/>
    <x v="367"/>
    <x v="311"/>
    <x v="311"/>
    <s v="REVENUS"/>
    <x v="3"/>
    <s v="4002.007"/>
    <s v="Acompte impôt sur fortune"/>
    <n v="0"/>
    <n v="-949.25"/>
    <n v="4002"/>
  </r>
  <r>
    <x v="0"/>
    <x v="13"/>
    <x v="5"/>
    <x v="367"/>
    <x v="311"/>
    <x v="311"/>
    <s v="REVENUS"/>
    <x v="2"/>
    <s v="4001.007"/>
    <s v="Acompte impôt sur revenu"/>
    <n v="0"/>
    <n v="2259.75"/>
    <n v="4001"/>
  </r>
  <r>
    <x v="0"/>
    <x v="13"/>
    <x v="5"/>
    <x v="367"/>
    <x v="311"/>
    <x v="311"/>
    <s v="REVENUS"/>
    <x v="3"/>
    <s v="4002.007"/>
    <s v="Acompte impôt sur fortune"/>
    <n v="0"/>
    <n v="0"/>
    <n v="4002"/>
  </r>
  <r>
    <x v="0"/>
    <x v="13"/>
    <x v="5"/>
    <x v="367"/>
    <x v="311"/>
    <x v="311"/>
    <s v="REVENUS"/>
    <x v="2"/>
    <s v="4001.007"/>
    <s v="Acompte impôt sur revenu"/>
    <n v="0"/>
    <n v="0"/>
    <n v="4001"/>
  </r>
  <r>
    <x v="0"/>
    <x v="13"/>
    <x v="5"/>
    <x v="367"/>
    <x v="311"/>
    <x v="311"/>
    <s v="REVENUS"/>
    <x v="6"/>
    <s v="4221.002"/>
    <s v="Intérêts compensat. sur impôts distincts"/>
    <n v="0"/>
    <n v="0.34"/>
    <n v="4221"/>
  </r>
  <r>
    <x v="0"/>
    <x v="13"/>
    <x v="5"/>
    <x v="367"/>
    <x v="311"/>
    <x v="311"/>
    <s v="REVENUS"/>
    <x v="3"/>
    <s v="4002.007"/>
    <s v="Acompte impôt sur fortune"/>
    <n v="0"/>
    <n v="329.18"/>
    <n v="4002"/>
  </r>
  <r>
    <x v="0"/>
    <x v="13"/>
    <x v="5"/>
    <x v="367"/>
    <x v="311"/>
    <x v="311"/>
    <s v="REVENUS"/>
    <x v="2"/>
    <s v="4001.001"/>
    <s v="Impôt revenu"/>
    <n v="0"/>
    <n v="1482.5"/>
    <n v="4001"/>
  </r>
  <r>
    <x v="0"/>
    <x v="13"/>
    <x v="5"/>
    <x v="367"/>
    <x v="311"/>
    <x v="311"/>
    <s v="REVENUS"/>
    <x v="3"/>
    <s v="4002.001"/>
    <s v="Impôt ordinaire s/fortune PP"/>
    <n v="0"/>
    <n v="1014.1"/>
    <n v="4002"/>
  </r>
  <r>
    <x v="0"/>
    <x v="13"/>
    <x v="5"/>
    <x v="367"/>
    <x v="311"/>
    <x v="311"/>
    <s v="REVENUS"/>
    <x v="6"/>
    <s v="4221.003"/>
    <s v="Intérêts compensat. / acomptes en faveur du fisc"/>
    <n v="0"/>
    <n v="0.08"/>
    <n v="4221"/>
  </r>
  <r>
    <x v="0"/>
    <x v="13"/>
    <x v="5"/>
    <x v="367"/>
    <x v="311"/>
    <x v="311"/>
    <s v="REVENUS"/>
    <x v="2"/>
    <s v="4001.001"/>
    <s v="Impôt revenu"/>
    <n v="0"/>
    <n v="3536.1"/>
    <n v="4001"/>
  </r>
  <r>
    <x v="0"/>
    <x v="13"/>
    <x v="5"/>
    <x v="367"/>
    <x v="311"/>
    <x v="311"/>
    <s v="REVENUS"/>
    <x v="6"/>
    <s v="4211.002"/>
    <s v="Intérêts de retard sur acomptes"/>
    <n v="0"/>
    <n v="14.88"/>
    <n v="4211"/>
  </r>
  <r>
    <x v="0"/>
    <x v="13"/>
    <x v="5"/>
    <x v="367"/>
    <x v="311"/>
    <x v="311"/>
    <s v="REVENUS"/>
    <x v="6"/>
    <s v="4221.003"/>
    <s v="Intérêts compensat. / acomptes en faveur du fisc"/>
    <n v="0"/>
    <n v="1.37"/>
    <n v="4221"/>
  </r>
  <r>
    <x v="0"/>
    <x v="13"/>
    <x v="5"/>
    <x v="367"/>
    <x v="311"/>
    <x v="311"/>
    <s v="REVENUS"/>
    <x v="2"/>
    <s v="4001.002"/>
    <s v="Impôt complément s/revenu PP"/>
    <n v="0"/>
    <n v="315.2"/>
    <n v="4001"/>
  </r>
  <r>
    <x v="0"/>
    <x v="13"/>
    <x v="5"/>
    <x v="367"/>
    <x v="311"/>
    <x v="311"/>
    <s v="REVENUS"/>
    <x v="3"/>
    <s v="4002.001"/>
    <s v="Impôt ordinaire s/fortune PP"/>
    <n v="0"/>
    <n v="1424.35"/>
    <n v="4002"/>
  </r>
  <r>
    <x v="0"/>
    <x v="13"/>
    <x v="5"/>
    <x v="367"/>
    <x v="311"/>
    <x v="311"/>
    <s v="REVENUS"/>
    <x v="3"/>
    <s v="4002.002"/>
    <s v="Impôt complémentaire s/fortune PP"/>
    <n v="0"/>
    <n v="1779.45"/>
    <n v="4002"/>
  </r>
  <r>
    <x v="0"/>
    <x v="13"/>
    <x v="5"/>
    <x v="367"/>
    <x v="311"/>
    <x v="311"/>
    <s v="REVENUS"/>
    <x v="6"/>
    <s v="4221.003"/>
    <s v="Intérêts compensat. / acomptes en faveur du fisc"/>
    <n v="0"/>
    <n v="1.38"/>
    <n v="4221"/>
  </r>
  <r>
    <x v="0"/>
    <x v="13"/>
    <x v="5"/>
    <x v="367"/>
    <x v="311"/>
    <x v="311"/>
    <s v="REVENUS"/>
    <x v="3"/>
    <s v="4002.001"/>
    <s v="Impôt ordinaire s/fortune PP"/>
    <n v="0"/>
    <n v="1635.35"/>
    <n v="4002"/>
  </r>
  <r>
    <x v="0"/>
    <x v="13"/>
    <x v="5"/>
    <x v="367"/>
    <x v="311"/>
    <x v="311"/>
    <s v="REVENUS"/>
    <x v="2"/>
    <s v="4001.001"/>
    <s v="Impôt revenu"/>
    <n v="0"/>
    <n v="498.55"/>
    <n v="4001"/>
  </r>
  <r>
    <x v="0"/>
    <x v="13"/>
    <x v="5"/>
    <x v="367"/>
    <x v="311"/>
    <x v="311"/>
    <s v="REVENUS"/>
    <x v="3"/>
    <s v="4002.001"/>
    <s v="Impôt ordinaire s/fortune PP"/>
    <n v="0"/>
    <n v="667.5"/>
    <n v="4002"/>
  </r>
  <r>
    <x v="0"/>
    <x v="13"/>
    <x v="5"/>
    <x v="367"/>
    <x v="311"/>
    <x v="311"/>
    <s v="REVENUS"/>
    <x v="6"/>
    <s v="4221.003"/>
    <s v="Intérêts compensat. / acomptes en faveur du fisc"/>
    <n v="0"/>
    <n v="0.03"/>
    <n v="4221"/>
  </r>
  <r>
    <x v="0"/>
    <x v="13"/>
    <x v="5"/>
    <x v="367"/>
    <x v="311"/>
    <x v="311"/>
    <s v="REVENUS"/>
    <x v="6"/>
    <s v="4211.001"/>
    <s v="Intérêts de retard sur factures"/>
    <n v="0"/>
    <n v="1.64"/>
    <n v="4211"/>
  </r>
  <r>
    <x v="0"/>
    <x v="13"/>
    <x v="5"/>
    <x v="367"/>
    <x v="311"/>
    <x v="311"/>
    <s v="REVENUS"/>
    <x v="2"/>
    <s v="4001.001"/>
    <s v="Impôt revenu"/>
    <n v="0"/>
    <n v="202.05"/>
    <n v="4001"/>
  </r>
  <r>
    <x v="0"/>
    <x v="13"/>
    <x v="5"/>
    <x v="367"/>
    <x v="311"/>
    <x v="311"/>
    <s v="REVENUS"/>
    <x v="6"/>
    <s v="4211.002"/>
    <s v="Intérêts de retard sur acomptes"/>
    <n v="0"/>
    <n v="19.47"/>
    <n v="4211"/>
  </r>
  <r>
    <x v="0"/>
    <x v="13"/>
    <x v="5"/>
    <x v="367"/>
    <x v="311"/>
    <x v="311"/>
    <s v="REVENUS"/>
    <x v="5"/>
    <s v="4061.000"/>
    <s v="Impôt sur les chiens"/>
    <n v="0"/>
    <n v="4050"/>
    <n v="4061"/>
  </r>
  <r>
    <x v="0"/>
    <x v="13"/>
    <x v="5"/>
    <x v="367"/>
    <x v="311"/>
    <x v="311"/>
    <s v="REVENUS"/>
    <x v="7"/>
    <s v="4184.000"/>
    <s v="Frais de poursuite"/>
    <n v="0"/>
    <n v="272.69"/>
    <n v="4184"/>
  </r>
  <r>
    <x v="0"/>
    <x v="13"/>
    <x v="5"/>
    <x v="367"/>
    <x v="311"/>
    <x v="311"/>
    <s v="REVENUS"/>
    <x v="2"/>
    <s v="4001.001"/>
    <s v="Impôt revenu"/>
    <n v="0"/>
    <n v="395.05"/>
    <n v="4001"/>
  </r>
  <r>
    <x v="0"/>
    <x v="13"/>
    <x v="5"/>
    <x v="367"/>
    <x v="311"/>
    <x v="311"/>
    <s v="REVENUS"/>
    <x v="2"/>
    <s v="4001.007"/>
    <s v="Acompte impôt sur revenu"/>
    <n v="0"/>
    <n v="-324.31"/>
    <n v="4001"/>
  </r>
  <r>
    <x v="0"/>
    <x v="13"/>
    <x v="5"/>
    <x v="367"/>
    <x v="311"/>
    <x v="311"/>
    <s v="REVENUS"/>
    <x v="3"/>
    <s v="4002.007"/>
    <s v="Acompte impôt sur fortune"/>
    <n v="0"/>
    <n v="-467.74"/>
    <n v="4002"/>
  </r>
  <r>
    <x v="0"/>
    <x v="13"/>
    <x v="5"/>
    <x v="367"/>
    <x v="311"/>
    <x v="311"/>
    <s v="REVENUS"/>
    <x v="3"/>
    <s v="4002.002"/>
    <s v="Impôt complémentaire s/fortune PP"/>
    <n v="0"/>
    <n v="2731.35"/>
    <n v="4002"/>
  </r>
  <r>
    <x v="0"/>
    <x v="13"/>
    <x v="5"/>
    <x v="367"/>
    <x v="311"/>
    <x v="311"/>
    <s v="REVENUS"/>
    <x v="6"/>
    <s v="4211.001"/>
    <s v="Intérêts de retard sur factures"/>
    <n v="0"/>
    <n v="2.4300000000000002"/>
    <n v="4211"/>
  </r>
  <r>
    <x v="0"/>
    <x v="13"/>
    <x v="5"/>
    <x v="367"/>
    <x v="311"/>
    <x v="311"/>
    <s v="REVENUS"/>
    <x v="2"/>
    <s v="4001.002"/>
    <s v="Impôt complément s/revenu PP"/>
    <n v="0"/>
    <n v="4290.8"/>
    <n v="4001"/>
  </r>
  <r>
    <x v="0"/>
    <x v="13"/>
    <x v="5"/>
    <x v="367"/>
    <x v="311"/>
    <x v="311"/>
    <s v="REVENUS"/>
    <x v="9"/>
    <s v="4031.001"/>
    <s v="Impôt sur les gains immobiliers"/>
    <n v="0"/>
    <n v="6080.15"/>
    <n v="4031"/>
  </r>
  <r>
    <x v="0"/>
    <x v="13"/>
    <x v="5"/>
    <x v="367"/>
    <x v="311"/>
    <x v="311"/>
    <s v="REVENUS"/>
    <x v="6"/>
    <s v="4211.002"/>
    <s v="Intérêts de retard sur acomptes"/>
    <n v="0"/>
    <n v="27.72"/>
    <n v="4211"/>
  </r>
  <r>
    <x v="0"/>
    <x v="13"/>
    <x v="5"/>
    <x v="367"/>
    <x v="311"/>
    <x v="311"/>
    <s v="REVENUS"/>
    <x v="6"/>
    <s v="4211.002"/>
    <s v="Intérêts de retard sur acomptes"/>
    <n v="0"/>
    <n v="0.03"/>
    <n v="4211"/>
  </r>
  <r>
    <x v="0"/>
    <x v="13"/>
    <x v="5"/>
    <x v="367"/>
    <x v="311"/>
    <x v="311"/>
    <s v="REVENUS"/>
    <x v="4"/>
    <s v="4051.002"/>
    <s v="Impôt sur les donations"/>
    <n v="0"/>
    <n v="2722.5"/>
    <n v="4051"/>
  </r>
  <r>
    <x v="0"/>
    <x v="13"/>
    <x v="5"/>
    <x v="367"/>
    <x v="311"/>
    <x v="311"/>
    <s v="REVENUS"/>
    <x v="3"/>
    <s v="4002.001"/>
    <s v="Impôt ordinaire s/fortune PP"/>
    <n v="0"/>
    <n v="161.85"/>
    <n v="4002"/>
  </r>
  <r>
    <x v="0"/>
    <x v="13"/>
    <x v="5"/>
    <x v="367"/>
    <x v="311"/>
    <x v="311"/>
    <s v="REVENUS"/>
    <x v="2"/>
    <s v="4001.002"/>
    <s v="Impôt complément s/revenu PP"/>
    <n v="0"/>
    <n v="884.2"/>
    <n v="4001"/>
  </r>
  <r>
    <x v="0"/>
    <x v="13"/>
    <x v="5"/>
    <x v="367"/>
    <x v="311"/>
    <x v="311"/>
    <s v="REVENUS"/>
    <x v="6"/>
    <s v="4211.001"/>
    <s v="Intérêts de retard sur factures"/>
    <n v="0"/>
    <n v="0.26"/>
    <n v="4211"/>
  </r>
  <r>
    <x v="0"/>
    <x v="13"/>
    <x v="5"/>
    <x v="367"/>
    <x v="311"/>
    <x v="311"/>
    <s v="REVENUS"/>
    <x v="6"/>
    <s v="4221.003"/>
    <s v="Intérêts compensat. / acomptes en faveur du fisc"/>
    <n v="0"/>
    <n v="0.43"/>
    <n v="4221"/>
  </r>
  <r>
    <x v="0"/>
    <x v="13"/>
    <x v="5"/>
    <x v="368"/>
    <x v="312"/>
    <x v="312"/>
    <s v="CHARGES"/>
    <x v="0"/>
    <s v="3212.002"/>
    <s v="Intérêts bonifiés/trop perçu acompte C/C"/>
    <n v="14.36"/>
    <n v="0"/>
    <n v="3212"/>
  </r>
  <r>
    <x v="0"/>
    <x v="13"/>
    <x v="5"/>
    <x v="368"/>
    <x v="312"/>
    <x v="312"/>
    <s v="CHARGES"/>
    <x v="0"/>
    <s v="3212.004"/>
    <s v="Intérêts rémun./perçu trop tôt sur acomptes C/C"/>
    <n v="439.7"/>
    <n v="0"/>
    <n v="3212"/>
  </r>
  <r>
    <x v="0"/>
    <x v="13"/>
    <x v="5"/>
    <x v="368"/>
    <x v="312"/>
    <x v="312"/>
    <s v="CHARGES"/>
    <x v="0"/>
    <s v="3221.002"/>
    <s v="Intérêts compensatoires / créances en faveur ctb."/>
    <n v="275.99"/>
    <n v="0"/>
    <n v="3221"/>
  </r>
  <r>
    <x v="0"/>
    <x v="13"/>
    <x v="5"/>
    <x v="368"/>
    <x v="312"/>
    <x v="312"/>
    <s v="CHARGES"/>
    <x v="0"/>
    <s v="3212.004"/>
    <s v="Intérêts rémun./perçu trop tôt sur acomptes C/C"/>
    <n v="2.68"/>
    <n v="0"/>
    <n v="3212"/>
  </r>
  <r>
    <x v="0"/>
    <x v="13"/>
    <x v="5"/>
    <x v="368"/>
    <x v="312"/>
    <x v="312"/>
    <s v="CHARGES"/>
    <x v="0"/>
    <s v="3221.002"/>
    <s v="Intérêts compensatoires / créances en faveur ctb."/>
    <n v="0.46"/>
    <n v="0"/>
    <n v="3221"/>
  </r>
  <r>
    <x v="0"/>
    <x v="13"/>
    <x v="5"/>
    <x v="368"/>
    <x v="312"/>
    <x v="312"/>
    <s v="CHARGES"/>
    <x v="1"/>
    <s v="3301.001"/>
    <s v="Défalcations, abandons de solde PP et IS"/>
    <n v="2341.06"/>
    <n v="0"/>
    <n v="3301"/>
  </r>
  <r>
    <x v="0"/>
    <x v="13"/>
    <x v="5"/>
    <x v="368"/>
    <x v="312"/>
    <x v="312"/>
    <s v="CHARGES"/>
    <x v="1"/>
    <s v="3301.001"/>
    <s v="Défalcations, abandons de solde PP et IS"/>
    <n v="1.1100000000000001"/>
    <n v="0"/>
    <n v="3301"/>
  </r>
  <r>
    <x v="0"/>
    <x v="13"/>
    <x v="5"/>
    <x v="368"/>
    <x v="312"/>
    <x v="312"/>
    <s v="CHARGES"/>
    <x v="0"/>
    <s v="3212.004"/>
    <s v="Intérêts rémun./perçu trop tôt sur acomptes C/C"/>
    <n v="10.59"/>
    <n v="0"/>
    <n v="3212"/>
  </r>
  <r>
    <x v="0"/>
    <x v="13"/>
    <x v="5"/>
    <x v="368"/>
    <x v="312"/>
    <x v="312"/>
    <s v="CHARGES"/>
    <x v="1"/>
    <s v="3301.001"/>
    <s v="Défalcations, abandons de solde PP et IS"/>
    <n v="2.92"/>
    <n v="0"/>
    <n v="3301"/>
  </r>
  <r>
    <x v="0"/>
    <x v="13"/>
    <x v="5"/>
    <x v="368"/>
    <x v="312"/>
    <x v="312"/>
    <s v="CHARGES"/>
    <x v="1"/>
    <s v="3301.001"/>
    <s v="Défalcations, abandons de solde PP et IS"/>
    <n v="-0.05"/>
    <n v="0"/>
    <n v="3301"/>
  </r>
  <r>
    <x v="0"/>
    <x v="13"/>
    <x v="5"/>
    <x v="368"/>
    <x v="312"/>
    <x v="312"/>
    <s v="CHARGES"/>
    <x v="0"/>
    <s v="3212.002"/>
    <s v="Intérêts bonifiés/trop perçu acompte C/C"/>
    <n v="0.01"/>
    <n v="0"/>
    <n v="3212"/>
  </r>
  <r>
    <x v="0"/>
    <x v="13"/>
    <x v="5"/>
    <x v="368"/>
    <x v="312"/>
    <x v="312"/>
    <s v="CHARGES"/>
    <x v="0"/>
    <s v="3212.004"/>
    <s v="Intérêts rémun./perçu trop tôt sur acomptes C/C"/>
    <n v="1.92"/>
    <n v="0"/>
    <n v="3212"/>
  </r>
  <r>
    <x v="0"/>
    <x v="13"/>
    <x v="5"/>
    <x v="368"/>
    <x v="312"/>
    <x v="312"/>
    <s v="CHARGES"/>
    <x v="0"/>
    <s v="3221.002"/>
    <s v="Intérêts compensatoires / créances en faveur ctb."/>
    <n v="0.28999999999999998"/>
    <n v="0"/>
    <n v="3221"/>
  </r>
  <r>
    <x v="0"/>
    <x v="13"/>
    <x v="5"/>
    <x v="368"/>
    <x v="312"/>
    <x v="312"/>
    <s v="CHARGES"/>
    <x v="0"/>
    <s v="3221.002"/>
    <s v="Intérêts compensatoires / créances en faveur ctb."/>
    <n v="2.38"/>
    <n v="0"/>
    <n v="3221"/>
  </r>
  <r>
    <x v="0"/>
    <x v="13"/>
    <x v="5"/>
    <x v="368"/>
    <x v="312"/>
    <x v="312"/>
    <s v="CHARGES"/>
    <x v="0"/>
    <s v="3212.004"/>
    <s v="Intérêts rémun./perçu trop tôt sur acomptes C/C"/>
    <n v="4.32"/>
    <n v="0"/>
    <n v="3212"/>
  </r>
  <r>
    <x v="0"/>
    <x v="13"/>
    <x v="5"/>
    <x v="368"/>
    <x v="312"/>
    <x v="312"/>
    <s v="CHARGES"/>
    <x v="0"/>
    <s v="3221.002"/>
    <s v="Intérêts compensatoires / créances en faveur ctb."/>
    <n v="1.48"/>
    <n v="0"/>
    <n v="3221"/>
  </r>
  <r>
    <x v="0"/>
    <x v="13"/>
    <x v="5"/>
    <x v="368"/>
    <x v="312"/>
    <x v="312"/>
    <s v="CHARGES"/>
    <x v="0"/>
    <s v="3212.002"/>
    <s v="Intérêts bonifiés/trop perçu acompte C/C"/>
    <n v="0.02"/>
    <n v="0"/>
    <n v="3212"/>
  </r>
  <r>
    <x v="0"/>
    <x v="13"/>
    <x v="5"/>
    <x v="368"/>
    <x v="312"/>
    <x v="312"/>
    <s v="CHARGES"/>
    <x v="1"/>
    <s v="3301.001"/>
    <s v="Défalcations, abandons de solde PP et IS"/>
    <n v="9615.7199999999993"/>
    <n v="0"/>
    <n v="3301"/>
  </r>
  <r>
    <x v="0"/>
    <x v="13"/>
    <x v="5"/>
    <x v="368"/>
    <x v="312"/>
    <x v="312"/>
    <s v="CHARGES"/>
    <x v="0"/>
    <s v="3212.002"/>
    <s v="Intérêts bonifiés/trop perçu acompte C/C"/>
    <n v="0.01"/>
    <n v="0"/>
    <n v="3212"/>
  </r>
  <r>
    <x v="0"/>
    <x v="13"/>
    <x v="5"/>
    <x v="368"/>
    <x v="312"/>
    <x v="312"/>
    <s v="CHARGES"/>
    <x v="0"/>
    <s v="3221.002"/>
    <s v="Intérêts compensatoires / créances en faveur ctb."/>
    <n v="0.32"/>
    <n v="0"/>
    <n v="3221"/>
  </r>
  <r>
    <x v="0"/>
    <x v="13"/>
    <x v="5"/>
    <x v="368"/>
    <x v="312"/>
    <x v="312"/>
    <s v="CHARGES"/>
    <x v="1"/>
    <s v="3301.001"/>
    <s v="Défalcations, abandons de solde PP et IS"/>
    <n v="1.6"/>
    <n v="0"/>
    <n v="3301"/>
  </r>
  <r>
    <x v="0"/>
    <x v="13"/>
    <x v="5"/>
    <x v="368"/>
    <x v="312"/>
    <x v="312"/>
    <s v="CHARGES"/>
    <x v="0"/>
    <s v="3212.004"/>
    <s v="Intérêts rémun./perçu trop tôt sur acomptes C/C"/>
    <n v="0.3"/>
    <n v="0"/>
    <n v="3212"/>
  </r>
  <r>
    <x v="0"/>
    <x v="13"/>
    <x v="5"/>
    <x v="368"/>
    <x v="312"/>
    <x v="312"/>
    <s v="CHARGES"/>
    <x v="0"/>
    <s v="3212.002"/>
    <s v="Intérêts bonifiés/trop perçu acompte C/C"/>
    <n v="-0.24"/>
    <n v="0"/>
    <n v="3212"/>
  </r>
  <r>
    <x v="0"/>
    <x v="13"/>
    <x v="5"/>
    <x v="368"/>
    <x v="312"/>
    <x v="312"/>
    <s v="CHARGES"/>
    <x v="1"/>
    <s v="3301.001"/>
    <s v="Défalcations, abandons de solde PP et IS"/>
    <n v="0.02"/>
    <n v="0"/>
    <n v="3301"/>
  </r>
  <r>
    <x v="0"/>
    <x v="13"/>
    <x v="5"/>
    <x v="368"/>
    <x v="312"/>
    <x v="312"/>
    <s v="REVENUS"/>
    <x v="2"/>
    <s v="4001.007"/>
    <s v="Acompte impôt sur revenu"/>
    <n v="0"/>
    <n v="-180382.43"/>
    <n v="4001"/>
  </r>
  <r>
    <x v="0"/>
    <x v="13"/>
    <x v="5"/>
    <x v="368"/>
    <x v="312"/>
    <x v="312"/>
    <s v="REVENUS"/>
    <x v="3"/>
    <s v="4002.007"/>
    <s v="Acompte impôt sur fortune"/>
    <n v="0"/>
    <n v="-71376.289999999994"/>
    <n v="4002"/>
  </r>
  <r>
    <x v="0"/>
    <x v="13"/>
    <x v="5"/>
    <x v="368"/>
    <x v="312"/>
    <x v="312"/>
    <s v="REVENUS"/>
    <x v="2"/>
    <s v="4001.007"/>
    <s v="Acompte impôt sur revenu"/>
    <n v="0"/>
    <n v="-41003"/>
    <n v="4001"/>
  </r>
  <r>
    <x v="0"/>
    <x v="13"/>
    <x v="5"/>
    <x v="368"/>
    <x v="312"/>
    <x v="312"/>
    <s v="REVENUS"/>
    <x v="3"/>
    <s v="4002.007"/>
    <s v="Acompte impôt sur fortune"/>
    <n v="0"/>
    <n v="-40089.06"/>
    <n v="4002"/>
  </r>
  <r>
    <x v="0"/>
    <x v="13"/>
    <x v="5"/>
    <x v="368"/>
    <x v="312"/>
    <x v="312"/>
    <s v="REVENUS"/>
    <x v="2"/>
    <s v="4001.001"/>
    <s v="Impôt revenu"/>
    <n v="0"/>
    <n v="1314883.1499999999"/>
    <n v="4001"/>
  </r>
  <r>
    <x v="0"/>
    <x v="13"/>
    <x v="5"/>
    <x v="368"/>
    <x v="312"/>
    <x v="312"/>
    <s v="REVENUS"/>
    <x v="2"/>
    <s v="4001.003"/>
    <s v="Impôt s/prest. cap. PP"/>
    <n v="0"/>
    <n v="83560.45"/>
    <n v="4001"/>
  </r>
  <r>
    <x v="0"/>
    <x v="13"/>
    <x v="5"/>
    <x v="368"/>
    <x v="312"/>
    <x v="312"/>
    <s v="REVENUS"/>
    <x v="3"/>
    <s v="4002.001"/>
    <s v="Impôt ordinaire s/fortune PP"/>
    <n v="0"/>
    <n v="195920.7"/>
    <n v="4002"/>
  </r>
  <r>
    <x v="0"/>
    <x v="13"/>
    <x v="5"/>
    <x v="368"/>
    <x v="312"/>
    <x v="312"/>
    <s v="REVENUS"/>
    <x v="6"/>
    <s v="4211.001"/>
    <s v="Intérêts de retard sur factures"/>
    <n v="0"/>
    <n v="3109.46"/>
    <n v="4211"/>
  </r>
  <r>
    <x v="0"/>
    <x v="13"/>
    <x v="5"/>
    <x v="368"/>
    <x v="312"/>
    <x v="312"/>
    <s v="REVENUS"/>
    <x v="2"/>
    <s v="4001.001"/>
    <s v="Impôt revenu"/>
    <n v="0"/>
    <n v="3609.4"/>
    <n v="4001"/>
  </r>
  <r>
    <x v="0"/>
    <x v="13"/>
    <x v="5"/>
    <x v="368"/>
    <x v="312"/>
    <x v="312"/>
    <s v="REVENUS"/>
    <x v="2"/>
    <s v="4001.007"/>
    <s v="Acompte impôt sur revenu"/>
    <n v="0"/>
    <n v="-758.39"/>
    <n v="4001"/>
  </r>
  <r>
    <x v="0"/>
    <x v="13"/>
    <x v="5"/>
    <x v="368"/>
    <x v="312"/>
    <x v="312"/>
    <s v="REVENUS"/>
    <x v="3"/>
    <s v="4002.001"/>
    <s v="Impôt ordinaire s/fortune PP"/>
    <n v="0"/>
    <n v="2486.4499999999998"/>
    <n v="4002"/>
  </r>
  <r>
    <x v="0"/>
    <x v="13"/>
    <x v="5"/>
    <x v="368"/>
    <x v="312"/>
    <x v="312"/>
    <s v="REVENUS"/>
    <x v="3"/>
    <s v="4002.007"/>
    <s v="Acompte impôt sur fortune"/>
    <n v="0"/>
    <n v="-1065.0999999999999"/>
    <n v="4002"/>
  </r>
  <r>
    <x v="0"/>
    <x v="13"/>
    <x v="5"/>
    <x v="368"/>
    <x v="312"/>
    <x v="312"/>
    <s v="REVENUS"/>
    <x v="6"/>
    <s v="4221.003"/>
    <s v="Intérêts compensat. / acomptes en faveur du fisc"/>
    <n v="0"/>
    <n v="7.0000000000000007E-2"/>
    <n v="4221"/>
  </r>
  <r>
    <x v="0"/>
    <x v="13"/>
    <x v="5"/>
    <x v="368"/>
    <x v="312"/>
    <x v="312"/>
    <s v="REVENUS"/>
    <x v="2"/>
    <s v="4001.007"/>
    <s v="Acompte impôt sur revenu"/>
    <n v="0"/>
    <n v="-1698.85"/>
    <n v="4001"/>
  </r>
  <r>
    <x v="0"/>
    <x v="13"/>
    <x v="5"/>
    <x v="368"/>
    <x v="312"/>
    <x v="312"/>
    <s v="REVENUS"/>
    <x v="2"/>
    <s v="4001.007"/>
    <s v="Acompte impôt sur revenu"/>
    <n v="0"/>
    <n v="1785.77"/>
    <n v="4001"/>
  </r>
  <r>
    <x v="0"/>
    <x v="13"/>
    <x v="5"/>
    <x v="368"/>
    <x v="312"/>
    <x v="312"/>
    <s v="REVENUS"/>
    <x v="10"/>
    <s v="4041.001"/>
    <s v="Droits de mutation"/>
    <n v="0"/>
    <n v="50432.5"/>
    <n v="4041"/>
  </r>
  <r>
    <x v="0"/>
    <x v="13"/>
    <x v="5"/>
    <x v="368"/>
    <x v="312"/>
    <x v="312"/>
    <s v="REVENUS"/>
    <x v="6"/>
    <s v="4211.002"/>
    <s v="Intérêts de retard sur acomptes"/>
    <n v="0"/>
    <n v="7264.51"/>
    <n v="4211"/>
  </r>
  <r>
    <x v="0"/>
    <x v="13"/>
    <x v="5"/>
    <x v="368"/>
    <x v="312"/>
    <x v="312"/>
    <s v="REVENUS"/>
    <x v="6"/>
    <s v="4221.003"/>
    <s v="Intérêts compensat. / acomptes en faveur du fisc"/>
    <n v="0"/>
    <n v="171.96"/>
    <n v="4221"/>
  </r>
  <r>
    <x v="0"/>
    <x v="13"/>
    <x v="5"/>
    <x v="368"/>
    <x v="312"/>
    <x v="312"/>
    <s v="REVENUS"/>
    <x v="6"/>
    <s v="4221.002"/>
    <s v="Intérêts compensat. sur impôts distincts"/>
    <n v="0"/>
    <n v="20.6"/>
    <n v="4221"/>
  </r>
  <r>
    <x v="0"/>
    <x v="13"/>
    <x v="5"/>
    <x v="368"/>
    <x v="312"/>
    <x v="312"/>
    <s v="REVENUS"/>
    <x v="2"/>
    <s v="4001.001"/>
    <s v="Impôt revenu"/>
    <n v="0"/>
    <n v="5408.95"/>
    <n v="4001"/>
  </r>
  <r>
    <x v="0"/>
    <x v="13"/>
    <x v="5"/>
    <x v="368"/>
    <x v="312"/>
    <x v="312"/>
    <s v="REVENUS"/>
    <x v="3"/>
    <s v="4002.001"/>
    <s v="Impôt ordinaire s/fortune PP"/>
    <n v="0"/>
    <n v="3421.9"/>
    <n v="4002"/>
  </r>
  <r>
    <x v="0"/>
    <x v="13"/>
    <x v="5"/>
    <x v="368"/>
    <x v="312"/>
    <x v="312"/>
    <s v="REVENUS"/>
    <x v="6"/>
    <s v="4211.002"/>
    <s v="Intérêts de retard sur acomptes"/>
    <n v="0"/>
    <n v="71.95"/>
    <n v="4211"/>
  </r>
  <r>
    <x v="0"/>
    <x v="13"/>
    <x v="5"/>
    <x v="368"/>
    <x v="312"/>
    <x v="312"/>
    <s v="REVENUS"/>
    <x v="6"/>
    <s v="4221.003"/>
    <s v="Intérêts compensat. / acomptes en faveur du fisc"/>
    <n v="0"/>
    <n v="1.34"/>
    <n v="4221"/>
  </r>
  <r>
    <x v="0"/>
    <x v="13"/>
    <x v="5"/>
    <x v="368"/>
    <x v="312"/>
    <x v="312"/>
    <s v="REVENUS"/>
    <x v="3"/>
    <s v="4002.007"/>
    <s v="Acompte impôt sur fortune"/>
    <n v="0"/>
    <n v="170.49"/>
    <n v="4002"/>
  </r>
  <r>
    <x v="0"/>
    <x v="13"/>
    <x v="5"/>
    <x v="368"/>
    <x v="312"/>
    <x v="312"/>
    <s v="REVENUS"/>
    <x v="2"/>
    <s v="4001.001"/>
    <s v="Impôt revenu"/>
    <n v="0"/>
    <n v="3924.05"/>
    <n v="4001"/>
  </r>
  <r>
    <x v="0"/>
    <x v="13"/>
    <x v="5"/>
    <x v="368"/>
    <x v="312"/>
    <x v="312"/>
    <s v="REVENUS"/>
    <x v="3"/>
    <s v="4002.001"/>
    <s v="Impôt ordinaire s/fortune PP"/>
    <n v="0"/>
    <n v="662.7"/>
    <n v="4002"/>
  </r>
  <r>
    <x v="0"/>
    <x v="13"/>
    <x v="5"/>
    <x v="368"/>
    <x v="312"/>
    <x v="312"/>
    <s v="REVENUS"/>
    <x v="6"/>
    <s v="4221.003"/>
    <s v="Intérêts compensat. / acomptes en faveur du fisc"/>
    <n v="0"/>
    <n v="1.24"/>
    <n v="4221"/>
  </r>
  <r>
    <x v="0"/>
    <x v="13"/>
    <x v="5"/>
    <x v="368"/>
    <x v="312"/>
    <x v="312"/>
    <s v="REVENUS"/>
    <x v="3"/>
    <s v="4002.007"/>
    <s v="Acompte impôt sur fortune"/>
    <n v="0"/>
    <n v="-1466.01"/>
    <n v="4002"/>
  </r>
  <r>
    <x v="0"/>
    <x v="13"/>
    <x v="5"/>
    <x v="368"/>
    <x v="312"/>
    <x v="312"/>
    <s v="REVENUS"/>
    <x v="7"/>
    <s v="4184.000"/>
    <s v="Frais de poursuite"/>
    <n v="0"/>
    <n v="703.58"/>
    <n v="4184"/>
  </r>
  <r>
    <x v="0"/>
    <x v="13"/>
    <x v="5"/>
    <x v="368"/>
    <x v="312"/>
    <x v="312"/>
    <s v="REVENUS"/>
    <x v="2"/>
    <s v="4001.002"/>
    <s v="Impôt complément s/revenu PP"/>
    <n v="0"/>
    <n v="1702"/>
    <n v="4001"/>
  </r>
  <r>
    <x v="0"/>
    <x v="13"/>
    <x v="5"/>
    <x v="368"/>
    <x v="312"/>
    <x v="312"/>
    <s v="REVENUS"/>
    <x v="3"/>
    <s v="4002.002"/>
    <s v="Impôt complémentaire s/fortune PP"/>
    <n v="0"/>
    <n v="867.25"/>
    <n v="4002"/>
  </r>
  <r>
    <x v="0"/>
    <x v="13"/>
    <x v="5"/>
    <x v="368"/>
    <x v="312"/>
    <x v="312"/>
    <s v="REVENUS"/>
    <x v="6"/>
    <s v="4211.001"/>
    <s v="Intérêts de retard sur factures"/>
    <n v="0"/>
    <n v="17.600000000000001"/>
    <n v="4211"/>
  </r>
  <r>
    <x v="0"/>
    <x v="13"/>
    <x v="5"/>
    <x v="368"/>
    <x v="312"/>
    <x v="312"/>
    <s v="REVENUS"/>
    <x v="2"/>
    <s v="4001.002"/>
    <s v="Impôt complément s/revenu PP"/>
    <n v="0"/>
    <n v="248793.65"/>
    <n v="4001"/>
  </r>
  <r>
    <x v="0"/>
    <x v="13"/>
    <x v="5"/>
    <x v="368"/>
    <x v="312"/>
    <x v="312"/>
    <s v="REVENUS"/>
    <x v="3"/>
    <s v="4002.002"/>
    <s v="Impôt complémentaire s/fortune PP"/>
    <n v="0"/>
    <n v="111370.35"/>
    <n v="4002"/>
  </r>
  <r>
    <x v="0"/>
    <x v="13"/>
    <x v="5"/>
    <x v="368"/>
    <x v="312"/>
    <x v="312"/>
    <s v="REVENUS"/>
    <x v="7"/>
    <s v="4184.000"/>
    <s v="Frais de poursuite"/>
    <n v="0"/>
    <n v="1241.4100000000001"/>
    <n v="4184"/>
  </r>
  <r>
    <x v="0"/>
    <x v="13"/>
    <x v="5"/>
    <x v="368"/>
    <x v="312"/>
    <x v="312"/>
    <s v="REVENUS"/>
    <x v="2"/>
    <s v="4001.001"/>
    <s v="Impôt revenu"/>
    <n v="0"/>
    <n v="-535.6"/>
    <n v="4001"/>
  </r>
  <r>
    <x v="0"/>
    <x v="13"/>
    <x v="5"/>
    <x v="368"/>
    <x v="312"/>
    <x v="312"/>
    <s v="REVENUS"/>
    <x v="6"/>
    <s v="4211.002"/>
    <s v="Intérêts de retard sur acomptes"/>
    <n v="0"/>
    <n v="0.05"/>
    <n v="4211"/>
  </r>
  <r>
    <x v="0"/>
    <x v="13"/>
    <x v="5"/>
    <x v="368"/>
    <x v="312"/>
    <x v="312"/>
    <s v="REVENUS"/>
    <x v="6"/>
    <s v="4221.003"/>
    <s v="Intérêts compensat. / acomptes en faveur du fisc"/>
    <n v="0"/>
    <n v="-0.05"/>
    <n v="4221"/>
  </r>
  <r>
    <x v="0"/>
    <x v="13"/>
    <x v="5"/>
    <x v="368"/>
    <x v="312"/>
    <x v="312"/>
    <s v="REVENUS"/>
    <x v="3"/>
    <s v="4002.007"/>
    <s v="Acompte impôt sur fortune"/>
    <n v="0"/>
    <n v="353.81"/>
    <n v="4002"/>
  </r>
  <r>
    <x v="0"/>
    <x v="13"/>
    <x v="5"/>
    <x v="368"/>
    <x v="312"/>
    <x v="312"/>
    <s v="REVENUS"/>
    <x v="2"/>
    <s v="4001.007"/>
    <s v="Acompte impôt sur revenu"/>
    <n v="0"/>
    <n v="1862.52"/>
    <n v="4001"/>
  </r>
  <r>
    <x v="0"/>
    <x v="13"/>
    <x v="5"/>
    <x v="368"/>
    <x v="312"/>
    <x v="312"/>
    <s v="REVENUS"/>
    <x v="2"/>
    <s v="4001.007"/>
    <s v="Acompte impôt sur revenu"/>
    <n v="0"/>
    <n v="-167.93"/>
    <n v="4001"/>
  </r>
  <r>
    <x v="0"/>
    <x v="13"/>
    <x v="5"/>
    <x v="368"/>
    <x v="312"/>
    <x v="312"/>
    <s v="REVENUS"/>
    <x v="2"/>
    <s v="4001.001"/>
    <s v="Impôt revenu"/>
    <n v="0"/>
    <n v="5549"/>
    <n v="4001"/>
  </r>
  <r>
    <x v="0"/>
    <x v="13"/>
    <x v="5"/>
    <x v="368"/>
    <x v="312"/>
    <x v="312"/>
    <s v="REVENUS"/>
    <x v="2"/>
    <s v="4001.002"/>
    <s v="Impôt complément s/revenu PP"/>
    <n v="0"/>
    <n v="46813.75"/>
    <n v="4001"/>
  </r>
  <r>
    <x v="0"/>
    <x v="13"/>
    <x v="5"/>
    <x v="368"/>
    <x v="312"/>
    <x v="312"/>
    <s v="REVENUS"/>
    <x v="3"/>
    <s v="4002.002"/>
    <s v="Impôt complémentaire s/fortune PP"/>
    <n v="0"/>
    <n v="39615.25"/>
    <n v="4002"/>
  </r>
  <r>
    <x v="0"/>
    <x v="13"/>
    <x v="5"/>
    <x v="368"/>
    <x v="312"/>
    <x v="312"/>
    <s v="REVENUS"/>
    <x v="3"/>
    <s v="4002.001"/>
    <s v="Impôt ordinaire s/fortune PP"/>
    <n v="0"/>
    <n v="1873.75"/>
    <n v="4002"/>
  </r>
  <r>
    <x v="0"/>
    <x v="13"/>
    <x v="5"/>
    <x v="368"/>
    <x v="312"/>
    <x v="312"/>
    <s v="REVENUS"/>
    <x v="6"/>
    <s v="4211.002"/>
    <s v="Intérêts de retard sur acomptes"/>
    <n v="0"/>
    <n v="0.17"/>
    <n v="4211"/>
  </r>
  <r>
    <x v="0"/>
    <x v="13"/>
    <x v="5"/>
    <x v="368"/>
    <x v="312"/>
    <x v="312"/>
    <s v="REVENUS"/>
    <x v="6"/>
    <s v="4211.002"/>
    <s v="Intérêts de retard sur acomptes"/>
    <n v="0"/>
    <n v="7.91"/>
    <n v="4211"/>
  </r>
  <r>
    <x v="0"/>
    <x v="13"/>
    <x v="5"/>
    <x v="368"/>
    <x v="312"/>
    <x v="312"/>
    <s v="REVENUS"/>
    <x v="3"/>
    <s v="4002.007"/>
    <s v="Acompte impôt sur fortune"/>
    <n v="0"/>
    <n v="448.3"/>
    <n v="4002"/>
  </r>
  <r>
    <x v="0"/>
    <x v="13"/>
    <x v="5"/>
    <x v="368"/>
    <x v="312"/>
    <x v="312"/>
    <s v="REVENUS"/>
    <x v="6"/>
    <s v="4211.002"/>
    <s v="Intérêts de retard sur acomptes"/>
    <n v="0"/>
    <n v="31.77"/>
    <n v="4211"/>
  </r>
  <r>
    <x v="0"/>
    <x v="13"/>
    <x v="5"/>
    <x v="368"/>
    <x v="312"/>
    <x v="312"/>
    <s v="REVENUS"/>
    <x v="2"/>
    <s v="4001.001"/>
    <s v="Impôt revenu"/>
    <n v="0"/>
    <n v="4064.65"/>
    <n v="4001"/>
  </r>
  <r>
    <x v="0"/>
    <x v="13"/>
    <x v="5"/>
    <x v="368"/>
    <x v="312"/>
    <x v="312"/>
    <s v="REVENUS"/>
    <x v="3"/>
    <s v="4002.001"/>
    <s v="Impôt ordinaire s/fortune PP"/>
    <n v="0"/>
    <n v="2978.05"/>
    <n v="4002"/>
  </r>
  <r>
    <x v="0"/>
    <x v="13"/>
    <x v="5"/>
    <x v="368"/>
    <x v="312"/>
    <x v="312"/>
    <s v="REVENUS"/>
    <x v="6"/>
    <s v="4211.002"/>
    <s v="Intérêts de retard sur acomptes"/>
    <n v="0"/>
    <n v="10.48"/>
    <n v="4211"/>
  </r>
  <r>
    <x v="0"/>
    <x v="13"/>
    <x v="5"/>
    <x v="368"/>
    <x v="312"/>
    <x v="312"/>
    <s v="REVENUS"/>
    <x v="6"/>
    <s v="4211.001"/>
    <s v="Intérêts de retard sur factures"/>
    <n v="0"/>
    <n v="124.37"/>
    <n v="4211"/>
  </r>
  <r>
    <x v="0"/>
    <x v="13"/>
    <x v="5"/>
    <x v="368"/>
    <x v="312"/>
    <x v="312"/>
    <s v="REVENUS"/>
    <x v="9"/>
    <s v="4031.001"/>
    <s v="Impôt sur les gains immobiliers"/>
    <n v="0"/>
    <n v="40297.5"/>
    <n v="4031"/>
  </r>
  <r>
    <x v="0"/>
    <x v="13"/>
    <x v="5"/>
    <x v="368"/>
    <x v="312"/>
    <x v="312"/>
    <s v="REVENUS"/>
    <x v="2"/>
    <s v="4001.002"/>
    <s v="Impôt complément s/revenu PP"/>
    <n v="0"/>
    <n v="2639.25"/>
    <n v="4001"/>
  </r>
  <r>
    <x v="0"/>
    <x v="13"/>
    <x v="5"/>
    <x v="368"/>
    <x v="312"/>
    <x v="312"/>
    <s v="REVENUS"/>
    <x v="3"/>
    <s v="4002.002"/>
    <s v="Impôt complémentaire s/fortune PP"/>
    <n v="0"/>
    <n v="1107.05"/>
    <n v="4002"/>
  </r>
  <r>
    <x v="0"/>
    <x v="13"/>
    <x v="5"/>
    <x v="368"/>
    <x v="312"/>
    <x v="312"/>
    <s v="REVENUS"/>
    <x v="6"/>
    <s v="4211.001"/>
    <s v="Intérêts de retard sur factures"/>
    <n v="0"/>
    <n v="2.79"/>
    <n v="4211"/>
  </r>
  <r>
    <x v="0"/>
    <x v="13"/>
    <x v="5"/>
    <x v="368"/>
    <x v="312"/>
    <x v="312"/>
    <s v="REVENUS"/>
    <x v="6"/>
    <s v="4221.003"/>
    <s v="Intérêts compensat. / acomptes en faveur du fisc"/>
    <n v="0"/>
    <n v="4.88"/>
    <n v="4221"/>
  </r>
  <r>
    <x v="0"/>
    <x v="13"/>
    <x v="5"/>
    <x v="368"/>
    <x v="312"/>
    <x v="312"/>
    <s v="REVENUS"/>
    <x v="6"/>
    <s v="4211.001"/>
    <s v="Intérêts de retard sur factures"/>
    <n v="0"/>
    <n v="11.03"/>
    <n v="4211"/>
  </r>
  <r>
    <x v="0"/>
    <x v="13"/>
    <x v="5"/>
    <x v="368"/>
    <x v="312"/>
    <x v="312"/>
    <s v="REVENUS"/>
    <x v="5"/>
    <s v="4061.000"/>
    <s v="Impôt sur les chiens"/>
    <n v="0"/>
    <n v="6350"/>
    <n v="4061"/>
  </r>
  <r>
    <x v="0"/>
    <x v="13"/>
    <x v="5"/>
    <x v="368"/>
    <x v="312"/>
    <x v="312"/>
    <s v="REVENUS"/>
    <x v="8"/>
    <s v="4091.001"/>
    <s v="Impôt récupéré après défalcations"/>
    <n v="0"/>
    <n v="1755.58"/>
    <n v="4091"/>
  </r>
  <r>
    <x v="0"/>
    <x v="13"/>
    <x v="5"/>
    <x v="368"/>
    <x v="312"/>
    <x v="312"/>
    <s v="REVENUS"/>
    <x v="6"/>
    <s v="4221.003"/>
    <s v="Intérêts compensat. / acomptes en faveur du fisc"/>
    <n v="0"/>
    <n v="1.54"/>
    <n v="4221"/>
  </r>
  <r>
    <x v="0"/>
    <x v="13"/>
    <x v="5"/>
    <x v="368"/>
    <x v="312"/>
    <x v="312"/>
    <s v="REVENUS"/>
    <x v="7"/>
    <s v="4184.000"/>
    <s v="Frais de poursuite"/>
    <n v="0"/>
    <n v="0.19"/>
    <n v="4184"/>
  </r>
  <r>
    <x v="0"/>
    <x v="13"/>
    <x v="5"/>
    <x v="368"/>
    <x v="312"/>
    <x v="312"/>
    <s v="REVENUS"/>
    <x v="4"/>
    <s v="4051.001"/>
    <s v="Impôt sur les successions"/>
    <n v="0"/>
    <n v="11484"/>
    <n v="4051"/>
  </r>
  <r>
    <x v="0"/>
    <x v="13"/>
    <x v="5"/>
    <x v="369"/>
    <x v="312"/>
    <x v="312"/>
    <s v="CHARGES"/>
    <x v="1"/>
    <s v="3301.001"/>
    <s v="Défalcations, abandons de solde PP et IS"/>
    <n v="13.92"/>
    <n v="0"/>
    <n v="3301"/>
  </r>
  <r>
    <x v="0"/>
    <x v="13"/>
    <x v="5"/>
    <x v="369"/>
    <x v="312"/>
    <x v="312"/>
    <s v="CHARGES"/>
    <x v="0"/>
    <s v="3212.004"/>
    <s v="Intérêts rémun./perçu trop tôt sur acomptes C/C"/>
    <n v="35.909999999999997"/>
    <n v="0"/>
    <n v="3212"/>
  </r>
  <r>
    <x v="0"/>
    <x v="13"/>
    <x v="5"/>
    <x v="369"/>
    <x v="312"/>
    <x v="312"/>
    <s v="CHARGES"/>
    <x v="0"/>
    <s v="3221.002"/>
    <s v="Intérêts compensatoires / créances en faveur ctb."/>
    <n v="7.24"/>
    <n v="0"/>
    <n v="3221"/>
  </r>
  <r>
    <x v="0"/>
    <x v="13"/>
    <x v="5"/>
    <x v="369"/>
    <x v="312"/>
    <x v="312"/>
    <s v="REVENUS"/>
    <x v="2"/>
    <s v="4001.001"/>
    <s v="Impôt revenu"/>
    <n v="0"/>
    <n v="107579.7"/>
    <n v="4001"/>
  </r>
  <r>
    <x v="0"/>
    <x v="13"/>
    <x v="5"/>
    <x v="369"/>
    <x v="312"/>
    <x v="312"/>
    <s v="REVENUS"/>
    <x v="2"/>
    <s v="4001.007"/>
    <s v="Acompte impôt sur revenu"/>
    <n v="0"/>
    <n v="-12355.26"/>
    <n v="4001"/>
  </r>
  <r>
    <x v="0"/>
    <x v="13"/>
    <x v="5"/>
    <x v="369"/>
    <x v="312"/>
    <x v="312"/>
    <s v="REVENUS"/>
    <x v="6"/>
    <s v="4221.003"/>
    <s v="Intérêts compensat. / acomptes en faveur du fisc"/>
    <n v="0"/>
    <n v="9.82"/>
    <n v="4221"/>
  </r>
  <r>
    <x v="0"/>
    <x v="13"/>
    <x v="5"/>
    <x v="369"/>
    <x v="312"/>
    <x v="312"/>
    <s v="REVENUS"/>
    <x v="3"/>
    <s v="4002.001"/>
    <s v="Impôt ordinaire s/fortune PP"/>
    <n v="0"/>
    <n v="27366.95"/>
    <n v="4002"/>
  </r>
  <r>
    <x v="0"/>
    <x v="13"/>
    <x v="5"/>
    <x v="369"/>
    <x v="312"/>
    <x v="312"/>
    <s v="REVENUS"/>
    <x v="3"/>
    <s v="4002.007"/>
    <s v="Acompte impôt sur fortune"/>
    <n v="0"/>
    <n v="-9538.66"/>
    <n v="4002"/>
  </r>
  <r>
    <x v="0"/>
    <x v="13"/>
    <x v="5"/>
    <x v="369"/>
    <x v="312"/>
    <x v="312"/>
    <s v="REVENUS"/>
    <x v="2"/>
    <s v="4001.003"/>
    <s v="Impôt s/prest. cap. PP"/>
    <n v="0"/>
    <n v="3027.5"/>
    <n v="4001"/>
  </r>
  <r>
    <x v="0"/>
    <x v="13"/>
    <x v="5"/>
    <x v="369"/>
    <x v="312"/>
    <x v="312"/>
    <s v="REVENUS"/>
    <x v="6"/>
    <s v="4211.002"/>
    <s v="Intérêts de retard sur acomptes"/>
    <n v="0"/>
    <n v="65.25"/>
    <n v="4211"/>
  </r>
  <r>
    <x v="0"/>
    <x v="13"/>
    <x v="5"/>
    <x v="369"/>
    <x v="312"/>
    <x v="312"/>
    <s v="REVENUS"/>
    <x v="6"/>
    <s v="4221.002"/>
    <s v="Intérêts compensat. sur impôts distincts"/>
    <n v="0"/>
    <n v="0.09"/>
    <n v="4221"/>
  </r>
  <r>
    <x v="0"/>
    <x v="13"/>
    <x v="5"/>
    <x v="369"/>
    <x v="312"/>
    <x v="312"/>
    <s v="REVENUS"/>
    <x v="5"/>
    <s v="4061.000"/>
    <s v="Impôt sur les chiens"/>
    <n v="0"/>
    <n v="150"/>
    <n v="4061"/>
  </r>
  <r>
    <x v="0"/>
    <x v="13"/>
    <x v="5"/>
    <x v="369"/>
    <x v="312"/>
    <x v="312"/>
    <s v="REVENUS"/>
    <x v="6"/>
    <s v="4211.001"/>
    <s v="Intérêts de retard sur factures"/>
    <n v="0"/>
    <n v="4.63"/>
    <n v="4211"/>
  </r>
  <r>
    <x v="0"/>
    <x v="13"/>
    <x v="5"/>
    <x v="369"/>
    <x v="312"/>
    <x v="312"/>
    <s v="REVENUS"/>
    <x v="2"/>
    <s v="4001.002"/>
    <s v="Impôt complément s/revenu PP"/>
    <n v="0"/>
    <n v="6510.2"/>
    <n v="4001"/>
  </r>
  <r>
    <x v="0"/>
    <x v="13"/>
    <x v="5"/>
    <x v="370"/>
    <x v="312"/>
    <x v="312"/>
    <s v="CHARGES"/>
    <x v="1"/>
    <s v="3301.001"/>
    <s v="Défalcations, abandons de solde PP et IS"/>
    <n v="4436.5600000000004"/>
    <n v="0"/>
    <n v="3301"/>
  </r>
  <r>
    <x v="0"/>
    <x v="13"/>
    <x v="5"/>
    <x v="370"/>
    <x v="312"/>
    <x v="312"/>
    <s v="CHARGES"/>
    <x v="0"/>
    <s v="3212.002"/>
    <s v="Intérêts bonifiés/trop perçu acompte C/C"/>
    <n v="-0.18"/>
    <n v="0"/>
    <n v="3212"/>
  </r>
  <r>
    <x v="0"/>
    <x v="13"/>
    <x v="5"/>
    <x v="370"/>
    <x v="312"/>
    <x v="312"/>
    <s v="CHARGES"/>
    <x v="0"/>
    <s v="3212.004"/>
    <s v="Intérêts rémun./perçu trop tôt sur acomptes C/C"/>
    <n v="-1.74"/>
    <n v="0"/>
    <n v="3212"/>
  </r>
  <r>
    <x v="0"/>
    <x v="13"/>
    <x v="5"/>
    <x v="370"/>
    <x v="312"/>
    <x v="312"/>
    <s v="CHARGES"/>
    <x v="0"/>
    <s v="3221.002"/>
    <s v="Intérêts compensatoires / créances en faveur ctb."/>
    <n v="-2.65"/>
    <n v="0"/>
    <n v="3221"/>
  </r>
  <r>
    <x v="0"/>
    <x v="13"/>
    <x v="5"/>
    <x v="370"/>
    <x v="312"/>
    <x v="312"/>
    <s v="CHARGES"/>
    <x v="1"/>
    <s v="3301.001"/>
    <s v="Défalcations, abandons de solde PP et IS"/>
    <n v="1.34"/>
    <n v="0"/>
    <n v="3301"/>
  </r>
  <r>
    <x v="0"/>
    <x v="13"/>
    <x v="5"/>
    <x v="370"/>
    <x v="312"/>
    <x v="312"/>
    <s v="CHARGES"/>
    <x v="1"/>
    <s v="3301.001"/>
    <s v="Défalcations, abandons de solde PP et IS"/>
    <n v="-10.76"/>
    <n v="0"/>
    <n v="3301"/>
  </r>
  <r>
    <x v="0"/>
    <x v="13"/>
    <x v="5"/>
    <x v="370"/>
    <x v="312"/>
    <x v="312"/>
    <s v="REVENUS"/>
    <x v="8"/>
    <s v="4091.001"/>
    <s v="Impôt récupéré après défalcations"/>
    <n v="0"/>
    <n v="1735.55"/>
    <n v="4091"/>
  </r>
  <r>
    <x v="0"/>
    <x v="13"/>
    <x v="5"/>
    <x v="370"/>
    <x v="312"/>
    <x v="312"/>
    <s v="REVENUS"/>
    <x v="7"/>
    <s v="4184.000"/>
    <s v="Frais de poursuite"/>
    <n v="0"/>
    <n v="99.44"/>
    <n v="4184"/>
  </r>
  <r>
    <x v="0"/>
    <x v="13"/>
    <x v="5"/>
    <x v="370"/>
    <x v="312"/>
    <x v="312"/>
    <s v="REVENUS"/>
    <x v="2"/>
    <s v="4001.001"/>
    <s v="Impôt revenu"/>
    <n v="0"/>
    <n v="-29769.55"/>
    <n v="4001"/>
  </r>
  <r>
    <x v="0"/>
    <x v="13"/>
    <x v="5"/>
    <x v="370"/>
    <x v="312"/>
    <x v="312"/>
    <s v="REVENUS"/>
    <x v="2"/>
    <s v="4001.002"/>
    <s v="Impôt complément s/revenu PP"/>
    <n v="0"/>
    <n v="30082.3"/>
    <n v="4001"/>
  </r>
  <r>
    <x v="0"/>
    <x v="13"/>
    <x v="5"/>
    <x v="370"/>
    <x v="312"/>
    <x v="312"/>
    <s v="REVENUS"/>
    <x v="3"/>
    <s v="4002.001"/>
    <s v="Impôt ordinaire s/fortune PP"/>
    <n v="0"/>
    <n v="-3005.4"/>
    <n v="4002"/>
  </r>
  <r>
    <x v="0"/>
    <x v="13"/>
    <x v="5"/>
    <x v="370"/>
    <x v="312"/>
    <x v="312"/>
    <s v="REVENUS"/>
    <x v="3"/>
    <s v="4002.002"/>
    <s v="Impôt complémentaire s/fortune PP"/>
    <n v="0"/>
    <n v="3272.9"/>
    <n v="4002"/>
  </r>
  <r>
    <x v="0"/>
    <x v="13"/>
    <x v="5"/>
    <x v="370"/>
    <x v="312"/>
    <x v="312"/>
    <s v="REVENUS"/>
    <x v="6"/>
    <s v="4211.001"/>
    <s v="Intérêts de retard sur factures"/>
    <n v="0"/>
    <n v="162.21"/>
    <n v="4211"/>
  </r>
  <r>
    <x v="0"/>
    <x v="13"/>
    <x v="5"/>
    <x v="370"/>
    <x v="312"/>
    <x v="312"/>
    <s v="REVENUS"/>
    <x v="6"/>
    <s v="4211.002"/>
    <s v="Intérêts de retard sur acomptes"/>
    <n v="0"/>
    <n v="0.02"/>
    <n v="4211"/>
  </r>
  <r>
    <x v="0"/>
    <x v="13"/>
    <x v="5"/>
    <x v="370"/>
    <x v="312"/>
    <x v="312"/>
    <s v="REVENUS"/>
    <x v="6"/>
    <s v="4221.003"/>
    <s v="Intérêts compensat. / acomptes en faveur du fisc"/>
    <n v="0"/>
    <n v="1.37"/>
    <n v="4221"/>
  </r>
  <r>
    <x v="1"/>
    <x v="0"/>
    <x v="0"/>
    <x v="0"/>
    <x v="0"/>
    <x v="0"/>
    <s v="CHARGES"/>
    <x v="1"/>
    <s v="3301.006"/>
    <s v="Abandon de solde PM"/>
    <n v="345.43"/>
    <n v="0"/>
    <n v="3301"/>
  </r>
  <r>
    <x v="1"/>
    <x v="0"/>
    <x v="0"/>
    <x v="0"/>
    <x v="0"/>
    <x v="0"/>
    <s v="CHARGES"/>
    <x v="0"/>
    <s v="3212.004"/>
    <s v="Intérêts rémun./perçu trop tôt sur acomptes C/C"/>
    <n v="543.69000000000005"/>
    <n v="0"/>
    <n v="3212"/>
  </r>
  <r>
    <x v="1"/>
    <x v="0"/>
    <x v="0"/>
    <x v="0"/>
    <x v="0"/>
    <x v="0"/>
    <s v="CHARGES"/>
    <x v="0"/>
    <s v="3221.002"/>
    <s v="Intérêts compensatoires / créances en faveur ctb."/>
    <n v="-3414.88"/>
    <n v="0"/>
    <n v="3221"/>
  </r>
  <r>
    <x v="1"/>
    <x v="0"/>
    <x v="0"/>
    <x v="0"/>
    <x v="0"/>
    <x v="0"/>
    <s v="CHARGES"/>
    <x v="1"/>
    <s v="3301.002"/>
    <s v="Défalcation PM"/>
    <n v="12857.8"/>
    <n v="0"/>
    <n v="3301"/>
  </r>
  <r>
    <x v="1"/>
    <x v="0"/>
    <x v="0"/>
    <x v="0"/>
    <x v="0"/>
    <x v="0"/>
    <s v="CHARGES"/>
    <x v="0"/>
    <s v="3212.002"/>
    <s v="Intérêts bonifiés/trop perçu acompte C/C"/>
    <n v="2151"/>
    <n v="0"/>
    <n v="3212"/>
  </r>
  <r>
    <x v="1"/>
    <x v="0"/>
    <x v="0"/>
    <x v="0"/>
    <x v="0"/>
    <x v="0"/>
    <s v="REVENUS"/>
    <x v="16"/>
    <s v="4012.001"/>
    <s v="Impôt capital ordinaire"/>
    <n v="0"/>
    <n v="90478.9"/>
    <n v="4012"/>
  </r>
  <r>
    <x v="1"/>
    <x v="0"/>
    <x v="0"/>
    <x v="0"/>
    <x v="0"/>
    <x v="0"/>
    <s v="REVENUS"/>
    <x v="16"/>
    <s v="4012.007"/>
    <s v="Acompte sur capital"/>
    <n v="0"/>
    <n v="-8675.4"/>
    <n v="4012"/>
  </r>
  <r>
    <x v="1"/>
    <x v="0"/>
    <x v="0"/>
    <x v="0"/>
    <x v="0"/>
    <x v="0"/>
    <s v="REVENUS"/>
    <x v="6"/>
    <s v="4211.002"/>
    <s v="Intérêts de retard sur acomptes"/>
    <n v="0"/>
    <n v="6328.7"/>
    <n v="4211"/>
  </r>
  <r>
    <x v="1"/>
    <x v="0"/>
    <x v="0"/>
    <x v="0"/>
    <x v="0"/>
    <x v="0"/>
    <s v="REVENUS"/>
    <x v="17"/>
    <s v="4011.002"/>
    <s v="Complément impôt bénéfice ordinaire"/>
    <n v="0"/>
    <n v="262972.65000000002"/>
    <n v="4011"/>
  </r>
  <r>
    <x v="1"/>
    <x v="0"/>
    <x v="0"/>
    <x v="0"/>
    <x v="0"/>
    <x v="0"/>
    <s v="REVENUS"/>
    <x v="17"/>
    <s v="4011.007"/>
    <s v="Acompte sur bénéfice"/>
    <n v="0"/>
    <n v="-1223908.05"/>
    <n v="4011"/>
  </r>
  <r>
    <x v="1"/>
    <x v="0"/>
    <x v="0"/>
    <x v="0"/>
    <x v="0"/>
    <x v="0"/>
    <s v="REVENUS"/>
    <x v="6"/>
    <s v="4221.001"/>
    <s v="Intérêts compensat. / créances en faveur du fisc"/>
    <n v="0"/>
    <n v="694.63"/>
    <n v="4221"/>
  </r>
  <r>
    <x v="1"/>
    <x v="0"/>
    <x v="0"/>
    <x v="0"/>
    <x v="0"/>
    <x v="0"/>
    <s v="REVENUS"/>
    <x v="17"/>
    <s v="4011.001"/>
    <s v="Impôt bénéfice ordinaire"/>
    <n v="0"/>
    <n v="3164685.05"/>
    <n v="4011"/>
  </r>
  <r>
    <x v="1"/>
    <x v="0"/>
    <x v="0"/>
    <x v="0"/>
    <x v="0"/>
    <x v="0"/>
    <s v="REVENUS"/>
    <x v="18"/>
    <s v="4013.001"/>
    <s v="Impôt complémentaire sur immeubles"/>
    <n v="0"/>
    <n v="248187.6"/>
    <n v="4013"/>
  </r>
  <r>
    <x v="1"/>
    <x v="0"/>
    <x v="0"/>
    <x v="0"/>
    <x v="0"/>
    <x v="0"/>
    <s v="REVENUS"/>
    <x v="11"/>
    <s v="4198.001"/>
    <s v="Impôt foncier"/>
    <n v="0"/>
    <n v="1007843.75"/>
    <n v="4198"/>
  </r>
  <r>
    <x v="1"/>
    <x v="0"/>
    <x v="0"/>
    <x v="0"/>
    <x v="0"/>
    <x v="0"/>
    <s v="REVENUS"/>
    <x v="6"/>
    <s v="4211.001"/>
    <s v="Intérêts de retard sur factures"/>
    <n v="0"/>
    <n v="7803.07"/>
    <n v="4211"/>
  </r>
  <r>
    <x v="1"/>
    <x v="0"/>
    <x v="0"/>
    <x v="0"/>
    <x v="0"/>
    <x v="0"/>
    <s v="REVENUS"/>
    <x v="10"/>
    <s v="4041.001"/>
    <s v="Droits de mutation"/>
    <n v="0"/>
    <n v="262493.90000000002"/>
    <n v="4041"/>
  </r>
  <r>
    <x v="1"/>
    <x v="0"/>
    <x v="0"/>
    <x v="0"/>
    <x v="0"/>
    <x v="0"/>
    <s v="REVENUS"/>
    <x v="16"/>
    <s v="4012.002"/>
    <s v="Complément impôt capital ordinaire"/>
    <n v="0"/>
    <n v="19155.75"/>
    <n v="4012"/>
  </r>
  <r>
    <x v="1"/>
    <x v="0"/>
    <x v="0"/>
    <x v="0"/>
    <x v="0"/>
    <x v="0"/>
    <s v="REVENUS"/>
    <x v="7"/>
    <s v="4184.000"/>
    <s v="Frais de poursuite"/>
    <n v="0"/>
    <n v="1629.97"/>
    <n v="4184"/>
  </r>
  <r>
    <x v="1"/>
    <x v="0"/>
    <x v="0"/>
    <x v="0"/>
    <x v="0"/>
    <x v="0"/>
    <s v="REVENUS"/>
    <x v="18"/>
    <s v="4013.002"/>
    <s v="Complément impôt complémentaire sur immeubles"/>
    <n v="0"/>
    <n v="5679.25"/>
    <n v="4013"/>
  </r>
  <r>
    <x v="1"/>
    <x v="0"/>
    <x v="0"/>
    <x v="0"/>
    <x v="0"/>
    <x v="0"/>
    <s v="REVENUS"/>
    <x v="9"/>
    <s v="4031.001"/>
    <s v="Impôt sur les gains immobiliers"/>
    <n v="0"/>
    <n v="5966.75"/>
    <n v="4031"/>
  </r>
  <r>
    <x v="1"/>
    <x v="0"/>
    <x v="0"/>
    <x v="0"/>
    <x v="0"/>
    <x v="0"/>
    <s v="REVENUS"/>
    <x v="6"/>
    <s v="4221.002"/>
    <s v="Intérêts compensat. sur impôts distincts"/>
    <n v="0"/>
    <n v="0.28999999999999998"/>
    <n v="4221"/>
  </r>
  <r>
    <x v="1"/>
    <x v="0"/>
    <x v="0"/>
    <x v="0"/>
    <x v="0"/>
    <x v="0"/>
    <s v="REVENUS"/>
    <x v="8"/>
    <s v="4091.001"/>
    <s v="Impôt récupéré après défalcations"/>
    <n v="0"/>
    <n v="136.88"/>
    <n v="4091"/>
  </r>
  <r>
    <x v="1"/>
    <x v="0"/>
    <x v="0"/>
    <x v="0"/>
    <x v="0"/>
    <x v="0"/>
    <s v="REVENUS"/>
    <x v="18"/>
    <s v="4013.003"/>
    <s v="Remboursement impôt complémentaire sur immeubles"/>
    <n v="0"/>
    <n v="-70783.7"/>
    <n v="4013"/>
  </r>
  <r>
    <x v="1"/>
    <x v="0"/>
    <x v="0"/>
    <x v="0"/>
    <x v="0"/>
    <x v="0"/>
    <s v="REVENUS"/>
    <x v="8"/>
    <s v="4091.003"/>
    <s v="Impôt récupéré concordat"/>
    <n v="0"/>
    <n v="48.3"/>
    <n v="4091"/>
  </r>
  <r>
    <x v="1"/>
    <x v="0"/>
    <x v="0"/>
    <x v="0"/>
    <x v="0"/>
    <x v="0"/>
    <s v="REVENUS"/>
    <x v="10"/>
    <s v="4041.002"/>
    <s v="Complément droit de mutation"/>
    <n v="0"/>
    <n v="5958.35"/>
    <n v="4041"/>
  </r>
  <r>
    <x v="1"/>
    <x v="0"/>
    <x v="0"/>
    <x v="0"/>
    <x v="0"/>
    <x v="0"/>
    <s v="REVENUS"/>
    <x v="17"/>
    <s v="4011.005"/>
    <s v="Impôt minimum recettes brutes"/>
    <n v="0"/>
    <n v="11073.9"/>
    <n v="4011"/>
  </r>
  <r>
    <x v="1"/>
    <x v="0"/>
    <x v="0"/>
    <x v="1"/>
    <x v="1"/>
    <x v="1"/>
    <s v="CHARGES"/>
    <x v="0"/>
    <s v="3212.004"/>
    <s v="Intérêts rémun./perçu trop tôt sur acomptes C/C"/>
    <n v="661.14"/>
    <n v="0"/>
    <n v="3212"/>
  </r>
  <r>
    <x v="1"/>
    <x v="0"/>
    <x v="0"/>
    <x v="1"/>
    <x v="1"/>
    <x v="1"/>
    <s v="CHARGES"/>
    <x v="0"/>
    <s v="3221.002"/>
    <s v="Intérêts compensatoires / créances en faveur ctb."/>
    <n v="298.64999999999998"/>
    <n v="0"/>
    <n v="3221"/>
  </r>
  <r>
    <x v="1"/>
    <x v="0"/>
    <x v="0"/>
    <x v="1"/>
    <x v="1"/>
    <x v="1"/>
    <s v="CHARGES"/>
    <x v="1"/>
    <s v="3301.006"/>
    <s v="Abandon de solde PM"/>
    <n v="284.85000000000002"/>
    <n v="0"/>
    <n v="3301"/>
  </r>
  <r>
    <x v="1"/>
    <x v="0"/>
    <x v="0"/>
    <x v="1"/>
    <x v="1"/>
    <x v="1"/>
    <s v="CHARGES"/>
    <x v="0"/>
    <s v="3212.002"/>
    <s v="Intérêts bonifiés/trop perçu acompte C/C"/>
    <n v="38.68"/>
    <n v="0"/>
    <n v="3212"/>
  </r>
  <r>
    <x v="1"/>
    <x v="0"/>
    <x v="0"/>
    <x v="1"/>
    <x v="1"/>
    <x v="1"/>
    <s v="CHARGES"/>
    <x v="1"/>
    <s v="3301.002"/>
    <s v="Défalcation PM"/>
    <n v="8072.85"/>
    <n v="0"/>
    <n v="3301"/>
  </r>
  <r>
    <x v="1"/>
    <x v="0"/>
    <x v="0"/>
    <x v="1"/>
    <x v="1"/>
    <x v="1"/>
    <s v="REVENUS"/>
    <x v="17"/>
    <s v="4011.001"/>
    <s v="Impôt bénéfice ordinaire"/>
    <n v="0"/>
    <n v="1120941.3500000001"/>
    <n v="4011"/>
  </r>
  <r>
    <x v="1"/>
    <x v="0"/>
    <x v="0"/>
    <x v="1"/>
    <x v="1"/>
    <x v="1"/>
    <s v="REVENUS"/>
    <x v="17"/>
    <s v="4011.007"/>
    <s v="Acompte sur bénéfice"/>
    <n v="0"/>
    <n v="-254874.9"/>
    <n v="4011"/>
  </r>
  <r>
    <x v="1"/>
    <x v="0"/>
    <x v="0"/>
    <x v="1"/>
    <x v="1"/>
    <x v="1"/>
    <s v="REVENUS"/>
    <x v="16"/>
    <s v="4012.001"/>
    <s v="Impôt capital ordinaire"/>
    <n v="0"/>
    <n v="48895.55"/>
    <n v="4012"/>
  </r>
  <r>
    <x v="1"/>
    <x v="0"/>
    <x v="0"/>
    <x v="1"/>
    <x v="1"/>
    <x v="1"/>
    <s v="REVENUS"/>
    <x v="6"/>
    <s v="4211.002"/>
    <s v="Intérêts de retard sur acomptes"/>
    <n v="0"/>
    <n v="2467.15"/>
    <n v="4211"/>
  </r>
  <r>
    <x v="1"/>
    <x v="0"/>
    <x v="0"/>
    <x v="1"/>
    <x v="1"/>
    <x v="1"/>
    <s v="REVENUS"/>
    <x v="6"/>
    <s v="4221.001"/>
    <s v="Intérêts compensat. / créances en faveur du fisc"/>
    <n v="0"/>
    <n v="259.86"/>
    <n v="4221"/>
  </r>
  <r>
    <x v="1"/>
    <x v="0"/>
    <x v="0"/>
    <x v="1"/>
    <x v="1"/>
    <x v="1"/>
    <s v="REVENUS"/>
    <x v="16"/>
    <s v="4012.007"/>
    <s v="Acompte sur capital"/>
    <n v="0"/>
    <n v="-21474.799999999999"/>
    <n v="4012"/>
  </r>
  <r>
    <x v="1"/>
    <x v="0"/>
    <x v="0"/>
    <x v="1"/>
    <x v="1"/>
    <x v="1"/>
    <s v="REVENUS"/>
    <x v="18"/>
    <s v="4013.001"/>
    <s v="Impôt complémentaire sur immeubles"/>
    <n v="0"/>
    <n v="140483.29999999999"/>
    <n v="4013"/>
  </r>
  <r>
    <x v="1"/>
    <x v="0"/>
    <x v="0"/>
    <x v="1"/>
    <x v="1"/>
    <x v="1"/>
    <s v="REVENUS"/>
    <x v="17"/>
    <s v="4011.002"/>
    <s v="Complément impôt bénéfice ordinaire"/>
    <n v="0"/>
    <n v="91574.399999999994"/>
    <n v="4011"/>
  </r>
  <r>
    <x v="1"/>
    <x v="0"/>
    <x v="0"/>
    <x v="1"/>
    <x v="1"/>
    <x v="1"/>
    <s v="REVENUS"/>
    <x v="6"/>
    <s v="4211.001"/>
    <s v="Intérêts de retard sur factures"/>
    <n v="0"/>
    <n v="2969.76"/>
    <n v="4211"/>
  </r>
  <r>
    <x v="1"/>
    <x v="0"/>
    <x v="0"/>
    <x v="1"/>
    <x v="1"/>
    <x v="1"/>
    <s v="REVENUS"/>
    <x v="16"/>
    <s v="4012.002"/>
    <s v="Complément impôt capital ordinaire"/>
    <n v="0"/>
    <n v="44803.05"/>
    <n v="4012"/>
  </r>
  <r>
    <x v="1"/>
    <x v="0"/>
    <x v="0"/>
    <x v="1"/>
    <x v="1"/>
    <x v="1"/>
    <s v="REVENUS"/>
    <x v="18"/>
    <s v="4013.003"/>
    <s v="Remboursement impôt complémentaire sur immeubles"/>
    <n v="0"/>
    <n v="-15985.15"/>
    <n v="4013"/>
  </r>
  <r>
    <x v="1"/>
    <x v="0"/>
    <x v="0"/>
    <x v="1"/>
    <x v="1"/>
    <x v="1"/>
    <s v="REVENUS"/>
    <x v="7"/>
    <s v="4184.000"/>
    <s v="Frais de poursuite"/>
    <n v="0"/>
    <n v="888.02"/>
    <n v="4184"/>
  </r>
  <r>
    <x v="1"/>
    <x v="0"/>
    <x v="0"/>
    <x v="1"/>
    <x v="1"/>
    <x v="1"/>
    <s v="REVENUS"/>
    <x v="10"/>
    <s v="4041.001"/>
    <s v="Droits de mutation"/>
    <n v="0"/>
    <n v="240410.6"/>
    <n v="4041"/>
  </r>
  <r>
    <x v="1"/>
    <x v="0"/>
    <x v="0"/>
    <x v="1"/>
    <x v="1"/>
    <x v="1"/>
    <s v="REVENUS"/>
    <x v="18"/>
    <s v="4013.002"/>
    <s v="Complément impôt complémentaire sur immeubles"/>
    <n v="0"/>
    <n v="272"/>
    <n v="4013"/>
  </r>
  <r>
    <x v="1"/>
    <x v="0"/>
    <x v="0"/>
    <x v="1"/>
    <x v="1"/>
    <x v="1"/>
    <s v="REVENUS"/>
    <x v="6"/>
    <s v="4221.003"/>
    <s v="Intérêts compensat. / acomptes en faveur du fisc"/>
    <n v="0"/>
    <n v="-0.89"/>
    <n v="4221"/>
  </r>
  <r>
    <x v="1"/>
    <x v="0"/>
    <x v="0"/>
    <x v="1"/>
    <x v="1"/>
    <x v="1"/>
    <s v="REVENUS"/>
    <x v="8"/>
    <s v="4091.001"/>
    <s v="Impôt récupéré après défalcations"/>
    <n v="0"/>
    <n v="6855.09"/>
    <n v="4091"/>
  </r>
  <r>
    <x v="1"/>
    <x v="0"/>
    <x v="0"/>
    <x v="2"/>
    <x v="2"/>
    <x v="2"/>
    <s v="CHARGES"/>
    <x v="0"/>
    <s v="3212.002"/>
    <s v="Intérêts bonifiés/trop perçu acompte C/C"/>
    <n v="0.01"/>
    <n v="0"/>
    <n v="3212"/>
  </r>
  <r>
    <x v="1"/>
    <x v="0"/>
    <x v="0"/>
    <x v="2"/>
    <x v="2"/>
    <x v="2"/>
    <s v="CHARGES"/>
    <x v="0"/>
    <s v="3212.004"/>
    <s v="Intérêts rémun./perçu trop tôt sur acomptes C/C"/>
    <n v="1.1599999999999999"/>
    <n v="0"/>
    <n v="3212"/>
  </r>
  <r>
    <x v="1"/>
    <x v="0"/>
    <x v="0"/>
    <x v="2"/>
    <x v="2"/>
    <x v="2"/>
    <s v="CHARGES"/>
    <x v="0"/>
    <s v="3221.002"/>
    <s v="Intérêts compensatoires / créances en faveur ctb."/>
    <n v="2.41"/>
    <n v="0"/>
    <n v="3221"/>
  </r>
  <r>
    <x v="1"/>
    <x v="0"/>
    <x v="0"/>
    <x v="2"/>
    <x v="2"/>
    <x v="2"/>
    <s v="CHARGES"/>
    <x v="1"/>
    <s v="3301.006"/>
    <s v="Abandon de solde PM"/>
    <n v="4.63"/>
    <n v="0"/>
    <n v="3301"/>
  </r>
  <r>
    <x v="1"/>
    <x v="0"/>
    <x v="0"/>
    <x v="2"/>
    <x v="2"/>
    <x v="2"/>
    <s v="REVENUS"/>
    <x v="6"/>
    <s v="4211.001"/>
    <s v="Intérêts de retard sur factures"/>
    <n v="0"/>
    <n v="2.09"/>
    <n v="4211"/>
  </r>
  <r>
    <x v="1"/>
    <x v="0"/>
    <x v="0"/>
    <x v="2"/>
    <x v="2"/>
    <x v="2"/>
    <s v="REVENUS"/>
    <x v="17"/>
    <s v="4011.007"/>
    <s v="Acompte sur bénéfice"/>
    <n v="0"/>
    <n v="-6598"/>
    <n v="4011"/>
  </r>
  <r>
    <x v="1"/>
    <x v="0"/>
    <x v="0"/>
    <x v="2"/>
    <x v="2"/>
    <x v="2"/>
    <s v="REVENUS"/>
    <x v="17"/>
    <s v="4011.002"/>
    <s v="Complément impôt bénéfice ordinaire"/>
    <n v="0"/>
    <n v="334.8"/>
    <n v="4011"/>
  </r>
  <r>
    <x v="1"/>
    <x v="0"/>
    <x v="0"/>
    <x v="2"/>
    <x v="2"/>
    <x v="2"/>
    <s v="REVENUS"/>
    <x v="17"/>
    <s v="4011.001"/>
    <s v="Impôt bénéfice ordinaire"/>
    <n v="0"/>
    <n v="10432.6"/>
    <n v="4011"/>
  </r>
  <r>
    <x v="1"/>
    <x v="0"/>
    <x v="0"/>
    <x v="2"/>
    <x v="2"/>
    <x v="2"/>
    <s v="REVENUS"/>
    <x v="16"/>
    <s v="4012.001"/>
    <s v="Impôt capital ordinaire"/>
    <n v="0"/>
    <n v="313"/>
    <n v="4012"/>
  </r>
  <r>
    <x v="1"/>
    <x v="0"/>
    <x v="0"/>
    <x v="2"/>
    <x v="2"/>
    <x v="2"/>
    <s v="REVENUS"/>
    <x v="18"/>
    <s v="4013.003"/>
    <s v="Remboursement impôt complémentaire sur immeubles"/>
    <n v="0"/>
    <n v="-549"/>
    <n v="4013"/>
  </r>
  <r>
    <x v="1"/>
    <x v="0"/>
    <x v="0"/>
    <x v="2"/>
    <x v="2"/>
    <x v="2"/>
    <s v="REVENUS"/>
    <x v="16"/>
    <s v="4012.007"/>
    <s v="Acompte sur capital"/>
    <n v="0"/>
    <n v="652.35"/>
    <n v="4012"/>
  </r>
  <r>
    <x v="1"/>
    <x v="0"/>
    <x v="0"/>
    <x v="2"/>
    <x v="2"/>
    <x v="2"/>
    <s v="REVENUS"/>
    <x v="6"/>
    <s v="4211.002"/>
    <s v="Intérêts de retard sur acomptes"/>
    <n v="0"/>
    <n v="77.650000000000006"/>
    <n v="4211"/>
  </r>
  <r>
    <x v="1"/>
    <x v="0"/>
    <x v="0"/>
    <x v="2"/>
    <x v="2"/>
    <x v="2"/>
    <s v="REVENUS"/>
    <x v="6"/>
    <s v="4221.001"/>
    <s v="Intérêts compensat. / créances en faveur du fisc"/>
    <n v="0"/>
    <n v="0.91"/>
    <n v="4221"/>
  </r>
  <r>
    <x v="1"/>
    <x v="0"/>
    <x v="0"/>
    <x v="2"/>
    <x v="2"/>
    <x v="2"/>
    <s v="REVENUS"/>
    <x v="16"/>
    <s v="4012.002"/>
    <s v="Complément impôt capital ordinaire"/>
    <n v="0"/>
    <n v="-73.650000000000006"/>
    <n v="4012"/>
  </r>
  <r>
    <x v="1"/>
    <x v="0"/>
    <x v="0"/>
    <x v="2"/>
    <x v="2"/>
    <x v="2"/>
    <s v="REVENUS"/>
    <x v="18"/>
    <s v="4013.001"/>
    <s v="Impôt complémentaire sur immeubles"/>
    <n v="0"/>
    <n v="8973.7999999999993"/>
    <n v="4013"/>
  </r>
  <r>
    <x v="1"/>
    <x v="0"/>
    <x v="0"/>
    <x v="2"/>
    <x v="2"/>
    <x v="2"/>
    <s v="REVENUS"/>
    <x v="11"/>
    <s v="4198.001"/>
    <s v="Impôt foncier"/>
    <n v="0"/>
    <n v="17961.099999999999"/>
    <n v="4198"/>
  </r>
  <r>
    <x v="1"/>
    <x v="0"/>
    <x v="0"/>
    <x v="2"/>
    <x v="2"/>
    <x v="2"/>
    <s v="REVENUS"/>
    <x v="10"/>
    <s v="4041.001"/>
    <s v="Droits de mutation"/>
    <n v="0"/>
    <n v="8202.0499999999993"/>
    <n v="4041"/>
  </r>
  <r>
    <x v="1"/>
    <x v="0"/>
    <x v="0"/>
    <x v="3"/>
    <x v="3"/>
    <x v="3"/>
    <s v="CHARGES"/>
    <x v="1"/>
    <s v="3301.006"/>
    <s v="Abandon de solde PM"/>
    <n v="9.69"/>
    <n v="0"/>
    <n v="3301"/>
  </r>
  <r>
    <x v="1"/>
    <x v="0"/>
    <x v="0"/>
    <x v="3"/>
    <x v="3"/>
    <x v="3"/>
    <s v="CHARGES"/>
    <x v="0"/>
    <s v="3212.004"/>
    <s v="Intérêts rémun./perçu trop tôt sur acomptes C/C"/>
    <n v="1.49"/>
    <n v="0"/>
    <n v="3212"/>
  </r>
  <r>
    <x v="1"/>
    <x v="0"/>
    <x v="0"/>
    <x v="3"/>
    <x v="3"/>
    <x v="3"/>
    <s v="CHARGES"/>
    <x v="0"/>
    <s v="3221.002"/>
    <s v="Intérêts compensatoires / créances en faveur ctb."/>
    <n v="3.22"/>
    <n v="0"/>
    <n v="3221"/>
  </r>
  <r>
    <x v="1"/>
    <x v="0"/>
    <x v="0"/>
    <x v="3"/>
    <x v="3"/>
    <x v="3"/>
    <s v="CHARGES"/>
    <x v="0"/>
    <s v="3212.002"/>
    <s v="Intérêts bonifiés/trop perçu acompte C/C"/>
    <n v="0.04"/>
    <n v="0"/>
    <n v="3212"/>
  </r>
  <r>
    <x v="1"/>
    <x v="0"/>
    <x v="0"/>
    <x v="3"/>
    <x v="3"/>
    <x v="3"/>
    <s v="REVENUS"/>
    <x v="16"/>
    <s v="4012.001"/>
    <s v="Impôt capital ordinaire"/>
    <n v="0"/>
    <n v="5447.85"/>
    <n v="4012"/>
  </r>
  <r>
    <x v="1"/>
    <x v="0"/>
    <x v="0"/>
    <x v="3"/>
    <x v="3"/>
    <x v="3"/>
    <s v="REVENUS"/>
    <x v="6"/>
    <s v="4221.001"/>
    <s v="Intérêts compensat. / créances en faveur du fisc"/>
    <n v="0"/>
    <n v="0.05"/>
    <n v="4221"/>
  </r>
  <r>
    <x v="1"/>
    <x v="0"/>
    <x v="0"/>
    <x v="3"/>
    <x v="3"/>
    <x v="3"/>
    <s v="REVENUS"/>
    <x v="16"/>
    <s v="4012.007"/>
    <s v="Acompte sur capital"/>
    <n v="0"/>
    <n v="374.4"/>
    <n v="4012"/>
  </r>
  <r>
    <x v="1"/>
    <x v="0"/>
    <x v="0"/>
    <x v="3"/>
    <x v="3"/>
    <x v="3"/>
    <s v="REVENUS"/>
    <x v="6"/>
    <s v="4211.002"/>
    <s v="Intérêts de retard sur acomptes"/>
    <n v="0"/>
    <n v="3.49"/>
    <n v="4211"/>
  </r>
  <r>
    <x v="1"/>
    <x v="0"/>
    <x v="0"/>
    <x v="3"/>
    <x v="3"/>
    <x v="3"/>
    <s v="REVENUS"/>
    <x v="17"/>
    <s v="4011.007"/>
    <s v="Acompte sur bénéfice"/>
    <n v="0"/>
    <n v="-2552.6999999999998"/>
    <n v="4011"/>
  </r>
  <r>
    <x v="1"/>
    <x v="0"/>
    <x v="0"/>
    <x v="3"/>
    <x v="3"/>
    <x v="3"/>
    <s v="REVENUS"/>
    <x v="6"/>
    <s v="4211.001"/>
    <s v="Intérêts de retard sur factures"/>
    <n v="0"/>
    <n v="5.17"/>
    <n v="4211"/>
  </r>
  <r>
    <x v="1"/>
    <x v="0"/>
    <x v="0"/>
    <x v="3"/>
    <x v="3"/>
    <x v="3"/>
    <s v="REVENUS"/>
    <x v="17"/>
    <s v="4011.002"/>
    <s v="Complément impôt bénéfice ordinaire"/>
    <n v="0"/>
    <n v="897.75"/>
    <n v="4011"/>
  </r>
  <r>
    <x v="1"/>
    <x v="0"/>
    <x v="0"/>
    <x v="3"/>
    <x v="3"/>
    <x v="3"/>
    <s v="REVENUS"/>
    <x v="17"/>
    <s v="4011.001"/>
    <s v="Impôt bénéfice ordinaire"/>
    <n v="0"/>
    <n v="521.9"/>
    <n v="4011"/>
  </r>
  <r>
    <x v="1"/>
    <x v="0"/>
    <x v="0"/>
    <x v="3"/>
    <x v="3"/>
    <x v="3"/>
    <s v="REVENUS"/>
    <x v="16"/>
    <s v="4012.002"/>
    <s v="Complément impôt capital ordinaire"/>
    <n v="0"/>
    <n v="133.55000000000001"/>
    <n v="4012"/>
  </r>
  <r>
    <x v="1"/>
    <x v="0"/>
    <x v="0"/>
    <x v="3"/>
    <x v="3"/>
    <x v="3"/>
    <s v="REVENUS"/>
    <x v="18"/>
    <s v="4013.001"/>
    <s v="Impôt complémentaire sur immeubles"/>
    <n v="0"/>
    <n v="4217.05"/>
    <n v="4013"/>
  </r>
  <r>
    <x v="1"/>
    <x v="0"/>
    <x v="0"/>
    <x v="3"/>
    <x v="3"/>
    <x v="3"/>
    <s v="REVENUS"/>
    <x v="18"/>
    <s v="4013.002"/>
    <s v="Complément impôt complémentaire sur immeubles"/>
    <n v="0"/>
    <n v="1195"/>
    <n v="4013"/>
  </r>
  <r>
    <x v="1"/>
    <x v="0"/>
    <x v="0"/>
    <x v="4"/>
    <x v="4"/>
    <x v="4"/>
    <s v="CHARGES"/>
    <x v="0"/>
    <s v="3221.002"/>
    <s v="Intérêts compensatoires / créances en faveur ctb."/>
    <n v="52.34"/>
    <n v="0"/>
    <n v="3221"/>
  </r>
  <r>
    <x v="1"/>
    <x v="0"/>
    <x v="0"/>
    <x v="4"/>
    <x v="4"/>
    <x v="4"/>
    <s v="CHARGES"/>
    <x v="0"/>
    <s v="3212.004"/>
    <s v="Intérêts rémun./perçu trop tôt sur acomptes C/C"/>
    <n v="60.3"/>
    <n v="0"/>
    <n v="3212"/>
  </r>
  <r>
    <x v="1"/>
    <x v="0"/>
    <x v="0"/>
    <x v="4"/>
    <x v="4"/>
    <x v="4"/>
    <s v="CHARGES"/>
    <x v="1"/>
    <s v="3301.006"/>
    <s v="Abandon de solde PM"/>
    <n v="40.409999999999997"/>
    <n v="0"/>
    <n v="3301"/>
  </r>
  <r>
    <x v="1"/>
    <x v="0"/>
    <x v="0"/>
    <x v="4"/>
    <x v="4"/>
    <x v="4"/>
    <s v="CHARGES"/>
    <x v="0"/>
    <s v="3212.002"/>
    <s v="Intérêts bonifiés/trop perçu acompte C/C"/>
    <n v="0.4"/>
    <n v="0"/>
    <n v="3212"/>
  </r>
  <r>
    <x v="1"/>
    <x v="0"/>
    <x v="0"/>
    <x v="4"/>
    <x v="4"/>
    <x v="4"/>
    <s v="CHARGES"/>
    <x v="1"/>
    <s v="3301.002"/>
    <s v="Défalcation PM"/>
    <n v="1049.79"/>
    <n v="0"/>
    <n v="3301"/>
  </r>
  <r>
    <x v="1"/>
    <x v="0"/>
    <x v="0"/>
    <x v="4"/>
    <x v="4"/>
    <x v="4"/>
    <s v="REVENUS"/>
    <x v="17"/>
    <s v="4011.001"/>
    <s v="Impôt bénéfice ordinaire"/>
    <n v="0"/>
    <n v="66474"/>
    <n v="4011"/>
  </r>
  <r>
    <x v="1"/>
    <x v="0"/>
    <x v="0"/>
    <x v="4"/>
    <x v="4"/>
    <x v="4"/>
    <s v="REVENUS"/>
    <x v="16"/>
    <s v="4012.007"/>
    <s v="Acompte sur capital"/>
    <n v="0"/>
    <n v="-1148.9000000000001"/>
    <n v="4012"/>
  </r>
  <r>
    <x v="1"/>
    <x v="0"/>
    <x v="0"/>
    <x v="4"/>
    <x v="4"/>
    <x v="4"/>
    <s v="REVENUS"/>
    <x v="6"/>
    <s v="4211.002"/>
    <s v="Intérêts de retard sur acomptes"/>
    <n v="0"/>
    <n v="173.14"/>
    <n v="4211"/>
  </r>
  <r>
    <x v="1"/>
    <x v="0"/>
    <x v="0"/>
    <x v="4"/>
    <x v="4"/>
    <x v="4"/>
    <s v="REVENUS"/>
    <x v="6"/>
    <s v="4221.001"/>
    <s v="Intérêts compensat. / créances en faveur du fisc"/>
    <n v="0"/>
    <n v="10.01"/>
    <n v="4221"/>
  </r>
  <r>
    <x v="1"/>
    <x v="0"/>
    <x v="0"/>
    <x v="4"/>
    <x v="4"/>
    <x v="4"/>
    <s v="REVENUS"/>
    <x v="6"/>
    <s v="4211.001"/>
    <s v="Intérêts de retard sur factures"/>
    <n v="0"/>
    <n v="113.31"/>
    <n v="4211"/>
  </r>
  <r>
    <x v="1"/>
    <x v="0"/>
    <x v="0"/>
    <x v="4"/>
    <x v="4"/>
    <x v="4"/>
    <s v="REVENUS"/>
    <x v="17"/>
    <s v="4011.007"/>
    <s v="Acompte sur bénéfice"/>
    <n v="0"/>
    <n v="-46781.4"/>
    <n v="4011"/>
  </r>
  <r>
    <x v="1"/>
    <x v="0"/>
    <x v="0"/>
    <x v="4"/>
    <x v="4"/>
    <x v="4"/>
    <s v="REVENUS"/>
    <x v="16"/>
    <s v="4012.001"/>
    <s v="Impôt capital ordinaire"/>
    <n v="0"/>
    <n v="4315.8500000000004"/>
    <n v="4012"/>
  </r>
  <r>
    <x v="1"/>
    <x v="0"/>
    <x v="0"/>
    <x v="4"/>
    <x v="4"/>
    <x v="4"/>
    <s v="REVENUS"/>
    <x v="18"/>
    <s v="4013.001"/>
    <s v="Impôt complémentaire sur immeubles"/>
    <n v="0"/>
    <n v="15606.65"/>
    <n v="4013"/>
  </r>
  <r>
    <x v="1"/>
    <x v="0"/>
    <x v="0"/>
    <x v="4"/>
    <x v="4"/>
    <x v="4"/>
    <s v="REVENUS"/>
    <x v="17"/>
    <s v="4011.002"/>
    <s v="Complément impôt bénéfice ordinaire"/>
    <n v="0"/>
    <n v="9592.4500000000007"/>
    <n v="4011"/>
  </r>
  <r>
    <x v="1"/>
    <x v="0"/>
    <x v="0"/>
    <x v="4"/>
    <x v="4"/>
    <x v="4"/>
    <s v="REVENUS"/>
    <x v="7"/>
    <s v="4184.000"/>
    <s v="Frais de poursuite"/>
    <n v="0"/>
    <n v="245.89"/>
    <n v="4184"/>
  </r>
  <r>
    <x v="1"/>
    <x v="0"/>
    <x v="0"/>
    <x v="4"/>
    <x v="4"/>
    <x v="4"/>
    <s v="REVENUS"/>
    <x v="16"/>
    <s v="4012.002"/>
    <s v="Complément impôt capital ordinaire"/>
    <n v="0"/>
    <n v="176.7"/>
    <n v="4012"/>
  </r>
  <r>
    <x v="1"/>
    <x v="0"/>
    <x v="0"/>
    <x v="4"/>
    <x v="4"/>
    <x v="4"/>
    <s v="REVENUS"/>
    <x v="9"/>
    <s v="4031.001"/>
    <s v="Impôt sur les gains immobiliers"/>
    <n v="0"/>
    <n v="23630.5"/>
    <n v="4031"/>
  </r>
  <r>
    <x v="1"/>
    <x v="0"/>
    <x v="0"/>
    <x v="4"/>
    <x v="4"/>
    <x v="4"/>
    <s v="REVENUS"/>
    <x v="6"/>
    <s v="4221.002"/>
    <s v="Intérêts compensat. sur impôts distincts"/>
    <n v="0"/>
    <n v="2.19"/>
    <n v="4221"/>
  </r>
  <r>
    <x v="1"/>
    <x v="0"/>
    <x v="0"/>
    <x v="4"/>
    <x v="4"/>
    <x v="4"/>
    <s v="REVENUS"/>
    <x v="18"/>
    <s v="4013.003"/>
    <s v="Remboursement impôt complémentaire sur immeubles"/>
    <n v="0"/>
    <n v="-2232"/>
    <n v="4013"/>
  </r>
  <r>
    <x v="1"/>
    <x v="0"/>
    <x v="0"/>
    <x v="5"/>
    <x v="5"/>
    <x v="5"/>
    <s v="CHARGES"/>
    <x v="1"/>
    <s v="3301.006"/>
    <s v="Abandon de solde PM"/>
    <n v="18.239999999999998"/>
    <n v="0"/>
    <n v="3301"/>
  </r>
  <r>
    <x v="1"/>
    <x v="0"/>
    <x v="0"/>
    <x v="5"/>
    <x v="5"/>
    <x v="5"/>
    <s v="CHARGES"/>
    <x v="0"/>
    <s v="3212.004"/>
    <s v="Intérêts rémun./perçu trop tôt sur acomptes C/C"/>
    <n v="24.13"/>
    <n v="0"/>
    <n v="3212"/>
  </r>
  <r>
    <x v="1"/>
    <x v="0"/>
    <x v="0"/>
    <x v="5"/>
    <x v="5"/>
    <x v="5"/>
    <s v="CHARGES"/>
    <x v="0"/>
    <s v="3221.002"/>
    <s v="Intérêts compensatoires / créances en faveur ctb."/>
    <n v="29.41"/>
    <n v="0"/>
    <n v="3221"/>
  </r>
  <r>
    <x v="1"/>
    <x v="0"/>
    <x v="0"/>
    <x v="5"/>
    <x v="5"/>
    <x v="5"/>
    <s v="CHARGES"/>
    <x v="0"/>
    <s v="3212.002"/>
    <s v="Intérêts bonifiés/trop perçu acompte C/C"/>
    <n v="0.06"/>
    <n v="0"/>
    <n v="3212"/>
  </r>
  <r>
    <x v="1"/>
    <x v="0"/>
    <x v="0"/>
    <x v="5"/>
    <x v="5"/>
    <x v="5"/>
    <s v="CHARGES"/>
    <x v="1"/>
    <s v="3301.002"/>
    <s v="Défalcation PM"/>
    <n v="21.05"/>
    <n v="0"/>
    <n v="3301"/>
  </r>
  <r>
    <x v="1"/>
    <x v="0"/>
    <x v="0"/>
    <x v="5"/>
    <x v="5"/>
    <x v="5"/>
    <s v="REVENUS"/>
    <x v="6"/>
    <s v="4211.001"/>
    <s v="Intérêts de retard sur factures"/>
    <n v="0"/>
    <n v="17.68"/>
    <n v="4211"/>
  </r>
  <r>
    <x v="1"/>
    <x v="0"/>
    <x v="0"/>
    <x v="5"/>
    <x v="5"/>
    <x v="5"/>
    <s v="REVENUS"/>
    <x v="18"/>
    <s v="4013.001"/>
    <s v="Impôt complémentaire sur immeubles"/>
    <n v="0"/>
    <n v="9389.5499999999993"/>
    <n v="4013"/>
  </r>
  <r>
    <x v="1"/>
    <x v="0"/>
    <x v="0"/>
    <x v="5"/>
    <x v="5"/>
    <x v="5"/>
    <s v="REVENUS"/>
    <x v="17"/>
    <s v="4011.002"/>
    <s v="Complément impôt bénéfice ordinaire"/>
    <n v="0"/>
    <n v="1426.25"/>
    <n v="4011"/>
  </r>
  <r>
    <x v="1"/>
    <x v="0"/>
    <x v="0"/>
    <x v="5"/>
    <x v="5"/>
    <x v="5"/>
    <s v="REVENUS"/>
    <x v="16"/>
    <s v="4012.007"/>
    <s v="Acompte sur capital"/>
    <n v="0"/>
    <n v="-607.5"/>
    <n v="4012"/>
  </r>
  <r>
    <x v="1"/>
    <x v="0"/>
    <x v="0"/>
    <x v="5"/>
    <x v="5"/>
    <x v="5"/>
    <s v="REVENUS"/>
    <x v="16"/>
    <s v="4012.001"/>
    <s v="Impôt capital ordinaire"/>
    <n v="0"/>
    <n v="3545.7"/>
    <n v="4012"/>
  </r>
  <r>
    <x v="1"/>
    <x v="0"/>
    <x v="0"/>
    <x v="5"/>
    <x v="5"/>
    <x v="5"/>
    <s v="REVENUS"/>
    <x v="17"/>
    <s v="4011.001"/>
    <s v="Impôt bénéfice ordinaire"/>
    <n v="0"/>
    <n v="126082.05"/>
    <n v="4011"/>
  </r>
  <r>
    <x v="1"/>
    <x v="0"/>
    <x v="0"/>
    <x v="5"/>
    <x v="5"/>
    <x v="5"/>
    <s v="REVENUS"/>
    <x v="17"/>
    <s v="4011.007"/>
    <s v="Acompte sur bénéfice"/>
    <n v="0"/>
    <n v="-72317"/>
    <n v="4011"/>
  </r>
  <r>
    <x v="1"/>
    <x v="0"/>
    <x v="0"/>
    <x v="5"/>
    <x v="5"/>
    <x v="5"/>
    <s v="REVENUS"/>
    <x v="6"/>
    <s v="4211.002"/>
    <s v="Intérêts de retard sur acomptes"/>
    <n v="0"/>
    <n v="96.37"/>
    <n v="4211"/>
  </r>
  <r>
    <x v="1"/>
    <x v="0"/>
    <x v="0"/>
    <x v="5"/>
    <x v="5"/>
    <x v="5"/>
    <s v="REVENUS"/>
    <x v="10"/>
    <s v="4041.001"/>
    <s v="Droits de mutation"/>
    <n v="0"/>
    <n v="5500"/>
    <n v="4041"/>
  </r>
  <r>
    <x v="1"/>
    <x v="0"/>
    <x v="0"/>
    <x v="5"/>
    <x v="5"/>
    <x v="5"/>
    <s v="REVENUS"/>
    <x v="6"/>
    <s v="4221.001"/>
    <s v="Intérêts compensat. / créances en faveur du fisc"/>
    <n v="0"/>
    <n v="3.1"/>
    <n v="4221"/>
  </r>
  <r>
    <x v="1"/>
    <x v="0"/>
    <x v="0"/>
    <x v="6"/>
    <x v="6"/>
    <x v="6"/>
    <s v="CHARGES"/>
    <x v="0"/>
    <s v="3212.004"/>
    <s v="Intérêts rémun./perçu trop tôt sur acomptes C/C"/>
    <n v="129.01"/>
    <n v="0"/>
    <n v="3212"/>
  </r>
  <r>
    <x v="1"/>
    <x v="0"/>
    <x v="0"/>
    <x v="6"/>
    <x v="6"/>
    <x v="6"/>
    <s v="CHARGES"/>
    <x v="0"/>
    <s v="3221.002"/>
    <s v="Intérêts compensatoires / créances en faveur ctb."/>
    <n v="103.46"/>
    <n v="0"/>
    <n v="3221"/>
  </r>
  <r>
    <x v="1"/>
    <x v="0"/>
    <x v="0"/>
    <x v="6"/>
    <x v="6"/>
    <x v="6"/>
    <s v="CHARGES"/>
    <x v="1"/>
    <s v="3301.006"/>
    <s v="Abandon de solde PM"/>
    <n v="156.5"/>
    <n v="0"/>
    <n v="3301"/>
  </r>
  <r>
    <x v="1"/>
    <x v="0"/>
    <x v="0"/>
    <x v="6"/>
    <x v="6"/>
    <x v="6"/>
    <s v="CHARGES"/>
    <x v="0"/>
    <s v="3212.002"/>
    <s v="Intérêts bonifiés/trop perçu acompte C/C"/>
    <n v="0.61"/>
    <n v="0"/>
    <n v="3212"/>
  </r>
  <r>
    <x v="1"/>
    <x v="0"/>
    <x v="0"/>
    <x v="6"/>
    <x v="6"/>
    <x v="6"/>
    <s v="CHARGES"/>
    <x v="1"/>
    <s v="3301.002"/>
    <s v="Défalcation PM"/>
    <n v="3385.47"/>
    <n v="0"/>
    <n v="3301"/>
  </r>
  <r>
    <x v="1"/>
    <x v="0"/>
    <x v="0"/>
    <x v="6"/>
    <x v="6"/>
    <x v="6"/>
    <s v="REVENUS"/>
    <x v="16"/>
    <s v="4012.001"/>
    <s v="Impôt capital ordinaire"/>
    <n v="0"/>
    <n v="78093.600000000006"/>
    <n v="4012"/>
  </r>
  <r>
    <x v="1"/>
    <x v="0"/>
    <x v="0"/>
    <x v="6"/>
    <x v="6"/>
    <x v="6"/>
    <s v="REVENUS"/>
    <x v="16"/>
    <s v="4012.007"/>
    <s v="Acompte sur capital"/>
    <n v="0"/>
    <n v="22162.1"/>
    <n v="4012"/>
  </r>
  <r>
    <x v="1"/>
    <x v="0"/>
    <x v="0"/>
    <x v="6"/>
    <x v="6"/>
    <x v="6"/>
    <s v="REVENUS"/>
    <x v="6"/>
    <s v="4211.002"/>
    <s v="Intérêts de retard sur acomptes"/>
    <n v="0"/>
    <n v="16448.72"/>
    <n v="4211"/>
  </r>
  <r>
    <x v="1"/>
    <x v="0"/>
    <x v="0"/>
    <x v="6"/>
    <x v="6"/>
    <x v="6"/>
    <s v="REVENUS"/>
    <x v="6"/>
    <s v="4221.001"/>
    <s v="Intérêts compensat. / créances en faveur du fisc"/>
    <n v="0"/>
    <n v="103.67"/>
    <n v="4221"/>
  </r>
  <r>
    <x v="1"/>
    <x v="0"/>
    <x v="0"/>
    <x v="6"/>
    <x v="6"/>
    <x v="6"/>
    <s v="REVENUS"/>
    <x v="17"/>
    <s v="4011.001"/>
    <s v="Impôt bénéfice ordinaire"/>
    <n v="0"/>
    <n v="628975.6"/>
    <n v="4011"/>
  </r>
  <r>
    <x v="1"/>
    <x v="0"/>
    <x v="0"/>
    <x v="6"/>
    <x v="6"/>
    <x v="6"/>
    <s v="REVENUS"/>
    <x v="17"/>
    <s v="4011.002"/>
    <s v="Complément impôt bénéfice ordinaire"/>
    <n v="0"/>
    <n v="17297.55"/>
    <n v="4011"/>
  </r>
  <r>
    <x v="1"/>
    <x v="0"/>
    <x v="0"/>
    <x v="6"/>
    <x v="6"/>
    <x v="6"/>
    <s v="REVENUS"/>
    <x v="18"/>
    <s v="4013.001"/>
    <s v="Impôt complémentaire sur immeubles"/>
    <n v="0"/>
    <n v="65140.1"/>
    <n v="4013"/>
  </r>
  <r>
    <x v="1"/>
    <x v="0"/>
    <x v="0"/>
    <x v="6"/>
    <x v="6"/>
    <x v="6"/>
    <s v="REVENUS"/>
    <x v="6"/>
    <s v="4211.001"/>
    <s v="Intérêts de retard sur factures"/>
    <n v="0"/>
    <n v="3472.33"/>
    <n v="4211"/>
  </r>
  <r>
    <x v="1"/>
    <x v="0"/>
    <x v="0"/>
    <x v="6"/>
    <x v="6"/>
    <x v="6"/>
    <s v="REVENUS"/>
    <x v="17"/>
    <s v="4011.007"/>
    <s v="Acompte sur bénéfice"/>
    <n v="0"/>
    <n v="-481899.6"/>
    <n v="4011"/>
  </r>
  <r>
    <x v="1"/>
    <x v="0"/>
    <x v="0"/>
    <x v="6"/>
    <x v="6"/>
    <x v="6"/>
    <s v="REVENUS"/>
    <x v="7"/>
    <s v="4184.000"/>
    <s v="Frais de poursuite"/>
    <n v="0"/>
    <n v="117.89"/>
    <n v="4184"/>
  </r>
  <r>
    <x v="1"/>
    <x v="0"/>
    <x v="0"/>
    <x v="6"/>
    <x v="6"/>
    <x v="6"/>
    <s v="REVENUS"/>
    <x v="10"/>
    <s v="4041.001"/>
    <s v="Droits de mutation"/>
    <n v="0"/>
    <n v="23315.599999999999"/>
    <n v="4041"/>
  </r>
  <r>
    <x v="1"/>
    <x v="0"/>
    <x v="0"/>
    <x v="6"/>
    <x v="6"/>
    <x v="6"/>
    <s v="REVENUS"/>
    <x v="8"/>
    <s v="4091.001"/>
    <s v="Impôt récupéré après défalcations"/>
    <n v="0"/>
    <n v="9.4"/>
    <n v="4091"/>
  </r>
  <r>
    <x v="1"/>
    <x v="0"/>
    <x v="0"/>
    <x v="6"/>
    <x v="6"/>
    <x v="6"/>
    <s v="REVENUS"/>
    <x v="8"/>
    <s v="4091.003"/>
    <s v="Impôt récupéré concordat"/>
    <n v="0"/>
    <n v="2900"/>
    <n v="4091"/>
  </r>
  <r>
    <x v="1"/>
    <x v="0"/>
    <x v="0"/>
    <x v="6"/>
    <x v="6"/>
    <x v="6"/>
    <s v="REVENUS"/>
    <x v="18"/>
    <s v="4013.003"/>
    <s v="Remboursement impôt complémentaire sur immeubles"/>
    <n v="0"/>
    <n v="-2279.9"/>
    <n v="4013"/>
  </r>
  <r>
    <x v="1"/>
    <x v="0"/>
    <x v="0"/>
    <x v="6"/>
    <x v="6"/>
    <x v="6"/>
    <s v="REVENUS"/>
    <x v="18"/>
    <s v="4013.002"/>
    <s v="Complément impôt complémentaire sur immeubles"/>
    <n v="0"/>
    <n v="469.5"/>
    <n v="4013"/>
  </r>
  <r>
    <x v="1"/>
    <x v="0"/>
    <x v="0"/>
    <x v="7"/>
    <x v="7"/>
    <x v="7"/>
    <s v="CHARGES"/>
    <x v="0"/>
    <s v="3212.004"/>
    <s v="Intérêts rémun./perçu trop tôt sur acomptes C/C"/>
    <n v="1605.65"/>
    <n v="0"/>
    <n v="3212"/>
  </r>
  <r>
    <x v="1"/>
    <x v="0"/>
    <x v="0"/>
    <x v="7"/>
    <x v="7"/>
    <x v="7"/>
    <s v="CHARGES"/>
    <x v="0"/>
    <s v="3221.002"/>
    <s v="Intérêts compensatoires / créances en faveur ctb."/>
    <n v="840.36"/>
    <n v="0"/>
    <n v="3221"/>
  </r>
  <r>
    <x v="1"/>
    <x v="0"/>
    <x v="0"/>
    <x v="7"/>
    <x v="7"/>
    <x v="7"/>
    <s v="CHARGES"/>
    <x v="1"/>
    <s v="3301.006"/>
    <s v="Abandon de solde PM"/>
    <n v="35.44"/>
    <n v="0"/>
    <n v="3301"/>
  </r>
  <r>
    <x v="1"/>
    <x v="0"/>
    <x v="0"/>
    <x v="7"/>
    <x v="7"/>
    <x v="7"/>
    <s v="CHARGES"/>
    <x v="0"/>
    <s v="3212.002"/>
    <s v="Intérêts bonifiés/trop perçu acompte C/C"/>
    <n v="1.52"/>
    <n v="0"/>
    <n v="3212"/>
  </r>
  <r>
    <x v="1"/>
    <x v="0"/>
    <x v="0"/>
    <x v="7"/>
    <x v="7"/>
    <x v="7"/>
    <s v="REVENUS"/>
    <x v="17"/>
    <s v="4011.001"/>
    <s v="Impôt bénéfice ordinaire"/>
    <n v="0"/>
    <n v="494963.55"/>
    <n v="4011"/>
  </r>
  <r>
    <x v="1"/>
    <x v="0"/>
    <x v="0"/>
    <x v="7"/>
    <x v="7"/>
    <x v="7"/>
    <s v="REVENUS"/>
    <x v="17"/>
    <s v="4011.007"/>
    <s v="Acompte sur bénéfice"/>
    <n v="0"/>
    <n v="-144.9"/>
    <n v="4011"/>
  </r>
  <r>
    <x v="1"/>
    <x v="0"/>
    <x v="0"/>
    <x v="7"/>
    <x v="7"/>
    <x v="7"/>
    <s v="REVENUS"/>
    <x v="17"/>
    <s v="4011.002"/>
    <s v="Complément impôt bénéfice ordinaire"/>
    <n v="0"/>
    <n v="110893.35"/>
    <n v="4011"/>
  </r>
  <r>
    <x v="1"/>
    <x v="0"/>
    <x v="0"/>
    <x v="7"/>
    <x v="7"/>
    <x v="7"/>
    <s v="REVENUS"/>
    <x v="6"/>
    <s v="4221.001"/>
    <s v="Intérêts compensat. / créances en faveur du fisc"/>
    <n v="0"/>
    <n v="151.29"/>
    <n v="4221"/>
  </r>
  <r>
    <x v="1"/>
    <x v="0"/>
    <x v="0"/>
    <x v="7"/>
    <x v="7"/>
    <x v="7"/>
    <s v="REVENUS"/>
    <x v="16"/>
    <s v="4012.001"/>
    <s v="Impôt capital ordinaire"/>
    <n v="0"/>
    <n v="2902.1"/>
    <n v="4012"/>
  </r>
  <r>
    <x v="1"/>
    <x v="0"/>
    <x v="0"/>
    <x v="7"/>
    <x v="7"/>
    <x v="7"/>
    <s v="REVENUS"/>
    <x v="6"/>
    <s v="4211.001"/>
    <s v="Intérêts de retard sur factures"/>
    <n v="0"/>
    <n v="167.34"/>
    <n v="4211"/>
  </r>
  <r>
    <x v="1"/>
    <x v="0"/>
    <x v="0"/>
    <x v="7"/>
    <x v="7"/>
    <x v="7"/>
    <s v="REVENUS"/>
    <x v="18"/>
    <s v="4013.003"/>
    <s v="Remboursement impôt complémentaire sur immeubles"/>
    <n v="0"/>
    <n v="-2988.55"/>
    <n v="4013"/>
  </r>
  <r>
    <x v="1"/>
    <x v="0"/>
    <x v="0"/>
    <x v="7"/>
    <x v="7"/>
    <x v="7"/>
    <s v="REVENUS"/>
    <x v="16"/>
    <s v="4012.007"/>
    <s v="Acompte sur capital"/>
    <n v="0"/>
    <n v="9451.75"/>
    <n v="4012"/>
  </r>
  <r>
    <x v="1"/>
    <x v="0"/>
    <x v="0"/>
    <x v="7"/>
    <x v="7"/>
    <x v="7"/>
    <s v="REVENUS"/>
    <x v="6"/>
    <s v="4211.002"/>
    <s v="Intérêts de retard sur acomptes"/>
    <n v="0"/>
    <n v="795.26"/>
    <n v="4211"/>
  </r>
  <r>
    <x v="1"/>
    <x v="0"/>
    <x v="0"/>
    <x v="7"/>
    <x v="7"/>
    <x v="7"/>
    <s v="REVENUS"/>
    <x v="18"/>
    <s v="4013.001"/>
    <s v="Impôt complémentaire sur immeubles"/>
    <n v="0"/>
    <n v="42047.55"/>
    <n v="4013"/>
  </r>
  <r>
    <x v="1"/>
    <x v="0"/>
    <x v="0"/>
    <x v="7"/>
    <x v="7"/>
    <x v="7"/>
    <s v="REVENUS"/>
    <x v="18"/>
    <s v="4013.002"/>
    <s v="Complément impôt complémentaire sur immeubles"/>
    <n v="0"/>
    <n v="372.8"/>
    <n v="4013"/>
  </r>
  <r>
    <x v="1"/>
    <x v="0"/>
    <x v="0"/>
    <x v="7"/>
    <x v="7"/>
    <x v="7"/>
    <s v="REVENUS"/>
    <x v="16"/>
    <s v="4012.002"/>
    <s v="Complément impôt capital ordinaire"/>
    <n v="0"/>
    <n v="5274.75"/>
    <n v="4012"/>
  </r>
  <r>
    <x v="1"/>
    <x v="0"/>
    <x v="0"/>
    <x v="7"/>
    <x v="7"/>
    <x v="7"/>
    <s v="REVENUS"/>
    <x v="11"/>
    <s v="4198.001"/>
    <s v="Impôt foncier"/>
    <n v="0"/>
    <n v="191427.25"/>
    <n v="4198"/>
  </r>
  <r>
    <x v="1"/>
    <x v="0"/>
    <x v="0"/>
    <x v="7"/>
    <x v="7"/>
    <x v="7"/>
    <s v="REVENUS"/>
    <x v="10"/>
    <s v="4041.001"/>
    <s v="Droits de mutation"/>
    <n v="0"/>
    <n v="5792.9"/>
    <n v="4041"/>
  </r>
  <r>
    <x v="1"/>
    <x v="0"/>
    <x v="0"/>
    <x v="8"/>
    <x v="8"/>
    <x v="8"/>
    <s v="CHARGES"/>
    <x v="0"/>
    <s v="3212.004"/>
    <s v="Intérêts rémun./perçu trop tôt sur acomptes C/C"/>
    <n v="819.52"/>
    <n v="0"/>
    <n v="3212"/>
  </r>
  <r>
    <x v="1"/>
    <x v="0"/>
    <x v="0"/>
    <x v="8"/>
    <x v="8"/>
    <x v="8"/>
    <s v="CHARGES"/>
    <x v="0"/>
    <s v="3221.002"/>
    <s v="Intérêts compensatoires / créances en faveur ctb."/>
    <n v="611.5"/>
    <n v="0"/>
    <n v="3221"/>
  </r>
  <r>
    <x v="1"/>
    <x v="0"/>
    <x v="0"/>
    <x v="8"/>
    <x v="8"/>
    <x v="8"/>
    <s v="CHARGES"/>
    <x v="1"/>
    <s v="3301.006"/>
    <s v="Abandon de solde PM"/>
    <n v="348.32"/>
    <n v="0"/>
    <n v="3301"/>
  </r>
  <r>
    <x v="1"/>
    <x v="0"/>
    <x v="0"/>
    <x v="8"/>
    <x v="8"/>
    <x v="8"/>
    <s v="CHARGES"/>
    <x v="0"/>
    <s v="3212.002"/>
    <s v="Intérêts bonifiés/trop perçu acompte C/C"/>
    <n v="4.45"/>
    <n v="0"/>
    <n v="3212"/>
  </r>
  <r>
    <x v="1"/>
    <x v="0"/>
    <x v="0"/>
    <x v="8"/>
    <x v="8"/>
    <x v="8"/>
    <s v="CHARGES"/>
    <x v="1"/>
    <s v="3301.002"/>
    <s v="Défalcation PM"/>
    <n v="656.51"/>
    <n v="0"/>
    <n v="3301"/>
  </r>
  <r>
    <x v="1"/>
    <x v="0"/>
    <x v="0"/>
    <x v="8"/>
    <x v="8"/>
    <x v="8"/>
    <s v="REVENUS"/>
    <x v="17"/>
    <s v="4011.001"/>
    <s v="Impôt bénéfice ordinaire"/>
    <n v="0"/>
    <n v="913392.4"/>
    <n v="4011"/>
  </r>
  <r>
    <x v="1"/>
    <x v="0"/>
    <x v="0"/>
    <x v="8"/>
    <x v="8"/>
    <x v="8"/>
    <s v="REVENUS"/>
    <x v="17"/>
    <s v="4011.007"/>
    <s v="Acompte sur bénéfice"/>
    <n v="0"/>
    <n v="-481943.95"/>
    <n v="4011"/>
  </r>
  <r>
    <x v="1"/>
    <x v="0"/>
    <x v="0"/>
    <x v="8"/>
    <x v="8"/>
    <x v="8"/>
    <s v="REVENUS"/>
    <x v="16"/>
    <s v="4012.001"/>
    <s v="Impôt capital ordinaire"/>
    <n v="0"/>
    <n v="42116.7"/>
    <n v="4012"/>
  </r>
  <r>
    <x v="1"/>
    <x v="0"/>
    <x v="0"/>
    <x v="8"/>
    <x v="8"/>
    <x v="8"/>
    <s v="REVENUS"/>
    <x v="16"/>
    <s v="4012.007"/>
    <s v="Acompte sur capital"/>
    <n v="0"/>
    <n v="65970.75"/>
    <n v="4012"/>
  </r>
  <r>
    <x v="1"/>
    <x v="0"/>
    <x v="0"/>
    <x v="8"/>
    <x v="8"/>
    <x v="8"/>
    <s v="REVENUS"/>
    <x v="18"/>
    <s v="4013.001"/>
    <s v="Impôt complémentaire sur immeubles"/>
    <n v="0"/>
    <n v="168330.35"/>
    <n v="4013"/>
  </r>
  <r>
    <x v="1"/>
    <x v="0"/>
    <x v="0"/>
    <x v="8"/>
    <x v="8"/>
    <x v="8"/>
    <s v="REVENUS"/>
    <x v="11"/>
    <s v="4198.001"/>
    <s v="Impôt foncier"/>
    <n v="0"/>
    <n v="633656.44999999995"/>
    <n v="4198"/>
  </r>
  <r>
    <x v="1"/>
    <x v="0"/>
    <x v="0"/>
    <x v="8"/>
    <x v="8"/>
    <x v="8"/>
    <s v="REVENUS"/>
    <x v="6"/>
    <s v="4211.002"/>
    <s v="Intérêts de retard sur acomptes"/>
    <n v="0"/>
    <n v="6186.78"/>
    <n v="4211"/>
  </r>
  <r>
    <x v="1"/>
    <x v="0"/>
    <x v="0"/>
    <x v="8"/>
    <x v="8"/>
    <x v="8"/>
    <s v="REVENUS"/>
    <x v="17"/>
    <s v="4011.002"/>
    <s v="Complément impôt bénéfice ordinaire"/>
    <n v="0"/>
    <n v="19076.75"/>
    <n v="4011"/>
  </r>
  <r>
    <x v="1"/>
    <x v="0"/>
    <x v="0"/>
    <x v="8"/>
    <x v="8"/>
    <x v="8"/>
    <s v="REVENUS"/>
    <x v="6"/>
    <s v="4211.001"/>
    <s v="Intérêts de retard sur factures"/>
    <n v="0"/>
    <n v="16388.78"/>
    <n v="4211"/>
  </r>
  <r>
    <x v="1"/>
    <x v="0"/>
    <x v="0"/>
    <x v="8"/>
    <x v="8"/>
    <x v="8"/>
    <s v="REVENUS"/>
    <x v="6"/>
    <s v="4221.001"/>
    <s v="Intérêts compensat. / créances en faveur du fisc"/>
    <n v="0"/>
    <n v="496.35"/>
    <n v="4221"/>
  </r>
  <r>
    <x v="1"/>
    <x v="0"/>
    <x v="0"/>
    <x v="8"/>
    <x v="8"/>
    <x v="8"/>
    <s v="REVENUS"/>
    <x v="10"/>
    <s v="4041.001"/>
    <s v="Droits de mutation"/>
    <n v="0"/>
    <n v="188770.3"/>
    <n v="4041"/>
  </r>
  <r>
    <x v="1"/>
    <x v="0"/>
    <x v="0"/>
    <x v="8"/>
    <x v="8"/>
    <x v="8"/>
    <s v="REVENUS"/>
    <x v="18"/>
    <s v="4013.003"/>
    <s v="Remboursement impôt complémentaire sur immeubles"/>
    <n v="0"/>
    <n v="-34276.35"/>
    <n v="4013"/>
  </r>
  <r>
    <x v="1"/>
    <x v="0"/>
    <x v="0"/>
    <x v="8"/>
    <x v="8"/>
    <x v="8"/>
    <s v="REVENUS"/>
    <x v="18"/>
    <s v="4013.002"/>
    <s v="Complément impôt complémentaire sur immeubles"/>
    <n v="0"/>
    <n v="441.5"/>
    <n v="4013"/>
  </r>
  <r>
    <x v="1"/>
    <x v="0"/>
    <x v="0"/>
    <x v="8"/>
    <x v="8"/>
    <x v="8"/>
    <s v="REVENUS"/>
    <x v="16"/>
    <s v="4012.002"/>
    <s v="Complément impôt capital ordinaire"/>
    <n v="0"/>
    <n v="65000.75"/>
    <n v="4012"/>
  </r>
  <r>
    <x v="1"/>
    <x v="0"/>
    <x v="0"/>
    <x v="8"/>
    <x v="8"/>
    <x v="8"/>
    <s v="REVENUS"/>
    <x v="13"/>
    <s v="4371.012"/>
    <s v="Amende soustraction IBC"/>
    <n v="0"/>
    <n v="-650"/>
    <n v="4371"/>
  </r>
  <r>
    <x v="1"/>
    <x v="0"/>
    <x v="0"/>
    <x v="8"/>
    <x v="8"/>
    <x v="8"/>
    <s v="REVENUS"/>
    <x v="7"/>
    <s v="4184.000"/>
    <s v="Frais de poursuite"/>
    <n v="0"/>
    <n v="1237.6099999999999"/>
    <n v="4184"/>
  </r>
  <r>
    <x v="1"/>
    <x v="0"/>
    <x v="0"/>
    <x v="9"/>
    <x v="9"/>
    <x v="9"/>
    <s v="CHARGES"/>
    <x v="1"/>
    <s v="3301.006"/>
    <s v="Abandon de solde PM"/>
    <n v="71.180000000000007"/>
    <n v="0"/>
    <n v="3301"/>
  </r>
  <r>
    <x v="1"/>
    <x v="0"/>
    <x v="0"/>
    <x v="9"/>
    <x v="9"/>
    <x v="9"/>
    <s v="CHARGES"/>
    <x v="0"/>
    <s v="3212.004"/>
    <s v="Intérêts rémun./perçu trop tôt sur acomptes C/C"/>
    <n v="93.01"/>
    <n v="0"/>
    <n v="3212"/>
  </r>
  <r>
    <x v="1"/>
    <x v="0"/>
    <x v="0"/>
    <x v="9"/>
    <x v="9"/>
    <x v="9"/>
    <s v="CHARGES"/>
    <x v="0"/>
    <s v="3221.002"/>
    <s v="Intérêts compensatoires / créances en faveur ctb."/>
    <n v="56.94"/>
    <n v="0"/>
    <n v="3221"/>
  </r>
  <r>
    <x v="1"/>
    <x v="0"/>
    <x v="0"/>
    <x v="9"/>
    <x v="9"/>
    <x v="9"/>
    <s v="CHARGES"/>
    <x v="0"/>
    <s v="3212.002"/>
    <s v="Intérêts bonifiés/trop perçu acompte C/C"/>
    <n v="0.34"/>
    <n v="0"/>
    <n v="3212"/>
  </r>
  <r>
    <x v="1"/>
    <x v="0"/>
    <x v="0"/>
    <x v="9"/>
    <x v="9"/>
    <x v="9"/>
    <s v="CHARGES"/>
    <x v="1"/>
    <s v="3301.004"/>
    <s v="Remise PM"/>
    <n v="1622.5"/>
    <n v="0"/>
    <n v="3301"/>
  </r>
  <r>
    <x v="1"/>
    <x v="0"/>
    <x v="0"/>
    <x v="9"/>
    <x v="9"/>
    <x v="9"/>
    <s v="REVENUS"/>
    <x v="16"/>
    <s v="4012.001"/>
    <s v="Impôt capital ordinaire"/>
    <n v="0"/>
    <n v="1292.75"/>
    <n v="4012"/>
  </r>
  <r>
    <x v="1"/>
    <x v="0"/>
    <x v="0"/>
    <x v="9"/>
    <x v="9"/>
    <x v="9"/>
    <s v="REVENUS"/>
    <x v="16"/>
    <s v="4012.007"/>
    <s v="Acompte sur capital"/>
    <n v="0"/>
    <n v="803.55"/>
    <n v="4012"/>
  </r>
  <r>
    <x v="1"/>
    <x v="0"/>
    <x v="0"/>
    <x v="9"/>
    <x v="9"/>
    <x v="9"/>
    <s v="REVENUS"/>
    <x v="6"/>
    <s v="4211.002"/>
    <s v="Intérêts de retard sur acomptes"/>
    <n v="0"/>
    <n v="147.35"/>
    <n v="4211"/>
  </r>
  <r>
    <x v="1"/>
    <x v="0"/>
    <x v="0"/>
    <x v="9"/>
    <x v="9"/>
    <x v="9"/>
    <s v="REVENUS"/>
    <x v="17"/>
    <s v="4011.001"/>
    <s v="Impôt bénéfice ordinaire"/>
    <n v="0"/>
    <n v="34251.699999999997"/>
    <n v="4011"/>
  </r>
  <r>
    <x v="1"/>
    <x v="0"/>
    <x v="0"/>
    <x v="9"/>
    <x v="9"/>
    <x v="9"/>
    <s v="REVENUS"/>
    <x v="17"/>
    <s v="4011.007"/>
    <s v="Acompte sur bénéfice"/>
    <n v="0"/>
    <n v="-21261.95"/>
    <n v="4011"/>
  </r>
  <r>
    <x v="1"/>
    <x v="0"/>
    <x v="0"/>
    <x v="9"/>
    <x v="9"/>
    <x v="9"/>
    <s v="REVENUS"/>
    <x v="6"/>
    <s v="4211.001"/>
    <s v="Intérêts de retard sur factures"/>
    <n v="0"/>
    <n v="388.77"/>
    <n v="4211"/>
  </r>
  <r>
    <x v="1"/>
    <x v="0"/>
    <x v="0"/>
    <x v="9"/>
    <x v="9"/>
    <x v="9"/>
    <s v="REVENUS"/>
    <x v="6"/>
    <s v="4221.001"/>
    <s v="Intérêts compensat. / créances en faveur du fisc"/>
    <n v="0"/>
    <n v="6.28"/>
    <n v="4221"/>
  </r>
  <r>
    <x v="1"/>
    <x v="0"/>
    <x v="0"/>
    <x v="9"/>
    <x v="9"/>
    <x v="9"/>
    <s v="REVENUS"/>
    <x v="17"/>
    <s v="4011.002"/>
    <s v="Complément impôt bénéfice ordinaire"/>
    <n v="0"/>
    <n v="7445.65"/>
    <n v="4011"/>
  </r>
  <r>
    <x v="1"/>
    <x v="0"/>
    <x v="0"/>
    <x v="9"/>
    <x v="9"/>
    <x v="9"/>
    <s v="REVENUS"/>
    <x v="18"/>
    <s v="4013.003"/>
    <s v="Remboursement impôt complémentaire sur immeubles"/>
    <n v="0"/>
    <n v="-233.85"/>
    <n v="4013"/>
  </r>
  <r>
    <x v="1"/>
    <x v="0"/>
    <x v="0"/>
    <x v="9"/>
    <x v="9"/>
    <x v="9"/>
    <s v="REVENUS"/>
    <x v="18"/>
    <s v="4013.001"/>
    <s v="Impôt complémentaire sur immeubles"/>
    <n v="0"/>
    <n v="10734"/>
    <n v="4013"/>
  </r>
  <r>
    <x v="1"/>
    <x v="0"/>
    <x v="0"/>
    <x v="9"/>
    <x v="9"/>
    <x v="9"/>
    <s v="REVENUS"/>
    <x v="18"/>
    <s v="4013.002"/>
    <s v="Complément impôt complémentaire sur immeubles"/>
    <n v="0"/>
    <n v="595"/>
    <n v="4013"/>
  </r>
  <r>
    <x v="1"/>
    <x v="0"/>
    <x v="0"/>
    <x v="9"/>
    <x v="9"/>
    <x v="9"/>
    <s v="REVENUS"/>
    <x v="10"/>
    <s v="4041.001"/>
    <s v="Droits de mutation"/>
    <n v="0"/>
    <n v="8246.2999999999993"/>
    <n v="4041"/>
  </r>
  <r>
    <x v="1"/>
    <x v="0"/>
    <x v="0"/>
    <x v="9"/>
    <x v="9"/>
    <x v="9"/>
    <s v="REVENUS"/>
    <x v="7"/>
    <s v="4184.000"/>
    <s v="Frais de poursuite"/>
    <n v="0"/>
    <n v="68.319999999999993"/>
    <n v="4184"/>
  </r>
  <r>
    <x v="1"/>
    <x v="0"/>
    <x v="0"/>
    <x v="9"/>
    <x v="9"/>
    <x v="9"/>
    <s v="REVENUS"/>
    <x v="16"/>
    <s v="4012.002"/>
    <s v="Complément impôt capital ordinaire"/>
    <n v="0"/>
    <n v="29.2"/>
    <n v="4012"/>
  </r>
  <r>
    <x v="1"/>
    <x v="0"/>
    <x v="0"/>
    <x v="10"/>
    <x v="10"/>
    <x v="10"/>
    <s v="CHARGES"/>
    <x v="0"/>
    <s v="3212.004"/>
    <s v="Intérêts rémun./perçu trop tôt sur acomptes C/C"/>
    <n v="203.22"/>
    <n v="0"/>
    <n v="3212"/>
  </r>
  <r>
    <x v="1"/>
    <x v="0"/>
    <x v="0"/>
    <x v="10"/>
    <x v="10"/>
    <x v="10"/>
    <s v="CHARGES"/>
    <x v="1"/>
    <s v="3301.006"/>
    <s v="Abandon de solde PM"/>
    <n v="91.57"/>
    <n v="0"/>
    <n v="3301"/>
  </r>
  <r>
    <x v="1"/>
    <x v="0"/>
    <x v="0"/>
    <x v="10"/>
    <x v="10"/>
    <x v="10"/>
    <s v="CHARGES"/>
    <x v="1"/>
    <s v="3301.002"/>
    <s v="Défalcation PM"/>
    <n v="8639.77"/>
    <n v="0"/>
    <n v="3301"/>
  </r>
  <r>
    <x v="1"/>
    <x v="0"/>
    <x v="0"/>
    <x v="10"/>
    <x v="10"/>
    <x v="10"/>
    <s v="CHARGES"/>
    <x v="0"/>
    <s v="3212.002"/>
    <s v="Intérêts bonifiés/trop perçu acompte C/C"/>
    <n v="4.1900000000000004"/>
    <n v="0"/>
    <n v="3212"/>
  </r>
  <r>
    <x v="1"/>
    <x v="0"/>
    <x v="0"/>
    <x v="10"/>
    <x v="10"/>
    <x v="10"/>
    <s v="CHARGES"/>
    <x v="0"/>
    <s v="3221.002"/>
    <s v="Intérêts compensatoires / créances en faveur ctb."/>
    <n v="132.03"/>
    <n v="0"/>
    <n v="3221"/>
  </r>
  <r>
    <x v="1"/>
    <x v="0"/>
    <x v="0"/>
    <x v="10"/>
    <x v="10"/>
    <x v="10"/>
    <s v="CHARGES"/>
    <x v="1"/>
    <s v="3301.004"/>
    <s v="Remise PM"/>
    <n v="3245"/>
    <n v="0"/>
    <n v="3301"/>
  </r>
  <r>
    <x v="1"/>
    <x v="0"/>
    <x v="0"/>
    <x v="10"/>
    <x v="10"/>
    <x v="10"/>
    <s v="REVENUS"/>
    <x v="17"/>
    <s v="4011.001"/>
    <s v="Impôt bénéfice ordinaire"/>
    <n v="0"/>
    <n v="164317.20000000001"/>
    <n v="4011"/>
  </r>
  <r>
    <x v="1"/>
    <x v="0"/>
    <x v="0"/>
    <x v="10"/>
    <x v="10"/>
    <x v="10"/>
    <s v="REVENUS"/>
    <x v="17"/>
    <s v="4011.007"/>
    <s v="Acompte sur bénéfice"/>
    <n v="0"/>
    <n v="-82104.100000000006"/>
    <n v="4011"/>
  </r>
  <r>
    <x v="1"/>
    <x v="0"/>
    <x v="0"/>
    <x v="10"/>
    <x v="10"/>
    <x v="10"/>
    <s v="REVENUS"/>
    <x v="16"/>
    <s v="4012.001"/>
    <s v="Impôt capital ordinaire"/>
    <n v="0"/>
    <n v="4886.8500000000004"/>
    <n v="4012"/>
  </r>
  <r>
    <x v="1"/>
    <x v="0"/>
    <x v="0"/>
    <x v="10"/>
    <x v="10"/>
    <x v="10"/>
    <s v="REVENUS"/>
    <x v="16"/>
    <s v="4012.007"/>
    <s v="Acompte sur capital"/>
    <n v="0"/>
    <n v="2580.5"/>
    <n v="4012"/>
  </r>
  <r>
    <x v="1"/>
    <x v="0"/>
    <x v="0"/>
    <x v="10"/>
    <x v="10"/>
    <x v="10"/>
    <s v="REVENUS"/>
    <x v="6"/>
    <s v="4211.002"/>
    <s v="Intérêts de retard sur acomptes"/>
    <n v="0"/>
    <n v="267.33999999999997"/>
    <n v="4211"/>
  </r>
  <r>
    <x v="1"/>
    <x v="0"/>
    <x v="0"/>
    <x v="10"/>
    <x v="10"/>
    <x v="10"/>
    <s v="REVENUS"/>
    <x v="6"/>
    <s v="4211.001"/>
    <s v="Intérêts de retard sur factures"/>
    <n v="0"/>
    <n v="1056.47"/>
    <n v="4211"/>
  </r>
  <r>
    <x v="1"/>
    <x v="0"/>
    <x v="0"/>
    <x v="10"/>
    <x v="10"/>
    <x v="10"/>
    <s v="REVENUS"/>
    <x v="6"/>
    <s v="4221.001"/>
    <s v="Intérêts compensat. / créances en faveur du fisc"/>
    <n v="0"/>
    <n v="66.430000000000007"/>
    <n v="4221"/>
  </r>
  <r>
    <x v="1"/>
    <x v="0"/>
    <x v="0"/>
    <x v="10"/>
    <x v="10"/>
    <x v="10"/>
    <s v="REVENUS"/>
    <x v="8"/>
    <s v="4091.001"/>
    <s v="Impôt récupéré après défalcations"/>
    <n v="0"/>
    <n v="78.98"/>
    <n v="4091"/>
  </r>
  <r>
    <x v="1"/>
    <x v="0"/>
    <x v="0"/>
    <x v="10"/>
    <x v="10"/>
    <x v="10"/>
    <s v="REVENUS"/>
    <x v="16"/>
    <s v="4012.002"/>
    <s v="Complément impôt capital ordinaire"/>
    <n v="0"/>
    <n v="1539.85"/>
    <n v="4012"/>
  </r>
  <r>
    <x v="1"/>
    <x v="0"/>
    <x v="0"/>
    <x v="10"/>
    <x v="10"/>
    <x v="10"/>
    <s v="REVENUS"/>
    <x v="17"/>
    <s v="4011.002"/>
    <s v="Complément impôt bénéfice ordinaire"/>
    <n v="0"/>
    <n v="9076.7999999999993"/>
    <n v="4011"/>
  </r>
  <r>
    <x v="1"/>
    <x v="0"/>
    <x v="0"/>
    <x v="10"/>
    <x v="10"/>
    <x v="10"/>
    <s v="REVENUS"/>
    <x v="18"/>
    <s v="4013.003"/>
    <s v="Remboursement impôt complémentaire sur immeubles"/>
    <n v="0"/>
    <n v="-14359.25"/>
    <n v="4013"/>
  </r>
  <r>
    <x v="1"/>
    <x v="0"/>
    <x v="0"/>
    <x v="10"/>
    <x v="10"/>
    <x v="10"/>
    <s v="REVENUS"/>
    <x v="8"/>
    <s v="4091.003"/>
    <s v="Impôt récupéré concordat"/>
    <n v="0"/>
    <n v="8454.91"/>
    <n v="4091"/>
  </r>
  <r>
    <x v="1"/>
    <x v="0"/>
    <x v="0"/>
    <x v="10"/>
    <x v="10"/>
    <x v="10"/>
    <s v="REVENUS"/>
    <x v="18"/>
    <s v="4013.001"/>
    <s v="Impôt complémentaire sur immeubles"/>
    <n v="0"/>
    <n v="36884.300000000003"/>
    <n v="4013"/>
  </r>
  <r>
    <x v="1"/>
    <x v="0"/>
    <x v="0"/>
    <x v="10"/>
    <x v="10"/>
    <x v="10"/>
    <s v="REVENUS"/>
    <x v="7"/>
    <s v="4184.000"/>
    <s v="Frais de poursuite"/>
    <n v="0"/>
    <n v="874.14"/>
    <n v="4184"/>
  </r>
  <r>
    <x v="1"/>
    <x v="0"/>
    <x v="0"/>
    <x v="10"/>
    <x v="10"/>
    <x v="10"/>
    <s v="REVENUS"/>
    <x v="10"/>
    <s v="4041.001"/>
    <s v="Droits de mutation"/>
    <n v="0"/>
    <n v="38610"/>
    <n v="4041"/>
  </r>
  <r>
    <x v="1"/>
    <x v="0"/>
    <x v="0"/>
    <x v="10"/>
    <x v="10"/>
    <x v="10"/>
    <s v="REVENUS"/>
    <x v="18"/>
    <s v="4013.002"/>
    <s v="Complément impôt complémentaire sur immeubles"/>
    <n v="0"/>
    <n v="37.1"/>
    <n v="4013"/>
  </r>
  <r>
    <x v="1"/>
    <x v="0"/>
    <x v="0"/>
    <x v="11"/>
    <x v="11"/>
    <x v="11"/>
    <s v="CHARGES"/>
    <x v="0"/>
    <s v="3212.004"/>
    <s v="Intérêts rémun./perçu trop tôt sur acomptes C/C"/>
    <n v="102.42"/>
    <n v="0"/>
    <n v="3212"/>
  </r>
  <r>
    <x v="1"/>
    <x v="0"/>
    <x v="0"/>
    <x v="11"/>
    <x v="11"/>
    <x v="11"/>
    <s v="CHARGES"/>
    <x v="0"/>
    <s v="3221.002"/>
    <s v="Intérêts compensatoires / créances en faveur ctb."/>
    <n v="24.99"/>
    <n v="0"/>
    <n v="3221"/>
  </r>
  <r>
    <x v="1"/>
    <x v="0"/>
    <x v="0"/>
    <x v="11"/>
    <x v="11"/>
    <x v="11"/>
    <s v="CHARGES"/>
    <x v="1"/>
    <s v="3301.006"/>
    <s v="Abandon de solde PM"/>
    <n v="25.8"/>
    <n v="0"/>
    <n v="3301"/>
  </r>
  <r>
    <x v="1"/>
    <x v="0"/>
    <x v="0"/>
    <x v="11"/>
    <x v="11"/>
    <x v="11"/>
    <s v="CHARGES"/>
    <x v="1"/>
    <s v="3301.002"/>
    <s v="Défalcation PM"/>
    <n v="2047.61"/>
    <n v="0"/>
    <n v="3301"/>
  </r>
  <r>
    <x v="1"/>
    <x v="0"/>
    <x v="0"/>
    <x v="11"/>
    <x v="11"/>
    <x v="11"/>
    <s v="CHARGES"/>
    <x v="0"/>
    <s v="3212.002"/>
    <s v="Intérêts bonifiés/trop perçu acompte C/C"/>
    <n v="0.03"/>
    <n v="0"/>
    <n v="3212"/>
  </r>
  <r>
    <x v="1"/>
    <x v="0"/>
    <x v="0"/>
    <x v="11"/>
    <x v="11"/>
    <x v="11"/>
    <s v="REVENUS"/>
    <x v="17"/>
    <s v="4011.001"/>
    <s v="Impôt bénéfice ordinaire"/>
    <n v="0"/>
    <n v="191637.8"/>
    <n v="4011"/>
  </r>
  <r>
    <x v="1"/>
    <x v="0"/>
    <x v="0"/>
    <x v="11"/>
    <x v="11"/>
    <x v="11"/>
    <s v="REVENUS"/>
    <x v="17"/>
    <s v="4011.007"/>
    <s v="Acompte sur bénéfice"/>
    <n v="0"/>
    <n v="-157837.70000000001"/>
    <n v="4011"/>
  </r>
  <r>
    <x v="1"/>
    <x v="0"/>
    <x v="0"/>
    <x v="11"/>
    <x v="11"/>
    <x v="11"/>
    <s v="REVENUS"/>
    <x v="16"/>
    <s v="4012.001"/>
    <s v="Impôt capital ordinaire"/>
    <n v="0"/>
    <n v="9003.25"/>
    <n v="4012"/>
  </r>
  <r>
    <x v="1"/>
    <x v="0"/>
    <x v="0"/>
    <x v="11"/>
    <x v="11"/>
    <x v="11"/>
    <s v="REVENUS"/>
    <x v="17"/>
    <s v="4011.002"/>
    <s v="Complément impôt bénéfice ordinaire"/>
    <n v="0"/>
    <n v="22197.7"/>
    <n v="4011"/>
  </r>
  <r>
    <x v="1"/>
    <x v="0"/>
    <x v="0"/>
    <x v="11"/>
    <x v="11"/>
    <x v="11"/>
    <s v="REVENUS"/>
    <x v="6"/>
    <s v="4211.001"/>
    <s v="Intérêts de retard sur factures"/>
    <n v="0"/>
    <n v="124.2"/>
    <n v="4211"/>
  </r>
  <r>
    <x v="1"/>
    <x v="0"/>
    <x v="0"/>
    <x v="11"/>
    <x v="11"/>
    <x v="11"/>
    <s v="REVENUS"/>
    <x v="6"/>
    <s v="4221.001"/>
    <s v="Intérêts compensat. / créances en faveur du fisc"/>
    <n v="0"/>
    <n v="27.94"/>
    <n v="4221"/>
  </r>
  <r>
    <x v="1"/>
    <x v="0"/>
    <x v="0"/>
    <x v="11"/>
    <x v="11"/>
    <x v="11"/>
    <s v="REVENUS"/>
    <x v="18"/>
    <s v="4013.003"/>
    <s v="Remboursement impôt complémentaire sur immeubles"/>
    <n v="0"/>
    <n v="-502"/>
    <n v="4013"/>
  </r>
  <r>
    <x v="1"/>
    <x v="0"/>
    <x v="0"/>
    <x v="11"/>
    <x v="11"/>
    <x v="11"/>
    <s v="REVENUS"/>
    <x v="6"/>
    <s v="4211.002"/>
    <s v="Intérêts de retard sur acomptes"/>
    <n v="0"/>
    <n v="423.39"/>
    <n v="4211"/>
  </r>
  <r>
    <x v="1"/>
    <x v="0"/>
    <x v="0"/>
    <x v="11"/>
    <x v="11"/>
    <x v="11"/>
    <s v="REVENUS"/>
    <x v="7"/>
    <s v="4184.000"/>
    <s v="Frais de poursuite"/>
    <n v="0"/>
    <n v="120.61"/>
    <n v="4184"/>
  </r>
  <r>
    <x v="1"/>
    <x v="0"/>
    <x v="0"/>
    <x v="11"/>
    <x v="11"/>
    <x v="11"/>
    <s v="REVENUS"/>
    <x v="16"/>
    <s v="4012.007"/>
    <s v="Acompte sur capital"/>
    <n v="0"/>
    <n v="3130.3"/>
    <n v="4012"/>
  </r>
  <r>
    <x v="1"/>
    <x v="0"/>
    <x v="0"/>
    <x v="11"/>
    <x v="11"/>
    <x v="11"/>
    <s v="REVENUS"/>
    <x v="10"/>
    <s v="4041.001"/>
    <s v="Droits de mutation"/>
    <n v="0"/>
    <n v="358600"/>
    <n v="4041"/>
  </r>
  <r>
    <x v="1"/>
    <x v="0"/>
    <x v="0"/>
    <x v="11"/>
    <x v="11"/>
    <x v="11"/>
    <s v="REVENUS"/>
    <x v="18"/>
    <s v="4013.001"/>
    <s v="Impôt complémentaire sur immeubles"/>
    <n v="0"/>
    <n v="36889.75"/>
    <n v="4013"/>
  </r>
  <r>
    <x v="1"/>
    <x v="0"/>
    <x v="0"/>
    <x v="11"/>
    <x v="11"/>
    <x v="11"/>
    <s v="REVENUS"/>
    <x v="18"/>
    <s v="4013.002"/>
    <s v="Complément impôt complémentaire sur immeubles"/>
    <n v="0"/>
    <n v="1543.5"/>
    <n v="4013"/>
  </r>
  <r>
    <x v="1"/>
    <x v="0"/>
    <x v="0"/>
    <x v="12"/>
    <x v="12"/>
    <x v="12"/>
    <s v="CHARGES"/>
    <x v="0"/>
    <s v="3212.004"/>
    <s v="Intérêts rémun./perçu trop tôt sur acomptes C/C"/>
    <n v="246.14"/>
    <n v="0"/>
    <n v="3212"/>
  </r>
  <r>
    <x v="1"/>
    <x v="0"/>
    <x v="0"/>
    <x v="12"/>
    <x v="12"/>
    <x v="12"/>
    <s v="CHARGES"/>
    <x v="0"/>
    <s v="3221.002"/>
    <s v="Intérêts compensatoires / créances en faveur ctb."/>
    <n v="778.02"/>
    <n v="0"/>
    <n v="3221"/>
  </r>
  <r>
    <x v="1"/>
    <x v="0"/>
    <x v="0"/>
    <x v="12"/>
    <x v="12"/>
    <x v="12"/>
    <s v="CHARGES"/>
    <x v="0"/>
    <s v="3212.002"/>
    <s v="Intérêts bonifiés/trop perçu acompte C/C"/>
    <n v="71.239999999999995"/>
    <n v="0"/>
    <n v="3212"/>
  </r>
  <r>
    <x v="1"/>
    <x v="0"/>
    <x v="0"/>
    <x v="12"/>
    <x v="12"/>
    <x v="12"/>
    <s v="CHARGES"/>
    <x v="1"/>
    <s v="3301.002"/>
    <s v="Défalcation PM"/>
    <n v="229.67"/>
    <n v="0"/>
    <n v="3301"/>
  </r>
  <r>
    <x v="1"/>
    <x v="0"/>
    <x v="0"/>
    <x v="12"/>
    <x v="12"/>
    <x v="12"/>
    <s v="CHARGES"/>
    <x v="1"/>
    <s v="3301.006"/>
    <s v="Abandon de solde PM"/>
    <n v="69.28"/>
    <n v="0"/>
    <n v="3301"/>
  </r>
  <r>
    <x v="1"/>
    <x v="0"/>
    <x v="0"/>
    <x v="12"/>
    <x v="12"/>
    <x v="12"/>
    <s v="CHARGES"/>
    <x v="0"/>
    <s v="3221.004"/>
    <s v="Intérêts compensatoires / acomptes en faveur du ct"/>
    <n v="-1.65"/>
    <n v="0"/>
    <n v="3221"/>
  </r>
  <r>
    <x v="1"/>
    <x v="0"/>
    <x v="0"/>
    <x v="12"/>
    <x v="12"/>
    <x v="12"/>
    <s v="REVENUS"/>
    <x v="17"/>
    <s v="4011.001"/>
    <s v="Impôt bénéfice ordinaire"/>
    <n v="0"/>
    <n v="617870.69999999995"/>
    <n v="4011"/>
  </r>
  <r>
    <x v="1"/>
    <x v="0"/>
    <x v="0"/>
    <x v="12"/>
    <x v="12"/>
    <x v="12"/>
    <s v="REVENUS"/>
    <x v="17"/>
    <s v="4011.007"/>
    <s v="Acompte sur bénéfice"/>
    <n v="0"/>
    <n v="-478565.45"/>
    <n v="4011"/>
  </r>
  <r>
    <x v="1"/>
    <x v="0"/>
    <x v="0"/>
    <x v="12"/>
    <x v="12"/>
    <x v="12"/>
    <s v="REVENUS"/>
    <x v="18"/>
    <s v="4013.001"/>
    <s v="Impôt complémentaire sur immeubles"/>
    <n v="0"/>
    <n v="34043.300000000003"/>
    <n v="4013"/>
  </r>
  <r>
    <x v="1"/>
    <x v="0"/>
    <x v="0"/>
    <x v="12"/>
    <x v="12"/>
    <x v="12"/>
    <s v="REVENUS"/>
    <x v="11"/>
    <s v="4198.001"/>
    <s v="Impôt foncier"/>
    <n v="0"/>
    <n v="106796.15"/>
    <n v="4198"/>
  </r>
  <r>
    <x v="1"/>
    <x v="0"/>
    <x v="0"/>
    <x v="12"/>
    <x v="12"/>
    <x v="12"/>
    <s v="REVENUS"/>
    <x v="17"/>
    <s v="4011.002"/>
    <s v="Complément impôt bénéfice ordinaire"/>
    <n v="0"/>
    <n v="25440.85"/>
    <n v="4011"/>
  </r>
  <r>
    <x v="1"/>
    <x v="0"/>
    <x v="0"/>
    <x v="12"/>
    <x v="12"/>
    <x v="12"/>
    <s v="REVENUS"/>
    <x v="6"/>
    <s v="4211.001"/>
    <s v="Intérêts de retard sur factures"/>
    <n v="0"/>
    <n v="6334.4"/>
    <n v="4211"/>
  </r>
  <r>
    <x v="1"/>
    <x v="0"/>
    <x v="0"/>
    <x v="12"/>
    <x v="12"/>
    <x v="12"/>
    <s v="REVENUS"/>
    <x v="6"/>
    <s v="4221.001"/>
    <s v="Intérêts compensat. / créances en faveur du fisc"/>
    <n v="0"/>
    <n v="1146.6199999999999"/>
    <n v="4221"/>
  </r>
  <r>
    <x v="1"/>
    <x v="0"/>
    <x v="0"/>
    <x v="12"/>
    <x v="12"/>
    <x v="12"/>
    <s v="REVENUS"/>
    <x v="16"/>
    <s v="4012.001"/>
    <s v="Impôt capital ordinaire"/>
    <n v="0"/>
    <n v="3159.95"/>
    <n v="4012"/>
  </r>
  <r>
    <x v="1"/>
    <x v="0"/>
    <x v="0"/>
    <x v="12"/>
    <x v="12"/>
    <x v="12"/>
    <s v="REVENUS"/>
    <x v="18"/>
    <s v="4013.003"/>
    <s v="Remboursement impôt complémentaire sur immeubles"/>
    <n v="0"/>
    <n v="-120"/>
    <n v="4013"/>
  </r>
  <r>
    <x v="1"/>
    <x v="0"/>
    <x v="0"/>
    <x v="12"/>
    <x v="12"/>
    <x v="12"/>
    <s v="REVENUS"/>
    <x v="8"/>
    <s v="4091.001"/>
    <s v="Impôt récupéré après défalcations"/>
    <n v="0"/>
    <n v="10.9"/>
    <n v="4091"/>
  </r>
  <r>
    <x v="1"/>
    <x v="0"/>
    <x v="0"/>
    <x v="12"/>
    <x v="12"/>
    <x v="12"/>
    <s v="REVENUS"/>
    <x v="16"/>
    <s v="4012.007"/>
    <s v="Acompte sur capital"/>
    <n v="0"/>
    <n v="4355.8500000000004"/>
    <n v="4012"/>
  </r>
  <r>
    <x v="1"/>
    <x v="0"/>
    <x v="0"/>
    <x v="12"/>
    <x v="12"/>
    <x v="12"/>
    <s v="REVENUS"/>
    <x v="6"/>
    <s v="4211.002"/>
    <s v="Intérêts de retard sur acomptes"/>
    <n v="0"/>
    <n v="2808.55"/>
    <n v="4211"/>
  </r>
  <r>
    <x v="1"/>
    <x v="0"/>
    <x v="0"/>
    <x v="12"/>
    <x v="12"/>
    <x v="12"/>
    <s v="REVENUS"/>
    <x v="18"/>
    <s v="4013.002"/>
    <s v="Complément impôt complémentaire sur immeubles"/>
    <n v="0"/>
    <n v="64"/>
    <n v="4013"/>
  </r>
  <r>
    <x v="1"/>
    <x v="0"/>
    <x v="0"/>
    <x v="12"/>
    <x v="12"/>
    <x v="12"/>
    <s v="REVENUS"/>
    <x v="7"/>
    <s v="4184.000"/>
    <s v="Frais de poursuite"/>
    <n v="0"/>
    <n v="155.91"/>
    <n v="4184"/>
  </r>
  <r>
    <x v="1"/>
    <x v="0"/>
    <x v="0"/>
    <x v="12"/>
    <x v="12"/>
    <x v="12"/>
    <s v="REVENUS"/>
    <x v="9"/>
    <s v="4031.001"/>
    <s v="Impôt sur les gains immobiliers"/>
    <n v="0"/>
    <n v="234295.95"/>
    <n v="4031"/>
  </r>
  <r>
    <x v="1"/>
    <x v="0"/>
    <x v="0"/>
    <x v="12"/>
    <x v="12"/>
    <x v="12"/>
    <s v="REVENUS"/>
    <x v="6"/>
    <s v="4221.002"/>
    <s v="Intérêts compensat. sur impôts distincts"/>
    <n v="0"/>
    <n v="221.21"/>
    <n v="4221"/>
  </r>
  <r>
    <x v="1"/>
    <x v="0"/>
    <x v="0"/>
    <x v="12"/>
    <x v="12"/>
    <x v="12"/>
    <s v="REVENUS"/>
    <x v="16"/>
    <s v="4012.002"/>
    <s v="Complément impôt capital ordinaire"/>
    <n v="0"/>
    <n v="1620.5"/>
    <n v="4012"/>
  </r>
  <r>
    <x v="1"/>
    <x v="0"/>
    <x v="0"/>
    <x v="12"/>
    <x v="12"/>
    <x v="12"/>
    <s v="REVENUS"/>
    <x v="13"/>
    <s v="4371.012"/>
    <s v="Amende soustraction IBC"/>
    <n v="0"/>
    <n v="-16550"/>
    <n v="4371"/>
  </r>
  <r>
    <x v="1"/>
    <x v="0"/>
    <x v="0"/>
    <x v="12"/>
    <x v="12"/>
    <x v="12"/>
    <s v="REVENUS"/>
    <x v="10"/>
    <s v="4041.001"/>
    <s v="Droits de mutation"/>
    <n v="0"/>
    <n v="6504.85"/>
    <n v="4041"/>
  </r>
  <r>
    <x v="1"/>
    <x v="0"/>
    <x v="0"/>
    <x v="13"/>
    <x v="13"/>
    <x v="13"/>
    <s v="CHARGES"/>
    <x v="0"/>
    <s v="3212.004"/>
    <s v="Intérêts rémun./perçu trop tôt sur acomptes C/C"/>
    <n v="513.73"/>
    <n v="0"/>
    <n v="3212"/>
  </r>
  <r>
    <x v="1"/>
    <x v="0"/>
    <x v="0"/>
    <x v="13"/>
    <x v="13"/>
    <x v="13"/>
    <s v="CHARGES"/>
    <x v="0"/>
    <s v="3221.002"/>
    <s v="Intérêts compensatoires / créances en faveur ctb."/>
    <n v="60.32"/>
    <n v="0"/>
    <n v="3221"/>
  </r>
  <r>
    <x v="1"/>
    <x v="0"/>
    <x v="0"/>
    <x v="13"/>
    <x v="13"/>
    <x v="13"/>
    <s v="CHARGES"/>
    <x v="1"/>
    <s v="3301.006"/>
    <s v="Abandon de solde PM"/>
    <n v="172.26"/>
    <n v="0"/>
    <n v="3301"/>
  </r>
  <r>
    <x v="1"/>
    <x v="0"/>
    <x v="0"/>
    <x v="13"/>
    <x v="13"/>
    <x v="13"/>
    <s v="CHARGES"/>
    <x v="0"/>
    <s v="3212.002"/>
    <s v="Intérêts bonifiés/trop perçu acompte C/C"/>
    <n v="172.78"/>
    <n v="0"/>
    <n v="3212"/>
  </r>
  <r>
    <x v="1"/>
    <x v="0"/>
    <x v="0"/>
    <x v="13"/>
    <x v="13"/>
    <x v="13"/>
    <s v="CHARGES"/>
    <x v="1"/>
    <s v="3301.002"/>
    <s v="Défalcation PM"/>
    <n v="889.6"/>
    <n v="0"/>
    <n v="3301"/>
  </r>
  <r>
    <x v="1"/>
    <x v="0"/>
    <x v="0"/>
    <x v="13"/>
    <x v="13"/>
    <x v="13"/>
    <s v="REVENUS"/>
    <x v="16"/>
    <s v="4012.001"/>
    <s v="Impôt capital ordinaire"/>
    <n v="0"/>
    <n v="51905.3"/>
    <n v="4012"/>
  </r>
  <r>
    <x v="1"/>
    <x v="0"/>
    <x v="0"/>
    <x v="13"/>
    <x v="13"/>
    <x v="13"/>
    <s v="REVENUS"/>
    <x v="16"/>
    <s v="4012.007"/>
    <s v="Acompte sur capital"/>
    <n v="0"/>
    <n v="37416.75"/>
    <n v="4012"/>
  </r>
  <r>
    <x v="1"/>
    <x v="0"/>
    <x v="0"/>
    <x v="13"/>
    <x v="13"/>
    <x v="13"/>
    <s v="REVENUS"/>
    <x v="6"/>
    <s v="4211.002"/>
    <s v="Intérêts de retard sur acomptes"/>
    <n v="0"/>
    <n v="2837.09"/>
    <n v="4211"/>
  </r>
  <r>
    <x v="1"/>
    <x v="0"/>
    <x v="0"/>
    <x v="13"/>
    <x v="13"/>
    <x v="13"/>
    <s v="REVENUS"/>
    <x v="17"/>
    <s v="4011.007"/>
    <s v="Acompte sur bénéfice"/>
    <n v="0"/>
    <n v="-432700.05"/>
    <n v="4011"/>
  </r>
  <r>
    <x v="1"/>
    <x v="0"/>
    <x v="0"/>
    <x v="13"/>
    <x v="13"/>
    <x v="13"/>
    <s v="REVENUS"/>
    <x v="17"/>
    <s v="4011.001"/>
    <s v="Impôt bénéfice ordinaire"/>
    <n v="0"/>
    <n v="760080.95"/>
    <n v="4011"/>
  </r>
  <r>
    <x v="1"/>
    <x v="0"/>
    <x v="0"/>
    <x v="13"/>
    <x v="13"/>
    <x v="13"/>
    <s v="REVENUS"/>
    <x v="18"/>
    <s v="4013.001"/>
    <s v="Impôt complémentaire sur immeubles"/>
    <n v="0"/>
    <n v="201584.95"/>
    <n v="4013"/>
  </r>
  <r>
    <x v="1"/>
    <x v="0"/>
    <x v="0"/>
    <x v="13"/>
    <x v="13"/>
    <x v="13"/>
    <s v="REVENUS"/>
    <x v="11"/>
    <s v="4198.001"/>
    <s v="Impôt foncier"/>
    <n v="0"/>
    <n v="523082.05"/>
    <n v="4198"/>
  </r>
  <r>
    <x v="1"/>
    <x v="0"/>
    <x v="0"/>
    <x v="13"/>
    <x v="13"/>
    <x v="13"/>
    <s v="REVENUS"/>
    <x v="17"/>
    <s v="4011.002"/>
    <s v="Complément impôt bénéfice ordinaire"/>
    <n v="0"/>
    <n v="12394.25"/>
    <n v="4011"/>
  </r>
  <r>
    <x v="1"/>
    <x v="0"/>
    <x v="0"/>
    <x v="13"/>
    <x v="13"/>
    <x v="13"/>
    <s v="REVENUS"/>
    <x v="6"/>
    <s v="4211.001"/>
    <s v="Intérêts de retard sur factures"/>
    <n v="0"/>
    <n v="1212.78"/>
    <n v="4211"/>
  </r>
  <r>
    <x v="1"/>
    <x v="0"/>
    <x v="0"/>
    <x v="13"/>
    <x v="13"/>
    <x v="13"/>
    <s v="REVENUS"/>
    <x v="6"/>
    <s v="4221.001"/>
    <s v="Intérêts compensat. / créances en faveur du fisc"/>
    <n v="0"/>
    <n v="407.35"/>
    <n v="4221"/>
  </r>
  <r>
    <x v="1"/>
    <x v="0"/>
    <x v="0"/>
    <x v="13"/>
    <x v="13"/>
    <x v="13"/>
    <s v="REVENUS"/>
    <x v="7"/>
    <s v="4184.000"/>
    <s v="Frais de poursuite"/>
    <n v="0"/>
    <n v="883.52"/>
    <n v="4184"/>
  </r>
  <r>
    <x v="1"/>
    <x v="0"/>
    <x v="0"/>
    <x v="13"/>
    <x v="13"/>
    <x v="13"/>
    <s v="REVENUS"/>
    <x v="10"/>
    <s v="4041.001"/>
    <s v="Droits de mutation"/>
    <n v="0"/>
    <n v="105081.95"/>
    <n v="4041"/>
  </r>
  <r>
    <x v="1"/>
    <x v="0"/>
    <x v="0"/>
    <x v="13"/>
    <x v="13"/>
    <x v="13"/>
    <s v="REVENUS"/>
    <x v="18"/>
    <s v="4013.002"/>
    <s v="Complément impôt complémentaire sur immeubles"/>
    <n v="0"/>
    <n v="247"/>
    <n v="4013"/>
  </r>
  <r>
    <x v="1"/>
    <x v="0"/>
    <x v="0"/>
    <x v="13"/>
    <x v="13"/>
    <x v="13"/>
    <s v="REVENUS"/>
    <x v="16"/>
    <s v="4012.002"/>
    <s v="Complément impôt capital ordinaire"/>
    <n v="0"/>
    <n v="63399.55"/>
    <n v="4012"/>
  </r>
  <r>
    <x v="1"/>
    <x v="0"/>
    <x v="0"/>
    <x v="13"/>
    <x v="13"/>
    <x v="13"/>
    <s v="REVENUS"/>
    <x v="18"/>
    <s v="4013.003"/>
    <s v="Remboursement impôt complémentaire sur immeubles"/>
    <n v="0"/>
    <n v="-31566.35"/>
    <n v="4013"/>
  </r>
  <r>
    <x v="1"/>
    <x v="0"/>
    <x v="0"/>
    <x v="13"/>
    <x v="13"/>
    <x v="13"/>
    <s v="REVENUS"/>
    <x v="10"/>
    <s v="4041.002"/>
    <s v="Complément droit de mutation"/>
    <n v="0"/>
    <n v="2343"/>
    <n v="4041"/>
  </r>
  <r>
    <x v="1"/>
    <x v="0"/>
    <x v="0"/>
    <x v="14"/>
    <x v="14"/>
    <x v="14"/>
    <s v="CHARGES"/>
    <x v="0"/>
    <s v="3212.004"/>
    <s v="Intérêts rémun./perçu trop tôt sur acomptes C/C"/>
    <n v="-39.22"/>
    <n v="0"/>
    <n v="3212"/>
  </r>
  <r>
    <x v="1"/>
    <x v="0"/>
    <x v="0"/>
    <x v="14"/>
    <x v="14"/>
    <x v="14"/>
    <s v="CHARGES"/>
    <x v="0"/>
    <s v="3221.002"/>
    <s v="Intérêts compensatoires / créances en faveur ctb."/>
    <n v="35.32"/>
    <n v="0"/>
    <n v="3221"/>
  </r>
  <r>
    <x v="1"/>
    <x v="0"/>
    <x v="0"/>
    <x v="14"/>
    <x v="14"/>
    <x v="14"/>
    <s v="CHARGES"/>
    <x v="1"/>
    <s v="3301.006"/>
    <s v="Abandon de solde PM"/>
    <n v="51.15"/>
    <n v="0"/>
    <n v="3301"/>
  </r>
  <r>
    <x v="1"/>
    <x v="0"/>
    <x v="0"/>
    <x v="14"/>
    <x v="14"/>
    <x v="14"/>
    <s v="CHARGES"/>
    <x v="0"/>
    <s v="3212.002"/>
    <s v="Intérêts bonifiés/trop perçu acompte C/C"/>
    <n v="2"/>
    <n v="0"/>
    <n v="3212"/>
  </r>
  <r>
    <x v="1"/>
    <x v="0"/>
    <x v="0"/>
    <x v="14"/>
    <x v="14"/>
    <x v="14"/>
    <s v="CHARGES"/>
    <x v="1"/>
    <s v="3301.002"/>
    <s v="Défalcation PM"/>
    <n v="9755.39"/>
    <n v="0"/>
    <n v="3301"/>
  </r>
  <r>
    <x v="1"/>
    <x v="0"/>
    <x v="0"/>
    <x v="14"/>
    <x v="14"/>
    <x v="14"/>
    <s v="REVENUS"/>
    <x v="17"/>
    <s v="4011.001"/>
    <s v="Impôt bénéfice ordinaire"/>
    <n v="0"/>
    <n v="54250.1"/>
    <n v="4011"/>
  </r>
  <r>
    <x v="1"/>
    <x v="0"/>
    <x v="0"/>
    <x v="14"/>
    <x v="14"/>
    <x v="14"/>
    <s v="REVENUS"/>
    <x v="17"/>
    <s v="4011.007"/>
    <s v="Acompte sur bénéfice"/>
    <n v="0"/>
    <n v="-35510.050000000003"/>
    <n v="4011"/>
  </r>
  <r>
    <x v="1"/>
    <x v="0"/>
    <x v="0"/>
    <x v="14"/>
    <x v="14"/>
    <x v="14"/>
    <s v="REVENUS"/>
    <x v="16"/>
    <s v="4012.007"/>
    <s v="Acompte sur capital"/>
    <n v="0"/>
    <n v="3208.75"/>
    <n v="4012"/>
  </r>
  <r>
    <x v="1"/>
    <x v="0"/>
    <x v="0"/>
    <x v="14"/>
    <x v="14"/>
    <x v="14"/>
    <s v="REVENUS"/>
    <x v="11"/>
    <s v="4198.001"/>
    <s v="Impôt foncier"/>
    <n v="0"/>
    <n v="88898.7"/>
    <n v="4198"/>
  </r>
  <r>
    <x v="1"/>
    <x v="0"/>
    <x v="0"/>
    <x v="14"/>
    <x v="14"/>
    <x v="14"/>
    <s v="REVENUS"/>
    <x v="16"/>
    <s v="4012.001"/>
    <s v="Impôt capital ordinaire"/>
    <n v="0"/>
    <n v="2674.4"/>
    <n v="4012"/>
  </r>
  <r>
    <x v="1"/>
    <x v="0"/>
    <x v="0"/>
    <x v="14"/>
    <x v="14"/>
    <x v="14"/>
    <s v="REVENUS"/>
    <x v="17"/>
    <s v="4011.002"/>
    <s v="Complément impôt bénéfice ordinaire"/>
    <n v="0"/>
    <n v="20954.45"/>
    <n v="4011"/>
  </r>
  <r>
    <x v="1"/>
    <x v="0"/>
    <x v="0"/>
    <x v="14"/>
    <x v="14"/>
    <x v="14"/>
    <s v="REVENUS"/>
    <x v="6"/>
    <s v="4211.001"/>
    <s v="Intérêts de retard sur factures"/>
    <n v="0"/>
    <n v="251.69"/>
    <n v="4211"/>
  </r>
  <r>
    <x v="1"/>
    <x v="0"/>
    <x v="0"/>
    <x v="14"/>
    <x v="14"/>
    <x v="14"/>
    <s v="REVENUS"/>
    <x v="6"/>
    <s v="4221.001"/>
    <s v="Intérêts compensat. / créances en faveur du fisc"/>
    <n v="0"/>
    <n v="-30.68"/>
    <n v="4221"/>
  </r>
  <r>
    <x v="1"/>
    <x v="0"/>
    <x v="0"/>
    <x v="14"/>
    <x v="14"/>
    <x v="14"/>
    <s v="REVENUS"/>
    <x v="10"/>
    <s v="4041.001"/>
    <s v="Droits de mutation"/>
    <n v="0"/>
    <n v="16426.599999999999"/>
    <n v="4041"/>
  </r>
  <r>
    <x v="1"/>
    <x v="0"/>
    <x v="0"/>
    <x v="14"/>
    <x v="14"/>
    <x v="14"/>
    <s v="REVENUS"/>
    <x v="7"/>
    <s v="4184.000"/>
    <s v="Frais de poursuite"/>
    <n v="0"/>
    <n v="480.38"/>
    <n v="4184"/>
  </r>
  <r>
    <x v="1"/>
    <x v="0"/>
    <x v="0"/>
    <x v="14"/>
    <x v="14"/>
    <x v="14"/>
    <s v="REVENUS"/>
    <x v="18"/>
    <s v="4013.003"/>
    <s v="Remboursement impôt complémentaire sur immeubles"/>
    <n v="0"/>
    <n v="-3248"/>
    <n v="4013"/>
  </r>
  <r>
    <x v="1"/>
    <x v="0"/>
    <x v="0"/>
    <x v="14"/>
    <x v="14"/>
    <x v="14"/>
    <s v="REVENUS"/>
    <x v="6"/>
    <s v="4211.002"/>
    <s v="Intérêts de retard sur acomptes"/>
    <n v="0"/>
    <n v="389.67"/>
    <n v="4211"/>
  </r>
  <r>
    <x v="1"/>
    <x v="0"/>
    <x v="0"/>
    <x v="14"/>
    <x v="14"/>
    <x v="14"/>
    <s v="REVENUS"/>
    <x v="16"/>
    <s v="4012.002"/>
    <s v="Complément impôt capital ordinaire"/>
    <n v="0"/>
    <n v="26.6"/>
    <n v="4012"/>
  </r>
  <r>
    <x v="1"/>
    <x v="0"/>
    <x v="0"/>
    <x v="14"/>
    <x v="14"/>
    <x v="14"/>
    <s v="REVENUS"/>
    <x v="18"/>
    <s v="4013.001"/>
    <s v="Impôt complémentaire sur immeubles"/>
    <n v="0"/>
    <n v="11694.2"/>
    <n v="4013"/>
  </r>
  <r>
    <x v="1"/>
    <x v="1"/>
    <x v="1"/>
    <x v="15"/>
    <x v="15"/>
    <x v="15"/>
    <s v="CHARGES"/>
    <x v="0"/>
    <s v="3212.004"/>
    <s v="Intérêts rémun./perçu trop tôt sur acomptes C/C"/>
    <n v="35.4"/>
    <n v="0"/>
    <n v="3212"/>
  </r>
  <r>
    <x v="1"/>
    <x v="1"/>
    <x v="1"/>
    <x v="15"/>
    <x v="15"/>
    <x v="15"/>
    <s v="CHARGES"/>
    <x v="1"/>
    <s v="3301.006"/>
    <s v="Abandon de solde PM"/>
    <n v="43.47"/>
    <n v="0"/>
    <n v="3301"/>
  </r>
  <r>
    <x v="1"/>
    <x v="1"/>
    <x v="1"/>
    <x v="15"/>
    <x v="15"/>
    <x v="15"/>
    <s v="CHARGES"/>
    <x v="0"/>
    <s v="3221.002"/>
    <s v="Intérêts compensatoires / créances en faveur ctb."/>
    <n v="49.04"/>
    <n v="0"/>
    <n v="3221"/>
  </r>
  <r>
    <x v="1"/>
    <x v="1"/>
    <x v="1"/>
    <x v="15"/>
    <x v="15"/>
    <x v="15"/>
    <s v="CHARGES"/>
    <x v="0"/>
    <s v="3212.002"/>
    <s v="Intérêts bonifiés/trop perçu acompte C/C"/>
    <n v="0.16"/>
    <n v="0"/>
    <n v="3212"/>
  </r>
  <r>
    <x v="1"/>
    <x v="1"/>
    <x v="1"/>
    <x v="15"/>
    <x v="15"/>
    <x v="15"/>
    <s v="CHARGES"/>
    <x v="1"/>
    <s v="3301.002"/>
    <s v="Défalcation PM"/>
    <n v="8444.61"/>
    <n v="0"/>
    <n v="3301"/>
  </r>
  <r>
    <x v="1"/>
    <x v="1"/>
    <x v="1"/>
    <x v="15"/>
    <x v="15"/>
    <x v="15"/>
    <s v="REVENUS"/>
    <x v="6"/>
    <s v="4211.001"/>
    <s v="Intérêts de retard sur factures"/>
    <n v="0"/>
    <n v="351.77"/>
    <n v="4211"/>
  </r>
  <r>
    <x v="1"/>
    <x v="1"/>
    <x v="1"/>
    <x v="15"/>
    <x v="15"/>
    <x v="15"/>
    <s v="REVENUS"/>
    <x v="16"/>
    <s v="4012.001"/>
    <s v="Impôt capital ordinaire"/>
    <n v="0"/>
    <n v="101170"/>
    <n v="4012"/>
  </r>
  <r>
    <x v="1"/>
    <x v="1"/>
    <x v="1"/>
    <x v="15"/>
    <x v="15"/>
    <x v="15"/>
    <s v="REVENUS"/>
    <x v="16"/>
    <s v="4012.007"/>
    <s v="Acompte sur capital"/>
    <n v="0"/>
    <n v="-60152.95"/>
    <n v="4012"/>
  </r>
  <r>
    <x v="1"/>
    <x v="1"/>
    <x v="1"/>
    <x v="15"/>
    <x v="15"/>
    <x v="15"/>
    <s v="REVENUS"/>
    <x v="6"/>
    <s v="4211.002"/>
    <s v="Intérêts de retard sur acomptes"/>
    <n v="0"/>
    <n v="97.2"/>
    <n v="4211"/>
  </r>
  <r>
    <x v="1"/>
    <x v="1"/>
    <x v="1"/>
    <x v="15"/>
    <x v="15"/>
    <x v="15"/>
    <s v="REVENUS"/>
    <x v="17"/>
    <s v="4011.001"/>
    <s v="Impôt bénéfice ordinaire"/>
    <n v="0"/>
    <n v="39933.050000000003"/>
    <n v="4011"/>
  </r>
  <r>
    <x v="1"/>
    <x v="1"/>
    <x v="1"/>
    <x v="15"/>
    <x v="15"/>
    <x v="15"/>
    <s v="REVENUS"/>
    <x v="17"/>
    <s v="4011.002"/>
    <s v="Complément impôt bénéfice ordinaire"/>
    <n v="0"/>
    <n v="5170.1499999999996"/>
    <n v="4011"/>
  </r>
  <r>
    <x v="1"/>
    <x v="1"/>
    <x v="1"/>
    <x v="15"/>
    <x v="15"/>
    <x v="15"/>
    <s v="REVENUS"/>
    <x v="6"/>
    <s v="4221.001"/>
    <s v="Intérêts compensat. / créances en faveur du fisc"/>
    <n v="0"/>
    <n v="211.64"/>
    <n v="4221"/>
  </r>
  <r>
    <x v="1"/>
    <x v="1"/>
    <x v="1"/>
    <x v="15"/>
    <x v="15"/>
    <x v="15"/>
    <s v="REVENUS"/>
    <x v="17"/>
    <s v="4011.007"/>
    <s v="Acompte sur bénéfice"/>
    <n v="0"/>
    <n v="-23424.25"/>
    <n v="4011"/>
  </r>
  <r>
    <x v="1"/>
    <x v="1"/>
    <x v="1"/>
    <x v="15"/>
    <x v="15"/>
    <x v="15"/>
    <s v="REVENUS"/>
    <x v="7"/>
    <s v="4184.000"/>
    <s v="Frais de poursuite"/>
    <n v="0"/>
    <n v="244.09"/>
    <n v="4184"/>
  </r>
  <r>
    <x v="1"/>
    <x v="1"/>
    <x v="1"/>
    <x v="15"/>
    <x v="15"/>
    <x v="15"/>
    <s v="REVENUS"/>
    <x v="8"/>
    <s v="4091.001"/>
    <s v="Impôt récupéré après défalcations"/>
    <n v="0"/>
    <n v="595.77"/>
    <n v="4091"/>
  </r>
  <r>
    <x v="1"/>
    <x v="1"/>
    <x v="1"/>
    <x v="15"/>
    <x v="15"/>
    <x v="15"/>
    <s v="REVENUS"/>
    <x v="10"/>
    <s v="4041.001"/>
    <s v="Droits de mutation"/>
    <n v="0"/>
    <n v="-7370"/>
    <n v="4041"/>
  </r>
  <r>
    <x v="1"/>
    <x v="1"/>
    <x v="1"/>
    <x v="15"/>
    <x v="15"/>
    <x v="15"/>
    <s v="REVENUS"/>
    <x v="10"/>
    <s v="4041.002"/>
    <s v="Complément droit de mutation"/>
    <n v="0"/>
    <n v="6050"/>
    <n v="4041"/>
  </r>
  <r>
    <x v="1"/>
    <x v="1"/>
    <x v="1"/>
    <x v="15"/>
    <x v="15"/>
    <x v="15"/>
    <s v="REVENUS"/>
    <x v="18"/>
    <s v="4013.001"/>
    <s v="Impôt complémentaire sur immeubles"/>
    <n v="0"/>
    <n v="12858.9"/>
    <n v="4013"/>
  </r>
  <r>
    <x v="1"/>
    <x v="1"/>
    <x v="1"/>
    <x v="16"/>
    <x v="16"/>
    <x v="16"/>
    <s v="CHARGES"/>
    <x v="0"/>
    <s v="3212.004"/>
    <s v="Intérêts rémun./perçu trop tôt sur acomptes C/C"/>
    <n v="277.3"/>
    <n v="0"/>
    <n v="3212"/>
  </r>
  <r>
    <x v="1"/>
    <x v="1"/>
    <x v="1"/>
    <x v="16"/>
    <x v="16"/>
    <x v="16"/>
    <s v="CHARGES"/>
    <x v="0"/>
    <s v="3221.002"/>
    <s v="Intérêts compensatoires / créances en faveur ctb."/>
    <n v="172.07"/>
    <n v="0"/>
    <n v="3221"/>
  </r>
  <r>
    <x v="1"/>
    <x v="1"/>
    <x v="1"/>
    <x v="16"/>
    <x v="16"/>
    <x v="16"/>
    <s v="CHARGES"/>
    <x v="1"/>
    <s v="3301.006"/>
    <s v="Abandon de solde PM"/>
    <n v="148.36000000000001"/>
    <n v="0"/>
    <n v="3301"/>
  </r>
  <r>
    <x v="1"/>
    <x v="1"/>
    <x v="1"/>
    <x v="16"/>
    <x v="16"/>
    <x v="16"/>
    <s v="CHARGES"/>
    <x v="0"/>
    <s v="3212.002"/>
    <s v="Intérêts bonifiés/trop perçu acompte C/C"/>
    <n v="0.82"/>
    <n v="0"/>
    <n v="3212"/>
  </r>
  <r>
    <x v="1"/>
    <x v="1"/>
    <x v="1"/>
    <x v="16"/>
    <x v="16"/>
    <x v="16"/>
    <s v="CHARGES"/>
    <x v="1"/>
    <s v="3301.002"/>
    <s v="Défalcation PM"/>
    <n v="655.14"/>
    <n v="0"/>
    <n v="3301"/>
  </r>
  <r>
    <x v="1"/>
    <x v="1"/>
    <x v="1"/>
    <x v="16"/>
    <x v="16"/>
    <x v="16"/>
    <s v="REVENUS"/>
    <x v="17"/>
    <s v="4011.001"/>
    <s v="Impôt bénéfice ordinaire"/>
    <n v="0"/>
    <n v="1281925.6000000001"/>
    <n v="4011"/>
  </r>
  <r>
    <x v="1"/>
    <x v="1"/>
    <x v="1"/>
    <x v="16"/>
    <x v="16"/>
    <x v="16"/>
    <s v="REVENUS"/>
    <x v="17"/>
    <s v="4011.007"/>
    <s v="Acompte sur bénéfice"/>
    <n v="0"/>
    <n v="3863459.8"/>
    <n v="4011"/>
  </r>
  <r>
    <x v="1"/>
    <x v="1"/>
    <x v="1"/>
    <x v="16"/>
    <x v="16"/>
    <x v="16"/>
    <s v="REVENUS"/>
    <x v="6"/>
    <s v="4211.001"/>
    <s v="Intérêts de retard sur factures"/>
    <n v="0"/>
    <n v="247.67"/>
    <n v="4211"/>
  </r>
  <r>
    <x v="1"/>
    <x v="1"/>
    <x v="1"/>
    <x v="16"/>
    <x v="16"/>
    <x v="16"/>
    <s v="REVENUS"/>
    <x v="16"/>
    <s v="4012.007"/>
    <s v="Acompte sur capital"/>
    <n v="0"/>
    <n v="-85915.3"/>
    <n v="4012"/>
  </r>
  <r>
    <x v="1"/>
    <x v="1"/>
    <x v="1"/>
    <x v="16"/>
    <x v="16"/>
    <x v="16"/>
    <s v="REVENUS"/>
    <x v="17"/>
    <s v="4011.002"/>
    <s v="Complément impôt bénéfice ordinaire"/>
    <n v="0"/>
    <n v="13414.3"/>
    <n v="4011"/>
  </r>
  <r>
    <x v="1"/>
    <x v="1"/>
    <x v="1"/>
    <x v="16"/>
    <x v="16"/>
    <x v="16"/>
    <s v="REVENUS"/>
    <x v="6"/>
    <s v="4221.001"/>
    <s v="Intérêts compensat. / créances en faveur du fisc"/>
    <n v="0"/>
    <n v="584.91999999999996"/>
    <n v="4221"/>
  </r>
  <r>
    <x v="1"/>
    <x v="1"/>
    <x v="1"/>
    <x v="16"/>
    <x v="16"/>
    <x v="16"/>
    <s v="REVENUS"/>
    <x v="16"/>
    <s v="4012.001"/>
    <s v="Impôt capital ordinaire"/>
    <n v="0"/>
    <n v="132731.35"/>
    <n v="4012"/>
  </r>
  <r>
    <x v="1"/>
    <x v="1"/>
    <x v="1"/>
    <x v="16"/>
    <x v="16"/>
    <x v="16"/>
    <s v="REVENUS"/>
    <x v="6"/>
    <s v="4211.002"/>
    <s v="Intérêts de retard sur acomptes"/>
    <n v="0"/>
    <n v="1267.55"/>
    <n v="4211"/>
  </r>
  <r>
    <x v="1"/>
    <x v="1"/>
    <x v="1"/>
    <x v="16"/>
    <x v="16"/>
    <x v="16"/>
    <s v="REVENUS"/>
    <x v="7"/>
    <s v="4184.000"/>
    <s v="Frais de poursuite"/>
    <n v="0"/>
    <n v="88.85"/>
    <n v="4184"/>
  </r>
  <r>
    <x v="1"/>
    <x v="1"/>
    <x v="1"/>
    <x v="16"/>
    <x v="16"/>
    <x v="16"/>
    <s v="REVENUS"/>
    <x v="16"/>
    <s v="4012.002"/>
    <s v="Complément impôt capital ordinaire"/>
    <n v="0"/>
    <n v="12.4"/>
    <n v="4012"/>
  </r>
  <r>
    <x v="1"/>
    <x v="1"/>
    <x v="1"/>
    <x v="16"/>
    <x v="16"/>
    <x v="16"/>
    <s v="REVENUS"/>
    <x v="18"/>
    <s v="4013.001"/>
    <s v="Impôt complémentaire sur immeubles"/>
    <n v="0"/>
    <n v="182483.5"/>
    <n v="4013"/>
  </r>
  <r>
    <x v="1"/>
    <x v="1"/>
    <x v="1"/>
    <x v="17"/>
    <x v="17"/>
    <x v="17"/>
    <s v="CHARGES"/>
    <x v="1"/>
    <s v="3301.006"/>
    <s v="Abandon de solde PM"/>
    <n v="7.5"/>
    <n v="0"/>
    <n v="3301"/>
  </r>
  <r>
    <x v="1"/>
    <x v="1"/>
    <x v="1"/>
    <x v="17"/>
    <x v="17"/>
    <x v="17"/>
    <s v="CHARGES"/>
    <x v="0"/>
    <s v="3212.004"/>
    <s v="Intérêts rémun./perçu trop tôt sur acomptes C/C"/>
    <n v="2.5099999999999998"/>
    <n v="0"/>
    <n v="3212"/>
  </r>
  <r>
    <x v="1"/>
    <x v="1"/>
    <x v="1"/>
    <x v="17"/>
    <x v="17"/>
    <x v="17"/>
    <s v="CHARGES"/>
    <x v="0"/>
    <s v="3221.002"/>
    <s v="Intérêts compensatoires / créances en faveur ctb."/>
    <n v="3.67"/>
    <n v="0"/>
    <n v="3221"/>
  </r>
  <r>
    <x v="1"/>
    <x v="1"/>
    <x v="1"/>
    <x v="17"/>
    <x v="17"/>
    <x v="17"/>
    <s v="CHARGES"/>
    <x v="0"/>
    <s v="3212.002"/>
    <s v="Intérêts bonifiés/trop perçu acompte C/C"/>
    <n v="0.05"/>
    <n v="0"/>
    <n v="3212"/>
  </r>
  <r>
    <x v="1"/>
    <x v="1"/>
    <x v="1"/>
    <x v="17"/>
    <x v="17"/>
    <x v="17"/>
    <s v="REVENUS"/>
    <x v="6"/>
    <s v="4211.001"/>
    <s v="Intérêts de retard sur factures"/>
    <n v="0"/>
    <n v="6.3"/>
    <n v="4211"/>
  </r>
  <r>
    <x v="1"/>
    <x v="1"/>
    <x v="1"/>
    <x v="17"/>
    <x v="17"/>
    <x v="17"/>
    <s v="REVENUS"/>
    <x v="17"/>
    <s v="4011.001"/>
    <s v="Impôt bénéfice ordinaire"/>
    <n v="0"/>
    <n v="21023.75"/>
    <n v="4011"/>
  </r>
  <r>
    <x v="1"/>
    <x v="1"/>
    <x v="1"/>
    <x v="17"/>
    <x v="17"/>
    <x v="17"/>
    <s v="REVENUS"/>
    <x v="17"/>
    <s v="4011.007"/>
    <s v="Acompte sur bénéfice"/>
    <n v="0"/>
    <n v="-20185.8"/>
    <n v="4011"/>
  </r>
  <r>
    <x v="1"/>
    <x v="1"/>
    <x v="1"/>
    <x v="17"/>
    <x v="17"/>
    <x v="17"/>
    <s v="REVENUS"/>
    <x v="6"/>
    <s v="4211.002"/>
    <s v="Intérêts de retard sur acomptes"/>
    <n v="0"/>
    <n v="43.8"/>
    <n v="4211"/>
  </r>
  <r>
    <x v="1"/>
    <x v="1"/>
    <x v="1"/>
    <x v="17"/>
    <x v="17"/>
    <x v="17"/>
    <s v="REVENUS"/>
    <x v="17"/>
    <s v="4011.002"/>
    <s v="Complément impôt bénéfice ordinaire"/>
    <n v="0"/>
    <n v="1639.25"/>
    <n v="4011"/>
  </r>
  <r>
    <x v="1"/>
    <x v="1"/>
    <x v="1"/>
    <x v="17"/>
    <x v="17"/>
    <x v="17"/>
    <s v="REVENUS"/>
    <x v="16"/>
    <s v="4012.001"/>
    <s v="Impôt capital ordinaire"/>
    <n v="0"/>
    <n v="1009.2"/>
    <n v="4012"/>
  </r>
  <r>
    <x v="1"/>
    <x v="1"/>
    <x v="1"/>
    <x v="17"/>
    <x v="17"/>
    <x v="17"/>
    <s v="REVENUS"/>
    <x v="16"/>
    <s v="4012.007"/>
    <s v="Acompte sur capital"/>
    <n v="0"/>
    <n v="446.95"/>
    <n v="4012"/>
  </r>
  <r>
    <x v="1"/>
    <x v="1"/>
    <x v="1"/>
    <x v="17"/>
    <x v="17"/>
    <x v="17"/>
    <s v="REVENUS"/>
    <x v="6"/>
    <s v="4221.001"/>
    <s v="Intérêts compensat. / créances en faveur du fisc"/>
    <n v="0"/>
    <n v="2.61"/>
    <n v="4221"/>
  </r>
  <r>
    <x v="1"/>
    <x v="1"/>
    <x v="1"/>
    <x v="17"/>
    <x v="17"/>
    <x v="17"/>
    <s v="REVENUS"/>
    <x v="18"/>
    <s v="4013.001"/>
    <s v="Impôt complémentaire sur immeubles"/>
    <n v="0"/>
    <n v="2520.85"/>
    <n v="4013"/>
  </r>
  <r>
    <x v="1"/>
    <x v="1"/>
    <x v="1"/>
    <x v="17"/>
    <x v="17"/>
    <x v="17"/>
    <s v="REVENUS"/>
    <x v="7"/>
    <s v="4184.000"/>
    <s v="Frais de poursuite"/>
    <n v="0"/>
    <n v="24.87"/>
    <n v="4184"/>
  </r>
  <r>
    <x v="1"/>
    <x v="1"/>
    <x v="1"/>
    <x v="18"/>
    <x v="18"/>
    <x v="18"/>
    <s v="CHARGES"/>
    <x v="0"/>
    <s v="3212.002"/>
    <s v="Intérêts bonifiés/trop perçu acompte C/C"/>
    <n v="0.01"/>
    <n v="0"/>
    <n v="3212"/>
  </r>
  <r>
    <x v="1"/>
    <x v="1"/>
    <x v="1"/>
    <x v="18"/>
    <x v="18"/>
    <x v="18"/>
    <s v="CHARGES"/>
    <x v="1"/>
    <s v="3301.006"/>
    <s v="Abandon de solde PM"/>
    <n v="0.48"/>
    <n v="0"/>
    <n v="3301"/>
  </r>
  <r>
    <x v="1"/>
    <x v="1"/>
    <x v="1"/>
    <x v="18"/>
    <x v="18"/>
    <x v="18"/>
    <s v="CHARGES"/>
    <x v="0"/>
    <s v="3212.004"/>
    <s v="Intérêts rémun./perçu trop tôt sur acomptes C/C"/>
    <n v="0.61"/>
    <n v="0"/>
    <n v="3212"/>
  </r>
  <r>
    <x v="1"/>
    <x v="1"/>
    <x v="1"/>
    <x v="18"/>
    <x v="18"/>
    <x v="18"/>
    <s v="CHARGES"/>
    <x v="0"/>
    <s v="3221.002"/>
    <s v="Intérêts compensatoires / créances en faveur ctb."/>
    <n v="0.64"/>
    <n v="0"/>
    <n v="3221"/>
  </r>
  <r>
    <x v="1"/>
    <x v="1"/>
    <x v="1"/>
    <x v="18"/>
    <x v="18"/>
    <x v="18"/>
    <s v="REVENUS"/>
    <x v="17"/>
    <s v="4011.002"/>
    <s v="Complément impôt bénéfice ordinaire"/>
    <n v="0"/>
    <n v="209.95"/>
    <n v="4011"/>
  </r>
  <r>
    <x v="1"/>
    <x v="1"/>
    <x v="1"/>
    <x v="18"/>
    <x v="18"/>
    <x v="18"/>
    <s v="REVENUS"/>
    <x v="16"/>
    <s v="4012.001"/>
    <s v="Impôt capital ordinaire"/>
    <n v="0"/>
    <n v="277.39999999999998"/>
    <n v="4012"/>
  </r>
  <r>
    <x v="1"/>
    <x v="1"/>
    <x v="1"/>
    <x v="18"/>
    <x v="18"/>
    <x v="18"/>
    <s v="REVENUS"/>
    <x v="16"/>
    <s v="4012.007"/>
    <s v="Acompte sur capital"/>
    <n v="0"/>
    <n v="308.5"/>
    <n v="4012"/>
  </r>
  <r>
    <x v="1"/>
    <x v="1"/>
    <x v="1"/>
    <x v="18"/>
    <x v="18"/>
    <x v="18"/>
    <s v="REVENUS"/>
    <x v="17"/>
    <s v="4011.001"/>
    <s v="Impôt bénéfice ordinaire"/>
    <n v="0"/>
    <n v="25.65"/>
    <n v="4011"/>
  </r>
  <r>
    <x v="1"/>
    <x v="1"/>
    <x v="1"/>
    <x v="18"/>
    <x v="18"/>
    <x v="18"/>
    <s v="REVENUS"/>
    <x v="6"/>
    <s v="4211.001"/>
    <s v="Intérêts de retard sur factures"/>
    <n v="0"/>
    <n v="0.48"/>
    <n v="4211"/>
  </r>
  <r>
    <x v="1"/>
    <x v="1"/>
    <x v="1"/>
    <x v="18"/>
    <x v="18"/>
    <x v="18"/>
    <s v="REVENUS"/>
    <x v="17"/>
    <s v="4011.007"/>
    <s v="Acompte sur bénéfice"/>
    <n v="0"/>
    <n v="299.39999999999998"/>
    <n v="4011"/>
  </r>
  <r>
    <x v="1"/>
    <x v="1"/>
    <x v="1"/>
    <x v="18"/>
    <x v="18"/>
    <x v="18"/>
    <s v="REVENUS"/>
    <x v="6"/>
    <s v="4221.001"/>
    <s v="Intérêts compensat. / créances en faveur du fisc"/>
    <n v="0"/>
    <n v="0.02"/>
    <n v="4221"/>
  </r>
  <r>
    <x v="1"/>
    <x v="1"/>
    <x v="1"/>
    <x v="18"/>
    <x v="18"/>
    <x v="18"/>
    <s v="REVENUS"/>
    <x v="6"/>
    <s v="4211.002"/>
    <s v="Intérêts de retard sur acomptes"/>
    <n v="0"/>
    <n v="0.47"/>
    <n v="4211"/>
  </r>
  <r>
    <x v="1"/>
    <x v="1"/>
    <x v="1"/>
    <x v="18"/>
    <x v="18"/>
    <x v="18"/>
    <s v="REVENUS"/>
    <x v="18"/>
    <s v="4013.001"/>
    <s v="Impôt complémentaire sur immeubles"/>
    <n v="0"/>
    <n v="766"/>
    <n v="4013"/>
  </r>
  <r>
    <x v="1"/>
    <x v="1"/>
    <x v="1"/>
    <x v="19"/>
    <x v="19"/>
    <x v="19"/>
    <s v="CHARGES"/>
    <x v="1"/>
    <s v="3301.006"/>
    <s v="Abandon de solde PM"/>
    <n v="25.67"/>
    <n v="0"/>
    <n v="3301"/>
  </r>
  <r>
    <x v="1"/>
    <x v="1"/>
    <x v="1"/>
    <x v="19"/>
    <x v="19"/>
    <x v="19"/>
    <s v="CHARGES"/>
    <x v="0"/>
    <s v="3221.002"/>
    <s v="Intérêts compensatoires / créances en faveur ctb."/>
    <n v="32.94"/>
    <n v="0"/>
    <n v="3221"/>
  </r>
  <r>
    <x v="1"/>
    <x v="1"/>
    <x v="1"/>
    <x v="19"/>
    <x v="19"/>
    <x v="19"/>
    <s v="CHARGES"/>
    <x v="0"/>
    <s v="3212.004"/>
    <s v="Intérêts rémun./perçu trop tôt sur acomptes C/C"/>
    <n v="53.02"/>
    <n v="0"/>
    <n v="3212"/>
  </r>
  <r>
    <x v="1"/>
    <x v="1"/>
    <x v="1"/>
    <x v="19"/>
    <x v="19"/>
    <x v="19"/>
    <s v="CHARGES"/>
    <x v="0"/>
    <s v="3212.002"/>
    <s v="Intérêts bonifiés/trop perçu acompte C/C"/>
    <n v="0.24"/>
    <n v="0"/>
    <n v="3212"/>
  </r>
  <r>
    <x v="1"/>
    <x v="1"/>
    <x v="1"/>
    <x v="19"/>
    <x v="19"/>
    <x v="19"/>
    <s v="CHARGES"/>
    <x v="1"/>
    <s v="3301.002"/>
    <s v="Défalcation PM"/>
    <n v="444.84"/>
    <n v="0"/>
    <n v="3301"/>
  </r>
  <r>
    <x v="1"/>
    <x v="1"/>
    <x v="1"/>
    <x v="19"/>
    <x v="19"/>
    <x v="19"/>
    <s v="REVENUS"/>
    <x v="17"/>
    <s v="4011.001"/>
    <s v="Impôt bénéfice ordinaire"/>
    <n v="0"/>
    <n v="168143.25"/>
    <n v="4011"/>
  </r>
  <r>
    <x v="1"/>
    <x v="1"/>
    <x v="1"/>
    <x v="19"/>
    <x v="19"/>
    <x v="19"/>
    <s v="REVENUS"/>
    <x v="6"/>
    <s v="4211.002"/>
    <s v="Intérêts de retard sur acomptes"/>
    <n v="0"/>
    <n v="1221.02"/>
    <n v="4211"/>
  </r>
  <r>
    <x v="1"/>
    <x v="1"/>
    <x v="1"/>
    <x v="19"/>
    <x v="19"/>
    <x v="19"/>
    <s v="REVENUS"/>
    <x v="6"/>
    <s v="4221.001"/>
    <s v="Intérêts compensat. / créances en faveur du fisc"/>
    <n v="0"/>
    <n v="30.02"/>
    <n v="4221"/>
  </r>
  <r>
    <x v="1"/>
    <x v="1"/>
    <x v="1"/>
    <x v="19"/>
    <x v="19"/>
    <x v="19"/>
    <s v="REVENUS"/>
    <x v="17"/>
    <s v="4011.007"/>
    <s v="Acompte sur bénéfice"/>
    <n v="0"/>
    <n v="1881.95"/>
    <n v="4011"/>
  </r>
  <r>
    <x v="1"/>
    <x v="1"/>
    <x v="1"/>
    <x v="19"/>
    <x v="19"/>
    <x v="19"/>
    <s v="REVENUS"/>
    <x v="16"/>
    <s v="4012.001"/>
    <s v="Impôt capital ordinaire"/>
    <n v="0"/>
    <n v="1556.6"/>
    <n v="4012"/>
  </r>
  <r>
    <x v="1"/>
    <x v="1"/>
    <x v="1"/>
    <x v="19"/>
    <x v="19"/>
    <x v="19"/>
    <s v="REVENUS"/>
    <x v="6"/>
    <s v="4211.001"/>
    <s v="Intérêts de retard sur factures"/>
    <n v="0"/>
    <n v="90.34"/>
    <n v="4211"/>
  </r>
  <r>
    <x v="1"/>
    <x v="1"/>
    <x v="1"/>
    <x v="19"/>
    <x v="19"/>
    <x v="19"/>
    <s v="REVENUS"/>
    <x v="16"/>
    <s v="4012.007"/>
    <s v="Acompte sur capital"/>
    <n v="0"/>
    <n v="840.05"/>
    <n v="4012"/>
  </r>
  <r>
    <x v="1"/>
    <x v="1"/>
    <x v="1"/>
    <x v="19"/>
    <x v="19"/>
    <x v="19"/>
    <s v="REVENUS"/>
    <x v="17"/>
    <s v="4011.002"/>
    <s v="Complément impôt bénéfice ordinaire"/>
    <n v="0"/>
    <n v="22957"/>
    <n v="4011"/>
  </r>
  <r>
    <x v="1"/>
    <x v="1"/>
    <x v="1"/>
    <x v="19"/>
    <x v="19"/>
    <x v="19"/>
    <s v="REVENUS"/>
    <x v="7"/>
    <s v="4184.000"/>
    <s v="Frais de poursuite"/>
    <n v="0"/>
    <n v="101.48"/>
    <n v="4184"/>
  </r>
  <r>
    <x v="1"/>
    <x v="1"/>
    <x v="1"/>
    <x v="19"/>
    <x v="19"/>
    <x v="19"/>
    <s v="REVENUS"/>
    <x v="18"/>
    <s v="4013.003"/>
    <s v="Remboursement impôt complémentaire sur immeubles"/>
    <n v="0"/>
    <n v="-29497.8"/>
    <n v="4013"/>
  </r>
  <r>
    <x v="1"/>
    <x v="1"/>
    <x v="1"/>
    <x v="19"/>
    <x v="19"/>
    <x v="19"/>
    <s v="REVENUS"/>
    <x v="18"/>
    <s v="4013.001"/>
    <s v="Impôt complémentaire sur immeubles"/>
    <n v="0"/>
    <n v="16549.7"/>
    <n v="4013"/>
  </r>
  <r>
    <x v="1"/>
    <x v="1"/>
    <x v="1"/>
    <x v="20"/>
    <x v="20"/>
    <x v="20"/>
    <s v="CHARGES"/>
    <x v="0"/>
    <s v="3212.002"/>
    <s v="Intérêts bonifiés/trop perçu acompte C/C"/>
    <n v="0.05"/>
    <n v="0"/>
    <n v="3212"/>
  </r>
  <r>
    <x v="1"/>
    <x v="1"/>
    <x v="1"/>
    <x v="20"/>
    <x v="20"/>
    <x v="20"/>
    <s v="CHARGES"/>
    <x v="1"/>
    <s v="3301.006"/>
    <s v="Abandon de solde PM"/>
    <n v="7.03"/>
    <n v="0"/>
    <n v="3301"/>
  </r>
  <r>
    <x v="1"/>
    <x v="1"/>
    <x v="1"/>
    <x v="20"/>
    <x v="20"/>
    <x v="20"/>
    <s v="CHARGES"/>
    <x v="0"/>
    <s v="3212.004"/>
    <s v="Intérêts rémun./perçu trop tôt sur acomptes C/C"/>
    <n v="5.12"/>
    <n v="0"/>
    <n v="3212"/>
  </r>
  <r>
    <x v="1"/>
    <x v="1"/>
    <x v="1"/>
    <x v="20"/>
    <x v="20"/>
    <x v="20"/>
    <s v="CHARGES"/>
    <x v="0"/>
    <s v="3221.002"/>
    <s v="Intérêts compensatoires / créances en faveur ctb."/>
    <n v="4.4400000000000004"/>
    <n v="0"/>
    <n v="3221"/>
  </r>
  <r>
    <x v="1"/>
    <x v="1"/>
    <x v="1"/>
    <x v="20"/>
    <x v="20"/>
    <x v="20"/>
    <s v="REVENUS"/>
    <x v="16"/>
    <s v="4012.007"/>
    <s v="Acompte sur capital"/>
    <n v="0"/>
    <n v="788.5"/>
    <n v="4012"/>
  </r>
  <r>
    <x v="1"/>
    <x v="1"/>
    <x v="1"/>
    <x v="20"/>
    <x v="20"/>
    <x v="20"/>
    <s v="REVENUS"/>
    <x v="6"/>
    <s v="4211.001"/>
    <s v="Intérêts de retard sur factures"/>
    <n v="0"/>
    <n v="0.93"/>
    <n v="4211"/>
  </r>
  <r>
    <x v="1"/>
    <x v="1"/>
    <x v="1"/>
    <x v="20"/>
    <x v="20"/>
    <x v="20"/>
    <s v="REVENUS"/>
    <x v="16"/>
    <s v="4012.001"/>
    <s v="Impôt capital ordinaire"/>
    <n v="0"/>
    <n v="1617.4"/>
    <n v="4012"/>
  </r>
  <r>
    <x v="1"/>
    <x v="1"/>
    <x v="1"/>
    <x v="20"/>
    <x v="20"/>
    <x v="20"/>
    <s v="REVENUS"/>
    <x v="17"/>
    <s v="4011.002"/>
    <s v="Complément impôt bénéfice ordinaire"/>
    <n v="0"/>
    <n v="487.35"/>
    <n v="4011"/>
  </r>
  <r>
    <x v="1"/>
    <x v="1"/>
    <x v="1"/>
    <x v="20"/>
    <x v="20"/>
    <x v="20"/>
    <s v="REVENUS"/>
    <x v="17"/>
    <s v="4011.001"/>
    <s v="Impôt bénéfice ordinaire"/>
    <n v="0"/>
    <n v="5291.7"/>
    <n v="4011"/>
  </r>
  <r>
    <x v="1"/>
    <x v="1"/>
    <x v="1"/>
    <x v="20"/>
    <x v="20"/>
    <x v="20"/>
    <s v="REVENUS"/>
    <x v="18"/>
    <s v="4013.003"/>
    <s v="Remboursement impôt complémentaire sur immeubles"/>
    <n v="0"/>
    <n v="-7503"/>
    <n v="4013"/>
  </r>
  <r>
    <x v="1"/>
    <x v="1"/>
    <x v="1"/>
    <x v="20"/>
    <x v="20"/>
    <x v="20"/>
    <s v="REVENUS"/>
    <x v="6"/>
    <s v="4211.002"/>
    <s v="Intérêts de retard sur acomptes"/>
    <n v="0"/>
    <n v="6.27"/>
    <n v="4211"/>
  </r>
  <r>
    <x v="1"/>
    <x v="1"/>
    <x v="1"/>
    <x v="20"/>
    <x v="20"/>
    <x v="20"/>
    <s v="REVENUS"/>
    <x v="6"/>
    <s v="4221.001"/>
    <s v="Intérêts compensat. / créances en faveur du fisc"/>
    <n v="0"/>
    <n v="0.64"/>
    <n v="4221"/>
  </r>
  <r>
    <x v="1"/>
    <x v="1"/>
    <x v="1"/>
    <x v="20"/>
    <x v="20"/>
    <x v="20"/>
    <s v="REVENUS"/>
    <x v="17"/>
    <s v="4011.007"/>
    <s v="Acompte sur bénéfice"/>
    <n v="0"/>
    <n v="-6477.3"/>
    <n v="4011"/>
  </r>
  <r>
    <x v="1"/>
    <x v="1"/>
    <x v="1"/>
    <x v="20"/>
    <x v="20"/>
    <x v="20"/>
    <s v="REVENUS"/>
    <x v="18"/>
    <s v="4013.001"/>
    <s v="Impôt complémentaire sur immeubles"/>
    <n v="0"/>
    <n v="5760.8"/>
    <n v="4013"/>
  </r>
  <r>
    <x v="1"/>
    <x v="1"/>
    <x v="1"/>
    <x v="20"/>
    <x v="20"/>
    <x v="20"/>
    <s v="REVENUS"/>
    <x v="11"/>
    <s v="4198.001"/>
    <s v="Impôt foncier"/>
    <n v="0"/>
    <n v="38233.599999999999"/>
    <n v="4198"/>
  </r>
  <r>
    <x v="1"/>
    <x v="1"/>
    <x v="1"/>
    <x v="21"/>
    <x v="21"/>
    <x v="21"/>
    <s v="CHARGES"/>
    <x v="0"/>
    <s v="3212.004"/>
    <s v="Intérêts rémun./perçu trop tôt sur acomptes C/C"/>
    <n v="35.25"/>
    <n v="0"/>
    <n v="3212"/>
  </r>
  <r>
    <x v="1"/>
    <x v="1"/>
    <x v="1"/>
    <x v="21"/>
    <x v="21"/>
    <x v="21"/>
    <s v="CHARGES"/>
    <x v="0"/>
    <s v="3221.002"/>
    <s v="Intérêts compensatoires / créances en faveur ctb."/>
    <n v="39.299999999999997"/>
    <n v="0"/>
    <n v="3221"/>
  </r>
  <r>
    <x v="1"/>
    <x v="1"/>
    <x v="1"/>
    <x v="21"/>
    <x v="21"/>
    <x v="21"/>
    <s v="CHARGES"/>
    <x v="1"/>
    <s v="3301.006"/>
    <s v="Abandon de solde PM"/>
    <n v="29.01"/>
    <n v="0"/>
    <n v="3301"/>
  </r>
  <r>
    <x v="1"/>
    <x v="1"/>
    <x v="1"/>
    <x v="21"/>
    <x v="21"/>
    <x v="21"/>
    <s v="CHARGES"/>
    <x v="0"/>
    <s v="3212.002"/>
    <s v="Intérêts bonifiés/trop perçu acompte C/C"/>
    <n v="0.03"/>
    <n v="0"/>
    <n v="3212"/>
  </r>
  <r>
    <x v="1"/>
    <x v="1"/>
    <x v="1"/>
    <x v="21"/>
    <x v="21"/>
    <x v="21"/>
    <s v="CHARGES"/>
    <x v="1"/>
    <s v="3301.002"/>
    <s v="Défalcation PM"/>
    <n v="610.20000000000005"/>
    <n v="0"/>
    <n v="3301"/>
  </r>
  <r>
    <x v="1"/>
    <x v="1"/>
    <x v="1"/>
    <x v="21"/>
    <x v="21"/>
    <x v="21"/>
    <s v="REVENUS"/>
    <x v="16"/>
    <s v="4012.001"/>
    <s v="Impôt capital ordinaire"/>
    <n v="0"/>
    <n v="1803.25"/>
    <n v="4012"/>
  </r>
  <r>
    <x v="1"/>
    <x v="1"/>
    <x v="1"/>
    <x v="21"/>
    <x v="21"/>
    <x v="21"/>
    <s v="REVENUS"/>
    <x v="18"/>
    <s v="4013.001"/>
    <s v="Impôt complémentaire sur immeubles"/>
    <n v="0"/>
    <n v="0"/>
    <n v="4013"/>
  </r>
  <r>
    <x v="1"/>
    <x v="1"/>
    <x v="1"/>
    <x v="21"/>
    <x v="21"/>
    <x v="21"/>
    <s v="REVENUS"/>
    <x v="6"/>
    <s v="4211.002"/>
    <s v="Intérêts de retard sur acomptes"/>
    <n v="0"/>
    <n v="347.44"/>
    <n v="4211"/>
  </r>
  <r>
    <x v="1"/>
    <x v="1"/>
    <x v="1"/>
    <x v="21"/>
    <x v="21"/>
    <x v="21"/>
    <s v="REVENUS"/>
    <x v="16"/>
    <s v="4012.007"/>
    <s v="Acompte sur capital"/>
    <n v="0"/>
    <n v="3246"/>
    <n v="4012"/>
  </r>
  <r>
    <x v="1"/>
    <x v="1"/>
    <x v="1"/>
    <x v="21"/>
    <x v="21"/>
    <x v="21"/>
    <s v="REVENUS"/>
    <x v="17"/>
    <s v="4011.001"/>
    <s v="Impôt bénéfice ordinaire"/>
    <n v="0"/>
    <n v="62206.9"/>
    <n v="4011"/>
  </r>
  <r>
    <x v="1"/>
    <x v="1"/>
    <x v="1"/>
    <x v="21"/>
    <x v="21"/>
    <x v="21"/>
    <s v="REVENUS"/>
    <x v="17"/>
    <s v="4011.007"/>
    <s v="Acompte sur bénéfice"/>
    <n v="0"/>
    <n v="-25420.9"/>
    <n v="4011"/>
  </r>
  <r>
    <x v="1"/>
    <x v="1"/>
    <x v="1"/>
    <x v="21"/>
    <x v="21"/>
    <x v="21"/>
    <s v="REVENUS"/>
    <x v="17"/>
    <s v="4011.002"/>
    <s v="Complément impôt bénéfice ordinaire"/>
    <n v="0"/>
    <n v="736.45"/>
    <n v="4011"/>
  </r>
  <r>
    <x v="1"/>
    <x v="1"/>
    <x v="1"/>
    <x v="21"/>
    <x v="21"/>
    <x v="21"/>
    <s v="REVENUS"/>
    <x v="6"/>
    <s v="4221.001"/>
    <s v="Intérêts compensat. / créances en faveur du fisc"/>
    <n v="0"/>
    <n v="11.79"/>
    <n v="4221"/>
  </r>
  <r>
    <x v="1"/>
    <x v="1"/>
    <x v="1"/>
    <x v="21"/>
    <x v="21"/>
    <x v="21"/>
    <s v="REVENUS"/>
    <x v="18"/>
    <s v="4013.002"/>
    <s v="Complément impôt complémentaire sur immeubles"/>
    <n v="0"/>
    <n v="0.75"/>
    <n v="4013"/>
  </r>
  <r>
    <x v="1"/>
    <x v="1"/>
    <x v="1"/>
    <x v="21"/>
    <x v="21"/>
    <x v="21"/>
    <s v="REVENUS"/>
    <x v="6"/>
    <s v="4211.001"/>
    <s v="Intérêts de retard sur factures"/>
    <n v="0"/>
    <n v="70.349999999999994"/>
    <n v="4211"/>
  </r>
  <r>
    <x v="1"/>
    <x v="1"/>
    <x v="1"/>
    <x v="21"/>
    <x v="21"/>
    <x v="21"/>
    <s v="REVENUS"/>
    <x v="7"/>
    <s v="4184.000"/>
    <s v="Frais de poursuite"/>
    <n v="0"/>
    <n v="18.399999999999999"/>
    <n v="4184"/>
  </r>
  <r>
    <x v="1"/>
    <x v="1"/>
    <x v="1"/>
    <x v="21"/>
    <x v="21"/>
    <x v="21"/>
    <s v="REVENUS"/>
    <x v="18"/>
    <s v="4013.003"/>
    <s v="Remboursement impôt complémentaire sur immeubles"/>
    <n v="0"/>
    <n v="-320.5"/>
    <n v="4013"/>
  </r>
  <r>
    <x v="1"/>
    <x v="1"/>
    <x v="1"/>
    <x v="22"/>
    <x v="22"/>
    <x v="22"/>
    <s v="CHARGES"/>
    <x v="0"/>
    <s v="3212.004"/>
    <s v="Intérêts rémun./perçu trop tôt sur acomptes C/C"/>
    <n v="166.38"/>
    <n v="0"/>
    <n v="3212"/>
  </r>
  <r>
    <x v="1"/>
    <x v="1"/>
    <x v="1"/>
    <x v="22"/>
    <x v="22"/>
    <x v="22"/>
    <s v="CHARGES"/>
    <x v="0"/>
    <s v="3221.002"/>
    <s v="Intérêts compensatoires / créances en faveur ctb."/>
    <n v="121.99"/>
    <n v="0"/>
    <n v="3221"/>
  </r>
  <r>
    <x v="1"/>
    <x v="1"/>
    <x v="1"/>
    <x v="22"/>
    <x v="22"/>
    <x v="22"/>
    <s v="CHARGES"/>
    <x v="1"/>
    <s v="3301.006"/>
    <s v="Abandon de solde PM"/>
    <n v="43.26"/>
    <n v="0"/>
    <n v="3301"/>
  </r>
  <r>
    <x v="1"/>
    <x v="1"/>
    <x v="1"/>
    <x v="22"/>
    <x v="22"/>
    <x v="22"/>
    <s v="CHARGES"/>
    <x v="0"/>
    <s v="3212.002"/>
    <s v="Intérêts bonifiés/trop perçu acompte C/C"/>
    <n v="0.2"/>
    <n v="0"/>
    <n v="3212"/>
  </r>
  <r>
    <x v="1"/>
    <x v="1"/>
    <x v="1"/>
    <x v="22"/>
    <x v="22"/>
    <x v="22"/>
    <s v="REVENUS"/>
    <x v="17"/>
    <s v="4011.001"/>
    <s v="Impôt bénéfice ordinaire"/>
    <n v="0"/>
    <n v="128990.75"/>
    <n v="4011"/>
  </r>
  <r>
    <x v="1"/>
    <x v="1"/>
    <x v="1"/>
    <x v="22"/>
    <x v="22"/>
    <x v="22"/>
    <s v="REVENUS"/>
    <x v="17"/>
    <s v="4011.007"/>
    <s v="Acompte sur bénéfice"/>
    <n v="0"/>
    <n v="-27557.9"/>
    <n v="4011"/>
  </r>
  <r>
    <x v="1"/>
    <x v="1"/>
    <x v="1"/>
    <x v="22"/>
    <x v="22"/>
    <x v="22"/>
    <s v="REVENUS"/>
    <x v="16"/>
    <s v="4012.001"/>
    <s v="Impôt capital ordinaire"/>
    <n v="0"/>
    <n v="3333.65"/>
    <n v="4012"/>
  </r>
  <r>
    <x v="1"/>
    <x v="1"/>
    <x v="1"/>
    <x v="22"/>
    <x v="22"/>
    <x v="22"/>
    <s v="REVENUS"/>
    <x v="16"/>
    <s v="4012.007"/>
    <s v="Acompte sur capital"/>
    <n v="0"/>
    <n v="3733.45"/>
    <n v="4012"/>
  </r>
  <r>
    <x v="1"/>
    <x v="1"/>
    <x v="1"/>
    <x v="22"/>
    <x v="22"/>
    <x v="22"/>
    <s v="REVENUS"/>
    <x v="6"/>
    <s v="4211.001"/>
    <s v="Intérêts de retard sur factures"/>
    <n v="0"/>
    <n v="15.09"/>
    <n v="4211"/>
  </r>
  <r>
    <x v="1"/>
    <x v="1"/>
    <x v="1"/>
    <x v="22"/>
    <x v="22"/>
    <x v="22"/>
    <s v="REVENUS"/>
    <x v="6"/>
    <s v="4211.002"/>
    <s v="Intérêts de retard sur acomptes"/>
    <n v="0"/>
    <n v="365.17"/>
    <n v="4211"/>
  </r>
  <r>
    <x v="1"/>
    <x v="1"/>
    <x v="1"/>
    <x v="22"/>
    <x v="22"/>
    <x v="22"/>
    <s v="REVENUS"/>
    <x v="6"/>
    <s v="4221.001"/>
    <s v="Intérêts compensat. / créances en faveur du fisc"/>
    <n v="0"/>
    <n v="63.6"/>
    <n v="4221"/>
  </r>
  <r>
    <x v="1"/>
    <x v="1"/>
    <x v="1"/>
    <x v="22"/>
    <x v="22"/>
    <x v="22"/>
    <s v="REVENUS"/>
    <x v="18"/>
    <s v="4013.003"/>
    <s v="Remboursement impôt complémentaire sur immeubles"/>
    <n v="0"/>
    <n v="-2353"/>
    <n v="4013"/>
  </r>
  <r>
    <x v="1"/>
    <x v="1"/>
    <x v="1"/>
    <x v="22"/>
    <x v="22"/>
    <x v="22"/>
    <s v="REVENUS"/>
    <x v="17"/>
    <s v="4011.002"/>
    <s v="Complément impôt bénéfice ordinaire"/>
    <n v="0"/>
    <n v="4781.8999999999996"/>
    <n v="4011"/>
  </r>
  <r>
    <x v="1"/>
    <x v="1"/>
    <x v="1"/>
    <x v="22"/>
    <x v="22"/>
    <x v="22"/>
    <s v="REVENUS"/>
    <x v="7"/>
    <s v="4184.000"/>
    <s v="Frais de poursuite"/>
    <n v="0"/>
    <n v="59.26"/>
    <n v="4184"/>
  </r>
  <r>
    <x v="1"/>
    <x v="1"/>
    <x v="1"/>
    <x v="22"/>
    <x v="22"/>
    <x v="22"/>
    <s v="REVENUS"/>
    <x v="18"/>
    <s v="4013.001"/>
    <s v="Impôt complémentaire sur immeubles"/>
    <n v="0"/>
    <n v="18573.5"/>
    <n v="4013"/>
  </r>
  <r>
    <x v="1"/>
    <x v="2"/>
    <x v="2"/>
    <x v="23"/>
    <x v="23"/>
    <x v="23"/>
    <s v="CHARGES"/>
    <x v="0"/>
    <s v="3212.002"/>
    <s v="Intérêts bonifiés/trop perçu acompte C/C"/>
    <n v="0.25"/>
    <n v="0"/>
    <n v="3212"/>
  </r>
  <r>
    <x v="1"/>
    <x v="2"/>
    <x v="2"/>
    <x v="23"/>
    <x v="23"/>
    <x v="23"/>
    <s v="CHARGES"/>
    <x v="1"/>
    <s v="3301.006"/>
    <s v="Abandon de solde PM"/>
    <n v="13.9"/>
    <n v="0"/>
    <n v="3301"/>
  </r>
  <r>
    <x v="1"/>
    <x v="2"/>
    <x v="2"/>
    <x v="23"/>
    <x v="23"/>
    <x v="23"/>
    <s v="CHARGES"/>
    <x v="0"/>
    <s v="3212.004"/>
    <s v="Intérêts rémun./perçu trop tôt sur acomptes C/C"/>
    <n v="4.9000000000000004"/>
    <n v="0"/>
    <n v="3212"/>
  </r>
  <r>
    <x v="1"/>
    <x v="2"/>
    <x v="2"/>
    <x v="23"/>
    <x v="23"/>
    <x v="23"/>
    <s v="CHARGES"/>
    <x v="0"/>
    <s v="3221.002"/>
    <s v="Intérêts compensatoires / créances en faveur ctb."/>
    <n v="22.34"/>
    <n v="0"/>
    <n v="3221"/>
  </r>
  <r>
    <x v="1"/>
    <x v="2"/>
    <x v="2"/>
    <x v="23"/>
    <x v="23"/>
    <x v="23"/>
    <s v="REVENUS"/>
    <x v="17"/>
    <s v="4011.001"/>
    <s v="Impôt bénéfice ordinaire"/>
    <n v="0"/>
    <n v="9679.5"/>
    <n v="4011"/>
  </r>
  <r>
    <x v="1"/>
    <x v="2"/>
    <x v="2"/>
    <x v="23"/>
    <x v="23"/>
    <x v="23"/>
    <s v="REVENUS"/>
    <x v="17"/>
    <s v="4011.007"/>
    <s v="Acompte sur bénéfice"/>
    <n v="0"/>
    <n v="-2741.7"/>
    <n v="4011"/>
  </r>
  <r>
    <x v="1"/>
    <x v="2"/>
    <x v="2"/>
    <x v="23"/>
    <x v="23"/>
    <x v="23"/>
    <s v="REVENUS"/>
    <x v="16"/>
    <s v="4012.001"/>
    <s v="Impôt capital ordinaire"/>
    <n v="0"/>
    <n v="3028.45"/>
    <n v="4012"/>
  </r>
  <r>
    <x v="1"/>
    <x v="2"/>
    <x v="2"/>
    <x v="23"/>
    <x v="23"/>
    <x v="23"/>
    <s v="REVENUS"/>
    <x v="16"/>
    <s v="4012.007"/>
    <s v="Acompte sur capital"/>
    <n v="0"/>
    <n v="225.4"/>
    <n v="4012"/>
  </r>
  <r>
    <x v="1"/>
    <x v="2"/>
    <x v="2"/>
    <x v="23"/>
    <x v="23"/>
    <x v="23"/>
    <s v="REVENUS"/>
    <x v="6"/>
    <s v="4211.002"/>
    <s v="Intérêts de retard sur acomptes"/>
    <n v="0"/>
    <n v="29.98"/>
    <n v="4211"/>
  </r>
  <r>
    <x v="1"/>
    <x v="2"/>
    <x v="2"/>
    <x v="23"/>
    <x v="23"/>
    <x v="23"/>
    <s v="REVENUS"/>
    <x v="17"/>
    <s v="4011.002"/>
    <s v="Complément impôt bénéfice ordinaire"/>
    <n v="0"/>
    <n v="6403.2"/>
    <n v="4011"/>
  </r>
  <r>
    <x v="1"/>
    <x v="2"/>
    <x v="2"/>
    <x v="23"/>
    <x v="23"/>
    <x v="23"/>
    <s v="REVENUS"/>
    <x v="6"/>
    <s v="4211.001"/>
    <s v="Intérêts de retard sur factures"/>
    <n v="0"/>
    <n v="19.8"/>
    <n v="4211"/>
  </r>
  <r>
    <x v="1"/>
    <x v="2"/>
    <x v="2"/>
    <x v="23"/>
    <x v="23"/>
    <x v="23"/>
    <s v="REVENUS"/>
    <x v="6"/>
    <s v="4221.001"/>
    <s v="Intérêts compensat. / créances en faveur du fisc"/>
    <n v="0"/>
    <n v="7.55"/>
    <n v="4221"/>
  </r>
  <r>
    <x v="1"/>
    <x v="2"/>
    <x v="2"/>
    <x v="23"/>
    <x v="23"/>
    <x v="23"/>
    <s v="REVENUS"/>
    <x v="18"/>
    <s v="4013.001"/>
    <s v="Impôt complémentaire sur immeubles"/>
    <n v="0"/>
    <n v="3366.4"/>
    <n v="4013"/>
  </r>
  <r>
    <x v="1"/>
    <x v="2"/>
    <x v="2"/>
    <x v="23"/>
    <x v="23"/>
    <x v="23"/>
    <s v="REVENUS"/>
    <x v="18"/>
    <s v="4013.002"/>
    <s v="Complément impôt complémentaire sur immeubles"/>
    <n v="0"/>
    <n v="427.5"/>
    <n v="4013"/>
  </r>
  <r>
    <x v="1"/>
    <x v="2"/>
    <x v="2"/>
    <x v="24"/>
    <x v="24"/>
    <x v="24"/>
    <s v="CHARGES"/>
    <x v="1"/>
    <s v="3301.006"/>
    <s v="Abandon de solde PM"/>
    <n v="13.26"/>
    <n v="0"/>
    <n v="3301"/>
  </r>
  <r>
    <x v="1"/>
    <x v="2"/>
    <x v="2"/>
    <x v="24"/>
    <x v="24"/>
    <x v="24"/>
    <s v="CHARGES"/>
    <x v="0"/>
    <s v="3221.002"/>
    <s v="Intérêts compensatoires / créances en faveur ctb."/>
    <n v="27.1"/>
    <n v="0"/>
    <n v="3221"/>
  </r>
  <r>
    <x v="1"/>
    <x v="2"/>
    <x v="2"/>
    <x v="24"/>
    <x v="24"/>
    <x v="24"/>
    <s v="CHARGES"/>
    <x v="0"/>
    <s v="3212.004"/>
    <s v="Intérêts rémun./perçu trop tôt sur acomptes C/C"/>
    <n v="45.88"/>
    <n v="0"/>
    <n v="3212"/>
  </r>
  <r>
    <x v="1"/>
    <x v="2"/>
    <x v="2"/>
    <x v="24"/>
    <x v="24"/>
    <x v="24"/>
    <s v="REVENUS"/>
    <x v="16"/>
    <s v="4012.001"/>
    <s v="Impôt capital ordinaire"/>
    <n v="0"/>
    <n v="910.95"/>
    <n v="4012"/>
  </r>
  <r>
    <x v="1"/>
    <x v="2"/>
    <x v="2"/>
    <x v="24"/>
    <x v="24"/>
    <x v="24"/>
    <s v="REVENUS"/>
    <x v="16"/>
    <s v="4012.007"/>
    <s v="Acompte sur capital"/>
    <n v="0"/>
    <n v="1865.5"/>
    <n v="4012"/>
  </r>
  <r>
    <x v="1"/>
    <x v="2"/>
    <x v="2"/>
    <x v="24"/>
    <x v="24"/>
    <x v="24"/>
    <s v="REVENUS"/>
    <x v="6"/>
    <s v="4211.002"/>
    <s v="Intérêts de retard sur acomptes"/>
    <n v="0"/>
    <n v="326.14999999999998"/>
    <n v="4211"/>
  </r>
  <r>
    <x v="1"/>
    <x v="2"/>
    <x v="2"/>
    <x v="24"/>
    <x v="24"/>
    <x v="24"/>
    <s v="REVENUS"/>
    <x v="18"/>
    <s v="4013.003"/>
    <s v="Remboursement impôt complémentaire sur immeubles"/>
    <n v="0"/>
    <n v="-212.7"/>
    <n v="4013"/>
  </r>
  <r>
    <x v="1"/>
    <x v="2"/>
    <x v="2"/>
    <x v="24"/>
    <x v="24"/>
    <x v="24"/>
    <s v="REVENUS"/>
    <x v="17"/>
    <s v="4011.002"/>
    <s v="Complément impôt bénéfice ordinaire"/>
    <n v="0"/>
    <n v="64.599999999999994"/>
    <n v="4011"/>
  </r>
  <r>
    <x v="1"/>
    <x v="2"/>
    <x v="2"/>
    <x v="24"/>
    <x v="24"/>
    <x v="24"/>
    <s v="REVENUS"/>
    <x v="17"/>
    <s v="4011.001"/>
    <s v="Impôt bénéfice ordinaire"/>
    <n v="0"/>
    <n v="28828.95"/>
    <n v="4011"/>
  </r>
  <r>
    <x v="1"/>
    <x v="2"/>
    <x v="2"/>
    <x v="24"/>
    <x v="24"/>
    <x v="24"/>
    <s v="REVENUS"/>
    <x v="17"/>
    <s v="4011.007"/>
    <s v="Acompte sur bénéfice"/>
    <n v="0"/>
    <n v="-31777.3"/>
    <n v="4011"/>
  </r>
  <r>
    <x v="1"/>
    <x v="2"/>
    <x v="2"/>
    <x v="24"/>
    <x v="24"/>
    <x v="24"/>
    <s v="REVENUS"/>
    <x v="6"/>
    <s v="4221.001"/>
    <s v="Intérêts compensat. / créances en faveur du fisc"/>
    <n v="0"/>
    <n v="0.66"/>
    <n v="4221"/>
  </r>
  <r>
    <x v="1"/>
    <x v="2"/>
    <x v="2"/>
    <x v="24"/>
    <x v="24"/>
    <x v="24"/>
    <s v="REVENUS"/>
    <x v="18"/>
    <s v="4013.001"/>
    <s v="Impôt complémentaire sur immeubles"/>
    <n v="0"/>
    <n v="969.5"/>
    <n v="4013"/>
  </r>
  <r>
    <x v="1"/>
    <x v="2"/>
    <x v="2"/>
    <x v="24"/>
    <x v="24"/>
    <x v="24"/>
    <s v="REVENUS"/>
    <x v="11"/>
    <s v="4198.001"/>
    <s v="Impôt foncier"/>
    <n v="0"/>
    <n v="2507.6999999999998"/>
    <n v="4198"/>
  </r>
  <r>
    <x v="1"/>
    <x v="2"/>
    <x v="2"/>
    <x v="24"/>
    <x v="24"/>
    <x v="24"/>
    <s v="REVENUS"/>
    <x v="10"/>
    <s v="4041.001"/>
    <s v="Droits de mutation"/>
    <n v="0"/>
    <n v="9515"/>
    <n v="4041"/>
  </r>
  <r>
    <x v="1"/>
    <x v="2"/>
    <x v="2"/>
    <x v="24"/>
    <x v="24"/>
    <x v="24"/>
    <s v="REVENUS"/>
    <x v="6"/>
    <s v="4211.001"/>
    <s v="Intérêts de retard sur factures"/>
    <n v="0"/>
    <n v="0.05"/>
    <n v="4211"/>
  </r>
  <r>
    <x v="1"/>
    <x v="1"/>
    <x v="1"/>
    <x v="25"/>
    <x v="25"/>
    <x v="25"/>
    <s v="CHARGES"/>
    <x v="1"/>
    <s v="3301.006"/>
    <s v="Abandon de solde PM"/>
    <n v="3.28"/>
    <n v="0"/>
    <n v="3301"/>
  </r>
  <r>
    <x v="1"/>
    <x v="1"/>
    <x v="1"/>
    <x v="25"/>
    <x v="25"/>
    <x v="25"/>
    <s v="CHARGES"/>
    <x v="0"/>
    <s v="3212.002"/>
    <s v="Intérêts bonifiés/trop perçu acompte C/C"/>
    <n v="0.02"/>
    <n v="0"/>
    <n v="3212"/>
  </r>
  <r>
    <x v="1"/>
    <x v="1"/>
    <x v="1"/>
    <x v="25"/>
    <x v="25"/>
    <x v="25"/>
    <s v="CHARGES"/>
    <x v="0"/>
    <s v="3212.004"/>
    <s v="Intérêts rémun./perçu trop tôt sur acomptes C/C"/>
    <n v="0.66"/>
    <n v="0"/>
    <n v="3212"/>
  </r>
  <r>
    <x v="1"/>
    <x v="1"/>
    <x v="1"/>
    <x v="25"/>
    <x v="25"/>
    <x v="25"/>
    <s v="CHARGES"/>
    <x v="0"/>
    <s v="3221.002"/>
    <s v="Intérêts compensatoires / créances en faveur ctb."/>
    <n v="1"/>
    <n v="0"/>
    <n v="3221"/>
  </r>
  <r>
    <x v="1"/>
    <x v="1"/>
    <x v="1"/>
    <x v="25"/>
    <x v="25"/>
    <x v="25"/>
    <s v="REVENUS"/>
    <x v="6"/>
    <s v="4211.001"/>
    <s v="Intérêts de retard sur factures"/>
    <n v="0"/>
    <n v="0.56999999999999995"/>
    <n v="4211"/>
  </r>
  <r>
    <x v="1"/>
    <x v="1"/>
    <x v="1"/>
    <x v="25"/>
    <x v="25"/>
    <x v="25"/>
    <s v="REVENUS"/>
    <x v="18"/>
    <s v="4013.003"/>
    <s v="Remboursement impôt complémentaire sur immeubles"/>
    <n v="0"/>
    <n v="-550"/>
    <n v="4013"/>
  </r>
  <r>
    <x v="1"/>
    <x v="1"/>
    <x v="1"/>
    <x v="25"/>
    <x v="25"/>
    <x v="25"/>
    <s v="REVENUS"/>
    <x v="17"/>
    <s v="4011.002"/>
    <s v="Complément impôt bénéfice ordinaire"/>
    <n v="0"/>
    <n v="385.3"/>
    <n v="4011"/>
  </r>
  <r>
    <x v="1"/>
    <x v="1"/>
    <x v="1"/>
    <x v="25"/>
    <x v="25"/>
    <x v="25"/>
    <s v="REVENUS"/>
    <x v="16"/>
    <s v="4012.001"/>
    <s v="Impôt capital ordinaire"/>
    <n v="0"/>
    <n v="116.45"/>
    <n v="4012"/>
  </r>
  <r>
    <x v="1"/>
    <x v="1"/>
    <x v="1"/>
    <x v="25"/>
    <x v="25"/>
    <x v="25"/>
    <s v="REVENUS"/>
    <x v="16"/>
    <s v="4012.007"/>
    <s v="Acompte sur capital"/>
    <n v="0"/>
    <n v="110.4"/>
    <n v="4012"/>
  </r>
  <r>
    <x v="1"/>
    <x v="1"/>
    <x v="1"/>
    <x v="25"/>
    <x v="25"/>
    <x v="25"/>
    <s v="REVENUS"/>
    <x v="17"/>
    <s v="4011.001"/>
    <s v="Impôt bénéfice ordinaire"/>
    <n v="0"/>
    <n v="38.549999999999997"/>
    <n v="4011"/>
  </r>
  <r>
    <x v="1"/>
    <x v="1"/>
    <x v="1"/>
    <x v="25"/>
    <x v="25"/>
    <x v="25"/>
    <s v="REVENUS"/>
    <x v="6"/>
    <s v="4211.002"/>
    <s v="Intérêts de retard sur acomptes"/>
    <n v="0"/>
    <n v="1.1000000000000001"/>
    <n v="4211"/>
  </r>
  <r>
    <x v="1"/>
    <x v="1"/>
    <x v="1"/>
    <x v="25"/>
    <x v="25"/>
    <x v="25"/>
    <s v="REVENUS"/>
    <x v="17"/>
    <s v="4011.007"/>
    <s v="Acompte sur bénéfice"/>
    <n v="0"/>
    <n v="453.75"/>
    <n v="4011"/>
  </r>
  <r>
    <x v="1"/>
    <x v="1"/>
    <x v="1"/>
    <x v="25"/>
    <x v="25"/>
    <x v="25"/>
    <s v="REVENUS"/>
    <x v="18"/>
    <s v="4013.001"/>
    <s v="Impôt complémentaire sur immeubles"/>
    <n v="0"/>
    <n v="833.85"/>
    <n v="4013"/>
  </r>
  <r>
    <x v="1"/>
    <x v="1"/>
    <x v="1"/>
    <x v="25"/>
    <x v="25"/>
    <x v="25"/>
    <s v="REVENUS"/>
    <x v="10"/>
    <s v="4041.001"/>
    <s v="Droits de mutation"/>
    <n v="0"/>
    <n v="2740.5"/>
    <n v="4041"/>
  </r>
  <r>
    <x v="1"/>
    <x v="1"/>
    <x v="1"/>
    <x v="26"/>
    <x v="26"/>
    <x v="26"/>
    <s v="CHARGES"/>
    <x v="0"/>
    <s v="3212.004"/>
    <s v="Intérêts rémun./perçu trop tôt sur acomptes C/C"/>
    <n v="8.51"/>
    <n v="0"/>
    <n v="3212"/>
  </r>
  <r>
    <x v="1"/>
    <x v="1"/>
    <x v="1"/>
    <x v="26"/>
    <x v="26"/>
    <x v="26"/>
    <s v="CHARGES"/>
    <x v="0"/>
    <s v="3221.002"/>
    <s v="Intérêts compensatoires / créances en faveur ctb."/>
    <n v="13.85"/>
    <n v="0"/>
    <n v="3221"/>
  </r>
  <r>
    <x v="1"/>
    <x v="1"/>
    <x v="1"/>
    <x v="26"/>
    <x v="26"/>
    <x v="26"/>
    <s v="CHARGES"/>
    <x v="0"/>
    <s v="3212.002"/>
    <s v="Intérêts bonifiés/trop perçu acompte C/C"/>
    <n v="0.02"/>
    <n v="0"/>
    <n v="3212"/>
  </r>
  <r>
    <x v="1"/>
    <x v="1"/>
    <x v="1"/>
    <x v="26"/>
    <x v="26"/>
    <x v="26"/>
    <s v="CHARGES"/>
    <x v="1"/>
    <s v="3301.006"/>
    <s v="Abandon de solde PM"/>
    <n v="14.89"/>
    <n v="0"/>
    <n v="3301"/>
  </r>
  <r>
    <x v="1"/>
    <x v="1"/>
    <x v="1"/>
    <x v="26"/>
    <x v="26"/>
    <x v="26"/>
    <s v="REVENUS"/>
    <x v="17"/>
    <s v="4011.007"/>
    <s v="Acompte sur bénéfice"/>
    <n v="0"/>
    <n v="-2045.7"/>
    <n v="4011"/>
  </r>
  <r>
    <x v="1"/>
    <x v="1"/>
    <x v="1"/>
    <x v="26"/>
    <x v="26"/>
    <x v="26"/>
    <s v="REVENUS"/>
    <x v="16"/>
    <s v="4012.001"/>
    <s v="Impôt capital ordinaire"/>
    <n v="0"/>
    <n v="339.35"/>
    <n v="4012"/>
  </r>
  <r>
    <x v="1"/>
    <x v="1"/>
    <x v="1"/>
    <x v="26"/>
    <x v="26"/>
    <x v="26"/>
    <s v="REVENUS"/>
    <x v="17"/>
    <s v="4011.002"/>
    <s v="Complément impôt bénéfice ordinaire"/>
    <n v="0"/>
    <n v="446.2"/>
    <n v="4011"/>
  </r>
  <r>
    <x v="1"/>
    <x v="1"/>
    <x v="1"/>
    <x v="26"/>
    <x v="26"/>
    <x v="26"/>
    <s v="REVENUS"/>
    <x v="16"/>
    <s v="4012.007"/>
    <s v="Acompte sur capital"/>
    <n v="0"/>
    <n v="-216.35"/>
    <n v="4012"/>
  </r>
  <r>
    <x v="1"/>
    <x v="1"/>
    <x v="1"/>
    <x v="26"/>
    <x v="26"/>
    <x v="26"/>
    <s v="REVENUS"/>
    <x v="6"/>
    <s v="4211.002"/>
    <s v="Intérêts de retard sur acomptes"/>
    <n v="0"/>
    <n v="36.79"/>
    <n v="4211"/>
  </r>
  <r>
    <x v="1"/>
    <x v="1"/>
    <x v="1"/>
    <x v="26"/>
    <x v="26"/>
    <x v="26"/>
    <s v="REVENUS"/>
    <x v="17"/>
    <s v="4011.001"/>
    <s v="Impôt bénéfice ordinaire"/>
    <n v="0"/>
    <n v="4382.3500000000004"/>
    <n v="4011"/>
  </r>
  <r>
    <x v="1"/>
    <x v="1"/>
    <x v="1"/>
    <x v="26"/>
    <x v="26"/>
    <x v="26"/>
    <s v="REVENUS"/>
    <x v="7"/>
    <s v="4184.000"/>
    <s v="Frais de poursuite"/>
    <n v="0"/>
    <n v="49.03"/>
    <n v="4184"/>
  </r>
  <r>
    <x v="1"/>
    <x v="1"/>
    <x v="1"/>
    <x v="26"/>
    <x v="26"/>
    <x v="26"/>
    <s v="REVENUS"/>
    <x v="6"/>
    <s v="4221.001"/>
    <s v="Intérêts compensat. / créances en faveur du fisc"/>
    <n v="0"/>
    <n v="1.32"/>
    <n v="4221"/>
  </r>
  <r>
    <x v="1"/>
    <x v="1"/>
    <x v="1"/>
    <x v="26"/>
    <x v="26"/>
    <x v="26"/>
    <s v="REVENUS"/>
    <x v="18"/>
    <s v="4013.001"/>
    <s v="Impôt complémentaire sur immeubles"/>
    <n v="0"/>
    <n v="5497.3"/>
    <n v="4013"/>
  </r>
  <r>
    <x v="1"/>
    <x v="2"/>
    <x v="2"/>
    <x v="27"/>
    <x v="27"/>
    <x v="27"/>
    <s v="CHARGES"/>
    <x v="1"/>
    <s v="3301.006"/>
    <s v="Abandon de solde PM"/>
    <n v="15.74"/>
    <n v="0"/>
    <n v="3301"/>
  </r>
  <r>
    <x v="1"/>
    <x v="2"/>
    <x v="2"/>
    <x v="27"/>
    <x v="27"/>
    <x v="27"/>
    <s v="CHARGES"/>
    <x v="0"/>
    <s v="3212.004"/>
    <s v="Intérêts rémun./perçu trop tôt sur acomptes C/C"/>
    <n v="3.47"/>
    <n v="0"/>
    <n v="3212"/>
  </r>
  <r>
    <x v="1"/>
    <x v="2"/>
    <x v="2"/>
    <x v="27"/>
    <x v="27"/>
    <x v="27"/>
    <s v="CHARGES"/>
    <x v="0"/>
    <s v="3221.002"/>
    <s v="Intérêts compensatoires / créances en faveur ctb."/>
    <n v="5.47"/>
    <n v="0"/>
    <n v="3221"/>
  </r>
  <r>
    <x v="1"/>
    <x v="2"/>
    <x v="2"/>
    <x v="27"/>
    <x v="27"/>
    <x v="27"/>
    <s v="CHARGES"/>
    <x v="0"/>
    <s v="3212.002"/>
    <s v="Intérêts bonifiés/trop perçu acompte C/C"/>
    <n v="0.06"/>
    <n v="0"/>
    <n v="3212"/>
  </r>
  <r>
    <x v="1"/>
    <x v="2"/>
    <x v="2"/>
    <x v="27"/>
    <x v="27"/>
    <x v="27"/>
    <s v="REVENUS"/>
    <x v="6"/>
    <s v="4211.001"/>
    <s v="Intérêts de retard sur factures"/>
    <n v="0"/>
    <n v="5.76"/>
    <n v="4211"/>
  </r>
  <r>
    <x v="1"/>
    <x v="2"/>
    <x v="2"/>
    <x v="27"/>
    <x v="27"/>
    <x v="27"/>
    <s v="REVENUS"/>
    <x v="17"/>
    <s v="4011.001"/>
    <s v="Impôt bénéfice ordinaire"/>
    <n v="0"/>
    <n v="14732.05"/>
    <n v="4011"/>
  </r>
  <r>
    <x v="1"/>
    <x v="2"/>
    <x v="2"/>
    <x v="27"/>
    <x v="27"/>
    <x v="27"/>
    <s v="REVENUS"/>
    <x v="16"/>
    <s v="4012.007"/>
    <s v="Acompte sur capital"/>
    <n v="0"/>
    <n v="2451.5"/>
    <n v="4012"/>
  </r>
  <r>
    <x v="1"/>
    <x v="2"/>
    <x v="2"/>
    <x v="27"/>
    <x v="27"/>
    <x v="27"/>
    <s v="REVENUS"/>
    <x v="6"/>
    <s v="4211.002"/>
    <s v="Intérêts de retard sur acomptes"/>
    <n v="0"/>
    <n v="92.5"/>
    <n v="4211"/>
  </r>
  <r>
    <x v="1"/>
    <x v="2"/>
    <x v="2"/>
    <x v="27"/>
    <x v="27"/>
    <x v="27"/>
    <s v="REVENUS"/>
    <x v="6"/>
    <s v="4221.001"/>
    <s v="Intérêts compensat. / créances en faveur du fisc"/>
    <n v="0"/>
    <n v="8.27"/>
    <n v="4221"/>
  </r>
  <r>
    <x v="1"/>
    <x v="2"/>
    <x v="2"/>
    <x v="27"/>
    <x v="27"/>
    <x v="27"/>
    <s v="REVENUS"/>
    <x v="17"/>
    <s v="4011.007"/>
    <s v="Acompte sur bénéfice"/>
    <n v="0"/>
    <n v="-2651.95"/>
    <n v="4011"/>
  </r>
  <r>
    <x v="1"/>
    <x v="2"/>
    <x v="2"/>
    <x v="27"/>
    <x v="27"/>
    <x v="27"/>
    <s v="REVENUS"/>
    <x v="16"/>
    <s v="4012.001"/>
    <s v="Impôt capital ordinaire"/>
    <n v="0"/>
    <n v="689.8"/>
    <n v="4012"/>
  </r>
  <r>
    <x v="1"/>
    <x v="2"/>
    <x v="2"/>
    <x v="27"/>
    <x v="27"/>
    <x v="27"/>
    <s v="REVENUS"/>
    <x v="17"/>
    <s v="4011.002"/>
    <s v="Complément impôt bénéfice ordinaire"/>
    <n v="0"/>
    <n v="1403.15"/>
    <n v="4011"/>
  </r>
  <r>
    <x v="1"/>
    <x v="2"/>
    <x v="2"/>
    <x v="27"/>
    <x v="27"/>
    <x v="27"/>
    <s v="REVENUS"/>
    <x v="16"/>
    <s v="4012.002"/>
    <s v="Complément impôt capital ordinaire"/>
    <n v="0"/>
    <n v="110.55"/>
    <n v="4012"/>
  </r>
  <r>
    <x v="1"/>
    <x v="2"/>
    <x v="2"/>
    <x v="27"/>
    <x v="27"/>
    <x v="27"/>
    <s v="REVENUS"/>
    <x v="18"/>
    <s v="4013.003"/>
    <s v="Remboursement impôt complémentaire sur immeubles"/>
    <n v="0"/>
    <n v="-544"/>
    <n v="4013"/>
  </r>
  <r>
    <x v="1"/>
    <x v="2"/>
    <x v="2"/>
    <x v="27"/>
    <x v="27"/>
    <x v="27"/>
    <s v="REVENUS"/>
    <x v="18"/>
    <s v="4013.001"/>
    <s v="Impôt complémentaire sur immeubles"/>
    <n v="0"/>
    <n v="3394.7"/>
    <n v="4013"/>
  </r>
  <r>
    <x v="1"/>
    <x v="1"/>
    <x v="1"/>
    <x v="28"/>
    <x v="28"/>
    <x v="28"/>
    <s v="CHARGES"/>
    <x v="0"/>
    <s v="3212.004"/>
    <s v="Intérêts rémun./perçu trop tôt sur acomptes C/C"/>
    <n v="2.33"/>
    <n v="0"/>
    <n v="3212"/>
  </r>
  <r>
    <x v="1"/>
    <x v="1"/>
    <x v="1"/>
    <x v="28"/>
    <x v="28"/>
    <x v="28"/>
    <s v="CHARGES"/>
    <x v="0"/>
    <s v="3221.002"/>
    <s v="Intérêts compensatoires / créances en faveur ctb."/>
    <n v="3.2"/>
    <n v="0"/>
    <n v="3221"/>
  </r>
  <r>
    <x v="1"/>
    <x v="1"/>
    <x v="1"/>
    <x v="28"/>
    <x v="28"/>
    <x v="28"/>
    <s v="CHARGES"/>
    <x v="1"/>
    <s v="3301.002"/>
    <s v="Défalcation PM"/>
    <n v="893.44"/>
    <n v="0"/>
    <n v="3301"/>
  </r>
  <r>
    <x v="1"/>
    <x v="1"/>
    <x v="1"/>
    <x v="28"/>
    <x v="28"/>
    <x v="28"/>
    <s v="CHARGES"/>
    <x v="0"/>
    <s v="3212.002"/>
    <s v="Intérêts bonifiés/trop perçu acompte C/C"/>
    <n v="0.02"/>
    <n v="0"/>
    <n v="3212"/>
  </r>
  <r>
    <x v="1"/>
    <x v="1"/>
    <x v="1"/>
    <x v="28"/>
    <x v="28"/>
    <x v="28"/>
    <s v="CHARGES"/>
    <x v="1"/>
    <s v="3301.006"/>
    <s v="Abandon de solde PM"/>
    <n v="4.46"/>
    <n v="0"/>
    <n v="3301"/>
  </r>
  <r>
    <x v="1"/>
    <x v="1"/>
    <x v="1"/>
    <x v="28"/>
    <x v="28"/>
    <x v="28"/>
    <s v="REVENUS"/>
    <x v="17"/>
    <s v="4011.002"/>
    <s v="Complément impôt bénéfice ordinaire"/>
    <n v="0"/>
    <n v="365.55"/>
    <n v="4011"/>
  </r>
  <r>
    <x v="1"/>
    <x v="1"/>
    <x v="1"/>
    <x v="28"/>
    <x v="28"/>
    <x v="28"/>
    <s v="REVENUS"/>
    <x v="16"/>
    <s v="4012.001"/>
    <s v="Impôt capital ordinaire"/>
    <n v="0"/>
    <n v="124.35"/>
    <n v="4012"/>
  </r>
  <r>
    <x v="1"/>
    <x v="1"/>
    <x v="1"/>
    <x v="28"/>
    <x v="28"/>
    <x v="28"/>
    <s v="REVENUS"/>
    <x v="16"/>
    <s v="4012.007"/>
    <s v="Acompte sur capital"/>
    <n v="0"/>
    <n v="61.85"/>
    <n v="4012"/>
  </r>
  <r>
    <x v="1"/>
    <x v="1"/>
    <x v="1"/>
    <x v="28"/>
    <x v="28"/>
    <x v="28"/>
    <s v="REVENUS"/>
    <x v="17"/>
    <s v="4011.001"/>
    <s v="Impôt bénéfice ordinaire"/>
    <n v="0"/>
    <n v="8066.35"/>
    <n v="4011"/>
  </r>
  <r>
    <x v="1"/>
    <x v="1"/>
    <x v="1"/>
    <x v="28"/>
    <x v="28"/>
    <x v="28"/>
    <s v="REVENUS"/>
    <x v="17"/>
    <s v="4011.007"/>
    <s v="Acompte sur bénéfice"/>
    <n v="0"/>
    <n v="18317.05"/>
    <n v="4011"/>
  </r>
  <r>
    <x v="1"/>
    <x v="1"/>
    <x v="1"/>
    <x v="28"/>
    <x v="28"/>
    <x v="28"/>
    <s v="REVENUS"/>
    <x v="6"/>
    <s v="4211.002"/>
    <s v="Intérêts de retard sur acomptes"/>
    <n v="0"/>
    <n v="16.88"/>
    <n v="4211"/>
  </r>
  <r>
    <x v="1"/>
    <x v="1"/>
    <x v="1"/>
    <x v="28"/>
    <x v="28"/>
    <x v="28"/>
    <s v="REVENUS"/>
    <x v="6"/>
    <s v="4221.001"/>
    <s v="Intérêts compensat. / créances en faveur du fisc"/>
    <n v="0"/>
    <n v="7.01"/>
    <n v="4221"/>
  </r>
  <r>
    <x v="1"/>
    <x v="1"/>
    <x v="1"/>
    <x v="29"/>
    <x v="29"/>
    <x v="29"/>
    <s v="CHARGES"/>
    <x v="0"/>
    <s v="3212.002"/>
    <s v="Intérêts bonifiés/trop perçu acompte C/C"/>
    <n v="0.01"/>
    <n v="0"/>
    <n v="3212"/>
  </r>
  <r>
    <x v="1"/>
    <x v="1"/>
    <x v="1"/>
    <x v="29"/>
    <x v="29"/>
    <x v="29"/>
    <s v="CHARGES"/>
    <x v="0"/>
    <s v="3212.004"/>
    <s v="Intérêts rémun./perçu trop tôt sur acomptes C/C"/>
    <n v="0.72"/>
    <n v="0"/>
    <n v="3212"/>
  </r>
  <r>
    <x v="1"/>
    <x v="1"/>
    <x v="1"/>
    <x v="29"/>
    <x v="29"/>
    <x v="29"/>
    <s v="CHARGES"/>
    <x v="0"/>
    <s v="3221.002"/>
    <s v="Intérêts compensatoires / créances en faveur ctb."/>
    <n v="0.77"/>
    <n v="0"/>
    <n v="3221"/>
  </r>
  <r>
    <x v="1"/>
    <x v="1"/>
    <x v="1"/>
    <x v="29"/>
    <x v="29"/>
    <x v="29"/>
    <s v="CHARGES"/>
    <x v="1"/>
    <s v="3301.006"/>
    <s v="Abandon de solde PM"/>
    <n v="5.15"/>
    <n v="0"/>
    <n v="3301"/>
  </r>
  <r>
    <x v="1"/>
    <x v="1"/>
    <x v="1"/>
    <x v="29"/>
    <x v="29"/>
    <x v="29"/>
    <s v="REVENUS"/>
    <x v="17"/>
    <s v="4011.002"/>
    <s v="Complément impôt bénéfice ordinaire"/>
    <n v="0"/>
    <n v="282.64999999999998"/>
    <n v="4011"/>
  </r>
  <r>
    <x v="1"/>
    <x v="1"/>
    <x v="1"/>
    <x v="29"/>
    <x v="29"/>
    <x v="29"/>
    <s v="REVENUS"/>
    <x v="17"/>
    <s v="4011.001"/>
    <s v="Impôt bénéfice ordinaire"/>
    <n v="0"/>
    <n v="5735.25"/>
    <n v="4011"/>
  </r>
  <r>
    <x v="1"/>
    <x v="1"/>
    <x v="1"/>
    <x v="29"/>
    <x v="29"/>
    <x v="29"/>
    <s v="REVENUS"/>
    <x v="17"/>
    <s v="4011.007"/>
    <s v="Acompte sur bénéfice"/>
    <n v="0"/>
    <n v="1322.45"/>
    <n v="4011"/>
  </r>
  <r>
    <x v="1"/>
    <x v="1"/>
    <x v="1"/>
    <x v="29"/>
    <x v="29"/>
    <x v="29"/>
    <s v="REVENUS"/>
    <x v="16"/>
    <s v="4012.007"/>
    <s v="Acompte sur capital"/>
    <n v="0"/>
    <n v="-323.14999999999998"/>
    <n v="4012"/>
  </r>
  <r>
    <x v="1"/>
    <x v="1"/>
    <x v="1"/>
    <x v="29"/>
    <x v="29"/>
    <x v="29"/>
    <s v="REVENUS"/>
    <x v="6"/>
    <s v="4211.002"/>
    <s v="Intérêts de retard sur acomptes"/>
    <n v="0"/>
    <n v="5.51"/>
    <n v="4211"/>
  </r>
  <r>
    <x v="1"/>
    <x v="1"/>
    <x v="1"/>
    <x v="29"/>
    <x v="29"/>
    <x v="29"/>
    <s v="REVENUS"/>
    <x v="6"/>
    <s v="4221.001"/>
    <s v="Intérêts compensat. / créances en faveur du fisc"/>
    <n v="0"/>
    <n v="0.03"/>
    <n v="4221"/>
  </r>
  <r>
    <x v="1"/>
    <x v="1"/>
    <x v="1"/>
    <x v="29"/>
    <x v="29"/>
    <x v="29"/>
    <s v="REVENUS"/>
    <x v="16"/>
    <s v="4012.001"/>
    <s v="Impôt capital ordinaire"/>
    <n v="0"/>
    <n v="223.3"/>
    <n v="4012"/>
  </r>
  <r>
    <x v="1"/>
    <x v="1"/>
    <x v="1"/>
    <x v="29"/>
    <x v="29"/>
    <x v="29"/>
    <s v="REVENUS"/>
    <x v="6"/>
    <s v="4211.001"/>
    <s v="Intérêts de retard sur factures"/>
    <n v="0"/>
    <n v="0.09"/>
    <n v="4211"/>
  </r>
  <r>
    <x v="1"/>
    <x v="1"/>
    <x v="1"/>
    <x v="30"/>
    <x v="30"/>
    <x v="30"/>
    <s v="CHARGES"/>
    <x v="0"/>
    <s v="3212.004"/>
    <s v="Intérêts rémun./perçu trop tôt sur acomptes C/C"/>
    <n v="1.0900000000000001"/>
    <n v="0"/>
    <n v="3212"/>
  </r>
  <r>
    <x v="1"/>
    <x v="1"/>
    <x v="1"/>
    <x v="30"/>
    <x v="30"/>
    <x v="30"/>
    <s v="CHARGES"/>
    <x v="0"/>
    <s v="3221.002"/>
    <s v="Intérêts compensatoires / créances en faveur ctb."/>
    <n v="1.59"/>
    <n v="0"/>
    <n v="3221"/>
  </r>
  <r>
    <x v="1"/>
    <x v="1"/>
    <x v="1"/>
    <x v="30"/>
    <x v="30"/>
    <x v="30"/>
    <s v="CHARGES"/>
    <x v="0"/>
    <s v="3212.002"/>
    <s v="Intérêts bonifiés/trop perçu acompte C/C"/>
    <n v="0.01"/>
    <n v="0"/>
    <n v="3212"/>
  </r>
  <r>
    <x v="1"/>
    <x v="1"/>
    <x v="1"/>
    <x v="30"/>
    <x v="30"/>
    <x v="30"/>
    <s v="CHARGES"/>
    <x v="1"/>
    <s v="3301.006"/>
    <s v="Abandon de solde PM"/>
    <n v="5.7"/>
    <n v="0"/>
    <n v="3301"/>
  </r>
  <r>
    <x v="1"/>
    <x v="1"/>
    <x v="1"/>
    <x v="30"/>
    <x v="30"/>
    <x v="30"/>
    <s v="REVENUS"/>
    <x v="17"/>
    <s v="4011.001"/>
    <s v="Impôt bénéfice ordinaire"/>
    <n v="0"/>
    <n v="48362.25"/>
    <n v="4011"/>
  </r>
  <r>
    <x v="1"/>
    <x v="1"/>
    <x v="1"/>
    <x v="30"/>
    <x v="30"/>
    <x v="30"/>
    <s v="REVENUS"/>
    <x v="17"/>
    <s v="4011.002"/>
    <s v="Complément impôt bénéfice ordinaire"/>
    <n v="0"/>
    <n v="249.4"/>
    <n v="4011"/>
  </r>
  <r>
    <x v="1"/>
    <x v="1"/>
    <x v="1"/>
    <x v="30"/>
    <x v="30"/>
    <x v="30"/>
    <s v="REVENUS"/>
    <x v="16"/>
    <s v="4012.001"/>
    <s v="Impôt capital ordinaire"/>
    <n v="0"/>
    <n v="78.45"/>
    <n v="4012"/>
  </r>
  <r>
    <x v="1"/>
    <x v="1"/>
    <x v="1"/>
    <x v="30"/>
    <x v="30"/>
    <x v="30"/>
    <s v="REVENUS"/>
    <x v="16"/>
    <s v="4012.007"/>
    <s v="Acompte sur capital"/>
    <n v="0"/>
    <n v="367.65"/>
    <n v="4012"/>
  </r>
  <r>
    <x v="1"/>
    <x v="1"/>
    <x v="1"/>
    <x v="30"/>
    <x v="30"/>
    <x v="30"/>
    <s v="REVENUS"/>
    <x v="17"/>
    <s v="4011.007"/>
    <s v="Acompte sur bénéfice"/>
    <n v="0"/>
    <n v="321.14999999999998"/>
    <n v="4011"/>
  </r>
  <r>
    <x v="1"/>
    <x v="1"/>
    <x v="1"/>
    <x v="30"/>
    <x v="30"/>
    <x v="30"/>
    <s v="REVENUS"/>
    <x v="6"/>
    <s v="4211.002"/>
    <s v="Intérêts de retard sur acomptes"/>
    <n v="0"/>
    <n v="3.6"/>
    <n v="4211"/>
  </r>
  <r>
    <x v="1"/>
    <x v="1"/>
    <x v="1"/>
    <x v="30"/>
    <x v="30"/>
    <x v="30"/>
    <s v="REVENUS"/>
    <x v="6"/>
    <s v="4221.001"/>
    <s v="Intérêts compensat. / créances en faveur du fisc"/>
    <n v="0"/>
    <n v="2.38"/>
    <n v="4221"/>
  </r>
  <r>
    <x v="1"/>
    <x v="1"/>
    <x v="1"/>
    <x v="30"/>
    <x v="30"/>
    <x v="30"/>
    <s v="REVENUS"/>
    <x v="6"/>
    <s v="4211.001"/>
    <s v="Intérêts de retard sur factures"/>
    <n v="0"/>
    <n v="379.88"/>
    <n v="4211"/>
  </r>
  <r>
    <x v="1"/>
    <x v="1"/>
    <x v="1"/>
    <x v="30"/>
    <x v="30"/>
    <x v="30"/>
    <s v="REVENUS"/>
    <x v="7"/>
    <s v="4184.000"/>
    <s v="Frais de poursuite"/>
    <n v="0"/>
    <n v="25.01"/>
    <n v="4184"/>
  </r>
  <r>
    <x v="1"/>
    <x v="1"/>
    <x v="1"/>
    <x v="30"/>
    <x v="30"/>
    <x v="30"/>
    <s v="REVENUS"/>
    <x v="18"/>
    <s v="4013.001"/>
    <s v="Impôt complémentaire sur immeubles"/>
    <n v="0"/>
    <n v="746.35"/>
    <n v="4013"/>
  </r>
  <r>
    <x v="1"/>
    <x v="3"/>
    <x v="3"/>
    <x v="31"/>
    <x v="31"/>
    <x v="31"/>
    <s v="CHARGES"/>
    <x v="0"/>
    <s v="3212.004"/>
    <s v="Intérêts rémun./perçu trop tôt sur acomptes C/C"/>
    <n v="481.81"/>
    <n v="0"/>
    <n v="3212"/>
  </r>
  <r>
    <x v="1"/>
    <x v="3"/>
    <x v="3"/>
    <x v="31"/>
    <x v="31"/>
    <x v="31"/>
    <s v="CHARGES"/>
    <x v="0"/>
    <s v="3221.002"/>
    <s v="Intérêts compensatoires / créances en faveur ctb."/>
    <n v="150.13999999999999"/>
    <n v="0"/>
    <n v="3221"/>
  </r>
  <r>
    <x v="1"/>
    <x v="3"/>
    <x v="3"/>
    <x v="31"/>
    <x v="31"/>
    <x v="31"/>
    <s v="CHARGES"/>
    <x v="0"/>
    <s v="3212.002"/>
    <s v="Intérêts bonifiés/trop perçu acompte C/C"/>
    <n v="0.94"/>
    <n v="0"/>
    <n v="3212"/>
  </r>
  <r>
    <x v="1"/>
    <x v="3"/>
    <x v="3"/>
    <x v="31"/>
    <x v="31"/>
    <x v="31"/>
    <s v="CHARGES"/>
    <x v="1"/>
    <s v="3301.006"/>
    <s v="Abandon de solde PM"/>
    <n v="145.34"/>
    <n v="0"/>
    <n v="3301"/>
  </r>
  <r>
    <x v="1"/>
    <x v="3"/>
    <x v="3"/>
    <x v="31"/>
    <x v="31"/>
    <x v="31"/>
    <s v="CHARGES"/>
    <x v="1"/>
    <s v="3301.002"/>
    <s v="Défalcation PM"/>
    <n v="15987.87"/>
    <n v="0"/>
    <n v="3301"/>
  </r>
  <r>
    <x v="1"/>
    <x v="3"/>
    <x v="3"/>
    <x v="31"/>
    <x v="31"/>
    <x v="31"/>
    <s v="REVENUS"/>
    <x v="17"/>
    <s v="4011.001"/>
    <s v="Impôt bénéfice ordinaire"/>
    <n v="0"/>
    <n v="3229189.25"/>
    <n v="4011"/>
  </r>
  <r>
    <x v="1"/>
    <x v="3"/>
    <x v="3"/>
    <x v="31"/>
    <x v="31"/>
    <x v="31"/>
    <s v="REVENUS"/>
    <x v="17"/>
    <s v="4011.007"/>
    <s v="Acompte sur bénéfice"/>
    <n v="0"/>
    <n v="-1785832.65"/>
    <n v="4011"/>
  </r>
  <r>
    <x v="1"/>
    <x v="3"/>
    <x v="3"/>
    <x v="31"/>
    <x v="31"/>
    <x v="31"/>
    <s v="REVENUS"/>
    <x v="18"/>
    <s v="4013.001"/>
    <s v="Impôt complémentaire sur immeubles"/>
    <n v="0"/>
    <n v="168420.05"/>
    <n v="4013"/>
  </r>
  <r>
    <x v="1"/>
    <x v="3"/>
    <x v="3"/>
    <x v="31"/>
    <x v="31"/>
    <x v="31"/>
    <s v="REVENUS"/>
    <x v="11"/>
    <s v="4198.001"/>
    <s v="Impôt foncier"/>
    <n v="0"/>
    <n v="883514.25"/>
    <n v="4198"/>
  </r>
  <r>
    <x v="1"/>
    <x v="3"/>
    <x v="3"/>
    <x v="31"/>
    <x v="31"/>
    <x v="31"/>
    <s v="REVENUS"/>
    <x v="17"/>
    <s v="4011.002"/>
    <s v="Complément impôt bénéfice ordinaire"/>
    <n v="0"/>
    <n v="56921.7"/>
    <n v="4011"/>
  </r>
  <r>
    <x v="1"/>
    <x v="3"/>
    <x v="3"/>
    <x v="31"/>
    <x v="31"/>
    <x v="31"/>
    <s v="REVENUS"/>
    <x v="6"/>
    <s v="4211.001"/>
    <s v="Intérêts de retard sur factures"/>
    <n v="0"/>
    <n v="717.39"/>
    <n v="4211"/>
  </r>
  <r>
    <x v="1"/>
    <x v="3"/>
    <x v="3"/>
    <x v="31"/>
    <x v="31"/>
    <x v="31"/>
    <s v="REVENUS"/>
    <x v="6"/>
    <s v="4211.002"/>
    <s v="Intérêts de retard sur acomptes"/>
    <n v="0"/>
    <n v="1191"/>
    <n v="4211"/>
  </r>
  <r>
    <x v="1"/>
    <x v="3"/>
    <x v="3"/>
    <x v="31"/>
    <x v="31"/>
    <x v="31"/>
    <s v="REVENUS"/>
    <x v="6"/>
    <s v="4221.001"/>
    <s v="Intérêts compensat. / créances en faveur du fisc"/>
    <n v="0"/>
    <n v="421.9"/>
    <n v="4221"/>
  </r>
  <r>
    <x v="1"/>
    <x v="3"/>
    <x v="3"/>
    <x v="31"/>
    <x v="31"/>
    <x v="31"/>
    <s v="REVENUS"/>
    <x v="16"/>
    <s v="4012.001"/>
    <s v="Impôt capital ordinaire"/>
    <n v="0"/>
    <n v="40220.15"/>
    <n v="4012"/>
  </r>
  <r>
    <x v="1"/>
    <x v="3"/>
    <x v="3"/>
    <x v="31"/>
    <x v="31"/>
    <x v="31"/>
    <s v="REVENUS"/>
    <x v="16"/>
    <s v="4012.007"/>
    <s v="Acompte sur capital"/>
    <n v="0"/>
    <n v="5757.8"/>
    <n v="4012"/>
  </r>
  <r>
    <x v="1"/>
    <x v="3"/>
    <x v="3"/>
    <x v="31"/>
    <x v="31"/>
    <x v="31"/>
    <s v="REVENUS"/>
    <x v="7"/>
    <s v="4184.000"/>
    <s v="Frais de poursuite"/>
    <n v="0"/>
    <n v="535.33000000000004"/>
    <n v="4184"/>
  </r>
  <r>
    <x v="1"/>
    <x v="3"/>
    <x v="3"/>
    <x v="31"/>
    <x v="31"/>
    <x v="31"/>
    <s v="REVENUS"/>
    <x v="18"/>
    <s v="4013.003"/>
    <s v="Remboursement impôt complémentaire sur immeubles"/>
    <n v="0"/>
    <n v="-6840"/>
    <n v="4013"/>
  </r>
  <r>
    <x v="1"/>
    <x v="3"/>
    <x v="3"/>
    <x v="31"/>
    <x v="31"/>
    <x v="31"/>
    <s v="REVENUS"/>
    <x v="10"/>
    <s v="4041.001"/>
    <s v="Droits de mutation"/>
    <n v="0"/>
    <n v="120886.8"/>
    <n v="4041"/>
  </r>
  <r>
    <x v="1"/>
    <x v="3"/>
    <x v="3"/>
    <x v="31"/>
    <x v="31"/>
    <x v="31"/>
    <s v="REVENUS"/>
    <x v="18"/>
    <s v="4013.002"/>
    <s v="Complément impôt complémentaire sur immeubles"/>
    <n v="0"/>
    <n v="9518"/>
    <n v="4013"/>
  </r>
  <r>
    <x v="1"/>
    <x v="3"/>
    <x v="3"/>
    <x v="31"/>
    <x v="31"/>
    <x v="31"/>
    <s v="REVENUS"/>
    <x v="16"/>
    <s v="4012.002"/>
    <s v="Complément impôt capital ordinaire"/>
    <n v="0"/>
    <n v="2912.45"/>
    <n v="4012"/>
  </r>
  <r>
    <x v="1"/>
    <x v="3"/>
    <x v="3"/>
    <x v="31"/>
    <x v="31"/>
    <x v="31"/>
    <s v="REVENUS"/>
    <x v="8"/>
    <s v="4091.003"/>
    <s v="Impôt récupéré concordat"/>
    <n v="0"/>
    <n v="9.1999999999999993"/>
    <n v="4091"/>
  </r>
  <r>
    <x v="1"/>
    <x v="3"/>
    <x v="3"/>
    <x v="31"/>
    <x v="31"/>
    <x v="31"/>
    <s v="REVENUS"/>
    <x v="8"/>
    <s v="4091.001"/>
    <s v="Impôt récupéré après défalcations"/>
    <n v="0"/>
    <n v="15608.27"/>
    <n v="4091"/>
  </r>
  <r>
    <x v="1"/>
    <x v="3"/>
    <x v="3"/>
    <x v="32"/>
    <x v="32"/>
    <x v="32"/>
    <s v="CHARGES"/>
    <x v="0"/>
    <s v="3212.002"/>
    <s v="Intérêts bonifiés/trop perçu acompte C/C"/>
    <n v="0.09"/>
    <n v="0"/>
    <n v="3212"/>
  </r>
  <r>
    <x v="1"/>
    <x v="3"/>
    <x v="3"/>
    <x v="32"/>
    <x v="32"/>
    <x v="32"/>
    <s v="REVENUS"/>
    <x v="17"/>
    <s v="4011.002"/>
    <s v="Complément impôt bénéfice ordinaire"/>
    <n v="0"/>
    <n v="2278.6"/>
    <n v="4011"/>
  </r>
  <r>
    <x v="1"/>
    <x v="3"/>
    <x v="3"/>
    <x v="32"/>
    <x v="32"/>
    <x v="32"/>
    <s v="REVENUS"/>
    <x v="17"/>
    <s v="4011.001"/>
    <s v="Impôt bénéfice ordinaire"/>
    <n v="0"/>
    <n v="-2278.6"/>
    <n v="4011"/>
  </r>
  <r>
    <x v="1"/>
    <x v="3"/>
    <x v="3"/>
    <x v="33"/>
    <x v="32"/>
    <x v="32"/>
    <s v="CHARGES"/>
    <x v="0"/>
    <s v="3212.002"/>
    <s v="Intérêts bonifiés/trop perçu acompte C/C"/>
    <n v="0.03"/>
    <n v="0"/>
    <n v="3212"/>
  </r>
  <r>
    <x v="1"/>
    <x v="3"/>
    <x v="3"/>
    <x v="33"/>
    <x v="32"/>
    <x v="32"/>
    <s v="REVENUS"/>
    <x v="17"/>
    <s v="4011.002"/>
    <s v="Complément impôt bénéfice ordinaire"/>
    <n v="0"/>
    <n v="729.6"/>
    <n v="4011"/>
  </r>
  <r>
    <x v="1"/>
    <x v="3"/>
    <x v="3"/>
    <x v="33"/>
    <x v="32"/>
    <x v="32"/>
    <s v="REVENUS"/>
    <x v="17"/>
    <s v="4011.001"/>
    <s v="Impôt bénéfice ordinaire"/>
    <n v="0"/>
    <n v="-729.6"/>
    <n v="4011"/>
  </r>
  <r>
    <x v="1"/>
    <x v="3"/>
    <x v="3"/>
    <x v="35"/>
    <x v="33"/>
    <x v="33"/>
    <s v="CHARGES"/>
    <x v="0"/>
    <s v="3221.002"/>
    <s v="Intérêts compensatoires / créances en faveur ctb."/>
    <n v="9.7200000000000006"/>
    <n v="0"/>
    <n v="3221"/>
  </r>
  <r>
    <x v="1"/>
    <x v="3"/>
    <x v="3"/>
    <x v="35"/>
    <x v="33"/>
    <x v="33"/>
    <s v="CHARGES"/>
    <x v="1"/>
    <s v="3301.006"/>
    <s v="Abandon de solde PM"/>
    <n v="59.62"/>
    <n v="0"/>
    <n v="3301"/>
  </r>
  <r>
    <x v="1"/>
    <x v="3"/>
    <x v="3"/>
    <x v="35"/>
    <x v="33"/>
    <x v="33"/>
    <s v="CHARGES"/>
    <x v="0"/>
    <s v="3212.004"/>
    <s v="Intérêts rémun./perçu trop tôt sur acomptes C/C"/>
    <n v="41.22"/>
    <n v="0"/>
    <n v="3212"/>
  </r>
  <r>
    <x v="1"/>
    <x v="3"/>
    <x v="3"/>
    <x v="35"/>
    <x v="33"/>
    <x v="33"/>
    <s v="CHARGES"/>
    <x v="0"/>
    <s v="3212.002"/>
    <s v="Intérêts bonifiés/trop perçu acompte C/C"/>
    <n v="32.25"/>
    <n v="0"/>
    <n v="3212"/>
  </r>
  <r>
    <x v="1"/>
    <x v="3"/>
    <x v="3"/>
    <x v="35"/>
    <x v="33"/>
    <x v="33"/>
    <s v="CHARGES"/>
    <x v="1"/>
    <s v="3301.002"/>
    <s v="Défalcation PM"/>
    <n v="3539.4"/>
    <n v="0"/>
    <n v="3301"/>
  </r>
  <r>
    <x v="1"/>
    <x v="3"/>
    <x v="3"/>
    <x v="35"/>
    <x v="33"/>
    <x v="33"/>
    <s v="REVENUS"/>
    <x v="18"/>
    <s v="4013.001"/>
    <s v="Impôt complémentaire sur immeubles"/>
    <n v="0"/>
    <n v="10939.15"/>
    <n v="4013"/>
  </r>
  <r>
    <x v="1"/>
    <x v="3"/>
    <x v="3"/>
    <x v="35"/>
    <x v="33"/>
    <x v="33"/>
    <s v="REVENUS"/>
    <x v="18"/>
    <s v="4013.003"/>
    <s v="Remboursement impôt complémentaire sur immeubles"/>
    <n v="0"/>
    <n v="-17939.5"/>
    <n v="4013"/>
  </r>
  <r>
    <x v="1"/>
    <x v="3"/>
    <x v="3"/>
    <x v="35"/>
    <x v="33"/>
    <x v="33"/>
    <s v="REVENUS"/>
    <x v="17"/>
    <s v="4011.001"/>
    <s v="Impôt bénéfice ordinaire"/>
    <n v="0"/>
    <n v="55714.05"/>
    <n v="4011"/>
  </r>
  <r>
    <x v="1"/>
    <x v="3"/>
    <x v="3"/>
    <x v="35"/>
    <x v="33"/>
    <x v="33"/>
    <s v="REVENUS"/>
    <x v="17"/>
    <s v="4011.002"/>
    <s v="Complément impôt bénéfice ordinaire"/>
    <n v="0"/>
    <n v="3428.9"/>
    <n v="4011"/>
  </r>
  <r>
    <x v="1"/>
    <x v="3"/>
    <x v="3"/>
    <x v="35"/>
    <x v="33"/>
    <x v="33"/>
    <s v="REVENUS"/>
    <x v="6"/>
    <s v="4211.001"/>
    <s v="Intérêts de retard sur factures"/>
    <n v="0"/>
    <n v="39.28"/>
    <n v="4211"/>
  </r>
  <r>
    <x v="1"/>
    <x v="3"/>
    <x v="3"/>
    <x v="35"/>
    <x v="33"/>
    <x v="33"/>
    <s v="REVENUS"/>
    <x v="6"/>
    <s v="4221.001"/>
    <s v="Intérêts compensat. / créances en faveur du fisc"/>
    <n v="0"/>
    <n v="44.37"/>
    <n v="4221"/>
  </r>
  <r>
    <x v="1"/>
    <x v="3"/>
    <x v="3"/>
    <x v="35"/>
    <x v="33"/>
    <x v="33"/>
    <s v="REVENUS"/>
    <x v="10"/>
    <s v="4041.001"/>
    <s v="Droits de mutation"/>
    <n v="0"/>
    <n v="24336.1"/>
    <n v="4041"/>
  </r>
  <r>
    <x v="1"/>
    <x v="3"/>
    <x v="3"/>
    <x v="35"/>
    <x v="33"/>
    <x v="33"/>
    <s v="REVENUS"/>
    <x v="7"/>
    <s v="4184.000"/>
    <s v="Frais de poursuite"/>
    <n v="0"/>
    <n v="433.08"/>
    <n v="4184"/>
  </r>
  <r>
    <x v="1"/>
    <x v="3"/>
    <x v="3"/>
    <x v="35"/>
    <x v="33"/>
    <x v="33"/>
    <s v="REVENUS"/>
    <x v="11"/>
    <s v="4198.001"/>
    <s v="Impôt foncier"/>
    <n v="0"/>
    <n v="43264.85"/>
    <n v="4198"/>
  </r>
  <r>
    <x v="1"/>
    <x v="3"/>
    <x v="3"/>
    <x v="35"/>
    <x v="33"/>
    <x v="33"/>
    <s v="REVENUS"/>
    <x v="16"/>
    <s v="4012.001"/>
    <s v="Impôt capital ordinaire"/>
    <n v="0"/>
    <n v="1295.9000000000001"/>
    <n v="4012"/>
  </r>
  <r>
    <x v="1"/>
    <x v="3"/>
    <x v="3"/>
    <x v="35"/>
    <x v="33"/>
    <x v="33"/>
    <s v="REVENUS"/>
    <x v="16"/>
    <s v="4012.007"/>
    <s v="Acompte sur capital"/>
    <n v="0"/>
    <n v="265"/>
    <n v="4012"/>
  </r>
  <r>
    <x v="1"/>
    <x v="3"/>
    <x v="3"/>
    <x v="35"/>
    <x v="33"/>
    <x v="33"/>
    <s v="REVENUS"/>
    <x v="6"/>
    <s v="4211.002"/>
    <s v="Intérêts de retard sur acomptes"/>
    <n v="0"/>
    <n v="238.78"/>
    <n v="4211"/>
  </r>
  <r>
    <x v="1"/>
    <x v="3"/>
    <x v="3"/>
    <x v="35"/>
    <x v="33"/>
    <x v="33"/>
    <s v="REVENUS"/>
    <x v="17"/>
    <s v="4011.007"/>
    <s v="Acompte sur bénéfice"/>
    <n v="0"/>
    <n v="-21298.35"/>
    <n v="4011"/>
  </r>
  <r>
    <x v="1"/>
    <x v="3"/>
    <x v="3"/>
    <x v="35"/>
    <x v="33"/>
    <x v="33"/>
    <s v="REVENUS"/>
    <x v="9"/>
    <s v="4031.001"/>
    <s v="Impôt sur les gains immobiliers"/>
    <n v="0"/>
    <n v="19046.5"/>
    <n v="4031"/>
  </r>
  <r>
    <x v="1"/>
    <x v="3"/>
    <x v="3"/>
    <x v="35"/>
    <x v="33"/>
    <x v="33"/>
    <s v="REVENUS"/>
    <x v="10"/>
    <s v="4041.002"/>
    <s v="Complément droit de mutation"/>
    <n v="0"/>
    <n v="3.8"/>
    <n v="4041"/>
  </r>
  <r>
    <x v="1"/>
    <x v="3"/>
    <x v="3"/>
    <x v="35"/>
    <x v="33"/>
    <x v="33"/>
    <s v="REVENUS"/>
    <x v="16"/>
    <s v="4012.002"/>
    <s v="Complément impôt capital ordinaire"/>
    <n v="0"/>
    <n v="97"/>
    <n v="4012"/>
  </r>
  <r>
    <x v="1"/>
    <x v="3"/>
    <x v="3"/>
    <x v="36"/>
    <x v="34"/>
    <x v="34"/>
    <s v="CHARGES"/>
    <x v="0"/>
    <s v="3221.002"/>
    <s v="Intérêts compensatoires / créances en faveur ctb."/>
    <n v="-22.99"/>
    <n v="0"/>
    <n v="3221"/>
  </r>
  <r>
    <x v="1"/>
    <x v="3"/>
    <x v="3"/>
    <x v="36"/>
    <x v="34"/>
    <x v="34"/>
    <s v="CHARGES"/>
    <x v="1"/>
    <s v="3301.006"/>
    <s v="Abandon de solde PM"/>
    <n v="48.23"/>
    <n v="0"/>
    <n v="3301"/>
  </r>
  <r>
    <x v="1"/>
    <x v="3"/>
    <x v="3"/>
    <x v="36"/>
    <x v="34"/>
    <x v="34"/>
    <s v="CHARGES"/>
    <x v="0"/>
    <s v="3212.004"/>
    <s v="Intérêts rémun./perçu trop tôt sur acomptes C/C"/>
    <n v="6.24"/>
    <n v="0"/>
    <n v="3212"/>
  </r>
  <r>
    <x v="1"/>
    <x v="3"/>
    <x v="3"/>
    <x v="36"/>
    <x v="34"/>
    <x v="34"/>
    <s v="CHARGES"/>
    <x v="0"/>
    <s v="3212.002"/>
    <s v="Intérêts bonifiés/trop perçu acompte C/C"/>
    <n v="30.14"/>
    <n v="0"/>
    <n v="3212"/>
  </r>
  <r>
    <x v="1"/>
    <x v="3"/>
    <x v="3"/>
    <x v="36"/>
    <x v="34"/>
    <x v="34"/>
    <s v="REVENUS"/>
    <x v="17"/>
    <s v="4011.001"/>
    <s v="Impôt bénéfice ordinaire"/>
    <n v="0"/>
    <n v="27525.75"/>
    <n v="4011"/>
  </r>
  <r>
    <x v="1"/>
    <x v="3"/>
    <x v="3"/>
    <x v="36"/>
    <x v="34"/>
    <x v="34"/>
    <s v="REVENUS"/>
    <x v="17"/>
    <s v="4011.002"/>
    <s v="Complément impôt bénéfice ordinaire"/>
    <n v="0"/>
    <n v="2644"/>
    <n v="4011"/>
  </r>
  <r>
    <x v="1"/>
    <x v="3"/>
    <x v="3"/>
    <x v="36"/>
    <x v="34"/>
    <x v="34"/>
    <s v="REVENUS"/>
    <x v="6"/>
    <s v="4211.001"/>
    <s v="Intérêts de retard sur factures"/>
    <n v="0"/>
    <n v="22.33"/>
    <n v="4211"/>
  </r>
  <r>
    <x v="1"/>
    <x v="3"/>
    <x v="3"/>
    <x v="36"/>
    <x v="34"/>
    <x v="34"/>
    <s v="REVENUS"/>
    <x v="6"/>
    <s v="4221.001"/>
    <s v="Intérêts compensat. / créances en faveur du fisc"/>
    <n v="0"/>
    <n v="13.35"/>
    <n v="4221"/>
  </r>
  <r>
    <x v="1"/>
    <x v="3"/>
    <x v="3"/>
    <x v="36"/>
    <x v="34"/>
    <x v="34"/>
    <s v="REVENUS"/>
    <x v="16"/>
    <s v="4012.001"/>
    <s v="Impôt capital ordinaire"/>
    <n v="0"/>
    <n v="587.4"/>
    <n v="4012"/>
  </r>
  <r>
    <x v="1"/>
    <x v="3"/>
    <x v="3"/>
    <x v="36"/>
    <x v="34"/>
    <x v="34"/>
    <s v="REVENUS"/>
    <x v="16"/>
    <s v="4012.007"/>
    <s v="Acompte sur capital"/>
    <n v="0"/>
    <n v="1241.95"/>
    <n v="4012"/>
  </r>
  <r>
    <x v="1"/>
    <x v="3"/>
    <x v="3"/>
    <x v="36"/>
    <x v="34"/>
    <x v="34"/>
    <s v="REVENUS"/>
    <x v="6"/>
    <s v="4211.002"/>
    <s v="Intérêts de retard sur acomptes"/>
    <n v="0"/>
    <n v="219.2"/>
    <n v="4211"/>
  </r>
  <r>
    <x v="1"/>
    <x v="3"/>
    <x v="3"/>
    <x v="36"/>
    <x v="34"/>
    <x v="34"/>
    <s v="REVENUS"/>
    <x v="17"/>
    <s v="4011.007"/>
    <s v="Acompte sur bénéfice"/>
    <n v="0"/>
    <n v="-17401.95"/>
    <n v="4011"/>
  </r>
  <r>
    <x v="1"/>
    <x v="3"/>
    <x v="3"/>
    <x v="36"/>
    <x v="34"/>
    <x v="34"/>
    <s v="REVENUS"/>
    <x v="18"/>
    <s v="4013.001"/>
    <s v="Impôt complémentaire sur immeubles"/>
    <n v="0"/>
    <n v="22318.75"/>
    <n v="4013"/>
  </r>
  <r>
    <x v="1"/>
    <x v="3"/>
    <x v="3"/>
    <x v="36"/>
    <x v="34"/>
    <x v="34"/>
    <s v="REVENUS"/>
    <x v="11"/>
    <s v="4198.001"/>
    <s v="Impôt foncier"/>
    <n v="0"/>
    <n v="64907.4"/>
    <n v="4198"/>
  </r>
  <r>
    <x v="1"/>
    <x v="3"/>
    <x v="3"/>
    <x v="37"/>
    <x v="32"/>
    <x v="32"/>
    <s v="CHARGES"/>
    <x v="0"/>
    <s v="3212.002"/>
    <s v="Intérêts bonifiés/trop perçu acompte C/C"/>
    <n v="0.21"/>
    <n v="0"/>
    <n v="3212"/>
  </r>
  <r>
    <x v="1"/>
    <x v="3"/>
    <x v="3"/>
    <x v="37"/>
    <x v="32"/>
    <x v="32"/>
    <s v="REVENUS"/>
    <x v="17"/>
    <s v="4011.002"/>
    <s v="Complément impôt bénéfice ordinaire"/>
    <n v="0"/>
    <n v="4974.2"/>
    <n v="4011"/>
  </r>
  <r>
    <x v="1"/>
    <x v="3"/>
    <x v="3"/>
    <x v="37"/>
    <x v="32"/>
    <x v="32"/>
    <s v="REVENUS"/>
    <x v="17"/>
    <s v="4011.001"/>
    <s v="Impôt bénéfice ordinaire"/>
    <n v="0"/>
    <n v="-4974.2"/>
    <n v="4011"/>
  </r>
  <r>
    <x v="1"/>
    <x v="3"/>
    <x v="3"/>
    <x v="38"/>
    <x v="31"/>
    <x v="31"/>
    <s v="CHARGES"/>
    <x v="0"/>
    <s v="3212.002"/>
    <s v="Intérêts bonifiés/trop perçu acompte C/C"/>
    <n v="0.01"/>
    <n v="0"/>
    <n v="3212"/>
  </r>
  <r>
    <x v="1"/>
    <x v="3"/>
    <x v="3"/>
    <x v="38"/>
    <x v="31"/>
    <x v="31"/>
    <s v="REVENUS"/>
    <x v="17"/>
    <s v="4011.002"/>
    <s v="Complément impôt bénéfice ordinaire"/>
    <n v="0"/>
    <n v="282.64999999999998"/>
    <n v="4011"/>
  </r>
  <r>
    <x v="1"/>
    <x v="3"/>
    <x v="3"/>
    <x v="38"/>
    <x v="31"/>
    <x v="31"/>
    <s v="REVENUS"/>
    <x v="17"/>
    <s v="4011.001"/>
    <s v="Impôt bénéfice ordinaire"/>
    <n v="0"/>
    <n v="-282.64999999999998"/>
    <n v="4011"/>
  </r>
  <r>
    <x v="1"/>
    <x v="3"/>
    <x v="3"/>
    <x v="39"/>
    <x v="32"/>
    <x v="32"/>
    <s v="CHARGES"/>
    <x v="0"/>
    <s v="3212.002"/>
    <s v="Intérêts bonifiés/trop perçu acompte C/C"/>
    <n v="0.02"/>
    <n v="0"/>
    <n v="3212"/>
  </r>
  <r>
    <x v="1"/>
    <x v="3"/>
    <x v="3"/>
    <x v="39"/>
    <x v="32"/>
    <x v="32"/>
    <s v="REVENUS"/>
    <x v="17"/>
    <s v="4011.002"/>
    <s v="Complément impôt bénéfice ordinaire"/>
    <n v="0"/>
    <n v="457.8"/>
    <n v="4011"/>
  </r>
  <r>
    <x v="1"/>
    <x v="3"/>
    <x v="3"/>
    <x v="39"/>
    <x v="32"/>
    <x v="32"/>
    <s v="REVENUS"/>
    <x v="17"/>
    <s v="4011.001"/>
    <s v="Impôt bénéfice ordinaire"/>
    <n v="0"/>
    <n v="-457.8"/>
    <n v="4011"/>
  </r>
  <r>
    <x v="1"/>
    <x v="3"/>
    <x v="3"/>
    <x v="40"/>
    <x v="32"/>
    <x v="32"/>
    <s v="CHARGES"/>
    <x v="0"/>
    <s v="3212.002"/>
    <s v="Intérêts bonifiés/trop perçu acompte C/C"/>
    <n v="0.01"/>
    <n v="0"/>
    <n v="3212"/>
  </r>
  <r>
    <x v="1"/>
    <x v="3"/>
    <x v="3"/>
    <x v="40"/>
    <x v="32"/>
    <x v="32"/>
    <s v="REVENUS"/>
    <x v="17"/>
    <s v="4011.002"/>
    <s v="Complément impôt bénéfice ordinaire"/>
    <n v="0"/>
    <n v="180.3"/>
    <n v="4011"/>
  </r>
  <r>
    <x v="1"/>
    <x v="3"/>
    <x v="3"/>
    <x v="40"/>
    <x v="32"/>
    <x v="32"/>
    <s v="REVENUS"/>
    <x v="17"/>
    <s v="4011.001"/>
    <s v="Impôt bénéfice ordinaire"/>
    <n v="0"/>
    <n v="-180.3"/>
    <n v="4011"/>
  </r>
  <r>
    <x v="1"/>
    <x v="3"/>
    <x v="3"/>
    <x v="41"/>
    <x v="32"/>
    <x v="32"/>
    <s v="CHARGES"/>
    <x v="0"/>
    <s v="3221.002"/>
    <s v="Intérêts compensatoires / créances en faveur ctb."/>
    <n v="75.98"/>
    <n v="0"/>
    <n v="3221"/>
  </r>
  <r>
    <x v="1"/>
    <x v="3"/>
    <x v="3"/>
    <x v="41"/>
    <x v="32"/>
    <x v="32"/>
    <s v="CHARGES"/>
    <x v="1"/>
    <s v="3301.006"/>
    <s v="Abandon de solde PM"/>
    <n v="77.27"/>
    <n v="0"/>
    <n v="3301"/>
  </r>
  <r>
    <x v="1"/>
    <x v="3"/>
    <x v="3"/>
    <x v="41"/>
    <x v="32"/>
    <x v="32"/>
    <s v="CHARGES"/>
    <x v="0"/>
    <s v="3212.004"/>
    <s v="Intérêts rémun./perçu trop tôt sur acomptes C/C"/>
    <n v="158.01"/>
    <n v="0"/>
    <n v="3212"/>
  </r>
  <r>
    <x v="1"/>
    <x v="3"/>
    <x v="3"/>
    <x v="41"/>
    <x v="32"/>
    <x v="32"/>
    <s v="CHARGES"/>
    <x v="0"/>
    <s v="3212.002"/>
    <s v="Intérêts bonifiés/trop perçu acompte C/C"/>
    <n v="0.28000000000000003"/>
    <n v="0"/>
    <n v="3212"/>
  </r>
  <r>
    <x v="1"/>
    <x v="3"/>
    <x v="3"/>
    <x v="41"/>
    <x v="32"/>
    <x v="32"/>
    <s v="REVENUS"/>
    <x v="17"/>
    <s v="4011.001"/>
    <s v="Impôt bénéfice ordinaire"/>
    <n v="0"/>
    <n v="55450.8"/>
    <n v="4011"/>
  </r>
  <r>
    <x v="1"/>
    <x v="3"/>
    <x v="3"/>
    <x v="41"/>
    <x v="32"/>
    <x v="32"/>
    <s v="REVENUS"/>
    <x v="16"/>
    <s v="4012.001"/>
    <s v="Impôt capital ordinaire"/>
    <n v="0"/>
    <n v="2317.25"/>
    <n v="4012"/>
  </r>
  <r>
    <x v="1"/>
    <x v="3"/>
    <x v="3"/>
    <x v="41"/>
    <x v="32"/>
    <x v="32"/>
    <s v="REVENUS"/>
    <x v="16"/>
    <s v="4012.007"/>
    <s v="Acompte sur capital"/>
    <n v="0"/>
    <n v="4752.25"/>
    <n v="4012"/>
  </r>
  <r>
    <x v="1"/>
    <x v="3"/>
    <x v="3"/>
    <x v="41"/>
    <x v="32"/>
    <x v="32"/>
    <s v="REVENUS"/>
    <x v="6"/>
    <s v="4221.001"/>
    <s v="Intérêts compensat. / créances en faveur du fisc"/>
    <n v="0"/>
    <n v="7.12"/>
    <n v="4221"/>
  </r>
  <r>
    <x v="1"/>
    <x v="3"/>
    <x v="3"/>
    <x v="41"/>
    <x v="32"/>
    <x v="32"/>
    <s v="REVENUS"/>
    <x v="17"/>
    <s v="4011.002"/>
    <s v="Complément impôt bénéfice ordinaire"/>
    <n v="0"/>
    <n v="4131"/>
    <n v="4011"/>
  </r>
  <r>
    <x v="1"/>
    <x v="3"/>
    <x v="3"/>
    <x v="41"/>
    <x v="32"/>
    <x v="32"/>
    <s v="REVENUS"/>
    <x v="6"/>
    <s v="4211.001"/>
    <s v="Intérêts de retard sur factures"/>
    <n v="0"/>
    <n v="167.98"/>
    <n v="4211"/>
  </r>
  <r>
    <x v="1"/>
    <x v="3"/>
    <x v="3"/>
    <x v="41"/>
    <x v="32"/>
    <x v="32"/>
    <s v="REVENUS"/>
    <x v="17"/>
    <s v="4011.007"/>
    <s v="Acompte sur bénéfice"/>
    <n v="0"/>
    <n v="-22256.65"/>
    <n v="4011"/>
  </r>
  <r>
    <x v="1"/>
    <x v="3"/>
    <x v="3"/>
    <x v="41"/>
    <x v="32"/>
    <x v="32"/>
    <s v="REVENUS"/>
    <x v="6"/>
    <s v="4211.002"/>
    <s v="Intérêts de retard sur acomptes"/>
    <n v="0"/>
    <n v="300.02"/>
    <n v="4211"/>
  </r>
  <r>
    <x v="1"/>
    <x v="3"/>
    <x v="3"/>
    <x v="41"/>
    <x v="32"/>
    <x v="32"/>
    <s v="REVENUS"/>
    <x v="10"/>
    <s v="4041.001"/>
    <s v="Droits de mutation"/>
    <n v="0"/>
    <n v="50254.95"/>
    <n v="4041"/>
  </r>
  <r>
    <x v="1"/>
    <x v="3"/>
    <x v="3"/>
    <x v="41"/>
    <x v="32"/>
    <x v="32"/>
    <s v="REVENUS"/>
    <x v="18"/>
    <s v="4013.001"/>
    <s v="Impôt complémentaire sur immeubles"/>
    <n v="0"/>
    <n v="28456.9"/>
    <n v="4013"/>
  </r>
  <r>
    <x v="1"/>
    <x v="3"/>
    <x v="3"/>
    <x v="41"/>
    <x v="32"/>
    <x v="32"/>
    <s v="REVENUS"/>
    <x v="18"/>
    <s v="4013.003"/>
    <s v="Remboursement impôt complémentaire sur immeubles"/>
    <n v="0"/>
    <n v="-14224.6"/>
    <n v="4013"/>
  </r>
  <r>
    <x v="1"/>
    <x v="3"/>
    <x v="3"/>
    <x v="41"/>
    <x v="32"/>
    <x v="32"/>
    <s v="REVENUS"/>
    <x v="16"/>
    <s v="4012.002"/>
    <s v="Complément impôt capital ordinaire"/>
    <n v="0"/>
    <n v="1029.75"/>
    <n v="4012"/>
  </r>
  <r>
    <x v="1"/>
    <x v="3"/>
    <x v="3"/>
    <x v="41"/>
    <x v="32"/>
    <x v="32"/>
    <s v="REVENUS"/>
    <x v="7"/>
    <s v="4184.000"/>
    <s v="Frais de poursuite"/>
    <n v="0"/>
    <n v="28.31"/>
    <n v="4184"/>
  </r>
  <r>
    <x v="1"/>
    <x v="3"/>
    <x v="3"/>
    <x v="41"/>
    <x v="32"/>
    <x v="32"/>
    <s v="REVENUS"/>
    <x v="11"/>
    <s v="4198.001"/>
    <s v="Impôt foncier"/>
    <n v="0"/>
    <n v="107782.2"/>
    <n v="4198"/>
  </r>
  <r>
    <x v="1"/>
    <x v="4"/>
    <x v="4"/>
    <x v="42"/>
    <x v="35"/>
    <x v="35"/>
    <s v="CHARGES"/>
    <x v="1"/>
    <s v="3301.006"/>
    <s v="Abandon de solde PM"/>
    <n v="29.08"/>
    <n v="0"/>
    <n v="3301"/>
  </r>
  <r>
    <x v="1"/>
    <x v="4"/>
    <x v="4"/>
    <x v="42"/>
    <x v="35"/>
    <x v="35"/>
    <s v="CHARGES"/>
    <x v="0"/>
    <s v="3212.002"/>
    <s v="Intérêts bonifiés/trop perçu acompte C/C"/>
    <n v="0.02"/>
    <n v="0"/>
    <n v="3212"/>
  </r>
  <r>
    <x v="1"/>
    <x v="4"/>
    <x v="4"/>
    <x v="42"/>
    <x v="35"/>
    <x v="35"/>
    <s v="CHARGES"/>
    <x v="0"/>
    <s v="3221.002"/>
    <s v="Intérêts compensatoires / créances en faveur ctb."/>
    <n v="49.8"/>
    <n v="0"/>
    <n v="3221"/>
  </r>
  <r>
    <x v="1"/>
    <x v="4"/>
    <x v="4"/>
    <x v="42"/>
    <x v="35"/>
    <x v="35"/>
    <s v="CHARGES"/>
    <x v="0"/>
    <s v="3212.004"/>
    <s v="Intérêts rémun./perçu trop tôt sur acomptes C/C"/>
    <n v="79.39"/>
    <n v="0"/>
    <n v="3212"/>
  </r>
  <r>
    <x v="1"/>
    <x v="4"/>
    <x v="4"/>
    <x v="42"/>
    <x v="35"/>
    <x v="35"/>
    <s v="REVENUS"/>
    <x v="16"/>
    <s v="4012.001"/>
    <s v="Impôt capital ordinaire"/>
    <n v="0"/>
    <n v="809.25"/>
    <n v="4012"/>
  </r>
  <r>
    <x v="1"/>
    <x v="4"/>
    <x v="4"/>
    <x v="42"/>
    <x v="35"/>
    <x v="35"/>
    <s v="REVENUS"/>
    <x v="16"/>
    <s v="4012.007"/>
    <s v="Acompte sur capital"/>
    <n v="0"/>
    <n v="822.65"/>
    <n v="4012"/>
  </r>
  <r>
    <x v="1"/>
    <x v="4"/>
    <x v="4"/>
    <x v="42"/>
    <x v="35"/>
    <x v="35"/>
    <s v="REVENUS"/>
    <x v="6"/>
    <s v="4211.002"/>
    <s v="Intérêts de retard sur acomptes"/>
    <n v="0"/>
    <n v="32.130000000000003"/>
    <n v="4211"/>
  </r>
  <r>
    <x v="1"/>
    <x v="4"/>
    <x v="4"/>
    <x v="42"/>
    <x v="35"/>
    <x v="35"/>
    <s v="REVENUS"/>
    <x v="17"/>
    <s v="4011.002"/>
    <s v="Complément impôt bénéfice ordinaire"/>
    <n v="0"/>
    <n v="15199.95"/>
    <n v="4011"/>
  </r>
  <r>
    <x v="1"/>
    <x v="4"/>
    <x v="4"/>
    <x v="42"/>
    <x v="35"/>
    <x v="35"/>
    <s v="REVENUS"/>
    <x v="17"/>
    <s v="4011.001"/>
    <s v="Impôt bénéfice ordinaire"/>
    <n v="0"/>
    <n v="18110.5"/>
    <n v="4011"/>
  </r>
  <r>
    <x v="1"/>
    <x v="4"/>
    <x v="4"/>
    <x v="42"/>
    <x v="35"/>
    <x v="35"/>
    <s v="REVENUS"/>
    <x v="6"/>
    <s v="4221.001"/>
    <s v="Intérêts compensat. / créances en faveur du fisc"/>
    <n v="0"/>
    <n v="11.76"/>
    <n v="4221"/>
  </r>
  <r>
    <x v="1"/>
    <x v="4"/>
    <x v="4"/>
    <x v="42"/>
    <x v="35"/>
    <x v="35"/>
    <s v="REVENUS"/>
    <x v="17"/>
    <s v="4011.007"/>
    <s v="Acompte sur bénéfice"/>
    <n v="0"/>
    <n v="-18563.8"/>
    <n v="4011"/>
  </r>
  <r>
    <x v="1"/>
    <x v="4"/>
    <x v="4"/>
    <x v="42"/>
    <x v="35"/>
    <x v="35"/>
    <s v="REVENUS"/>
    <x v="6"/>
    <s v="4211.001"/>
    <s v="Intérêts de retard sur factures"/>
    <n v="0"/>
    <n v="4.55"/>
    <n v="4211"/>
  </r>
  <r>
    <x v="1"/>
    <x v="4"/>
    <x v="4"/>
    <x v="42"/>
    <x v="35"/>
    <x v="35"/>
    <s v="REVENUS"/>
    <x v="18"/>
    <s v="4013.001"/>
    <s v="Impôt complémentaire sur immeubles"/>
    <n v="0"/>
    <n v="4158.25"/>
    <n v="4013"/>
  </r>
  <r>
    <x v="1"/>
    <x v="4"/>
    <x v="4"/>
    <x v="42"/>
    <x v="35"/>
    <x v="35"/>
    <s v="REVENUS"/>
    <x v="11"/>
    <s v="4198.001"/>
    <s v="Impôt foncier"/>
    <n v="0"/>
    <n v="7495.25"/>
    <n v="4198"/>
  </r>
  <r>
    <x v="1"/>
    <x v="4"/>
    <x v="4"/>
    <x v="43"/>
    <x v="36"/>
    <x v="36"/>
    <s v="CHARGES"/>
    <x v="0"/>
    <s v="3212.002"/>
    <s v="Intérêts bonifiés/trop perçu acompte C/C"/>
    <n v="0.06"/>
    <n v="0"/>
    <n v="3212"/>
  </r>
  <r>
    <x v="1"/>
    <x v="4"/>
    <x v="4"/>
    <x v="43"/>
    <x v="36"/>
    <x v="36"/>
    <s v="CHARGES"/>
    <x v="1"/>
    <s v="3301.006"/>
    <s v="Abandon de solde PM"/>
    <n v="13.81"/>
    <n v="0"/>
    <n v="3301"/>
  </r>
  <r>
    <x v="1"/>
    <x v="4"/>
    <x v="4"/>
    <x v="43"/>
    <x v="36"/>
    <x v="36"/>
    <s v="CHARGES"/>
    <x v="0"/>
    <s v="3212.004"/>
    <s v="Intérêts rémun./perçu trop tôt sur acomptes C/C"/>
    <n v="11.31"/>
    <n v="0"/>
    <n v="3212"/>
  </r>
  <r>
    <x v="1"/>
    <x v="4"/>
    <x v="4"/>
    <x v="43"/>
    <x v="36"/>
    <x v="36"/>
    <s v="CHARGES"/>
    <x v="0"/>
    <s v="3221.002"/>
    <s v="Intérêts compensatoires / créances en faveur ctb."/>
    <n v="8.19"/>
    <n v="0"/>
    <n v="3221"/>
  </r>
  <r>
    <x v="1"/>
    <x v="4"/>
    <x v="4"/>
    <x v="43"/>
    <x v="36"/>
    <x v="36"/>
    <s v="REVENUS"/>
    <x v="6"/>
    <s v="4211.001"/>
    <s v="Intérêts de retard sur factures"/>
    <n v="0"/>
    <n v="4.3499999999999996"/>
    <n v="4211"/>
  </r>
  <r>
    <x v="1"/>
    <x v="4"/>
    <x v="4"/>
    <x v="43"/>
    <x v="36"/>
    <x v="36"/>
    <s v="REVENUS"/>
    <x v="17"/>
    <s v="4011.002"/>
    <s v="Complément impôt bénéfice ordinaire"/>
    <n v="0"/>
    <n v="326.05"/>
    <n v="4011"/>
  </r>
  <r>
    <x v="1"/>
    <x v="4"/>
    <x v="4"/>
    <x v="43"/>
    <x v="36"/>
    <x v="36"/>
    <s v="REVENUS"/>
    <x v="18"/>
    <s v="4013.003"/>
    <s v="Remboursement impôt complémentaire sur immeubles"/>
    <n v="0"/>
    <n v="-431.25"/>
    <n v="4013"/>
  </r>
  <r>
    <x v="1"/>
    <x v="4"/>
    <x v="4"/>
    <x v="43"/>
    <x v="36"/>
    <x v="36"/>
    <s v="REVENUS"/>
    <x v="17"/>
    <s v="4011.001"/>
    <s v="Impôt bénéfice ordinaire"/>
    <n v="0"/>
    <n v="11460.8"/>
    <n v="4011"/>
  </r>
  <r>
    <x v="1"/>
    <x v="4"/>
    <x v="4"/>
    <x v="43"/>
    <x v="36"/>
    <x v="36"/>
    <s v="REVENUS"/>
    <x v="17"/>
    <s v="4011.007"/>
    <s v="Acompte sur bénéfice"/>
    <n v="0"/>
    <n v="2617.0500000000002"/>
    <n v="4011"/>
  </r>
  <r>
    <x v="1"/>
    <x v="4"/>
    <x v="4"/>
    <x v="43"/>
    <x v="36"/>
    <x v="36"/>
    <s v="REVENUS"/>
    <x v="6"/>
    <s v="4211.002"/>
    <s v="Intérêts de retard sur acomptes"/>
    <n v="0"/>
    <n v="3.72"/>
    <n v="4211"/>
  </r>
  <r>
    <x v="1"/>
    <x v="4"/>
    <x v="4"/>
    <x v="43"/>
    <x v="36"/>
    <x v="36"/>
    <s v="REVENUS"/>
    <x v="6"/>
    <s v="4221.001"/>
    <s v="Intérêts compensat. / créances en faveur du fisc"/>
    <n v="0"/>
    <n v="0.48"/>
    <n v="4221"/>
  </r>
  <r>
    <x v="1"/>
    <x v="4"/>
    <x v="4"/>
    <x v="43"/>
    <x v="36"/>
    <x v="36"/>
    <s v="REVENUS"/>
    <x v="16"/>
    <s v="4012.001"/>
    <s v="Impôt capital ordinaire"/>
    <n v="0"/>
    <n v="69.2"/>
    <n v="4012"/>
  </r>
  <r>
    <x v="1"/>
    <x v="4"/>
    <x v="4"/>
    <x v="43"/>
    <x v="36"/>
    <x v="36"/>
    <s v="REVENUS"/>
    <x v="16"/>
    <s v="4012.007"/>
    <s v="Acompte sur capital"/>
    <n v="0"/>
    <n v="-42.3"/>
    <n v="4012"/>
  </r>
  <r>
    <x v="1"/>
    <x v="4"/>
    <x v="4"/>
    <x v="43"/>
    <x v="36"/>
    <x v="36"/>
    <s v="REVENUS"/>
    <x v="18"/>
    <s v="4013.001"/>
    <s v="Impôt complémentaire sur immeubles"/>
    <n v="0"/>
    <n v="1071.5"/>
    <n v="4013"/>
  </r>
  <r>
    <x v="1"/>
    <x v="4"/>
    <x v="4"/>
    <x v="43"/>
    <x v="36"/>
    <x v="36"/>
    <s v="REVENUS"/>
    <x v="11"/>
    <s v="4198.001"/>
    <s v="Impôt foncier"/>
    <n v="0"/>
    <n v="2373.5"/>
    <n v="4198"/>
  </r>
  <r>
    <x v="1"/>
    <x v="4"/>
    <x v="4"/>
    <x v="43"/>
    <x v="36"/>
    <x v="36"/>
    <s v="REVENUS"/>
    <x v="10"/>
    <s v="4041.001"/>
    <s v="Droits de mutation"/>
    <n v="0"/>
    <n v="34020"/>
    <n v="4041"/>
  </r>
  <r>
    <x v="1"/>
    <x v="4"/>
    <x v="4"/>
    <x v="44"/>
    <x v="37"/>
    <x v="37"/>
    <s v="CHARGES"/>
    <x v="0"/>
    <s v="3221.002"/>
    <s v="Intérêts compensatoires / créances en faveur ctb."/>
    <n v="11.46"/>
    <n v="0"/>
    <n v="3221"/>
  </r>
  <r>
    <x v="1"/>
    <x v="4"/>
    <x v="4"/>
    <x v="44"/>
    <x v="37"/>
    <x v="37"/>
    <s v="CHARGES"/>
    <x v="0"/>
    <s v="3212.004"/>
    <s v="Intérêts rémun./perçu trop tôt sur acomptes C/C"/>
    <n v="13.88"/>
    <n v="0"/>
    <n v="3212"/>
  </r>
  <r>
    <x v="1"/>
    <x v="4"/>
    <x v="4"/>
    <x v="44"/>
    <x v="37"/>
    <x v="37"/>
    <s v="CHARGES"/>
    <x v="0"/>
    <s v="3212.002"/>
    <s v="Intérêts bonifiés/trop perçu acompte C/C"/>
    <n v="0.03"/>
    <n v="0"/>
    <n v="3212"/>
  </r>
  <r>
    <x v="1"/>
    <x v="4"/>
    <x v="4"/>
    <x v="44"/>
    <x v="37"/>
    <x v="37"/>
    <s v="CHARGES"/>
    <x v="1"/>
    <s v="3301.006"/>
    <s v="Abandon de solde PM"/>
    <n v="17.21"/>
    <n v="0"/>
    <n v="3301"/>
  </r>
  <r>
    <x v="1"/>
    <x v="4"/>
    <x v="4"/>
    <x v="44"/>
    <x v="37"/>
    <x v="37"/>
    <s v="REVENUS"/>
    <x v="17"/>
    <s v="4011.001"/>
    <s v="Impôt bénéfice ordinaire"/>
    <n v="0"/>
    <n v="36223.35"/>
    <n v="4011"/>
  </r>
  <r>
    <x v="1"/>
    <x v="4"/>
    <x v="4"/>
    <x v="44"/>
    <x v="37"/>
    <x v="37"/>
    <s v="REVENUS"/>
    <x v="17"/>
    <s v="4011.002"/>
    <s v="Complément impôt bénéfice ordinaire"/>
    <n v="0"/>
    <n v="1978.6"/>
    <n v="4011"/>
  </r>
  <r>
    <x v="1"/>
    <x v="4"/>
    <x v="4"/>
    <x v="44"/>
    <x v="37"/>
    <x v="37"/>
    <s v="REVENUS"/>
    <x v="6"/>
    <s v="4211.001"/>
    <s v="Intérêts de retard sur factures"/>
    <n v="0"/>
    <n v="55.79"/>
    <n v="4211"/>
  </r>
  <r>
    <x v="1"/>
    <x v="4"/>
    <x v="4"/>
    <x v="44"/>
    <x v="37"/>
    <x v="37"/>
    <s v="REVENUS"/>
    <x v="6"/>
    <s v="4221.001"/>
    <s v="Intérêts compensat. / créances en faveur du fisc"/>
    <n v="0"/>
    <n v="34.270000000000003"/>
    <n v="4221"/>
  </r>
  <r>
    <x v="1"/>
    <x v="4"/>
    <x v="4"/>
    <x v="44"/>
    <x v="37"/>
    <x v="37"/>
    <s v="REVENUS"/>
    <x v="17"/>
    <s v="4011.007"/>
    <s v="Acompte sur bénéfice"/>
    <n v="0"/>
    <n v="-12480.4"/>
    <n v="4011"/>
  </r>
  <r>
    <x v="1"/>
    <x v="4"/>
    <x v="4"/>
    <x v="44"/>
    <x v="37"/>
    <x v="37"/>
    <s v="REVENUS"/>
    <x v="16"/>
    <s v="4012.001"/>
    <s v="Impôt capital ordinaire"/>
    <n v="0"/>
    <n v="343.85"/>
    <n v="4012"/>
  </r>
  <r>
    <x v="1"/>
    <x v="4"/>
    <x v="4"/>
    <x v="44"/>
    <x v="37"/>
    <x v="37"/>
    <s v="REVENUS"/>
    <x v="6"/>
    <s v="4211.002"/>
    <s v="Intérêts de retard sur acomptes"/>
    <n v="0"/>
    <n v="15.09"/>
    <n v="4211"/>
  </r>
  <r>
    <x v="1"/>
    <x v="4"/>
    <x v="4"/>
    <x v="44"/>
    <x v="37"/>
    <x v="37"/>
    <s v="REVENUS"/>
    <x v="16"/>
    <s v="4012.007"/>
    <s v="Acompte sur capital"/>
    <n v="0"/>
    <n v="339.8"/>
    <n v="4012"/>
  </r>
  <r>
    <x v="1"/>
    <x v="4"/>
    <x v="4"/>
    <x v="44"/>
    <x v="37"/>
    <x v="37"/>
    <s v="REVENUS"/>
    <x v="18"/>
    <s v="4013.001"/>
    <s v="Impôt complémentaire sur immeubles"/>
    <n v="0"/>
    <n v="6176.2"/>
    <n v="4013"/>
  </r>
  <r>
    <x v="1"/>
    <x v="4"/>
    <x v="4"/>
    <x v="44"/>
    <x v="37"/>
    <x v="37"/>
    <s v="REVENUS"/>
    <x v="11"/>
    <s v="4198.001"/>
    <s v="Impôt foncier"/>
    <n v="0"/>
    <n v="13146.6"/>
    <n v="4198"/>
  </r>
  <r>
    <x v="1"/>
    <x v="5"/>
    <x v="1"/>
    <x v="45"/>
    <x v="38"/>
    <x v="38"/>
    <s v="CHARGES"/>
    <x v="1"/>
    <s v="3301.006"/>
    <s v="Abandon de solde PM"/>
    <n v="13.01"/>
    <n v="0"/>
    <n v="3301"/>
  </r>
  <r>
    <x v="1"/>
    <x v="5"/>
    <x v="1"/>
    <x v="45"/>
    <x v="38"/>
    <x v="38"/>
    <s v="CHARGES"/>
    <x v="0"/>
    <s v="3212.004"/>
    <s v="Intérêts rémun./perçu trop tôt sur acomptes C/C"/>
    <n v="4"/>
    <n v="0"/>
    <n v="3212"/>
  </r>
  <r>
    <x v="1"/>
    <x v="5"/>
    <x v="1"/>
    <x v="45"/>
    <x v="38"/>
    <x v="38"/>
    <s v="CHARGES"/>
    <x v="0"/>
    <s v="3221.002"/>
    <s v="Intérêts compensatoires / créances en faveur ctb."/>
    <n v="5.0999999999999996"/>
    <n v="0"/>
    <n v="3221"/>
  </r>
  <r>
    <x v="1"/>
    <x v="5"/>
    <x v="1"/>
    <x v="45"/>
    <x v="38"/>
    <x v="38"/>
    <s v="CHARGES"/>
    <x v="0"/>
    <s v="3212.002"/>
    <s v="Intérêts bonifiés/trop perçu acompte C/C"/>
    <n v="0.06"/>
    <n v="0"/>
    <n v="3212"/>
  </r>
  <r>
    <x v="1"/>
    <x v="5"/>
    <x v="1"/>
    <x v="45"/>
    <x v="38"/>
    <x v="38"/>
    <s v="CHARGES"/>
    <x v="1"/>
    <s v="3301.002"/>
    <s v="Défalcation PM"/>
    <n v="903.53"/>
    <n v="0"/>
    <n v="3301"/>
  </r>
  <r>
    <x v="1"/>
    <x v="5"/>
    <x v="1"/>
    <x v="45"/>
    <x v="38"/>
    <x v="38"/>
    <s v="REVENUS"/>
    <x v="6"/>
    <s v="4211.001"/>
    <s v="Intérêts de retard sur factures"/>
    <n v="0"/>
    <n v="2.0099999999999998"/>
    <n v="4211"/>
  </r>
  <r>
    <x v="1"/>
    <x v="5"/>
    <x v="1"/>
    <x v="45"/>
    <x v="38"/>
    <x v="38"/>
    <s v="REVENUS"/>
    <x v="16"/>
    <s v="4012.001"/>
    <s v="Impôt capital ordinaire"/>
    <n v="0"/>
    <n v="67.400000000000006"/>
    <n v="4012"/>
  </r>
  <r>
    <x v="1"/>
    <x v="5"/>
    <x v="1"/>
    <x v="45"/>
    <x v="38"/>
    <x v="38"/>
    <s v="REVENUS"/>
    <x v="16"/>
    <s v="4012.007"/>
    <s v="Acompte sur capital"/>
    <n v="0"/>
    <n v="76.25"/>
    <n v="4012"/>
  </r>
  <r>
    <x v="1"/>
    <x v="5"/>
    <x v="1"/>
    <x v="45"/>
    <x v="38"/>
    <x v="38"/>
    <s v="REVENUS"/>
    <x v="6"/>
    <s v="4211.002"/>
    <s v="Intérêts de retard sur acomptes"/>
    <n v="0"/>
    <n v="3.08"/>
    <n v="4211"/>
  </r>
  <r>
    <x v="1"/>
    <x v="5"/>
    <x v="1"/>
    <x v="45"/>
    <x v="38"/>
    <x v="38"/>
    <s v="REVENUS"/>
    <x v="17"/>
    <s v="4011.001"/>
    <s v="Impôt bénéfice ordinaire"/>
    <n v="0"/>
    <n v="2125.9499999999998"/>
    <n v="4011"/>
  </r>
  <r>
    <x v="1"/>
    <x v="5"/>
    <x v="1"/>
    <x v="45"/>
    <x v="38"/>
    <x v="38"/>
    <s v="REVENUS"/>
    <x v="17"/>
    <s v="4011.002"/>
    <s v="Complément impôt bénéfice ordinaire"/>
    <n v="0"/>
    <n v="1348.55"/>
    <n v="4011"/>
  </r>
  <r>
    <x v="1"/>
    <x v="5"/>
    <x v="1"/>
    <x v="45"/>
    <x v="38"/>
    <x v="38"/>
    <s v="REVENUS"/>
    <x v="17"/>
    <s v="4011.007"/>
    <s v="Acompte sur bénéfice"/>
    <n v="0"/>
    <n v="-558"/>
    <n v="4011"/>
  </r>
  <r>
    <x v="1"/>
    <x v="5"/>
    <x v="1"/>
    <x v="45"/>
    <x v="38"/>
    <x v="38"/>
    <s v="REVENUS"/>
    <x v="18"/>
    <s v="4013.001"/>
    <s v="Impôt complémentaire sur immeubles"/>
    <n v="0"/>
    <n v="665"/>
    <n v="4013"/>
  </r>
  <r>
    <x v="1"/>
    <x v="5"/>
    <x v="1"/>
    <x v="45"/>
    <x v="38"/>
    <x v="38"/>
    <s v="REVENUS"/>
    <x v="11"/>
    <s v="4198.001"/>
    <s v="Impôt foncier"/>
    <n v="0"/>
    <n v="1632.9"/>
    <n v="4198"/>
  </r>
  <r>
    <x v="1"/>
    <x v="5"/>
    <x v="1"/>
    <x v="46"/>
    <x v="39"/>
    <x v="39"/>
    <s v="CHARGES"/>
    <x v="0"/>
    <s v="3212.004"/>
    <s v="Intérêts rémun./perçu trop tôt sur acomptes C/C"/>
    <n v="2.63"/>
    <n v="0"/>
    <n v="3212"/>
  </r>
  <r>
    <x v="1"/>
    <x v="5"/>
    <x v="1"/>
    <x v="46"/>
    <x v="39"/>
    <x v="39"/>
    <s v="CHARGES"/>
    <x v="0"/>
    <s v="3221.002"/>
    <s v="Intérêts compensatoires / créances en faveur ctb."/>
    <n v="4.41"/>
    <n v="0"/>
    <n v="3221"/>
  </r>
  <r>
    <x v="1"/>
    <x v="5"/>
    <x v="1"/>
    <x v="46"/>
    <x v="39"/>
    <x v="39"/>
    <s v="CHARGES"/>
    <x v="1"/>
    <s v="3301.002"/>
    <s v="Défalcation PM"/>
    <n v="58.77"/>
    <n v="0"/>
    <n v="3301"/>
  </r>
  <r>
    <x v="1"/>
    <x v="5"/>
    <x v="1"/>
    <x v="46"/>
    <x v="39"/>
    <x v="39"/>
    <s v="REVENUS"/>
    <x v="17"/>
    <s v="4011.002"/>
    <s v="Complément impôt bénéfice ordinaire"/>
    <n v="0"/>
    <n v="64.599999999999994"/>
    <n v="4011"/>
  </r>
  <r>
    <x v="1"/>
    <x v="5"/>
    <x v="1"/>
    <x v="46"/>
    <x v="39"/>
    <x v="39"/>
    <s v="REVENUS"/>
    <x v="17"/>
    <s v="4011.001"/>
    <s v="Impôt bénéfice ordinaire"/>
    <n v="0"/>
    <n v="666.2"/>
    <n v="4011"/>
  </r>
  <r>
    <x v="1"/>
    <x v="5"/>
    <x v="1"/>
    <x v="46"/>
    <x v="39"/>
    <x v="39"/>
    <s v="REVENUS"/>
    <x v="17"/>
    <s v="4011.007"/>
    <s v="Acompte sur bénéfice"/>
    <n v="0"/>
    <n v="-482.15"/>
    <n v="4011"/>
  </r>
  <r>
    <x v="1"/>
    <x v="5"/>
    <x v="1"/>
    <x v="46"/>
    <x v="39"/>
    <x v="39"/>
    <s v="REVENUS"/>
    <x v="16"/>
    <s v="4012.007"/>
    <s v="Acompte sur capital"/>
    <n v="0"/>
    <n v="112.25"/>
    <n v="4012"/>
  </r>
  <r>
    <x v="1"/>
    <x v="5"/>
    <x v="1"/>
    <x v="46"/>
    <x v="39"/>
    <x v="39"/>
    <s v="REVENUS"/>
    <x v="16"/>
    <s v="4012.001"/>
    <s v="Impôt capital ordinaire"/>
    <n v="0"/>
    <n v="68.150000000000006"/>
    <n v="4012"/>
  </r>
  <r>
    <x v="1"/>
    <x v="5"/>
    <x v="1"/>
    <x v="46"/>
    <x v="39"/>
    <x v="39"/>
    <s v="REVENUS"/>
    <x v="6"/>
    <s v="4211.002"/>
    <s v="Intérêts de retard sur acomptes"/>
    <n v="0"/>
    <n v="0.5"/>
    <n v="4211"/>
  </r>
  <r>
    <x v="1"/>
    <x v="5"/>
    <x v="1"/>
    <x v="46"/>
    <x v="39"/>
    <x v="39"/>
    <s v="REVENUS"/>
    <x v="6"/>
    <s v="4221.001"/>
    <s v="Intérêts compensat. / créances en faveur du fisc"/>
    <n v="0"/>
    <n v="0.37"/>
    <n v="4221"/>
  </r>
  <r>
    <x v="1"/>
    <x v="5"/>
    <x v="1"/>
    <x v="46"/>
    <x v="39"/>
    <x v="39"/>
    <s v="REVENUS"/>
    <x v="11"/>
    <s v="4198.001"/>
    <s v="Impôt foncier"/>
    <n v="0"/>
    <n v="6.2"/>
    <n v="4198"/>
  </r>
  <r>
    <x v="1"/>
    <x v="5"/>
    <x v="1"/>
    <x v="47"/>
    <x v="40"/>
    <x v="40"/>
    <s v="CHARGES"/>
    <x v="1"/>
    <s v="3301.006"/>
    <s v="Abandon de solde PM"/>
    <n v="12.05"/>
    <n v="0"/>
    <n v="3301"/>
  </r>
  <r>
    <x v="1"/>
    <x v="5"/>
    <x v="1"/>
    <x v="47"/>
    <x v="40"/>
    <x v="40"/>
    <s v="CHARGES"/>
    <x v="0"/>
    <s v="3212.002"/>
    <s v="Intérêts bonifiés/trop perçu acompte C/C"/>
    <n v="0.01"/>
    <n v="0"/>
    <n v="3212"/>
  </r>
  <r>
    <x v="1"/>
    <x v="5"/>
    <x v="1"/>
    <x v="47"/>
    <x v="40"/>
    <x v="40"/>
    <s v="CHARGES"/>
    <x v="0"/>
    <s v="3212.004"/>
    <s v="Intérêts rémun./perçu trop tôt sur acomptes C/C"/>
    <n v="0.91"/>
    <n v="0"/>
    <n v="3212"/>
  </r>
  <r>
    <x v="1"/>
    <x v="5"/>
    <x v="1"/>
    <x v="47"/>
    <x v="40"/>
    <x v="40"/>
    <s v="CHARGES"/>
    <x v="0"/>
    <s v="3221.002"/>
    <s v="Intérêts compensatoires / créances en faveur ctb."/>
    <n v="1.27"/>
    <n v="0"/>
    <n v="3221"/>
  </r>
  <r>
    <x v="1"/>
    <x v="5"/>
    <x v="1"/>
    <x v="47"/>
    <x v="40"/>
    <x v="40"/>
    <s v="REVENUS"/>
    <x v="6"/>
    <s v="4211.001"/>
    <s v="Intérêts de retard sur factures"/>
    <n v="0"/>
    <n v="0.56000000000000005"/>
    <n v="4211"/>
  </r>
  <r>
    <x v="1"/>
    <x v="5"/>
    <x v="1"/>
    <x v="47"/>
    <x v="40"/>
    <x v="40"/>
    <s v="REVENUS"/>
    <x v="17"/>
    <s v="4011.002"/>
    <s v="Complément impôt bénéfice ordinaire"/>
    <n v="0"/>
    <n v="263.5"/>
    <n v="4011"/>
  </r>
  <r>
    <x v="1"/>
    <x v="5"/>
    <x v="1"/>
    <x v="47"/>
    <x v="40"/>
    <x v="40"/>
    <s v="REVENUS"/>
    <x v="10"/>
    <s v="4041.001"/>
    <s v="Droits de mutation"/>
    <n v="0"/>
    <n v="4840"/>
    <n v="4041"/>
  </r>
  <r>
    <x v="1"/>
    <x v="5"/>
    <x v="1"/>
    <x v="47"/>
    <x v="40"/>
    <x v="40"/>
    <s v="REVENUS"/>
    <x v="17"/>
    <s v="4011.001"/>
    <s v="Impôt bénéfice ordinaire"/>
    <n v="0"/>
    <n v="536.85"/>
    <n v="4011"/>
  </r>
  <r>
    <x v="1"/>
    <x v="5"/>
    <x v="1"/>
    <x v="47"/>
    <x v="40"/>
    <x v="40"/>
    <s v="REVENUS"/>
    <x v="17"/>
    <s v="4011.007"/>
    <s v="Acompte sur bénéfice"/>
    <n v="0"/>
    <n v="-181.85"/>
    <n v="4011"/>
  </r>
  <r>
    <x v="1"/>
    <x v="5"/>
    <x v="1"/>
    <x v="47"/>
    <x v="40"/>
    <x v="40"/>
    <s v="REVENUS"/>
    <x v="16"/>
    <s v="4012.007"/>
    <s v="Acompte sur capital"/>
    <n v="0"/>
    <n v="-2431.0500000000002"/>
    <n v="4012"/>
  </r>
  <r>
    <x v="1"/>
    <x v="5"/>
    <x v="1"/>
    <x v="47"/>
    <x v="40"/>
    <x v="40"/>
    <s v="REVENUS"/>
    <x v="6"/>
    <s v="4211.002"/>
    <s v="Intérêts de retard sur acomptes"/>
    <n v="0"/>
    <n v="2.64"/>
    <n v="4211"/>
  </r>
  <r>
    <x v="1"/>
    <x v="5"/>
    <x v="1"/>
    <x v="47"/>
    <x v="40"/>
    <x v="40"/>
    <s v="REVENUS"/>
    <x v="6"/>
    <s v="4221.001"/>
    <s v="Intérêts compensat. / créances en faveur du fisc"/>
    <n v="0"/>
    <n v="3.29"/>
    <n v="4221"/>
  </r>
  <r>
    <x v="1"/>
    <x v="5"/>
    <x v="1"/>
    <x v="47"/>
    <x v="40"/>
    <x v="40"/>
    <s v="REVENUS"/>
    <x v="16"/>
    <s v="4012.001"/>
    <s v="Impôt capital ordinaire"/>
    <n v="0"/>
    <n v="298.14999999999998"/>
    <n v="4012"/>
  </r>
  <r>
    <x v="1"/>
    <x v="5"/>
    <x v="1"/>
    <x v="47"/>
    <x v="40"/>
    <x v="40"/>
    <s v="REVENUS"/>
    <x v="11"/>
    <s v="4198.001"/>
    <s v="Impôt foncier"/>
    <n v="0"/>
    <n v="2019.7"/>
    <n v="4198"/>
  </r>
  <r>
    <x v="1"/>
    <x v="5"/>
    <x v="1"/>
    <x v="48"/>
    <x v="41"/>
    <x v="41"/>
    <s v="CHARGES"/>
    <x v="0"/>
    <s v="3212.004"/>
    <s v="Intérêts rémun./perçu trop tôt sur acomptes C/C"/>
    <n v="1041.31"/>
    <n v="0"/>
    <n v="3212"/>
  </r>
  <r>
    <x v="1"/>
    <x v="5"/>
    <x v="1"/>
    <x v="48"/>
    <x v="41"/>
    <x v="41"/>
    <s v="CHARGES"/>
    <x v="0"/>
    <s v="3221.002"/>
    <s v="Intérêts compensatoires / créances en faveur ctb."/>
    <n v="1059.5"/>
    <n v="0"/>
    <n v="3221"/>
  </r>
  <r>
    <x v="1"/>
    <x v="5"/>
    <x v="1"/>
    <x v="48"/>
    <x v="41"/>
    <x v="41"/>
    <s v="CHARGES"/>
    <x v="1"/>
    <s v="3301.006"/>
    <s v="Abandon de solde PM"/>
    <n v="83"/>
    <n v="0"/>
    <n v="3301"/>
  </r>
  <r>
    <x v="1"/>
    <x v="5"/>
    <x v="1"/>
    <x v="48"/>
    <x v="41"/>
    <x v="41"/>
    <s v="CHARGES"/>
    <x v="0"/>
    <s v="3212.002"/>
    <s v="Intérêts bonifiés/trop perçu acompte C/C"/>
    <n v="0.68"/>
    <n v="0"/>
    <n v="3212"/>
  </r>
  <r>
    <x v="1"/>
    <x v="5"/>
    <x v="1"/>
    <x v="48"/>
    <x v="41"/>
    <x v="41"/>
    <s v="CHARGES"/>
    <x v="1"/>
    <s v="3301.002"/>
    <s v="Défalcation PM"/>
    <n v="64088.15"/>
    <n v="0"/>
    <n v="3301"/>
  </r>
  <r>
    <x v="1"/>
    <x v="5"/>
    <x v="1"/>
    <x v="48"/>
    <x v="41"/>
    <x v="41"/>
    <s v="REVENUS"/>
    <x v="17"/>
    <s v="4011.001"/>
    <s v="Impôt bénéfice ordinaire"/>
    <n v="0"/>
    <n v="448021.8"/>
    <n v="4011"/>
  </r>
  <r>
    <x v="1"/>
    <x v="5"/>
    <x v="1"/>
    <x v="48"/>
    <x v="41"/>
    <x v="41"/>
    <s v="REVENUS"/>
    <x v="17"/>
    <s v="4011.007"/>
    <s v="Acompte sur bénéfice"/>
    <n v="0"/>
    <n v="-117431.65"/>
    <n v="4011"/>
  </r>
  <r>
    <x v="1"/>
    <x v="5"/>
    <x v="1"/>
    <x v="48"/>
    <x v="41"/>
    <x v="41"/>
    <s v="REVENUS"/>
    <x v="6"/>
    <s v="4211.002"/>
    <s v="Intérêts de retard sur acomptes"/>
    <n v="0"/>
    <n v="1996.4"/>
    <n v="4211"/>
  </r>
  <r>
    <x v="1"/>
    <x v="5"/>
    <x v="1"/>
    <x v="48"/>
    <x v="41"/>
    <x v="41"/>
    <s v="REVENUS"/>
    <x v="6"/>
    <s v="4221.001"/>
    <s v="Intérêts compensat. / créances en faveur du fisc"/>
    <n v="0"/>
    <n v="149.03"/>
    <n v="4221"/>
  </r>
  <r>
    <x v="1"/>
    <x v="5"/>
    <x v="1"/>
    <x v="48"/>
    <x v="41"/>
    <x v="41"/>
    <s v="REVENUS"/>
    <x v="18"/>
    <s v="4013.001"/>
    <s v="Impôt complémentaire sur immeubles"/>
    <n v="0"/>
    <n v="45929.4"/>
    <n v="4013"/>
  </r>
  <r>
    <x v="1"/>
    <x v="5"/>
    <x v="1"/>
    <x v="48"/>
    <x v="41"/>
    <x v="41"/>
    <s v="REVENUS"/>
    <x v="16"/>
    <s v="4012.001"/>
    <s v="Impôt capital ordinaire"/>
    <n v="0"/>
    <n v="7847.45"/>
    <n v="4012"/>
  </r>
  <r>
    <x v="1"/>
    <x v="5"/>
    <x v="1"/>
    <x v="48"/>
    <x v="41"/>
    <x v="41"/>
    <s v="REVENUS"/>
    <x v="17"/>
    <s v="4011.002"/>
    <s v="Complément impôt bénéfice ordinaire"/>
    <n v="0"/>
    <n v="19914.349999999999"/>
    <n v="4011"/>
  </r>
  <r>
    <x v="1"/>
    <x v="5"/>
    <x v="1"/>
    <x v="48"/>
    <x v="41"/>
    <x v="41"/>
    <s v="REVENUS"/>
    <x v="16"/>
    <s v="4012.007"/>
    <s v="Acompte sur capital"/>
    <n v="0"/>
    <n v="-14665.15"/>
    <n v="4012"/>
  </r>
  <r>
    <x v="1"/>
    <x v="5"/>
    <x v="1"/>
    <x v="48"/>
    <x v="41"/>
    <x v="41"/>
    <s v="REVENUS"/>
    <x v="6"/>
    <s v="4211.001"/>
    <s v="Intérêts de retard sur factures"/>
    <n v="0"/>
    <n v="2807.63"/>
    <n v="4211"/>
  </r>
  <r>
    <x v="1"/>
    <x v="5"/>
    <x v="1"/>
    <x v="48"/>
    <x v="41"/>
    <x v="41"/>
    <s v="REVENUS"/>
    <x v="16"/>
    <s v="4012.002"/>
    <s v="Complément impôt capital ordinaire"/>
    <n v="0"/>
    <n v="5296.4"/>
    <n v="4012"/>
  </r>
  <r>
    <x v="1"/>
    <x v="5"/>
    <x v="1"/>
    <x v="48"/>
    <x v="41"/>
    <x v="41"/>
    <s v="REVENUS"/>
    <x v="11"/>
    <s v="4198.001"/>
    <s v="Impôt foncier"/>
    <n v="0"/>
    <n v="169022"/>
    <n v="4198"/>
  </r>
  <r>
    <x v="1"/>
    <x v="5"/>
    <x v="1"/>
    <x v="48"/>
    <x v="41"/>
    <x v="41"/>
    <s v="REVENUS"/>
    <x v="10"/>
    <s v="4041.001"/>
    <s v="Droits de mutation"/>
    <n v="0"/>
    <n v="294354.40000000002"/>
    <n v="4041"/>
  </r>
  <r>
    <x v="1"/>
    <x v="5"/>
    <x v="1"/>
    <x v="48"/>
    <x v="41"/>
    <x v="41"/>
    <s v="REVENUS"/>
    <x v="18"/>
    <s v="4013.003"/>
    <s v="Remboursement impôt complémentaire sur immeubles"/>
    <n v="0"/>
    <n v="-3405.65"/>
    <n v="4013"/>
  </r>
  <r>
    <x v="1"/>
    <x v="5"/>
    <x v="1"/>
    <x v="48"/>
    <x v="41"/>
    <x v="41"/>
    <s v="REVENUS"/>
    <x v="7"/>
    <s v="4184.000"/>
    <s v="Frais de poursuite"/>
    <n v="0"/>
    <n v="27.36"/>
    <n v="4184"/>
  </r>
  <r>
    <x v="1"/>
    <x v="5"/>
    <x v="1"/>
    <x v="48"/>
    <x v="41"/>
    <x v="41"/>
    <s v="REVENUS"/>
    <x v="8"/>
    <s v="4091.001"/>
    <s v="Impôt récupéré après défalcations"/>
    <n v="0"/>
    <n v="63983.9"/>
    <n v="4091"/>
  </r>
  <r>
    <x v="1"/>
    <x v="5"/>
    <x v="1"/>
    <x v="49"/>
    <x v="42"/>
    <x v="42"/>
    <s v="CHARGES"/>
    <x v="0"/>
    <s v="3221.002"/>
    <s v="Intérêts compensatoires / créances en faveur ctb."/>
    <n v="24.58"/>
    <n v="0"/>
    <n v="3221"/>
  </r>
  <r>
    <x v="1"/>
    <x v="5"/>
    <x v="1"/>
    <x v="49"/>
    <x v="42"/>
    <x v="42"/>
    <s v="CHARGES"/>
    <x v="0"/>
    <s v="3212.002"/>
    <s v="Intérêts bonifiés/trop perçu acompte C/C"/>
    <n v="0.05"/>
    <n v="0"/>
    <n v="3212"/>
  </r>
  <r>
    <x v="1"/>
    <x v="5"/>
    <x v="1"/>
    <x v="49"/>
    <x v="42"/>
    <x v="42"/>
    <s v="CHARGES"/>
    <x v="0"/>
    <s v="3212.004"/>
    <s v="Intérêts rémun./perçu trop tôt sur acomptes C/C"/>
    <n v="19.329999999999998"/>
    <n v="0"/>
    <n v="3212"/>
  </r>
  <r>
    <x v="1"/>
    <x v="5"/>
    <x v="1"/>
    <x v="49"/>
    <x v="42"/>
    <x v="42"/>
    <s v="CHARGES"/>
    <x v="1"/>
    <s v="3301.002"/>
    <s v="Défalcation PM"/>
    <n v="692.74"/>
    <n v="0"/>
    <n v="3301"/>
  </r>
  <r>
    <x v="1"/>
    <x v="5"/>
    <x v="1"/>
    <x v="49"/>
    <x v="42"/>
    <x v="42"/>
    <s v="CHARGES"/>
    <x v="1"/>
    <s v="3301.006"/>
    <s v="Abandon de solde PM"/>
    <n v="13.95"/>
    <n v="0"/>
    <n v="3301"/>
  </r>
  <r>
    <x v="1"/>
    <x v="5"/>
    <x v="1"/>
    <x v="49"/>
    <x v="42"/>
    <x v="42"/>
    <s v="REVENUS"/>
    <x v="17"/>
    <s v="4011.001"/>
    <s v="Impôt bénéfice ordinaire"/>
    <n v="0"/>
    <n v="7208.8"/>
    <n v="4011"/>
  </r>
  <r>
    <x v="1"/>
    <x v="5"/>
    <x v="1"/>
    <x v="49"/>
    <x v="42"/>
    <x v="42"/>
    <s v="REVENUS"/>
    <x v="17"/>
    <s v="4011.002"/>
    <s v="Complément impôt bénéfice ordinaire"/>
    <n v="0"/>
    <n v="1520.1"/>
    <n v="4011"/>
  </r>
  <r>
    <x v="1"/>
    <x v="5"/>
    <x v="1"/>
    <x v="49"/>
    <x v="42"/>
    <x v="42"/>
    <s v="REVENUS"/>
    <x v="6"/>
    <s v="4211.001"/>
    <s v="Intérêts de retard sur factures"/>
    <n v="0"/>
    <n v="0.04"/>
    <n v="4211"/>
  </r>
  <r>
    <x v="1"/>
    <x v="5"/>
    <x v="1"/>
    <x v="49"/>
    <x v="42"/>
    <x v="42"/>
    <s v="REVENUS"/>
    <x v="6"/>
    <s v="4221.001"/>
    <s v="Intérêts compensat. / créances en faveur du fisc"/>
    <n v="0"/>
    <n v="1.08"/>
    <n v="4221"/>
  </r>
  <r>
    <x v="1"/>
    <x v="5"/>
    <x v="1"/>
    <x v="49"/>
    <x v="42"/>
    <x v="42"/>
    <s v="REVENUS"/>
    <x v="16"/>
    <s v="4012.007"/>
    <s v="Acompte sur capital"/>
    <n v="0"/>
    <n v="575.04999999999995"/>
    <n v="4012"/>
  </r>
  <r>
    <x v="1"/>
    <x v="5"/>
    <x v="1"/>
    <x v="49"/>
    <x v="42"/>
    <x v="42"/>
    <s v="REVENUS"/>
    <x v="17"/>
    <s v="4011.007"/>
    <s v="Acompte sur bénéfice"/>
    <n v="0"/>
    <n v="-22177.55"/>
    <n v="4011"/>
  </r>
  <r>
    <x v="1"/>
    <x v="5"/>
    <x v="1"/>
    <x v="49"/>
    <x v="42"/>
    <x v="42"/>
    <s v="REVENUS"/>
    <x v="16"/>
    <s v="4012.001"/>
    <s v="Impôt capital ordinaire"/>
    <n v="0"/>
    <n v="125.15"/>
    <n v="4012"/>
  </r>
  <r>
    <x v="1"/>
    <x v="5"/>
    <x v="1"/>
    <x v="49"/>
    <x v="42"/>
    <x v="42"/>
    <s v="REVENUS"/>
    <x v="6"/>
    <s v="4211.002"/>
    <s v="Intérêts de retard sur acomptes"/>
    <n v="0"/>
    <n v="3.83"/>
    <n v="4211"/>
  </r>
  <r>
    <x v="1"/>
    <x v="5"/>
    <x v="1"/>
    <x v="49"/>
    <x v="42"/>
    <x v="42"/>
    <s v="REVENUS"/>
    <x v="18"/>
    <s v="4013.001"/>
    <s v="Impôt complémentaire sur immeubles"/>
    <n v="0"/>
    <n v="250"/>
    <n v="4013"/>
  </r>
  <r>
    <x v="1"/>
    <x v="5"/>
    <x v="1"/>
    <x v="49"/>
    <x v="42"/>
    <x v="42"/>
    <s v="REVENUS"/>
    <x v="11"/>
    <s v="4198.001"/>
    <s v="Impôt foncier"/>
    <n v="0"/>
    <n v="520.6"/>
    <n v="4198"/>
  </r>
  <r>
    <x v="1"/>
    <x v="5"/>
    <x v="1"/>
    <x v="50"/>
    <x v="43"/>
    <x v="43"/>
    <s v="CHARGES"/>
    <x v="0"/>
    <s v="3221.002"/>
    <s v="Intérêts compensatoires / créances en faveur ctb."/>
    <n v="6.41"/>
    <n v="0"/>
    <n v="3221"/>
  </r>
  <r>
    <x v="1"/>
    <x v="5"/>
    <x v="1"/>
    <x v="50"/>
    <x v="43"/>
    <x v="43"/>
    <s v="CHARGES"/>
    <x v="0"/>
    <s v="3212.002"/>
    <s v="Intérêts bonifiés/trop perçu acompte C/C"/>
    <n v="0.09"/>
    <n v="0"/>
    <n v="3212"/>
  </r>
  <r>
    <x v="1"/>
    <x v="5"/>
    <x v="1"/>
    <x v="50"/>
    <x v="43"/>
    <x v="43"/>
    <s v="CHARGES"/>
    <x v="0"/>
    <s v="3212.004"/>
    <s v="Intérêts rémun./perçu trop tôt sur acomptes C/C"/>
    <n v="2.14"/>
    <n v="0"/>
    <n v="3212"/>
  </r>
  <r>
    <x v="1"/>
    <x v="5"/>
    <x v="1"/>
    <x v="50"/>
    <x v="43"/>
    <x v="43"/>
    <s v="CHARGES"/>
    <x v="1"/>
    <s v="3301.002"/>
    <s v="Défalcation PM"/>
    <n v="1193.68"/>
    <n v="0"/>
    <n v="3301"/>
  </r>
  <r>
    <x v="1"/>
    <x v="5"/>
    <x v="1"/>
    <x v="50"/>
    <x v="43"/>
    <x v="43"/>
    <s v="CHARGES"/>
    <x v="1"/>
    <s v="3301.006"/>
    <s v="Abandon de solde PM"/>
    <n v="4.28"/>
    <n v="0"/>
    <n v="3301"/>
  </r>
  <r>
    <x v="1"/>
    <x v="5"/>
    <x v="1"/>
    <x v="50"/>
    <x v="43"/>
    <x v="43"/>
    <s v="REVENUS"/>
    <x v="17"/>
    <s v="4011.001"/>
    <s v="Impôt bénéfice ordinaire"/>
    <n v="0"/>
    <n v="12916.85"/>
    <n v="4011"/>
  </r>
  <r>
    <x v="1"/>
    <x v="5"/>
    <x v="1"/>
    <x v="50"/>
    <x v="43"/>
    <x v="43"/>
    <s v="REVENUS"/>
    <x v="17"/>
    <s v="4011.002"/>
    <s v="Complément impôt bénéfice ordinaire"/>
    <n v="0"/>
    <n v="2571.9"/>
    <n v="4011"/>
  </r>
  <r>
    <x v="1"/>
    <x v="5"/>
    <x v="1"/>
    <x v="50"/>
    <x v="43"/>
    <x v="43"/>
    <s v="REVENUS"/>
    <x v="6"/>
    <s v="4211.001"/>
    <s v="Intérêts de retard sur factures"/>
    <n v="0"/>
    <n v="139.57"/>
    <n v="4211"/>
  </r>
  <r>
    <x v="1"/>
    <x v="5"/>
    <x v="1"/>
    <x v="50"/>
    <x v="43"/>
    <x v="43"/>
    <s v="REVENUS"/>
    <x v="6"/>
    <s v="4221.001"/>
    <s v="Intérêts compensat. / créances en faveur du fisc"/>
    <n v="0"/>
    <n v="4.43"/>
    <n v="4221"/>
  </r>
  <r>
    <x v="1"/>
    <x v="5"/>
    <x v="1"/>
    <x v="50"/>
    <x v="43"/>
    <x v="43"/>
    <s v="REVENUS"/>
    <x v="17"/>
    <s v="4011.007"/>
    <s v="Acompte sur bénéfice"/>
    <n v="0"/>
    <n v="-771.35"/>
    <n v="4011"/>
  </r>
  <r>
    <x v="1"/>
    <x v="5"/>
    <x v="1"/>
    <x v="50"/>
    <x v="43"/>
    <x v="43"/>
    <s v="REVENUS"/>
    <x v="16"/>
    <s v="4012.007"/>
    <s v="Acompte sur capital"/>
    <n v="0"/>
    <n v="343.55"/>
    <n v="4012"/>
  </r>
  <r>
    <x v="1"/>
    <x v="5"/>
    <x v="1"/>
    <x v="50"/>
    <x v="43"/>
    <x v="43"/>
    <s v="REVENUS"/>
    <x v="6"/>
    <s v="4211.002"/>
    <s v="Intérêts de retard sur acomptes"/>
    <n v="0"/>
    <n v="106.85"/>
    <n v="4211"/>
  </r>
  <r>
    <x v="1"/>
    <x v="5"/>
    <x v="1"/>
    <x v="50"/>
    <x v="43"/>
    <x v="43"/>
    <s v="REVENUS"/>
    <x v="7"/>
    <s v="4184.000"/>
    <s v="Frais de poursuite"/>
    <n v="0"/>
    <n v="124.05"/>
    <n v="4184"/>
  </r>
  <r>
    <x v="1"/>
    <x v="5"/>
    <x v="1"/>
    <x v="50"/>
    <x v="43"/>
    <x v="43"/>
    <s v="REVENUS"/>
    <x v="16"/>
    <s v="4012.001"/>
    <s v="Impôt capital ordinaire"/>
    <n v="0"/>
    <n v="444.45"/>
    <n v="4012"/>
  </r>
  <r>
    <x v="1"/>
    <x v="5"/>
    <x v="1"/>
    <x v="50"/>
    <x v="43"/>
    <x v="43"/>
    <s v="REVENUS"/>
    <x v="18"/>
    <s v="4013.003"/>
    <s v="Remboursement impôt complémentaire sur immeubles"/>
    <n v="0"/>
    <n v="-62.25"/>
    <n v="4013"/>
  </r>
  <r>
    <x v="1"/>
    <x v="5"/>
    <x v="1"/>
    <x v="50"/>
    <x v="43"/>
    <x v="43"/>
    <s v="REVENUS"/>
    <x v="18"/>
    <s v="4013.001"/>
    <s v="Impôt complémentaire sur immeubles"/>
    <n v="0"/>
    <n v="2035.5"/>
    <n v="4013"/>
  </r>
  <r>
    <x v="1"/>
    <x v="5"/>
    <x v="1"/>
    <x v="50"/>
    <x v="43"/>
    <x v="43"/>
    <s v="REVENUS"/>
    <x v="11"/>
    <s v="4198.001"/>
    <s v="Impôt foncier"/>
    <n v="0"/>
    <n v="5381"/>
    <n v="4198"/>
  </r>
  <r>
    <x v="1"/>
    <x v="4"/>
    <x v="4"/>
    <x v="51"/>
    <x v="44"/>
    <x v="44"/>
    <s v="CHARGES"/>
    <x v="1"/>
    <s v="3301.006"/>
    <s v="Abandon de solde PM"/>
    <n v="27.38"/>
    <n v="0"/>
    <n v="3301"/>
  </r>
  <r>
    <x v="1"/>
    <x v="4"/>
    <x v="4"/>
    <x v="51"/>
    <x v="44"/>
    <x v="44"/>
    <s v="CHARGES"/>
    <x v="0"/>
    <s v="3212.004"/>
    <s v="Intérêts rémun./perçu trop tôt sur acomptes C/C"/>
    <n v="9.33"/>
    <n v="0"/>
    <n v="3212"/>
  </r>
  <r>
    <x v="1"/>
    <x v="4"/>
    <x v="4"/>
    <x v="51"/>
    <x v="44"/>
    <x v="44"/>
    <s v="CHARGES"/>
    <x v="0"/>
    <s v="3221.002"/>
    <s v="Intérêts compensatoires / créances en faveur ctb."/>
    <n v="22.18"/>
    <n v="0"/>
    <n v="3221"/>
  </r>
  <r>
    <x v="1"/>
    <x v="4"/>
    <x v="4"/>
    <x v="51"/>
    <x v="44"/>
    <x v="44"/>
    <s v="CHARGES"/>
    <x v="0"/>
    <s v="3212.002"/>
    <s v="Intérêts bonifiés/trop perçu acompte C/C"/>
    <n v="0.12"/>
    <n v="0"/>
    <n v="3212"/>
  </r>
  <r>
    <x v="1"/>
    <x v="4"/>
    <x v="4"/>
    <x v="51"/>
    <x v="44"/>
    <x v="44"/>
    <s v="REVENUS"/>
    <x v="16"/>
    <s v="4012.001"/>
    <s v="Impôt capital ordinaire"/>
    <n v="0"/>
    <n v="1339.5"/>
    <n v="4012"/>
  </r>
  <r>
    <x v="1"/>
    <x v="4"/>
    <x v="4"/>
    <x v="51"/>
    <x v="44"/>
    <x v="44"/>
    <s v="REVENUS"/>
    <x v="16"/>
    <s v="4012.007"/>
    <s v="Acompte sur capital"/>
    <n v="0"/>
    <n v="12814.9"/>
    <n v="4012"/>
  </r>
  <r>
    <x v="1"/>
    <x v="4"/>
    <x v="4"/>
    <x v="51"/>
    <x v="44"/>
    <x v="44"/>
    <s v="REVENUS"/>
    <x v="11"/>
    <s v="4198.001"/>
    <s v="Impôt foncier"/>
    <n v="0"/>
    <n v="114702.45"/>
    <n v="4198"/>
  </r>
  <r>
    <x v="1"/>
    <x v="4"/>
    <x v="4"/>
    <x v="51"/>
    <x v="44"/>
    <x v="44"/>
    <s v="REVENUS"/>
    <x v="6"/>
    <s v="4211.002"/>
    <s v="Intérêts de retard sur acomptes"/>
    <n v="0"/>
    <n v="15.35"/>
    <n v="4211"/>
  </r>
  <r>
    <x v="1"/>
    <x v="4"/>
    <x v="4"/>
    <x v="51"/>
    <x v="44"/>
    <x v="44"/>
    <s v="REVENUS"/>
    <x v="17"/>
    <s v="4011.007"/>
    <s v="Acompte sur bénéfice"/>
    <n v="0"/>
    <n v="-4784.3999999999996"/>
    <n v="4011"/>
  </r>
  <r>
    <x v="1"/>
    <x v="4"/>
    <x v="4"/>
    <x v="51"/>
    <x v="44"/>
    <x v="44"/>
    <s v="REVENUS"/>
    <x v="17"/>
    <s v="4011.001"/>
    <s v="Impôt bénéfice ordinaire"/>
    <n v="0"/>
    <n v="17019.05"/>
    <n v="4011"/>
  </r>
  <r>
    <x v="1"/>
    <x v="4"/>
    <x v="4"/>
    <x v="51"/>
    <x v="44"/>
    <x v="44"/>
    <s v="REVENUS"/>
    <x v="6"/>
    <s v="4221.001"/>
    <s v="Intérêts compensat. / créances en faveur du fisc"/>
    <n v="0"/>
    <n v="4.96"/>
    <n v="4221"/>
  </r>
  <r>
    <x v="1"/>
    <x v="4"/>
    <x v="4"/>
    <x v="51"/>
    <x v="44"/>
    <x v="44"/>
    <s v="REVENUS"/>
    <x v="17"/>
    <s v="4011.002"/>
    <s v="Complément impôt bénéfice ordinaire"/>
    <n v="0"/>
    <n v="2942.65"/>
    <n v="4011"/>
  </r>
  <r>
    <x v="1"/>
    <x v="4"/>
    <x v="4"/>
    <x v="51"/>
    <x v="44"/>
    <x v="44"/>
    <s v="REVENUS"/>
    <x v="18"/>
    <s v="4013.001"/>
    <s v="Impôt complémentaire sur immeubles"/>
    <n v="0"/>
    <n v="11300.15"/>
    <n v="4013"/>
  </r>
  <r>
    <x v="1"/>
    <x v="4"/>
    <x v="4"/>
    <x v="51"/>
    <x v="44"/>
    <x v="44"/>
    <s v="REVENUS"/>
    <x v="6"/>
    <s v="4211.001"/>
    <s v="Intérêts de retard sur factures"/>
    <n v="0"/>
    <n v="0.13"/>
    <n v="4211"/>
  </r>
  <r>
    <x v="1"/>
    <x v="4"/>
    <x v="4"/>
    <x v="51"/>
    <x v="44"/>
    <x v="44"/>
    <s v="REVENUS"/>
    <x v="10"/>
    <s v="4041.001"/>
    <s v="Droits de mutation"/>
    <n v="0"/>
    <n v="9350"/>
    <n v="4041"/>
  </r>
  <r>
    <x v="1"/>
    <x v="4"/>
    <x v="4"/>
    <x v="51"/>
    <x v="44"/>
    <x v="44"/>
    <s v="REVENUS"/>
    <x v="7"/>
    <s v="4184.000"/>
    <s v="Frais de poursuite"/>
    <n v="0"/>
    <n v="21.82"/>
    <n v="4184"/>
  </r>
  <r>
    <x v="1"/>
    <x v="5"/>
    <x v="1"/>
    <x v="52"/>
    <x v="45"/>
    <x v="45"/>
    <s v="CHARGES"/>
    <x v="1"/>
    <s v="3301.006"/>
    <s v="Abandon de solde PM"/>
    <n v="4.68"/>
    <n v="0"/>
    <n v="3301"/>
  </r>
  <r>
    <x v="1"/>
    <x v="5"/>
    <x v="1"/>
    <x v="52"/>
    <x v="45"/>
    <x v="45"/>
    <s v="CHARGES"/>
    <x v="0"/>
    <s v="3212.004"/>
    <s v="Intérêts rémun./perçu trop tôt sur acomptes C/C"/>
    <n v="11.21"/>
    <n v="0"/>
    <n v="3212"/>
  </r>
  <r>
    <x v="1"/>
    <x v="5"/>
    <x v="1"/>
    <x v="52"/>
    <x v="45"/>
    <x v="45"/>
    <s v="CHARGES"/>
    <x v="0"/>
    <s v="3221.002"/>
    <s v="Intérêts compensatoires / créances en faveur ctb."/>
    <n v="11.71"/>
    <n v="0"/>
    <n v="3221"/>
  </r>
  <r>
    <x v="1"/>
    <x v="5"/>
    <x v="1"/>
    <x v="52"/>
    <x v="45"/>
    <x v="45"/>
    <s v="REVENUS"/>
    <x v="6"/>
    <s v="4211.001"/>
    <s v="Intérêts de retard sur factures"/>
    <n v="0"/>
    <n v="3.3"/>
    <n v="4211"/>
  </r>
  <r>
    <x v="1"/>
    <x v="5"/>
    <x v="1"/>
    <x v="52"/>
    <x v="45"/>
    <x v="45"/>
    <s v="REVENUS"/>
    <x v="17"/>
    <s v="4011.001"/>
    <s v="Impôt bénéfice ordinaire"/>
    <n v="0"/>
    <n v="49160.5"/>
    <n v="4011"/>
  </r>
  <r>
    <x v="1"/>
    <x v="5"/>
    <x v="1"/>
    <x v="52"/>
    <x v="45"/>
    <x v="45"/>
    <s v="REVENUS"/>
    <x v="6"/>
    <s v="4221.001"/>
    <s v="Intérêts compensat. / créances en faveur du fisc"/>
    <n v="0"/>
    <n v="36.24"/>
    <n v="4221"/>
  </r>
  <r>
    <x v="1"/>
    <x v="5"/>
    <x v="1"/>
    <x v="52"/>
    <x v="45"/>
    <x v="45"/>
    <s v="REVENUS"/>
    <x v="17"/>
    <s v="4011.007"/>
    <s v="Acompte sur bénéfice"/>
    <n v="0"/>
    <n v="11319.4"/>
    <n v="4011"/>
  </r>
  <r>
    <x v="1"/>
    <x v="5"/>
    <x v="1"/>
    <x v="52"/>
    <x v="45"/>
    <x v="45"/>
    <s v="REVENUS"/>
    <x v="16"/>
    <s v="4012.007"/>
    <s v="Acompte sur capital"/>
    <n v="0"/>
    <n v="-22.15"/>
    <n v="4012"/>
  </r>
  <r>
    <x v="1"/>
    <x v="5"/>
    <x v="1"/>
    <x v="52"/>
    <x v="45"/>
    <x v="45"/>
    <s v="REVENUS"/>
    <x v="6"/>
    <s v="4211.002"/>
    <s v="Intérêts de retard sur acomptes"/>
    <n v="0"/>
    <n v="290.33"/>
    <n v="4211"/>
  </r>
  <r>
    <x v="1"/>
    <x v="5"/>
    <x v="1"/>
    <x v="52"/>
    <x v="45"/>
    <x v="45"/>
    <s v="REVENUS"/>
    <x v="16"/>
    <s v="4012.001"/>
    <s v="Impôt capital ordinaire"/>
    <n v="0"/>
    <n v="111.65"/>
    <n v="4012"/>
  </r>
  <r>
    <x v="1"/>
    <x v="5"/>
    <x v="1"/>
    <x v="52"/>
    <x v="45"/>
    <x v="45"/>
    <s v="REVENUS"/>
    <x v="11"/>
    <s v="4198.001"/>
    <s v="Impôt foncier"/>
    <n v="0"/>
    <n v="1149.5999999999999"/>
    <n v="4198"/>
  </r>
  <r>
    <x v="1"/>
    <x v="5"/>
    <x v="1"/>
    <x v="53"/>
    <x v="46"/>
    <x v="46"/>
    <s v="CHARGES"/>
    <x v="0"/>
    <s v="3221.002"/>
    <s v="Intérêts compensatoires / créances en faveur ctb."/>
    <n v="337.91"/>
    <n v="0"/>
    <n v="3221"/>
  </r>
  <r>
    <x v="1"/>
    <x v="5"/>
    <x v="1"/>
    <x v="53"/>
    <x v="46"/>
    <x v="46"/>
    <s v="CHARGES"/>
    <x v="1"/>
    <s v="3301.006"/>
    <s v="Abandon de solde PM"/>
    <n v="17.850000000000001"/>
    <n v="0"/>
    <n v="3301"/>
  </r>
  <r>
    <x v="1"/>
    <x v="5"/>
    <x v="1"/>
    <x v="53"/>
    <x v="46"/>
    <x v="46"/>
    <s v="CHARGES"/>
    <x v="0"/>
    <s v="3212.004"/>
    <s v="Intérêts rémun./perçu trop tôt sur acomptes C/C"/>
    <n v="480.31"/>
    <n v="0"/>
    <n v="3212"/>
  </r>
  <r>
    <x v="1"/>
    <x v="5"/>
    <x v="1"/>
    <x v="53"/>
    <x v="46"/>
    <x v="46"/>
    <s v="CHARGES"/>
    <x v="0"/>
    <s v="3212.002"/>
    <s v="Intérêts bonifiés/trop perçu acompte C/C"/>
    <n v="0.87"/>
    <n v="0"/>
    <n v="3212"/>
  </r>
  <r>
    <x v="1"/>
    <x v="5"/>
    <x v="1"/>
    <x v="53"/>
    <x v="46"/>
    <x v="46"/>
    <s v="REVENUS"/>
    <x v="18"/>
    <s v="4013.001"/>
    <s v="Impôt complémentaire sur immeubles"/>
    <n v="0"/>
    <n v="43152.3"/>
    <n v="4013"/>
  </r>
  <r>
    <x v="1"/>
    <x v="5"/>
    <x v="1"/>
    <x v="53"/>
    <x v="46"/>
    <x v="46"/>
    <s v="REVENUS"/>
    <x v="11"/>
    <s v="4198.001"/>
    <s v="Impôt foncier"/>
    <n v="0"/>
    <n v="253304.8"/>
    <n v="4198"/>
  </r>
  <r>
    <x v="1"/>
    <x v="5"/>
    <x v="1"/>
    <x v="53"/>
    <x v="46"/>
    <x v="46"/>
    <s v="REVENUS"/>
    <x v="17"/>
    <s v="4011.001"/>
    <s v="Impôt bénéfice ordinaire"/>
    <n v="0"/>
    <n v="704067.65"/>
    <n v="4011"/>
  </r>
  <r>
    <x v="1"/>
    <x v="5"/>
    <x v="1"/>
    <x v="53"/>
    <x v="46"/>
    <x v="46"/>
    <s v="REVENUS"/>
    <x v="17"/>
    <s v="4011.002"/>
    <s v="Complément impôt bénéfice ordinaire"/>
    <n v="0"/>
    <n v="9397.2000000000007"/>
    <n v="4011"/>
  </r>
  <r>
    <x v="1"/>
    <x v="5"/>
    <x v="1"/>
    <x v="53"/>
    <x v="46"/>
    <x v="46"/>
    <s v="REVENUS"/>
    <x v="6"/>
    <s v="4211.001"/>
    <s v="Intérêts de retard sur factures"/>
    <n v="0"/>
    <n v="48.43"/>
    <n v="4211"/>
  </r>
  <r>
    <x v="1"/>
    <x v="5"/>
    <x v="1"/>
    <x v="53"/>
    <x v="46"/>
    <x v="46"/>
    <s v="REVENUS"/>
    <x v="6"/>
    <s v="4221.001"/>
    <s v="Intérêts compensat. / créances en faveur du fisc"/>
    <n v="0"/>
    <n v="4.9800000000000004"/>
    <n v="4221"/>
  </r>
  <r>
    <x v="1"/>
    <x v="5"/>
    <x v="1"/>
    <x v="53"/>
    <x v="46"/>
    <x v="46"/>
    <s v="REVENUS"/>
    <x v="16"/>
    <s v="4012.001"/>
    <s v="Impôt capital ordinaire"/>
    <n v="0"/>
    <n v="10802.7"/>
    <n v="4012"/>
  </r>
  <r>
    <x v="1"/>
    <x v="5"/>
    <x v="1"/>
    <x v="53"/>
    <x v="46"/>
    <x v="46"/>
    <s v="REVENUS"/>
    <x v="16"/>
    <s v="4012.007"/>
    <s v="Acompte sur capital"/>
    <n v="0"/>
    <n v="7606.55"/>
    <n v="4012"/>
  </r>
  <r>
    <x v="1"/>
    <x v="5"/>
    <x v="1"/>
    <x v="53"/>
    <x v="46"/>
    <x v="46"/>
    <s v="REVENUS"/>
    <x v="6"/>
    <s v="4211.002"/>
    <s v="Intérêts de retard sur acomptes"/>
    <n v="0"/>
    <n v="1057.46"/>
    <n v="4211"/>
  </r>
  <r>
    <x v="1"/>
    <x v="5"/>
    <x v="1"/>
    <x v="53"/>
    <x v="46"/>
    <x v="46"/>
    <s v="REVENUS"/>
    <x v="17"/>
    <s v="4011.007"/>
    <s v="Acompte sur bénéfice"/>
    <n v="0"/>
    <n v="271830.2"/>
    <n v="4011"/>
  </r>
  <r>
    <x v="1"/>
    <x v="5"/>
    <x v="1"/>
    <x v="53"/>
    <x v="46"/>
    <x v="46"/>
    <s v="REVENUS"/>
    <x v="10"/>
    <s v="4041.001"/>
    <s v="Droits de mutation"/>
    <n v="0"/>
    <n v="28221.25"/>
    <n v="4041"/>
  </r>
  <r>
    <x v="1"/>
    <x v="5"/>
    <x v="1"/>
    <x v="53"/>
    <x v="46"/>
    <x v="46"/>
    <s v="REVENUS"/>
    <x v="18"/>
    <s v="4013.002"/>
    <s v="Complément impôt complémentaire sur immeubles"/>
    <n v="0"/>
    <n v="94.5"/>
    <n v="4013"/>
  </r>
  <r>
    <x v="1"/>
    <x v="5"/>
    <x v="1"/>
    <x v="53"/>
    <x v="46"/>
    <x v="46"/>
    <s v="REVENUS"/>
    <x v="18"/>
    <s v="4013.003"/>
    <s v="Remboursement impôt complémentaire sur immeubles"/>
    <n v="0"/>
    <n v="-1793"/>
    <n v="4013"/>
  </r>
  <r>
    <x v="1"/>
    <x v="5"/>
    <x v="1"/>
    <x v="54"/>
    <x v="47"/>
    <x v="47"/>
    <s v="CHARGES"/>
    <x v="1"/>
    <s v="3301.006"/>
    <s v="Abandon de solde PM"/>
    <n v="16.09"/>
    <n v="0"/>
    <n v="3301"/>
  </r>
  <r>
    <x v="1"/>
    <x v="5"/>
    <x v="1"/>
    <x v="54"/>
    <x v="47"/>
    <x v="47"/>
    <s v="CHARGES"/>
    <x v="0"/>
    <s v="3212.002"/>
    <s v="Intérêts bonifiés/trop perçu acompte C/C"/>
    <n v="0.01"/>
    <n v="0"/>
    <n v="3212"/>
  </r>
  <r>
    <x v="1"/>
    <x v="5"/>
    <x v="1"/>
    <x v="54"/>
    <x v="47"/>
    <x v="47"/>
    <s v="CHARGES"/>
    <x v="0"/>
    <s v="3212.004"/>
    <s v="Intérêts rémun./perçu trop tôt sur acomptes C/C"/>
    <n v="3.04"/>
    <n v="0"/>
    <n v="3212"/>
  </r>
  <r>
    <x v="1"/>
    <x v="5"/>
    <x v="1"/>
    <x v="54"/>
    <x v="47"/>
    <x v="47"/>
    <s v="CHARGES"/>
    <x v="0"/>
    <s v="3221.002"/>
    <s v="Intérêts compensatoires / créances en faveur ctb."/>
    <n v="0.62"/>
    <n v="0"/>
    <n v="3221"/>
  </r>
  <r>
    <x v="1"/>
    <x v="5"/>
    <x v="1"/>
    <x v="54"/>
    <x v="47"/>
    <x v="47"/>
    <s v="REVENUS"/>
    <x v="17"/>
    <s v="4011.002"/>
    <s v="Complément impôt bénéfice ordinaire"/>
    <n v="0"/>
    <n v="1238.5"/>
    <n v="4011"/>
  </r>
  <r>
    <x v="1"/>
    <x v="5"/>
    <x v="1"/>
    <x v="54"/>
    <x v="47"/>
    <x v="47"/>
    <s v="REVENUS"/>
    <x v="17"/>
    <s v="4011.001"/>
    <s v="Impôt bénéfice ordinaire"/>
    <n v="0"/>
    <n v="8329.15"/>
    <n v="4011"/>
  </r>
  <r>
    <x v="1"/>
    <x v="5"/>
    <x v="1"/>
    <x v="54"/>
    <x v="47"/>
    <x v="47"/>
    <s v="REVENUS"/>
    <x v="17"/>
    <s v="4011.007"/>
    <s v="Acompte sur bénéfice"/>
    <n v="0"/>
    <n v="-1515.7"/>
    <n v="4011"/>
  </r>
  <r>
    <x v="1"/>
    <x v="5"/>
    <x v="1"/>
    <x v="54"/>
    <x v="47"/>
    <x v="47"/>
    <s v="REVENUS"/>
    <x v="16"/>
    <s v="4012.001"/>
    <s v="Impôt capital ordinaire"/>
    <n v="0"/>
    <n v="983.85"/>
    <n v="4012"/>
  </r>
  <r>
    <x v="1"/>
    <x v="5"/>
    <x v="1"/>
    <x v="54"/>
    <x v="47"/>
    <x v="47"/>
    <s v="REVENUS"/>
    <x v="6"/>
    <s v="4211.002"/>
    <s v="Intérêts de retard sur acomptes"/>
    <n v="0"/>
    <n v="142.30000000000001"/>
    <n v="4211"/>
  </r>
  <r>
    <x v="1"/>
    <x v="5"/>
    <x v="1"/>
    <x v="54"/>
    <x v="47"/>
    <x v="47"/>
    <s v="REVENUS"/>
    <x v="6"/>
    <s v="4211.001"/>
    <s v="Intérêts de retard sur factures"/>
    <n v="0"/>
    <n v="1.56"/>
    <n v="4211"/>
  </r>
  <r>
    <x v="1"/>
    <x v="5"/>
    <x v="1"/>
    <x v="54"/>
    <x v="47"/>
    <x v="47"/>
    <s v="REVENUS"/>
    <x v="16"/>
    <s v="4012.007"/>
    <s v="Acompte sur capital"/>
    <n v="0"/>
    <n v="141"/>
    <n v="4012"/>
  </r>
  <r>
    <x v="1"/>
    <x v="5"/>
    <x v="1"/>
    <x v="54"/>
    <x v="47"/>
    <x v="47"/>
    <s v="REVENUS"/>
    <x v="6"/>
    <s v="4221.001"/>
    <s v="Intérêts compensat. / créances en faveur du fisc"/>
    <n v="0"/>
    <n v="1.03"/>
    <n v="4221"/>
  </r>
  <r>
    <x v="1"/>
    <x v="5"/>
    <x v="1"/>
    <x v="54"/>
    <x v="47"/>
    <x v="47"/>
    <s v="REVENUS"/>
    <x v="18"/>
    <s v="4013.001"/>
    <s v="Impôt complémentaire sur immeubles"/>
    <n v="0"/>
    <n v="526.5"/>
    <n v="4013"/>
  </r>
  <r>
    <x v="1"/>
    <x v="5"/>
    <x v="1"/>
    <x v="54"/>
    <x v="47"/>
    <x v="47"/>
    <s v="REVENUS"/>
    <x v="11"/>
    <s v="4198.001"/>
    <s v="Impôt foncier"/>
    <n v="0"/>
    <n v="1518.6"/>
    <n v="4198"/>
  </r>
  <r>
    <x v="1"/>
    <x v="5"/>
    <x v="1"/>
    <x v="54"/>
    <x v="47"/>
    <x v="47"/>
    <s v="REVENUS"/>
    <x v="7"/>
    <s v="4184.000"/>
    <s v="Frais de poursuite"/>
    <n v="0"/>
    <n v="24.17"/>
    <n v="4184"/>
  </r>
  <r>
    <x v="1"/>
    <x v="5"/>
    <x v="1"/>
    <x v="54"/>
    <x v="47"/>
    <x v="47"/>
    <s v="REVENUS"/>
    <x v="18"/>
    <s v="4013.002"/>
    <s v="Complément impôt complémentaire sur immeubles"/>
    <n v="0"/>
    <n v="175.5"/>
    <n v="4013"/>
  </r>
  <r>
    <x v="1"/>
    <x v="5"/>
    <x v="1"/>
    <x v="55"/>
    <x v="48"/>
    <x v="48"/>
    <s v="CHARGES"/>
    <x v="0"/>
    <s v="3221.002"/>
    <s v="Intérêts compensatoires / créances en faveur ctb."/>
    <n v="76.06"/>
    <n v="0"/>
    <n v="3221"/>
  </r>
  <r>
    <x v="1"/>
    <x v="5"/>
    <x v="1"/>
    <x v="55"/>
    <x v="48"/>
    <x v="48"/>
    <s v="CHARGES"/>
    <x v="1"/>
    <s v="3301.006"/>
    <s v="Abandon de solde PM"/>
    <n v="34.78"/>
    <n v="0"/>
    <n v="3301"/>
  </r>
  <r>
    <x v="1"/>
    <x v="5"/>
    <x v="1"/>
    <x v="55"/>
    <x v="48"/>
    <x v="48"/>
    <s v="CHARGES"/>
    <x v="0"/>
    <s v="3212.004"/>
    <s v="Intérêts rémun./perçu trop tôt sur acomptes C/C"/>
    <n v="153.5"/>
    <n v="0"/>
    <n v="3212"/>
  </r>
  <r>
    <x v="1"/>
    <x v="5"/>
    <x v="1"/>
    <x v="55"/>
    <x v="48"/>
    <x v="48"/>
    <s v="CHARGES"/>
    <x v="1"/>
    <s v="3301.002"/>
    <s v="Défalcation PM"/>
    <n v="1987.21"/>
    <n v="0"/>
    <n v="3301"/>
  </r>
  <r>
    <x v="1"/>
    <x v="5"/>
    <x v="1"/>
    <x v="55"/>
    <x v="48"/>
    <x v="48"/>
    <s v="CHARGES"/>
    <x v="0"/>
    <s v="3212.002"/>
    <s v="Intérêts bonifiés/trop perçu acompte C/C"/>
    <n v="0.09"/>
    <n v="0"/>
    <n v="3212"/>
  </r>
  <r>
    <x v="1"/>
    <x v="5"/>
    <x v="1"/>
    <x v="55"/>
    <x v="48"/>
    <x v="48"/>
    <s v="REVENUS"/>
    <x v="17"/>
    <s v="4011.001"/>
    <s v="Impôt bénéfice ordinaire"/>
    <n v="0"/>
    <n v="90830.85"/>
    <n v="4011"/>
  </r>
  <r>
    <x v="1"/>
    <x v="5"/>
    <x v="1"/>
    <x v="55"/>
    <x v="48"/>
    <x v="48"/>
    <s v="REVENUS"/>
    <x v="17"/>
    <s v="4011.002"/>
    <s v="Complément impôt bénéfice ordinaire"/>
    <n v="0"/>
    <n v="2256.9499999999998"/>
    <n v="4011"/>
  </r>
  <r>
    <x v="1"/>
    <x v="5"/>
    <x v="1"/>
    <x v="55"/>
    <x v="48"/>
    <x v="48"/>
    <s v="REVENUS"/>
    <x v="6"/>
    <s v="4211.001"/>
    <s v="Intérêts de retard sur factures"/>
    <n v="0"/>
    <n v="267.14"/>
    <n v="4211"/>
  </r>
  <r>
    <x v="1"/>
    <x v="5"/>
    <x v="1"/>
    <x v="55"/>
    <x v="48"/>
    <x v="48"/>
    <s v="REVENUS"/>
    <x v="6"/>
    <s v="4221.001"/>
    <s v="Intérêts compensat. / créances en faveur du fisc"/>
    <n v="0"/>
    <n v="10.33"/>
    <n v="4221"/>
  </r>
  <r>
    <x v="1"/>
    <x v="5"/>
    <x v="1"/>
    <x v="55"/>
    <x v="48"/>
    <x v="48"/>
    <s v="REVENUS"/>
    <x v="16"/>
    <s v="4012.001"/>
    <s v="Impôt capital ordinaire"/>
    <n v="0"/>
    <n v="1463.9"/>
    <n v="4012"/>
  </r>
  <r>
    <x v="1"/>
    <x v="5"/>
    <x v="1"/>
    <x v="55"/>
    <x v="48"/>
    <x v="48"/>
    <s v="REVENUS"/>
    <x v="16"/>
    <s v="4012.007"/>
    <s v="Acompte sur capital"/>
    <n v="0"/>
    <n v="1473.6"/>
    <n v="4012"/>
  </r>
  <r>
    <x v="1"/>
    <x v="5"/>
    <x v="1"/>
    <x v="55"/>
    <x v="48"/>
    <x v="48"/>
    <s v="REVENUS"/>
    <x v="6"/>
    <s v="4211.002"/>
    <s v="Intérêts de retard sur acomptes"/>
    <n v="0"/>
    <n v="112.66"/>
    <n v="4211"/>
  </r>
  <r>
    <x v="1"/>
    <x v="5"/>
    <x v="1"/>
    <x v="55"/>
    <x v="48"/>
    <x v="48"/>
    <s v="REVENUS"/>
    <x v="17"/>
    <s v="4011.007"/>
    <s v="Acompte sur bénéfice"/>
    <n v="0"/>
    <n v="201.05"/>
    <n v="4011"/>
  </r>
  <r>
    <x v="1"/>
    <x v="5"/>
    <x v="1"/>
    <x v="55"/>
    <x v="48"/>
    <x v="48"/>
    <s v="REVENUS"/>
    <x v="8"/>
    <s v="4091.001"/>
    <s v="Impôt récupéré après défalcations"/>
    <n v="0"/>
    <n v="1029.8900000000001"/>
    <n v="4091"/>
  </r>
  <r>
    <x v="1"/>
    <x v="5"/>
    <x v="1"/>
    <x v="55"/>
    <x v="48"/>
    <x v="48"/>
    <s v="REVENUS"/>
    <x v="18"/>
    <s v="4013.003"/>
    <s v="Remboursement impôt complémentaire sur immeubles"/>
    <n v="0"/>
    <n v="-629.65"/>
    <n v="4013"/>
  </r>
  <r>
    <x v="1"/>
    <x v="5"/>
    <x v="1"/>
    <x v="55"/>
    <x v="48"/>
    <x v="48"/>
    <s v="REVENUS"/>
    <x v="11"/>
    <s v="4198.001"/>
    <s v="Impôt foncier"/>
    <n v="0"/>
    <n v="19147.7"/>
    <n v="4198"/>
  </r>
  <r>
    <x v="1"/>
    <x v="5"/>
    <x v="1"/>
    <x v="55"/>
    <x v="48"/>
    <x v="48"/>
    <s v="REVENUS"/>
    <x v="7"/>
    <s v="4184.000"/>
    <s v="Frais de poursuite"/>
    <n v="0"/>
    <n v="8.76"/>
    <n v="4184"/>
  </r>
  <r>
    <x v="1"/>
    <x v="5"/>
    <x v="1"/>
    <x v="55"/>
    <x v="48"/>
    <x v="48"/>
    <s v="REVENUS"/>
    <x v="10"/>
    <s v="4041.001"/>
    <s v="Droits de mutation"/>
    <n v="0"/>
    <n v="6919"/>
    <n v="4041"/>
  </r>
  <r>
    <x v="1"/>
    <x v="5"/>
    <x v="1"/>
    <x v="55"/>
    <x v="48"/>
    <x v="48"/>
    <s v="REVENUS"/>
    <x v="18"/>
    <s v="4013.001"/>
    <s v="Impôt complémentaire sur immeubles"/>
    <n v="0"/>
    <n v="7696.4"/>
    <n v="4013"/>
  </r>
  <r>
    <x v="1"/>
    <x v="5"/>
    <x v="1"/>
    <x v="56"/>
    <x v="49"/>
    <x v="49"/>
    <s v="CHARGES"/>
    <x v="1"/>
    <s v="3301.006"/>
    <s v="Abandon de solde PM"/>
    <n v="5.45"/>
    <n v="0"/>
    <n v="3301"/>
  </r>
  <r>
    <x v="1"/>
    <x v="5"/>
    <x v="1"/>
    <x v="56"/>
    <x v="49"/>
    <x v="49"/>
    <s v="CHARGES"/>
    <x v="0"/>
    <s v="3212.002"/>
    <s v="Intérêts bonifiés/trop perçu acompte C/C"/>
    <n v="0.02"/>
    <n v="0"/>
    <n v="3212"/>
  </r>
  <r>
    <x v="1"/>
    <x v="5"/>
    <x v="1"/>
    <x v="56"/>
    <x v="49"/>
    <x v="49"/>
    <s v="CHARGES"/>
    <x v="0"/>
    <s v="3212.004"/>
    <s v="Intérêts rémun./perçu trop tôt sur acomptes C/C"/>
    <n v="1.22"/>
    <n v="0"/>
    <n v="3212"/>
  </r>
  <r>
    <x v="1"/>
    <x v="5"/>
    <x v="1"/>
    <x v="56"/>
    <x v="49"/>
    <x v="49"/>
    <s v="CHARGES"/>
    <x v="0"/>
    <s v="3221.002"/>
    <s v="Intérêts compensatoires / créances en faveur ctb."/>
    <n v="1.96"/>
    <n v="0"/>
    <n v="3221"/>
  </r>
  <r>
    <x v="1"/>
    <x v="5"/>
    <x v="1"/>
    <x v="56"/>
    <x v="49"/>
    <x v="49"/>
    <s v="REVENUS"/>
    <x v="16"/>
    <s v="4012.001"/>
    <s v="Impôt capital ordinaire"/>
    <n v="0"/>
    <n v="30.45"/>
    <n v="4012"/>
  </r>
  <r>
    <x v="1"/>
    <x v="5"/>
    <x v="1"/>
    <x v="56"/>
    <x v="49"/>
    <x v="49"/>
    <s v="REVENUS"/>
    <x v="16"/>
    <s v="4012.007"/>
    <s v="Acompte sur capital"/>
    <n v="0"/>
    <n v="157.25"/>
    <n v="4012"/>
  </r>
  <r>
    <x v="1"/>
    <x v="5"/>
    <x v="1"/>
    <x v="56"/>
    <x v="49"/>
    <x v="49"/>
    <s v="REVENUS"/>
    <x v="6"/>
    <s v="4211.002"/>
    <s v="Intérêts de retard sur acomptes"/>
    <n v="0"/>
    <n v="2.06"/>
    <n v="4211"/>
  </r>
  <r>
    <x v="1"/>
    <x v="5"/>
    <x v="1"/>
    <x v="56"/>
    <x v="49"/>
    <x v="49"/>
    <s v="REVENUS"/>
    <x v="17"/>
    <s v="4011.002"/>
    <s v="Complément impôt bénéfice ordinaire"/>
    <n v="0"/>
    <n v="555.35"/>
    <n v="4011"/>
  </r>
  <r>
    <x v="1"/>
    <x v="5"/>
    <x v="1"/>
    <x v="56"/>
    <x v="49"/>
    <x v="49"/>
    <s v="REVENUS"/>
    <x v="17"/>
    <s v="4011.001"/>
    <s v="Impôt bénéfice ordinaire"/>
    <n v="0"/>
    <n v="1163.3499999999999"/>
    <n v="4011"/>
  </r>
  <r>
    <x v="1"/>
    <x v="5"/>
    <x v="1"/>
    <x v="56"/>
    <x v="49"/>
    <x v="49"/>
    <s v="REVENUS"/>
    <x v="17"/>
    <s v="4011.007"/>
    <s v="Acompte sur bénéfice"/>
    <n v="0"/>
    <n v="10934.15"/>
    <n v="4011"/>
  </r>
  <r>
    <x v="1"/>
    <x v="5"/>
    <x v="1"/>
    <x v="56"/>
    <x v="49"/>
    <x v="49"/>
    <s v="REVENUS"/>
    <x v="18"/>
    <s v="4013.001"/>
    <s v="Impôt complémentaire sur immeubles"/>
    <n v="0"/>
    <n v="319"/>
    <n v="4013"/>
  </r>
  <r>
    <x v="1"/>
    <x v="5"/>
    <x v="1"/>
    <x v="56"/>
    <x v="49"/>
    <x v="49"/>
    <s v="REVENUS"/>
    <x v="11"/>
    <s v="4198.001"/>
    <s v="Impôt foncier"/>
    <n v="0"/>
    <n v="1773.6"/>
    <n v="4198"/>
  </r>
  <r>
    <x v="1"/>
    <x v="5"/>
    <x v="1"/>
    <x v="56"/>
    <x v="49"/>
    <x v="49"/>
    <s v="REVENUS"/>
    <x v="10"/>
    <s v="4041.001"/>
    <s v="Droits de mutation"/>
    <n v="0"/>
    <n v="11000"/>
    <n v="4041"/>
  </r>
  <r>
    <x v="1"/>
    <x v="5"/>
    <x v="1"/>
    <x v="57"/>
    <x v="50"/>
    <x v="50"/>
    <s v="CHARGES"/>
    <x v="0"/>
    <s v="3212.004"/>
    <s v="Intérêts rémun./perçu trop tôt sur acomptes C/C"/>
    <n v="25.13"/>
    <n v="0"/>
    <n v="3212"/>
  </r>
  <r>
    <x v="1"/>
    <x v="5"/>
    <x v="1"/>
    <x v="57"/>
    <x v="50"/>
    <x v="50"/>
    <s v="CHARGES"/>
    <x v="0"/>
    <s v="3221.002"/>
    <s v="Intérêts compensatoires / créances en faveur ctb."/>
    <n v="31.06"/>
    <n v="0"/>
    <n v="3221"/>
  </r>
  <r>
    <x v="1"/>
    <x v="5"/>
    <x v="1"/>
    <x v="57"/>
    <x v="50"/>
    <x v="50"/>
    <s v="CHARGES"/>
    <x v="1"/>
    <s v="3301.006"/>
    <s v="Abandon de solde PM"/>
    <n v="6.18"/>
    <n v="0"/>
    <n v="3301"/>
  </r>
  <r>
    <x v="1"/>
    <x v="5"/>
    <x v="1"/>
    <x v="57"/>
    <x v="50"/>
    <x v="50"/>
    <s v="CHARGES"/>
    <x v="0"/>
    <s v="3212.002"/>
    <s v="Intérêts bonifiés/trop perçu acompte C/C"/>
    <n v="0.24"/>
    <n v="0"/>
    <n v="3212"/>
  </r>
  <r>
    <x v="1"/>
    <x v="5"/>
    <x v="1"/>
    <x v="57"/>
    <x v="50"/>
    <x v="50"/>
    <s v="REVENUS"/>
    <x v="17"/>
    <s v="4011.001"/>
    <s v="Impôt bénéfice ordinaire"/>
    <n v="0"/>
    <n v="40594.75"/>
    <n v="4011"/>
  </r>
  <r>
    <x v="1"/>
    <x v="5"/>
    <x v="1"/>
    <x v="57"/>
    <x v="50"/>
    <x v="50"/>
    <s v="REVENUS"/>
    <x v="17"/>
    <s v="4011.007"/>
    <s v="Acompte sur bénéfice"/>
    <n v="0"/>
    <n v="-29926.35"/>
    <n v="4011"/>
  </r>
  <r>
    <x v="1"/>
    <x v="5"/>
    <x v="1"/>
    <x v="57"/>
    <x v="50"/>
    <x v="50"/>
    <s v="REVENUS"/>
    <x v="16"/>
    <s v="4012.001"/>
    <s v="Impôt capital ordinaire"/>
    <n v="0"/>
    <n v="1756.1"/>
    <n v="4012"/>
  </r>
  <r>
    <x v="1"/>
    <x v="5"/>
    <x v="1"/>
    <x v="57"/>
    <x v="50"/>
    <x v="50"/>
    <s v="REVENUS"/>
    <x v="16"/>
    <s v="4012.007"/>
    <s v="Acompte sur capital"/>
    <n v="0"/>
    <n v="1538.7"/>
    <n v="4012"/>
  </r>
  <r>
    <x v="1"/>
    <x v="5"/>
    <x v="1"/>
    <x v="57"/>
    <x v="50"/>
    <x v="50"/>
    <s v="REVENUS"/>
    <x v="6"/>
    <s v="4211.002"/>
    <s v="Intérêts de retard sur acomptes"/>
    <n v="0"/>
    <n v="139.19"/>
    <n v="4211"/>
  </r>
  <r>
    <x v="1"/>
    <x v="5"/>
    <x v="1"/>
    <x v="57"/>
    <x v="50"/>
    <x v="50"/>
    <s v="REVENUS"/>
    <x v="6"/>
    <s v="4221.001"/>
    <s v="Intérêts compensat. / créances en faveur du fisc"/>
    <n v="0"/>
    <n v="10.96"/>
    <n v="4221"/>
  </r>
  <r>
    <x v="1"/>
    <x v="5"/>
    <x v="1"/>
    <x v="57"/>
    <x v="50"/>
    <x v="50"/>
    <s v="REVENUS"/>
    <x v="17"/>
    <s v="4011.002"/>
    <s v="Complément impôt bénéfice ordinaire"/>
    <n v="0"/>
    <n v="5841"/>
    <n v="4011"/>
  </r>
  <r>
    <x v="1"/>
    <x v="5"/>
    <x v="1"/>
    <x v="57"/>
    <x v="50"/>
    <x v="50"/>
    <s v="REVENUS"/>
    <x v="6"/>
    <s v="4211.001"/>
    <s v="Intérêts de retard sur factures"/>
    <n v="0"/>
    <n v="124"/>
    <n v="4211"/>
  </r>
  <r>
    <x v="1"/>
    <x v="5"/>
    <x v="1"/>
    <x v="57"/>
    <x v="50"/>
    <x v="50"/>
    <s v="REVENUS"/>
    <x v="18"/>
    <s v="4013.001"/>
    <s v="Impôt complémentaire sur immeubles"/>
    <n v="0"/>
    <n v="9098.7999999999993"/>
    <n v="4013"/>
  </r>
  <r>
    <x v="1"/>
    <x v="5"/>
    <x v="1"/>
    <x v="57"/>
    <x v="50"/>
    <x v="50"/>
    <s v="REVENUS"/>
    <x v="11"/>
    <s v="4198.001"/>
    <s v="Impôt foncier"/>
    <n v="0"/>
    <n v="28275.599999999999"/>
    <n v="4198"/>
  </r>
  <r>
    <x v="1"/>
    <x v="5"/>
    <x v="1"/>
    <x v="57"/>
    <x v="50"/>
    <x v="50"/>
    <s v="REVENUS"/>
    <x v="7"/>
    <s v="4184.000"/>
    <s v="Frais de poursuite"/>
    <n v="0"/>
    <n v="45.34"/>
    <n v="4184"/>
  </r>
  <r>
    <x v="1"/>
    <x v="5"/>
    <x v="1"/>
    <x v="57"/>
    <x v="50"/>
    <x v="50"/>
    <s v="REVENUS"/>
    <x v="10"/>
    <s v="4041.001"/>
    <s v="Droits de mutation"/>
    <n v="0"/>
    <n v="8638.65"/>
    <n v="4041"/>
  </r>
  <r>
    <x v="1"/>
    <x v="4"/>
    <x v="4"/>
    <x v="58"/>
    <x v="51"/>
    <x v="51"/>
    <s v="CHARGES"/>
    <x v="1"/>
    <s v="3301.006"/>
    <s v="Abandon de solde PM"/>
    <n v="9.41"/>
    <n v="0"/>
    <n v="3301"/>
  </r>
  <r>
    <x v="1"/>
    <x v="4"/>
    <x v="4"/>
    <x v="58"/>
    <x v="51"/>
    <x v="51"/>
    <s v="CHARGES"/>
    <x v="0"/>
    <s v="3221.002"/>
    <s v="Intérêts compensatoires / créances en faveur ctb."/>
    <n v="1.62"/>
    <n v="0"/>
    <n v="3221"/>
  </r>
  <r>
    <x v="1"/>
    <x v="4"/>
    <x v="4"/>
    <x v="58"/>
    <x v="51"/>
    <x v="51"/>
    <s v="CHARGES"/>
    <x v="0"/>
    <s v="3212.002"/>
    <s v="Intérêts bonifiés/trop perçu acompte C/C"/>
    <n v="0.01"/>
    <n v="0"/>
    <n v="3212"/>
  </r>
  <r>
    <x v="1"/>
    <x v="4"/>
    <x v="4"/>
    <x v="58"/>
    <x v="51"/>
    <x v="51"/>
    <s v="CHARGES"/>
    <x v="0"/>
    <s v="3212.004"/>
    <s v="Intérêts rémun./perçu trop tôt sur acomptes C/C"/>
    <n v="1.1599999999999999"/>
    <n v="0"/>
    <n v="3212"/>
  </r>
  <r>
    <x v="1"/>
    <x v="4"/>
    <x v="4"/>
    <x v="58"/>
    <x v="51"/>
    <x v="51"/>
    <s v="REVENUS"/>
    <x v="18"/>
    <s v="4013.001"/>
    <s v="Impôt complémentaire sur immeubles"/>
    <n v="0"/>
    <n v="993.25"/>
    <n v="4013"/>
  </r>
  <r>
    <x v="1"/>
    <x v="4"/>
    <x v="4"/>
    <x v="58"/>
    <x v="51"/>
    <x v="51"/>
    <s v="REVENUS"/>
    <x v="11"/>
    <s v="4198.001"/>
    <s v="Impôt foncier"/>
    <n v="0"/>
    <n v="1998.6"/>
    <n v="4198"/>
  </r>
  <r>
    <x v="1"/>
    <x v="4"/>
    <x v="4"/>
    <x v="58"/>
    <x v="51"/>
    <x v="51"/>
    <s v="REVENUS"/>
    <x v="17"/>
    <s v="4011.001"/>
    <s v="Impôt bénéfice ordinaire"/>
    <n v="0"/>
    <n v="2563"/>
    <n v="4011"/>
  </r>
  <r>
    <x v="1"/>
    <x v="4"/>
    <x v="4"/>
    <x v="58"/>
    <x v="51"/>
    <x v="51"/>
    <s v="REVENUS"/>
    <x v="17"/>
    <s v="4011.002"/>
    <s v="Complément impôt bénéfice ordinaire"/>
    <n v="0"/>
    <n v="315.45"/>
    <n v="4011"/>
  </r>
  <r>
    <x v="1"/>
    <x v="4"/>
    <x v="4"/>
    <x v="58"/>
    <x v="51"/>
    <x v="51"/>
    <s v="REVENUS"/>
    <x v="6"/>
    <s v="4221.001"/>
    <s v="Intérêts compensat. / créances en faveur du fisc"/>
    <n v="0"/>
    <n v="0.2"/>
    <n v="4221"/>
  </r>
  <r>
    <x v="1"/>
    <x v="4"/>
    <x v="4"/>
    <x v="58"/>
    <x v="51"/>
    <x v="51"/>
    <s v="REVENUS"/>
    <x v="18"/>
    <s v="4013.002"/>
    <s v="Complément impôt complémentaire sur immeubles"/>
    <n v="0"/>
    <n v="0.75"/>
    <n v="4013"/>
  </r>
  <r>
    <x v="1"/>
    <x v="4"/>
    <x v="4"/>
    <x v="58"/>
    <x v="51"/>
    <x v="51"/>
    <s v="REVENUS"/>
    <x v="16"/>
    <s v="4012.007"/>
    <s v="Acompte sur capital"/>
    <n v="0"/>
    <n v="51.1"/>
    <n v="4012"/>
  </r>
  <r>
    <x v="1"/>
    <x v="4"/>
    <x v="4"/>
    <x v="58"/>
    <x v="51"/>
    <x v="51"/>
    <s v="REVENUS"/>
    <x v="6"/>
    <s v="4211.002"/>
    <s v="Intérêts de retard sur acomptes"/>
    <n v="0"/>
    <n v="1.42"/>
    <n v="4211"/>
  </r>
  <r>
    <x v="1"/>
    <x v="4"/>
    <x v="4"/>
    <x v="58"/>
    <x v="51"/>
    <x v="51"/>
    <s v="REVENUS"/>
    <x v="16"/>
    <s v="4012.001"/>
    <s v="Impôt capital ordinaire"/>
    <n v="0"/>
    <n v="146.4"/>
    <n v="4012"/>
  </r>
  <r>
    <x v="1"/>
    <x v="4"/>
    <x v="4"/>
    <x v="58"/>
    <x v="51"/>
    <x v="51"/>
    <s v="REVENUS"/>
    <x v="17"/>
    <s v="4011.007"/>
    <s v="Acompte sur bénéfice"/>
    <n v="0"/>
    <n v="-3490.85"/>
    <n v="4011"/>
  </r>
  <r>
    <x v="1"/>
    <x v="4"/>
    <x v="4"/>
    <x v="58"/>
    <x v="51"/>
    <x v="51"/>
    <s v="REVENUS"/>
    <x v="6"/>
    <s v="4211.001"/>
    <s v="Intérêts de retard sur factures"/>
    <n v="0"/>
    <n v="0.23"/>
    <n v="4211"/>
  </r>
  <r>
    <x v="1"/>
    <x v="5"/>
    <x v="1"/>
    <x v="59"/>
    <x v="52"/>
    <x v="52"/>
    <s v="CHARGES"/>
    <x v="1"/>
    <s v="3301.006"/>
    <s v="Abandon de solde PM"/>
    <n v="2.0299999999999998"/>
    <n v="0"/>
    <n v="3301"/>
  </r>
  <r>
    <x v="1"/>
    <x v="5"/>
    <x v="1"/>
    <x v="59"/>
    <x v="52"/>
    <x v="52"/>
    <s v="CHARGES"/>
    <x v="0"/>
    <s v="3212.004"/>
    <s v="Intérêts rémun./perçu trop tôt sur acomptes C/C"/>
    <n v="0.05"/>
    <n v="0"/>
    <n v="3212"/>
  </r>
  <r>
    <x v="1"/>
    <x v="5"/>
    <x v="1"/>
    <x v="59"/>
    <x v="52"/>
    <x v="52"/>
    <s v="CHARGES"/>
    <x v="0"/>
    <s v="3221.002"/>
    <s v="Intérêts compensatoires / créances en faveur ctb."/>
    <n v="0.18"/>
    <n v="0"/>
    <n v="3221"/>
  </r>
  <r>
    <x v="1"/>
    <x v="5"/>
    <x v="1"/>
    <x v="59"/>
    <x v="52"/>
    <x v="52"/>
    <s v="REVENUS"/>
    <x v="17"/>
    <s v="4011.001"/>
    <s v="Impôt bénéfice ordinaire"/>
    <n v="0"/>
    <n v="926.45"/>
    <n v="4011"/>
  </r>
  <r>
    <x v="1"/>
    <x v="5"/>
    <x v="1"/>
    <x v="59"/>
    <x v="52"/>
    <x v="52"/>
    <s v="REVENUS"/>
    <x v="17"/>
    <s v="4011.007"/>
    <s v="Acompte sur bénéfice"/>
    <n v="0"/>
    <n v="-221.2"/>
    <n v="4011"/>
  </r>
  <r>
    <x v="1"/>
    <x v="5"/>
    <x v="1"/>
    <x v="59"/>
    <x v="52"/>
    <x v="52"/>
    <s v="REVENUS"/>
    <x v="6"/>
    <s v="4211.002"/>
    <s v="Intérêts de retard sur acomptes"/>
    <n v="0"/>
    <n v="2.67"/>
    <n v="4211"/>
  </r>
  <r>
    <x v="1"/>
    <x v="5"/>
    <x v="1"/>
    <x v="59"/>
    <x v="52"/>
    <x v="52"/>
    <s v="REVENUS"/>
    <x v="6"/>
    <s v="4221.001"/>
    <s v="Intérêts compensat. / créances en faveur du fisc"/>
    <n v="0"/>
    <n v="0.4"/>
    <n v="4221"/>
  </r>
  <r>
    <x v="1"/>
    <x v="5"/>
    <x v="1"/>
    <x v="59"/>
    <x v="52"/>
    <x v="52"/>
    <s v="REVENUS"/>
    <x v="16"/>
    <s v="4012.001"/>
    <s v="Impôt capital ordinaire"/>
    <n v="0"/>
    <n v="194.15"/>
    <n v="4012"/>
  </r>
  <r>
    <x v="1"/>
    <x v="5"/>
    <x v="1"/>
    <x v="59"/>
    <x v="52"/>
    <x v="52"/>
    <s v="REVENUS"/>
    <x v="16"/>
    <s v="4012.007"/>
    <s v="Acompte sur capital"/>
    <n v="0"/>
    <n v="17.45"/>
    <n v="4012"/>
  </r>
  <r>
    <x v="1"/>
    <x v="5"/>
    <x v="1"/>
    <x v="59"/>
    <x v="52"/>
    <x v="52"/>
    <s v="REVENUS"/>
    <x v="11"/>
    <s v="4198.001"/>
    <s v="Impôt foncier"/>
    <n v="0"/>
    <n v="6.2"/>
    <n v="4198"/>
  </r>
  <r>
    <x v="1"/>
    <x v="4"/>
    <x v="4"/>
    <x v="60"/>
    <x v="53"/>
    <x v="53"/>
    <s v="CHARGES"/>
    <x v="1"/>
    <s v="3301.006"/>
    <s v="Abandon de solde PM"/>
    <n v="20.18"/>
    <n v="0"/>
    <n v="3301"/>
  </r>
  <r>
    <x v="1"/>
    <x v="4"/>
    <x v="4"/>
    <x v="60"/>
    <x v="53"/>
    <x v="53"/>
    <s v="CHARGES"/>
    <x v="0"/>
    <s v="3221.002"/>
    <s v="Intérêts compensatoires / créances en faveur ctb."/>
    <n v="157.69"/>
    <n v="0"/>
    <n v="3221"/>
  </r>
  <r>
    <x v="1"/>
    <x v="4"/>
    <x v="4"/>
    <x v="60"/>
    <x v="53"/>
    <x v="53"/>
    <s v="CHARGES"/>
    <x v="0"/>
    <s v="3212.002"/>
    <s v="Intérêts bonifiés/trop perçu acompte C/C"/>
    <n v="0.02"/>
    <n v="0"/>
    <n v="3212"/>
  </r>
  <r>
    <x v="1"/>
    <x v="4"/>
    <x v="4"/>
    <x v="60"/>
    <x v="53"/>
    <x v="53"/>
    <s v="CHARGES"/>
    <x v="0"/>
    <s v="3212.004"/>
    <s v="Intérêts rémun./perçu trop tôt sur acomptes C/C"/>
    <n v="28.19"/>
    <n v="0"/>
    <n v="3212"/>
  </r>
  <r>
    <x v="1"/>
    <x v="4"/>
    <x v="4"/>
    <x v="60"/>
    <x v="53"/>
    <x v="53"/>
    <s v="CHARGES"/>
    <x v="1"/>
    <s v="3301.002"/>
    <s v="Défalcation PM"/>
    <n v="294.38"/>
    <n v="0"/>
    <n v="3301"/>
  </r>
  <r>
    <x v="1"/>
    <x v="4"/>
    <x v="4"/>
    <x v="60"/>
    <x v="53"/>
    <x v="53"/>
    <s v="REVENUS"/>
    <x v="16"/>
    <s v="4012.001"/>
    <s v="Impôt capital ordinaire"/>
    <n v="0"/>
    <n v="40684.400000000001"/>
    <n v="4012"/>
  </r>
  <r>
    <x v="1"/>
    <x v="4"/>
    <x v="4"/>
    <x v="60"/>
    <x v="53"/>
    <x v="53"/>
    <s v="REVENUS"/>
    <x v="16"/>
    <s v="4012.007"/>
    <s v="Acompte sur capital"/>
    <n v="0"/>
    <n v="13344.6"/>
    <n v="4012"/>
  </r>
  <r>
    <x v="1"/>
    <x v="4"/>
    <x v="4"/>
    <x v="60"/>
    <x v="53"/>
    <x v="53"/>
    <s v="REVENUS"/>
    <x v="6"/>
    <s v="4211.002"/>
    <s v="Intérêts de retard sur acomptes"/>
    <n v="0"/>
    <n v="643.64"/>
    <n v="4211"/>
  </r>
  <r>
    <x v="1"/>
    <x v="4"/>
    <x v="4"/>
    <x v="60"/>
    <x v="53"/>
    <x v="53"/>
    <s v="REVENUS"/>
    <x v="17"/>
    <s v="4011.001"/>
    <s v="Impôt bénéfice ordinaire"/>
    <n v="0"/>
    <n v="1205548.45"/>
    <n v="4011"/>
  </r>
  <r>
    <x v="1"/>
    <x v="4"/>
    <x v="4"/>
    <x v="60"/>
    <x v="53"/>
    <x v="53"/>
    <s v="REVENUS"/>
    <x v="17"/>
    <s v="4011.002"/>
    <s v="Complément impôt bénéfice ordinaire"/>
    <n v="0"/>
    <n v="1215"/>
    <n v="4011"/>
  </r>
  <r>
    <x v="1"/>
    <x v="4"/>
    <x v="4"/>
    <x v="60"/>
    <x v="53"/>
    <x v="53"/>
    <s v="REVENUS"/>
    <x v="6"/>
    <s v="4211.001"/>
    <s v="Intérêts de retard sur factures"/>
    <n v="0"/>
    <n v="96.33"/>
    <n v="4211"/>
  </r>
  <r>
    <x v="1"/>
    <x v="4"/>
    <x v="4"/>
    <x v="60"/>
    <x v="53"/>
    <x v="53"/>
    <s v="REVENUS"/>
    <x v="6"/>
    <s v="4221.001"/>
    <s v="Intérêts compensat. / créances en faveur du fisc"/>
    <n v="0"/>
    <n v="15.08"/>
    <n v="4221"/>
  </r>
  <r>
    <x v="1"/>
    <x v="4"/>
    <x v="4"/>
    <x v="60"/>
    <x v="53"/>
    <x v="53"/>
    <s v="REVENUS"/>
    <x v="17"/>
    <s v="4011.007"/>
    <s v="Acompte sur bénéfice"/>
    <n v="0"/>
    <n v="-1191578.95"/>
    <n v="4011"/>
  </r>
  <r>
    <x v="1"/>
    <x v="4"/>
    <x v="4"/>
    <x v="60"/>
    <x v="53"/>
    <x v="53"/>
    <s v="REVENUS"/>
    <x v="7"/>
    <s v="4184.000"/>
    <s v="Frais de poursuite"/>
    <n v="0"/>
    <n v="117"/>
    <n v="4184"/>
  </r>
  <r>
    <x v="1"/>
    <x v="4"/>
    <x v="4"/>
    <x v="60"/>
    <x v="53"/>
    <x v="53"/>
    <s v="REVENUS"/>
    <x v="18"/>
    <s v="4013.001"/>
    <s v="Impôt complémentaire sur immeubles"/>
    <n v="0"/>
    <n v="6591.5"/>
    <n v="4013"/>
  </r>
  <r>
    <x v="1"/>
    <x v="4"/>
    <x v="4"/>
    <x v="60"/>
    <x v="53"/>
    <x v="53"/>
    <s v="REVENUS"/>
    <x v="11"/>
    <s v="4198.001"/>
    <s v="Impôt foncier"/>
    <n v="0"/>
    <n v="106295.6"/>
    <n v="4198"/>
  </r>
  <r>
    <x v="1"/>
    <x v="5"/>
    <x v="1"/>
    <x v="61"/>
    <x v="54"/>
    <x v="54"/>
    <s v="CHARGES"/>
    <x v="0"/>
    <s v="3212.002"/>
    <s v="Intérêts bonifiés/trop perçu acompte C/C"/>
    <n v="0.01"/>
    <n v="0"/>
    <n v="3212"/>
  </r>
  <r>
    <x v="1"/>
    <x v="5"/>
    <x v="1"/>
    <x v="61"/>
    <x v="54"/>
    <x v="54"/>
    <s v="CHARGES"/>
    <x v="0"/>
    <s v="3212.004"/>
    <s v="Intérêts rémun./perçu trop tôt sur acomptes C/C"/>
    <n v="0.65"/>
    <n v="0"/>
    <n v="3212"/>
  </r>
  <r>
    <x v="1"/>
    <x v="5"/>
    <x v="1"/>
    <x v="61"/>
    <x v="54"/>
    <x v="54"/>
    <s v="CHARGES"/>
    <x v="0"/>
    <s v="3221.002"/>
    <s v="Intérêts compensatoires / créances en faveur ctb."/>
    <n v="1.26"/>
    <n v="0"/>
    <n v="3221"/>
  </r>
  <r>
    <x v="1"/>
    <x v="5"/>
    <x v="1"/>
    <x v="61"/>
    <x v="54"/>
    <x v="54"/>
    <s v="CHARGES"/>
    <x v="1"/>
    <s v="3301.006"/>
    <s v="Abandon de solde PM"/>
    <n v="0.47"/>
    <n v="0"/>
    <n v="3301"/>
  </r>
  <r>
    <x v="1"/>
    <x v="5"/>
    <x v="1"/>
    <x v="61"/>
    <x v="54"/>
    <x v="54"/>
    <s v="REVENUS"/>
    <x v="17"/>
    <s v="4011.002"/>
    <s v="Complément impôt bénéfice ordinaire"/>
    <n v="0"/>
    <n v="355.3"/>
    <n v="4011"/>
  </r>
  <r>
    <x v="1"/>
    <x v="5"/>
    <x v="1"/>
    <x v="61"/>
    <x v="54"/>
    <x v="54"/>
    <s v="REVENUS"/>
    <x v="17"/>
    <s v="4011.001"/>
    <s v="Impôt bénéfice ordinaire"/>
    <n v="0"/>
    <n v="176.6"/>
    <n v="4011"/>
  </r>
  <r>
    <x v="1"/>
    <x v="5"/>
    <x v="1"/>
    <x v="61"/>
    <x v="54"/>
    <x v="54"/>
    <s v="REVENUS"/>
    <x v="17"/>
    <s v="4011.007"/>
    <s v="Acompte sur bénéfice"/>
    <n v="0"/>
    <n v="77.900000000000006"/>
    <n v="4011"/>
  </r>
  <r>
    <x v="1"/>
    <x v="5"/>
    <x v="1"/>
    <x v="61"/>
    <x v="54"/>
    <x v="54"/>
    <s v="REVENUS"/>
    <x v="16"/>
    <s v="4012.001"/>
    <s v="Impôt capital ordinaire"/>
    <n v="0"/>
    <n v="83.05"/>
    <n v="4012"/>
  </r>
  <r>
    <x v="1"/>
    <x v="5"/>
    <x v="1"/>
    <x v="61"/>
    <x v="54"/>
    <x v="54"/>
    <s v="REVENUS"/>
    <x v="16"/>
    <s v="4012.007"/>
    <s v="Acompte sur capital"/>
    <n v="0"/>
    <n v="62.65"/>
    <n v="4012"/>
  </r>
  <r>
    <x v="1"/>
    <x v="5"/>
    <x v="1"/>
    <x v="61"/>
    <x v="54"/>
    <x v="54"/>
    <s v="REVENUS"/>
    <x v="6"/>
    <s v="4211.002"/>
    <s v="Intérêts de retard sur acomptes"/>
    <n v="0"/>
    <n v="5.09"/>
    <n v="4211"/>
  </r>
  <r>
    <x v="1"/>
    <x v="5"/>
    <x v="1"/>
    <x v="61"/>
    <x v="54"/>
    <x v="54"/>
    <s v="REVENUS"/>
    <x v="11"/>
    <s v="4198.001"/>
    <s v="Impôt foncier"/>
    <n v="0"/>
    <n v="205.6"/>
    <n v="4198"/>
  </r>
  <r>
    <x v="1"/>
    <x v="5"/>
    <x v="1"/>
    <x v="61"/>
    <x v="54"/>
    <x v="54"/>
    <s v="REVENUS"/>
    <x v="6"/>
    <s v="4211.001"/>
    <s v="Intérêts de retard sur factures"/>
    <n v="0"/>
    <n v="0.37"/>
    <n v="4211"/>
  </r>
  <r>
    <x v="1"/>
    <x v="5"/>
    <x v="1"/>
    <x v="62"/>
    <x v="55"/>
    <x v="55"/>
    <s v="CHARGES"/>
    <x v="1"/>
    <s v="3301.006"/>
    <s v="Abandon de solde PM"/>
    <n v="10.63"/>
    <n v="0"/>
    <n v="3301"/>
  </r>
  <r>
    <x v="1"/>
    <x v="5"/>
    <x v="1"/>
    <x v="62"/>
    <x v="55"/>
    <x v="55"/>
    <s v="CHARGES"/>
    <x v="0"/>
    <s v="3212.004"/>
    <s v="Intérêts rémun./perçu trop tôt sur acomptes C/C"/>
    <n v="8.7100000000000009"/>
    <n v="0"/>
    <n v="3212"/>
  </r>
  <r>
    <x v="1"/>
    <x v="5"/>
    <x v="1"/>
    <x v="62"/>
    <x v="55"/>
    <x v="55"/>
    <s v="CHARGES"/>
    <x v="0"/>
    <s v="3221.002"/>
    <s v="Intérêts compensatoires / créances en faveur ctb."/>
    <n v="3.71"/>
    <n v="0"/>
    <n v="3221"/>
  </r>
  <r>
    <x v="1"/>
    <x v="5"/>
    <x v="1"/>
    <x v="62"/>
    <x v="55"/>
    <x v="55"/>
    <s v="CHARGES"/>
    <x v="0"/>
    <s v="3212.002"/>
    <s v="Intérêts bonifiés/trop perçu acompte C/C"/>
    <n v="7.0000000000000007E-2"/>
    <n v="0"/>
    <n v="3212"/>
  </r>
  <r>
    <x v="1"/>
    <x v="5"/>
    <x v="1"/>
    <x v="62"/>
    <x v="55"/>
    <x v="55"/>
    <s v="REVENUS"/>
    <x v="6"/>
    <s v="4211.001"/>
    <s v="Intérêts de retard sur factures"/>
    <n v="0"/>
    <n v="2.21"/>
    <n v="4211"/>
  </r>
  <r>
    <x v="1"/>
    <x v="5"/>
    <x v="1"/>
    <x v="62"/>
    <x v="55"/>
    <x v="55"/>
    <s v="REVENUS"/>
    <x v="16"/>
    <s v="4012.001"/>
    <s v="Impôt capital ordinaire"/>
    <n v="0"/>
    <n v="1045.55"/>
    <n v="4012"/>
  </r>
  <r>
    <x v="1"/>
    <x v="5"/>
    <x v="1"/>
    <x v="62"/>
    <x v="55"/>
    <x v="55"/>
    <s v="REVENUS"/>
    <x v="16"/>
    <s v="4012.007"/>
    <s v="Acompte sur capital"/>
    <n v="0"/>
    <n v="964.9"/>
    <n v="4012"/>
  </r>
  <r>
    <x v="1"/>
    <x v="5"/>
    <x v="1"/>
    <x v="62"/>
    <x v="55"/>
    <x v="55"/>
    <s v="REVENUS"/>
    <x v="6"/>
    <s v="4211.002"/>
    <s v="Intérêts de retard sur acomptes"/>
    <n v="0"/>
    <n v="4.4000000000000004"/>
    <n v="4211"/>
  </r>
  <r>
    <x v="1"/>
    <x v="5"/>
    <x v="1"/>
    <x v="62"/>
    <x v="55"/>
    <x v="55"/>
    <s v="REVENUS"/>
    <x v="17"/>
    <s v="4011.002"/>
    <s v="Complément impôt bénéfice ordinaire"/>
    <n v="0"/>
    <n v="1692.9"/>
    <n v="4011"/>
  </r>
  <r>
    <x v="1"/>
    <x v="5"/>
    <x v="1"/>
    <x v="62"/>
    <x v="55"/>
    <x v="55"/>
    <s v="REVENUS"/>
    <x v="17"/>
    <s v="4011.007"/>
    <s v="Acompte sur bénéfice"/>
    <n v="0"/>
    <n v="-1861.45"/>
    <n v="4011"/>
  </r>
  <r>
    <x v="1"/>
    <x v="5"/>
    <x v="1"/>
    <x v="62"/>
    <x v="55"/>
    <x v="55"/>
    <s v="REVENUS"/>
    <x v="17"/>
    <s v="4011.001"/>
    <s v="Impôt bénéfice ordinaire"/>
    <n v="0"/>
    <n v="14462.25"/>
    <n v="4011"/>
  </r>
  <r>
    <x v="1"/>
    <x v="5"/>
    <x v="1"/>
    <x v="62"/>
    <x v="55"/>
    <x v="55"/>
    <s v="REVENUS"/>
    <x v="7"/>
    <s v="4184.000"/>
    <s v="Frais de poursuite"/>
    <n v="0"/>
    <n v="21.93"/>
    <n v="4184"/>
  </r>
  <r>
    <x v="1"/>
    <x v="5"/>
    <x v="1"/>
    <x v="62"/>
    <x v="55"/>
    <x v="55"/>
    <s v="REVENUS"/>
    <x v="10"/>
    <s v="4041.001"/>
    <s v="Droits de mutation"/>
    <n v="0"/>
    <n v="374"/>
    <n v="4041"/>
  </r>
  <r>
    <x v="1"/>
    <x v="5"/>
    <x v="1"/>
    <x v="62"/>
    <x v="55"/>
    <x v="55"/>
    <s v="REVENUS"/>
    <x v="18"/>
    <s v="4013.003"/>
    <s v="Remboursement impôt complémentaire sur immeubles"/>
    <n v="0"/>
    <n v="-26"/>
    <n v="4013"/>
  </r>
  <r>
    <x v="1"/>
    <x v="5"/>
    <x v="1"/>
    <x v="62"/>
    <x v="55"/>
    <x v="55"/>
    <s v="REVENUS"/>
    <x v="6"/>
    <s v="4221.001"/>
    <s v="Intérêts compensat. / créances en faveur du fisc"/>
    <n v="0"/>
    <n v="4.46"/>
    <n v="4221"/>
  </r>
  <r>
    <x v="1"/>
    <x v="5"/>
    <x v="1"/>
    <x v="62"/>
    <x v="55"/>
    <x v="55"/>
    <s v="REVENUS"/>
    <x v="18"/>
    <s v="4013.001"/>
    <s v="Impôt complémentaire sur immeubles"/>
    <n v="0"/>
    <n v="1271.75"/>
    <n v="4013"/>
  </r>
  <r>
    <x v="1"/>
    <x v="5"/>
    <x v="1"/>
    <x v="62"/>
    <x v="55"/>
    <x v="55"/>
    <s v="REVENUS"/>
    <x v="11"/>
    <s v="4198.001"/>
    <s v="Impôt foncier"/>
    <n v="0"/>
    <n v="2555.9"/>
    <n v="4198"/>
  </r>
  <r>
    <x v="1"/>
    <x v="5"/>
    <x v="1"/>
    <x v="63"/>
    <x v="56"/>
    <x v="56"/>
    <s v="CHARGES"/>
    <x v="1"/>
    <s v="3301.006"/>
    <s v="Abandon de solde PM"/>
    <n v="24.74"/>
    <n v="0"/>
    <n v="3301"/>
  </r>
  <r>
    <x v="1"/>
    <x v="5"/>
    <x v="1"/>
    <x v="63"/>
    <x v="56"/>
    <x v="56"/>
    <s v="CHARGES"/>
    <x v="0"/>
    <s v="3221.002"/>
    <s v="Intérêts compensatoires / créances en faveur ctb."/>
    <n v="35.32"/>
    <n v="0"/>
    <n v="3221"/>
  </r>
  <r>
    <x v="1"/>
    <x v="5"/>
    <x v="1"/>
    <x v="63"/>
    <x v="56"/>
    <x v="56"/>
    <s v="CHARGES"/>
    <x v="0"/>
    <s v="3212.004"/>
    <s v="Intérêts rémun./perçu trop tôt sur acomptes C/C"/>
    <n v="32.74"/>
    <n v="0"/>
    <n v="3212"/>
  </r>
  <r>
    <x v="1"/>
    <x v="5"/>
    <x v="1"/>
    <x v="63"/>
    <x v="56"/>
    <x v="56"/>
    <s v="CHARGES"/>
    <x v="0"/>
    <s v="3212.002"/>
    <s v="Intérêts bonifiés/trop perçu acompte C/C"/>
    <n v="0.04"/>
    <n v="0"/>
    <n v="3212"/>
  </r>
  <r>
    <x v="1"/>
    <x v="5"/>
    <x v="1"/>
    <x v="63"/>
    <x v="56"/>
    <x v="56"/>
    <s v="CHARGES"/>
    <x v="1"/>
    <s v="3301.002"/>
    <s v="Défalcation PM"/>
    <n v="409.61"/>
    <n v="0"/>
    <n v="3301"/>
  </r>
  <r>
    <x v="1"/>
    <x v="5"/>
    <x v="1"/>
    <x v="63"/>
    <x v="56"/>
    <x v="56"/>
    <s v="REVENUS"/>
    <x v="16"/>
    <s v="4012.001"/>
    <s v="Impôt capital ordinaire"/>
    <n v="0"/>
    <n v="2083.35"/>
    <n v="4012"/>
  </r>
  <r>
    <x v="1"/>
    <x v="5"/>
    <x v="1"/>
    <x v="63"/>
    <x v="56"/>
    <x v="56"/>
    <s v="REVENUS"/>
    <x v="6"/>
    <s v="4211.001"/>
    <s v="Intérêts de retard sur factures"/>
    <n v="0"/>
    <n v="48.66"/>
    <n v="4211"/>
  </r>
  <r>
    <x v="1"/>
    <x v="5"/>
    <x v="1"/>
    <x v="63"/>
    <x v="56"/>
    <x v="56"/>
    <s v="REVENUS"/>
    <x v="6"/>
    <s v="4221.001"/>
    <s v="Intérêts compensat. / créances en faveur du fisc"/>
    <n v="0"/>
    <n v="11.69"/>
    <n v="4221"/>
  </r>
  <r>
    <x v="1"/>
    <x v="5"/>
    <x v="1"/>
    <x v="63"/>
    <x v="56"/>
    <x v="56"/>
    <s v="REVENUS"/>
    <x v="17"/>
    <s v="4011.001"/>
    <s v="Impôt bénéfice ordinaire"/>
    <n v="0"/>
    <n v="37480.949999999997"/>
    <n v="4011"/>
  </r>
  <r>
    <x v="1"/>
    <x v="5"/>
    <x v="1"/>
    <x v="63"/>
    <x v="56"/>
    <x v="56"/>
    <s v="REVENUS"/>
    <x v="17"/>
    <s v="4011.007"/>
    <s v="Acompte sur bénéfice"/>
    <n v="0"/>
    <n v="-3623.8"/>
    <n v="4011"/>
  </r>
  <r>
    <x v="1"/>
    <x v="5"/>
    <x v="1"/>
    <x v="63"/>
    <x v="56"/>
    <x v="56"/>
    <s v="REVENUS"/>
    <x v="6"/>
    <s v="4211.002"/>
    <s v="Intérêts de retard sur acomptes"/>
    <n v="0"/>
    <n v="62.09"/>
    <n v="4211"/>
  </r>
  <r>
    <x v="1"/>
    <x v="5"/>
    <x v="1"/>
    <x v="63"/>
    <x v="56"/>
    <x v="56"/>
    <s v="REVENUS"/>
    <x v="16"/>
    <s v="4012.007"/>
    <s v="Acompte sur capital"/>
    <n v="0"/>
    <n v="924.85"/>
    <n v="4012"/>
  </r>
  <r>
    <x v="1"/>
    <x v="5"/>
    <x v="1"/>
    <x v="63"/>
    <x v="56"/>
    <x v="56"/>
    <s v="REVENUS"/>
    <x v="17"/>
    <s v="4011.002"/>
    <s v="Complément impôt bénéfice ordinaire"/>
    <n v="0"/>
    <n v="678.3"/>
    <n v="4011"/>
  </r>
  <r>
    <x v="1"/>
    <x v="5"/>
    <x v="1"/>
    <x v="63"/>
    <x v="56"/>
    <x v="56"/>
    <s v="REVENUS"/>
    <x v="10"/>
    <s v="4041.001"/>
    <s v="Droits de mutation"/>
    <n v="0"/>
    <n v="25001.25"/>
    <n v="4041"/>
  </r>
  <r>
    <x v="1"/>
    <x v="5"/>
    <x v="1"/>
    <x v="63"/>
    <x v="56"/>
    <x v="56"/>
    <s v="REVENUS"/>
    <x v="7"/>
    <s v="4184.000"/>
    <s v="Frais de poursuite"/>
    <n v="0"/>
    <n v="92.83"/>
    <n v="4184"/>
  </r>
  <r>
    <x v="1"/>
    <x v="5"/>
    <x v="1"/>
    <x v="63"/>
    <x v="56"/>
    <x v="56"/>
    <s v="REVENUS"/>
    <x v="16"/>
    <s v="4012.002"/>
    <s v="Complément impôt capital ordinaire"/>
    <n v="0"/>
    <n v="3.85"/>
    <n v="4012"/>
  </r>
  <r>
    <x v="1"/>
    <x v="5"/>
    <x v="1"/>
    <x v="63"/>
    <x v="56"/>
    <x v="56"/>
    <s v="REVENUS"/>
    <x v="18"/>
    <s v="4013.001"/>
    <s v="Impôt complémentaire sur immeubles"/>
    <n v="0"/>
    <n v="4245.45"/>
    <n v="4013"/>
  </r>
  <r>
    <x v="1"/>
    <x v="5"/>
    <x v="1"/>
    <x v="63"/>
    <x v="56"/>
    <x v="56"/>
    <s v="REVENUS"/>
    <x v="11"/>
    <s v="4198.001"/>
    <s v="Impôt foncier"/>
    <n v="0"/>
    <n v="24537.200000000001"/>
    <n v="4198"/>
  </r>
  <r>
    <x v="1"/>
    <x v="5"/>
    <x v="1"/>
    <x v="64"/>
    <x v="57"/>
    <x v="57"/>
    <s v="CHARGES"/>
    <x v="1"/>
    <s v="3301.006"/>
    <s v="Abandon de solde PM"/>
    <n v="7.86"/>
    <n v="0"/>
    <n v="3301"/>
  </r>
  <r>
    <x v="1"/>
    <x v="5"/>
    <x v="1"/>
    <x v="64"/>
    <x v="57"/>
    <x v="57"/>
    <s v="CHARGES"/>
    <x v="0"/>
    <s v="3212.004"/>
    <s v="Intérêts rémun./perçu trop tôt sur acomptes C/C"/>
    <n v="1.2"/>
    <n v="0"/>
    <n v="3212"/>
  </r>
  <r>
    <x v="1"/>
    <x v="5"/>
    <x v="1"/>
    <x v="64"/>
    <x v="57"/>
    <x v="57"/>
    <s v="CHARGES"/>
    <x v="0"/>
    <s v="3212.002"/>
    <s v="Intérêts bonifiés/trop perçu acompte C/C"/>
    <n v="0.01"/>
    <n v="0"/>
    <n v="3212"/>
  </r>
  <r>
    <x v="1"/>
    <x v="5"/>
    <x v="1"/>
    <x v="64"/>
    <x v="57"/>
    <x v="57"/>
    <s v="CHARGES"/>
    <x v="0"/>
    <s v="3221.002"/>
    <s v="Intérêts compensatoires / créances en faveur ctb."/>
    <n v="1.75"/>
    <n v="0"/>
    <n v="3221"/>
  </r>
  <r>
    <x v="1"/>
    <x v="5"/>
    <x v="1"/>
    <x v="64"/>
    <x v="57"/>
    <x v="57"/>
    <s v="REVENUS"/>
    <x v="6"/>
    <s v="4211.001"/>
    <s v="Intérêts de retard sur factures"/>
    <n v="0"/>
    <n v="1.39"/>
    <n v="4211"/>
  </r>
  <r>
    <x v="1"/>
    <x v="5"/>
    <x v="1"/>
    <x v="64"/>
    <x v="57"/>
    <x v="57"/>
    <s v="REVENUS"/>
    <x v="17"/>
    <s v="4011.002"/>
    <s v="Complément impôt bénéfice ordinaire"/>
    <n v="0"/>
    <n v="256.05"/>
    <n v="4011"/>
  </r>
  <r>
    <x v="1"/>
    <x v="5"/>
    <x v="1"/>
    <x v="64"/>
    <x v="57"/>
    <x v="57"/>
    <s v="REVENUS"/>
    <x v="16"/>
    <s v="4012.001"/>
    <s v="Impôt capital ordinaire"/>
    <n v="0"/>
    <n v="674.1"/>
    <n v="4012"/>
  </r>
  <r>
    <x v="1"/>
    <x v="5"/>
    <x v="1"/>
    <x v="64"/>
    <x v="57"/>
    <x v="57"/>
    <s v="REVENUS"/>
    <x v="16"/>
    <s v="4012.007"/>
    <s v="Acompte sur capital"/>
    <n v="0"/>
    <n v="630.25"/>
    <n v="4012"/>
  </r>
  <r>
    <x v="1"/>
    <x v="5"/>
    <x v="1"/>
    <x v="64"/>
    <x v="57"/>
    <x v="57"/>
    <s v="REVENUS"/>
    <x v="17"/>
    <s v="4011.001"/>
    <s v="Impôt bénéfice ordinaire"/>
    <n v="0"/>
    <n v="26658.400000000001"/>
    <n v="4011"/>
  </r>
  <r>
    <x v="1"/>
    <x v="5"/>
    <x v="1"/>
    <x v="64"/>
    <x v="57"/>
    <x v="57"/>
    <s v="REVENUS"/>
    <x v="6"/>
    <s v="4211.002"/>
    <s v="Intérêts de retard sur acomptes"/>
    <n v="0"/>
    <n v="5.15"/>
    <n v="4211"/>
  </r>
  <r>
    <x v="1"/>
    <x v="5"/>
    <x v="1"/>
    <x v="64"/>
    <x v="57"/>
    <x v="57"/>
    <s v="REVENUS"/>
    <x v="17"/>
    <s v="4011.007"/>
    <s v="Acompte sur bénéfice"/>
    <n v="0"/>
    <n v="-928.35"/>
    <n v="4011"/>
  </r>
  <r>
    <x v="1"/>
    <x v="5"/>
    <x v="1"/>
    <x v="64"/>
    <x v="57"/>
    <x v="57"/>
    <s v="REVENUS"/>
    <x v="6"/>
    <s v="4221.001"/>
    <s v="Intérêts compensat. / créances en faveur du fisc"/>
    <n v="0"/>
    <n v="0.22"/>
    <n v="4221"/>
  </r>
  <r>
    <x v="1"/>
    <x v="5"/>
    <x v="1"/>
    <x v="64"/>
    <x v="57"/>
    <x v="57"/>
    <s v="REVENUS"/>
    <x v="18"/>
    <s v="4013.003"/>
    <s v="Remboursement impôt complémentaire sur immeubles"/>
    <n v="0"/>
    <n v="-308"/>
    <n v="4013"/>
  </r>
  <r>
    <x v="1"/>
    <x v="5"/>
    <x v="1"/>
    <x v="64"/>
    <x v="57"/>
    <x v="57"/>
    <s v="REVENUS"/>
    <x v="10"/>
    <s v="4041.001"/>
    <s v="Droits de mutation"/>
    <n v="0"/>
    <n v="31504"/>
    <n v="4041"/>
  </r>
  <r>
    <x v="1"/>
    <x v="5"/>
    <x v="1"/>
    <x v="64"/>
    <x v="57"/>
    <x v="57"/>
    <s v="REVENUS"/>
    <x v="18"/>
    <s v="4013.001"/>
    <s v="Impôt complémentaire sur immeubles"/>
    <n v="0"/>
    <n v="763.85"/>
    <n v="4013"/>
  </r>
  <r>
    <x v="1"/>
    <x v="5"/>
    <x v="1"/>
    <x v="64"/>
    <x v="57"/>
    <x v="57"/>
    <s v="REVENUS"/>
    <x v="11"/>
    <s v="4198.001"/>
    <s v="Impôt foncier"/>
    <n v="0"/>
    <n v="1097.55"/>
    <n v="4198"/>
  </r>
  <r>
    <x v="1"/>
    <x v="5"/>
    <x v="1"/>
    <x v="65"/>
    <x v="58"/>
    <x v="58"/>
    <s v="CHARGES"/>
    <x v="0"/>
    <s v="3212.004"/>
    <s v="Intérêts rémun./perçu trop tôt sur acomptes C/C"/>
    <n v="41.33"/>
    <n v="0"/>
    <n v="3212"/>
  </r>
  <r>
    <x v="1"/>
    <x v="5"/>
    <x v="1"/>
    <x v="65"/>
    <x v="58"/>
    <x v="58"/>
    <s v="CHARGES"/>
    <x v="0"/>
    <s v="3221.002"/>
    <s v="Intérêts compensatoires / créances en faveur ctb."/>
    <n v="31.49"/>
    <n v="0"/>
    <n v="3221"/>
  </r>
  <r>
    <x v="1"/>
    <x v="5"/>
    <x v="1"/>
    <x v="65"/>
    <x v="58"/>
    <x v="58"/>
    <s v="CHARGES"/>
    <x v="1"/>
    <s v="3301.006"/>
    <s v="Abandon de solde PM"/>
    <n v="31.72"/>
    <n v="0"/>
    <n v="3301"/>
  </r>
  <r>
    <x v="1"/>
    <x v="5"/>
    <x v="1"/>
    <x v="65"/>
    <x v="58"/>
    <x v="58"/>
    <s v="CHARGES"/>
    <x v="0"/>
    <s v="3212.002"/>
    <s v="Intérêts bonifiés/trop perçu acompte C/C"/>
    <n v="24.5"/>
    <n v="0"/>
    <n v="3212"/>
  </r>
  <r>
    <x v="1"/>
    <x v="5"/>
    <x v="1"/>
    <x v="65"/>
    <x v="58"/>
    <x v="58"/>
    <s v="CHARGES"/>
    <x v="1"/>
    <s v="3301.002"/>
    <s v="Défalcation PM"/>
    <n v="702.59"/>
    <n v="0"/>
    <n v="3301"/>
  </r>
  <r>
    <x v="1"/>
    <x v="5"/>
    <x v="1"/>
    <x v="65"/>
    <x v="58"/>
    <x v="58"/>
    <s v="REVENUS"/>
    <x v="6"/>
    <s v="4221.001"/>
    <s v="Intérêts compensat. / créances en faveur du fisc"/>
    <n v="0"/>
    <n v="25.3"/>
    <n v="4221"/>
  </r>
  <r>
    <x v="1"/>
    <x v="5"/>
    <x v="1"/>
    <x v="65"/>
    <x v="58"/>
    <x v="58"/>
    <s v="REVENUS"/>
    <x v="17"/>
    <s v="4011.001"/>
    <s v="Impôt bénéfice ordinaire"/>
    <n v="0"/>
    <n v="32253.8"/>
    <n v="4011"/>
  </r>
  <r>
    <x v="1"/>
    <x v="5"/>
    <x v="1"/>
    <x v="65"/>
    <x v="58"/>
    <x v="58"/>
    <s v="REVENUS"/>
    <x v="17"/>
    <s v="4011.002"/>
    <s v="Complément impôt bénéfice ordinaire"/>
    <n v="0"/>
    <n v="2358.4"/>
    <n v="4011"/>
  </r>
  <r>
    <x v="1"/>
    <x v="5"/>
    <x v="1"/>
    <x v="65"/>
    <x v="58"/>
    <x v="58"/>
    <s v="REVENUS"/>
    <x v="16"/>
    <s v="4012.001"/>
    <s v="Impôt capital ordinaire"/>
    <n v="0"/>
    <n v="2332.6999999999998"/>
    <n v="4012"/>
  </r>
  <r>
    <x v="1"/>
    <x v="5"/>
    <x v="1"/>
    <x v="65"/>
    <x v="58"/>
    <x v="58"/>
    <s v="REVENUS"/>
    <x v="16"/>
    <s v="4012.007"/>
    <s v="Acompte sur capital"/>
    <n v="0"/>
    <n v="1850.1"/>
    <n v="4012"/>
  </r>
  <r>
    <x v="1"/>
    <x v="5"/>
    <x v="1"/>
    <x v="65"/>
    <x v="58"/>
    <x v="58"/>
    <s v="REVENUS"/>
    <x v="6"/>
    <s v="4211.001"/>
    <s v="Intérêts de retard sur factures"/>
    <n v="0"/>
    <n v="0.46"/>
    <n v="4211"/>
  </r>
  <r>
    <x v="1"/>
    <x v="5"/>
    <x v="1"/>
    <x v="65"/>
    <x v="58"/>
    <x v="58"/>
    <s v="REVENUS"/>
    <x v="6"/>
    <s v="4211.002"/>
    <s v="Intérêts de retard sur acomptes"/>
    <n v="0"/>
    <n v="21.31"/>
    <n v="4211"/>
  </r>
  <r>
    <x v="1"/>
    <x v="5"/>
    <x v="1"/>
    <x v="65"/>
    <x v="58"/>
    <x v="58"/>
    <s v="REVENUS"/>
    <x v="17"/>
    <s v="4011.007"/>
    <s v="Acompte sur bénéfice"/>
    <n v="0"/>
    <n v="-34533.199999999997"/>
    <n v="4011"/>
  </r>
  <r>
    <x v="1"/>
    <x v="5"/>
    <x v="1"/>
    <x v="65"/>
    <x v="58"/>
    <x v="58"/>
    <s v="REVENUS"/>
    <x v="18"/>
    <s v="4013.001"/>
    <s v="Impôt complémentaire sur immeubles"/>
    <n v="0"/>
    <n v="3149.1"/>
    <n v="4013"/>
  </r>
  <r>
    <x v="1"/>
    <x v="5"/>
    <x v="1"/>
    <x v="65"/>
    <x v="58"/>
    <x v="58"/>
    <s v="REVENUS"/>
    <x v="11"/>
    <s v="4198.001"/>
    <s v="Impôt foncier"/>
    <n v="0"/>
    <n v="14555.9"/>
    <n v="4198"/>
  </r>
  <r>
    <x v="1"/>
    <x v="5"/>
    <x v="1"/>
    <x v="65"/>
    <x v="58"/>
    <x v="58"/>
    <s v="REVENUS"/>
    <x v="10"/>
    <s v="4041.001"/>
    <s v="Droits de mutation"/>
    <n v="0"/>
    <n v="84040.2"/>
    <n v="4041"/>
  </r>
  <r>
    <x v="1"/>
    <x v="5"/>
    <x v="1"/>
    <x v="65"/>
    <x v="58"/>
    <x v="58"/>
    <s v="REVENUS"/>
    <x v="7"/>
    <s v="4184.000"/>
    <s v="Frais de poursuite"/>
    <n v="0"/>
    <n v="304.83999999999997"/>
    <n v="4184"/>
  </r>
  <r>
    <x v="1"/>
    <x v="5"/>
    <x v="1"/>
    <x v="65"/>
    <x v="58"/>
    <x v="58"/>
    <s v="REVENUS"/>
    <x v="18"/>
    <s v="4013.003"/>
    <s v="Remboursement impôt complémentaire sur immeubles"/>
    <n v="0"/>
    <n v="-343.65"/>
    <n v="4013"/>
  </r>
  <r>
    <x v="1"/>
    <x v="4"/>
    <x v="4"/>
    <x v="66"/>
    <x v="59"/>
    <x v="59"/>
    <s v="CHARGES"/>
    <x v="0"/>
    <s v="3212.004"/>
    <s v="Intérêts rémun./perçu trop tôt sur acomptes C/C"/>
    <n v="264.62"/>
    <n v="0"/>
    <n v="3212"/>
  </r>
  <r>
    <x v="1"/>
    <x v="4"/>
    <x v="4"/>
    <x v="66"/>
    <x v="59"/>
    <x v="59"/>
    <s v="CHARGES"/>
    <x v="0"/>
    <s v="3221.002"/>
    <s v="Intérêts compensatoires / créances en faveur ctb."/>
    <n v="347.05"/>
    <n v="0"/>
    <n v="3221"/>
  </r>
  <r>
    <x v="1"/>
    <x v="4"/>
    <x v="4"/>
    <x v="66"/>
    <x v="59"/>
    <x v="59"/>
    <s v="CHARGES"/>
    <x v="1"/>
    <s v="3301.006"/>
    <s v="Abandon de solde PM"/>
    <n v="84.08"/>
    <n v="0"/>
    <n v="3301"/>
  </r>
  <r>
    <x v="1"/>
    <x v="4"/>
    <x v="4"/>
    <x v="66"/>
    <x v="59"/>
    <x v="59"/>
    <s v="CHARGES"/>
    <x v="0"/>
    <s v="3212.002"/>
    <s v="Intérêts bonifiés/trop perçu acompte C/C"/>
    <n v="1.1000000000000001"/>
    <n v="0"/>
    <n v="3212"/>
  </r>
  <r>
    <x v="1"/>
    <x v="4"/>
    <x v="4"/>
    <x v="66"/>
    <x v="59"/>
    <x v="59"/>
    <s v="CHARGES"/>
    <x v="1"/>
    <s v="3301.002"/>
    <s v="Défalcation PM"/>
    <n v="711.58"/>
    <n v="0"/>
    <n v="3301"/>
  </r>
  <r>
    <x v="1"/>
    <x v="4"/>
    <x v="4"/>
    <x v="66"/>
    <x v="59"/>
    <x v="59"/>
    <s v="REVENUS"/>
    <x v="17"/>
    <s v="4011.001"/>
    <s v="Impôt bénéfice ordinaire"/>
    <n v="0"/>
    <n v="203530.2"/>
    <n v="4011"/>
  </r>
  <r>
    <x v="1"/>
    <x v="4"/>
    <x v="4"/>
    <x v="66"/>
    <x v="59"/>
    <x v="59"/>
    <s v="REVENUS"/>
    <x v="17"/>
    <s v="4011.007"/>
    <s v="Acompte sur bénéfice"/>
    <n v="0"/>
    <n v="-157353.79999999999"/>
    <n v="4011"/>
  </r>
  <r>
    <x v="1"/>
    <x v="4"/>
    <x v="4"/>
    <x v="66"/>
    <x v="59"/>
    <x v="59"/>
    <s v="REVENUS"/>
    <x v="6"/>
    <s v="4211.001"/>
    <s v="Intérêts de retard sur factures"/>
    <n v="0"/>
    <n v="792.92"/>
    <n v="4211"/>
  </r>
  <r>
    <x v="1"/>
    <x v="4"/>
    <x v="4"/>
    <x v="66"/>
    <x v="59"/>
    <x v="59"/>
    <s v="REVENUS"/>
    <x v="11"/>
    <s v="4198.001"/>
    <s v="Impôt foncier"/>
    <n v="0"/>
    <n v="177633.1"/>
    <n v="4198"/>
  </r>
  <r>
    <x v="1"/>
    <x v="4"/>
    <x v="4"/>
    <x v="66"/>
    <x v="59"/>
    <x v="59"/>
    <s v="REVENUS"/>
    <x v="16"/>
    <s v="4012.001"/>
    <s v="Impôt capital ordinaire"/>
    <n v="0"/>
    <n v="6087.6"/>
    <n v="4012"/>
  </r>
  <r>
    <x v="1"/>
    <x v="4"/>
    <x v="4"/>
    <x v="66"/>
    <x v="59"/>
    <x v="59"/>
    <s v="REVENUS"/>
    <x v="18"/>
    <s v="4013.001"/>
    <s v="Impôt complémentaire sur immeubles"/>
    <n v="0"/>
    <n v="78585.850000000006"/>
    <n v="4013"/>
  </r>
  <r>
    <x v="1"/>
    <x v="4"/>
    <x v="4"/>
    <x v="66"/>
    <x v="59"/>
    <x v="59"/>
    <s v="REVENUS"/>
    <x v="17"/>
    <s v="4011.002"/>
    <s v="Complément impôt bénéfice ordinaire"/>
    <n v="0"/>
    <n v="7808.45"/>
    <n v="4011"/>
  </r>
  <r>
    <x v="1"/>
    <x v="4"/>
    <x v="4"/>
    <x v="66"/>
    <x v="59"/>
    <x v="59"/>
    <s v="REVENUS"/>
    <x v="6"/>
    <s v="4221.001"/>
    <s v="Intérêts compensat. / créances en faveur du fisc"/>
    <n v="0"/>
    <n v="553.79999999999995"/>
    <n v="4221"/>
  </r>
  <r>
    <x v="1"/>
    <x v="4"/>
    <x v="4"/>
    <x v="66"/>
    <x v="59"/>
    <x v="59"/>
    <s v="REVENUS"/>
    <x v="10"/>
    <s v="4041.001"/>
    <s v="Droits de mutation"/>
    <n v="0"/>
    <n v="181951"/>
    <n v="4041"/>
  </r>
  <r>
    <x v="1"/>
    <x v="4"/>
    <x v="4"/>
    <x v="66"/>
    <x v="59"/>
    <x v="59"/>
    <s v="REVENUS"/>
    <x v="6"/>
    <s v="4211.002"/>
    <s v="Intérêts de retard sur acomptes"/>
    <n v="0"/>
    <n v="774.19"/>
    <n v="4211"/>
  </r>
  <r>
    <x v="1"/>
    <x v="4"/>
    <x v="4"/>
    <x v="66"/>
    <x v="59"/>
    <x v="59"/>
    <s v="REVENUS"/>
    <x v="9"/>
    <s v="4031.001"/>
    <s v="Impôt sur les gains immobiliers"/>
    <n v="0"/>
    <n v="31219.599999999999"/>
    <n v="4031"/>
  </r>
  <r>
    <x v="1"/>
    <x v="4"/>
    <x v="4"/>
    <x v="66"/>
    <x v="59"/>
    <x v="59"/>
    <s v="REVENUS"/>
    <x v="16"/>
    <s v="4012.007"/>
    <s v="Acompte sur capital"/>
    <n v="0"/>
    <n v="2364.15"/>
    <n v="4012"/>
  </r>
  <r>
    <x v="1"/>
    <x v="4"/>
    <x v="4"/>
    <x v="66"/>
    <x v="59"/>
    <x v="59"/>
    <s v="REVENUS"/>
    <x v="7"/>
    <s v="4184.000"/>
    <s v="Frais de poursuite"/>
    <n v="0"/>
    <n v="249.83"/>
    <n v="4184"/>
  </r>
  <r>
    <x v="1"/>
    <x v="4"/>
    <x v="4"/>
    <x v="66"/>
    <x v="59"/>
    <x v="59"/>
    <s v="REVENUS"/>
    <x v="18"/>
    <s v="4013.002"/>
    <s v="Complément impôt complémentaire sur immeubles"/>
    <n v="0"/>
    <n v="229"/>
    <n v="4013"/>
  </r>
  <r>
    <x v="1"/>
    <x v="4"/>
    <x v="4"/>
    <x v="66"/>
    <x v="59"/>
    <x v="59"/>
    <s v="REVENUS"/>
    <x v="18"/>
    <s v="4013.003"/>
    <s v="Remboursement impôt complémentaire sur immeubles"/>
    <n v="0"/>
    <n v="-10835"/>
    <n v="4013"/>
  </r>
  <r>
    <x v="1"/>
    <x v="4"/>
    <x v="4"/>
    <x v="67"/>
    <x v="60"/>
    <x v="60"/>
    <s v="CHARGES"/>
    <x v="0"/>
    <s v="3212.004"/>
    <s v="Intérêts rémun./perçu trop tôt sur acomptes C/C"/>
    <n v="46.56"/>
    <n v="0"/>
    <n v="3212"/>
  </r>
  <r>
    <x v="1"/>
    <x v="4"/>
    <x v="4"/>
    <x v="67"/>
    <x v="60"/>
    <x v="60"/>
    <s v="CHARGES"/>
    <x v="0"/>
    <s v="3221.002"/>
    <s v="Intérêts compensatoires / créances en faveur ctb."/>
    <n v="32.799999999999997"/>
    <n v="0"/>
    <n v="3221"/>
  </r>
  <r>
    <x v="1"/>
    <x v="4"/>
    <x v="4"/>
    <x v="67"/>
    <x v="60"/>
    <x v="60"/>
    <s v="CHARGES"/>
    <x v="1"/>
    <s v="3301.006"/>
    <s v="Abandon de solde PM"/>
    <n v="50.53"/>
    <n v="0"/>
    <n v="3301"/>
  </r>
  <r>
    <x v="1"/>
    <x v="4"/>
    <x v="4"/>
    <x v="67"/>
    <x v="60"/>
    <x v="60"/>
    <s v="CHARGES"/>
    <x v="0"/>
    <s v="3212.002"/>
    <s v="Intérêts bonifiés/trop perçu acompte C/C"/>
    <n v="0.24"/>
    <n v="0"/>
    <n v="3212"/>
  </r>
  <r>
    <x v="1"/>
    <x v="4"/>
    <x v="4"/>
    <x v="67"/>
    <x v="60"/>
    <x v="60"/>
    <s v="REVENUS"/>
    <x v="17"/>
    <s v="4011.007"/>
    <s v="Acompte sur bénéfice"/>
    <n v="0"/>
    <n v="-85190.35"/>
    <n v="4011"/>
  </r>
  <r>
    <x v="1"/>
    <x v="4"/>
    <x v="4"/>
    <x v="67"/>
    <x v="60"/>
    <x v="60"/>
    <s v="REVENUS"/>
    <x v="16"/>
    <s v="4012.001"/>
    <s v="Impôt capital ordinaire"/>
    <n v="0"/>
    <n v="10617.95"/>
    <n v="4012"/>
  </r>
  <r>
    <x v="1"/>
    <x v="4"/>
    <x v="4"/>
    <x v="67"/>
    <x v="60"/>
    <x v="60"/>
    <s v="REVENUS"/>
    <x v="17"/>
    <s v="4011.001"/>
    <s v="Impôt bénéfice ordinaire"/>
    <n v="0"/>
    <n v="116629.85"/>
    <n v="4011"/>
  </r>
  <r>
    <x v="1"/>
    <x v="4"/>
    <x v="4"/>
    <x v="67"/>
    <x v="60"/>
    <x v="60"/>
    <s v="REVENUS"/>
    <x v="17"/>
    <s v="4011.002"/>
    <s v="Complément impôt bénéfice ordinaire"/>
    <n v="0"/>
    <n v="12415.35"/>
    <n v="4011"/>
  </r>
  <r>
    <x v="1"/>
    <x v="4"/>
    <x v="4"/>
    <x v="67"/>
    <x v="60"/>
    <x v="60"/>
    <s v="REVENUS"/>
    <x v="6"/>
    <s v="4211.001"/>
    <s v="Intérêts de retard sur factures"/>
    <n v="0"/>
    <n v="122.37"/>
    <n v="4211"/>
  </r>
  <r>
    <x v="1"/>
    <x v="4"/>
    <x v="4"/>
    <x v="67"/>
    <x v="60"/>
    <x v="60"/>
    <s v="REVENUS"/>
    <x v="6"/>
    <s v="4221.001"/>
    <s v="Intérêts compensat. / créances en faveur du fisc"/>
    <n v="0"/>
    <n v="19.95"/>
    <n v="4221"/>
  </r>
  <r>
    <x v="1"/>
    <x v="4"/>
    <x v="4"/>
    <x v="67"/>
    <x v="60"/>
    <x v="60"/>
    <s v="REVENUS"/>
    <x v="10"/>
    <s v="4041.001"/>
    <s v="Droits de mutation"/>
    <n v="0"/>
    <n v="20629.95"/>
    <n v="4041"/>
  </r>
  <r>
    <x v="1"/>
    <x v="4"/>
    <x v="4"/>
    <x v="67"/>
    <x v="60"/>
    <x v="60"/>
    <s v="REVENUS"/>
    <x v="6"/>
    <s v="4211.002"/>
    <s v="Intérêts de retard sur acomptes"/>
    <n v="0"/>
    <n v="359.53"/>
    <n v="4211"/>
  </r>
  <r>
    <x v="1"/>
    <x v="4"/>
    <x v="4"/>
    <x v="67"/>
    <x v="60"/>
    <x v="60"/>
    <s v="REVENUS"/>
    <x v="11"/>
    <s v="4198.001"/>
    <s v="Impôt foncier"/>
    <n v="0"/>
    <n v="61138.25"/>
    <n v="4198"/>
  </r>
  <r>
    <x v="1"/>
    <x v="4"/>
    <x v="4"/>
    <x v="67"/>
    <x v="60"/>
    <x v="60"/>
    <s v="REVENUS"/>
    <x v="16"/>
    <s v="4012.007"/>
    <s v="Acompte sur capital"/>
    <n v="0"/>
    <n v="7741.5"/>
    <n v="4012"/>
  </r>
  <r>
    <x v="1"/>
    <x v="4"/>
    <x v="4"/>
    <x v="67"/>
    <x v="60"/>
    <x v="60"/>
    <s v="REVENUS"/>
    <x v="18"/>
    <s v="4013.003"/>
    <s v="Remboursement impôt complémentaire sur immeubles"/>
    <n v="0"/>
    <n v="-217.5"/>
    <n v="4013"/>
  </r>
  <r>
    <x v="1"/>
    <x v="4"/>
    <x v="4"/>
    <x v="67"/>
    <x v="60"/>
    <x v="60"/>
    <s v="REVENUS"/>
    <x v="18"/>
    <s v="4013.001"/>
    <s v="Impôt complémentaire sur immeubles"/>
    <n v="0"/>
    <n v="21130.1"/>
    <n v="4013"/>
  </r>
  <r>
    <x v="1"/>
    <x v="4"/>
    <x v="4"/>
    <x v="67"/>
    <x v="60"/>
    <x v="60"/>
    <s v="REVENUS"/>
    <x v="7"/>
    <s v="4184.000"/>
    <s v="Frais de poursuite"/>
    <n v="0"/>
    <n v="77.73"/>
    <n v="4184"/>
  </r>
  <r>
    <x v="1"/>
    <x v="4"/>
    <x v="4"/>
    <x v="67"/>
    <x v="60"/>
    <x v="60"/>
    <s v="REVENUS"/>
    <x v="16"/>
    <s v="4012.002"/>
    <s v="Complément impôt capital ordinaire"/>
    <n v="0"/>
    <n v="0.7"/>
    <n v="4012"/>
  </r>
  <r>
    <x v="1"/>
    <x v="5"/>
    <x v="1"/>
    <x v="68"/>
    <x v="61"/>
    <x v="61"/>
    <s v="CHARGES"/>
    <x v="1"/>
    <s v="3301.006"/>
    <s v="Abandon de solde PM"/>
    <n v="29.33"/>
    <n v="0"/>
    <n v="3301"/>
  </r>
  <r>
    <x v="1"/>
    <x v="5"/>
    <x v="1"/>
    <x v="68"/>
    <x v="61"/>
    <x v="61"/>
    <s v="CHARGES"/>
    <x v="0"/>
    <s v="3221.002"/>
    <s v="Intérêts compensatoires / créances en faveur ctb."/>
    <n v="4.3"/>
    <n v="0"/>
    <n v="3221"/>
  </r>
  <r>
    <x v="1"/>
    <x v="5"/>
    <x v="1"/>
    <x v="68"/>
    <x v="61"/>
    <x v="61"/>
    <s v="CHARGES"/>
    <x v="0"/>
    <s v="3212.002"/>
    <s v="Intérêts bonifiés/trop perçu acompte C/C"/>
    <n v="7.0000000000000007E-2"/>
    <n v="0"/>
    <n v="3212"/>
  </r>
  <r>
    <x v="1"/>
    <x v="5"/>
    <x v="1"/>
    <x v="68"/>
    <x v="61"/>
    <x v="61"/>
    <s v="CHARGES"/>
    <x v="0"/>
    <s v="3212.004"/>
    <s v="Intérêts rémun./perçu trop tôt sur acomptes C/C"/>
    <n v="3.22"/>
    <n v="0"/>
    <n v="3212"/>
  </r>
  <r>
    <x v="1"/>
    <x v="5"/>
    <x v="1"/>
    <x v="68"/>
    <x v="61"/>
    <x v="61"/>
    <s v="CHARGES"/>
    <x v="1"/>
    <s v="3301.002"/>
    <s v="Défalcation PM"/>
    <n v="326.93"/>
    <n v="0"/>
    <n v="3301"/>
  </r>
  <r>
    <x v="1"/>
    <x v="5"/>
    <x v="1"/>
    <x v="68"/>
    <x v="61"/>
    <x v="61"/>
    <s v="REVENUS"/>
    <x v="18"/>
    <s v="4013.001"/>
    <s v="Impôt complémentaire sur immeubles"/>
    <n v="0"/>
    <n v="3863.6"/>
    <n v="4013"/>
  </r>
  <r>
    <x v="1"/>
    <x v="5"/>
    <x v="1"/>
    <x v="68"/>
    <x v="61"/>
    <x v="61"/>
    <s v="REVENUS"/>
    <x v="11"/>
    <s v="4198.001"/>
    <s v="Impôt foncier"/>
    <n v="0"/>
    <n v="36799.4"/>
    <n v="4198"/>
  </r>
  <r>
    <x v="1"/>
    <x v="5"/>
    <x v="1"/>
    <x v="68"/>
    <x v="61"/>
    <x v="61"/>
    <s v="REVENUS"/>
    <x v="17"/>
    <s v="4011.001"/>
    <s v="Impôt bénéfice ordinaire"/>
    <n v="0"/>
    <n v="7546.95"/>
    <n v="4011"/>
  </r>
  <r>
    <x v="1"/>
    <x v="5"/>
    <x v="1"/>
    <x v="68"/>
    <x v="61"/>
    <x v="61"/>
    <s v="REVENUS"/>
    <x v="17"/>
    <s v="4011.002"/>
    <s v="Complément impôt bénéfice ordinaire"/>
    <n v="0"/>
    <n v="1642.1"/>
    <n v="4011"/>
  </r>
  <r>
    <x v="1"/>
    <x v="5"/>
    <x v="1"/>
    <x v="68"/>
    <x v="61"/>
    <x v="61"/>
    <s v="REVENUS"/>
    <x v="6"/>
    <s v="4221.001"/>
    <s v="Intérêts compensat. / créances en faveur du fisc"/>
    <n v="0"/>
    <n v="3.77"/>
    <n v="4221"/>
  </r>
  <r>
    <x v="1"/>
    <x v="5"/>
    <x v="1"/>
    <x v="68"/>
    <x v="61"/>
    <x v="61"/>
    <s v="REVENUS"/>
    <x v="6"/>
    <s v="4211.001"/>
    <s v="Intérêts de retard sur factures"/>
    <n v="0"/>
    <n v="12.84"/>
    <n v="4211"/>
  </r>
  <r>
    <x v="1"/>
    <x v="5"/>
    <x v="1"/>
    <x v="68"/>
    <x v="61"/>
    <x v="61"/>
    <s v="REVENUS"/>
    <x v="16"/>
    <s v="4012.007"/>
    <s v="Acompte sur capital"/>
    <n v="0"/>
    <n v="1542.25"/>
    <n v="4012"/>
  </r>
  <r>
    <x v="1"/>
    <x v="5"/>
    <x v="1"/>
    <x v="68"/>
    <x v="61"/>
    <x v="61"/>
    <s v="REVENUS"/>
    <x v="8"/>
    <s v="4091.001"/>
    <s v="Impôt récupéré après défalcations"/>
    <n v="0"/>
    <n v="0"/>
    <n v="4091"/>
  </r>
  <r>
    <x v="1"/>
    <x v="5"/>
    <x v="1"/>
    <x v="68"/>
    <x v="61"/>
    <x v="61"/>
    <s v="REVENUS"/>
    <x v="16"/>
    <s v="4012.001"/>
    <s v="Impôt capital ordinaire"/>
    <n v="0"/>
    <n v="828.15"/>
    <n v="4012"/>
  </r>
  <r>
    <x v="1"/>
    <x v="5"/>
    <x v="1"/>
    <x v="68"/>
    <x v="61"/>
    <x v="61"/>
    <s v="REVENUS"/>
    <x v="6"/>
    <s v="4211.002"/>
    <s v="Intérêts de retard sur acomptes"/>
    <n v="0"/>
    <n v="57.18"/>
    <n v="4211"/>
  </r>
  <r>
    <x v="1"/>
    <x v="5"/>
    <x v="1"/>
    <x v="68"/>
    <x v="61"/>
    <x v="61"/>
    <s v="REVENUS"/>
    <x v="18"/>
    <s v="4013.002"/>
    <s v="Complément impôt complémentaire sur immeubles"/>
    <n v="0"/>
    <n v="1"/>
    <n v="4013"/>
  </r>
  <r>
    <x v="1"/>
    <x v="5"/>
    <x v="1"/>
    <x v="68"/>
    <x v="61"/>
    <x v="61"/>
    <s v="REVENUS"/>
    <x v="17"/>
    <s v="4011.007"/>
    <s v="Acompte sur bénéfice"/>
    <n v="0"/>
    <n v="-21667.599999999999"/>
    <n v="4011"/>
  </r>
  <r>
    <x v="1"/>
    <x v="5"/>
    <x v="1"/>
    <x v="69"/>
    <x v="62"/>
    <x v="62"/>
    <s v="CHARGES"/>
    <x v="0"/>
    <s v="3221.002"/>
    <s v="Intérêts compensatoires / créances en faveur ctb."/>
    <n v="25.08"/>
    <n v="0"/>
    <n v="3221"/>
  </r>
  <r>
    <x v="1"/>
    <x v="5"/>
    <x v="1"/>
    <x v="69"/>
    <x v="62"/>
    <x v="62"/>
    <s v="CHARGES"/>
    <x v="1"/>
    <s v="3301.006"/>
    <s v="Abandon de solde PM"/>
    <n v="70.56"/>
    <n v="0"/>
    <n v="3301"/>
  </r>
  <r>
    <x v="1"/>
    <x v="5"/>
    <x v="1"/>
    <x v="69"/>
    <x v="62"/>
    <x v="62"/>
    <s v="CHARGES"/>
    <x v="0"/>
    <s v="3212.004"/>
    <s v="Intérêts rémun./perçu trop tôt sur acomptes C/C"/>
    <n v="29.54"/>
    <n v="0"/>
    <n v="3212"/>
  </r>
  <r>
    <x v="1"/>
    <x v="5"/>
    <x v="1"/>
    <x v="69"/>
    <x v="62"/>
    <x v="62"/>
    <s v="CHARGES"/>
    <x v="0"/>
    <s v="3212.002"/>
    <s v="Intérêts bonifiés/trop perçu acompte C/C"/>
    <n v="0.78"/>
    <n v="0"/>
    <n v="3212"/>
  </r>
  <r>
    <x v="1"/>
    <x v="5"/>
    <x v="1"/>
    <x v="69"/>
    <x v="62"/>
    <x v="62"/>
    <s v="REVENUS"/>
    <x v="18"/>
    <s v="4013.001"/>
    <s v="Impôt complémentaire sur immeubles"/>
    <n v="0"/>
    <n v="24701.65"/>
    <n v="4013"/>
  </r>
  <r>
    <x v="1"/>
    <x v="5"/>
    <x v="1"/>
    <x v="69"/>
    <x v="62"/>
    <x v="62"/>
    <s v="REVENUS"/>
    <x v="11"/>
    <s v="4198.001"/>
    <s v="Impôt foncier"/>
    <n v="0"/>
    <n v="81586.5"/>
    <n v="4198"/>
  </r>
  <r>
    <x v="1"/>
    <x v="5"/>
    <x v="1"/>
    <x v="69"/>
    <x v="62"/>
    <x v="62"/>
    <s v="REVENUS"/>
    <x v="17"/>
    <s v="4011.001"/>
    <s v="Impôt bénéfice ordinaire"/>
    <n v="0"/>
    <n v="96693.45"/>
    <n v="4011"/>
  </r>
  <r>
    <x v="1"/>
    <x v="5"/>
    <x v="1"/>
    <x v="69"/>
    <x v="62"/>
    <x v="62"/>
    <s v="REVENUS"/>
    <x v="17"/>
    <s v="4011.002"/>
    <s v="Complément impôt bénéfice ordinaire"/>
    <n v="0"/>
    <n v="24818.799999999999"/>
    <n v="4011"/>
  </r>
  <r>
    <x v="1"/>
    <x v="5"/>
    <x v="1"/>
    <x v="69"/>
    <x v="62"/>
    <x v="62"/>
    <s v="REVENUS"/>
    <x v="6"/>
    <s v="4211.001"/>
    <s v="Intérêts de retard sur factures"/>
    <n v="0"/>
    <n v="96.39"/>
    <n v="4211"/>
  </r>
  <r>
    <x v="1"/>
    <x v="5"/>
    <x v="1"/>
    <x v="69"/>
    <x v="62"/>
    <x v="62"/>
    <s v="REVENUS"/>
    <x v="6"/>
    <s v="4221.001"/>
    <s v="Intérêts compensat. / créances en faveur du fisc"/>
    <n v="0"/>
    <n v="22.99"/>
    <n v="4221"/>
  </r>
  <r>
    <x v="1"/>
    <x v="5"/>
    <x v="1"/>
    <x v="69"/>
    <x v="62"/>
    <x v="62"/>
    <s v="REVENUS"/>
    <x v="16"/>
    <s v="4012.007"/>
    <s v="Acompte sur capital"/>
    <n v="0"/>
    <n v="4872.55"/>
    <n v="4012"/>
  </r>
  <r>
    <x v="1"/>
    <x v="5"/>
    <x v="1"/>
    <x v="69"/>
    <x v="62"/>
    <x v="62"/>
    <s v="REVENUS"/>
    <x v="10"/>
    <s v="4041.001"/>
    <s v="Droits de mutation"/>
    <n v="0"/>
    <n v="27021.45"/>
    <n v="4041"/>
  </r>
  <r>
    <x v="1"/>
    <x v="5"/>
    <x v="1"/>
    <x v="69"/>
    <x v="62"/>
    <x v="62"/>
    <s v="REVENUS"/>
    <x v="16"/>
    <s v="4012.001"/>
    <s v="Impôt capital ordinaire"/>
    <n v="0"/>
    <n v="2891.15"/>
    <n v="4012"/>
  </r>
  <r>
    <x v="1"/>
    <x v="5"/>
    <x v="1"/>
    <x v="69"/>
    <x v="62"/>
    <x v="62"/>
    <s v="REVENUS"/>
    <x v="6"/>
    <s v="4211.002"/>
    <s v="Intérêts de retard sur acomptes"/>
    <n v="0"/>
    <n v="50.92"/>
    <n v="4211"/>
  </r>
  <r>
    <x v="1"/>
    <x v="5"/>
    <x v="1"/>
    <x v="69"/>
    <x v="62"/>
    <x v="62"/>
    <s v="REVENUS"/>
    <x v="17"/>
    <s v="4011.007"/>
    <s v="Acompte sur bénéfice"/>
    <n v="0"/>
    <n v="-73369.3"/>
    <n v="4011"/>
  </r>
  <r>
    <x v="1"/>
    <x v="5"/>
    <x v="1"/>
    <x v="69"/>
    <x v="62"/>
    <x v="62"/>
    <s v="REVENUS"/>
    <x v="18"/>
    <s v="4013.002"/>
    <s v="Complément impôt complémentaire sur immeubles"/>
    <n v="0"/>
    <n v="288"/>
    <n v="4013"/>
  </r>
  <r>
    <x v="1"/>
    <x v="5"/>
    <x v="1"/>
    <x v="69"/>
    <x v="62"/>
    <x v="62"/>
    <s v="REVENUS"/>
    <x v="7"/>
    <s v="4184.000"/>
    <s v="Frais de poursuite"/>
    <n v="0"/>
    <n v="95.52"/>
    <n v="4184"/>
  </r>
  <r>
    <x v="1"/>
    <x v="5"/>
    <x v="1"/>
    <x v="69"/>
    <x v="62"/>
    <x v="62"/>
    <s v="REVENUS"/>
    <x v="18"/>
    <s v="4013.003"/>
    <s v="Remboursement impôt complémentaire sur immeubles"/>
    <n v="0"/>
    <n v="-9445"/>
    <n v="4013"/>
  </r>
  <r>
    <x v="1"/>
    <x v="5"/>
    <x v="1"/>
    <x v="70"/>
    <x v="63"/>
    <x v="63"/>
    <s v="CHARGES"/>
    <x v="0"/>
    <s v="3212.004"/>
    <s v="Intérêts rémun./perçu trop tôt sur acomptes C/C"/>
    <n v="16.739999999999998"/>
    <n v="0"/>
    <n v="3212"/>
  </r>
  <r>
    <x v="1"/>
    <x v="5"/>
    <x v="1"/>
    <x v="70"/>
    <x v="63"/>
    <x v="63"/>
    <s v="CHARGES"/>
    <x v="0"/>
    <s v="3221.002"/>
    <s v="Intérêts compensatoires / créances en faveur ctb."/>
    <n v="56.2"/>
    <n v="0"/>
    <n v="3221"/>
  </r>
  <r>
    <x v="1"/>
    <x v="5"/>
    <x v="1"/>
    <x v="70"/>
    <x v="63"/>
    <x v="63"/>
    <s v="CHARGES"/>
    <x v="1"/>
    <s v="3301.006"/>
    <s v="Abandon de solde PM"/>
    <n v="10.81"/>
    <n v="0"/>
    <n v="3301"/>
  </r>
  <r>
    <x v="1"/>
    <x v="5"/>
    <x v="1"/>
    <x v="70"/>
    <x v="63"/>
    <x v="63"/>
    <s v="REVENUS"/>
    <x v="17"/>
    <s v="4011.002"/>
    <s v="Complément impôt bénéfice ordinaire"/>
    <n v="0"/>
    <n v="55.1"/>
    <n v="4011"/>
  </r>
  <r>
    <x v="1"/>
    <x v="5"/>
    <x v="1"/>
    <x v="70"/>
    <x v="63"/>
    <x v="63"/>
    <s v="REVENUS"/>
    <x v="17"/>
    <s v="4011.001"/>
    <s v="Impôt bénéfice ordinaire"/>
    <n v="0"/>
    <n v="32318"/>
    <n v="4011"/>
  </r>
  <r>
    <x v="1"/>
    <x v="5"/>
    <x v="1"/>
    <x v="70"/>
    <x v="63"/>
    <x v="63"/>
    <s v="REVENUS"/>
    <x v="16"/>
    <s v="4012.001"/>
    <s v="Impôt capital ordinaire"/>
    <n v="0"/>
    <n v="323.25"/>
    <n v="4012"/>
  </r>
  <r>
    <x v="1"/>
    <x v="5"/>
    <x v="1"/>
    <x v="70"/>
    <x v="63"/>
    <x v="63"/>
    <s v="REVENUS"/>
    <x v="16"/>
    <s v="4012.007"/>
    <s v="Acompte sur capital"/>
    <n v="0"/>
    <n v="154.85"/>
    <n v="4012"/>
  </r>
  <r>
    <x v="1"/>
    <x v="5"/>
    <x v="1"/>
    <x v="70"/>
    <x v="63"/>
    <x v="63"/>
    <s v="REVENUS"/>
    <x v="17"/>
    <s v="4011.007"/>
    <s v="Acompte sur bénéfice"/>
    <n v="0"/>
    <n v="-3593.35"/>
    <n v="4011"/>
  </r>
  <r>
    <x v="1"/>
    <x v="5"/>
    <x v="1"/>
    <x v="70"/>
    <x v="63"/>
    <x v="63"/>
    <s v="REVENUS"/>
    <x v="6"/>
    <s v="4221.001"/>
    <s v="Intérêts compensat. / créances en faveur du fisc"/>
    <n v="0"/>
    <n v="6.18"/>
    <n v="4221"/>
  </r>
  <r>
    <x v="1"/>
    <x v="5"/>
    <x v="1"/>
    <x v="70"/>
    <x v="63"/>
    <x v="63"/>
    <s v="REVENUS"/>
    <x v="11"/>
    <s v="4198.001"/>
    <s v="Impôt foncier"/>
    <n v="0"/>
    <n v="11907"/>
    <n v="4198"/>
  </r>
  <r>
    <x v="1"/>
    <x v="5"/>
    <x v="1"/>
    <x v="70"/>
    <x v="63"/>
    <x v="63"/>
    <s v="REVENUS"/>
    <x v="6"/>
    <s v="4211.002"/>
    <s v="Intérêts de retard sur acomptes"/>
    <n v="0"/>
    <n v="4"/>
    <n v="4211"/>
  </r>
  <r>
    <x v="1"/>
    <x v="5"/>
    <x v="1"/>
    <x v="70"/>
    <x v="63"/>
    <x v="63"/>
    <s v="REVENUS"/>
    <x v="6"/>
    <s v="4211.001"/>
    <s v="Intérêts de retard sur factures"/>
    <n v="0"/>
    <n v="0.38"/>
    <n v="4211"/>
  </r>
  <r>
    <x v="1"/>
    <x v="5"/>
    <x v="1"/>
    <x v="71"/>
    <x v="64"/>
    <x v="64"/>
    <s v="CHARGES"/>
    <x v="0"/>
    <s v="3212.004"/>
    <s v="Intérêts rémun./perçu trop tôt sur acomptes C/C"/>
    <n v="1.76"/>
    <n v="0"/>
    <n v="3212"/>
  </r>
  <r>
    <x v="1"/>
    <x v="5"/>
    <x v="1"/>
    <x v="71"/>
    <x v="64"/>
    <x v="64"/>
    <s v="CHARGES"/>
    <x v="0"/>
    <s v="3221.002"/>
    <s v="Intérêts compensatoires / créances en faveur ctb."/>
    <n v="1.66"/>
    <n v="0"/>
    <n v="3221"/>
  </r>
  <r>
    <x v="1"/>
    <x v="5"/>
    <x v="1"/>
    <x v="71"/>
    <x v="64"/>
    <x v="64"/>
    <s v="CHARGES"/>
    <x v="0"/>
    <s v="3212.002"/>
    <s v="Intérêts bonifiés/trop perçu acompte C/C"/>
    <n v="0.01"/>
    <n v="0"/>
    <n v="3212"/>
  </r>
  <r>
    <x v="1"/>
    <x v="5"/>
    <x v="1"/>
    <x v="71"/>
    <x v="64"/>
    <x v="64"/>
    <s v="CHARGES"/>
    <x v="1"/>
    <s v="3301.006"/>
    <s v="Abandon de solde PM"/>
    <n v="2.77"/>
    <n v="0"/>
    <n v="3301"/>
  </r>
  <r>
    <x v="1"/>
    <x v="5"/>
    <x v="1"/>
    <x v="71"/>
    <x v="64"/>
    <x v="64"/>
    <s v="CHARGES"/>
    <x v="1"/>
    <s v="3301.002"/>
    <s v="Défalcation PM"/>
    <n v="854.93"/>
    <n v="0"/>
    <n v="3301"/>
  </r>
  <r>
    <x v="1"/>
    <x v="5"/>
    <x v="1"/>
    <x v="71"/>
    <x v="64"/>
    <x v="64"/>
    <s v="REVENUS"/>
    <x v="17"/>
    <s v="4011.001"/>
    <s v="Impôt bénéfice ordinaire"/>
    <n v="0"/>
    <n v="8316.5"/>
    <n v="4011"/>
  </r>
  <r>
    <x v="1"/>
    <x v="5"/>
    <x v="1"/>
    <x v="71"/>
    <x v="64"/>
    <x v="64"/>
    <s v="REVENUS"/>
    <x v="17"/>
    <s v="4011.007"/>
    <s v="Acompte sur bénéfice"/>
    <n v="0"/>
    <n v="-2989.1"/>
    <n v="4011"/>
  </r>
  <r>
    <x v="1"/>
    <x v="5"/>
    <x v="1"/>
    <x v="71"/>
    <x v="64"/>
    <x v="64"/>
    <s v="REVENUS"/>
    <x v="17"/>
    <s v="4011.002"/>
    <s v="Complément impôt bénéfice ordinaire"/>
    <n v="0"/>
    <n v="392.25"/>
    <n v="4011"/>
  </r>
  <r>
    <x v="1"/>
    <x v="5"/>
    <x v="1"/>
    <x v="71"/>
    <x v="64"/>
    <x v="64"/>
    <s v="REVENUS"/>
    <x v="6"/>
    <s v="4211.001"/>
    <s v="Intérêts de retard sur factures"/>
    <n v="0"/>
    <n v="1.18"/>
    <n v="4211"/>
  </r>
  <r>
    <x v="1"/>
    <x v="5"/>
    <x v="1"/>
    <x v="71"/>
    <x v="64"/>
    <x v="64"/>
    <s v="REVENUS"/>
    <x v="6"/>
    <s v="4221.001"/>
    <s v="Intérêts compensat. / créances en faveur du fisc"/>
    <n v="0"/>
    <n v="2.98"/>
    <n v="4221"/>
  </r>
  <r>
    <x v="1"/>
    <x v="5"/>
    <x v="1"/>
    <x v="71"/>
    <x v="64"/>
    <x v="64"/>
    <s v="REVENUS"/>
    <x v="16"/>
    <s v="4012.001"/>
    <s v="Impôt capital ordinaire"/>
    <n v="0"/>
    <n v="279.35000000000002"/>
    <n v="4012"/>
  </r>
  <r>
    <x v="1"/>
    <x v="5"/>
    <x v="1"/>
    <x v="71"/>
    <x v="64"/>
    <x v="64"/>
    <s v="REVENUS"/>
    <x v="6"/>
    <s v="4211.002"/>
    <s v="Intérêts de retard sur acomptes"/>
    <n v="0"/>
    <n v="3.55"/>
    <n v="4211"/>
  </r>
  <r>
    <x v="1"/>
    <x v="5"/>
    <x v="1"/>
    <x v="71"/>
    <x v="64"/>
    <x v="64"/>
    <s v="REVENUS"/>
    <x v="16"/>
    <s v="4012.007"/>
    <s v="Acompte sur capital"/>
    <n v="0"/>
    <n v="311.75"/>
    <n v="4012"/>
  </r>
  <r>
    <x v="1"/>
    <x v="5"/>
    <x v="1"/>
    <x v="71"/>
    <x v="64"/>
    <x v="64"/>
    <s v="REVENUS"/>
    <x v="7"/>
    <s v="4184.000"/>
    <s v="Frais de poursuite"/>
    <n v="0"/>
    <n v="0.84"/>
    <n v="4184"/>
  </r>
  <r>
    <x v="1"/>
    <x v="5"/>
    <x v="1"/>
    <x v="71"/>
    <x v="64"/>
    <x v="64"/>
    <s v="REVENUS"/>
    <x v="11"/>
    <s v="4198.001"/>
    <s v="Impôt foncier"/>
    <n v="0"/>
    <n v="2473.1999999999998"/>
    <n v="4198"/>
  </r>
  <r>
    <x v="1"/>
    <x v="5"/>
    <x v="1"/>
    <x v="71"/>
    <x v="64"/>
    <x v="64"/>
    <s v="REVENUS"/>
    <x v="18"/>
    <s v="4013.001"/>
    <s v="Impôt complémentaire sur immeubles"/>
    <n v="0"/>
    <n v="469.95"/>
    <n v="4013"/>
  </r>
  <r>
    <x v="1"/>
    <x v="4"/>
    <x v="4"/>
    <x v="72"/>
    <x v="65"/>
    <x v="65"/>
    <s v="CHARGES"/>
    <x v="0"/>
    <s v="3221.002"/>
    <s v="Intérêts compensatoires / créances en faveur ctb."/>
    <n v="39.5"/>
    <n v="0"/>
    <n v="3221"/>
  </r>
  <r>
    <x v="1"/>
    <x v="4"/>
    <x v="4"/>
    <x v="72"/>
    <x v="65"/>
    <x v="65"/>
    <s v="CHARGES"/>
    <x v="1"/>
    <s v="3301.006"/>
    <s v="Abandon de solde PM"/>
    <n v="44.49"/>
    <n v="0"/>
    <n v="3301"/>
  </r>
  <r>
    <x v="1"/>
    <x v="4"/>
    <x v="4"/>
    <x v="72"/>
    <x v="65"/>
    <x v="65"/>
    <s v="CHARGES"/>
    <x v="0"/>
    <s v="3212.002"/>
    <s v="Intérêts bonifiés/trop perçu acompte C/C"/>
    <n v="0.05"/>
    <n v="0"/>
    <n v="3212"/>
  </r>
  <r>
    <x v="1"/>
    <x v="4"/>
    <x v="4"/>
    <x v="72"/>
    <x v="65"/>
    <x v="65"/>
    <s v="CHARGES"/>
    <x v="0"/>
    <s v="3212.004"/>
    <s v="Intérêts rémun./perçu trop tôt sur acomptes C/C"/>
    <n v="52.05"/>
    <n v="0"/>
    <n v="3212"/>
  </r>
  <r>
    <x v="1"/>
    <x v="4"/>
    <x v="4"/>
    <x v="72"/>
    <x v="65"/>
    <x v="65"/>
    <s v="REVENUS"/>
    <x v="17"/>
    <s v="4011.007"/>
    <s v="Acompte sur bénéfice"/>
    <n v="0"/>
    <n v="-11414.8"/>
    <n v="4011"/>
  </r>
  <r>
    <x v="1"/>
    <x v="4"/>
    <x v="4"/>
    <x v="72"/>
    <x v="65"/>
    <x v="65"/>
    <s v="REVENUS"/>
    <x v="17"/>
    <s v="4011.001"/>
    <s v="Impôt bénéfice ordinaire"/>
    <n v="0"/>
    <n v="44410.65"/>
    <n v="4011"/>
  </r>
  <r>
    <x v="1"/>
    <x v="4"/>
    <x v="4"/>
    <x v="72"/>
    <x v="65"/>
    <x v="65"/>
    <s v="REVENUS"/>
    <x v="17"/>
    <s v="4011.002"/>
    <s v="Complément impôt bénéfice ordinaire"/>
    <n v="0"/>
    <n v="2203"/>
    <n v="4011"/>
  </r>
  <r>
    <x v="1"/>
    <x v="4"/>
    <x v="4"/>
    <x v="72"/>
    <x v="65"/>
    <x v="65"/>
    <s v="REVENUS"/>
    <x v="6"/>
    <s v="4211.001"/>
    <s v="Intérêts de retard sur factures"/>
    <n v="0"/>
    <n v="5.23"/>
    <n v="4211"/>
  </r>
  <r>
    <x v="1"/>
    <x v="4"/>
    <x v="4"/>
    <x v="72"/>
    <x v="65"/>
    <x v="65"/>
    <s v="REVENUS"/>
    <x v="6"/>
    <s v="4221.001"/>
    <s v="Intérêts compensat. / créances en faveur du fisc"/>
    <n v="0"/>
    <n v="20.62"/>
    <n v="4221"/>
  </r>
  <r>
    <x v="1"/>
    <x v="4"/>
    <x v="4"/>
    <x v="72"/>
    <x v="65"/>
    <x v="65"/>
    <s v="REVENUS"/>
    <x v="16"/>
    <s v="4012.001"/>
    <s v="Impôt capital ordinaire"/>
    <n v="0"/>
    <n v="348.6"/>
    <n v="4012"/>
  </r>
  <r>
    <x v="1"/>
    <x v="4"/>
    <x v="4"/>
    <x v="72"/>
    <x v="65"/>
    <x v="65"/>
    <s v="REVENUS"/>
    <x v="6"/>
    <s v="4211.002"/>
    <s v="Intérêts de retard sur acomptes"/>
    <n v="0"/>
    <n v="14.7"/>
    <n v="4211"/>
  </r>
  <r>
    <x v="1"/>
    <x v="4"/>
    <x v="4"/>
    <x v="72"/>
    <x v="65"/>
    <x v="65"/>
    <s v="REVENUS"/>
    <x v="10"/>
    <s v="4041.001"/>
    <s v="Droits de mutation"/>
    <n v="0"/>
    <n v="87122"/>
    <n v="4041"/>
  </r>
  <r>
    <x v="1"/>
    <x v="4"/>
    <x v="4"/>
    <x v="72"/>
    <x v="65"/>
    <x v="65"/>
    <s v="REVENUS"/>
    <x v="16"/>
    <s v="4012.007"/>
    <s v="Acompte sur capital"/>
    <n v="0"/>
    <n v="178.05"/>
    <n v="4012"/>
  </r>
  <r>
    <x v="1"/>
    <x v="4"/>
    <x v="4"/>
    <x v="72"/>
    <x v="65"/>
    <x v="65"/>
    <s v="REVENUS"/>
    <x v="18"/>
    <s v="4013.003"/>
    <s v="Remboursement impôt complémentaire sur immeubles"/>
    <n v="0"/>
    <n v="-78.400000000000006"/>
    <n v="4013"/>
  </r>
  <r>
    <x v="1"/>
    <x v="4"/>
    <x v="4"/>
    <x v="72"/>
    <x v="65"/>
    <x v="65"/>
    <s v="REVENUS"/>
    <x v="11"/>
    <s v="4198.001"/>
    <s v="Impôt foncier"/>
    <n v="0"/>
    <n v="8221"/>
    <n v="4198"/>
  </r>
  <r>
    <x v="1"/>
    <x v="4"/>
    <x v="4"/>
    <x v="73"/>
    <x v="66"/>
    <x v="66"/>
    <s v="CHARGES"/>
    <x v="0"/>
    <s v="3221.002"/>
    <s v="Intérêts compensatoires / créances en faveur ctb."/>
    <n v="120.87"/>
    <n v="0"/>
    <n v="3221"/>
  </r>
  <r>
    <x v="1"/>
    <x v="4"/>
    <x v="4"/>
    <x v="73"/>
    <x v="66"/>
    <x v="66"/>
    <s v="CHARGES"/>
    <x v="1"/>
    <s v="3301.006"/>
    <s v="Abandon de solde PM"/>
    <n v="38.71"/>
    <n v="0"/>
    <n v="3301"/>
  </r>
  <r>
    <x v="1"/>
    <x v="4"/>
    <x v="4"/>
    <x v="73"/>
    <x v="66"/>
    <x v="66"/>
    <s v="CHARGES"/>
    <x v="0"/>
    <s v="3212.004"/>
    <s v="Intérêts rémun./perçu trop tôt sur acomptes C/C"/>
    <n v="174.29"/>
    <n v="0"/>
    <n v="3212"/>
  </r>
  <r>
    <x v="1"/>
    <x v="4"/>
    <x v="4"/>
    <x v="73"/>
    <x v="66"/>
    <x v="66"/>
    <s v="CHARGES"/>
    <x v="0"/>
    <s v="3212.002"/>
    <s v="Intérêts bonifiés/trop perçu acompte C/C"/>
    <n v="0.03"/>
    <n v="0"/>
    <n v="3212"/>
  </r>
  <r>
    <x v="1"/>
    <x v="4"/>
    <x v="4"/>
    <x v="73"/>
    <x v="66"/>
    <x v="66"/>
    <s v="CHARGES"/>
    <x v="1"/>
    <s v="3301.002"/>
    <s v="Défalcation PM"/>
    <n v="1906.22"/>
    <n v="0"/>
    <n v="3301"/>
  </r>
  <r>
    <x v="1"/>
    <x v="4"/>
    <x v="4"/>
    <x v="73"/>
    <x v="66"/>
    <x v="66"/>
    <s v="REVENUS"/>
    <x v="17"/>
    <s v="4011.007"/>
    <s v="Acompte sur bénéfice"/>
    <n v="0"/>
    <n v="231894.39999999999"/>
    <n v="4011"/>
  </r>
  <r>
    <x v="1"/>
    <x v="4"/>
    <x v="4"/>
    <x v="73"/>
    <x v="66"/>
    <x v="66"/>
    <s v="REVENUS"/>
    <x v="16"/>
    <s v="4012.007"/>
    <s v="Acompte sur capital"/>
    <n v="0"/>
    <n v="-10434.75"/>
    <n v="4012"/>
  </r>
  <r>
    <x v="1"/>
    <x v="4"/>
    <x v="4"/>
    <x v="73"/>
    <x v="66"/>
    <x v="66"/>
    <s v="REVENUS"/>
    <x v="17"/>
    <s v="4011.001"/>
    <s v="Impôt bénéfice ordinaire"/>
    <n v="0"/>
    <n v="961825.8"/>
    <n v="4011"/>
  </r>
  <r>
    <x v="1"/>
    <x v="4"/>
    <x v="4"/>
    <x v="73"/>
    <x v="66"/>
    <x v="66"/>
    <s v="REVENUS"/>
    <x v="17"/>
    <s v="4011.002"/>
    <s v="Complément impôt bénéfice ordinaire"/>
    <n v="0"/>
    <n v="6492.9"/>
    <n v="4011"/>
  </r>
  <r>
    <x v="1"/>
    <x v="4"/>
    <x v="4"/>
    <x v="73"/>
    <x v="66"/>
    <x v="66"/>
    <s v="REVENUS"/>
    <x v="6"/>
    <s v="4211.001"/>
    <s v="Intérêts de retard sur factures"/>
    <n v="0"/>
    <n v="222.21"/>
    <n v="4211"/>
  </r>
  <r>
    <x v="1"/>
    <x v="4"/>
    <x v="4"/>
    <x v="73"/>
    <x v="66"/>
    <x v="66"/>
    <s v="REVENUS"/>
    <x v="6"/>
    <s v="4221.001"/>
    <s v="Intérêts compensat. / créances en faveur du fisc"/>
    <n v="0"/>
    <n v="41.54"/>
    <n v="4221"/>
  </r>
  <r>
    <x v="1"/>
    <x v="4"/>
    <x v="4"/>
    <x v="73"/>
    <x v="66"/>
    <x v="66"/>
    <s v="REVENUS"/>
    <x v="16"/>
    <s v="4012.001"/>
    <s v="Impôt capital ordinaire"/>
    <n v="0"/>
    <n v="2776.85"/>
    <n v="4012"/>
  </r>
  <r>
    <x v="1"/>
    <x v="4"/>
    <x v="4"/>
    <x v="73"/>
    <x v="66"/>
    <x v="66"/>
    <s v="REVENUS"/>
    <x v="6"/>
    <s v="4211.002"/>
    <s v="Intérêts de retard sur acomptes"/>
    <n v="0"/>
    <n v="286.75"/>
    <n v="4211"/>
  </r>
  <r>
    <x v="1"/>
    <x v="4"/>
    <x v="4"/>
    <x v="73"/>
    <x v="66"/>
    <x v="66"/>
    <s v="REVENUS"/>
    <x v="10"/>
    <s v="4041.001"/>
    <s v="Droits de mutation"/>
    <n v="0"/>
    <n v="1093.4000000000001"/>
    <n v="4041"/>
  </r>
  <r>
    <x v="1"/>
    <x v="4"/>
    <x v="4"/>
    <x v="73"/>
    <x v="66"/>
    <x v="66"/>
    <s v="REVENUS"/>
    <x v="16"/>
    <s v="4012.002"/>
    <s v="Complément impôt capital ordinaire"/>
    <n v="0"/>
    <n v="30.75"/>
    <n v="4012"/>
  </r>
  <r>
    <x v="1"/>
    <x v="4"/>
    <x v="4"/>
    <x v="73"/>
    <x v="66"/>
    <x v="66"/>
    <s v="REVENUS"/>
    <x v="18"/>
    <s v="4013.001"/>
    <s v="Impôt complémentaire sur immeubles"/>
    <n v="0"/>
    <n v="34894.550000000003"/>
    <n v="4013"/>
  </r>
  <r>
    <x v="1"/>
    <x v="4"/>
    <x v="4"/>
    <x v="73"/>
    <x v="66"/>
    <x v="66"/>
    <s v="REVENUS"/>
    <x v="11"/>
    <s v="4198.001"/>
    <s v="Impôt foncier"/>
    <n v="0"/>
    <n v="124777.45"/>
    <n v="4198"/>
  </r>
  <r>
    <x v="1"/>
    <x v="4"/>
    <x v="4"/>
    <x v="74"/>
    <x v="67"/>
    <x v="67"/>
    <s v="CHARGES"/>
    <x v="1"/>
    <s v="3301.006"/>
    <s v="Abandon de solde PM"/>
    <n v="32.369999999999997"/>
    <n v="0"/>
    <n v="3301"/>
  </r>
  <r>
    <x v="1"/>
    <x v="4"/>
    <x v="4"/>
    <x v="74"/>
    <x v="67"/>
    <x v="67"/>
    <s v="CHARGES"/>
    <x v="0"/>
    <s v="3221.002"/>
    <s v="Intérêts compensatoires / créances en faveur ctb."/>
    <n v="203.87"/>
    <n v="0"/>
    <n v="3221"/>
  </r>
  <r>
    <x v="1"/>
    <x v="4"/>
    <x v="4"/>
    <x v="74"/>
    <x v="67"/>
    <x v="67"/>
    <s v="CHARGES"/>
    <x v="0"/>
    <s v="3212.004"/>
    <s v="Intérêts rémun./perçu trop tôt sur acomptes C/C"/>
    <n v="472.73"/>
    <n v="0"/>
    <n v="3212"/>
  </r>
  <r>
    <x v="1"/>
    <x v="4"/>
    <x v="4"/>
    <x v="74"/>
    <x v="67"/>
    <x v="67"/>
    <s v="CHARGES"/>
    <x v="0"/>
    <s v="3212.002"/>
    <s v="Intérêts bonifiés/trop perçu acompte C/C"/>
    <n v="0.09"/>
    <n v="0"/>
    <n v="3212"/>
  </r>
  <r>
    <x v="1"/>
    <x v="4"/>
    <x v="4"/>
    <x v="74"/>
    <x v="67"/>
    <x v="67"/>
    <s v="REVENUS"/>
    <x v="17"/>
    <s v="4011.007"/>
    <s v="Acompte sur bénéfice"/>
    <n v="0"/>
    <n v="-198617.55"/>
    <n v="4011"/>
  </r>
  <r>
    <x v="1"/>
    <x v="4"/>
    <x v="4"/>
    <x v="74"/>
    <x v="67"/>
    <x v="67"/>
    <s v="REVENUS"/>
    <x v="16"/>
    <s v="4012.001"/>
    <s v="Impôt capital ordinaire"/>
    <n v="0"/>
    <n v="3939.65"/>
    <n v="4012"/>
  </r>
  <r>
    <x v="1"/>
    <x v="4"/>
    <x v="4"/>
    <x v="74"/>
    <x v="67"/>
    <x v="67"/>
    <s v="REVENUS"/>
    <x v="6"/>
    <s v="4211.002"/>
    <s v="Intérêts de retard sur acomptes"/>
    <n v="0"/>
    <n v="1195.5899999999999"/>
    <n v="4211"/>
  </r>
  <r>
    <x v="1"/>
    <x v="4"/>
    <x v="4"/>
    <x v="74"/>
    <x v="67"/>
    <x v="67"/>
    <s v="REVENUS"/>
    <x v="17"/>
    <s v="4011.001"/>
    <s v="Impôt bénéfice ordinaire"/>
    <n v="0"/>
    <n v="384743.8"/>
    <n v="4011"/>
  </r>
  <r>
    <x v="1"/>
    <x v="4"/>
    <x v="4"/>
    <x v="74"/>
    <x v="67"/>
    <x v="67"/>
    <s v="REVENUS"/>
    <x v="17"/>
    <s v="4011.002"/>
    <s v="Complément impôt bénéfice ordinaire"/>
    <n v="0"/>
    <n v="2989.1"/>
    <n v="4011"/>
  </r>
  <r>
    <x v="1"/>
    <x v="4"/>
    <x v="4"/>
    <x v="74"/>
    <x v="67"/>
    <x v="67"/>
    <s v="REVENUS"/>
    <x v="6"/>
    <s v="4211.001"/>
    <s v="Intérêts de retard sur factures"/>
    <n v="0"/>
    <n v="2.84"/>
    <n v="4211"/>
  </r>
  <r>
    <x v="1"/>
    <x v="4"/>
    <x v="4"/>
    <x v="74"/>
    <x v="67"/>
    <x v="67"/>
    <s v="REVENUS"/>
    <x v="6"/>
    <s v="4221.001"/>
    <s v="Intérêts compensat. / créances en faveur du fisc"/>
    <n v="0"/>
    <n v="8.02"/>
    <n v="4221"/>
  </r>
  <r>
    <x v="1"/>
    <x v="4"/>
    <x v="4"/>
    <x v="74"/>
    <x v="67"/>
    <x v="67"/>
    <s v="REVENUS"/>
    <x v="16"/>
    <s v="4012.007"/>
    <s v="Acompte sur capital"/>
    <n v="0"/>
    <n v="1010.25"/>
    <n v="4012"/>
  </r>
  <r>
    <x v="1"/>
    <x v="4"/>
    <x v="4"/>
    <x v="74"/>
    <x v="67"/>
    <x v="67"/>
    <s v="REVENUS"/>
    <x v="16"/>
    <s v="4012.002"/>
    <s v="Complément impôt capital ordinaire"/>
    <n v="0"/>
    <n v="15.75"/>
    <n v="4012"/>
  </r>
  <r>
    <x v="1"/>
    <x v="4"/>
    <x v="4"/>
    <x v="74"/>
    <x v="67"/>
    <x v="67"/>
    <s v="REVENUS"/>
    <x v="10"/>
    <s v="4041.001"/>
    <s v="Droits de mutation"/>
    <n v="0"/>
    <n v="19767"/>
    <n v="4041"/>
  </r>
  <r>
    <x v="1"/>
    <x v="4"/>
    <x v="4"/>
    <x v="74"/>
    <x v="67"/>
    <x v="67"/>
    <s v="REVENUS"/>
    <x v="18"/>
    <s v="4013.003"/>
    <s v="Remboursement impôt complémentaire sur immeubles"/>
    <n v="0"/>
    <n v="-163"/>
    <n v="4013"/>
  </r>
  <r>
    <x v="1"/>
    <x v="4"/>
    <x v="4"/>
    <x v="74"/>
    <x v="67"/>
    <x v="67"/>
    <s v="REVENUS"/>
    <x v="18"/>
    <s v="4013.001"/>
    <s v="Impôt complémentaire sur immeubles"/>
    <n v="0"/>
    <n v="6469.55"/>
    <n v="4013"/>
  </r>
  <r>
    <x v="1"/>
    <x v="4"/>
    <x v="4"/>
    <x v="75"/>
    <x v="68"/>
    <x v="68"/>
    <s v="CHARGES"/>
    <x v="0"/>
    <s v="3221.002"/>
    <s v="Intérêts compensatoires / créances en faveur ctb."/>
    <n v="80.510000000000005"/>
    <n v="0"/>
    <n v="3221"/>
  </r>
  <r>
    <x v="1"/>
    <x v="4"/>
    <x v="4"/>
    <x v="75"/>
    <x v="68"/>
    <x v="68"/>
    <s v="CHARGES"/>
    <x v="0"/>
    <s v="3212.004"/>
    <s v="Intérêts rémun./perçu trop tôt sur acomptes C/C"/>
    <n v="50.07"/>
    <n v="0"/>
    <n v="3212"/>
  </r>
  <r>
    <x v="1"/>
    <x v="4"/>
    <x v="4"/>
    <x v="75"/>
    <x v="68"/>
    <x v="68"/>
    <s v="CHARGES"/>
    <x v="1"/>
    <s v="3301.002"/>
    <s v="Défalcation PM"/>
    <n v="714.01"/>
    <n v="0"/>
    <n v="3301"/>
  </r>
  <r>
    <x v="1"/>
    <x v="4"/>
    <x v="4"/>
    <x v="75"/>
    <x v="68"/>
    <x v="68"/>
    <s v="CHARGES"/>
    <x v="1"/>
    <s v="3301.006"/>
    <s v="Abandon de solde PM"/>
    <n v="19.59"/>
    <n v="0"/>
    <n v="3301"/>
  </r>
  <r>
    <x v="1"/>
    <x v="4"/>
    <x v="4"/>
    <x v="75"/>
    <x v="68"/>
    <x v="68"/>
    <s v="CHARGES"/>
    <x v="0"/>
    <s v="3212.002"/>
    <s v="Intérêts bonifiés/trop perçu acompte C/C"/>
    <n v="0.09"/>
    <n v="0"/>
    <n v="3212"/>
  </r>
  <r>
    <x v="1"/>
    <x v="4"/>
    <x v="4"/>
    <x v="75"/>
    <x v="68"/>
    <x v="68"/>
    <s v="REVENUS"/>
    <x v="6"/>
    <s v="4211.001"/>
    <s v="Intérêts de retard sur factures"/>
    <n v="0"/>
    <n v="29.56"/>
    <n v="4211"/>
  </r>
  <r>
    <x v="1"/>
    <x v="4"/>
    <x v="4"/>
    <x v="75"/>
    <x v="68"/>
    <x v="68"/>
    <s v="REVENUS"/>
    <x v="17"/>
    <s v="4011.001"/>
    <s v="Impôt bénéfice ordinaire"/>
    <n v="0"/>
    <n v="68406.7"/>
    <n v="4011"/>
  </r>
  <r>
    <x v="1"/>
    <x v="4"/>
    <x v="4"/>
    <x v="75"/>
    <x v="68"/>
    <x v="68"/>
    <s v="REVENUS"/>
    <x v="17"/>
    <s v="4011.007"/>
    <s v="Acompte sur bénéfice"/>
    <n v="0"/>
    <n v="-39009.699999999997"/>
    <n v="4011"/>
  </r>
  <r>
    <x v="1"/>
    <x v="4"/>
    <x v="4"/>
    <x v="75"/>
    <x v="68"/>
    <x v="68"/>
    <s v="REVENUS"/>
    <x v="6"/>
    <s v="4211.002"/>
    <s v="Intérêts de retard sur acomptes"/>
    <n v="0"/>
    <n v="208.06"/>
    <n v="4211"/>
  </r>
  <r>
    <x v="1"/>
    <x v="4"/>
    <x v="4"/>
    <x v="75"/>
    <x v="68"/>
    <x v="68"/>
    <s v="REVENUS"/>
    <x v="17"/>
    <s v="4011.002"/>
    <s v="Complément impôt bénéfice ordinaire"/>
    <n v="0"/>
    <n v="2269.1"/>
    <n v="4011"/>
  </r>
  <r>
    <x v="1"/>
    <x v="4"/>
    <x v="4"/>
    <x v="75"/>
    <x v="68"/>
    <x v="68"/>
    <s v="REVENUS"/>
    <x v="16"/>
    <s v="4012.007"/>
    <s v="Acompte sur capital"/>
    <n v="0"/>
    <n v="2379.5"/>
    <n v="4012"/>
  </r>
  <r>
    <x v="1"/>
    <x v="4"/>
    <x v="4"/>
    <x v="75"/>
    <x v="68"/>
    <x v="68"/>
    <s v="REVENUS"/>
    <x v="16"/>
    <s v="4012.001"/>
    <s v="Impôt capital ordinaire"/>
    <n v="0"/>
    <n v="1248.45"/>
    <n v="4012"/>
  </r>
  <r>
    <x v="1"/>
    <x v="4"/>
    <x v="4"/>
    <x v="75"/>
    <x v="68"/>
    <x v="68"/>
    <s v="REVENUS"/>
    <x v="7"/>
    <s v="4184.000"/>
    <s v="Frais de poursuite"/>
    <n v="0"/>
    <n v="72.040000000000006"/>
    <n v="4184"/>
  </r>
  <r>
    <x v="1"/>
    <x v="4"/>
    <x v="4"/>
    <x v="75"/>
    <x v="68"/>
    <x v="68"/>
    <s v="REVENUS"/>
    <x v="6"/>
    <s v="4221.001"/>
    <s v="Intérêts compensat. / créances en faveur du fisc"/>
    <n v="0"/>
    <n v="5.17"/>
    <n v="4221"/>
  </r>
  <r>
    <x v="1"/>
    <x v="4"/>
    <x v="4"/>
    <x v="75"/>
    <x v="68"/>
    <x v="68"/>
    <s v="REVENUS"/>
    <x v="18"/>
    <s v="4013.003"/>
    <s v="Remboursement impôt complémentaire sur immeubles"/>
    <n v="0"/>
    <n v="-139.5"/>
    <n v="4013"/>
  </r>
  <r>
    <x v="1"/>
    <x v="4"/>
    <x v="4"/>
    <x v="75"/>
    <x v="68"/>
    <x v="68"/>
    <s v="REVENUS"/>
    <x v="18"/>
    <s v="4013.001"/>
    <s v="Impôt complémentaire sur immeubles"/>
    <n v="0"/>
    <n v="10080.6"/>
    <n v="4013"/>
  </r>
  <r>
    <x v="1"/>
    <x v="4"/>
    <x v="4"/>
    <x v="75"/>
    <x v="68"/>
    <x v="68"/>
    <s v="REVENUS"/>
    <x v="8"/>
    <s v="4091.001"/>
    <s v="Impôt récupéré après défalcations"/>
    <n v="0"/>
    <n v="714.01"/>
    <n v="4091"/>
  </r>
  <r>
    <x v="1"/>
    <x v="4"/>
    <x v="4"/>
    <x v="76"/>
    <x v="69"/>
    <x v="69"/>
    <s v="CHARGES"/>
    <x v="0"/>
    <s v="3221.002"/>
    <s v="Intérêts compensatoires / créances en faveur ctb."/>
    <n v="145.66"/>
    <n v="0"/>
    <n v="3221"/>
  </r>
  <r>
    <x v="1"/>
    <x v="4"/>
    <x v="4"/>
    <x v="76"/>
    <x v="69"/>
    <x v="69"/>
    <s v="CHARGES"/>
    <x v="0"/>
    <s v="3212.004"/>
    <s v="Intérêts rémun./perçu trop tôt sur acomptes C/C"/>
    <n v="78.489999999999995"/>
    <n v="0"/>
    <n v="3212"/>
  </r>
  <r>
    <x v="1"/>
    <x v="4"/>
    <x v="4"/>
    <x v="76"/>
    <x v="69"/>
    <x v="69"/>
    <s v="CHARGES"/>
    <x v="1"/>
    <s v="3301.006"/>
    <s v="Abandon de solde PM"/>
    <n v="12.12"/>
    <n v="0"/>
    <n v="3301"/>
  </r>
  <r>
    <x v="1"/>
    <x v="4"/>
    <x v="4"/>
    <x v="76"/>
    <x v="69"/>
    <x v="69"/>
    <s v="REVENUS"/>
    <x v="17"/>
    <s v="4011.001"/>
    <s v="Impôt bénéfice ordinaire"/>
    <n v="0"/>
    <n v="460531.1"/>
    <n v="4011"/>
  </r>
  <r>
    <x v="1"/>
    <x v="4"/>
    <x v="4"/>
    <x v="76"/>
    <x v="69"/>
    <x v="69"/>
    <s v="REVENUS"/>
    <x v="17"/>
    <s v="4011.002"/>
    <s v="Complément impôt bénéfice ordinaire"/>
    <n v="0"/>
    <n v="700.75"/>
    <n v="4011"/>
  </r>
  <r>
    <x v="1"/>
    <x v="4"/>
    <x v="4"/>
    <x v="76"/>
    <x v="69"/>
    <x v="69"/>
    <s v="REVENUS"/>
    <x v="6"/>
    <s v="4211.001"/>
    <s v="Intérêts de retard sur factures"/>
    <n v="0"/>
    <n v="1.82"/>
    <n v="4211"/>
  </r>
  <r>
    <x v="1"/>
    <x v="4"/>
    <x v="4"/>
    <x v="76"/>
    <x v="69"/>
    <x v="69"/>
    <s v="REVENUS"/>
    <x v="6"/>
    <s v="4221.001"/>
    <s v="Intérêts compensat. / créances en faveur du fisc"/>
    <n v="0"/>
    <n v="11.18"/>
    <n v="4221"/>
  </r>
  <r>
    <x v="1"/>
    <x v="4"/>
    <x v="4"/>
    <x v="76"/>
    <x v="69"/>
    <x v="69"/>
    <s v="REVENUS"/>
    <x v="16"/>
    <s v="4012.001"/>
    <s v="Impôt capital ordinaire"/>
    <n v="0"/>
    <n v="22803.200000000001"/>
    <n v="4012"/>
  </r>
  <r>
    <x v="1"/>
    <x v="4"/>
    <x v="4"/>
    <x v="76"/>
    <x v="69"/>
    <x v="69"/>
    <s v="REVENUS"/>
    <x v="16"/>
    <s v="4012.007"/>
    <s v="Acompte sur capital"/>
    <n v="0"/>
    <n v="-8816.65"/>
    <n v="4012"/>
  </r>
  <r>
    <x v="1"/>
    <x v="4"/>
    <x v="4"/>
    <x v="76"/>
    <x v="69"/>
    <x v="69"/>
    <s v="REVENUS"/>
    <x v="6"/>
    <s v="4211.002"/>
    <s v="Intérêts de retard sur acomptes"/>
    <n v="0"/>
    <n v="1292.1500000000001"/>
    <n v="4211"/>
  </r>
  <r>
    <x v="1"/>
    <x v="4"/>
    <x v="4"/>
    <x v="76"/>
    <x v="69"/>
    <x v="69"/>
    <s v="REVENUS"/>
    <x v="17"/>
    <s v="4011.007"/>
    <s v="Acompte sur bénéfice"/>
    <n v="0"/>
    <n v="-184805.1"/>
    <n v="4011"/>
  </r>
  <r>
    <x v="1"/>
    <x v="4"/>
    <x v="4"/>
    <x v="76"/>
    <x v="69"/>
    <x v="69"/>
    <s v="REVENUS"/>
    <x v="18"/>
    <s v="4013.003"/>
    <s v="Remboursement impôt complémentaire sur immeubles"/>
    <n v="0"/>
    <n v="-115"/>
    <n v="4013"/>
  </r>
  <r>
    <x v="1"/>
    <x v="4"/>
    <x v="4"/>
    <x v="76"/>
    <x v="69"/>
    <x v="69"/>
    <s v="REVENUS"/>
    <x v="18"/>
    <s v="4013.001"/>
    <s v="Impôt complémentaire sur immeubles"/>
    <n v="0"/>
    <n v="10192.25"/>
    <n v="4013"/>
  </r>
  <r>
    <x v="1"/>
    <x v="4"/>
    <x v="4"/>
    <x v="76"/>
    <x v="69"/>
    <x v="69"/>
    <s v="REVENUS"/>
    <x v="11"/>
    <s v="4198.001"/>
    <s v="Impôt foncier"/>
    <n v="0"/>
    <n v="12476"/>
    <n v="4198"/>
  </r>
  <r>
    <x v="1"/>
    <x v="4"/>
    <x v="4"/>
    <x v="77"/>
    <x v="70"/>
    <x v="70"/>
    <s v="CHARGES"/>
    <x v="1"/>
    <s v="3301.006"/>
    <s v="Abandon de solde PM"/>
    <n v="6.21"/>
    <n v="0"/>
    <n v="3301"/>
  </r>
  <r>
    <x v="1"/>
    <x v="4"/>
    <x v="4"/>
    <x v="77"/>
    <x v="70"/>
    <x v="70"/>
    <s v="CHARGES"/>
    <x v="0"/>
    <s v="3212.004"/>
    <s v="Intérêts rémun./perçu trop tôt sur acomptes C/C"/>
    <n v="29.53"/>
    <n v="0"/>
    <n v="3212"/>
  </r>
  <r>
    <x v="1"/>
    <x v="4"/>
    <x v="4"/>
    <x v="77"/>
    <x v="70"/>
    <x v="70"/>
    <s v="CHARGES"/>
    <x v="0"/>
    <s v="3221.002"/>
    <s v="Intérêts compensatoires / créances en faveur ctb."/>
    <n v="39.020000000000003"/>
    <n v="0"/>
    <n v="3221"/>
  </r>
  <r>
    <x v="1"/>
    <x v="4"/>
    <x v="4"/>
    <x v="77"/>
    <x v="70"/>
    <x v="70"/>
    <s v="CHARGES"/>
    <x v="0"/>
    <s v="3212.002"/>
    <s v="Intérêts bonifiés/trop perçu acompte C/C"/>
    <n v="7.0000000000000007E-2"/>
    <n v="0"/>
    <n v="3212"/>
  </r>
  <r>
    <x v="1"/>
    <x v="4"/>
    <x v="4"/>
    <x v="77"/>
    <x v="70"/>
    <x v="70"/>
    <s v="REVENUS"/>
    <x v="16"/>
    <s v="4012.001"/>
    <s v="Impôt capital ordinaire"/>
    <n v="0"/>
    <n v="7693.1"/>
    <n v="4012"/>
  </r>
  <r>
    <x v="1"/>
    <x v="4"/>
    <x v="4"/>
    <x v="77"/>
    <x v="70"/>
    <x v="70"/>
    <s v="REVENUS"/>
    <x v="16"/>
    <s v="4012.007"/>
    <s v="Acompte sur capital"/>
    <n v="0"/>
    <n v="-2598.1"/>
    <n v="4012"/>
  </r>
  <r>
    <x v="1"/>
    <x v="4"/>
    <x v="4"/>
    <x v="77"/>
    <x v="70"/>
    <x v="70"/>
    <s v="REVENUS"/>
    <x v="6"/>
    <s v="4211.002"/>
    <s v="Intérêts de retard sur acomptes"/>
    <n v="0"/>
    <n v="6.79"/>
    <n v="4211"/>
  </r>
  <r>
    <x v="1"/>
    <x v="4"/>
    <x v="4"/>
    <x v="77"/>
    <x v="70"/>
    <x v="70"/>
    <s v="REVENUS"/>
    <x v="6"/>
    <s v="4221.001"/>
    <s v="Intérêts compensat. / créances en faveur du fisc"/>
    <n v="0"/>
    <n v="8.8699999999999992"/>
    <n v="4221"/>
  </r>
  <r>
    <x v="1"/>
    <x v="4"/>
    <x v="4"/>
    <x v="77"/>
    <x v="70"/>
    <x v="70"/>
    <s v="REVENUS"/>
    <x v="6"/>
    <s v="4211.001"/>
    <s v="Intérêts de retard sur factures"/>
    <n v="0"/>
    <n v="15.54"/>
    <n v="4211"/>
  </r>
  <r>
    <x v="1"/>
    <x v="4"/>
    <x v="4"/>
    <x v="77"/>
    <x v="70"/>
    <x v="70"/>
    <s v="REVENUS"/>
    <x v="17"/>
    <s v="4011.001"/>
    <s v="Impôt bénéfice ordinaire"/>
    <n v="0"/>
    <n v="14450.95"/>
    <n v="4011"/>
  </r>
  <r>
    <x v="1"/>
    <x v="4"/>
    <x v="4"/>
    <x v="77"/>
    <x v="70"/>
    <x v="70"/>
    <s v="REVENUS"/>
    <x v="17"/>
    <s v="4011.007"/>
    <s v="Acompte sur bénéfice"/>
    <n v="0"/>
    <n v="-16585.650000000001"/>
    <n v="4011"/>
  </r>
  <r>
    <x v="1"/>
    <x v="4"/>
    <x v="4"/>
    <x v="77"/>
    <x v="70"/>
    <x v="70"/>
    <s v="REVENUS"/>
    <x v="17"/>
    <s v="4011.002"/>
    <s v="Complément impôt bénéfice ordinaire"/>
    <n v="0"/>
    <n v="2496.6"/>
    <n v="4011"/>
  </r>
  <r>
    <x v="1"/>
    <x v="4"/>
    <x v="4"/>
    <x v="77"/>
    <x v="70"/>
    <x v="70"/>
    <s v="REVENUS"/>
    <x v="10"/>
    <s v="4041.001"/>
    <s v="Droits de mutation"/>
    <n v="0"/>
    <n v="15018.2"/>
    <n v="4041"/>
  </r>
  <r>
    <x v="1"/>
    <x v="4"/>
    <x v="4"/>
    <x v="77"/>
    <x v="70"/>
    <x v="70"/>
    <s v="REVENUS"/>
    <x v="18"/>
    <s v="4013.001"/>
    <s v="Impôt complémentaire sur immeubles"/>
    <n v="0"/>
    <n v="9768"/>
    <n v="4013"/>
  </r>
  <r>
    <x v="1"/>
    <x v="4"/>
    <x v="4"/>
    <x v="77"/>
    <x v="70"/>
    <x v="70"/>
    <s v="REVENUS"/>
    <x v="11"/>
    <s v="4198.001"/>
    <s v="Impôt foncier"/>
    <n v="0"/>
    <n v="20039"/>
    <n v="4198"/>
  </r>
  <r>
    <x v="1"/>
    <x v="4"/>
    <x v="4"/>
    <x v="77"/>
    <x v="70"/>
    <x v="70"/>
    <s v="REVENUS"/>
    <x v="16"/>
    <s v="4012.002"/>
    <s v="Complément impôt capital ordinaire"/>
    <n v="0"/>
    <n v="656.2"/>
    <n v="4012"/>
  </r>
  <r>
    <x v="1"/>
    <x v="4"/>
    <x v="4"/>
    <x v="77"/>
    <x v="70"/>
    <x v="70"/>
    <s v="REVENUS"/>
    <x v="9"/>
    <s v="4031.001"/>
    <s v="Impôt sur les gains immobiliers"/>
    <n v="0"/>
    <n v="3875.4"/>
    <n v="4031"/>
  </r>
  <r>
    <x v="1"/>
    <x v="4"/>
    <x v="4"/>
    <x v="77"/>
    <x v="70"/>
    <x v="70"/>
    <s v="REVENUS"/>
    <x v="6"/>
    <s v="4221.002"/>
    <s v="Intérêts compensat. sur impôts distincts"/>
    <n v="0"/>
    <n v="3.38"/>
    <n v="4221"/>
  </r>
  <r>
    <x v="1"/>
    <x v="4"/>
    <x v="4"/>
    <x v="78"/>
    <x v="71"/>
    <x v="71"/>
    <s v="CHARGES"/>
    <x v="1"/>
    <s v="3301.006"/>
    <s v="Abandon de solde PM"/>
    <n v="15.85"/>
    <n v="0"/>
    <n v="3301"/>
  </r>
  <r>
    <x v="1"/>
    <x v="4"/>
    <x v="4"/>
    <x v="78"/>
    <x v="71"/>
    <x v="71"/>
    <s v="CHARGES"/>
    <x v="0"/>
    <s v="3212.004"/>
    <s v="Intérêts rémun./perçu trop tôt sur acomptes C/C"/>
    <n v="1.98"/>
    <n v="0"/>
    <n v="3212"/>
  </r>
  <r>
    <x v="1"/>
    <x v="4"/>
    <x v="4"/>
    <x v="78"/>
    <x v="71"/>
    <x v="71"/>
    <s v="CHARGES"/>
    <x v="0"/>
    <s v="3221.002"/>
    <s v="Intérêts compensatoires / créances en faveur ctb."/>
    <n v="2.74"/>
    <n v="0"/>
    <n v="3221"/>
  </r>
  <r>
    <x v="1"/>
    <x v="4"/>
    <x v="4"/>
    <x v="78"/>
    <x v="71"/>
    <x v="71"/>
    <s v="CHARGES"/>
    <x v="1"/>
    <s v="3301.002"/>
    <s v="Défalcation PM"/>
    <n v="35.24"/>
    <n v="0"/>
    <n v="3301"/>
  </r>
  <r>
    <x v="1"/>
    <x v="4"/>
    <x v="4"/>
    <x v="78"/>
    <x v="71"/>
    <x v="71"/>
    <s v="REVENUS"/>
    <x v="10"/>
    <s v="4041.001"/>
    <s v="Droits de mutation"/>
    <n v="0"/>
    <n v="47327.5"/>
    <n v="4041"/>
  </r>
  <r>
    <x v="1"/>
    <x v="4"/>
    <x v="4"/>
    <x v="78"/>
    <x v="71"/>
    <x v="71"/>
    <s v="REVENUS"/>
    <x v="16"/>
    <s v="4012.001"/>
    <s v="Impôt capital ordinaire"/>
    <n v="0"/>
    <n v="544.29999999999995"/>
    <n v="4012"/>
  </r>
  <r>
    <x v="1"/>
    <x v="4"/>
    <x v="4"/>
    <x v="78"/>
    <x v="71"/>
    <x v="71"/>
    <s v="REVENUS"/>
    <x v="16"/>
    <s v="4012.007"/>
    <s v="Acompte sur capital"/>
    <n v="0"/>
    <n v="5142.8500000000004"/>
    <n v="4012"/>
  </r>
  <r>
    <x v="1"/>
    <x v="4"/>
    <x v="4"/>
    <x v="78"/>
    <x v="71"/>
    <x v="71"/>
    <s v="REVENUS"/>
    <x v="6"/>
    <s v="4211.002"/>
    <s v="Intérêts de retard sur acomptes"/>
    <n v="0"/>
    <n v="7.93"/>
    <n v="4211"/>
  </r>
  <r>
    <x v="1"/>
    <x v="4"/>
    <x v="4"/>
    <x v="78"/>
    <x v="71"/>
    <x v="71"/>
    <s v="REVENUS"/>
    <x v="17"/>
    <s v="4011.007"/>
    <s v="Acompte sur bénéfice"/>
    <n v="0"/>
    <n v="1051.6500000000001"/>
    <n v="4011"/>
  </r>
  <r>
    <x v="1"/>
    <x v="4"/>
    <x v="4"/>
    <x v="78"/>
    <x v="71"/>
    <x v="71"/>
    <s v="REVENUS"/>
    <x v="17"/>
    <s v="4011.001"/>
    <s v="Impôt bénéfice ordinaire"/>
    <n v="0"/>
    <n v="12453.1"/>
    <n v="4011"/>
  </r>
  <r>
    <x v="1"/>
    <x v="4"/>
    <x v="4"/>
    <x v="78"/>
    <x v="71"/>
    <x v="71"/>
    <s v="REVENUS"/>
    <x v="6"/>
    <s v="4221.001"/>
    <s v="Intérêts compensat. / créances en faveur du fisc"/>
    <n v="0"/>
    <n v="6.89"/>
    <n v="4221"/>
  </r>
  <r>
    <x v="1"/>
    <x v="4"/>
    <x v="4"/>
    <x v="78"/>
    <x v="71"/>
    <x v="71"/>
    <s v="REVENUS"/>
    <x v="6"/>
    <s v="4211.001"/>
    <s v="Intérêts de retard sur factures"/>
    <n v="0"/>
    <n v="33.450000000000003"/>
    <n v="4211"/>
  </r>
  <r>
    <x v="1"/>
    <x v="4"/>
    <x v="4"/>
    <x v="78"/>
    <x v="71"/>
    <x v="71"/>
    <s v="REVENUS"/>
    <x v="18"/>
    <s v="4013.003"/>
    <s v="Remboursement impôt complémentaire sur immeubles"/>
    <n v="0"/>
    <n v="-1200"/>
    <n v="4013"/>
  </r>
  <r>
    <x v="1"/>
    <x v="4"/>
    <x v="4"/>
    <x v="78"/>
    <x v="71"/>
    <x v="71"/>
    <s v="REVENUS"/>
    <x v="18"/>
    <s v="4013.001"/>
    <s v="Impôt complémentaire sur immeubles"/>
    <n v="0"/>
    <n v="8451.0499999999993"/>
    <n v="4013"/>
  </r>
  <r>
    <x v="1"/>
    <x v="4"/>
    <x v="4"/>
    <x v="78"/>
    <x v="71"/>
    <x v="71"/>
    <s v="REVENUS"/>
    <x v="11"/>
    <s v="4198.001"/>
    <s v="Impôt foncier"/>
    <n v="0"/>
    <n v="16849.150000000001"/>
    <n v="4198"/>
  </r>
  <r>
    <x v="1"/>
    <x v="4"/>
    <x v="4"/>
    <x v="78"/>
    <x v="71"/>
    <x v="71"/>
    <s v="REVENUS"/>
    <x v="7"/>
    <s v="4184.000"/>
    <s v="Frais de poursuite"/>
    <n v="0"/>
    <n v="18.329999999999998"/>
    <n v="4184"/>
  </r>
  <r>
    <x v="1"/>
    <x v="4"/>
    <x v="4"/>
    <x v="79"/>
    <x v="72"/>
    <x v="72"/>
    <s v="CHARGES"/>
    <x v="0"/>
    <s v="3212.004"/>
    <s v="Intérêts rémun./perçu trop tôt sur acomptes C/C"/>
    <n v="72.22"/>
    <n v="0"/>
    <n v="3212"/>
  </r>
  <r>
    <x v="1"/>
    <x v="4"/>
    <x v="4"/>
    <x v="79"/>
    <x v="72"/>
    <x v="72"/>
    <s v="CHARGES"/>
    <x v="0"/>
    <s v="3221.002"/>
    <s v="Intérêts compensatoires / créances en faveur ctb."/>
    <n v="132.41"/>
    <n v="0"/>
    <n v="3221"/>
  </r>
  <r>
    <x v="1"/>
    <x v="4"/>
    <x v="4"/>
    <x v="79"/>
    <x v="72"/>
    <x v="72"/>
    <s v="CHARGES"/>
    <x v="1"/>
    <s v="3301.006"/>
    <s v="Abandon de solde PM"/>
    <n v="151.44"/>
    <n v="0"/>
    <n v="3301"/>
  </r>
  <r>
    <x v="1"/>
    <x v="4"/>
    <x v="4"/>
    <x v="79"/>
    <x v="72"/>
    <x v="72"/>
    <s v="CHARGES"/>
    <x v="0"/>
    <s v="3212.002"/>
    <s v="Intérêts bonifiés/trop perçu acompte C/C"/>
    <n v="152.04"/>
    <n v="0"/>
    <n v="3212"/>
  </r>
  <r>
    <x v="1"/>
    <x v="4"/>
    <x v="4"/>
    <x v="79"/>
    <x v="72"/>
    <x v="72"/>
    <s v="CHARGES"/>
    <x v="1"/>
    <s v="3301.002"/>
    <s v="Défalcation PM"/>
    <n v="102304.8"/>
    <n v="0"/>
    <n v="3301"/>
  </r>
  <r>
    <x v="1"/>
    <x v="4"/>
    <x v="4"/>
    <x v="79"/>
    <x v="72"/>
    <x v="72"/>
    <s v="REVENUS"/>
    <x v="17"/>
    <s v="4011.001"/>
    <s v="Impôt bénéfice ordinaire"/>
    <n v="0"/>
    <n v="114450"/>
    <n v="4011"/>
  </r>
  <r>
    <x v="1"/>
    <x v="4"/>
    <x v="4"/>
    <x v="79"/>
    <x v="72"/>
    <x v="72"/>
    <s v="REVENUS"/>
    <x v="17"/>
    <s v="4011.007"/>
    <s v="Acompte sur bénéfice"/>
    <n v="0"/>
    <n v="-11609.75"/>
    <n v="4011"/>
  </r>
  <r>
    <x v="1"/>
    <x v="4"/>
    <x v="4"/>
    <x v="79"/>
    <x v="72"/>
    <x v="72"/>
    <s v="REVENUS"/>
    <x v="18"/>
    <s v="4013.001"/>
    <s v="Impôt complémentaire sur immeubles"/>
    <n v="0"/>
    <n v="49909.5"/>
    <n v="4013"/>
  </r>
  <r>
    <x v="1"/>
    <x v="4"/>
    <x v="4"/>
    <x v="79"/>
    <x v="72"/>
    <x v="72"/>
    <s v="REVENUS"/>
    <x v="18"/>
    <s v="4013.002"/>
    <s v="Complément impôt complémentaire sur immeubles"/>
    <n v="0"/>
    <n v="1000"/>
    <n v="4013"/>
  </r>
  <r>
    <x v="1"/>
    <x v="4"/>
    <x v="4"/>
    <x v="79"/>
    <x v="72"/>
    <x v="72"/>
    <s v="REVENUS"/>
    <x v="6"/>
    <s v="4211.001"/>
    <s v="Intérêts de retard sur factures"/>
    <n v="0"/>
    <n v="8234"/>
    <n v="4211"/>
  </r>
  <r>
    <x v="1"/>
    <x v="4"/>
    <x v="4"/>
    <x v="79"/>
    <x v="72"/>
    <x v="72"/>
    <s v="REVENUS"/>
    <x v="16"/>
    <s v="4012.001"/>
    <s v="Impôt capital ordinaire"/>
    <n v="0"/>
    <n v="4900.1499999999996"/>
    <n v="4012"/>
  </r>
  <r>
    <x v="1"/>
    <x v="4"/>
    <x v="4"/>
    <x v="79"/>
    <x v="72"/>
    <x v="72"/>
    <s v="REVENUS"/>
    <x v="16"/>
    <s v="4012.007"/>
    <s v="Acompte sur capital"/>
    <n v="0"/>
    <n v="7923.25"/>
    <n v="4012"/>
  </r>
  <r>
    <x v="1"/>
    <x v="4"/>
    <x v="4"/>
    <x v="79"/>
    <x v="72"/>
    <x v="72"/>
    <s v="REVENUS"/>
    <x v="6"/>
    <s v="4211.002"/>
    <s v="Intérêts de retard sur acomptes"/>
    <n v="0"/>
    <n v="277.52"/>
    <n v="4211"/>
  </r>
  <r>
    <x v="1"/>
    <x v="4"/>
    <x v="4"/>
    <x v="79"/>
    <x v="72"/>
    <x v="72"/>
    <s v="REVENUS"/>
    <x v="6"/>
    <s v="4221.001"/>
    <s v="Intérêts compensat. / créances en faveur du fisc"/>
    <n v="0"/>
    <n v="69.040000000000006"/>
    <n v="4221"/>
  </r>
  <r>
    <x v="1"/>
    <x v="4"/>
    <x v="4"/>
    <x v="79"/>
    <x v="72"/>
    <x v="72"/>
    <s v="REVENUS"/>
    <x v="17"/>
    <s v="4011.002"/>
    <s v="Complément impôt bénéfice ordinaire"/>
    <n v="0"/>
    <n v="41829.300000000003"/>
    <n v="4011"/>
  </r>
  <r>
    <x v="1"/>
    <x v="4"/>
    <x v="4"/>
    <x v="79"/>
    <x v="72"/>
    <x v="72"/>
    <s v="REVENUS"/>
    <x v="7"/>
    <s v="4184.000"/>
    <s v="Frais de poursuite"/>
    <n v="0"/>
    <n v="107.93"/>
    <n v="4184"/>
  </r>
  <r>
    <x v="1"/>
    <x v="4"/>
    <x v="4"/>
    <x v="79"/>
    <x v="72"/>
    <x v="72"/>
    <s v="REVENUS"/>
    <x v="10"/>
    <s v="4041.001"/>
    <s v="Droits de mutation"/>
    <n v="0"/>
    <n v="72431.149999999994"/>
    <n v="4041"/>
  </r>
  <r>
    <x v="1"/>
    <x v="4"/>
    <x v="4"/>
    <x v="79"/>
    <x v="72"/>
    <x v="72"/>
    <s v="REVENUS"/>
    <x v="8"/>
    <s v="4091.003"/>
    <s v="Impôt récupéré concordat"/>
    <n v="0"/>
    <n v="101761.64"/>
    <n v="4091"/>
  </r>
  <r>
    <x v="1"/>
    <x v="4"/>
    <x v="4"/>
    <x v="79"/>
    <x v="72"/>
    <x v="72"/>
    <s v="REVENUS"/>
    <x v="18"/>
    <s v="4013.003"/>
    <s v="Remboursement impôt complémentaire sur immeubles"/>
    <n v="0"/>
    <n v="-3761.9"/>
    <n v="4013"/>
  </r>
  <r>
    <x v="1"/>
    <x v="4"/>
    <x v="4"/>
    <x v="80"/>
    <x v="73"/>
    <x v="73"/>
    <s v="CHARGES"/>
    <x v="0"/>
    <s v="3212.002"/>
    <s v="Intérêts bonifiés/trop perçu acompte C/C"/>
    <n v="0.01"/>
    <n v="0"/>
    <n v="3212"/>
  </r>
  <r>
    <x v="1"/>
    <x v="4"/>
    <x v="4"/>
    <x v="80"/>
    <x v="73"/>
    <x v="73"/>
    <s v="REVENUS"/>
    <x v="17"/>
    <s v="4011.002"/>
    <s v="Complément impôt bénéfice ordinaire"/>
    <n v="0"/>
    <n v="134.05000000000001"/>
    <n v="4011"/>
  </r>
  <r>
    <x v="1"/>
    <x v="4"/>
    <x v="4"/>
    <x v="80"/>
    <x v="73"/>
    <x v="73"/>
    <s v="REVENUS"/>
    <x v="17"/>
    <s v="4011.001"/>
    <s v="Impôt bénéfice ordinaire"/>
    <n v="0"/>
    <n v="-134.05000000000001"/>
    <n v="4011"/>
  </r>
  <r>
    <x v="1"/>
    <x v="4"/>
    <x v="4"/>
    <x v="81"/>
    <x v="74"/>
    <x v="74"/>
    <s v="CHARGES"/>
    <x v="0"/>
    <s v="3212.004"/>
    <s v="Intérêts rémun./perçu trop tôt sur acomptes C/C"/>
    <n v="138.76"/>
    <n v="0"/>
    <n v="3212"/>
  </r>
  <r>
    <x v="1"/>
    <x v="4"/>
    <x v="4"/>
    <x v="81"/>
    <x v="74"/>
    <x v="74"/>
    <s v="CHARGES"/>
    <x v="0"/>
    <s v="3221.002"/>
    <s v="Intérêts compensatoires / créances en faveur ctb."/>
    <n v="178.34"/>
    <n v="0"/>
    <n v="3221"/>
  </r>
  <r>
    <x v="1"/>
    <x v="4"/>
    <x v="4"/>
    <x v="81"/>
    <x v="74"/>
    <x v="74"/>
    <s v="CHARGES"/>
    <x v="1"/>
    <s v="3301.006"/>
    <s v="Abandon de solde PM"/>
    <n v="115.49"/>
    <n v="0"/>
    <n v="3301"/>
  </r>
  <r>
    <x v="1"/>
    <x v="4"/>
    <x v="4"/>
    <x v="81"/>
    <x v="74"/>
    <x v="74"/>
    <s v="CHARGES"/>
    <x v="0"/>
    <s v="3212.002"/>
    <s v="Intérêts bonifiés/trop perçu acompte C/C"/>
    <n v="6.88"/>
    <n v="0"/>
    <n v="3212"/>
  </r>
  <r>
    <x v="1"/>
    <x v="4"/>
    <x v="4"/>
    <x v="81"/>
    <x v="74"/>
    <x v="74"/>
    <s v="CHARGES"/>
    <x v="1"/>
    <s v="3301.002"/>
    <s v="Défalcation PM"/>
    <n v="986.34"/>
    <n v="0"/>
    <n v="3301"/>
  </r>
  <r>
    <x v="1"/>
    <x v="4"/>
    <x v="4"/>
    <x v="81"/>
    <x v="74"/>
    <x v="74"/>
    <s v="REVENUS"/>
    <x v="17"/>
    <s v="4011.001"/>
    <s v="Impôt bénéfice ordinaire"/>
    <n v="0"/>
    <n v="1135096.45"/>
    <n v="4011"/>
  </r>
  <r>
    <x v="1"/>
    <x v="4"/>
    <x v="4"/>
    <x v="81"/>
    <x v="74"/>
    <x v="74"/>
    <s v="REVENUS"/>
    <x v="17"/>
    <s v="4011.007"/>
    <s v="Acompte sur bénéfice"/>
    <n v="0"/>
    <n v="-725241.6"/>
    <n v="4011"/>
  </r>
  <r>
    <x v="1"/>
    <x v="4"/>
    <x v="4"/>
    <x v="81"/>
    <x v="74"/>
    <x v="74"/>
    <s v="REVENUS"/>
    <x v="16"/>
    <s v="4012.001"/>
    <s v="Impôt capital ordinaire"/>
    <n v="0"/>
    <n v="64754.75"/>
    <n v="4012"/>
  </r>
  <r>
    <x v="1"/>
    <x v="4"/>
    <x v="4"/>
    <x v="81"/>
    <x v="74"/>
    <x v="74"/>
    <s v="REVENUS"/>
    <x v="6"/>
    <s v="4211.002"/>
    <s v="Intérêts de retard sur acomptes"/>
    <n v="0"/>
    <n v="2668.15"/>
    <n v="4211"/>
  </r>
  <r>
    <x v="1"/>
    <x v="4"/>
    <x v="4"/>
    <x v="81"/>
    <x v="74"/>
    <x v="74"/>
    <s v="REVENUS"/>
    <x v="17"/>
    <s v="4011.002"/>
    <s v="Complément impôt bénéfice ordinaire"/>
    <n v="0"/>
    <n v="24620.2"/>
    <n v="4011"/>
  </r>
  <r>
    <x v="1"/>
    <x v="4"/>
    <x v="4"/>
    <x v="81"/>
    <x v="74"/>
    <x v="74"/>
    <s v="REVENUS"/>
    <x v="6"/>
    <s v="4211.001"/>
    <s v="Intérêts de retard sur factures"/>
    <n v="0"/>
    <n v="1528.08"/>
    <n v="4211"/>
  </r>
  <r>
    <x v="1"/>
    <x v="4"/>
    <x v="4"/>
    <x v="81"/>
    <x v="74"/>
    <x v="74"/>
    <s v="REVENUS"/>
    <x v="6"/>
    <s v="4221.001"/>
    <s v="Intérêts compensat. / créances en faveur du fisc"/>
    <n v="0"/>
    <n v="272.56"/>
    <n v="4221"/>
  </r>
  <r>
    <x v="1"/>
    <x v="4"/>
    <x v="4"/>
    <x v="81"/>
    <x v="74"/>
    <x v="74"/>
    <s v="REVENUS"/>
    <x v="16"/>
    <s v="4012.007"/>
    <s v="Acompte sur capital"/>
    <n v="0"/>
    <n v="16053.95"/>
    <n v="4012"/>
  </r>
  <r>
    <x v="1"/>
    <x v="4"/>
    <x v="4"/>
    <x v="81"/>
    <x v="74"/>
    <x v="74"/>
    <s v="REVENUS"/>
    <x v="10"/>
    <s v="4041.001"/>
    <s v="Droits de mutation"/>
    <n v="0"/>
    <n v="-55829.8"/>
    <n v="4041"/>
  </r>
  <r>
    <x v="1"/>
    <x v="4"/>
    <x v="4"/>
    <x v="81"/>
    <x v="74"/>
    <x v="74"/>
    <s v="REVENUS"/>
    <x v="10"/>
    <s v="4041.002"/>
    <s v="Complément droit de mutation"/>
    <n v="0"/>
    <n v="153512.6"/>
    <n v="4041"/>
  </r>
  <r>
    <x v="1"/>
    <x v="4"/>
    <x v="4"/>
    <x v="81"/>
    <x v="74"/>
    <x v="74"/>
    <s v="REVENUS"/>
    <x v="7"/>
    <s v="4184.000"/>
    <s v="Frais de poursuite"/>
    <n v="0"/>
    <n v="110.37"/>
    <n v="4184"/>
  </r>
  <r>
    <x v="1"/>
    <x v="4"/>
    <x v="4"/>
    <x v="81"/>
    <x v="74"/>
    <x v="74"/>
    <s v="REVENUS"/>
    <x v="18"/>
    <s v="4013.003"/>
    <s v="Remboursement impôt complémentaire sur immeubles"/>
    <n v="0"/>
    <n v="-56078.1"/>
    <n v="4013"/>
  </r>
  <r>
    <x v="1"/>
    <x v="4"/>
    <x v="4"/>
    <x v="81"/>
    <x v="74"/>
    <x v="74"/>
    <s v="REVENUS"/>
    <x v="18"/>
    <s v="4013.001"/>
    <s v="Impôt complémentaire sur immeubles"/>
    <n v="0"/>
    <n v="97001.55"/>
    <n v="4013"/>
  </r>
  <r>
    <x v="1"/>
    <x v="4"/>
    <x v="4"/>
    <x v="82"/>
    <x v="75"/>
    <x v="75"/>
    <s v="CHARGES"/>
    <x v="0"/>
    <s v="3212.004"/>
    <s v="Intérêts rémun./perçu trop tôt sur acomptes C/C"/>
    <n v="13.96"/>
    <n v="0"/>
    <n v="3212"/>
  </r>
  <r>
    <x v="1"/>
    <x v="4"/>
    <x v="4"/>
    <x v="82"/>
    <x v="75"/>
    <x v="75"/>
    <s v="CHARGES"/>
    <x v="0"/>
    <s v="3221.002"/>
    <s v="Intérêts compensatoires / créances en faveur ctb."/>
    <n v="32.380000000000003"/>
    <n v="0"/>
    <n v="3221"/>
  </r>
  <r>
    <x v="1"/>
    <x v="4"/>
    <x v="4"/>
    <x v="82"/>
    <x v="75"/>
    <x v="75"/>
    <s v="CHARGES"/>
    <x v="1"/>
    <s v="3301.006"/>
    <s v="Abandon de solde PM"/>
    <n v="23.97"/>
    <n v="0"/>
    <n v="3301"/>
  </r>
  <r>
    <x v="1"/>
    <x v="4"/>
    <x v="4"/>
    <x v="82"/>
    <x v="75"/>
    <x v="75"/>
    <s v="CHARGES"/>
    <x v="0"/>
    <s v="3212.002"/>
    <s v="Intérêts bonifiés/trop perçu acompte C/C"/>
    <n v="0.17"/>
    <n v="0"/>
    <n v="3212"/>
  </r>
  <r>
    <x v="1"/>
    <x v="4"/>
    <x v="4"/>
    <x v="82"/>
    <x v="75"/>
    <x v="75"/>
    <s v="REVENUS"/>
    <x v="17"/>
    <s v="4011.001"/>
    <s v="Impôt bénéfice ordinaire"/>
    <n v="0"/>
    <n v="51648.45"/>
    <n v="4011"/>
  </r>
  <r>
    <x v="1"/>
    <x v="4"/>
    <x v="4"/>
    <x v="82"/>
    <x v="75"/>
    <x v="75"/>
    <s v="REVENUS"/>
    <x v="17"/>
    <s v="4011.007"/>
    <s v="Acompte sur bénéfice"/>
    <n v="0"/>
    <n v="-5533.35"/>
    <n v="4011"/>
  </r>
  <r>
    <x v="1"/>
    <x v="4"/>
    <x v="4"/>
    <x v="82"/>
    <x v="75"/>
    <x v="75"/>
    <s v="REVENUS"/>
    <x v="16"/>
    <s v="4012.001"/>
    <s v="Impôt capital ordinaire"/>
    <n v="0"/>
    <n v="1089.8"/>
    <n v="4012"/>
  </r>
  <r>
    <x v="1"/>
    <x v="4"/>
    <x v="4"/>
    <x v="82"/>
    <x v="75"/>
    <x v="75"/>
    <s v="REVENUS"/>
    <x v="16"/>
    <s v="4012.007"/>
    <s v="Acompte sur capital"/>
    <n v="0"/>
    <n v="1801.75"/>
    <n v="4012"/>
  </r>
  <r>
    <x v="1"/>
    <x v="4"/>
    <x v="4"/>
    <x v="82"/>
    <x v="75"/>
    <x v="75"/>
    <s v="REVENUS"/>
    <x v="6"/>
    <s v="4211.002"/>
    <s v="Intérêts de retard sur acomptes"/>
    <n v="0"/>
    <n v="46.71"/>
    <n v="4211"/>
  </r>
  <r>
    <x v="1"/>
    <x v="4"/>
    <x v="4"/>
    <x v="82"/>
    <x v="75"/>
    <x v="75"/>
    <s v="REVENUS"/>
    <x v="6"/>
    <s v="4221.001"/>
    <s v="Intérêts compensat. / créances en faveur du fisc"/>
    <n v="0"/>
    <n v="27.33"/>
    <n v="4221"/>
  </r>
  <r>
    <x v="1"/>
    <x v="4"/>
    <x v="4"/>
    <x v="82"/>
    <x v="75"/>
    <x v="75"/>
    <s v="REVENUS"/>
    <x v="18"/>
    <s v="4013.001"/>
    <s v="Impôt complémentaire sur immeubles"/>
    <n v="0"/>
    <n v="5602.65"/>
    <n v="4013"/>
  </r>
  <r>
    <x v="1"/>
    <x v="4"/>
    <x v="4"/>
    <x v="82"/>
    <x v="75"/>
    <x v="75"/>
    <s v="REVENUS"/>
    <x v="17"/>
    <s v="4011.002"/>
    <s v="Complément impôt bénéfice ordinaire"/>
    <n v="0"/>
    <n v="5366.3"/>
    <n v="4011"/>
  </r>
  <r>
    <x v="1"/>
    <x v="4"/>
    <x v="4"/>
    <x v="82"/>
    <x v="75"/>
    <x v="75"/>
    <s v="REVENUS"/>
    <x v="6"/>
    <s v="4211.001"/>
    <s v="Intérêts de retard sur factures"/>
    <n v="0"/>
    <n v="0.22"/>
    <n v="4211"/>
  </r>
  <r>
    <x v="1"/>
    <x v="4"/>
    <x v="4"/>
    <x v="82"/>
    <x v="75"/>
    <x v="75"/>
    <s v="REVENUS"/>
    <x v="18"/>
    <s v="4013.003"/>
    <s v="Remboursement impôt complémentaire sur immeubles"/>
    <n v="0"/>
    <n v="-7700"/>
    <n v="4013"/>
  </r>
  <r>
    <x v="1"/>
    <x v="4"/>
    <x v="4"/>
    <x v="82"/>
    <x v="75"/>
    <x v="75"/>
    <s v="REVENUS"/>
    <x v="7"/>
    <s v="4184.000"/>
    <s v="Frais de poursuite"/>
    <n v="0"/>
    <n v="15.25"/>
    <n v="4184"/>
  </r>
  <r>
    <x v="1"/>
    <x v="4"/>
    <x v="4"/>
    <x v="82"/>
    <x v="75"/>
    <x v="75"/>
    <s v="REVENUS"/>
    <x v="18"/>
    <s v="4013.002"/>
    <s v="Complément impôt complémentaire sur immeubles"/>
    <n v="0"/>
    <n v="846"/>
    <n v="4013"/>
  </r>
  <r>
    <x v="1"/>
    <x v="4"/>
    <x v="4"/>
    <x v="83"/>
    <x v="76"/>
    <x v="76"/>
    <s v="CHARGES"/>
    <x v="0"/>
    <s v="3221.002"/>
    <s v="Intérêts compensatoires / créances en faveur ctb."/>
    <n v="19.04"/>
    <n v="0"/>
    <n v="3221"/>
  </r>
  <r>
    <x v="1"/>
    <x v="4"/>
    <x v="4"/>
    <x v="83"/>
    <x v="76"/>
    <x v="76"/>
    <s v="CHARGES"/>
    <x v="1"/>
    <s v="3301.006"/>
    <s v="Abandon de solde PM"/>
    <n v="25.73"/>
    <n v="0"/>
    <n v="3301"/>
  </r>
  <r>
    <x v="1"/>
    <x v="4"/>
    <x v="4"/>
    <x v="83"/>
    <x v="76"/>
    <x v="76"/>
    <s v="CHARGES"/>
    <x v="0"/>
    <s v="3212.004"/>
    <s v="Intérêts rémun./perçu trop tôt sur acomptes C/C"/>
    <n v="26.79"/>
    <n v="0"/>
    <n v="3212"/>
  </r>
  <r>
    <x v="1"/>
    <x v="4"/>
    <x v="4"/>
    <x v="83"/>
    <x v="76"/>
    <x v="76"/>
    <s v="CHARGES"/>
    <x v="0"/>
    <s v="3212.002"/>
    <s v="Intérêts bonifiés/trop perçu acompte C/C"/>
    <n v="0.09"/>
    <n v="0"/>
    <n v="3212"/>
  </r>
  <r>
    <x v="1"/>
    <x v="4"/>
    <x v="4"/>
    <x v="83"/>
    <x v="76"/>
    <x v="76"/>
    <s v="CHARGES"/>
    <x v="1"/>
    <s v="3301.002"/>
    <s v="Défalcation PM"/>
    <n v="4629.7299999999996"/>
    <n v="0"/>
    <n v="3301"/>
  </r>
  <r>
    <x v="1"/>
    <x v="4"/>
    <x v="4"/>
    <x v="83"/>
    <x v="76"/>
    <x v="76"/>
    <s v="REVENUS"/>
    <x v="17"/>
    <s v="4011.001"/>
    <s v="Impôt bénéfice ordinaire"/>
    <n v="0"/>
    <n v="195913.60000000001"/>
    <n v="4011"/>
  </r>
  <r>
    <x v="1"/>
    <x v="4"/>
    <x v="4"/>
    <x v="83"/>
    <x v="76"/>
    <x v="76"/>
    <s v="REVENUS"/>
    <x v="17"/>
    <s v="4011.002"/>
    <s v="Complément impôt bénéfice ordinaire"/>
    <n v="0"/>
    <n v="6098.05"/>
    <n v="4011"/>
  </r>
  <r>
    <x v="1"/>
    <x v="4"/>
    <x v="4"/>
    <x v="83"/>
    <x v="76"/>
    <x v="76"/>
    <s v="REVENUS"/>
    <x v="6"/>
    <s v="4211.001"/>
    <s v="Intérêts de retard sur factures"/>
    <n v="0"/>
    <n v="452.34"/>
    <n v="4211"/>
  </r>
  <r>
    <x v="1"/>
    <x v="4"/>
    <x v="4"/>
    <x v="83"/>
    <x v="76"/>
    <x v="76"/>
    <s v="REVENUS"/>
    <x v="6"/>
    <s v="4221.001"/>
    <s v="Intérêts compensat. / créances en faveur du fisc"/>
    <n v="0"/>
    <n v="20.39"/>
    <n v="4221"/>
  </r>
  <r>
    <x v="1"/>
    <x v="4"/>
    <x v="4"/>
    <x v="83"/>
    <x v="76"/>
    <x v="76"/>
    <s v="REVENUS"/>
    <x v="17"/>
    <s v="4011.007"/>
    <s v="Acompte sur bénéfice"/>
    <n v="0"/>
    <n v="17183.150000000001"/>
    <n v="4011"/>
  </r>
  <r>
    <x v="1"/>
    <x v="4"/>
    <x v="4"/>
    <x v="83"/>
    <x v="76"/>
    <x v="76"/>
    <s v="REVENUS"/>
    <x v="16"/>
    <s v="4012.001"/>
    <s v="Impôt capital ordinaire"/>
    <n v="0"/>
    <n v="2153.5"/>
    <n v="4012"/>
  </r>
  <r>
    <x v="1"/>
    <x v="4"/>
    <x v="4"/>
    <x v="83"/>
    <x v="76"/>
    <x v="76"/>
    <s v="REVENUS"/>
    <x v="16"/>
    <s v="4012.007"/>
    <s v="Acompte sur capital"/>
    <n v="0"/>
    <n v="1111.6500000000001"/>
    <n v="4012"/>
  </r>
  <r>
    <x v="1"/>
    <x v="4"/>
    <x v="4"/>
    <x v="83"/>
    <x v="76"/>
    <x v="76"/>
    <s v="REVENUS"/>
    <x v="7"/>
    <s v="4184.000"/>
    <s v="Frais de poursuite"/>
    <n v="0"/>
    <n v="106.91"/>
    <n v="4184"/>
  </r>
  <r>
    <x v="1"/>
    <x v="4"/>
    <x v="4"/>
    <x v="83"/>
    <x v="76"/>
    <x v="76"/>
    <s v="REVENUS"/>
    <x v="6"/>
    <s v="4211.002"/>
    <s v="Intérêts de retard sur acomptes"/>
    <n v="0"/>
    <n v="464.67"/>
    <n v="4211"/>
  </r>
  <r>
    <x v="1"/>
    <x v="4"/>
    <x v="4"/>
    <x v="83"/>
    <x v="76"/>
    <x v="76"/>
    <s v="REVENUS"/>
    <x v="10"/>
    <s v="4041.001"/>
    <s v="Droits de mutation"/>
    <n v="0"/>
    <n v="25919.45"/>
    <n v="4041"/>
  </r>
  <r>
    <x v="1"/>
    <x v="4"/>
    <x v="4"/>
    <x v="83"/>
    <x v="76"/>
    <x v="76"/>
    <s v="REVENUS"/>
    <x v="18"/>
    <s v="4013.003"/>
    <s v="Remboursement impôt complémentaire sur immeubles"/>
    <n v="0"/>
    <n v="-338.75"/>
    <n v="4013"/>
  </r>
  <r>
    <x v="1"/>
    <x v="4"/>
    <x v="4"/>
    <x v="83"/>
    <x v="76"/>
    <x v="76"/>
    <s v="REVENUS"/>
    <x v="18"/>
    <s v="4013.001"/>
    <s v="Impôt complémentaire sur immeubles"/>
    <n v="0"/>
    <n v="18891.25"/>
    <n v="4013"/>
  </r>
  <r>
    <x v="1"/>
    <x v="4"/>
    <x v="4"/>
    <x v="83"/>
    <x v="76"/>
    <x v="76"/>
    <s v="REVENUS"/>
    <x v="17"/>
    <s v="4011.005"/>
    <s v="Impôt minimum recettes brutes"/>
    <n v="0"/>
    <n v="6960.35"/>
    <n v="4011"/>
  </r>
  <r>
    <x v="1"/>
    <x v="4"/>
    <x v="4"/>
    <x v="84"/>
    <x v="77"/>
    <x v="77"/>
    <s v="CHARGES"/>
    <x v="1"/>
    <s v="3301.006"/>
    <s v="Abandon de solde PM"/>
    <n v="13.3"/>
    <n v="0"/>
    <n v="3301"/>
  </r>
  <r>
    <x v="1"/>
    <x v="4"/>
    <x v="4"/>
    <x v="84"/>
    <x v="77"/>
    <x v="77"/>
    <s v="CHARGES"/>
    <x v="0"/>
    <s v="3212.002"/>
    <s v="Intérêts bonifiés/trop perçu acompte C/C"/>
    <n v="0.11"/>
    <n v="0"/>
    <n v="3212"/>
  </r>
  <r>
    <x v="1"/>
    <x v="4"/>
    <x v="4"/>
    <x v="84"/>
    <x v="77"/>
    <x v="77"/>
    <s v="CHARGES"/>
    <x v="0"/>
    <s v="3212.004"/>
    <s v="Intérêts rémun./perçu trop tôt sur acomptes C/C"/>
    <n v="13.35"/>
    <n v="0"/>
    <n v="3212"/>
  </r>
  <r>
    <x v="1"/>
    <x v="4"/>
    <x v="4"/>
    <x v="84"/>
    <x v="77"/>
    <x v="77"/>
    <s v="CHARGES"/>
    <x v="0"/>
    <s v="3221.002"/>
    <s v="Intérêts compensatoires / créances en faveur ctb."/>
    <n v="15.07"/>
    <n v="0"/>
    <n v="3221"/>
  </r>
  <r>
    <x v="1"/>
    <x v="4"/>
    <x v="4"/>
    <x v="84"/>
    <x v="77"/>
    <x v="77"/>
    <s v="REVENUS"/>
    <x v="6"/>
    <s v="4211.001"/>
    <s v="Intérêts de retard sur factures"/>
    <n v="0"/>
    <n v="7.6"/>
    <n v="4211"/>
  </r>
  <r>
    <x v="1"/>
    <x v="4"/>
    <x v="4"/>
    <x v="84"/>
    <x v="77"/>
    <x v="77"/>
    <s v="REVENUS"/>
    <x v="17"/>
    <s v="4011.002"/>
    <s v="Complément impôt bénéfice ordinaire"/>
    <n v="0"/>
    <n v="3317.75"/>
    <n v="4011"/>
  </r>
  <r>
    <x v="1"/>
    <x v="4"/>
    <x v="4"/>
    <x v="84"/>
    <x v="77"/>
    <x v="77"/>
    <s v="REVENUS"/>
    <x v="17"/>
    <s v="4011.001"/>
    <s v="Impôt bénéfice ordinaire"/>
    <n v="0"/>
    <n v="12487.45"/>
    <n v="4011"/>
  </r>
  <r>
    <x v="1"/>
    <x v="4"/>
    <x v="4"/>
    <x v="84"/>
    <x v="77"/>
    <x v="77"/>
    <s v="REVENUS"/>
    <x v="17"/>
    <s v="4011.007"/>
    <s v="Acompte sur bénéfice"/>
    <n v="0"/>
    <n v="-12448.6"/>
    <n v="4011"/>
  </r>
  <r>
    <x v="1"/>
    <x v="4"/>
    <x v="4"/>
    <x v="84"/>
    <x v="77"/>
    <x v="77"/>
    <s v="REVENUS"/>
    <x v="16"/>
    <s v="4012.007"/>
    <s v="Acompte sur capital"/>
    <n v="0"/>
    <n v="631.45000000000005"/>
    <n v="4012"/>
  </r>
  <r>
    <x v="1"/>
    <x v="4"/>
    <x v="4"/>
    <x v="84"/>
    <x v="77"/>
    <x v="77"/>
    <s v="REVENUS"/>
    <x v="16"/>
    <s v="4012.001"/>
    <s v="Impôt capital ordinaire"/>
    <n v="0"/>
    <n v="800.2"/>
    <n v="4012"/>
  </r>
  <r>
    <x v="1"/>
    <x v="4"/>
    <x v="4"/>
    <x v="84"/>
    <x v="77"/>
    <x v="77"/>
    <s v="REVENUS"/>
    <x v="6"/>
    <s v="4211.002"/>
    <s v="Intérêts de retard sur acomptes"/>
    <n v="0"/>
    <n v="109.95"/>
    <n v="4211"/>
  </r>
  <r>
    <x v="1"/>
    <x v="4"/>
    <x v="4"/>
    <x v="84"/>
    <x v="77"/>
    <x v="77"/>
    <s v="REVENUS"/>
    <x v="6"/>
    <s v="4221.001"/>
    <s v="Intérêts compensat. / créances en faveur du fisc"/>
    <n v="0"/>
    <n v="8.6199999999999992"/>
    <n v="4221"/>
  </r>
  <r>
    <x v="1"/>
    <x v="4"/>
    <x v="4"/>
    <x v="84"/>
    <x v="77"/>
    <x v="77"/>
    <s v="REVENUS"/>
    <x v="18"/>
    <s v="4013.001"/>
    <s v="Impôt complémentaire sur immeubles"/>
    <n v="0"/>
    <n v="2912.9"/>
    <n v="4013"/>
  </r>
  <r>
    <x v="1"/>
    <x v="4"/>
    <x v="4"/>
    <x v="85"/>
    <x v="78"/>
    <x v="78"/>
    <s v="CHARGES"/>
    <x v="1"/>
    <s v="3301.006"/>
    <s v="Abandon de solde PM"/>
    <n v="51.82"/>
    <n v="0"/>
    <n v="3301"/>
  </r>
  <r>
    <x v="1"/>
    <x v="4"/>
    <x v="4"/>
    <x v="85"/>
    <x v="78"/>
    <x v="78"/>
    <s v="CHARGES"/>
    <x v="0"/>
    <s v="3212.002"/>
    <s v="Intérêts bonifiés/trop perçu acompte C/C"/>
    <n v="0.21"/>
    <n v="0"/>
    <n v="3212"/>
  </r>
  <r>
    <x v="1"/>
    <x v="4"/>
    <x v="4"/>
    <x v="85"/>
    <x v="78"/>
    <x v="78"/>
    <s v="CHARGES"/>
    <x v="0"/>
    <s v="3212.004"/>
    <s v="Intérêts rémun./perçu trop tôt sur acomptes C/C"/>
    <n v="103.96"/>
    <n v="0"/>
    <n v="3212"/>
  </r>
  <r>
    <x v="1"/>
    <x v="4"/>
    <x v="4"/>
    <x v="85"/>
    <x v="78"/>
    <x v="78"/>
    <s v="CHARGES"/>
    <x v="0"/>
    <s v="3221.002"/>
    <s v="Intérêts compensatoires / créances en faveur ctb."/>
    <n v="275.17"/>
    <n v="0"/>
    <n v="3221"/>
  </r>
  <r>
    <x v="1"/>
    <x v="4"/>
    <x v="4"/>
    <x v="85"/>
    <x v="78"/>
    <x v="78"/>
    <s v="CHARGES"/>
    <x v="1"/>
    <s v="3301.002"/>
    <s v="Défalcation PM"/>
    <n v="61.01"/>
    <n v="0"/>
    <n v="3301"/>
  </r>
  <r>
    <x v="1"/>
    <x v="4"/>
    <x v="4"/>
    <x v="85"/>
    <x v="78"/>
    <x v="78"/>
    <s v="REVENUS"/>
    <x v="16"/>
    <s v="4012.001"/>
    <s v="Impôt capital ordinaire"/>
    <n v="0"/>
    <n v="3314.1"/>
    <n v="4012"/>
  </r>
  <r>
    <x v="1"/>
    <x v="4"/>
    <x v="4"/>
    <x v="85"/>
    <x v="78"/>
    <x v="78"/>
    <s v="REVENUS"/>
    <x v="16"/>
    <s v="4012.007"/>
    <s v="Acompte sur capital"/>
    <n v="0"/>
    <n v="1490"/>
    <n v="4012"/>
  </r>
  <r>
    <x v="1"/>
    <x v="4"/>
    <x v="4"/>
    <x v="85"/>
    <x v="78"/>
    <x v="78"/>
    <s v="REVENUS"/>
    <x v="6"/>
    <s v="4211.001"/>
    <s v="Intérêts de retard sur factures"/>
    <n v="0"/>
    <n v="10.62"/>
    <n v="4211"/>
  </r>
  <r>
    <x v="1"/>
    <x v="4"/>
    <x v="4"/>
    <x v="85"/>
    <x v="78"/>
    <x v="78"/>
    <s v="REVENUS"/>
    <x v="6"/>
    <s v="4211.002"/>
    <s v="Intérêts de retard sur acomptes"/>
    <n v="0"/>
    <n v="70.67"/>
    <n v="4211"/>
  </r>
  <r>
    <x v="1"/>
    <x v="4"/>
    <x v="4"/>
    <x v="85"/>
    <x v="78"/>
    <x v="78"/>
    <s v="REVENUS"/>
    <x v="17"/>
    <s v="4011.002"/>
    <s v="Complément impôt bénéfice ordinaire"/>
    <n v="0"/>
    <n v="3797.45"/>
    <n v="4011"/>
  </r>
  <r>
    <x v="1"/>
    <x v="4"/>
    <x v="4"/>
    <x v="85"/>
    <x v="78"/>
    <x v="78"/>
    <s v="REVENUS"/>
    <x v="17"/>
    <s v="4011.007"/>
    <s v="Acompte sur bénéfice"/>
    <n v="0"/>
    <n v="-8949.2000000000007"/>
    <n v="4011"/>
  </r>
  <r>
    <x v="1"/>
    <x v="4"/>
    <x v="4"/>
    <x v="85"/>
    <x v="78"/>
    <x v="78"/>
    <s v="REVENUS"/>
    <x v="17"/>
    <s v="4011.001"/>
    <s v="Impôt bénéfice ordinaire"/>
    <n v="0"/>
    <n v="36728.85"/>
    <n v="4011"/>
  </r>
  <r>
    <x v="1"/>
    <x v="4"/>
    <x v="4"/>
    <x v="85"/>
    <x v="78"/>
    <x v="78"/>
    <s v="REVENUS"/>
    <x v="6"/>
    <s v="4221.001"/>
    <s v="Intérêts compensat. / créances en faveur du fisc"/>
    <n v="0"/>
    <n v="14.83"/>
    <n v="4221"/>
  </r>
  <r>
    <x v="1"/>
    <x v="4"/>
    <x v="4"/>
    <x v="85"/>
    <x v="78"/>
    <x v="78"/>
    <s v="REVENUS"/>
    <x v="8"/>
    <s v="4091.001"/>
    <s v="Impôt récupéré après défalcations"/>
    <n v="0"/>
    <n v="61.01"/>
    <n v="4091"/>
  </r>
  <r>
    <x v="1"/>
    <x v="4"/>
    <x v="4"/>
    <x v="85"/>
    <x v="78"/>
    <x v="78"/>
    <s v="REVENUS"/>
    <x v="18"/>
    <s v="4013.003"/>
    <s v="Remboursement impôt complémentaire sur immeubles"/>
    <n v="0"/>
    <n v="-6822.55"/>
    <n v="4013"/>
  </r>
  <r>
    <x v="1"/>
    <x v="4"/>
    <x v="4"/>
    <x v="85"/>
    <x v="78"/>
    <x v="78"/>
    <s v="REVENUS"/>
    <x v="18"/>
    <s v="4013.001"/>
    <s v="Impôt complémentaire sur immeubles"/>
    <n v="0"/>
    <n v="23309"/>
    <n v="4013"/>
  </r>
  <r>
    <x v="1"/>
    <x v="4"/>
    <x v="4"/>
    <x v="86"/>
    <x v="79"/>
    <x v="79"/>
    <s v="CHARGES"/>
    <x v="0"/>
    <s v="3212.002"/>
    <s v="Intérêts bonifiés/trop perçu acompte C/C"/>
    <n v="0.04"/>
    <n v="0"/>
    <n v="3212"/>
  </r>
  <r>
    <x v="1"/>
    <x v="4"/>
    <x v="4"/>
    <x v="86"/>
    <x v="79"/>
    <x v="79"/>
    <s v="REVENUS"/>
    <x v="17"/>
    <s v="4011.002"/>
    <s v="Complément impôt bénéfice ordinaire"/>
    <n v="0"/>
    <n v="997.5"/>
    <n v="4011"/>
  </r>
  <r>
    <x v="1"/>
    <x v="4"/>
    <x v="4"/>
    <x v="86"/>
    <x v="79"/>
    <x v="79"/>
    <s v="REVENUS"/>
    <x v="17"/>
    <s v="4011.001"/>
    <s v="Impôt bénéfice ordinaire"/>
    <n v="0"/>
    <n v="-997.5"/>
    <n v="4011"/>
  </r>
  <r>
    <x v="1"/>
    <x v="4"/>
    <x v="4"/>
    <x v="88"/>
    <x v="80"/>
    <x v="80"/>
    <s v="CHARGES"/>
    <x v="0"/>
    <s v="3212.004"/>
    <s v="Intérêts rémun./perçu trop tôt sur acomptes C/C"/>
    <n v="4.74"/>
    <n v="0"/>
    <n v="3212"/>
  </r>
  <r>
    <x v="1"/>
    <x v="4"/>
    <x v="4"/>
    <x v="88"/>
    <x v="80"/>
    <x v="80"/>
    <s v="CHARGES"/>
    <x v="0"/>
    <s v="3221.002"/>
    <s v="Intérêts compensatoires / créances en faveur ctb."/>
    <n v="3.82"/>
    <n v="0"/>
    <n v="3221"/>
  </r>
  <r>
    <x v="1"/>
    <x v="4"/>
    <x v="4"/>
    <x v="88"/>
    <x v="80"/>
    <x v="80"/>
    <s v="CHARGES"/>
    <x v="1"/>
    <s v="3301.006"/>
    <s v="Abandon de solde PM"/>
    <n v="26.52"/>
    <n v="0"/>
    <n v="3301"/>
  </r>
  <r>
    <x v="1"/>
    <x v="4"/>
    <x v="4"/>
    <x v="88"/>
    <x v="80"/>
    <x v="80"/>
    <s v="CHARGES"/>
    <x v="0"/>
    <s v="3212.002"/>
    <s v="Intérêts bonifiés/trop perçu acompte C/C"/>
    <n v="0.05"/>
    <n v="0"/>
    <n v="3212"/>
  </r>
  <r>
    <x v="1"/>
    <x v="4"/>
    <x v="4"/>
    <x v="88"/>
    <x v="80"/>
    <x v="80"/>
    <s v="CHARGES"/>
    <x v="1"/>
    <s v="3301.002"/>
    <s v="Défalcation PM"/>
    <n v="8.9499999999999993"/>
    <n v="0"/>
    <n v="3301"/>
  </r>
  <r>
    <x v="1"/>
    <x v="4"/>
    <x v="4"/>
    <x v="88"/>
    <x v="80"/>
    <x v="80"/>
    <s v="REVENUS"/>
    <x v="17"/>
    <s v="4011.001"/>
    <s v="Impôt bénéfice ordinaire"/>
    <n v="0"/>
    <n v="4087.75"/>
    <n v="4011"/>
  </r>
  <r>
    <x v="1"/>
    <x v="4"/>
    <x v="4"/>
    <x v="88"/>
    <x v="80"/>
    <x v="80"/>
    <s v="REVENUS"/>
    <x v="17"/>
    <s v="4011.007"/>
    <s v="Acompte sur bénéfice"/>
    <n v="0"/>
    <n v="-275.25"/>
    <n v="4011"/>
  </r>
  <r>
    <x v="1"/>
    <x v="4"/>
    <x v="4"/>
    <x v="88"/>
    <x v="80"/>
    <x v="80"/>
    <s v="REVENUS"/>
    <x v="16"/>
    <s v="4012.007"/>
    <s v="Acompte sur capital"/>
    <n v="0"/>
    <n v="1503.6"/>
    <n v="4012"/>
  </r>
  <r>
    <x v="1"/>
    <x v="4"/>
    <x v="4"/>
    <x v="88"/>
    <x v="80"/>
    <x v="80"/>
    <s v="REVENUS"/>
    <x v="17"/>
    <s v="4011.002"/>
    <s v="Complément impôt bénéfice ordinaire"/>
    <n v="0"/>
    <n v="1094.7"/>
    <n v="4011"/>
  </r>
  <r>
    <x v="1"/>
    <x v="4"/>
    <x v="4"/>
    <x v="88"/>
    <x v="80"/>
    <x v="80"/>
    <s v="REVENUS"/>
    <x v="16"/>
    <s v="4012.001"/>
    <s v="Impôt capital ordinaire"/>
    <n v="0"/>
    <n v="455.05"/>
    <n v="4012"/>
  </r>
  <r>
    <x v="1"/>
    <x v="4"/>
    <x v="4"/>
    <x v="88"/>
    <x v="80"/>
    <x v="80"/>
    <s v="REVENUS"/>
    <x v="6"/>
    <s v="4211.002"/>
    <s v="Intérêts de retard sur acomptes"/>
    <n v="0"/>
    <n v="6.19"/>
    <n v="4211"/>
  </r>
  <r>
    <x v="1"/>
    <x v="4"/>
    <x v="4"/>
    <x v="88"/>
    <x v="80"/>
    <x v="80"/>
    <s v="REVENUS"/>
    <x v="6"/>
    <s v="4221.001"/>
    <s v="Intérêts compensat. / créances en faveur du fisc"/>
    <n v="0"/>
    <n v="5.0599999999999996"/>
    <n v="4221"/>
  </r>
  <r>
    <x v="1"/>
    <x v="4"/>
    <x v="4"/>
    <x v="88"/>
    <x v="80"/>
    <x v="80"/>
    <s v="REVENUS"/>
    <x v="7"/>
    <s v="4184.000"/>
    <s v="Frais de poursuite"/>
    <n v="0"/>
    <n v="33.46"/>
    <n v="4184"/>
  </r>
  <r>
    <x v="1"/>
    <x v="4"/>
    <x v="4"/>
    <x v="88"/>
    <x v="80"/>
    <x v="80"/>
    <s v="REVENUS"/>
    <x v="18"/>
    <s v="4013.003"/>
    <s v="Remboursement impôt complémentaire sur immeubles"/>
    <n v="0"/>
    <n v="-2313"/>
    <n v="4013"/>
  </r>
  <r>
    <x v="1"/>
    <x v="4"/>
    <x v="4"/>
    <x v="88"/>
    <x v="80"/>
    <x v="80"/>
    <s v="REVENUS"/>
    <x v="6"/>
    <s v="4211.001"/>
    <s v="Intérêts de retard sur factures"/>
    <n v="0"/>
    <n v="4.12"/>
    <n v="4211"/>
  </r>
  <r>
    <x v="1"/>
    <x v="4"/>
    <x v="4"/>
    <x v="88"/>
    <x v="80"/>
    <x v="80"/>
    <s v="REVENUS"/>
    <x v="18"/>
    <s v="4013.001"/>
    <s v="Impôt complémentaire sur immeubles"/>
    <n v="0"/>
    <n v="2515.75"/>
    <n v="4013"/>
  </r>
  <r>
    <x v="1"/>
    <x v="4"/>
    <x v="4"/>
    <x v="88"/>
    <x v="80"/>
    <x v="80"/>
    <s v="REVENUS"/>
    <x v="8"/>
    <s v="4091.001"/>
    <s v="Impôt récupéré après défalcations"/>
    <n v="0"/>
    <n v="8.9499999999999993"/>
    <n v="4091"/>
  </r>
  <r>
    <x v="1"/>
    <x v="4"/>
    <x v="4"/>
    <x v="89"/>
    <x v="73"/>
    <x v="73"/>
    <s v="REVENUS"/>
    <x v="17"/>
    <s v="4011.002"/>
    <s v="Complément impôt bénéfice ordinaire"/>
    <n v="0"/>
    <n v="64.599999999999994"/>
    <n v="4011"/>
  </r>
  <r>
    <x v="1"/>
    <x v="4"/>
    <x v="4"/>
    <x v="89"/>
    <x v="73"/>
    <x v="73"/>
    <s v="REVENUS"/>
    <x v="17"/>
    <s v="4011.001"/>
    <s v="Impôt bénéfice ordinaire"/>
    <n v="0"/>
    <n v="-64.599999999999994"/>
    <n v="4011"/>
  </r>
  <r>
    <x v="1"/>
    <x v="4"/>
    <x v="4"/>
    <x v="90"/>
    <x v="81"/>
    <x v="81"/>
    <s v="CHARGES"/>
    <x v="0"/>
    <s v="3221.002"/>
    <s v="Intérêts compensatoires / créances en faveur ctb."/>
    <n v="28.01"/>
    <n v="0"/>
    <n v="3221"/>
  </r>
  <r>
    <x v="1"/>
    <x v="4"/>
    <x v="4"/>
    <x v="90"/>
    <x v="81"/>
    <x v="81"/>
    <s v="CHARGES"/>
    <x v="0"/>
    <s v="3212.004"/>
    <s v="Intérêts rémun./perçu trop tôt sur acomptes C/C"/>
    <n v="16.11"/>
    <n v="0"/>
    <n v="3212"/>
  </r>
  <r>
    <x v="1"/>
    <x v="4"/>
    <x v="4"/>
    <x v="90"/>
    <x v="81"/>
    <x v="81"/>
    <s v="CHARGES"/>
    <x v="0"/>
    <s v="3212.002"/>
    <s v="Intérêts bonifiés/trop perçu acompte C/C"/>
    <n v="0.09"/>
    <n v="0"/>
    <n v="3212"/>
  </r>
  <r>
    <x v="1"/>
    <x v="4"/>
    <x v="4"/>
    <x v="90"/>
    <x v="81"/>
    <x v="81"/>
    <s v="CHARGES"/>
    <x v="1"/>
    <s v="3301.006"/>
    <s v="Abandon de solde PM"/>
    <n v="1.95"/>
    <n v="0"/>
    <n v="3301"/>
  </r>
  <r>
    <x v="1"/>
    <x v="4"/>
    <x v="4"/>
    <x v="90"/>
    <x v="81"/>
    <x v="81"/>
    <s v="REVENUS"/>
    <x v="16"/>
    <s v="4012.001"/>
    <s v="Impôt capital ordinaire"/>
    <n v="0"/>
    <n v="613.9"/>
    <n v="4012"/>
  </r>
  <r>
    <x v="1"/>
    <x v="4"/>
    <x v="4"/>
    <x v="90"/>
    <x v="81"/>
    <x v="81"/>
    <s v="REVENUS"/>
    <x v="16"/>
    <s v="4012.007"/>
    <s v="Acompte sur capital"/>
    <n v="0"/>
    <n v="1024.6500000000001"/>
    <n v="4012"/>
  </r>
  <r>
    <x v="1"/>
    <x v="4"/>
    <x v="4"/>
    <x v="90"/>
    <x v="81"/>
    <x v="81"/>
    <s v="REVENUS"/>
    <x v="6"/>
    <s v="4211.002"/>
    <s v="Intérêts de retard sur acomptes"/>
    <n v="0"/>
    <n v="11.6"/>
    <n v="4211"/>
  </r>
  <r>
    <x v="1"/>
    <x v="4"/>
    <x v="4"/>
    <x v="90"/>
    <x v="81"/>
    <x v="81"/>
    <s v="REVENUS"/>
    <x v="17"/>
    <s v="4011.001"/>
    <s v="Impôt bénéfice ordinaire"/>
    <n v="0"/>
    <n v="7714.85"/>
    <n v="4011"/>
  </r>
  <r>
    <x v="1"/>
    <x v="4"/>
    <x v="4"/>
    <x v="90"/>
    <x v="81"/>
    <x v="81"/>
    <s v="REVENUS"/>
    <x v="17"/>
    <s v="4011.002"/>
    <s v="Complément impôt bénéfice ordinaire"/>
    <n v="0"/>
    <n v="9427.6"/>
    <n v="4011"/>
  </r>
  <r>
    <x v="1"/>
    <x v="4"/>
    <x v="4"/>
    <x v="90"/>
    <x v="81"/>
    <x v="81"/>
    <s v="REVENUS"/>
    <x v="6"/>
    <s v="4211.001"/>
    <s v="Intérêts de retard sur factures"/>
    <n v="0"/>
    <n v="17.559999999999999"/>
    <n v="4211"/>
  </r>
  <r>
    <x v="1"/>
    <x v="4"/>
    <x v="4"/>
    <x v="90"/>
    <x v="81"/>
    <x v="81"/>
    <s v="REVENUS"/>
    <x v="6"/>
    <s v="4221.001"/>
    <s v="Intérêts compensat. / créances en faveur du fisc"/>
    <n v="0"/>
    <n v="-59.26"/>
    <n v="4221"/>
  </r>
  <r>
    <x v="1"/>
    <x v="4"/>
    <x v="4"/>
    <x v="90"/>
    <x v="81"/>
    <x v="81"/>
    <s v="REVENUS"/>
    <x v="17"/>
    <s v="4011.007"/>
    <s v="Acompte sur bénéfice"/>
    <n v="0"/>
    <n v="-6713.75"/>
    <n v="4011"/>
  </r>
  <r>
    <x v="1"/>
    <x v="4"/>
    <x v="4"/>
    <x v="90"/>
    <x v="81"/>
    <x v="81"/>
    <s v="REVENUS"/>
    <x v="7"/>
    <s v="4184.000"/>
    <s v="Frais de poursuite"/>
    <n v="0"/>
    <n v="41.34"/>
    <n v="4184"/>
  </r>
  <r>
    <x v="1"/>
    <x v="4"/>
    <x v="4"/>
    <x v="90"/>
    <x v="81"/>
    <x v="81"/>
    <s v="REVENUS"/>
    <x v="10"/>
    <s v="4041.001"/>
    <s v="Droits de mutation"/>
    <n v="0"/>
    <n v="165"/>
    <n v="4041"/>
  </r>
  <r>
    <x v="1"/>
    <x v="4"/>
    <x v="4"/>
    <x v="90"/>
    <x v="81"/>
    <x v="81"/>
    <s v="REVENUS"/>
    <x v="11"/>
    <s v="4198.001"/>
    <s v="Impôt foncier"/>
    <n v="0"/>
    <n v="7863.55"/>
    <n v="4198"/>
  </r>
  <r>
    <x v="1"/>
    <x v="4"/>
    <x v="4"/>
    <x v="90"/>
    <x v="81"/>
    <x v="81"/>
    <s v="REVENUS"/>
    <x v="18"/>
    <s v="4013.001"/>
    <s v="Impôt complémentaire sur immeubles"/>
    <n v="0"/>
    <n v="2922.75"/>
    <n v="4013"/>
  </r>
  <r>
    <x v="1"/>
    <x v="4"/>
    <x v="4"/>
    <x v="91"/>
    <x v="82"/>
    <x v="82"/>
    <s v="CHARGES"/>
    <x v="1"/>
    <s v="3301.006"/>
    <s v="Abandon de solde PM"/>
    <n v="6.27"/>
    <n v="0"/>
    <n v="3301"/>
  </r>
  <r>
    <x v="1"/>
    <x v="4"/>
    <x v="4"/>
    <x v="91"/>
    <x v="82"/>
    <x v="82"/>
    <s v="CHARGES"/>
    <x v="0"/>
    <s v="3212.002"/>
    <s v="Intérêts bonifiés/trop perçu acompte C/C"/>
    <n v="0.03"/>
    <n v="0"/>
    <n v="3212"/>
  </r>
  <r>
    <x v="1"/>
    <x v="4"/>
    <x v="4"/>
    <x v="91"/>
    <x v="82"/>
    <x v="82"/>
    <s v="CHARGES"/>
    <x v="0"/>
    <s v="3212.004"/>
    <s v="Intérêts rémun./perçu trop tôt sur acomptes C/C"/>
    <n v="36.21"/>
    <n v="0"/>
    <n v="3212"/>
  </r>
  <r>
    <x v="1"/>
    <x v="4"/>
    <x v="4"/>
    <x v="91"/>
    <x v="82"/>
    <x v="82"/>
    <s v="CHARGES"/>
    <x v="0"/>
    <s v="3221.002"/>
    <s v="Intérêts compensatoires / créances en faveur ctb."/>
    <n v="19.14"/>
    <n v="0"/>
    <n v="3221"/>
  </r>
  <r>
    <x v="1"/>
    <x v="4"/>
    <x v="4"/>
    <x v="91"/>
    <x v="82"/>
    <x v="82"/>
    <s v="REVENUS"/>
    <x v="6"/>
    <s v="4211.001"/>
    <s v="Intérêts de retard sur factures"/>
    <n v="0"/>
    <n v="44.68"/>
    <n v="4211"/>
  </r>
  <r>
    <x v="1"/>
    <x v="4"/>
    <x v="4"/>
    <x v="91"/>
    <x v="82"/>
    <x v="82"/>
    <s v="REVENUS"/>
    <x v="17"/>
    <s v="4011.002"/>
    <s v="Complément impôt bénéfice ordinaire"/>
    <n v="0"/>
    <n v="637.95000000000005"/>
    <n v="4011"/>
  </r>
  <r>
    <x v="1"/>
    <x v="4"/>
    <x v="4"/>
    <x v="91"/>
    <x v="82"/>
    <x v="82"/>
    <s v="REVENUS"/>
    <x v="17"/>
    <s v="4011.001"/>
    <s v="Impôt bénéfice ordinaire"/>
    <n v="0"/>
    <n v="115906"/>
    <n v="4011"/>
  </r>
  <r>
    <x v="1"/>
    <x v="4"/>
    <x v="4"/>
    <x v="91"/>
    <x v="82"/>
    <x v="82"/>
    <s v="REVENUS"/>
    <x v="7"/>
    <s v="4184.000"/>
    <s v="Frais de poursuite"/>
    <n v="0"/>
    <n v="50.96"/>
    <n v="4184"/>
  </r>
  <r>
    <x v="1"/>
    <x v="4"/>
    <x v="4"/>
    <x v="91"/>
    <x v="82"/>
    <x v="82"/>
    <s v="REVENUS"/>
    <x v="6"/>
    <s v="4211.002"/>
    <s v="Intérêts de retard sur acomptes"/>
    <n v="0"/>
    <n v="452.09"/>
    <n v="4211"/>
  </r>
  <r>
    <x v="1"/>
    <x v="4"/>
    <x v="4"/>
    <x v="91"/>
    <x v="82"/>
    <x v="82"/>
    <s v="REVENUS"/>
    <x v="16"/>
    <s v="4012.001"/>
    <s v="Impôt capital ordinaire"/>
    <n v="0"/>
    <n v="73"/>
    <n v="4012"/>
  </r>
  <r>
    <x v="1"/>
    <x v="4"/>
    <x v="4"/>
    <x v="91"/>
    <x v="82"/>
    <x v="82"/>
    <s v="REVENUS"/>
    <x v="16"/>
    <s v="4012.007"/>
    <s v="Acompte sur capital"/>
    <n v="0"/>
    <n v="260.14999999999998"/>
    <n v="4012"/>
  </r>
  <r>
    <x v="1"/>
    <x v="4"/>
    <x v="4"/>
    <x v="91"/>
    <x v="82"/>
    <x v="82"/>
    <s v="REVENUS"/>
    <x v="17"/>
    <s v="4011.007"/>
    <s v="Acompte sur bénéfice"/>
    <n v="0"/>
    <n v="-88251.9"/>
    <n v="4011"/>
  </r>
  <r>
    <x v="1"/>
    <x v="4"/>
    <x v="4"/>
    <x v="91"/>
    <x v="82"/>
    <x v="82"/>
    <s v="REVENUS"/>
    <x v="6"/>
    <s v="4221.001"/>
    <s v="Intérêts compensat. / créances en faveur du fisc"/>
    <n v="0"/>
    <n v="27.2"/>
    <n v="4221"/>
  </r>
  <r>
    <x v="1"/>
    <x v="4"/>
    <x v="4"/>
    <x v="91"/>
    <x v="82"/>
    <x v="82"/>
    <s v="REVENUS"/>
    <x v="18"/>
    <s v="4013.003"/>
    <s v="Remboursement impôt complémentaire sur immeubles"/>
    <n v="0"/>
    <n v="-123"/>
    <n v="4013"/>
  </r>
  <r>
    <x v="1"/>
    <x v="4"/>
    <x v="4"/>
    <x v="91"/>
    <x v="82"/>
    <x v="82"/>
    <s v="REVENUS"/>
    <x v="18"/>
    <s v="4013.001"/>
    <s v="Impôt complémentaire sur immeubles"/>
    <n v="0"/>
    <n v="797.5"/>
    <n v="4013"/>
  </r>
  <r>
    <x v="1"/>
    <x v="4"/>
    <x v="4"/>
    <x v="92"/>
    <x v="83"/>
    <x v="83"/>
    <s v="CHARGES"/>
    <x v="1"/>
    <s v="3301.006"/>
    <s v="Abandon de solde PM"/>
    <n v="5.71"/>
    <n v="0"/>
    <n v="3301"/>
  </r>
  <r>
    <x v="1"/>
    <x v="4"/>
    <x v="4"/>
    <x v="92"/>
    <x v="83"/>
    <x v="83"/>
    <s v="CHARGES"/>
    <x v="0"/>
    <s v="3212.002"/>
    <s v="Intérêts bonifiés/trop perçu acompte C/C"/>
    <n v="7.0000000000000007E-2"/>
    <n v="0"/>
    <n v="3212"/>
  </r>
  <r>
    <x v="1"/>
    <x v="4"/>
    <x v="4"/>
    <x v="92"/>
    <x v="83"/>
    <x v="83"/>
    <s v="CHARGES"/>
    <x v="0"/>
    <s v="3221.002"/>
    <s v="Intérêts compensatoires / créances en faveur ctb."/>
    <n v="13.35"/>
    <n v="0"/>
    <n v="3221"/>
  </r>
  <r>
    <x v="1"/>
    <x v="4"/>
    <x v="4"/>
    <x v="92"/>
    <x v="83"/>
    <x v="83"/>
    <s v="CHARGES"/>
    <x v="0"/>
    <s v="3212.004"/>
    <s v="Intérêts rémun./perçu trop tôt sur acomptes C/C"/>
    <n v="4.83"/>
    <n v="0"/>
    <n v="3212"/>
  </r>
  <r>
    <x v="1"/>
    <x v="4"/>
    <x v="4"/>
    <x v="92"/>
    <x v="83"/>
    <x v="83"/>
    <s v="CHARGES"/>
    <x v="1"/>
    <s v="3301.002"/>
    <s v="Défalcation PM"/>
    <n v="186.92"/>
    <n v="0"/>
    <n v="3301"/>
  </r>
  <r>
    <x v="1"/>
    <x v="4"/>
    <x v="4"/>
    <x v="92"/>
    <x v="83"/>
    <x v="83"/>
    <s v="REVENUS"/>
    <x v="16"/>
    <s v="4012.007"/>
    <s v="Acompte sur capital"/>
    <n v="0"/>
    <n v="-37.049999999999997"/>
    <n v="4012"/>
  </r>
  <r>
    <x v="1"/>
    <x v="4"/>
    <x v="4"/>
    <x v="92"/>
    <x v="83"/>
    <x v="83"/>
    <s v="REVENUS"/>
    <x v="16"/>
    <s v="4012.001"/>
    <s v="Impôt capital ordinaire"/>
    <n v="0"/>
    <n v="757.65"/>
    <n v="4012"/>
  </r>
  <r>
    <x v="1"/>
    <x v="4"/>
    <x v="4"/>
    <x v="92"/>
    <x v="83"/>
    <x v="83"/>
    <s v="REVENUS"/>
    <x v="6"/>
    <s v="4211.002"/>
    <s v="Intérêts de retard sur acomptes"/>
    <n v="0"/>
    <n v="13.64"/>
    <n v="4211"/>
  </r>
  <r>
    <x v="1"/>
    <x v="4"/>
    <x v="4"/>
    <x v="92"/>
    <x v="83"/>
    <x v="83"/>
    <s v="REVENUS"/>
    <x v="6"/>
    <s v="4221.001"/>
    <s v="Intérêts compensat. / créances en faveur du fisc"/>
    <n v="0"/>
    <n v="2.69"/>
    <n v="4221"/>
  </r>
  <r>
    <x v="1"/>
    <x v="4"/>
    <x v="4"/>
    <x v="92"/>
    <x v="83"/>
    <x v="83"/>
    <s v="REVENUS"/>
    <x v="17"/>
    <s v="4011.002"/>
    <s v="Complément impôt bénéfice ordinaire"/>
    <n v="0"/>
    <n v="1573.6"/>
    <n v="4011"/>
  </r>
  <r>
    <x v="1"/>
    <x v="4"/>
    <x v="4"/>
    <x v="92"/>
    <x v="83"/>
    <x v="83"/>
    <s v="REVENUS"/>
    <x v="17"/>
    <s v="4011.001"/>
    <s v="Impôt bénéfice ordinaire"/>
    <n v="0"/>
    <n v="8980.35"/>
    <n v="4011"/>
  </r>
  <r>
    <x v="1"/>
    <x v="4"/>
    <x v="4"/>
    <x v="92"/>
    <x v="83"/>
    <x v="83"/>
    <s v="REVENUS"/>
    <x v="17"/>
    <s v="4011.007"/>
    <s v="Acompte sur bénéfice"/>
    <n v="0"/>
    <n v="-2057.35"/>
    <n v="4011"/>
  </r>
  <r>
    <x v="1"/>
    <x v="4"/>
    <x v="4"/>
    <x v="92"/>
    <x v="83"/>
    <x v="83"/>
    <s v="REVENUS"/>
    <x v="18"/>
    <s v="4013.003"/>
    <s v="Remboursement impôt complémentaire sur immeubles"/>
    <n v="0"/>
    <n v="-1240"/>
    <n v="4013"/>
  </r>
  <r>
    <x v="1"/>
    <x v="4"/>
    <x v="4"/>
    <x v="92"/>
    <x v="83"/>
    <x v="83"/>
    <s v="REVENUS"/>
    <x v="7"/>
    <s v="4184.000"/>
    <s v="Frais de poursuite"/>
    <n v="0"/>
    <n v="37.799999999999997"/>
    <n v="4184"/>
  </r>
  <r>
    <x v="1"/>
    <x v="4"/>
    <x v="4"/>
    <x v="92"/>
    <x v="83"/>
    <x v="83"/>
    <s v="REVENUS"/>
    <x v="6"/>
    <s v="4211.001"/>
    <s v="Intérêts de retard sur factures"/>
    <n v="0"/>
    <n v="4.7"/>
    <n v="4211"/>
  </r>
  <r>
    <x v="1"/>
    <x v="4"/>
    <x v="4"/>
    <x v="92"/>
    <x v="83"/>
    <x v="83"/>
    <s v="REVENUS"/>
    <x v="8"/>
    <s v="4091.001"/>
    <s v="Impôt récupéré après défalcations"/>
    <n v="0"/>
    <n v="106.02"/>
    <n v="4091"/>
  </r>
  <r>
    <x v="1"/>
    <x v="4"/>
    <x v="4"/>
    <x v="92"/>
    <x v="83"/>
    <x v="83"/>
    <s v="REVENUS"/>
    <x v="18"/>
    <s v="4013.001"/>
    <s v="Impôt complémentaire sur immeubles"/>
    <n v="0"/>
    <n v="887.75"/>
    <n v="4013"/>
  </r>
  <r>
    <x v="1"/>
    <x v="4"/>
    <x v="4"/>
    <x v="93"/>
    <x v="73"/>
    <x v="73"/>
    <s v="CHARGES"/>
    <x v="0"/>
    <s v="3212.002"/>
    <s v="Intérêts bonifiés/trop perçu acompte C/C"/>
    <n v="0.01"/>
    <n v="0"/>
    <n v="3212"/>
  </r>
  <r>
    <x v="1"/>
    <x v="4"/>
    <x v="4"/>
    <x v="93"/>
    <x v="73"/>
    <x v="73"/>
    <s v="REVENUS"/>
    <x v="17"/>
    <s v="4011.002"/>
    <s v="Complément impôt bénéfice ordinaire"/>
    <n v="0"/>
    <n v="326.05"/>
    <n v="4011"/>
  </r>
  <r>
    <x v="1"/>
    <x v="4"/>
    <x v="4"/>
    <x v="93"/>
    <x v="73"/>
    <x v="73"/>
    <s v="REVENUS"/>
    <x v="17"/>
    <s v="4011.001"/>
    <s v="Impôt bénéfice ordinaire"/>
    <n v="0"/>
    <n v="-326.05"/>
    <n v="4011"/>
  </r>
  <r>
    <x v="1"/>
    <x v="4"/>
    <x v="4"/>
    <x v="94"/>
    <x v="84"/>
    <x v="84"/>
    <s v="CHARGES"/>
    <x v="1"/>
    <s v="3301.006"/>
    <s v="Abandon de solde PM"/>
    <n v="10.58"/>
    <n v="0"/>
    <n v="3301"/>
  </r>
  <r>
    <x v="1"/>
    <x v="4"/>
    <x v="4"/>
    <x v="94"/>
    <x v="84"/>
    <x v="84"/>
    <s v="CHARGES"/>
    <x v="0"/>
    <s v="3212.004"/>
    <s v="Intérêts rémun./perçu trop tôt sur acomptes C/C"/>
    <n v="9.3800000000000008"/>
    <n v="0"/>
    <n v="3212"/>
  </r>
  <r>
    <x v="1"/>
    <x v="4"/>
    <x v="4"/>
    <x v="94"/>
    <x v="84"/>
    <x v="84"/>
    <s v="CHARGES"/>
    <x v="0"/>
    <s v="3221.002"/>
    <s v="Intérêts compensatoires / créances en faveur ctb."/>
    <n v="8.5399999999999991"/>
    <n v="0"/>
    <n v="3221"/>
  </r>
  <r>
    <x v="1"/>
    <x v="4"/>
    <x v="4"/>
    <x v="94"/>
    <x v="84"/>
    <x v="84"/>
    <s v="CHARGES"/>
    <x v="0"/>
    <s v="3212.002"/>
    <s v="Intérêts bonifiés/trop perçu acompte C/C"/>
    <n v="0.01"/>
    <n v="0"/>
    <n v="3212"/>
  </r>
  <r>
    <x v="1"/>
    <x v="4"/>
    <x v="4"/>
    <x v="94"/>
    <x v="84"/>
    <x v="84"/>
    <s v="CHARGES"/>
    <x v="1"/>
    <s v="3301.002"/>
    <s v="Défalcation PM"/>
    <n v="55.75"/>
    <n v="0"/>
    <n v="3301"/>
  </r>
  <r>
    <x v="1"/>
    <x v="4"/>
    <x v="4"/>
    <x v="94"/>
    <x v="84"/>
    <x v="84"/>
    <s v="REVENUS"/>
    <x v="6"/>
    <s v="4211.001"/>
    <s v="Intérêts de retard sur factures"/>
    <n v="0"/>
    <n v="30.38"/>
    <n v="4211"/>
  </r>
  <r>
    <x v="1"/>
    <x v="4"/>
    <x v="4"/>
    <x v="94"/>
    <x v="84"/>
    <x v="84"/>
    <s v="REVENUS"/>
    <x v="17"/>
    <s v="4011.001"/>
    <s v="Impôt bénéfice ordinaire"/>
    <n v="0"/>
    <n v="44772.2"/>
    <n v="4011"/>
  </r>
  <r>
    <x v="1"/>
    <x v="4"/>
    <x v="4"/>
    <x v="94"/>
    <x v="84"/>
    <x v="84"/>
    <s v="REVENUS"/>
    <x v="17"/>
    <s v="4011.007"/>
    <s v="Acompte sur bénéfice"/>
    <n v="0"/>
    <n v="16097.05"/>
    <n v="4011"/>
  </r>
  <r>
    <x v="1"/>
    <x v="4"/>
    <x v="4"/>
    <x v="94"/>
    <x v="84"/>
    <x v="84"/>
    <s v="REVENUS"/>
    <x v="6"/>
    <s v="4221.001"/>
    <s v="Intérêts compensat. / créances en faveur du fisc"/>
    <n v="0"/>
    <n v="15.84"/>
    <n v="4221"/>
  </r>
  <r>
    <x v="1"/>
    <x v="4"/>
    <x v="4"/>
    <x v="94"/>
    <x v="84"/>
    <x v="84"/>
    <s v="REVENUS"/>
    <x v="6"/>
    <s v="4211.002"/>
    <s v="Intérêts de retard sur acomptes"/>
    <n v="0"/>
    <n v="28"/>
    <n v="4211"/>
  </r>
  <r>
    <x v="1"/>
    <x v="4"/>
    <x v="4"/>
    <x v="94"/>
    <x v="84"/>
    <x v="84"/>
    <s v="REVENUS"/>
    <x v="17"/>
    <s v="4011.002"/>
    <s v="Complément impôt bénéfice ordinaire"/>
    <n v="0"/>
    <n v="249.4"/>
    <n v="4011"/>
  </r>
  <r>
    <x v="1"/>
    <x v="4"/>
    <x v="4"/>
    <x v="94"/>
    <x v="84"/>
    <x v="84"/>
    <s v="REVENUS"/>
    <x v="16"/>
    <s v="4012.001"/>
    <s v="Impôt capital ordinaire"/>
    <n v="0"/>
    <n v="534.45000000000005"/>
    <n v="4012"/>
  </r>
  <r>
    <x v="1"/>
    <x v="4"/>
    <x v="4"/>
    <x v="94"/>
    <x v="84"/>
    <x v="84"/>
    <s v="REVENUS"/>
    <x v="16"/>
    <s v="4012.007"/>
    <s v="Acompte sur capital"/>
    <n v="0"/>
    <n v="12.3"/>
    <n v="4012"/>
  </r>
  <r>
    <x v="1"/>
    <x v="4"/>
    <x v="4"/>
    <x v="94"/>
    <x v="84"/>
    <x v="84"/>
    <s v="REVENUS"/>
    <x v="8"/>
    <s v="4091.001"/>
    <s v="Impôt récupéré après défalcations"/>
    <n v="0"/>
    <n v="55.75"/>
    <n v="4091"/>
  </r>
  <r>
    <x v="1"/>
    <x v="4"/>
    <x v="4"/>
    <x v="94"/>
    <x v="84"/>
    <x v="84"/>
    <s v="REVENUS"/>
    <x v="18"/>
    <s v="4013.003"/>
    <s v="Remboursement impôt complémentaire sur immeubles"/>
    <n v="0"/>
    <n v="-80.599999999999994"/>
    <n v="4013"/>
  </r>
  <r>
    <x v="1"/>
    <x v="4"/>
    <x v="4"/>
    <x v="94"/>
    <x v="84"/>
    <x v="84"/>
    <s v="REVENUS"/>
    <x v="18"/>
    <s v="4013.001"/>
    <s v="Impôt complémentaire sur immeubles"/>
    <n v="0"/>
    <n v="9135.5"/>
    <n v="4013"/>
  </r>
  <r>
    <x v="1"/>
    <x v="4"/>
    <x v="4"/>
    <x v="95"/>
    <x v="85"/>
    <x v="85"/>
    <s v="CHARGES"/>
    <x v="0"/>
    <s v="3212.002"/>
    <s v="Intérêts bonifiés/trop perçu acompte C/C"/>
    <n v="0.15"/>
    <n v="0"/>
    <n v="3212"/>
  </r>
  <r>
    <x v="1"/>
    <x v="4"/>
    <x v="4"/>
    <x v="95"/>
    <x v="85"/>
    <x v="85"/>
    <s v="CHARGES"/>
    <x v="1"/>
    <s v="3301.006"/>
    <s v="Abandon de solde PM"/>
    <n v="4.59"/>
    <n v="0"/>
    <n v="3301"/>
  </r>
  <r>
    <x v="1"/>
    <x v="4"/>
    <x v="4"/>
    <x v="95"/>
    <x v="85"/>
    <x v="85"/>
    <s v="CHARGES"/>
    <x v="0"/>
    <s v="3212.004"/>
    <s v="Intérêts rémun./perçu trop tôt sur acomptes C/C"/>
    <n v="2.82"/>
    <n v="0"/>
    <n v="3212"/>
  </r>
  <r>
    <x v="1"/>
    <x v="4"/>
    <x v="4"/>
    <x v="95"/>
    <x v="85"/>
    <x v="85"/>
    <s v="CHARGES"/>
    <x v="0"/>
    <s v="3221.002"/>
    <s v="Intérêts compensatoires / créances en faveur ctb."/>
    <n v="7.97"/>
    <n v="0"/>
    <n v="3221"/>
  </r>
  <r>
    <x v="1"/>
    <x v="4"/>
    <x v="4"/>
    <x v="95"/>
    <x v="85"/>
    <x v="85"/>
    <s v="REVENUS"/>
    <x v="17"/>
    <s v="4011.002"/>
    <s v="Complément impôt bénéfice ordinaire"/>
    <n v="0"/>
    <n v="3664.8"/>
    <n v="4011"/>
  </r>
  <r>
    <x v="1"/>
    <x v="4"/>
    <x v="4"/>
    <x v="95"/>
    <x v="85"/>
    <x v="85"/>
    <s v="REVENUS"/>
    <x v="17"/>
    <s v="4011.001"/>
    <s v="Impôt bénéfice ordinaire"/>
    <n v="0"/>
    <n v="2193.3000000000002"/>
    <n v="4011"/>
  </r>
  <r>
    <x v="1"/>
    <x v="4"/>
    <x v="4"/>
    <x v="95"/>
    <x v="85"/>
    <x v="85"/>
    <s v="REVENUS"/>
    <x v="10"/>
    <s v="4041.001"/>
    <s v="Droits de mutation"/>
    <n v="0"/>
    <n v="6820"/>
    <n v="4041"/>
  </r>
  <r>
    <x v="1"/>
    <x v="4"/>
    <x v="4"/>
    <x v="95"/>
    <x v="85"/>
    <x v="85"/>
    <s v="REVENUS"/>
    <x v="6"/>
    <s v="4211.001"/>
    <s v="Intérêts de retard sur factures"/>
    <n v="0"/>
    <n v="0"/>
    <n v="4211"/>
  </r>
  <r>
    <x v="1"/>
    <x v="4"/>
    <x v="4"/>
    <x v="95"/>
    <x v="85"/>
    <x v="85"/>
    <s v="REVENUS"/>
    <x v="17"/>
    <s v="4011.007"/>
    <s v="Acompte sur bénéfice"/>
    <n v="0"/>
    <n v="41580.199999999997"/>
    <n v="4011"/>
  </r>
  <r>
    <x v="1"/>
    <x v="4"/>
    <x v="4"/>
    <x v="95"/>
    <x v="85"/>
    <x v="85"/>
    <s v="REVENUS"/>
    <x v="16"/>
    <s v="4012.007"/>
    <s v="Acompte sur capital"/>
    <n v="0"/>
    <n v="-413.1"/>
    <n v="4012"/>
  </r>
  <r>
    <x v="1"/>
    <x v="4"/>
    <x v="4"/>
    <x v="95"/>
    <x v="85"/>
    <x v="85"/>
    <s v="REVENUS"/>
    <x v="16"/>
    <s v="4012.001"/>
    <s v="Impôt capital ordinaire"/>
    <n v="0"/>
    <n v="58.25"/>
    <n v="4012"/>
  </r>
  <r>
    <x v="1"/>
    <x v="4"/>
    <x v="4"/>
    <x v="95"/>
    <x v="85"/>
    <x v="85"/>
    <s v="REVENUS"/>
    <x v="6"/>
    <s v="4211.002"/>
    <s v="Intérêts de retard sur acomptes"/>
    <n v="0"/>
    <n v="8.7200000000000006"/>
    <n v="4211"/>
  </r>
  <r>
    <x v="1"/>
    <x v="4"/>
    <x v="4"/>
    <x v="95"/>
    <x v="85"/>
    <x v="85"/>
    <s v="REVENUS"/>
    <x v="6"/>
    <s v="4221.001"/>
    <s v="Intérêts compensat. / créances en faveur du fisc"/>
    <n v="0"/>
    <n v="1.91"/>
    <n v="4221"/>
  </r>
  <r>
    <x v="1"/>
    <x v="4"/>
    <x v="4"/>
    <x v="95"/>
    <x v="85"/>
    <x v="85"/>
    <s v="REVENUS"/>
    <x v="18"/>
    <s v="4013.001"/>
    <s v="Impôt complémentaire sur immeubles"/>
    <n v="0"/>
    <n v="861"/>
    <n v="4013"/>
  </r>
  <r>
    <x v="1"/>
    <x v="4"/>
    <x v="4"/>
    <x v="96"/>
    <x v="86"/>
    <x v="86"/>
    <s v="CHARGES"/>
    <x v="0"/>
    <s v="3221.002"/>
    <s v="Intérêts compensatoires / créances en faveur ctb."/>
    <n v="12.64"/>
    <n v="0"/>
    <n v="3221"/>
  </r>
  <r>
    <x v="1"/>
    <x v="4"/>
    <x v="4"/>
    <x v="96"/>
    <x v="86"/>
    <x v="86"/>
    <s v="CHARGES"/>
    <x v="1"/>
    <s v="3301.006"/>
    <s v="Abandon de solde PM"/>
    <n v="14.36"/>
    <n v="0"/>
    <n v="3301"/>
  </r>
  <r>
    <x v="1"/>
    <x v="4"/>
    <x v="4"/>
    <x v="96"/>
    <x v="86"/>
    <x v="86"/>
    <s v="CHARGES"/>
    <x v="0"/>
    <s v="3212.004"/>
    <s v="Intérêts rémun./perçu trop tôt sur acomptes C/C"/>
    <n v="9"/>
    <n v="0"/>
    <n v="3212"/>
  </r>
  <r>
    <x v="1"/>
    <x v="4"/>
    <x v="4"/>
    <x v="96"/>
    <x v="86"/>
    <x v="86"/>
    <s v="CHARGES"/>
    <x v="0"/>
    <s v="3212.002"/>
    <s v="Intérêts bonifiés/trop perçu acompte C/C"/>
    <n v="0.09"/>
    <n v="0"/>
    <n v="3212"/>
  </r>
  <r>
    <x v="1"/>
    <x v="4"/>
    <x v="4"/>
    <x v="96"/>
    <x v="86"/>
    <x v="86"/>
    <s v="REVENUS"/>
    <x v="17"/>
    <s v="4011.001"/>
    <s v="Impôt bénéfice ordinaire"/>
    <n v="0"/>
    <n v="5160.75"/>
    <n v="4011"/>
  </r>
  <r>
    <x v="1"/>
    <x v="4"/>
    <x v="4"/>
    <x v="96"/>
    <x v="86"/>
    <x v="86"/>
    <s v="REVENUS"/>
    <x v="17"/>
    <s v="4011.002"/>
    <s v="Complément impôt bénéfice ordinaire"/>
    <n v="0"/>
    <n v="2886.9"/>
    <n v="4011"/>
  </r>
  <r>
    <x v="1"/>
    <x v="4"/>
    <x v="4"/>
    <x v="96"/>
    <x v="86"/>
    <x v="86"/>
    <s v="REVENUS"/>
    <x v="6"/>
    <s v="4211.001"/>
    <s v="Intérêts de retard sur factures"/>
    <n v="0"/>
    <n v="24.69"/>
    <n v="4211"/>
  </r>
  <r>
    <x v="1"/>
    <x v="4"/>
    <x v="4"/>
    <x v="96"/>
    <x v="86"/>
    <x v="86"/>
    <s v="REVENUS"/>
    <x v="6"/>
    <s v="4221.001"/>
    <s v="Intérêts compensat. / créances en faveur du fisc"/>
    <n v="0"/>
    <n v="21.35"/>
    <n v="4221"/>
  </r>
  <r>
    <x v="1"/>
    <x v="4"/>
    <x v="4"/>
    <x v="96"/>
    <x v="86"/>
    <x v="86"/>
    <s v="REVENUS"/>
    <x v="16"/>
    <s v="4012.001"/>
    <s v="Impôt capital ordinaire"/>
    <n v="0"/>
    <n v="8649.1"/>
    <n v="4012"/>
  </r>
  <r>
    <x v="1"/>
    <x v="4"/>
    <x v="4"/>
    <x v="96"/>
    <x v="86"/>
    <x v="86"/>
    <s v="REVENUS"/>
    <x v="16"/>
    <s v="4012.007"/>
    <s v="Acompte sur capital"/>
    <n v="0"/>
    <n v="-5281.25"/>
    <n v="4012"/>
  </r>
  <r>
    <x v="1"/>
    <x v="4"/>
    <x v="4"/>
    <x v="96"/>
    <x v="86"/>
    <x v="86"/>
    <s v="REVENUS"/>
    <x v="6"/>
    <s v="4211.002"/>
    <s v="Intérêts de retard sur acomptes"/>
    <n v="0"/>
    <n v="34.090000000000003"/>
    <n v="4211"/>
  </r>
  <r>
    <x v="1"/>
    <x v="4"/>
    <x v="4"/>
    <x v="96"/>
    <x v="86"/>
    <x v="86"/>
    <s v="REVENUS"/>
    <x v="17"/>
    <s v="4011.007"/>
    <s v="Acompte sur bénéfice"/>
    <n v="0"/>
    <n v="-17549.650000000001"/>
    <n v="4011"/>
  </r>
  <r>
    <x v="1"/>
    <x v="4"/>
    <x v="4"/>
    <x v="96"/>
    <x v="86"/>
    <x v="86"/>
    <s v="REVENUS"/>
    <x v="7"/>
    <s v="4184.000"/>
    <s v="Frais de poursuite"/>
    <n v="0"/>
    <n v="24.38"/>
    <n v="4184"/>
  </r>
  <r>
    <x v="1"/>
    <x v="4"/>
    <x v="4"/>
    <x v="96"/>
    <x v="86"/>
    <x v="86"/>
    <s v="REVENUS"/>
    <x v="18"/>
    <s v="4013.003"/>
    <s v="Remboursement impôt complémentaire sur immeubles"/>
    <n v="0"/>
    <n v="-125"/>
    <n v="4013"/>
  </r>
  <r>
    <x v="1"/>
    <x v="4"/>
    <x v="4"/>
    <x v="96"/>
    <x v="86"/>
    <x v="86"/>
    <s v="REVENUS"/>
    <x v="18"/>
    <s v="4013.001"/>
    <s v="Impôt complémentaire sur immeubles"/>
    <n v="0"/>
    <n v="1504.3"/>
    <n v="4013"/>
  </r>
  <r>
    <x v="1"/>
    <x v="4"/>
    <x v="4"/>
    <x v="97"/>
    <x v="73"/>
    <x v="73"/>
    <s v="CHARGES"/>
    <x v="0"/>
    <s v="3212.002"/>
    <s v="Intérêts bonifiés/trop perçu acompte C/C"/>
    <n v="0.02"/>
    <n v="0"/>
    <n v="3212"/>
  </r>
  <r>
    <x v="1"/>
    <x v="4"/>
    <x v="4"/>
    <x v="97"/>
    <x v="73"/>
    <x v="73"/>
    <s v="REVENUS"/>
    <x v="17"/>
    <s v="4011.002"/>
    <s v="Complément impôt bénéfice ordinaire"/>
    <n v="0"/>
    <n v="600.4"/>
    <n v="4011"/>
  </r>
  <r>
    <x v="1"/>
    <x v="4"/>
    <x v="4"/>
    <x v="97"/>
    <x v="73"/>
    <x v="73"/>
    <s v="REVENUS"/>
    <x v="17"/>
    <s v="4011.001"/>
    <s v="Impôt bénéfice ordinaire"/>
    <n v="0"/>
    <n v="-600.4"/>
    <n v="4011"/>
  </r>
  <r>
    <x v="1"/>
    <x v="4"/>
    <x v="4"/>
    <x v="98"/>
    <x v="87"/>
    <x v="87"/>
    <s v="CHARGES"/>
    <x v="0"/>
    <s v="3221.002"/>
    <s v="Intérêts compensatoires / créances en faveur ctb."/>
    <n v="20.37"/>
    <n v="0"/>
    <n v="3221"/>
  </r>
  <r>
    <x v="1"/>
    <x v="4"/>
    <x v="4"/>
    <x v="98"/>
    <x v="87"/>
    <x v="87"/>
    <s v="CHARGES"/>
    <x v="0"/>
    <s v="3212.004"/>
    <s v="Intérêts rémun./perçu trop tôt sur acomptes C/C"/>
    <n v="23.55"/>
    <n v="0"/>
    <n v="3212"/>
  </r>
  <r>
    <x v="1"/>
    <x v="4"/>
    <x v="4"/>
    <x v="98"/>
    <x v="87"/>
    <x v="87"/>
    <s v="CHARGES"/>
    <x v="1"/>
    <s v="3301.006"/>
    <s v="Abandon de solde PM"/>
    <n v="34.479999999999997"/>
    <n v="0"/>
    <n v="3301"/>
  </r>
  <r>
    <x v="1"/>
    <x v="4"/>
    <x v="4"/>
    <x v="98"/>
    <x v="87"/>
    <x v="87"/>
    <s v="REVENUS"/>
    <x v="17"/>
    <s v="4011.001"/>
    <s v="Impôt bénéfice ordinaire"/>
    <n v="0"/>
    <n v="29889.15"/>
    <n v="4011"/>
  </r>
  <r>
    <x v="1"/>
    <x v="4"/>
    <x v="4"/>
    <x v="98"/>
    <x v="87"/>
    <x v="87"/>
    <s v="REVENUS"/>
    <x v="17"/>
    <s v="4011.002"/>
    <s v="Complément impôt bénéfice ordinaire"/>
    <n v="0"/>
    <n v="928.6"/>
    <n v="4011"/>
  </r>
  <r>
    <x v="1"/>
    <x v="4"/>
    <x v="4"/>
    <x v="98"/>
    <x v="87"/>
    <x v="87"/>
    <s v="REVENUS"/>
    <x v="6"/>
    <s v="4211.001"/>
    <s v="Intérêts de retard sur factures"/>
    <n v="0"/>
    <n v="2.4900000000000002"/>
    <n v="4211"/>
  </r>
  <r>
    <x v="1"/>
    <x v="4"/>
    <x v="4"/>
    <x v="98"/>
    <x v="87"/>
    <x v="87"/>
    <s v="REVENUS"/>
    <x v="6"/>
    <s v="4221.001"/>
    <s v="Intérêts compensat. / créances en faveur du fisc"/>
    <n v="0"/>
    <n v="5.12"/>
    <n v="4221"/>
  </r>
  <r>
    <x v="1"/>
    <x v="4"/>
    <x v="4"/>
    <x v="98"/>
    <x v="87"/>
    <x v="87"/>
    <s v="REVENUS"/>
    <x v="16"/>
    <s v="4012.001"/>
    <s v="Impôt capital ordinaire"/>
    <n v="0"/>
    <n v="274.39999999999998"/>
    <n v="4012"/>
  </r>
  <r>
    <x v="1"/>
    <x v="4"/>
    <x v="4"/>
    <x v="98"/>
    <x v="87"/>
    <x v="87"/>
    <s v="REVENUS"/>
    <x v="16"/>
    <s v="4012.007"/>
    <s v="Acompte sur capital"/>
    <n v="0"/>
    <n v="608.70000000000005"/>
    <n v="4012"/>
  </r>
  <r>
    <x v="1"/>
    <x v="4"/>
    <x v="4"/>
    <x v="98"/>
    <x v="87"/>
    <x v="87"/>
    <s v="REVENUS"/>
    <x v="6"/>
    <s v="4211.002"/>
    <s v="Intérêts de retard sur acomptes"/>
    <n v="0"/>
    <n v="5.3"/>
    <n v="4211"/>
  </r>
  <r>
    <x v="1"/>
    <x v="4"/>
    <x v="4"/>
    <x v="98"/>
    <x v="87"/>
    <x v="87"/>
    <s v="REVENUS"/>
    <x v="17"/>
    <s v="4011.007"/>
    <s v="Acompte sur bénéfice"/>
    <n v="0"/>
    <n v="-13910.4"/>
    <n v="4011"/>
  </r>
  <r>
    <x v="1"/>
    <x v="4"/>
    <x v="4"/>
    <x v="98"/>
    <x v="87"/>
    <x v="87"/>
    <s v="REVENUS"/>
    <x v="7"/>
    <s v="4184.000"/>
    <s v="Frais de poursuite"/>
    <n v="0"/>
    <n v="48.98"/>
    <n v="4184"/>
  </r>
  <r>
    <x v="1"/>
    <x v="4"/>
    <x v="4"/>
    <x v="98"/>
    <x v="87"/>
    <x v="87"/>
    <s v="REVENUS"/>
    <x v="18"/>
    <s v="4013.003"/>
    <s v="Remboursement impôt complémentaire sur immeubles"/>
    <n v="0"/>
    <n v="-1935"/>
    <n v="4013"/>
  </r>
  <r>
    <x v="1"/>
    <x v="4"/>
    <x v="4"/>
    <x v="98"/>
    <x v="87"/>
    <x v="87"/>
    <s v="REVENUS"/>
    <x v="18"/>
    <s v="4013.001"/>
    <s v="Impôt complémentaire sur immeubles"/>
    <n v="0"/>
    <n v="2768"/>
    <n v="4013"/>
  </r>
  <r>
    <x v="1"/>
    <x v="4"/>
    <x v="4"/>
    <x v="99"/>
    <x v="88"/>
    <x v="88"/>
    <s v="CHARGES"/>
    <x v="0"/>
    <s v="3212.002"/>
    <s v="Intérêts bonifiés/trop perçu acompte C/C"/>
    <n v="0.02"/>
    <n v="0"/>
    <n v="3212"/>
  </r>
  <r>
    <x v="1"/>
    <x v="4"/>
    <x v="4"/>
    <x v="99"/>
    <x v="88"/>
    <x v="88"/>
    <s v="REVENUS"/>
    <x v="17"/>
    <s v="4011.002"/>
    <s v="Complément impôt bénéfice ordinaire"/>
    <n v="0"/>
    <n v="570.4"/>
    <n v="4011"/>
  </r>
  <r>
    <x v="1"/>
    <x v="4"/>
    <x v="4"/>
    <x v="99"/>
    <x v="88"/>
    <x v="88"/>
    <s v="REVENUS"/>
    <x v="17"/>
    <s v="4011.001"/>
    <s v="Impôt bénéfice ordinaire"/>
    <n v="0"/>
    <n v="-570.4"/>
    <n v="4011"/>
  </r>
  <r>
    <x v="1"/>
    <x v="4"/>
    <x v="4"/>
    <x v="100"/>
    <x v="89"/>
    <x v="89"/>
    <s v="CHARGES"/>
    <x v="1"/>
    <s v="3301.006"/>
    <s v="Abandon de solde PM"/>
    <n v="55.49"/>
    <n v="0"/>
    <n v="3301"/>
  </r>
  <r>
    <x v="1"/>
    <x v="4"/>
    <x v="4"/>
    <x v="100"/>
    <x v="89"/>
    <x v="89"/>
    <s v="CHARGES"/>
    <x v="0"/>
    <s v="3212.004"/>
    <s v="Intérêts rémun./perçu trop tôt sur acomptes C/C"/>
    <n v="9.06"/>
    <n v="0"/>
    <n v="3212"/>
  </r>
  <r>
    <x v="1"/>
    <x v="4"/>
    <x v="4"/>
    <x v="100"/>
    <x v="89"/>
    <x v="89"/>
    <s v="CHARGES"/>
    <x v="0"/>
    <s v="3221.002"/>
    <s v="Intérêts compensatoires / créances en faveur ctb."/>
    <n v="10.78"/>
    <n v="0"/>
    <n v="3221"/>
  </r>
  <r>
    <x v="1"/>
    <x v="4"/>
    <x v="4"/>
    <x v="100"/>
    <x v="89"/>
    <x v="89"/>
    <s v="CHARGES"/>
    <x v="0"/>
    <s v="3212.002"/>
    <s v="Intérêts bonifiés/trop perçu acompte C/C"/>
    <n v="0.04"/>
    <n v="0"/>
    <n v="3212"/>
  </r>
  <r>
    <x v="1"/>
    <x v="4"/>
    <x v="4"/>
    <x v="100"/>
    <x v="89"/>
    <x v="89"/>
    <s v="REVENUS"/>
    <x v="16"/>
    <s v="4012.001"/>
    <s v="Impôt capital ordinaire"/>
    <n v="0"/>
    <n v="450.65"/>
    <n v="4012"/>
  </r>
  <r>
    <x v="1"/>
    <x v="4"/>
    <x v="4"/>
    <x v="100"/>
    <x v="89"/>
    <x v="89"/>
    <s v="REVENUS"/>
    <x v="16"/>
    <s v="4012.007"/>
    <s v="Acompte sur capital"/>
    <n v="0"/>
    <n v="27.6"/>
    <n v="4012"/>
  </r>
  <r>
    <x v="1"/>
    <x v="4"/>
    <x v="4"/>
    <x v="100"/>
    <x v="89"/>
    <x v="89"/>
    <s v="REVENUS"/>
    <x v="6"/>
    <s v="4211.002"/>
    <s v="Intérêts de retard sur acomptes"/>
    <n v="0"/>
    <n v="12.59"/>
    <n v="4211"/>
  </r>
  <r>
    <x v="1"/>
    <x v="4"/>
    <x v="4"/>
    <x v="100"/>
    <x v="89"/>
    <x v="89"/>
    <s v="REVENUS"/>
    <x v="10"/>
    <s v="4041.001"/>
    <s v="Droits de mutation"/>
    <n v="0"/>
    <n v="29229"/>
    <n v="4041"/>
  </r>
  <r>
    <x v="1"/>
    <x v="4"/>
    <x v="4"/>
    <x v="100"/>
    <x v="89"/>
    <x v="89"/>
    <s v="REVENUS"/>
    <x v="17"/>
    <s v="4011.001"/>
    <s v="Impôt bénéfice ordinaire"/>
    <n v="0"/>
    <n v="21940.85"/>
    <n v="4011"/>
  </r>
  <r>
    <x v="1"/>
    <x v="4"/>
    <x v="4"/>
    <x v="100"/>
    <x v="89"/>
    <x v="89"/>
    <s v="REVENUS"/>
    <x v="17"/>
    <s v="4011.007"/>
    <s v="Acompte sur bénéfice"/>
    <n v="0"/>
    <n v="-1350.8"/>
    <n v="4011"/>
  </r>
  <r>
    <x v="1"/>
    <x v="4"/>
    <x v="4"/>
    <x v="100"/>
    <x v="89"/>
    <x v="89"/>
    <s v="REVENUS"/>
    <x v="6"/>
    <s v="4221.001"/>
    <s v="Intérêts compensat. / créances en faveur du fisc"/>
    <n v="0"/>
    <n v="34.03"/>
    <n v="4221"/>
  </r>
  <r>
    <x v="1"/>
    <x v="4"/>
    <x v="4"/>
    <x v="100"/>
    <x v="89"/>
    <x v="89"/>
    <s v="REVENUS"/>
    <x v="17"/>
    <s v="4011.002"/>
    <s v="Complément impôt bénéfice ordinaire"/>
    <n v="0"/>
    <n v="1050.7"/>
    <n v="4011"/>
  </r>
  <r>
    <x v="1"/>
    <x v="4"/>
    <x v="4"/>
    <x v="100"/>
    <x v="89"/>
    <x v="89"/>
    <s v="REVENUS"/>
    <x v="6"/>
    <s v="4211.001"/>
    <s v="Intérêts de retard sur factures"/>
    <n v="0"/>
    <n v="105.01"/>
    <n v="4211"/>
  </r>
  <r>
    <x v="1"/>
    <x v="4"/>
    <x v="4"/>
    <x v="100"/>
    <x v="89"/>
    <x v="89"/>
    <s v="REVENUS"/>
    <x v="18"/>
    <s v="4013.003"/>
    <s v="Remboursement impôt complémentaire sur immeubles"/>
    <n v="0"/>
    <n v="-323.3"/>
    <n v="4013"/>
  </r>
  <r>
    <x v="1"/>
    <x v="4"/>
    <x v="4"/>
    <x v="100"/>
    <x v="89"/>
    <x v="89"/>
    <s v="REVENUS"/>
    <x v="18"/>
    <s v="4013.001"/>
    <s v="Impôt complémentaire sur immeubles"/>
    <n v="0"/>
    <n v="6146.7"/>
    <n v="4013"/>
  </r>
  <r>
    <x v="1"/>
    <x v="4"/>
    <x v="4"/>
    <x v="101"/>
    <x v="73"/>
    <x v="73"/>
    <s v="CHARGES"/>
    <x v="0"/>
    <s v="3221.002"/>
    <s v="Intérêts compensatoires / créances en faveur ctb."/>
    <n v="10.7"/>
    <n v="0"/>
    <n v="3221"/>
  </r>
  <r>
    <x v="1"/>
    <x v="4"/>
    <x v="4"/>
    <x v="101"/>
    <x v="73"/>
    <x v="73"/>
    <s v="CHARGES"/>
    <x v="0"/>
    <s v="3212.004"/>
    <s v="Intérêts rémun./perçu trop tôt sur acomptes C/C"/>
    <n v="7.33"/>
    <n v="0"/>
    <n v="3212"/>
  </r>
  <r>
    <x v="1"/>
    <x v="4"/>
    <x v="4"/>
    <x v="101"/>
    <x v="73"/>
    <x v="73"/>
    <s v="CHARGES"/>
    <x v="1"/>
    <s v="3301.006"/>
    <s v="Abandon de solde PM"/>
    <n v="29.46"/>
    <n v="0"/>
    <n v="3301"/>
  </r>
  <r>
    <x v="1"/>
    <x v="4"/>
    <x v="4"/>
    <x v="101"/>
    <x v="73"/>
    <x v="73"/>
    <s v="REVENUS"/>
    <x v="17"/>
    <s v="4011.001"/>
    <s v="Impôt bénéfice ordinaire"/>
    <n v="0"/>
    <n v="117897.85"/>
    <n v="4011"/>
  </r>
  <r>
    <x v="1"/>
    <x v="4"/>
    <x v="4"/>
    <x v="101"/>
    <x v="73"/>
    <x v="73"/>
    <s v="REVENUS"/>
    <x v="17"/>
    <s v="4011.007"/>
    <s v="Acompte sur bénéfice"/>
    <n v="0"/>
    <n v="10669.6"/>
    <n v="4011"/>
  </r>
  <r>
    <x v="1"/>
    <x v="4"/>
    <x v="4"/>
    <x v="101"/>
    <x v="73"/>
    <x v="73"/>
    <s v="REVENUS"/>
    <x v="6"/>
    <s v="4221.001"/>
    <s v="Intérêts compensat. / créances en faveur du fisc"/>
    <n v="0"/>
    <n v="15.91"/>
    <n v="4221"/>
  </r>
  <r>
    <x v="1"/>
    <x v="4"/>
    <x v="4"/>
    <x v="101"/>
    <x v="73"/>
    <x v="73"/>
    <s v="REVENUS"/>
    <x v="6"/>
    <s v="4211.002"/>
    <s v="Intérêts de retard sur acomptes"/>
    <n v="0"/>
    <n v="151.62"/>
    <n v="4211"/>
  </r>
  <r>
    <x v="1"/>
    <x v="4"/>
    <x v="4"/>
    <x v="101"/>
    <x v="73"/>
    <x v="73"/>
    <s v="REVENUS"/>
    <x v="17"/>
    <s v="4011.002"/>
    <s v="Complément impôt bénéfice ordinaire"/>
    <n v="0"/>
    <n v="988.35"/>
    <n v="4011"/>
  </r>
  <r>
    <x v="1"/>
    <x v="4"/>
    <x v="4"/>
    <x v="101"/>
    <x v="73"/>
    <x v="73"/>
    <s v="REVENUS"/>
    <x v="6"/>
    <s v="4211.001"/>
    <s v="Intérêts de retard sur factures"/>
    <n v="0"/>
    <n v="5.81"/>
    <n v="4211"/>
  </r>
  <r>
    <x v="1"/>
    <x v="4"/>
    <x v="4"/>
    <x v="101"/>
    <x v="73"/>
    <x v="73"/>
    <s v="REVENUS"/>
    <x v="16"/>
    <s v="4012.007"/>
    <s v="Acompte sur capital"/>
    <n v="0"/>
    <n v="1678.2"/>
    <n v="4012"/>
  </r>
  <r>
    <x v="1"/>
    <x v="4"/>
    <x v="4"/>
    <x v="101"/>
    <x v="73"/>
    <x v="73"/>
    <s v="REVENUS"/>
    <x v="16"/>
    <s v="4012.001"/>
    <s v="Impôt capital ordinaire"/>
    <n v="0"/>
    <n v="2172.4"/>
    <n v="4012"/>
  </r>
  <r>
    <x v="1"/>
    <x v="4"/>
    <x v="4"/>
    <x v="101"/>
    <x v="73"/>
    <x v="73"/>
    <s v="REVENUS"/>
    <x v="7"/>
    <s v="4184.000"/>
    <s v="Frais de poursuite"/>
    <n v="0"/>
    <n v="33.450000000000003"/>
    <n v="4184"/>
  </r>
  <r>
    <x v="1"/>
    <x v="4"/>
    <x v="4"/>
    <x v="101"/>
    <x v="73"/>
    <x v="73"/>
    <s v="REVENUS"/>
    <x v="18"/>
    <s v="4013.001"/>
    <s v="Impôt complémentaire sur immeubles"/>
    <n v="0"/>
    <n v="13109.85"/>
    <n v="4013"/>
  </r>
  <r>
    <x v="1"/>
    <x v="4"/>
    <x v="4"/>
    <x v="102"/>
    <x v="79"/>
    <x v="79"/>
    <s v="CHARGES"/>
    <x v="0"/>
    <s v="3221.002"/>
    <s v="Intérêts compensatoires / créances en faveur ctb."/>
    <n v="7.61"/>
    <n v="0"/>
    <n v="3221"/>
  </r>
  <r>
    <x v="1"/>
    <x v="4"/>
    <x v="4"/>
    <x v="102"/>
    <x v="79"/>
    <x v="79"/>
    <s v="CHARGES"/>
    <x v="0"/>
    <s v="3212.004"/>
    <s v="Intérêts rémun./perçu trop tôt sur acomptes C/C"/>
    <n v="38.06"/>
    <n v="0"/>
    <n v="3212"/>
  </r>
  <r>
    <x v="1"/>
    <x v="4"/>
    <x v="4"/>
    <x v="102"/>
    <x v="79"/>
    <x v="79"/>
    <s v="CHARGES"/>
    <x v="1"/>
    <s v="3301.006"/>
    <s v="Abandon de solde PM"/>
    <n v="18.73"/>
    <n v="0"/>
    <n v="3301"/>
  </r>
  <r>
    <x v="1"/>
    <x v="4"/>
    <x v="4"/>
    <x v="102"/>
    <x v="79"/>
    <x v="79"/>
    <s v="CHARGES"/>
    <x v="0"/>
    <s v="3212.002"/>
    <s v="Intérêts bonifiés/trop perçu acompte C/C"/>
    <n v="5.48"/>
    <n v="0"/>
    <n v="3212"/>
  </r>
  <r>
    <x v="1"/>
    <x v="4"/>
    <x v="4"/>
    <x v="102"/>
    <x v="79"/>
    <x v="79"/>
    <s v="REVENUS"/>
    <x v="17"/>
    <s v="4011.001"/>
    <s v="Impôt bénéfice ordinaire"/>
    <n v="0"/>
    <n v="89483.25"/>
    <n v="4011"/>
  </r>
  <r>
    <x v="1"/>
    <x v="4"/>
    <x v="4"/>
    <x v="102"/>
    <x v="79"/>
    <x v="79"/>
    <s v="REVENUS"/>
    <x v="17"/>
    <s v="4011.002"/>
    <s v="Complément impôt bénéfice ordinaire"/>
    <n v="0"/>
    <n v="20125.25"/>
    <n v="4011"/>
  </r>
  <r>
    <x v="1"/>
    <x v="4"/>
    <x v="4"/>
    <x v="102"/>
    <x v="79"/>
    <x v="79"/>
    <s v="REVENUS"/>
    <x v="6"/>
    <s v="4211.001"/>
    <s v="Intérêts de retard sur factures"/>
    <n v="0"/>
    <n v="1430.34"/>
    <n v="4211"/>
  </r>
  <r>
    <x v="1"/>
    <x v="4"/>
    <x v="4"/>
    <x v="102"/>
    <x v="79"/>
    <x v="79"/>
    <s v="REVENUS"/>
    <x v="6"/>
    <s v="4221.001"/>
    <s v="Intérêts compensat. / créances en faveur du fisc"/>
    <n v="0"/>
    <n v="5.95"/>
    <n v="4221"/>
  </r>
  <r>
    <x v="1"/>
    <x v="4"/>
    <x v="4"/>
    <x v="102"/>
    <x v="79"/>
    <x v="79"/>
    <s v="REVENUS"/>
    <x v="17"/>
    <s v="4011.007"/>
    <s v="Acompte sur bénéfice"/>
    <n v="0"/>
    <n v="-30148.75"/>
    <n v="4011"/>
  </r>
  <r>
    <x v="1"/>
    <x v="4"/>
    <x v="4"/>
    <x v="102"/>
    <x v="79"/>
    <x v="79"/>
    <s v="REVENUS"/>
    <x v="16"/>
    <s v="4012.001"/>
    <s v="Impôt capital ordinaire"/>
    <n v="0"/>
    <n v="2145.25"/>
    <n v="4012"/>
  </r>
  <r>
    <x v="1"/>
    <x v="4"/>
    <x v="4"/>
    <x v="102"/>
    <x v="79"/>
    <x v="79"/>
    <s v="REVENUS"/>
    <x v="16"/>
    <s v="4012.007"/>
    <s v="Acompte sur capital"/>
    <n v="0"/>
    <n v="558.5"/>
    <n v="4012"/>
  </r>
  <r>
    <x v="1"/>
    <x v="4"/>
    <x v="4"/>
    <x v="102"/>
    <x v="79"/>
    <x v="79"/>
    <s v="REVENUS"/>
    <x v="6"/>
    <s v="4211.002"/>
    <s v="Intérêts de retard sur acomptes"/>
    <n v="0"/>
    <n v="10.73"/>
    <n v="4211"/>
  </r>
  <r>
    <x v="1"/>
    <x v="4"/>
    <x v="4"/>
    <x v="102"/>
    <x v="79"/>
    <x v="79"/>
    <s v="REVENUS"/>
    <x v="18"/>
    <s v="4013.003"/>
    <s v="Remboursement impôt complémentaire sur immeubles"/>
    <n v="0"/>
    <n v="-324"/>
    <n v="4013"/>
  </r>
  <r>
    <x v="1"/>
    <x v="4"/>
    <x v="4"/>
    <x v="102"/>
    <x v="79"/>
    <x v="79"/>
    <s v="REVENUS"/>
    <x v="11"/>
    <s v="4198.001"/>
    <s v="Impôt foncier"/>
    <n v="0"/>
    <n v="11823.3"/>
    <n v="4198"/>
  </r>
  <r>
    <x v="1"/>
    <x v="4"/>
    <x v="4"/>
    <x v="102"/>
    <x v="79"/>
    <x v="79"/>
    <s v="REVENUS"/>
    <x v="18"/>
    <s v="4013.001"/>
    <s v="Impôt complémentaire sur immeubles"/>
    <n v="0"/>
    <n v="1780.65"/>
    <n v="4013"/>
  </r>
  <r>
    <x v="1"/>
    <x v="4"/>
    <x v="4"/>
    <x v="102"/>
    <x v="79"/>
    <x v="79"/>
    <s v="REVENUS"/>
    <x v="10"/>
    <s v="4041.001"/>
    <s v="Droits de mutation"/>
    <n v="0"/>
    <n v="14357.6"/>
    <n v="4041"/>
  </r>
  <r>
    <x v="1"/>
    <x v="6"/>
    <x v="5"/>
    <x v="103"/>
    <x v="90"/>
    <x v="90"/>
    <s v="CHARGES"/>
    <x v="0"/>
    <s v="3221.002"/>
    <s v="Intérêts compensatoires / créances en faveur ctb."/>
    <n v="4.75"/>
    <n v="0"/>
    <n v="3221"/>
  </r>
  <r>
    <x v="1"/>
    <x v="6"/>
    <x v="5"/>
    <x v="103"/>
    <x v="90"/>
    <x v="90"/>
    <s v="CHARGES"/>
    <x v="0"/>
    <s v="3212.004"/>
    <s v="Intérêts rémun./perçu trop tôt sur acomptes C/C"/>
    <n v="5.66"/>
    <n v="0"/>
    <n v="3212"/>
  </r>
  <r>
    <x v="1"/>
    <x v="6"/>
    <x v="5"/>
    <x v="103"/>
    <x v="90"/>
    <x v="90"/>
    <s v="CHARGES"/>
    <x v="0"/>
    <s v="3212.002"/>
    <s v="Intérêts bonifiés/trop perçu acompte C/C"/>
    <n v="0.02"/>
    <n v="0"/>
    <n v="3212"/>
  </r>
  <r>
    <x v="1"/>
    <x v="6"/>
    <x v="5"/>
    <x v="103"/>
    <x v="90"/>
    <x v="90"/>
    <s v="CHARGES"/>
    <x v="1"/>
    <s v="3301.006"/>
    <s v="Abandon de solde PM"/>
    <n v="2.89"/>
    <n v="0"/>
    <n v="3301"/>
  </r>
  <r>
    <x v="1"/>
    <x v="6"/>
    <x v="5"/>
    <x v="103"/>
    <x v="90"/>
    <x v="90"/>
    <s v="REVENUS"/>
    <x v="17"/>
    <s v="4011.001"/>
    <s v="Impôt bénéfice ordinaire"/>
    <n v="0"/>
    <n v="15380.5"/>
    <n v="4011"/>
  </r>
  <r>
    <x v="1"/>
    <x v="6"/>
    <x v="5"/>
    <x v="103"/>
    <x v="90"/>
    <x v="90"/>
    <s v="REVENUS"/>
    <x v="17"/>
    <s v="4011.002"/>
    <s v="Complément impôt bénéfice ordinaire"/>
    <n v="0"/>
    <n v="1384.25"/>
    <n v="4011"/>
  </r>
  <r>
    <x v="1"/>
    <x v="6"/>
    <x v="5"/>
    <x v="103"/>
    <x v="90"/>
    <x v="90"/>
    <s v="REVENUS"/>
    <x v="6"/>
    <s v="4211.001"/>
    <s v="Intérêts de retard sur factures"/>
    <n v="0"/>
    <n v="0.09"/>
    <n v="4211"/>
  </r>
  <r>
    <x v="1"/>
    <x v="6"/>
    <x v="5"/>
    <x v="103"/>
    <x v="90"/>
    <x v="90"/>
    <s v="REVENUS"/>
    <x v="6"/>
    <s v="4221.001"/>
    <s v="Intérêts compensat. / créances en faveur du fisc"/>
    <n v="0"/>
    <n v="2.56"/>
    <n v="4221"/>
  </r>
  <r>
    <x v="1"/>
    <x v="6"/>
    <x v="5"/>
    <x v="103"/>
    <x v="90"/>
    <x v="90"/>
    <s v="REVENUS"/>
    <x v="17"/>
    <s v="4011.007"/>
    <s v="Acompte sur bénéfice"/>
    <n v="0"/>
    <n v="-8548.4"/>
    <n v="4011"/>
  </r>
  <r>
    <x v="1"/>
    <x v="6"/>
    <x v="5"/>
    <x v="103"/>
    <x v="90"/>
    <x v="90"/>
    <s v="REVENUS"/>
    <x v="18"/>
    <s v="4013.001"/>
    <s v="Impôt complémentaire sur immeubles"/>
    <n v="0"/>
    <n v="16988.400000000001"/>
    <n v="4013"/>
  </r>
  <r>
    <x v="1"/>
    <x v="6"/>
    <x v="5"/>
    <x v="103"/>
    <x v="90"/>
    <x v="90"/>
    <s v="REVENUS"/>
    <x v="16"/>
    <s v="4012.001"/>
    <s v="Impôt capital ordinaire"/>
    <n v="0"/>
    <n v="163.6"/>
    <n v="4012"/>
  </r>
  <r>
    <x v="1"/>
    <x v="6"/>
    <x v="5"/>
    <x v="103"/>
    <x v="90"/>
    <x v="90"/>
    <s v="REVENUS"/>
    <x v="16"/>
    <s v="4012.007"/>
    <s v="Acompte sur capital"/>
    <n v="0"/>
    <n v="2565.9499999999998"/>
    <n v="4012"/>
  </r>
  <r>
    <x v="1"/>
    <x v="6"/>
    <x v="5"/>
    <x v="103"/>
    <x v="90"/>
    <x v="90"/>
    <s v="REVENUS"/>
    <x v="6"/>
    <s v="4211.002"/>
    <s v="Intérêts de retard sur acomptes"/>
    <n v="0"/>
    <n v="2.39"/>
    <n v="4211"/>
  </r>
  <r>
    <x v="1"/>
    <x v="6"/>
    <x v="5"/>
    <x v="104"/>
    <x v="91"/>
    <x v="91"/>
    <s v="CHARGES"/>
    <x v="0"/>
    <s v="3212.004"/>
    <s v="Intérêts rémun./perçu trop tôt sur acomptes C/C"/>
    <n v="3.65"/>
    <n v="0"/>
    <n v="3212"/>
  </r>
  <r>
    <x v="1"/>
    <x v="6"/>
    <x v="5"/>
    <x v="104"/>
    <x v="91"/>
    <x v="91"/>
    <s v="CHARGES"/>
    <x v="1"/>
    <s v="3301.006"/>
    <s v="Abandon de solde PM"/>
    <n v="30.24"/>
    <n v="0"/>
    <n v="3301"/>
  </r>
  <r>
    <x v="1"/>
    <x v="6"/>
    <x v="5"/>
    <x v="104"/>
    <x v="91"/>
    <x v="91"/>
    <s v="CHARGES"/>
    <x v="0"/>
    <s v="3212.002"/>
    <s v="Intérêts bonifiés/trop perçu acompte C/C"/>
    <n v="0.08"/>
    <n v="0"/>
    <n v="3212"/>
  </r>
  <r>
    <x v="1"/>
    <x v="6"/>
    <x v="5"/>
    <x v="104"/>
    <x v="91"/>
    <x v="91"/>
    <s v="CHARGES"/>
    <x v="0"/>
    <s v="3221.002"/>
    <s v="Intérêts compensatoires / créances en faveur ctb."/>
    <n v="7.2"/>
    <n v="0"/>
    <n v="3221"/>
  </r>
  <r>
    <x v="1"/>
    <x v="6"/>
    <x v="5"/>
    <x v="104"/>
    <x v="91"/>
    <x v="91"/>
    <s v="REVENUS"/>
    <x v="17"/>
    <s v="4011.002"/>
    <s v="Complément impôt bénéfice ordinaire"/>
    <n v="0"/>
    <n v="1855.9"/>
    <n v="4011"/>
  </r>
  <r>
    <x v="1"/>
    <x v="6"/>
    <x v="5"/>
    <x v="104"/>
    <x v="91"/>
    <x v="91"/>
    <s v="REVENUS"/>
    <x v="16"/>
    <s v="4012.007"/>
    <s v="Acompte sur capital"/>
    <n v="0"/>
    <n v="532.45000000000005"/>
    <n v="4012"/>
  </r>
  <r>
    <x v="1"/>
    <x v="6"/>
    <x v="5"/>
    <x v="104"/>
    <x v="91"/>
    <x v="91"/>
    <s v="REVENUS"/>
    <x v="16"/>
    <s v="4012.001"/>
    <s v="Impôt capital ordinaire"/>
    <n v="0"/>
    <n v="1417.6"/>
    <n v="4012"/>
  </r>
  <r>
    <x v="1"/>
    <x v="6"/>
    <x v="5"/>
    <x v="104"/>
    <x v="91"/>
    <x v="91"/>
    <s v="REVENUS"/>
    <x v="17"/>
    <s v="4011.001"/>
    <s v="Impôt bénéfice ordinaire"/>
    <n v="0"/>
    <n v="828.85"/>
    <n v="4011"/>
  </r>
  <r>
    <x v="1"/>
    <x v="6"/>
    <x v="5"/>
    <x v="104"/>
    <x v="91"/>
    <x v="91"/>
    <s v="REVENUS"/>
    <x v="6"/>
    <s v="4211.002"/>
    <s v="Intérêts de retard sur acomptes"/>
    <n v="0"/>
    <n v="18.48"/>
    <n v="4211"/>
  </r>
  <r>
    <x v="1"/>
    <x v="6"/>
    <x v="5"/>
    <x v="104"/>
    <x v="91"/>
    <x v="91"/>
    <s v="REVENUS"/>
    <x v="6"/>
    <s v="4211.001"/>
    <s v="Intérêts de retard sur factures"/>
    <n v="0"/>
    <n v="20.59"/>
    <n v="4211"/>
  </r>
  <r>
    <x v="1"/>
    <x v="6"/>
    <x v="5"/>
    <x v="104"/>
    <x v="91"/>
    <x v="91"/>
    <s v="REVENUS"/>
    <x v="17"/>
    <s v="4011.007"/>
    <s v="Acompte sur bénéfice"/>
    <n v="0"/>
    <n v="-8232.4500000000007"/>
    <n v="4011"/>
  </r>
  <r>
    <x v="1"/>
    <x v="6"/>
    <x v="5"/>
    <x v="104"/>
    <x v="91"/>
    <x v="91"/>
    <s v="REVENUS"/>
    <x v="6"/>
    <s v="4221.001"/>
    <s v="Intérêts compensat. / créances en faveur du fisc"/>
    <n v="0"/>
    <n v="0.37"/>
    <n v="4221"/>
  </r>
  <r>
    <x v="1"/>
    <x v="6"/>
    <x v="5"/>
    <x v="104"/>
    <x v="91"/>
    <x v="91"/>
    <s v="REVENUS"/>
    <x v="10"/>
    <s v="4041.001"/>
    <s v="Droits de mutation"/>
    <n v="0"/>
    <n v="5401"/>
    <n v="4041"/>
  </r>
  <r>
    <x v="1"/>
    <x v="6"/>
    <x v="5"/>
    <x v="104"/>
    <x v="91"/>
    <x v="91"/>
    <s v="REVENUS"/>
    <x v="18"/>
    <s v="4013.003"/>
    <s v="Remboursement impôt complémentaire sur immeubles"/>
    <n v="0"/>
    <n v="-2123"/>
    <n v="4013"/>
  </r>
  <r>
    <x v="1"/>
    <x v="6"/>
    <x v="5"/>
    <x v="104"/>
    <x v="91"/>
    <x v="91"/>
    <s v="REVENUS"/>
    <x v="18"/>
    <s v="4013.001"/>
    <s v="Impôt complémentaire sur immeubles"/>
    <n v="0"/>
    <n v="1619.3"/>
    <n v="4013"/>
  </r>
  <r>
    <x v="1"/>
    <x v="6"/>
    <x v="5"/>
    <x v="104"/>
    <x v="91"/>
    <x v="91"/>
    <s v="REVENUS"/>
    <x v="18"/>
    <s v="4013.002"/>
    <s v="Complément impôt complémentaire sur immeubles"/>
    <n v="0"/>
    <n v="0.8"/>
    <n v="4013"/>
  </r>
  <r>
    <x v="1"/>
    <x v="6"/>
    <x v="5"/>
    <x v="105"/>
    <x v="92"/>
    <x v="92"/>
    <s v="CHARGES"/>
    <x v="0"/>
    <s v="3221.002"/>
    <s v="Intérêts compensatoires / créances en faveur ctb."/>
    <n v="101.27"/>
    <n v="0"/>
    <n v="3221"/>
  </r>
  <r>
    <x v="1"/>
    <x v="6"/>
    <x v="5"/>
    <x v="105"/>
    <x v="92"/>
    <x v="92"/>
    <s v="CHARGES"/>
    <x v="1"/>
    <s v="3301.006"/>
    <s v="Abandon de solde PM"/>
    <n v="55.84"/>
    <n v="0"/>
    <n v="3301"/>
  </r>
  <r>
    <x v="1"/>
    <x v="6"/>
    <x v="5"/>
    <x v="105"/>
    <x v="92"/>
    <x v="92"/>
    <s v="CHARGES"/>
    <x v="0"/>
    <s v="3212.004"/>
    <s v="Intérêts rémun./perçu trop tôt sur acomptes C/C"/>
    <n v="70.03"/>
    <n v="0"/>
    <n v="3212"/>
  </r>
  <r>
    <x v="1"/>
    <x v="6"/>
    <x v="5"/>
    <x v="105"/>
    <x v="92"/>
    <x v="92"/>
    <s v="CHARGES"/>
    <x v="0"/>
    <s v="3212.002"/>
    <s v="Intérêts bonifiés/trop perçu acompte C/C"/>
    <n v="0.02"/>
    <n v="0"/>
    <n v="3212"/>
  </r>
  <r>
    <x v="1"/>
    <x v="6"/>
    <x v="5"/>
    <x v="105"/>
    <x v="92"/>
    <x v="92"/>
    <s v="REVENUS"/>
    <x v="16"/>
    <s v="4012.001"/>
    <s v="Impôt capital ordinaire"/>
    <n v="0"/>
    <n v="21052.2"/>
    <n v="4012"/>
  </r>
  <r>
    <x v="1"/>
    <x v="6"/>
    <x v="5"/>
    <x v="105"/>
    <x v="92"/>
    <x v="92"/>
    <s v="REVENUS"/>
    <x v="16"/>
    <s v="4012.007"/>
    <s v="Acompte sur capital"/>
    <n v="0"/>
    <n v="20653.5"/>
    <n v="4012"/>
  </r>
  <r>
    <x v="1"/>
    <x v="6"/>
    <x v="5"/>
    <x v="105"/>
    <x v="92"/>
    <x v="92"/>
    <s v="REVENUS"/>
    <x v="17"/>
    <s v="4011.001"/>
    <s v="Impôt bénéfice ordinaire"/>
    <n v="0"/>
    <n v="151021"/>
    <n v="4011"/>
  </r>
  <r>
    <x v="1"/>
    <x v="6"/>
    <x v="5"/>
    <x v="105"/>
    <x v="92"/>
    <x v="92"/>
    <s v="REVENUS"/>
    <x v="17"/>
    <s v="4011.007"/>
    <s v="Acompte sur bénéfice"/>
    <n v="0"/>
    <n v="-18990.5"/>
    <n v="4011"/>
  </r>
  <r>
    <x v="1"/>
    <x v="6"/>
    <x v="5"/>
    <x v="105"/>
    <x v="92"/>
    <x v="92"/>
    <s v="REVENUS"/>
    <x v="6"/>
    <s v="4211.002"/>
    <s v="Intérêts de retard sur acomptes"/>
    <n v="0"/>
    <n v="240.87"/>
    <n v="4211"/>
  </r>
  <r>
    <x v="1"/>
    <x v="6"/>
    <x v="5"/>
    <x v="105"/>
    <x v="92"/>
    <x v="92"/>
    <s v="REVENUS"/>
    <x v="6"/>
    <s v="4221.001"/>
    <s v="Intérêts compensat. / créances en faveur du fisc"/>
    <n v="0"/>
    <n v="41.95"/>
    <n v="4221"/>
  </r>
  <r>
    <x v="1"/>
    <x v="6"/>
    <x v="5"/>
    <x v="105"/>
    <x v="92"/>
    <x v="92"/>
    <s v="REVENUS"/>
    <x v="17"/>
    <s v="4011.002"/>
    <s v="Complément impôt bénéfice ordinaire"/>
    <n v="0"/>
    <n v="3179.6"/>
    <n v="4011"/>
  </r>
  <r>
    <x v="1"/>
    <x v="6"/>
    <x v="5"/>
    <x v="105"/>
    <x v="92"/>
    <x v="92"/>
    <s v="REVENUS"/>
    <x v="6"/>
    <s v="4211.001"/>
    <s v="Intérêts de retard sur factures"/>
    <n v="0"/>
    <n v="19.97"/>
    <n v="4211"/>
  </r>
  <r>
    <x v="1"/>
    <x v="6"/>
    <x v="5"/>
    <x v="105"/>
    <x v="92"/>
    <x v="92"/>
    <s v="REVENUS"/>
    <x v="7"/>
    <s v="4184.000"/>
    <s v="Frais de poursuite"/>
    <n v="0"/>
    <n v="53.27"/>
    <n v="4184"/>
  </r>
  <r>
    <x v="1"/>
    <x v="6"/>
    <x v="5"/>
    <x v="105"/>
    <x v="92"/>
    <x v="92"/>
    <s v="REVENUS"/>
    <x v="18"/>
    <s v="4013.003"/>
    <s v="Remboursement impôt complémentaire sur immeubles"/>
    <n v="0"/>
    <n v="-4356.7"/>
    <n v="4013"/>
  </r>
  <r>
    <x v="1"/>
    <x v="6"/>
    <x v="5"/>
    <x v="105"/>
    <x v="92"/>
    <x v="92"/>
    <s v="REVENUS"/>
    <x v="18"/>
    <s v="4013.001"/>
    <s v="Impôt complémentaire sur immeubles"/>
    <n v="0"/>
    <n v="32156.35"/>
    <n v="4013"/>
  </r>
  <r>
    <x v="1"/>
    <x v="6"/>
    <x v="5"/>
    <x v="105"/>
    <x v="92"/>
    <x v="92"/>
    <s v="REVENUS"/>
    <x v="16"/>
    <s v="4012.002"/>
    <s v="Complément impôt capital ordinaire"/>
    <n v="0"/>
    <n v="1.6"/>
    <n v="4012"/>
  </r>
  <r>
    <x v="1"/>
    <x v="6"/>
    <x v="5"/>
    <x v="106"/>
    <x v="93"/>
    <x v="93"/>
    <s v="CHARGES"/>
    <x v="1"/>
    <s v="3301.006"/>
    <s v="Abandon de solde PM"/>
    <n v="64.73"/>
    <n v="0"/>
    <n v="3301"/>
  </r>
  <r>
    <x v="1"/>
    <x v="6"/>
    <x v="5"/>
    <x v="106"/>
    <x v="93"/>
    <x v="93"/>
    <s v="CHARGES"/>
    <x v="0"/>
    <s v="3221.002"/>
    <s v="Intérêts compensatoires / créances en faveur ctb."/>
    <n v="14.52"/>
    <n v="0"/>
    <n v="3221"/>
  </r>
  <r>
    <x v="1"/>
    <x v="6"/>
    <x v="5"/>
    <x v="106"/>
    <x v="93"/>
    <x v="93"/>
    <s v="CHARGES"/>
    <x v="0"/>
    <s v="3212.002"/>
    <s v="Intérêts bonifiés/trop perçu acompte C/C"/>
    <n v="0.33"/>
    <n v="0"/>
    <n v="3212"/>
  </r>
  <r>
    <x v="1"/>
    <x v="6"/>
    <x v="5"/>
    <x v="106"/>
    <x v="93"/>
    <x v="93"/>
    <s v="CHARGES"/>
    <x v="0"/>
    <s v="3212.004"/>
    <s v="Intérêts rémun./perçu trop tôt sur acomptes C/C"/>
    <n v="7.59"/>
    <n v="0"/>
    <n v="3212"/>
  </r>
  <r>
    <x v="1"/>
    <x v="6"/>
    <x v="5"/>
    <x v="106"/>
    <x v="93"/>
    <x v="93"/>
    <s v="REVENUS"/>
    <x v="18"/>
    <s v="4013.001"/>
    <s v="Impôt complémentaire sur immeubles"/>
    <n v="0"/>
    <n v="3646.2"/>
    <n v="4013"/>
  </r>
  <r>
    <x v="1"/>
    <x v="6"/>
    <x v="5"/>
    <x v="106"/>
    <x v="93"/>
    <x v="93"/>
    <s v="REVENUS"/>
    <x v="11"/>
    <s v="4198.001"/>
    <s v="Impôt foncier"/>
    <n v="0"/>
    <n v="20561.5"/>
    <n v="4198"/>
  </r>
  <r>
    <x v="1"/>
    <x v="6"/>
    <x v="5"/>
    <x v="106"/>
    <x v="93"/>
    <x v="93"/>
    <s v="REVENUS"/>
    <x v="17"/>
    <s v="4011.001"/>
    <s v="Impôt bénéfice ordinaire"/>
    <n v="0"/>
    <n v="6316.45"/>
    <n v="4011"/>
  </r>
  <r>
    <x v="1"/>
    <x v="6"/>
    <x v="5"/>
    <x v="106"/>
    <x v="93"/>
    <x v="93"/>
    <s v="REVENUS"/>
    <x v="17"/>
    <s v="4011.002"/>
    <s v="Complément impôt bénéfice ordinaire"/>
    <n v="0"/>
    <n v="6709.3"/>
    <n v="4011"/>
  </r>
  <r>
    <x v="1"/>
    <x v="6"/>
    <x v="5"/>
    <x v="106"/>
    <x v="93"/>
    <x v="93"/>
    <s v="REVENUS"/>
    <x v="6"/>
    <s v="4211.001"/>
    <s v="Intérêts de retard sur factures"/>
    <n v="0"/>
    <n v="47.65"/>
    <n v="4211"/>
  </r>
  <r>
    <x v="1"/>
    <x v="6"/>
    <x v="5"/>
    <x v="106"/>
    <x v="93"/>
    <x v="93"/>
    <s v="REVENUS"/>
    <x v="6"/>
    <s v="4221.001"/>
    <s v="Intérêts compensat. / créances en faveur du fisc"/>
    <n v="0"/>
    <n v="3.35"/>
    <n v="4221"/>
  </r>
  <r>
    <x v="1"/>
    <x v="6"/>
    <x v="5"/>
    <x v="106"/>
    <x v="93"/>
    <x v="93"/>
    <s v="REVENUS"/>
    <x v="7"/>
    <s v="4184.000"/>
    <s v="Frais de poursuite"/>
    <n v="0"/>
    <n v="44.56"/>
    <n v="4184"/>
  </r>
  <r>
    <x v="1"/>
    <x v="6"/>
    <x v="5"/>
    <x v="106"/>
    <x v="93"/>
    <x v="93"/>
    <s v="REVENUS"/>
    <x v="17"/>
    <s v="4011.007"/>
    <s v="Acompte sur bénéfice"/>
    <n v="0"/>
    <n v="9434.9500000000007"/>
    <n v="4011"/>
  </r>
  <r>
    <x v="1"/>
    <x v="6"/>
    <x v="5"/>
    <x v="106"/>
    <x v="93"/>
    <x v="93"/>
    <s v="REVENUS"/>
    <x v="16"/>
    <s v="4012.001"/>
    <s v="Impôt capital ordinaire"/>
    <n v="0"/>
    <n v="868.5"/>
    <n v="4012"/>
  </r>
  <r>
    <x v="1"/>
    <x v="6"/>
    <x v="5"/>
    <x v="106"/>
    <x v="93"/>
    <x v="93"/>
    <s v="REVENUS"/>
    <x v="16"/>
    <s v="4012.007"/>
    <s v="Acompte sur capital"/>
    <n v="0"/>
    <n v="-450.85"/>
    <n v="4012"/>
  </r>
  <r>
    <x v="1"/>
    <x v="6"/>
    <x v="5"/>
    <x v="106"/>
    <x v="93"/>
    <x v="93"/>
    <s v="REVENUS"/>
    <x v="6"/>
    <s v="4211.002"/>
    <s v="Intérêts de retard sur acomptes"/>
    <n v="0"/>
    <n v="12.56"/>
    <n v="4211"/>
  </r>
  <r>
    <x v="1"/>
    <x v="6"/>
    <x v="5"/>
    <x v="106"/>
    <x v="93"/>
    <x v="93"/>
    <s v="REVENUS"/>
    <x v="18"/>
    <s v="4013.002"/>
    <s v="Complément impôt complémentaire sur immeubles"/>
    <n v="0"/>
    <n v="0.75"/>
    <n v="4013"/>
  </r>
  <r>
    <x v="1"/>
    <x v="6"/>
    <x v="5"/>
    <x v="106"/>
    <x v="93"/>
    <x v="93"/>
    <s v="REVENUS"/>
    <x v="18"/>
    <s v="4013.003"/>
    <s v="Remboursement impôt complémentaire sur immeubles"/>
    <n v="0"/>
    <n v="-15062"/>
    <n v="4013"/>
  </r>
  <r>
    <x v="1"/>
    <x v="6"/>
    <x v="5"/>
    <x v="106"/>
    <x v="93"/>
    <x v="93"/>
    <s v="REVENUS"/>
    <x v="10"/>
    <s v="4041.001"/>
    <s v="Droits de mutation"/>
    <n v="0"/>
    <n v="31075"/>
    <n v="4041"/>
  </r>
  <r>
    <x v="1"/>
    <x v="6"/>
    <x v="5"/>
    <x v="106"/>
    <x v="93"/>
    <x v="93"/>
    <s v="REVENUS"/>
    <x v="16"/>
    <s v="4012.002"/>
    <s v="Complément impôt capital ordinaire"/>
    <n v="0"/>
    <n v="4.5"/>
    <n v="4012"/>
  </r>
  <r>
    <x v="1"/>
    <x v="6"/>
    <x v="5"/>
    <x v="107"/>
    <x v="94"/>
    <x v="94"/>
    <s v="CHARGES"/>
    <x v="0"/>
    <s v="3221.002"/>
    <s v="Intérêts compensatoires / créances en faveur ctb."/>
    <n v="4.92"/>
    <n v="0"/>
    <n v="3221"/>
  </r>
  <r>
    <x v="1"/>
    <x v="6"/>
    <x v="5"/>
    <x v="107"/>
    <x v="94"/>
    <x v="94"/>
    <s v="CHARGES"/>
    <x v="1"/>
    <s v="3301.006"/>
    <s v="Abandon de solde PM"/>
    <n v="4.6500000000000004"/>
    <n v="0"/>
    <n v="3301"/>
  </r>
  <r>
    <x v="1"/>
    <x v="6"/>
    <x v="5"/>
    <x v="107"/>
    <x v="94"/>
    <x v="94"/>
    <s v="CHARGES"/>
    <x v="0"/>
    <s v="3212.002"/>
    <s v="Intérêts bonifiés/trop perçu acompte C/C"/>
    <n v="0.03"/>
    <n v="0"/>
    <n v="3212"/>
  </r>
  <r>
    <x v="1"/>
    <x v="6"/>
    <x v="5"/>
    <x v="107"/>
    <x v="94"/>
    <x v="94"/>
    <s v="CHARGES"/>
    <x v="0"/>
    <s v="3212.004"/>
    <s v="Intérêts rémun./perçu trop tôt sur acomptes C/C"/>
    <n v="2.2400000000000002"/>
    <n v="0"/>
    <n v="3212"/>
  </r>
  <r>
    <x v="1"/>
    <x v="6"/>
    <x v="5"/>
    <x v="107"/>
    <x v="94"/>
    <x v="94"/>
    <s v="REVENUS"/>
    <x v="17"/>
    <s v="4011.001"/>
    <s v="Impôt bénéfice ordinaire"/>
    <n v="0"/>
    <n v="21029.200000000001"/>
    <n v="4011"/>
  </r>
  <r>
    <x v="1"/>
    <x v="6"/>
    <x v="5"/>
    <x v="107"/>
    <x v="94"/>
    <x v="94"/>
    <s v="REVENUS"/>
    <x v="17"/>
    <s v="4011.002"/>
    <s v="Complément impôt bénéfice ordinaire"/>
    <n v="0"/>
    <n v="1246.95"/>
    <n v="4011"/>
  </r>
  <r>
    <x v="1"/>
    <x v="6"/>
    <x v="5"/>
    <x v="107"/>
    <x v="94"/>
    <x v="94"/>
    <s v="REVENUS"/>
    <x v="6"/>
    <s v="4211.001"/>
    <s v="Intérêts de retard sur factures"/>
    <n v="0"/>
    <n v="4.7"/>
    <n v="4211"/>
  </r>
  <r>
    <x v="1"/>
    <x v="6"/>
    <x v="5"/>
    <x v="107"/>
    <x v="94"/>
    <x v="94"/>
    <s v="REVENUS"/>
    <x v="6"/>
    <s v="4221.001"/>
    <s v="Intérêts compensat. / créances en faveur du fisc"/>
    <n v="0"/>
    <n v="14.73"/>
    <n v="4221"/>
  </r>
  <r>
    <x v="1"/>
    <x v="6"/>
    <x v="5"/>
    <x v="107"/>
    <x v="94"/>
    <x v="94"/>
    <s v="REVENUS"/>
    <x v="17"/>
    <s v="4011.007"/>
    <s v="Acompte sur bénéfice"/>
    <n v="0"/>
    <n v="2467.9499999999998"/>
    <n v="4011"/>
  </r>
  <r>
    <x v="1"/>
    <x v="6"/>
    <x v="5"/>
    <x v="107"/>
    <x v="94"/>
    <x v="94"/>
    <s v="REVENUS"/>
    <x v="6"/>
    <s v="4211.002"/>
    <s v="Intérêts de retard sur acomptes"/>
    <n v="0"/>
    <n v="142.41999999999999"/>
    <n v="4211"/>
  </r>
  <r>
    <x v="1"/>
    <x v="6"/>
    <x v="5"/>
    <x v="107"/>
    <x v="94"/>
    <x v="94"/>
    <s v="REVENUS"/>
    <x v="16"/>
    <s v="4012.001"/>
    <s v="Impôt capital ordinaire"/>
    <n v="0"/>
    <n v="2161.15"/>
    <n v="4012"/>
  </r>
  <r>
    <x v="1"/>
    <x v="6"/>
    <x v="5"/>
    <x v="107"/>
    <x v="94"/>
    <x v="94"/>
    <s v="REVENUS"/>
    <x v="16"/>
    <s v="4012.007"/>
    <s v="Acompte sur capital"/>
    <n v="0"/>
    <n v="100.55"/>
    <n v="4012"/>
  </r>
  <r>
    <x v="1"/>
    <x v="6"/>
    <x v="5"/>
    <x v="107"/>
    <x v="94"/>
    <x v="94"/>
    <s v="REVENUS"/>
    <x v="18"/>
    <s v="4013.003"/>
    <s v="Remboursement impôt complémentaire sur immeubles"/>
    <n v="0"/>
    <n v="-133.80000000000001"/>
    <n v="4013"/>
  </r>
  <r>
    <x v="1"/>
    <x v="6"/>
    <x v="5"/>
    <x v="107"/>
    <x v="94"/>
    <x v="94"/>
    <s v="REVENUS"/>
    <x v="18"/>
    <s v="4013.001"/>
    <s v="Impôt complémentaire sur immeubles"/>
    <n v="0"/>
    <n v="2228.6999999999998"/>
    <n v="4013"/>
  </r>
  <r>
    <x v="1"/>
    <x v="6"/>
    <x v="5"/>
    <x v="108"/>
    <x v="95"/>
    <x v="95"/>
    <s v="CHARGES"/>
    <x v="0"/>
    <s v="3212.002"/>
    <s v="Intérêts bonifiés/trop perçu acompte C/C"/>
    <n v="0.01"/>
    <n v="0"/>
    <n v="3212"/>
  </r>
  <r>
    <x v="1"/>
    <x v="6"/>
    <x v="5"/>
    <x v="108"/>
    <x v="95"/>
    <x v="95"/>
    <s v="CHARGES"/>
    <x v="1"/>
    <s v="3301.006"/>
    <s v="Abandon de solde PM"/>
    <n v="12.29"/>
    <n v="0"/>
    <n v="3301"/>
  </r>
  <r>
    <x v="1"/>
    <x v="6"/>
    <x v="5"/>
    <x v="108"/>
    <x v="95"/>
    <x v="95"/>
    <s v="CHARGES"/>
    <x v="0"/>
    <s v="3212.004"/>
    <s v="Intérêts rémun./perçu trop tôt sur acomptes C/C"/>
    <n v="10.94"/>
    <n v="0"/>
    <n v="3212"/>
  </r>
  <r>
    <x v="1"/>
    <x v="6"/>
    <x v="5"/>
    <x v="108"/>
    <x v="95"/>
    <x v="95"/>
    <s v="CHARGES"/>
    <x v="0"/>
    <s v="3221.002"/>
    <s v="Intérêts compensatoires / créances en faveur ctb."/>
    <n v="19.53"/>
    <n v="0"/>
    <n v="3221"/>
  </r>
  <r>
    <x v="1"/>
    <x v="6"/>
    <x v="5"/>
    <x v="108"/>
    <x v="95"/>
    <x v="95"/>
    <s v="REVENUS"/>
    <x v="17"/>
    <s v="4011.002"/>
    <s v="Complément impôt bénéfice ordinaire"/>
    <n v="0"/>
    <n v="305.14999999999998"/>
    <n v="4011"/>
  </r>
  <r>
    <x v="1"/>
    <x v="6"/>
    <x v="5"/>
    <x v="108"/>
    <x v="95"/>
    <x v="95"/>
    <s v="REVENUS"/>
    <x v="17"/>
    <s v="4011.001"/>
    <s v="Impôt bénéfice ordinaire"/>
    <n v="0"/>
    <n v="11692.1"/>
    <n v="4011"/>
  </r>
  <r>
    <x v="1"/>
    <x v="6"/>
    <x v="5"/>
    <x v="108"/>
    <x v="95"/>
    <x v="95"/>
    <s v="REVENUS"/>
    <x v="17"/>
    <s v="4011.007"/>
    <s v="Acompte sur bénéfice"/>
    <n v="0"/>
    <n v="3838.8"/>
    <n v="4011"/>
  </r>
  <r>
    <x v="1"/>
    <x v="6"/>
    <x v="5"/>
    <x v="108"/>
    <x v="95"/>
    <x v="95"/>
    <s v="REVENUS"/>
    <x v="6"/>
    <s v="4221.001"/>
    <s v="Intérêts compensat. / créances en faveur du fisc"/>
    <n v="0"/>
    <n v="2.4500000000000002"/>
    <n v="4221"/>
  </r>
  <r>
    <x v="1"/>
    <x v="6"/>
    <x v="5"/>
    <x v="108"/>
    <x v="95"/>
    <x v="95"/>
    <s v="REVENUS"/>
    <x v="16"/>
    <s v="4012.007"/>
    <s v="Acompte sur capital"/>
    <n v="0"/>
    <n v="79.3"/>
    <n v="4012"/>
  </r>
  <r>
    <x v="1"/>
    <x v="6"/>
    <x v="5"/>
    <x v="108"/>
    <x v="95"/>
    <x v="95"/>
    <s v="REVENUS"/>
    <x v="16"/>
    <s v="4012.001"/>
    <s v="Impôt capital ordinaire"/>
    <n v="0"/>
    <n v="62.75"/>
    <n v="4012"/>
  </r>
  <r>
    <x v="1"/>
    <x v="6"/>
    <x v="5"/>
    <x v="108"/>
    <x v="95"/>
    <x v="95"/>
    <s v="REVENUS"/>
    <x v="6"/>
    <s v="4211.002"/>
    <s v="Intérêts de retard sur acomptes"/>
    <n v="0"/>
    <n v="1.68"/>
    <n v="4211"/>
  </r>
  <r>
    <x v="1"/>
    <x v="6"/>
    <x v="5"/>
    <x v="108"/>
    <x v="95"/>
    <x v="95"/>
    <s v="REVENUS"/>
    <x v="18"/>
    <s v="4013.001"/>
    <s v="Impôt complémentaire sur immeubles"/>
    <n v="0"/>
    <n v="1271.6500000000001"/>
    <n v="4013"/>
  </r>
  <r>
    <x v="1"/>
    <x v="6"/>
    <x v="5"/>
    <x v="109"/>
    <x v="96"/>
    <x v="96"/>
    <s v="CHARGES"/>
    <x v="1"/>
    <s v="3301.006"/>
    <s v="Abandon de solde PM"/>
    <n v="3.42"/>
    <n v="0"/>
    <n v="3301"/>
  </r>
  <r>
    <x v="1"/>
    <x v="6"/>
    <x v="5"/>
    <x v="109"/>
    <x v="96"/>
    <x v="96"/>
    <s v="CHARGES"/>
    <x v="0"/>
    <s v="3212.002"/>
    <s v="Intérêts bonifiés/trop perçu acompte C/C"/>
    <n v="0.16"/>
    <n v="0"/>
    <n v="3212"/>
  </r>
  <r>
    <x v="1"/>
    <x v="6"/>
    <x v="5"/>
    <x v="109"/>
    <x v="96"/>
    <x v="96"/>
    <s v="CHARGES"/>
    <x v="0"/>
    <s v="3212.004"/>
    <s v="Intérêts rémun./perçu trop tôt sur acomptes C/C"/>
    <n v="5.79"/>
    <n v="0"/>
    <n v="3212"/>
  </r>
  <r>
    <x v="1"/>
    <x v="6"/>
    <x v="5"/>
    <x v="109"/>
    <x v="96"/>
    <x v="96"/>
    <s v="CHARGES"/>
    <x v="0"/>
    <s v="3221.002"/>
    <s v="Intérêts compensatoires / créances en faveur ctb."/>
    <n v="12.49"/>
    <n v="0"/>
    <n v="3221"/>
  </r>
  <r>
    <x v="1"/>
    <x v="6"/>
    <x v="5"/>
    <x v="109"/>
    <x v="96"/>
    <x v="96"/>
    <s v="REVENUS"/>
    <x v="6"/>
    <s v="4211.001"/>
    <s v="Intérêts de retard sur factures"/>
    <n v="0"/>
    <n v="1.85"/>
    <n v="4211"/>
  </r>
  <r>
    <x v="1"/>
    <x v="6"/>
    <x v="5"/>
    <x v="109"/>
    <x v="96"/>
    <x v="96"/>
    <s v="REVENUS"/>
    <x v="18"/>
    <s v="4013.001"/>
    <s v="Impôt complémentaire sur immeubles"/>
    <n v="0"/>
    <n v="408.4"/>
    <n v="4013"/>
  </r>
  <r>
    <x v="1"/>
    <x v="6"/>
    <x v="5"/>
    <x v="109"/>
    <x v="96"/>
    <x v="96"/>
    <s v="REVENUS"/>
    <x v="17"/>
    <s v="4011.002"/>
    <s v="Complément impôt bénéfice ordinaire"/>
    <n v="0"/>
    <n v="5916.15"/>
    <n v="4011"/>
  </r>
  <r>
    <x v="1"/>
    <x v="6"/>
    <x v="5"/>
    <x v="109"/>
    <x v="96"/>
    <x v="96"/>
    <s v="REVENUS"/>
    <x v="17"/>
    <s v="4011.001"/>
    <s v="Impôt bénéfice ordinaire"/>
    <n v="0"/>
    <n v="-319.55"/>
    <n v="4011"/>
  </r>
  <r>
    <x v="1"/>
    <x v="6"/>
    <x v="5"/>
    <x v="109"/>
    <x v="96"/>
    <x v="96"/>
    <s v="REVENUS"/>
    <x v="17"/>
    <s v="4011.007"/>
    <s v="Acompte sur bénéfice"/>
    <n v="0"/>
    <n v="-16112.15"/>
    <n v="4011"/>
  </r>
  <r>
    <x v="1"/>
    <x v="6"/>
    <x v="5"/>
    <x v="109"/>
    <x v="96"/>
    <x v="96"/>
    <s v="REVENUS"/>
    <x v="16"/>
    <s v="4012.007"/>
    <s v="Acompte sur capital"/>
    <n v="0"/>
    <n v="50.7"/>
    <n v="4012"/>
  </r>
  <r>
    <x v="1"/>
    <x v="6"/>
    <x v="5"/>
    <x v="109"/>
    <x v="96"/>
    <x v="96"/>
    <s v="REVENUS"/>
    <x v="16"/>
    <s v="4012.001"/>
    <s v="Impôt capital ordinaire"/>
    <n v="0"/>
    <n v="41.4"/>
    <n v="4012"/>
  </r>
  <r>
    <x v="1"/>
    <x v="6"/>
    <x v="5"/>
    <x v="109"/>
    <x v="96"/>
    <x v="96"/>
    <s v="REVENUS"/>
    <x v="6"/>
    <s v="4211.002"/>
    <s v="Intérêts de retard sur acomptes"/>
    <n v="0"/>
    <n v="9.76"/>
    <n v="4211"/>
  </r>
  <r>
    <x v="1"/>
    <x v="6"/>
    <x v="5"/>
    <x v="109"/>
    <x v="96"/>
    <x v="96"/>
    <s v="REVENUS"/>
    <x v="18"/>
    <s v="4013.002"/>
    <s v="Complément impôt complémentaire sur immeubles"/>
    <n v="0"/>
    <n v="728.05"/>
    <n v="4013"/>
  </r>
  <r>
    <x v="1"/>
    <x v="6"/>
    <x v="5"/>
    <x v="110"/>
    <x v="97"/>
    <x v="97"/>
    <s v="CHARGES"/>
    <x v="1"/>
    <s v="3301.006"/>
    <s v="Abandon de solde PM"/>
    <n v="18.600000000000001"/>
    <n v="0"/>
    <n v="3301"/>
  </r>
  <r>
    <x v="1"/>
    <x v="6"/>
    <x v="5"/>
    <x v="110"/>
    <x v="97"/>
    <x v="97"/>
    <s v="CHARGES"/>
    <x v="0"/>
    <s v="3221.002"/>
    <s v="Intérêts compensatoires / créances en faveur ctb."/>
    <n v="16.600000000000001"/>
    <n v="0"/>
    <n v="3221"/>
  </r>
  <r>
    <x v="1"/>
    <x v="6"/>
    <x v="5"/>
    <x v="110"/>
    <x v="97"/>
    <x v="97"/>
    <s v="CHARGES"/>
    <x v="0"/>
    <s v="3212.004"/>
    <s v="Intérêts rémun./perçu trop tôt sur acomptes C/C"/>
    <n v="14.76"/>
    <n v="0"/>
    <n v="3212"/>
  </r>
  <r>
    <x v="1"/>
    <x v="6"/>
    <x v="5"/>
    <x v="110"/>
    <x v="97"/>
    <x v="97"/>
    <s v="CHARGES"/>
    <x v="0"/>
    <s v="3212.002"/>
    <s v="Intérêts bonifiés/trop perçu acompte C/C"/>
    <n v="0.01"/>
    <n v="0"/>
    <n v="3212"/>
  </r>
  <r>
    <x v="1"/>
    <x v="6"/>
    <x v="5"/>
    <x v="110"/>
    <x v="97"/>
    <x v="97"/>
    <s v="REVENUS"/>
    <x v="16"/>
    <s v="4012.001"/>
    <s v="Impôt capital ordinaire"/>
    <n v="0"/>
    <n v="2877.25"/>
    <n v="4012"/>
  </r>
  <r>
    <x v="1"/>
    <x v="6"/>
    <x v="5"/>
    <x v="110"/>
    <x v="97"/>
    <x v="97"/>
    <s v="REVENUS"/>
    <x v="16"/>
    <s v="4012.007"/>
    <s v="Acompte sur capital"/>
    <n v="0"/>
    <n v="13653.4"/>
    <n v="4012"/>
  </r>
  <r>
    <x v="1"/>
    <x v="6"/>
    <x v="5"/>
    <x v="110"/>
    <x v="97"/>
    <x v="97"/>
    <s v="REVENUS"/>
    <x v="6"/>
    <s v="4211.002"/>
    <s v="Intérêts de retard sur acomptes"/>
    <n v="0"/>
    <n v="667.35"/>
    <n v="4211"/>
  </r>
  <r>
    <x v="1"/>
    <x v="6"/>
    <x v="5"/>
    <x v="110"/>
    <x v="97"/>
    <x v="97"/>
    <s v="REVENUS"/>
    <x v="6"/>
    <s v="4211.001"/>
    <s v="Intérêts de retard sur factures"/>
    <n v="0"/>
    <n v="2159.5"/>
    <n v="4211"/>
  </r>
  <r>
    <x v="1"/>
    <x v="6"/>
    <x v="5"/>
    <x v="110"/>
    <x v="97"/>
    <x v="97"/>
    <s v="REVENUS"/>
    <x v="17"/>
    <s v="4011.002"/>
    <s v="Complément impôt bénéfice ordinaire"/>
    <n v="0"/>
    <n v="271.7"/>
    <n v="4011"/>
  </r>
  <r>
    <x v="1"/>
    <x v="6"/>
    <x v="5"/>
    <x v="110"/>
    <x v="97"/>
    <x v="97"/>
    <s v="REVENUS"/>
    <x v="17"/>
    <s v="4011.001"/>
    <s v="Impôt bénéfice ordinaire"/>
    <n v="0"/>
    <n v="-77924.2"/>
    <n v="4011"/>
  </r>
  <r>
    <x v="1"/>
    <x v="6"/>
    <x v="5"/>
    <x v="110"/>
    <x v="97"/>
    <x v="97"/>
    <s v="REVENUS"/>
    <x v="10"/>
    <s v="4041.001"/>
    <s v="Droits de mutation"/>
    <n v="0"/>
    <n v="44.25"/>
    <n v="4041"/>
  </r>
  <r>
    <x v="1"/>
    <x v="6"/>
    <x v="5"/>
    <x v="110"/>
    <x v="97"/>
    <x v="97"/>
    <s v="REVENUS"/>
    <x v="17"/>
    <s v="4011.007"/>
    <s v="Acompte sur bénéfice"/>
    <n v="0"/>
    <n v="-54881.4"/>
    <n v="4011"/>
  </r>
  <r>
    <x v="1"/>
    <x v="6"/>
    <x v="5"/>
    <x v="110"/>
    <x v="97"/>
    <x v="97"/>
    <s v="REVENUS"/>
    <x v="6"/>
    <s v="4221.001"/>
    <s v="Intérêts compensat. / créances en faveur du fisc"/>
    <n v="0"/>
    <n v="0.37"/>
    <n v="4221"/>
  </r>
  <r>
    <x v="1"/>
    <x v="6"/>
    <x v="5"/>
    <x v="110"/>
    <x v="97"/>
    <x v="97"/>
    <s v="REVENUS"/>
    <x v="18"/>
    <s v="4013.001"/>
    <s v="Impôt complémentaire sur immeubles"/>
    <n v="0"/>
    <n v="4011.5"/>
    <n v="4013"/>
  </r>
  <r>
    <x v="1"/>
    <x v="6"/>
    <x v="5"/>
    <x v="111"/>
    <x v="98"/>
    <x v="98"/>
    <s v="CHARGES"/>
    <x v="1"/>
    <s v="3301.006"/>
    <s v="Abandon de solde PM"/>
    <n v="0.99"/>
    <n v="0"/>
    <n v="3301"/>
  </r>
  <r>
    <x v="1"/>
    <x v="6"/>
    <x v="5"/>
    <x v="111"/>
    <x v="98"/>
    <x v="98"/>
    <s v="CHARGES"/>
    <x v="0"/>
    <s v="3212.002"/>
    <s v="Intérêts bonifiés/trop perçu acompte C/C"/>
    <n v="0.01"/>
    <n v="0"/>
    <n v="3212"/>
  </r>
  <r>
    <x v="1"/>
    <x v="6"/>
    <x v="5"/>
    <x v="111"/>
    <x v="98"/>
    <x v="98"/>
    <s v="CHARGES"/>
    <x v="0"/>
    <s v="3212.004"/>
    <s v="Intérêts rémun./perçu trop tôt sur acomptes C/C"/>
    <n v="2.46"/>
    <n v="0"/>
    <n v="3212"/>
  </r>
  <r>
    <x v="1"/>
    <x v="6"/>
    <x v="5"/>
    <x v="111"/>
    <x v="98"/>
    <x v="98"/>
    <s v="CHARGES"/>
    <x v="0"/>
    <s v="3221.002"/>
    <s v="Intérêts compensatoires / créances en faveur ctb."/>
    <n v="2.66"/>
    <n v="0"/>
    <n v="3221"/>
  </r>
  <r>
    <x v="1"/>
    <x v="6"/>
    <x v="5"/>
    <x v="111"/>
    <x v="98"/>
    <x v="98"/>
    <s v="REVENUS"/>
    <x v="6"/>
    <s v="4211.001"/>
    <s v="Intérêts de retard sur factures"/>
    <n v="0"/>
    <n v="8.09"/>
    <n v="4211"/>
  </r>
  <r>
    <x v="1"/>
    <x v="6"/>
    <x v="5"/>
    <x v="111"/>
    <x v="98"/>
    <x v="98"/>
    <s v="REVENUS"/>
    <x v="17"/>
    <s v="4011.002"/>
    <s v="Complément impôt bénéfice ordinaire"/>
    <n v="0"/>
    <n v="232.75"/>
    <n v="4011"/>
  </r>
  <r>
    <x v="1"/>
    <x v="6"/>
    <x v="5"/>
    <x v="111"/>
    <x v="98"/>
    <x v="98"/>
    <s v="REVENUS"/>
    <x v="17"/>
    <s v="4011.001"/>
    <s v="Impôt bénéfice ordinaire"/>
    <n v="0"/>
    <n v="443.55"/>
    <n v="4011"/>
  </r>
  <r>
    <x v="1"/>
    <x v="6"/>
    <x v="5"/>
    <x v="111"/>
    <x v="98"/>
    <x v="98"/>
    <s v="REVENUS"/>
    <x v="16"/>
    <s v="4012.007"/>
    <s v="Acompte sur capital"/>
    <n v="0"/>
    <n v="58.95"/>
    <n v="4012"/>
  </r>
  <r>
    <x v="1"/>
    <x v="6"/>
    <x v="5"/>
    <x v="111"/>
    <x v="98"/>
    <x v="98"/>
    <s v="REVENUS"/>
    <x v="6"/>
    <s v="4211.002"/>
    <s v="Intérêts de retard sur acomptes"/>
    <n v="0"/>
    <n v="0.64"/>
    <n v="4211"/>
  </r>
  <r>
    <x v="1"/>
    <x v="6"/>
    <x v="5"/>
    <x v="111"/>
    <x v="98"/>
    <x v="98"/>
    <s v="REVENUS"/>
    <x v="6"/>
    <s v="4221.001"/>
    <s v="Intérêts compensat. / créances en faveur du fisc"/>
    <n v="0"/>
    <n v="0.03"/>
    <n v="4221"/>
  </r>
  <r>
    <x v="1"/>
    <x v="6"/>
    <x v="5"/>
    <x v="111"/>
    <x v="98"/>
    <x v="98"/>
    <s v="REVENUS"/>
    <x v="17"/>
    <s v="4011.007"/>
    <s v="Acompte sur bénéfice"/>
    <n v="0"/>
    <n v="324.5"/>
    <n v="4011"/>
  </r>
  <r>
    <x v="1"/>
    <x v="6"/>
    <x v="5"/>
    <x v="111"/>
    <x v="98"/>
    <x v="98"/>
    <s v="REVENUS"/>
    <x v="10"/>
    <s v="4041.001"/>
    <s v="Droits de mutation"/>
    <n v="0"/>
    <n v="323.39999999999998"/>
    <n v="4041"/>
  </r>
  <r>
    <x v="1"/>
    <x v="6"/>
    <x v="5"/>
    <x v="111"/>
    <x v="98"/>
    <x v="98"/>
    <s v="REVENUS"/>
    <x v="16"/>
    <s v="4012.001"/>
    <s v="Impôt capital ordinaire"/>
    <n v="0"/>
    <n v="62"/>
    <n v="4012"/>
  </r>
  <r>
    <x v="1"/>
    <x v="6"/>
    <x v="5"/>
    <x v="111"/>
    <x v="98"/>
    <x v="98"/>
    <s v="REVENUS"/>
    <x v="18"/>
    <s v="4013.001"/>
    <s v="Impôt complémentaire sur immeubles"/>
    <n v="0"/>
    <n v="566.20000000000005"/>
    <n v="4013"/>
  </r>
  <r>
    <x v="1"/>
    <x v="6"/>
    <x v="5"/>
    <x v="111"/>
    <x v="98"/>
    <x v="98"/>
    <s v="REVENUS"/>
    <x v="18"/>
    <s v="4013.002"/>
    <s v="Complément impôt complémentaire sur immeubles"/>
    <n v="0"/>
    <n v="58"/>
    <n v="4013"/>
  </r>
  <r>
    <x v="1"/>
    <x v="6"/>
    <x v="5"/>
    <x v="112"/>
    <x v="99"/>
    <x v="99"/>
    <s v="CHARGES"/>
    <x v="0"/>
    <s v="3212.004"/>
    <s v="Intérêts rémun./perçu trop tôt sur acomptes C/C"/>
    <n v="87.65"/>
    <n v="0"/>
    <n v="3212"/>
  </r>
  <r>
    <x v="1"/>
    <x v="6"/>
    <x v="5"/>
    <x v="112"/>
    <x v="99"/>
    <x v="99"/>
    <s v="CHARGES"/>
    <x v="0"/>
    <s v="3221.002"/>
    <s v="Intérêts compensatoires / créances en faveur ctb."/>
    <n v="113.87"/>
    <n v="0"/>
    <n v="3221"/>
  </r>
  <r>
    <x v="1"/>
    <x v="6"/>
    <x v="5"/>
    <x v="112"/>
    <x v="99"/>
    <x v="99"/>
    <s v="CHARGES"/>
    <x v="1"/>
    <s v="3301.006"/>
    <s v="Abandon de solde PM"/>
    <n v="98.02"/>
    <n v="0"/>
    <n v="3301"/>
  </r>
  <r>
    <x v="1"/>
    <x v="6"/>
    <x v="5"/>
    <x v="112"/>
    <x v="99"/>
    <x v="99"/>
    <s v="CHARGES"/>
    <x v="0"/>
    <s v="3212.002"/>
    <s v="Intérêts bonifiés/trop perçu acompte C/C"/>
    <n v="1.1499999999999999"/>
    <n v="0"/>
    <n v="3212"/>
  </r>
  <r>
    <x v="1"/>
    <x v="6"/>
    <x v="5"/>
    <x v="112"/>
    <x v="99"/>
    <x v="99"/>
    <s v="REVENUS"/>
    <x v="7"/>
    <s v="4184.000"/>
    <s v="Frais de poursuite"/>
    <n v="0"/>
    <n v="104.23"/>
    <n v="4184"/>
  </r>
  <r>
    <x v="1"/>
    <x v="6"/>
    <x v="5"/>
    <x v="112"/>
    <x v="99"/>
    <x v="99"/>
    <s v="REVENUS"/>
    <x v="17"/>
    <s v="4011.007"/>
    <s v="Acompte sur bénéfice"/>
    <n v="0"/>
    <n v="-152838.20000000001"/>
    <n v="4011"/>
  </r>
  <r>
    <x v="1"/>
    <x v="6"/>
    <x v="5"/>
    <x v="112"/>
    <x v="99"/>
    <x v="99"/>
    <s v="REVENUS"/>
    <x v="16"/>
    <s v="4012.001"/>
    <s v="Impôt capital ordinaire"/>
    <n v="0"/>
    <n v="12656.75"/>
    <n v="4012"/>
  </r>
  <r>
    <x v="1"/>
    <x v="6"/>
    <x v="5"/>
    <x v="112"/>
    <x v="99"/>
    <x v="99"/>
    <s v="REVENUS"/>
    <x v="16"/>
    <s v="4012.007"/>
    <s v="Acompte sur capital"/>
    <n v="0"/>
    <n v="2989.4"/>
    <n v="4012"/>
  </r>
  <r>
    <x v="1"/>
    <x v="6"/>
    <x v="5"/>
    <x v="112"/>
    <x v="99"/>
    <x v="99"/>
    <s v="REVENUS"/>
    <x v="18"/>
    <s v="4013.001"/>
    <s v="Impôt complémentaire sur immeubles"/>
    <n v="0"/>
    <n v="40497.550000000003"/>
    <n v="4013"/>
  </r>
  <r>
    <x v="1"/>
    <x v="6"/>
    <x v="5"/>
    <x v="112"/>
    <x v="99"/>
    <x v="99"/>
    <s v="REVENUS"/>
    <x v="6"/>
    <s v="4211.002"/>
    <s v="Intérêts de retard sur acomptes"/>
    <n v="0"/>
    <n v="211.78"/>
    <n v="4211"/>
  </r>
  <r>
    <x v="1"/>
    <x v="6"/>
    <x v="5"/>
    <x v="112"/>
    <x v="99"/>
    <x v="99"/>
    <s v="REVENUS"/>
    <x v="17"/>
    <s v="4011.001"/>
    <s v="Impôt bénéfice ordinaire"/>
    <n v="0"/>
    <n v="280023.2"/>
    <n v="4011"/>
  </r>
  <r>
    <x v="1"/>
    <x v="6"/>
    <x v="5"/>
    <x v="112"/>
    <x v="99"/>
    <x v="99"/>
    <s v="REVENUS"/>
    <x v="17"/>
    <s v="4011.002"/>
    <s v="Complément impôt bénéfice ordinaire"/>
    <n v="0"/>
    <n v="28573.65"/>
    <n v="4011"/>
  </r>
  <r>
    <x v="1"/>
    <x v="6"/>
    <x v="5"/>
    <x v="112"/>
    <x v="99"/>
    <x v="99"/>
    <s v="REVENUS"/>
    <x v="6"/>
    <s v="4211.001"/>
    <s v="Intérêts de retard sur factures"/>
    <n v="0"/>
    <n v="47.01"/>
    <n v="4211"/>
  </r>
  <r>
    <x v="1"/>
    <x v="6"/>
    <x v="5"/>
    <x v="112"/>
    <x v="99"/>
    <x v="99"/>
    <s v="REVENUS"/>
    <x v="6"/>
    <s v="4221.001"/>
    <s v="Intérêts compensat. / créances en faveur du fisc"/>
    <n v="0"/>
    <n v="117.33"/>
    <n v="4221"/>
  </r>
  <r>
    <x v="1"/>
    <x v="6"/>
    <x v="5"/>
    <x v="112"/>
    <x v="99"/>
    <x v="99"/>
    <s v="REVENUS"/>
    <x v="10"/>
    <s v="4041.001"/>
    <s v="Droits de mutation"/>
    <n v="0"/>
    <n v="29636.1"/>
    <n v="4041"/>
  </r>
  <r>
    <x v="1"/>
    <x v="6"/>
    <x v="5"/>
    <x v="112"/>
    <x v="99"/>
    <x v="99"/>
    <s v="REVENUS"/>
    <x v="18"/>
    <s v="4013.002"/>
    <s v="Complément impôt complémentaire sur immeubles"/>
    <n v="0"/>
    <n v="83.45"/>
    <n v="4013"/>
  </r>
  <r>
    <x v="1"/>
    <x v="6"/>
    <x v="5"/>
    <x v="112"/>
    <x v="99"/>
    <x v="99"/>
    <s v="REVENUS"/>
    <x v="18"/>
    <s v="4013.003"/>
    <s v="Remboursement impôt complémentaire sur immeubles"/>
    <n v="0"/>
    <n v="-643"/>
    <n v="4013"/>
  </r>
  <r>
    <x v="1"/>
    <x v="6"/>
    <x v="5"/>
    <x v="112"/>
    <x v="99"/>
    <x v="99"/>
    <s v="REVENUS"/>
    <x v="16"/>
    <s v="4012.002"/>
    <s v="Complément impôt capital ordinaire"/>
    <n v="0"/>
    <n v="195.2"/>
    <n v="4012"/>
  </r>
  <r>
    <x v="1"/>
    <x v="6"/>
    <x v="5"/>
    <x v="113"/>
    <x v="100"/>
    <x v="100"/>
    <s v="CHARGES"/>
    <x v="0"/>
    <s v="3221.002"/>
    <s v="Intérêts compensatoires / créances en faveur ctb."/>
    <n v="7.33"/>
    <n v="0"/>
    <n v="3221"/>
  </r>
  <r>
    <x v="1"/>
    <x v="6"/>
    <x v="5"/>
    <x v="113"/>
    <x v="100"/>
    <x v="100"/>
    <s v="CHARGES"/>
    <x v="1"/>
    <s v="3301.006"/>
    <s v="Abandon de solde PM"/>
    <n v="4.37"/>
    <n v="0"/>
    <n v="3301"/>
  </r>
  <r>
    <x v="1"/>
    <x v="6"/>
    <x v="5"/>
    <x v="113"/>
    <x v="100"/>
    <x v="100"/>
    <s v="CHARGES"/>
    <x v="0"/>
    <s v="3212.004"/>
    <s v="Intérêts rémun./perçu trop tôt sur acomptes C/C"/>
    <n v="3.99"/>
    <n v="0"/>
    <n v="3212"/>
  </r>
  <r>
    <x v="1"/>
    <x v="6"/>
    <x v="5"/>
    <x v="113"/>
    <x v="100"/>
    <x v="100"/>
    <s v="REVENUS"/>
    <x v="17"/>
    <s v="4011.002"/>
    <s v="Complément impôt bénéfice ordinaire"/>
    <n v="0"/>
    <n v="113.05"/>
    <n v="4011"/>
  </r>
  <r>
    <x v="1"/>
    <x v="6"/>
    <x v="5"/>
    <x v="113"/>
    <x v="100"/>
    <x v="100"/>
    <s v="REVENUS"/>
    <x v="17"/>
    <s v="4011.001"/>
    <s v="Impôt bénéfice ordinaire"/>
    <n v="0"/>
    <n v="4209.5"/>
    <n v="4011"/>
  </r>
  <r>
    <x v="1"/>
    <x v="6"/>
    <x v="5"/>
    <x v="113"/>
    <x v="100"/>
    <x v="100"/>
    <s v="REVENUS"/>
    <x v="17"/>
    <s v="4011.007"/>
    <s v="Acompte sur bénéfice"/>
    <n v="0"/>
    <n v="-2074.65"/>
    <n v="4011"/>
  </r>
  <r>
    <x v="1"/>
    <x v="6"/>
    <x v="5"/>
    <x v="113"/>
    <x v="100"/>
    <x v="100"/>
    <s v="REVENUS"/>
    <x v="6"/>
    <s v="4221.001"/>
    <s v="Intérêts compensat. / créances en faveur du fisc"/>
    <n v="0"/>
    <n v="0.86"/>
    <n v="4221"/>
  </r>
  <r>
    <x v="1"/>
    <x v="6"/>
    <x v="5"/>
    <x v="113"/>
    <x v="100"/>
    <x v="100"/>
    <s v="REVENUS"/>
    <x v="16"/>
    <s v="4012.007"/>
    <s v="Acompte sur capital"/>
    <n v="0"/>
    <n v="26.8"/>
    <n v="4012"/>
  </r>
  <r>
    <x v="1"/>
    <x v="6"/>
    <x v="5"/>
    <x v="113"/>
    <x v="100"/>
    <x v="100"/>
    <s v="REVENUS"/>
    <x v="16"/>
    <s v="4012.001"/>
    <s v="Impôt capital ordinaire"/>
    <n v="0"/>
    <n v="7.55"/>
    <n v="4012"/>
  </r>
  <r>
    <x v="1"/>
    <x v="6"/>
    <x v="5"/>
    <x v="113"/>
    <x v="100"/>
    <x v="100"/>
    <s v="REVENUS"/>
    <x v="6"/>
    <s v="4211.002"/>
    <s v="Intérêts de retard sur acomptes"/>
    <n v="0"/>
    <n v="2.7"/>
    <n v="4211"/>
  </r>
  <r>
    <x v="1"/>
    <x v="6"/>
    <x v="5"/>
    <x v="113"/>
    <x v="100"/>
    <x v="100"/>
    <s v="REVENUS"/>
    <x v="18"/>
    <s v="4013.001"/>
    <s v="Impôt complémentaire sur immeubles"/>
    <n v="0"/>
    <n v="1974.5"/>
    <n v="4013"/>
  </r>
  <r>
    <x v="1"/>
    <x v="6"/>
    <x v="5"/>
    <x v="114"/>
    <x v="101"/>
    <x v="101"/>
    <s v="CHARGES"/>
    <x v="0"/>
    <s v="3212.002"/>
    <s v="Intérêts bonifiés/trop perçu acompte C/C"/>
    <n v="0.01"/>
    <n v="0"/>
    <n v="3212"/>
  </r>
  <r>
    <x v="1"/>
    <x v="6"/>
    <x v="5"/>
    <x v="114"/>
    <x v="101"/>
    <x v="101"/>
    <s v="CHARGES"/>
    <x v="1"/>
    <s v="3301.006"/>
    <s v="Abandon de solde PM"/>
    <n v="7.27"/>
    <n v="0"/>
    <n v="3301"/>
  </r>
  <r>
    <x v="1"/>
    <x v="6"/>
    <x v="5"/>
    <x v="114"/>
    <x v="101"/>
    <x v="101"/>
    <s v="CHARGES"/>
    <x v="0"/>
    <s v="3212.004"/>
    <s v="Intérêts rémun./perçu trop tôt sur acomptes C/C"/>
    <n v="0.14000000000000001"/>
    <n v="0"/>
    <n v="3212"/>
  </r>
  <r>
    <x v="1"/>
    <x v="6"/>
    <x v="5"/>
    <x v="114"/>
    <x v="101"/>
    <x v="101"/>
    <s v="CHARGES"/>
    <x v="0"/>
    <s v="3221.002"/>
    <s v="Intérêts compensatoires / créances en faveur ctb."/>
    <n v="0.79"/>
    <n v="0"/>
    <n v="3221"/>
  </r>
  <r>
    <x v="1"/>
    <x v="6"/>
    <x v="5"/>
    <x v="114"/>
    <x v="101"/>
    <x v="101"/>
    <s v="REVENUS"/>
    <x v="17"/>
    <s v="4011.002"/>
    <s v="Complément impôt bénéfice ordinaire"/>
    <n v="0"/>
    <n v="133.25"/>
    <n v="4011"/>
  </r>
  <r>
    <x v="1"/>
    <x v="6"/>
    <x v="5"/>
    <x v="114"/>
    <x v="101"/>
    <x v="101"/>
    <s v="REVENUS"/>
    <x v="17"/>
    <s v="4011.001"/>
    <s v="Impôt bénéfice ordinaire"/>
    <n v="0"/>
    <n v="1090.8499999999999"/>
    <n v="4011"/>
  </r>
  <r>
    <x v="1"/>
    <x v="6"/>
    <x v="5"/>
    <x v="114"/>
    <x v="101"/>
    <x v="101"/>
    <s v="REVENUS"/>
    <x v="16"/>
    <s v="4012.001"/>
    <s v="Impôt capital ordinaire"/>
    <n v="0"/>
    <n v="37"/>
    <n v="4012"/>
  </r>
  <r>
    <x v="1"/>
    <x v="6"/>
    <x v="5"/>
    <x v="114"/>
    <x v="101"/>
    <x v="101"/>
    <s v="REVENUS"/>
    <x v="16"/>
    <s v="4012.007"/>
    <s v="Acompte sur capital"/>
    <n v="0"/>
    <n v="-9.4499999999999993"/>
    <n v="4012"/>
  </r>
  <r>
    <x v="1"/>
    <x v="6"/>
    <x v="5"/>
    <x v="114"/>
    <x v="101"/>
    <x v="101"/>
    <s v="REVENUS"/>
    <x v="6"/>
    <s v="4211.002"/>
    <s v="Intérêts de retard sur acomptes"/>
    <n v="0"/>
    <n v="1.8"/>
    <n v="4211"/>
  </r>
  <r>
    <x v="1"/>
    <x v="6"/>
    <x v="5"/>
    <x v="114"/>
    <x v="101"/>
    <x v="101"/>
    <s v="REVENUS"/>
    <x v="17"/>
    <s v="4011.007"/>
    <s v="Acompte sur bénéfice"/>
    <n v="0"/>
    <n v="-796.75"/>
    <n v="4011"/>
  </r>
  <r>
    <x v="1"/>
    <x v="6"/>
    <x v="5"/>
    <x v="114"/>
    <x v="101"/>
    <x v="101"/>
    <s v="REVENUS"/>
    <x v="6"/>
    <s v="4221.001"/>
    <s v="Intérêts compensat. / créances en faveur du fisc"/>
    <n v="0"/>
    <n v="0.94"/>
    <n v="4221"/>
  </r>
  <r>
    <x v="1"/>
    <x v="6"/>
    <x v="5"/>
    <x v="115"/>
    <x v="102"/>
    <x v="102"/>
    <s v="CHARGES"/>
    <x v="1"/>
    <s v="3301.006"/>
    <s v="Abandon de solde PM"/>
    <n v="9.1999999999999993"/>
    <n v="0"/>
    <n v="3301"/>
  </r>
  <r>
    <x v="1"/>
    <x v="6"/>
    <x v="5"/>
    <x v="115"/>
    <x v="102"/>
    <x v="102"/>
    <s v="CHARGES"/>
    <x v="0"/>
    <s v="3212.004"/>
    <s v="Intérêts rémun./perçu trop tôt sur acomptes C/C"/>
    <n v="0.06"/>
    <n v="0"/>
    <n v="3212"/>
  </r>
  <r>
    <x v="1"/>
    <x v="6"/>
    <x v="5"/>
    <x v="115"/>
    <x v="102"/>
    <x v="102"/>
    <s v="CHARGES"/>
    <x v="0"/>
    <s v="3221.002"/>
    <s v="Intérêts compensatoires / créances en faveur ctb."/>
    <n v="0.3"/>
    <n v="0"/>
    <n v="3221"/>
  </r>
  <r>
    <x v="1"/>
    <x v="6"/>
    <x v="5"/>
    <x v="115"/>
    <x v="102"/>
    <x v="102"/>
    <s v="REVENUS"/>
    <x v="16"/>
    <s v="4012.001"/>
    <s v="Impôt capital ordinaire"/>
    <n v="0"/>
    <n v="11.85"/>
    <n v="4012"/>
  </r>
  <r>
    <x v="1"/>
    <x v="6"/>
    <x v="5"/>
    <x v="115"/>
    <x v="102"/>
    <x v="102"/>
    <s v="REVENUS"/>
    <x v="16"/>
    <s v="4012.007"/>
    <s v="Acompte sur capital"/>
    <n v="0"/>
    <n v="11.9"/>
    <n v="4012"/>
  </r>
  <r>
    <x v="1"/>
    <x v="6"/>
    <x v="5"/>
    <x v="115"/>
    <x v="102"/>
    <x v="102"/>
    <s v="REVENUS"/>
    <x v="6"/>
    <s v="4211.002"/>
    <s v="Intérêts de retard sur acomptes"/>
    <n v="0"/>
    <n v="0.51"/>
    <n v="4211"/>
  </r>
  <r>
    <x v="1"/>
    <x v="6"/>
    <x v="5"/>
    <x v="115"/>
    <x v="102"/>
    <x v="102"/>
    <s v="REVENUS"/>
    <x v="17"/>
    <s v="4011.007"/>
    <s v="Acompte sur bénéfice"/>
    <n v="0"/>
    <n v="-177.9"/>
    <n v="4011"/>
  </r>
  <r>
    <x v="1"/>
    <x v="6"/>
    <x v="5"/>
    <x v="115"/>
    <x v="102"/>
    <x v="102"/>
    <s v="REVENUS"/>
    <x v="17"/>
    <s v="4011.001"/>
    <s v="Impôt bénéfice ordinaire"/>
    <n v="0"/>
    <n v="139.35"/>
    <n v="4011"/>
  </r>
  <r>
    <x v="1"/>
    <x v="6"/>
    <x v="5"/>
    <x v="115"/>
    <x v="102"/>
    <x v="102"/>
    <s v="REVENUS"/>
    <x v="11"/>
    <s v="4198.001"/>
    <s v="Impôt foncier"/>
    <n v="0"/>
    <n v="4"/>
    <n v="4198"/>
  </r>
  <r>
    <x v="1"/>
    <x v="6"/>
    <x v="5"/>
    <x v="116"/>
    <x v="103"/>
    <x v="103"/>
    <s v="CHARGES"/>
    <x v="1"/>
    <s v="3301.006"/>
    <s v="Abandon de solde PM"/>
    <n v="18.75"/>
    <n v="0"/>
    <n v="3301"/>
  </r>
  <r>
    <x v="1"/>
    <x v="6"/>
    <x v="5"/>
    <x v="116"/>
    <x v="103"/>
    <x v="103"/>
    <s v="CHARGES"/>
    <x v="0"/>
    <s v="3221.002"/>
    <s v="Intérêts compensatoires / créances en faveur ctb."/>
    <n v="8.3699999999999992"/>
    <n v="0"/>
    <n v="3221"/>
  </r>
  <r>
    <x v="1"/>
    <x v="6"/>
    <x v="5"/>
    <x v="116"/>
    <x v="103"/>
    <x v="103"/>
    <s v="CHARGES"/>
    <x v="0"/>
    <s v="3212.002"/>
    <s v="Intérêts bonifiés/trop perçu acompte C/C"/>
    <n v="7.0000000000000007E-2"/>
    <n v="0"/>
    <n v="3212"/>
  </r>
  <r>
    <x v="1"/>
    <x v="6"/>
    <x v="5"/>
    <x v="116"/>
    <x v="103"/>
    <x v="103"/>
    <s v="CHARGES"/>
    <x v="0"/>
    <s v="3212.004"/>
    <s v="Intérêts rémun./perçu trop tôt sur acomptes C/C"/>
    <n v="23.75"/>
    <n v="0"/>
    <n v="3212"/>
  </r>
  <r>
    <x v="1"/>
    <x v="6"/>
    <x v="5"/>
    <x v="116"/>
    <x v="103"/>
    <x v="103"/>
    <s v="REVENUS"/>
    <x v="17"/>
    <s v="4011.001"/>
    <s v="Impôt bénéfice ordinaire"/>
    <n v="0"/>
    <n v="22708"/>
    <n v="4011"/>
  </r>
  <r>
    <x v="1"/>
    <x v="6"/>
    <x v="5"/>
    <x v="116"/>
    <x v="103"/>
    <x v="103"/>
    <s v="REVENUS"/>
    <x v="17"/>
    <s v="4011.007"/>
    <s v="Acompte sur bénéfice"/>
    <n v="0"/>
    <n v="-12752.15"/>
    <n v="4011"/>
  </r>
  <r>
    <x v="1"/>
    <x v="6"/>
    <x v="5"/>
    <x v="116"/>
    <x v="103"/>
    <x v="103"/>
    <s v="REVENUS"/>
    <x v="18"/>
    <s v="4013.001"/>
    <s v="Impôt complémentaire sur immeubles"/>
    <n v="0"/>
    <n v="26845.65"/>
    <n v="4013"/>
  </r>
  <r>
    <x v="1"/>
    <x v="6"/>
    <x v="5"/>
    <x v="116"/>
    <x v="103"/>
    <x v="103"/>
    <s v="REVENUS"/>
    <x v="17"/>
    <s v="4011.002"/>
    <s v="Complément impôt bénéfice ordinaire"/>
    <n v="0"/>
    <n v="52812.65"/>
    <n v="4011"/>
  </r>
  <r>
    <x v="1"/>
    <x v="6"/>
    <x v="5"/>
    <x v="116"/>
    <x v="103"/>
    <x v="103"/>
    <s v="REVENUS"/>
    <x v="6"/>
    <s v="4211.001"/>
    <s v="Intérêts de retard sur factures"/>
    <n v="0"/>
    <n v="6.42"/>
    <n v="4211"/>
  </r>
  <r>
    <x v="1"/>
    <x v="6"/>
    <x v="5"/>
    <x v="116"/>
    <x v="103"/>
    <x v="103"/>
    <s v="REVENUS"/>
    <x v="6"/>
    <s v="4221.001"/>
    <s v="Intérêts compensat. / créances en faveur du fisc"/>
    <n v="0"/>
    <n v="7.82"/>
    <n v="4221"/>
  </r>
  <r>
    <x v="1"/>
    <x v="6"/>
    <x v="5"/>
    <x v="116"/>
    <x v="103"/>
    <x v="103"/>
    <s v="REVENUS"/>
    <x v="16"/>
    <s v="4012.001"/>
    <s v="Impôt capital ordinaire"/>
    <n v="0"/>
    <n v="1798.3"/>
    <n v="4012"/>
  </r>
  <r>
    <x v="1"/>
    <x v="6"/>
    <x v="5"/>
    <x v="116"/>
    <x v="103"/>
    <x v="103"/>
    <s v="REVENUS"/>
    <x v="16"/>
    <s v="4012.007"/>
    <s v="Acompte sur capital"/>
    <n v="0"/>
    <n v="69662.55"/>
    <n v="4012"/>
  </r>
  <r>
    <x v="1"/>
    <x v="6"/>
    <x v="5"/>
    <x v="116"/>
    <x v="103"/>
    <x v="103"/>
    <s v="REVENUS"/>
    <x v="6"/>
    <s v="4211.002"/>
    <s v="Intérêts de retard sur acomptes"/>
    <n v="0"/>
    <n v="17.57"/>
    <n v="4211"/>
  </r>
  <r>
    <x v="1"/>
    <x v="6"/>
    <x v="5"/>
    <x v="116"/>
    <x v="103"/>
    <x v="103"/>
    <s v="REVENUS"/>
    <x v="18"/>
    <s v="4013.002"/>
    <s v="Complément impôt complémentaire sur immeubles"/>
    <n v="0"/>
    <n v="6.85"/>
    <n v="4013"/>
  </r>
  <r>
    <x v="1"/>
    <x v="6"/>
    <x v="5"/>
    <x v="116"/>
    <x v="103"/>
    <x v="103"/>
    <s v="REVENUS"/>
    <x v="16"/>
    <s v="4012.002"/>
    <s v="Complément impôt capital ordinaire"/>
    <n v="0"/>
    <n v="86196.35"/>
    <n v="4012"/>
  </r>
  <r>
    <x v="1"/>
    <x v="6"/>
    <x v="5"/>
    <x v="117"/>
    <x v="104"/>
    <x v="104"/>
    <s v="CHARGES"/>
    <x v="0"/>
    <s v="3212.004"/>
    <s v="Intérêts rémun./perçu trop tôt sur acomptes C/C"/>
    <n v="7.54"/>
    <n v="0"/>
    <n v="3212"/>
  </r>
  <r>
    <x v="1"/>
    <x v="6"/>
    <x v="5"/>
    <x v="117"/>
    <x v="104"/>
    <x v="104"/>
    <s v="CHARGES"/>
    <x v="0"/>
    <s v="3212.002"/>
    <s v="Intérêts bonifiés/trop perçu acompte C/C"/>
    <n v="0.06"/>
    <n v="0"/>
    <n v="3212"/>
  </r>
  <r>
    <x v="1"/>
    <x v="6"/>
    <x v="5"/>
    <x v="117"/>
    <x v="104"/>
    <x v="104"/>
    <s v="CHARGES"/>
    <x v="0"/>
    <s v="3221.002"/>
    <s v="Intérêts compensatoires / créances en faveur ctb."/>
    <n v="4.99"/>
    <n v="0"/>
    <n v="3221"/>
  </r>
  <r>
    <x v="1"/>
    <x v="6"/>
    <x v="5"/>
    <x v="117"/>
    <x v="104"/>
    <x v="104"/>
    <s v="CHARGES"/>
    <x v="1"/>
    <s v="3301.006"/>
    <s v="Abandon de solde PM"/>
    <n v="14.37"/>
    <n v="0"/>
    <n v="3301"/>
  </r>
  <r>
    <x v="1"/>
    <x v="6"/>
    <x v="5"/>
    <x v="117"/>
    <x v="104"/>
    <x v="104"/>
    <s v="REVENUS"/>
    <x v="10"/>
    <s v="4041.001"/>
    <s v="Droits de mutation"/>
    <n v="0"/>
    <n v="10519.7"/>
    <n v="4041"/>
  </r>
  <r>
    <x v="1"/>
    <x v="6"/>
    <x v="5"/>
    <x v="117"/>
    <x v="104"/>
    <x v="104"/>
    <s v="REVENUS"/>
    <x v="17"/>
    <s v="4011.007"/>
    <s v="Acompte sur bénéfice"/>
    <n v="0"/>
    <n v="-8635.15"/>
    <n v="4011"/>
  </r>
  <r>
    <x v="1"/>
    <x v="6"/>
    <x v="5"/>
    <x v="117"/>
    <x v="104"/>
    <x v="104"/>
    <s v="REVENUS"/>
    <x v="16"/>
    <s v="4012.001"/>
    <s v="Impôt capital ordinaire"/>
    <n v="0"/>
    <n v="2417.35"/>
    <n v="4012"/>
  </r>
  <r>
    <x v="1"/>
    <x v="6"/>
    <x v="5"/>
    <x v="117"/>
    <x v="104"/>
    <x v="104"/>
    <s v="REVENUS"/>
    <x v="18"/>
    <s v="4013.001"/>
    <s v="Impôt complémentaire sur immeubles"/>
    <n v="0"/>
    <n v="2992.35"/>
    <n v="4013"/>
  </r>
  <r>
    <x v="1"/>
    <x v="6"/>
    <x v="5"/>
    <x v="117"/>
    <x v="104"/>
    <x v="104"/>
    <s v="REVENUS"/>
    <x v="17"/>
    <s v="4011.002"/>
    <s v="Complément impôt bénéfice ordinaire"/>
    <n v="0"/>
    <n v="5192.55"/>
    <n v="4011"/>
  </r>
  <r>
    <x v="1"/>
    <x v="6"/>
    <x v="5"/>
    <x v="117"/>
    <x v="104"/>
    <x v="104"/>
    <s v="REVENUS"/>
    <x v="17"/>
    <s v="4011.001"/>
    <s v="Impôt bénéfice ordinaire"/>
    <n v="0"/>
    <n v="22537.5"/>
    <n v="4011"/>
  </r>
  <r>
    <x v="1"/>
    <x v="6"/>
    <x v="5"/>
    <x v="117"/>
    <x v="104"/>
    <x v="104"/>
    <s v="REVENUS"/>
    <x v="16"/>
    <s v="4012.007"/>
    <s v="Acompte sur capital"/>
    <n v="0"/>
    <n v="2175"/>
    <n v="4012"/>
  </r>
  <r>
    <x v="1"/>
    <x v="6"/>
    <x v="5"/>
    <x v="117"/>
    <x v="104"/>
    <x v="104"/>
    <s v="REVENUS"/>
    <x v="6"/>
    <s v="4211.002"/>
    <s v="Intérêts de retard sur acomptes"/>
    <n v="0"/>
    <n v="244.59"/>
    <n v="4211"/>
  </r>
  <r>
    <x v="1"/>
    <x v="6"/>
    <x v="5"/>
    <x v="117"/>
    <x v="104"/>
    <x v="104"/>
    <s v="REVENUS"/>
    <x v="6"/>
    <s v="4221.001"/>
    <s v="Intérêts compensat. / créances en faveur du fisc"/>
    <n v="0"/>
    <n v="21.94"/>
    <n v="4221"/>
  </r>
  <r>
    <x v="1"/>
    <x v="6"/>
    <x v="5"/>
    <x v="117"/>
    <x v="104"/>
    <x v="104"/>
    <s v="REVENUS"/>
    <x v="6"/>
    <s v="4211.001"/>
    <s v="Intérêts de retard sur factures"/>
    <n v="0"/>
    <n v="41.71"/>
    <n v="4211"/>
  </r>
  <r>
    <x v="1"/>
    <x v="6"/>
    <x v="5"/>
    <x v="117"/>
    <x v="104"/>
    <x v="104"/>
    <s v="REVENUS"/>
    <x v="11"/>
    <s v="4198.001"/>
    <s v="Impôt foncier"/>
    <n v="0"/>
    <n v="10396.4"/>
    <n v="4198"/>
  </r>
  <r>
    <x v="1"/>
    <x v="6"/>
    <x v="5"/>
    <x v="119"/>
    <x v="106"/>
    <x v="106"/>
    <s v="CHARGES"/>
    <x v="0"/>
    <s v="3221.002"/>
    <s v="Intérêts compensatoires / créances en faveur ctb."/>
    <n v="126.07"/>
    <n v="0"/>
    <n v="3221"/>
  </r>
  <r>
    <x v="1"/>
    <x v="6"/>
    <x v="5"/>
    <x v="119"/>
    <x v="106"/>
    <x v="106"/>
    <s v="CHARGES"/>
    <x v="1"/>
    <s v="3301.006"/>
    <s v="Abandon de solde PM"/>
    <n v="121.31"/>
    <n v="0"/>
    <n v="3301"/>
  </r>
  <r>
    <x v="1"/>
    <x v="6"/>
    <x v="5"/>
    <x v="119"/>
    <x v="106"/>
    <x v="106"/>
    <s v="CHARGES"/>
    <x v="0"/>
    <s v="3212.004"/>
    <s v="Intérêts rémun./perçu trop tôt sur acomptes C/C"/>
    <n v="100.11"/>
    <n v="0"/>
    <n v="3212"/>
  </r>
  <r>
    <x v="1"/>
    <x v="6"/>
    <x v="5"/>
    <x v="119"/>
    <x v="106"/>
    <x v="106"/>
    <s v="CHARGES"/>
    <x v="0"/>
    <s v="3212.002"/>
    <s v="Intérêts bonifiés/trop perçu acompte C/C"/>
    <n v="0.6"/>
    <n v="0"/>
    <n v="3212"/>
  </r>
  <r>
    <x v="1"/>
    <x v="6"/>
    <x v="5"/>
    <x v="119"/>
    <x v="106"/>
    <x v="106"/>
    <s v="CHARGES"/>
    <x v="1"/>
    <s v="3301.002"/>
    <s v="Défalcation PM"/>
    <n v="51264.67"/>
    <n v="0"/>
    <n v="3301"/>
  </r>
  <r>
    <x v="1"/>
    <x v="6"/>
    <x v="5"/>
    <x v="119"/>
    <x v="106"/>
    <x v="106"/>
    <s v="REVENUS"/>
    <x v="17"/>
    <s v="4011.007"/>
    <s v="Acompte sur bénéfice"/>
    <n v="0"/>
    <n v="-105412.75"/>
    <n v="4011"/>
  </r>
  <r>
    <x v="1"/>
    <x v="6"/>
    <x v="5"/>
    <x v="119"/>
    <x v="106"/>
    <x v="106"/>
    <s v="REVENUS"/>
    <x v="17"/>
    <s v="4011.001"/>
    <s v="Impôt bénéfice ordinaire"/>
    <n v="0"/>
    <n v="344165.85"/>
    <n v="4011"/>
  </r>
  <r>
    <x v="1"/>
    <x v="6"/>
    <x v="5"/>
    <x v="119"/>
    <x v="106"/>
    <x v="106"/>
    <s v="REVENUS"/>
    <x v="17"/>
    <s v="4011.002"/>
    <s v="Complément impôt bénéfice ordinaire"/>
    <n v="0"/>
    <n v="32306.2"/>
    <n v="4011"/>
  </r>
  <r>
    <x v="1"/>
    <x v="6"/>
    <x v="5"/>
    <x v="119"/>
    <x v="106"/>
    <x v="106"/>
    <s v="REVENUS"/>
    <x v="16"/>
    <s v="4012.002"/>
    <s v="Complément impôt capital ordinaire"/>
    <n v="0"/>
    <n v="32093.9"/>
    <n v="4012"/>
  </r>
  <r>
    <x v="1"/>
    <x v="6"/>
    <x v="5"/>
    <x v="119"/>
    <x v="106"/>
    <x v="106"/>
    <s v="REVENUS"/>
    <x v="6"/>
    <s v="4211.001"/>
    <s v="Intérêts de retard sur factures"/>
    <n v="0"/>
    <n v="1977.2"/>
    <n v="4211"/>
  </r>
  <r>
    <x v="1"/>
    <x v="6"/>
    <x v="5"/>
    <x v="119"/>
    <x v="106"/>
    <x v="106"/>
    <s v="REVENUS"/>
    <x v="6"/>
    <s v="4221.001"/>
    <s v="Intérêts compensat. / créances en faveur du fisc"/>
    <n v="0"/>
    <n v="73.81"/>
    <n v="4221"/>
  </r>
  <r>
    <x v="1"/>
    <x v="6"/>
    <x v="5"/>
    <x v="119"/>
    <x v="106"/>
    <x v="106"/>
    <s v="REVENUS"/>
    <x v="6"/>
    <s v="4211.002"/>
    <s v="Intérêts de retard sur acomptes"/>
    <n v="0"/>
    <n v="578.73"/>
    <n v="4211"/>
  </r>
  <r>
    <x v="1"/>
    <x v="6"/>
    <x v="5"/>
    <x v="119"/>
    <x v="106"/>
    <x v="106"/>
    <s v="REVENUS"/>
    <x v="16"/>
    <s v="4012.001"/>
    <s v="Impôt capital ordinaire"/>
    <n v="0"/>
    <n v="10109.1"/>
    <n v="4012"/>
  </r>
  <r>
    <x v="1"/>
    <x v="6"/>
    <x v="5"/>
    <x v="119"/>
    <x v="106"/>
    <x v="106"/>
    <s v="REVENUS"/>
    <x v="16"/>
    <s v="4012.007"/>
    <s v="Acompte sur capital"/>
    <n v="0"/>
    <n v="31028.799999999999"/>
    <n v="4012"/>
  </r>
  <r>
    <x v="1"/>
    <x v="6"/>
    <x v="5"/>
    <x v="119"/>
    <x v="106"/>
    <x v="106"/>
    <s v="REVENUS"/>
    <x v="18"/>
    <s v="4013.003"/>
    <s v="Remboursement impôt complémentaire sur immeubles"/>
    <n v="0"/>
    <n v="-9583.2999999999993"/>
    <n v="4013"/>
  </r>
  <r>
    <x v="1"/>
    <x v="6"/>
    <x v="5"/>
    <x v="119"/>
    <x v="106"/>
    <x v="106"/>
    <s v="REVENUS"/>
    <x v="7"/>
    <s v="4184.000"/>
    <s v="Frais de poursuite"/>
    <n v="0"/>
    <n v="361.75"/>
    <n v="4184"/>
  </r>
  <r>
    <x v="1"/>
    <x v="6"/>
    <x v="5"/>
    <x v="119"/>
    <x v="106"/>
    <x v="106"/>
    <s v="REVENUS"/>
    <x v="18"/>
    <s v="4013.001"/>
    <s v="Impôt complémentaire sur immeubles"/>
    <n v="0"/>
    <n v="49482"/>
    <n v="4013"/>
  </r>
  <r>
    <x v="1"/>
    <x v="6"/>
    <x v="5"/>
    <x v="119"/>
    <x v="106"/>
    <x v="106"/>
    <s v="REVENUS"/>
    <x v="10"/>
    <s v="4041.001"/>
    <s v="Droits de mutation"/>
    <n v="0"/>
    <n v="36949"/>
    <n v="4041"/>
  </r>
  <r>
    <x v="1"/>
    <x v="6"/>
    <x v="5"/>
    <x v="119"/>
    <x v="106"/>
    <x v="106"/>
    <s v="REVENUS"/>
    <x v="8"/>
    <s v="4091.001"/>
    <s v="Impôt récupéré après défalcations"/>
    <n v="0"/>
    <n v="50858.83"/>
    <n v="4091"/>
  </r>
  <r>
    <x v="1"/>
    <x v="6"/>
    <x v="5"/>
    <x v="119"/>
    <x v="106"/>
    <x v="106"/>
    <s v="REVENUS"/>
    <x v="10"/>
    <s v="4041.002"/>
    <s v="Complément droit de mutation"/>
    <n v="0"/>
    <n v="3190"/>
    <n v="4041"/>
  </r>
  <r>
    <x v="1"/>
    <x v="6"/>
    <x v="5"/>
    <x v="119"/>
    <x v="106"/>
    <x v="106"/>
    <s v="REVENUS"/>
    <x v="18"/>
    <s v="4013.002"/>
    <s v="Complément impôt complémentaire sur immeubles"/>
    <n v="0"/>
    <n v="2111"/>
    <n v="4013"/>
  </r>
  <r>
    <x v="1"/>
    <x v="6"/>
    <x v="5"/>
    <x v="119"/>
    <x v="106"/>
    <x v="106"/>
    <s v="REVENUS"/>
    <x v="8"/>
    <s v="4091.003"/>
    <s v="Impôt récupéré concordat"/>
    <n v="0"/>
    <n v="0"/>
    <n v="4091"/>
  </r>
  <r>
    <x v="1"/>
    <x v="6"/>
    <x v="5"/>
    <x v="120"/>
    <x v="105"/>
    <x v="105"/>
    <s v="CHARGES"/>
    <x v="0"/>
    <s v="3212.002"/>
    <s v="Intérêts bonifiés/trop perçu acompte C/C"/>
    <n v="0.03"/>
    <n v="0"/>
    <n v="3212"/>
  </r>
  <r>
    <x v="1"/>
    <x v="6"/>
    <x v="5"/>
    <x v="120"/>
    <x v="105"/>
    <x v="105"/>
    <s v="REVENUS"/>
    <x v="17"/>
    <s v="4011.002"/>
    <s v="Complément impôt bénéfice ordinaire"/>
    <n v="0"/>
    <n v="643.70000000000005"/>
    <n v="4011"/>
  </r>
  <r>
    <x v="1"/>
    <x v="6"/>
    <x v="5"/>
    <x v="120"/>
    <x v="105"/>
    <x v="105"/>
    <s v="REVENUS"/>
    <x v="17"/>
    <s v="4011.001"/>
    <s v="Impôt bénéfice ordinaire"/>
    <n v="0"/>
    <n v="-643.70000000000005"/>
    <n v="4011"/>
  </r>
  <r>
    <x v="1"/>
    <x v="6"/>
    <x v="5"/>
    <x v="121"/>
    <x v="105"/>
    <x v="105"/>
    <s v="CHARGES"/>
    <x v="1"/>
    <s v="3301.006"/>
    <s v="Abandon de solde PM"/>
    <n v="41.74"/>
    <n v="0"/>
    <n v="3301"/>
  </r>
  <r>
    <x v="1"/>
    <x v="6"/>
    <x v="5"/>
    <x v="121"/>
    <x v="105"/>
    <x v="105"/>
    <s v="CHARGES"/>
    <x v="0"/>
    <s v="3212.004"/>
    <s v="Intérêts rémun./perçu trop tôt sur acomptes C/C"/>
    <n v="4.0599999999999996"/>
    <n v="0"/>
    <n v="3212"/>
  </r>
  <r>
    <x v="1"/>
    <x v="6"/>
    <x v="5"/>
    <x v="121"/>
    <x v="105"/>
    <x v="105"/>
    <s v="CHARGES"/>
    <x v="0"/>
    <s v="3221.002"/>
    <s v="Intérêts compensatoires / créances en faveur ctb."/>
    <n v="5.69"/>
    <n v="0"/>
    <n v="3221"/>
  </r>
  <r>
    <x v="1"/>
    <x v="6"/>
    <x v="5"/>
    <x v="121"/>
    <x v="105"/>
    <x v="105"/>
    <s v="CHARGES"/>
    <x v="1"/>
    <s v="3301.002"/>
    <s v="Défalcation PM"/>
    <n v="119"/>
    <n v="0"/>
    <n v="3301"/>
  </r>
  <r>
    <x v="1"/>
    <x v="6"/>
    <x v="5"/>
    <x v="121"/>
    <x v="105"/>
    <x v="105"/>
    <s v="REVENUS"/>
    <x v="16"/>
    <s v="4012.001"/>
    <s v="Impôt capital ordinaire"/>
    <n v="0"/>
    <n v="169.85"/>
    <n v="4012"/>
  </r>
  <r>
    <x v="1"/>
    <x v="6"/>
    <x v="5"/>
    <x v="121"/>
    <x v="105"/>
    <x v="105"/>
    <s v="REVENUS"/>
    <x v="16"/>
    <s v="4012.007"/>
    <s v="Acompte sur capital"/>
    <n v="0"/>
    <n v="21.95"/>
    <n v="4012"/>
  </r>
  <r>
    <x v="1"/>
    <x v="6"/>
    <x v="5"/>
    <x v="121"/>
    <x v="105"/>
    <x v="105"/>
    <s v="REVENUS"/>
    <x v="6"/>
    <s v="4211.002"/>
    <s v="Intérêts de retard sur acomptes"/>
    <n v="0"/>
    <n v="8.4499999999999993"/>
    <n v="4211"/>
  </r>
  <r>
    <x v="1"/>
    <x v="6"/>
    <x v="5"/>
    <x v="121"/>
    <x v="105"/>
    <x v="105"/>
    <s v="REVENUS"/>
    <x v="6"/>
    <s v="4211.001"/>
    <s v="Intérêts de retard sur factures"/>
    <n v="0"/>
    <n v="13.67"/>
    <n v="4211"/>
  </r>
  <r>
    <x v="1"/>
    <x v="6"/>
    <x v="5"/>
    <x v="121"/>
    <x v="105"/>
    <x v="105"/>
    <s v="REVENUS"/>
    <x v="10"/>
    <s v="4041.001"/>
    <s v="Droits de mutation"/>
    <n v="0"/>
    <n v="253.65"/>
    <n v="4041"/>
  </r>
  <r>
    <x v="1"/>
    <x v="6"/>
    <x v="5"/>
    <x v="121"/>
    <x v="105"/>
    <x v="105"/>
    <s v="REVENUS"/>
    <x v="17"/>
    <s v="4011.001"/>
    <s v="Impôt bénéfice ordinaire"/>
    <n v="0"/>
    <n v="8806.2999999999993"/>
    <n v="4011"/>
  </r>
  <r>
    <x v="1"/>
    <x v="6"/>
    <x v="5"/>
    <x v="121"/>
    <x v="105"/>
    <x v="105"/>
    <s v="REVENUS"/>
    <x v="17"/>
    <s v="4011.007"/>
    <s v="Acompte sur bénéfice"/>
    <n v="0"/>
    <n v="5697.25"/>
    <n v="4011"/>
  </r>
  <r>
    <x v="1"/>
    <x v="6"/>
    <x v="5"/>
    <x v="121"/>
    <x v="105"/>
    <x v="105"/>
    <s v="REVENUS"/>
    <x v="6"/>
    <s v="4221.001"/>
    <s v="Intérêts compensat. / créances en faveur du fisc"/>
    <n v="0"/>
    <n v="1.45"/>
    <n v="4221"/>
  </r>
  <r>
    <x v="1"/>
    <x v="6"/>
    <x v="5"/>
    <x v="121"/>
    <x v="105"/>
    <x v="105"/>
    <s v="REVENUS"/>
    <x v="18"/>
    <s v="4013.003"/>
    <s v="Remboursement impôt complémentaire sur immeubles"/>
    <n v="0"/>
    <n v="-613.5"/>
    <n v="4013"/>
  </r>
  <r>
    <x v="1"/>
    <x v="6"/>
    <x v="5"/>
    <x v="121"/>
    <x v="105"/>
    <x v="105"/>
    <s v="REVENUS"/>
    <x v="7"/>
    <s v="4184.000"/>
    <s v="Frais de poursuite"/>
    <n v="0"/>
    <n v="33.44"/>
    <n v="4184"/>
  </r>
  <r>
    <x v="1"/>
    <x v="6"/>
    <x v="5"/>
    <x v="121"/>
    <x v="105"/>
    <x v="105"/>
    <s v="REVENUS"/>
    <x v="8"/>
    <s v="4091.003"/>
    <s v="Impôt récupéré concordat"/>
    <n v="0"/>
    <n v="119"/>
    <n v="4091"/>
  </r>
  <r>
    <x v="1"/>
    <x v="6"/>
    <x v="5"/>
    <x v="121"/>
    <x v="105"/>
    <x v="105"/>
    <s v="REVENUS"/>
    <x v="18"/>
    <s v="4013.001"/>
    <s v="Impôt complémentaire sur immeubles"/>
    <n v="0"/>
    <n v="9380.7000000000007"/>
    <n v="4013"/>
  </r>
  <r>
    <x v="1"/>
    <x v="7"/>
    <x v="6"/>
    <x v="122"/>
    <x v="107"/>
    <x v="107"/>
    <s v="CHARGES"/>
    <x v="0"/>
    <s v="3212.002"/>
    <s v="Intérêts bonifiés/trop perçu acompte C/C"/>
    <n v="0.72"/>
    <n v="0"/>
    <n v="3212"/>
  </r>
  <r>
    <x v="1"/>
    <x v="7"/>
    <x v="6"/>
    <x v="122"/>
    <x v="107"/>
    <x v="107"/>
    <s v="CHARGES"/>
    <x v="0"/>
    <s v="3212.004"/>
    <s v="Intérêts rémun./perçu trop tôt sur acomptes C/C"/>
    <n v="30.4"/>
    <n v="0"/>
    <n v="3212"/>
  </r>
  <r>
    <x v="1"/>
    <x v="7"/>
    <x v="6"/>
    <x v="122"/>
    <x v="107"/>
    <x v="107"/>
    <s v="CHARGES"/>
    <x v="0"/>
    <s v="3221.002"/>
    <s v="Intérêts compensatoires / créances en faveur ctb."/>
    <n v="19.989999999999998"/>
    <n v="0"/>
    <n v="3221"/>
  </r>
  <r>
    <x v="1"/>
    <x v="7"/>
    <x v="6"/>
    <x v="122"/>
    <x v="107"/>
    <x v="107"/>
    <s v="CHARGES"/>
    <x v="1"/>
    <s v="3301.006"/>
    <s v="Abandon de solde PM"/>
    <n v="131.28"/>
    <n v="0"/>
    <n v="3301"/>
  </r>
  <r>
    <x v="1"/>
    <x v="7"/>
    <x v="6"/>
    <x v="122"/>
    <x v="107"/>
    <x v="107"/>
    <s v="CHARGES"/>
    <x v="1"/>
    <s v="3301.002"/>
    <s v="Défalcation PM"/>
    <n v="1671.21"/>
    <n v="0"/>
    <n v="3301"/>
  </r>
  <r>
    <x v="1"/>
    <x v="7"/>
    <x v="6"/>
    <x v="122"/>
    <x v="107"/>
    <x v="107"/>
    <s v="REVENUS"/>
    <x v="16"/>
    <s v="4012.001"/>
    <s v="Impôt capital ordinaire"/>
    <n v="0"/>
    <n v="8376.7999999999993"/>
    <n v="4012"/>
  </r>
  <r>
    <x v="1"/>
    <x v="7"/>
    <x v="6"/>
    <x v="122"/>
    <x v="107"/>
    <x v="107"/>
    <s v="REVENUS"/>
    <x v="16"/>
    <s v="4012.007"/>
    <s v="Acompte sur capital"/>
    <n v="0"/>
    <n v="2108.1999999999998"/>
    <n v="4012"/>
  </r>
  <r>
    <x v="1"/>
    <x v="7"/>
    <x v="6"/>
    <x v="122"/>
    <x v="107"/>
    <x v="107"/>
    <s v="REVENUS"/>
    <x v="18"/>
    <s v="4013.001"/>
    <s v="Impôt complémentaire sur immeubles"/>
    <n v="0"/>
    <n v="50656.95"/>
    <n v="4013"/>
  </r>
  <r>
    <x v="1"/>
    <x v="7"/>
    <x v="6"/>
    <x v="122"/>
    <x v="107"/>
    <x v="107"/>
    <s v="REVENUS"/>
    <x v="11"/>
    <s v="4198.001"/>
    <s v="Impôt foncier"/>
    <n v="0"/>
    <n v="194325.25"/>
    <n v="4198"/>
  </r>
  <r>
    <x v="1"/>
    <x v="7"/>
    <x v="6"/>
    <x v="122"/>
    <x v="107"/>
    <x v="107"/>
    <s v="REVENUS"/>
    <x v="17"/>
    <s v="4011.001"/>
    <s v="Impôt bénéfice ordinaire"/>
    <n v="0"/>
    <n v="150999"/>
    <n v="4011"/>
  </r>
  <r>
    <x v="1"/>
    <x v="7"/>
    <x v="6"/>
    <x v="122"/>
    <x v="107"/>
    <x v="107"/>
    <s v="REVENUS"/>
    <x v="17"/>
    <s v="4011.002"/>
    <s v="Complément impôt bénéfice ordinaire"/>
    <n v="0"/>
    <n v="23277.85"/>
    <n v="4011"/>
  </r>
  <r>
    <x v="1"/>
    <x v="7"/>
    <x v="6"/>
    <x v="122"/>
    <x v="107"/>
    <x v="107"/>
    <s v="REVENUS"/>
    <x v="6"/>
    <s v="4211.001"/>
    <s v="Intérêts de retard sur factures"/>
    <n v="0"/>
    <n v="298.08"/>
    <n v="4211"/>
  </r>
  <r>
    <x v="1"/>
    <x v="7"/>
    <x v="6"/>
    <x v="122"/>
    <x v="107"/>
    <x v="107"/>
    <s v="REVENUS"/>
    <x v="6"/>
    <s v="4221.001"/>
    <s v="Intérêts compensat. / créances en faveur du fisc"/>
    <n v="0"/>
    <n v="69.650000000000006"/>
    <n v="4221"/>
  </r>
  <r>
    <x v="1"/>
    <x v="7"/>
    <x v="6"/>
    <x v="122"/>
    <x v="107"/>
    <x v="107"/>
    <s v="REVENUS"/>
    <x v="6"/>
    <s v="4211.002"/>
    <s v="Intérêts de retard sur acomptes"/>
    <n v="0"/>
    <n v="1338.06"/>
    <n v="4211"/>
  </r>
  <r>
    <x v="1"/>
    <x v="7"/>
    <x v="6"/>
    <x v="122"/>
    <x v="107"/>
    <x v="107"/>
    <s v="REVENUS"/>
    <x v="10"/>
    <s v="4041.001"/>
    <s v="Droits de mutation"/>
    <n v="0"/>
    <n v="117326"/>
    <n v="4041"/>
  </r>
  <r>
    <x v="1"/>
    <x v="7"/>
    <x v="6"/>
    <x v="122"/>
    <x v="107"/>
    <x v="107"/>
    <s v="REVENUS"/>
    <x v="17"/>
    <s v="4011.007"/>
    <s v="Acompte sur bénéfice"/>
    <n v="0"/>
    <n v="-35016.300000000003"/>
    <n v="4011"/>
  </r>
  <r>
    <x v="1"/>
    <x v="7"/>
    <x v="6"/>
    <x v="122"/>
    <x v="107"/>
    <x v="107"/>
    <s v="REVENUS"/>
    <x v="7"/>
    <s v="4184.000"/>
    <s v="Frais de poursuite"/>
    <n v="0"/>
    <n v="44.52"/>
    <n v="4184"/>
  </r>
  <r>
    <x v="1"/>
    <x v="7"/>
    <x v="6"/>
    <x v="122"/>
    <x v="107"/>
    <x v="107"/>
    <s v="REVENUS"/>
    <x v="18"/>
    <s v="4013.003"/>
    <s v="Remboursement impôt complémentaire sur immeubles"/>
    <n v="0"/>
    <n v="-4205"/>
    <n v="4013"/>
  </r>
  <r>
    <x v="1"/>
    <x v="7"/>
    <x v="6"/>
    <x v="122"/>
    <x v="107"/>
    <x v="107"/>
    <s v="REVENUS"/>
    <x v="16"/>
    <s v="4012.002"/>
    <s v="Complément impôt capital ordinaire"/>
    <n v="0"/>
    <n v="3999.9"/>
    <n v="4012"/>
  </r>
  <r>
    <x v="1"/>
    <x v="8"/>
    <x v="7"/>
    <x v="123"/>
    <x v="108"/>
    <x v="108"/>
    <s v="CHARGES"/>
    <x v="0"/>
    <s v="3212.004"/>
    <s v="Intérêts rémun./perçu trop tôt sur acomptes C/C"/>
    <n v="110.79"/>
    <n v="0"/>
    <n v="3212"/>
  </r>
  <r>
    <x v="1"/>
    <x v="8"/>
    <x v="7"/>
    <x v="123"/>
    <x v="108"/>
    <x v="108"/>
    <s v="CHARGES"/>
    <x v="0"/>
    <s v="3221.002"/>
    <s v="Intérêts compensatoires / créances en faveur ctb."/>
    <n v="83.67"/>
    <n v="0"/>
    <n v="3221"/>
  </r>
  <r>
    <x v="1"/>
    <x v="8"/>
    <x v="7"/>
    <x v="123"/>
    <x v="108"/>
    <x v="108"/>
    <s v="CHARGES"/>
    <x v="1"/>
    <s v="3301.006"/>
    <s v="Abandon de solde PM"/>
    <n v="97.2"/>
    <n v="0"/>
    <n v="3301"/>
  </r>
  <r>
    <x v="1"/>
    <x v="8"/>
    <x v="7"/>
    <x v="123"/>
    <x v="108"/>
    <x v="108"/>
    <s v="CHARGES"/>
    <x v="0"/>
    <s v="3212.002"/>
    <s v="Intérêts bonifiés/trop perçu acompte C/C"/>
    <n v="0.67"/>
    <n v="0"/>
    <n v="3212"/>
  </r>
  <r>
    <x v="1"/>
    <x v="8"/>
    <x v="7"/>
    <x v="123"/>
    <x v="108"/>
    <x v="108"/>
    <s v="CHARGES"/>
    <x v="1"/>
    <s v="3301.002"/>
    <s v="Défalcation PM"/>
    <n v="2448.9299999999998"/>
    <n v="0"/>
    <n v="3301"/>
  </r>
  <r>
    <x v="1"/>
    <x v="8"/>
    <x v="7"/>
    <x v="123"/>
    <x v="108"/>
    <x v="108"/>
    <s v="REVENUS"/>
    <x v="16"/>
    <s v="4012.001"/>
    <s v="Impôt capital ordinaire"/>
    <n v="0"/>
    <n v="904649.7"/>
    <n v="4012"/>
  </r>
  <r>
    <x v="1"/>
    <x v="8"/>
    <x v="7"/>
    <x v="123"/>
    <x v="108"/>
    <x v="108"/>
    <s v="REVENUS"/>
    <x v="16"/>
    <s v="4012.007"/>
    <s v="Acompte sur capital"/>
    <n v="0"/>
    <n v="-757226.15"/>
    <n v="4012"/>
  </r>
  <r>
    <x v="1"/>
    <x v="8"/>
    <x v="7"/>
    <x v="123"/>
    <x v="108"/>
    <x v="108"/>
    <s v="REVENUS"/>
    <x v="17"/>
    <s v="4011.001"/>
    <s v="Impôt bénéfice ordinaire"/>
    <n v="0"/>
    <n v="246232.65"/>
    <n v="4011"/>
  </r>
  <r>
    <x v="1"/>
    <x v="8"/>
    <x v="7"/>
    <x v="123"/>
    <x v="108"/>
    <x v="108"/>
    <s v="REVENUS"/>
    <x v="17"/>
    <s v="4011.002"/>
    <s v="Complément impôt bénéfice ordinaire"/>
    <n v="0"/>
    <n v="30597.5"/>
    <n v="4011"/>
  </r>
  <r>
    <x v="1"/>
    <x v="8"/>
    <x v="7"/>
    <x v="123"/>
    <x v="108"/>
    <x v="108"/>
    <s v="REVENUS"/>
    <x v="6"/>
    <s v="4211.001"/>
    <s v="Intérêts de retard sur factures"/>
    <n v="0"/>
    <n v="63.28"/>
    <n v="4211"/>
  </r>
  <r>
    <x v="1"/>
    <x v="8"/>
    <x v="7"/>
    <x v="123"/>
    <x v="108"/>
    <x v="108"/>
    <s v="REVENUS"/>
    <x v="6"/>
    <s v="4221.001"/>
    <s v="Intérêts compensat. / créances en faveur du fisc"/>
    <n v="0"/>
    <n v="71.05"/>
    <n v="4221"/>
  </r>
  <r>
    <x v="1"/>
    <x v="8"/>
    <x v="7"/>
    <x v="123"/>
    <x v="108"/>
    <x v="108"/>
    <s v="REVENUS"/>
    <x v="17"/>
    <s v="4011.007"/>
    <s v="Acompte sur bénéfice"/>
    <n v="0"/>
    <n v="-46269.4"/>
    <n v="4011"/>
  </r>
  <r>
    <x v="1"/>
    <x v="8"/>
    <x v="7"/>
    <x v="123"/>
    <x v="108"/>
    <x v="108"/>
    <s v="REVENUS"/>
    <x v="11"/>
    <s v="4198.001"/>
    <s v="Impôt foncier"/>
    <n v="0"/>
    <n v="366083.2"/>
    <n v="4198"/>
  </r>
  <r>
    <x v="1"/>
    <x v="8"/>
    <x v="7"/>
    <x v="123"/>
    <x v="108"/>
    <x v="108"/>
    <s v="REVENUS"/>
    <x v="10"/>
    <s v="4041.001"/>
    <s v="Droits de mutation"/>
    <n v="0"/>
    <n v="108778.3"/>
    <n v="4041"/>
  </r>
  <r>
    <x v="1"/>
    <x v="8"/>
    <x v="7"/>
    <x v="123"/>
    <x v="108"/>
    <x v="108"/>
    <s v="REVENUS"/>
    <x v="6"/>
    <s v="4211.002"/>
    <s v="Intérêts de retard sur acomptes"/>
    <n v="0"/>
    <n v="552.85"/>
    <n v="4211"/>
  </r>
  <r>
    <x v="1"/>
    <x v="8"/>
    <x v="7"/>
    <x v="123"/>
    <x v="108"/>
    <x v="108"/>
    <s v="REVENUS"/>
    <x v="7"/>
    <s v="4184.000"/>
    <s v="Frais de poursuite"/>
    <n v="0"/>
    <n v="355.95"/>
    <n v="4184"/>
  </r>
  <r>
    <x v="1"/>
    <x v="8"/>
    <x v="7"/>
    <x v="123"/>
    <x v="108"/>
    <x v="108"/>
    <s v="REVENUS"/>
    <x v="16"/>
    <s v="4012.002"/>
    <s v="Complément impôt capital ordinaire"/>
    <n v="0"/>
    <n v="18074.400000000001"/>
    <n v="4012"/>
  </r>
  <r>
    <x v="1"/>
    <x v="8"/>
    <x v="7"/>
    <x v="123"/>
    <x v="108"/>
    <x v="108"/>
    <s v="REVENUS"/>
    <x v="18"/>
    <s v="4013.003"/>
    <s v="Remboursement impôt complémentaire sur immeubles"/>
    <n v="0"/>
    <n v="-3858"/>
    <n v="4013"/>
  </r>
  <r>
    <x v="1"/>
    <x v="8"/>
    <x v="7"/>
    <x v="123"/>
    <x v="108"/>
    <x v="108"/>
    <s v="REVENUS"/>
    <x v="8"/>
    <s v="4091.001"/>
    <s v="Impôt récupéré après défalcations"/>
    <n v="0"/>
    <n v="775.89"/>
    <n v="4091"/>
  </r>
  <r>
    <x v="1"/>
    <x v="8"/>
    <x v="7"/>
    <x v="123"/>
    <x v="108"/>
    <x v="108"/>
    <s v="REVENUS"/>
    <x v="18"/>
    <s v="4013.001"/>
    <s v="Impôt complémentaire sur immeubles"/>
    <n v="0"/>
    <n v="85853.5"/>
    <n v="4013"/>
  </r>
  <r>
    <x v="1"/>
    <x v="8"/>
    <x v="8"/>
    <x v="124"/>
    <x v="109"/>
    <x v="109"/>
    <s v="CHARGES"/>
    <x v="0"/>
    <s v="3212.004"/>
    <s v="Intérêts rémun./perçu trop tôt sur acomptes C/C"/>
    <n v="2438.94"/>
    <n v="0"/>
    <n v="3212"/>
  </r>
  <r>
    <x v="1"/>
    <x v="8"/>
    <x v="8"/>
    <x v="124"/>
    <x v="109"/>
    <x v="109"/>
    <s v="CHARGES"/>
    <x v="1"/>
    <s v="3301.006"/>
    <s v="Abandon de solde PM"/>
    <n v="327.73"/>
    <n v="0"/>
    <n v="3301"/>
  </r>
  <r>
    <x v="1"/>
    <x v="8"/>
    <x v="8"/>
    <x v="124"/>
    <x v="109"/>
    <x v="109"/>
    <s v="CHARGES"/>
    <x v="0"/>
    <s v="3221.002"/>
    <s v="Intérêts compensatoires / créances en faveur ctb."/>
    <n v="1508.04"/>
    <n v="0"/>
    <n v="3221"/>
  </r>
  <r>
    <x v="1"/>
    <x v="8"/>
    <x v="8"/>
    <x v="124"/>
    <x v="109"/>
    <x v="109"/>
    <s v="CHARGES"/>
    <x v="0"/>
    <s v="3212.002"/>
    <s v="Intérêts bonifiés/trop perçu acompte C/C"/>
    <n v="33.979999999999997"/>
    <n v="0"/>
    <n v="3212"/>
  </r>
  <r>
    <x v="1"/>
    <x v="8"/>
    <x v="8"/>
    <x v="124"/>
    <x v="109"/>
    <x v="109"/>
    <s v="CHARGES"/>
    <x v="1"/>
    <s v="3301.002"/>
    <s v="Défalcation PM"/>
    <n v="2714.17"/>
    <n v="0"/>
    <n v="3301"/>
  </r>
  <r>
    <x v="1"/>
    <x v="8"/>
    <x v="8"/>
    <x v="124"/>
    <x v="109"/>
    <x v="109"/>
    <s v="REVENUS"/>
    <x v="16"/>
    <s v="4012.001"/>
    <s v="Impôt capital ordinaire"/>
    <n v="0"/>
    <n v="243131.2"/>
    <n v="4012"/>
  </r>
  <r>
    <x v="1"/>
    <x v="8"/>
    <x v="8"/>
    <x v="124"/>
    <x v="109"/>
    <x v="109"/>
    <s v="REVENUS"/>
    <x v="16"/>
    <s v="4012.007"/>
    <s v="Acompte sur capital"/>
    <n v="0"/>
    <n v="-25836.95"/>
    <n v="4012"/>
  </r>
  <r>
    <x v="1"/>
    <x v="8"/>
    <x v="8"/>
    <x v="124"/>
    <x v="109"/>
    <x v="109"/>
    <s v="REVENUS"/>
    <x v="18"/>
    <s v="4013.001"/>
    <s v="Impôt complémentaire sur immeubles"/>
    <n v="0"/>
    <n v="355595.15"/>
    <n v="4013"/>
  </r>
  <r>
    <x v="1"/>
    <x v="8"/>
    <x v="8"/>
    <x v="124"/>
    <x v="109"/>
    <x v="109"/>
    <s v="REVENUS"/>
    <x v="6"/>
    <s v="4211.002"/>
    <s v="Intérêts de retard sur acomptes"/>
    <n v="0"/>
    <n v="4356.9799999999996"/>
    <n v="4211"/>
  </r>
  <r>
    <x v="1"/>
    <x v="8"/>
    <x v="8"/>
    <x v="124"/>
    <x v="109"/>
    <x v="109"/>
    <s v="REVENUS"/>
    <x v="6"/>
    <s v="4221.001"/>
    <s v="Intérêts compensat. / créances en faveur du fisc"/>
    <n v="0"/>
    <n v="906.37"/>
    <n v="4221"/>
  </r>
  <r>
    <x v="1"/>
    <x v="8"/>
    <x v="8"/>
    <x v="124"/>
    <x v="109"/>
    <x v="109"/>
    <s v="REVENUS"/>
    <x v="17"/>
    <s v="4011.001"/>
    <s v="Impôt bénéfice ordinaire"/>
    <n v="0"/>
    <n v="6345318.0999999996"/>
    <n v="4011"/>
  </r>
  <r>
    <x v="1"/>
    <x v="8"/>
    <x v="8"/>
    <x v="124"/>
    <x v="109"/>
    <x v="109"/>
    <s v="REVENUS"/>
    <x v="17"/>
    <s v="4011.007"/>
    <s v="Acompte sur bénéfice"/>
    <n v="0"/>
    <n v="-1899191.55"/>
    <n v="4011"/>
  </r>
  <r>
    <x v="1"/>
    <x v="8"/>
    <x v="8"/>
    <x v="124"/>
    <x v="109"/>
    <x v="109"/>
    <s v="REVENUS"/>
    <x v="7"/>
    <s v="4184.000"/>
    <s v="Frais de poursuite"/>
    <n v="0"/>
    <n v="802.14"/>
    <n v="4184"/>
  </r>
  <r>
    <x v="1"/>
    <x v="8"/>
    <x v="8"/>
    <x v="124"/>
    <x v="109"/>
    <x v="109"/>
    <s v="REVENUS"/>
    <x v="17"/>
    <s v="4011.002"/>
    <s v="Complément impôt bénéfice ordinaire"/>
    <n v="0"/>
    <n v="118099.75"/>
    <n v="4011"/>
  </r>
  <r>
    <x v="1"/>
    <x v="8"/>
    <x v="8"/>
    <x v="124"/>
    <x v="109"/>
    <x v="109"/>
    <s v="REVENUS"/>
    <x v="6"/>
    <s v="4211.001"/>
    <s v="Intérêts de retard sur factures"/>
    <n v="0"/>
    <n v="2603.9699999999998"/>
    <n v="4211"/>
  </r>
  <r>
    <x v="1"/>
    <x v="8"/>
    <x v="8"/>
    <x v="124"/>
    <x v="109"/>
    <x v="109"/>
    <s v="REVENUS"/>
    <x v="16"/>
    <s v="4012.002"/>
    <s v="Complément impôt capital ordinaire"/>
    <n v="0"/>
    <n v="33653.4"/>
    <n v="4012"/>
  </r>
  <r>
    <x v="1"/>
    <x v="8"/>
    <x v="8"/>
    <x v="124"/>
    <x v="109"/>
    <x v="109"/>
    <s v="REVENUS"/>
    <x v="18"/>
    <s v="4013.003"/>
    <s v="Remboursement impôt complémentaire sur immeubles"/>
    <n v="0"/>
    <n v="-11836.4"/>
    <n v="4013"/>
  </r>
  <r>
    <x v="1"/>
    <x v="8"/>
    <x v="8"/>
    <x v="124"/>
    <x v="109"/>
    <x v="109"/>
    <s v="REVENUS"/>
    <x v="18"/>
    <s v="4013.002"/>
    <s v="Complément impôt complémentaire sur immeubles"/>
    <n v="0"/>
    <n v="11133"/>
    <n v="4013"/>
  </r>
  <r>
    <x v="1"/>
    <x v="8"/>
    <x v="8"/>
    <x v="124"/>
    <x v="109"/>
    <x v="109"/>
    <s v="REVENUS"/>
    <x v="8"/>
    <s v="4091.001"/>
    <s v="Impôt récupéré après défalcations"/>
    <n v="0"/>
    <n v="301.60000000000002"/>
    <n v="4091"/>
  </r>
  <r>
    <x v="1"/>
    <x v="8"/>
    <x v="8"/>
    <x v="124"/>
    <x v="109"/>
    <x v="109"/>
    <s v="REVENUS"/>
    <x v="10"/>
    <s v="4041.001"/>
    <s v="Droits de mutation"/>
    <n v="0"/>
    <n v="535613.85"/>
    <n v="4041"/>
  </r>
  <r>
    <x v="1"/>
    <x v="8"/>
    <x v="8"/>
    <x v="124"/>
    <x v="109"/>
    <x v="109"/>
    <s v="REVENUS"/>
    <x v="8"/>
    <s v="4091.003"/>
    <s v="Impôt récupéré concordat"/>
    <n v="0"/>
    <n v="93"/>
    <n v="4091"/>
  </r>
  <r>
    <x v="1"/>
    <x v="8"/>
    <x v="7"/>
    <x v="125"/>
    <x v="110"/>
    <x v="110"/>
    <s v="CHARGES"/>
    <x v="0"/>
    <s v="3212.004"/>
    <s v="Intérêts rémun./perçu trop tôt sur acomptes C/C"/>
    <n v="312.58"/>
    <n v="0"/>
    <n v="3212"/>
  </r>
  <r>
    <x v="1"/>
    <x v="8"/>
    <x v="7"/>
    <x v="125"/>
    <x v="110"/>
    <x v="110"/>
    <s v="CHARGES"/>
    <x v="0"/>
    <s v="3212.002"/>
    <s v="Intérêts bonifiés/trop perçu acompte C/C"/>
    <n v="26.69"/>
    <n v="0"/>
    <n v="3212"/>
  </r>
  <r>
    <x v="1"/>
    <x v="8"/>
    <x v="7"/>
    <x v="125"/>
    <x v="110"/>
    <x v="110"/>
    <s v="CHARGES"/>
    <x v="0"/>
    <s v="3221.002"/>
    <s v="Intérêts compensatoires / créances en faveur ctb."/>
    <n v="398.8"/>
    <n v="0"/>
    <n v="3221"/>
  </r>
  <r>
    <x v="1"/>
    <x v="8"/>
    <x v="7"/>
    <x v="125"/>
    <x v="110"/>
    <x v="110"/>
    <s v="CHARGES"/>
    <x v="1"/>
    <s v="3301.006"/>
    <s v="Abandon de solde PM"/>
    <n v="184.76"/>
    <n v="0"/>
    <n v="3301"/>
  </r>
  <r>
    <x v="1"/>
    <x v="8"/>
    <x v="7"/>
    <x v="125"/>
    <x v="110"/>
    <x v="110"/>
    <s v="CHARGES"/>
    <x v="1"/>
    <s v="3301.002"/>
    <s v="Défalcation PM"/>
    <n v="196.38"/>
    <n v="0"/>
    <n v="3301"/>
  </r>
  <r>
    <x v="1"/>
    <x v="8"/>
    <x v="7"/>
    <x v="125"/>
    <x v="110"/>
    <x v="110"/>
    <s v="REVENUS"/>
    <x v="6"/>
    <s v="4211.002"/>
    <s v="Intérêts de retard sur acomptes"/>
    <n v="0"/>
    <n v="948.09"/>
    <n v="4211"/>
  </r>
  <r>
    <x v="1"/>
    <x v="8"/>
    <x v="7"/>
    <x v="125"/>
    <x v="110"/>
    <x v="110"/>
    <s v="REVENUS"/>
    <x v="17"/>
    <s v="4011.001"/>
    <s v="Impôt bénéfice ordinaire"/>
    <n v="0"/>
    <n v="635435.4"/>
    <n v="4011"/>
  </r>
  <r>
    <x v="1"/>
    <x v="8"/>
    <x v="7"/>
    <x v="125"/>
    <x v="110"/>
    <x v="110"/>
    <s v="REVENUS"/>
    <x v="17"/>
    <s v="4011.002"/>
    <s v="Complément impôt bénéfice ordinaire"/>
    <n v="0"/>
    <n v="77601.3"/>
    <n v="4011"/>
  </r>
  <r>
    <x v="1"/>
    <x v="8"/>
    <x v="7"/>
    <x v="125"/>
    <x v="110"/>
    <x v="110"/>
    <s v="REVENUS"/>
    <x v="17"/>
    <s v="4011.007"/>
    <s v="Acompte sur bénéfice"/>
    <n v="0"/>
    <n v="-208698.75"/>
    <n v="4011"/>
  </r>
  <r>
    <x v="1"/>
    <x v="8"/>
    <x v="7"/>
    <x v="125"/>
    <x v="110"/>
    <x v="110"/>
    <s v="REVENUS"/>
    <x v="16"/>
    <s v="4012.001"/>
    <s v="Impôt capital ordinaire"/>
    <n v="0"/>
    <n v="155464.85"/>
    <n v="4012"/>
  </r>
  <r>
    <x v="1"/>
    <x v="8"/>
    <x v="7"/>
    <x v="125"/>
    <x v="110"/>
    <x v="110"/>
    <s v="REVENUS"/>
    <x v="16"/>
    <s v="4012.007"/>
    <s v="Acompte sur capital"/>
    <n v="0"/>
    <n v="189936.9"/>
    <n v="4012"/>
  </r>
  <r>
    <x v="1"/>
    <x v="8"/>
    <x v="7"/>
    <x v="125"/>
    <x v="110"/>
    <x v="110"/>
    <s v="REVENUS"/>
    <x v="6"/>
    <s v="4211.001"/>
    <s v="Intérêts de retard sur factures"/>
    <n v="0"/>
    <n v="647.33000000000004"/>
    <n v="4211"/>
  </r>
  <r>
    <x v="1"/>
    <x v="8"/>
    <x v="7"/>
    <x v="125"/>
    <x v="110"/>
    <x v="110"/>
    <s v="REVENUS"/>
    <x v="6"/>
    <s v="4221.001"/>
    <s v="Intérêts compensat. / créances en faveur du fisc"/>
    <n v="0"/>
    <n v="346.23"/>
    <n v="4221"/>
  </r>
  <r>
    <x v="1"/>
    <x v="8"/>
    <x v="7"/>
    <x v="125"/>
    <x v="110"/>
    <x v="110"/>
    <s v="REVENUS"/>
    <x v="10"/>
    <s v="4041.001"/>
    <s v="Droits de mutation"/>
    <n v="0"/>
    <n v="565112.25"/>
    <n v="4041"/>
  </r>
  <r>
    <x v="1"/>
    <x v="8"/>
    <x v="7"/>
    <x v="125"/>
    <x v="110"/>
    <x v="110"/>
    <s v="REVENUS"/>
    <x v="18"/>
    <s v="4013.001"/>
    <s v="Impôt complémentaire sur immeubles"/>
    <n v="0"/>
    <n v="288467.84999999998"/>
    <n v="4013"/>
  </r>
  <r>
    <x v="1"/>
    <x v="8"/>
    <x v="7"/>
    <x v="125"/>
    <x v="110"/>
    <x v="110"/>
    <s v="REVENUS"/>
    <x v="18"/>
    <s v="4013.002"/>
    <s v="Complément impôt complémentaire sur immeubles"/>
    <n v="0"/>
    <n v="3363.8"/>
    <n v="4013"/>
  </r>
  <r>
    <x v="1"/>
    <x v="8"/>
    <x v="7"/>
    <x v="125"/>
    <x v="110"/>
    <x v="110"/>
    <s v="REVENUS"/>
    <x v="7"/>
    <s v="4184.000"/>
    <s v="Frais de poursuite"/>
    <n v="0"/>
    <n v="164.75"/>
    <n v="4184"/>
  </r>
  <r>
    <x v="1"/>
    <x v="8"/>
    <x v="7"/>
    <x v="125"/>
    <x v="110"/>
    <x v="110"/>
    <s v="REVENUS"/>
    <x v="16"/>
    <s v="4012.002"/>
    <s v="Complément impôt capital ordinaire"/>
    <n v="0"/>
    <n v="496.2"/>
    <n v="4012"/>
  </r>
  <r>
    <x v="1"/>
    <x v="8"/>
    <x v="7"/>
    <x v="125"/>
    <x v="110"/>
    <x v="110"/>
    <s v="REVENUS"/>
    <x v="18"/>
    <s v="4013.003"/>
    <s v="Remboursement impôt complémentaire sur immeubles"/>
    <n v="0"/>
    <n v="-19475"/>
    <n v="4013"/>
  </r>
  <r>
    <x v="1"/>
    <x v="8"/>
    <x v="7"/>
    <x v="125"/>
    <x v="110"/>
    <x v="110"/>
    <s v="REVENUS"/>
    <x v="8"/>
    <s v="4091.001"/>
    <s v="Impôt récupéré après défalcations"/>
    <n v="0"/>
    <n v="1376.74"/>
    <n v="4091"/>
  </r>
  <r>
    <x v="1"/>
    <x v="8"/>
    <x v="7"/>
    <x v="125"/>
    <x v="110"/>
    <x v="110"/>
    <s v="REVENUS"/>
    <x v="9"/>
    <s v="4031.001"/>
    <s v="Impôt sur les gains immobiliers"/>
    <n v="0"/>
    <n v="421714.6"/>
    <n v="4031"/>
  </r>
  <r>
    <x v="1"/>
    <x v="8"/>
    <x v="7"/>
    <x v="126"/>
    <x v="111"/>
    <x v="111"/>
    <s v="CHARGES"/>
    <x v="1"/>
    <s v="3301.006"/>
    <s v="Abandon de solde PM"/>
    <n v="65.03"/>
    <n v="0"/>
    <n v="3301"/>
  </r>
  <r>
    <x v="1"/>
    <x v="8"/>
    <x v="7"/>
    <x v="126"/>
    <x v="111"/>
    <x v="111"/>
    <s v="CHARGES"/>
    <x v="0"/>
    <s v="3212.004"/>
    <s v="Intérêts rémun./perçu trop tôt sur acomptes C/C"/>
    <n v="24.56"/>
    <n v="0"/>
    <n v="3212"/>
  </r>
  <r>
    <x v="1"/>
    <x v="8"/>
    <x v="7"/>
    <x v="126"/>
    <x v="111"/>
    <x v="111"/>
    <s v="CHARGES"/>
    <x v="0"/>
    <s v="3221.002"/>
    <s v="Intérêts compensatoires / créances en faveur ctb."/>
    <n v="23.55"/>
    <n v="0"/>
    <n v="3221"/>
  </r>
  <r>
    <x v="1"/>
    <x v="8"/>
    <x v="7"/>
    <x v="126"/>
    <x v="111"/>
    <x v="111"/>
    <s v="CHARGES"/>
    <x v="0"/>
    <s v="3212.002"/>
    <s v="Intérêts bonifiés/trop perçu acompte C/C"/>
    <n v="0.06"/>
    <n v="0"/>
    <n v="3212"/>
  </r>
  <r>
    <x v="1"/>
    <x v="8"/>
    <x v="7"/>
    <x v="126"/>
    <x v="111"/>
    <x v="111"/>
    <s v="CHARGES"/>
    <x v="1"/>
    <s v="3301.002"/>
    <s v="Défalcation PM"/>
    <n v="598.04"/>
    <n v="0"/>
    <n v="3301"/>
  </r>
  <r>
    <x v="1"/>
    <x v="8"/>
    <x v="7"/>
    <x v="126"/>
    <x v="111"/>
    <x v="111"/>
    <s v="REVENUS"/>
    <x v="16"/>
    <s v="4012.001"/>
    <s v="Impôt capital ordinaire"/>
    <n v="0"/>
    <n v="1295.6500000000001"/>
    <n v="4012"/>
  </r>
  <r>
    <x v="1"/>
    <x v="8"/>
    <x v="7"/>
    <x v="126"/>
    <x v="111"/>
    <x v="111"/>
    <s v="REVENUS"/>
    <x v="16"/>
    <s v="4012.007"/>
    <s v="Acompte sur capital"/>
    <n v="0"/>
    <n v="1913.85"/>
    <n v="4012"/>
  </r>
  <r>
    <x v="1"/>
    <x v="8"/>
    <x v="7"/>
    <x v="126"/>
    <x v="111"/>
    <x v="111"/>
    <s v="REVENUS"/>
    <x v="6"/>
    <s v="4211.001"/>
    <s v="Intérêts de retard sur factures"/>
    <n v="0"/>
    <n v="4557.1899999999996"/>
    <n v="4211"/>
  </r>
  <r>
    <x v="1"/>
    <x v="8"/>
    <x v="7"/>
    <x v="126"/>
    <x v="111"/>
    <x v="111"/>
    <s v="REVENUS"/>
    <x v="6"/>
    <s v="4211.002"/>
    <s v="Intérêts de retard sur acomptes"/>
    <n v="0"/>
    <n v="260.60000000000002"/>
    <n v="4211"/>
  </r>
  <r>
    <x v="1"/>
    <x v="8"/>
    <x v="7"/>
    <x v="126"/>
    <x v="111"/>
    <x v="111"/>
    <s v="REVENUS"/>
    <x v="17"/>
    <s v="4011.001"/>
    <s v="Impôt bénéfice ordinaire"/>
    <n v="0"/>
    <n v="31224.95"/>
    <n v="4011"/>
  </r>
  <r>
    <x v="1"/>
    <x v="8"/>
    <x v="7"/>
    <x v="126"/>
    <x v="111"/>
    <x v="111"/>
    <s v="REVENUS"/>
    <x v="17"/>
    <s v="4011.007"/>
    <s v="Acompte sur bénéfice"/>
    <n v="0"/>
    <n v="-16969.099999999999"/>
    <n v="4011"/>
  </r>
  <r>
    <x v="1"/>
    <x v="8"/>
    <x v="7"/>
    <x v="126"/>
    <x v="111"/>
    <x v="111"/>
    <s v="REVENUS"/>
    <x v="17"/>
    <s v="4011.002"/>
    <s v="Complément impôt bénéfice ordinaire"/>
    <n v="0"/>
    <n v="66665.350000000006"/>
    <n v="4011"/>
  </r>
  <r>
    <x v="1"/>
    <x v="8"/>
    <x v="7"/>
    <x v="126"/>
    <x v="111"/>
    <x v="111"/>
    <s v="REVENUS"/>
    <x v="6"/>
    <s v="4221.001"/>
    <s v="Intérêts compensat. / créances en faveur du fisc"/>
    <n v="0"/>
    <n v="254.37"/>
    <n v="4221"/>
  </r>
  <r>
    <x v="1"/>
    <x v="8"/>
    <x v="7"/>
    <x v="126"/>
    <x v="111"/>
    <x v="111"/>
    <s v="REVENUS"/>
    <x v="18"/>
    <s v="4013.003"/>
    <s v="Remboursement impôt complémentaire sur immeubles"/>
    <n v="0"/>
    <n v="-14.4"/>
    <n v="4013"/>
  </r>
  <r>
    <x v="1"/>
    <x v="8"/>
    <x v="7"/>
    <x v="126"/>
    <x v="111"/>
    <x v="111"/>
    <s v="REVENUS"/>
    <x v="16"/>
    <s v="4012.002"/>
    <s v="Complément impôt capital ordinaire"/>
    <n v="0"/>
    <n v="54.55"/>
    <n v="4012"/>
  </r>
  <r>
    <x v="1"/>
    <x v="8"/>
    <x v="7"/>
    <x v="126"/>
    <x v="111"/>
    <x v="111"/>
    <s v="REVENUS"/>
    <x v="7"/>
    <s v="4184.000"/>
    <s v="Frais de poursuite"/>
    <n v="0"/>
    <n v="117.81"/>
    <n v="4184"/>
  </r>
  <r>
    <x v="1"/>
    <x v="8"/>
    <x v="7"/>
    <x v="126"/>
    <x v="111"/>
    <x v="111"/>
    <s v="REVENUS"/>
    <x v="10"/>
    <s v="4041.001"/>
    <s v="Droits de mutation"/>
    <n v="0"/>
    <n v="19148.150000000001"/>
    <n v="4041"/>
  </r>
  <r>
    <x v="1"/>
    <x v="8"/>
    <x v="7"/>
    <x v="126"/>
    <x v="111"/>
    <x v="111"/>
    <s v="REVENUS"/>
    <x v="11"/>
    <s v="4198.001"/>
    <s v="Impôt foncier"/>
    <n v="0"/>
    <n v="18458"/>
    <n v="4198"/>
  </r>
  <r>
    <x v="1"/>
    <x v="8"/>
    <x v="7"/>
    <x v="126"/>
    <x v="111"/>
    <x v="111"/>
    <s v="REVENUS"/>
    <x v="18"/>
    <s v="4013.001"/>
    <s v="Impôt complémentaire sur immeubles"/>
    <n v="0"/>
    <n v="8111.5"/>
    <n v="4013"/>
  </r>
  <r>
    <x v="1"/>
    <x v="8"/>
    <x v="7"/>
    <x v="127"/>
    <x v="112"/>
    <x v="112"/>
    <s v="CHARGES"/>
    <x v="0"/>
    <s v="3212.004"/>
    <s v="Intérêts rémun./perçu trop tôt sur acomptes C/C"/>
    <n v="32262.73"/>
    <n v="0"/>
    <n v="3212"/>
  </r>
  <r>
    <x v="1"/>
    <x v="8"/>
    <x v="7"/>
    <x v="127"/>
    <x v="112"/>
    <x v="112"/>
    <s v="CHARGES"/>
    <x v="0"/>
    <s v="3221.002"/>
    <s v="Intérêts compensatoires / créances en faveur ctb."/>
    <n v="37786.5"/>
    <n v="0"/>
    <n v="3221"/>
  </r>
  <r>
    <x v="1"/>
    <x v="8"/>
    <x v="7"/>
    <x v="127"/>
    <x v="112"/>
    <x v="112"/>
    <s v="CHARGES"/>
    <x v="1"/>
    <s v="3301.002"/>
    <s v="Défalcation PM"/>
    <n v="465796.19"/>
    <n v="0"/>
    <n v="3301"/>
  </r>
  <r>
    <x v="1"/>
    <x v="8"/>
    <x v="7"/>
    <x v="127"/>
    <x v="112"/>
    <x v="112"/>
    <s v="CHARGES"/>
    <x v="1"/>
    <s v="3301.006"/>
    <s v="Abandon de solde PM"/>
    <n v="5357.73"/>
    <n v="0"/>
    <n v="3301"/>
  </r>
  <r>
    <x v="1"/>
    <x v="8"/>
    <x v="7"/>
    <x v="127"/>
    <x v="112"/>
    <x v="112"/>
    <s v="CHARGES"/>
    <x v="0"/>
    <s v="3212.002"/>
    <s v="Intérêts bonifiés/trop perçu acompte C/C"/>
    <n v="2512.34"/>
    <n v="0"/>
    <n v="3212"/>
  </r>
  <r>
    <x v="1"/>
    <x v="8"/>
    <x v="7"/>
    <x v="127"/>
    <x v="112"/>
    <x v="112"/>
    <s v="REVENUS"/>
    <x v="17"/>
    <s v="4011.007"/>
    <s v="Acompte sur bénéfice"/>
    <n v="0"/>
    <n v="-27301811.850000001"/>
    <n v="4011"/>
  </r>
  <r>
    <x v="1"/>
    <x v="8"/>
    <x v="7"/>
    <x v="127"/>
    <x v="112"/>
    <x v="112"/>
    <s v="REVENUS"/>
    <x v="16"/>
    <s v="4012.007"/>
    <s v="Acompte sur capital"/>
    <n v="0"/>
    <n v="1512086"/>
    <n v="4012"/>
  </r>
  <r>
    <x v="1"/>
    <x v="8"/>
    <x v="7"/>
    <x v="127"/>
    <x v="112"/>
    <x v="112"/>
    <s v="REVENUS"/>
    <x v="7"/>
    <s v="4184.000"/>
    <s v="Frais de poursuite"/>
    <n v="0"/>
    <n v="12752.68"/>
    <n v="4184"/>
  </r>
  <r>
    <x v="1"/>
    <x v="8"/>
    <x v="7"/>
    <x v="127"/>
    <x v="112"/>
    <x v="112"/>
    <s v="REVENUS"/>
    <x v="17"/>
    <s v="4011.001"/>
    <s v="Impôt bénéfice ordinaire"/>
    <n v="0"/>
    <n v="92665817.450000003"/>
    <n v="4011"/>
  </r>
  <r>
    <x v="1"/>
    <x v="8"/>
    <x v="7"/>
    <x v="127"/>
    <x v="112"/>
    <x v="112"/>
    <s v="REVENUS"/>
    <x v="16"/>
    <s v="4012.001"/>
    <s v="Impôt capital ordinaire"/>
    <n v="0"/>
    <n v="2476820.35"/>
    <n v="4012"/>
  </r>
  <r>
    <x v="1"/>
    <x v="8"/>
    <x v="7"/>
    <x v="127"/>
    <x v="112"/>
    <x v="112"/>
    <s v="REVENUS"/>
    <x v="18"/>
    <s v="4013.001"/>
    <s v="Impôt complémentaire sur immeubles"/>
    <n v="0"/>
    <n v="6931130.5999999996"/>
    <n v="4013"/>
  </r>
  <r>
    <x v="1"/>
    <x v="8"/>
    <x v="7"/>
    <x v="127"/>
    <x v="112"/>
    <x v="112"/>
    <s v="REVENUS"/>
    <x v="6"/>
    <s v="4211.001"/>
    <s v="Intérêts de retard sur factures"/>
    <n v="0"/>
    <n v="134342.16"/>
    <n v="4211"/>
  </r>
  <r>
    <x v="1"/>
    <x v="8"/>
    <x v="7"/>
    <x v="127"/>
    <x v="112"/>
    <x v="112"/>
    <s v="REVENUS"/>
    <x v="6"/>
    <s v="4211.002"/>
    <s v="Intérêts de retard sur acomptes"/>
    <n v="0"/>
    <n v="142491.76"/>
    <n v="4211"/>
  </r>
  <r>
    <x v="1"/>
    <x v="8"/>
    <x v="7"/>
    <x v="127"/>
    <x v="112"/>
    <x v="112"/>
    <s v="REVENUS"/>
    <x v="6"/>
    <s v="4221.001"/>
    <s v="Intérêts compensat. / créances en faveur du fisc"/>
    <n v="0"/>
    <n v="10855.81"/>
    <n v="4221"/>
  </r>
  <r>
    <x v="1"/>
    <x v="8"/>
    <x v="7"/>
    <x v="127"/>
    <x v="112"/>
    <x v="112"/>
    <s v="REVENUS"/>
    <x v="17"/>
    <s v="4011.002"/>
    <s v="Complément impôt bénéfice ordinaire"/>
    <n v="0"/>
    <n v="9068492.5999999996"/>
    <n v="4011"/>
  </r>
  <r>
    <x v="1"/>
    <x v="8"/>
    <x v="7"/>
    <x v="127"/>
    <x v="112"/>
    <x v="112"/>
    <s v="REVENUS"/>
    <x v="11"/>
    <s v="4198.001"/>
    <s v="Impôt foncier"/>
    <n v="0"/>
    <n v="27897858.699999999"/>
    <n v="4198"/>
  </r>
  <r>
    <x v="1"/>
    <x v="8"/>
    <x v="7"/>
    <x v="127"/>
    <x v="112"/>
    <x v="112"/>
    <s v="REVENUS"/>
    <x v="16"/>
    <s v="4012.002"/>
    <s v="Complément impôt capital ordinaire"/>
    <n v="0"/>
    <n v="2773186.4"/>
    <n v="4012"/>
  </r>
  <r>
    <x v="1"/>
    <x v="8"/>
    <x v="7"/>
    <x v="127"/>
    <x v="112"/>
    <x v="112"/>
    <s v="REVENUS"/>
    <x v="18"/>
    <s v="4013.003"/>
    <s v="Remboursement impôt complémentaire sur immeubles"/>
    <n v="0"/>
    <n v="-462732.35"/>
    <n v="4013"/>
  </r>
  <r>
    <x v="1"/>
    <x v="8"/>
    <x v="7"/>
    <x v="127"/>
    <x v="112"/>
    <x v="112"/>
    <s v="REVENUS"/>
    <x v="10"/>
    <s v="4041.001"/>
    <s v="Droits de mutation"/>
    <n v="0"/>
    <n v="7674516.9500000002"/>
    <n v="4041"/>
  </r>
  <r>
    <x v="1"/>
    <x v="8"/>
    <x v="7"/>
    <x v="127"/>
    <x v="112"/>
    <x v="112"/>
    <s v="REVENUS"/>
    <x v="8"/>
    <s v="4091.001"/>
    <s v="Impôt récupéré après défalcations"/>
    <n v="0"/>
    <n v="74442.73"/>
    <n v="4091"/>
  </r>
  <r>
    <x v="1"/>
    <x v="8"/>
    <x v="7"/>
    <x v="127"/>
    <x v="112"/>
    <x v="112"/>
    <s v="REVENUS"/>
    <x v="10"/>
    <s v="4041.002"/>
    <s v="Complément droit de mutation"/>
    <n v="0"/>
    <n v="7343.35"/>
    <n v="4041"/>
  </r>
  <r>
    <x v="1"/>
    <x v="8"/>
    <x v="7"/>
    <x v="127"/>
    <x v="112"/>
    <x v="112"/>
    <s v="REVENUS"/>
    <x v="9"/>
    <s v="4031.001"/>
    <s v="Impôt sur les gains immobiliers"/>
    <n v="0"/>
    <n v="619692.65"/>
    <n v="4031"/>
  </r>
  <r>
    <x v="1"/>
    <x v="8"/>
    <x v="7"/>
    <x v="127"/>
    <x v="112"/>
    <x v="112"/>
    <s v="REVENUS"/>
    <x v="18"/>
    <s v="4013.002"/>
    <s v="Complément impôt complémentaire sur immeubles"/>
    <n v="0"/>
    <n v="231463"/>
    <n v="4013"/>
  </r>
  <r>
    <x v="1"/>
    <x v="8"/>
    <x v="7"/>
    <x v="127"/>
    <x v="112"/>
    <x v="112"/>
    <s v="REVENUS"/>
    <x v="6"/>
    <s v="4221.002"/>
    <s v="Intérêts compensat. sur impôts distincts"/>
    <n v="0"/>
    <n v="1.92"/>
    <n v="4221"/>
  </r>
  <r>
    <x v="1"/>
    <x v="8"/>
    <x v="7"/>
    <x v="127"/>
    <x v="112"/>
    <x v="112"/>
    <s v="REVENUS"/>
    <x v="6"/>
    <s v="4221.003"/>
    <s v="Intérêts compensat. / acomptes en faveur du fisc"/>
    <n v="0"/>
    <n v="-173.99"/>
    <n v="4221"/>
  </r>
  <r>
    <x v="1"/>
    <x v="8"/>
    <x v="7"/>
    <x v="127"/>
    <x v="112"/>
    <x v="112"/>
    <s v="REVENUS"/>
    <x v="13"/>
    <s v="4371.012"/>
    <s v="Amende soustraction IBC"/>
    <n v="0"/>
    <n v="7700"/>
    <n v="4371"/>
  </r>
  <r>
    <x v="1"/>
    <x v="8"/>
    <x v="7"/>
    <x v="127"/>
    <x v="112"/>
    <x v="112"/>
    <s v="REVENUS"/>
    <x v="8"/>
    <s v="4091.003"/>
    <s v="Impôt récupéré concordat"/>
    <n v="0"/>
    <n v="4817.9799999999996"/>
    <n v="4091"/>
  </r>
  <r>
    <x v="1"/>
    <x v="8"/>
    <x v="7"/>
    <x v="128"/>
    <x v="113"/>
    <x v="113"/>
    <s v="CHARGES"/>
    <x v="0"/>
    <s v="3212.004"/>
    <s v="Intérêts rémun./perçu trop tôt sur acomptes C/C"/>
    <n v="786.18"/>
    <n v="0"/>
    <n v="3212"/>
  </r>
  <r>
    <x v="1"/>
    <x v="8"/>
    <x v="7"/>
    <x v="128"/>
    <x v="113"/>
    <x v="113"/>
    <s v="CHARGES"/>
    <x v="0"/>
    <s v="3221.002"/>
    <s v="Intérêts compensatoires / créances en faveur ctb."/>
    <n v="1059.44"/>
    <n v="0"/>
    <n v="3221"/>
  </r>
  <r>
    <x v="1"/>
    <x v="8"/>
    <x v="7"/>
    <x v="128"/>
    <x v="113"/>
    <x v="113"/>
    <s v="CHARGES"/>
    <x v="1"/>
    <s v="3301.006"/>
    <s v="Abandon de solde PM"/>
    <n v="350.27"/>
    <n v="0"/>
    <n v="3301"/>
  </r>
  <r>
    <x v="1"/>
    <x v="8"/>
    <x v="7"/>
    <x v="128"/>
    <x v="113"/>
    <x v="113"/>
    <s v="CHARGES"/>
    <x v="0"/>
    <s v="3212.002"/>
    <s v="Intérêts bonifiés/trop perçu acompte C/C"/>
    <n v="353.42"/>
    <n v="0"/>
    <n v="3212"/>
  </r>
  <r>
    <x v="1"/>
    <x v="8"/>
    <x v="7"/>
    <x v="128"/>
    <x v="113"/>
    <x v="113"/>
    <s v="CHARGES"/>
    <x v="1"/>
    <s v="3301.002"/>
    <s v="Défalcation PM"/>
    <n v="4264.0200000000004"/>
    <n v="0"/>
    <n v="3301"/>
  </r>
  <r>
    <x v="1"/>
    <x v="8"/>
    <x v="7"/>
    <x v="128"/>
    <x v="113"/>
    <x v="113"/>
    <s v="REVENUS"/>
    <x v="17"/>
    <s v="4011.007"/>
    <s v="Acompte sur bénéfice"/>
    <n v="0"/>
    <n v="-1075145.95"/>
    <n v="4011"/>
  </r>
  <r>
    <x v="1"/>
    <x v="8"/>
    <x v="7"/>
    <x v="128"/>
    <x v="113"/>
    <x v="113"/>
    <s v="REVENUS"/>
    <x v="16"/>
    <s v="4012.007"/>
    <s v="Acompte sur capital"/>
    <n v="0"/>
    <n v="316540.2"/>
    <n v="4012"/>
  </r>
  <r>
    <x v="1"/>
    <x v="8"/>
    <x v="7"/>
    <x v="128"/>
    <x v="113"/>
    <x v="113"/>
    <s v="REVENUS"/>
    <x v="17"/>
    <s v="4011.001"/>
    <s v="Impôt bénéfice ordinaire"/>
    <n v="0"/>
    <n v="1842749.6"/>
    <n v="4011"/>
  </r>
  <r>
    <x v="1"/>
    <x v="8"/>
    <x v="7"/>
    <x v="128"/>
    <x v="113"/>
    <x v="113"/>
    <s v="REVENUS"/>
    <x v="16"/>
    <s v="4012.001"/>
    <s v="Impôt capital ordinaire"/>
    <n v="0"/>
    <n v="111240.25"/>
    <n v="4012"/>
  </r>
  <r>
    <x v="1"/>
    <x v="8"/>
    <x v="7"/>
    <x v="128"/>
    <x v="113"/>
    <x v="113"/>
    <s v="REVENUS"/>
    <x v="6"/>
    <s v="4211.002"/>
    <s v="Intérêts de retard sur acomptes"/>
    <n v="0"/>
    <n v="1106.1500000000001"/>
    <n v="4211"/>
  </r>
  <r>
    <x v="1"/>
    <x v="8"/>
    <x v="7"/>
    <x v="128"/>
    <x v="113"/>
    <x v="113"/>
    <s v="REVENUS"/>
    <x v="18"/>
    <s v="4013.003"/>
    <s v="Remboursement impôt complémentaire sur immeubles"/>
    <n v="0"/>
    <n v="-20589.95"/>
    <n v="4013"/>
  </r>
  <r>
    <x v="1"/>
    <x v="8"/>
    <x v="7"/>
    <x v="128"/>
    <x v="113"/>
    <x v="113"/>
    <s v="REVENUS"/>
    <x v="17"/>
    <s v="4011.002"/>
    <s v="Complément impôt bénéfice ordinaire"/>
    <n v="0"/>
    <n v="683218.5"/>
    <n v="4011"/>
  </r>
  <r>
    <x v="1"/>
    <x v="8"/>
    <x v="7"/>
    <x v="128"/>
    <x v="113"/>
    <x v="113"/>
    <s v="REVENUS"/>
    <x v="6"/>
    <s v="4211.001"/>
    <s v="Intérêts de retard sur factures"/>
    <n v="0"/>
    <n v="3790.41"/>
    <n v="4211"/>
  </r>
  <r>
    <x v="1"/>
    <x v="8"/>
    <x v="7"/>
    <x v="128"/>
    <x v="113"/>
    <x v="113"/>
    <s v="REVENUS"/>
    <x v="6"/>
    <s v="4221.001"/>
    <s v="Intérêts compensat. / créances en faveur du fisc"/>
    <n v="0"/>
    <n v="-484.35"/>
    <n v="4221"/>
  </r>
  <r>
    <x v="1"/>
    <x v="8"/>
    <x v="7"/>
    <x v="128"/>
    <x v="113"/>
    <x v="113"/>
    <s v="REVENUS"/>
    <x v="10"/>
    <s v="4041.001"/>
    <s v="Droits de mutation"/>
    <n v="0"/>
    <n v="443164.2"/>
    <n v="4041"/>
  </r>
  <r>
    <x v="1"/>
    <x v="8"/>
    <x v="7"/>
    <x v="128"/>
    <x v="113"/>
    <x v="113"/>
    <s v="REVENUS"/>
    <x v="18"/>
    <s v="4013.001"/>
    <s v="Impôt complémentaire sur immeubles"/>
    <n v="0"/>
    <n v="339378.6"/>
    <n v="4013"/>
  </r>
  <r>
    <x v="1"/>
    <x v="8"/>
    <x v="7"/>
    <x v="128"/>
    <x v="113"/>
    <x v="113"/>
    <s v="REVENUS"/>
    <x v="11"/>
    <s v="4198.001"/>
    <s v="Impôt foncier"/>
    <n v="0"/>
    <n v="1126525.6000000001"/>
    <n v="4198"/>
  </r>
  <r>
    <x v="1"/>
    <x v="8"/>
    <x v="7"/>
    <x v="128"/>
    <x v="113"/>
    <x v="113"/>
    <s v="REVENUS"/>
    <x v="16"/>
    <s v="4012.002"/>
    <s v="Complément impôt capital ordinaire"/>
    <n v="0"/>
    <n v="64156.85"/>
    <n v="4012"/>
  </r>
  <r>
    <x v="1"/>
    <x v="8"/>
    <x v="7"/>
    <x v="128"/>
    <x v="113"/>
    <x v="113"/>
    <s v="REVENUS"/>
    <x v="7"/>
    <s v="4184.000"/>
    <s v="Frais de poursuite"/>
    <n v="0"/>
    <n v="636.53"/>
    <n v="4184"/>
  </r>
  <r>
    <x v="1"/>
    <x v="8"/>
    <x v="7"/>
    <x v="128"/>
    <x v="113"/>
    <x v="113"/>
    <s v="REVENUS"/>
    <x v="6"/>
    <s v="4221.003"/>
    <s v="Intérêts compensat. / acomptes en faveur du fisc"/>
    <n v="0"/>
    <n v="-303.70999999999998"/>
    <n v="4221"/>
  </r>
  <r>
    <x v="1"/>
    <x v="8"/>
    <x v="7"/>
    <x v="128"/>
    <x v="113"/>
    <x v="113"/>
    <s v="REVENUS"/>
    <x v="8"/>
    <s v="4091.001"/>
    <s v="Impôt récupéré après défalcations"/>
    <n v="0"/>
    <n v="70.83"/>
    <n v="4091"/>
  </r>
  <r>
    <x v="1"/>
    <x v="8"/>
    <x v="7"/>
    <x v="128"/>
    <x v="113"/>
    <x v="113"/>
    <s v="REVENUS"/>
    <x v="18"/>
    <s v="4013.002"/>
    <s v="Complément impôt complémentaire sur immeubles"/>
    <n v="0"/>
    <n v="9203.85"/>
    <n v="4013"/>
  </r>
  <r>
    <x v="1"/>
    <x v="8"/>
    <x v="7"/>
    <x v="128"/>
    <x v="113"/>
    <x v="113"/>
    <s v="REVENUS"/>
    <x v="13"/>
    <s v="4371.012"/>
    <s v="Amende soustraction IBC"/>
    <n v="0"/>
    <n v="2550"/>
    <n v="4371"/>
  </r>
  <r>
    <x v="1"/>
    <x v="7"/>
    <x v="6"/>
    <x v="129"/>
    <x v="114"/>
    <x v="114"/>
    <s v="CHARGES"/>
    <x v="1"/>
    <s v="3301.006"/>
    <s v="Abandon de solde PM"/>
    <n v="50.75"/>
    <n v="0"/>
    <n v="3301"/>
  </r>
  <r>
    <x v="1"/>
    <x v="7"/>
    <x v="6"/>
    <x v="129"/>
    <x v="114"/>
    <x v="114"/>
    <s v="CHARGES"/>
    <x v="0"/>
    <s v="3221.002"/>
    <s v="Intérêts compensatoires / créances en faveur ctb."/>
    <n v="156.99"/>
    <n v="0"/>
    <n v="3221"/>
  </r>
  <r>
    <x v="1"/>
    <x v="7"/>
    <x v="6"/>
    <x v="129"/>
    <x v="114"/>
    <x v="114"/>
    <s v="CHARGES"/>
    <x v="0"/>
    <s v="3212.004"/>
    <s v="Intérêts rémun./perçu trop tôt sur acomptes C/C"/>
    <n v="93.05"/>
    <n v="0"/>
    <n v="3212"/>
  </r>
  <r>
    <x v="1"/>
    <x v="7"/>
    <x v="6"/>
    <x v="129"/>
    <x v="114"/>
    <x v="114"/>
    <s v="CHARGES"/>
    <x v="0"/>
    <s v="3212.002"/>
    <s v="Intérêts bonifiés/trop perçu acompte C/C"/>
    <n v="0.06"/>
    <n v="0"/>
    <n v="3212"/>
  </r>
  <r>
    <x v="1"/>
    <x v="7"/>
    <x v="6"/>
    <x v="129"/>
    <x v="114"/>
    <x v="114"/>
    <s v="CHARGES"/>
    <x v="1"/>
    <s v="3301.002"/>
    <s v="Défalcation PM"/>
    <n v="1165.6600000000001"/>
    <n v="0"/>
    <n v="3301"/>
  </r>
  <r>
    <x v="1"/>
    <x v="7"/>
    <x v="6"/>
    <x v="129"/>
    <x v="114"/>
    <x v="114"/>
    <s v="REVENUS"/>
    <x v="16"/>
    <s v="4012.001"/>
    <s v="Impôt capital ordinaire"/>
    <n v="0"/>
    <n v="262781.7"/>
    <n v="4012"/>
  </r>
  <r>
    <x v="1"/>
    <x v="7"/>
    <x v="6"/>
    <x v="129"/>
    <x v="114"/>
    <x v="114"/>
    <s v="REVENUS"/>
    <x v="16"/>
    <s v="4012.007"/>
    <s v="Acompte sur capital"/>
    <n v="0"/>
    <n v="79445"/>
    <n v="4012"/>
  </r>
  <r>
    <x v="1"/>
    <x v="7"/>
    <x v="6"/>
    <x v="129"/>
    <x v="114"/>
    <x v="114"/>
    <s v="REVENUS"/>
    <x v="18"/>
    <s v="4013.001"/>
    <s v="Impôt complémentaire sur immeubles"/>
    <n v="0"/>
    <n v="52977.05"/>
    <n v="4013"/>
  </r>
  <r>
    <x v="1"/>
    <x v="7"/>
    <x v="6"/>
    <x v="129"/>
    <x v="114"/>
    <x v="114"/>
    <s v="REVENUS"/>
    <x v="6"/>
    <s v="4211.002"/>
    <s v="Intérêts de retard sur acomptes"/>
    <n v="0"/>
    <n v="730.21"/>
    <n v="4211"/>
  </r>
  <r>
    <x v="1"/>
    <x v="7"/>
    <x v="6"/>
    <x v="129"/>
    <x v="114"/>
    <x v="114"/>
    <s v="REVENUS"/>
    <x v="17"/>
    <s v="4011.001"/>
    <s v="Impôt bénéfice ordinaire"/>
    <n v="0"/>
    <n v="96113.2"/>
    <n v="4011"/>
  </r>
  <r>
    <x v="1"/>
    <x v="7"/>
    <x v="6"/>
    <x v="129"/>
    <x v="114"/>
    <x v="114"/>
    <s v="REVENUS"/>
    <x v="17"/>
    <s v="4011.002"/>
    <s v="Complément impôt bénéfice ordinaire"/>
    <n v="0"/>
    <n v="10666.9"/>
    <n v="4011"/>
  </r>
  <r>
    <x v="1"/>
    <x v="7"/>
    <x v="6"/>
    <x v="129"/>
    <x v="114"/>
    <x v="114"/>
    <s v="REVENUS"/>
    <x v="6"/>
    <s v="4211.001"/>
    <s v="Intérêts de retard sur factures"/>
    <n v="0"/>
    <n v="281.7"/>
    <n v="4211"/>
  </r>
  <r>
    <x v="1"/>
    <x v="7"/>
    <x v="6"/>
    <x v="129"/>
    <x v="114"/>
    <x v="114"/>
    <s v="REVENUS"/>
    <x v="6"/>
    <s v="4221.001"/>
    <s v="Intérêts compensat. / créances en faveur du fisc"/>
    <n v="0"/>
    <n v="22.86"/>
    <n v="4221"/>
  </r>
  <r>
    <x v="1"/>
    <x v="7"/>
    <x v="6"/>
    <x v="129"/>
    <x v="114"/>
    <x v="114"/>
    <s v="REVENUS"/>
    <x v="17"/>
    <s v="4011.007"/>
    <s v="Acompte sur bénéfice"/>
    <n v="0"/>
    <n v="-81043.399999999994"/>
    <n v="4011"/>
  </r>
  <r>
    <x v="1"/>
    <x v="7"/>
    <x v="6"/>
    <x v="129"/>
    <x v="114"/>
    <x v="114"/>
    <s v="REVENUS"/>
    <x v="11"/>
    <s v="4198.001"/>
    <s v="Impôt foncier"/>
    <n v="0"/>
    <n v="108011.4"/>
    <n v="4198"/>
  </r>
  <r>
    <x v="1"/>
    <x v="7"/>
    <x v="6"/>
    <x v="129"/>
    <x v="114"/>
    <x v="114"/>
    <s v="REVENUS"/>
    <x v="18"/>
    <s v="4013.002"/>
    <s v="Complément impôt complémentaire sur immeubles"/>
    <n v="0"/>
    <n v="511.5"/>
    <n v="4013"/>
  </r>
  <r>
    <x v="1"/>
    <x v="7"/>
    <x v="6"/>
    <x v="129"/>
    <x v="114"/>
    <x v="114"/>
    <s v="REVENUS"/>
    <x v="10"/>
    <s v="4041.001"/>
    <s v="Droits de mutation"/>
    <n v="0"/>
    <n v="131701.9"/>
    <n v="4041"/>
  </r>
  <r>
    <x v="1"/>
    <x v="7"/>
    <x v="6"/>
    <x v="129"/>
    <x v="114"/>
    <x v="114"/>
    <s v="REVENUS"/>
    <x v="7"/>
    <s v="4184.000"/>
    <s v="Frais de poursuite"/>
    <n v="0"/>
    <n v="319.85000000000002"/>
    <n v="4184"/>
  </r>
  <r>
    <x v="1"/>
    <x v="7"/>
    <x v="6"/>
    <x v="129"/>
    <x v="114"/>
    <x v="114"/>
    <s v="REVENUS"/>
    <x v="16"/>
    <s v="4012.002"/>
    <s v="Complément impôt capital ordinaire"/>
    <n v="0"/>
    <n v="7114.4"/>
    <n v="4012"/>
  </r>
  <r>
    <x v="1"/>
    <x v="8"/>
    <x v="8"/>
    <x v="130"/>
    <x v="115"/>
    <x v="115"/>
    <s v="CHARGES"/>
    <x v="0"/>
    <s v="3212.004"/>
    <s v="Intérêts rémun./perçu trop tôt sur acomptes C/C"/>
    <n v="1034.44"/>
    <n v="0"/>
    <n v="3212"/>
  </r>
  <r>
    <x v="1"/>
    <x v="8"/>
    <x v="8"/>
    <x v="130"/>
    <x v="115"/>
    <x v="115"/>
    <s v="CHARGES"/>
    <x v="0"/>
    <s v="3221.002"/>
    <s v="Intérêts compensatoires / créances en faveur ctb."/>
    <n v="2475.5300000000002"/>
    <n v="0"/>
    <n v="3221"/>
  </r>
  <r>
    <x v="1"/>
    <x v="8"/>
    <x v="8"/>
    <x v="130"/>
    <x v="115"/>
    <x v="115"/>
    <s v="CHARGES"/>
    <x v="1"/>
    <s v="3301.006"/>
    <s v="Abandon de solde PM"/>
    <n v="236.89"/>
    <n v="0"/>
    <n v="3301"/>
  </r>
  <r>
    <x v="1"/>
    <x v="8"/>
    <x v="8"/>
    <x v="130"/>
    <x v="115"/>
    <x v="115"/>
    <s v="CHARGES"/>
    <x v="0"/>
    <s v="3212.002"/>
    <s v="Intérêts bonifiés/trop perçu acompte C/C"/>
    <n v="18.84"/>
    <n v="0"/>
    <n v="3212"/>
  </r>
  <r>
    <x v="1"/>
    <x v="8"/>
    <x v="8"/>
    <x v="130"/>
    <x v="115"/>
    <x v="115"/>
    <s v="CHARGES"/>
    <x v="1"/>
    <s v="3301.002"/>
    <s v="Défalcation PM"/>
    <n v="14553.4"/>
    <n v="0"/>
    <n v="3301"/>
  </r>
  <r>
    <x v="1"/>
    <x v="8"/>
    <x v="8"/>
    <x v="130"/>
    <x v="115"/>
    <x v="115"/>
    <s v="REVENUS"/>
    <x v="17"/>
    <s v="4011.001"/>
    <s v="Impôt bénéfice ordinaire"/>
    <n v="0"/>
    <n v="14373677.050000001"/>
    <n v="4011"/>
  </r>
  <r>
    <x v="1"/>
    <x v="8"/>
    <x v="8"/>
    <x v="130"/>
    <x v="115"/>
    <x v="115"/>
    <s v="REVENUS"/>
    <x v="17"/>
    <s v="4011.007"/>
    <s v="Acompte sur bénéfice"/>
    <n v="0"/>
    <n v="-8725642.9000000004"/>
    <n v="4011"/>
  </r>
  <r>
    <x v="1"/>
    <x v="8"/>
    <x v="8"/>
    <x v="130"/>
    <x v="115"/>
    <x v="115"/>
    <s v="REVENUS"/>
    <x v="16"/>
    <s v="4012.001"/>
    <s v="Impôt capital ordinaire"/>
    <n v="0"/>
    <n v="136213.1"/>
    <n v="4012"/>
  </r>
  <r>
    <x v="1"/>
    <x v="8"/>
    <x v="8"/>
    <x v="130"/>
    <x v="115"/>
    <x v="115"/>
    <s v="REVENUS"/>
    <x v="16"/>
    <s v="4012.007"/>
    <s v="Acompte sur capital"/>
    <n v="0"/>
    <n v="179937.1"/>
    <n v="4012"/>
  </r>
  <r>
    <x v="1"/>
    <x v="8"/>
    <x v="8"/>
    <x v="130"/>
    <x v="115"/>
    <x v="115"/>
    <s v="REVENUS"/>
    <x v="6"/>
    <s v="4211.002"/>
    <s v="Intérêts de retard sur acomptes"/>
    <n v="0"/>
    <n v="7266.46"/>
    <n v="4211"/>
  </r>
  <r>
    <x v="1"/>
    <x v="8"/>
    <x v="8"/>
    <x v="130"/>
    <x v="115"/>
    <x v="115"/>
    <s v="REVENUS"/>
    <x v="18"/>
    <s v="4013.001"/>
    <s v="Impôt complémentaire sur immeubles"/>
    <n v="0"/>
    <n v="467086.35"/>
    <n v="4013"/>
  </r>
  <r>
    <x v="1"/>
    <x v="8"/>
    <x v="8"/>
    <x v="130"/>
    <x v="115"/>
    <x v="115"/>
    <s v="REVENUS"/>
    <x v="11"/>
    <s v="4198.001"/>
    <s v="Impôt foncier"/>
    <n v="0"/>
    <n v="1704617.6"/>
    <n v="4198"/>
  </r>
  <r>
    <x v="1"/>
    <x v="8"/>
    <x v="8"/>
    <x v="130"/>
    <x v="115"/>
    <x v="115"/>
    <s v="REVENUS"/>
    <x v="6"/>
    <s v="4211.001"/>
    <s v="Intérêts de retard sur factures"/>
    <n v="0"/>
    <n v="692.18"/>
    <n v="4211"/>
  </r>
  <r>
    <x v="1"/>
    <x v="8"/>
    <x v="8"/>
    <x v="130"/>
    <x v="115"/>
    <x v="115"/>
    <s v="REVENUS"/>
    <x v="6"/>
    <s v="4221.001"/>
    <s v="Intérêts compensat. / créances en faveur du fisc"/>
    <n v="0"/>
    <n v="3305.02"/>
    <n v="4221"/>
  </r>
  <r>
    <x v="1"/>
    <x v="8"/>
    <x v="8"/>
    <x v="130"/>
    <x v="115"/>
    <x v="115"/>
    <s v="REVENUS"/>
    <x v="17"/>
    <s v="4011.002"/>
    <s v="Complément impôt bénéfice ordinaire"/>
    <n v="0"/>
    <n v="203478.3"/>
    <n v="4011"/>
  </r>
  <r>
    <x v="1"/>
    <x v="8"/>
    <x v="8"/>
    <x v="130"/>
    <x v="115"/>
    <x v="115"/>
    <s v="REVENUS"/>
    <x v="7"/>
    <s v="4184.000"/>
    <s v="Frais de poursuite"/>
    <n v="0"/>
    <n v="530.48"/>
    <n v="4184"/>
  </r>
  <r>
    <x v="1"/>
    <x v="8"/>
    <x v="8"/>
    <x v="130"/>
    <x v="115"/>
    <x v="115"/>
    <s v="REVENUS"/>
    <x v="18"/>
    <s v="4013.002"/>
    <s v="Complément impôt complémentaire sur immeubles"/>
    <n v="0"/>
    <n v="10417"/>
    <n v="4013"/>
  </r>
  <r>
    <x v="1"/>
    <x v="8"/>
    <x v="8"/>
    <x v="130"/>
    <x v="115"/>
    <x v="115"/>
    <s v="REVENUS"/>
    <x v="10"/>
    <s v="4041.001"/>
    <s v="Droits de mutation"/>
    <n v="0"/>
    <n v="395619.45"/>
    <n v="4041"/>
  </r>
  <r>
    <x v="1"/>
    <x v="8"/>
    <x v="8"/>
    <x v="130"/>
    <x v="115"/>
    <x v="115"/>
    <s v="REVENUS"/>
    <x v="18"/>
    <s v="4013.003"/>
    <s v="Remboursement impôt complémentaire sur immeubles"/>
    <n v="0"/>
    <n v="-1083.25"/>
    <n v="4013"/>
  </r>
  <r>
    <x v="1"/>
    <x v="8"/>
    <x v="8"/>
    <x v="130"/>
    <x v="115"/>
    <x v="115"/>
    <s v="REVENUS"/>
    <x v="8"/>
    <s v="4091.001"/>
    <s v="Impôt récupéré après défalcations"/>
    <n v="0"/>
    <n v="834.77"/>
    <n v="4091"/>
  </r>
  <r>
    <x v="1"/>
    <x v="8"/>
    <x v="8"/>
    <x v="130"/>
    <x v="115"/>
    <x v="115"/>
    <s v="REVENUS"/>
    <x v="9"/>
    <s v="4031.001"/>
    <s v="Impôt sur les gains immobiliers"/>
    <n v="0"/>
    <n v="93149"/>
    <n v="4031"/>
  </r>
  <r>
    <x v="1"/>
    <x v="8"/>
    <x v="8"/>
    <x v="130"/>
    <x v="115"/>
    <x v="115"/>
    <s v="REVENUS"/>
    <x v="8"/>
    <s v="4091.003"/>
    <s v="Impôt récupéré concordat"/>
    <n v="0"/>
    <n v="93.47"/>
    <n v="4091"/>
  </r>
  <r>
    <x v="1"/>
    <x v="8"/>
    <x v="8"/>
    <x v="130"/>
    <x v="115"/>
    <x v="115"/>
    <s v="REVENUS"/>
    <x v="6"/>
    <s v="4221.002"/>
    <s v="Intérêts compensat. sur impôts distincts"/>
    <n v="0"/>
    <n v="7.06"/>
    <n v="4221"/>
  </r>
  <r>
    <x v="1"/>
    <x v="7"/>
    <x v="6"/>
    <x v="131"/>
    <x v="116"/>
    <x v="116"/>
    <s v="CHARGES"/>
    <x v="0"/>
    <s v="3212.004"/>
    <s v="Intérêts rémun./perçu trop tôt sur acomptes C/C"/>
    <n v="2332.02"/>
    <n v="0"/>
    <n v="3212"/>
  </r>
  <r>
    <x v="1"/>
    <x v="7"/>
    <x v="6"/>
    <x v="131"/>
    <x v="116"/>
    <x v="116"/>
    <s v="CHARGES"/>
    <x v="0"/>
    <s v="3221.002"/>
    <s v="Intérêts compensatoires / créances en faveur ctb."/>
    <n v="3203.04"/>
    <n v="0"/>
    <n v="3221"/>
  </r>
  <r>
    <x v="1"/>
    <x v="7"/>
    <x v="6"/>
    <x v="131"/>
    <x v="116"/>
    <x v="116"/>
    <s v="CHARGES"/>
    <x v="1"/>
    <s v="3301.006"/>
    <s v="Abandon de solde PM"/>
    <n v="539.52"/>
    <n v="0"/>
    <n v="3301"/>
  </r>
  <r>
    <x v="1"/>
    <x v="7"/>
    <x v="6"/>
    <x v="131"/>
    <x v="116"/>
    <x v="116"/>
    <s v="CHARGES"/>
    <x v="0"/>
    <s v="3212.002"/>
    <s v="Intérêts bonifiés/trop perçu acompte C/C"/>
    <n v="683.58"/>
    <n v="0"/>
    <n v="3212"/>
  </r>
  <r>
    <x v="1"/>
    <x v="7"/>
    <x v="6"/>
    <x v="131"/>
    <x v="116"/>
    <x v="116"/>
    <s v="CHARGES"/>
    <x v="1"/>
    <s v="3301.002"/>
    <s v="Défalcation PM"/>
    <n v="8852.2800000000007"/>
    <n v="0"/>
    <n v="3301"/>
  </r>
  <r>
    <x v="1"/>
    <x v="7"/>
    <x v="6"/>
    <x v="131"/>
    <x v="116"/>
    <x v="116"/>
    <s v="REVENUS"/>
    <x v="17"/>
    <s v="4011.001"/>
    <s v="Impôt bénéfice ordinaire"/>
    <n v="0"/>
    <n v="6104186.7000000002"/>
    <n v="4011"/>
  </r>
  <r>
    <x v="1"/>
    <x v="7"/>
    <x v="6"/>
    <x v="131"/>
    <x v="116"/>
    <x v="116"/>
    <s v="REVENUS"/>
    <x v="17"/>
    <s v="4011.007"/>
    <s v="Acompte sur bénéfice"/>
    <n v="0"/>
    <n v="-3852190.05"/>
    <n v="4011"/>
  </r>
  <r>
    <x v="1"/>
    <x v="7"/>
    <x v="6"/>
    <x v="131"/>
    <x v="116"/>
    <x v="116"/>
    <s v="REVENUS"/>
    <x v="6"/>
    <s v="4211.001"/>
    <s v="Intérêts de retard sur factures"/>
    <n v="0"/>
    <n v="2806.82"/>
    <n v="4211"/>
  </r>
  <r>
    <x v="1"/>
    <x v="7"/>
    <x v="6"/>
    <x v="131"/>
    <x v="116"/>
    <x v="116"/>
    <s v="REVENUS"/>
    <x v="6"/>
    <s v="4211.002"/>
    <s v="Intérêts de retard sur acomptes"/>
    <n v="0"/>
    <n v="3637.81"/>
    <n v="4211"/>
  </r>
  <r>
    <x v="1"/>
    <x v="7"/>
    <x v="6"/>
    <x v="131"/>
    <x v="116"/>
    <x v="116"/>
    <s v="REVENUS"/>
    <x v="16"/>
    <s v="4012.001"/>
    <s v="Impôt capital ordinaire"/>
    <n v="0"/>
    <n v="510970.6"/>
    <n v="4012"/>
  </r>
  <r>
    <x v="1"/>
    <x v="7"/>
    <x v="6"/>
    <x v="131"/>
    <x v="116"/>
    <x v="116"/>
    <s v="REVENUS"/>
    <x v="16"/>
    <s v="4012.002"/>
    <s v="Complément impôt capital ordinaire"/>
    <n v="0"/>
    <n v="146649.15"/>
    <n v="4012"/>
  </r>
  <r>
    <x v="1"/>
    <x v="7"/>
    <x v="6"/>
    <x v="131"/>
    <x v="116"/>
    <x v="116"/>
    <s v="REVENUS"/>
    <x v="16"/>
    <s v="4012.007"/>
    <s v="Acompte sur capital"/>
    <n v="0"/>
    <n v="3398063.85"/>
    <n v="4012"/>
  </r>
  <r>
    <x v="1"/>
    <x v="7"/>
    <x v="6"/>
    <x v="131"/>
    <x v="116"/>
    <x v="116"/>
    <s v="REVENUS"/>
    <x v="18"/>
    <s v="4013.001"/>
    <s v="Impôt complémentaire sur immeubles"/>
    <n v="0"/>
    <n v="511218.15"/>
    <n v="4013"/>
  </r>
  <r>
    <x v="1"/>
    <x v="7"/>
    <x v="6"/>
    <x v="131"/>
    <x v="116"/>
    <x v="116"/>
    <s v="REVENUS"/>
    <x v="7"/>
    <s v="4184.000"/>
    <s v="Frais de poursuite"/>
    <n v="0"/>
    <n v="1920.33"/>
    <n v="4184"/>
  </r>
  <r>
    <x v="1"/>
    <x v="7"/>
    <x v="6"/>
    <x v="131"/>
    <x v="116"/>
    <x v="116"/>
    <s v="REVENUS"/>
    <x v="6"/>
    <s v="4221.001"/>
    <s v="Intérêts compensat. / créances en faveur du fisc"/>
    <n v="0"/>
    <n v="-290.94"/>
    <n v="4221"/>
  </r>
  <r>
    <x v="1"/>
    <x v="7"/>
    <x v="6"/>
    <x v="131"/>
    <x v="116"/>
    <x v="116"/>
    <s v="REVENUS"/>
    <x v="17"/>
    <s v="4011.002"/>
    <s v="Complément impôt bénéfice ordinaire"/>
    <n v="0"/>
    <n v="1366680.15"/>
    <n v="4011"/>
  </r>
  <r>
    <x v="1"/>
    <x v="7"/>
    <x v="6"/>
    <x v="131"/>
    <x v="116"/>
    <x v="116"/>
    <s v="REVENUS"/>
    <x v="18"/>
    <s v="4013.003"/>
    <s v="Remboursement impôt complémentaire sur immeubles"/>
    <n v="0"/>
    <n v="-149950.15"/>
    <n v="4013"/>
  </r>
  <r>
    <x v="1"/>
    <x v="7"/>
    <x v="6"/>
    <x v="131"/>
    <x v="116"/>
    <x v="116"/>
    <s v="REVENUS"/>
    <x v="10"/>
    <s v="4041.001"/>
    <s v="Droits de mutation"/>
    <n v="0"/>
    <n v="1376444.4"/>
    <n v="4041"/>
  </r>
  <r>
    <x v="1"/>
    <x v="7"/>
    <x v="6"/>
    <x v="131"/>
    <x v="116"/>
    <x v="116"/>
    <s v="REVENUS"/>
    <x v="18"/>
    <s v="4013.002"/>
    <s v="Complément impôt complémentaire sur immeubles"/>
    <n v="0"/>
    <n v="11407.2"/>
    <n v="4013"/>
  </r>
  <r>
    <x v="1"/>
    <x v="7"/>
    <x v="6"/>
    <x v="131"/>
    <x v="116"/>
    <x v="116"/>
    <s v="REVENUS"/>
    <x v="6"/>
    <s v="4221.003"/>
    <s v="Intérêts compensat. / acomptes en faveur du fisc"/>
    <n v="0"/>
    <n v="-461.94"/>
    <n v="4221"/>
  </r>
  <r>
    <x v="1"/>
    <x v="7"/>
    <x v="6"/>
    <x v="131"/>
    <x v="116"/>
    <x v="116"/>
    <s v="REVENUS"/>
    <x v="8"/>
    <s v="4091.001"/>
    <s v="Impôt récupéré après défalcations"/>
    <n v="0"/>
    <n v="0.2"/>
    <n v="4091"/>
  </r>
  <r>
    <x v="1"/>
    <x v="7"/>
    <x v="6"/>
    <x v="131"/>
    <x v="116"/>
    <x v="116"/>
    <s v="REVENUS"/>
    <x v="10"/>
    <s v="4041.002"/>
    <s v="Complément droit de mutation"/>
    <n v="0"/>
    <n v="7091.45"/>
    <n v="4041"/>
  </r>
  <r>
    <x v="1"/>
    <x v="7"/>
    <x v="6"/>
    <x v="131"/>
    <x v="116"/>
    <x v="116"/>
    <s v="REVENUS"/>
    <x v="8"/>
    <s v="4091.003"/>
    <s v="Impôt récupéré concordat"/>
    <n v="0"/>
    <n v="150.32"/>
    <n v="4091"/>
  </r>
  <r>
    <x v="1"/>
    <x v="8"/>
    <x v="8"/>
    <x v="132"/>
    <x v="117"/>
    <x v="117"/>
    <s v="CHARGES"/>
    <x v="0"/>
    <s v="3212.004"/>
    <s v="Intérêts rémun./perçu trop tôt sur acomptes C/C"/>
    <n v="3989.48"/>
    <n v="0"/>
    <n v="3212"/>
  </r>
  <r>
    <x v="1"/>
    <x v="8"/>
    <x v="8"/>
    <x v="132"/>
    <x v="117"/>
    <x v="117"/>
    <s v="CHARGES"/>
    <x v="0"/>
    <s v="3221.002"/>
    <s v="Intérêts compensatoires / créances en faveur ctb."/>
    <n v="5165.63"/>
    <n v="0"/>
    <n v="3221"/>
  </r>
  <r>
    <x v="1"/>
    <x v="8"/>
    <x v="8"/>
    <x v="132"/>
    <x v="117"/>
    <x v="117"/>
    <s v="CHARGES"/>
    <x v="1"/>
    <s v="3301.006"/>
    <s v="Abandon de solde PM"/>
    <n v="527.54"/>
    <n v="0"/>
    <n v="3301"/>
  </r>
  <r>
    <x v="1"/>
    <x v="8"/>
    <x v="8"/>
    <x v="132"/>
    <x v="117"/>
    <x v="117"/>
    <s v="CHARGES"/>
    <x v="0"/>
    <s v="3212.002"/>
    <s v="Intérêts bonifiés/trop perçu acompte C/C"/>
    <n v="37.97"/>
    <n v="0"/>
    <n v="3212"/>
  </r>
  <r>
    <x v="1"/>
    <x v="8"/>
    <x v="8"/>
    <x v="132"/>
    <x v="117"/>
    <x v="117"/>
    <s v="CHARGES"/>
    <x v="1"/>
    <s v="3301.002"/>
    <s v="Défalcation PM"/>
    <n v="58881.96"/>
    <n v="0"/>
    <n v="3301"/>
  </r>
  <r>
    <x v="1"/>
    <x v="8"/>
    <x v="8"/>
    <x v="132"/>
    <x v="117"/>
    <x v="117"/>
    <s v="REVENUS"/>
    <x v="17"/>
    <s v="4011.007"/>
    <s v="Acompte sur bénéfice"/>
    <n v="0"/>
    <n v="-354432.7"/>
    <n v="4011"/>
  </r>
  <r>
    <x v="1"/>
    <x v="8"/>
    <x v="8"/>
    <x v="132"/>
    <x v="117"/>
    <x v="117"/>
    <s v="REVENUS"/>
    <x v="16"/>
    <s v="4012.001"/>
    <s v="Impôt capital ordinaire"/>
    <n v="0"/>
    <n v="414472.1"/>
    <n v="4012"/>
  </r>
  <r>
    <x v="1"/>
    <x v="8"/>
    <x v="8"/>
    <x v="132"/>
    <x v="117"/>
    <x v="117"/>
    <s v="REVENUS"/>
    <x v="16"/>
    <s v="4012.007"/>
    <s v="Acompte sur capital"/>
    <n v="0"/>
    <n v="-41077.85"/>
    <n v="4012"/>
  </r>
  <r>
    <x v="1"/>
    <x v="8"/>
    <x v="8"/>
    <x v="132"/>
    <x v="117"/>
    <x v="117"/>
    <s v="REVENUS"/>
    <x v="6"/>
    <s v="4211.002"/>
    <s v="Intérêts de retard sur acomptes"/>
    <n v="0"/>
    <n v="14079.33"/>
    <n v="4211"/>
  </r>
  <r>
    <x v="1"/>
    <x v="8"/>
    <x v="8"/>
    <x v="132"/>
    <x v="117"/>
    <x v="117"/>
    <s v="REVENUS"/>
    <x v="17"/>
    <s v="4011.001"/>
    <s v="Impôt bénéfice ordinaire"/>
    <n v="0"/>
    <n v="6216153.1500000004"/>
    <n v="4011"/>
  </r>
  <r>
    <x v="1"/>
    <x v="8"/>
    <x v="8"/>
    <x v="132"/>
    <x v="117"/>
    <x v="117"/>
    <s v="REVENUS"/>
    <x v="17"/>
    <s v="4011.002"/>
    <s v="Complément impôt bénéfice ordinaire"/>
    <n v="0"/>
    <n v="348625.95"/>
    <n v="4011"/>
  </r>
  <r>
    <x v="1"/>
    <x v="8"/>
    <x v="8"/>
    <x v="132"/>
    <x v="117"/>
    <x v="117"/>
    <s v="REVENUS"/>
    <x v="6"/>
    <s v="4211.001"/>
    <s v="Intérêts de retard sur factures"/>
    <n v="0"/>
    <n v="23588.99"/>
    <n v="4211"/>
  </r>
  <r>
    <x v="1"/>
    <x v="8"/>
    <x v="8"/>
    <x v="132"/>
    <x v="117"/>
    <x v="117"/>
    <s v="REVENUS"/>
    <x v="6"/>
    <s v="4221.001"/>
    <s v="Intérêts compensat. / créances en faveur du fisc"/>
    <n v="0"/>
    <n v="714.97"/>
    <n v="4221"/>
  </r>
  <r>
    <x v="1"/>
    <x v="8"/>
    <x v="8"/>
    <x v="132"/>
    <x v="117"/>
    <x v="117"/>
    <s v="REVENUS"/>
    <x v="18"/>
    <s v="4013.001"/>
    <s v="Impôt complémentaire sur immeubles"/>
    <n v="0"/>
    <n v="823053.05"/>
    <n v="4013"/>
  </r>
  <r>
    <x v="1"/>
    <x v="8"/>
    <x v="8"/>
    <x v="132"/>
    <x v="117"/>
    <x v="117"/>
    <s v="REVENUS"/>
    <x v="7"/>
    <s v="4184.000"/>
    <s v="Frais de poursuite"/>
    <n v="0"/>
    <n v="1454.14"/>
    <n v="4184"/>
  </r>
  <r>
    <x v="1"/>
    <x v="8"/>
    <x v="8"/>
    <x v="132"/>
    <x v="117"/>
    <x v="117"/>
    <s v="REVENUS"/>
    <x v="16"/>
    <s v="4012.002"/>
    <s v="Complément impôt capital ordinaire"/>
    <n v="0"/>
    <n v="11579.45"/>
    <n v="4012"/>
  </r>
  <r>
    <x v="1"/>
    <x v="8"/>
    <x v="8"/>
    <x v="132"/>
    <x v="117"/>
    <x v="117"/>
    <s v="REVENUS"/>
    <x v="18"/>
    <s v="4013.003"/>
    <s v="Remboursement impôt complémentaire sur immeubles"/>
    <n v="0"/>
    <n v="-131748.15"/>
    <n v="4013"/>
  </r>
  <r>
    <x v="1"/>
    <x v="8"/>
    <x v="8"/>
    <x v="132"/>
    <x v="117"/>
    <x v="117"/>
    <s v="REVENUS"/>
    <x v="10"/>
    <s v="4041.001"/>
    <s v="Droits de mutation"/>
    <n v="0"/>
    <n v="1732098.5"/>
    <n v="4041"/>
  </r>
  <r>
    <x v="1"/>
    <x v="8"/>
    <x v="8"/>
    <x v="132"/>
    <x v="117"/>
    <x v="117"/>
    <s v="REVENUS"/>
    <x v="18"/>
    <s v="4013.002"/>
    <s v="Complément impôt complémentaire sur immeubles"/>
    <n v="0"/>
    <n v="37600.5"/>
    <n v="4013"/>
  </r>
  <r>
    <x v="1"/>
    <x v="8"/>
    <x v="8"/>
    <x v="132"/>
    <x v="117"/>
    <x v="117"/>
    <s v="REVENUS"/>
    <x v="8"/>
    <s v="4091.001"/>
    <s v="Impôt récupéré après défalcations"/>
    <n v="0"/>
    <n v="7758.34"/>
    <n v="4091"/>
  </r>
  <r>
    <x v="1"/>
    <x v="8"/>
    <x v="7"/>
    <x v="133"/>
    <x v="118"/>
    <x v="118"/>
    <s v="CHARGES"/>
    <x v="0"/>
    <s v="3212.004"/>
    <s v="Intérêts rémun./perçu trop tôt sur acomptes C/C"/>
    <n v="87.01"/>
    <n v="0"/>
    <n v="3212"/>
  </r>
  <r>
    <x v="1"/>
    <x v="8"/>
    <x v="7"/>
    <x v="133"/>
    <x v="118"/>
    <x v="118"/>
    <s v="CHARGES"/>
    <x v="0"/>
    <s v="3221.002"/>
    <s v="Intérêts compensatoires / créances en faveur ctb."/>
    <n v="88.44"/>
    <n v="0"/>
    <n v="3221"/>
  </r>
  <r>
    <x v="1"/>
    <x v="8"/>
    <x v="7"/>
    <x v="133"/>
    <x v="118"/>
    <x v="118"/>
    <s v="CHARGES"/>
    <x v="1"/>
    <s v="3301.006"/>
    <s v="Abandon de solde PM"/>
    <n v="59.52"/>
    <n v="0"/>
    <n v="3301"/>
  </r>
  <r>
    <x v="1"/>
    <x v="8"/>
    <x v="7"/>
    <x v="133"/>
    <x v="118"/>
    <x v="118"/>
    <s v="CHARGES"/>
    <x v="0"/>
    <s v="3212.002"/>
    <s v="Intérêts bonifiés/trop perçu acompte C/C"/>
    <n v="1.32"/>
    <n v="0"/>
    <n v="3212"/>
  </r>
  <r>
    <x v="1"/>
    <x v="8"/>
    <x v="7"/>
    <x v="133"/>
    <x v="118"/>
    <x v="118"/>
    <s v="CHARGES"/>
    <x v="1"/>
    <s v="3301.002"/>
    <s v="Défalcation PM"/>
    <n v="142.07"/>
    <n v="0"/>
    <n v="3301"/>
  </r>
  <r>
    <x v="1"/>
    <x v="8"/>
    <x v="7"/>
    <x v="133"/>
    <x v="118"/>
    <x v="118"/>
    <s v="REVENUS"/>
    <x v="17"/>
    <s v="4011.002"/>
    <s v="Complément impôt bénéfice ordinaire"/>
    <n v="0"/>
    <n v="48547.4"/>
    <n v="4011"/>
  </r>
  <r>
    <x v="1"/>
    <x v="8"/>
    <x v="7"/>
    <x v="133"/>
    <x v="118"/>
    <x v="118"/>
    <s v="REVENUS"/>
    <x v="17"/>
    <s v="4011.007"/>
    <s v="Acompte sur bénéfice"/>
    <n v="0"/>
    <n v="92745.5"/>
    <n v="4011"/>
  </r>
  <r>
    <x v="1"/>
    <x v="8"/>
    <x v="7"/>
    <x v="133"/>
    <x v="118"/>
    <x v="118"/>
    <s v="REVENUS"/>
    <x v="16"/>
    <s v="4012.001"/>
    <s v="Impôt capital ordinaire"/>
    <n v="0"/>
    <n v="12407.65"/>
    <n v="4012"/>
  </r>
  <r>
    <x v="1"/>
    <x v="8"/>
    <x v="7"/>
    <x v="133"/>
    <x v="118"/>
    <x v="118"/>
    <s v="REVENUS"/>
    <x v="6"/>
    <s v="4221.001"/>
    <s v="Intérêts compensat. / créances en faveur du fisc"/>
    <n v="0"/>
    <n v="432.1"/>
    <n v="4221"/>
  </r>
  <r>
    <x v="1"/>
    <x v="8"/>
    <x v="7"/>
    <x v="133"/>
    <x v="118"/>
    <x v="118"/>
    <s v="REVENUS"/>
    <x v="17"/>
    <s v="4011.001"/>
    <s v="Impôt bénéfice ordinaire"/>
    <n v="0"/>
    <n v="404219.05"/>
    <n v="4011"/>
  </r>
  <r>
    <x v="1"/>
    <x v="8"/>
    <x v="7"/>
    <x v="133"/>
    <x v="118"/>
    <x v="118"/>
    <s v="REVENUS"/>
    <x v="6"/>
    <s v="4211.001"/>
    <s v="Intérêts de retard sur factures"/>
    <n v="0"/>
    <n v="4490.51"/>
    <n v="4211"/>
  </r>
  <r>
    <x v="1"/>
    <x v="8"/>
    <x v="7"/>
    <x v="133"/>
    <x v="118"/>
    <x v="118"/>
    <s v="REVENUS"/>
    <x v="16"/>
    <s v="4012.007"/>
    <s v="Acompte sur capital"/>
    <n v="0"/>
    <n v="38129.25"/>
    <n v="4012"/>
  </r>
  <r>
    <x v="1"/>
    <x v="8"/>
    <x v="7"/>
    <x v="133"/>
    <x v="118"/>
    <x v="118"/>
    <s v="REVENUS"/>
    <x v="6"/>
    <s v="4211.002"/>
    <s v="Intérêts de retard sur acomptes"/>
    <n v="0"/>
    <n v="559.34"/>
    <n v="4211"/>
  </r>
  <r>
    <x v="1"/>
    <x v="8"/>
    <x v="7"/>
    <x v="133"/>
    <x v="118"/>
    <x v="118"/>
    <s v="REVENUS"/>
    <x v="11"/>
    <s v="4198.001"/>
    <s v="Impôt foncier"/>
    <n v="0"/>
    <n v="459403"/>
    <n v="4198"/>
  </r>
  <r>
    <x v="1"/>
    <x v="8"/>
    <x v="7"/>
    <x v="133"/>
    <x v="118"/>
    <x v="118"/>
    <s v="REVENUS"/>
    <x v="10"/>
    <s v="4041.001"/>
    <s v="Droits de mutation"/>
    <n v="0"/>
    <n v="129357.1"/>
    <n v="4041"/>
  </r>
  <r>
    <x v="1"/>
    <x v="8"/>
    <x v="7"/>
    <x v="133"/>
    <x v="118"/>
    <x v="118"/>
    <s v="REVENUS"/>
    <x v="7"/>
    <s v="4184.000"/>
    <s v="Frais de poursuite"/>
    <n v="0"/>
    <n v="98.31"/>
    <n v="4184"/>
  </r>
  <r>
    <x v="1"/>
    <x v="8"/>
    <x v="7"/>
    <x v="133"/>
    <x v="118"/>
    <x v="118"/>
    <s v="REVENUS"/>
    <x v="18"/>
    <s v="4013.003"/>
    <s v="Remboursement impôt complémentaire sur immeubles"/>
    <n v="0"/>
    <n v="-389.5"/>
    <n v="4013"/>
  </r>
  <r>
    <x v="1"/>
    <x v="8"/>
    <x v="7"/>
    <x v="133"/>
    <x v="118"/>
    <x v="118"/>
    <s v="REVENUS"/>
    <x v="18"/>
    <s v="4013.001"/>
    <s v="Impôt complémentaire sur immeubles"/>
    <n v="0"/>
    <n v="141957.25"/>
    <n v="4013"/>
  </r>
  <r>
    <x v="1"/>
    <x v="8"/>
    <x v="7"/>
    <x v="133"/>
    <x v="118"/>
    <x v="118"/>
    <s v="REVENUS"/>
    <x v="8"/>
    <s v="4091.003"/>
    <s v="Impôt récupéré concordat"/>
    <n v="0"/>
    <n v="89.02"/>
    <n v="4091"/>
  </r>
  <r>
    <x v="1"/>
    <x v="7"/>
    <x v="6"/>
    <x v="134"/>
    <x v="119"/>
    <x v="119"/>
    <s v="CHARGES"/>
    <x v="0"/>
    <s v="3212.004"/>
    <s v="Intérêts rémun./perçu trop tôt sur acomptes C/C"/>
    <n v="18.12"/>
    <n v="0"/>
    <n v="3212"/>
  </r>
  <r>
    <x v="1"/>
    <x v="7"/>
    <x v="6"/>
    <x v="134"/>
    <x v="119"/>
    <x v="119"/>
    <s v="CHARGES"/>
    <x v="0"/>
    <s v="3221.002"/>
    <s v="Intérêts compensatoires / créances en faveur ctb."/>
    <n v="33.25"/>
    <n v="0"/>
    <n v="3221"/>
  </r>
  <r>
    <x v="1"/>
    <x v="7"/>
    <x v="6"/>
    <x v="134"/>
    <x v="119"/>
    <x v="119"/>
    <s v="CHARGES"/>
    <x v="1"/>
    <s v="3301.006"/>
    <s v="Abandon de solde PM"/>
    <n v="45.55"/>
    <n v="0"/>
    <n v="3301"/>
  </r>
  <r>
    <x v="1"/>
    <x v="7"/>
    <x v="6"/>
    <x v="134"/>
    <x v="119"/>
    <x v="119"/>
    <s v="CHARGES"/>
    <x v="0"/>
    <s v="3212.002"/>
    <s v="Intérêts bonifiés/trop perçu acompte C/C"/>
    <n v="0.99"/>
    <n v="0"/>
    <n v="3212"/>
  </r>
  <r>
    <x v="1"/>
    <x v="7"/>
    <x v="6"/>
    <x v="134"/>
    <x v="119"/>
    <x v="119"/>
    <s v="REVENUS"/>
    <x v="17"/>
    <s v="4011.001"/>
    <s v="Impôt bénéfice ordinaire"/>
    <n v="0"/>
    <n v="110133.65"/>
    <n v="4011"/>
  </r>
  <r>
    <x v="1"/>
    <x v="7"/>
    <x v="6"/>
    <x v="134"/>
    <x v="119"/>
    <x v="119"/>
    <s v="REVENUS"/>
    <x v="17"/>
    <s v="4011.007"/>
    <s v="Acompte sur bénéfice"/>
    <n v="0"/>
    <n v="-72991.5"/>
    <n v="4011"/>
  </r>
  <r>
    <x v="1"/>
    <x v="7"/>
    <x v="6"/>
    <x v="134"/>
    <x v="119"/>
    <x v="119"/>
    <s v="REVENUS"/>
    <x v="18"/>
    <s v="4013.001"/>
    <s v="Impôt complémentaire sur immeubles"/>
    <n v="0"/>
    <n v="21095.7"/>
    <n v="4013"/>
  </r>
  <r>
    <x v="1"/>
    <x v="7"/>
    <x v="6"/>
    <x v="134"/>
    <x v="119"/>
    <x v="119"/>
    <s v="REVENUS"/>
    <x v="11"/>
    <s v="4198.001"/>
    <s v="Impôt foncier"/>
    <n v="0"/>
    <n v="76755"/>
    <n v="4198"/>
  </r>
  <r>
    <x v="1"/>
    <x v="7"/>
    <x v="6"/>
    <x v="134"/>
    <x v="119"/>
    <x v="119"/>
    <s v="REVENUS"/>
    <x v="17"/>
    <s v="4011.002"/>
    <s v="Complément impôt bénéfice ordinaire"/>
    <n v="0"/>
    <n v="10073.950000000001"/>
    <n v="4011"/>
  </r>
  <r>
    <x v="1"/>
    <x v="7"/>
    <x v="6"/>
    <x v="134"/>
    <x v="119"/>
    <x v="119"/>
    <s v="REVENUS"/>
    <x v="16"/>
    <s v="4012.001"/>
    <s v="Impôt capital ordinaire"/>
    <n v="0"/>
    <n v="11173.85"/>
    <n v="4012"/>
  </r>
  <r>
    <x v="1"/>
    <x v="7"/>
    <x v="6"/>
    <x v="134"/>
    <x v="119"/>
    <x v="119"/>
    <s v="REVENUS"/>
    <x v="16"/>
    <s v="4012.007"/>
    <s v="Acompte sur capital"/>
    <n v="0"/>
    <n v="1543.4"/>
    <n v="4012"/>
  </r>
  <r>
    <x v="1"/>
    <x v="7"/>
    <x v="6"/>
    <x v="134"/>
    <x v="119"/>
    <x v="119"/>
    <s v="REVENUS"/>
    <x v="6"/>
    <s v="4211.001"/>
    <s v="Intérêts de retard sur factures"/>
    <n v="0"/>
    <n v="151.99"/>
    <n v="4211"/>
  </r>
  <r>
    <x v="1"/>
    <x v="7"/>
    <x v="6"/>
    <x v="134"/>
    <x v="119"/>
    <x v="119"/>
    <s v="REVENUS"/>
    <x v="6"/>
    <s v="4221.001"/>
    <s v="Intérêts compensat. / créances en faveur du fisc"/>
    <n v="0"/>
    <n v="24.99"/>
    <n v="4221"/>
  </r>
  <r>
    <x v="1"/>
    <x v="7"/>
    <x v="6"/>
    <x v="134"/>
    <x v="119"/>
    <x v="119"/>
    <s v="REVENUS"/>
    <x v="6"/>
    <s v="4211.002"/>
    <s v="Intérêts de retard sur acomptes"/>
    <n v="0"/>
    <n v="1277.8499999999999"/>
    <n v="4211"/>
  </r>
  <r>
    <x v="1"/>
    <x v="7"/>
    <x v="6"/>
    <x v="134"/>
    <x v="119"/>
    <x v="119"/>
    <s v="REVENUS"/>
    <x v="18"/>
    <s v="4013.002"/>
    <s v="Complément impôt complémentaire sur immeubles"/>
    <n v="0"/>
    <n v="6"/>
    <n v="4013"/>
  </r>
  <r>
    <x v="1"/>
    <x v="7"/>
    <x v="6"/>
    <x v="134"/>
    <x v="119"/>
    <x v="119"/>
    <s v="REVENUS"/>
    <x v="7"/>
    <s v="4184.000"/>
    <s v="Frais de poursuite"/>
    <n v="0"/>
    <n v="11.22"/>
    <n v="4184"/>
  </r>
  <r>
    <x v="1"/>
    <x v="7"/>
    <x v="6"/>
    <x v="134"/>
    <x v="119"/>
    <x v="119"/>
    <s v="REVENUS"/>
    <x v="9"/>
    <s v="4031.001"/>
    <s v="Impôt sur les gains immobiliers"/>
    <n v="0"/>
    <n v="509410.8"/>
    <n v="4031"/>
  </r>
  <r>
    <x v="1"/>
    <x v="7"/>
    <x v="6"/>
    <x v="134"/>
    <x v="119"/>
    <x v="119"/>
    <s v="REVENUS"/>
    <x v="6"/>
    <s v="4221.002"/>
    <s v="Intérêts compensat. sur impôts distincts"/>
    <n v="0"/>
    <n v="15.08"/>
    <n v="4221"/>
  </r>
  <r>
    <x v="1"/>
    <x v="7"/>
    <x v="6"/>
    <x v="134"/>
    <x v="119"/>
    <x v="119"/>
    <s v="REVENUS"/>
    <x v="10"/>
    <s v="4041.001"/>
    <s v="Droits de mutation"/>
    <n v="0"/>
    <n v="379500"/>
    <n v="4041"/>
  </r>
  <r>
    <x v="1"/>
    <x v="7"/>
    <x v="6"/>
    <x v="134"/>
    <x v="119"/>
    <x v="119"/>
    <s v="REVENUS"/>
    <x v="18"/>
    <s v="4013.003"/>
    <s v="Remboursement impôt complémentaire sur immeubles"/>
    <n v="0"/>
    <n v="-13545"/>
    <n v="4013"/>
  </r>
  <r>
    <x v="1"/>
    <x v="7"/>
    <x v="6"/>
    <x v="135"/>
    <x v="120"/>
    <x v="120"/>
    <s v="CHARGES"/>
    <x v="0"/>
    <s v="3212.002"/>
    <s v="Intérêts bonifiés/trop perçu acompte C/C"/>
    <n v="0.38"/>
    <n v="0"/>
    <n v="3212"/>
  </r>
  <r>
    <x v="1"/>
    <x v="7"/>
    <x v="6"/>
    <x v="135"/>
    <x v="120"/>
    <x v="120"/>
    <s v="REVENUS"/>
    <x v="17"/>
    <s v="4011.002"/>
    <s v="Complément impôt bénéfice ordinaire"/>
    <n v="0"/>
    <n v="9131.15"/>
    <n v="4011"/>
  </r>
  <r>
    <x v="1"/>
    <x v="7"/>
    <x v="6"/>
    <x v="135"/>
    <x v="120"/>
    <x v="120"/>
    <s v="REVENUS"/>
    <x v="17"/>
    <s v="4011.001"/>
    <s v="Impôt bénéfice ordinaire"/>
    <n v="0"/>
    <n v="-9131.15"/>
    <n v="4011"/>
  </r>
  <r>
    <x v="1"/>
    <x v="7"/>
    <x v="6"/>
    <x v="136"/>
    <x v="120"/>
    <x v="120"/>
    <s v="CHARGES"/>
    <x v="0"/>
    <s v="3212.002"/>
    <s v="Intérêts bonifiés/trop perçu acompte C/C"/>
    <n v="0.01"/>
    <n v="0"/>
    <n v="3212"/>
  </r>
  <r>
    <x v="1"/>
    <x v="7"/>
    <x v="6"/>
    <x v="136"/>
    <x v="120"/>
    <x v="120"/>
    <s v="REVENUS"/>
    <x v="17"/>
    <s v="4011.002"/>
    <s v="Complément impôt bénéfice ordinaire"/>
    <n v="0"/>
    <n v="264.35000000000002"/>
    <n v="4011"/>
  </r>
  <r>
    <x v="1"/>
    <x v="7"/>
    <x v="6"/>
    <x v="136"/>
    <x v="120"/>
    <x v="120"/>
    <s v="REVENUS"/>
    <x v="17"/>
    <s v="4011.001"/>
    <s v="Impôt bénéfice ordinaire"/>
    <n v="0"/>
    <n v="-264.35000000000002"/>
    <n v="4011"/>
  </r>
  <r>
    <x v="1"/>
    <x v="7"/>
    <x v="6"/>
    <x v="137"/>
    <x v="121"/>
    <x v="121"/>
    <s v="CHARGES"/>
    <x v="0"/>
    <s v="3212.004"/>
    <s v="Intérêts rémun./perçu trop tôt sur acomptes C/C"/>
    <n v="143.44999999999999"/>
    <n v="0"/>
    <n v="3212"/>
  </r>
  <r>
    <x v="1"/>
    <x v="7"/>
    <x v="6"/>
    <x v="137"/>
    <x v="121"/>
    <x v="121"/>
    <s v="CHARGES"/>
    <x v="0"/>
    <s v="3221.002"/>
    <s v="Intérêts compensatoires / créances en faveur ctb."/>
    <n v="86.66"/>
    <n v="0"/>
    <n v="3221"/>
  </r>
  <r>
    <x v="1"/>
    <x v="7"/>
    <x v="6"/>
    <x v="137"/>
    <x v="121"/>
    <x v="121"/>
    <s v="CHARGES"/>
    <x v="1"/>
    <s v="3301.006"/>
    <s v="Abandon de solde PM"/>
    <n v="82.54"/>
    <n v="0"/>
    <n v="3301"/>
  </r>
  <r>
    <x v="1"/>
    <x v="7"/>
    <x v="6"/>
    <x v="137"/>
    <x v="121"/>
    <x v="121"/>
    <s v="CHARGES"/>
    <x v="0"/>
    <s v="3212.002"/>
    <s v="Intérêts bonifiés/trop perçu acompte C/C"/>
    <n v="7.34"/>
    <n v="0"/>
    <n v="3212"/>
  </r>
  <r>
    <x v="1"/>
    <x v="7"/>
    <x v="6"/>
    <x v="137"/>
    <x v="121"/>
    <x v="121"/>
    <s v="REVENUS"/>
    <x v="17"/>
    <s v="4011.001"/>
    <s v="Impôt bénéfice ordinaire"/>
    <n v="0"/>
    <n v="362244.4"/>
    <n v="4011"/>
  </r>
  <r>
    <x v="1"/>
    <x v="7"/>
    <x v="6"/>
    <x v="137"/>
    <x v="121"/>
    <x v="121"/>
    <s v="REVENUS"/>
    <x v="6"/>
    <s v="4211.002"/>
    <s v="Intérêts de retard sur acomptes"/>
    <n v="0"/>
    <n v="1429.09"/>
    <n v="4211"/>
  </r>
  <r>
    <x v="1"/>
    <x v="7"/>
    <x v="6"/>
    <x v="137"/>
    <x v="121"/>
    <x v="121"/>
    <s v="REVENUS"/>
    <x v="6"/>
    <s v="4221.001"/>
    <s v="Intérêts compensat. / créances en faveur du fisc"/>
    <n v="0"/>
    <n v="24.15"/>
    <n v="4221"/>
  </r>
  <r>
    <x v="1"/>
    <x v="7"/>
    <x v="6"/>
    <x v="137"/>
    <x v="121"/>
    <x v="121"/>
    <s v="REVENUS"/>
    <x v="16"/>
    <s v="4012.001"/>
    <s v="Impôt capital ordinaire"/>
    <n v="0"/>
    <n v="2927.2"/>
    <n v="4012"/>
  </r>
  <r>
    <x v="1"/>
    <x v="7"/>
    <x v="6"/>
    <x v="137"/>
    <x v="121"/>
    <x v="121"/>
    <s v="REVENUS"/>
    <x v="16"/>
    <s v="4012.007"/>
    <s v="Acompte sur capital"/>
    <n v="0"/>
    <n v="8403.5"/>
    <n v="4012"/>
  </r>
  <r>
    <x v="1"/>
    <x v="7"/>
    <x v="6"/>
    <x v="137"/>
    <x v="121"/>
    <x v="121"/>
    <s v="REVENUS"/>
    <x v="6"/>
    <s v="4211.001"/>
    <s v="Intérêts de retard sur factures"/>
    <n v="0"/>
    <n v="108.65"/>
    <n v="4211"/>
  </r>
  <r>
    <x v="1"/>
    <x v="7"/>
    <x v="6"/>
    <x v="137"/>
    <x v="121"/>
    <x v="121"/>
    <s v="REVENUS"/>
    <x v="18"/>
    <s v="4013.001"/>
    <s v="Impôt complémentaire sur immeubles"/>
    <n v="0"/>
    <n v="31337.599999999999"/>
    <n v="4013"/>
  </r>
  <r>
    <x v="1"/>
    <x v="7"/>
    <x v="6"/>
    <x v="137"/>
    <x v="121"/>
    <x v="121"/>
    <s v="REVENUS"/>
    <x v="17"/>
    <s v="4011.002"/>
    <s v="Complément impôt bénéfice ordinaire"/>
    <n v="0"/>
    <n v="-271"/>
    <n v="4011"/>
  </r>
  <r>
    <x v="1"/>
    <x v="7"/>
    <x v="6"/>
    <x v="137"/>
    <x v="121"/>
    <x v="121"/>
    <s v="REVENUS"/>
    <x v="17"/>
    <s v="4011.007"/>
    <s v="Acompte sur bénéfice"/>
    <n v="0"/>
    <n v="-244517.9"/>
    <n v="4011"/>
  </r>
  <r>
    <x v="1"/>
    <x v="7"/>
    <x v="6"/>
    <x v="137"/>
    <x v="121"/>
    <x v="121"/>
    <s v="REVENUS"/>
    <x v="10"/>
    <s v="4041.001"/>
    <s v="Droits de mutation"/>
    <n v="0"/>
    <n v="48396.5"/>
    <n v="4041"/>
  </r>
  <r>
    <x v="1"/>
    <x v="7"/>
    <x v="6"/>
    <x v="137"/>
    <x v="121"/>
    <x v="121"/>
    <s v="REVENUS"/>
    <x v="16"/>
    <s v="4012.002"/>
    <s v="Complément impôt capital ordinaire"/>
    <n v="0"/>
    <n v="9432.6"/>
    <n v="4012"/>
  </r>
  <r>
    <x v="1"/>
    <x v="7"/>
    <x v="6"/>
    <x v="137"/>
    <x v="121"/>
    <x v="121"/>
    <s v="REVENUS"/>
    <x v="18"/>
    <s v="4013.003"/>
    <s v="Remboursement impôt complémentaire sur immeubles"/>
    <n v="0"/>
    <n v="-11000"/>
    <n v="4013"/>
  </r>
  <r>
    <x v="1"/>
    <x v="7"/>
    <x v="6"/>
    <x v="137"/>
    <x v="121"/>
    <x v="121"/>
    <s v="REVENUS"/>
    <x v="7"/>
    <s v="4184.000"/>
    <s v="Frais de poursuite"/>
    <n v="0"/>
    <n v="22.86"/>
    <n v="4184"/>
  </r>
  <r>
    <x v="1"/>
    <x v="7"/>
    <x v="6"/>
    <x v="137"/>
    <x v="121"/>
    <x v="121"/>
    <s v="REVENUS"/>
    <x v="18"/>
    <s v="4013.002"/>
    <s v="Complément impôt complémentaire sur immeubles"/>
    <n v="0"/>
    <n v="11"/>
    <n v="4013"/>
  </r>
  <r>
    <x v="1"/>
    <x v="7"/>
    <x v="6"/>
    <x v="138"/>
    <x v="120"/>
    <x v="120"/>
    <s v="CHARGES"/>
    <x v="0"/>
    <s v="3212.002"/>
    <s v="Intérêts bonifiés/trop perçu acompte C/C"/>
    <n v="0.16"/>
    <n v="0"/>
    <n v="3212"/>
  </r>
  <r>
    <x v="1"/>
    <x v="7"/>
    <x v="6"/>
    <x v="138"/>
    <x v="120"/>
    <x v="120"/>
    <s v="CHARGES"/>
    <x v="1"/>
    <s v="3301.002"/>
    <s v="Défalcation PM"/>
    <n v="25226.47"/>
    <n v="0"/>
    <n v="3301"/>
  </r>
  <r>
    <x v="1"/>
    <x v="7"/>
    <x v="6"/>
    <x v="138"/>
    <x v="120"/>
    <x v="120"/>
    <s v="REVENUS"/>
    <x v="17"/>
    <s v="4011.002"/>
    <s v="Complément impôt bénéfice ordinaire"/>
    <n v="0"/>
    <n v="3964.35"/>
    <n v="4011"/>
  </r>
  <r>
    <x v="1"/>
    <x v="7"/>
    <x v="6"/>
    <x v="138"/>
    <x v="120"/>
    <x v="120"/>
    <s v="REVENUS"/>
    <x v="17"/>
    <s v="4011.001"/>
    <s v="Impôt bénéfice ordinaire"/>
    <n v="0"/>
    <n v="-3964.35"/>
    <n v="4011"/>
  </r>
  <r>
    <x v="1"/>
    <x v="7"/>
    <x v="6"/>
    <x v="138"/>
    <x v="120"/>
    <x v="120"/>
    <s v="REVENUS"/>
    <x v="7"/>
    <s v="4184.000"/>
    <s v="Frais de poursuite"/>
    <n v="0"/>
    <n v="175.86"/>
    <n v="4184"/>
  </r>
  <r>
    <x v="1"/>
    <x v="7"/>
    <x v="6"/>
    <x v="138"/>
    <x v="120"/>
    <x v="120"/>
    <s v="REVENUS"/>
    <x v="6"/>
    <s v="4211.001"/>
    <s v="Intérêts de retard sur factures"/>
    <n v="0"/>
    <n v="2274.38"/>
    <n v="4211"/>
  </r>
  <r>
    <x v="1"/>
    <x v="7"/>
    <x v="6"/>
    <x v="139"/>
    <x v="122"/>
    <x v="122"/>
    <s v="CHARGES"/>
    <x v="0"/>
    <s v="3212.004"/>
    <s v="Intérêts rémun./perçu trop tôt sur acomptes C/C"/>
    <n v="828.38"/>
    <n v="0"/>
    <n v="3212"/>
  </r>
  <r>
    <x v="1"/>
    <x v="7"/>
    <x v="6"/>
    <x v="139"/>
    <x v="122"/>
    <x v="122"/>
    <s v="CHARGES"/>
    <x v="0"/>
    <s v="3221.002"/>
    <s v="Intérêts compensatoires / créances en faveur ctb."/>
    <n v="625.07000000000005"/>
    <n v="0"/>
    <n v="3221"/>
  </r>
  <r>
    <x v="1"/>
    <x v="7"/>
    <x v="6"/>
    <x v="139"/>
    <x v="122"/>
    <x v="122"/>
    <s v="CHARGES"/>
    <x v="1"/>
    <s v="3301.006"/>
    <s v="Abandon de solde PM"/>
    <n v="370.06"/>
    <n v="0"/>
    <n v="3301"/>
  </r>
  <r>
    <x v="1"/>
    <x v="7"/>
    <x v="6"/>
    <x v="139"/>
    <x v="122"/>
    <x v="122"/>
    <s v="CHARGES"/>
    <x v="1"/>
    <s v="3301.002"/>
    <s v="Défalcation PM"/>
    <n v="427.26"/>
    <n v="0"/>
    <n v="3301"/>
  </r>
  <r>
    <x v="1"/>
    <x v="7"/>
    <x v="6"/>
    <x v="139"/>
    <x v="122"/>
    <x v="122"/>
    <s v="CHARGES"/>
    <x v="0"/>
    <s v="3212.002"/>
    <s v="Intérêts bonifiés/trop perçu acompte C/C"/>
    <n v="38.39"/>
    <n v="0"/>
    <n v="3212"/>
  </r>
  <r>
    <x v="1"/>
    <x v="7"/>
    <x v="6"/>
    <x v="139"/>
    <x v="122"/>
    <x v="122"/>
    <s v="REVENUS"/>
    <x v="17"/>
    <s v="4011.001"/>
    <s v="Impôt bénéfice ordinaire"/>
    <n v="0"/>
    <n v="3326995.95"/>
    <n v="4011"/>
  </r>
  <r>
    <x v="1"/>
    <x v="7"/>
    <x v="6"/>
    <x v="139"/>
    <x v="122"/>
    <x v="122"/>
    <s v="REVENUS"/>
    <x v="17"/>
    <s v="4011.007"/>
    <s v="Acompte sur bénéfice"/>
    <n v="0"/>
    <n v="-839314.25"/>
    <n v="4011"/>
  </r>
  <r>
    <x v="1"/>
    <x v="7"/>
    <x v="6"/>
    <x v="139"/>
    <x v="122"/>
    <x v="122"/>
    <s v="REVENUS"/>
    <x v="6"/>
    <s v="4211.001"/>
    <s v="Intérêts de retard sur factures"/>
    <n v="0"/>
    <n v="2203.73"/>
    <n v="4211"/>
  </r>
  <r>
    <x v="1"/>
    <x v="7"/>
    <x v="6"/>
    <x v="139"/>
    <x v="122"/>
    <x v="122"/>
    <s v="REVENUS"/>
    <x v="6"/>
    <s v="4211.002"/>
    <s v="Intérêts de retard sur acomptes"/>
    <n v="0"/>
    <n v="1249.02"/>
    <n v="4211"/>
  </r>
  <r>
    <x v="1"/>
    <x v="7"/>
    <x v="6"/>
    <x v="139"/>
    <x v="122"/>
    <x v="122"/>
    <s v="REVENUS"/>
    <x v="6"/>
    <s v="4221.001"/>
    <s v="Intérêts compensat. / créances en faveur du fisc"/>
    <n v="0"/>
    <n v="594.15"/>
    <n v="4221"/>
  </r>
  <r>
    <x v="1"/>
    <x v="7"/>
    <x v="6"/>
    <x v="139"/>
    <x v="122"/>
    <x v="122"/>
    <s v="REVENUS"/>
    <x v="16"/>
    <s v="4012.001"/>
    <s v="Impôt capital ordinaire"/>
    <n v="0"/>
    <n v="38876.300000000003"/>
    <n v="4012"/>
  </r>
  <r>
    <x v="1"/>
    <x v="7"/>
    <x v="6"/>
    <x v="139"/>
    <x v="122"/>
    <x v="122"/>
    <s v="REVENUS"/>
    <x v="16"/>
    <s v="4012.007"/>
    <s v="Acompte sur capital"/>
    <n v="0"/>
    <n v="49356.75"/>
    <n v="4012"/>
  </r>
  <r>
    <x v="1"/>
    <x v="7"/>
    <x v="6"/>
    <x v="139"/>
    <x v="122"/>
    <x v="122"/>
    <s v="REVENUS"/>
    <x v="18"/>
    <s v="4013.001"/>
    <s v="Impôt complémentaire sur immeubles"/>
    <n v="0"/>
    <n v="183215.1"/>
    <n v="4013"/>
  </r>
  <r>
    <x v="1"/>
    <x v="7"/>
    <x v="6"/>
    <x v="139"/>
    <x v="122"/>
    <x v="122"/>
    <s v="REVENUS"/>
    <x v="17"/>
    <s v="4011.002"/>
    <s v="Complément impôt bénéfice ordinaire"/>
    <n v="0"/>
    <n v="-10431.15"/>
    <n v="4011"/>
  </r>
  <r>
    <x v="1"/>
    <x v="7"/>
    <x v="6"/>
    <x v="139"/>
    <x v="122"/>
    <x v="122"/>
    <s v="REVENUS"/>
    <x v="16"/>
    <s v="4012.002"/>
    <s v="Complément impôt capital ordinaire"/>
    <n v="0"/>
    <n v="62.55"/>
    <n v="4012"/>
  </r>
  <r>
    <x v="1"/>
    <x v="7"/>
    <x v="6"/>
    <x v="139"/>
    <x v="122"/>
    <x v="122"/>
    <s v="REVENUS"/>
    <x v="7"/>
    <s v="4184.000"/>
    <s v="Frais de poursuite"/>
    <n v="0"/>
    <n v="866.98"/>
    <n v="4184"/>
  </r>
  <r>
    <x v="1"/>
    <x v="7"/>
    <x v="6"/>
    <x v="139"/>
    <x v="122"/>
    <x v="122"/>
    <s v="REVENUS"/>
    <x v="18"/>
    <s v="4013.003"/>
    <s v="Remboursement impôt complémentaire sur immeubles"/>
    <n v="0"/>
    <n v="-44260"/>
    <n v="4013"/>
  </r>
  <r>
    <x v="1"/>
    <x v="7"/>
    <x v="6"/>
    <x v="139"/>
    <x v="122"/>
    <x v="122"/>
    <s v="REVENUS"/>
    <x v="18"/>
    <s v="4013.002"/>
    <s v="Complément impôt complémentaire sur immeubles"/>
    <n v="0"/>
    <n v="312.5"/>
    <n v="4013"/>
  </r>
  <r>
    <x v="1"/>
    <x v="7"/>
    <x v="6"/>
    <x v="139"/>
    <x v="122"/>
    <x v="122"/>
    <s v="REVENUS"/>
    <x v="10"/>
    <s v="4041.001"/>
    <s v="Droits de mutation"/>
    <n v="0"/>
    <n v="382959.5"/>
    <n v="4041"/>
  </r>
  <r>
    <x v="1"/>
    <x v="7"/>
    <x v="6"/>
    <x v="139"/>
    <x v="122"/>
    <x v="122"/>
    <s v="REVENUS"/>
    <x v="8"/>
    <s v="4091.001"/>
    <s v="Impôt récupéré après défalcations"/>
    <n v="0"/>
    <n v="123.24"/>
    <n v="4091"/>
  </r>
  <r>
    <x v="1"/>
    <x v="7"/>
    <x v="6"/>
    <x v="140"/>
    <x v="123"/>
    <x v="123"/>
    <s v="CHARGES"/>
    <x v="0"/>
    <s v="3212.004"/>
    <s v="Intérêts rémun./perçu trop tôt sur acomptes C/C"/>
    <n v="520.71"/>
    <n v="0"/>
    <n v="3212"/>
  </r>
  <r>
    <x v="1"/>
    <x v="7"/>
    <x v="6"/>
    <x v="140"/>
    <x v="123"/>
    <x v="123"/>
    <s v="CHARGES"/>
    <x v="0"/>
    <s v="3221.002"/>
    <s v="Intérêts compensatoires / créances en faveur ctb."/>
    <n v="352.64"/>
    <n v="0"/>
    <n v="3221"/>
  </r>
  <r>
    <x v="1"/>
    <x v="7"/>
    <x v="6"/>
    <x v="140"/>
    <x v="123"/>
    <x v="123"/>
    <s v="CHARGES"/>
    <x v="1"/>
    <s v="3301.006"/>
    <s v="Abandon de solde PM"/>
    <n v="120"/>
    <n v="0"/>
    <n v="3301"/>
  </r>
  <r>
    <x v="1"/>
    <x v="7"/>
    <x v="6"/>
    <x v="140"/>
    <x v="123"/>
    <x v="123"/>
    <s v="CHARGES"/>
    <x v="0"/>
    <s v="3212.002"/>
    <s v="Intérêts bonifiés/trop perçu acompte C/C"/>
    <n v="2.73"/>
    <n v="0"/>
    <n v="3212"/>
  </r>
  <r>
    <x v="1"/>
    <x v="7"/>
    <x v="6"/>
    <x v="140"/>
    <x v="123"/>
    <x v="123"/>
    <s v="CHARGES"/>
    <x v="1"/>
    <s v="3301.002"/>
    <s v="Défalcation PM"/>
    <n v="22993.9"/>
    <n v="0"/>
    <n v="3301"/>
  </r>
  <r>
    <x v="1"/>
    <x v="7"/>
    <x v="6"/>
    <x v="140"/>
    <x v="123"/>
    <x v="123"/>
    <s v="REVENUS"/>
    <x v="16"/>
    <s v="4012.001"/>
    <s v="Impôt capital ordinaire"/>
    <n v="0"/>
    <n v="43586.75"/>
    <n v="4012"/>
  </r>
  <r>
    <x v="1"/>
    <x v="7"/>
    <x v="6"/>
    <x v="140"/>
    <x v="123"/>
    <x v="123"/>
    <s v="REVENUS"/>
    <x v="16"/>
    <s v="4012.007"/>
    <s v="Acompte sur capital"/>
    <n v="0"/>
    <n v="49542.6"/>
    <n v="4012"/>
  </r>
  <r>
    <x v="1"/>
    <x v="7"/>
    <x v="6"/>
    <x v="140"/>
    <x v="123"/>
    <x v="123"/>
    <s v="REVENUS"/>
    <x v="6"/>
    <s v="4211.002"/>
    <s v="Intérêts de retard sur acomptes"/>
    <n v="0"/>
    <n v="830.55"/>
    <n v="4211"/>
  </r>
  <r>
    <x v="1"/>
    <x v="7"/>
    <x v="6"/>
    <x v="140"/>
    <x v="123"/>
    <x v="123"/>
    <s v="REVENUS"/>
    <x v="17"/>
    <s v="4011.001"/>
    <s v="Impôt bénéfice ordinaire"/>
    <n v="0"/>
    <n v="728208.65"/>
    <n v="4011"/>
  </r>
  <r>
    <x v="1"/>
    <x v="7"/>
    <x v="6"/>
    <x v="140"/>
    <x v="123"/>
    <x v="123"/>
    <s v="REVENUS"/>
    <x v="17"/>
    <s v="4011.007"/>
    <s v="Acompte sur bénéfice"/>
    <n v="0"/>
    <n v="-345059.3"/>
    <n v="4011"/>
  </r>
  <r>
    <x v="1"/>
    <x v="7"/>
    <x v="6"/>
    <x v="140"/>
    <x v="123"/>
    <x v="123"/>
    <s v="REVENUS"/>
    <x v="6"/>
    <s v="4221.001"/>
    <s v="Intérêts compensat. / créances en faveur du fisc"/>
    <n v="0"/>
    <n v="261.94"/>
    <n v="4221"/>
  </r>
  <r>
    <x v="1"/>
    <x v="7"/>
    <x v="6"/>
    <x v="140"/>
    <x v="123"/>
    <x v="123"/>
    <s v="REVENUS"/>
    <x v="18"/>
    <s v="4013.001"/>
    <s v="Impôt complémentaire sur immeubles"/>
    <n v="0"/>
    <n v="120684"/>
    <n v="4013"/>
  </r>
  <r>
    <x v="1"/>
    <x v="7"/>
    <x v="6"/>
    <x v="140"/>
    <x v="123"/>
    <x v="123"/>
    <s v="REVENUS"/>
    <x v="11"/>
    <s v="4198.001"/>
    <s v="Impôt foncier"/>
    <n v="0"/>
    <n v="357455.3"/>
    <n v="4198"/>
  </r>
  <r>
    <x v="1"/>
    <x v="7"/>
    <x v="6"/>
    <x v="140"/>
    <x v="123"/>
    <x v="123"/>
    <s v="REVENUS"/>
    <x v="17"/>
    <s v="4011.002"/>
    <s v="Complément impôt bénéfice ordinaire"/>
    <n v="0"/>
    <n v="87440.6"/>
    <n v="4011"/>
  </r>
  <r>
    <x v="1"/>
    <x v="7"/>
    <x v="6"/>
    <x v="140"/>
    <x v="123"/>
    <x v="123"/>
    <s v="REVENUS"/>
    <x v="6"/>
    <s v="4211.001"/>
    <s v="Intérêts de retard sur factures"/>
    <n v="0"/>
    <n v="408.11"/>
    <n v="4211"/>
  </r>
  <r>
    <x v="1"/>
    <x v="7"/>
    <x v="6"/>
    <x v="140"/>
    <x v="123"/>
    <x v="123"/>
    <s v="REVENUS"/>
    <x v="18"/>
    <s v="4013.002"/>
    <s v="Complément impôt complémentaire sur immeubles"/>
    <n v="0"/>
    <n v="819.25"/>
    <n v="4013"/>
  </r>
  <r>
    <x v="1"/>
    <x v="7"/>
    <x v="6"/>
    <x v="140"/>
    <x v="123"/>
    <x v="123"/>
    <s v="REVENUS"/>
    <x v="10"/>
    <s v="4041.001"/>
    <s v="Droits de mutation"/>
    <n v="0"/>
    <n v="297433.40000000002"/>
    <n v="4041"/>
  </r>
  <r>
    <x v="1"/>
    <x v="7"/>
    <x v="6"/>
    <x v="140"/>
    <x v="123"/>
    <x v="123"/>
    <s v="REVENUS"/>
    <x v="16"/>
    <s v="4012.002"/>
    <s v="Complément impôt capital ordinaire"/>
    <n v="0"/>
    <n v="53273.65"/>
    <n v="4012"/>
  </r>
  <r>
    <x v="1"/>
    <x v="7"/>
    <x v="6"/>
    <x v="140"/>
    <x v="123"/>
    <x v="123"/>
    <s v="REVENUS"/>
    <x v="18"/>
    <s v="4013.003"/>
    <s v="Remboursement impôt complémentaire sur immeubles"/>
    <n v="0"/>
    <n v="-1615.65"/>
    <n v="4013"/>
  </r>
  <r>
    <x v="1"/>
    <x v="7"/>
    <x v="6"/>
    <x v="140"/>
    <x v="123"/>
    <x v="123"/>
    <s v="REVENUS"/>
    <x v="7"/>
    <s v="4184.000"/>
    <s v="Frais de poursuite"/>
    <n v="0"/>
    <n v="22.02"/>
    <n v="4184"/>
  </r>
  <r>
    <x v="1"/>
    <x v="7"/>
    <x v="6"/>
    <x v="141"/>
    <x v="120"/>
    <x v="120"/>
    <s v="CHARGES"/>
    <x v="0"/>
    <s v="3212.002"/>
    <s v="Intérêts bonifiés/trop perçu acompte C/C"/>
    <n v="0.01"/>
    <n v="0"/>
    <n v="3212"/>
  </r>
  <r>
    <x v="1"/>
    <x v="7"/>
    <x v="6"/>
    <x v="141"/>
    <x v="120"/>
    <x v="120"/>
    <s v="REVENUS"/>
    <x v="17"/>
    <s v="4011.002"/>
    <s v="Complément impôt bénéfice ordinaire"/>
    <n v="0"/>
    <n v="272.64999999999998"/>
    <n v="4011"/>
  </r>
  <r>
    <x v="1"/>
    <x v="7"/>
    <x v="6"/>
    <x v="141"/>
    <x v="120"/>
    <x v="120"/>
    <s v="REVENUS"/>
    <x v="17"/>
    <s v="4011.001"/>
    <s v="Impôt bénéfice ordinaire"/>
    <n v="0"/>
    <n v="-272.64999999999998"/>
    <n v="4011"/>
  </r>
  <r>
    <x v="1"/>
    <x v="7"/>
    <x v="6"/>
    <x v="142"/>
    <x v="124"/>
    <x v="124"/>
    <s v="CHARGES"/>
    <x v="0"/>
    <s v="3212.004"/>
    <s v="Intérêts rémun./perçu trop tôt sur acomptes C/C"/>
    <n v="2.48"/>
    <n v="0"/>
    <n v="3212"/>
  </r>
  <r>
    <x v="1"/>
    <x v="7"/>
    <x v="6"/>
    <x v="142"/>
    <x v="124"/>
    <x v="124"/>
    <s v="CHARGES"/>
    <x v="0"/>
    <s v="3221.002"/>
    <s v="Intérêts compensatoires / créances en faveur ctb."/>
    <n v="4.3899999999999997"/>
    <n v="0"/>
    <n v="3221"/>
  </r>
  <r>
    <x v="1"/>
    <x v="7"/>
    <x v="6"/>
    <x v="142"/>
    <x v="124"/>
    <x v="124"/>
    <s v="CHARGES"/>
    <x v="1"/>
    <s v="3301.006"/>
    <s v="Abandon de solde PM"/>
    <n v="5.66"/>
    <n v="0"/>
    <n v="3301"/>
  </r>
  <r>
    <x v="1"/>
    <x v="7"/>
    <x v="6"/>
    <x v="142"/>
    <x v="124"/>
    <x v="124"/>
    <s v="CHARGES"/>
    <x v="0"/>
    <s v="3212.002"/>
    <s v="Intérêts bonifiés/trop perçu acompte C/C"/>
    <n v="0.36"/>
    <n v="0"/>
    <n v="3212"/>
  </r>
  <r>
    <x v="1"/>
    <x v="7"/>
    <x v="6"/>
    <x v="142"/>
    <x v="124"/>
    <x v="124"/>
    <s v="REVENUS"/>
    <x v="11"/>
    <s v="4198.001"/>
    <s v="Impôt foncier"/>
    <n v="0"/>
    <n v="2447.6"/>
    <n v="4198"/>
  </r>
  <r>
    <x v="1"/>
    <x v="7"/>
    <x v="6"/>
    <x v="142"/>
    <x v="124"/>
    <x v="124"/>
    <s v="REVENUS"/>
    <x v="17"/>
    <s v="4011.001"/>
    <s v="Impôt bénéfice ordinaire"/>
    <n v="0"/>
    <n v="7331.05"/>
    <n v="4011"/>
  </r>
  <r>
    <x v="1"/>
    <x v="7"/>
    <x v="6"/>
    <x v="142"/>
    <x v="124"/>
    <x v="124"/>
    <s v="REVENUS"/>
    <x v="17"/>
    <s v="4011.007"/>
    <s v="Acompte sur bénéfice"/>
    <n v="0"/>
    <n v="-357.95"/>
    <n v="4011"/>
  </r>
  <r>
    <x v="1"/>
    <x v="7"/>
    <x v="6"/>
    <x v="142"/>
    <x v="124"/>
    <x v="124"/>
    <s v="REVENUS"/>
    <x v="18"/>
    <s v="4013.001"/>
    <s v="Impôt complémentaire sur immeubles"/>
    <n v="0"/>
    <n v="636.9"/>
    <n v="4013"/>
  </r>
  <r>
    <x v="1"/>
    <x v="7"/>
    <x v="6"/>
    <x v="142"/>
    <x v="124"/>
    <x v="124"/>
    <s v="REVENUS"/>
    <x v="17"/>
    <s v="4011.002"/>
    <s v="Complément impôt bénéfice ordinaire"/>
    <n v="0"/>
    <n v="1277.9000000000001"/>
    <n v="4011"/>
  </r>
  <r>
    <x v="1"/>
    <x v="7"/>
    <x v="6"/>
    <x v="142"/>
    <x v="124"/>
    <x v="124"/>
    <s v="REVENUS"/>
    <x v="6"/>
    <s v="4211.001"/>
    <s v="Intérêts de retard sur factures"/>
    <n v="0"/>
    <n v="0.21"/>
    <n v="4211"/>
  </r>
  <r>
    <x v="1"/>
    <x v="7"/>
    <x v="6"/>
    <x v="142"/>
    <x v="124"/>
    <x v="124"/>
    <s v="REVENUS"/>
    <x v="6"/>
    <s v="4221.001"/>
    <s v="Intérêts compensat. / créances en faveur du fisc"/>
    <n v="0"/>
    <n v="0.64"/>
    <n v="4221"/>
  </r>
  <r>
    <x v="1"/>
    <x v="7"/>
    <x v="6"/>
    <x v="142"/>
    <x v="124"/>
    <x v="124"/>
    <s v="REVENUS"/>
    <x v="16"/>
    <s v="4012.001"/>
    <s v="Impôt capital ordinaire"/>
    <n v="0"/>
    <n v="457.25"/>
    <n v="4012"/>
  </r>
  <r>
    <x v="1"/>
    <x v="7"/>
    <x v="6"/>
    <x v="142"/>
    <x v="124"/>
    <x v="124"/>
    <s v="REVENUS"/>
    <x v="16"/>
    <s v="4012.007"/>
    <s v="Acompte sur capital"/>
    <n v="0"/>
    <n v="263.64999999999998"/>
    <n v="4012"/>
  </r>
  <r>
    <x v="1"/>
    <x v="7"/>
    <x v="6"/>
    <x v="142"/>
    <x v="124"/>
    <x v="124"/>
    <s v="REVENUS"/>
    <x v="6"/>
    <s v="4211.002"/>
    <s v="Intérêts de retard sur acomptes"/>
    <n v="0"/>
    <n v="137.52000000000001"/>
    <n v="4211"/>
  </r>
  <r>
    <x v="1"/>
    <x v="7"/>
    <x v="6"/>
    <x v="142"/>
    <x v="124"/>
    <x v="124"/>
    <s v="REVENUS"/>
    <x v="18"/>
    <s v="4013.002"/>
    <s v="Complément impôt complémentaire sur immeubles"/>
    <n v="0"/>
    <n v="120.4"/>
    <n v="4013"/>
  </r>
  <r>
    <x v="1"/>
    <x v="7"/>
    <x v="6"/>
    <x v="142"/>
    <x v="124"/>
    <x v="124"/>
    <s v="REVENUS"/>
    <x v="18"/>
    <s v="4013.003"/>
    <s v="Remboursement impôt complémentaire sur immeubles"/>
    <n v="0"/>
    <n v="-571.4"/>
    <n v="4013"/>
  </r>
  <r>
    <x v="1"/>
    <x v="7"/>
    <x v="6"/>
    <x v="143"/>
    <x v="125"/>
    <x v="125"/>
    <s v="CHARGES"/>
    <x v="0"/>
    <s v="3221.002"/>
    <s v="Intérêts compensatoires / créances en faveur ctb."/>
    <n v="6.4"/>
    <n v="0"/>
    <n v="3221"/>
  </r>
  <r>
    <x v="1"/>
    <x v="7"/>
    <x v="6"/>
    <x v="143"/>
    <x v="125"/>
    <x v="125"/>
    <s v="CHARGES"/>
    <x v="1"/>
    <s v="3301.006"/>
    <s v="Abandon de solde PM"/>
    <n v="10.28"/>
    <n v="0"/>
    <n v="3301"/>
  </r>
  <r>
    <x v="1"/>
    <x v="7"/>
    <x v="6"/>
    <x v="143"/>
    <x v="125"/>
    <x v="125"/>
    <s v="CHARGES"/>
    <x v="0"/>
    <s v="3212.004"/>
    <s v="Intérêts rémun./perçu trop tôt sur acomptes C/C"/>
    <n v="2.12"/>
    <n v="0"/>
    <n v="3212"/>
  </r>
  <r>
    <x v="1"/>
    <x v="7"/>
    <x v="6"/>
    <x v="143"/>
    <x v="125"/>
    <x v="125"/>
    <s v="CHARGES"/>
    <x v="0"/>
    <s v="3212.002"/>
    <s v="Intérêts bonifiés/trop perçu acompte C/C"/>
    <n v="0.04"/>
    <n v="0"/>
    <n v="3212"/>
  </r>
  <r>
    <x v="1"/>
    <x v="7"/>
    <x v="6"/>
    <x v="143"/>
    <x v="125"/>
    <x v="125"/>
    <s v="CHARGES"/>
    <x v="1"/>
    <s v="3301.002"/>
    <s v="Défalcation PM"/>
    <n v="22.86"/>
    <n v="0"/>
    <n v="3301"/>
  </r>
  <r>
    <x v="1"/>
    <x v="7"/>
    <x v="6"/>
    <x v="143"/>
    <x v="125"/>
    <x v="125"/>
    <s v="REVENUS"/>
    <x v="17"/>
    <s v="4011.001"/>
    <s v="Impôt bénéfice ordinaire"/>
    <n v="0"/>
    <n v="4353.3999999999996"/>
    <n v="4011"/>
  </r>
  <r>
    <x v="1"/>
    <x v="7"/>
    <x v="6"/>
    <x v="143"/>
    <x v="125"/>
    <x v="125"/>
    <s v="REVENUS"/>
    <x v="17"/>
    <s v="4011.002"/>
    <s v="Complément impôt bénéfice ordinaire"/>
    <n v="0"/>
    <n v="1286.5999999999999"/>
    <n v="4011"/>
  </r>
  <r>
    <x v="1"/>
    <x v="7"/>
    <x v="6"/>
    <x v="143"/>
    <x v="125"/>
    <x v="125"/>
    <s v="REVENUS"/>
    <x v="6"/>
    <s v="4211.001"/>
    <s v="Intérêts de retard sur factures"/>
    <n v="0"/>
    <n v="10.73"/>
    <n v="4211"/>
  </r>
  <r>
    <x v="1"/>
    <x v="7"/>
    <x v="6"/>
    <x v="143"/>
    <x v="125"/>
    <x v="125"/>
    <s v="REVENUS"/>
    <x v="6"/>
    <s v="4221.001"/>
    <s v="Intérêts compensat. / créances en faveur du fisc"/>
    <n v="0"/>
    <n v="2.08"/>
    <n v="4221"/>
  </r>
  <r>
    <x v="1"/>
    <x v="7"/>
    <x v="6"/>
    <x v="143"/>
    <x v="125"/>
    <x v="125"/>
    <s v="REVENUS"/>
    <x v="17"/>
    <s v="4011.007"/>
    <s v="Acompte sur bénéfice"/>
    <n v="0"/>
    <n v="-4484.8500000000004"/>
    <n v="4011"/>
  </r>
  <r>
    <x v="1"/>
    <x v="7"/>
    <x v="6"/>
    <x v="143"/>
    <x v="125"/>
    <x v="125"/>
    <s v="REVENUS"/>
    <x v="16"/>
    <s v="4012.007"/>
    <s v="Acompte sur capital"/>
    <n v="0"/>
    <n v="2667.05"/>
    <n v="4012"/>
  </r>
  <r>
    <x v="1"/>
    <x v="7"/>
    <x v="6"/>
    <x v="143"/>
    <x v="125"/>
    <x v="125"/>
    <s v="REVENUS"/>
    <x v="16"/>
    <s v="4012.001"/>
    <s v="Impôt capital ordinaire"/>
    <n v="0"/>
    <n v="1642.05"/>
    <n v="4012"/>
  </r>
  <r>
    <x v="1"/>
    <x v="7"/>
    <x v="6"/>
    <x v="143"/>
    <x v="125"/>
    <x v="125"/>
    <s v="REVENUS"/>
    <x v="6"/>
    <s v="4211.002"/>
    <s v="Intérêts de retard sur acomptes"/>
    <n v="0"/>
    <n v="19.21"/>
    <n v="4211"/>
  </r>
  <r>
    <x v="1"/>
    <x v="7"/>
    <x v="6"/>
    <x v="143"/>
    <x v="125"/>
    <x v="125"/>
    <s v="REVENUS"/>
    <x v="18"/>
    <s v="4013.003"/>
    <s v="Remboursement impôt complémentaire sur immeubles"/>
    <n v="0"/>
    <n v="-190.8"/>
    <n v="4013"/>
  </r>
  <r>
    <x v="1"/>
    <x v="7"/>
    <x v="6"/>
    <x v="143"/>
    <x v="125"/>
    <x v="125"/>
    <s v="REVENUS"/>
    <x v="18"/>
    <s v="4013.001"/>
    <s v="Impôt complémentaire sur immeubles"/>
    <n v="0"/>
    <n v="6888.65"/>
    <n v="4013"/>
  </r>
  <r>
    <x v="1"/>
    <x v="7"/>
    <x v="6"/>
    <x v="143"/>
    <x v="125"/>
    <x v="125"/>
    <s v="REVENUS"/>
    <x v="11"/>
    <s v="4198.001"/>
    <s v="Impôt foncier"/>
    <n v="0"/>
    <n v="18704.650000000001"/>
    <n v="4198"/>
  </r>
  <r>
    <x v="1"/>
    <x v="7"/>
    <x v="6"/>
    <x v="143"/>
    <x v="125"/>
    <x v="125"/>
    <s v="REVENUS"/>
    <x v="7"/>
    <s v="4184.000"/>
    <s v="Frais de poursuite"/>
    <n v="0"/>
    <n v="22.86"/>
    <n v="4184"/>
  </r>
  <r>
    <x v="1"/>
    <x v="7"/>
    <x v="6"/>
    <x v="144"/>
    <x v="126"/>
    <x v="126"/>
    <s v="CHARGES"/>
    <x v="0"/>
    <s v="3212.004"/>
    <s v="Intérêts rémun./perçu trop tôt sur acomptes C/C"/>
    <n v="97.08"/>
    <n v="0"/>
    <n v="3212"/>
  </r>
  <r>
    <x v="1"/>
    <x v="7"/>
    <x v="6"/>
    <x v="144"/>
    <x v="126"/>
    <x v="126"/>
    <s v="CHARGES"/>
    <x v="0"/>
    <s v="3221.002"/>
    <s v="Intérêts compensatoires / créances en faveur ctb."/>
    <n v="154.81"/>
    <n v="0"/>
    <n v="3221"/>
  </r>
  <r>
    <x v="1"/>
    <x v="7"/>
    <x v="6"/>
    <x v="144"/>
    <x v="126"/>
    <x v="126"/>
    <s v="CHARGES"/>
    <x v="1"/>
    <s v="3301.006"/>
    <s v="Abandon de solde PM"/>
    <n v="86.83"/>
    <n v="0"/>
    <n v="3301"/>
  </r>
  <r>
    <x v="1"/>
    <x v="7"/>
    <x v="6"/>
    <x v="144"/>
    <x v="126"/>
    <x v="126"/>
    <s v="CHARGES"/>
    <x v="0"/>
    <s v="3212.002"/>
    <s v="Intérêts bonifiés/trop perçu acompte C/C"/>
    <n v="0.38"/>
    <n v="0"/>
    <n v="3212"/>
  </r>
  <r>
    <x v="1"/>
    <x v="7"/>
    <x v="6"/>
    <x v="144"/>
    <x v="126"/>
    <x v="126"/>
    <s v="CHARGES"/>
    <x v="1"/>
    <s v="3301.002"/>
    <s v="Défalcation PM"/>
    <n v="370.18"/>
    <n v="0"/>
    <n v="3301"/>
  </r>
  <r>
    <x v="1"/>
    <x v="7"/>
    <x v="6"/>
    <x v="144"/>
    <x v="126"/>
    <x v="126"/>
    <s v="REVENUS"/>
    <x v="17"/>
    <s v="4011.001"/>
    <s v="Impôt bénéfice ordinaire"/>
    <n v="0"/>
    <n v="534505.4"/>
    <n v="4011"/>
  </r>
  <r>
    <x v="1"/>
    <x v="7"/>
    <x v="6"/>
    <x v="144"/>
    <x v="126"/>
    <x v="126"/>
    <s v="REVENUS"/>
    <x v="17"/>
    <s v="4011.007"/>
    <s v="Acompte sur bénéfice"/>
    <n v="0"/>
    <n v="-205168.85"/>
    <n v="4011"/>
  </r>
  <r>
    <x v="1"/>
    <x v="7"/>
    <x v="6"/>
    <x v="144"/>
    <x v="126"/>
    <x v="126"/>
    <s v="REVENUS"/>
    <x v="6"/>
    <s v="4211.002"/>
    <s v="Intérêts de retard sur acomptes"/>
    <n v="0"/>
    <n v="428.49"/>
    <n v="4211"/>
  </r>
  <r>
    <x v="1"/>
    <x v="7"/>
    <x v="6"/>
    <x v="144"/>
    <x v="126"/>
    <x v="126"/>
    <s v="REVENUS"/>
    <x v="6"/>
    <s v="4221.001"/>
    <s v="Intérêts compensat. / créances en faveur du fisc"/>
    <n v="0"/>
    <n v="73.59"/>
    <n v="4221"/>
  </r>
  <r>
    <x v="1"/>
    <x v="7"/>
    <x v="6"/>
    <x v="144"/>
    <x v="126"/>
    <x v="126"/>
    <s v="REVENUS"/>
    <x v="17"/>
    <s v="4011.002"/>
    <s v="Complément impôt bénéfice ordinaire"/>
    <n v="0"/>
    <n v="9044.7999999999993"/>
    <n v="4011"/>
  </r>
  <r>
    <x v="1"/>
    <x v="7"/>
    <x v="6"/>
    <x v="144"/>
    <x v="126"/>
    <x v="126"/>
    <s v="REVENUS"/>
    <x v="16"/>
    <s v="4012.001"/>
    <s v="Impôt capital ordinaire"/>
    <n v="0"/>
    <n v="14558.5"/>
    <n v="4012"/>
  </r>
  <r>
    <x v="1"/>
    <x v="7"/>
    <x v="6"/>
    <x v="144"/>
    <x v="126"/>
    <x v="126"/>
    <s v="REVENUS"/>
    <x v="16"/>
    <s v="4012.007"/>
    <s v="Acompte sur capital"/>
    <n v="0"/>
    <n v="7531.6"/>
    <n v="4012"/>
  </r>
  <r>
    <x v="1"/>
    <x v="7"/>
    <x v="6"/>
    <x v="144"/>
    <x v="126"/>
    <x v="126"/>
    <s v="REVENUS"/>
    <x v="6"/>
    <s v="4211.001"/>
    <s v="Intérêts de retard sur factures"/>
    <n v="0"/>
    <n v="272.19"/>
    <n v="4211"/>
  </r>
  <r>
    <x v="1"/>
    <x v="7"/>
    <x v="6"/>
    <x v="144"/>
    <x v="126"/>
    <x v="126"/>
    <s v="REVENUS"/>
    <x v="7"/>
    <s v="4184.000"/>
    <s v="Frais de poursuite"/>
    <n v="0"/>
    <n v="151.94999999999999"/>
    <n v="4184"/>
  </r>
  <r>
    <x v="1"/>
    <x v="7"/>
    <x v="6"/>
    <x v="144"/>
    <x v="126"/>
    <x v="126"/>
    <s v="REVENUS"/>
    <x v="8"/>
    <s v="4091.001"/>
    <s v="Impôt récupéré après défalcations"/>
    <n v="0"/>
    <n v="12.5"/>
    <n v="4091"/>
  </r>
  <r>
    <x v="1"/>
    <x v="7"/>
    <x v="6"/>
    <x v="144"/>
    <x v="126"/>
    <x v="126"/>
    <s v="REVENUS"/>
    <x v="10"/>
    <s v="4041.001"/>
    <s v="Droits de mutation"/>
    <n v="0"/>
    <n v="132397.75"/>
    <n v="4041"/>
  </r>
  <r>
    <x v="1"/>
    <x v="7"/>
    <x v="6"/>
    <x v="144"/>
    <x v="126"/>
    <x v="126"/>
    <s v="REVENUS"/>
    <x v="16"/>
    <s v="4012.002"/>
    <s v="Complément impôt capital ordinaire"/>
    <n v="0"/>
    <n v="174.95"/>
    <n v="4012"/>
  </r>
  <r>
    <x v="1"/>
    <x v="7"/>
    <x v="6"/>
    <x v="144"/>
    <x v="126"/>
    <x v="126"/>
    <s v="REVENUS"/>
    <x v="18"/>
    <s v="4013.003"/>
    <s v="Remboursement impôt complémentaire sur immeubles"/>
    <n v="0"/>
    <n v="-4270"/>
    <n v="4013"/>
  </r>
  <r>
    <x v="1"/>
    <x v="7"/>
    <x v="6"/>
    <x v="144"/>
    <x v="126"/>
    <x v="126"/>
    <s v="REVENUS"/>
    <x v="18"/>
    <s v="4013.001"/>
    <s v="Impôt complémentaire sur immeubles"/>
    <n v="0"/>
    <n v="22852.65"/>
    <n v="4013"/>
  </r>
  <r>
    <x v="1"/>
    <x v="7"/>
    <x v="6"/>
    <x v="145"/>
    <x v="120"/>
    <x v="120"/>
    <s v="CHARGES"/>
    <x v="0"/>
    <s v="3212.002"/>
    <s v="Intérêts bonifiés/trop perçu acompte C/C"/>
    <n v="0.02"/>
    <n v="0"/>
    <n v="3212"/>
  </r>
  <r>
    <x v="1"/>
    <x v="7"/>
    <x v="6"/>
    <x v="145"/>
    <x v="120"/>
    <x v="120"/>
    <s v="REVENUS"/>
    <x v="17"/>
    <s v="4011.002"/>
    <s v="Complément impôt bénéfice ordinaire"/>
    <n v="0"/>
    <n v="532.85"/>
    <n v="4011"/>
  </r>
  <r>
    <x v="1"/>
    <x v="7"/>
    <x v="6"/>
    <x v="145"/>
    <x v="120"/>
    <x v="120"/>
    <s v="REVENUS"/>
    <x v="17"/>
    <s v="4011.001"/>
    <s v="Impôt bénéfice ordinaire"/>
    <n v="0"/>
    <n v="-532.85"/>
    <n v="4011"/>
  </r>
  <r>
    <x v="1"/>
    <x v="7"/>
    <x v="6"/>
    <x v="146"/>
    <x v="120"/>
    <x v="120"/>
    <s v="CHARGES"/>
    <x v="0"/>
    <s v="3212.004"/>
    <s v="Intérêts rémun./perçu trop tôt sur acomptes C/C"/>
    <n v="195.09"/>
    <n v="0"/>
    <n v="3212"/>
  </r>
  <r>
    <x v="1"/>
    <x v="7"/>
    <x v="6"/>
    <x v="146"/>
    <x v="120"/>
    <x v="120"/>
    <s v="CHARGES"/>
    <x v="0"/>
    <s v="3221.002"/>
    <s v="Intérêts compensatoires / créances en faveur ctb."/>
    <n v="122"/>
    <n v="0"/>
    <n v="3221"/>
  </r>
  <r>
    <x v="1"/>
    <x v="7"/>
    <x v="6"/>
    <x v="146"/>
    <x v="120"/>
    <x v="120"/>
    <s v="CHARGES"/>
    <x v="1"/>
    <s v="3301.006"/>
    <s v="Abandon de solde PM"/>
    <n v="163.1"/>
    <n v="0"/>
    <n v="3301"/>
  </r>
  <r>
    <x v="1"/>
    <x v="7"/>
    <x v="6"/>
    <x v="146"/>
    <x v="120"/>
    <x v="120"/>
    <s v="CHARGES"/>
    <x v="0"/>
    <s v="3212.002"/>
    <s v="Intérêts bonifiés/trop perçu acompte C/C"/>
    <n v="3.72"/>
    <n v="0"/>
    <n v="3212"/>
  </r>
  <r>
    <x v="1"/>
    <x v="7"/>
    <x v="6"/>
    <x v="146"/>
    <x v="120"/>
    <x v="120"/>
    <s v="CHARGES"/>
    <x v="1"/>
    <s v="3301.002"/>
    <s v="Défalcation PM"/>
    <n v="11783.29"/>
    <n v="0"/>
    <n v="3301"/>
  </r>
  <r>
    <x v="1"/>
    <x v="7"/>
    <x v="6"/>
    <x v="146"/>
    <x v="120"/>
    <x v="120"/>
    <s v="REVENUS"/>
    <x v="17"/>
    <s v="4011.001"/>
    <s v="Impôt bénéfice ordinaire"/>
    <n v="0"/>
    <n v="251509.1"/>
    <n v="4011"/>
  </r>
  <r>
    <x v="1"/>
    <x v="7"/>
    <x v="6"/>
    <x v="146"/>
    <x v="120"/>
    <x v="120"/>
    <s v="REVENUS"/>
    <x v="17"/>
    <s v="4011.007"/>
    <s v="Acompte sur bénéfice"/>
    <n v="0"/>
    <n v="-45759.1"/>
    <n v="4011"/>
  </r>
  <r>
    <x v="1"/>
    <x v="7"/>
    <x v="6"/>
    <x v="146"/>
    <x v="120"/>
    <x v="120"/>
    <s v="REVENUS"/>
    <x v="7"/>
    <s v="4184.000"/>
    <s v="Frais de poursuite"/>
    <n v="0"/>
    <n v="365.62"/>
    <n v="4184"/>
  </r>
  <r>
    <x v="1"/>
    <x v="7"/>
    <x v="6"/>
    <x v="146"/>
    <x v="120"/>
    <x v="120"/>
    <s v="REVENUS"/>
    <x v="18"/>
    <s v="4013.001"/>
    <s v="Impôt complémentaire sur immeubles"/>
    <n v="0"/>
    <n v="42789.45"/>
    <n v="4013"/>
  </r>
  <r>
    <x v="1"/>
    <x v="7"/>
    <x v="6"/>
    <x v="146"/>
    <x v="120"/>
    <x v="120"/>
    <s v="REVENUS"/>
    <x v="11"/>
    <s v="4198.001"/>
    <s v="Impôt foncier"/>
    <n v="0"/>
    <n v="154118.04999999999"/>
    <n v="4198"/>
  </r>
  <r>
    <x v="1"/>
    <x v="7"/>
    <x v="6"/>
    <x v="146"/>
    <x v="120"/>
    <x v="120"/>
    <s v="REVENUS"/>
    <x v="17"/>
    <s v="4011.002"/>
    <s v="Complément impôt bénéfice ordinaire"/>
    <n v="0"/>
    <n v="-2587.5500000000002"/>
    <n v="4011"/>
  </r>
  <r>
    <x v="1"/>
    <x v="7"/>
    <x v="6"/>
    <x v="146"/>
    <x v="120"/>
    <x v="120"/>
    <s v="REVENUS"/>
    <x v="16"/>
    <s v="4012.001"/>
    <s v="Impôt capital ordinaire"/>
    <n v="0"/>
    <n v="44500.75"/>
    <n v="4012"/>
  </r>
  <r>
    <x v="1"/>
    <x v="7"/>
    <x v="6"/>
    <x v="146"/>
    <x v="120"/>
    <x v="120"/>
    <s v="REVENUS"/>
    <x v="6"/>
    <s v="4211.001"/>
    <s v="Intérêts de retard sur factures"/>
    <n v="0"/>
    <n v="1608.13"/>
    <n v="4211"/>
  </r>
  <r>
    <x v="1"/>
    <x v="7"/>
    <x v="6"/>
    <x v="146"/>
    <x v="120"/>
    <x v="120"/>
    <s v="REVENUS"/>
    <x v="6"/>
    <s v="4211.002"/>
    <s v="Intérêts de retard sur acomptes"/>
    <n v="0"/>
    <n v="741.39"/>
    <n v="4211"/>
  </r>
  <r>
    <x v="1"/>
    <x v="7"/>
    <x v="6"/>
    <x v="146"/>
    <x v="120"/>
    <x v="120"/>
    <s v="REVENUS"/>
    <x v="6"/>
    <s v="4221.001"/>
    <s v="Intérêts compensat. / créances en faveur du fisc"/>
    <n v="0"/>
    <n v="136.88999999999999"/>
    <n v="4221"/>
  </r>
  <r>
    <x v="1"/>
    <x v="7"/>
    <x v="6"/>
    <x v="146"/>
    <x v="120"/>
    <x v="120"/>
    <s v="REVENUS"/>
    <x v="16"/>
    <s v="4012.007"/>
    <s v="Acompte sur capital"/>
    <n v="0"/>
    <n v="-6713"/>
    <n v="4012"/>
  </r>
  <r>
    <x v="1"/>
    <x v="7"/>
    <x v="6"/>
    <x v="146"/>
    <x v="120"/>
    <x v="120"/>
    <s v="REVENUS"/>
    <x v="10"/>
    <s v="4041.001"/>
    <s v="Droits de mutation"/>
    <n v="0"/>
    <n v="75593.100000000006"/>
    <n v="4041"/>
  </r>
  <r>
    <x v="1"/>
    <x v="7"/>
    <x v="6"/>
    <x v="146"/>
    <x v="120"/>
    <x v="120"/>
    <s v="REVENUS"/>
    <x v="16"/>
    <s v="4012.002"/>
    <s v="Complément impôt capital ordinaire"/>
    <n v="0"/>
    <n v="328.3"/>
    <n v="4012"/>
  </r>
  <r>
    <x v="1"/>
    <x v="7"/>
    <x v="6"/>
    <x v="146"/>
    <x v="120"/>
    <x v="120"/>
    <s v="REVENUS"/>
    <x v="18"/>
    <s v="4013.002"/>
    <s v="Complément impôt complémentaire sur immeubles"/>
    <n v="0"/>
    <n v="699.75"/>
    <n v="4013"/>
  </r>
  <r>
    <x v="1"/>
    <x v="7"/>
    <x v="6"/>
    <x v="146"/>
    <x v="120"/>
    <x v="120"/>
    <s v="REVENUS"/>
    <x v="18"/>
    <s v="4013.003"/>
    <s v="Remboursement impôt complémentaire sur immeubles"/>
    <n v="0"/>
    <n v="-5476.75"/>
    <n v="4013"/>
  </r>
  <r>
    <x v="1"/>
    <x v="7"/>
    <x v="6"/>
    <x v="146"/>
    <x v="120"/>
    <x v="120"/>
    <s v="REVENUS"/>
    <x v="9"/>
    <s v="4031.001"/>
    <s v="Impôt sur les gains immobiliers"/>
    <n v="0"/>
    <n v="523.20000000000005"/>
    <n v="4031"/>
  </r>
  <r>
    <x v="1"/>
    <x v="7"/>
    <x v="6"/>
    <x v="146"/>
    <x v="120"/>
    <x v="120"/>
    <s v="REVENUS"/>
    <x v="6"/>
    <s v="4221.002"/>
    <s v="Intérêts compensat. sur impôts distincts"/>
    <n v="0"/>
    <n v="0.06"/>
    <n v="4221"/>
  </r>
  <r>
    <x v="1"/>
    <x v="5"/>
    <x v="1"/>
    <x v="147"/>
    <x v="127"/>
    <x v="127"/>
    <s v="CHARGES"/>
    <x v="0"/>
    <s v="3212.004"/>
    <s v="Intérêts rémun./perçu trop tôt sur acomptes C/C"/>
    <n v="127.94"/>
    <n v="0"/>
    <n v="3212"/>
  </r>
  <r>
    <x v="1"/>
    <x v="5"/>
    <x v="1"/>
    <x v="147"/>
    <x v="127"/>
    <x v="127"/>
    <s v="CHARGES"/>
    <x v="0"/>
    <s v="3221.002"/>
    <s v="Intérêts compensatoires / créances en faveur ctb."/>
    <n v="130.46"/>
    <n v="0"/>
    <n v="3221"/>
  </r>
  <r>
    <x v="1"/>
    <x v="5"/>
    <x v="1"/>
    <x v="147"/>
    <x v="127"/>
    <x v="127"/>
    <s v="CHARGES"/>
    <x v="1"/>
    <s v="3301.006"/>
    <s v="Abandon de solde PM"/>
    <n v="37.51"/>
    <n v="0"/>
    <n v="3301"/>
  </r>
  <r>
    <x v="1"/>
    <x v="5"/>
    <x v="1"/>
    <x v="147"/>
    <x v="127"/>
    <x v="127"/>
    <s v="CHARGES"/>
    <x v="1"/>
    <s v="3301.002"/>
    <s v="Défalcation PM"/>
    <n v="223.56"/>
    <n v="0"/>
    <n v="3301"/>
  </r>
  <r>
    <x v="1"/>
    <x v="5"/>
    <x v="1"/>
    <x v="147"/>
    <x v="127"/>
    <x v="127"/>
    <s v="CHARGES"/>
    <x v="0"/>
    <s v="3212.002"/>
    <s v="Intérêts bonifiés/trop perçu acompte C/C"/>
    <n v="78.84"/>
    <n v="0"/>
    <n v="3212"/>
  </r>
  <r>
    <x v="1"/>
    <x v="5"/>
    <x v="1"/>
    <x v="147"/>
    <x v="127"/>
    <x v="127"/>
    <s v="REVENUS"/>
    <x v="17"/>
    <s v="4011.007"/>
    <s v="Acompte sur bénéfice"/>
    <n v="0"/>
    <n v="-227186.9"/>
    <n v="4011"/>
  </r>
  <r>
    <x v="1"/>
    <x v="5"/>
    <x v="1"/>
    <x v="147"/>
    <x v="127"/>
    <x v="127"/>
    <s v="REVENUS"/>
    <x v="16"/>
    <s v="4012.001"/>
    <s v="Impôt capital ordinaire"/>
    <n v="0"/>
    <n v="1243.9000000000001"/>
    <n v="4012"/>
  </r>
  <r>
    <x v="1"/>
    <x v="5"/>
    <x v="1"/>
    <x v="147"/>
    <x v="127"/>
    <x v="127"/>
    <s v="REVENUS"/>
    <x v="17"/>
    <s v="4011.001"/>
    <s v="Impôt bénéfice ordinaire"/>
    <n v="0"/>
    <n v="642870.25"/>
    <n v="4011"/>
  </r>
  <r>
    <x v="1"/>
    <x v="5"/>
    <x v="1"/>
    <x v="147"/>
    <x v="127"/>
    <x v="127"/>
    <s v="REVENUS"/>
    <x v="17"/>
    <s v="4011.002"/>
    <s v="Complément impôt bénéfice ordinaire"/>
    <n v="0"/>
    <n v="3716.25"/>
    <n v="4011"/>
  </r>
  <r>
    <x v="1"/>
    <x v="5"/>
    <x v="1"/>
    <x v="147"/>
    <x v="127"/>
    <x v="127"/>
    <s v="REVENUS"/>
    <x v="16"/>
    <s v="4012.007"/>
    <s v="Acompte sur capital"/>
    <n v="0"/>
    <n v="925.1"/>
    <n v="4012"/>
  </r>
  <r>
    <x v="1"/>
    <x v="5"/>
    <x v="1"/>
    <x v="147"/>
    <x v="127"/>
    <x v="127"/>
    <s v="REVENUS"/>
    <x v="6"/>
    <s v="4211.001"/>
    <s v="Intérêts de retard sur factures"/>
    <n v="0"/>
    <n v="97.41"/>
    <n v="4211"/>
  </r>
  <r>
    <x v="1"/>
    <x v="5"/>
    <x v="1"/>
    <x v="147"/>
    <x v="127"/>
    <x v="127"/>
    <s v="REVENUS"/>
    <x v="6"/>
    <s v="4221.001"/>
    <s v="Intérêts compensat. / créances en faveur du fisc"/>
    <n v="0"/>
    <n v="474.35"/>
    <n v="4221"/>
  </r>
  <r>
    <x v="1"/>
    <x v="5"/>
    <x v="1"/>
    <x v="147"/>
    <x v="127"/>
    <x v="127"/>
    <s v="REVENUS"/>
    <x v="6"/>
    <s v="4211.002"/>
    <s v="Intérêts de retard sur acomptes"/>
    <n v="0"/>
    <n v="1008.17"/>
    <n v="4211"/>
  </r>
  <r>
    <x v="1"/>
    <x v="5"/>
    <x v="1"/>
    <x v="147"/>
    <x v="127"/>
    <x v="127"/>
    <s v="REVENUS"/>
    <x v="7"/>
    <s v="4184.000"/>
    <s v="Frais de poursuite"/>
    <n v="0"/>
    <n v="29.82"/>
    <n v="4184"/>
  </r>
  <r>
    <x v="1"/>
    <x v="5"/>
    <x v="1"/>
    <x v="147"/>
    <x v="127"/>
    <x v="127"/>
    <s v="REVENUS"/>
    <x v="16"/>
    <s v="4012.002"/>
    <s v="Complément impôt capital ordinaire"/>
    <n v="0"/>
    <n v="618.6"/>
    <n v="4012"/>
  </r>
  <r>
    <x v="1"/>
    <x v="5"/>
    <x v="1"/>
    <x v="147"/>
    <x v="127"/>
    <x v="127"/>
    <s v="REVENUS"/>
    <x v="10"/>
    <s v="4041.001"/>
    <s v="Droits de mutation"/>
    <n v="0"/>
    <n v="47850"/>
    <n v="4041"/>
  </r>
  <r>
    <x v="1"/>
    <x v="5"/>
    <x v="1"/>
    <x v="147"/>
    <x v="127"/>
    <x v="127"/>
    <s v="REVENUS"/>
    <x v="18"/>
    <s v="4013.003"/>
    <s v="Remboursement impôt complémentaire sur immeubles"/>
    <n v="0"/>
    <n v="-15207"/>
    <n v="4013"/>
  </r>
  <r>
    <x v="1"/>
    <x v="5"/>
    <x v="1"/>
    <x v="147"/>
    <x v="127"/>
    <x v="127"/>
    <s v="REVENUS"/>
    <x v="18"/>
    <s v="4013.001"/>
    <s v="Impôt complémentaire sur immeubles"/>
    <n v="0"/>
    <n v="43443.75"/>
    <n v="4013"/>
  </r>
  <r>
    <x v="1"/>
    <x v="5"/>
    <x v="1"/>
    <x v="148"/>
    <x v="128"/>
    <x v="128"/>
    <s v="CHARGES"/>
    <x v="0"/>
    <s v="3212.004"/>
    <s v="Intérêts rémun./perçu trop tôt sur acomptes C/C"/>
    <n v="39.89"/>
    <n v="0"/>
    <n v="3212"/>
  </r>
  <r>
    <x v="1"/>
    <x v="5"/>
    <x v="1"/>
    <x v="148"/>
    <x v="128"/>
    <x v="128"/>
    <s v="CHARGES"/>
    <x v="0"/>
    <s v="3221.002"/>
    <s v="Intérêts compensatoires / créances en faveur ctb."/>
    <n v="52.15"/>
    <n v="0"/>
    <n v="3221"/>
  </r>
  <r>
    <x v="1"/>
    <x v="5"/>
    <x v="1"/>
    <x v="148"/>
    <x v="128"/>
    <x v="128"/>
    <s v="CHARGES"/>
    <x v="0"/>
    <s v="3212.002"/>
    <s v="Intérêts bonifiés/trop perçu acompte C/C"/>
    <n v="0.08"/>
    <n v="0"/>
    <n v="3212"/>
  </r>
  <r>
    <x v="1"/>
    <x v="5"/>
    <x v="1"/>
    <x v="148"/>
    <x v="128"/>
    <x v="128"/>
    <s v="CHARGES"/>
    <x v="1"/>
    <s v="3301.006"/>
    <s v="Abandon de solde PM"/>
    <n v="13.47"/>
    <n v="0"/>
    <n v="3301"/>
  </r>
  <r>
    <x v="1"/>
    <x v="5"/>
    <x v="1"/>
    <x v="148"/>
    <x v="128"/>
    <x v="128"/>
    <s v="REVENUS"/>
    <x v="17"/>
    <s v="4011.001"/>
    <s v="Impôt bénéfice ordinaire"/>
    <n v="0"/>
    <n v="122033"/>
    <n v="4011"/>
  </r>
  <r>
    <x v="1"/>
    <x v="5"/>
    <x v="1"/>
    <x v="148"/>
    <x v="128"/>
    <x v="128"/>
    <s v="REVENUS"/>
    <x v="6"/>
    <s v="4211.002"/>
    <s v="Intérêts de retard sur acomptes"/>
    <n v="0"/>
    <n v="77.56"/>
    <n v="4211"/>
  </r>
  <r>
    <x v="1"/>
    <x v="5"/>
    <x v="1"/>
    <x v="148"/>
    <x v="128"/>
    <x v="128"/>
    <s v="REVENUS"/>
    <x v="6"/>
    <s v="4221.001"/>
    <s v="Intérêts compensat. / créances en faveur du fisc"/>
    <n v="0"/>
    <n v="59.03"/>
    <n v="4221"/>
  </r>
  <r>
    <x v="1"/>
    <x v="5"/>
    <x v="1"/>
    <x v="148"/>
    <x v="128"/>
    <x v="128"/>
    <s v="REVENUS"/>
    <x v="17"/>
    <s v="4011.007"/>
    <s v="Acompte sur bénéfice"/>
    <n v="0"/>
    <n v="-114522.95"/>
    <n v="4011"/>
  </r>
  <r>
    <x v="1"/>
    <x v="5"/>
    <x v="1"/>
    <x v="148"/>
    <x v="128"/>
    <x v="128"/>
    <s v="REVENUS"/>
    <x v="16"/>
    <s v="4012.007"/>
    <s v="Acompte sur capital"/>
    <n v="0"/>
    <n v="523.20000000000005"/>
    <n v="4012"/>
  </r>
  <r>
    <x v="1"/>
    <x v="5"/>
    <x v="1"/>
    <x v="148"/>
    <x v="128"/>
    <x v="128"/>
    <s v="REVENUS"/>
    <x v="18"/>
    <s v="4013.003"/>
    <s v="Remboursement impôt complémentaire sur immeubles"/>
    <n v="0"/>
    <n v="-1610.4"/>
    <n v="4013"/>
  </r>
  <r>
    <x v="1"/>
    <x v="5"/>
    <x v="1"/>
    <x v="148"/>
    <x v="128"/>
    <x v="128"/>
    <s v="REVENUS"/>
    <x v="17"/>
    <s v="4011.002"/>
    <s v="Complément impôt bénéfice ordinaire"/>
    <n v="0"/>
    <n v="3435.8"/>
    <n v="4011"/>
  </r>
  <r>
    <x v="1"/>
    <x v="5"/>
    <x v="1"/>
    <x v="148"/>
    <x v="128"/>
    <x v="128"/>
    <s v="REVENUS"/>
    <x v="16"/>
    <s v="4012.001"/>
    <s v="Impôt capital ordinaire"/>
    <n v="0"/>
    <n v="2101.75"/>
    <n v="4012"/>
  </r>
  <r>
    <x v="1"/>
    <x v="5"/>
    <x v="1"/>
    <x v="148"/>
    <x v="128"/>
    <x v="128"/>
    <s v="REVENUS"/>
    <x v="6"/>
    <s v="4211.001"/>
    <s v="Intérêts de retard sur factures"/>
    <n v="0"/>
    <n v="5.15"/>
    <n v="4211"/>
  </r>
  <r>
    <x v="1"/>
    <x v="5"/>
    <x v="1"/>
    <x v="148"/>
    <x v="128"/>
    <x v="128"/>
    <s v="REVENUS"/>
    <x v="18"/>
    <s v="4013.001"/>
    <s v="Impôt complémentaire sur immeubles"/>
    <n v="0"/>
    <n v="5300.9"/>
    <n v="4013"/>
  </r>
  <r>
    <x v="1"/>
    <x v="5"/>
    <x v="1"/>
    <x v="148"/>
    <x v="128"/>
    <x v="128"/>
    <s v="REVENUS"/>
    <x v="7"/>
    <s v="4184.000"/>
    <s v="Frais de poursuite"/>
    <n v="0"/>
    <n v="9.19"/>
    <n v="4184"/>
  </r>
  <r>
    <x v="1"/>
    <x v="5"/>
    <x v="1"/>
    <x v="149"/>
    <x v="129"/>
    <x v="129"/>
    <s v="CHARGES"/>
    <x v="1"/>
    <s v="3301.006"/>
    <s v="Abandon de solde PM"/>
    <n v="28.78"/>
    <n v="0"/>
    <n v="3301"/>
  </r>
  <r>
    <x v="1"/>
    <x v="5"/>
    <x v="1"/>
    <x v="149"/>
    <x v="129"/>
    <x v="129"/>
    <s v="CHARGES"/>
    <x v="0"/>
    <s v="3212.004"/>
    <s v="Intérêts rémun./perçu trop tôt sur acomptes C/C"/>
    <n v="79.489999999999995"/>
    <n v="0"/>
    <n v="3212"/>
  </r>
  <r>
    <x v="1"/>
    <x v="5"/>
    <x v="1"/>
    <x v="149"/>
    <x v="129"/>
    <x v="129"/>
    <s v="CHARGES"/>
    <x v="0"/>
    <s v="3221.002"/>
    <s v="Intérêts compensatoires / créances en faveur ctb."/>
    <n v="76.56"/>
    <n v="0"/>
    <n v="3221"/>
  </r>
  <r>
    <x v="1"/>
    <x v="5"/>
    <x v="1"/>
    <x v="149"/>
    <x v="129"/>
    <x v="129"/>
    <s v="CHARGES"/>
    <x v="0"/>
    <s v="3212.002"/>
    <s v="Intérêts bonifiés/trop perçu acompte C/C"/>
    <n v="0.1"/>
    <n v="0"/>
    <n v="3212"/>
  </r>
  <r>
    <x v="1"/>
    <x v="5"/>
    <x v="1"/>
    <x v="149"/>
    <x v="129"/>
    <x v="129"/>
    <s v="REVENUS"/>
    <x v="16"/>
    <s v="4012.001"/>
    <s v="Impôt capital ordinaire"/>
    <n v="0"/>
    <n v="78048.399999999994"/>
    <n v="4012"/>
  </r>
  <r>
    <x v="1"/>
    <x v="5"/>
    <x v="1"/>
    <x v="149"/>
    <x v="129"/>
    <x v="129"/>
    <s v="REVENUS"/>
    <x v="16"/>
    <s v="4012.007"/>
    <s v="Acompte sur capital"/>
    <n v="0"/>
    <n v="-89042.25"/>
    <n v="4012"/>
  </r>
  <r>
    <x v="1"/>
    <x v="5"/>
    <x v="1"/>
    <x v="149"/>
    <x v="129"/>
    <x v="129"/>
    <s v="REVENUS"/>
    <x v="18"/>
    <s v="4013.003"/>
    <s v="Remboursement impôt complémentaire sur immeubles"/>
    <n v="0"/>
    <n v="-4412.5"/>
    <n v="4013"/>
  </r>
  <r>
    <x v="1"/>
    <x v="5"/>
    <x v="1"/>
    <x v="149"/>
    <x v="129"/>
    <x v="129"/>
    <s v="REVENUS"/>
    <x v="6"/>
    <s v="4211.002"/>
    <s v="Intérêts de retard sur acomptes"/>
    <n v="0"/>
    <n v="98.27"/>
    <n v="4211"/>
  </r>
  <r>
    <x v="1"/>
    <x v="5"/>
    <x v="1"/>
    <x v="149"/>
    <x v="129"/>
    <x v="129"/>
    <s v="REVENUS"/>
    <x v="6"/>
    <s v="4221.001"/>
    <s v="Intérêts compensat. / créances en faveur du fisc"/>
    <n v="0"/>
    <n v="3.27"/>
    <n v="4221"/>
  </r>
  <r>
    <x v="1"/>
    <x v="5"/>
    <x v="1"/>
    <x v="149"/>
    <x v="129"/>
    <x v="129"/>
    <s v="REVENUS"/>
    <x v="17"/>
    <s v="4011.007"/>
    <s v="Acompte sur bénéfice"/>
    <n v="0"/>
    <n v="-56143.95"/>
    <n v="4011"/>
  </r>
  <r>
    <x v="1"/>
    <x v="5"/>
    <x v="1"/>
    <x v="149"/>
    <x v="129"/>
    <x v="129"/>
    <s v="REVENUS"/>
    <x v="17"/>
    <s v="4011.002"/>
    <s v="Complément impôt bénéfice ordinaire"/>
    <n v="0"/>
    <n v="2417.9499999999998"/>
    <n v="4011"/>
  </r>
  <r>
    <x v="1"/>
    <x v="5"/>
    <x v="1"/>
    <x v="149"/>
    <x v="129"/>
    <x v="129"/>
    <s v="REVENUS"/>
    <x v="17"/>
    <s v="4011.001"/>
    <s v="Impôt bénéfice ordinaire"/>
    <n v="0"/>
    <n v="16503.400000000001"/>
    <n v="4011"/>
  </r>
  <r>
    <x v="1"/>
    <x v="5"/>
    <x v="1"/>
    <x v="149"/>
    <x v="129"/>
    <x v="129"/>
    <s v="REVENUS"/>
    <x v="6"/>
    <s v="4211.001"/>
    <s v="Intérêts de retard sur factures"/>
    <n v="0"/>
    <n v="8.8800000000000008"/>
    <n v="4211"/>
  </r>
  <r>
    <x v="1"/>
    <x v="5"/>
    <x v="1"/>
    <x v="149"/>
    <x v="129"/>
    <x v="129"/>
    <s v="REVENUS"/>
    <x v="10"/>
    <s v="4041.001"/>
    <s v="Droits de mutation"/>
    <n v="0"/>
    <n v="55"/>
    <n v="4041"/>
  </r>
  <r>
    <x v="1"/>
    <x v="5"/>
    <x v="1"/>
    <x v="149"/>
    <x v="129"/>
    <x v="129"/>
    <s v="REVENUS"/>
    <x v="18"/>
    <s v="4013.001"/>
    <s v="Impôt complémentaire sur immeubles"/>
    <n v="0"/>
    <n v="3425.5"/>
    <n v="4013"/>
  </r>
  <r>
    <x v="1"/>
    <x v="8"/>
    <x v="8"/>
    <x v="150"/>
    <x v="130"/>
    <x v="130"/>
    <s v="CHARGES"/>
    <x v="0"/>
    <s v="3212.004"/>
    <s v="Intérêts rémun./perçu trop tôt sur acomptes C/C"/>
    <n v="1817.63"/>
    <n v="0"/>
    <n v="3212"/>
  </r>
  <r>
    <x v="1"/>
    <x v="8"/>
    <x v="8"/>
    <x v="150"/>
    <x v="130"/>
    <x v="130"/>
    <s v="CHARGES"/>
    <x v="0"/>
    <s v="3221.002"/>
    <s v="Intérêts compensatoires / créances en faveur ctb."/>
    <n v="1037.27"/>
    <n v="0"/>
    <n v="3221"/>
  </r>
  <r>
    <x v="1"/>
    <x v="8"/>
    <x v="8"/>
    <x v="150"/>
    <x v="130"/>
    <x v="130"/>
    <s v="CHARGES"/>
    <x v="1"/>
    <s v="3301.006"/>
    <s v="Abandon de solde PM"/>
    <n v="275.14"/>
    <n v="0"/>
    <n v="3301"/>
  </r>
  <r>
    <x v="1"/>
    <x v="8"/>
    <x v="8"/>
    <x v="150"/>
    <x v="130"/>
    <x v="130"/>
    <s v="CHARGES"/>
    <x v="0"/>
    <s v="3212.002"/>
    <s v="Intérêts bonifiés/trop perçu acompte C/C"/>
    <n v="25.48"/>
    <n v="0"/>
    <n v="3212"/>
  </r>
  <r>
    <x v="1"/>
    <x v="8"/>
    <x v="8"/>
    <x v="150"/>
    <x v="130"/>
    <x v="130"/>
    <s v="CHARGES"/>
    <x v="1"/>
    <s v="3301.002"/>
    <s v="Défalcation PM"/>
    <n v="12465.82"/>
    <n v="0"/>
    <n v="3301"/>
  </r>
  <r>
    <x v="1"/>
    <x v="8"/>
    <x v="8"/>
    <x v="150"/>
    <x v="130"/>
    <x v="130"/>
    <s v="REVENUS"/>
    <x v="17"/>
    <s v="4011.001"/>
    <s v="Impôt bénéfice ordinaire"/>
    <n v="0"/>
    <n v="7347123.5499999998"/>
    <n v="4011"/>
  </r>
  <r>
    <x v="1"/>
    <x v="8"/>
    <x v="8"/>
    <x v="150"/>
    <x v="130"/>
    <x v="130"/>
    <s v="REVENUS"/>
    <x v="17"/>
    <s v="4011.007"/>
    <s v="Acompte sur bénéfice"/>
    <n v="0"/>
    <n v="-5077269.25"/>
    <n v="4011"/>
  </r>
  <r>
    <x v="1"/>
    <x v="8"/>
    <x v="8"/>
    <x v="150"/>
    <x v="130"/>
    <x v="130"/>
    <s v="REVENUS"/>
    <x v="16"/>
    <s v="4012.001"/>
    <s v="Impôt capital ordinaire"/>
    <n v="0"/>
    <n v="131219.9"/>
    <n v="4012"/>
  </r>
  <r>
    <x v="1"/>
    <x v="8"/>
    <x v="8"/>
    <x v="150"/>
    <x v="130"/>
    <x v="130"/>
    <s v="REVENUS"/>
    <x v="16"/>
    <s v="4012.007"/>
    <s v="Acompte sur capital"/>
    <n v="0"/>
    <n v="-11866.15"/>
    <n v="4012"/>
  </r>
  <r>
    <x v="1"/>
    <x v="8"/>
    <x v="8"/>
    <x v="150"/>
    <x v="130"/>
    <x v="130"/>
    <s v="REVENUS"/>
    <x v="6"/>
    <s v="4211.002"/>
    <s v="Intérêts de retard sur acomptes"/>
    <n v="0"/>
    <n v="9120.65"/>
    <n v="4211"/>
  </r>
  <r>
    <x v="1"/>
    <x v="8"/>
    <x v="8"/>
    <x v="150"/>
    <x v="130"/>
    <x v="130"/>
    <s v="REVENUS"/>
    <x v="6"/>
    <s v="4221.001"/>
    <s v="Intérêts compensat. / créances en faveur du fisc"/>
    <n v="0"/>
    <n v="1822.78"/>
    <n v="4221"/>
  </r>
  <r>
    <x v="1"/>
    <x v="8"/>
    <x v="8"/>
    <x v="150"/>
    <x v="130"/>
    <x v="130"/>
    <s v="REVENUS"/>
    <x v="18"/>
    <s v="4013.001"/>
    <s v="Impôt complémentaire sur immeubles"/>
    <n v="0"/>
    <n v="412516.9"/>
    <n v="4013"/>
  </r>
  <r>
    <x v="1"/>
    <x v="8"/>
    <x v="8"/>
    <x v="150"/>
    <x v="130"/>
    <x v="130"/>
    <s v="REVENUS"/>
    <x v="6"/>
    <s v="4211.001"/>
    <s v="Intérêts de retard sur factures"/>
    <n v="0"/>
    <n v="22276.13"/>
    <n v="4211"/>
  </r>
  <r>
    <x v="1"/>
    <x v="8"/>
    <x v="8"/>
    <x v="150"/>
    <x v="130"/>
    <x v="130"/>
    <s v="REVENUS"/>
    <x v="17"/>
    <s v="4011.002"/>
    <s v="Complément impôt bénéfice ordinaire"/>
    <n v="0"/>
    <n v="321647.05"/>
    <n v="4011"/>
  </r>
  <r>
    <x v="1"/>
    <x v="8"/>
    <x v="8"/>
    <x v="150"/>
    <x v="130"/>
    <x v="130"/>
    <s v="REVENUS"/>
    <x v="16"/>
    <s v="4012.002"/>
    <s v="Complément impôt capital ordinaire"/>
    <n v="0"/>
    <n v="38541.550000000003"/>
    <n v="4012"/>
  </r>
  <r>
    <x v="1"/>
    <x v="8"/>
    <x v="8"/>
    <x v="150"/>
    <x v="130"/>
    <x v="130"/>
    <s v="REVENUS"/>
    <x v="7"/>
    <s v="4184.000"/>
    <s v="Frais de poursuite"/>
    <n v="0"/>
    <n v="1037.1500000000001"/>
    <n v="4184"/>
  </r>
  <r>
    <x v="1"/>
    <x v="8"/>
    <x v="8"/>
    <x v="150"/>
    <x v="130"/>
    <x v="130"/>
    <s v="REVENUS"/>
    <x v="18"/>
    <s v="4013.002"/>
    <s v="Complément impôt complémentaire sur immeubles"/>
    <n v="0"/>
    <n v="3796"/>
    <n v="4013"/>
  </r>
  <r>
    <x v="1"/>
    <x v="8"/>
    <x v="8"/>
    <x v="150"/>
    <x v="130"/>
    <x v="130"/>
    <s v="REVENUS"/>
    <x v="9"/>
    <s v="4031.001"/>
    <s v="Impôt sur les gains immobiliers"/>
    <n v="0"/>
    <n v="75238.3"/>
    <n v="4031"/>
  </r>
  <r>
    <x v="1"/>
    <x v="8"/>
    <x v="8"/>
    <x v="150"/>
    <x v="130"/>
    <x v="130"/>
    <s v="REVENUS"/>
    <x v="8"/>
    <s v="4091.001"/>
    <s v="Impôt récupéré après défalcations"/>
    <n v="0"/>
    <n v="5730.33"/>
    <n v="4091"/>
  </r>
  <r>
    <x v="1"/>
    <x v="8"/>
    <x v="8"/>
    <x v="150"/>
    <x v="130"/>
    <x v="130"/>
    <s v="REVENUS"/>
    <x v="18"/>
    <s v="4013.003"/>
    <s v="Remboursement impôt complémentaire sur immeubles"/>
    <n v="0"/>
    <n v="-28172.95"/>
    <n v="4013"/>
  </r>
  <r>
    <x v="1"/>
    <x v="5"/>
    <x v="1"/>
    <x v="151"/>
    <x v="131"/>
    <x v="131"/>
    <s v="CHARGES"/>
    <x v="0"/>
    <s v="3221.002"/>
    <s v="Intérêts compensatoires / créances en faveur ctb."/>
    <n v="58.49"/>
    <n v="0"/>
    <n v="3221"/>
  </r>
  <r>
    <x v="1"/>
    <x v="5"/>
    <x v="1"/>
    <x v="151"/>
    <x v="131"/>
    <x v="131"/>
    <s v="CHARGES"/>
    <x v="0"/>
    <s v="3212.002"/>
    <s v="Intérêts bonifiés/trop perçu acompte C/C"/>
    <n v="1.69"/>
    <n v="0"/>
    <n v="3212"/>
  </r>
  <r>
    <x v="1"/>
    <x v="5"/>
    <x v="1"/>
    <x v="151"/>
    <x v="131"/>
    <x v="131"/>
    <s v="CHARGES"/>
    <x v="0"/>
    <s v="3212.004"/>
    <s v="Intérêts rémun./perçu trop tôt sur acomptes C/C"/>
    <n v="81.180000000000007"/>
    <n v="0"/>
    <n v="3212"/>
  </r>
  <r>
    <x v="1"/>
    <x v="5"/>
    <x v="1"/>
    <x v="151"/>
    <x v="131"/>
    <x v="131"/>
    <s v="REVENUS"/>
    <x v="18"/>
    <s v="4013.001"/>
    <s v="Impôt complémentaire sur immeubles"/>
    <n v="0"/>
    <n v="9843.5"/>
    <n v="4013"/>
  </r>
  <r>
    <x v="1"/>
    <x v="5"/>
    <x v="1"/>
    <x v="151"/>
    <x v="131"/>
    <x v="131"/>
    <s v="REVENUS"/>
    <x v="17"/>
    <s v="4011.001"/>
    <s v="Impôt bénéfice ordinaire"/>
    <n v="0"/>
    <n v="16773.55"/>
    <n v="4011"/>
  </r>
  <r>
    <x v="1"/>
    <x v="5"/>
    <x v="1"/>
    <x v="151"/>
    <x v="131"/>
    <x v="131"/>
    <s v="REVENUS"/>
    <x v="17"/>
    <s v="4011.002"/>
    <s v="Complément impôt bénéfice ordinaire"/>
    <n v="0"/>
    <n v="1969.2"/>
    <n v="4011"/>
  </r>
  <r>
    <x v="1"/>
    <x v="5"/>
    <x v="1"/>
    <x v="151"/>
    <x v="131"/>
    <x v="131"/>
    <s v="REVENUS"/>
    <x v="6"/>
    <s v="4211.001"/>
    <s v="Intérêts de retard sur factures"/>
    <n v="0"/>
    <n v="8.48"/>
    <n v="4211"/>
  </r>
  <r>
    <x v="1"/>
    <x v="5"/>
    <x v="1"/>
    <x v="151"/>
    <x v="131"/>
    <x v="131"/>
    <s v="REVENUS"/>
    <x v="6"/>
    <s v="4221.001"/>
    <s v="Intérêts compensat. / créances en faveur du fisc"/>
    <n v="0"/>
    <n v="7.13"/>
    <n v="4221"/>
  </r>
  <r>
    <x v="1"/>
    <x v="5"/>
    <x v="1"/>
    <x v="151"/>
    <x v="131"/>
    <x v="131"/>
    <s v="REVENUS"/>
    <x v="18"/>
    <s v="4013.003"/>
    <s v="Remboursement impôt complémentaire sur immeubles"/>
    <n v="0"/>
    <n v="-561"/>
    <n v="4013"/>
  </r>
  <r>
    <x v="1"/>
    <x v="5"/>
    <x v="1"/>
    <x v="151"/>
    <x v="131"/>
    <x v="131"/>
    <s v="REVENUS"/>
    <x v="17"/>
    <s v="4011.007"/>
    <s v="Acompte sur bénéfice"/>
    <n v="0"/>
    <n v="-1755.5"/>
    <n v="4011"/>
  </r>
  <r>
    <x v="1"/>
    <x v="5"/>
    <x v="1"/>
    <x v="151"/>
    <x v="131"/>
    <x v="131"/>
    <s v="REVENUS"/>
    <x v="16"/>
    <s v="4012.007"/>
    <s v="Acompte sur capital"/>
    <n v="0"/>
    <n v="843.45"/>
    <n v="4012"/>
  </r>
  <r>
    <x v="1"/>
    <x v="5"/>
    <x v="1"/>
    <x v="151"/>
    <x v="131"/>
    <x v="131"/>
    <s v="REVENUS"/>
    <x v="6"/>
    <s v="4211.002"/>
    <s v="Intérêts de retard sur acomptes"/>
    <n v="0"/>
    <n v="74.650000000000006"/>
    <n v="4211"/>
  </r>
  <r>
    <x v="1"/>
    <x v="5"/>
    <x v="1"/>
    <x v="151"/>
    <x v="131"/>
    <x v="131"/>
    <s v="REVENUS"/>
    <x v="16"/>
    <s v="4012.002"/>
    <s v="Complément impôt capital ordinaire"/>
    <n v="0"/>
    <n v="244.55"/>
    <n v="4012"/>
  </r>
  <r>
    <x v="1"/>
    <x v="5"/>
    <x v="1"/>
    <x v="151"/>
    <x v="131"/>
    <x v="131"/>
    <s v="REVENUS"/>
    <x v="16"/>
    <s v="4012.001"/>
    <s v="Impôt capital ordinaire"/>
    <n v="0"/>
    <n v="32.5"/>
    <n v="4012"/>
  </r>
  <r>
    <x v="1"/>
    <x v="8"/>
    <x v="8"/>
    <x v="152"/>
    <x v="132"/>
    <x v="132"/>
    <s v="CHARGES"/>
    <x v="0"/>
    <s v="3212.004"/>
    <s v="Intérêts rémun./perçu trop tôt sur acomptes C/C"/>
    <n v="223.39"/>
    <n v="0"/>
    <n v="3212"/>
  </r>
  <r>
    <x v="1"/>
    <x v="8"/>
    <x v="8"/>
    <x v="152"/>
    <x v="132"/>
    <x v="132"/>
    <s v="CHARGES"/>
    <x v="1"/>
    <s v="3301.006"/>
    <s v="Abandon de solde PM"/>
    <n v="177.82"/>
    <n v="0"/>
    <n v="3301"/>
  </r>
  <r>
    <x v="1"/>
    <x v="8"/>
    <x v="8"/>
    <x v="152"/>
    <x v="132"/>
    <x v="132"/>
    <s v="CHARGES"/>
    <x v="0"/>
    <s v="3221.002"/>
    <s v="Intérêts compensatoires / créances en faveur ctb."/>
    <n v="204.96"/>
    <n v="0"/>
    <n v="3221"/>
  </r>
  <r>
    <x v="1"/>
    <x v="8"/>
    <x v="8"/>
    <x v="152"/>
    <x v="132"/>
    <x v="132"/>
    <s v="CHARGES"/>
    <x v="0"/>
    <s v="3212.002"/>
    <s v="Intérêts bonifiés/trop perçu acompte C/C"/>
    <n v="0.45"/>
    <n v="0"/>
    <n v="3212"/>
  </r>
  <r>
    <x v="1"/>
    <x v="8"/>
    <x v="8"/>
    <x v="152"/>
    <x v="132"/>
    <x v="132"/>
    <s v="CHARGES"/>
    <x v="1"/>
    <s v="3301.002"/>
    <s v="Défalcation PM"/>
    <n v="13593.46"/>
    <n v="0"/>
    <n v="3301"/>
  </r>
  <r>
    <x v="1"/>
    <x v="8"/>
    <x v="8"/>
    <x v="152"/>
    <x v="132"/>
    <x v="132"/>
    <s v="REVENUS"/>
    <x v="17"/>
    <s v="4011.001"/>
    <s v="Impôt bénéfice ordinaire"/>
    <n v="0"/>
    <n v="1047514.5"/>
    <n v="4011"/>
  </r>
  <r>
    <x v="1"/>
    <x v="8"/>
    <x v="8"/>
    <x v="152"/>
    <x v="132"/>
    <x v="132"/>
    <s v="REVENUS"/>
    <x v="17"/>
    <s v="4011.007"/>
    <s v="Acompte sur bénéfice"/>
    <n v="0"/>
    <n v="-1592196.9"/>
    <n v="4011"/>
  </r>
  <r>
    <x v="1"/>
    <x v="8"/>
    <x v="8"/>
    <x v="152"/>
    <x v="132"/>
    <x v="132"/>
    <s v="REVENUS"/>
    <x v="16"/>
    <s v="4012.001"/>
    <s v="Impôt capital ordinaire"/>
    <n v="0"/>
    <n v="42407.75"/>
    <n v="4012"/>
  </r>
  <r>
    <x v="1"/>
    <x v="8"/>
    <x v="8"/>
    <x v="152"/>
    <x v="132"/>
    <x v="132"/>
    <s v="REVENUS"/>
    <x v="16"/>
    <s v="4012.007"/>
    <s v="Acompte sur capital"/>
    <n v="0"/>
    <n v="126325.05"/>
    <n v="4012"/>
  </r>
  <r>
    <x v="1"/>
    <x v="8"/>
    <x v="8"/>
    <x v="152"/>
    <x v="132"/>
    <x v="132"/>
    <s v="REVENUS"/>
    <x v="6"/>
    <s v="4211.002"/>
    <s v="Intérêts de retard sur acomptes"/>
    <n v="0"/>
    <n v="2079.41"/>
    <n v="4211"/>
  </r>
  <r>
    <x v="1"/>
    <x v="8"/>
    <x v="8"/>
    <x v="152"/>
    <x v="132"/>
    <x v="132"/>
    <s v="REVENUS"/>
    <x v="6"/>
    <s v="4221.001"/>
    <s v="Intérêts compensat. / créances en faveur du fisc"/>
    <n v="0"/>
    <n v="175.3"/>
    <n v="4221"/>
  </r>
  <r>
    <x v="1"/>
    <x v="8"/>
    <x v="8"/>
    <x v="152"/>
    <x v="132"/>
    <x v="132"/>
    <s v="REVENUS"/>
    <x v="17"/>
    <s v="4011.002"/>
    <s v="Complément impôt bénéfice ordinaire"/>
    <n v="0"/>
    <n v="37216.400000000001"/>
    <n v="4011"/>
  </r>
  <r>
    <x v="1"/>
    <x v="8"/>
    <x v="8"/>
    <x v="152"/>
    <x v="132"/>
    <x v="132"/>
    <s v="REVENUS"/>
    <x v="6"/>
    <s v="4211.001"/>
    <s v="Intérêts de retard sur factures"/>
    <n v="0"/>
    <n v="8011.85"/>
    <n v="4211"/>
  </r>
  <r>
    <x v="1"/>
    <x v="8"/>
    <x v="8"/>
    <x v="152"/>
    <x v="132"/>
    <x v="132"/>
    <s v="REVENUS"/>
    <x v="18"/>
    <s v="4013.001"/>
    <s v="Impôt complémentaire sur immeubles"/>
    <n v="0"/>
    <n v="333918.45"/>
    <n v="4013"/>
  </r>
  <r>
    <x v="1"/>
    <x v="8"/>
    <x v="8"/>
    <x v="152"/>
    <x v="132"/>
    <x v="132"/>
    <s v="REVENUS"/>
    <x v="7"/>
    <s v="4184.000"/>
    <s v="Frais de poursuite"/>
    <n v="0"/>
    <n v="429.5"/>
    <n v="4184"/>
  </r>
  <r>
    <x v="1"/>
    <x v="8"/>
    <x v="8"/>
    <x v="152"/>
    <x v="132"/>
    <x v="132"/>
    <s v="REVENUS"/>
    <x v="8"/>
    <s v="4091.001"/>
    <s v="Impôt récupéré après défalcations"/>
    <n v="0"/>
    <n v="4984.5200000000004"/>
    <n v="4091"/>
  </r>
  <r>
    <x v="1"/>
    <x v="8"/>
    <x v="8"/>
    <x v="152"/>
    <x v="132"/>
    <x v="132"/>
    <s v="REVENUS"/>
    <x v="10"/>
    <s v="4041.001"/>
    <s v="Droits de mutation"/>
    <n v="0"/>
    <n v="641190"/>
    <n v="4041"/>
  </r>
  <r>
    <x v="1"/>
    <x v="8"/>
    <x v="8"/>
    <x v="152"/>
    <x v="132"/>
    <x v="132"/>
    <s v="REVENUS"/>
    <x v="18"/>
    <s v="4013.003"/>
    <s v="Remboursement impôt complémentaire sur immeubles"/>
    <n v="0"/>
    <n v="-110945.95"/>
    <n v="4013"/>
  </r>
  <r>
    <x v="1"/>
    <x v="8"/>
    <x v="8"/>
    <x v="152"/>
    <x v="132"/>
    <x v="132"/>
    <s v="REVENUS"/>
    <x v="16"/>
    <s v="4012.002"/>
    <s v="Complément impôt capital ordinaire"/>
    <n v="0"/>
    <n v="-90.7"/>
    <n v="4012"/>
  </r>
  <r>
    <x v="1"/>
    <x v="8"/>
    <x v="8"/>
    <x v="152"/>
    <x v="132"/>
    <x v="132"/>
    <s v="REVENUS"/>
    <x v="6"/>
    <s v="4221.003"/>
    <s v="Intérêts compensat. / acomptes en faveur du fisc"/>
    <n v="0"/>
    <n v="0.04"/>
    <n v="4221"/>
  </r>
  <r>
    <x v="1"/>
    <x v="8"/>
    <x v="8"/>
    <x v="152"/>
    <x v="132"/>
    <x v="132"/>
    <s v="REVENUS"/>
    <x v="18"/>
    <s v="4013.002"/>
    <s v="Complément impôt complémentaire sur immeubles"/>
    <n v="0"/>
    <n v="3100"/>
    <n v="4013"/>
  </r>
  <r>
    <x v="1"/>
    <x v="5"/>
    <x v="1"/>
    <x v="153"/>
    <x v="133"/>
    <x v="133"/>
    <s v="CHARGES"/>
    <x v="0"/>
    <s v="3221.002"/>
    <s v="Intérêts compensatoires / créances en faveur ctb."/>
    <n v="1.03"/>
    <n v="0"/>
    <n v="3221"/>
  </r>
  <r>
    <x v="1"/>
    <x v="5"/>
    <x v="1"/>
    <x v="153"/>
    <x v="133"/>
    <x v="133"/>
    <s v="CHARGES"/>
    <x v="0"/>
    <s v="3212.004"/>
    <s v="Intérêts rémun./perçu trop tôt sur acomptes C/C"/>
    <n v="1.03"/>
    <n v="0"/>
    <n v="3212"/>
  </r>
  <r>
    <x v="1"/>
    <x v="5"/>
    <x v="1"/>
    <x v="153"/>
    <x v="133"/>
    <x v="133"/>
    <s v="CHARGES"/>
    <x v="1"/>
    <s v="3301.006"/>
    <s v="Abandon de solde PM"/>
    <n v="7.86"/>
    <n v="0"/>
    <n v="3301"/>
  </r>
  <r>
    <x v="1"/>
    <x v="5"/>
    <x v="1"/>
    <x v="153"/>
    <x v="133"/>
    <x v="133"/>
    <s v="REVENUS"/>
    <x v="17"/>
    <s v="4011.001"/>
    <s v="Impôt bénéfice ordinaire"/>
    <n v="0"/>
    <n v="4711.1000000000004"/>
    <n v="4011"/>
  </r>
  <r>
    <x v="1"/>
    <x v="5"/>
    <x v="1"/>
    <x v="153"/>
    <x v="133"/>
    <x v="133"/>
    <s v="REVENUS"/>
    <x v="17"/>
    <s v="4011.002"/>
    <s v="Complément impôt bénéfice ordinaire"/>
    <n v="0"/>
    <n v="285.89999999999998"/>
    <n v="4011"/>
  </r>
  <r>
    <x v="1"/>
    <x v="5"/>
    <x v="1"/>
    <x v="153"/>
    <x v="133"/>
    <x v="133"/>
    <s v="REVENUS"/>
    <x v="6"/>
    <s v="4211.001"/>
    <s v="Intérêts de retard sur factures"/>
    <n v="0"/>
    <n v="0.17"/>
    <n v="4211"/>
  </r>
  <r>
    <x v="1"/>
    <x v="5"/>
    <x v="1"/>
    <x v="153"/>
    <x v="133"/>
    <x v="133"/>
    <s v="REVENUS"/>
    <x v="6"/>
    <s v="4221.001"/>
    <s v="Intérêts compensat. / créances en faveur du fisc"/>
    <n v="0"/>
    <n v="2.84"/>
    <n v="4221"/>
  </r>
  <r>
    <x v="1"/>
    <x v="5"/>
    <x v="1"/>
    <x v="153"/>
    <x v="133"/>
    <x v="133"/>
    <s v="REVENUS"/>
    <x v="17"/>
    <s v="4011.007"/>
    <s v="Acompte sur bénéfice"/>
    <n v="0"/>
    <n v="-178.85"/>
    <n v="4011"/>
  </r>
  <r>
    <x v="1"/>
    <x v="5"/>
    <x v="1"/>
    <x v="153"/>
    <x v="133"/>
    <x v="133"/>
    <s v="REVENUS"/>
    <x v="6"/>
    <s v="4211.002"/>
    <s v="Intérêts de retard sur acomptes"/>
    <n v="0"/>
    <n v="52.1"/>
    <n v="4211"/>
  </r>
  <r>
    <x v="1"/>
    <x v="5"/>
    <x v="1"/>
    <x v="153"/>
    <x v="133"/>
    <x v="133"/>
    <s v="REVENUS"/>
    <x v="16"/>
    <s v="4012.001"/>
    <s v="Impôt capital ordinaire"/>
    <n v="0"/>
    <n v="699.3"/>
    <n v="4012"/>
  </r>
  <r>
    <x v="1"/>
    <x v="5"/>
    <x v="1"/>
    <x v="153"/>
    <x v="133"/>
    <x v="133"/>
    <s v="REVENUS"/>
    <x v="16"/>
    <s v="4012.007"/>
    <s v="Acompte sur capital"/>
    <n v="0"/>
    <n v="224.45"/>
    <n v="4012"/>
  </r>
  <r>
    <x v="1"/>
    <x v="5"/>
    <x v="1"/>
    <x v="153"/>
    <x v="133"/>
    <x v="133"/>
    <s v="REVENUS"/>
    <x v="18"/>
    <s v="4013.001"/>
    <s v="Impôt complémentaire sur immeubles"/>
    <n v="0"/>
    <n v="859.5"/>
    <n v="4013"/>
  </r>
  <r>
    <x v="1"/>
    <x v="5"/>
    <x v="1"/>
    <x v="154"/>
    <x v="134"/>
    <x v="134"/>
    <s v="CHARGES"/>
    <x v="0"/>
    <s v="3212.004"/>
    <s v="Intérêts rémun./perçu trop tôt sur acomptes C/C"/>
    <n v="0.37"/>
    <n v="0"/>
    <n v="3212"/>
  </r>
  <r>
    <x v="1"/>
    <x v="5"/>
    <x v="1"/>
    <x v="154"/>
    <x v="134"/>
    <x v="134"/>
    <s v="CHARGES"/>
    <x v="0"/>
    <s v="3212.002"/>
    <s v="Intérêts bonifiés/trop perçu acompte C/C"/>
    <n v="0.01"/>
    <n v="0"/>
    <n v="3212"/>
  </r>
  <r>
    <x v="1"/>
    <x v="5"/>
    <x v="1"/>
    <x v="154"/>
    <x v="134"/>
    <x v="134"/>
    <s v="CHARGES"/>
    <x v="1"/>
    <s v="3301.006"/>
    <s v="Abandon de solde PM"/>
    <n v="2.12"/>
    <n v="0"/>
    <n v="3301"/>
  </r>
  <r>
    <x v="1"/>
    <x v="5"/>
    <x v="1"/>
    <x v="154"/>
    <x v="134"/>
    <x v="134"/>
    <s v="CHARGES"/>
    <x v="0"/>
    <s v="3221.002"/>
    <s v="Intérêts compensatoires / créances en faveur ctb."/>
    <n v="0.57999999999999996"/>
    <n v="0"/>
    <n v="3221"/>
  </r>
  <r>
    <x v="1"/>
    <x v="5"/>
    <x v="1"/>
    <x v="154"/>
    <x v="134"/>
    <x v="134"/>
    <s v="REVENUS"/>
    <x v="17"/>
    <s v="4011.002"/>
    <s v="Complément impôt bénéfice ordinaire"/>
    <n v="0"/>
    <n v="209.95"/>
    <n v="4011"/>
  </r>
  <r>
    <x v="1"/>
    <x v="5"/>
    <x v="1"/>
    <x v="154"/>
    <x v="134"/>
    <x v="134"/>
    <s v="REVENUS"/>
    <x v="16"/>
    <s v="4012.001"/>
    <s v="Impôt capital ordinaire"/>
    <n v="0"/>
    <n v="185.05"/>
    <n v="4012"/>
  </r>
  <r>
    <x v="1"/>
    <x v="5"/>
    <x v="1"/>
    <x v="154"/>
    <x v="134"/>
    <x v="134"/>
    <s v="REVENUS"/>
    <x v="16"/>
    <s v="4012.007"/>
    <s v="Acompte sur capital"/>
    <n v="0"/>
    <n v="150.4"/>
    <n v="4012"/>
  </r>
  <r>
    <x v="1"/>
    <x v="5"/>
    <x v="1"/>
    <x v="154"/>
    <x v="134"/>
    <x v="134"/>
    <s v="REVENUS"/>
    <x v="17"/>
    <s v="4011.001"/>
    <s v="Impôt bénéfice ordinaire"/>
    <n v="0"/>
    <n v="2331.0500000000002"/>
    <n v="4011"/>
  </r>
  <r>
    <x v="1"/>
    <x v="5"/>
    <x v="1"/>
    <x v="154"/>
    <x v="134"/>
    <x v="134"/>
    <s v="REVENUS"/>
    <x v="6"/>
    <s v="4211.002"/>
    <s v="Intérêts de retard sur acomptes"/>
    <n v="0"/>
    <n v="0.7"/>
    <n v="4211"/>
  </r>
  <r>
    <x v="1"/>
    <x v="5"/>
    <x v="1"/>
    <x v="154"/>
    <x v="134"/>
    <x v="134"/>
    <s v="REVENUS"/>
    <x v="6"/>
    <s v="4211.001"/>
    <s v="Intérêts de retard sur factures"/>
    <n v="0"/>
    <n v="2.0299999999999998"/>
    <n v="4211"/>
  </r>
  <r>
    <x v="1"/>
    <x v="5"/>
    <x v="1"/>
    <x v="154"/>
    <x v="134"/>
    <x v="134"/>
    <s v="REVENUS"/>
    <x v="17"/>
    <s v="4011.007"/>
    <s v="Acompte sur bénéfice"/>
    <n v="0"/>
    <n v="-736.85"/>
    <n v="4011"/>
  </r>
  <r>
    <x v="1"/>
    <x v="5"/>
    <x v="1"/>
    <x v="154"/>
    <x v="134"/>
    <x v="134"/>
    <s v="REVENUS"/>
    <x v="6"/>
    <s v="4221.001"/>
    <s v="Intérêts compensat. / créances en faveur du fisc"/>
    <n v="0"/>
    <n v="1.18"/>
    <n v="4221"/>
  </r>
  <r>
    <x v="1"/>
    <x v="5"/>
    <x v="1"/>
    <x v="154"/>
    <x v="134"/>
    <x v="134"/>
    <s v="REVENUS"/>
    <x v="18"/>
    <s v="4013.001"/>
    <s v="Impôt complémentaire sur immeubles"/>
    <n v="0"/>
    <n v="715.55"/>
    <n v="4013"/>
  </r>
  <r>
    <x v="1"/>
    <x v="5"/>
    <x v="1"/>
    <x v="155"/>
    <x v="135"/>
    <x v="135"/>
    <s v="CHARGES"/>
    <x v="0"/>
    <s v="3212.002"/>
    <s v="Intérêts bonifiés/trop perçu acompte C/C"/>
    <n v="0.01"/>
    <n v="0"/>
    <n v="3212"/>
  </r>
  <r>
    <x v="1"/>
    <x v="5"/>
    <x v="1"/>
    <x v="155"/>
    <x v="135"/>
    <x v="135"/>
    <s v="REVENUS"/>
    <x v="17"/>
    <s v="4011.002"/>
    <s v="Complément impôt bénéfice ordinaire"/>
    <n v="0"/>
    <n v="326.05"/>
    <n v="4011"/>
  </r>
  <r>
    <x v="1"/>
    <x v="5"/>
    <x v="1"/>
    <x v="155"/>
    <x v="135"/>
    <x v="135"/>
    <s v="REVENUS"/>
    <x v="17"/>
    <s v="4011.001"/>
    <s v="Impôt bénéfice ordinaire"/>
    <n v="0"/>
    <n v="-326.05"/>
    <n v="4011"/>
  </r>
  <r>
    <x v="1"/>
    <x v="5"/>
    <x v="1"/>
    <x v="156"/>
    <x v="136"/>
    <x v="136"/>
    <s v="CHARGES"/>
    <x v="1"/>
    <s v="3301.006"/>
    <s v="Abandon de solde PM"/>
    <n v="17.190000000000001"/>
    <n v="0"/>
    <n v="3301"/>
  </r>
  <r>
    <x v="1"/>
    <x v="5"/>
    <x v="1"/>
    <x v="156"/>
    <x v="136"/>
    <x v="136"/>
    <s v="CHARGES"/>
    <x v="0"/>
    <s v="3221.002"/>
    <s v="Intérêts compensatoires / créances en faveur ctb."/>
    <n v="11.56"/>
    <n v="0"/>
    <n v="3221"/>
  </r>
  <r>
    <x v="1"/>
    <x v="5"/>
    <x v="1"/>
    <x v="156"/>
    <x v="136"/>
    <x v="136"/>
    <s v="CHARGES"/>
    <x v="0"/>
    <s v="3212.002"/>
    <s v="Intérêts bonifiés/trop perçu acompte C/C"/>
    <n v="0.09"/>
    <n v="0"/>
    <n v="3212"/>
  </r>
  <r>
    <x v="1"/>
    <x v="5"/>
    <x v="1"/>
    <x v="156"/>
    <x v="136"/>
    <x v="136"/>
    <s v="CHARGES"/>
    <x v="0"/>
    <s v="3212.004"/>
    <s v="Intérêts rémun./perçu trop tôt sur acomptes C/C"/>
    <n v="13"/>
    <n v="0"/>
    <n v="3212"/>
  </r>
  <r>
    <x v="1"/>
    <x v="5"/>
    <x v="1"/>
    <x v="156"/>
    <x v="136"/>
    <x v="136"/>
    <s v="REVENUS"/>
    <x v="16"/>
    <s v="4012.001"/>
    <s v="Impôt capital ordinaire"/>
    <n v="0"/>
    <n v="444.1"/>
    <n v="4012"/>
  </r>
  <r>
    <x v="1"/>
    <x v="5"/>
    <x v="1"/>
    <x v="156"/>
    <x v="136"/>
    <x v="136"/>
    <s v="REVENUS"/>
    <x v="16"/>
    <s v="4012.007"/>
    <s v="Acompte sur capital"/>
    <n v="0"/>
    <n v="913.05"/>
    <n v="4012"/>
  </r>
  <r>
    <x v="1"/>
    <x v="5"/>
    <x v="1"/>
    <x v="156"/>
    <x v="136"/>
    <x v="136"/>
    <s v="REVENUS"/>
    <x v="18"/>
    <s v="4013.001"/>
    <s v="Impôt complémentaire sur immeubles"/>
    <n v="0"/>
    <n v="3267.65"/>
    <n v="4013"/>
  </r>
  <r>
    <x v="1"/>
    <x v="5"/>
    <x v="1"/>
    <x v="156"/>
    <x v="136"/>
    <x v="136"/>
    <s v="REVENUS"/>
    <x v="6"/>
    <s v="4211.002"/>
    <s v="Intérêts de retard sur acomptes"/>
    <n v="0"/>
    <n v="16"/>
    <n v="4211"/>
  </r>
  <r>
    <x v="1"/>
    <x v="5"/>
    <x v="1"/>
    <x v="156"/>
    <x v="136"/>
    <x v="136"/>
    <s v="REVENUS"/>
    <x v="17"/>
    <s v="4011.001"/>
    <s v="Impôt bénéfice ordinaire"/>
    <n v="0"/>
    <n v="40688.1"/>
    <n v="4011"/>
  </r>
  <r>
    <x v="1"/>
    <x v="5"/>
    <x v="1"/>
    <x v="156"/>
    <x v="136"/>
    <x v="136"/>
    <s v="REVENUS"/>
    <x v="17"/>
    <s v="4011.002"/>
    <s v="Complément impôt bénéfice ordinaire"/>
    <n v="0"/>
    <n v="2995.2"/>
    <n v="4011"/>
  </r>
  <r>
    <x v="1"/>
    <x v="5"/>
    <x v="1"/>
    <x v="156"/>
    <x v="136"/>
    <x v="136"/>
    <s v="REVENUS"/>
    <x v="6"/>
    <s v="4211.001"/>
    <s v="Intérêts de retard sur factures"/>
    <n v="0"/>
    <n v="46.99"/>
    <n v="4211"/>
  </r>
  <r>
    <x v="1"/>
    <x v="5"/>
    <x v="1"/>
    <x v="156"/>
    <x v="136"/>
    <x v="136"/>
    <s v="REVENUS"/>
    <x v="6"/>
    <s v="4221.001"/>
    <s v="Intérêts compensat. / créances en faveur du fisc"/>
    <n v="0"/>
    <n v="79.650000000000006"/>
    <n v="4221"/>
  </r>
  <r>
    <x v="1"/>
    <x v="5"/>
    <x v="1"/>
    <x v="156"/>
    <x v="136"/>
    <x v="136"/>
    <s v="REVENUS"/>
    <x v="17"/>
    <s v="4011.007"/>
    <s v="Acompte sur bénéfice"/>
    <n v="0"/>
    <n v="-9599.25"/>
    <n v="4011"/>
  </r>
  <r>
    <x v="1"/>
    <x v="5"/>
    <x v="1"/>
    <x v="156"/>
    <x v="136"/>
    <x v="136"/>
    <s v="REVENUS"/>
    <x v="7"/>
    <s v="4184.000"/>
    <s v="Frais de poursuite"/>
    <n v="0"/>
    <n v="1.7"/>
    <n v="4184"/>
  </r>
  <r>
    <x v="1"/>
    <x v="5"/>
    <x v="1"/>
    <x v="156"/>
    <x v="136"/>
    <x v="136"/>
    <s v="REVENUS"/>
    <x v="16"/>
    <s v="4012.002"/>
    <s v="Complément impôt capital ordinaire"/>
    <n v="0"/>
    <n v="57.55"/>
    <n v="4012"/>
  </r>
  <r>
    <x v="1"/>
    <x v="5"/>
    <x v="1"/>
    <x v="156"/>
    <x v="136"/>
    <x v="136"/>
    <s v="REVENUS"/>
    <x v="10"/>
    <s v="4041.001"/>
    <s v="Droits de mutation"/>
    <n v="0"/>
    <n v="15.4"/>
    <n v="4041"/>
  </r>
  <r>
    <x v="1"/>
    <x v="5"/>
    <x v="1"/>
    <x v="157"/>
    <x v="137"/>
    <x v="137"/>
    <s v="CHARGES"/>
    <x v="1"/>
    <s v="3301.006"/>
    <s v="Abandon de solde PM"/>
    <n v="58.64"/>
    <n v="0"/>
    <n v="3301"/>
  </r>
  <r>
    <x v="1"/>
    <x v="5"/>
    <x v="1"/>
    <x v="157"/>
    <x v="137"/>
    <x v="137"/>
    <s v="CHARGES"/>
    <x v="0"/>
    <s v="3212.004"/>
    <s v="Intérêts rémun./perçu trop tôt sur acomptes C/C"/>
    <n v="73.290000000000006"/>
    <n v="0"/>
    <n v="3212"/>
  </r>
  <r>
    <x v="1"/>
    <x v="5"/>
    <x v="1"/>
    <x v="157"/>
    <x v="137"/>
    <x v="137"/>
    <s v="CHARGES"/>
    <x v="0"/>
    <s v="3221.002"/>
    <s v="Intérêts compensatoires / créances en faveur ctb."/>
    <n v="48.17"/>
    <n v="0"/>
    <n v="3221"/>
  </r>
  <r>
    <x v="1"/>
    <x v="5"/>
    <x v="1"/>
    <x v="157"/>
    <x v="137"/>
    <x v="137"/>
    <s v="CHARGES"/>
    <x v="0"/>
    <s v="3212.002"/>
    <s v="Intérêts bonifiés/trop perçu acompte C/C"/>
    <n v="0.09"/>
    <n v="0"/>
    <n v="3212"/>
  </r>
  <r>
    <x v="1"/>
    <x v="5"/>
    <x v="1"/>
    <x v="157"/>
    <x v="137"/>
    <x v="137"/>
    <s v="REVENUS"/>
    <x v="16"/>
    <s v="4012.001"/>
    <s v="Impôt capital ordinaire"/>
    <n v="0"/>
    <n v="10839.7"/>
    <n v="4012"/>
  </r>
  <r>
    <x v="1"/>
    <x v="5"/>
    <x v="1"/>
    <x v="157"/>
    <x v="137"/>
    <x v="137"/>
    <s v="REVENUS"/>
    <x v="16"/>
    <s v="4012.007"/>
    <s v="Acompte sur capital"/>
    <n v="0"/>
    <n v="3846.25"/>
    <n v="4012"/>
  </r>
  <r>
    <x v="1"/>
    <x v="5"/>
    <x v="1"/>
    <x v="157"/>
    <x v="137"/>
    <x v="137"/>
    <s v="REVENUS"/>
    <x v="6"/>
    <s v="4211.002"/>
    <s v="Intérêts de retard sur acomptes"/>
    <n v="0"/>
    <n v="429.55"/>
    <n v="4211"/>
  </r>
  <r>
    <x v="1"/>
    <x v="5"/>
    <x v="1"/>
    <x v="157"/>
    <x v="137"/>
    <x v="137"/>
    <s v="REVENUS"/>
    <x v="17"/>
    <s v="4011.001"/>
    <s v="Impôt bénéfice ordinaire"/>
    <n v="0"/>
    <n v="275394.95"/>
    <n v="4011"/>
  </r>
  <r>
    <x v="1"/>
    <x v="5"/>
    <x v="1"/>
    <x v="157"/>
    <x v="137"/>
    <x v="137"/>
    <s v="REVENUS"/>
    <x v="17"/>
    <s v="4011.002"/>
    <s v="Complément impôt bénéfice ordinaire"/>
    <n v="0"/>
    <n v="4447.3999999999996"/>
    <n v="4011"/>
  </r>
  <r>
    <x v="1"/>
    <x v="5"/>
    <x v="1"/>
    <x v="157"/>
    <x v="137"/>
    <x v="137"/>
    <s v="REVENUS"/>
    <x v="6"/>
    <s v="4211.001"/>
    <s v="Intérêts de retard sur factures"/>
    <n v="0"/>
    <n v="513.48"/>
    <n v="4211"/>
  </r>
  <r>
    <x v="1"/>
    <x v="5"/>
    <x v="1"/>
    <x v="157"/>
    <x v="137"/>
    <x v="137"/>
    <s v="REVENUS"/>
    <x v="6"/>
    <s v="4221.001"/>
    <s v="Intérêts compensat. / créances en faveur du fisc"/>
    <n v="0"/>
    <n v="93.21"/>
    <n v="4221"/>
  </r>
  <r>
    <x v="1"/>
    <x v="5"/>
    <x v="1"/>
    <x v="157"/>
    <x v="137"/>
    <x v="137"/>
    <s v="REVENUS"/>
    <x v="17"/>
    <s v="4011.007"/>
    <s v="Acompte sur bénéfice"/>
    <n v="0"/>
    <n v="-71064.05"/>
    <n v="4011"/>
  </r>
  <r>
    <x v="1"/>
    <x v="5"/>
    <x v="1"/>
    <x v="157"/>
    <x v="137"/>
    <x v="137"/>
    <s v="REVENUS"/>
    <x v="7"/>
    <s v="4184.000"/>
    <s v="Frais de poursuite"/>
    <n v="0"/>
    <n v="109.14"/>
    <n v="4184"/>
  </r>
  <r>
    <x v="1"/>
    <x v="5"/>
    <x v="1"/>
    <x v="157"/>
    <x v="137"/>
    <x v="137"/>
    <s v="REVENUS"/>
    <x v="18"/>
    <s v="4013.001"/>
    <s v="Impôt complémentaire sur immeubles"/>
    <n v="0"/>
    <n v="26229.1"/>
    <n v="4013"/>
  </r>
  <r>
    <x v="1"/>
    <x v="5"/>
    <x v="1"/>
    <x v="157"/>
    <x v="137"/>
    <x v="137"/>
    <s v="REVENUS"/>
    <x v="18"/>
    <s v="4013.003"/>
    <s v="Remboursement impôt complémentaire sur immeubles"/>
    <n v="0"/>
    <n v="-2582.5"/>
    <n v="4013"/>
  </r>
  <r>
    <x v="1"/>
    <x v="5"/>
    <x v="1"/>
    <x v="157"/>
    <x v="137"/>
    <x v="137"/>
    <s v="REVENUS"/>
    <x v="16"/>
    <s v="4012.002"/>
    <s v="Complément impôt capital ordinaire"/>
    <n v="0"/>
    <n v="3.7"/>
    <n v="4012"/>
  </r>
  <r>
    <x v="1"/>
    <x v="5"/>
    <x v="1"/>
    <x v="157"/>
    <x v="137"/>
    <x v="137"/>
    <s v="REVENUS"/>
    <x v="10"/>
    <s v="4041.001"/>
    <s v="Droits de mutation"/>
    <n v="0"/>
    <n v="199213.65"/>
    <n v="4041"/>
  </r>
  <r>
    <x v="1"/>
    <x v="5"/>
    <x v="1"/>
    <x v="157"/>
    <x v="137"/>
    <x v="137"/>
    <s v="REVENUS"/>
    <x v="10"/>
    <s v="4041.002"/>
    <s v="Complément droit de mutation"/>
    <n v="0"/>
    <n v="33.85"/>
    <n v="4041"/>
  </r>
  <r>
    <x v="1"/>
    <x v="5"/>
    <x v="1"/>
    <x v="158"/>
    <x v="138"/>
    <x v="138"/>
    <s v="CHARGES"/>
    <x v="0"/>
    <s v="3212.002"/>
    <s v="Intérêts bonifiés/trop perçu acompte C/C"/>
    <n v="6.87"/>
    <n v="0"/>
    <n v="3212"/>
  </r>
  <r>
    <x v="1"/>
    <x v="5"/>
    <x v="1"/>
    <x v="158"/>
    <x v="138"/>
    <x v="138"/>
    <s v="CHARGES"/>
    <x v="0"/>
    <s v="3221.002"/>
    <s v="Intérêts compensatoires / créances en faveur ctb."/>
    <n v="128.34"/>
    <n v="0"/>
    <n v="3221"/>
  </r>
  <r>
    <x v="1"/>
    <x v="5"/>
    <x v="1"/>
    <x v="158"/>
    <x v="138"/>
    <x v="138"/>
    <s v="CHARGES"/>
    <x v="1"/>
    <s v="3301.002"/>
    <s v="Défalcation PM"/>
    <n v="5241.42"/>
    <n v="0"/>
    <n v="3301"/>
  </r>
  <r>
    <x v="1"/>
    <x v="5"/>
    <x v="1"/>
    <x v="158"/>
    <x v="138"/>
    <x v="138"/>
    <s v="CHARGES"/>
    <x v="1"/>
    <s v="3301.006"/>
    <s v="Abandon de solde PM"/>
    <n v="91.62"/>
    <n v="0"/>
    <n v="3301"/>
  </r>
  <r>
    <x v="1"/>
    <x v="5"/>
    <x v="1"/>
    <x v="158"/>
    <x v="138"/>
    <x v="138"/>
    <s v="CHARGES"/>
    <x v="0"/>
    <s v="3212.004"/>
    <s v="Intérêts rémun./perçu trop tôt sur acomptes C/C"/>
    <n v="211.72"/>
    <n v="0"/>
    <n v="3212"/>
  </r>
  <r>
    <x v="1"/>
    <x v="5"/>
    <x v="1"/>
    <x v="158"/>
    <x v="138"/>
    <x v="138"/>
    <s v="REVENUS"/>
    <x v="17"/>
    <s v="4011.001"/>
    <s v="Impôt bénéfice ordinaire"/>
    <n v="0"/>
    <n v="504165.1"/>
    <n v="4011"/>
  </r>
  <r>
    <x v="1"/>
    <x v="5"/>
    <x v="1"/>
    <x v="158"/>
    <x v="138"/>
    <x v="138"/>
    <s v="REVENUS"/>
    <x v="17"/>
    <s v="4011.007"/>
    <s v="Acompte sur bénéfice"/>
    <n v="0"/>
    <n v="-203189.4"/>
    <n v="4011"/>
  </r>
  <r>
    <x v="1"/>
    <x v="5"/>
    <x v="1"/>
    <x v="158"/>
    <x v="138"/>
    <x v="138"/>
    <s v="REVENUS"/>
    <x v="16"/>
    <s v="4012.007"/>
    <s v="Acompte sur capital"/>
    <n v="0"/>
    <n v="78511.25"/>
    <n v="4012"/>
  </r>
  <r>
    <x v="1"/>
    <x v="5"/>
    <x v="1"/>
    <x v="158"/>
    <x v="138"/>
    <x v="138"/>
    <s v="REVENUS"/>
    <x v="6"/>
    <s v="4221.001"/>
    <s v="Intérêts compensat. / créances en faveur du fisc"/>
    <n v="0"/>
    <n v="240.13"/>
    <n v="4221"/>
  </r>
  <r>
    <x v="1"/>
    <x v="5"/>
    <x v="1"/>
    <x v="158"/>
    <x v="138"/>
    <x v="138"/>
    <s v="REVENUS"/>
    <x v="18"/>
    <s v="4013.001"/>
    <s v="Impôt complémentaire sur immeubles"/>
    <n v="0"/>
    <n v="32451.200000000001"/>
    <n v="4013"/>
  </r>
  <r>
    <x v="1"/>
    <x v="5"/>
    <x v="1"/>
    <x v="158"/>
    <x v="138"/>
    <x v="138"/>
    <s v="REVENUS"/>
    <x v="6"/>
    <s v="4211.002"/>
    <s v="Intérêts de retard sur acomptes"/>
    <n v="0"/>
    <n v="659.23"/>
    <n v="4211"/>
  </r>
  <r>
    <x v="1"/>
    <x v="5"/>
    <x v="1"/>
    <x v="158"/>
    <x v="138"/>
    <x v="138"/>
    <s v="REVENUS"/>
    <x v="17"/>
    <s v="4011.002"/>
    <s v="Complément impôt bénéfice ordinaire"/>
    <n v="0"/>
    <n v="82211.649999999994"/>
    <n v="4011"/>
  </r>
  <r>
    <x v="1"/>
    <x v="5"/>
    <x v="1"/>
    <x v="158"/>
    <x v="138"/>
    <x v="138"/>
    <s v="REVENUS"/>
    <x v="16"/>
    <s v="4012.001"/>
    <s v="Impôt capital ordinaire"/>
    <n v="0"/>
    <n v="25126.15"/>
    <n v="4012"/>
  </r>
  <r>
    <x v="1"/>
    <x v="5"/>
    <x v="1"/>
    <x v="158"/>
    <x v="138"/>
    <x v="138"/>
    <s v="REVENUS"/>
    <x v="6"/>
    <s v="4211.001"/>
    <s v="Intérêts de retard sur factures"/>
    <n v="0"/>
    <n v="735.87"/>
    <n v="4211"/>
  </r>
  <r>
    <x v="1"/>
    <x v="5"/>
    <x v="1"/>
    <x v="158"/>
    <x v="138"/>
    <x v="138"/>
    <s v="REVENUS"/>
    <x v="8"/>
    <s v="4091.001"/>
    <s v="Impôt récupéré après défalcations"/>
    <n v="0"/>
    <n v="9.49"/>
    <n v="4091"/>
  </r>
  <r>
    <x v="1"/>
    <x v="5"/>
    <x v="1"/>
    <x v="158"/>
    <x v="138"/>
    <x v="138"/>
    <s v="REVENUS"/>
    <x v="7"/>
    <s v="4184.000"/>
    <s v="Frais de poursuite"/>
    <n v="0"/>
    <n v="210.67"/>
    <n v="4184"/>
  </r>
  <r>
    <x v="1"/>
    <x v="5"/>
    <x v="1"/>
    <x v="158"/>
    <x v="138"/>
    <x v="138"/>
    <s v="REVENUS"/>
    <x v="18"/>
    <s v="4013.002"/>
    <s v="Complément impôt complémentaire sur immeubles"/>
    <n v="0"/>
    <n v="59.5"/>
    <n v="4013"/>
  </r>
  <r>
    <x v="1"/>
    <x v="5"/>
    <x v="1"/>
    <x v="158"/>
    <x v="138"/>
    <x v="138"/>
    <s v="REVENUS"/>
    <x v="18"/>
    <s v="4013.003"/>
    <s v="Remboursement impôt complémentaire sur immeubles"/>
    <n v="0"/>
    <n v="-289"/>
    <n v="4013"/>
  </r>
  <r>
    <x v="1"/>
    <x v="5"/>
    <x v="1"/>
    <x v="159"/>
    <x v="135"/>
    <x v="135"/>
    <s v="CHARGES"/>
    <x v="0"/>
    <s v="3221.002"/>
    <s v="Intérêts compensatoires / créances en faveur ctb."/>
    <n v="371.35"/>
    <n v="0"/>
    <n v="3221"/>
  </r>
  <r>
    <x v="1"/>
    <x v="5"/>
    <x v="1"/>
    <x v="159"/>
    <x v="135"/>
    <x v="135"/>
    <s v="CHARGES"/>
    <x v="0"/>
    <s v="3212.004"/>
    <s v="Intérêts rémun./perçu trop tôt sur acomptes C/C"/>
    <n v="368.51"/>
    <n v="0"/>
    <n v="3212"/>
  </r>
  <r>
    <x v="1"/>
    <x v="5"/>
    <x v="1"/>
    <x v="159"/>
    <x v="135"/>
    <x v="135"/>
    <s v="CHARGES"/>
    <x v="1"/>
    <s v="3301.006"/>
    <s v="Abandon de solde PM"/>
    <n v="31.59"/>
    <n v="0"/>
    <n v="3301"/>
  </r>
  <r>
    <x v="1"/>
    <x v="5"/>
    <x v="1"/>
    <x v="159"/>
    <x v="135"/>
    <x v="135"/>
    <s v="CHARGES"/>
    <x v="0"/>
    <s v="3212.002"/>
    <s v="Intérêts bonifiés/trop perçu acompte C/C"/>
    <n v="0.03"/>
    <n v="0"/>
    <n v="3212"/>
  </r>
  <r>
    <x v="1"/>
    <x v="5"/>
    <x v="1"/>
    <x v="159"/>
    <x v="135"/>
    <x v="135"/>
    <s v="CHARGES"/>
    <x v="1"/>
    <s v="3301.002"/>
    <s v="Défalcation PM"/>
    <n v="182.93"/>
    <n v="0"/>
    <n v="3301"/>
  </r>
  <r>
    <x v="1"/>
    <x v="5"/>
    <x v="1"/>
    <x v="159"/>
    <x v="135"/>
    <x v="135"/>
    <s v="REVENUS"/>
    <x v="17"/>
    <s v="4011.001"/>
    <s v="Impôt bénéfice ordinaire"/>
    <n v="0"/>
    <n v="331382.90000000002"/>
    <n v="4011"/>
  </r>
  <r>
    <x v="1"/>
    <x v="5"/>
    <x v="1"/>
    <x v="159"/>
    <x v="135"/>
    <x v="135"/>
    <s v="REVENUS"/>
    <x v="17"/>
    <s v="4011.002"/>
    <s v="Complément impôt bénéfice ordinaire"/>
    <n v="0"/>
    <n v="2055.9499999999998"/>
    <n v="4011"/>
  </r>
  <r>
    <x v="1"/>
    <x v="5"/>
    <x v="1"/>
    <x v="159"/>
    <x v="135"/>
    <x v="135"/>
    <s v="REVENUS"/>
    <x v="6"/>
    <s v="4211.001"/>
    <s v="Intérêts de retard sur factures"/>
    <n v="0"/>
    <n v="337.74"/>
    <n v="4211"/>
  </r>
  <r>
    <x v="1"/>
    <x v="5"/>
    <x v="1"/>
    <x v="159"/>
    <x v="135"/>
    <x v="135"/>
    <s v="REVENUS"/>
    <x v="6"/>
    <s v="4221.001"/>
    <s v="Intérêts compensat. / créances en faveur du fisc"/>
    <n v="0"/>
    <n v="69.34"/>
    <n v="4221"/>
  </r>
  <r>
    <x v="1"/>
    <x v="5"/>
    <x v="1"/>
    <x v="159"/>
    <x v="135"/>
    <x v="135"/>
    <s v="REVENUS"/>
    <x v="17"/>
    <s v="4011.007"/>
    <s v="Acompte sur bénéfice"/>
    <n v="0"/>
    <n v="-2497.6999999999998"/>
    <n v="4011"/>
  </r>
  <r>
    <x v="1"/>
    <x v="5"/>
    <x v="1"/>
    <x v="159"/>
    <x v="135"/>
    <x v="135"/>
    <s v="REVENUS"/>
    <x v="16"/>
    <s v="4012.001"/>
    <s v="Impôt capital ordinaire"/>
    <n v="0"/>
    <n v="4006.8"/>
    <n v="4012"/>
  </r>
  <r>
    <x v="1"/>
    <x v="5"/>
    <x v="1"/>
    <x v="159"/>
    <x v="135"/>
    <x v="135"/>
    <s v="REVENUS"/>
    <x v="6"/>
    <s v="4211.002"/>
    <s v="Intérêts de retard sur acomptes"/>
    <n v="0"/>
    <n v="367.87"/>
    <n v="4211"/>
  </r>
  <r>
    <x v="1"/>
    <x v="5"/>
    <x v="1"/>
    <x v="159"/>
    <x v="135"/>
    <x v="135"/>
    <s v="REVENUS"/>
    <x v="16"/>
    <s v="4012.007"/>
    <s v="Acompte sur capital"/>
    <n v="0"/>
    <n v="14019.4"/>
    <n v="4012"/>
  </r>
  <r>
    <x v="1"/>
    <x v="5"/>
    <x v="1"/>
    <x v="159"/>
    <x v="135"/>
    <x v="135"/>
    <s v="REVENUS"/>
    <x v="18"/>
    <s v="4013.001"/>
    <s v="Impôt complémentaire sur immeubles"/>
    <n v="0"/>
    <n v="31813.9"/>
    <n v="4013"/>
  </r>
  <r>
    <x v="1"/>
    <x v="5"/>
    <x v="1"/>
    <x v="159"/>
    <x v="135"/>
    <x v="135"/>
    <s v="REVENUS"/>
    <x v="18"/>
    <s v="4013.003"/>
    <s v="Remboursement impôt complémentaire sur immeubles"/>
    <n v="0"/>
    <n v="-743"/>
    <n v="4013"/>
  </r>
  <r>
    <x v="1"/>
    <x v="5"/>
    <x v="1"/>
    <x v="159"/>
    <x v="135"/>
    <x v="135"/>
    <s v="REVENUS"/>
    <x v="10"/>
    <s v="4041.001"/>
    <s v="Droits de mutation"/>
    <n v="0"/>
    <n v="85400.7"/>
    <n v="4041"/>
  </r>
  <r>
    <x v="1"/>
    <x v="5"/>
    <x v="1"/>
    <x v="159"/>
    <x v="135"/>
    <x v="135"/>
    <s v="REVENUS"/>
    <x v="7"/>
    <s v="4184.000"/>
    <s v="Frais de poursuite"/>
    <n v="0"/>
    <n v="70.599999999999994"/>
    <n v="4184"/>
  </r>
  <r>
    <x v="1"/>
    <x v="5"/>
    <x v="1"/>
    <x v="159"/>
    <x v="135"/>
    <x v="135"/>
    <s v="REVENUS"/>
    <x v="8"/>
    <s v="4091.001"/>
    <s v="Impôt récupéré après défalcations"/>
    <n v="0"/>
    <n v="182.93"/>
    <n v="4091"/>
  </r>
  <r>
    <x v="1"/>
    <x v="8"/>
    <x v="8"/>
    <x v="160"/>
    <x v="139"/>
    <x v="139"/>
    <s v="CHARGES"/>
    <x v="0"/>
    <s v="3212.004"/>
    <s v="Intérêts rémun./perçu trop tôt sur acomptes C/C"/>
    <n v="1124.03"/>
    <n v="0"/>
    <n v="3212"/>
  </r>
  <r>
    <x v="1"/>
    <x v="8"/>
    <x v="8"/>
    <x v="160"/>
    <x v="139"/>
    <x v="139"/>
    <s v="CHARGES"/>
    <x v="0"/>
    <s v="3221.002"/>
    <s v="Intérêts compensatoires / créances en faveur ctb."/>
    <n v="1851"/>
    <n v="0"/>
    <n v="3221"/>
  </r>
  <r>
    <x v="1"/>
    <x v="8"/>
    <x v="8"/>
    <x v="160"/>
    <x v="139"/>
    <x v="139"/>
    <s v="CHARGES"/>
    <x v="1"/>
    <s v="3301.006"/>
    <s v="Abandon de solde PM"/>
    <n v="407.17"/>
    <n v="0"/>
    <n v="3301"/>
  </r>
  <r>
    <x v="1"/>
    <x v="8"/>
    <x v="8"/>
    <x v="160"/>
    <x v="139"/>
    <x v="139"/>
    <s v="CHARGES"/>
    <x v="0"/>
    <s v="3212.002"/>
    <s v="Intérêts bonifiés/trop perçu acompte C/C"/>
    <n v="150.43"/>
    <n v="0"/>
    <n v="3212"/>
  </r>
  <r>
    <x v="1"/>
    <x v="8"/>
    <x v="8"/>
    <x v="160"/>
    <x v="139"/>
    <x v="139"/>
    <s v="CHARGES"/>
    <x v="1"/>
    <s v="3301.002"/>
    <s v="Défalcation PM"/>
    <n v="5270.57"/>
    <n v="0"/>
    <n v="3301"/>
  </r>
  <r>
    <x v="1"/>
    <x v="8"/>
    <x v="8"/>
    <x v="160"/>
    <x v="139"/>
    <x v="139"/>
    <s v="REVENUS"/>
    <x v="18"/>
    <s v="4013.001"/>
    <s v="Impôt complémentaire sur immeubles"/>
    <n v="0"/>
    <n v="527049.55000000005"/>
    <n v="4013"/>
  </r>
  <r>
    <x v="1"/>
    <x v="8"/>
    <x v="8"/>
    <x v="160"/>
    <x v="139"/>
    <x v="139"/>
    <s v="REVENUS"/>
    <x v="17"/>
    <s v="4011.001"/>
    <s v="Impôt bénéfice ordinaire"/>
    <n v="0"/>
    <n v="12195539"/>
    <n v="4011"/>
  </r>
  <r>
    <x v="1"/>
    <x v="8"/>
    <x v="8"/>
    <x v="160"/>
    <x v="139"/>
    <x v="139"/>
    <s v="REVENUS"/>
    <x v="17"/>
    <s v="4011.007"/>
    <s v="Acompte sur bénéfice"/>
    <n v="0"/>
    <n v="1791255.35"/>
    <n v="4011"/>
  </r>
  <r>
    <x v="1"/>
    <x v="8"/>
    <x v="8"/>
    <x v="160"/>
    <x v="139"/>
    <x v="139"/>
    <s v="REVENUS"/>
    <x v="16"/>
    <s v="4012.001"/>
    <s v="Impôt capital ordinaire"/>
    <n v="0"/>
    <n v="655071.65"/>
    <n v="4012"/>
  </r>
  <r>
    <x v="1"/>
    <x v="8"/>
    <x v="8"/>
    <x v="160"/>
    <x v="139"/>
    <x v="139"/>
    <s v="REVENUS"/>
    <x v="16"/>
    <s v="4012.007"/>
    <s v="Acompte sur capital"/>
    <n v="0"/>
    <n v="151365.75"/>
    <n v="4012"/>
  </r>
  <r>
    <x v="1"/>
    <x v="8"/>
    <x v="8"/>
    <x v="160"/>
    <x v="139"/>
    <x v="139"/>
    <s v="REVENUS"/>
    <x v="6"/>
    <s v="4211.002"/>
    <s v="Intérêts de retard sur acomptes"/>
    <n v="0"/>
    <n v="4668.24"/>
    <n v="4211"/>
  </r>
  <r>
    <x v="1"/>
    <x v="8"/>
    <x v="8"/>
    <x v="160"/>
    <x v="139"/>
    <x v="139"/>
    <s v="REVENUS"/>
    <x v="6"/>
    <s v="4221.001"/>
    <s v="Intérêts compensat. / créances en faveur du fisc"/>
    <n v="0"/>
    <n v="1593.56"/>
    <n v="4221"/>
  </r>
  <r>
    <x v="1"/>
    <x v="8"/>
    <x v="8"/>
    <x v="160"/>
    <x v="139"/>
    <x v="139"/>
    <s v="REVENUS"/>
    <x v="17"/>
    <s v="4011.002"/>
    <s v="Complément impôt bénéfice ordinaire"/>
    <n v="0"/>
    <n v="18483.650000000001"/>
    <n v="4011"/>
  </r>
  <r>
    <x v="1"/>
    <x v="8"/>
    <x v="8"/>
    <x v="160"/>
    <x v="139"/>
    <x v="139"/>
    <s v="REVENUS"/>
    <x v="6"/>
    <s v="4211.001"/>
    <s v="Intérêts de retard sur factures"/>
    <n v="0"/>
    <n v="5544.27"/>
    <n v="4211"/>
  </r>
  <r>
    <x v="1"/>
    <x v="8"/>
    <x v="8"/>
    <x v="160"/>
    <x v="139"/>
    <x v="139"/>
    <s v="REVENUS"/>
    <x v="8"/>
    <s v="4091.001"/>
    <s v="Impôt récupéré après défalcations"/>
    <n v="0"/>
    <n v="1237.33"/>
    <n v="4091"/>
  </r>
  <r>
    <x v="1"/>
    <x v="8"/>
    <x v="8"/>
    <x v="160"/>
    <x v="139"/>
    <x v="139"/>
    <s v="REVENUS"/>
    <x v="7"/>
    <s v="4184.000"/>
    <s v="Frais de poursuite"/>
    <n v="0"/>
    <n v="785.48"/>
    <n v="4184"/>
  </r>
  <r>
    <x v="1"/>
    <x v="8"/>
    <x v="8"/>
    <x v="160"/>
    <x v="139"/>
    <x v="139"/>
    <s v="REVENUS"/>
    <x v="18"/>
    <s v="4013.002"/>
    <s v="Complément impôt complémentaire sur immeubles"/>
    <n v="0"/>
    <n v="3441"/>
    <n v="4013"/>
  </r>
  <r>
    <x v="1"/>
    <x v="8"/>
    <x v="8"/>
    <x v="160"/>
    <x v="139"/>
    <x v="139"/>
    <s v="REVENUS"/>
    <x v="10"/>
    <s v="4041.001"/>
    <s v="Droits de mutation"/>
    <n v="0"/>
    <n v="1698290"/>
    <n v="4041"/>
  </r>
  <r>
    <x v="1"/>
    <x v="8"/>
    <x v="8"/>
    <x v="160"/>
    <x v="139"/>
    <x v="139"/>
    <s v="REVENUS"/>
    <x v="16"/>
    <s v="4012.002"/>
    <s v="Complément impôt capital ordinaire"/>
    <n v="0"/>
    <n v="155.30000000000001"/>
    <n v="4012"/>
  </r>
  <r>
    <x v="1"/>
    <x v="8"/>
    <x v="8"/>
    <x v="160"/>
    <x v="139"/>
    <x v="139"/>
    <s v="REVENUS"/>
    <x v="18"/>
    <s v="4013.003"/>
    <s v="Remboursement impôt complémentaire sur immeubles"/>
    <n v="0"/>
    <n v="-76782.25"/>
    <n v="4013"/>
  </r>
  <r>
    <x v="1"/>
    <x v="8"/>
    <x v="8"/>
    <x v="160"/>
    <x v="139"/>
    <x v="139"/>
    <s v="REVENUS"/>
    <x v="8"/>
    <s v="4091.003"/>
    <s v="Impôt récupéré concordat"/>
    <n v="0"/>
    <n v="49.28"/>
    <n v="4091"/>
  </r>
  <r>
    <x v="1"/>
    <x v="5"/>
    <x v="1"/>
    <x v="161"/>
    <x v="140"/>
    <x v="140"/>
    <s v="CHARGES"/>
    <x v="0"/>
    <s v="3212.004"/>
    <s v="Intérêts rémun./perçu trop tôt sur acomptes C/C"/>
    <n v="969.39"/>
    <n v="0"/>
    <n v="3212"/>
  </r>
  <r>
    <x v="1"/>
    <x v="5"/>
    <x v="1"/>
    <x v="161"/>
    <x v="140"/>
    <x v="140"/>
    <s v="CHARGES"/>
    <x v="0"/>
    <s v="3221.002"/>
    <s v="Intérêts compensatoires / créances en faveur ctb."/>
    <n v="2277.0700000000002"/>
    <n v="0"/>
    <n v="3221"/>
  </r>
  <r>
    <x v="1"/>
    <x v="5"/>
    <x v="1"/>
    <x v="161"/>
    <x v="140"/>
    <x v="140"/>
    <s v="CHARGES"/>
    <x v="1"/>
    <s v="3301.006"/>
    <s v="Abandon de solde PM"/>
    <n v="118.85"/>
    <n v="0"/>
    <n v="3301"/>
  </r>
  <r>
    <x v="1"/>
    <x v="5"/>
    <x v="1"/>
    <x v="161"/>
    <x v="140"/>
    <x v="140"/>
    <s v="CHARGES"/>
    <x v="0"/>
    <s v="3212.002"/>
    <s v="Intérêts bonifiés/trop perçu acompte C/C"/>
    <n v="0.57999999999999996"/>
    <n v="0"/>
    <n v="3212"/>
  </r>
  <r>
    <x v="1"/>
    <x v="5"/>
    <x v="1"/>
    <x v="161"/>
    <x v="140"/>
    <x v="140"/>
    <s v="CHARGES"/>
    <x v="1"/>
    <s v="3301.002"/>
    <s v="Défalcation PM"/>
    <n v="876.61"/>
    <n v="0"/>
    <n v="3301"/>
  </r>
  <r>
    <x v="1"/>
    <x v="5"/>
    <x v="1"/>
    <x v="161"/>
    <x v="140"/>
    <x v="140"/>
    <s v="REVENUS"/>
    <x v="17"/>
    <s v="4011.001"/>
    <s v="Impôt bénéfice ordinaire"/>
    <n v="0"/>
    <n v="941506.75"/>
    <n v="4011"/>
  </r>
  <r>
    <x v="1"/>
    <x v="5"/>
    <x v="1"/>
    <x v="161"/>
    <x v="140"/>
    <x v="140"/>
    <s v="REVENUS"/>
    <x v="16"/>
    <s v="4012.001"/>
    <s v="Impôt capital ordinaire"/>
    <n v="0"/>
    <n v="184762"/>
    <n v="4012"/>
  </r>
  <r>
    <x v="1"/>
    <x v="5"/>
    <x v="1"/>
    <x v="161"/>
    <x v="140"/>
    <x v="140"/>
    <s v="REVENUS"/>
    <x v="16"/>
    <s v="4012.007"/>
    <s v="Acompte sur capital"/>
    <n v="0"/>
    <n v="22101.55"/>
    <n v="4012"/>
  </r>
  <r>
    <x v="1"/>
    <x v="5"/>
    <x v="1"/>
    <x v="161"/>
    <x v="140"/>
    <x v="140"/>
    <s v="REVENUS"/>
    <x v="6"/>
    <s v="4221.001"/>
    <s v="Intérêts compensat. / créances en faveur du fisc"/>
    <n v="0"/>
    <n v="286.35000000000002"/>
    <n v="4221"/>
  </r>
  <r>
    <x v="1"/>
    <x v="5"/>
    <x v="1"/>
    <x v="161"/>
    <x v="140"/>
    <x v="140"/>
    <s v="REVENUS"/>
    <x v="17"/>
    <s v="4011.002"/>
    <s v="Complément impôt bénéfice ordinaire"/>
    <n v="0"/>
    <n v="29552.75"/>
    <n v="4011"/>
  </r>
  <r>
    <x v="1"/>
    <x v="5"/>
    <x v="1"/>
    <x v="161"/>
    <x v="140"/>
    <x v="140"/>
    <s v="REVENUS"/>
    <x v="17"/>
    <s v="4011.007"/>
    <s v="Acompte sur bénéfice"/>
    <n v="0"/>
    <n v="280940.84999999998"/>
    <n v="4011"/>
  </r>
  <r>
    <x v="1"/>
    <x v="5"/>
    <x v="1"/>
    <x v="161"/>
    <x v="140"/>
    <x v="140"/>
    <s v="REVENUS"/>
    <x v="18"/>
    <s v="4013.001"/>
    <s v="Impôt complémentaire sur immeubles"/>
    <n v="0"/>
    <n v="297503.2"/>
    <n v="4013"/>
  </r>
  <r>
    <x v="1"/>
    <x v="5"/>
    <x v="1"/>
    <x v="161"/>
    <x v="140"/>
    <x v="140"/>
    <s v="REVENUS"/>
    <x v="6"/>
    <s v="4211.001"/>
    <s v="Intérêts de retard sur factures"/>
    <n v="0"/>
    <n v="253.12"/>
    <n v="4211"/>
  </r>
  <r>
    <x v="1"/>
    <x v="5"/>
    <x v="1"/>
    <x v="161"/>
    <x v="140"/>
    <x v="140"/>
    <s v="REVENUS"/>
    <x v="6"/>
    <s v="4211.002"/>
    <s v="Intérêts de retard sur acomptes"/>
    <n v="0"/>
    <n v="2587.4499999999998"/>
    <n v="4211"/>
  </r>
  <r>
    <x v="1"/>
    <x v="5"/>
    <x v="1"/>
    <x v="161"/>
    <x v="140"/>
    <x v="140"/>
    <s v="REVENUS"/>
    <x v="18"/>
    <s v="4013.002"/>
    <s v="Complément impôt complémentaire sur immeubles"/>
    <n v="0"/>
    <n v="6372"/>
    <n v="4013"/>
  </r>
  <r>
    <x v="1"/>
    <x v="5"/>
    <x v="1"/>
    <x v="161"/>
    <x v="140"/>
    <x v="140"/>
    <s v="REVENUS"/>
    <x v="7"/>
    <s v="4184.000"/>
    <s v="Frais de poursuite"/>
    <n v="0"/>
    <n v="543.74"/>
    <n v="4184"/>
  </r>
  <r>
    <x v="1"/>
    <x v="5"/>
    <x v="1"/>
    <x v="161"/>
    <x v="140"/>
    <x v="140"/>
    <s v="REVENUS"/>
    <x v="18"/>
    <s v="4013.003"/>
    <s v="Remboursement impôt complémentaire sur immeubles"/>
    <n v="0"/>
    <n v="-19428.099999999999"/>
    <n v="4013"/>
  </r>
  <r>
    <x v="1"/>
    <x v="5"/>
    <x v="1"/>
    <x v="161"/>
    <x v="140"/>
    <x v="140"/>
    <s v="REVENUS"/>
    <x v="16"/>
    <s v="4012.002"/>
    <s v="Complément impôt capital ordinaire"/>
    <n v="0"/>
    <n v="1042.4000000000001"/>
    <n v="4012"/>
  </r>
  <r>
    <x v="1"/>
    <x v="5"/>
    <x v="1"/>
    <x v="161"/>
    <x v="140"/>
    <x v="140"/>
    <s v="REVENUS"/>
    <x v="10"/>
    <s v="4041.001"/>
    <s v="Droits de mutation"/>
    <n v="0"/>
    <n v="128380.8"/>
    <n v="4041"/>
  </r>
  <r>
    <x v="1"/>
    <x v="5"/>
    <x v="1"/>
    <x v="161"/>
    <x v="140"/>
    <x v="140"/>
    <s v="REVENUS"/>
    <x v="8"/>
    <s v="4091.001"/>
    <s v="Impôt récupéré après défalcations"/>
    <n v="0"/>
    <n v="49.75"/>
    <n v="4091"/>
  </r>
  <r>
    <x v="1"/>
    <x v="5"/>
    <x v="1"/>
    <x v="162"/>
    <x v="141"/>
    <x v="141"/>
    <s v="CHARGES"/>
    <x v="1"/>
    <s v="3301.006"/>
    <s v="Abandon de solde PM"/>
    <n v="18.89"/>
    <n v="0"/>
    <n v="3301"/>
  </r>
  <r>
    <x v="1"/>
    <x v="5"/>
    <x v="1"/>
    <x v="162"/>
    <x v="141"/>
    <x v="141"/>
    <s v="CHARGES"/>
    <x v="0"/>
    <s v="3212.002"/>
    <s v="Intérêts bonifiés/trop perçu acompte C/C"/>
    <n v="0.17"/>
    <n v="0"/>
    <n v="3212"/>
  </r>
  <r>
    <x v="1"/>
    <x v="5"/>
    <x v="1"/>
    <x v="162"/>
    <x v="141"/>
    <x v="141"/>
    <s v="CHARGES"/>
    <x v="0"/>
    <s v="3221.002"/>
    <s v="Intérêts compensatoires / créances en faveur ctb."/>
    <n v="20.3"/>
    <n v="0"/>
    <n v="3221"/>
  </r>
  <r>
    <x v="1"/>
    <x v="5"/>
    <x v="1"/>
    <x v="162"/>
    <x v="141"/>
    <x v="141"/>
    <s v="CHARGES"/>
    <x v="0"/>
    <s v="3212.004"/>
    <s v="Intérêts rémun./perçu trop tôt sur acomptes C/C"/>
    <n v="29.27"/>
    <n v="0"/>
    <n v="3212"/>
  </r>
  <r>
    <x v="1"/>
    <x v="5"/>
    <x v="1"/>
    <x v="162"/>
    <x v="141"/>
    <x v="141"/>
    <s v="CHARGES"/>
    <x v="1"/>
    <s v="3301.002"/>
    <s v="Défalcation PM"/>
    <n v="1475.85"/>
    <n v="0"/>
    <n v="3301"/>
  </r>
  <r>
    <x v="1"/>
    <x v="5"/>
    <x v="1"/>
    <x v="162"/>
    <x v="141"/>
    <x v="141"/>
    <s v="REVENUS"/>
    <x v="6"/>
    <s v="4211.001"/>
    <s v="Intérêts de retard sur factures"/>
    <n v="0"/>
    <n v="14.38"/>
    <n v="4211"/>
  </r>
  <r>
    <x v="1"/>
    <x v="5"/>
    <x v="1"/>
    <x v="162"/>
    <x v="141"/>
    <x v="141"/>
    <s v="REVENUS"/>
    <x v="10"/>
    <s v="4041.001"/>
    <s v="Droits de mutation"/>
    <n v="0"/>
    <n v="24818.75"/>
    <n v="4041"/>
  </r>
  <r>
    <x v="1"/>
    <x v="5"/>
    <x v="1"/>
    <x v="162"/>
    <x v="141"/>
    <x v="141"/>
    <s v="REVENUS"/>
    <x v="17"/>
    <s v="4011.002"/>
    <s v="Complément impôt bénéfice ordinaire"/>
    <n v="0"/>
    <n v="9965.85"/>
    <n v="4011"/>
  </r>
  <r>
    <x v="1"/>
    <x v="5"/>
    <x v="1"/>
    <x v="162"/>
    <x v="141"/>
    <x v="141"/>
    <s v="REVENUS"/>
    <x v="17"/>
    <s v="4011.007"/>
    <s v="Acompte sur bénéfice"/>
    <n v="0"/>
    <n v="-33347.699999999997"/>
    <n v="4011"/>
  </r>
  <r>
    <x v="1"/>
    <x v="5"/>
    <x v="1"/>
    <x v="162"/>
    <x v="141"/>
    <x v="141"/>
    <s v="REVENUS"/>
    <x v="17"/>
    <s v="4011.001"/>
    <s v="Impôt bénéfice ordinaire"/>
    <n v="0"/>
    <n v="34851.65"/>
    <n v="4011"/>
  </r>
  <r>
    <x v="1"/>
    <x v="5"/>
    <x v="1"/>
    <x v="162"/>
    <x v="141"/>
    <x v="141"/>
    <s v="REVENUS"/>
    <x v="16"/>
    <s v="4012.007"/>
    <s v="Acompte sur capital"/>
    <n v="0"/>
    <n v="337.6"/>
    <n v="4012"/>
  </r>
  <r>
    <x v="1"/>
    <x v="5"/>
    <x v="1"/>
    <x v="162"/>
    <x v="141"/>
    <x v="141"/>
    <s v="REVENUS"/>
    <x v="16"/>
    <s v="4012.001"/>
    <s v="Impôt capital ordinaire"/>
    <n v="0"/>
    <n v="245.75"/>
    <n v="4012"/>
  </r>
  <r>
    <x v="1"/>
    <x v="5"/>
    <x v="1"/>
    <x v="162"/>
    <x v="141"/>
    <x v="141"/>
    <s v="REVENUS"/>
    <x v="6"/>
    <s v="4211.002"/>
    <s v="Intérêts de retard sur acomptes"/>
    <n v="0"/>
    <n v="208.95"/>
    <n v="4211"/>
  </r>
  <r>
    <x v="1"/>
    <x v="5"/>
    <x v="1"/>
    <x v="162"/>
    <x v="141"/>
    <x v="141"/>
    <s v="REVENUS"/>
    <x v="6"/>
    <s v="4221.001"/>
    <s v="Intérêts compensat. / créances en faveur du fisc"/>
    <n v="0"/>
    <n v="7.84"/>
    <n v="4221"/>
  </r>
  <r>
    <x v="1"/>
    <x v="5"/>
    <x v="1"/>
    <x v="162"/>
    <x v="141"/>
    <x v="141"/>
    <s v="REVENUS"/>
    <x v="18"/>
    <s v="4013.001"/>
    <s v="Impôt complémentaire sur immeubles"/>
    <n v="0"/>
    <n v="5748.85"/>
    <n v="4013"/>
  </r>
  <r>
    <x v="1"/>
    <x v="5"/>
    <x v="1"/>
    <x v="163"/>
    <x v="142"/>
    <x v="142"/>
    <s v="CHARGES"/>
    <x v="1"/>
    <s v="3301.006"/>
    <s v="Abandon de solde PM"/>
    <n v="122.32"/>
    <n v="0"/>
    <n v="3301"/>
  </r>
  <r>
    <x v="1"/>
    <x v="5"/>
    <x v="1"/>
    <x v="163"/>
    <x v="142"/>
    <x v="142"/>
    <s v="CHARGES"/>
    <x v="0"/>
    <s v="3212.004"/>
    <s v="Intérêts rémun./perçu trop tôt sur acomptes C/C"/>
    <n v="341.46"/>
    <n v="0"/>
    <n v="3212"/>
  </r>
  <r>
    <x v="1"/>
    <x v="5"/>
    <x v="1"/>
    <x v="163"/>
    <x v="142"/>
    <x v="142"/>
    <s v="CHARGES"/>
    <x v="0"/>
    <s v="3221.002"/>
    <s v="Intérêts compensatoires / créances en faveur ctb."/>
    <n v="321.66000000000003"/>
    <n v="0"/>
    <n v="3221"/>
  </r>
  <r>
    <x v="1"/>
    <x v="5"/>
    <x v="1"/>
    <x v="163"/>
    <x v="142"/>
    <x v="142"/>
    <s v="CHARGES"/>
    <x v="0"/>
    <s v="3212.002"/>
    <s v="Intérêts bonifiés/trop perçu acompte C/C"/>
    <n v="4.17"/>
    <n v="0"/>
    <n v="3212"/>
  </r>
  <r>
    <x v="1"/>
    <x v="5"/>
    <x v="1"/>
    <x v="163"/>
    <x v="142"/>
    <x v="142"/>
    <s v="CHARGES"/>
    <x v="1"/>
    <s v="3301.002"/>
    <s v="Défalcation PM"/>
    <n v="6887.2"/>
    <n v="0"/>
    <n v="3301"/>
  </r>
  <r>
    <x v="1"/>
    <x v="5"/>
    <x v="1"/>
    <x v="163"/>
    <x v="142"/>
    <x v="142"/>
    <s v="REVENUS"/>
    <x v="17"/>
    <s v="4011.007"/>
    <s v="Acompte sur bénéfice"/>
    <n v="0"/>
    <n v="-545219"/>
    <n v="4011"/>
  </r>
  <r>
    <x v="1"/>
    <x v="5"/>
    <x v="1"/>
    <x v="163"/>
    <x v="142"/>
    <x v="142"/>
    <s v="REVENUS"/>
    <x v="16"/>
    <s v="4012.001"/>
    <s v="Impôt capital ordinaire"/>
    <n v="0"/>
    <n v="78660.100000000006"/>
    <n v="4012"/>
  </r>
  <r>
    <x v="1"/>
    <x v="5"/>
    <x v="1"/>
    <x v="163"/>
    <x v="142"/>
    <x v="142"/>
    <s v="REVENUS"/>
    <x v="6"/>
    <s v="4211.002"/>
    <s v="Intérêts de retard sur acomptes"/>
    <n v="0"/>
    <n v="1153.4100000000001"/>
    <n v="4211"/>
  </r>
  <r>
    <x v="1"/>
    <x v="5"/>
    <x v="1"/>
    <x v="163"/>
    <x v="142"/>
    <x v="142"/>
    <s v="REVENUS"/>
    <x v="17"/>
    <s v="4011.001"/>
    <s v="Impôt bénéfice ordinaire"/>
    <n v="0"/>
    <n v="536163.5"/>
    <n v="4011"/>
  </r>
  <r>
    <x v="1"/>
    <x v="5"/>
    <x v="1"/>
    <x v="163"/>
    <x v="142"/>
    <x v="142"/>
    <s v="REVENUS"/>
    <x v="16"/>
    <s v="4012.007"/>
    <s v="Acompte sur capital"/>
    <n v="0"/>
    <n v="-39180.050000000003"/>
    <n v="4012"/>
  </r>
  <r>
    <x v="1"/>
    <x v="5"/>
    <x v="1"/>
    <x v="163"/>
    <x v="142"/>
    <x v="142"/>
    <s v="REVENUS"/>
    <x v="18"/>
    <s v="4013.001"/>
    <s v="Impôt complémentaire sur immeubles"/>
    <n v="0"/>
    <n v="69209.350000000006"/>
    <n v="4013"/>
  </r>
  <r>
    <x v="1"/>
    <x v="5"/>
    <x v="1"/>
    <x v="163"/>
    <x v="142"/>
    <x v="142"/>
    <s v="REVENUS"/>
    <x v="17"/>
    <s v="4011.002"/>
    <s v="Complément impôt bénéfice ordinaire"/>
    <n v="0"/>
    <n v="15351.6"/>
    <n v="4011"/>
  </r>
  <r>
    <x v="1"/>
    <x v="5"/>
    <x v="1"/>
    <x v="163"/>
    <x v="142"/>
    <x v="142"/>
    <s v="REVENUS"/>
    <x v="6"/>
    <s v="4211.001"/>
    <s v="Intérêts de retard sur factures"/>
    <n v="0"/>
    <n v="477.47"/>
    <n v="4211"/>
  </r>
  <r>
    <x v="1"/>
    <x v="5"/>
    <x v="1"/>
    <x v="163"/>
    <x v="142"/>
    <x v="142"/>
    <s v="REVENUS"/>
    <x v="6"/>
    <s v="4221.001"/>
    <s v="Intérêts compensat. / créances en faveur du fisc"/>
    <n v="0"/>
    <n v="185.28"/>
    <n v="4221"/>
  </r>
  <r>
    <x v="1"/>
    <x v="5"/>
    <x v="1"/>
    <x v="163"/>
    <x v="142"/>
    <x v="142"/>
    <s v="REVENUS"/>
    <x v="10"/>
    <s v="4041.001"/>
    <s v="Droits de mutation"/>
    <n v="0"/>
    <n v="136893"/>
    <n v="4041"/>
  </r>
  <r>
    <x v="1"/>
    <x v="5"/>
    <x v="1"/>
    <x v="163"/>
    <x v="142"/>
    <x v="142"/>
    <s v="REVENUS"/>
    <x v="7"/>
    <s v="4184.000"/>
    <s v="Frais de poursuite"/>
    <n v="0"/>
    <n v="354.89"/>
    <n v="4184"/>
  </r>
  <r>
    <x v="1"/>
    <x v="5"/>
    <x v="1"/>
    <x v="163"/>
    <x v="142"/>
    <x v="142"/>
    <s v="REVENUS"/>
    <x v="18"/>
    <s v="4013.002"/>
    <s v="Complément impôt complémentaire sur immeubles"/>
    <n v="0"/>
    <n v="537"/>
    <n v="4013"/>
  </r>
  <r>
    <x v="1"/>
    <x v="5"/>
    <x v="1"/>
    <x v="163"/>
    <x v="142"/>
    <x v="142"/>
    <s v="REVENUS"/>
    <x v="18"/>
    <s v="4013.003"/>
    <s v="Remboursement impôt complémentaire sur immeubles"/>
    <n v="0"/>
    <n v="-5163.1000000000004"/>
    <n v="4013"/>
  </r>
  <r>
    <x v="1"/>
    <x v="5"/>
    <x v="1"/>
    <x v="163"/>
    <x v="142"/>
    <x v="142"/>
    <s v="REVENUS"/>
    <x v="16"/>
    <s v="4012.002"/>
    <s v="Complément impôt capital ordinaire"/>
    <n v="0"/>
    <n v="95.95"/>
    <n v="4012"/>
  </r>
  <r>
    <x v="1"/>
    <x v="5"/>
    <x v="1"/>
    <x v="163"/>
    <x v="142"/>
    <x v="142"/>
    <s v="REVENUS"/>
    <x v="8"/>
    <s v="4091.001"/>
    <s v="Impôt récupéré après défalcations"/>
    <n v="0"/>
    <n v="2152.2800000000002"/>
    <n v="4091"/>
  </r>
  <r>
    <x v="1"/>
    <x v="5"/>
    <x v="1"/>
    <x v="164"/>
    <x v="143"/>
    <x v="143"/>
    <s v="CHARGES"/>
    <x v="0"/>
    <s v="3221.002"/>
    <s v="Intérêts compensatoires / créances en faveur ctb."/>
    <n v="5.44"/>
    <n v="0"/>
    <n v="3221"/>
  </r>
  <r>
    <x v="1"/>
    <x v="5"/>
    <x v="1"/>
    <x v="164"/>
    <x v="143"/>
    <x v="143"/>
    <s v="CHARGES"/>
    <x v="1"/>
    <s v="3301.006"/>
    <s v="Abandon de solde PM"/>
    <n v="30.53"/>
    <n v="0"/>
    <n v="3301"/>
  </r>
  <r>
    <x v="1"/>
    <x v="5"/>
    <x v="1"/>
    <x v="164"/>
    <x v="143"/>
    <x v="143"/>
    <s v="CHARGES"/>
    <x v="0"/>
    <s v="3212.002"/>
    <s v="Intérêts bonifiés/trop perçu acompte C/C"/>
    <n v="0.05"/>
    <n v="0"/>
    <n v="3212"/>
  </r>
  <r>
    <x v="1"/>
    <x v="5"/>
    <x v="1"/>
    <x v="164"/>
    <x v="143"/>
    <x v="143"/>
    <s v="CHARGES"/>
    <x v="0"/>
    <s v="3212.004"/>
    <s v="Intérêts rémun./perçu trop tôt sur acomptes C/C"/>
    <n v="12.15"/>
    <n v="0"/>
    <n v="3212"/>
  </r>
  <r>
    <x v="1"/>
    <x v="5"/>
    <x v="1"/>
    <x v="164"/>
    <x v="143"/>
    <x v="143"/>
    <s v="CHARGES"/>
    <x v="1"/>
    <s v="3301.002"/>
    <s v="Défalcation PM"/>
    <n v="14.95"/>
    <n v="0"/>
    <n v="3301"/>
  </r>
  <r>
    <x v="1"/>
    <x v="5"/>
    <x v="1"/>
    <x v="164"/>
    <x v="143"/>
    <x v="143"/>
    <s v="REVENUS"/>
    <x v="17"/>
    <s v="4011.001"/>
    <s v="Impôt bénéfice ordinaire"/>
    <n v="0"/>
    <n v="17537.45"/>
    <n v="4011"/>
  </r>
  <r>
    <x v="1"/>
    <x v="5"/>
    <x v="1"/>
    <x v="164"/>
    <x v="143"/>
    <x v="143"/>
    <s v="REVENUS"/>
    <x v="17"/>
    <s v="4011.002"/>
    <s v="Complément impôt bénéfice ordinaire"/>
    <n v="0"/>
    <n v="21974.799999999999"/>
    <n v="4011"/>
  </r>
  <r>
    <x v="1"/>
    <x v="5"/>
    <x v="1"/>
    <x v="164"/>
    <x v="143"/>
    <x v="143"/>
    <s v="REVENUS"/>
    <x v="6"/>
    <s v="4211.001"/>
    <s v="Intérêts de retard sur factures"/>
    <n v="0"/>
    <n v="110.86"/>
    <n v="4211"/>
  </r>
  <r>
    <x v="1"/>
    <x v="5"/>
    <x v="1"/>
    <x v="164"/>
    <x v="143"/>
    <x v="143"/>
    <s v="REVENUS"/>
    <x v="6"/>
    <s v="4221.001"/>
    <s v="Intérêts compensat. / créances en faveur du fisc"/>
    <n v="0"/>
    <n v="16.38"/>
    <n v="4221"/>
  </r>
  <r>
    <x v="1"/>
    <x v="5"/>
    <x v="1"/>
    <x v="164"/>
    <x v="143"/>
    <x v="143"/>
    <s v="REVENUS"/>
    <x v="18"/>
    <s v="4013.003"/>
    <s v="Remboursement impôt complémentaire sur immeubles"/>
    <n v="0"/>
    <n v="-13181.5"/>
    <n v="4013"/>
  </r>
  <r>
    <x v="1"/>
    <x v="5"/>
    <x v="1"/>
    <x v="164"/>
    <x v="143"/>
    <x v="143"/>
    <s v="REVENUS"/>
    <x v="16"/>
    <s v="4012.007"/>
    <s v="Acompte sur capital"/>
    <n v="0"/>
    <n v="1919.25"/>
    <n v="4012"/>
  </r>
  <r>
    <x v="1"/>
    <x v="5"/>
    <x v="1"/>
    <x v="164"/>
    <x v="143"/>
    <x v="143"/>
    <s v="REVENUS"/>
    <x v="17"/>
    <s v="4011.007"/>
    <s v="Acompte sur bénéfice"/>
    <n v="0"/>
    <n v="-100861.35"/>
    <n v="4011"/>
  </r>
  <r>
    <x v="1"/>
    <x v="5"/>
    <x v="1"/>
    <x v="164"/>
    <x v="143"/>
    <x v="143"/>
    <s v="REVENUS"/>
    <x v="6"/>
    <s v="4211.002"/>
    <s v="Intérêts de retard sur acomptes"/>
    <n v="0"/>
    <n v="150.93"/>
    <n v="4211"/>
  </r>
  <r>
    <x v="1"/>
    <x v="5"/>
    <x v="1"/>
    <x v="164"/>
    <x v="143"/>
    <x v="143"/>
    <s v="REVENUS"/>
    <x v="16"/>
    <s v="4012.001"/>
    <s v="Impôt capital ordinaire"/>
    <n v="0"/>
    <n v="1442.35"/>
    <n v="4012"/>
  </r>
  <r>
    <x v="1"/>
    <x v="5"/>
    <x v="1"/>
    <x v="164"/>
    <x v="143"/>
    <x v="143"/>
    <s v="REVENUS"/>
    <x v="18"/>
    <s v="4013.001"/>
    <s v="Impôt complémentaire sur immeubles"/>
    <n v="0"/>
    <n v="4931.3500000000004"/>
    <n v="4013"/>
  </r>
  <r>
    <x v="1"/>
    <x v="5"/>
    <x v="1"/>
    <x v="164"/>
    <x v="143"/>
    <x v="143"/>
    <s v="REVENUS"/>
    <x v="7"/>
    <s v="4184.000"/>
    <s v="Frais de poursuite"/>
    <n v="0"/>
    <n v="57.71"/>
    <n v="4184"/>
  </r>
  <r>
    <x v="1"/>
    <x v="5"/>
    <x v="1"/>
    <x v="165"/>
    <x v="144"/>
    <x v="144"/>
    <s v="CHARGES"/>
    <x v="0"/>
    <s v="3221.002"/>
    <s v="Intérêts compensatoires / créances en faveur ctb."/>
    <n v="318.95999999999998"/>
    <n v="0"/>
    <n v="3221"/>
  </r>
  <r>
    <x v="1"/>
    <x v="5"/>
    <x v="1"/>
    <x v="165"/>
    <x v="144"/>
    <x v="144"/>
    <s v="CHARGES"/>
    <x v="0"/>
    <s v="3212.002"/>
    <s v="Intérêts bonifiés/trop perçu acompte C/C"/>
    <n v="1.54"/>
    <n v="0"/>
    <n v="3212"/>
  </r>
  <r>
    <x v="1"/>
    <x v="5"/>
    <x v="1"/>
    <x v="165"/>
    <x v="144"/>
    <x v="144"/>
    <s v="CHARGES"/>
    <x v="0"/>
    <s v="3212.004"/>
    <s v="Intérêts rémun./perçu trop tôt sur acomptes C/C"/>
    <n v="300.58"/>
    <n v="0"/>
    <n v="3212"/>
  </r>
  <r>
    <x v="1"/>
    <x v="5"/>
    <x v="1"/>
    <x v="165"/>
    <x v="144"/>
    <x v="144"/>
    <s v="CHARGES"/>
    <x v="1"/>
    <s v="3301.006"/>
    <s v="Abandon de solde PM"/>
    <n v="17.97"/>
    <n v="0"/>
    <n v="3301"/>
  </r>
  <r>
    <x v="1"/>
    <x v="5"/>
    <x v="1"/>
    <x v="165"/>
    <x v="144"/>
    <x v="144"/>
    <s v="REVENUS"/>
    <x v="17"/>
    <s v="4011.001"/>
    <s v="Impôt bénéfice ordinaire"/>
    <n v="0"/>
    <n v="15877.65"/>
    <n v="4011"/>
  </r>
  <r>
    <x v="1"/>
    <x v="5"/>
    <x v="1"/>
    <x v="165"/>
    <x v="144"/>
    <x v="144"/>
    <s v="REVENUS"/>
    <x v="17"/>
    <s v="4011.002"/>
    <s v="Complément impôt bénéfice ordinaire"/>
    <n v="0"/>
    <n v="1881.65"/>
    <n v="4011"/>
  </r>
  <r>
    <x v="1"/>
    <x v="5"/>
    <x v="1"/>
    <x v="165"/>
    <x v="144"/>
    <x v="144"/>
    <s v="REVENUS"/>
    <x v="6"/>
    <s v="4211.001"/>
    <s v="Intérêts de retard sur factures"/>
    <n v="0"/>
    <n v="125.42"/>
    <n v="4211"/>
  </r>
  <r>
    <x v="1"/>
    <x v="5"/>
    <x v="1"/>
    <x v="165"/>
    <x v="144"/>
    <x v="144"/>
    <s v="REVENUS"/>
    <x v="6"/>
    <s v="4221.001"/>
    <s v="Intérêts compensat. / créances en faveur du fisc"/>
    <n v="0"/>
    <n v="-53.02"/>
    <n v="4221"/>
  </r>
  <r>
    <x v="1"/>
    <x v="5"/>
    <x v="1"/>
    <x v="165"/>
    <x v="144"/>
    <x v="144"/>
    <s v="REVENUS"/>
    <x v="17"/>
    <s v="4011.007"/>
    <s v="Acompte sur bénéfice"/>
    <n v="0"/>
    <n v="2559.8000000000002"/>
    <n v="4011"/>
  </r>
  <r>
    <x v="1"/>
    <x v="5"/>
    <x v="1"/>
    <x v="165"/>
    <x v="144"/>
    <x v="144"/>
    <s v="REVENUS"/>
    <x v="16"/>
    <s v="4012.001"/>
    <s v="Impôt capital ordinaire"/>
    <n v="0"/>
    <n v="3370.2"/>
    <n v="4012"/>
  </r>
  <r>
    <x v="1"/>
    <x v="5"/>
    <x v="1"/>
    <x v="165"/>
    <x v="144"/>
    <x v="144"/>
    <s v="REVENUS"/>
    <x v="6"/>
    <s v="4211.002"/>
    <s v="Intérêts de retard sur acomptes"/>
    <n v="0"/>
    <n v="457.97"/>
    <n v="4211"/>
  </r>
  <r>
    <x v="1"/>
    <x v="5"/>
    <x v="1"/>
    <x v="165"/>
    <x v="144"/>
    <x v="144"/>
    <s v="REVENUS"/>
    <x v="16"/>
    <s v="4012.007"/>
    <s v="Acompte sur capital"/>
    <n v="0"/>
    <n v="2022.05"/>
    <n v="4012"/>
  </r>
  <r>
    <x v="1"/>
    <x v="5"/>
    <x v="1"/>
    <x v="165"/>
    <x v="144"/>
    <x v="144"/>
    <s v="REVENUS"/>
    <x v="16"/>
    <s v="4012.002"/>
    <s v="Complément impôt capital ordinaire"/>
    <n v="0"/>
    <n v="648.35"/>
    <n v="4012"/>
  </r>
  <r>
    <x v="1"/>
    <x v="5"/>
    <x v="1"/>
    <x v="165"/>
    <x v="144"/>
    <x v="144"/>
    <s v="REVENUS"/>
    <x v="18"/>
    <s v="4013.003"/>
    <s v="Remboursement impôt complémentaire sur immeubles"/>
    <n v="0"/>
    <n v="-377"/>
    <n v="4013"/>
  </r>
  <r>
    <x v="1"/>
    <x v="5"/>
    <x v="1"/>
    <x v="165"/>
    <x v="144"/>
    <x v="144"/>
    <s v="REVENUS"/>
    <x v="18"/>
    <s v="4013.001"/>
    <s v="Impôt complémentaire sur immeubles"/>
    <n v="0"/>
    <n v="3699.35"/>
    <n v="4013"/>
  </r>
  <r>
    <x v="1"/>
    <x v="5"/>
    <x v="1"/>
    <x v="165"/>
    <x v="144"/>
    <x v="144"/>
    <s v="REVENUS"/>
    <x v="7"/>
    <s v="4184.000"/>
    <s v="Frais de poursuite"/>
    <n v="0"/>
    <n v="30.92"/>
    <n v="4184"/>
  </r>
  <r>
    <x v="1"/>
    <x v="5"/>
    <x v="1"/>
    <x v="166"/>
    <x v="135"/>
    <x v="135"/>
    <s v="CHARGES"/>
    <x v="0"/>
    <s v="3212.002"/>
    <s v="Intérêts bonifiés/trop perçu acompte C/C"/>
    <n v="0.01"/>
    <n v="0"/>
    <n v="3212"/>
  </r>
  <r>
    <x v="1"/>
    <x v="5"/>
    <x v="1"/>
    <x v="166"/>
    <x v="135"/>
    <x v="135"/>
    <s v="REVENUS"/>
    <x v="17"/>
    <s v="4011.002"/>
    <s v="Complément impôt bénéfice ordinaire"/>
    <n v="0"/>
    <n v="216.15"/>
    <n v="4011"/>
  </r>
  <r>
    <x v="1"/>
    <x v="5"/>
    <x v="1"/>
    <x v="166"/>
    <x v="135"/>
    <x v="135"/>
    <s v="REVENUS"/>
    <x v="17"/>
    <s v="4011.001"/>
    <s v="Impôt bénéfice ordinaire"/>
    <n v="0"/>
    <n v="-216.15"/>
    <n v="4011"/>
  </r>
  <r>
    <x v="1"/>
    <x v="5"/>
    <x v="1"/>
    <x v="167"/>
    <x v="145"/>
    <x v="145"/>
    <s v="CHARGES"/>
    <x v="0"/>
    <s v="3212.004"/>
    <s v="Intérêts rémun./perçu trop tôt sur acomptes C/C"/>
    <n v="4011.11"/>
    <n v="0"/>
    <n v="3212"/>
  </r>
  <r>
    <x v="1"/>
    <x v="5"/>
    <x v="1"/>
    <x v="167"/>
    <x v="145"/>
    <x v="145"/>
    <s v="CHARGES"/>
    <x v="0"/>
    <s v="3221.002"/>
    <s v="Intérêts compensatoires / créances en faveur ctb."/>
    <n v="3172.83"/>
    <n v="0"/>
    <n v="3221"/>
  </r>
  <r>
    <x v="1"/>
    <x v="5"/>
    <x v="1"/>
    <x v="167"/>
    <x v="145"/>
    <x v="145"/>
    <s v="CHARGES"/>
    <x v="1"/>
    <s v="3301.006"/>
    <s v="Abandon de solde PM"/>
    <n v="428.23"/>
    <n v="0"/>
    <n v="3301"/>
  </r>
  <r>
    <x v="1"/>
    <x v="5"/>
    <x v="1"/>
    <x v="167"/>
    <x v="145"/>
    <x v="145"/>
    <s v="CHARGES"/>
    <x v="0"/>
    <s v="3212.002"/>
    <s v="Intérêts bonifiés/trop perçu acompte C/C"/>
    <n v="15.54"/>
    <n v="0"/>
    <n v="3212"/>
  </r>
  <r>
    <x v="1"/>
    <x v="5"/>
    <x v="1"/>
    <x v="167"/>
    <x v="145"/>
    <x v="145"/>
    <s v="CHARGES"/>
    <x v="1"/>
    <s v="3301.002"/>
    <s v="Défalcation PM"/>
    <n v="310923.49"/>
    <n v="0"/>
    <n v="3301"/>
  </r>
  <r>
    <x v="1"/>
    <x v="5"/>
    <x v="1"/>
    <x v="167"/>
    <x v="145"/>
    <x v="145"/>
    <s v="REVENUS"/>
    <x v="17"/>
    <s v="4011.001"/>
    <s v="Impôt bénéfice ordinaire"/>
    <n v="0"/>
    <n v="5213784.2"/>
    <n v="4011"/>
  </r>
  <r>
    <x v="1"/>
    <x v="5"/>
    <x v="1"/>
    <x v="167"/>
    <x v="145"/>
    <x v="145"/>
    <s v="REVENUS"/>
    <x v="17"/>
    <s v="4011.007"/>
    <s v="Acompte sur bénéfice"/>
    <n v="0"/>
    <n v="-1733469.6"/>
    <n v="4011"/>
  </r>
  <r>
    <x v="1"/>
    <x v="5"/>
    <x v="1"/>
    <x v="167"/>
    <x v="145"/>
    <x v="145"/>
    <s v="REVENUS"/>
    <x v="16"/>
    <s v="4012.001"/>
    <s v="Impôt capital ordinaire"/>
    <n v="0"/>
    <n v="135082.1"/>
    <n v="4012"/>
  </r>
  <r>
    <x v="1"/>
    <x v="5"/>
    <x v="1"/>
    <x v="167"/>
    <x v="145"/>
    <x v="145"/>
    <s v="REVENUS"/>
    <x v="16"/>
    <s v="4012.007"/>
    <s v="Acompte sur capital"/>
    <n v="0"/>
    <n v="960673.2"/>
    <n v="4012"/>
  </r>
  <r>
    <x v="1"/>
    <x v="5"/>
    <x v="1"/>
    <x v="167"/>
    <x v="145"/>
    <x v="145"/>
    <s v="REVENUS"/>
    <x v="18"/>
    <s v="4013.001"/>
    <s v="Impôt complémentaire sur immeubles"/>
    <n v="0"/>
    <n v="534391.05000000005"/>
    <n v="4013"/>
  </r>
  <r>
    <x v="1"/>
    <x v="5"/>
    <x v="1"/>
    <x v="167"/>
    <x v="145"/>
    <x v="145"/>
    <s v="REVENUS"/>
    <x v="7"/>
    <s v="4184.000"/>
    <s v="Frais de poursuite"/>
    <n v="0"/>
    <n v="894.43"/>
    <n v="4184"/>
  </r>
  <r>
    <x v="1"/>
    <x v="5"/>
    <x v="1"/>
    <x v="167"/>
    <x v="145"/>
    <x v="145"/>
    <s v="REVENUS"/>
    <x v="6"/>
    <s v="4211.002"/>
    <s v="Intérêts de retard sur acomptes"/>
    <n v="0"/>
    <n v="10744.17"/>
    <n v="4211"/>
  </r>
  <r>
    <x v="1"/>
    <x v="5"/>
    <x v="1"/>
    <x v="167"/>
    <x v="145"/>
    <x v="145"/>
    <s v="REVENUS"/>
    <x v="17"/>
    <s v="4011.002"/>
    <s v="Complément impôt bénéfice ordinaire"/>
    <n v="0"/>
    <n v="171456.15"/>
    <n v="4011"/>
  </r>
  <r>
    <x v="1"/>
    <x v="5"/>
    <x v="1"/>
    <x v="167"/>
    <x v="145"/>
    <x v="145"/>
    <s v="REVENUS"/>
    <x v="10"/>
    <s v="4041.001"/>
    <s v="Droits de mutation"/>
    <n v="0"/>
    <n v="1238917.3500000001"/>
    <n v="4041"/>
  </r>
  <r>
    <x v="1"/>
    <x v="5"/>
    <x v="1"/>
    <x v="167"/>
    <x v="145"/>
    <x v="145"/>
    <s v="REVENUS"/>
    <x v="6"/>
    <s v="4211.001"/>
    <s v="Intérêts de retard sur factures"/>
    <n v="0"/>
    <n v="10506.05"/>
    <n v="4211"/>
  </r>
  <r>
    <x v="1"/>
    <x v="5"/>
    <x v="1"/>
    <x v="167"/>
    <x v="145"/>
    <x v="145"/>
    <s v="REVENUS"/>
    <x v="6"/>
    <s v="4221.001"/>
    <s v="Intérêts compensat. / créances en faveur du fisc"/>
    <n v="0"/>
    <n v="1143.81"/>
    <n v="4221"/>
  </r>
  <r>
    <x v="1"/>
    <x v="5"/>
    <x v="1"/>
    <x v="167"/>
    <x v="145"/>
    <x v="145"/>
    <s v="REVENUS"/>
    <x v="18"/>
    <s v="4013.003"/>
    <s v="Remboursement impôt complémentaire sur immeubles"/>
    <n v="0"/>
    <n v="-15205.55"/>
    <n v="4013"/>
  </r>
  <r>
    <x v="1"/>
    <x v="5"/>
    <x v="1"/>
    <x v="167"/>
    <x v="145"/>
    <x v="145"/>
    <s v="REVENUS"/>
    <x v="9"/>
    <s v="4031.001"/>
    <s v="Impôt sur les gains immobiliers"/>
    <n v="0"/>
    <n v="47276.800000000003"/>
    <n v="4031"/>
  </r>
  <r>
    <x v="1"/>
    <x v="5"/>
    <x v="1"/>
    <x v="167"/>
    <x v="145"/>
    <x v="145"/>
    <s v="REVENUS"/>
    <x v="16"/>
    <s v="4012.002"/>
    <s v="Complément impôt capital ordinaire"/>
    <n v="0"/>
    <n v="12307.5"/>
    <n v="4012"/>
  </r>
  <r>
    <x v="1"/>
    <x v="5"/>
    <x v="1"/>
    <x v="167"/>
    <x v="145"/>
    <x v="145"/>
    <s v="REVENUS"/>
    <x v="18"/>
    <s v="4013.002"/>
    <s v="Complément impôt complémentaire sur immeubles"/>
    <n v="0"/>
    <n v="9400.2000000000007"/>
    <n v="4013"/>
  </r>
  <r>
    <x v="1"/>
    <x v="5"/>
    <x v="1"/>
    <x v="167"/>
    <x v="145"/>
    <x v="145"/>
    <s v="REVENUS"/>
    <x v="8"/>
    <s v="4091.001"/>
    <s v="Impôt récupéré après défalcations"/>
    <n v="0"/>
    <n v="3538.91"/>
    <n v="4091"/>
  </r>
  <r>
    <x v="1"/>
    <x v="5"/>
    <x v="1"/>
    <x v="167"/>
    <x v="145"/>
    <x v="145"/>
    <s v="REVENUS"/>
    <x v="13"/>
    <s v="4371.012"/>
    <s v="Amende soustraction IBC"/>
    <n v="0"/>
    <n v="4900"/>
    <n v="4371"/>
  </r>
  <r>
    <x v="1"/>
    <x v="5"/>
    <x v="1"/>
    <x v="167"/>
    <x v="145"/>
    <x v="145"/>
    <s v="REVENUS"/>
    <x v="8"/>
    <s v="4091.003"/>
    <s v="Impôt récupéré concordat"/>
    <n v="0"/>
    <n v="125.21"/>
    <n v="4091"/>
  </r>
  <r>
    <x v="1"/>
    <x v="5"/>
    <x v="1"/>
    <x v="168"/>
    <x v="146"/>
    <x v="146"/>
    <s v="CHARGES"/>
    <x v="0"/>
    <s v="3212.004"/>
    <s v="Intérêts rémun./perçu trop tôt sur acomptes C/C"/>
    <n v="203.23"/>
    <n v="0"/>
    <n v="3212"/>
  </r>
  <r>
    <x v="1"/>
    <x v="5"/>
    <x v="1"/>
    <x v="168"/>
    <x v="146"/>
    <x v="146"/>
    <s v="CHARGES"/>
    <x v="0"/>
    <s v="3221.002"/>
    <s v="Intérêts compensatoires / créances en faveur ctb."/>
    <n v="201.9"/>
    <n v="0"/>
    <n v="3221"/>
  </r>
  <r>
    <x v="1"/>
    <x v="5"/>
    <x v="1"/>
    <x v="168"/>
    <x v="146"/>
    <x v="146"/>
    <s v="CHARGES"/>
    <x v="1"/>
    <s v="3301.006"/>
    <s v="Abandon de solde PM"/>
    <n v="151.81"/>
    <n v="0"/>
    <n v="3301"/>
  </r>
  <r>
    <x v="1"/>
    <x v="5"/>
    <x v="1"/>
    <x v="168"/>
    <x v="146"/>
    <x v="146"/>
    <s v="CHARGES"/>
    <x v="0"/>
    <s v="3212.002"/>
    <s v="Intérêts bonifiés/trop perçu acompte C/C"/>
    <n v="0.78"/>
    <n v="0"/>
    <n v="3212"/>
  </r>
  <r>
    <x v="1"/>
    <x v="5"/>
    <x v="1"/>
    <x v="168"/>
    <x v="146"/>
    <x v="146"/>
    <s v="CHARGES"/>
    <x v="1"/>
    <s v="3301.002"/>
    <s v="Défalcation PM"/>
    <n v="8799.01"/>
    <n v="0"/>
    <n v="3301"/>
  </r>
  <r>
    <x v="1"/>
    <x v="5"/>
    <x v="1"/>
    <x v="168"/>
    <x v="146"/>
    <x v="146"/>
    <s v="REVENUS"/>
    <x v="16"/>
    <s v="4012.001"/>
    <s v="Impôt capital ordinaire"/>
    <n v="0"/>
    <n v="16070.2"/>
    <n v="4012"/>
  </r>
  <r>
    <x v="1"/>
    <x v="5"/>
    <x v="1"/>
    <x v="168"/>
    <x v="146"/>
    <x v="146"/>
    <s v="REVENUS"/>
    <x v="16"/>
    <s v="4012.007"/>
    <s v="Acompte sur capital"/>
    <n v="0"/>
    <n v="31768.05"/>
    <n v="4012"/>
  </r>
  <r>
    <x v="1"/>
    <x v="5"/>
    <x v="1"/>
    <x v="168"/>
    <x v="146"/>
    <x v="146"/>
    <s v="REVENUS"/>
    <x v="18"/>
    <s v="4013.001"/>
    <s v="Impôt complémentaire sur immeubles"/>
    <n v="0"/>
    <n v="129553.5"/>
    <n v="4013"/>
  </r>
  <r>
    <x v="1"/>
    <x v="5"/>
    <x v="1"/>
    <x v="168"/>
    <x v="146"/>
    <x v="146"/>
    <s v="REVENUS"/>
    <x v="17"/>
    <s v="4011.001"/>
    <s v="Impôt bénéfice ordinaire"/>
    <n v="0"/>
    <n v="630025.85"/>
    <n v="4011"/>
  </r>
  <r>
    <x v="1"/>
    <x v="5"/>
    <x v="1"/>
    <x v="168"/>
    <x v="146"/>
    <x v="146"/>
    <s v="REVENUS"/>
    <x v="17"/>
    <s v="4011.002"/>
    <s v="Complément impôt bénéfice ordinaire"/>
    <n v="0"/>
    <n v="31311.25"/>
    <n v="4011"/>
  </r>
  <r>
    <x v="1"/>
    <x v="5"/>
    <x v="1"/>
    <x v="168"/>
    <x v="146"/>
    <x v="146"/>
    <s v="REVENUS"/>
    <x v="6"/>
    <s v="4211.001"/>
    <s v="Intérêts de retard sur factures"/>
    <n v="0"/>
    <n v="1307.76"/>
    <n v="4211"/>
  </r>
  <r>
    <x v="1"/>
    <x v="5"/>
    <x v="1"/>
    <x v="168"/>
    <x v="146"/>
    <x v="146"/>
    <s v="REVENUS"/>
    <x v="6"/>
    <s v="4211.002"/>
    <s v="Intérêts de retard sur acomptes"/>
    <n v="0"/>
    <n v="2348.0700000000002"/>
    <n v="4211"/>
  </r>
  <r>
    <x v="1"/>
    <x v="5"/>
    <x v="1"/>
    <x v="168"/>
    <x v="146"/>
    <x v="146"/>
    <s v="REVENUS"/>
    <x v="6"/>
    <s v="4221.001"/>
    <s v="Intérêts compensat. / créances en faveur du fisc"/>
    <n v="0"/>
    <n v="278.60000000000002"/>
    <n v="4221"/>
  </r>
  <r>
    <x v="1"/>
    <x v="5"/>
    <x v="1"/>
    <x v="168"/>
    <x v="146"/>
    <x v="146"/>
    <s v="REVENUS"/>
    <x v="17"/>
    <s v="4011.007"/>
    <s v="Acompte sur bénéfice"/>
    <n v="0"/>
    <n v="-273992.5"/>
    <n v="4011"/>
  </r>
  <r>
    <x v="1"/>
    <x v="5"/>
    <x v="1"/>
    <x v="168"/>
    <x v="146"/>
    <x v="146"/>
    <s v="REVENUS"/>
    <x v="7"/>
    <s v="4184.000"/>
    <s v="Frais de poursuite"/>
    <n v="0"/>
    <n v="454.99"/>
    <n v="4184"/>
  </r>
  <r>
    <x v="1"/>
    <x v="5"/>
    <x v="1"/>
    <x v="168"/>
    <x v="146"/>
    <x v="146"/>
    <s v="REVENUS"/>
    <x v="18"/>
    <s v="4013.002"/>
    <s v="Complément impôt complémentaire sur immeubles"/>
    <n v="0"/>
    <n v="373"/>
    <n v="4013"/>
  </r>
  <r>
    <x v="1"/>
    <x v="5"/>
    <x v="1"/>
    <x v="168"/>
    <x v="146"/>
    <x v="146"/>
    <s v="REVENUS"/>
    <x v="16"/>
    <s v="4012.002"/>
    <s v="Complément impôt capital ordinaire"/>
    <n v="0"/>
    <n v="17292.5"/>
    <n v="4012"/>
  </r>
  <r>
    <x v="1"/>
    <x v="5"/>
    <x v="1"/>
    <x v="168"/>
    <x v="146"/>
    <x v="146"/>
    <s v="REVENUS"/>
    <x v="18"/>
    <s v="4013.003"/>
    <s v="Remboursement impôt complémentaire sur immeubles"/>
    <n v="0"/>
    <n v="-3889.5"/>
    <n v="4013"/>
  </r>
  <r>
    <x v="1"/>
    <x v="5"/>
    <x v="1"/>
    <x v="168"/>
    <x v="146"/>
    <x v="146"/>
    <s v="REVENUS"/>
    <x v="8"/>
    <s v="4091.001"/>
    <s v="Impôt récupéré après défalcations"/>
    <n v="0"/>
    <n v="1564.41"/>
    <n v="4091"/>
  </r>
  <r>
    <x v="1"/>
    <x v="5"/>
    <x v="1"/>
    <x v="168"/>
    <x v="146"/>
    <x v="146"/>
    <s v="REVENUS"/>
    <x v="10"/>
    <s v="4041.001"/>
    <s v="Droits de mutation"/>
    <n v="0"/>
    <n v="67210"/>
    <n v="4041"/>
  </r>
  <r>
    <x v="1"/>
    <x v="5"/>
    <x v="1"/>
    <x v="169"/>
    <x v="147"/>
    <x v="147"/>
    <s v="CHARGES"/>
    <x v="0"/>
    <s v="3221.002"/>
    <s v="Intérêts compensatoires / créances en faveur ctb."/>
    <n v="8.0500000000000007"/>
    <n v="0"/>
    <n v="3221"/>
  </r>
  <r>
    <x v="1"/>
    <x v="5"/>
    <x v="1"/>
    <x v="169"/>
    <x v="147"/>
    <x v="147"/>
    <s v="CHARGES"/>
    <x v="0"/>
    <s v="3212.002"/>
    <s v="Intérêts bonifiés/trop perçu acompte C/C"/>
    <n v="0.02"/>
    <n v="0"/>
    <n v="3212"/>
  </r>
  <r>
    <x v="1"/>
    <x v="5"/>
    <x v="1"/>
    <x v="169"/>
    <x v="147"/>
    <x v="147"/>
    <s v="CHARGES"/>
    <x v="0"/>
    <s v="3212.004"/>
    <s v="Intérêts rémun./perçu trop tôt sur acomptes C/C"/>
    <n v="9.26"/>
    <n v="0"/>
    <n v="3212"/>
  </r>
  <r>
    <x v="1"/>
    <x v="5"/>
    <x v="1"/>
    <x v="169"/>
    <x v="147"/>
    <x v="147"/>
    <s v="CHARGES"/>
    <x v="1"/>
    <s v="3301.006"/>
    <s v="Abandon de solde PM"/>
    <n v="9.26"/>
    <n v="0"/>
    <n v="3301"/>
  </r>
  <r>
    <x v="1"/>
    <x v="5"/>
    <x v="1"/>
    <x v="169"/>
    <x v="147"/>
    <x v="147"/>
    <s v="REVENUS"/>
    <x v="17"/>
    <s v="4011.001"/>
    <s v="Impôt bénéfice ordinaire"/>
    <n v="0"/>
    <n v="43889.4"/>
    <n v="4011"/>
  </r>
  <r>
    <x v="1"/>
    <x v="5"/>
    <x v="1"/>
    <x v="169"/>
    <x v="147"/>
    <x v="147"/>
    <s v="REVENUS"/>
    <x v="17"/>
    <s v="4011.002"/>
    <s v="Complément impôt bénéfice ordinaire"/>
    <n v="0"/>
    <n v="938.95"/>
    <n v="4011"/>
  </r>
  <r>
    <x v="1"/>
    <x v="5"/>
    <x v="1"/>
    <x v="169"/>
    <x v="147"/>
    <x v="147"/>
    <s v="REVENUS"/>
    <x v="6"/>
    <s v="4211.001"/>
    <s v="Intérêts de retard sur factures"/>
    <n v="0"/>
    <n v="0.04"/>
    <n v="4211"/>
  </r>
  <r>
    <x v="1"/>
    <x v="5"/>
    <x v="1"/>
    <x v="169"/>
    <x v="147"/>
    <x v="147"/>
    <s v="REVENUS"/>
    <x v="6"/>
    <s v="4221.001"/>
    <s v="Intérêts compensat. / créances en faveur du fisc"/>
    <n v="0"/>
    <n v="76.430000000000007"/>
    <n v="4221"/>
  </r>
  <r>
    <x v="1"/>
    <x v="5"/>
    <x v="1"/>
    <x v="169"/>
    <x v="147"/>
    <x v="147"/>
    <s v="REVENUS"/>
    <x v="17"/>
    <s v="4011.007"/>
    <s v="Acompte sur bénéfice"/>
    <n v="0"/>
    <n v="-18756.400000000001"/>
    <n v="4011"/>
  </r>
  <r>
    <x v="1"/>
    <x v="5"/>
    <x v="1"/>
    <x v="169"/>
    <x v="147"/>
    <x v="147"/>
    <s v="REVENUS"/>
    <x v="16"/>
    <s v="4012.007"/>
    <s v="Acompte sur capital"/>
    <n v="0"/>
    <n v="-171.6"/>
    <n v="4012"/>
  </r>
  <r>
    <x v="1"/>
    <x v="5"/>
    <x v="1"/>
    <x v="169"/>
    <x v="147"/>
    <x v="147"/>
    <s v="REVENUS"/>
    <x v="6"/>
    <s v="4211.002"/>
    <s v="Intérêts de retard sur acomptes"/>
    <n v="0"/>
    <n v="4.71"/>
    <n v="4211"/>
  </r>
  <r>
    <x v="1"/>
    <x v="5"/>
    <x v="1"/>
    <x v="169"/>
    <x v="147"/>
    <x v="147"/>
    <s v="REVENUS"/>
    <x v="16"/>
    <s v="4012.001"/>
    <s v="Impôt capital ordinaire"/>
    <n v="0"/>
    <n v="56.25"/>
    <n v="4012"/>
  </r>
  <r>
    <x v="1"/>
    <x v="5"/>
    <x v="1"/>
    <x v="169"/>
    <x v="147"/>
    <x v="147"/>
    <s v="REVENUS"/>
    <x v="18"/>
    <s v="4013.003"/>
    <s v="Remboursement impôt complémentaire sur immeubles"/>
    <n v="0"/>
    <n v="-150"/>
    <n v="4013"/>
  </r>
  <r>
    <x v="1"/>
    <x v="5"/>
    <x v="1"/>
    <x v="169"/>
    <x v="147"/>
    <x v="147"/>
    <s v="REVENUS"/>
    <x v="7"/>
    <s v="4184.000"/>
    <s v="Frais de poursuite"/>
    <n v="0"/>
    <n v="0.12"/>
    <n v="4184"/>
  </r>
  <r>
    <x v="1"/>
    <x v="5"/>
    <x v="1"/>
    <x v="169"/>
    <x v="147"/>
    <x v="147"/>
    <s v="REVENUS"/>
    <x v="11"/>
    <s v="4198.001"/>
    <s v="Impôt foncier"/>
    <n v="0"/>
    <n v="11.5"/>
    <n v="4198"/>
  </r>
  <r>
    <x v="1"/>
    <x v="5"/>
    <x v="1"/>
    <x v="170"/>
    <x v="148"/>
    <x v="148"/>
    <s v="CHARGES"/>
    <x v="1"/>
    <s v="3301.006"/>
    <s v="Abandon de solde PM"/>
    <n v="57.13"/>
    <n v="0"/>
    <n v="3301"/>
  </r>
  <r>
    <x v="1"/>
    <x v="5"/>
    <x v="1"/>
    <x v="170"/>
    <x v="148"/>
    <x v="148"/>
    <s v="CHARGES"/>
    <x v="0"/>
    <s v="3221.002"/>
    <s v="Intérêts compensatoires / créances en faveur ctb."/>
    <n v="41.47"/>
    <n v="0"/>
    <n v="3221"/>
  </r>
  <r>
    <x v="1"/>
    <x v="5"/>
    <x v="1"/>
    <x v="170"/>
    <x v="148"/>
    <x v="148"/>
    <s v="CHARGES"/>
    <x v="1"/>
    <s v="3301.002"/>
    <s v="Défalcation PM"/>
    <n v="1953.28"/>
    <n v="0"/>
    <n v="3301"/>
  </r>
  <r>
    <x v="1"/>
    <x v="5"/>
    <x v="1"/>
    <x v="170"/>
    <x v="148"/>
    <x v="148"/>
    <s v="CHARGES"/>
    <x v="0"/>
    <s v="3212.004"/>
    <s v="Intérêts rémun./perçu trop tôt sur acomptes C/C"/>
    <n v="72.17"/>
    <n v="0"/>
    <n v="3212"/>
  </r>
  <r>
    <x v="1"/>
    <x v="5"/>
    <x v="1"/>
    <x v="170"/>
    <x v="148"/>
    <x v="148"/>
    <s v="CHARGES"/>
    <x v="0"/>
    <s v="3212.002"/>
    <s v="Intérêts bonifiés/trop perçu acompte C/C"/>
    <n v="0.08"/>
    <n v="0"/>
    <n v="3212"/>
  </r>
  <r>
    <x v="1"/>
    <x v="5"/>
    <x v="1"/>
    <x v="170"/>
    <x v="148"/>
    <x v="148"/>
    <s v="REVENUS"/>
    <x v="6"/>
    <s v="4211.001"/>
    <s v="Intérêts de retard sur factures"/>
    <n v="0"/>
    <n v="466.04"/>
    <n v="4211"/>
  </r>
  <r>
    <x v="1"/>
    <x v="5"/>
    <x v="1"/>
    <x v="170"/>
    <x v="148"/>
    <x v="148"/>
    <s v="REVENUS"/>
    <x v="16"/>
    <s v="4012.001"/>
    <s v="Impôt capital ordinaire"/>
    <n v="0"/>
    <n v="23853.5"/>
    <n v="4012"/>
  </r>
  <r>
    <x v="1"/>
    <x v="5"/>
    <x v="1"/>
    <x v="170"/>
    <x v="148"/>
    <x v="148"/>
    <s v="REVENUS"/>
    <x v="16"/>
    <s v="4012.007"/>
    <s v="Acompte sur capital"/>
    <n v="0"/>
    <n v="21115.9"/>
    <n v="4012"/>
  </r>
  <r>
    <x v="1"/>
    <x v="5"/>
    <x v="1"/>
    <x v="170"/>
    <x v="148"/>
    <x v="148"/>
    <s v="REVENUS"/>
    <x v="6"/>
    <s v="4211.002"/>
    <s v="Intérêts de retard sur acomptes"/>
    <n v="0"/>
    <n v="392.82"/>
    <n v="4211"/>
  </r>
  <r>
    <x v="1"/>
    <x v="5"/>
    <x v="1"/>
    <x v="170"/>
    <x v="148"/>
    <x v="148"/>
    <s v="REVENUS"/>
    <x v="17"/>
    <s v="4011.001"/>
    <s v="Impôt bénéfice ordinaire"/>
    <n v="0"/>
    <n v="105826.6"/>
    <n v="4011"/>
  </r>
  <r>
    <x v="1"/>
    <x v="5"/>
    <x v="1"/>
    <x v="170"/>
    <x v="148"/>
    <x v="148"/>
    <s v="REVENUS"/>
    <x v="17"/>
    <s v="4011.002"/>
    <s v="Complément impôt bénéfice ordinaire"/>
    <n v="0"/>
    <n v="31684.5"/>
    <n v="4011"/>
  </r>
  <r>
    <x v="1"/>
    <x v="5"/>
    <x v="1"/>
    <x v="170"/>
    <x v="148"/>
    <x v="148"/>
    <s v="REVENUS"/>
    <x v="6"/>
    <s v="4221.001"/>
    <s v="Intérêts compensat. / créances en faveur du fisc"/>
    <n v="0"/>
    <n v="71.72"/>
    <n v="4221"/>
  </r>
  <r>
    <x v="1"/>
    <x v="5"/>
    <x v="1"/>
    <x v="170"/>
    <x v="148"/>
    <x v="148"/>
    <s v="REVENUS"/>
    <x v="8"/>
    <s v="4091.001"/>
    <s v="Impôt récupéré après défalcations"/>
    <n v="0"/>
    <n v="2466.63"/>
    <n v="4091"/>
  </r>
  <r>
    <x v="1"/>
    <x v="5"/>
    <x v="1"/>
    <x v="170"/>
    <x v="148"/>
    <x v="148"/>
    <s v="REVENUS"/>
    <x v="17"/>
    <s v="4011.007"/>
    <s v="Acompte sur bénéfice"/>
    <n v="0"/>
    <n v="-65560.600000000006"/>
    <n v="4011"/>
  </r>
  <r>
    <x v="1"/>
    <x v="5"/>
    <x v="1"/>
    <x v="170"/>
    <x v="148"/>
    <x v="148"/>
    <s v="REVENUS"/>
    <x v="7"/>
    <s v="4184.000"/>
    <s v="Frais de poursuite"/>
    <n v="0"/>
    <n v="322.63"/>
    <n v="4184"/>
  </r>
  <r>
    <x v="1"/>
    <x v="5"/>
    <x v="1"/>
    <x v="170"/>
    <x v="148"/>
    <x v="148"/>
    <s v="REVENUS"/>
    <x v="16"/>
    <s v="4012.002"/>
    <s v="Complément impôt capital ordinaire"/>
    <n v="0"/>
    <n v="20651.55"/>
    <n v="4012"/>
  </r>
  <r>
    <x v="1"/>
    <x v="5"/>
    <x v="1"/>
    <x v="170"/>
    <x v="148"/>
    <x v="148"/>
    <s v="REVENUS"/>
    <x v="10"/>
    <s v="4041.001"/>
    <s v="Droits de mutation"/>
    <n v="0"/>
    <n v="13200"/>
    <n v="4041"/>
  </r>
  <r>
    <x v="1"/>
    <x v="5"/>
    <x v="1"/>
    <x v="170"/>
    <x v="148"/>
    <x v="148"/>
    <s v="REVENUS"/>
    <x v="18"/>
    <s v="4013.001"/>
    <s v="Impôt complémentaire sur immeubles"/>
    <n v="0"/>
    <n v="20606.599999999999"/>
    <n v="4013"/>
  </r>
  <r>
    <x v="1"/>
    <x v="5"/>
    <x v="1"/>
    <x v="171"/>
    <x v="149"/>
    <x v="149"/>
    <s v="CHARGES"/>
    <x v="0"/>
    <s v="3212.004"/>
    <s v="Intérêts rémun./perçu trop tôt sur acomptes C/C"/>
    <n v="1030.68"/>
    <n v="0"/>
    <n v="3212"/>
  </r>
  <r>
    <x v="1"/>
    <x v="5"/>
    <x v="1"/>
    <x v="171"/>
    <x v="149"/>
    <x v="149"/>
    <s v="CHARGES"/>
    <x v="0"/>
    <s v="3221.002"/>
    <s v="Intérêts compensatoires / créances en faveur ctb."/>
    <n v="551.46"/>
    <n v="0"/>
    <n v="3221"/>
  </r>
  <r>
    <x v="1"/>
    <x v="5"/>
    <x v="1"/>
    <x v="171"/>
    <x v="149"/>
    <x v="149"/>
    <s v="CHARGES"/>
    <x v="1"/>
    <s v="3301.006"/>
    <s v="Abandon de solde PM"/>
    <n v="126.6"/>
    <n v="0"/>
    <n v="3301"/>
  </r>
  <r>
    <x v="1"/>
    <x v="5"/>
    <x v="1"/>
    <x v="171"/>
    <x v="149"/>
    <x v="149"/>
    <s v="CHARGES"/>
    <x v="1"/>
    <s v="3301.002"/>
    <s v="Défalcation PM"/>
    <n v="12.86"/>
    <n v="0"/>
    <n v="3301"/>
  </r>
  <r>
    <x v="1"/>
    <x v="5"/>
    <x v="1"/>
    <x v="171"/>
    <x v="149"/>
    <x v="149"/>
    <s v="CHARGES"/>
    <x v="0"/>
    <s v="3212.002"/>
    <s v="Intérêts bonifiés/trop perçu acompte C/C"/>
    <n v="0.66"/>
    <n v="0"/>
    <n v="3212"/>
  </r>
  <r>
    <x v="1"/>
    <x v="5"/>
    <x v="1"/>
    <x v="171"/>
    <x v="149"/>
    <x v="149"/>
    <s v="REVENUS"/>
    <x v="16"/>
    <s v="4012.001"/>
    <s v="Impôt capital ordinaire"/>
    <n v="0"/>
    <n v="7196609.1500000004"/>
    <n v="4012"/>
  </r>
  <r>
    <x v="1"/>
    <x v="5"/>
    <x v="1"/>
    <x v="171"/>
    <x v="149"/>
    <x v="149"/>
    <s v="REVENUS"/>
    <x v="16"/>
    <s v="4012.007"/>
    <s v="Acompte sur capital"/>
    <n v="0"/>
    <n v="-2914529.2"/>
    <n v="4012"/>
  </r>
  <r>
    <x v="1"/>
    <x v="5"/>
    <x v="1"/>
    <x v="171"/>
    <x v="149"/>
    <x v="149"/>
    <s v="REVENUS"/>
    <x v="18"/>
    <s v="4013.001"/>
    <s v="Impôt complémentaire sur immeubles"/>
    <n v="0"/>
    <n v="147989.1"/>
    <n v="4013"/>
  </r>
  <r>
    <x v="1"/>
    <x v="5"/>
    <x v="1"/>
    <x v="171"/>
    <x v="149"/>
    <x v="149"/>
    <s v="REVENUS"/>
    <x v="6"/>
    <s v="4211.002"/>
    <s v="Intérêts de retard sur acomptes"/>
    <n v="0"/>
    <n v="3599.23"/>
    <n v="4211"/>
  </r>
  <r>
    <x v="1"/>
    <x v="5"/>
    <x v="1"/>
    <x v="171"/>
    <x v="149"/>
    <x v="149"/>
    <s v="REVENUS"/>
    <x v="17"/>
    <s v="4011.001"/>
    <s v="Impôt bénéfice ordinaire"/>
    <n v="0"/>
    <n v="1032423.25"/>
    <n v="4011"/>
  </r>
  <r>
    <x v="1"/>
    <x v="5"/>
    <x v="1"/>
    <x v="171"/>
    <x v="149"/>
    <x v="149"/>
    <s v="REVENUS"/>
    <x v="17"/>
    <s v="4011.002"/>
    <s v="Complément impôt bénéfice ordinaire"/>
    <n v="0"/>
    <n v="86750.399999999994"/>
    <n v="4011"/>
  </r>
  <r>
    <x v="1"/>
    <x v="5"/>
    <x v="1"/>
    <x v="171"/>
    <x v="149"/>
    <x v="149"/>
    <s v="REVENUS"/>
    <x v="6"/>
    <s v="4211.001"/>
    <s v="Intérêts de retard sur factures"/>
    <n v="0"/>
    <n v="430.84"/>
    <n v="4211"/>
  </r>
  <r>
    <x v="1"/>
    <x v="5"/>
    <x v="1"/>
    <x v="171"/>
    <x v="149"/>
    <x v="149"/>
    <s v="REVENUS"/>
    <x v="6"/>
    <s v="4221.001"/>
    <s v="Intérêts compensat. / créances en faveur du fisc"/>
    <n v="0"/>
    <n v="299.12"/>
    <n v="4221"/>
  </r>
  <r>
    <x v="1"/>
    <x v="5"/>
    <x v="1"/>
    <x v="171"/>
    <x v="149"/>
    <x v="149"/>
    <s v="REVENUS"/>
    <x v="17"/>
    <s v="4011.007"/>
    <s v="Acompte sur bénéfice"/>
    <n v="0"/>
    <n v="251708.25"/>
    <n v="4011"/>
  </r>
  <r>
    <x v="1"/>
    <x v="5"/>
    <x v="1"/>
    <x v="171"/>
    <x v="149"/>
    <x v="149"/>
    <s v="REVENUS"/>
    <x v="18"/>
    <s v="4013.003"/>
    <s v="Remboursement impôt complémentaire sur immeubles"/>
    <n v="0"/>
    <n v="-16520.099999999999"/>
    <n v="4013"/>
  </r>
  <r>
    <x v="1"/>
    <x v="5"/>
    <x v="1"/>
    <x v="171"/>
    <x v="149"/>
    <x v="149"/>
    <s v="REVENUS"/>
    <x v="18"/>
    <s v="4013.002"/>
    <s v="Complément impôt complémentaire sur immeubles"/>
    <n v="0"/>
    <n v="3632.5"/>
    <n v="4013"/>
  </r>
  <r>
    <x v="1"/>
    <x v="5"/>
    <x v="1"/>
    <x v="171"/>
    <x v="149"/>
    <x v="149"/>
    <s v="REVENUS"/>
    <x v="10"/>
    <s v="4041.001"/>
    <s v="Droits de mutation"/>
    <n v="0"/>
    <n v="98685.9"/>
    <n v="4041"/>
  </r>
  <r>
    <x v="1"/>
    <x v="5"/>
    <x v="1"/>
    <x v="171"/>
    <x v="149"/>
    <x v="149"/>
    <s v="REVENUS"/>
    <x v="8"/>
    <s v="4091.001"/>
    <s v="Impôt récupéré après défalcations"/>
    <n v="0"/>
    <n v="591.91"/>
    <n v="4091"/>
  </r>
  <r>
    <x v="1"/>
    <x v="5"/>
    <x v="1"/>
    <x v="171"/>
    <x v="149"/>
    <x v="149"/>
    <s v="REVENUS"/>
    <x v="7"/>
    <s v="4184.000"/>
    <s v="Frais de poursuite"/>
    <n v="0"/>
    <n v="323.89999999999998"/>
    <n v="4184"/>
  </r>
  <r>
    <x v="1"/>
    <x v="5"/>
    <x v="1"/>
    <x v="171"/>
    <x v="149"/>
    <x v="149"/>
    <s v="REVENUS"/>
    <x v="16"/>
    <s v="4012.002"/>
    <s v="Complément impôt capital ordinaire"/>
    <n v="0"/>
    <n v="5020147.5999999996"/>
    <n v="4012"/>
  </r>
  <r>
    <x v="1"/>
    <x v="5"/>
    <x v="1"/>
    <x v="171"/>
    <x v="149"/>
    <x v="149"/>
    <s v="REVENUS"/>
    <x v="9"/>
    <s v="4031.001"/>
    <s v="Impôt sur les gains immobiliers"/>
    <n v="0"/>
    <n v="4763.25"/>
    <n v="4031"/>
  </r>
  <r>
    <x v="1"/>
    <x v="5"/>
    <x v="1"/>
    <x v="171"/>
    <x v="149"/>
    <x v="149"/>
    <s v="REVENUS"/>
    <x v="6"/>
    <s v="4221.002"/>
    <s v="Intérêts compensat. sur impôts distincts"/>
    <n v="0"/>
    <n v="1.35"/>
    <n v="4221"/>
  </r>
  <r>
    <x v="1"/>
    <x v="5"/>
    <x v="1"/>
    <x v="171"/>
    <x v="149"/>
    <x v="149"/>
    <s v="REVENUS"/>
    <x v="9"/>
    <s v="4031.002"/>
    <s v="Complément impôt sur les gains immobiliers"/>
    <n v="0"/>
    <n v="1587.75"/>
    <n v="4031"/>
  </r>
  <r>
    <x v="1"/>
    <x v="5"/>
    <x v="1"/>
    <x v="172"/>
    <x v="135"/>
    <x v="135"/>
    <s v="CHARGES"/>
    <x v="0"/>
    <s v="3212.002"/>
    <s v="Intérêts bonifiés/trop perçu acompte C/C"/>
    <n v="0.01"/>
    <n v="0"/>
    <n v="3212"/>
  </r>
  <r>
    <x v="1"/>
    <x v="5"/>
    <x v="1"/>
    <x v="172"/>
    <x v="135"/>
    <x v="135"/>
    <s v="REVENUS"/>
    <x v="17"/>
    <s v="4011.002"/>
    <s v="Complément impôt bénéfice ordinaire"/>
    <n v="0"/>
    <n v="308.75"/>
    <n v="4011"/>
  </r>
  <r>
    <x v="1"/>
    <x v="5"/>
    <x v="1"/>
    <x v="172"/>
    <x v="135"/>
    <x v="135"/>
    <s v="REVENUS"/>
    <x v="17"/>
    <s v="4011.001"/>
    <s v="Impôt bénéfice ordinaire"/>
    <n v="0"/>
    <n v="-308.75"/>
    <n v="4011"/>
  </r>
  <r>
    <x v="1"/>
    <x v="8"/>
    <x v="8"/>
    <x v="173"/>
    <x v="150"/>
    <x v="150"/>
    <s v="CHARGES"/>
    <x v="0"/>
    <s v="3212.004"/>
    <s v="Intérêts rémun./perçu trop tôt sur acomptes C/C"/>
    <n v="1118.19"/>
    <n v="0"/>
    <n v="3212"/>
  </r>
  <r>
    <x v="1"/>
    <x v="8"/>
    <x v="8"/>
    <x v="173"/>
    <x v="150"/>
    <x v="150"/>
    <s v="CHARGES"/>
    <x v="0"/>
    <s v="3221.002"/>
    <s v="Intérêts compensatoires / créances en faveur ctb."/>
    <n v="1508.65"/>
    <n v="0"/>
    <n v="3221"/>
  </r>
  <r>
    <x v="1"/>
    <x v="8"/>
    <x v="8"/>
    <x v="173"/>
    <x v="150"/>
    <x v="150"/>
    <s v="CHARGES"/>
    <x v="1"/>
    <s v="3301.006"/>
    <s v="Abandon de solde PM"/>
    <n v="128.53"/>
    <n v="0"/>
    <n v="3301"/>
  </r>
  <r>
    <x v="1"/>
    <x v="8"/>
    <x v="8"/>
    <x v="173"/>
    <x v="150"/>
    <x v="150"/>
    <s v="CHARGES"/>
    <x v="0"/>
    <s v="3212.002"/>
    <s v="Intérêts bonifiés/trop perçu acompte C/C"/>
    <n v="111.6"/>
    <n v="0"/>
    <n v="3212"/>
  </r>
  <r>
    <x v="1"/>
    <x v="8"/>
    <x v="8"/>
    <x v="173"/>
    <x v="150"/>
    <x v="150"/>
    <s v="CHARGES"/>
    <x v="1"/>
    <s v="3301.002"/>
    <s v="Défalcation PM"/>
    <n v="2573.92"/>
    <n v="0"/>
    <n v="3301"/>
  </r>
  <r>
    <x v="1"/>
    <x v="8"/>
    <x v="8"/>
    <x v="173"/>
    <x v="150"/>
    <x v="150"/>
    <s v="CHARGES"/>
    <x v="1"/>
    <s v="3301.002"/>
    <s v="Défalcation PM"/>
    <n v="101216.35"/>
    <n v="0"/>
    <n v="3301"/>
  </r>
  <r>
    <x v="1"/>
    <x v="8"/>
    <x v="8"/>
    <x v="173"/>
    <x v="150"/>
    <x v="150"/>
    <s v="REVENUS"/>
    <x v="6"/>
    <s v="4211.001"/>
    <s v="Intérêts de retard sur factures"/>
    <n v="0"/>
    <n v="1223.81"/>
    <n v="4211"/>
  </r>
  <r>
    <x v="1"/>
    <x v="8"/>
    <x v="8"/>
    <x v="173"/>
    <x v="150"/>
    <x v="150"/>
    <s v="REVENUS"/>
    <x v="17"/>
    <s v="4011.001"/>
    <s v="Impôt bénéfice ordinaire"/>
    <n v="0"/>
    <n v="841676"/>
    <n v="4011"/>
  </r>
  <r>
    <x v="1"/>
    <x v="8"/>
    <x v="8"/>
    <x v="173"/>
    <x v="150"/>
    <x v="150"/>
    <s v="REVENUS"/>
    <x v="16"/>
    <s v="4012.001"/>
    <s v="Impôt capital ordinaire"/>
    <n v="0"/>
    <n v="309291.65000000002"/>
    <n v="4012"/>
  </r>
  <r>
    <x v="1"/>
    <x v="8"/>
    <x v="8"/>
    <x v="173"/>
    <x v="150"/>
    <x v="150"/>
    <s v="REVENUS"/>
    <x v="16"/>
    <s v="4012.007"/>
    <s v="Acompte sur capital"/>
    <n v="0"/>
    <n v="-67871.55"/>
    <n v="4012"/>
  </r>
  <r>
    <x v="1"/>
    <x v="8"/>
    <x v="8"/>
    <x v="173"/>
    <x v="150"/>
    <x v="150"/>
    <s v="REVENUS"/>
    <x v="18"/>
    <s v="4013.001"/>
    <s v="Impôt complémentaire sur immeubles"/>
    <n v="0"/>
    <n v="180541.5"/>
    <n v="4013"/>
  </r>
  <r>
    <x v="1"/>
    <x v="8"/>
    <x v="8"/>
    <x v="173"/>
    <x v="150"/>
    <x v="150"/>
    <s v="REVENUS"/>
    <x v="6"/>
    <s v="4211.002"/>
    <s v="Intérêts de retard sur acomptes"/>
    <n v="0"/>
    <n v="3778.24"/>
    <n v="4211"/>
  </r>
  <r>
    <x v="1"/>
    <x v="8"/>
    <x v="8"/>
    <x v="173"/>
    <x v="150"/>
    <x v="150"/>
    <s v="REVENUS"/>
    <x v="17"/>
    <s v="4011.002"/>
    <s v="Complément impôt bénéfice ordinaire"/>
    <n v="0"/>
    <n v="394225.3"/>
    <n v="4011"/>
  </r>
  <r>
    <x v="1"/>
    <x v="8"/>
    <x v="8"/>
    <x v="173"/>
    <x v="150"/>
    <x v="150"/>
    <s v="REVENUS"/>
    <x v="17"/>
    <s v="4011.007"/>
    <s v="Acompte sur bénéfice"/>
    <n v="0"/>
    <n v="-76071.55"/>
    <n v="4011"/>
  </r>
  <r>
    <x v="1"/>
    <x v="8"/>
    <x v="8"/>
    <x v="173"/>
    <x v="150"/>
    <x v="150"/>
    <s v="REVENUS"/>
    <x v="6"/>
    <s v="4221.001"/>
    <s v="Intérêts compensat. / créances en faveur du fisc"/>
    <n v="0"/>
    <n v="568.11"/>
    <n v="4221"/>
  </r>
  <r>
    <x v="1"/>
    <x v="8"/>
    <x v="8"/>
    <x v="173"/>
    <x v="150"/>
    <x v="150"/>
    <s v="REVENUS"/>
    <x v="18"/>
    <s v="4013.003"/>
    <s v="Remboursement impôt complémentaire sur immeubles"/>
    <n v="0"/>
    <n v="-42704.75"/>
    <n v="4013"/>
  </r>
  <r>
    <x v="1"/>
    <x v="8"/>
    <x v="8"/>
    <x v="173"/>
    <x v="150"/>
    <x v="150"/>
    <s v="REVENUS"/>
    <x v="16"/>
    <s v="4012.002"/>
    <s v="Complément impôt capital ordinaire"/>
    <n v="0"/>
    <n v="-20016.7"/>
    <n v="4012"/>
  </r>
  <r>
    <x v="1"/>
    <x v="8"/>
    <x v="8"/>
    <x v="173"/>
    <x v="150"/>
    <x v="150"/>
    <s v="REVENUS"/>
    <x v="7"/>
    <s v="4184.000"/>
    <s v="Frais de poursuite"/>
    <n v="0"/>
    <n v="490.8"/>
    <n v="4184"/>
  </r>
  <r>
    <x v="1"/>
    <x v="8"/>
    <x v="8"/>
    <x v="173"/>
    <x v="150"/>
    <x v="150"/>
    <s v="REVENUS"/>
    <x v="10"/>
    <s v="4041.001"/>
    <s v="Droits de mutation"/>
    <n v="0"/>
    <n v="69162.5"/>
    <n v="4041"/>
  </r>
  <r>
    <x v="1"/>
    <x v="5"/>
    <x v="1"/>
    <x v="174"/>
    <x v="151"/>
    <x v="151"/>
    <s v="CHARGES"/>
    <x v="0"/>
    <s v="3212.004"/>
    <s v="Intérêts rémun./perçu trop tôt sur acomptes C/C"/>
    <n v="1086.55"/>
    <n v="0"/>
    <n v="3212"/>
  </r>
  <r>
    <x v="1"/>
    <x v="5"/>
    <x v="1"/>
    <x v="174"/>
    <x v="151"/>
    <x v="151"/>
    <s v="CHARGES"/>
    <x v="0"/>
    <s v="3221.002"/>
    <s v="Intérêts compensatoires / créances en faveur ctb."/>
    <n v="1034.8699999999999"/>
    <n v="0"/>
    <n v="3221"/>
  </r>
  <r>
    <x v="1"/>
    <x v="5"/>
    <x v="1"/>
    <x v="174"/>
    <x v="151"/>
    <x v="151"/>
    <s v="CHARGES"/>
    <x v="1"/>
    <s v="3301.006"/>
    <s v="Abandon de solde PM"/>
    <n v="77.75"/>
    <n v="0"/>
    <n v="3301"/>
  </r>
  <r>
    <x v="1"/>
    <x v="5"/>
    <x v="1"/>
    <x v="174"/>
    <x v="151"/>
    <x v="151"/>
    <s v="CHARGES"/>
    <x v="0"/>
    <s v="3212.002"/>
    <s v="Intérêts bonifiés/trop perçu acompte C/C"/>
    <n v="0.96"/>
    <n v="0"/>
    <n v="3212"/>
  </r>
  <r>
    <x v="1"/>
    <x v="5"/>
    <x v="1"/>
    <x v="174"/>
    <x v="151"/>
    <x v="151"/>
    <s v="REVENUS"/>
    <x v="17"/>
    <s v="4011.001"/>
    <s v="Impôt bénéfice ordinaire"/>
    <n v="0"/>
    <n v="9411579"/>
    <n v="4011"/>
  </r>
  <r>
    <x v="1"/>
    <x v="5"/>
    <x v="1"/>
    <x v="174"/>
    <x v="151"/>
    <x v="151"/>
    <s v="REVENUS"/>
    <x v="17"/>
    <s v="4011.007"/>
    <s v="Acompte sur bénéfice"/>
    <n v="0"/>
    <n v="-2658791.9500000002"/>
    <n v="4011"/>
  </r>
  <r>
    <x v="1"/>
    <x v="5"/>
    <x v="1"/>
    <x v="174"/>
    <x v="151"/>
    <x v="151"/>
    <s v="REVENUS"/>
    <x v="16"/>
    <s v="4012.001"/>
    <s v="Impôt capital ordinaire"/>
    <n v="0"/>
    <n v="527097.1"/>
    <n v="4012"/>
  </r>
  <r>
    <x v="1"/>
    <x v="5"/>
    <x v="1"/>
    <x v="174"/>
    <x v="151"/>
    <x v="151"/>
    <s v="REVENUS"/>
    <x v="16"/>
    <s v="4012.007"/>
    <s v="Acompte sur capital"/>
    <n v="0"/>
    <n v="236686.7"/>
    <n v="4012"/>
  </r>
  <r>
    <x v="1"/>
    <x v="5"/>
    <x v="1"/>
    <x v="174"/>
    <x v="151"/>
    <x v="151"/>
    <s v="REVENUS"/>
    <x v="18"/>
    <s v="4013.001"/>
    <s v="Impôt complémentaire sur immeubles"/>
    <n v="0"/>
    <n v="64880.1"/>
    <n v="4013"/>
  </r>
  <r>
    <x v="1"/>
    <x v="5"/>
    <x v="1"/>
    <x v="174"/>
    <x v="151"/>
    <x v="151"/>
    <s v="REVENUS"/>
    <x v="6"/>
    <s v="4211.002"/>
    <s v="Intérêts de retard sur acomptes"/>
    <n v="0"/>
    <n v="450.08"/>
    <n v="4211"/>
  </r>
  <r>
    <x v="1"/>
    <x v="5"/>
    <x v="1"/>
    <x v="174"/>
    <x v="151"/>
    <x v="151"/>
    <s v="REVENUS"/>
    <x v="17"/>
    <s v="4011.002"/>
    <s v="Complément impôt bénéfice ordinaire"/>
    <n v="0"/>
    <n v="10982.2"/>
    <n v="4011"/>
  </r>
  <r>
    <x v="1"/>
    <x v="5"/>
    <x v="1"/>
    <x v="174"/>
    <x v="151"/>
    <x v="151"/>
    <s v="REVENUS"/>
    <x v="6"/>
    <s v="4211.001"/>
    <s v="Intérêts de retard sur factures"/>
    <n v="0"/>
    <n v="38.85"/>
    <n v="4211"/>
  </r>
  <r>
    <x v="1"/>
    <x v="5"/>
    <x v="1"/>
    <x v="174"/>
    <x v="151"/>
    <x v="151"/>
    <s v="REVENUS"/>
    <x v="6"/>
    <s v="4221.001"/>
    <s v="Intérêts compensat. / créances en faveur du fisc"/>
    <n v="0"/>
    <n v="4161.91"/>
    <n v="4221"/>
  </r>
  <r>
    <x v="1"/>
    <x v="5"/>
    <x v="1"/>
    <x v="174"/>
    <x v="151"/>
    <x v="151"/>
    <s v="REVENUS"/>
    <x v="18"/>
    <s v="4013.003"/>
    <s v="Remboursement impôt complémentaire sur immeubles"/>
    <n v="0"/>
    <n v="-111"/>
    <n v="4013"/>
  </r>
  <r>
    <x v="1"/>
    <x v="5"/>
    <x v="1"/>
    <x v="174"/>
    <x v="151"/>
    <x v="151"/>
    <s v="REVENUS"/>
    <x v="16"/>
    <s v="4012.002"/>
    <s v="Complément impôt capital ordinaire"/>
    <n v="0"/>
    <n v="104439.3"/>
    <n v="4012"/>
  </r>
  <r>
    <x v="1"/>
    <x v="5"/>
    <x v="1"/>
    <x v="174"/>
    <x v="151"/>
    <x v="151"/>
    <s v="REVENUS"/>
    <x v="18"/>
    <s v="4013.002"/>
    <s v="Complément impôt complémentaire sur immeubles"/>
    <n v="0"/>
    <n v="353"/>
    <n v="4013"/>
  </r>
  <r>
    <x v="1"/>
    <x v="5"/>
    <x v="1"/>
    <x v="174"/>
    <x v="151"/>
    <x v="151"/>
    <s v="REVENUS"/>
    <x v="10"/>
    <s v="4041.001"/>
    <s v="Droits de mutation"/>
    <n v="0"/>
    <n v="48400"/>
    <n v="4041"/>
  </r>
  <r>
    <x v="1"/>
    <x v="5"/>
    <x v="1"/>
    <x v="174"/>
    <x v="151"/>
    <x v="151"/>
    <s v="REVENUS"/>
    <x v="7"/>
    <s v="4184.000"/>
    <s v="Frais de poursuite"/>
    <n v="0"/>
    <n v="134.41"/>
    <n v="4184"/>
  </r>
  <r>
    <x v="1"/>
    <x v="5"/>
    <x v="1"/>
    <x v="175"/>
    <x v="152"/>
    <x v="152"/>
    <s v="CHARGES"/>
    <x v="1"/>
    <s v="3301.006"/>
    <s v="Abandon de solde PM"/>
    <n v="3.51"/>
    <n v="0"/>
    <n v="3301"/>
  </r>
  <r>
    <x v="1"/>
    <x v="5"/>
    <x v="1"/>
    <x v="175"/>
    <x v="152"/>
    <x v="152"/>
    <s v="CHARGES"/>
    <x v="0"/>
    <s v="3212.004"/>
    <s v="Intérêts rémun./perçu trop tôt sur acomptes C/C"/>
    <n v="29.57"/>
    <n v="0"/>
    <n v="3212"/>
  </r>
  <r>
    <x v="1"/>
    <x v="5"/>
    <x v="1"/>
    <x v="175"/>
    <x v="152"/>
    <x v="152"/>
    <s v="CHARGES"/>
    <x v="0"/>
    <s v="3221.002"/>
    <s v="Intérêts compensatoires / créances en faveur ctb."/>
    <n v="10.56"/>
    <n v="0"/>
    <n v="3221"/>
  </r>
  <r>
    <x v="1"/>
    <x v="5"/>
    <x v="1"/>
    <x v="175"/>
    <x v="152"/>
    <x v="152"/>
    <s v="REVENUS"/>
    <x v="16"/>
    <s v="4012.001"/>
    <s v="Impôt capital ordinaire"/>
    <n v="0"/>
    <n v="15.1"/>
    <n v="4012"/>
  </r>
  <r>
    <x v="1"/>
    <x v="5"/>
    <x v="1"/>
    <x v="175"/>
    <x v="152"/>
    <x v="152"/>
    <s v="REVENUS"/>
    <x v="16"/>
    <s v="4012.007"/>
    <s v="Acompte sur capital"/>
    <n v="0"/>
    <n v="8.4"/>
    <n v="4012"/>
  </r>
  <r>
    <x v="1"/>
    <x v="5"/>
    <x v="1"/>
    <x v="175"/>
    <x v="152"/>
    <x v="152"/>
    <s v="REVENUS"/>
    <x v="6"/>
    <s v="4211.002"/>
    <s v="Intérêts de retard sur acomptes"/>
    <n v="0"/>
    <n v="72.900000000000006"/>
    <n v="4211"/>
  </r>
  <r>
    <x v="1"/>
    <x v="5"/>
    <x v="1"/>
    <x v="175"/>
    <x v="152"/>
    <x v="152"/>
    <s v="REVENUS"/>
    <x v="17"/>
    <s v="4011.002"/>
    <s v="Complément impôt bénéfice ordinaire"/>
    <n v="0"/>
    <n v="106.2"/>
    <n v="4011"/>
  </r>
  <r>
    <x v="1"/>
    <x v="5"/>
    <x v="1"/>
    <x v="175"/>
    <x v="152"/>
    <x v="152"/>
    <s v="REVENUS"/>
    <x v="17"/>
    <s v="4011.001"/>
    <s v="Impôt bénéfice ordinaire"/>
    <n v="0"/>
    <n v="3569.7"/>
    <n v="4011"/>
  </r>
  <r>
    <x v="1"/>
    <x v="5"/>
    <x v="1"/>
    <x v="175"/>
    <x v="152"/>
    <x v="152"/>
    <s v="REVENUS"/>
    <x v="17"/>
    <s v="4011.007"/>
    <s v="Acompte sur bénéfice"/>
    <n v="0"/>
    <n v="1763.55"/>
    <n v="4011"/>
  </r>
  <r>
    <x v="1"/>
    <x v="5"/>
    <x v="1"/>
    <x v="175"/>
    <x v="152"/>
    <x v="152"/>
    <s v="REVENUS"/>
    <x v="6"/>
    <s v="4211.001"/>
    <s v="Intérêts de retard sur factures"/>
    <n v="0"/>
    <n v="7.12"/>
    <n v="4211"/>
  </r>
  <r>
    <x v="1"/>
    <x v="8"/>
    <x v="8"/>
    <x v="176"/>
    <x v="153"/>
    <x v="153"/>
    <s v="CHARGES"/>
    <x v="0"/>
    <s v="3212.004"/>
    <s v="Intérêts rémun./perçu trop tôt sur acomptes C/C"/>
    <n v="180.21"/>
    <n v="0"/>
    <n v="3212"/>
  </r>
  <r>
    <x v="1"/>
    <x v="8"/>
    <x v="8"/>
    <x v="176"/>
    <x v="153"/>
    <x v="153"/>
    <s v="CHARGES"/>
    <x v="0"/>
    <s v="3221.002"/>
    <s v="Intérêts compensatoires / créances en faveur ctb."/>
    <n v="20.74"/>
    <n v="0"/>
    <n v="3221"/>
  </r>
  <r>
    <x v="1"/>
    <x v="8"/>
    <x v="8"/>
    <x v="176"/>
    <x v="153"/>
    <x v="153"/>
    <s v="CHARGES"/>
    <x v="1"/>
    <s v="3301.006"/>
    <s v="Abandon de solde PM"/>
    <n v="64.680000000000007"/>
    <n v="0"/>
    <n v="3301"/>
  </r>
  <r>
    <x v="1"/>
    <x v="8"/>
    <x v="8"/>
    <x v="176"/>
    <x v="153"/>
    <x v="153"/>
    <s v="CHARGES"/>
    <x v="0"/>
    <s v="3212.002"/>
    <s v="Intérêts bonifiés/trop perçu acompte C/C"/>
    <n v="-3.03"/>
    <n v="0"/>
    <n v="3212"/>
  </r>
  <r>
    <x v="1"/>
    <x v="8"/>
    <x v="8"/>
    <x v="176"/>
    <x v="153"/>
    <x v="153"/>
    <s v="CHARGES"/>
    <x v="1"/>
    <s v="3301.002"/>
    <s v="Défalcation PM"/>
    <n v="1084.9100000000001"/>
    <n v="0"/>
    <n v="3301"/>
  </r>
  <r>
    <x v="1"/>
    <x v="8"/>
    <x v="8"/>
    <x v="176"/>
    <x v="153"/>
    <x v="153"/>
    <s v="REVENUS"/>
    <x v="16"/>
    <s v="4012.001"/>
    <s v="Impôt capital ordinaire"/>
    <n v="0"/>
    <n v="3652.85"/>
    <n v="4012"/>
  </r>
  <r>
    <x v="1"/>
    <x v="8"/>
    <x v="8"/>
    <x v="176"/>
    <x v="153"/>
    <x v="153"/>
    <s v="REVENUS"/>
    <x v="16"/>
    <s v="4012.007"/>
    <s v="Acompte sur capital"/>
    <n v="0"/>
    <n v="4585.95"/>
    <n v="4012"/>
  </r>
  <r>
    <x v="1"/>
    <x v="8"/>
    <x v="8"/>
    <x v="176"/>
    <x v="153"/>
    <x v="153"/>
    <s v="REVENUS"/>
    <x v="17"/>
    <s v="4011.007"/>
    <s v="Acompte sur bénéfice"/>
    <n v="0"/>
    <n v="-578667.85"/>
    <n v="4011"/>
  </r>
  <r>
    <x v="1"/>
    <x v="8"/>
    <x v="8"/>
    <x v="176"/>
    <x v="153"/>
    <x v="153"/>
    <s v="REVENUS"/>
    <x v="17"/>
    <s v="4011.001"/>
    <s v="Impôt bénéfice ordinaire"/>
    <n v="0"/>
    <n v="760515.1"/>
    <n v="4011"/>
  </r>
  <r>
    <x v="1"/>
    <x v="8"/>
    <x v="8"/>
    <x v="176"/>
    <x v="153"/>
    <x v="153"/>
    <s v="REVENUS"/>
    <x v="17"/>
    <s v="4011.002"/>
    <s v="Complément impôt bénéfice ordinaire"/>
    <n v="0"/>
    <n v="165093.35"/>
    <n v="4011"/>
  </r>
  <r>
    <x v="1"/>
    <x v="8"/>
    <x v="8"/>
    <x v="176"/>
    <x v="153"/>
    <x v="153"/>
    <s v="REVENUS"/>
    <x v="6"/>
    <s v="4211.001"/>
    <s v="Intérêts de retard sur factures"/>
    <n v="0"/>
    <n v="14479.66"/>
    <n v="4211"/>
  </r>
  <r>
    <x v="1"/>
    <x v="8"/>
    <x v="8"/>
    <x v="176"/>
    <x v="153"/>
    <x v="153"/>
    <s v="REVENUS"/>
    <x v="6"/>
    <s v="4211.002"/>
    <s v="Intérêts de retard sur acomptes"/>
    <n v="0"/>
    <n v="1842.94"/>
    <n v="4211"/>
  </r>
  <r>
    <x v="1"/>
    <x v="8"/>
    <x v="8"/>
    <x v="176"/>
    <x v="153"/>
    <x v="153"/>
    <s v="REVENUS"/>
    <x v="6"/>
    <s v="4221.001"/>
    <s v="Intérêts compensat. / créances en faveur du fisc"/>
    <n v="0"/>
    <n v="1396.76"/>
    <n v="4221"/>
  </r>
  <r>
    <x v="1"/>
    <x v="8"/>
    <x v="8"/>
    <x v="176"/>
    <x v="153"/>
    <x v="153"/>
    <s v="REVENUS"/>
    <x v="7"/>
    <s v="4184.000"/>
    <s v="Frais de poursuite"/>
    <n v="0"/>
    <n v="356.04"/>
    <n v="4184"/>
  </r>
  <r>
    <x v="1"/>
    <x v="8"/>
    <x v="8"/>
    <x v="176"/>
    <x v="153"/>
    <x v="153"/>
    <s v="REVENUS"/>
    <x v="16"/>
    <s v="4012.002"/>
    <s v="Complément impôt capital ordinaire"/>
    <n v="0"/>
    <n v="-391.6"/>
    <n v="4012"/>
  </r>
  <r>
    <x v="1"/>
    <x v="8"/>
    <x v="8"/>
    <x v="176"/>
    <x v="153"/>
    <x v="153"/>
    <s v="REVENUS"/>
    <x v="6"/>
    <s v="4221.003"/>
    <s v="Intérêts compensat. / acomptes en faveur du fisc"/>
    <n v="0"/>
    <n v="-0.02"/>
    <n v="4221"/>
  </r>
  <r>
    <x v="1"/>
    <x v="8"/>
    <x v="8"/>
    <x v="176"/>
    <x v="153"/>
    <x v="153"/>
    <s v="REVENUS"/>
    <x v="13"/>
    <s v="4371.012"/>
    <s v="Amende soustraction IBC"/>
    <n v="0"/>
    <n v="108650"/>
    <n v="4371"/>
  </r>
  <r>
    <x v="1"/>
    <x v="8"/>
    <x v="8"/>
    <x v="176"/>
    <x v="153"/>
    <x v="153"/>
    <s v="REVENUS"/>
    <x v="18"/>
    <s v="4013.003"/>
    <s v="Remboursement impôt complémentaire sur immeubles"/>
    <n v="0"/>
    <n v="-2008.5"/>
    <n v="4013"/>
  </r>
  <r>
    <x v="1"/>
    <x v="8"/>
    <x v="8"/>
    <x v="176"/>
    <x v="153"/>
    <x v="153"/>
    <s v="REVENUS"/>
    <x v="18"/>
    <s v="4013.001"/>
    <s v="Impôt complémentaire sur immeubles"/>
    <n v="0"/>
    <n v="38696.9"/>
    <n v="4013"/>
  </r>
  <r>
    <x v="1"/>
    <x v="8"/>
    <x v="8"/>
    <x v="176"/>
    <x v="153"/>
    <x v="153"/>
    <s v="REVENUS"/>
    <x v="10"/>
    <s v="4041.001"/>
    <s v="Droits de mutation"/>
    <n v="0"/>
    <n v="2508"/>
    <n v="4041"/>
  </r>
  <r>
    <x v="1"/>
    <x v="5"/>
    <x v="1"/>
    <x v="177"/>
    <x v="154"/>
    <x v="154"/>
    <s v="CHARGES"/>
    <x v="0"/>
    <s v="3221.002"/>
    <s v="Intérêts compensatoires / créances en faveur ctb."/>
    <n v="2.82"/>
    <n v="0"/>
    <n v="3221"/>
  </r>
  <r>
    <x v="1"/>
    <x v="5"/>
    <x v="1"/>
    <x v="177"/>
    <x v="154"/>
    <x v="154"/>
    <s v="CHARGES"/>
    <x v="1"/>
    <s v="3301.006"/>
    <s v="Abandon de solde PM"/>
    <n v="28.69"/>
    <n v="0"/>
    <n v="3301"/>
  </r>
  <r>
    <x v="1"/>
    <x v="5"/>
    <x v="1"/>
    <x v="177"/>
    <x v="154"/>
    <x v="154"/>
    <s v="CHARGES"/>
    <x v="0"/>
    <s v="3212.002"/>
    <s v="Intérêts bonifiés/trop perçu acompte C/C"/>
    <n v="0.02"/>
    <n v="0"/>
    <n v="3212"/>
  </r>
  <r>
    <x v="1"/>
    <x v="5"/>
    <x v="1"/>
    <x v="177"/>
    <x v="154"/>
    <x v="154"/>
    <s v="CHARGES"/>
    <x v="0"/>
    <s v="3212.004"/>
    <s v="Intérêts rémun./perçu trop tôt sur acomptes C/C"/>
    <n v="2.09"/>
    <n v="0"/>
    <n v="3212"/>
  </r>
  <r>
    <x v="1"/>
    <x v="5"/>
    <x v="1"/>
    <x v="177"/>
    <x v="154"/>
    <x v="154"/>
    <s v="REVENUS"/>
    <x v="17"/>
    <s v="4011.001"/>
    <s v="Impôt bénéfice ordinaire"/>
    <n v="0"/>
    <n v="24481.75"/>
    <n v="4011"/>
  </r>
  <r>
    <x v="1"/>
    <x v="5"/>
    <x v="1"/>
    <x v="177"/>
    <x v="154"/>
    <x v="154"/>
    <s v="REVENUS"/>
    <x v="17"/>
    <s v="4011.002"/>
    <s v="Complément impôt bénéfice ordinaire"/>
    <n v="0"/>
    <n v="960.05"/>
    <n v="4011"/>
  </r>
  <r>
    <x v="1"/>
    <x v="5"/>
    <x v="1"/>
    <x v="177"/>
    <x v="154"/>
    <x v="154"/>
    <s v="REVENUS"/>
    <x v="6"/>
    <s v="4211.001"/>
    <s v="Intérêts de retard sur factures"/>
    <n v="0"/>
    <n v="0.44"/>
    <n v="4211"/>
  </r>
  <r>
    <x v="1"/>
    <x v="5"/>
    <x v="1"/>
    <x v="177"/>
    <x v="154"/>
    <x v="154"/>
    <s v="REVENUS"/>
    <x v="6"/>
    <s v="4221.001"/>
    <s v="Intérêts compensat. / créances en faveur du fisc"/>
    <n v="0"/>
    <n v="33.81"/>
    <n v="4221"/>
  </r>
  <r>
    <x v="1"/>
    <x v="5"/>
    <x v="1"/>
    <x v="177"/>
    <x v="154"/>
    <x v="154"/>
    <s v="REVENUS"/>
    <x v="17"/>
    <s v="4011.007"/>
    <s v="Acompte sur bénéfice"/>
    <n v="0"/>
    <n v="-1140"/>
    <n v="4011"/>
  </r>
  <r>
    <x v="1"/>
    <x v="5"/>
    <x v="1"/>
    <x v="177"/>
    <x v="154"/>
    <x v="154"/>
    <s v="REVENUS"/>
    <x v="16"/>
    <s v="4012.007"/>
    <s v="Acompte sur capital"/>
    <n v="0"/>
    <n v="382.85"/>
    <n v="4012"/>
  </r>
  <r>
    <x v="1"/>
    <x v="5"/>
    <x v="1"/>
    <x v="177"/>
    <x v="154"/>
    <x v="154"/>
    <s v="REVENUS"/>
    <x v="16"/>
    <s v="4012.001"/>
    <s v="Impôt capital ordinaire"/>
    <n v="0"/>
    <n v="151.19999999999999"/>
    <n v="4012"/>
  </r>
  <r>
    <x v="1"/>
    <x v="5"/>
    <x v="1"/>
    <x v="177"/>
    <x v="154"/>
    <x v="154"/>
    <s v="REVENUS"/>
    <x v="6"/>
    <s v="4211.002"/>
    <s v="Intérêts de retard sur acomptes"/>
    <n v="0"/>
    <n v="13.72"/>
    <n v="4211"/>
  </r>
  <r>
    <x v="1"/>
    <x v="5"/>
    <x v="1"/>
    <x v="177"/>
    <x v="154"/>
    <x v="154"/>
    <s v="REVENUS"/>
    <x v="18"/>
    <s v="4013.003"/>
    <s v="Remboursement impôt complémentaire sur immeubles"/>
    <n v="0"/>
    <n v="-34"/>
    <n v="4013"/>
  </r>
  <r>
    <x v="1"/>
    <x v="5"/>
    <x v="1"/>
    <x v="177"/>
    <x v="154"/>
    <x v="154"/>
    <s v="REVENUS"/>
    <x v="18"/>
    <s v="4013.001"/>
    <s v="Impôt complémentaire sur immeubles"/>
    <n v="0"/>
    <n v="851.15"/>
    <n v="4013"/>
  </r>
  <r>
    <x v="1"/>
    <x v="5"/>
    <x v="1"/>
    <x v="177"/>
    <x v="154"/>
    <x v="154"/>
    <s v="REVENUS"/>
    <x v="11"/>
    <s v="4198.001"/>
    <s v="Impôt foncier"/>
    <n v="0"/>
    <n v="2574.5500000000002"/>
    <n v="4198"/>
  </r>
  <r>
    <x v="1"/>
    <x v="5"/>
    <x v="1"/>
    <x v="178"/>
    <x v="155"/>
    <x v="155"/>
    <s v="CHARGES"/>
    <x v="0"/>
    <s v="3212.004"/>
    <s v="Intérêts rémun./perçu trop tôt sur acomptes C/C"/>
    <n v="7.64"/>
    <n v="0"/>
    <n v="3212"/>
  </r>
  <r>
    <x v="1"/>
    <x v="5"/>
    <x v="1"/>
    <x v="178"/>
    <x v="155"/>
    <x v="155"/>
    <s v="CHARGES"/>
    <x v="0"/>
    <s v="3221.002"/>
    <s v="Intérêts compensatoires / créances en faveur ctb."/>
    <n v="6.83"/>
    <n v="0"/>
    <n v="3221"/>
  </r>
  <r>
    <x v="1"/>
    <x v="5"/>
    <x v="1"/>
    <x v="178"/>
    <x v="155"/>
    <x v="155"/>
    <s v="CHARGES"/>
    <x v="0"/>
    <s v="3212.002"/>
    <s v="Intérêts bonifiés/trop perçu acompte C/C"/>
    <n v="0.06"/>
    <n v="0"/>
    <n v="3212"/>
  </r>
  <r>
    <x v="1"/>
    <x v="5"/>
    <x v="1"/>
    <x v="178"/>
    <x v="155"/>
    <x v="155"/>
    <s v="CHARGES"/>
    <x v="1"/>
    <s v="3301.006"/>
    <s v="Abandon de solde PM"/>
    <n v="22.37"/>
    <n v="0"/>
    <n v="3301"/>
  </r>
  <r>
    <x v="1"/>
    <x v="5"/>
    <x v="1"/>
    <x v="178"/>
    <x v="155"/>
    <x v="155"/>
    <s v="REVENUS"/>
    <x v="17"/>
    <s v="4011.007"/>
    <s v="Acompte sur bénéfice"/>
    <n v="0"/>
    <n v="5544.65"/>
    <n v="4011"/>
  </r>
  <r>
    <x v="1"/>
    <x v="5"/>
    <x v="1"/>
    <x v="178"/>
    <x v="155"/>
    <x v="155"/>
    <s v="REVENUS"/>
    <x v="16"/>
    <s v="4012.001"/>
    <s v="Impôt capital ordinaire"/>
    <n v="0"/>
    <n v="941.85"/>
    <n v="4012"/>
  </r>
  <r>
    <x v="1"/>
    <x v="5"/>
    <x v="1"/>
    <x v="178"/>
    <x v="155"/>
    <x v="155"/>
    <s v="REVENUS"/>
    <x v="17"/>
    <s v="4011.001"/>
    <s v="Impôt bénéfice ordinaire"/>
    <n v="0"/>
    <n v="35574.199999999997"/>
    <n v="4011"/>
  </r>
  <r>
    <x v="1"/>
    <x v="5"/>
    <x v="1"/>
    <x v="178"/>
    <x v="155"/>
    <x v="155"/>
    <s v="REVENUS"/>
    <x v="17"/>
    <s v="4011.002"/>
    <s v="Complément impôt bénéfice ordinaire"/>
    <n v="0"/>
    <n v="3771.7"/>
    <n v="4011"/>
  </r>
  <r>
    <x v="1"/>
    <x v="5"/>
    <x v="1"/>
    <x v="178"/>
    <x v="155"/>
    <x v="155"/>
    <s v="REVENUS"/>
    <x v="6"/>
    <s v="4211.001"/>
    <s v="Intérêts de retard sur factures"/>
    <n v="0"/>
    <n v="9.9700000000000006"/>
    <n v="4211"/>
  </r>
  <r>
    <x v="1"/>
    <x v="5"/>
    <x v="1"/>
    <x v="178"/>
    <x v="155"/>
    <x v="155"/>
    <s v="REVENUS"/>
    <x v="6"/>
    <s v="4221.001"/>
    <s v="Intérêts compensat. / créances en faveur du fisc"/>
    <n v="0"/>
    <n v="29.57"/>
    <n v="4221"/>
  </r>
  <r>
    <x v="1"/>
    <x v="5"/>
    <x v="1"/>
    <x v="178"/>
    <x v="155"/>
    <x v="155"/>
    <s v="REVENUS"/>
    <x v="16"/>
    <s v="4012.007"/>
    <s v="Acompte sur capital"/>
    <n v="0"/>
    <n v="5321.45"/>
    <n v="4012"/>
  </r>
  <r>
    <x v="1"/>
    <x v="5"/>
    <x v="1"/>
    <x v="178"/>
    <x v="155"/>
    <x v="155"/>
    <s v="REVENUS"/>
    <x v="6"/>
    <s v="4211.002"/>
    <s v="Intérêts de retard sur acomptes"/>
    <n v="0"/>
    <n v="7.37"/>
    <n v="4211"/>
  </r>
  <r>
    <x v="1"/>
    <x v="5"/>
    <x v="1"/>
    <x v="178"/>
    <x v="155"/>
    <x v="155"/>
    <s v="REVENUS"/>
    <x v="10"/>
    <s v="4041.001"/>
    <s v="Droits de mutation"/>
    <n v="0"/>
    <n v="13612.5"/>
    <n v="4041"/>
  </r>
  <r>
    <x v="1"/>
    <x v="5"/>
    <x v="1"/>
    <x v="178"/>
    <x v="155"/>
    <x v="155"/>
    <s v="REVENUS"/>
    <x v="18"/>
    <s v="4013.001"/>
    <s v="Impôt complémentaire sur immeubles"/>
    <n v="0"/>
    <n v="3412.75"/>
    <n v="4013"/>
  </r>
  <r>
    <x v="1"/>
    <x v="5"/>
    <x v="1"/>
    <x v="179"/>
    <x v="156"/>
    <x v="156"/>
    <s v="CHARGES"/>
    <x v="0"/>
    <s v="3221.002"/>
    <s v="Intérêts compensatoires / créances en faveur ctb."/>
    <n v="19.61"/>
    <n v="0"/>
    <n v="3221"/>
  </r>
  <r>
    <x v="1"/>
    <x v="5"/>
    <x v="1"/>
    <x v="179"/>
    <x v="156"/>
    <x v="156"/>
    <s v="CHARGES"/>
    <x v="1"/>
    <s v="3301.006"/>
    <s v="Abandon de solde PM"/>
    <n v="13.7"/>
    <n v="0"/>
    <n v="3301"/>
  </r>
  <r>
    <x v="1"/>
    <x v="5"/>
    <x v="1"/>
    <x v="179"/>
    <x v="156"/>
    <x v="156"/>
    <s v="CHARGES"/>
    <x v="0"/>
    <s v="3212.004"/>
    <s v="Intérêts rémun./perçu trop tôt sur acomptes C/C"/>
    <n v="11.65"/>
    <n v="0"/>
    <n v="3212"/>
  </r>
  <r>
    <x v="1"/>
    <x v="5"/>
    <x v="1"/>
    <x v="179"/>
    <x v="156"/>
    <x v="156"/>
    <s v="CHARGES"/>
    <x v="0"/>
    <s v="3212.002"/>
    <s v="Intérêts bonifiés/trop perçu acompte C/C"/>
    <n v="0.15"/>
    <n v="0"/>
    <n v="3212"/>
  </r>
  <r>
    <x v="1"/>
    <x v="5"/>
    <x v="1"/>
    <x v="179"/>
    <x v="156"/>
    <x v="156"/>
    <s v="REVENUS"/>
    <x v="17"/>
    <s v="4011.001"/>
    <s v="Impôt bénéfice ordinaire"/>
    <n v="0"/>
    <n v="15860.95"/>
    <n v="4011"/>
  </r>
  <r>
    <x v="1"/>
    <x v="5"/>
    <x v="1"/>
    <x v="179"/>
    <x v="156"/>
    <x v="156"/>
    <s v="REVENUS"/>
    <x v="17"/>
    <s v="4011.002"/>
    <s v="Complément impôt bénéfice ordinaire"/>
    <n v="0"/>
    <n v="4129.6499999999996"/>
    <n v="4011"/>
  </r>
  <r>
    <x v="1"/>
    <x v="5"/>
    <x v="1"/>
    <x v="179"/>
    <x v="156"/>
    <x v="156"/>
    <s v="REVENUS"/>
    <x v="6"/>
    <s v="4211.001"/>
    <s v="Intérêts de retard sur factures"/>
    <n v="0"/>
    <n v="5.26"/>
    <n v="4211"/>
  </r>
  <r>
    <x v="1"/>
    <x v="5"/>
    <x v="1"/>
    <x v="179"/>
    <x v="156"/>
    <x v="156"/>
    <s v="REVENUS"/>
    <x v="6"/>
    <s v="4221.001"/>
    <s v="Intérêts compensat. / créances en faveur du fisc"/>
    <n v="0"/>
    <n v="6.88"/>
    <n v="4221"/>
  </r>
  <r>
    <x v="1"/>
    <x v="5"/>
    <x v="1"/>
    <x v="179"/>
    <x v="156"/>
    <x v="156"/>
    <s v="REVENUS"/>
    <x v="17"/>
    <s v="4011.007"/>
    <s v="Acompte sur bénéfice"/>
    <n v="0"/>
    <n v="-19196.8"/>
    <n v="4011"/>
  </r>
  <r>
    <x v="1"/>
    <x v="5"/>
    <x v="1"/>
    <x v="179"/>
    <x v="156"/>
    <x v="156"/>
    <s v="REVENUS"/>
    <x v="16"/>
    <s v="4012.001"/>
    <s v="Impôt capital ordinaire"/>
    <n v="0"/>
    <n v="1048.75"/>
    <n v="4012"/>
  </r>
  <r>
    <x v="1"/>
    <x v="5"/>
    <x v="1"/>
    <x v="179"/>
    <x v="156"/>
    <x v="156"/>
    <s v="REVENUS"/>
    <x v="6"/>
    <s v="4211.002"/>
    <s v="Intérêts de retard sur acomptes"/>
    <n v="0"/>
    <n v="49.19"/>
    <n v="4211"/>
  </r>
  <r>
    <x v="1"/>
    <x v="5"/>
    <x v="1"/>
    <x v="179"/>
    <x v="156"/>
    <x v="156"/>
    <s v="REVENUS"/>
    <x v="16"/>
    <s v="4012.007"/>
    <s v="Acompte sur capital"/>
    <n v="0"/>
    <n v="204.25"/>
    <n v="4012"/>
  </r>
  <r>
    <x v="1"/>
    <x v="5"/>
    <x v="1"/>
    <x v="179"/>
    <x v="156"/>
    <x v="156"/>
    <s v="REVENUS"/>
    <x v="16"/>
    <s v="4012.002"/>
    <s v="Complément impôt capital ordinaire"/>
    <n v="0"/>
    <n v="18.2"/>
    <n v="4012"/>
  </r>
  <r>
    <x v="1"/>
    <x v="5"/>
    <x v="1"/>
    <x v="179"/>
    <x v="156"/>
    <x v="156"/>
    <s v="REVENUS"/>
    <x v="18"/>
    <s v="4013.001"/>
    <s v="Impôt complémentaire sur immeubles"/>
    <n v="0"/>
    <n v="1973.05"/>
    <n v="4013"/>
  </r>
  <r>
    <x v="1"/>
    <x v="5"/>
    <x v="1"/>
    <x v="179"/>
    <x v="156"/>
    <x v="156"/>
    <s v="REVENUS"/>
    <x v="10"/>
    <s v="4041.001"/>
    <s v="Droits de mutation"/>
    <n v="0"/>
    <n v="11605"/>
    <n v="4041"/>
  </r>
  <r>
    <x v="1"/>
    <x v="5"/>
    <x v="1"/>
    <x v="180"/>
    <x v="157"/>
    <x v="157"/>
    <s v="CHARGES"/>
    <x v="0"/>
    <s v="3212.004"/>
    <s v="Intérêts rémun./perçu trop tôt sur acomptes C/C"/>
    <n v="27.78"/>
    <n v="0"/>
    <n v="3212"/>
  </r>
  <r>
    <x v="1"/>
    <x v="5"/>
    <x v="1"/>
    <x v="180"/>
    <x v="157"/>
    <x v="157"/>
    <s v="CHARGES"/>
    <x v="0"/>
    <s v="3221.002"/>
    <s v="Intérêts compensatoires / créances en faveur ctb."/>
    <n v="37.71"/>
    <n v="0"/>
    <n v="3221"/>
  </r>
  <r>
    <x v="1"/>
    <x v="5"/>
    <x v="1"/>
    <x v="180"/>
    <x v="157"/>
    <x v="157"/>
    <s v="CHARGES"/>
    <x v="1"/>
    <s v="3301.006"/>
    <s v="Abandon de solde PM"/>
    <n v="75.14"/>
    <n v="0"/>
    <n v="3301"/>
  </r>
  <r>
    <x v="1"/>
    <x v="5"/>
    <x v="1"/>
    <x v="180"/>
    <x v="157"/>
    <x v="157"/>
    <s v="CHARGES"/>
    <x v="0"/>
    <s v="3212.002"/>
    <s v="Intérêts bonifiés/trop perçu acompte C/C"/>
    <n v="1.46"/>
    <n v="0"/>
    <n v="3212"/>
  </r>
  <r>
    <x v="1"/>
    <x v="5"/>
    <x v="1"/>
    <x v="180"/>
    <x v="157"/>
    <x v="157"/>
    <s v="CHARGES"/>
    <x v="1"/>
    <s v="3301.002"/>
    <s v="Défalcation PM"/>
    <n v="17.66"/>
    <n v="0"/>
    <n v="3301"/>
  </r>
  <r>
    <x v="1"/>
    <x v="5"/>
    <x v="1"/>
    <x v="180"/>
    <x v="157"/>
    <x v="157"/>
    <s v="REVENUS"/>
    <x v="17"/>
    <s v="4011.001"/>
    <s v="Impôt bénéfice ordinaire"/>
    <n v="0"/>
    <n v="255388.6"/>
    <n v="4011"/>
  </r>
  <r>
    <x v="1"/>
    <x v="5"/>
    <x v="1"/>
    <x v="180"/>
    <x v="157"/>
    <x v="157"/>
    <s v="REVENUS"/>
    <x v="17"/>
    <s v="4011.007"/>
    <s v="Acompte sur bénéfice"/>
    <n v="0"/>
    <n v="-26934.3"/>
    <n v="4011"/>
  </r>
  <r>
    <x v="1"/>
    <x v="5"/>
    <x v="1"/>
    <x v="180"/>
    <x v="157"/>
    <x v="157"/>
    <s v="REVENUS"/>
    <x v="17"/>
    <s v="4011.002"/>
    <s v="Complément impôt bénéfice ordinaire"/>
    <n v="0"/>
    <n v="45708.5"/>
    <n v="4011"/>
  </r>
  <r>
    <x v="1"/>
    <x v="5"/>
    <x v="1"/>
    <x v="180"/>
    <x v="157"/>
    <x v="157"/>
    <s v="REVENUS"/>
    <x v="6"/>
    <s v="4211.001"/>
    <s v="Intérêts de retard sur factures"/>
    <n v="0"/>
    <n v="34.31"/>
    <n v="4211"/>
  </r>
  <r>
    <x v="1"/>
    <x v="5"/>
    <x v="1"/>
    <x v="180"/>
    <x v="157"/>
    <x v="157"/>
    <s v="REVENUS"/>
    <x v="6"/>
    <s v="4221.001"/>
    <s v="Intérêts compensat. / créances en faveur du fisc"/>
    <n v="0"/>
    <n v="1050.83"/>
    <n v="4221"/>
  </r>
  <r>
    <x v="1"/>
    <x v="5"/>
    <x v="1"/>
    <x v="180"/>
    <x v="157"/>
    <x v="157"/>
    <s v="REVENUS"/>
    <x v="6"/>
    <s v="4211.002"/>
    <s v="Intérêts de retard sur acomptes"/>
    <n v="0"/>
    <n v="38.47"/>
    <n v="4211"/>
  </r>
  <r>
    <x v="1"/>
    <x v="5"/>
    <x v="1"/>
    <x v="180"/>
    <x v="157"/>
    <x v="157"/>
    <s v="REVENUS"/>
    <x v="16"/>
    <s v="4012.007"/>
    <s v="Acompte sur capital"/>
    <n v="0"/>
    <n v="1634.65"/>
    <n v="4012"/>
  </r>
  <r>
    <x v="1"/>
    <x v="5"/>
    <x v="1"/>
    <x v="180"/>
    <x v="157"/>
    <x v="157"/>
    <s v="REVENUS"/>
    <x v="16"/>
    <s v="4012.001"/>
    <s v="Impôt capital ordinaire"/>
    <n v="0"/>
    <n v="1556.9"/>
    <n v="4012"/>
  </r>
  <r>
    <x v="1"/>
    <x v="5"/>
    <x v="1"/>
    <x v="180"/>
    <x v="157"/>
    <x v="157"/>
    <s v="REVENUS"/>
    <x v="7"/>
    <s v="4184.000"/>
    <s v="Frais de poursuite"/>
    <n v="0"/>
    <n v="30.12"/>
    <n v="4184"/>
  </r>
  <r>
    <x v="1"/>
    <x v="5"/>
    <x v="1"/>
    <x v="180"/>
    <x v="157"/>
    <x v="157"/>
    <s v="REVENUS"/>
    <x v="10"/>
    <s v="4041.001"/>
    <s v="Droits de mutation"/>
    <n v="0"/>
    <n v="53880.800000000003"/>
    <n v="4041"/>
  </r>
  <r>
    <x v="1"/>
    <x v="5"/>
    <x v="1"/>
    <x v="180"/>
    <x v="157"/>
    <x v="157"/>
    <s v="REVENUS"/>
    <x v="8"/>
    <s v="4091.001"/>
    <s v="Impôt récupéré après défalcations"/>
    <n v="0"/>
    <n v="8.83"/>
    <n v="4091"/>
  </r>
  <r>
    <x v="1"/>
    <x v="5"/>
    <x v="1"/>
    <x v="180"/>
    <x v="157"/>
    <x v="157"/>
    <s v="REVENUS"/>
    <x v="18"/>
    <s v="4013.003"/>
    <s v="Remboursement impôt complémentaire sur immeubles"/>
    <n v="0"/>
    <n v="-216.95"/>
    <n v="4013"/>
  </r>
  <r>
    <x v="1"/>
    <x v="5"/>
    <x v="1"/>
    <x v="180"/>
    <x v="157"/>
    <x v="157"/>
    <s v="REVENUS"/>
    <x v="18"/>
    <s v="4013.001"/>
    <s v="Impôt complémentaire sur immeubles"/>
    <n v="0"/>
    <n v="11525.6"/>
    <n v="4013"/>
  </r>
  <r>
    <x v="1"/>
    <x v="5"/>
    <x v="1"/>
    <x v="180"/>
    <x v="157"/>
    <x v="157"/>
    <s v="REVENUS"/>
    <x v="11"/>
    <s v="4198.001"/>
    <s v="Impôt foncier"/>
    <n v="0"/>
    <n v="24804.5"/>
    <n v="4198"/>
  </r>
  <r>
    <x v="1"/>
    <x v="4"/>
    <x v="4"/>
    <x v="181"/>
    <x v="158"/>
    <x v="158"/>
    <s v="CHARGES"/>
    <x v="0"/>
    <s v="3212.004"/>
    <s v="Intérêts rémun./perçu trop tôt sur acomptes C/C"/>
    <n v="0.74"/>
    <n v="0"/>
    <n v="3212"/>
  </r>
  <r>
    <x v="1"/>
    <x v="4"/>
    <x v="4"/>
    <x v="181"/>
    <x v="158"/>
    <x v="158"/>
    <s v="CHARGES"/>
    <x v="1"/>
    <s v="3301.006"/>
    <s v="Abandon de solde PM"/>
    <n v="8.98"/>
    <n v="0"/>
    <n v="3301"/>
  </r>
  <r>
    <x v="1"/>
    <x v="4"/>
    <x v="4"/>
    <x v="181"/>
    <x v="158"/>
    <x v="158"/>
    <s v="CHARGES"/>
    <x v="0"/>
    <s v="3221.002"/>
    <s v="Intérêts compensatoires / créances en faveur ctb."/>
    <n v="1.21"/>
    <n v="0"/>
    <n v="3221"/>
  </r>
  <r>
    <x v="1"/>
    <x v="4"/>
    <x v="4"/>
    <x v="181"/>
    <x v="158"/>
    <x v="158"/>
    <s v="REVENUS"/>
    <x v="17"/>
    <s v="4011.002"/>
    <s v="Complément impôt bénéfice ordinaire"/>
    <n v="0"/>
    <n v="64.599999999999994"/>
    <n v="4011"/>
  </r>
  <r>
    <x v="1"/>
    <x v="4"/>
    <x v="4"/>
    <x v="181"/>
    <x v="158"/>
    <x v="158"/>
    <s v="REVENUS"/>
    <x v="17"/>
    <s v="4011.001"/>
    <s v="Impôt bénéfice ordinaire"/>
    <n v="0"/>
    <n v="16997.2"/>
    <n v="4011"/>
  </r>
  <r>
    <x v="1"/>
    <x v="4"/>
    <x v="4"/>
    <x v="181"/>
    <x v="158"/>
    <x v="158"/>
    <s v="REVENUS"/>
    <x v="17"/>
    <s v="4011.007"/>
    <s v="Acompte sur bénéfice"/>
    <n v="0"/>
    <n v="-4384.8500000000004"/>
    <n v="4011"/>
  </r>
  <r>
    <x v="1"/>
    <x v="4"/>
    <x v="4"/>
    <x v="181"/>
    <x v="158"/>
    <x v="158"/>
    <s v="REVENUS"/>
    <x v="16"/>
    <s v="4012.007"/>
    <s v="Acompte sur capital"/>
    <n v="0"/>
    <n v="62.15"/>
    <n v="4012"/>
  </r>
  <r>
    <x v="1"/>
    <x v="4"/>
    <x v="4"/>
    <x v="181"/>
    <x v="158"/>
    <x v="158"/>
    <s v="REVENUS"/>
    <x v="6"/>
    <s v="4211.002"/>
    <s v="Intérêts de retard sur acomptes"/>
    <n v="0"/>
    <n v="166.18"/>
    <n v="4211"/>
  </r>
  <r>
    <x v="1"/>
    <x v="4"/>
    <x v="4"/>
    <x v="181"/>
    <x v="158"/>
    <x v="158"/>
    <s v="REVENUS"/>
    <x v="6"/>
    <s v="4221.001"/>
    <s v="Intérêts compensat. / créances en faveur du fisc"/>
    <n v="0"/>
    <n v="13.34"/>
    <n v="4221"/>
  </r>
  <r>
    <x v="1"/>
    <x v="4"/>
    <x v="4"/>
    <x v="181"/>
    <x v="158"/>
    <x v="158"/>
    <s v="REVENUS"/>
    <x v="6"/>
    <s v="4211.001"/>
    <s v="Intérêts de retard sur factures"/>
    <n v="0"/>
    <n v="36.1"/>
    <n v="4211"/>
  </r>
  <r>
    <x v="1"/>
    <x v="4"/>
    <x v="4"/>
    <x v="181"/>
    <x v="158"/>
    <x v="158"/>
    <s v="REVENUS"/>
    <x v="16"/>
    <s v="4012.001"/>
    <s v="Impôt capital ordinaire"/>
    <n v="0"/>
    <n v="444.95"/>
    <n v="4012"/>
  </r>
  <r>
    <x v="1"/>
    <x v="4"/>
    <x v="4"/>
    <x v="181"/>
    <x v="158"/>
    <x v="158"/>
    <s v="REVENUS"/>
    <x v="18"/>
    <s v="4013.001"/>
    <s v="Impôt complémentaire sur immeubles"/>
    <n v="0"/>
    <n v="425"/>
    <n v="4013"/>
  </r>
  <r>
    <x v="1"/>
    <x v="3"/>
    <x v="3"/>
    <x v="182"/>
    <x v="159"/>
    <x v="159"/>
    <s v="CHARGES"/>
    <x v="0"/>
    <s v="3212.002"/>
    <s v="Intérêts bonifiés/trop perçu acompte C/C"/>
    <n v="0.01"/>
    <n v="0"/>
    <n v="3212"/>
  </r>
  <r>
    <x v="1"/>
    <x v="3"/>
    <x v="3"/>
    <x v="182"/>
    <x v="159"/>
    <x v="159"/>
    <s v="CHARGES"/>
    <x v="0"/>
    <s v="3212.004"/>
    <s v="Intérêts rémun./perçu trop tôt sur acomptes C/C"/>
    <n v="0.09"/>
    <n v="0"/>
    <n v="3212"/>
  </r>
  <r>
    <x v="1"/>
    <x v="3"/>
    <x v="3"/>
    <x v="182"/>
    <x v="159"/>
    <x v="159"/>
    <s v="CHARGES"/>
    <x v="0"/>
    <s v="3221.002"/>
    <s v="Intérêts compensatoires / créances en faveur ctb."/>
    <n v="0.53"/>
    <n v="0"/>
    <n v="3221"/>
  </r>
  <r>
    <x v="1"/>
    <x v="3"/>
    <x v="3"/>
    <x v="182"/>
    <x v="159"/>
    <x v="159"/>
    <s v="REVENUS"/>
    <x v="17"/>
    <s v="4011.002"/>
    <s v="Complément impôt bénéfice ordinaire"/>
    <n v="0"/>
    <n v="330.2"/>
    <n v="4011"/>
  </r>
  <r>
    <x v="1"/>
    <x v="3"/>
    <x v="3"/>
    <x v="182"/>
    <x v="159"/>
    <x v="159"/>
    <s v="REVENUS"/>
    <x v="17"/>
    <s v="4011.001"/>
    <s v="Impôt bénéfice ordinaire"/>
    <n v="0"/>
    <n v="-78.349999999999994"/>
    <n v="4011"/>
  </r>
  <r>
    <x v="1"/>
    <x v="3"/>
    <x v="3"/>
    <x v="182"/>
    <x v="159"/>
    <x v="159"/>
    <s v="REVENUS"/>
    <x v="17"/>
    <s v="4011.007"/>
    <s v="Acompte sur bénéfice"/>
    <n v="0"/>
    <n v="-379.15"/>
    <n v="4011"/>
  </r>
  <r>
    <x v="1"/>
    <x v="3"/>
    <x v="3"/>
    <x v="182"/>
    <x v="159"/>
    <x v="159"/>
    <s v="REVENUS"/>
    <x v="6"/>
    <s v="4211.002"/>
    <s v="Intérêts de retard sur acomptes"/>
    <n v="0"/>
    <n v="0.56999999999999995"/>
    <n v="4211"/>
  </r>
  <r>
    <x v="1"/>
    <x v="3"/>
    <x v="3"/>
    <x v="183"/>
    <x v="160"/>
    <x v="160"/>
    <s v="CHARGES"/>
    <x v="0"/>
    <s v="3221.002"/>
    <s v="Intérêts compensatoires / créances en faveur ctb."/>
    <n v="0.64"/>
    <n v="0"/>
    <n v="3221"/>
  </r>
  <r>
    <x v="1"/>
    <x v="3"/>
    <x v="3"/>
    <x v="183"/>
    <x v="160"/>
    <x v="160"/>
    <s v="CHARGES"/>
    <x v="0"/>
    <s v="3212.002"/>
    <s v="Intérêts bonifiés/trop perçu acompte C/C"/>
    <n v="0.01"/>
    <n v="0"/>
    <n v="3212"/>
  </r>
  <r>
    <x v="1"/>
    <x v="3"/>
    <x v="3"/>
    <x v="183"/>
    <x v="160"/>
    <x v="160"/>
    <s v="CHARGES"/>
    <x v="1"/>
    <s v="3301.006"/>
    <s v="Abandon de solde PM"/>
    <n v="4.99"/>
    <n v="0"/>
    <n v="3301"/>
  </r>
  <r>
    <x v="1"/>
    <x v="3"/>
    <x v="3"/>
    <x v="183"/>
    <x v="160"/>
    <x v="160"/>
    <s v="CHARGES"/>
    <x v="0"/>
    <s v="3212.004"/>
    <s v="Intérêts rémun./perçu trop tôt sur acomptes C/C"/>
    <n v="0.5"/>
    <n v="0"/>
    <n v="3212"/>
  </r>
  <r>
    <x v="1"/>
    <x v="3"/>
    <x v="3"/>
    <x v="183"/>
    <x v="160"/>
    <x v="160"/>
    <s v="REVENUS"/>
    <x v="17"/>
    <s v="4011.001"/>
    <s v="Impôt bénéfice ordinaire"/>
    <n v="0"/>
    <n v="2875.05"/>
    <n v="4011"/>
  </r>
  <r>
    <x v="1"/>
    <x v="3"/>
    <x v="3"/>
    <x v="183"/>
    <x v="160"/>
    <x v="160"/>
    <s v="REVENUS"/>
    <x v="17"/>
    <s v="4011.002"/>
    <s v="Complément impôt bénéfice ordinaire"/>
    <n v="0"/>
    <n v="568.15"/>
    <n v="4011"/>
  </r>
  <r>
    <x v="1"/>
    <x v="3"/>
    <x v="3"/>
    <x v="183"/>
    <x v="160"/>
    <x v="160"/>
    <s v="REVENUS"/>
    <x v="6"/>
    <s v="4211.001"/>
    <s v="Intérêts de retard sur factures"/>
    <n v="0"/>
    <n v="0.08"/>
    <n v="4211"/>
  </r>
  <r>
    <x v="1"/>
    <x v="3"/>
    <x v="3"/>
    <x v="183"/>
    <x v="160"/>
    <x v="160"/>
    <s v="REVENUS"/>
    <x v="6"/>
    <s v="4221.001"/>
    <s v="Intérêts compensat. / créances en faveur du fisc"/>
    <n v="0"/>
    <n v="5.04"/>
    <n v="4221"/>
  </r>
  <r>
    <x v="1"/>
    <x v="3"/>
    <x v="3"/>
    <x v="183"/>
    <x v="160"/>
    <x v="160"/>
    <s v="REVENUS"/>
    <x v="16"/>
    <s v="4012.007"/>
    <s v="Acompte sur capital"/>
    <n v="0"/>
    <n v="-70.05"/>
    <n v="4012"/>
  </r>
  <r>
    <x v="1"/>
    <x v="3"/>
    <x v="3"/>
    <x v="183"/>
    <x v="160"/>
    <x v="160"/>
    <s v="REVENUS"/>
    <x v="17"/>
    <s v="4011.007"/>
    <s v="Acompte sur bénéfice"/>
    <n v="0"/>
    <n v="1432.3"/>
    <n v="4011"/>
  </r>
  <r>
    <x v="1"/>
    <x v="3"/>
    <x v="3"/>
    <x v="183"/>
    <x v="160"/>
    <x v="160"/>
    <s v="REVENUS"/>
    <x v="16"/>
    <s v="4012.001"/>
    <s v="Impôt capital ordinaire"/>
    <n v="0"/>
    <n v="149.75"/>
    <n v="4012"/>
  </r>
  <r>
    <x v="1"/>
    <x v="3"/>
    <x v="3"/>
    <x v="183"/>
    <x v="160"/>
    <x v="160"/>
    <s v="REVENUS"/>
    <x v="6"/>
    <s v="4211.002"/>
    <s v="Intérêts de retard sur acomptes"/>
    <n v="0"/>
    <n v="0.77"/>
    <n v="4211"/>
  </r>
  <r>
    <x v="1"/>
    <x v="3"/>
    <x v="3"/>
    <x v="183"/>
    <x v="160"/>
    <x v="160"/>
    <s v="REVENUS"/>
    <x v="18"/>
    <s v="4013.001"/>
    <s v="Impôt complémentaire sur immeubles"/>
    <n v="0"/>
    <n v="325.2"/>
    <n v="4013"/>
  </r>
  <r>
    <x v="1"/>
    <x v="4"/>
    <x v="4"/>
    <x v="184"/>
    <x v="161"/>
    <x v="161"/>
    <s v="CHARGES"/>
    <x v="0"/>
    <s v="3212.002"/>
    <s v="Intérêts bonifiés/trop perçu acompte C/C"/>
    <n v="0.04"/>
    <n v="0"/>
    <n v="3212"/>
  </r>
  <r>
    <x v="1"/>
    <x v="4"/>
    <x v="4"/>
    <x v="184"/>
    <x v="161"/>
    <x v="161"/>
    <s v="REVENUS"/>
    <x v="17"/>
    <s v="4011.002"/>
    <s v="Complément impôt bénéfice ordinaire"/>
    <n v="0"/>
    <n v="993.25"/>
    <n v="4011"/>
  </r>
  <r>
    <x v="1"/>
    <x v="4"/>
    <x v="4"/>
    <x v="184"/>
    <x v="161"/>
    <x v="161"/>
    <s v="REVENUS"/>
    <x v="17"/>
    <s v="4011.001"/>
    <s v="Impôt bénéfice ordinaire"/>
    <n v="0"/>
    <n v="-993.25"/>
    <n v="4011"/>
  </r>
  <r>
    <x v="1"/>
    <x v="3"/>
    <x v="3"/>
    <x v="185"/>
    <x v="162"/>
    <x v="162"/>
    <s v="CHARGES"/>
    <x v="1"/>
    <s v="3301.006"/>
    <s v="Abandon de solde PM"/>
    <n v="2.2000000000000002"/>
    <n v="0"/>
    <n v="3301"/>
  </r>
  <r>
    <x v="1"/>
    <x v="3"/>
    <x v="3"/>
    <x v="185"/>
    <x v="162"/>
    <x v="162"/>
    <s v="CHARGES"/>
    <x v="0"/>
    <s v="3212.002"/>
    <s v="Intérêts bonifiés/trop perçu acompte C/C"/>
    <n v="0.02"/>
    <n v="0"/>
    <n v="3212"/>
  </r>
  <r>
    <x v="1"/>
    <x v="3"/>
    <x v="3"/>
    <x v="185"/>
    <x v="162"/>
    <x v="162"/>
    <s v="CHARGES"/>
    <x v="0"/>
    <s v="3212.004"/>
    <s v="Intérêts rémun./perçu trop tôt sur acomptes C/C"/>
    <n v="1.08"/>
    <n v="0"/>
    <n v="3212"/>
  </r>
  <r>
    <x v="1"/>
    <x v="3"/>
    <x v="3"/>
    <x v="185"/>
    <x v="162"/>
    <x v="162"/>
    <s v="CHARGES"/>
    <x v="0"/>
    <s v="3221.002"/>
    <s v="Intérêts compensatoires / créances en faveur ctb."/>
    <n v="1.46"/>
    <n v="0"/>
    <n v="3221"/>
  </r>
  <r>
    <x v="1"/>
    <x v="3"/>
    <x v="3"/>
    <x v="185"/>
    <x v="162"/>
    <x v="162"/>
    <s v="REVENUS"/>
    <x v="17"/>
    <s v="4011.007"/>
    <s v="Acompte sur bénéfice"/>
    <n v="0"/>
    <n v="-2212.75"/>
    <n v="4011"/>
  </r>
  <r>
    <x v="1"/>
    <x v="3"/>
    <x v="3"/>
    <x v="185"/>
    <x v="162"/>
    <x v="162"/>
    <s v="REVENUS"/>
    <x v="16"/>
    <s v="4012.001"/>
    <s v="Impôt capital ordinaire"/>
    <n v="0"/>
    <n v="56.3"/>
    <n v="4012"/>
  </r>
  <r>
    <x v="1"/>
    <x v="3"/>
    <x v="3"/>
    <x v="185"/>
    <x v="162"/>
    <x v="162"/>
    <s v="REVENUS"/>
    <x v="16"/>
    <s v="4012.007"/>
    <s v="Acompte sur capital"/>
    <n v="0"/>
    <n v="9.3000000000000007"/>
    <n v="4012"/>
  </r>
  <r>
    <x v="1"/>
    <x v="3"/>
    <x v="3"/>
    <x v="185"/>
    <x v="162"/>
    <x v="162"/>
    <s v="REVENUS"/>
    <x v="6"/>
    <s v="4211.002"/>
    <s v="Intérêts de retard sur acomptes"/>
    <n v="0"/>
    <n v="3.4"/>
    <n v="4211"/>
  </r>
  <r>
    <x v="1"/>
    <x v="3"/>
    <x v="3"/>
    <x v="185"/>
    <x v="162"/>
    <x v="162"/>
    <s v="REVENUS"/>
    <x v="17"/>
    <s v="4011.002"/>
    <s v="Complément impôt bénéfice ordinaire"/>
    <n v="0"/>
    <n v="417.25"/>
    <n v="4011"/>
  </r>
  <r>
    <x v="1"/>
    <x v="3"/>
    <x v="3"/>
    <x v="185"/>
    <x v="162"/>
    <x v="162"/>
    <s v="REVENUS"/>
    <x v="17"/>
    <s v="4011.001"/>
    <s v="Impôt bénéfice ordinaire"/>
    <n v="0"/>
    <n v="1924.05"/>
    <n v="4011"/>
  </r>
  <r>
    <x v="1"/>
    <x v="3"/>
    <x v="3"/>
    <x v="185"/>
    <x v="162"/>
    <x v="162"/>
    <s v="REVENUS"/>
    <x v="10"/>
    <s v="4041.001"/>
    <s v="Droits de mutation"/>
    <n v="0"/>
    <n v="46.75"/>
    <n v="4041"/>
  </r>
  <r>
    <x v="1"/>
    <x v="3"/>
    <x v="3"/>
    <x v="185"/>
    <x v="162"/>
    <x v="162"/>
    <s v="REVENUS"/>
    <x v="6"/>
    <s v="4221.001"/>
    <s v="Intérêts compensat. / créances en faveur du fisc"/>
    <n v="0"/>
    <n v="0.3"/>
    <n v="4221"/>
  </r>
  <r>
    <x v="1"/>
    <x v="3"/>
    <x v="3"/>
    <x v="185"/>
    <x v="162"/>
    <x v="162"/>
    <s v="REVENUS"/>
    <x v="6"/>
    <s v="4211.001"/>
    <s v="Intérêts de retard sur factures"/>
    <n v="0"/>
    <n v="1.22"/>
    <n v="4211"/>
  </r>
  <r>
    <x v="1"/>
    <x v="3"/>
    <x v="3"/>
    <x v="185"/>
    <x v="162"/>
    <x v="162"/>
    <s v="REVENUS"/>
    <x v="18"/>
    <s v="4013.001"/>
    <s v="Impôt complémentaire sur immeubles"/>
    <n v="0"/>
    <n v="4.5"/>
    <n v="4013"/>
  </r>
  <r>
    <x v="1"/>
    <x v="3"/>
    <x v="3"/>
    <x v="186"/>
    <x v="159"/>
    <x v="159"/>
    <s v="CHARGES"/>
    <x v="0"/>
    <s v="3212.002"/>
    <s v="Intérêts bonifiés/trop perçu acompte C/C"/>
    <n v="0.04"/>
    <n v="0"/>
    <n v="3212"/>
  </r>
  <r>
    <x v="1"/>
    <x v="3"/>
    <x v="3"/>
    <x v="186"/>
    <x v="159"/>
    <x v="159"/>
    <s v="CHARGES"/>
    <x v="0"/>
    <s v="3212.004"/>
    <s v="Intérêts rémun./perçu trop tôt sur acomptes C/C"/>
    <n v="0.37"/>
    <n v="0"/>
    <n v="3212"/>
  </r>
  <r>
    <x v="1"/>
    <x v="3"/>
    <x v="3"/>
    <x v="186"/>
    <x v="159"/>
    <x v="159"/>
    <s v="CHARGES"/>
    <x v="0"/>
    <s v="3221.002"/>
    <s v="Intérêts compensatoires / créances en faveur ctb."/>
    <n v="1.99"/>
    <n v="0"/>
    <n v="3221"/>
  </r>
  <r>
    <x v="1"/>
    <x v="3"/>
    <x v="3"/>
    <x v="186"/>
    <x v="159"/>
    <x v="159"/>
    <s v="REVENUS"/>
    <x v="17"/>
    <s v="4011.002"/>
    <s v="Complément impôt bénéfice ordinaire"/>
    <n v="0"/>
    <n v="844.75"/>
    <n v="4011"/>
  </r>
  <r>
    <x v="1"/>
    <x v="3"/>
    <x v="3"/>
    <x v="186"/>
    <x v="159"/>
    <x v="159"/>
    <s v="REVENUS"/>
    <x v="17"/>
    <s v="4011.001"/>
    <s v="Impôt bénéfice ordinaire"/>
    <n v="0"/>
    <n v="91.3"/>
    <n v="4011"/>
  </r>
  <r>
    <x v="1"/>
    <x v="3"/>
    <x v="3"/>
    <x v="186"/>
    <x v="159"/>
    <x v="159"/>
    <s v="REVENUS"/>
    <x v="17"/>
    <s v="4011.007"/>
    <s v="Acompte sur bénéfice"/>
    <n v="0"/>
    <n v="-1338.75"/>
    <n v="4011"/>
  </r>
  <r>
    <x v="1"/>
    <x v="3"/>
    <x v="3"/>
    <x v="186"/>
    <x v="159"/>
    <x v="159"/>
    <s v="REVENUS"/>
    <x v="6"/>
    <s v="4211.002"/>
    <s v="Intérêts de retard sur acomptes"/>
    <n v="0"/>
    <n v="2.09"/>
    <n v="4211"/>
  </r>
  <r>
    <x v="1"/>
    <x v="3"/>
    <x v="3"/>
    <x v="187"/>
    <x v="159"/>
    <x v="159"/>
    <s v="CHARGES"/>
    <x v="0"/>
    <s v="3212.004"/>
    <s v="Intérêts rémun./perçu trop tôt sur acomptes C/C"/>
    <n v="0.04"/>
    <n v="0"/>
    <n v="3212"/>
  </r>
  <r>
    <x v="1"/>
    <x v="3"/>
    <x v="3"/>
    <x v="187"/>
    <x v="159"/>
    <x v="159"/>
    <s v="CHARGES"/>
    <x v="0"/>
    <s v="3221.002"/>
    <s v="Intérêts compensatoires / créances en faveur ctb."/>
    <n v="0.2"/>
    <n v="0"/>
    <n v="3221"/>
  </r>
  <r>
    <x v="1"/>
    <x v="3"/>
    <x v="3"/>
    <x v="187"/>
    <x v="159"/>
    <x v="159"/>
    <s v="REVENUS"/>
    <x v="17"/>
    <s v="4011.001"/>
    <s v="Impôt bénéfice ordinaire"/>
    <n v="0"/>
    <n v="94"/>
    <n v="4011"/>
  </r>
  <r>
    <x v="1"/>
    <x v="3"/>
    <x v="3"/>
    <x v="187"/>
    <x v="159"/>
    <x v="159"/>
    <s v="REVENUS"/>
    <x v="17"/>
    <s v="4011.007"/>
    <s v="Acompte sur bénéfice"/>
    <n v="0"/>
    <n v="-105.45"/>
    <n v="4011"/>
  </r>
  <r>
    <x v="1"/>
    <x v="3"/>
    <x v="3"/>
    <x v="187"/>
    <x v="159"/>
    <x v="159"/>
    <s v="REVENUS"/>
    <x v="6"/>
    <s v="4211.002"/>
    <s v="Intérêts de retard sur acomptes"/>
    <n v="0"/>
    <n v="0.22"/>
    <n v="4211"/>
  </r>
  <r>
    <x v="1"/>
    <x v="3"/>
    <x v="3"/>
    <x v="188"/>
    <x v="163"/>
    <x v="163"/>
    <s v="CHARGES"/>
    <x v="0"/>
    <s v="3221.002"/>
    <s v="Intérêts compensatoires / créances en faveur ctb."/>
    <n v="1.08"/>
    <n v="0"/>
    <n v="3221"/>
  </r>
  <r>
    <x v="1"/>
    <x v="3"/>
    <x v="3"/>
    <x v="188"/>
    <x v="163"/>
    <x v="163"/>
    <s v="CHARGES"/>
    <x v="0"/>
    <s v="3212.002"/>
    <s v="Intérêts bonifiés/trop perçu acompte C/C"/>
    <n v="0.01"/>
    <n v="0"/>
    <n v="3212"/>
  </r>
  <r>
    <x v="1"/>
    <x v="3"/>
    <x v="3"/>
    <x v="188"/>
    <x v="163"/>
    <x v="163"/>
    <s v="CHARGES"/>
    <x v="1"/>
    <s v="3301.006"/>
    <s v="Abandon de solde PM"/>
    <n v="14.14"/>
    <n v="0"/>
    <n v="3301"/>
  </r>
  <r>
    <x v="1"/>
    <x v="3"/>
    <x v="3"/>
    <x v="188"/>
    <x v="163"/>
    <x v="163"/>
    <s v="CHARGES"/>
    <x v="0"/>
    <s v="3212.004"/>
    <s v="Intérêts rémun./perçu trop tôt sur acomptes C/C"/>
    <n v="0.7"/>
    <n v="0"/>
    <n v="3212"/>
  </r>
  <r>
    <x v="1"/>
    <x v="3"/>
    <x v="3"/>
    <x v="188"/>
    <x v="163"/>
    <x v="163"/>
    <s v="REVENUS"/>
    <x v="17"/>
    <s v="4011.001"/>
    <s v="Impôt bénéfice ordinaire"/>
    <n v="0"/>
    <n v="8355.9500000000007"/>
    <n v="4011"/>
  </r>
  <r>
    <x v="1"/>
    <x v="3"/>
    <x v="3"/>
    <x v="188"/>
    <x v="163"/>
    <x v="163"/>
    <s v="REVENUS"/>
    <x v="17"/>
    <s v="4011.002"/>
    <s v="Complément impôt bénéfice ordinaire"/>
    <n v="0"/>
    <n v="559.75"/>
    <n v="4011"/>
  </r>
  <r>
    <x v="1"/>
    <x v="3"/>
    <x v="3"/>
    <x v="188"/>
    <x v="163"/>
    <x v="163"/>
    <s v="REVENUS"/>
    <x v="6"/>
    <s v="4211.001"/>
    <s v="Intérêts de retard sur factures"/>
    <n v="0"/>
    <n v="129.13"/>
    <n v="4211"/>
  </r>
  <r>
    <x v="1"/>
    <x v="3"/>
    <x v="3"/>
    <x v="188"/>
    <x v="163"/>
    <x v="163"/>
    <s v="REVENUS"/>
    <x v="6"/>
    <s v="4221.001"/>
    <s v="Intérêts compensat. / créances en faveur du fisc"/>
    <n v="0"/>
    <n v="1.19"/>
    <n v="4221"/>
  </r>
  <r>
    <x v="1"/>
    <x v="3"/>
    <x v="3"/>
    <x v="188"/>
    <x v="163"/>
    <x v="163"/>
    <s v="REVENUS"/>
    <x v="17"/>
    <s v="4011.007"/>
    <s v="Acompte sur bénéfice"/>
    <n v="0"/>
    <n v="-3259.7"/>
    <n v="4011"/>
  </r>
  <r>
    <x v="1"/>
    <x v="3"/>
    <x v="3"/>
    <x v="188"/>
    <x v="163"/>
    <x v="163"/>
    <s v="REVENUS"/>
    <x v="16"/>
    <s v="4012.007"/>
    <s v="Acompte sur capital"/>
    <n v="0"/>
    <n v="452.25"/>
    <n v="4012"/>
  </r>
  <r>
    <x v="1"/>
    <x v="3"/>
    <x v="3"/>
    <x v="188"/>
    <x v="163"/>
    <x v="163"/>
    <s v="REVENUS"/>
    <x v="16"/>
    <s v="4012.001"/>
    <s v="Impôt capital ordinaire"/>
    <n v="0"/>
    <n v="110.25"/>
    <n v="4012"/>
  </r>
  <r>
    <x v="1"/>
    <x v="3"/>
    <x v="3"/>
    <x v="188"/>
    <x v="163"/>
    <x v="163"/>
    <s v="REVENUS"/>
    <x v="6"/>
    <s v="4211.002"/>
    <s v="Intérêts de retard sur acomptes"/>
    <n v="0"/>
    <n v="2.93"/>
    <n v="4211"/>
  </r>
  <r>
    <x v="1"/>
    <x v="3"/>
    <x v="3"/>
    <x v="188"/>
    <x v="163"/>
    <x v="163"/>
    <s v="REVENUS"/>
    <x v="18"/>
    <s v="4013.001"/>
    <s v="Impôt complémentaire sur immeubles"/>
    <n v="0"/>
    <n v="356.7"/>
    <n v="4013"/>
  </r>
  <r>
    <x v="1"/>
    <x v="3"/>
    <x v="3"/>
    <x v="188"/>
    <x v="163"/>
    <x v="163"/>
    <s v="REVENUS"/>
    <x v="7"/>
    <s v="4184.000"/>
    <s v="Frais de poursuite"/>
    <n v="0"/>
    <n v="10.88"/>
    <n v="4184"/>
  </r>
  <r>
    <x v="1"/>
    <x v="4"/>
    <x v="4"/>
    <x v="189"/>
    <x v="161"/>
    <x v="161"/>
    <s v="CHARGES"/>
    <x v="0"/>
    <s v="3212.002"/>
    <s v="Intérêts bonifiés/trop perçu acompte C/C"/>
    <n v="0.05"/>
    <n v="0"/>
    <n v="3212"/>
  </r>
  <r>
    <x v="1"/>
    <x v="4"/>
    <x v="4"/>
    <x v="189"/>
    <x v="161"/>
    <x v="161"/>
    <s v="REVENUS"/>
    <x v="17"/>
    <s v="4011.002"/>
    <s v="Complément impôt bénéfice ordinaire"/>
    <n v="0"/>
    <n v="1125.75"/>
    <n v="4011"/>
  </r>
  <r>
    <x v="1"/>
    <x v="4"/>
    <x v="4"/>
    <x v="189"/>
    <x v="161"/>
    <x v="161"/>
    <s v="REVENUS"/>
    <x v="17"/>
    <s v="4011.001"/>
    <s v="Impôt bénéfice ordinaire"/>
    <n v="0"/>
    <n v="-1125.75"/>
    <n v="4011"/>
  </r>
  <r>
    <x v="1"/>
    <x v="3"/>
    <x v="3"/>
    <x v="190"/>
    <x v="164"/>
    <x v="164"/>
    <s v="CHARGES"/>
    <x v="0"/>
    <s v="3212.004"/>
    <s v="Intérêts rémun./perçu trop tôt sur acomptes C/C"/>
    <n v="1.51"/>
    <n v="0"/>
    <n v="3212"/>
  </r>
  <r>
    <x v="1"/>
    <x v="3"/>
    <x v="3"/>
    <x v="190"/>
    <x v="164"/>
    <x v="164"/>
    <s v="CHARGES"/>
    <x v="0"/>
    <s v="3221.002"/>
    <s v="Intérêts compensatoires / créances en faveur ctb."/>
    <n v="2.15"/>
    <n v="0"/>
    <n v="3221"/>
  </r>
  <r>
    <x v="1"/>
    <x v="3"/>
    <x v="3"/>
    <x v="190"/>
    <x v="164"/>
    <x v="164"/>
    <s v="CHARGES"/>
    <x v="0"/>
    <s v="3212.002"/>
    <s v="Intérêts bonifiés/trop perçu acompte C/C"/>
    <n v="0.03"/>
    <n v="0"/>
    <n v="3212"/>
  </r>
  <r>
    <x v="1"/>
    <x v="3"/>
    <x v="3"/>
    <x v="190"/>
    <x v="164"/>
    <x v="164"/>
    <s v="CHARGES"/>
    <x v="1"/>
    <s v="3301.006"/>
    <s v="Abandon de solde PM"/>
    <n v="9.82"/>
    <n v="0"/>
    <n v="3301"/>
  </r>
  <r>
    <x v="1"/>
    <x v="3"/>
    <x v="3"/>
    <x v="190"/>
    <x v="164"/>
    <x v="164"/>
    <s v="REVENUS"/>
    <x v="17"/>
    <s v="4011.007"/>
    <s v="Acompte sur bénéfice"/>
    <n v="0"/>
    <n v="-8499.75"/>
    <n v="4011"/>
  </r>
  <r>
    <x v="1"/>
    <x v="3"/>
    <x v="3"/>
    <x v="190"/>
    <x v="164"/>
    <x v="164"/>
    <s v="REVENUS"/>
    <x v="16"/>
    <s v="4012.001"/>
    <s v="Impôt capital ordinaire"/>
    <n v="0"/>
    <n v="19.2"/>
    <n v="4012"/>
  </r>
  <r>
    <x v="1"/>
    <x v="3"/>
    <x v="3"/>
    <x v="190"/>
    <x v="164"/>
    <x v="164"/>
    <s v="REVENUS"/>
    <x v="17"/>
    <s v="4011.002"/>
    <s v="Complément impôt bénéfice ordinaire"/>
    <n v="0"/>
    <n v="607.9"/>
    <n v="4011"/>
  </r>
  <r>
    <x v="1"/>
    <x v="3"/>
    <x v="3"/>
    <x v="190"/>
    <x v="164"/>
    <x v="164"/>
    <s v="REVENUS"/>
    <x v="17"/>
    <s v="4011.001"/>
    <s v="Impôt bénéfice ordinaire"/>
    <n v="0"/>
    <n v="11335.5"/>
    <n v="4011"/>
  </r>
  <r>
    <x v="1"/>
    <x v="3"/>
    <x v="3"/>
    <x v="190"/>
    <x v="164"/>
    <x v="164"/>
    <s v="REVENUS"/>
    <x v="16"/>
    <s v="4012.007"/>
    <s v="Acompte sur capital"/>
    <n v="0"/>
    <n v="14.35"/>
    <n v="4012"/>
  </r>
  <r>
    <x v="1"/>
    <x v="3"/>
    <x v="3"/>
    <x v="190"/>
    <x v="164"/>
    <x v="164"/>
    <s v="REVENUS"/>
    <x v="6"/>
    <s v="4211.002"/>
    <s v="Intérêts de retard sur acomptes"/>
    <n v="0"/>
    <n v="1.54"/>
    <n v="4211"/>
  </r>
  <r>
    <x v="1"/>
    <x v="3"/>
    <x v="3"/>
    <x v="190"/>
    <x v="164"/>
    <x v="164"/>
    <s v="REVENUS"/>
    <x v="18"/>
    <s v="4013.001"/>
    <s v="Impôt complémentaire sur immeubles"/>
    <n v="0"/>
    <n v="223.5"/>
    <n v="4013"/>
  </r>
  <r>
    <x v="1"/>
    <x v="3"/>
    <x v="3"/>
    <x v="191"/>
    <x v="159"/>
    <x v="159"/>
    <s v="CHARGES"/>
    <x v="0"/>
    <s v="3212.002"/>
    <s v="Intérêts bonifiés/trop perçu acompte C/C"/>
    <n v="0.02"/>
    <n v="0"/>
    <n v="3212"/>
  </r>
  <r>
    <x v="1"/>
    <x v="3"/>
    <x v="3"/>
    <x v="191"/>
    <x v="159"/>
    <x v="159"/>
    <s v="CHARGES"/>
    <x v="0"/>
    <s v="3212.004"/>
    <s v="Intérêts rémun./perçu trop tôt sur acomptes C/C"/>
    <n v="0.09"/>
    <n v="0"/>
    <n v="3212"/>
  </r>
  <r>
    <x v="1"/>
    <x v="3"/>
    <x v="3"/>
    <x v="191"/>
    <x v="159"/>
    <x v="159"/>
    <s v="CHARGES"/>
    <x v="0"/>
    <s v="3221.002"/>
    <s v="Intérêts compensatoires / créances en faveur ctb."/>
    <n v="0.49"/>
    <n v="0"/>
    <n v="3221"/>
  </r>
  <r>
    <x v="1"/>
    <x v="3"/>
    <x v="3"/>
    <x v="191"/>
    <x v="159"/>
    <x v="159"/>
    <s v="REVENUS"/>
    <x v="17"/>
    <s v="4011.002"/>
    <s v="Complément impôt bénéfice ordinaire"/>
    <n v="0"/>
    <n v="405.1"/>
    <n v="4011"/>
  </r>
  <r>
    <x v="1"/>
    <x v="3"/>
    <x v="3"/>
    <x v="191"/>
    <x v="159"/>
    <x v="159"/>
    <s v="REVENUS"/>
    <x v="17"/>
    <s v="4011.001"/>
    <s v="Impôt bénéfice ordinaire"/>
    <n v="0"/>
    <n v="-176.05"/>
    <n v="4011"/>
  </r>
  <r>
    <x v="1"/>
    <x v="3"/>
    <x v="3"/>
    <x v="191"/>
    <x v="159"/>
    <x v="159"/>
    <s v="REVENUS"/>
    <x v="17"/>
    <s v="4011.007"/>
    <s v="Acompte sur bénéfice"/>
    <n v="0"/>
    <n v="-244.4"/>
    <n v="4011"/>
  </r>
  <r>
    <x v="1"/>
    <x v="3"/>
    <x v="3"/>
    <x v="191"/>
    <x v="159"/>
    <x v="159"/>
    <s v="REVENUS"/>
    <x v="6"/>
    <s v="4211.002"/>
    <s v="Intérêts de retard sur acomptes"/>
    <n v="0"/>
    <n v="0.51"/>
    <n v="4211"/>
  </r>
  <r>
    <x v="1"/>
    <x v="3"/>
    <x v="3"/>
    <x v="192"/>
    <x v="165"/>
    <x v="165"/>
    <s v="CHARGES"/>
    <x v="0"/>
    <s v="3212.002"/>
    <s v="Intérêts bonifiés/trop perçu acompte C/C"/>
    <n v="0.01"/>
    <n v="0"/>
    <n v="3212"/>
  </r>
  <r>
    <x v="1"/>
    <x v="3"/>
    <x v="3"/>
    <x v="192"/>
    <x v="165"/>
    <x v="165"/>
    <s v="CHARGES"/>
    <x v="0"/>
    <s v="3212.004"/>
    <s v="Intérêts rémun./perçu trop tôt sur acomptes C/C"/>
    <n v="1.71"/>
    <n v="0"/>
    <n v="3212"/>
  </r>
  <r>
    <x v="1"/>
    <x v="3"/>
    <x v="3"/>
    <x v="192"/>
    <x v="165"/>
    <x v="165"/>
    <s v="CHARGES"/>
    <x v="0"/>
    <s v="3221.002"/>
    <s v="Intérêts compensatoires / créances en faveur ctb."/>
    <n v="2.46"/>
    <n v="0"/>
    <n v="3221"/>
  </r>
  <r>
    <x v="1"/>
    <x v="3"/>
    <x v="3"/>
    <x v="192"/>
    <x v="165"/>
    <x v="165"/>
    <s v="CHARGES"/>
    <x v="1"/>
    <s v="3301.006"/>
    <s v="Abandon de solde PM"/>
    <n v="6.44"/>
    <n v="0"/>
    <n v="3301"/>
  </r>
  <r>
    <x v="1"/>
    <x v="3"/>
    <x v="3"/>
    <x v="192"/>
    <x v="165"/>
    <x v="165"/>
    <s v="REVENUS"/>
    <x v="6"/>
    <s v="4211.001"/>
    <s v="Intérêts de retard sur factures"/>
    <n v="0"/>
    <n v="9.1300000000000008"/>
    <n v="4211"/>
  </r>
  <r>
    <x v="1"/>
    <x v="3"/>
    <x v="3"/>
    <x v="192"/>
    <x v="165"/>
    <x v="165"/>
    <s v="REVENUS"/>
    <x v="17"/>
    <s v="4011.002"/>
    <s v="Complément impôt bénéfice ordinaire"/>
    <n v="0"/>
    <n v="249.4"/>
    <n v="4011"/>
  </r>
  <r>
    <x v="1"/>
    <x v="3"/>
    <x v="3"/>
    <x v="192"/>
    <x v="165"/>
    <x v="165"/>
    <s v="REVENUS"/>
    <x v="17"/>
    <s v="4011.001"/>
    <s v="Impôt bénéfice ordinaire"/>
    <n v="0"/>
    <n v="3320.45"/>
    <n v="4011"/>
  </r>
  <r>
    <x v="1"/>
    <x v="3"/>
    <x v="3"/>
    <x v="192"/>
    <x v="165"/>
    <x v="165"/>
    <s v="REVENUS"/>
    <x v="16"/>
    <s v="4012.001"/>
    <s v="Impôt capital ordinaire"/>
    <n v="0"/>
    <n v="579.4"/>
    <n v="4012"/>
  </r>
  <r>
    <x v="1"/>
    <x v="3"/>
    <x v="3"/>
    <x v="192"/>
    <x v="165"/>
    <x v="165"/>
    <s v="REVENUS"/>
    <x v="16"/>
    <s v="4012.007"/>
    <s v="Acompte sur capital"/>
    <n v="0"/>
    <n v="-23.65"/>
    <n v="4012"/>
  </r>
  <r>
    <x v="1"/>
    <x v="3"/>
    <x v="3"/>
    <x v="192"/>
    <x v="165"/>
    <x v="165"/>
    <s v="REVENUS"/>
    <x v="17"/>
    <s v="4011.007"/>
    <s v="Acompte sur bénéfice"/>
    <n v="0"/>
    <n v="-1690.2"/>
    <n v="4011"/>
  </r>
  <r>
    <x v="1"/>
    <x v="3"/>
    <x v="3"/>
    <x v="192"/>
    <x v="165"/>
    <x v="165"/>
    <s v="REVENUS"/>
    <x v="6"/>
    <s v="4211.002"/>
    <s v="Intérêts de retard sur acomptes"/>
    <n v="0"/>
    <n v="69.760000000000005"/>
    <n v="4211"/>
  </r>
  <r>
    <x v="1"/>
    <x v="3"/>
    <x v="3"/>
    <x v="192"/>
    <x v="165"/>
    <x v="165"/>
    <s v="REVENUS"/>
    <x v="6"/>
    <s v="4221.001"/>
    <s v="Intérêts compensat. / créances en faveur du fisc"/>
    <n v="0"/>
    <n v="0.67"/>
    <n v="4221"/>
  </r>
  <r>
    <x v="1"/>
    <x v="3"/>
    <x v="3"/>
    <x v="192"/>
    <x v="165"/>
    <x v="165"/>
    <s v="REVENUS"/>
    <x v="18"/>
    <s v="4013.001"/>
    <s v="Impôt complémentaire sur immeubles"/>
    <n v="0"/>
    <n v="408"/>
    <n v="4013"/>
  </r>
  <r>
    <x v="1"/>
    <x v="3"/>
    <x v="3"/>
    <x v="192"/>
    <x v="165"/>
    <x v="165"/>
    <s v="REVENUS"/>
    <x v="16"/>
    <s v="4012.002"/>
    <s v="Complément impôt capital ordinaire"/>
    <n v="0"/>
    <n v="0.45"/>
    <n v="4012"/>
  </r>
  <r>
    <x v="1"/>
    <x v="3"/>
    <x v="3"/>
    <x v="192"/>
    <x v="165"/>
    <x v="165"/>
    <s v="REVENUS"/>
    <x v="7"/>
    <s v="4184.000"/>
    <s v="Frais de poursuite"/>
    <n v="0"/>
    <n v="23.95"/>
    <n v="4184"/>
  </r>
  <r>
    <x v="1"/>
    <x v="3"/>
    <x v="3"/>
    <x v="193"/>
    <x v="166"/>
    <x v="166"/>
    <s v="CHARGES"/>
    <x v="1"/>
    <s v="3301.006"/>
    <s v="Abandon de solde PM"/>
    <n v="0.63"/>
    <n v="0"/>
    <n v="3301"/>
  </r>
  <r>
    <x v="1"/>
    <x v="3"/>
    <x v="3"/>
    <x v="193"/>
    <x v="166"/>
    <x v="166"/>
    <s v="CHARGES"/>
    <x v="0"/>
    <s v="3212.004"/>
    <s v="Intérêts rémun./perçu trop tôt sur acomptes C/C"/>
    <n v="0.09"/>
    <n v="0"/>
    <n v="3212"/>
  </r>
  <r>
    <x v="1"/>
    <x v="3"/>
    <x v="3"/>
    <x v="193"/>
    <x v="166"/>
    <x v="166"/>
    <s v="CHARGES"/>
    <x v="0"/>
    <s v="3221.002"/>
    <s v="Intérêts compensatoires / créances en faveur ctb."/>
    <n v="0.39"/>
    <n v="0"/>
    <n v="3221"/>
  </r>
  <r>
    <x v="1"/>
    <x v="3"/>
    <x v="3"/>
    <x v="193"/>
    <x v="166"/>
    <x v="166"/>
    <s v="REVENUS"/>
    <x v="16"/>
    <s v="4012.001"/>
    <s v="Impôt capital ordinaire"/>
    <n v="0"/>
    <n v="102.85"/>
    <n v="4012"/>
  </r>
  <r>
    <x v="1"/>
    <x v="3"/>
    <x v="3"/>
    <x v="193"/>
    <x v="166"/>
    <x v="166"/>
    <s v="REVENUS"/>
    <x v="17"/>
    <s v="4011.007"/>
    <s v="Acompte sur bénéfice"/>
    <n v="0"/>
    <n v="-703.5"/>
    <n v="4011"/>
  </r>
  <r>
    <x v="1"/>
    <x v="3"/>
    <x v="3"/>
    <x v="193"/>
    <x v="166"/>
    <x v="166"/>
    <s v="REVENUS"/>
    <x v="16"/>
    <s v="4012.007"/>
    <s v="Acompte sur capital"/>
    <n v="0"/>
    <n v="56.75"/>
    <n v="4012"/>
  </r>
  <r>
    <x v="1"/>
    <x v="3"/>
    <x v="3"/>
    <x v="193"/>
    <x v="166"/>
    <x v="166"/>
    <s v="REVENUS"/>
    <x v="17"/>
    <s v="4011.001"/>
    <s v="Impôt bénéfice ordinaire"/>
    <n v="0"/>
    <n v="801.1"/>
    <n v="4011"/>
  </r>
  <r>
    <x v="1"/>
    <x v="3"/>
    <x v="3"/>
    <x v="193"/>
    <x v="166"/>
    <x v="166"/>
    <s v="REVENUS"/>
    <x v="6"/>
    <s v="4221.001"/>
    <s v="Intérêts compensat. / créances en faveur du fisc"/>
    <n v="0"/>
    <n v="7.0000000000000007E-2"/>
    <n v="4221"/>
  </r>
  <r>
    <x v="1"/>
    <x v="3"/>
    <x v="3"/>
    <x v="193"/>
    <x v="166"/>
    <x v="166"/>
    <s v="REVENUS"/>
    <x v="6"/>
    <s v="4211.002"/>
    <s v="Intérêts de retard sur acomptes"/>
    <n v="0"/>
    <n v="0.49"/>
    <n v="4211"/>
  </r>
  <r>
    <x v="1"/>
    <x v="3"/>
    <x v="3"/>
    <x v="193"/>
    <x v="166"/>
    <x v="166"/>
    <s v="REVENUS"/>
    <x v="18"/>
    <s v="4013.001"/>
    <s v="Impôt complémentaire sur immeubles"/>
    <n v="0"/>
    <n v="64.099999999999994"/>
    <n v="4013"/>
  </r>
  <r>
    <x v="1"/>
    <x v="3"/>
    <x v="3"/>
    <x v="194"/>
    <x v="159"/>
    <x v="159"/>
    <s v="CHARGES"/>
    <x v="1"/>
    <s v="3301.006"/>
    <s v="Abandon de solde PM"/>
    <n v="100.05"/>
    <n v="0"/>
    <n v="3301"/>
  </r>
  <r>
    <x v="1"/>
    <x v="3"/>
    <x v="3"/>
    <x v="194"/>
    <x v="159"/>
    <x v="159"/>
    <s v="CHARGES"/>
    <x v="0"/>
    <s v="3212.002"/>
    <s v="Intérêts bonifiés/trop perçu acompte C/C"/>
    <n v="3.53"/>
    <n v="0"/>
    <n v="3212"/>
  </r>
  <r>
    <x v="1"/>
    <x v="3"/>
    <x v="3"/>
    <x v="194"/>
    <x v="159"/>
    <x v="159"/>
    <s v="CHARGES"/>
    <x v="0"/>
    <s v="3221.002"/>
    <s v="Intérêts compensatoires / créances en faveur ctb."/>
    <n v="775.02"/>
    <n v="0"/>
    <n v="3221"/>
  </r>
  <r>
    <x v="1"/>
    <x v="3"/>
    <x v="3"/>
    <x v="194"/>
    <x v="159"/>
    <x v="159"/>
    <s v="CHARGES"/>
    <x v="0"/>
    <s v="3212.004"/>
    <s v="Intérêts rémun./perçu trop tôt sur acomptes C/C"/>
    <n v="837.59"/>
    <n v="0"/>
    <n v="3212"/>
  </r>
  <r>
    <x v="1"/>
    <x v="3"/>
    <x v="3"/>
    <x v="194"/>
    <x v="159"/>
    <x v="159"/>
    <s v="CHARGES"/>
    <x v="1"/>
    <s v="3301.002"/>
    <s v="Défalcation PM"/>
    <n v="2650.02"/>
    <n v="0"/>
    <n v="3301"/>
  </r>
  <r>
    <x v="1"/>
    <x v="3"/>
    <x v="3"/>
    <x v="194"/>
    <x v="159"/>
    <x v="159"/>
    <s v="REVENUS"/>
    <x v="18"/>
    <s v="4013.001"/>
    <s v="Impôt complémentaire sur immeubles"/>
    <n v="0"/>
    <n v="79154.100000000006"/>
    <n v="4013"/>
  </r>
  <r>
    <x v="1"/>
    <x v="3"/>
    <x v="3"/>
    <x v="194"/>
    <x v="159"/>
    <x v="159"/>
    <s v="REVENUS"/>
    <x v="17"/>
    <s v="4011.001"/>
    <s v="Impôt bénéfice ordinaire"/>
    <n v="0"/>
    <n v="703512.55"/>
    <n v="4011"/>
  </r>
  <r>
    <x v="1"/>
    <x v="3"/>
    <x v="3"/>
    <x v="194"/>
    <x v="159"/>
    <x v="159"/>
    <s v="REVENUS"/>
    <x v="17"/>
    <s v="4011.007"/>
    <s v="Acompte sur bénéfice"/>
    <n v="0"/>
    <n v="-102011.9"/>
    <n v="4011"/>
  </r>
  <r>
    <x v="1"/>
    <x v="3"/>
    <x v="3"/>
    <x v="194"/>
    <x v="159"/>
    <x v="159"/>
    <s v="REVENUS"/>
    <x v="16"/>
    <s v="4012.001"/>
    <s v="Impôt capital ordinaire"/>
    <n v="0"/>
    <n v="11682"/>
    <n v="4012"/>
  </r>
  <r>
    <x v="1"/>
    <x v="3"/>
    <x v="3"/>
    <x v="194"/>
    <x v="159"/>
    <x v="159"/>
    <s v="REVENUS"/>
    <x v="6"/>
    <s v="4211.002"/>
    <s v="Intérêts de retard sur acomptes"/>
    <n v="0"/>
    <n v="527.02"/>
    <n v="4211"/>
  </r>
  <r>
    <x v="1"/>
    <x v="3"/>
    <x v="3"/>
    <x v="194"/>
    <x v="159"/>
    <x v="159"/>
    <s v="REVENUS"/>
    <x v="6"/>
    <s v="4221.001"/>
    <s v="Intérêts compensat. / créances en faveur du fisc"/>
    <n v="0"/>
    <n v="190.93"/>
    <n v="4221"/>
  </r>
  <r>
    <x v="1"/>
    <x v="3"/>
    <x v="3"/>
    <x v="194"/>
    <x v="159"/>
    <x v="159"/>
    <s v="REVENUS"/>
    <x v="16"/>
    <s v="4012.007"/>
    <s v="Acompte sur capital"/>
    <n v="0"/>
    <n v="1285.4000000000001"/>
    <n v="4012"/>
  </r>
  <r>
    <x v="1"/>
    <x v="3"/>
    <x v="3"/>
    <x v="194"/>
    <x v="159"/>
    <x v="159"/>
    <s v="REVENUS"/>
    <x v="11"/>
    <s v="4198.001"/>
    <s v="Impôt foncier"/>
    <n v="0"/>
    <n v="273549.84999999998"/>
    <n v="4198"/>
  </r>
  <r>
    <x v="1"/>
    <x v="3"/>
    <x v="3"/>
    <x v="194"/>
    <x v="159"/>
    <x v="159"/>
    <s v="REVENUS"/>
    <x v="17"/>
    <s v="4011.002"/>
    <s v="Complément impôt bénéfice ordinaire"/>
    <n v="0"/>
    <n v="10908.65"/>
    <n v="4011"/>
  </r>
  <r>
    <x v="1"/>
    <x v="3"/>
    <x v="3"/>
    <x v="194"/>
    <x v="159"/>
    <x v="159"/>
    <s v="REVENUS"/>
    <x v="6"/>
    <s v="4211.001"/>
    <s v="Intérêts de retard sur factures"/>
    <n v="0"/>
    <n v="260.72000000000003"/>
    <n v="4211"/>
  </r>
  <r>
    <x v="1"/>
    <x v="3"/>
    <x v="3"/>
    <x v="194"/>
    <x v="159"/>
    <x v="159"/>
    <s v="REVENUS"/>
    <x v="7"/>
    <s v="4184.000"/>
    <s v="Frais de poursuite"/>
    <n v="0"/>
    <n v="286.33999999999997"/>
    <n v="4184"/>
  </r>
  <r>
    <x v="1"/>
    <x v="3"/>
    <x v="3"/>
    <x v="194"/>
    <x v="159"/>
    <x v="159"/>
    <s v="REVENUS"/>
    <x v="16"/>
    <s v="4012.002"/>
    <s v="Complément impôt capital ordinaire"/>
    <n v="0"/>
    <n v="42.5"/>
    <n v="4012"/>
  </r>
  <r>
    <x v="1"/>
    <x v="3"/>
    <x v="3"/>
    <x v="194"/>
    <x v="159"/>
    <x v="159"/>
    <s v="REVENUS"/>
    <x v="18"/>
    <s v="4013.002"/>
    <s v="Complément impôt complémentaire sur immeubles"/>
    <n v="0"/>
    <n v="855.5"/>
    <n v="4013"/>
  </r>
  <r>
    <x v="1"/>
    <x v="3"/>
    <x v="3"/>
    <x v="194"/>
    <x v="159"/>
    <x v="159"/>
    <s v="REVENUS"/>
    <x v="18"/>
    <s v="4013.003"/>
    <s v="Remboursement impôt complémentaire sur immeubles"/>
    <n v="0"/>
    <n v="-117598.9"/>
    <n v="4013"/>
  </r>
  <r>
    <x v="1"/>
    <x v="3"/>
    <x v="3"/>
    <x v="194"/>
    <x v="159"/>
    <x v="159"/>
    <s v="REVENUS"/>
    <x v="10"/>
    <s v="4041.001"/>
    <s v="Droits de mutation"/>
    <n v="0"/>
    <n v="66000"/>
    <n v="4041"/>
  </r>
  <r>
    <x v="1"/>
    <x v="4"/>
    <x v="4"/>
    <x v="196"/>
    <x v="88"/>
    <x v="88"/>
    <s v="REVENUS"/>
    <x v="17"/>
    <s v="4011.002"/>
    <s v="Complément impôt bénéfice ordinaire"/>
    <n v="0"/>
    <n v="64.599999999999994"/>
    <n v="4011"/>
  </r>
  <r>
    <x v="1"/>
    <x v="4"/>
    <x v="4"/>
    <x v="196"/>
    <x v="88"/>
    <x v="88"/>
    <s v="REVENUS"/>
    <x v="17"/>
    <s v="4011.001"/>
    <s v="Impôt bénéfice ordinaire"/>
    <n v="0"/>
    <n v="-64.599999999999994"/>
    <n v="4011"/>
  </r>
  <r>
    <x v="1"/>
    <x v="3"/>
    <x v="3"/>
    <x v="197"/>
    <x v="167"/>
    <x v="167"/>
    <s v="CHARGES"/>
    <x v="0"/>
    <s v="3212.002"/>
    <s v="Intérêts bonifiés/trop perçu acompte C/C"/>
    <n v="4.28"/>
    <n v="0"/>
    <n v="3212"/>
  </r>
  <r>
    <x v="1"/>
    <x v="3"/>
    <x v="3"/>
    <x v="197"/>
    <x v="167"/>
    <x v="167"/>
    <s v="CHARGES"/>
    <x v="0"/>
    <s v="3221.002"/>
    <s v="Intérêts compensatoires / créances en faveur ctb."/>
    <n v="269.3"/>
    <n v="0"/>
    <n v="3221"/>
  </r>
  <r>
    <x v="1"/>
    <x v="3"/>
    <x v="3"/>
    <x v="197"/>
    <x v="167"/>
    <x v="167"/>
    <s v="CHARGES"/>
    <x v="1"/>
    <s v="3301.006"/>
    <s v="Abandon de solde PM"/>
    <n v="206.21"/>
    <n v="0"/>
    <n v="3301"/>
  </r>
  <r>
    <x v="1"/>
    <x v="3"/>
    <x v="3"/>
    <x v="197"/>
    <x v="167"/>
    <x v="167"/>
    <s v="CHARGES"/>
    <x v="0"/>
    <s v="3212.004"/>
    <s v="Intérêts rémun./perçu trop tôt sur acomptes C/C"/>
    <n v="483.26"/>
    <n v="0"/>
    <n v="3212"/>
  </r>
  <r>
    <x v="1"/>
    <x v="3"/>
    <x v="3"/>
    <x v="197"/>
    <x v="167"/>
    <x v="167"/>
    <s v="CHARGES"/>
    <x v="1"/>
    <s v="3301.002"/>
    <s v="Défalcation PM"/>
    <n v="4887.9799999999996"/>
    <n v="0"/>
    <n v="3301"/>
  </r>
  <r>
    <x v="1"/>
    <x v="3"/>
    <x v="3"/>
    <x v="197"/>
    <x v="167"/>
    <x v="167"/>
    <s v="REVENUS"/>
    <x v="6"/>
    <s v="4211.001"/>
    <s v="Intérêts de retard sur factures"/>
    <n v="0"/>
    <n v="1273.8800000000001"/>
    <n v="4211"/>
  </r>
  <r>
    <x v="1"/>
    <x v="3"/>
    <x v="3"/>
    <x v="197"/>
    <x v="167"/>
    <x v="167"/>
    <s v="REVENUS"/>
    <x v="7"/>
    <s v="4184.000"/>
    <s v="Frais de poursuite"/>
    <n v="0"/>
    <n v="777.09"/>
    <n v="4184"/>
  </r>
  <r>
    <x v="1"/>
    <x v="3"/>
    <x v="3"/>
    <x v="197"/>
    <x v="167"/>
    <x v="167"/>
    <s v="REVENUS"/>
    <x v="18"/>
    <s v="4013.001"/>
    <s v="Impôt complémentaire sur immeubles"/>
    <n v="0"/>
    <n v="79778.8"/>
    <n v="4013"/>
  </r>
  <r>
    <x v="1"/>
    <x v="3"/>
    <x v="3"/>
    <x v="197"/>
    <x v="167"/>
    <x v="167"/>
    <s v="REVENUS"/>
    <x v="17"/>
    <s v="4011.001"/>
    <s v="Impôt bénéfice ordinaire"/>
    <n v="0"/>
    <n v="568147.19999999995"/>
    <n v="4011"/>
  </r>
  <r>
    <x v="1"/>
    <x v="3"/>
    <x v="3"/>
    <x v="197"/>
    <x v="167"/>
    <x v="167"/>
    <s v="REVENUS"/>
    <x v="17"/>
    <s v="4011.002"/>
    <s v="Complément impôt bénéfice ordinaire"/>
    <n v="0"/>
    <n v="23155.75"/>
    <n v="4011"/>
  </r>
  <r>
    <x v="1"/>
    <x v="3"/>
    <x v="3"/>
    <x v="197"/>
    <x v="167"/>
    <x v="167"/>
    <s v="REVENUS"/>
    <x v="16"/>
    <s v="4012.007"/>
    <s v="Acompte sur capital"/>
    <n v="0"/>
    <n v="10741.25"/>
    <n v="4012"/>
  </r>
  <r>
    <x v="1"/>
    <x v="3"/>
    <x v="3"/>
    <x v="197"/>
    <x v="167"/>
    <x v="167"/>
    <s v="REVENUS"/>
    <x v="6"/>
    <s v="4221.001"/>
    <s v="Intérêts compensat. / créances en faveur du fisc"/>
    <n v="0"/>
    <n v="117.35"/>
    <n v="4221"/>
  </r>
  <r>
    <x v="1"/>
    <x v="3"/>
    <x v="3"/>
    <x v="197"/>
    <x v="167"/>
    <x v="167"/>
    <s v="REVENUS"/>
    <x v="16"/>
    <s v="4012.001"/>
    <s v="Impôt capital ordinaire"/>
    <n v="0"/>
    <n v="11024.9"/>
    <n v="4012"/>
  </r>
  <r>
    <x v="1"/>
    <x v="3"/>
    <x v="3"/>
    <x v="197"/>
    <x v="167"/>
    <x v="167"/>
    <s v="REVENUS"/>
    <x v="9"/>
    <s v="4031.001"/>
    <s v="Impôt sur les gains immobiliers"/>
    <n v="0"/>
    <n v="42441.55"/>
    <n v="4031"/>
  </r>
  <r>
    <x v="1"/>
    <x v="3"/>
    <x v="3"/>
    <x v="197"/>
    <x v="167"/>
    <x v="167"/>
    <s v="REVENUS"/>
    <x v="6"/>
    <s v="4211.002"/>
    <s v="Intérêts de retard sur acomptes"/>
    <n v="0"/>
    <n v="1795.69"/>
    <n v="4211"/>
  </r>
  <r>
    <x v="1"/>
    <x v="3"/>
    <x v="3"/>
    <x v="197"/>
    <x v="167"/>
    <x v="167"/>
    <s v="REVENUS"/>
    <x v="17"/>
    <s v="4011.007"/>
    <s v="Acompte sur bénéfice"/>
    <n v="0"/>
    <n v="-268860.25"/>
    <n v="4011"/>
  </r>
  <r>
    <x v="1"/>
    <x v="3"/>
    <x v="3"/>
    <x v="197"/>
    <x v="167"/>
    <x v="167"/>
    <s v="REVENUS"/>
    <x v="18"/>
    <s v="4013.003"/>
    <s v="Remboursement impôt complémentaire sur immeubles"/>
    <n v="0"/>
    <n v="-11678.1"/>
    <n v="4013"/>
  </r>
  <r>
    <x v="1"/>
    <x v="3"/>
    <x v="3"/>
    <x v="197"/>
    <x v="167"/>
    <x v="167"/>
    <s v="REVENUS"/>
    <x v="10"/>
    <s v="4041.001"/>
    <s v="Droits de mutation"/>
    <n v="0"/>
    <n v="259050"/>
    <n v="4041"/>
  </r>
  <r>
    <x v="1"/>
    <x v="3"/>
    <x v="3"/>
    <x v="197"/>
    <x v="167"/>
    <x v="167"/>
    <s v="REVENUS"/>
    <x v="18"/>
    <s v="4013.002"/>
    <s v="Complément impôt complémentaire sur immeubles"/>
    <n v="0"/>
    <n v="132"/>
    <n v="4013"/>
  </r>
  <r>
    <x v="1"/>
    <x v="3"/>
    <x v="3"/>
    <x v="197"/>
    <x v="167"/>
    <x v="167"/>
    <s v="REVENUS"/>
    <x v="16"/>
    <s v="4012.002"/>
    <s v="Complément impôt capital ordinaire"/>
    <n v="0"/>
    <n v="100.2"/>
    <n v="4012"/>
  </r>
  <r>
    <x v="1"/>
    <x v="4"/>
    <x v="4"/>
    <x v="198"/>
    <x v="168"/>
    <x v="168"/>
    <s v="CHARGES"/>
    <x v="0"/>
    <s v="3212.002"/>
    <s v="Intérêts bonifiés/trop perçu acompte C/C"/>
    <n v="0.02"/>
    <n v="0"/>
    <n v="3212"/>
  </r>
  <r>
    <x v="1"/>
    <x v="4"/>
    <x v="4"/>
    <x v="198"/>
    <x v="168"/>
    <x v="168"/>
    <s v="CHARGES"/>
    <x v="0"/>
    <s v="3212.004"/>
    <s v="Intérêts rémun./perçu trop tôt sur acomptes C/C"/>
    <n v="0.94"/>
    <n v="0"/>
    <n v="3212"/>
  </r>
  <r>
    <x v="1"/>
    <x v="4"/>
    <x v="4"/>
    <x v="198"/>
    <x v="168"/>
    <x v="168"/>
    <s v="CHARGES"/>
    <x v="0"/>
    <s v="3221.002"/>
    <s v="Intérêts compensatoires / créances en faveur ctb."/>
    <n v="1.58"/>
    <n v="0"/>
    <n v="3221"/>
  </r>
  <r>
    <x v="1"/>
    <x v="4"/>
    <x v="4"/>
    <x v="198"/>
    <x v="168"/>
    <x v="168"/>
    <s v="CHARGES"/>
    <x v="1"/>
    <s v="3301.006"/>
    <s v="Abandon de solde PM"/>
    <n v="9.84"/>
    <n v="0"/>
    <n v="3301"/>
  </r>
  <r>
    <x v="1"/>
    <x v="4"/>
    <x v="4"/>
    <x v="198"/>
    <x v="168"/>
    <x v="168"/>
    <s v="REVENUS"/>
    <x v="17"/>
    <s v="4011.001"/>
    <s v="Impôt bénéfice ordinaire"/>
    <n v="0"/>
    <n v="4602.1000000000004"/>
    <n v="4011"/>
  </r>
  <r>
    <x v="1"/>
    <x v="4"/>
    <x v="4"/>
    <x v="198"/>
    <x v="168"/>
    <x v="168"/>
    <s v="REVENUS"/>
    <x v="16"/>
    <s v="4012.007"/>
    <s v="Acompte sur capital"/>
    <n v="0"/>
    <n v="240.5"/>
    <n v="4012"/>
  </r>
  <r>
    <x v="1"/>
    <x v="4"/>
    <x v="4"/>
    <x v="198"/>
    <x v="168"/>
    <x v="168"/>
    <s v="REVENUS"/>
    <x v="6"/>
    <s v="4211.002"/>
    <s v="Intérêts de retard sur acomptes"/>
    <n v="0"/>
    <n v="1.54"/>
    <n v="4211"/>
  </r>
  <r>
    <x v="1"/>
    <x v="4"/>
    <x v="4"/>
    <x v="198"/>
    <x v="168"/>
    <x v="168"/>
    <s v="REVENUS"/>
    <x v="6"/>
    <s v="4221.001"/>
    <s v="Intérêts compensat. / créances en faveur du fisc"/>
    <n v="0"/>
    <n v="4.62"/>
    <n v="4221"/>
  </r>
  <r>
    <x v="1"/>
    <x v="4"/>
    <x v="4"/>
    <x v="198"/>
    <x v="168"/>
    <x v="168"/>
    <s v="REVENUS"/>
    <x v="17"/>
    <s v="4011.002"/>
    <s v="Complément impôt bénéfice ordinaire"/>
    <n v="0"/>
    <n v="405.1"/>
    <n v="4011"/>
  </r>
  <r>
    <x v="1"/>
    <x v="4"/>
    <x v="4"/>
    <x v="198"/>
    <x v="168"/>
    <x v="168"/>
    <s v="REVENUS"/>
    <x v="6"/>
    <s v="4211.001"/>
    <s v="Intérêts de retard sur factures"/>
    <n v="0"/>
    <n v="18.71"/>
    <n v="4211"/>
  </r>
  <r>
    <x v="1"/>
    <x v="4"/>
    <x v="4"/>
    <x v="198"/>
    <x v="168"/>
    <x v="168"/>
    <s v="REVENUS"/>
    <x v="17"/>
    <s v="4011.007"/>
    <s v="Acompte sur bénéfice"/>
    <n v="0"/>
    <n v="-2112.4499999999998"/>
    <n v="4011"/>
  </r>
  <r>
    <x v="1"/>
    <x v="4"/>
    <x v="4"/>
    <x v="198"/>
    <x v="168"/>
    <x v="168"/>
    <s v="REVENUS"/>
    <x v="16"/>
    <s v="4012.001"/>
    <s v="Impôt capital ordinaire"/>
    <n v="0"/>
    <n v="81.2"/>
    <n v="4012"/>
  </r>
  <r>
    <x v="1"/>
    <x v="4"/>
    <x v="4"/>
    <x v="198"/>
    <x v="168"/>
    <x v="168"/>
    <s v="REVENUS"/>
    <x v="7"/>
    <s v="4184.000"/>
    <s v="Frais de poursuite"/>
    <n v="0"/>
    <n v="6.81"/>
    <n v="4184"/>
  </r>
  <r>
    <x v="1"/>
    <x v="4"/>
    <x v="4"/>
    <x v="198"/>
    <x v="168"/>
    <x v="168"/>
    <s v="REVENUS"/>
    <x v="18"/>
    <s v="4013.001"/>
    <s v="Impôt complémentaire sur immeubles"/>
    <n v="0"/>
    <n v="625"/>
    <n v="4013"/>
  </r>
  <r>
    <x v="1"/>
    <x v="3"/>
    <x v="3"/>
    <x v="200"/>
    <x v="169"/>
    <x v="169"/>
    <s v="CHARGES"/>
    <x v="0"/>
    <s v="3212.004"/>
    <s v="Intérêts rémun./perçu trop tôt sur acomptes C/C"/>
    <n v="6.56"/>
    <n v="0"/>
    <n v="3212"/>
  </r>
  <r>
    <x v="1"/>
    <x v="3"/>
    <x v="3"/>
    <x v="200"/>
    <x v="169"/>
    <x v="169"/>
    <s v="CHARGES"/>
    <x v="0"/>
    <s v="3221.002"/>
    <s v="Intérêts compensatoires / créances en faveur ctb."/>
    <n v="9.65"/>
    <n v="0"/>
    <n v="3221"/>
  </r>
  <r>
    <x v="1"/>
    <x v="3"/>
    <x v="3"/>
    <x v="200"/>
    <x v="169"/>
    <x v="169"/>
    <s v="CHARGES"/>
    <x v="0"/>
    <s v="3212.002"/>
    <s v="Intérêts bonifiés/trop perçu acompte C/C"/>
    <n v="0.05"/>
    <n v="0"/>
    <n v="3212"/>
  </r>
  <r>
    <x v="1"/>
    <x v="3"/>
    <x v="3"/>
    <x v="200"/>
    <x v="169"/>
    <x v="169"/>
    <s v="REVENUS"/>
    <x v="17"/>
    <s v="4011.002"/>
    <s v="Complément impôt bénéfice ordinaire"/>
    <n v="0"/>
    <n v="1304.1500000000001"/>
    <n v="4011"/>
  </r>
  <r>
    <x v="1"/>
    <x v="3"/>
    <x v="3"/>
    <x v="200"/>
    <x v="169"/>
    <x v="169"/>
    <s v="REVENUS"/>
    <x v="17"/>
    <s v="4011.001"/>
    <s v="Impôt bénéfice ordinaire"/>
    <n v="0"/>
    <n v="1378.05"/>
    <n v="4011"/>
  </r>
  <r>
    <x v="1"/>
    <x v="3"/>
    <x v="3"/>
    <x v="200"/>
    <x v="169"/>
    <x v="169"/>
    <s v="REVENUS"/>
    <x v="17"/>
    <s v="4011.007"/>
    <s v="Acompte sur bénéfice"/>
    <n v="0"/>
    <n v="-6246.6"/>
    <n v="4011"/>
  </r>
  <r>
    <x v="1"/>
    <x v="3"/>
    <x v="3"/>
    <x v="200"/>
    <x v="169"/>
    <x v="169"/>
    <s v="REVENUS"/>
    <x v="16"/>
    <s v="4012.007"/>
    <s v="Acompte sur capital"/>
    <n v="0"/>
    <n v="512.85"/>
    <n v="4012"/>
  </r>
  <r>
    <x v="1"/>
    <x v="3"/>
    <x v="3"/>
    <x v="200"/>
    <x v="169"/>
    <x v="169"/>
    <s v="REVENUS"/>
    <x v="6"/>
    <s v="4211.002"/>
    <s v="Intérêts de retard sur acomptes"/>
    <n v="0"/>
    <n v="1.4"/>
    <n v="4211"/>
  </r>
  <r>
    <x v="1"/>
    <x v="3"/>
    <x v="3"/>
    <x v="200"/>
    <x v="169"/>
    <x v="169"/>
    <s v="REVENUS"/>
    <x v="16"/>
    <s v="4012.001"/>
    <s v="Impôt capital ordinaire"/>
    <n v="0"/>
    <n v="256.39999999999998"/>
    <n v="4012"/>
  </r>
  <r>
    <x v="1"/>
    <x v="3"/>
    <x v="3"/>
    <x v="200"/>
    <x v="169"/>
    <x v="169"/>
    <s v="REVENUS"/>
    <x v="18"/>
    <s v="4013.001"/>
    <s v="Impôt complémentaire sur immeubles"/>
    <n v="0"/>
    <n v="2220.5"/>
    <n v="4013"/>
  </r>
  <r>
    <x v="1"/>
    <x v="3"/>
    <x v="3"/>
    <x v="201"/>
    <x v="170"/>
    <x v="170"/>
    <s v="CHARGES"/>
    <x v="0"/>
    <s v="3212.004"/>
    <s v="Intérêts rémun./perçu trop tôt sur acomptes C/C"/>
    <n v="0.26"/>
    <n v="0"/>
    <n v="3212"/>
  </r>
  <r>
    <x v="1"/>
    <x v="3"/>
    <x v="3"/>
    <x v="201"/>
    <x v="170"/>
    <x v="170"/>
    <s v="CHARGES"/>
    <x v="0"/>
    <s v="3221.002"/>
    <s v="Intérêts compensatoires / créances en faveur ctb."/>
    <n v="0.28999999999999998"/>
    <n v="0"/>
    <n v="3221"/>
  </r>
  <r>
    <x v="1"/>
    <x v="3"/>
    <x v="3"/>
    <x v="201"/>
    <x v="170"/>
    <x v="170"/>
    <s v="CHARGES"/>
    <x v="1"/>
    <s v="3301.006"/>
    <s v="Abandon de solde PM"/>
    <n v="4.68"/>
    <n v="0"/>
    <n v="3301"/>
  </r>
  <r>
    <x v="1"/>
    <x v="3"/>
    <x v="3"/>
    <x v="201"/>
    <x v="170"/>
    <x v="170"/>
    <s v="REVENUS"/>
    <x v="17"/>
    <s v="4011.001"/>
    <s v="Impôt bénéfice ordinaire"/>
    <n v="0"/>
    <n v="302.14999999999998"/>
    <n v="4011"/>
  </r>
  <r>
    <x v="1"/>
    <x v="3"/>
    <x v="3"/>
    <x v="201"/>
    <x v="170"/>
    <x v="170"/>
    <s v="REVENUS"/>
    <x v="17"/>
    <s v="4011.007"/>
    <s v="Acompte sur bénéfice"/>
    <n v="0"/>
    <n v="-73.2"/>
    <n v="4011"/>
  </r>
  <r>
    <x v="1"/>
    <x v="3"/>
    <x v="3"/>
    <x v="201"/>
    <x v="170"/>
    <x v="170"/>
    <s v="REVENUS"/>
    <x v="16"/>
    <s v="4012.001"/>
    <s v="Impôt capital ordinaire"/>
    <n v="0"/>
    <n v="142.1"/>
    <n v="4012"/>
  </r>
  <r>
    <x v="1"/>
    <x v="3"/>
    <x v="3"/>
    <x v="201"/>
    <x v="170"/>
    <x v="170"/>
    <s v="REVENUS"/>
    <x v="16"/>
    <s v="4012.007"/>
    <s v="Acompte sur capital"/>
    <n v="0"/>
    <n v="-400.35"/>
    <n v="4012"/>
  </r>
  <r>
    <x v="1"/>
    <x v="3"/>
    <x v="3"/>
    <x v="201"/>
    <x v="170"/>
    <x v="170"/>
    <s v="REVENUS"/>
    <x v="6"/>
    <s v="4221.001"/>
    <s v="Intérêts compensat. / créances en faveur du fisc"/>
    <n v="0"/>
    <n v="0.13"/>
    <n v="4221"/>
  </r>
  <r>
    <x v="1"/>
    <x v="3"/>
    <x v="3"/>
    <x v="201"/>
    <x v="170"/>
    <x v="170"/>
    <s v="REVENUS"/>
    <x v="6"/>
    <s v="4211.002"/>
    <s v="Intérêts de retard sur acomptes"/>
    <n v="0"/>
    <n v="0.33"/>
    <n v="4211"/>
  </r>
  <r>
    <x v="1"/>
    <x v="4"/>
    <x v="4"/>
    <x v="371"/>
    <x v="161"/>
    <x v="161"/>
    <s v="CHARGES"/>
    <x v="0"/>
    <s v="3212.002"/>
    <s v="Intérêts bonifiés/trop perçu acompte C/C"/>
    <n v="0.02"/>
    <n v="0"/>
    <n v="3212"/>
  </r>
  <r>
    <x v="1"/>
    <x v="4"/>
    <x v="4"/>
    <x v="371"/>
    <x v="161"/>
    <x v="161"/>
    <s v="REVENUS"/>
    <x v="17"/>
    <s v="4011.002"/>
    <s v="Complément impôt bénéfice ordinaire"/>
    <n v="0"/>
    <n v="492.6"/>
    <n v="4011"/>
  </r>
  <r>
    <x v="1"/>
    <x v="4"/>
    <x v="4"/>
    <x v="371"/>
    <x v="161"/>
    <x v="161"/>
    <s v="REVENUS"/>
    <x v="17"/>
    <s v="4011.001"/>
    <s v="Impôt bénéfice ordinaire"/>
    <n v="0"/>
    <n v="-492.6"/>
    <n v="4011"/>
  </r>
  <r>
    <x v="1"/>
    <x v="3"/>
    <x v="3"/>
    <x v="202"/>
    <x v="159"/>
    <x v="159"/>
    <s v="CHARGES"/>
    <x v="0"/>
    <s v="3212.004"/>
    <s v="Intérêts rémun./perçu trop tôt sur acomptes C/C"/>
    <n v="0.05"/>
    <n v="0"/>
    <n v="3212"/>
  </r>
  <r>
    <x v="1"/>
    <x v="3"/>
    <x v="3"/>
    <x v="202"/>
    <x v="159"/>
    <x v="159"/>
    <s v="CHARGES"/>
    <x v="0"/>
    <s v="3221.002"/>
    <s v="Intérêts compensatoires / créances en faveur ctb."/>
    <n v="0.27"/>
    <n v="0"/>
    <n v="3221"/>
  </r>
  <r>
    <x v="1"/>
    <x v="3"/>
    <x v="3"/>
    <x v="202"/>
    <x v="159"/>
    <x v="159"/>
    <s v="REVENUS"/>
    <x v="17"/>
    <s v="4011.002"/>
    <s v="Complément impôt bénéfice ordinaire"/>
    <n v="0"/>
    <n v="62.3"/>
    <n v="4011"/>
  </r>
  <r>
    <x v="1"/>
    <x v="3"/>
    <x v="3"/>
    <x v="202"/>
    <x v="159"/>
    <x v="159"/>
    <s v="REVENUS"/>
    <x v="17"/>
    <s v="4011.001"/>
    <s v="Impôt bénéfice ordinaire"/>
    <n v="0"/>
    <n v="66.75"/>
    <n v="4011"/>
  </r>
  <r>
    <x v="1"/>
    <x v="3"/>
    <x v="3"/>
    <x v="202"/>
    <x v="159"/>
    <x v="159"/>
    <s v="REVENUS"/>
    <x v="17"/>
    <s v="4011.007"/>
    <s v="Acompte sur bénéfice"/>
    <n v="0"/>
    <n v="-126.95"/>
    <n v="4011"/>
  </r>
  <r>
    <x v="1"/>
    <x v="3"/>
    <x v="3"/>
    <x v="202"/>
    <x v="159"/>
    <x v="159"/>
    <s v="REVENUS"/>
    <x v="6"/>
    <s v="4211.002"/>
    <s v="Intérêts de retard sur acomptes"/>
    <n v="0"/>
    <n v="0.3"/>
    <n v="4211"/>
  </r>
  <r>
    <x v="1"/>
    <x v="4"/>
    <x v="4"/>
    <x v="372"/>
    <x v="88"/>
    <x v="88"/>
    <s v="CHARGES"/>
    <x v="0"/>
    <s v="3212.002"/>
    <s v="Intérêts bonifiés/trop perçu acompte C/C"/>
    <n v="0.04"/>
    <n v="0"/>
    <n v="3212"/>
  </r>
  <r>
    <x v="1"/>
    <x v="4"/>
    <x v="4"/>
    <x v="372"/>
    <x v="88"/>
    <x v="88"/>
    <s v="REVENUS"/>
    <x v="17"/>
    <s v="4011.002"/>
    <s v="Complément impôt bénéfice ordinaire"/>
    <n v="0"/>
    <n v="1065.9000000000001"/>
    <n v="4011"/>
  </r>
  <r>
    <x v="1"/>
    <x v="4"/>
    <x v="4"/>
    <x v="372"/>
    <x v="88"/>
    <x v="88"/>
    <s v="REVENUS"/>
    <x v="17"/>
    <s v="4011.001"/>
    <s v="Impôt bénéfice ordinaire"/>
    <n v="0"/>
    <n v="-1065.9000000000001"/>
    <n v="4011"/>
  </r>
  <r>
    <x v="1"/>
    <x v="3"/>
    <x v="3"/>
    <x v="373"/>
    <x v="313"/>
    <x v="313"/>
    <s v="CHARGES"/>
    <x v="0"/>
    <s v="3221.002"/>
    <s v="Intérêts compensatoires / créances en faveur ctb."/>
    <n v="1.23"/>
    <n v="0"/>
    <n v="3221"/>
  </r>
  <r>
    <x v="1"/>
    <x v="3"/>
    <x v="3"/>
    <x v="373"/>
    <x v="313"/>
    <x v="313"/>
    <s v="CHARGES"/>
    <x v="0"/>
    <s v="3212.004"/>
    <s v="Intérêts rémun./perçu trop tôt sur acomptes C/C"/>
    <n v="0.84"/>
    <n v="0"/>
    <n v="3212"/>
  </r>
  <r>
    <x v="1"/>
    <x v="3"/>
    <x v="3"/>
    <x v="373"/>
    <x v="313"/>
    <x v="313"/>
    <s v="CHARGES"/>
    <x v="0"/>
    <s v="3212.002"/>
    <s v="Intérêts bonifiés/trop perçu acompte C/C"/>
    <n v="0.04"/>
    <n v="0"/>
    <n v="3212"/>
  </r>
  <r>
    <x v="1"/>
    <x v="3"/>
    <x v="3"/>
    <x v="373"/>
    <x v="313"/>
    <x v="313"/>
    <s v="CHARGES"/>
    <x v="1"/>
    <s v="3301.006"/>
    <s v="Abandon de solde PM"/>
    <n v="4.87"/>
    <n v="0"/>
    <n v="3301"/>
  </r>
  <r>
    <x v="1"/>
    <x v="3"/>
    <x v="3"/>
    <x v="373"/>
    <x v="313"/>
    <x v="313"/>
    <s v="REVENUS"/>
    <x v="17"/>
    <s v="4011.001"/>
    <s v="Impôt bénéfice ordinaire"/>
    <n v="0"/>
    <n v="323.25"/>
    <n v="4011"/>
  </r>
  <r>
    <x v="1"/>
    <x v="3"/>
    <x v="3"/>
    <x v="373"/>
    <x v="313"/>
    <x v="313"/>
    <s v="REVENUS"/>
    <x v="17"/>
    <s v="4011.002"/>
    <s v="Complément impôt bénéfice ordinaire"/>
    <n v="0"/>
    <n v="911.1"/>
    <n v="4011"/>
  </r>
  <r>
    <x v="1"/>
    <x v="3"/>
    <x v="3"/>
    <x v="373"/>
    <x v="313"/>
    <x v="313"/>
    <s v="REVENUS"/>
    <x v="6"/>
    <s v="4221.001"/>
    <s v="Intérêts compensat. / créances en faveur du fisc"/>
    <n v="0"/>
    <n v="0.19"/>
    <n v="4221"/>
  </r>
  <r>
    <x v="1"/>
    <x v="3"/>
    <x v="3"/>
    <x v="373"/>
    <x v="313"/>
    <x v="313"/>
    <s v="REVENUS"/>
    <x v="16"/>
    <s v="4012.001"/>
    <s v="Impôt capital ordinaire"/>
    <n v="0"/>
    <n v="88.85"/>
    <n v="4012"/>
  </r>
  <r>
    <x v="1"/>
    <x v="3"/>
    <x v="3"/>
    <x v="373"/>
    <x v="313"/>
    <x v="313"/>
    <s v="REVENUS"/>
    <x v="16"/>
    <s v="4012.007"/>
    <s v="Acompte sur capital"/>
    <n v="0"/>
    <n v="57.75"/>
    <n v="4012"/>
  </r>
  <r>
    <x v="1"/>
    <x v="3"/>
    <x v="3"/>
    <x v="373"/>
    <x v="313"/>
    <x v="313"/>
    <s v="REVENUS"/>
    <x v="6"/>
    <s v="4211.002"/>
    <s v="Intérêts de retard sur acomptes"/>
    <n v="0"/>
    <n v="7.54"/>
    <n v="4211"/>
  </r>
  <r>
    <x v="1"/>
    <x v="3"/>
    <x v="3"/>
    <x v="373"/>
    <x v="313"/>
    <x v="313"/>
    <s v="REVENUS"/>
    <x v="18"/>
    <s v="4013.002"/>
    <s v="Complément impôt complémentaire sur immeubles"/>
    <n v="0"/>
    <n v="52.5"/>
    <n v="4013"/>
  </r>
  <r>
    <x v="1"/>
    <x v="3"/>
    <x v="3"/>
    <x v="373"/>
    <x v="313"/>
    <x v="313"/>
    <s v="REVENUS"/>
    <x v="6"/>
    <s v="4211.001"/>
    <s v="Intérêts de retard sur factures"/>
    <n v="0"/>
    <n v="0.79"/>
    <n v="4211"/>
  </r>
  <r>
    <x v="1"/>
    <x v="3"/>
    <x v="3"/>
    <x v="373"/>
    <x v="313"/>
    <x v="313"/>
    <s v="REVENUS"/>
    <x v="17"/>
    <s v="4011.007"/>
    <s v="Acompte sur bénéfice"/>
    <n v="0"/>
    <n v="9451.35"/>
    <n v="4011"/>
  </r>
  <r>
    <x v="1"/>
    <x v="3"/>
    <x v="3"/>
    <x v="373"/>
    <x v="313"/>
    <x v="313"/>
    <s v="REVENUS"/>
    <x v="18"/>
    <s v="4013.001"/>
    <s v="Impôt complémentaire sur immeubles"/>
    <n v="0"/>
    <n v="105"/>
    <n v="4013"/>
  </r>
  <r>
    <x v="1"/>
    <x v="4"/>
    <x v="4"/>
    <x v="203"/>
    <x v="161"/>
    <x v="161"/>
    <s v="CHARGES"/>
    <x v="0"/>
    <s v="3212.002"/>
    <s v="Intérêts bonifiés/trop perçu acompte C/C"/>
    <n v="0.15"/>
    <n v="0"/>
    <n v="3212"/>
  </r>
  <r>
    <x v="1"/>
    <x v="4"/>
    <x v="4"/>
    <x v="203"/>
    <x v="161"/>
    <x v="161"/>
    <s v="REVENUS"/>
    <x v="17"/>
    <s v="4011.002"/>
    <s v="Complément impôt bénéfice ordinaire"/>
    <n v="0"/>
    <n v="3630.15"/>
    <n v="4011"/>
  </r>
  <r>
    <x v="1"/>
    <x v="4"/>
    <x v="4"/>
    <x v="203"/>
    <x v="161"/>
    <x v="161"/>
    <s v="REVENUS"/>
    <x v="17"/>
    <s v="4011.001"/>
    <s v="Impôt bénéfice ordinaire"/>
    <n v="0"/>
    <n v="-3630.15"/>
    <n v="4011"/>
  </r>
  <r>
    <x v="1"/>
    <x v="3"/>
    <x v="3"/>
    <x v="204"/>
    <x v="171"/>
    <x v="171"/>
    <s v="CHARGES"/>
    <x v="0"/>
    <s v="3212.002"/>
    <s v="Intérêts bonifiés/trop perçu acompte C/C"/>
    <n v="0.02"/>
    <n v="0"/>
    <n v="3212"/>
  </r>
  <r>
    <x v="1"/>
    <x v="3"/>
    <x v="3"/>
    <x v="204"/>
    <x v="171"/>
    <x v="171"/>
    <s v="CHARGES"/>
    <x v="1"/>
    <s v="3301.006"/>
    <s v="Abandon de solde PM"/>
    <n v="6.1"/>
    <n v="0"/>
    <n v="3301"/>
  </r>
  <r>
    <x v="1"/>
    <x v="3"/>
    <x v="3"/>
    <x v="204"/>
    <x v="171"/>
    <x v="171"/>
    <s v="CHARGES"/>
    <x v="0"/>
    <s v="3212.004"/>
    <s v="Intérêts rémun./perçu trop tôt sur acomptes C/C"/>
    <n v="0.41"/>
    <n v="0"/>
    <n v="3212"/>
  </r>
  <r>
    <x v="1"/>
    <x v="3"/>
    <x v="3"/>
    <x v="204"/>
    <x v="171"/>
    <x v="171"/>
    <s v="CHARGES"/>
    <x v="0"/>
    <s v="3221.002"/>
    <s v="Intérêts compensatoires / créances en faveur ctb."/>
    <n v="1.07"/>
    <n v="0"/>
    <n v="3221"/>
  </r>
  <r>
    <x v="1"/>
    <x v="3"/>
    <x v="3"/>
    <x v="204"/>
    <x v="171"/>
    <x v="171"/>
    <s v="REVENUS"/>
    <x v="17"/>
    <s v="4011.002"/>
    <s v="Complément impôt bénéfice ordinaire"/>
    <n v="0"/>
    <n v="463.6"/>
    <n v="4011"/>
  </r>
  <r>
    <x v="1"/>
    <x v="3"/>
    <x v="3"/>
    <x v="204"/>
    <x v="171"/>
    <x v="171"/>
    <s v="REVENUS"/>
    <x v="17"/>
    <s v="4011.001"/>
    <s v="Impôt bénéfice ordinaire"/>
    <n v="0"/>
    <n v="21.95"/>
    <n v="4011"/>
  </r>
  <r>
    <x v="1"/>
    <x v="3"/>
    <x v="3"/>
    <x v="204"/>
    <x v="171"/>
    <x v="171"/>
    <s v="REVENUS"/>
    <x v="17"/>
    <s v="4011.007"/>
    <s v="Acompte sur bénéfice"/>
    <n v="0"/>
    <n v="-500"/>
    <n v="4011"/>
  </r>
  <r>
    <x v="1"/>
    <x v="3"/>
    <x v="3"/>
    <x v="204"/>
    <x v="171"/>
    <x v="171"/>
    <s v="REVENUS"/>
    <x v="16"/>
    <s v="4012.007"/>
    <s v="Acompte sur capital"/>
    <n v="0"/>
    <n v="3.75"/>
    <n v="4012"/>
  </r>
  <r>
    <x v="1"/>
    <x v="3"/>
    <x v="3"/>
    <x v="204"/>
    <x v="171"/>
    <x v="171"/>
    <s v="REVENUS"/>
    <x v="16"/>
    <s v="4012.001"/>
    <s v="Impôt capital ordinaire"/>
    <n v="0"/>
    <n v="405.95"/>
    <n v="4012"/>
  </r>
  <r>
    <x v="1"/>
    <x v="3"/>
    <x v="3"/>
    <x v="204"/>
    <x v="171"/>
    <x v="171"/>
    <s v="REVENUS"/>
    <x v="6"/>
    <s v="4211.002"/>
    <s v="Intérêts de retard sur acomptes"/>
    <n v="0"/>
    <n v="1.45"/>
    <n v="4211"/>
  </r>
  <r>
    <x v="1"/>
    <x v="3"/>
    <x v="3"/>
    <x v="204"/>
    <x v="171"/>
    <x v="171"/>
    <s v="REVENUS"/>
    <x v="18"/>
    <s v="4013.001"/>
    <s v="Impôt complémentaire sur immeubles"/>
    <n v="0"/>
    <n v="184.1"/>
    <n v="4013"/>
  </r>
  <r>
    <x v="1"/>
    <x v="4"/>
    <x v="4"/>
    <x v="374"/>
    <x v="88"/>
    <x v="88"/>
    <s v="CHARGES"/>
    <x v="0"/>
    <s v="3212.002"/>
    <s v="Intérêts bonifiés/trop perçu acompte C/C"/>
    <n v="0.02"/>
    <n v="0"/>
    <n v="3212"/>
  </r>
  <r>
    <x v="1"/>
    <x v="4"/>
    <x v="4"/>
    <x v="374"/>
    <x v="88"/>
    <x v="88"/>
    <s v="REVENUS"/>
    <x v="17"/>
    <s v="4011.002"/>
    <s v="Complément impôt bénéfice ordinaire"/>
    <n v="0"/>
    <n v="400.65"/>
    <n v="4011"/>
  </r>
  <r>
    <x v="1"/>
    <x v="4"/>
    <x v="4"/>
    <x v="374"/>
    <x v="88"/>
    <x v="88"/>
    <s v="REVENUS"/>
    <x v="17"/>
    <s v="4011.001"/>
    <s v="Impôt bénéfice ordinaire"/>
    <n v="0"/>
    <n v="-400.65"/>
    <n v="4011"/>
  </r>
  <r>
    <x v="1"/>
    <x v="3"/>
    <x v="3"/>
    <x v="205"/>
    <x v="172"/>
    <x v="172"/>
    <s v="CHARGES"/>
    <x v="1"/>
    <s v="3301.006"/>
    <s v="Abandon de solde PM"/>
    <n v="12.97"/>
    <n v="0"/>
    <n v="3301"/>
  </r>
  <r>
    <x v="1"/>
    <x v="3"/>
    <x v="3"/>
    <x v="205"/>
    <x v="172"/>
    <x v="172"/>
    <s v="CHARGES"/>
    <x v="1"/>
    <s v="3301.002"/>
    <s v="Défalcation PM"/>
    <n v="18.489999999999998"/>
    <n v="0"/>
    <n v="3301"/>
  </r>
  <r>
    <x v="1"/>
    <x v="3"/>
    <x v="3"/>
    <x v="205"/>
    <x v="172"/>
    <x v="172"/>
    <s v="CHARGES"/>
    <x v="0"/>
    <s v="3212.002"/>
    <s v="Intérêts bonifiés/trop perçu acompte C/C"/>
    <n v="0.03"/>
    <n v="0"/>
    <n v="3212"/>
  </r>
  <r>
    <x v="1"/>
    <x v="3"/>
    <x v="3"/>
    <x v="205"/>
    <x v="172"/>
    <x v="172"/>
    <s v="CHARGES"/>
    <x v="0"/>
    <s v="3212.004"/>
    <s v="Intérêts rémun./perçu trop tôt sur acomptes C/C"/>
    <n v="5.85"/>
    <n v="0"/>
    <n v="3212"/>
  </r>
  <r>
    <x v="1"/>
    <x v="3"/>
    <x v="3"/>
    <x v="205"/>
    <x v="172"/>
    <x v="172"/>
    <s v="CHARGES"/>
    <x v="0"/>
    <s v="3221.002"/>
    <s v="Intérêts compensatoires / créances en faveur ctb."/>
    <n v="11.18"/>
    <n v="0"/>
    <n v="3221"/>
  </r>
  <r>
    <x v="1"/>
    <x v="3"/>
    <x v="3"/>
    <x v="205"/>
    <x v="172"/>
    <x v="172"/>
    <s v="REVENUS"/>
    <x v="6"/>
    <s v="4211.001"/>
    <s v="Intérêts de retard sur factures"/>
    <n v="0"/>
    <n v="2.64"/>
    <n v="4211"/>
  </r>
  <r>
    <x v="1"/>
    <x v="3"/>
    <x v="3"/>
    <x v="205"/>
    <x v="172"/>
    <x v="172"/>
    <s v="REVENUS"/>
    <x v="17"/>
    <s v="4011.002"/>
    <s v="Complément impôt bénéfice ordinaire"/>
    <n v="0"/>
    <n v="798"/>
    <n v="4011"/>
  </r>
  <r>
    <x v="1"/>
    <x v="3"/>
    <x v="3"/>
    <x v="205"/>
    <x v="172"/>
    <x v="172"/>
    <s v="REVENUS"/>
    <x v="10"/>
    <s v="4041.001"/>
    <s v="Droits de mutation"/>
    <n v="0"/>
    <n v="6490"/>
    <n v="4041"/>
  </r>
  <r>
    <x v="1"/>
    <x v="3"/>
    <x v="3"/>
    <x v="205"/>
    <x v="172"/>
    <x v="172"/>
    <s v="REVENUS"/>
    <x v="16"/>
    <s v="4012.007"/>
    <s v="Acompte sur capital"/>
    <n v="0"/>
    <n v="1180.5"/>
    <n v="4012"/>
  </r>
  <r>
    <x v="1"/>
    <x v="3"/>
    <x v="3"/>
    <x v="205"/>
    <x v="172"/>
    <x v="172"/>
    <s v="REVENUS"/>
    <x v="17"/>
    <s v="4011.001"/>
    <s v="Impôt bénéfice ordinaire"/>
    <n v="0"/>
    <n v="11222.6"/>
    <n v="4011"/>
  </r>
  <r>
    <x v="1"/>
    <x v="3"/>
    <x v="3"/>
    <x v="205"/>
    <x v="172"/>
    <x v="172"/>
    <s v="REVENUS"/>
    <x v="17"/>
    <s v="4011.007"/>
    <s v="Acompte sur bénéfice"/>
    <n v="0"/>
    <n v="-123.7"/>
    <n v="4011"/>
  </r>
  <r>
    <x v="1"/>
    <x v="3"/>
    <x v="3"/>
    <x v="205"/>
    <x v="172"/>
    <x v="172"/>
    <s v="REVENUS"/>
    <x v="16"/>
    <s v="4012.001"/>
    <s v="Impôt capital ordinaire"/>
    <n v="0"/>
    <n v="289.60000000000002"/>
    <n v="4012"/>
  </r>
  <r>
    <x v="1"/>
    <x v="3"/>
    <x v="3"/>
    <x v="205"/>
    <x v="172"/>
    <x v="172"/>
    <s v="REVENUS"/>
    <x v="6"/>
    <s v="4211.002"/>
    <s v="Intérêts de retard sur acomptes"/>
    <n v="0"/>
    <n v="27.21"/>
    <n v="4211"/>
  </r>
  <r>
    <x v="1"/>
    <x v="3"/>
    <x v="3"/>
    <x v="205"/>
    <x v="172"/>
    <x v="172"/>
    <s v="REVENUS"/>
    <x v="8"/>
    <s v="4091.001"/>
    <s v="Impôt récupéré après défalcations"/>
    <n v="0"/>
    <n v="11.77"/>
    <n v="4091"/>
  </r>
  <r>
    <x v="1"/>
    <x v="3"/>
    <x v="3"/>
    <x v="205"/>
    <x v="172"/>
    <x v="172"/>
    <s v="REVENUS"/>
    <x v="6"/>
    <s v="4221.001"/>
    <s v="Intérêts compensat. / créances en faveur du fisc"/>
    <n v="0"/>
    <n v="7.31"/>
    <n v="4221"/>
  </r>
  <r>
    <x v="1"/>
    <x v="3"/>
    <x v="3"/>
    <x v="205"/>
    <x v="172"/>
    <x v="172"/>
    <s v="REVENUS"/>
    <x v="18"/>
    <s v="4013.003"/>
    <s v="Remboursement impôt complémentaire sur immeubles"/>
    <n v="0"/>
    <n v="-24"/>
    <n v="4013"/>
  </r>
  <r>
    <x v="1"/>
    <x v="3"/>
    <x v="3"/>
    <x v="205"/>
    <x v="172"/>
    <x v="172"/>
    <s v="REVENUS"/>
    <x v="7"/>
    <s v="4184.000"/>
    <s v="Frais de poursuite"/>
    <n v="0"/>
    <n v="49.93"/>
    <n v="4184"/>
  </r>
  <r>
    <x v="1"/>
    <x v="3"/>
    <x v="3"/>
    <x v="205"/>
    <x v="172"/>
    <x v="172"/>
    <s v="REVENUS"/>
    <x v="18"/>
    <s v="4013.001"/>
    <s v="Impôt complémentaire sur immeubles"/>
    <n v="0"/>
    <n v="3182.45"/>
    <n v="4013"/>
  </r>
  <r>
    <x v="1"/>
    <x v="4"/>
    <x v="4"/>
    <x v="206"/>
    <x v="161"/>
    <x v="161"/>
    <s v="CHARGES"/>
    <x v="1"/>
    <s v="3301.006"/>
    <s v="Abandon de solde PM"/>
    <n v="57.62"/>
    <n v="0"/>
    <n v="3301"/>
  </r>
  <r>
    <x v="1"/>
    <x v="4"/>
    <x v="4"/>
    <x v="206"/>
    <x v="161"/>
    <x v="161"/>
    <s v="CHARGES"/>
    <x v="0"/>
    <s v="3221.002"/>
    <s v="Intérêts compensatoires / créances en faveur ctb."/>
    <n v="131.9"/>
    <n v="0"/>
    <n v="3221"/>
  </r>
  <r>
    <x v="1"/>
    <x v="4"/>
    <x v="4"/>
    <x v="206"/>
    <x v="161"/>
    <x v="161"/>
    <s v="CHARGES"/>
    <x v="0"/>
    <s v="3212.004"/>
    <s v="Intérêts rémun./perçu trop tôt sur acomptes C/C"/>
    <n v="54.29"/>
    <n v="0"/>
    <n v="3212"/>
  </r>
  <r>
    <x v="1"/>
    <x v="4"/>
    <x v="4"/>
    <x v="206"/>
    <x v="161"/>
    <x v="161"/>
    <s v="REVENUS"/>
    <x v="18"/>
    <s v="4013.001"/>
    <s v="Impôt complémentaire sur immeubles"/>
    <n v="0"/>
    <n v="9657.0499999999993"/>
    <n v="4013"/>
  </r>
  <r>
    <x v="1"/>
    <x v="4"/>
    <x v="4"/>
    <x v="206"/>
    <x v="161"/>
    <x v="161"/>
    <s v="REVENUS"/>
    <x v="11"/>
    <s v="4198.001"/>
    <s v="Impôt foncier"/>
    <n v="0"/>
    <n v="30391.599999999999"/>
    <n v="4198"/>
  </r>
  <r>
    <x v="1"/>
    <x v="4"/>
    <x v="4"/>
    <x v="206"/>
    <x v="161"/>
    <x v="161"/>
    <s v="REVENUS"/>
    <x v="16"/>
    <s v="4012.001"/>
    <s v="Impôt capital ordinaire"/>
    <n v="0"/>
    <n v="1443"/>
    <n v="4012"/>
  </r>
  <r>
    <x v="1"/>
    <x v="4"/>
    <x v="4"/>
    <x v="206"/>
    <x v="161"/>
    <x v="161"/>
    <s v="REVENUS"/>
    <x v="16"/>
    <s v="4012.007"/>
    <s v="Acompte sur capital"/>
    <n v="0"/>
    <n v="2148.3000000000002"/>
    <n v="4012"/>
  </r>
  <r>
    <x v="1"/>
    <x v="4"/>
    <x v="4"/>
    <x v="206"/>
    <x v="161"/>
    <x v="161"/>
    <s v="REVENUS"/>
    <x v="6"/>
    <s v="4211.002"/>
    <s v="Intérêts de retard sur acomptes"/>
    <n v="0"/>
    <n v="-148.63"/>
    <n v="4211"/>
  </r>
  <r>
    <x v="1"/>
    <x v="4"/>
    <x v="4"/>
    <x v="206"/>
    <x v="161"/>
    <x v="161"/>
    <s v="REVENUS"/>
    <x v="17"/>
    <s v="4011.001"/>
    <s v="Impôt bénéfice ordinaire"/>
    <n v="0"/>
    <n v="64212.45"/>
    <n v="4011"/>
  </r>
  <r>
    <x v="1"/>
    <x v="4"/>
    <x v="4"/>
    <x v="206"/>
    <x v="161"/>
    <x v="161"/>
    <s v="REVENUS"/>
    <x v="17"/>
    <s v="4011.007"/>
    <s v="Acompte sur bénéfice"/>
    <n v="0"/>
    <n v="-32225.7"/>
    <n v="4011"/>
  </r>
  <r>
    <x v="1"/>
    <x v="4"/>
    <x v="4"/>
    <x v="206"/>
    <x v="161"/>
    <x v="161"/>
    <s v="REVENUS"/>
    <x v="6"/>
    <s v="4211.001"/>
    <s v="Intérêts de retard sur factures"/>
    <n v="0"/>
    <n v="131.58000000000001"/>
    <n v="4211"/>
  </r>
  <r>
    <x v="1"/>
    <x v="4"/>
    <x v="4"/>
    <x v="206"/>
    <x v="161"/>
    <x v="161"/>
    <s v="REVENUS"/>
    <x v="6"/>
    <s v="4221.001"/>
    <s v="Intérêts compensat. / créances en faveur du fisc"/>
    <n v="0"/>
    <n v="4.1900000000000004"/>
    <n v="4221"/>
  </r>
  <r>
    <x v="1"/>
    <x v="4"/>
    <x v="4"/>
    <x v="206"/>
    <x v="161"/>
    <x v="161"/>
    <s v="REVENUS"/>
    <x v="18"/>
    <s v="4013.003"/>
    <s v="Remboursement impôt complémentaire sur immeubles"/>
    <n v="0"/>
    <n v="-161.44999999999999"/>
    <n v="4013"/>
  </r>
  <r>
    <x v="1"/>
    <x v="4"/>
    <x v="4"/>
    <x v="206"/>
    <x v="161"/>
    <x v="161"/>
    <s v="REVENUS"/>
    <x v="10"/>
    <s v="4041.001"/>
    <s v="Droits de mutation"/>
    <n v="0"/>
    <n v="22165"/>
    <n v="4041"/>
  </r>
  <r>
    <x v="1"/>
    <x v="4"/>
    <x v="4"/>
    <x v="206"/>
    <x v="161"/>
    <x v="161"/>
    <s v="REVENUS"/>
    <x v="17"/>
    <s v="4011.002"/>
    <s v="Complément impôt bénéfice ordinaire"/>
    <n v="0"/>
    <n v="1549.45"/>
    <n v="4011"/>
  </r>
  <r>
    <x v="1"/>
    <x v="4"/>
    <x v="4"/>
    <x v="206"/>
    <x v="161"/>
    <x v="161"/>
    <s v="REVENUS"/>
    <x v="7"/>
    <s v="4184.000"/>
    <s v="Frais de poursuite"/>
    <n v="0"/>
    <n v="23.3"/>
    <n v="4184"/>
  </r>
  <r>
    <x v="1"/>
    <x v="2"/>
    <x v="2"/>
    <x v="207"/>
    <x v="173"/>
    <x v="173"/>
    <s v="CHARGES"/>
    <x v="1"/>
    <s v="3301.006"/>
    <s v="Abandon de solde PM"/>
    <n v="11.39"/>
    <n v="0"/>
    <n v="3301"/>
  </r>
  <r>
    <x v="1"/>
    <x v="2"/>
    <x v="2"/>
    <x v="207"/>
    <x v="173"/>
    <x v="173"/>
    <s v="CHARGES"/>
    <x v="0"/>
    <s v="3212.004"/>
    <s v="Intérêts rémun./perçu trop tôt sur acomptes C/C"/>
    <n v="0.69"/>
    <n v="0"/>
    <n v="3212"/>
  </r>
  <r>
    <x v="1"/>
    <x v="2"/>
    <x v="2"/>
    <x v="207"/>
    <x v="173"/>
    <x v="173"/>
    <s v="CHARGES"/>
    <x v="0"/>
    <s v="3221.002"/>
    <s v="Intérêts compensatoires / créances en faveur ctb."/>
    <n v="0.74"/>
    <n v="0"/>
    <n v="3221"/>
  </r>
  <r>
    <x v="1"/>
    <x v="2"/>
    <x v="2"/>
    <x v="207"/>
    <x v="173"/>
    <x v="173"/>
    <s v="REVENUS"/>
    <x v="18"/>
    <s v="4013.001"/>
    <s v="Impôt complémentaire sur immeubles"/>
    <n v="0"/>
    <n v="510.25"/>
    <n v="4013"/>
  </r>
  <r>
    <x v="1"/>
    <x v="2"/>
    <x v="2"/>
    <x v="207"/>
    <x v="173"/>
    <x v="173"/>
    <s v="REVENUS"/>
    <x v="17"/>
    <s v="4011.007"/>
    <s v="Acompte sur bénéfice"/>
    <n v="0"/>
    <n v="-147.6"/>
    <n v="4011"/>
  </r>
  <r>
    <x v="1"/>
    <x v="2"/>
    <x v="2"/>
    <x v="207"/>
    <x v="173"/>
    <x v="173"/>
    <s v="REVENUS"/>
    <x v="16"/>
    <s v="4012.007"/>
    <s v="Acompte sur capital"/>
    <n v="0"/>
    <n v="906.35"/>
    <n v="4012"/>
  </r>
  <r>
    <x v="1"/>
    <x v="2"/>
    <x v="2"/>
    <x v="207"/>
    <x v="173"/>
    <x v="173"/>
    <s v="REVENUS"/>
    <x v="10"/>
    <s v="4041.001"/>
    <s v="Droits de mutation"/>
    <n v="0"/>
    <n v="35655.9"/>
    <n v="4041"/>
  </r>
  <r>
    <x v="1"/>
    <x v="2"/>
    <x v="2"/>
    <x v="207"/>
    <x v="173"/>
    <x v="173"/>
    <s v="REVENUS"/>
    <x v="16"/>
    <s v="4012.001"/>
    <s v="Impôt capital ordinaire"/>
    <n v="0"/>
    <n v="32.549999999999997"/>
    <n v="4012"/>
  </r>
  <r>
    <x v="1"/>
    <x v="2"/>
    <x v="2"/>
    <x v="207"/>
    <x v="173"/>
    <x v="173"/>
    <s v="REVENUS"/>
    <x v="6"/>
    <s v="4211.002"/>
    <s v="Intérêts de retard sur acomptes"/>
    <n v="0"/>
    <n v="0.97"/>
    <n v="4211"/>
  </r>
  <r>
    <x v="1"/>
    <x v="2"/>
    <x v="2"/>
    <x v="207"/>
    <x v="173"/>
    <x v="173"/>
    <s v="REVENUS"/>
    <x v="17"/>
    <s v="4011.001"/>
    <s v="Impôt bénéfice ordinaire"/>
    <n v="0"/>
    <n v="4656.1000000000004"/>
    <n v="4011"/>
  </r>
  <r>
    <x v="1"/>
    <x v="2"/>
    <x v="2"/>
    <x v="207"/>
    <x v="173"/>
    <x v="173"/>
    <s v="REVENUS"/>
    <x v="11"/>
    <s v="4198.001"/>
    <s v="Impôt foncier"/>
    <n v="0"/>
    <n v="531.5"/>
    <n v="4198"/>
  </r>
  <r>
    <x v="1"/>
    <x v="2"/>
    <x v="2"/>
    <x v="207"/>
    <x v="173"/>
    <x v="173"/>
    <s v="REVENUS"/>
    <x v="6"/>
    <s v="4211.001"/>
    <s v="Intérêts de retard sur factures"/>
    <n v="0"/>
    <n v="30.33"/>
    <n v="4211"/>
  </r>
  <r>
    <x v="1"/>
    <x v="2"/>
    <x v="2"/>
    <x v="208"/>
    <x v="174"/>
    <x v="174"/>
    <s v="CHARGES"/>
    <x v="0"/>
    <s v="3212.004"/>
    <s v="Intérêts rémun./perçu trop tôt sur acomptes C/C"/>
    <n v="135.80000000000001"/>
    <n v="0"/>
    <n v="3212"/>
  </r>
  <r>
    <x v="1"/>
    <x v="2"/>
    <x v="2"/>
    <x v="208"/>
    <x v="174"/>
    <x v="174"/>
    <s v="CHARGES"/>
    <x v="0"/>
    <s v="3221.002"/>
    <s v="Intérêts compensatoires / créances en faveur ctb."/>
    <n v="86.36"/>
    <n v="0"/>
    <n v="3221"/>
  </r>
  <r>
    <x v="1"/>
    <x v="2"/>
    <x v="2"/>
    <x v="208"/>
    <x v="174"/>
    <x v="174"/>
    <s v="CHARGES"/>
    <x v="1"/>
    <s v="3301.006"/>
    <s v="Abandon de solde PM"/>
    <n v="85.74"/>
    <n v="0"/>
    <n v="3301"/>
  </r>
  <r>
    <x v="1"/>
    <x v="2"/>
    <x v="2"/>
    <x v="208"/>
    <x v="174"/>
    <x v="174"/>
    <s v="CHARGES"/>
    <x v="0"/>
    <s v="3212.002"/>
    <s v="Intérêts bonifiés/trop perçu acompte C/C"/>
    <n v="8.1"/>
    <n v="0"/>
    <n v="3212"/>
  </r>
  <r>
    <x v="1"/>
    <x v="2"/>
    <x v="2"/>
    <x v="208"/>
    <x v="174"/>
    <x v="174"/>
    <s v="CHARGES"/>
    <x v="1"/>
    <s v="3301.002"/>
    <s v="Défalcation PM"/>
    <n v="51.29"/>
    <n v="0"/>
    <n v="3301"/>
  </r>
  <r>
    <x v="1"/>
    <x v="2"/>
    <x v="2"/>
    <x v="208"/>
    <x v="174"/>
    <x v="174"/>
    <s v="REVENUS"/>
    <x v="16"/>
    <s v="4012.001"/>
    <s v="Impôt capital ordinaire"/>
    <n v="0"/>
    <n v="20364.849999999999"/>
    <n v="4012"/>
  </r>
  <r>
    <x v="1"/>
    <x v="2"/>
    <x v="2"/>
    <x v="208"/>
    <x v="174"/>
    <x v="174"/>
    <s v="REVENUS"/>
    <x v="18"/>
    <s v="4013.001"/>
    <s v="Impôt complémentaire sur immeubles"/>
    <n v="0"/>
    <n v="17806.150000000001"/>
    <n v="4013"/>
  </r>
  <r>
    <x v="1"/>
    <x v="2"/>
    <x v="2"/>
    <x v="208"/>
    <x v="174"/>
    <x v="174"/>
    <s v="REVENUS"/>
    <x v="6"/>
    <s v="4211.002"/>
    <s v="Intérêts de retard sur acomptes"/>
    <n v="0"/>
    <n v="851.93"/>
    <n v="4211"/>
  </r>
  <r>
    <x v="1"/>
    <x v="2"/>
    <x v="2"/>
    <x v="208"/>
    <x v="174"/>
    <x v="174"/>
    <s v="REVENUS"/>
    <x v="6"/>
    <s v="4221.001"/>
    <s v="Intérêts compensat. / créances en faveur du fisc"/>
    <n v="0"/>
    <n v="28.84"/>
    <n v="4221"/>
  </r>
  <r>
    <x v="1"/>
    <x v="2"/>
    <x v="2"/>
    <x v="208"/>
    <x v="174"/>
    <x v="174"/>
    <s v="REVENUS"/>
    <x v="17"/>
    <s v="4011.001"/>
    <s v="Impôt bénéfice ordinaire"/>
    <n v="0"/>
    <n v="-196505.05"/>
    <n v="4011"/>
  </r>
  <r>
    <x v="1"/>
    <x v="2"/>
    <x v="2"/>
    <x v="208"/>
    <x v="174"/>
    <x v="174"/>
    <s v="REVENUS"/>
    <x v="17"/>
    <s v="4011.007"/>
    <s v="Acompte sur bénéfice"/>
    <n v="0"/>
    <n v="-7730.8"/>
    <n v="4011"/>
  </r>
  <r>
    <x v="1"/>
    <x v="2"/>
    <x v="2"/>
    <x v="208"/>
    <x v="174"/>
    <x v="174"/>
    <s v="REVENUS"/>
    <x v="16"/>
    <s v="4012.007"/>
    <s v="Acompte sur capital"/>
    <n v="0"/>
    <n v="2639.1"/>
    <n v="4012"/>
  </r>
  <r>
    <x v="1"/>
    <x v="2"/>
    <x v="2"/>
    <x v="208"/>
    <x v="174"/>
    <x v="174"/>
    <s v="REVENUS"/>
    <x v="6"/>
    <s v="4211.001"/>
    <s v="Intérêts de retard sur factures"/>
    <n v="0"/>
    <n v="265.27999999999997"/>
    <n v="4211"/>
  </r>
  <r>
    <x v="1"/>
    <x v="2"/>
    <x v="2"/>
    <x v="208"/>
    <x v="174"/>
    <x v="174"/>
    <s v="REVENUS"/>
    <x v="18"/>
    <s v="4013.003"/>
    <s v="Remboursement impôt complémentaire sur immeubles"/>
    <n v="0"/>
    <n v="-2367.5"/>
    <n v="4013"/>
  </r>
  <r>
    <x v="1"/>
    <x v="2"/>
    <x v="2"/>
    <x v="208"/>
    <x v="174"/>
    <x v="174"/>
    <s v="REVENUS"/>
    <x v="17"/>
    <s v="4011.002"/>
    <s v="Complément impôt bénéfice ordinaire"/>
    <n v="0"/>
    <n v="277221.84999999998"/>
    <n v="4011"/>
  </r>
  <r>
    <x v="1"/>
    <x v="2"/>
    <x v="2"/>
    <x v="208"/>
    <x v="174"/>
    <x v="174"/>
    <s v="REVENUS"/>
    <x v="10"/>
    <s v="4041.001"/>
    <s v="Droits de mutation"/>
    <n v="0"/>
    <n v="72319.5"/>
    <n v="4041"/>
  </r>
  <r>
    <x v="1"/>
    <x v="2"/>
    <x v="2"/>
    <x v="208"/>
    <x v="174"/>
    <x v="174"/>
    <s v="REVENUS"/>
    <x v="16"/>
    <s v="4012.002"/>
    <s v="Complément impôt capital ordinaire"/>
    <n v="0"/>
    <n v="121.1"/>
    <n v="4012"/>
  </r>
  <r>
    <x v="1"/>
    <x v="2"/>
    <x v="2"/>
    <x v="208"/>
    <x v="174"/>
    <x v="174"/>
    <s v="REVENUS"/>
    <x v="7"/>
    <s v="4184.000"/>
    <s v="Frais de poursuite"/>
    <n v="0"/>
    <n v="135.94999999999999"/>
    <n v="4184"/>
  </r>
  <r>
    <x v="1"/>
    <x v="2"/>
    <x v="2"/>
    <x v="208"/>
    <x v="174"/>
    <x v="174"/>
    <s v="REVENUS"/>
    <x v="11"/>
    <s v="4198.001"/>
    <s v="Impôt foncier"/>
    <n v="0"/>
    <n v="62769"/>
    <n v="4198"/>
  </r>
  <r>
    <x v="1"/>
    <x v="2"/>
    <x v="2"/>
    <x v="208"/>
    <x v="174"/>
    <x v="174"/>
    <s v="REVENUS"/>
    <x v="9"/>
    <s v="4031.001"/>
    <s v="Impôt sur les gains immobiliers"/>
    <n v="0"/>
    <n v="29759.05"/>
    <n v="4031"/>
  </r>
  <r>
    <x v="1"/>
    <x v="2"/>
    <x v="2"/>
    <x v="208"/>
    <x v="174"/>
    <x v="174"/>
    <s v="REVENUS"/>
    <x v="18"/>
    <s v="4013.002"/>
    <s v="Complément impôt complémentaire sur immeubles"/>
    <n v="0"/>
    <n v="21.5"/>
    <n v="4013"/>
  </r>
  <r>
    <x v="1"/>
    <x v="2"/>
    <x v="2"/>
    <x v="209"/>
    <x v="175"/>
    <x v="175"/>
    <s v="CHARGES"/>
    <x v="1"/>
    <s v="3301.006"/>
    <s v="Abandon de solde PM"/>
    <n v="36.409999999999997"/>
    <n v="0"/>
    <n v="3301"/>
  </r>
  <r>
    <x v="1"/>
    <x v="2"/>
    <x v="2"/>
    <x v="209"/>
    <x v="175"/>
    <x v="175"/>
    <s v="CHARGES"/>
    <x v="0"/>
    <s v="3212.004"/>
    <s v="Intérêts rémun./perçu trop tôt sur acomptes C/C"/>
    <n v="3.69"/>
    <n v="0"/>
    <n v="3212"/>
  </r>
  <r>
    <x v="1"/>
    <x v="2"/>
    <x v="2"/>
    <x v="209"/>
    <x v="175"/>
    <x v="175"/>
    <s v="CHARGES"/>
    <x v="0"/>
    <s v="3212.002"/>
    <s v="Intérêts bonifiés/trop perçu acompte C/C"/>
    <n v="-1.58"/>
    <n v="0"/>
    <n v="3212"/>
  </r>
  <r>
    <x v="1"/>
    <x v="2"/>
    <x v="2"/>
    <x v="209"/>
    <x v="175"/>
    <x v="175"/>
    <s v="CHARGES"/>
    <x v="0"/>
    <s v="3221.002"/>
    <s v="Intérêts compensatoires / créances en faveur ctb."/>
    <n v="4.3899999999999997"/>
    <n v="0"/>
    <n v="3221"/>
  </r>
  <r>
    <x v="1"/>
    <x v="2"/>
    <x v="2"/>
    <x v="209"/>
    <x v="175"/>
    <x v="175"/>
    <s v="CHARGES"/>
    <x v="1"/>
    <s v="3301.002"/>
    <s v="Défalcation PM"/>
    <n v="3803.19"/>
    <n v="0"/>
    <n v="3301"/>
  </r>
  <r>
    <x v="1"/>
    <x v="2"/>
    <x v="2"/>
    <x v="209"/>
    <x v="175"/>
    <x v="175"/>
    <s v="REVENUS"/>
    <x v="16"/>
    <s v="4012.001"/>
    <s v="Impôt capital ordinaire"/>
    <n v="0"/>
    <n v="1570.05"/>
    <n v="4012"/>
  </r>
  <r>
    <x v="1"/>
    <x v="2"/>
    <x v="2"/>
    <x v="209"/>
    <x v="175"/>
    <x v="175"/>
    <s v="REVENUS"/>
    <x v="16"/>
    <s v="4012.007"/>
    <s v="Acompte sur capital"/>
    <n v="0"/>
    <n v="1132.45"/>
    <n v="4012"/>
  </r>
  <r>
    <x v="1"/>
    <x v="2"/>
    <x v="2"/>
    <x v="209"/>
    <x v="175"/>
    <x v="175"/>
    <s v="REVENUS"/>
    <x v="6"/>
    <s v="4211.002"/>
    <s v="Intérêts de retard sur acomptes"/>
    <n v="0"/>
    <n v="23.62"/>
    <n v="4211"/>
  </r>
  <r>
    <x v="1"/>
    <x v="2"/>
    <x v="2"/>
    <x v="209"/>
    <x v="175"/>
    <x v="175"/>
    <s v="REVENUS"/>
    <x v="17"/>
    <s v="4011.001"/>
    <s v="Impôt bénéfice ordinaire"/>
    <n v="0"/>
    <n v="48646.45"/>
    <n v="4011"/>
  </r>
  <r>
    <x v="1"/>
    <x v="2"/>
    <x v="2"/>
    <x v="209"/>
    <x v="175"/>
    <x v="175"/>
    <s v="REVENUS"/>
    <x v="17"/>
    <s v="4011.007"/>
    <s v="Acompte sur bénéfice"/>
    <n v="0"/>
    <n v="-4665"/>
    <n v="4011"/>
  </r>
  <r>
    <x v="1"/>
    <x v="2"/>
    <x v="2"/>
    <x v="209"/>
    <x v="175"/>
    <x v="175"/>
    <s v="REVENUS"/>
    <x v="6"/>
    <s v="4221.001"/>
    <s v="Intérêts compensat. / créances en faveur du fisc"/>
    <n v="0"/>
    <n v="118.96"/>
    <n v="4221"/>
  </r>
  <r>
    <x v="1"/>
    <x v="2"/>
    <x v="2"/>
    <x v="209"/>
    <x v="175"/>
    <x v="175"/>
    <s v="REVENUS"/>
    <x v="18"/>
    <s v="4013.003"/>
    <s v="Remboursement impôt complémentaire sur immeubles"/>
    <n v="0"/>
    <n v="-499.5"/>
    <n v="4013"/>
  </r>
  <r>
    <x v="1"/>
    <x v="2"/>
    <x v="2"/>
    <x v="209"/>
    <x v="175"/>
    <x v="175"/>
    <s v="REVENUS"/>
    <x v="6"/>
    <s v="4211.001"/>
    <s v="Intérêts de retard sur factures"/>
    <n v="0"/>
    <n v="897.6"/>
    <n v="4211"/>
  </r>
  <r>
    <x v="1"/>
    <x v="2"/>
    <x v="2"/>
    <x v="209"/>
    <x v="175"/>
    <x v="175"/>
    <s v="REVENUS"/>
    <x v="17"/>
    <s v="4011.002"/>
    <s v="Complément impôt bénéfice ordinaire"/>
    <n v="0"/>
    <n v="10963.75"/>
    <n v="4011"/>
  </r>
  <r>
    <x v="1"/>
    <x v="2"/>
    <x v="2"/>
    <x v="209"/>
    <x v="175"/>
    <x v="175"/>
    <s v="REVENUS"/>
    <x v="16"/>
    <s v="4012.002"/>
    <s v="Complément impôt capital ordinaire"/>
    <n v="0"/>
    <n v="60.4"/>
    <n v="4012"/>
  </r>
  <r>
    <x v="1"/>
    <x v="2"/>
    <x v="2"/>
    <x v="209"/>
    <x v="175"/>
    <x v="175"/>
    <s v="REVENUS"/>
    <x v="7"/>
    <s v="4184.000"/>
    <s v="Frais de poursuite"/>
    <n v="0"/>
    <n v="90.56"/>
    <n v="4184"/>
  </r>
  <r>
    <x v="1"/>
    <x v="2"/>
    <x v="2"/>
    <x v="209"/>
    <x v="175"/>
    <x v="175"/>
    <s v="REVENUS"/>
    <x v="11"/>
    <s v="4198.001"/>
    <s v="Impôt foncier"/>
    <n v="0"/>
    <n v="8582.5499999999993"/>
    <n v="4198"/>
  </r>
  <r>
    <x v="1"/>
    <x v="2"/>
    <x v="2"/>
    <x v="209"/>
    <x v="175"/>
    <x v="175"/>
    <s v="REVENUS"/>
    <x v="18"/>
    <s v="4013.001"/>
    <s v="Impôt complémentaire sur immeubles"/>
    <n v="0"/>
    <n v="2364.5"/>
    <n v="4013"/>
  </r>
  <r>
    <x v="1"/>
    <x v="2"/>
    <x v="2"/>
    <x v="209"/>
    <x v="175"/>
    <x v="175"/>
    <s v="REVENUS"/>
    <x v="8"/>
    <s v="4091.001"/>
    <s v="Impôt récupéré après défalcations"/>
    <n v="0"/>
    <n v="3785.28"/>
    <n v="4091"/>
  </r>
  <r>
    <x v="1"/>
    <x v="2"/>
    <x v="2"/>
    <x v="209"/>
    <x v="175"/>
    <x v="175"/>
    <s v="REVENUS"/>
    <x v="10"/>
    <s v="4041.001"/>
    <s v="Droits de mutation"/>
    <n v="0"/>
    <n v="5732.3"/>
    <n v="4041"/>
  </r>
  <r>
    <x v="1"/>
    <x v="2"/>
    <x v="2"/>
    <x v="210"/>
    <x v="176"/>
    <x v="176"/>
    <s v="CHARGES"/>
    <x v="0"/>
    <s v="3212.004"/>
    <s v="Intérêts rémun./perçu trop tôt sur acomptes C/C"/>
    <n v="10.54"/>
    <n v="0"/>
    <n v="3212"/>
  </r>
  <r>
    <x v="1"/>
    <x v="2"/>
    <x v="2"/>
    <x v="210"/>
    <x v="176"/>
    <x v="176"/>
    <s v="CHARGES"/>
    <x v="0"/>
    <s v="3221.002"/>
    <s v="Intérêts compensatoires / créances en faveur ctb."/>
    <n v="18.440000000000001"/>
    <n v="0"/>
    <n v="3221"/>
  </r>
  <r>
    <x v="1"/>
    <x v="2"/>
    <x v="2"/>
    <x v="210"/>
    <x v="176"/>
    <x v="176"/>
    <s v="CHARGES"/>
    <x v="1"/>
    <s v="3301.006"/>
    <s v="Abandon de solde PM"/>
    <n v="17.18"/>
    <n v="0"/>
    <n v="3301"/>
  </r>
  <r>
    <x v="1"/>
    <x v="2"/>
    <x v="2"/>
    <x v="210"/>
    <x v="176"/>
    <x v="176"/>
    <s v="CHARGES"/>
    <x v="0"/>
    <s v="3212.002"/>
    <s v="Intérêts bonifiés/trop perçu acompte C/C"/>
    <n v="-0.33"/>
    <n v="0"/>
    <n v="3212"/>
  </r>
  <r>
    <x v="1"/>
    <x v="2"/>
    <x v="2"/>
    <x v="210"/>
    <x v="176"/>
    <x v="176"/>
    <s v="REVENUS"/>
    <x v="17"/>
    <s v="4011.001"/>
    <s v="Impôt bénéfice ordinaire"/>
    <n v="0"/>
    <n v="63584.45"/>
    <n v="4011"/>
  </r>
  <r>
    <x v="1"/>
    <x v="2"/>
    <x v="2"/>
    <x v="210"/>
    <x v="176"/>
    <x v="176"/>
    <s v="REVENUS"/>
    <x v="17"/>
    <s v="4011.007"/>
    <s v="Acompte sur bénéfice"/>
    <n v="0"/>
    <n v="-69045.649999999994"/>
    <n v="4011"/>
  </r>
  <r>
    <x v="1"/>
    <x v="2"/>
    <x v="2"/>
    <x v="210"/>
    <x v="176"/>
    <x v="176"/>
    <s v="REVENUS"/>
    <x v="18"/>
    <s v="4013.001"/>
    <s v="Impôt complémentaire sur immeubles"/>
    <n v="0"/>
    <n v="18651.650000000001"/>
    <n v="4013"/>
  </r>
  <r>
    <x v="1"/>
    <x v="2"/>
    <x v="2"/>
    <x v="210"/>
    <x v="176"/>
    <x v="176"/>
    <s v="REVENUS"/>
    <x v="11"/>
    <s v="4198.001"/>
    <s v="Impôt foncier"/>
    <n v="0"/>
    <n v="66800.25"/>
    <n v="4198"/>
  </r>
  <r>
    <x v="1"/>
    <x v="2"/>
    <x v="2"/>
    <x v="210"/>
    <x v="176"/>
    <x v="176"/>
    <s v="REVENUS"/>
    <x v="6"/>
    <s v="4211.001"/>
    <s v="Intérêts de retard sur factures"/>
    <n v="0"/>
    <n v="98.98"/>
    <n v="4211"/>
  </r>
  <r>
    <x v="1"/>
    <x v="2"/>
    <x v="2"/>
    <x v="210"/>
    <x v="176"/>
    <x v="176"/>
    <s v="REVENUS"/>
    <x v="16"/>
    <s v="4012.001"/>
    <s v="Impôt capital ordinaire"/>
    <n v="0"/>
    <n v="4847.3"/>
    <n v="4012"/>
  </r>
  <r>
    <x v="1"/>
    <x v="2"/>
    <x v="2"/>
    <x v="210"/>
    <x v="176"/>
    <x v="176"/>
    <s v="REVENUS"/>
    <x v="16"/>
    <s v="4012.007"/>
    <s v="Acompte sur capital"/>
    <n v="0"/>
    <n v="1950.15"/>
    <n v="4012"/>
  </r>
  <r>
    <x v="1"/>
    <x v="2"/>
    <x v="2"/>
    <x v="210"/>
    <x v="176"/>
    <x v="176"/>
    <s v="REVENUS"/>
    <x v="6"/>
    <s v="4211.002"/>
    <s v="Intérêts de retard sur acomptes"/>
    <n v="0"/>
    <n v="471.38"/>
    <n v="4211"/>
  </r>
  <r>
    <x v="1"/>
    <x v="2"/>
    <x v="2"/>
    <x v="210"/>
    <x v="176"/>
    <x v="176"/>
    <s v="REVENUS"/>
    <x v="17"/>
    <s v="4011.002"/>
    <s v="Complément impôt bénéfice ordinaire"/>
    <n v="0"/>
    <n v="23758.95"/>
    <n v="4011"/>
  </r>
  <r>
    <x v="1"/>
    <x v="2"/>
    <x v="2"/>
    <x v="210"/>
    <x v="176"/>
    <x v="176"/>
    <s v="REVENUS"/>
    <x v="6"/>
    <s v="4221.001"/>
    <s v="Intérêts compensat. / créances en faveur du fisc"/>
    <n v="0"/>
    <n v="15.13"/>
    <n v="4221"/>
  </r>
  <r>
    <x v="1"/>
    <x v="2"/>
    <x v="2"/>
    <x v="210"/>
    <x v="176"/>
    <x v="176"/>
    <s v="REVENUS"/>
    <x v="18"/>
    <s v="4013.002"/>
    <s v="Complément impôt complémentaire sur immeubles"/>
    <n v="0"/>
    <n v="-14.5"/>
    <n v="4013"/>
  </r>
  <r>
    <x v="1"/>
    <x v="2"/>
    <x v="2"/>
    <x v="210"/>
    <x v="176"/>
    <x v="176"/>
    <s v="REVENUS"/>
    <x v="10"/>
    <s v="4041.001"/>
    <s v="Droits de mutation"/>
    <n v="0"/>
    <n v="45436.95"/>
    <n v="4041"/>
  </r>
  <r>
    <x v="1"/>
    <x v="2"/>
    <x v="2"/>
    <x v="210"/>
    <x v="176"/>
    <x v="176"/>
    <s v="REVENUS"/>
    <x v="18"/>
    <s v="4013.003"/>
    <s v="Remboursement impôt complémentaire sur immeubles"/>
    <n v="0"/>
    <n v="-350"/>
    <n v="4013"/>
  </r>
  <r>
    <x v="1"/>
    <x v="2"/>
    <x v="2"/>
    <x v="210"/>
    <x v="176"/>
    <x v="176"/>
    <s v="REVENUS"/>
    <x v="7"/>
    <s v="4184.000"/>
    <s v="Frais de poursuite"/>
    <n v="0"/>
    <n v="21.47"/>
    <n v="4184"/>
  </r>
  <r>
    <x v="1"/>
    <x v="2"/>
    <x v="2"/>
    <x v="211"/>
    <x v="177"/>
    <x v="177"/>
    <s v="CHARGES"/>
    <x v="0"/>
    <s v="3212.002"/>
    <s v="Intérêts bonifiés/trop perçu acompte C/C"/>
    <n v="0.05"/>
    <n v="0"/>
    <n v="3212"/>
  </r>
  <r>
    <x v="1"/>
    <x v="2"/>
    <x v="2"/>
    <x v="211"/>
    <x v="177"/>
    <x v="177"/>
    <s v="CHARGES"/>
    <x v="1"/>
    <s v="3301.006"/>
    <s v="Abandon de solde PM"/>
    <n v="31.79"/>
    <n v="0"/>
    <n v="3301"/>
  </r>
  <r>
    <x v="1"/>
    <x v="2"/>
    <x v="2"/>
    <x v="211"/>
    <x v="177"/>
    <x v="177"/>
    <s v="CHARGES"/>
    <x v="0"/>
    <s v="3212.004"/>
    <s v="Intérêts rémun./perçu trop tôt sur acomptes C/C"/>
    <n v="21.1"/>
    <n v="0"/>
    <n v="3212"/>
  </r>
  <r>
    <x v="1"/>
    <x v="2"/>
    <x v="2"/>
    <x v="211"/>
    <x v="177"/>
    <x v="177"/>
    <s v="CHARGES"/>
    <x v="0"/>
    <s v="3221.002"/>
    <s v="Intérêts compensatoires / créances en faveur ctb."/>
    <n v="12.82"/>
    <n v="0"/>
    <n v="3221"/>
  </r>
  <r>
    <x v="1"/>
    <x v="2"/>
    <x v="2"/>
    <x v="211"/>
    <x v="177"/>
    <x v="177"/>
    <s v="REVENUS"/>
    <x v="17"/>
    <s v="4011.002"/>
    <s v="Complément impôt bénéfice ordinaire"/>
    <n v="0"/>
    <n v="2090.3000000000002"/>
    <n v="4011"/>
  </r>
  <r>
    <x v="1"/>
    <x v="2"/>
    <x v="2"/>
    <x v="211"/>
    <x v="177"/>
    <x v="177"/>
    <s v="REVENUS"/>
    <x v="17"/>
    <s v="4011.007"/>
    <s v="Acompte sur bénéfice"/>
    <n v="0"/>
    <n v="5994.25"/>
    <n v="4011"/>
  </r>
  <r>
    <x v="1"/>
    <x v="2"/>
    <x v="2"/>
    <x v="211"/>
    <x v="177"/>
    <x v="177"/>
    <s v="REVENUS"/>
    <x v="17"/>
    <s v="4011.001"/>
    <s v="Impôt bénéfice ordinaire"/>
    <n v="0"/>
    <n v="9577.2999999999993"/>
    <n v="4011"/>
  </r>
  <r>
    <x v="1"/>
    <x v="2"/>
    <x v="2"/>
    <x v="211"/>
    <x v="177"/>
    <x v="177"/>
    <s v="REVENUS"/>
    <x v="6"/>
    <s v="4211.002"/>
    <s v="Intérêts de retard sur acomptes"/>
    <n v="0"/>
    <n v="160.65"/>
    <n v="4211"/>
  </r>
  <r>
    <x v="1"/>
    <x v="2"/>
    <x v="2"/>
    <x v="211"/>
    <x v="177"/>
    <x v="177"/>
    <s v="REVENUS"/>
    <x v="16"/>
    <s v="4012.001"/>
    <s v="Impôt capital ordinaire"/>
    <n v="0"/>
    <n v="571.79999999999995"/>
    <n v="4012"/>
  </r>
  <r>
    <x v="1"/>
    <x v="2"/>
    <x v="2"/>
    <x v="211"/>
    <x v="177"/>
    <x v="177"/>
    <s v="REVENUS"/>
    <x v="16"/>
    <s v="4012.007"/>
    <s v="Acompte sur capital"/>
    <n v="0"/>
    <n v="783.9"/>
    <n v="4012"/>
  </r>
  <r>
    <x v="1"/>
    <x v="2"/>
    <x v="2"/>
    <x v="211"/>
    <x v="177"/>
    <x v="177"/>
    <s v="REVENUS"/>
    <x v="6"/>
    <s v="4221.001"/>
    <s v="Intérêts compensat. / créances en faveur du fisc"/>
    <n v="0"/>
    <n v="-8.5500000000000007"/>
    <n v="4221"/>
  </r>
  <r>
    <x v="1"/>
    <x v="2"/>
    <x v="2"/>
    <x v="211"/>
    <x v="177"/>
    <x v="177"/>
    <s v="REVENUS"/>
    <x v="6"/>
    <s v="4211.001"/>
    <s v="Intérêts de retard sur factures"/>
    <n v="0"/>
    <n v="53.01"/>
    <n v="4211"/>
  </r>
  <r>
    <x v="1"/>
    <x v="2"/>
    <x v="2"/>
    <x v="211"/>
    <x v="177"/>
    <x v="177"/>
    <s v="REVENUS"/>
    <x v="10"/>
    <s v="4041.001"/>
    <s v="Droits de mutation"/>
    <n v="0"/>
    <n v="73590"/>
    <n v="4041"/>
  </r>
  <r>
    <x v="1"/>
    <x v="2"/>
    <x v="2"/>
    <x v="211"/>
    <x v="177"/>
    <x v="177"/>
    <s v="REVENUS"/>
    <x v="18"/>
    <s v="4013.001"/>
    <s v="Impôt complémentaire sur immeubles"/>
    <n v="0"/>
    <n v="9634.25"/>
    <n v="4013"/>
  </r>
  <r>
    <x v="1"/>
    <x v="2"/>
    <x v="2"/>
    <x v="211"/>
    <x v="177"/>
    <x v="177"/>
    <s v="REVENUS"/>
    <x v="11"/>
    <s v="4198.001"/>
    <s v="Impôt foncier"/>
    <n v="0"/>
    <n v="8425.25"/>
    <n v="4198"/>
  </r>
  <r>
    <x v="1"/>
    <x v="2"/>
    <x v="2"/>
    <x v="211"/>
    <x v="177"/>
    <x v="177"/>
    <s v="REVENUS"/>
    <x v="9"/>
    <s v="4031.001"/>
    <s v="Impôt sur les gains immobiliers"/>
    <n v="0"/>
    <n v="436.05"/>
    <n v="4031"/>
  </r>
  <r>
    <x v="1"/>
    <x v="2"/>
    <x v="2"/>
    <x v="211"/>
    <x v="177"/>
    <x v="177"/>
    <s v="REVENUS"/>
    <x v="6"/>
    <s v="4221.002"/>
    <s v="Intérêts compensat. sur impôts distincts"/>
    <n v="0"/>
    <n v="0.04"/>
    <n v="4221"/>
  </r>
  <r>
    <x v="1"/>
    <x v="2"/>
    <x v="2"/>
    <x v="211"/>
    <x v="177"/>
    <x v="177"/>
    <s v="REVENUS"/>
    <x v="7"/>
    <s v="4184.000"/>
    <s v="Frais de poursuite"/>
    <n v="0"/>
    <n v="109.5"/>
    <n v="4184"/>
  </r>
  <r>
    <x v="1"/>
    <x v="2"/>
    <x v="2"/>
    <x v="212"/>
    <x v="178"/>
    <x v="178"/>
    <s v="CHARGES"/>
    <x v="1"/>
    <s v="3301.006"/>
    <s v="Abandon de solde PM"/>
    <n v="46.42"/>
    <n v="0"/>
    <n v="3301"/>
  </r>
  <r>
    <x v="1"/>
    <x v="2"/>
    <x v="2"/>
    <x v="212"/>
    <x v="178"/>
    <x v="178"/>
    <s v="CHARGES"/>
    <x v="0"/>
    <s v="3212.004"/>
    <s v="Intérêts rémun./perçu trop tôt sur acomptes C/C"/>
    <n v="10.51"/>
    <n v="0"/>
    <n v="3212"/>
  </r>
  <r>
    <x v="1"/>
    <x v="2"/>
    <x v="2"/>
    <x v="212"/>
    <x v="178"/>
    <x v="178"/>
    <s v="CHARGES"/>
    <x v="0"/>
    <s v="3221.002"/>
    <s v="Intérêts compensatoires / créances en faveur ctb."/>
    <n v="11.95"/>
    <n v="0"/>
    <n v="3221"/>
  </r>
  <r>
    <x v="1"/>
    <x v="2"/>
    <x v="2"/>
    <x v="212"/>
    <x v="178"/>
    <x v="178"/>
    <s v="CHARGES"/>
    <x v="0"/>
    <s v="3212.002"/>
    <s v="Intérêts bonifiés/trop perçu acompte C/C"/>
    <n v="0.03"/>
    <n v="0"/>
    <n v="3212"/>
  </r>
  <r>
    <x v="1"/>
    <x v="2"/>
    <x v="2"/>
    <x v="212"/>
    <x v="178"/>
    <x v="178"/>
    <s v="REVENUS"/>
    <x v="16"/>
    <s v="4012.001"/>
    <s v="Impôt capital ordinaire"/>
    <n v="0"/>
    <n v="820.65"/>
    <n v="4012"/>
  </r>
  <r>
    <x v="1"/>
    <x v="2"/>
    <x v="2"/>
    <x v="212"/>
    <x v="178"/>
    <x v="178"/>
    <s v="REVENUS"/>
    <x v="6"/>
    <s v="4211.002"/>
    <s v="Intérêts de retard sur acomptes"/>
    <n v="0"/>
    <n v="6.35"/>
    <n v="4211"/>
  </r>
  <r>
    <x v="1"/>
    <x v="2"/>
    <x v="2"/>
    <x v="212"/>
    <x v="178"/>
    <x v="178"/>
    <s v="REVENUS"/>
    <x v="16"/>
    <s v="4012.007"/>
    <s v="Acompte sur capital"/>
    <n v="0"/>
    <n v="6150.15"/>
    <n v="4012"/>
  </r>
  <r>
    <x v="1"/>
    <x v="2"/>
    <x v="2"/>
    <x v="212"/>
    <x v="178"/>
    <x v="178"/>
    <s v="REVENUS"/>
    <x v="17"/>
    <s v="4011.002"/>
    <s v="Complément impôt bénéfice ordinaire"/>
    <n v="0"/>
    <n v="11452.15"/>
    <n v="4011"/>
  </r>
  <r>
    <x v="1"/>
    <x v="2"/>
    <x v="2"/>
    <x v="212"/>
    <x v="178"/>
    <x v="178"/>
    <s v="REVENUS"/>
    <x v="17"/>
    <s v="4011.007"/>
    <s v="Acompte sur bénéfice"/>
    <n v="0"/>
    <n v="-11166.25"/>
    <n v="4011"/>
  </r>
  <r>
    <x v="1"/>
    <x v="2"/>
    <x v="2"/>
    <x v="212"/>
    <x v="178"/>
    <x v="178"/>
    <s v="REVENUS"/>
    <x v="17"/>
    <s v="4011.001"/>
    <s v="Impôt bénéfice ordinaire"/>
    <n v="0"/>
    <n v="-9135.25"/>
    <n v="4011"/>
  </r>
  <r>
    <x v="1"/>
    <x v="2"/>
    <x v="2"/>
    <x v="212"/>
    <x v="178"/>
    <x v="178"/>
    <s v="REVENUS"/>
    <x v="6"/>
    <s v="4211.001"/>
    <s v="Intérêts de retard sur factures"/>
    <n v="0"/>
    <n v="806.65"/>
    <n v="4211"/>
  </r>
  <r>
    <x v="1"/>
    <x v="2"/>
    <x v="2"/>
    <x v="212"/>
    <x v="178"/>
    <x v="178"/>
    <s v="REVENUS"/>
    <x v="11"/>
    <s v="4198.001"/>
    <s v="Impôt foncier"/>
    <n v="0"/>
    <n v="61855.5"/>
    <n v="4198"/>
  </r>
  <r>
    <x v="1"/>
    <x v="2"/>
    <x v="2"/>
    <x v="212"/>
    <x v="178"/>
    <x v="178"/>
    <s v="REVENUS"/>
    <x v="6"/>
    <s v="4221.001"/>
    <s v="Intérêts compensat. / créances en faveur du fisc"/>
    <n v="0"/>
    <n v="31.24"/>
    <n v="4221"/>
  </r>
  <r>
    <x v="1"/>
    <x v="2"/>
    <x v="2"/>
    <x v="212"/>
    <x v="178"/>
    <x v="178"/>
    <s v="REVENUS"/>
    <x v="16"/>
    <s v="4012.002"/>
    <s v="Complément impôt capital ordinaire"/>
    <n v="0"/>
    <n v="60.05"/>
    <n v="4012"/>
  </r>
  <r>
    <x v="1"/>
    <x v="2"/>
    <x v="2"/>
    <x v="212"/>
    <x v="178"/>
    <x v="178"/>
    <s v="REVENUS"/>
    <x v="10"/>
    <s v="4041.001"/>
    <s v="Droits de mutation"/>
    <n v="0"/>
    <n v="9130"/>
    <n v="4041"/>
  </r>
  <r>
    <x v="1"/>
    <x v="2"/>
    <x v="2"/>
    <x v="212"/>
    <x v="178"/>
    <x v="178"/>
    <s v="REVENUS"/>
    <x v="18"/>
    <s v="4013.001"/>
    <s v="Impôt complémentaire sur immeubles"/>
    <n v="0"/>
    <n v="10352.700000000001"/>
    <n v="4013"/>
  </r>
  <r>
    <x v="1"/>
    <x v="2"/>
    <x v="2"/>
    <x v="213"/>
    <x v="179"/>
    <x v="179"/>
    <s v="CHARGES"/>
    <x v="0"/>
    <s v="3212.004"/>
    <s v="Intérêts rémun./perçu trop tôt sur acomptes C/C"/>
    <n v="165.1"/>
    <n v="0"/>
    <n v="3212"/>
  </r>
  <r>
    <x v="1"/>
    <x v="2"/>
    <x v="2"/>
    <x v="213"/>
    <x v="179"/>
    <x v="179"/>
    <s v="CHARGES"/>
    <x v="0"/>
    <s v="3221.002"/>
    <s v="Intérêts compensatoires / créances en faveur ctb."/>
    <n v="270.39999999999998"/>
    <n v="0"/>
    <n v="3221"/>
  </r>
  <r>
    <x v="1"/>
    <x v="2"/>
    <x v="2"/>
    <x v="213"/>
    <x v="179"/>
    <x v="179"/>
    <s v="CHARGES"/>
    <x v="1"/>
    <s v="3301.006"/>
    <s v="Abandon de solde PM"/>
    <n v="85.9"/>
    <n v="0"/>
    <n v="3301"/>
  </r>
  <r>
    <x v="1"/>
    <x v="2"/>
    <x v="2"/>
    <x v="213"/>
    <x v="179"/>
    <x v="179"/>
    <s v="CHARGES"/>
    <x v="0"/>
    <s v="3212.002"/>
    <s v="Intérêts bonifiés/trop perçu acompte C/C"/>
    <n v="0.01"/>
    <n v="0"/>
    <n v="3212"/>
  </r>
  <r>
    <x v="1"/>
    <x v="2"/>
    <x v="2"/>
    <x v="213"/>
    <x v="179"/>
    <x v="179"/>
    <s v="CHARGES"/>
    <x v="1"/>
    <s v="3301.002"/>
    <s v="Défalcation PM"/>
    <n v="167.36"/>
    <n v="0"/>
    <n v="3301"/>
  </r>
  <r>
    <x v="1"/>
    <x v="2"/>
    <x v="2"/>
    <x v="213"/>
    <x v="179"/>
    <x v="179"/>
    <s v="REVENUS"/>
    <x v="16"/>
    <s v="4012.001"/>
    <s v="Impôt capital ordinaire"/>
    <n v="0"/>
    <n v="4635.6000000000004"/>
    <n v="4012"/>
  </r>
  <r>
    <x v="1"/>
    <x v="2"/>
    <x v="2"/>
    <x v="213"/>
    <x v="179"/>
    <x v="179"/>
    <s v="REVENUS"/>
    <x v="16"/>
    <s v="4012.007"/>
    <s v="Acompte sur capital"/>
    <n v="0"/>
    <n v="9964.6"/>
    <n v="4012"/>
  </r>
  <r>
    <x v="1"/>
    <x v="2"/>
    <x v="2"/>
    <x v="213"/>
    <x v="179"/>
    <x v="179"/>
    <s v="REVENUS"/>
    <x v="6"/>
    <s v="4211.002"/>
    <s v="Intérêts de retard sur acomptes"/>
    <n v="0"/>
    <n v="700.99"/>
    <n v="4211"/>
  </r>
  <r>
    <x v="1"/>
    <x v="2"/>
    <x v="2"/>
    <x v="213"/>
    <x v="179"/>
    <x v="179"/>
    <s v="REVENUS"/>
    <x v="17"/>
    <s v="4011.001"/>
    <s v="Impôt bénéfice ordinaire"/>
    <n v="0"/>
    <n v="434002.5"/>
    <n v="4011"/>
  </r>
  <r>
    <x v="1"/>
    <x v="2"/>
    <x v="2"/>
    <x v="213"/>
    <x v="179"/>
    <x v="179"/>
    <s v="REVENUS"/>
    <x v="17"/>
    <s v="4011.007"/>
    <s v="Acompte sur bénéfice"/>
    <n v="0"/>
    <n v="-248114.45"/>
    <n v="4011"/>
  </r>
  <r>
    <x v="1"/>
    <x v="2"/>
    <x v="2"/>
    <x v="213"/>
    <x v="179"/>
    <x v="179"/>
    <s v="REVENUS"/>
    <x v="6"/>
    <s v="4211.001"/>
    <s v="Intérêts de retard sur factures"/>
    <n v="0"/>
    <n v="1916.93"/>
    <n v="4211"/>
  </r>
  <r>
    <x v="1"/>
    <x v="2"/>
    <x v="2"/>
    <x v="213"/>
    <x v="179"/>
    <x v="179"/>
    <s v="REVENUS"/>
    <x v="17"/>
    <s v="4011.002"/>
    <s v="Complément impôt bénéfice ordinaire"/>
    <n v="0"/>
    <n v="50509.4"/>
    <n v="4011"/>
  </r>
  <r>
    <x v="1"/>
    <x v="2"/>
    <x v="2"/>
    <x v="213"/>
    <x v="179"/>
    <x v="179"/>
    <s v="REVENUS"/>
    <x v="6"/>
    <s v="4221.001"/>
    <s v="Intérêts compensat. / créances en faveur du fisc"/>
    <n v="0"/>
    <n v="38.99"/>
    <n v="4221"/>
  </r>
  <r>
    <x v="1"/>
    <x v="2"/>
    <x v="2"/>
    <x v="213"/>
    <x v="179"/>
    <x v="179"/>
    <s v="REVENUS"/>
    <x v="16"/>
    <s v="4012.002"/>
    <s v="Complément impôt capital ordinaire"/>
    <n v="0"/>
    <n v="442"/>
    <n v="4012"/>
  </r>
  <r>
    <x v="1"/>
    <x v="2"/>
    <x v="2"/>
    <x v="213"/>
    <x v="179"/>
    <x v="179"/>
    <s v="REVENUS"/>
    <x v="10"/>
    <s v="4041.001"/>
    <s v="Droits de mutation"/>
    <n v="0"/>
    <n v="95150"/>
    <n v="4041"/>
  </r>
  <r>
    <x v="1"/>
    <x v="2"/>
    <x v="2"/>
    <x v="213"/>
    <x v="179"/>
    <x v="179"/>
    <s v="REVENUS"/>
    <x v="18"/>
    <s v="4013.001"/>
    <s v="Impôt complémentaire sur immeubles"/>
    <n v="0"/>
    <n v="62295.199999999997"/>
    <n v="4013"/>
  </r>
  <r>
    <x v="1"/>
    <x v="2"/>
    <x v="2"/>
    <x v="213"/>
    <x v="179"/>
    <x v="179"/>
    <s v="REVENUS"/>
    <x v="11"/>
    <s v="4198.001"/>
    <s v="Impôt foncier"/>
    <n v="0"/>
    <n v="227989.2"/>
    <n v="4198"/>
  </r>
  <r>
    <x v="1"/>
    <x v="2"/>
    <x v="2"/>
    <x v="213"/>
    <x v="179"/>
    <x v="179"/>
    <s v="REVENUS"/>
    <x v="7"/>
    <s v="4184.000"/>
    <s v="Frais de poursuite"/>
    <n v="0"/>
    <n v="20.260000000000002"/>
    <n v="4184"/>
  </r>
  <r>
    <x v="1"/>
    <x v="2"/>
    <x v="2"/>
    <x v="214"/>
    <x v="180"/>
    <x v="180"/>
    <s v="CHARGES"/>
    <x v="1"/>
    <s v="3301.006"/>
    <s v="Abandon de solde PM"/>
    <n v="21.93"/>
    <n v="0"/>
    <n v="3301"/>
  </r>
  <r>
    <x v="1"/>
    <x v="2"/>
    <x v="2"/>
    <x v="214"/>
    <x v="180"/>
    <x v="180"/>
    <s v="CHARGES"/>
    <x v="0"/>
    <s v="3212.002"/>
    <s v="Intérêts bonifiés/trop perçu acompte C/C"/>
    <n v="0.03"/>
    <n v="0"/>
    <n v="3212"/>
  </r>
  <r>
    <x v="1"/>
    <x v="2"/>
    <x v="2"/>
    <x v="214"/>
    <x v="180"/>
    <x v="180"/>
    <s v="CHARGES"/>
    <x v="0"/>
    <s v="3212.004"/>
    <s v="Intérêts rémun./perçu trop tôt sur acomptes C/C"/>
    <n v="209.44"/>
    <n v="0"/>
    <n v="3212"/>
  </r>
  <r>
    <x v="1"/>
    <x v="2"/>
    <x v="2"/>
    <x v="214"/>
    <x v="180"/>
    <x v="180"/>
    <s v="CHARGES"/>
    <x v="0"/>
    <s v="3221.002"/>
    <s v="Intérêts compensatoires / créances en faveur ctb."/>
    <n v="375.32"/>
    <n v="0"/>
    <n v="3221"/>
  </r>
  <r>
    <x v="1"/>
    <x v="2"/>
    <x v="2"/>
    <x v="214"/>
    <x v="180"/>
    <x v="180"/>
    <s v="REVENUS"/>
    <x v="6"/>
    <s v="4211.001"/>
    <s v="Intérêts de retard sur factures"/>
    <n v="0"/>
    <n v="630.85"/>
    <n v="4211"/>
  </r>
  <r>
    <x v="1"/>
    <x v="2"/>
    <x v="2"/>
    <x v="214"/>
    <x v="180"/>
    <x v="180"/>
    <s v="REVENUS"/>
    <x v="17"/>
    <s v="4011.002"/>
    <s v="Complément impôt bénéfice ordinaire"/>
    <n v="0"/>
    <n v="27939.200000000001"/>
    <n v="4011"/>
  </r>
  <r>
    <x v="1"/>
    <x v="2"/>
    <x v="2"/>
    <x v="214"/>
    <x v="180"/>
    <x v="180"/>
    <s v="REVENUS"/>
    <x v="16"/>
    <s v="4012.001"/>
    <s v="Impôt capital ordinaire"/>
    <n v="0"/>
    <n v="777.2"/>
    <n v="4012"/>
  </r>
  <r>
    <x v="1"/>
    <x v="2"/>
    <x v="2"/>
    <x v="214"/>
    <x v="180"/>
    <x v="180"/>
    <s v="REVENUS"/>
    <x v="16"/>
    <s v="4012.007"/>
    <s v="Acompte sur capital"/>
    <n v="0"/>
    <n v="1219.9000000000001"/>
    <n v="4012"/>
  </r>
  <r>
    <x v="1"/>
    <x v="2"/>
    <x v="2"/>
    <x v="214"/>
    <x v="180"/>
    <x v="180"/>
    <s v="REVENUS"/>
    <x v="17"/>
    <s v="4011.001"/>
    <s v="Impôt bénéfice ordinaire"/>
    <n v="0"/>
    <n v="5168.8500000000004"/>
    <n v="4011"/>
  </r>
  <r>
    <x v="1"/>
    <x v="2"/>
    <x v="2"/>
    <x v="214"/>
    <x v="180"/>
    <x v="180"/>
    <s v="REVENUS"/>
    <x v="17"/>
    <s v="4011.007"/>
    <s v="Acompte sur bénéfice"/>
    <n v="0"/>
    <n v="-4211.5"/>
    <n v="4011"/>
  </r>
  <r>
    <x v="1"/>
    <x v="2"/>
    <x v="2"/>
    <x v="214"/>
    <x v="180"/>
    <x v="180"/>
    <s v="REVENUS"/>
    <x v="7"/>
    <s v="4184.000"/>
    <s v="Frais de poursuite"/>
    <n v="0"/>
    <n v="14.61"/>
    <n v="4184"/>
  </r>
  <r>
    <x v="1"/>
    <x v="2"/>
    <x v="2"/>
    <x v="214"/>
    <x v="180"/>
    <x v="180"/>
    <s v="REVENUS"/>
    <x v="6"/>
    <s v="4211.002"/>
    <s v="Intérêts de retard sur acomptes"/>
    <n v="0"/>
    <n v="21.26"/>
    <n v="4211"/>
  </r>
  <r>
    <x v="1"/>
    <x v="2"/>
    <x v="2"/>
    <x v="214"/>
    <x v="180"/>
    <x v="180"/>
    <s v="REVENUS"/>
    <x v="18"/>
    <s v="4013.003"/>
    <s v="Remboursement impôt complémentaire sur immeubles"/>
    <n v="0"/>
    <n v="-10031.5"/>
    <n v="4013"/>
  </r>
  <r>
    <x v="1"/>
    <x v="2"/>
    <x v="2"/>
    <x v="214"/>
    <x v="180"/>
    <x v="180"/>
    <s v="REVENUS"/>
    <x v="18"/>
    <s v="4013.001"/>
    <s v="Impôt complémentaire sur immeubles"/>
    <n v="0"/>
    <n v="12563.65"/>
    <n v="4013"/>
  </r>
  <r>
    <x v="1"/>
    <x v="2"/>
    <x v="2"/>
    <x v="214"/>
    <x v="180"/>
    <x v="180"/>
    <s v="REVENUS"/>
    <x v="11"/>
    <s v="4198.001"/>
    <s v="Impôt foncier"/>
    <n v="0"/>
    <n v="38730.449999999997"/>
    <n v="4198"/>
  </r>
  <r>
    <x v="1"/>
    <x v="2"/>
    <x v="2"/>
    <x v="214"/>
    <x v="180"/>
    <x v="180"/>
    <s v="REVENUS"/>
    <x v="10"/>
    <s v="4041.001"/>
    <s v="Droits de mutation"/>
    <n v="0"/>
    <n v="11660"/>
    <n v="4041"/>
  </r>
  <r>
    <x v="1"/>
    <x v="2"/>
    <x v="2"/>
    <x v="214"/>
    <x v="180"/>
    <x v="180"/>
    <s v="REVENUS"/>
    <x v="18"/>
    <s v="4013.002"/>
    <s v="Complément impôt complémentaire sur immeubles"/>
    <n v="0"/>
    <n v="7.5"/>
    <n v="4013"/>
  </r>
  <r>
    <x v="1"/>
    <x v="2"/>
    <x v="2"/>
    <x v="215"/>
    <x v="181"/>
    <x v="181"/>
    <s v="CHARGES"/>
    <x v="1"/>
    <s v="3301.006"/>
    <s v="Abandon de solde PM"/>
    <n v="39.369999999999997"/>
    <n v="0"/>
    <n v="3301"/>
  </r>
  <r>
    <x v="1"/>
    <x v="2"/>
    <x v="2"/>
    <x v="215"/>
    <x v="181"/>
    <x v="181"/>
    <s v="CHARGES"/>
    <x v="0"/>
    <s v="3212.004"/>
    <s v="Intérêts rémun./perçu trop tôt sur acomptes C/C"/>
    <n v="3.93"/>
    <n v="0"/>
    <n v="3212"/>
  </r>
  <r>
    <x v="1"/>
    <x v="2"/>
    <x v="2"/>
    <x v="215"/>
    <x v="181"/>
    <x v="181"/>
    <s v="CHARGES"/>
    <x v="0"/>
    <s v="3212.002"/>
    <s v="Intérêts bonifiés/trop perçu acompte C/C"/>
    <n v="0.02"/>
    <n v="0"/>
    <n v="3212"/>
  </r>
  <r>
    <x v="1"/>
    <x v="2"/>
    <x v="2"/>
    <x v="215"/>
    <x v="181"/>
    <x v="181"/>
    <s v="CHARGES"/>
    <x v="0"/>
    <s v="3221.002"/>
    <s v="Intérêts compensatoires / créances en faveur ctb."/>
    <n v="5.23"/>
    <n v="0"/>
    <n v="3221"/>
  </r>
  <r>
    <x v="1"/>
    <x v="2"/>
    <x v="2"/>
    <x v="215"/>
    <x v="181"/>
    <x v="181"/>
    <s v="REVENUS"/>
    <x v="16"/>
    <s v="4012.001"/>
    <s v="Impôt capital ordinaire"/>
    <n v="0"/>
    <n v="6396.15"/>
    <n v="4012"/>
  </r>
  <r>
    <x v="1"/>
    <x v="2"/>
    <x v="2"/>
    <x v="215"/>
    <x v="181"/>
    <x v="181"/>
    <s v="REVENUS"/>
    <x v="16"/>
    <s v="4012.007"/>
    <s v="Acompte sur capital"/>
    <n v="0"/>
    <n v="976.8"/>
    <n v="4012"/>
  </r>
  <r>
    <x v="1"/>
    <x v="2"/>
    <x v="2"/>
    <x v="215"/>
    <x v="181"/>
    <x v="181"/>
    <s v="REVENUS"/>
    <x v="6"/>
    <s v="4211.001"/>
    <s v="Intérêts de retard sur factures"/>
    <n v="0"/>
    <n v="4.72"/>
    <n v="4211"/>
  </r>
  <r>
    <x v="1"/>
    <x v="2"/>
    <x v="2"/>
    <x v="215"/>
    <x v="181"/>
    <x v="181"/>
    <s v="REVENUS"/>
    <x v="17"/>
    <s v="4011.001"/>
    <s v="Impôt bénéfice ordinaire"/>
    <n v="0"/>
    <n v="2823.35"/>
    <n v="4011"/>
  </r>
  <r>
    <x v="1"/>
    <x v="2"/>
    <x v="2"/>
    <x v="215"/>
    <x v="181"/>
    <x v="181"/>
    <s v="REVENUS"/>
    <x v="6"/>
    <s v="4211.002"/>
    <s v="Intérêts de retard sur acomptes"/>
    <n v="0"/>
    <n v="80.95"/>
    <n v="4211"/>
  </r>
  <r>
    <x v="1"/>
    <x v="2"/>
    <x v="2"/>
    <x v="215"/>
    <x v="181"/>
    <x v="181"/>
    <s v="REVENUS"/>
    <x v="6"/>
    <s v="4221.001"/>
    <s v="Intérêts compensat. / créances en faveur du fisc"/>
    <n v="0"/>
    <n v="3.31"/>
    <n v="4221"/>
  </r>
  <r>
    <x v="1"/>
    <x v="2"/>
    <x v="2"/>
    <x v="215"/>
    <x v="181"/>
    <x v="181"/>
    <s v="REVENUS"/>
    <x v="11"/>
    <s v="4198.001"/>
    <s v="Impôt foncier"/>
    <n v="0"/>
    <n v="28620.400000000001"/>
    <n v="4198"/>
  </r>
  <r>
    <x v="1"/>
    <x v="2"/>
    <x v="2"/>
    <x v="215"/>
    <x v="181"/>
    <x v="181"/>
    <s v="REVENUS"/>
    <x v="17"/>
    <s v="4011.002"/>
    <s v="Complément impôt bénéfice ordinaire"/>
    <n v="0"/>
    <n v="2914.6"/>
    <n v="4011"/>
  </r>
  <r>
    <x v="1"/>
    <x v="2"/>
    <x v="2"/>
    <x v="215"/>
    <x v="181"/>
    <x v="181"/>
    <s v="REVENUS"/>
    <x v="17"/>
    <s v="4011.007"/>
    <s v="Acompte sur bénéfice"/>
    <n v="0"/>
    <n v="-1304.5999999999999"/>
    <n v="4011"/>
  </r>
  <r>
    <x v="1"/>
    <x v="2"/>
    <x v="2"/>
    <x v="215"/>
    <x v="181"/>
    <x v="181"/>
    <s v="REVENUS"/>
    <x v="10"/>
    <s v="4041.001"/>
    <s v="Droits de mutation"/>
    <n v="0"/>
    <n v="528"/>
    <n v="4041"/>
  </r>
  <r>
    <x v="1"/>
    <x v="2"/>
    <x v="2"/>
    <x v="215"/>
    <x v="181"/>
    <x v="181"/>
    <s v="REVENUS"/>
    <x v="18"/>
    <s v="4013.001"/>
    <s v="Impôt complémentaire sur immeubles"/>
    <n v="0"/>
    <n v="6088.85"/>
    <n v="4013"/>
  </r>
  <r>
    <x v="1"/>
    <x v="2"/>
    <x v="2"/>
    <x v="216"/>
    <x v="182"/>
    <x v="182"/>
    <s v="CHARGES"/>
    <x v="0"/>
    <s v="3212.004"/>
    <s v="Intérêts rémun./perçu trop tôt sur acomptes C/C"/>
    <n v="52.79"/>
    <n v="0"/>
    <n v="3212"/>
  </r>
  <r>
    <x v="1"/>
    <x v="2"/>
    <x v="2"/>
    <x v="216"/>
    <x v="182"/>
    <x v="182"/>
    <s v="CHARGES"/>
    <x v="0"/>
    <s v="3221.002"/>
    <s v="Intérêts compensatoires / créances en faveur ctb."/>
    <n v="14.57"/>
    <n v="0"/>
    <n v="3221"/>
  </r>
  <r>
    <x v="1"/>
    <x v="2"/>
    <x v="2"/>
    <x v="216"/>
    <x v="182"/>
    <x v="182"/>
    <s v="CHARGES"/>
    <x v="1"/>
    <s v="3301.006"/>
    <s v="Abandon de solde PM"/>
    <n v="17.27"/>
    <n v="0"/>
    <n v="3301"/>
  </r>
  <r>
    <x v="1"/>
    <x v="2"/>
    <x v="2"/>
    <x v="216"/>
    <x v="182"/>
    <x v="182"/>
    <s v="CHARGES"/>
    <x v="0"/>
    <s v="3212.002"/>
    <s v="Intérêts bonifiés/trop perçu acompte C/C"/>
    <n v="-0.96"/>
    <n v="0"/>
    <n v="3212"/>
  </r>
  <r>
    <x v="1"/>
    <x v="2"/>
    <x v="2"/>
    <x v="216"/>
    <x v="182"/>
    <x v="182"/>
    <s v="CHARGES"/>
    <x v="1"/>
    <s v="3301.002"/>
    <s v="Défalcation PM"/>
    <n v="72.22"/>
    <n v="0"/>
    <n v="3301"/>
  </r>
  <r>
    <x v="1"/>
    <x v="2"/>
    <x v="2"/>
    <x v="216"/>
    <x v="182"/>
    <x v="182"/>
    <s v="REVENUS"/>
    <x v="16"/>
    <s v="4012.001"/>
    <s v="Impôt capital ordinaire"/>
    <n v="0"/>
    <n v="1167997.55"/>
    <n v="4012"/>
  </r>
  <r>
    <x v="1"/>
    <x v="2"/>
    <x v="2"/>
    <x v="216"/>
    <x v="182"/>
    <x v="182"/>
    <s v="REVENUS"/>
    <x v="16"/>
    <s v="4012.007"/>
    <s v="Acompte sur capital"/>
    <n v="0"/>
    <n v="-1190691.75"/>
    <n v="4012"/>
  </r>
  <r>
    <x v="1"/>
    <x v="2"/>
    <x v="2"/>
    <x v="216"/>
    <x v="182"/>
    <x v="182"/>
    <s v="REVENUS"/>
    <x v="6"/>
    <s v="4211.002"/>
    <s v="Intérêts de retard sur acomptes"/>
    <n v="0"/>
    <n v="15793.63"/>
    <n v="4211"/>
  </r>
  <r>
    <x v="1"/>
    <x v="2"/>
    <x v="2"/>
    <x v="216"/>
    <x v="182"/>
    <x v="182"/>
    <s v="REVENUS"/>
    <x v="6"/>
    <s v="4221.001"/>
    <s v="Intérêts compensat. / créances en faveur du fisc"/>
    <n v="0"/>
    <n v="34.159999999999997"/>
    <n v="4221"/>
  </r>
  <r>
    <x v="1"/>
    <x v="2"/>
    <x v="2"/>
    <x v="216"/>
    <x v="182"/>
    <x v="182"/>
    <s v="REVENUS"/>
    <x v="17"/>
    <s v="4011.001"/>
    <s v="Impôt bénéfice ordinaire"/>
    <n v="0"/>
    <n v="74662.55"/>
    <n v="4011"/>
  </r>
  <r>
    <x v="1"/>
    <x v="2"/>
    <x v="2"/>
    <x v="216"/>
    <x v="182"/>
    <x v="182"/>
    <s v="REVENUS"/>
    <x v="17"/>
    <s v="4011.007"/>
    <s v="Acompte sur bénéfice"/>
    <n v="0"/>
    <n v="-8013.7"/>
    <n v="4011"/>
  </r>
  <r>
    <x v="1"/>
    <x v="2"/>
    <x v="2"/>
    <x v="216"/>
    <x v="182"/>
    <x v="182"/>
    <s v="REVENUS"/>
    <x v="17"/>
    <s v="4011.002"/>
    <s v="Complément impôt bénéfice ordinaire"/>
    <n v="0"/>
    <n v="739.95"/>
    <n v="4011"/>
  </r>
  <r>
    <x v="1"/>
    <x v="2"/>
    <x v="2"/>
    <x v="216"/>
    <x v="182"/>
    <x v="182"/>
    <s v="REVENUS"/>
    <x v="6"/>
    <s v="4211.001"/>
    <s v="Intérêts de retard sur factures"/>
    <n v="0"/>
    <n v="5.27"/>
    <n v="4211"/>
  </r>
  <r>
    <x v="1"/>
    <x v="2"/>
    <x v="2"/>
    <x v="216"/>
    <x v="182"/>
    <x v="182"/>
    <s v="REVENUS"/>
    <x v="18"/>
    <s v="4013.001"/>
    <s v="Impôt complémentaire sur immeubles"/>
    <n v="0"/>
    <n v="5034.1499999999996"/>
    <n v="4013"/>
  </r>
  <r>
    <x v="1"/>
    <x v="2"/>
    <x v="2"/>
    <x v="216"/>
    <x v="182"/>
    <x v="182"/>
    <s v="REVENUS"/>
    <x v="18"/>
    <s v="4013.002"/>
    <s v="Complément impôt complémentaire sur immeubles"/>
    <n v="0"/>
    <n v="-18.899999999999999"/>
    <n v="4013"/>
  </r>
  <r>
    <x v="1"/>
    <x v="2"/>
    <x v="2"/>
    <x v="216"/>
    <x v="182"/>
    <x v="182"/>
    <s v="REVENUS"/>
    <x v="7"/>
    <s v="4184.000"/>
    <s v="Frais de poursuite"/>
    <n v="0"/>
    <n v="33.24"/>
    <n v="4184"/>
  </r>
  <r>
    <x v="1"/>
    <x v="2"/>
    <x v="2"/>
    <x v="216"/>
    <x v="182"/>
    <x v="182"/>
    <s v="REVENUS"/>
    <x v="10"/>
    <s v="4041.001"/>
    <s v="Droits de mutation"/>
    <n v="0"/>
    <n v="16445"/>
    <n v="4041"/>
  </r>
  <r>
    <x v="1"/>
    <x v="2"/>
    <x v="2"/>
    <x v="216"/>
    <x v="182"/>
    <x v="182"/>
    <s v="REVENUS"/>
    <x v="11"/>
    <s v="4198.001"/>
    <s v="Impôt foncier"/>
    <n v="0"/>
    <n v="16095"/>
    <n v="4198"/>
  </r>
  <r>
    <x v="1"/>
    <x v="2"/>
    <x v="2"/>
    <x v="217"/>
    <x v="183"/>
    <x v="183"/>
    <s v="CHARGES"/>
    <x v="0"/>
    <s v="3212.004"/>
    <s v="Intérêts rémun./perçu trop tôt sur acomptes C/C"/>
    <n v="80.89"/>
    <n v="0"/>
    <n v="3212"/>
  </r>
  <r>
    <x v="1"/>
    <x v="2"/>
    <x v="2"/>
    <x v="217"/>
    <x v="183"/>
    <x v="183"/>
    <s v="CHARGES"/>
    <x v="0"/>
    <s v="3221.002"/>
    <s v="Intérêts compensatoires / créances en faveur ctb."/>
    <n v="45.36"/>
    <n v="0"/>
    <n v="3221"/>
  </r>
  <r>
    <x v="1"/>
    <x v="2"/>
    <x v="2"/>
    <x v="217"/>
    <x v="183"/>
    <x v="183"/>
    <s v="CHARGES"/>
    <x v="1"/>
    <s v="3301.006"/>
    <s v="Abandon de solde PM"/>
    <n v="84.32"/>
    <n v="0"/>
    <n v="3301"/>
  </r>
  <r>
    <x v="1"/>
    <x v="2"/>
    <x v="2"/>
    <x v="217"/>
    <x v="183"/>
    <x v="183"/>
    <s v="CHARGES"/>
    <x v="0"/>
    <s v="3212.002"/>
    <s v="Intérêts bonifiés/trop perçu acompte C/C"/>
    <n v="0.11"/>
    <n v="0"/>
    <n v="3212"/>
  </r>
  <r>
    <x v="1"/>
    <x v="2"/>
    <x v="2"/>
    <x v="217"/>
    <x v="183"/>
    <x v="183"/>
    <s v="REVENUS"/>
    <x v="16"/>
    <s v="4012.001"/>
    <s v="Impôt capital ordinaire"/>
    <n v="0"/>
    <n v="4262.6499999999996"/>
    <n v="4012"/>
  </r>
  <r>
    <x v="1"/>
    <x v="2"/>
    <x v="2"/>
    <x v="217"/>
    <x v="183"/>
    <x v="183"/>
    <s v="REVENUS"/>
    <x v="16"/>
    <s v="4012.007"/>
    <s v="Acompte sur capital"/>
    <n v="0"/>
    <n v="3892.45"/>
    <n v="4012"/>
  </r>
  <r>
    <x v="1"/>
    <x v="2"/>
    <x v="2"/>
    <x v="217"/>
    <x v="183"/>
    <x v="183"/>
    <s v="REVENUS"/>
    <x v="17"/>
    <s v="4011.001"/>
    <s v="Impôt bénéfice ordinaire"/>
    <n v="0"/>
    <n v="89082.15"/>
    <n v="4011"/>
  </r>
  <r>
    <x v="1"/>
    <x v="2"/>
    <x v="2"/>
    <x v="217"/>
    <x v="183"/>
    <x v="183"/>
    <s v="REVENUS"/>
    <x v="17"/>
    <s v="4011.007"/>
    <s v="Acompte sur bénéfice"/>
    <n v="0"/>
    <n v="-46365.1"/>
    <n v="4011"/>
  </r>
  <r>
    <x v="1"/>
    <x v="2"/>
    <x v="2"/>
    <x v="217"/>
    <x v="183"/>
    <x v="183"/>
    <s v="REVENUS"/>
    <x v="6"/>
    <s v="4211.002"/>
    <s v="Intérêts de retard sur acomptes"/>
    <n v="0"/>
    <n v="250.88"/>
    <n v="4211"/>
  </r>
  <r>
    <x v="1"/>
    <x v="2"/>
    <x v="2"/>
    <x v="217"/>
    <x v="183"/>
    <x v="183"/>
    <s v="REVENUS"/>
    <x v="6"/>
    <s v="4221.001"/>
    <s v="Intérêts compensat. / créances en faveur du fisc"/>
    <n v="0"/>
    <n v="18.89"/>
    <n v="4221"/>
  </r>
  <r>
    <x v="1"/>
    <x v="2"/>
    <x v="2"/>
    <x v="217"/>
    <x v="183"/>
    <x v="183"/>
    <s v="REVENUS"/>
    <x v="16"/>
    <s v="4012.002"/>
    <s v="Complément impôt capital ordinaire"/>
    <n v="0"/>
    <n v="71.8"/>
    <n v="4012"/>
  </r>
  <r>
    <x v="1"/>
    <x v="2"/>
    <x v="2"/>
    <x v="217"/>
    <x v="183"/>
    <x v="183"/>
    <s v="REVENUS"/>
    <x v="17"/>
    <s v="4011.002"/>
    <s v="Complément impôt bénéfice ordinaire"/>
    <n v="0"/>
    <n v="3417.95"/>
    <n v="4011"/>
  </r>
  <r>
    <x v="1"/>
    <x v="2"/>
    <x v="2"/>
    <x v="217"/>
    <x v="183"/>
    <x v="183"/>
    <s v="REVENUS"/>
    <x v="10"/>
    <s v="4041.001"/>
    <s v="Droits de mutation"/>
    <n v="0"/>
    <n v="21780"/>
    <n v="4041"/>
  </r>
  <r>
    <x v="1"/>
    <x v="2"/>
    <x v="2"/>
    <x v="217"/>
    <x v="183"/>
    <x v="183"/>
    <s v="REVENUS"/>
    <x v="10"/>
    <s v="4041.002"/>
    <s v="Complément droit de mutation"/>
    <n v="0"/>
    <n v="23430"/>
    <n v="4041"/>
  </r>
  <r>
    <x v="1"/>
    <x v="2"/>
    <x v="2"/>
    <x v="217"/>
    <x v="183"/>
    <x v="183"/>
    <s v="REVENUS"/>
    <x v="6"/>
    <s v="4211.001"/>
    <s v="Intérêts de retard sur factures"/>
    <n v="0"/>
    <n v="630.01"/>
    <n v="4211"/>
  </r>
  <r>
    <x v="1"/>
    <x v="2"/>
    <x v="2"/>
    <x v="217"/>
    <x v="183"/>
    <x v="183"/>
    <s v="REVENUS"/>
    <x v="18"/>
    <s v="4013.003"/>
    <s v="Remboursement impôt complémentaire sur immeubles"/>
    <n v="0"/>
    <n v="-2202.5"/>
    <n v="4013"/>
  </r>
  <r>
    <x v="1"/>
    <x v="2"/>
    <x v="2"/>
    <x v="217"/>
    <x v="183"/>
    <x v="183"/>
    <s v="REVENUS"/>
    <x v="18"/>
    <s v="4013.001"/>
    <s v="Impôt complémentaire sur immeubles"/>
    <n v="0"/>
    <n v="16214.15"/>
    <n v="4013"/>
  </r>
  <r>
    <x v="1"/>
    <x v="2"/>
    <x v="2"/>
    <x v="217"/>
    <x v="183"/>
    <x v="183"/>
    <s v="REVENUS"/>
    <x v="11"/>
    <s v="4198.001"/>
    <s v="Impôt foncier"/>
    <n v="0"/>
    <n v="43728.25"/>
    <n v="4198"/>
  </r>
  <r>
    <x v="1"/>
    <x v="2"/>
    <x v="2"/>
    <x v="217"/>
    <x v="183"/>
    <x v="183"/>
    <s v="REVENUS"/>
    <x v="18"/>
    <s v="4013.002"/>
    <s v="Complément impôt complémentaire sur immeubles"/>
    <n v="0"/>
    <n v="25"/>
    <n v="4013"/>
  </r>
  <r>
    <x v="1"/>
    <x v="2"/>
    <x v="2"/>
    <x v="218"/>
    <x v="184"/>
    <x v="184"/>
    <s v="CHARGES"/>
    <x v="0"/>
    <s v="3212.004"/>
    <s v="Intérêts rémun./perçu trop tôt sur acomptes C/C"/>
    <n v="56.83"/>
    <n v="0"/>
    <n v="3212"/>
  </r>
  <r>
    <x v="1"/>
    <x v="2"/>
    <x v="2"/>
    <x v="218"/>
    <x v="184"/>
    <x v="184"/>
    <s v="CHARGES"/>
    <x v="0"/>
    <s v="3221.002"/>
    <s v="Intérêts compensatoires / créances en faveur ctb."/>
    <n v="86.89"/>
    <n v="0"/>
    <n v="3221"/>
  </r>
  <r>
    <x v="1"/>
    <x v="2"/>
    <x v="2"/>
    <x v="218"/>
    <x v="184"/>
    <x v="184"/>
    <s v="CHARGES"/>
    <x v="1"/>
    <s v="3301.006"/>
    <s v="Abandon de solde PM"/>
    <n v="130.71"/>
    <n v="0"/>
    <n v="3301"/>
  </r>
  <r>
    <x v="1"/>
    <x v="2"/>
    <x v="2"/>
    <x v="218"/>
    <x v="184"/>
    <x v="184"/>
    <s v="CHARGES"/>
    <x v="0"/>
    <s v="3212.002"/>
    <s v="Intérêts bonifiés/trop perçu acompte C/C"/>
    <n v="1.9"/>
    <n v="0"/>
    <n v="3212"/>
  </r>
  <r>
    <x v="1"/>
    <x v="2"/>
    <x v="2"/>
    <x v="218"/>
    <x v="184"/>
    <x v="184"/>
    <s v="CHARGES"/>
    <x v="1"/>
    <s v="3301.002"/>
    <s v="Défalcation PM"/>
    <n v="3396.36"/>
    <n v="0"/>
    <n v="3301"/>
  </r>
  <r>
    <x v="1"/>
    <x v="2"/>
    <x v="2"/>
    <x v="218"/>
    <x v="184"/>
    <x v="184"/>
    <s v="REVENUS"/>
    <x v="17"/>
    <s v="4011.001"/>
    <s v="Impôt bénéfice ordinaire"/>
    <n v="0"/>
    <n v="228949.95"/>
    <n v="4011"/>
  </r>
  <r>
    <x v="1"/>
    <x v="2"/>
    <x v="2"/>
    <x v="218"/>
    <x v="184"/>
    <x v="184"/>
    <s v="REVENUS"/>
    <x v="17"/>
    <s v="4011.007"/>
    <s v="Acompte sur bénéfice"/>
    <n v="0"/>
    <n v="-110064.95"/>
    <n v="4011"/>
  </r>
  <r>
    <x v="1"/>
    <x v="2"/>
    <x v="2"/>
    <x v="218"/>
    <x v="184"/>
    <x v="184"/>
    <s v="REVENUS"/>
    <x v="16"/>
    <s v="4012.001"/>
    <s v="Impôt capital ordinaire"/>
    <n v="0"/>
    <n v="10542.2"/>
    <n v="4012"/>
  </r>
  <r>
    <x v="1"/>
    <x v="2"/>
    <x v="2"/>
    <x v="218"/>
    <x v="184"/>
    <x v="184"/>
    <s v="REVENUS"/>
    <x v="16"/>
    <s v="4012.007"/>
    <s v="Acompte sur capital"/>
    <n v="0"/>
    <n v="6820.2"/>
    <n v="4012"/>
  </r>
  <r>
    <x v="1"/>
    <x v="2"/>
    <x v="2"/>
    <x v="218"/>
    <x v="184"/>
    <x v="184"/>
    <s v="REVENUS"/>
    <x v="18"/>
    <s v="4013.001"/>
    <s v="Impôt complémentaire sur immeubles"/>
    <n v="0"/>
    <n v="46556"/>
    <n v="4013"/>
  </r>
  <r>
    <x v="1"/>
    <x v="2"/>
    <x v="2"/>
    <x v="218"/>
    <x v="184"/>
    <x v="184"/>
    <s v="REVENUS"/>
    <x v="6"/>
    <s v="4211.002"/>
    <s v="Intérêts de retard sur acomptes"/>
    <n v="0"/>
    <n v="200.42"/>
    <n v="4211"/>
  </r>
  <r>
    <x v="1"/>
    <x v="2"/>
    <x v="2"/>
    <x v="218"/>
    <x v="184"/>
    <x v="184"/>
    <s v="REVENUS"/>
    <x v="11"/>
    <s v="4198.001"/>
    <s v="Impôt foncier"/>
    <n v="0"/>
    <n v="151441.5"/>
    <n v="4198"/>
  </r>
  <r>
    <x v="1"/>
    <x v="2"/>
    <x v="2"/>
    <x v="218"/>
    <x v="184"/>
    <x v="184"/>
    <s v="REVENUS"/>
    <x v="17"/>
    <s v="4011.002"/>
    <s v="Complément impôt bénéfice ordinaire"/>
    <n v="0"/>
    <n v="14774.2"/>
    <n v="4011"/>
  </r>
  <r>
    <x v="1"/>
    <x v="2"/>
    <x v="2"/>
    <x v="218"/>
    <x v="184"/>
    <x v="184"/>
    <s v="REVENUS"/>
    <x v="6"/>
    <s v="4211.001"/>
    <s v="Intérêts de retard sur factures"/>
    <n v="0"/>
    <n v="1215.1600000000001"/>
    <n v="4211"/>
  </r>
  <r>
    <x v="1"/>
    <x v="2"/>
    <x v="2"/>
    <x v="218"/>
    <x v="184"/>
    <x v="184"/>
    <s v="REVENUS"/>
    <x v="6"/>
    <s v="4221.001"/>
    <s v="Intérêts compensat. / créances en faveur du fisc"/>
    <n v="0"/>
    <n v="97.69"/>
    <n v="4221"/>
  </r>
  <r>
    <x v="1"/>
    <x v="2"/>
    <x v="2"/>
    <x v="218"/>
    <x v="184"/>
    <x v="184"/>
    <s v="REVENUS"/>
    <x v="7"/>
    <s v="4184.000"/>
    <s v="Frais de poursuite"/>
    <n v="0"/>
    <n v="187.04"/>
    <n v="4184"/>
  </r>
  <r>
    <x v="1"/>
    <x v="2"/>
    <x v="2"/>
    <x v="218"/>
    <x v="184"/>
    <x v="184"/>
    <s v="REVENUS"/>
    <x v="18"/>
    <s v="4013.002"/>
    <s v="Complément impôt complémentaire sur immeubles"/>
    <n v="0"/>
    <n v="243.5"/>
    <n v="4013"/>
  </r>
  <r>
    <x v="1"/>
    <x v="2"/>
    <x v="2"/>
    <x v="218"/>
    <x v="184"/>
    <x v="184"/>
    <s v="REVENUS"/>
    <x v="18"/>
    <s v="4013.003"/>
    <s v="Remboursement impôt complémentaire sur immeubles"/>
    <n v="0"/>
    <n v="-812.5"/>
    <n v="4013"/>
  </r>
  <r>
    <x v="1"/>
    <x v="2"/>
    <x v="2"/>
    <x v="218"/>
    <x v="184"/>
    <x v="184"/>
    <s v="REVENUS"/>
    <x v="16"/>
    <s v="4012.002"/>
    <s v="Complément impôt capital ordinaire"/>
    <n v="0"/>
    <n v="12095.05"/>
    <n v="4012"/>
  </r>
  <r>
    <x v="1"/>
    <x v="2"/>
    <x v="2"/>
    <x v="218"/>
    <x v="184"/>
    <x v="184"/>
    <s v="REVENUS"/>
    <x v="6"/>
    <s v="4221.003"/>
    <s v="Intérêts compensat. / acomptes en faveur du fisc"/>
    <n v="0"/>
    <n v="-2.57"/>
    <n v="4221"/>
  </r>
  <r>
    <x v="1"/>
    <x v="2"/>
    <x v="2"/>
    <x v="219"/>
    <x v="185"/>
    <x v="185"/>
    <s v="CHARGES"/>
    <x v="0"/>
    <s v="3212.004"/>
    <s v="Intérêts rémun./perçu trop tôt sur acomptes C/C"/>
    <n v="44.88"/>
    <n v="0"/>
    <n v="3212"/>
  </r>
  <r>
    <x v="1"/>
    <x v="2"/>
    <x v="2"/>
    <x v="219"/>
    <x v="185"/>
    <x v="185"/>
    <s v="CHARGES"/>
    <x v="0"/>
    <s v="3221.002"/>
    <s v="Intérêts compensatoires / créances en faveur ctb."/>
    <n v="29.95"/>
    <n v="0"/>
    <n v="3221"/>
  </r>
  <r>
    <x v="1"/>
    <x v="2"/>
    <x v="2"/>
    <x v="219"/>
    <x v="185"/>
    <x v="185"/>
    <s v="CHARGES"/>
    <x v="1"/>
    <s v="3301.006"/>
    <s v="Abandon de solde PM"/>
    <n v="67.319999999999993"/>
    <n v="0"/>
    <n v="3301"/>
  </r>
  <r>
    <x v="1"/>
    <x v="2"/>
    <x v="2"/>
    <x v="219"/>
    <x v="185"/>
    <x v="185"/>
    <s v="CHARGES"/>
    <x v="0"/>
    <s v="3212.002"/>
    <s v="Intérêts bonifiés/trop perçu acompte C/C"/>
    <n v="0.23"/>
    <n v="0"/>
    <n v="3212"/>
  </r>
  <r>
    <x v="1"/>
    <x v="2"/>
    <x v="2"/>
    <x v="219"/>
    <x v="185"/>
    <x v="185"/>
    <s v="CHARGES"/>
    <x v="1"/>
    <s v="3301.002"/>
    <s v="Défalcation PM"/>
    <n v="2735.36"/>
    <n v="0"/>
    <n v="3301"/>
  </r>
  <r>
    <x v="1"/>
    <x v="2"/>
    <x v="2"/>
    <x v="219"/>
    <x v="185"/>
    <x v="185"/>
    <s v="REVENUS"/>
    <x v="17"/>
    <s v="4011.001"/>
    <s v="Impôt bénéfice ordinaire"/>
    <n v="0"/>
    <n v="53544.35"/>
    <n v="4011"/>
  </r>
  <r>
    <x v="1"/>
    <x v="2"/>
    <x v="2"/>
    <x v="219"/>
    <x v="185"/>
    <x v="185"/>
    <s v="REVENUS"/>
    <x v="17"/>
    <s v="4011.007"/>
    <s v="Acompte sur bénéfice"/>
    <n v="0"/>
    <n v="-26649.1"/>
    <n v="4011"/>
  </r>
  <r>
    <x v="1"/>
    <x v="2"/>
    <x v="2"/>
    <x v="219"/>
    <x v="185"/>
    <x v="185"/>
    <s v="REVENUS"/>
    <x v="18"/>
    <s v="4013.001"/>
    <s v="Impôt complémentaire sur immeubles"/>
    <n v="0"/>
    <n v="10525.5"/>
    <n v="4013"/>
  </r>
  <r>
    <x v="1"/>
    <x v="2"/>
    <x v="2"/>
    <x v="219"/>
    <x v="185"/>
    <x v="185"/>
    <s v="REVENUS"/>
    <x v="11"/>
    <s v="4198.001"/>
    <s v="Impôt foncier"/>
    <n v="0"/>
    <n v="27544"/>
    <n v="4198"/>
  </r>
  <r>
    <x v="1"/>
    <x v="2"/>
    <x v="2"/>
    <x v="219"/>
    <x v="185"/>
    <x v="185"/>
    <s v="REVENUS"/>
    <x v="16"/>
    <s v="4012.001"/>
    <s v="Impôt capital ordinaire"/>
    <n v="0"/>
    <n v="1392.45"/>
    <n v="4012"/>
  </r>
  <r>
    <x v="1"/>
    <x v="2"/>
    <x v="2"/>
    <x v="219"/>
    <x v="185"/>
    <x v="185"/>
    <s v="REVENUS"/>
    <x v="16"/>
    <s v="4012.007"/>
    <s v="Acompte sur capital"/>
    <n v="0"/>
    <n v="1828.7"/>
    <n v="4012"/>
  </r>
  <r>
    <x v="1"/>
    <x v="2"/>
    <x v="2"/>
    <x v="219"/>
    <x v="185"/>
    <x v="185"/>
    <s v="REVENUS"/>
    <x v="17"/>
    <s v="4011.002"/>
    <s v="Complément impôt bénéfice ordinaire"/>
    <n v="0"/>
    <n v="3540.15"/>
    <n v="4011"/>
  </r>
  <r>
    <x v="1"/>
    <x v="2"/>
    <x v="2"/>
    <x v="219"/>
    <x v="185"/>
    <x v="185"/>
    <s v="REVENUS"/>
    <x v="6"/>
    <s v="4221.001"/>
    <s v="Intérêts compensat. / créances en faveur du fisc"/>
    <n v="0"/>
    <n v="52.27"/>
    <n v="4221"/>
  </r>
  <r>
    <x v="1"/>
    <x v="2"/>
    <x v="2"/>
    <x v="219"/>
    <x v="185"/>
    <x v="185"/>
    <s v="REVENUS"/>
    <x v="6"/>
    <s v="4211.002"/>
    <s v="Intérêts de retard sur acomptes"/>
    <n v="0"/>
    <n v="273.44"/>
    <n v="4211"/>
  </r>
  <r>
    <x v="1"/>
    <x v="2"/>
    <x v="2"/>
    <x v="219"/>
    <x v="185"/>
    <x v="185"/>
    <s v="REVENUS"/>
    <x v="18"/>
    <s v="4013.002"/>
    <s v="Complément impôt complémentaire sur immeubles"/>
    <n v="0"/>
    <n v="48"/>
    <n v="4013"/>
  </r>
  <r>
    <x v="1"/>
    <x v="2"/>
    <x v="2"/>
    <x v="219"/>
    <x v="185"/>
    <x v="185"/>
    <s v="REVENUS"/>
    <x v="10"/>
    <s v="4041.001"/>
    <s v="Droits de mutation"/>
    <n v="0"/>
    <n v="171628.25"/>
    <n v="4041"/>
  </r>
  <r>
    <x v="1"/>
    <x v="2"/>
    <x v="2"/>
    <x v="219"/>
    <x v="185"/>
    <x v="185"/>
    <s v="REVENUS"/>
    <x v="6"/>
    <s v="4211.001"/>
    <s v="Intérêts de retard sur factures"/>
    <n v="0"/>
    <n v="130.21"/>
    <n v="4211"/>
  </r>
  <r>
    <x v="1"/>
    <x v="2"/>
    <x v="2"/>
    <x v="219"/>
    <x v="185"/>
    <x v="185"/>
    <s v="REVENUS"/>
    <x v="10"/>
    <s v="4041.002"/>
    <s v="Complément droit de mutation"/>
    <n v="0"/>
    <n v="18700"/>
    <n v="4041"/>
  </r>
  <r>
    <x v="1"/>
    <x v="2"/>
    <x v="2"/>
    <x v="219"/>
    <x v="185"/>
    <x v="185"/>
    <s v="REVENUS"/>
    <x v="7"/>
    <s v="4184.000"/>
    <s v="Frais de poursuite"/>
    <n v="0"/>
    <n v="27.18"/>
    <n v="4184"/>
  </r>
  <r>
    <x v="1"/>
    <x v="2"/>
    <x v="2"/>
    <x v="220"/>
    <x v="186"/>
    <x v="186"/>
    <s v="CHARGES"/>
    <x v="0"/>
    <s v="3212.004"/>
    <s v="Intérêts rémun./perçu trop tôt sur acomptes C/C"/>
    <n v="133.79"/>
    <n v="0"/>
    <n v="3212"/>
  </r>
  <r>
    <x v="1"/>
    <x v="2"/>
    <x v="2"/>
    <x v="220"/>
    <x v="186"/>
    <x v="186"/>
    <s v="CHARGES"/>
    <x v="0"/>
    <s v="3221.002"/>
    <s v="Intérêts compensatoires / créances en faveur ctb."/>
    <n v="82.34"/>
    <n v="0"/>
    <n v="3221"/>
  </r>
  <r>
    <x v="1"/>
    <x v="2"/>
    <x v="2"/>
    <x v="220"/>
    <x v="186"/>
    <x v="186"/>
    <s v="CHARGES"/>
    <x v="0"/>
    <s v="3212.002"/>
    <s v="Intérêts bonifiés/trop perçu acompte C/C"/>
    <n v="0.25"/>
    <n v="0"/>
    <n v="3212"/>
  </r>
  <r>
    <x v="1"/>
    <x v="2"/>
    <x v="2"/>
    <x v="220"/>
    <x v="186"/>
    <x v="186"/>
    <s v="CHARGES"/>
    <x v="1"/>
    <s v="3301.002"/>
    <s v="Défalcation PM"/>
    <n v="2125.54"/>
    <n v="0"/>
    <n v="3301"/>
  </r>
  <r>
    <x v="1"/>
    <x v="2"/>
    <x v="2"/>
    <x v="220"/>
    <x v="186"/>
    <x v="186"/>
    <s v="CHARGES"/>
    <x v="1"/>
    <s v="3301.006"/>
    <s v="Abandon de solde PM"/>
    <n v="24.52"/>
    <n v="0"/>
    <n v="3301"/>
  </r>
  <r>
    <x v="1"/>
    <x v="2"/>
    <x v="2"/>
    <x v="220"/>
    <x v="186"/>
    <x v="186"/>
    <s v="REVENUS"/>
    <x v="17"/>
    <s v="4011.001"/>
    <s v="Impôt bénéfice ordinaire"/>
    <n v="0"/>
    <n v="52533.05"/>
    <n v="4011"/>
  </r>
  <r>
    <x v="1"/>
    <x v="2"/>
    <x v="2"/>
    <x v="220"/>
    <x v="186"/>
    <x v="186"/>
    <s v="REVENUS"/>
    <x v="17"/>
    <s v="4011.007"/>
    <s v="Acompte sur bénéfice"/>
    <n v="0"/>
    <n v="-142426.4"/>
    <n v="4011"/>
  </r>
  <r>
    <x v="1"/>
    <x v="2"/>
    <x v="2"/>
    <x v="220"/>
    <x v="186"/>
    <x v="186"/>
    <s v="REVENUS"/>
    <x v="16"/>
    <s v="4012.001"/>
    <s v="Impôt capital ordinaire"/>
    <n v="0"/>
    <n v="4149.8"/>
    <n v="4012"/>
  </r>
  <r>
    <x v="1"/>
    <x v="2"/>
    <x v="2"/>
    <x v="220"/>
    <x v="186"/>
    <x v="186"/>
    <s v="REVENUS"/>
    <x v="16"/>
    <s v="4012.007"/>
    <s v="Acompte sur capital"/>
    <n v="0"/>
    <n v="4359.8"/>
    <n v="4012"/>
  </r>
  <r>
    <x v="1"/>
    <x v="2"/>
    <x v="2"/>
    <x v="220"/>
    <x v="186"/>
    <x v="186"/>
    <s v="REVENUS"/>
    <x v="6"/>
    <s v="4211.002"/>
    <s v="Intérêts de retard sur acomptes"/>
    <n v="0"/>
    <n v="83.76"/>
    <n v="4211"/>
  </r>
  <r>
    <x v="1"/>
    <x v="2"/>
    <x v="2"/>
    <x v="220"/>
    <x v="186"/>
    <x v="186"/>
    <s v="REVENUS"/>
    <x v="17"/>
    <s v="4011.002"/>
    <s v="Complément impôt bénéfice ordinaire"/>
    <n v="0"/>
    <n v="4309.1000000000004"/>
    <n v="4011"/>
  </r>
  <r>
    <x v="1"/>
    <x v="2"/>
    <x v="2"/>
    <x v="220"/>
    <x v="186"/>
    <x v="186"/>
    <s v="REVENUS"/>
    <x v="6"/>
    <s v="4221.001"/>
    <s v="Intérêts compensat. / créances en faveur du fisc"/>
    <n v="0"/>
    <n v="17.690000000000001"/>
    <n v="4221"/>
  </r>
  <r>
    <x v="1"/>
    <x v="2"/>
    <x v="2"/>
    <x v="220"/>
    <x v="186"/>
    <x v="186"/>
    <s v="REVENUS"/>
    <x v="6"/>
    <s v="4211.001"/>
    <s v="Intérêts de retard sur factures"/>
    <n v="0"/>
    <n v="76.900000000000006"/>
    <n v="4211"/>
  </r>
  <r>
    <x v="1"/>
    <x v="2"/>
    <x v="2"/>
    <x v="220"/>
    <x v="186"/>
    <x v="186"/>
    <s v="REVENUS"/>
    <x v="7"/>
    <s v="4184.000"/>
    <s v="Frais de poursuite"/>
    <n v="0"/>
    <n v="117.52"/>
    <n v="4184"/>
  </r>
  <r>
    <x v="1"/>
    <x v="2"/>
    <x v="2"/>
    <x v="220"/>
    <x v="186"/>
    <x v="186"/>
    <s v="REVENUS"/>
    <x v="16"/>
    <s v="4012.002"/>
    <s v="Complément impôt capital ordinaire"/>
    <n v="0"/>
    <n v="11.35"/>
    <n v="4012"/>
  </r>
  <r>
    <x v="1"/>
    <x v="2"/>
    <x v="2"/>
    <x v="220"/>
    <x v="186"/>
    <x v="186"/>
    <s v="REVENUS"/>
    <x v="18"/>
    <s v="4013.001"/>
    <s v="Impôt complémentaire sur immeubles"/>
    <n v="0"/>
    <n v="5392.5"/>
    <n v="4013"/>
  </r>
  <r>
    <x v="1"/>
    <x v="2"/>
    <x v="2"/>
    <x v="220"/>
    <x v="186"/>
    <x v="186"/>
    <s v="REVENUS"/>
    <x v="11"/>
    <s v="4198.001"/>
    <s v="Impôt foncier"/>
    <n v="0"/>
    <n v="15448"/>
    <n v="4198"/>
  </r>
  <r>
    <x v="1"/>
    <x v="2"/>
    <x v="2"/>
    <x v="220"/>
    <x v="186"/>
    <x v="186"/>
    <s v="REVENUS"/>
    <x v="18"/>
    <s v="4013.002"/>
    <s v="Complément impôt complémentaire sur immeubles"/>
    <n v="0"/>
    <n v="1350"/>
    <n v="4013"/>
  </r>
  <r>
    <x v="1"/>
    <x v="2"/>
    <x v="2"/>
    <x v="220"/>
    <x v="186"/>
    <x v="186"/>
    <s v="REVENUS"/>
    <x v="10"/>
    <s v="4041.001"/>
    <s v="Droits de mutation"/>
    <n v="0"/>
    <n v="14960"/>
    <n v="4041"/>
  </r>
  <r>
    <x v="1"/>
    <x v="2"/>
    <x v="2"/>
    <x v="221"/>
    <x v="187"/>
    <x v="187"/>
    <s v="CHARGES"/>
    <x v="0"/>
    <s v="3212.004"/>
    <s v="Intérêts rémun./perçu trop tôt sur acomptes C/C"/>
    <n v="37.17"/>
    <n v="0"/>
    <n v="3212"/>
  </r>
  <r>
    <x v="1"/>
    <x v="2"/>
    <x v="2"/>
    <x v="221"/>
    <x v="187"/>
    <x v="187"/>
    <s v="CHARGES"/>
    <x v="0"/>
    <s v="3221.002"/>
    <s v="Intérêts compensatoires / créances en faveur ctb."/>
    <n v="44.58"/>
    <n v="0"/>
    <n v="3221"/>
  </r>
  <r>
    <x v="1"/>
    <x v="2"/>
    <x v="2"/>
    <x v="221"/>
    <x v="187"/>
    <x v="187"/>
    <s v="CHARGES"/>
    <x v="0"/>
    <s v="3212.002"/>
    <s v="Intérêts bonifiés/trop perçu acompte C/C"/>
    <n v="-0.31"/>
    <n v="0"/>
    <n v="3212"/>
  </r>
  <r>
    <x v="1"/>
    <x v="2"/>
    <x v="2"/>
    <x v="221"/>
    <x v="187"/>
    <x v="187"/>
    <s v="CHARGES"/>
    <x v="1"/>
    <s v="3301.006"/>
    <s v="Abandon de solde PM"/>
    <n v="49.89"/>
    <n v="0"/>
    <n v="3301"/>
  </r>
  <r>
    <x v="1"/>
    <x v="2"/>
    <x v="2"/>
    <x v="221"/>
    <x v="187"/>
    <x v="187"/>
    <s v="CHARGES"/>
    <x v="1"/>
    <s v="3301.002"/>
    <s v="Défalcation PM"/>
    <n v="1567.41"/>
    <n v="0"/>
    <n v="3301"/>
  </r>
  <r>
    <x v="1"/>
    <x v="2"/>
    <x v="2"/>
    <x v="221"/>
    <x v="187"/>
    <x v="187"/>
    <s v="REVENUS"/>
    <x v="17"/>
    <s v="4011.007"/>
    <s v="Acompte sur bénéfice"/>
    <n v="0"/>
    <n v="-8492.7000000000007"/>
    <n v="4011"/>
  </r>
  <r>
    <x v="1"/>
    <x v="2"/>
    <x v="2"/>
    <x v="221"/>
    <x v="187"/>
    <x v="187"/>
    <s v="REVENUS"/>
    <x v="16"/>
    <s v="4012.001"/>
    <s v="Impôt capital ordinaire"/>
    <n v="0"/>
    <n v="3148.7"/>
    <n v="4012"/>
  </r>
  <r>
    <x v="1"/>
    <x v="2"/>
    <x v="2"/>
    <x v="221"/>
    <x v="187"/>
    <x v="187"/>
    <s v="REVENUS"/>
    <x v="16"/>
    <s v="4012.007"/>
    <s v="Acompte sur capital"/>
    <n v="0"/>
    <n v="5964.2"/>
    <n v="4012"/>
  </r>
  <r>
    <x v="1"/>
    <x v="2"/>
    <x v="2"/>
    <x v="221"/>
    <x v="187"/>
    <x v="187"/>
    <s v="REVENUS"/>
    <x v="17"/>
    <s v="4011.001"/>
    <s v="Impôt bénéfice ordinaire"/>
    <n v="0"/>
    <n v="31385.5"/>
    <n v="4011"/>
  </r>
  <r>
    <x v="1"/>
    <x v="2"/>
    <x v="2"/>
    <x v="221"/>
    <x v="187"/>
    <x v="187"/>
    <s v="REVENUS"/>
    <x v="6"/>
    <s v="4211.002"/>
    <s v="Intérêts de retard sur acomptes"/>
    <n v="0"/>
    <n v="208.79"/>
    <n v="4211"/>
  </r>
  <r>
    <x v="1"/>
    <x v="2"/>
    <x v="2"/>
    <x v="221"/>
    <x v="187"/>
    <x v="187"/>
    <s v="REVENUS"/>
    <x v="6"/>
    <s v="4221.001"/>
    <s v="Intérêts compensat. / créances en faveur du fisc"/>
    <n v="0"/>
    <n v="20.87"/>
    <n v="4221"/>
  </r>
  <r>
    <x v="1"/>
    <x v="2"/>
    <x v="2"/>
    <x v="221"/>
    <x v="187"/>
    <x v="187"/>
    <s v="REVENUS"/>
    <x v="17"/>
    <s v="4011.002"/>
    <s v="Complément impôt bénéfice ordinaire"/>
    <n v="0"/>
    <n v="2979.2"/>
    <n v="4011"/>
  </r>
  <r>
    <x v="1"/>
    <x v="2"/>
    <x v="2"/>
    <x v="221"/>
    <x v="187"/>
    <x v="187"/>
    <s v="REVENUS"/>
    <x v="6"/>
    <s v="4211.001"/>
    <s v="Intérêts de retard sur factures"/>
    <n v="0"/>
    <n v="48.94"/>
    <n v="4211"/>
  </r>
  <r>
    <x v="1"/>
    <x v="2"/>
    <x v="2"/>
    <x v="221"/>
    <x v="187"/>
    <x v="187"/>
    <s v="REVENUS"/>
    <x v="18"/>
    <s v="4013.001"/>
    <s v="Impôt complémentaire sur immeubles"/>
    <n v="0"/>
    <n v="2949"/>
    <n v="4013"/>
  </r>
  <r>
    <x v="1"/>
    <x v="2"/>
    <x v="2"/>
    <x v="221"/>
    <x v="187"/>
    <x v="187"/>
    <s v="REVENUS"/>
    <x v="18"/>
    <s v="4013.002"/>
    <s v="Complément impôt complémentaire sur immeubles"/>
    <n v="0"/>
    <n v="-8.5"/>
    <n v="4013"/>
  </r>
  <r>
    <x v="1"/>
    <x v="2"/>
    <x v="2"/>
    <x v="221"/>
    <x v="187"/>
    <x v="187"/>
    <s v="REVENUS"/>
    <x v="8"/>
    <s v="4091.001"/>
    <s v="Impôt récupéré après défalcations"/>
    <n v="0"/>
    <n v="1533.06"/>
    <n v="4091"/>
  </r>
  <r>
    <x v="1"/>
    <x v="2"/>
    <x v="2"/>
    <x v="221"/>
    <x v="187"/>
    <x v="187"/>
    <s v="REVENUS"/>
    <x v="11"/>
    <s v="4198.001"/>
    <s v="Impôt foncier"/>
    <n v="0"/>
    <n v="9993"/>
    <n v="4198"/>
  </r>
  <r>
    <x v="1"/>
    <x v="2"/>
    <x v="2"/>
    <x v="222"/>
    <x v="188"/>
    <x v="188"/>
    <s v="CHARGES"/>
    <x v="0"/>
    <s v="3212.004"/>
    <s v="Intérêts rémun./perçu trop tôt sur acomptes C/C"/>
    <n v="669.38"/>
    <n v="0"/>
    <n v="3212"/>
  </r>
  <r>
    <x v="1"/>
    <x v="2"/>
    <x v="2"/>
    <x v="222"/>
    <x v="188"/>
    <x v="188"/>
    <s v="CHARGES"/>
    <x v="0"/>
    <s v="3221.002"/>
    <s v="Intérêts compensatoires / créances en faveur ctb."/>
    <n v="422.77"/>
    <n v="0"/>
    <n v="3221"/>
  </r>
  <r>
    <x v="1"/>
    <x v="2"/>
    <x v="2"/>
    <x v="222"/>
    <x v="188"/>
    <x v="188"/>
    <s v="CHARGES"/>
    <x v="0"/>
    <s v="3212.002"/>
    <s v="Intérêts bonifiés/trop perçu acompte C/C"/>
    <n v="3.74"/>
    <n v="0"/>
    <n v="3212"/>
  </r>
  <r>
    <x v="1"/>
    <x v="2"/>
    <x v="2"/>
    <x v="222"/>
    <x v="188"/>
    <x v="188"/>
    <s v="CHARGES"/>
    <x v="1"/>
    <s v="3301.006"/>
    <s v="Abandon de solde PM"/>
    <n v="41.6"/>
    <n v="0"/>
    <n v="3301"/>
  </r>
  <r>
    <x v="1"/>
    <x v="2"/>
    <x v="2"/>
    <x v="222"/>
    <x v="188"/>
    <x v="188"/>
    <s v="CHARGES"/>
    <x v="1"/>
    <s v="3301.002"/>
    <s v="Défalcation PM"/>
    <n v="8806.7900000000009"/>
    <n v="0"/>
    <n v="3301"/>
  </r>
  <r>
    <x v="1"/>
    <x v="2"/>
    <x v="2"/>
    <x v="222"/>
    <x v="188"/>
    <x v="188"/>
    <s v="REVENUS"/>
    <x v="17"/>
    <s v="4011.001"/>
    <s v="Impôt bénéfice ordinaire"/>
    <n v="0"/>
    <n v="1745240.7"/>
    <n v="4011"/>
  </r>
  <r>
    <x v="1"/>
    <x v="2"/>
    <x v="2"/>
    <x v="222"/>
    <x v="188"/>
    <x v="188"/>
    <s v="REVENUS"/>
    <x v="17"/>
    <s v="4011.007"/>
    <s v="Acompte sur bénéfice"/>
    <n v="0"/>
    <n v="5087584.1500000004"/>
    <n v="4011"/>
  </r>
  <r>
    <x v="1"/>
    <x v="2"/>
    <x v="2"/>
    <x v="222"/>
    <x v="188"/>
    <x v="188"/>
    <s v="REVENUS"/>
    <x v="16"/>
    <s v="4012.007"/>
    <s v="Acompte sur capital"/>
    <n v="0"/>
    <n v="1073836.75"/>
    <n v="4012"/>
  </r>
  <r>
    <x v="1"/>
    <x v="2"/>
    <x v="2"/>
    <x v="222"/>
    <x v="188"/>
    <x v="188"/>
    <s v="REVENUS"/>
    <x v="6"/>
    <s v="4211.001"/>
    <s v="Intérêts de retard sur factures"/>
    <n v="0"/>
    <n v="48882.16"/>
    <n v="4211"/>
  </r>
  <r>
    <x v="1"/>
    <x v="2"/>
    <x v="2"/>
    <x v="222"/>
    <x v="188"/>
    <x v="188"/>
    <s v="REVENUS"/>
    <x v="6"/>
    <s v="4211.002"/>
    <s v="Intérêts de retard sur acomptes"/>
    <n v="0"/>
    <n v="3921.74"/>
    <n v="4211"/>
  </r>
  <r>
    <x v="1"/>
    <x v="2"/>
    <x v="2"/>
    <x v="222"/>
    <x v="188"/>
    <x v="188"/>
    <s v="REVENUS"/>
    <x v="6"/>
    <s v="4221.001"/>
    <s v="Intérêts compensat. / créances en faveur du fisc"/>
    <n v="0"/>
    <n v="1556.32"/>
    <n v="4221"/>
  </r>
  <r>
    <x v="1"/>
    <x v="2"/>
    <x v="2"/>
    <x v="222"/>
    <x v="188"/>
    <x v="188"/>
    <s v="REVENUS"/>
    <x v="18"/>
    <s v="4013.001"/>
    <s v="Impôt complémentaire sur immeubles"/>
    <n v="0"/>
    <n v="153473"/>
    <n v="4013"/>
  </r>
  <r>
    <x v="1"/>
    <x v="2"/>
    <x v="2"/>
    <x v="222"/>
    <x v="188"/>
    <x v="188"/>
    <s v="REVENUS"/>
    <x v="7"/>
    <s v="4184.000"/>
    <s v="Frais de poursuite"/>
    <n v="0"/>
    <n v="148.65"/>
    <n v="4184"/>
  </r>
  <r>
    <x v="1"/>
    <x v="2"/>
    <x v="2"/>
    <x v="222"/>
    <x v="188"/>
    <x v="188"/>
    <s v="REVENUS"/>
    <x v="16"/>
    <s v="4012.001"/>
    <s v="Impôt capital ordinaire"/>
    <n v="0"/>
    <n v="20857.75"/>
    <n v="4012"/>
  </r>
  <r>
    <x v="1"/>
    <x v="2"/>
    <x v="2"/>
    <x v="222"/>
    <x v="188"/>
    <x v="188"/>
    <s v="REVENUS"/>
    <x v="17"/>
    <s v="4011.002"/>
    <s v="Complément impôt bénéfice ordinaire"/>
    <n v="0"/>
    <n v="2734283.25"/>
    <n v="4011"/>
  </r>
  <r>
    <x v="1"/>
    <x v="2"/>
    <x v="2"/>
    <x v="222"/>
    <x v="188"/>
    <x v="188"/>
    <s v="REVENUS"/>
    <x v="18"/>
    <s v="4013.003"/>
    <s v="Remboursement impôt complémentaire sur immeubles"/>
    <n v="0"/>
    <n v="-3063.65"/>
    <n v="4013"/>
  </r>
  <r>
    <x v="1"/>
    <x v="2"/>
    <x v="2"/>
    <x v="222"/>
    <x v="188"/>
    <x v="188"/>
    <s v="REVENUS"/>
    <x v="10"/>
    <s v="4041.001"/>
    <s v="Droits de mutation"/>
    <n v="0"/>
    <n v="956736"/>
    <n v="4041"/>
  </r>
  <r>
    <x v="1"/>
    <x v="2"/>
    <x v="2"/>
    <x v="222"/>
    <x v="188"/>
    <x v="188"/>
    <s v="REVENUS"/>
    <x v="16"/>
    <s v="4012.002"/>
    <s v="Complément impôt capital ordinaire"/>
    <n v="0"/>
    <n v="100851.1"/>
    <n v="4012"/>
  </r>
  <r>
    <x v="1"/>
    <x v="2"/>
    <x v="2"/>
    <x v="222"/>
    <x v="188"/>
    <x v="188"/>
    <s v="REVENUS"/>
    <x v="8"/>
    <s v="4091.001"/>
    <s v="Impôt récupéré après défalcations"/>
    <n v="0"/>
    <n v="8237.66"/>
    <n v="4091"/>
  </r>
  <r>
    <x v="1"/>
    <x v="2"/>
    <x v="2"/>
    <x v="222"/>
    <x v="188"/>
    <x v="188"/>
    <s v="REVENUS"/>
    <x v="18"/>
    <s v="4013.002"/>
    <s v="Complément impôt complémentaire sur immeubles"/>
    <n v="0"/>
    <n v="40910"/>
    <n v="4013"/>
  </r>
  <r>
    <x v="1"/>
    <x v="2"/>
    <x v="2"/>
    <x v="223"/>
    <x v="189"/>
    <x v="189"/>
    <s v="CHARGES"/>
    <x v="1"/>
    <s v="3301.006"/>
    <s v="Abandon de solde PM"/>
    <n v="74.819999999999993"/>
    <n v="0"/>
    <n v="3301"/>
  </r>
  <r>
    <x v="1"/>
    <x v="2"/>
    <x v="2"/>
    <x v="223"/>
    <x v="189"/>
    <x v="189"/>
    <s v="CHARGES"/>
    <x v="0"/>
    <s v="3212.004"/>
    <s v="Intérêts rémun./perçu trop tôt sur acomptes C/C"/>
    <n v="54.8"/>
    <n v="0"/>
    <n v="3212"/>
  </r>
  <r>
    <x v="1"/>
    <x v="2"/>
    <x v="2"/>
    <x v="223"/>
    <x v="189"/>
    <x v="189"/>
    <s v="CHARGES"/>
    <x v="0"/>
    <s v="3221.002"/>
    <s v="Intérêts compensatoires / créances en faveur ctb."/>
    <n v="75.11"/>
    <n v="0"/>
    <n v="3221"/>
  </r>
  <r>
    <x v="1"/>
    <x v="2"/>
    <x v="2"/>
    <x v="223"/>
    <x v="189"/>
    <x v="189"/>
    <s v="CHARGES"/>
    <x v="0"/>
    <s v="3212.002"/>
    <s v="Intérêts bonifiés/trop perçu acompte C/C"/>
    <n v="103.32"/>
    <n v="0"/>
    <n v="3212"/>
  </r>
  <r>
    <x v="1"/>
    <x v="2"/>
    <x v="2"/>
    <x v="223"/>
    <x v="189"/>
    <x v="189"/>
    <s v="CHARGES"/>
    <x v="1"/>
    <s v="3301.002"/>
    <s v="Défalcation PM"/>
    <n v="7343.26"/>
    <n v="0"/>
    <n v="3301"/>
  </r>
  <r>
    <x v="1"/>
    <x v="2"/>
    <x v="2"/>
    <x v="223"/>
    <x v="189"/>
    <x v="189"/>
    <s v="REVENUS"/>
    <x v="17"/>
    <s v="4011.001"/>
    <s v="Impôt bénéfice ordinaire"/>
    <n v="0"/>
    <n v="193124.85"/>
    <n v="4011"/>
  </r>
  <r>
    <x v="1"/>
    <x v="2"/>
    <x v="2"/>
    <x v="223"/>
    <x v="189"/>
    <x v="189"/>
    <s v="REVENUS"/>
    <x v="16"/>
    <s v="4012.007"/>
    <s v="Acompte sur capital"/>
    <n v="0"/>
    <n v="7164.05"/>
    <n v="4012"/>
  </r>
  <r>
    <x v="1"/>
    <x v="2"/>
    <x v="2"/>
    <x v="223"/>
    <x v="189"/>
    <x v="189"/>
    <s v="REVENUS"/>
    <x v="6"/>
    <s v="4211.002"/>
    <s v="Intérêts de retard sur acomptes"/>
    <n v="0"/>
    <n v="455.02"/>
    <n v="4211"/>
  </r>
  <r>
    <x v="1"/>
    <x v="2"/>
    <x v="2"/>
    <x v="223"/>
    <x v="189"/>
    <x v="189"/>
    <s v="REVENUS"/>
    <x v="6"/>
    <s v="4221.001"/>
    <s v="Intérêts compensat. / créances en faveur du fisc"/>
    <n v="0"/>
    <n v="53.49"/>
    <n v="4221"/>
  </r>
  <r>
    <x v="1"/>
    <x v="2"/>
    <x v="2"/>
    <x v="223"/>
    <x v="189"/>
    <x v="189"/>
    <s v="REVENUS"/>
    <x v="18"/>
    <s v="4013.001"/>
    <s v="Impôt complémentaire sur immeubles"/>
    <n v="0"/>
    <n v="51591.5"/>
    <n v="4013"/>
  </r>
  <r>
    <x v="1"/>
    <x v="2"/>
    <x v="2"/>
    <x v="223"/>
    <x v="189"/>
    <x v="189"/>
    <s v="REVENUS"/>
    <x v="11"/>
    <s v="4198.001"/>
    <s v="Impôt foncier"/>
    <n v="0"/>
    <n v="104243"/>
    <n v="4198"/>
  </r>
  <r>
    <x v="1"/>
    <x v="2"/>
    <x v="2"/>
    <x v="223"/>
    <x v="189"/>
    <x v="189"/>
    <s v="REVENUS"/>
    <x v="6"/>
    <s v="4211.001"/>
    <s v="Intérêts de retard sur factures"/>
    <n v="0"/>
    <n v="588.1"/>
    <n v="4211"/>
  </r>
  <r>
    <x v="1"/>
    <x v="2"/>
    <x v="2"/>
    <x v="223"/>
    <x v="189"/>
    <x v="189"/>
    <s v="REVENUS"/>
    <x v="17"/>
    <s v="4011.007"/>
    <s v="Acompte sur bénéfice"/>
    <n v="0"/>
    <n v="-125126.75"/>
    <n v="4011"/>
  </r>
  <r>
    <x v="1"/>
    <x v="2"/>
    <x v="2"/>
    <x v="223"/>
    <x v="189"/>
    <x v="189"/>
    <s v="REVENUS"/>
    <x v="16"/>
    <s v="4012.001"/>
    <s v="Impôt capital ordinaire"/>
    <n v="0"/>
    <n v="28172.9"/>
    <n v="4012"/>
  </r>
  <r>
    <x v="1"/>
    <x v="2"/>
    <x v="2"/>
    <x v="223"/>
    <x v="189"/>
    <x v="189"/>
    <s v="REVENUS"/>
    <x v="17"/>
    <s v="4011.002"/>
    <s v="Complément impôt bénéfice ordinaire"/>
    <n v="0"/>
    <n v="4284.45"/>
    <n v="4011"/>
  </r>
  <r>
    <x v="1"/>
    <x v="2"/>
    <x v="2"/>
    <x v="223"/>
    <x v="189"/>
    <x v="189"/>
    <s v="REVENUS"/>
    <x v="7"/>
    <s v="4184.000"/>
    <s v="Frais de poursuite"/>
    <n v="0"/>
    <n v="269.93"/>
    <n v="4184"/>
  </r>
  <r>
    <x v="1"/>
    <x v="2"/>
    <x v="2"/>
    <x v="223"/>
    <x v="189"/>
    <x v="189"/>
    <s v="REVENUS"/>
    <x v="9"/>
    <s v="4031.001"/>
    <s v="Impôt sur les gains immobiliers"/>
    <n v="0"/>
    <n v="1895.85"/>
    <n v="4031"/>
  </r>
  <r>
    <x v="1"/>
    <x v="2"/>
    <x v="2"/>
    <x v="223"/>
    <x v="189"/>
    <x v="189"/>
    <s v="REVENUS"/>
    <x v="6"/>
    <s v="4221.002"/>
    <s v="Intérêts compensat. sur impôts distincts"/>
    <n v="0"/>
    <n v="3.17"/>
    <n v="4221"/>
  </r>
  <r>
    <x v="1"/>
    <x v="2"/>
    <x v="2"/>
    <x v="223"/>
    <x v="189"/>
    <x v="189"/>
    <s v="REVENUS"/>
    <x v="18"/>
    <s v="4013.002"/>
    <s v="Complément impôt complémentaire sur immeubles"/>
    <n v="0"/>
    <n v="446"/>
    <n v="4013"/>
  </r>
  <r>
    <x v="1"/>
    <x v="2"/>
    <x v="2"/>
    <x v="223"/>
    <x v="189"/>
    <x v="189"/>
    <s v="REVENUS"/>
    <x v="10"/>
    <s v="4041.002"/>
    <s v="Complément droit de mutation"/>
    <n v="0"/>
    <n v="119255.4"/>
    <n v="4041"/>
  </r>
  <r>
    <x v="1"/>
    <x v="2"/>
    <x v="2"/>
    <x v="223"/>
    <x v="189"/>
    <x v="189"/>
    <s v="REVENUS"/>
    <x v="10"/>
    <s v="4041.001"/>
    <s v="Droits de mutation"/>
    <n v="0"/>
    <n v="61050"/>
    <n v="4041"/>
  </r>
  <r>
    <x v="1"/>
    <x v="2"/>
    <x v="2"/>
    <x v="223"/>
    <x v="189"/>
    <x v="189"/>
    <s v="REVENUS"/>
    <x v="18"/>
    <s v="4013.003"/>
    <s v="Remboursement impôt complémentaire sur immeubles"/>
    <n v="0"/>
    <n v="-10665.5"/>
    <n v="4013"/>
  </r>
  <r>
    <x v="1"/>
    <x v="2"/>
    <x v="2"/>
    <x v="224"/>
    <x v="190"/>
    <x v="190"/>
    <s v="CHARGES"/>
    <x v="1"/>
    <s v="3301.006"/>
    <s v="Abandon de solde PM"/>
    <n v="41.46"/>
    <n v="0"/>
    <n v="3301"/>
  </r>
  <r>
    <x v="1"/>
    <x v="2"/>
    <x v="2"/>
    <x v="224"/>
    <x v="190"/>
    <x v="190"/>
    <s v="CHARGES"/>
    <x v="0"/>
    <s v="3212.004"/>
    <s v="Intérêts rémun./perçu trop tôt sur acomptes C/C"/>
    <n v="29.79"/>
    <n v="0"/>
    <n v="3212"/>
  </r>
  <r>
    <x v="1"/>
    <x v="2"/>
    <x v="2"/>
    <x v="224"/>
    <x v="190"/>
    <x v="190"/>
    <s v="CHARGES"/>
    <x v="0"/>
    <s v="3221.002"/>
    <s v="Intérêts compensatoires / créances en faveur ctb."/>
    <n v="123.35"/>
    <n v="0"/>
    <n v="3221"/>
  </r>
  <r>
    <x v="1"/>
    <x v="2"/>
    <x v="2"/>
    <x v="224"/>
    <x v="190"/>
    <x v="190"/>
    <s v="CHARGES"/>
    <x v="0"/>
    <s v="3212.002"/>
    <s v="Intérêts bonifiés/trop perçu acompte C/C"/>
    <n v="0.52"/>
    <n v="0"/>
    <n v="3212"/>
  </r>
  <r>
    <x v="1"/>
    <x v="2"/>
    <x v="2"/>
    <x v="224"/>
    <x v="190"/>
    <x v="190"/>
    <s v="CHARGES"/>
    <x v="1"/>
    <s v="3301.002"/>
    <s v="Défalcation PM"/>
    <n v="264.27999999999997"/>
    <n v="0"/>
    <n v="3301"/>
  </r>
  <r>
    <x v="1"/>
    <x v="2"/>
    <x v="2"/>
    <x v="224"/>
    <x v="190"/>
    <x v="190"/>
    <s v="REVENUS"/>
    <x v="17"/>
    <s v="4011.007"/>
    <s v="Acompte sur bénéfice"/>
    <n v="0"/>
    <n v="-280288.3"/>
    <n v="4011"/>
  </r>
  <r>
    <x v="1"/>
    <x v="2"/>
    <x v="2"/>
    <x v="224"/>
    <x v="190"/>
    <x v="190"/>
    <s v="REVENUS"/>
    <x v="17"/>
    <s v="4011.001"/>
    <s v="Impôt bénéfice ordinaire"/>
    <n v="0"/>
    <n v="641440.94999999995"/>
    <n v="4011"/>
  </r>
  <r>
    <x v="1"/>
    <x v="2"/>
    <x v="2"/>
    <x v="224"/>
    <x v="190"/>
    <x v="190"/>
    <s v="REVENUS"/>
    <x v="6"/>
    <s v="4211.002"/>
    <s v="Intérêts de retard sur acomptes"/>
    <n v="0"/>
    <n v="900.62"/>
    <n v="4211"/>
  </r>
  <r>
    <x v="1"/>
    <x v="2"/>
    <x v="2"/>
    <x v="224"/>
    <x v="190"/>
    <x v="190"/>
    <s v="REVENUS"/>
    <x v="6"/>
    <s v="4211.001"/>
    <s v="Intérêts de retard sur factures"/>
    <n v="0"/>
    <n v="95.81"/>
    <n v="4211"/>
  </r>
  <r>
    <x v="1"/>
    <x v="2"/>
    <x v="2"/>
    <x v="224"/>
    <x v="190"/>
    <x v="190"/>
    <s v="REVENUS"/>
    <x v="6"/>
    <s v="4221.001"/>
    <s v="Intérêts compensat. / créances en faveur du fisc"/>
    <n v="0"/>
    <n v="-213.9"/>
    <n v="4221"/>
  </r>
  <r>
    <x v="1"/>
    <x v="2"/>
    <x v="2"/>
    <x v="224"/>
    <x v="190"/>
    <x v="190"/>
    <s v="REVENUS"/>
    <x v="16"/>
    <s v="4012.001"/>
    <s v="Impôt capital ordinaire"/>
    <n v="0"/>
    <n v="-61595.6"/>
    <n v="4012"/>
  </r>
  <r>
    <x v="1"/>
    <x v="2"/>
    <x v="2"/>
    <x v="224"/>
    <x v="190"/>
    <x v="190"/>
    <s v="REVENUS"/>
    <x v="16"/>
    <s v="4012.007"/>
    <s v="Acompte sur capital"/>
    <n v="0"/>
    <n v="3911.95"/>
    <n v="4012"/>
  </r>
  <r>
    <x v="1"/>
    <x v="2"/>
    <x v="2"/>
    <x v="224"/>
    <x v="190"/>
    <x v="190"/>
    <s v="REVENUS"/>
    <x v="17"/>
    <s v="4011.002"/>
    <s v="Complément impôt bénéfice ordinaire"/>
    <n v="0"/>
    <n v="16285.2"/>
    <n v="4011"/>
  </r>
  <r>
    <x v="1"/>
    <x v="2"/>
    <x v="2"/>
    <x v="224"/>
    <x v="190"/>
    <x v="190"/>
    <s v="REVENUS"/>
    <x v="11"/>
    <s v="4198.001"/>
    <s v="Impôt foncier"/>
    <n v="0"/>
    <n v="93583.1"/>
    <n v="4198"/>
  </r>
  <r>
    <x v="1"/>
    <x v="2"/>
    <x v="2"/>
    <x v="224"/>
    <x v="190"/>
    <x v="190"/>
    <s v="REVENUS"/>
    <x v="7"/>
    <s v="4184.000"/>
    <s v="Frais de poursuite"/>
    <n v="0"/>
    <n v="38.56"/>
    <n v="4184"/>
  </r>
  <r>
    <x v="1"/>
    <x v="2"/>
    <x v="2"/>
    <x v="224"/>
    <x v="190"/>
    <x v="190"/>
    <s v="REVENUS"/>
    <x v="16"/>
    <s v="4012.002"/>
    <s v="Complément impôt capital ordinaire"/>
    <n v="0"/>
    <n v="162.55000000000001"/>
    <n v="4012"/>
  </r>
  <r>
    <x v="1"/>
    <x v="2"/>
    <x v="2"/>
    <x v="224"/>
    <x v="190"/>
    <x v="190"/>
    <s v="REVENUS"/>
    <x v="18"/>
    <s v="4013.003"/>
    <s v="Remboursement impôt complémentaire sur immeubles"/>
    <n v="0"/>
    <n v="-1617"/>
    <n v="4013"/>
  </r>
  <r>
    <x v="1"/>
    <x v="2"/>
    <x v="2"/>
    <x v="224"/>
    <x v="190"/>
    <x v="190"/>
    <s v="REVENUS"/>
    <x v="18"/>
    <s v="4013.001"/>
    <s v="Impôt complémentaire sur immeubles"/>
    <n v="0"/>
    <n v="43538.6"/>
    <n v="4013"/>
  </r>
  <r>
    <x v="1"/>
    <x v="2"/>
    <x v="2"/>
    <x v="224"/>
    <x v="190"/>
    <x v="190"/>
    <s v="REVENUS"/>
    <x v="10"/>
    <s v="4041.001"/>
    <s v="Droits de mutation"/>
    <n v="0"/>
    <n v="14528.25"/>
    <n v="4041"/>
  </r>
  <r>
    <x v="1"/>
    <x v="2"/>
    <x v="2"/>
    <x v="225"/>
    <x v="191"/>
    <x v="191"/>
    <s v="CHARGES"/>
    <x v="1"/>
    <s v="3301.006"/>
    <s v="Abandon de solde PM"/>
    <n v="30.18"/>
    <n v="0"/>
    <n v="3301"/>
  </r>
  <r>
    <x v="1"/>
    <x v="2"/>
    <x v="2"/>
    <x v="225"/>
    <x v="191"/>
    <x v="191"/>
    <s v="CHARGES"/>
    <x v="0"/>
    <s v="3212.004"/>
    <s v="Intérêts rémun./perçu trop tôt sur acomptes C/C"/>
    <n v="367"/>
    <n v="0"/>
    <n v="3212"/>
  </r>
  <r>
    <x v="1"/>
    <x v="2"/>
    <x v="2"/>
    <x v="225"/>
    <x v="191"/>
    <x v="191"/>
    <s v="CHARGES"/>
    <x v="0"/>
    <s v="3221.002"/>
    <s v="Intérêts compensatoires / créances en faveur ctb."/>
    <n v="179.33"/>
    <n v="0"/>
    <n v="3221"/>
  </r>
  <r>
    <x v="1"/>
    <x v="2"/>
    <x v="2"/>
    <x v="225"/>
    <x v="191"/>
    <x v="191"/>
    <s v="CHARGES"/>
    <x v="0"/>
    <s v="3212.002"/>
    <s v="Intérêts bonifiés/trop perçu acompte C/C"/>
    <n v="0.05"/>
    <n v="0"/>
    <n v="3212"/>
  </r>
  <r>
    <x v="1"/>
    <x v="2"/>
    <x v="2"/>
    <x v="225"/>
    <x v="191"/>
    <x v="191"/>
    <s v="CHARGES"/>
    <x v="1"/>
    <s v="3301.002"/>
    <s v="Défalcation PM"/>
    <n v="31.27"/>
    <n v="0"/>
    <n v="3301"/>
  </r>
  <r>
    <x v="1"/>
    <x v="2"/>
    <x v="2"/>
    <x v="225"/>
    <x v="191"/>
    <x v="191"/>
    <s v="REVENUS"/>
    <x v="6"/>
    <s v="4211.001"/>
    <s v="Intérêts de retard sur factures"/>
    <n v="0"/>
    <n v="142.99"/>
    <n v="4211"/>
  </r>
  <r>
    <x v="1"/>
    <x v="2"/>
    <x v="2"/>
    <x v="225"/>
    <x v="191"/>
    <x v="191"/>
    <s v="REVENUS"/>
    <x v="16"/>
    <s v="4012.001"/>
    <s v="Impôt capital ordinaire"/>
    <n v="0"/>
    <n v="849.15"/>
    <n v="4012"/>
  </r>
  <r>
    <x v="1"/>
    <x v="2"/>
    <x v="2"/>
    <x v="225"/>
    <x v="191"/>
    <x v="191"/>
    <s v="REVENUS"/>
    <x v="6"/>
    <s v="4221.001"/>
    <s v="Intérêts compensat. / créances en faveur du fisc"/>
    <n v="0"/>
    <n v="40.17"/>
    <n v="4221"/>
  </r>
  <r>
    <x v="1"/>
    <x v="2"/>
    <x v="2"/>
    <x v="225"/>
    <x v="191"/>
    <x v="191"/>
    <s v="REVENUS"/>
    <x v="16"/>
    <s v="4012.007"/>
    <s v="Acompte sur capital"/>
    <n v="0"/>
    <n v="4936.95"/>
    <n v="4012"/>
  </r>
  <r>
    <x v="1"/>
    <x v="2"/>
    <x v="2"/>
    <x v="225"/>
    <x v="191"/>
    <x v="191"/>
    <s v="REVENUS"/>
    <x v="17"/>
    <s v="4011.002"/>
    <s v="Complément impôt bénéfice ordinaire"/>
    <n v="0"/>
    <n v="16629.75"/>
    <n v="4011"/>
  </r>
  <r>
    <x v="1"/>
    <x v="2"/>
    <x v="2"/>
    <x v="225"/>
    <x v="191"/>
    <x v="191"/>
    <s v="REVENUS"/>
    <x v="17"/>
    <s v="4011.007"/>
    <s v="Acompte sur bénéfice"/>
    <n v="0"/>
    <n v="-24028.5"/>
    <n v="4011"/>
  </r>
  <r>
    <x v="1"/>
    <x v="2"/>
    <x v="2"/>
    <x v="225"/>
    <x v="191"/>
    <x v="191"/>
    <s v="REVENUS"/>
    <x v="17"/>
    <s v="4011.001"/>
    <s v="Impôt bénéfice ordinaire"/>
    <n v="0"/>
    <n v="472504.9"/>
    <n v="4011"/>
  </r>
  <r>
    <x v="1"/>
    <x v="2"/>
    <x v="2"/>
    <x v="225"/>
    <x v="191"/>
    <x v="191"/>
    <s v="REVENUS"/>
    <x v="10"/>
    <s v="4041.001"/>
    <s v="Droits de mutation"/>
    <n v="0"/>
    <n v="51347.35"/>
    <n v="4041"/>
  </r>
  <r>
    <x v="1"/>
    <x v="2"/>
    <x v="2"/>
    <x v="225"/>
    <x v="191"/>
    <x v="191"/>
    <s v="REVENUS"/>
    <x v="6"/>
    <s v="4211.002"/>
    <s v="Intérêts de retard sur acomptes"/>
    <n v="0"/>
    <n v="195.31"/>
    <n v="4211"/>
  </r>
  <r>
    <x v="1"/>
    <x v="2"/>
    <x v="2"/>
    <x v="225"/>
    <x v="191"/>
    <x v="191"/>
    <s v="REVENUS"/>
    <x v="18"/>
    <s v="4013.003"/>
    <s v="Remboursement impôt complémentaire sur immeubles"/>
    <n v="0"/>
    <n v="-2786"/>
    <n v="4013"/>
  </r>
  <r>
    <x v="1"/>
    <x v="2"/>
    <x v="2"/>
    <x v="225"/>
    <x v="191"/>
    <x v="191"/>
    <s v="REVENUS"/>
    <x v="7"/>
    <s v="4184.000"/>
    <s v="Frais de poursuite"/>
    <n v="0"/>
    <n v="132.84"/>
    <n v="4184"/>
  </r>
  <r>
    <x v="1"/>
    <x v="2"/>
    <x v="2"/>
    <x v="225"/>
    <x v="191"/>
    <x v="191"/>
    <s v="REVENUS"/>
    <x v="11"/>
    <s v="4198.001"/>
    <s v="Impôt foncier"/>
    <n v="0"/>
    <n v="12888"/>
    <n v="4198"/>
  </r>
  <r>
    <x v="1"/>
    <x v="2"/>
    <x v="2"/>
    <x v="225"/>
    <x v="191"/>
    <x v="191"/>
    <s v="REVENUS"/>
    <x v="18"/>
    <s v="4013.001"/>
    <s v="Impôt complémentaire sur immeubles"/>
    <n v="0"/>
    <n v="8848.7999999999993"/>
    <n v="4013"/>
  </r>
  <r>
    <x v="1"/>
    <x v="2"/>
    <x v="2"/>
    <x v="226"/>
    <x v="192"/>
    <x v="192"/>
    <s v="CHARGES"/>
    <x v="0"/>
    <s v="3212.004"/>
    <s v="Intérêts rémun./perçu trop tôt sur acomptes C/C"/>
    <n v="17.350000000000001"/>
    <n v="0"/>
    <n v="3212"/>
  </r>
  <r>
    <x v="1"/>
    <x v="2"/>
    <x v="2"/>
    <x v="226"/>
    <x v="192"/>
    <x v="192"/>
    <s v="CHARGES"/>
    <x v="0"/>
    <s v="3221.002"/>
    <s v="Intérêts compensatoires / créances en faveur ctb."/>
    <n v="12.73"/>
    <n v="0"/>
    <n v="3221"/>
  </r>
  <r>
    <x v="1"/>
    <x v="2"/>
    <x v="2"/>
    <x v="226"/>
    <x v="192"/>
    <x v="192"/>
    <s v="CHARGES"/>
    <x v="1"/>
    <s v="3301.006"/>
    <s v="Abandon de solde PM"/>
    <n v="28.96"/>
    <n v="0"/>
    <n v="3301"/>
  </r>
  <r>
    <x v="1"/>
    <x v="2"/>
    <x v="2"/>
    <x v="226"/>
    <x v="192"/>
    <x v="192"/>
    <s v="CHARGES"/>
    <x v="0"/>
    <s v="3212.002"/>
    <s v="Intérêts bonifiés/trop perçu acompte C/C"/>
    <n v="0.03"/>
    <n v="0"/>
    <n v="3212"/>
  </r>
  <r>
    <x v="1"/>
    <x v="2"/>
    <x v="2"/>
    <x v="226"/>
    <x v="192"/>
    <x v="192"/>
    <s v="CHARGES"/>
    <x v="1"/>
    <s v="3301.002"/>
    <s v="Défalcation PM"/>
    <n v="3726.43"/>
    <n v="0"/>
    <n v="3301"/>
  </r>
  <r>
    <x v="1"/>
    <x v="2"/>
    <x v="2"/>
    <x v="226"/>
    <x v="192"/>
    <x v="192"/>
    <s v="REVENUS"/>
    <x v="16"/>
    <s v="4012.007"/>
    <s v="Acompte sur capital"/>
    <n v="0"/>
    <n v="7156"/>
    <n v="4012"/>
  </r>
  <r>
    <x v="1"/>
    <x v="2"/>
    <x v="2"/>
    <x v="226"/>
    <x v="192"/>
    <x v="192"/>
    <s v="REVENUS"/>
    <x v="16"/>
    <s v="4012.001"/>
    <s v="Impôt capital ordinaire"/>
    <n v="0"/>
    <n v="6474.9"/>
    <n v="4012"/>
  </r>
  <r>
    <x v="1"/>
    <x v="2"/>
    <x v="2"/>
    <x v="226"/>
    <x v="192"/>
    <x v="192"/>
    <s v="REVENUS"/>
    <x v="17"/>
    <s v="4011.001"/>
    <s v="Impôt bénéfice ordinaire"/>
    <n v="0"/>
    <n v="39334.25"/>
    <n v="4011"/>
  </r>
  <r>
    <x v="1"/>
    <x v="2"/>
    <x v="2"/>
    <x v="226"/>
    <x v="192"/>
    <x v="192"/>
    <s v="REVENUS"/>
    <x v="17"/>
    <s v="4011.007"/>
    <s v="Acompte sur bénéfice"/>
    <n v="0"/>
    <n v="-8444.35"/>
    <n v="4011"/>
  </r>
  <r>
    <x v="1"/>
    <x v="2"/>
    <x v="2"/>
    <x v="226"/>
    <x v="192"/>
    <x v="192"/>
    <s v="REVENUS"/>
    <x v="6"/>
    <s v="4221.001"/>
    <s v="Intérêts compensat. / créances en faveur du fisc"/>
    <n v="0"/>
    <n v="11.26"/>
    <n v="4221"/>
  </r>
  <r>
    <x v="1"/>
    <x v="2"/>
    <x v="2"/>
    <x v="226"/>
    <x v="192"/>
    <x v="192"/>
    <s v="REVENUS"/>
    <x v="17"/>
    <s v="4011.002"/>
    <s v="Complément impôt bénéfice ordinaire"/>
    <n v="0"/>
    <n v="782.9"/>
    <n v="4011"/>
  </r>
  <r>
    <x v="1"/>
    <x v="2"/>
    <x v="2"/>
    <x v="226"/>
    <x v="192"/>
    <x v="192"/>
    <s v="REVENUS"/>
    <x v="6"/>
    <s v="4211.002"/>
    <s v="Intérêts de retard sur acomptes"/>
    <n v="0"/>
    <n v="18.41"/>
    <n v="4211"/>
  </r>
  <r>
    <x v="1"/>
    <x v="2"/>
    <x v="2"/>
    <x v="226"/>
    <x v="192"/>
    <x v="192"/>
    <s v="REVENUS"/>
    <x v="10"/>
    <s v="4041.001"/>
    <s v="Droits de mutation"/>
    <n v="0"/>
    <n v="29260"/>
    <n v="4041"/>
  </r>
  <r>
    <x v="1"/>
    <x v="2"/>
    <x v="2"/>
    <x v="226"/>
    <x v="192"/>
    <x v="192"/>
    <s v="REVENUS"/>
    <x v="16"/>
    <s v="4012.002"/>
    <s v="Complément impôt capital ordinaire"/>
    <n v="0"/>
    <n v="20.7"/>
    <n v="4012"/>
  </r>
  <r>
    <x v="1"/>
    <x v="2"/>
    <x v="2"/>
    <x v="226"/>
    <x v="192"/>
    <x v="192"/>
    <s v="REVENUS"/>
    <x v="6"/>
    <s v="4211.001"/>
    <s v="Intérêts de retard sur factures"/>
    <n v="0"/>
    <n v="92.11"/>
    <n v="4211"/>
  </r>
  <r>
    <x v="1"/>
    <x v="2"/>
    <x v="2"/>
    <x v="226"/>
    <x v="192"/>
    <x v="192"/>
    <s v="REVENUS"/>
    <x v="7"/>
    <s v="4184.000"/>
    <s v="Frais de poursuite"/>
    <n v="0"/>
    <n v="58.07"/>
    <n v="4184"/>
  </r>
  <r>
    <x v="1"/>
    <x v="2"/>
    <x v="2"/>
    <x v="226"/>
    <x v="192"/>
    <x v="192"/>
    <s v="REVENUS"/>
    <x v="11"/>
    <s v="4198.001"/>
    <s v="Impôt foncier"/>
    <n v="0"/>
    <n v="12063.6"/>
    <n v="4198"/>
  </r>
  <r>
    <x v="1"/>
    <x v="2"/>
    <x v="2"/>
    <x v="227"/>
    <x v="193"/>
    <x v="193"/>
    <s v="CHARGES"/>
    <x v="0"/>
    <s v="3212.004"/>
    <s v="Intérêts rémun./perçu trop tôt sur acomptes C/C"/>
    <n v="1978.85"/>
    <n v="0"/>
    <n v="3212"/>
  </r>
  <r>
    <x v="1"/>
    <x v="2"/>
    <x v="2"/>
    <x v="227"/>
    <x v="193"/>
    <x v="193"/>
    <s v="CHARGES"/>
    <x v="0"/>
    <s v="3221.002"/>
    <s v="Intérêts compensatoires / créances en faveur ctb."/>
    <n v="976.13"/>
    <n v="0"/>
    <n v="3221"/>
  </r>
  <r>
    <x v="1"/>
    <x v="2"/>
    <x v="2"/>
    <x v="227"/>
    <x v="193"/>
    <x v="193"/>
    <s v="CHARGES"/>
    <x v="1"/>
    <s v="3301.006"/>
    <s v="Abandon de solde PM"/>
    <n v="406.5"/>
    <n v="0"/>
    <n v="3301"/>
  </r>
  <r>
    <x v="1"/>
    <x v="2"/>
    <x v="2"/>
    <x v="227"/>
    <x v="193"/>
    <x v="193"/>
    <s v="CHARGES"/>
    <x v="0"/>
    <s v="3212.002"/>
    <s v="Intérêts bonifiés/trop perçu acompte C/C"/>
    <n v="226.03"/>
    <n v="0"/>
    <n v="3212"/>
  </r>
  <r>
    <x v="1"/>
    <x v="2"/>
    <x v="2"/>
    <x v="227"/>
    <x v="193"/>
    <x v="193"/>
    <s v="CHARGES"/>
    <x v="1"/>
    <s v="3301.002"/>
    <s v="Défalcation PM"/>
    <n v="82379.98"/>
    <n v="0"/>
    <n v="3301"/>
  </r>
  <r>
    <x v="1"/>
    <x v="2"/>
    <x v="2"/>
    <x v="227"/>
    <x v="193"/>
    <x v="193"/>
    <s v="REVENUS"/>
    <x v="17"/>
    <s v="4011.001"/>
    <s v="Impôt bénéfice ordinaire"/>
    <n v="0"/>
    <n v="3576490.75"/>
    <n v="4011"/>
  </r>
  <r>
    <x v="1"/>
    <x v="2"/>
    <x v="2"/>
    <x v="227"/>
    <x v="193"/>
    <x v="193"/>
    <s v="REVENUS"/>
    <x v="17"/>
    <s v="4011.007"/>
    <s v="Acompte sur bénéfice"/>
    <n v="0"/>
    <n v="-399069.65"/>
    <n v="4011"/>
  </r>
  <r>
    <x v="1"/>
    <x v="2"/>
    <x v="2"/>
    <x v="227"/>
    <x v="193"/>
    <x v="193"/>
    <s v="REVENUS"/>
    <x v="16"/>
    <s v="4012.001"/>
    <s v="Impôt capital ordinaire"/>
    <n v="0"/>
    <n v="349885.1"/>
    <n v="4012"/>
  </r>
  <r>
    <x v="1"/>
    <x v="2"/>
    <x v="2"/>
    <x v="227"/>
    <x v="193"/>
    <x v="193"/>
    <s v="REVENUS"/>
    <x v="16"/>
    <s v="4012.007"/>
    <s v="Acompte sur capital"/>
    <n v="0"/>
    <n v="113032.8"/>
    <n v="4012"/>
  </r>
  <r>
    <x v="1"/>
    <x v="2"/>
    <x v="2"/>
    <x v="227"/>
    <x v="193"/>
    <x v="193"/>
    <s v="REVENUS"/>
    <x v="10"/>
    <s v="4041.001"/>
    <s v="Droits de mutation"/>
    <n v="0"/>
    <n v="1212744.45"/>
    <n v="4041"/>
  </r>
  <r>
    <x v="1"/>
    <x v="2"/>
    <x v="2"/>
    <x v="227"/>
    <x v="193"/>
    <x v="193"/>
    <s v="REVENUS"/>
    <x v="6"/>
    <s v="4211.002"/>
    <s v="Intérêts de retard sur acomptes"/>
    <n v="0"/>
    <n v="5336.44"/>
    <n v="4211"/>
  </r>
  <r>
    <x v="1"/>
    <x v="2"/>
    <x v="2"/>
    <x v="227"/>
    <x v="193"/>
    <x v="193"/>
    <s v="REVENUS"/>
    <x v="17"/>
    <s v="4011.002"/>
    <s v="Complément impôt bénéfice ordinaire"/>
    <n v="0"/>
    <n v="96651.75"/>
    <n v="4011"/>
  </r>
  <r>
    <x v="1"/>
    <x v="2"/>
    <x v="2"/>
    <x v="227"/>
    <x v="193"/>
    <x v="193"/>
    <s v="REVENUS"/>
    <x v="18"/>
    <s v="4013.001"/>
    <s v="Impôt complémentaire sur immeubles"/>
    <n v="0"/>
    <n v="540841"/>
    <n v="4013"/>
  </r>
  <r>
    <x v="1"/>
    <x v="2"/>
    <x v="2"/>
    <x v="227"/>
    <x v="193"/>
    <x v="193"/>
    <s v="REVENUS"/>
    <x v="6"/>
    <s v="4211.001"/>
    <s v="Intérêts de retard sur factures"/>
    <n v="0"/>
    <n v="4288.5600000000004"/>
    <n v="4211"/>
  </r>
  <r>
    <x v="1"/>
    <x v="2"/>
    <x v="2"/>
    <x v="227"/>
    <x v="193"/>
    <x v="193"/>
    <s v="REVENUS"/>
    <x v="6"/>
    <s v="4221.001"/>
    <s v="Intérêts compensat. / créances en faveur du fisc"/>
    <n v="0"/>
    <n v="748.63"/>
    <n v="4221"/>
  </r>
  <r>
    <x v="1"/>
    <x v="2"/>
    <x v="2"/>
    <x v="227"/>
    <x v="193"/>
    <x v="193"/>
    <s v="REVENUS"/>
    <x v="11"/>
    <s v="4198.001"/>
    <s v="Impôt foncier"/>
    <n v="0"/>
    <n v="1282768.2"/>
    <n v="4198"/>
  </r>
  <r>
    <x v="1"/>
    <x v="2"/>
    <x v="2"/>
    <x v="227"/>
    <x v="193"/>
    <x v="193"/>
    <s v="REVENUS"/>
    <x v="16"/>
    <s v="4012.002"/>
    <s v="Complément impôt capital ordinaire"/>
    <n v="0"/>
    <n v="41464.6"/>
    <n v="4012"/>
  </r>
  <r>
    <x v="1"/>
    <x v="2"/>
    <x v="2"/>
    <x v="227"/>
    <x v="193"/>
    <x v="193"/>
    <s v="REVENUS"/>
    <x v="7"/>
    <s v="4184.000"/>
    <s v="Frais de poursuite"/>
    <n v="0"/>
    <n v="1159.1500000000001"/>
    <n v="4184"/>
  </r>
  <r>
    <x v="1"/>
    <x v="2"/>
    <x v="2"/>
    <x v="227"/>
    <x v="193"/>
    <x v="193"/>
    <s v="REVENUS"/>
    <x v="18"/>
    <s v="4013.002"/>
    <s v="Complément impôt complémentaire sur immeubles"/>
    <n v="0"/>
    <n v="3417.55"/>
    <n v="4013"/>
  </r>
  <r>
    <x v="1"/>
    <x v="2"/>
    <x v="2"/>
    <x v="227"/>
    <x v="193"/>
    <x v="193"/>
    <s v="REVENUS"/>
    <x v="18"/>
    <s v="4013.003"/>
    <s v="Remboursement impôt complémentaire sur immeubles"/>
    <n v="0"/>
    <n v="-31301.05"/>
    <n v="4013"/>
  </r>
  <r>
    <x v="1"/>
    <x v="2"/>
    <x v="2"/>
    <x v="227"/>
    <x v="193"/>
    <x v="193"/>
    <s v="REVENUS"/>
    <x v="6"/>
    <s v="4221.003"/>
    <s v="Intérêts compensat. / acomptes en faveur du fisc"/>
    <n v="0"/>
    <n v="-16.079999999999998"/>
    <n v="4221"/>
  </r>
  <r>
    <x v="1"/>
    <x v="2"/>
    <x v="2"/>
    <x v="227"/>
    <x v="193"/>
    <x v="193"/>
    <s v="REVENUS"/>
    <x v="8"/>
    <s v="4091.001"/>
    <s v="Impôt récupéré après défalcations"/>
    <n v="0"/>
    <n v="7889.01"/>
    <n v="4091"/>
  </r>
  <r>
    <x v="1"/>
    <x v="2"/>
    <x v="2"/>
    <x v="228"/>
    <x v="194"/>
    <x v="194"/>
    <s v="CHARGES"/>
    <x v="0"/>
    <s v="3212.004"/>
    <s v="Intérêts rémun./perçu trop tôt sur acomptes C/C"/>
    <n v="5.75"/>
    <n v="0"/>
    <n v="3212"/>
  </r>
  <r>
    <x v="1"/>
    <x v="2"/>
    <x v="2"/>
    <x v="228"/>
    <x v="194"/>
    <x v="194"/>
    <s v="CHARGES"/>
    <x v="1"/>
    <s v="3301.006"/>
    <s v="Abandon de solde PM"/>
    <n v="16.2"/>
    <n v="0"/>
    <n v="3301"/>
  </r>
  <r>
    <x v="1"/>
    <x v="2"/>
    <x v="2"/>
    <x v="228"/>
    <x v="194"/>
    <x v="194"/>
    <s v="CHARGES"/>
    <x v="0"/>
    <s v="3221.002"/>
    <s v="Intérêts compensatoires / créances en faveur ctb."/>
    <n v="3.21"/>
    <n v="0"/>
    <n v="3221"/>
  </r>
  <r>
    <x v="1"/>
    <x v="2"/>
    <x v="2"/>
    <x v="228"/>
    <x v="194"/>
    <x v="194"/>
    <s v="REVENUS"/>
    <x v="16"/>
    <s v="4012.001"/>
    <s v="Impôt capital ordinaire"/>
    <n v="0"/>
    <n v="2664.05"/>
    <n v="4012"/>
  </r>
  <r>
    <x v="1"/>
    <x v="2"/>
    <x v="2"/>
    <x v="228"/>
    <x v="194"/>
    <x v="194"/>
    <s v="REVENUS"/>
    <x v="16"/>
    <s v="4012.007"/>
    <s v="Acompte sur capital"/>
    <n v="0"/>
    <n v="-851.7"/>
    <n v="4012"/>
  </r>
  <r>
    <x v="1"/>
    <x v="2"/>
    <x v="2"/>
    <x v="228"/>
    <x v="194"/>
    <x v="194"/>
    <s v="REVENUS"/>
    <x v="17"/>
    <s v="4011.001"/>
    <s v="Impôt bénéfice ordinaire"/>
    <n v="0"/>
    <n v="7019.95"/>
    <n v="4011"/>
  </r>
  <r>
    <x v="1"/>
    <x v="2"/>
    <x v="2"/>
    <x v="228"/>
    <x v="194"/>
    <x v="194"/>
    <s v="REVENUS"/>
    <x v="6"/>
    <s v="4221.001"/>
    <s v="Intérêts compensat. / créances en faveur du fisc"/>
    <n v="0"/>
    <n v="1.39"/>
    <n v="4221"/>
  </r>
  <r>
    <x v="1"/>
    <x v="2"/>
    <x v="2"/>
    <x v="228"/>
    <x v="194"/>
    <x v="194"/>
    <s v="REVENUS"/>
    <x v="17"/>
    <s v="4011.007"/>
    <s v="Acompte sur bénéfice"/>
    <n v="0"/>
    <n v="1314.6"/>
    <n v="4011"/>
  </r>
  <r>
    <x v="1"/>
    <x v="2"/>
    <x v="2"/>
    <x v="228"/>
    <x v="194"/>
    <x v="194"/>
    <s v="REVENUS"/>
    <x v="6"/>
    <s v="4211.002"/>
    <s v="Intérêts de retard sur acomptes"/>
    <n v="0"/>
    <n v="1.55"/>
    <n v="4211"/>
  </r>
  <r>
    <x v="1"/>
    <x v="2"/>
    <x v="2"/>
    <x v="228"/>
    <x v="194"/>
    <x v="194"/>
    <s v="REVENUS"/>
    <x v="6"/>
    <s v="4211.001"/>
    <s v="Intérêts de retard sur factures"/>
    <n v="0"/>
    <n v="7.45"/>
    <n v="4211"/>
  </r>
  <r>
    <x v="1"/>
    <x v="2"/>
    <x v="2"/>
    <x v="228"/>
    <x v="194"/>
    <x v="194"/>
    <s v="REVENUS"/>
    <x v="10"/>
    <s v="4041.001"/>
    <s v="Droits de mutation"/>
    <n v="0"/>
    <n v="710.35"/>
    <n v="4041"/>
  </r>
  <r>
    <x v="1"/>
    <x v="2"/>
    <x v="2"/>
    <x v="228"/>
    <x v="194"/>
    <x v="194"/>
    <s v="REVENUS"/>
    <x v="18"/>
    <s v="4013.001"/>
    <s v="Impôt complémentaire sur immeubles"/>
    <n v="0"/>
    <n v="6180.6"/>
    <n v="4013"/>
  </r>
  <r>
    <x v="1"/>
    <x v="2"/>
    <x v="2"/>
    <x v="228"/>
    <x v="194"/>
    <x v="194"/>
    <s v="REVENUS"/>
    <x v="11"/>
    <s v="4198.001"/>
    <s v="Impôt foncier"/>
    <n v="0"/>
    <n v="12407.2"/>
    <n v="4198"/>
  </r>
  <r>
    <x v="1"/>
    <x v="2"/>
    <x v="2"/>
    <x v="229"/>
    <x v="195"/>
    <x v="195"/>
    <s v="CHARGES"/>
    <x v="1"/>
    <s v="3301.006"/>
    <s v="Abandon de solde PM"/>
    <n v="50.78"/>
    <n v="0"/>
    <n v="3301"/>
  </r>
  <r>
    <x v="1"/>
    <x v="2"/>
    <x v="2"/>
    <x v="229"/>
    <x v="195"/>
    <x v="195"/>
    <s v="CHARGES"/>
    <x v="0"/>
    <s v="3212.004"/>
    <s v="Intérêts rémun./perçu trop tôt sur acomptes C/C"/>
    <n v="154.25"/>
    <n v="0"/>
    <n v="3212"/>
  </r>
  <r>
    <x v="1"/>
    <x v="2"/>
    <x v="2"/>
    <x v="229"/>
    <x v="195"/>
    <x v="195"/>
    <s v="CHARGES"/>
    <x v="0"/>
    <s v="3221.002"/>
    <s v="Intérêts compensatoires / créances en faveur ctb."/>
    <n v="38.21"/>
    <n v="0"/>
    <n v="3221"/>
  </r>
  <r>
    <x v="1"/>
    <x v="2"/>
    <x v="2"/>
    <x v="229"/>
    <x v="195"/>
    <x v="195"/>
    <s v="CHARGES"/>
    <x v="1"/>
    <s v="3301.002"/>
    <s v="Défalcation PM"/>
    <n v="390.01"/>
    <n v="0"/>
    <n v="3301"/>
  </r>
  <r>
    <x v="1"/>
    <x v="2"/>
    <x v="2"/>
    <x v="229"/>
    <x v="195"/>
    <x v="195"/>
    <s v="CHARGES"/>
    <x v="0"/>
    <s v="3212.002"/>
    <s v="Intérêts bonifiés/trop perçu acompte C/C"/>
    <n v="0.23"/>
    <n v="0"/>
    <n v="3212"/>
  </r>
  <r>
    <x v="1"/>
    <x v="2"/>
    <x v="2"/>
    <x v="229"/>
    <x v="195"/>
    <x v="195"/>
    <s v="REVENUS"/>
    <x v="16"/>
    <s v="4012.007"/>
    <s v="Acompte sur capital"/>
    <n v="0"/>
    <n v="10148.25"/>
    <n v="4012"/>
  </r>
  <r>
    <x v="1"/>
    <x v="2"/>
    <x v="2"/>
    <x v="229"/>
    <x v="195"/>
    <x v="195"/>
    <s v="REVENUS"/>
    <x v="16"/>
    <s v="4012.001"/>
    <s v="Impôt capital ordinaire"/>
    <n v="0"/>
    <n v="11221.85"/>
    <n v="4012"/>
  </r>
  <r>
    <x v="1"/>
    <x v="2"/>
    <x v="2"/>
    <x v="229"/>
    <x v="195"/>
    <x v="195"/>
    <s v="REVENUS"/>
    <x v="18"/>
    <s v="4013.001"/>
    <s v="Impôt complémentaire sur immeubles"/>
    <n v="0"/>
    <n v="44811.35"/>
    <n v="4013"/>
  </r>
  <r>
    <x v="1"/>
    <x v="2"/>
    <x v="2"/>
    <x v="229"/>
    <x v="195"/>
    <x v="195"/>
    <s v="REVENUS"/>
    <x v="11"/>
    <s v="4198.001"/>
    <s v="Impôt foncier"/>
    <n v="0"/>
    <n v="99277"/>
    <n v="4198"/>
  </r>
  <r>
    <x v="1"/>
    <x v="2"/>
    <x v="2"/>
    <x v="229"/>
    <x v="195"/>
    <x v="195"/>
    <s v="REVENUS"/>
    <x v="6"/>
    <s v="4211.002"/>
    <s v="Intérêts de retard sur acomptes"/>
    <n v="0"/>
    <n v="139.37"/>
    <n v="4211"/>
  </r>
  <r>
    <x v="1"/>
    <x v="2"/>
    <x v="2"/>
    <x v="229"/>
    <x v="195"/>
    <x v="195"/>
    <s v="REVENUS"/>
    <x v="17"/>
    <s v="4011.001"/>
    <s v="Impôt bénéfice ordinaire"/>
    <n v="0"/>
    <n v="295169.40000000002"/>
    <n v="4011"/>
  </r>
  <r>
    <x v="1"/>
    <x v="2"/>
    <x v="2"/>
    <x v="229"/>
    <x v="195"/>
    <x v="195"/>
    <s v="REVENUS"/>
    <x v="17"/>
    <s v="4011.007"/>
    <s v="Acompte sur bénéfice"/>
    <n v="0"/>
    <n v="-19914.45"/>
    <n v="4011"/>
  </r>
  <r>
    <x v="1"/>
    <x v="2"/>
    <x v="2"/>
    <x v="229"/>
    <x v="195"/>
    <x v="195"/>
    <s v="REVENUS"/>
    <x v="6"/>
    <s v="4211.001"/>
    <s v="Intérêts de retard sur factures"/>
    <n v="0"/>
    <n v="875.15"/>
    <n v="4211"/>
  </r>
  <r>
    <x v="1"/>
    <x v="2"/>
    <x v="2"/>
    <x v="229"/>
    <x v="195"/>
    <x v="195"/>
    <s v="REVENUS"/>
    <x v="6"/>
    <s v="4221.001"/>
    <s v="Intérêts compensat. / créances en faveur du fisc"/>
    <n v="0"/>
    <n v="150.41999999999999"/>
    <n v="4221"/>
  </r>
  <r>
    <x v="1"/>
    <x v="2"/>
    <x v="2"/>
    <x v="229"/>
    <x v="195"/>
    <x v="195"/>
    <s v="REVENUS"/>
    <x v="7"/>
    <s v="4184.000"/>
    <s v="Frais de poursuite"/>
    <n v="0"/>
    <n v="140.35"/>
    <n v="4184"/>
  </r>
  <r>
    <x v="1"/>
    <x v="2"/>
    <x v="2"/>
    <x v="229"/>
    <x v="195"/>
    <x v="195"/>
    <s v="REVENUS"/>
    <x v="17"/>
    <s v="4011.002"/>
    <s v="Complément impôt bénéfice ordinaire"/>
    <n v="0"/>
    <n v="22764.9"/>
    <n v="4011"/>
  </r>
  <r>
    <x v="1"/>
    <x v="2"/>
    <x v="2"/>
    <x v="229"/>
    <x v="195"/>
    <x v="195"/>
    <s v="REVENUS"/>
    <x v="18"/>
    <s v="4013.002"/>
    <s v="Complément impôt complémentaire sur immeubles"/>
    <n v="0"/>
    <n v="2.5"/>
    <n v="4013"/>
  </r>
  <r>
    <x v="1"/>
    <x v="2"/>
    <x v="2"/>
    <x v="229"/>
    <x v="195"/>
    <x v="195"/>
    <s v="REVENUS"/>
    <x v="10"/>
    <s v="4041.001"/>
    <s v="Droits de mutation"/>
    <n v="0"/>
    <n v="43124.4"/>
    <n v="4041"/>
  </r>
  <r>
    <x v="1"/>
    <x v="2"/>
    <x v="2"/>
    <x v="229"/>
    <x v="195"/>
    <x v="195"/>
    <s v="REVENUS"/>
    <x v="18"/>
    <s v="4013.003"/>
    <s v="Remboursement impôt complémentaire sur immeubles"/>
    <n v="0"/>
    <n v="-3146"/>
    <n v="4013"/>
  </r>
  <r>
    <x v="1"/>
    <x v="2"/>
    <x v="2"/>
    <x v="229"/>
    <x v="195"/>
    <x v="195"/>
    <s v="REVENUS"/>
    <x v="16"/>
    <s v="4012.002"/>
    <s v="Complément impôt capital ordinaire"/>
    <n v="0"/>
    <n v="2.35"/>
    <n v="4012"/>
  </r>
  <r>
    <x v="1"/>
    <x v="2"/>
    <x v="2"/>
    <x v="230"/>
    <x v="196"/>
    <x v="196"/>
    <s v="CHARGES"/>
    <x v="0"/>
    <s v="3212.004"/>
    <s v="Intérêts rémun./perçu trop tôt sur acomptes C/C"/>
    <n v="3898.09"/>
    <n v="0"/>
    <n v="3212"/>
  </r>
  <r>
    <x v="1"/>
    <x v="2"/>
    <x v="2"/>
    <x v="230"/>
    <x v="196"/>
    <x v="196"/>
    <s v="CHARGES"/>
    <x v="0"/>
    <s v="3221.002"/>
    <s v="Intérêts compensatoires / créances en faveur ctb."/>
    <n v="4473.7700000000004"/>
    <n v="0"/>
    <n v="3221"/>
  </r>
  <r>
    <x v="1"/>
    <x v="2"/>
    <x v="2"/>
    <x v="230"/>
    <x v="196"/>
    <x v="196"/>
    <s v="CHARGES"/>
    <x v="1"/>
    <s v="3301.006"/>
    <s v="Abandon de solde PM"/>
    <n v="926.49"/>
    <n v="0"/>
    <n v="3301"/>
  </r>
  <r>
    <x v="1"/>
    <x v="2"/>
    <x v="2"/>
    <x v="230"/>
    <x v="196"/>
    <x v="196"/>
    <s v="CHARGES"/>
    <x v="0"/>
    <s v="3212.002"/>
    <s v="Intérêts bonifiés/trop perçu acompte C/C"/>
    <n v="350.97"/>
    <n v="0"/>
    <n v="3212"/>
  </r>
  <r>
    <x v="1"/>
    <x v="2"/>
    <x v="2"/>
    <x v="230"/>
    <x v="196"/>
    <x v="196"/>
    <s v="CHARGES"/>
    <x v="1"/>
    <s v="3301.002"/>
    <s v="Défalcation PM"/>
    <n v="117698.3"/>
    <n v="0"/>
    <n v="3301"/>
  </r>
  <r>
    <x v="1"/>
    <x v="2"/>
    <x v="2"/>
    <x v="230"/>
    <x v="196"/>
    <x v="196"/>
    <s v="REVENUS"/>
    <x v="17"/>
    <s v="4011.001"/>
    <s v="Impôt bénéfice ordinaire"/>
    <n v="0"/>
    <n v="10812964.699999999"/>
    <n v="4011"/>
  </r>
  <r>
    <x v="1"/>
    <x v="2"/>
    <x v="2"/>
    <x v="230"/>
    <x v="196"/>
    <x v="196"/>
    <s v="REVENUS"/>
    <x v="17"/>
    <s v="4011.007"/>
    <s v="Acompte sur bénéfice"/>
    <n v="0"/>
    <n v="-4253465.6500000004"/>
    <n v="4011"/>
  </r>
  <r>
    <x v="1"/>
    <x v="2"/>
    <x v="2"/>
    <x v="230"/>
    <x v="196"/>
    <x v="196"/>
    <s v="REVENUS"/>
    <x v="16"/>
    <s v="4012.001"/>
    <s v="Impôt capital ordinaire"/>
    <n v="0"/>
    <n v="519158.5"/>
    <n v="4012"/>
  </r>
  <r>
    <x v="1"/>
    <x v="2"/>
    <x v="2"/>
    <x v="230"/>
    <x v="196"/>
    <x v="196"/>
    <s v="REVENUS"/>
    <x v="16"/>
    <s v="4012.007"/>
    <s v="Acompte sur capital"/>
    <n v="0"/>
    <n v="516136.4"/>
    <n v="4012"/>
  </r>
  <r>
    <x v="1"/>
    <x v="2"/>
    <x v="2"/>
    <x v="230"/>
    <x v="196"/>
    <x v="196"/>
    <s v="REVENUS"/>
    <x v="18"/>
    <s v="4013.001"/>
    <s v="Impôt complémentaire sur immeubles"/>
    <n v="0"/>
    <n v="1031089.75"/>
    <n v="4013"/>
  </r>
  <r>
    <x v="1"/>
    <x v="2"/>
    <x v="2"/>
    <x v="230"/>
    <x v="196"/>
    <x v="196"/>
    <s v="REVENUS"/>
    <x v="6"/>
    <s v="4211.002"/>
    <s v="Intérêts de retard sur acomptes"/>
    <n v="0"/>
    <n v="21086.959999999999"/>
    <n v="4211"/>
  </r>
  <r>
    <x v="1"/>
    <x v="2"/>
    <x v="2"/>
    <x v="230"/>
    <x v="196"/>
    <x v="196"/>
    <s v="REVENUS"/>
    <x v="6"/>
    <s v="4221.001"/>
    <s v="Intérêts compensat. / créances en faveur du fisc"/>
    <n v="0"/>
    <n v="3088.18"/>
    <n v="4221"/>
  </r>
  <r>
    <x v="1"/>
    <x v="2"/>
    <x v="2"/>
    <x v="230"/>
    <x v="196"/>
    <x v="196"/>
    <s v="REVENUS"/>
    <x v="7"/>
    <s v="4184.000"/>
    <s v="Frais de poursuite"/>
    <n v="0"/>
    <n v="1980.16"/>
    <n v="4184"/>
  </r>
  <r>
    <x v="1"/>
    <x v="2"/>
    <x v="2"/>
    <x v="230"/>
    <x v="196"/>
    <x v="196"/>
    <s v="REVENUS"/>
    <x v="11"/>
    <s v="4198.001"/>
    <s v="Impôt foncier"/>
    <n v="0"/>
    <n v="3904016.35"/>
    <n v="4198"/>
  </r>
  <r>
    <x v="1"/>
    <x v="2"/>
    <x v="2"/>
    <x v="230"/>
    <x v="196"/>
    <x v="196"/>
    <s v="REVENUS"/>
    <x v="6"/>
    <s v="4211.001"/>
    <s v="Intérêts de retard sur factures"/>
    <n v="0"/>
    <n v="19478.419999999998"/>
    <n v="4211"/>
  </r>
  <r>
    <x v="1"/>
    <x v="2"/>
    <x v="2"/>
    <x v="230"/>
    <x v="196"/>
    <x v="196"/>
    <s v="REVENUS"/>
    <x v="17"/>
    <s v="4011.002"/>
    <s v="Complément impôt bénéfice ordinaire"/>
    <n v="0"/>
    <n v="358466.6"/>
    <n v="4011"/>
  </r>
  <r>
    <x v="1"/>
    <x v="2"/>
    <x v="2"/>
    <x v="230"/>
    <x v="196"/>
    <x v="196"/>
    <s v="REVENUS"/>
    <x v="10"/>
    <s v="4041.001"/>
    <s v="Droits de mutation"/>
    <n v="0"/>
    <n v="1323050.45"/>
    <n v="4041"/>
  </r>
  <r>
    <x v="1"/>
    <x v="2"/>
    <x v="2"/>
    <x v="230"/>
    <x v="196"/>
    <x v="196"/>
    <s v="REVENUS"/>
    <x v="18"/>
    <s v="4013.003"/>
    <s v="Remboursement impôt complémentaire sur immeubles"/>
    <n v="0"/>
    <n v="-76333.399999999994"/>
    <n v="4013"/>
  </r>
  <r>
    <x v="1"/>
    <x v="2"/>
    <x v="2"/>
    <x v="230"/>
    <x v="196"/>
    <x v="196"/>
    <s v="REVENUS"/>
    <x v="16"/>
    <s v="4012.002"/>
    <s v="Complément impôt capital ordinaire"/>
    <n v="0"/>
    <n v="55475.05"/>
    <n v="4012"/>
  </r>
  <r>
    <x v="1"/>
    <x v="2"/>
    <x v="2"/>
    <x v="230"/>
    <x v="196"/>
    <x v="196"/>
    <s v="REVENUS"/>
    <x v="8"/>
    <s v="4091.001"/>
    <s v="Impôt récupéré après défalcations"/>
    <n v="0"/>
    <n v="21363.599999999999"/>
    <n v="4091"/>
  </r>
  <r>
    <x v="1"/>
    <x v="2"/>
    <x v="2"/>
    <x v="230"/>
    <x v="196"/>
    <x v="196"/>
    <s v="REVENUS"/>
    <x v="10"/>
    <s v="4041.002"/>
    <s v="Complément droit de mutation"/>
    <n v="0"/>
    <n v="20053"/>
    <n v="4041"/>
  </r>
  <r>
    <x v="1"/>
    <x v="2"/>
    <x v="2"/>
    <x v="230"/>
    <x v="196"/>
    <x v="196"/>
    <s v="REVENUS"/>
    <x v="18"/>
    <s v="4013.002"/>
    <s v="Complément impôt complémentaire sur immeubles"/>
    <n v="0"/>
    <n v="3432"/>
    <n v="4013"/>
  </r>
  <r>
    <x v="1"/>
    <x v="2"/>
    <x v="2"/>
    <x v="230"/>
    <x v="196"/>
    <x v="196"/>
    <s v="REVENUS"/>
    <x v="9"/>
    <s v="4031.001"/>
    <s v="Impôt sur les gains immobiliers"/>
    <n v="0"/>
    <n v="54335.6"/>
    <n v="4031"/>
  </r>
  <r>
    <x v="1"/>
    <x v="2"/>
    <x v="2"/>
    <x v="230"/>
    <x v="196"/>
    <x v="196"/>
    <s v="REVENUS"/>
    <x v="13"/>
    <s v="4371.012"/>
    <s v="Amende soustraction IBC"/>
    <n v="0"/>
    <n v="15050"/>
    <n v="4371"/>
  </r>
  <r>
    <x v="1"/>
    <x v="2"/>
    <x v="2"/>
    <x v="230"/>
    <x v="196"/>
    <x v="196"/>
    <s v="REVENUS"/>
    <x v="6"/>
    <s v="4221.002"/>
    <s v="Intérêts compensat. sur impôts distincts"/>
    <n v="0"/>
    <n v="91.23"/>
    <n v="4221"/>
  </r>
  <r>
    <x v="1"/>
    <x v="2"/>
    <x v="2"/>
    <x v="230"/>
    <x v="196"/>
    <x v="196"/>
    <s v="REVENUS"/>
    <x v="6"/>
    <s v="4221.003"/>
    <s v="Intérêts compensat. / acomptes en faveur du fisc"/>
    <n v="0"/>
    <n v="-59.41"/>
    <n v="4221"/>
  </r>
  <r>
    <x v="1"/>
    <x v="2"/>
    <x v="2"/>
    <x v="230"/>
    <x v="196"/>
    <x v="196"/>
    <s v="REVENUS"/>
    <x v="8"/>
    <s v="4091.003"/>
    <s v="Impôt récupéré concordat"/>
    <n v="0"/>
    <n v="178.15"/>
    <n v="4091"/>
  </r>
  <r>
    <x v="1"/>
    <x v="2"/>
    <x v="2"/>
    <x v="231"/>
    <x v="197"/>
    <x v="197"/>
    <s v="CHARGES"/>
    <x v="0"/>
    <s v="3212.004"/>
    <s v="Intérêts rémun./perçu trop tôt sur acomptes C/C"/>
    <n v="122.61"/>
    <n v="0"/>
    <n v="3212"/>
  </r>
  <r>
    <x v="1"/>
    <x v="2"/>
    <x v="2"/>
    <x v="231"/>
    <x v="197"/>
    <x v="197"/>
    <s v="CHARGES"/>
    <x v="1"/>
    <s v="3301.006"/>
    <s v="Abandon de solde PM"/>
    <n v="90"/>
    <n v="0"/>
    <n v="3301"/>
  </r>
  <r>
    <x v="1"/>
    <x v="2"/>
    <x v="2"/>
    <x v="231"/>
    <x v="197"/>
    <x v="197"/>
    <s v="CHARGES"/>
    <x v="0"/>
    <s v="3212.002"/>
    <s v="Intérêts bonifiés/trop perçu acompte C/C"/>
    <n v="-1.62"/>
    <n v="0"/>
    <n v="3212"/>
  </r>
  <r>
    <x v="1"/>
    <x v="2"/>
    <x v="2"/>
    <x v="231"/>
    <x v="197"/>
    <x v="197"/>
    <s v="CHARGES"/>
    <x v="0"/>
    <s v="3221.002"/>
    <s v="Intérêts compensatoires / créances en faveur ctb."/>
    <n v="136.55000000000001"/>
    <n v="0"/>
    <n v="3221"/>
  </r>
  <r>
    <x v="1"/>
    <x v="2"/>
    <x v="2"/>
    <x v="231"/>
    <x v="197"/>
    <x v="197"/>
    <s v="CHARGES"/>
    <x v="1"/>
    <s v="3301.002"/>
    <s v="Défalcation PM"/>
    <n v="690.41"/>
    <n v="0"/>
    <n v="3301"/>
  </r>
  <r>
    <x v="1"/>
    <x v="2"/>
    <x v="2"/>
    <x v="231"/>
    <x v="197"/>
    <x v="197"/>
    <s v="REVENUS"/>
    <x v="7"/>
    <s v="4184.000"/>
    <s v="Frais de poursuite"/>
    <n v="0"/>
    <n v="249.88"/>
    <n v="4184"/>
  </r>
  <r>
    <x v="1"/>
    <x v="2"/>
    <x v="2"/>
    <x v="231"/>
    <x v="197"/>
    <x v="197"/>
    <s v="REVENUS"/>
    <x v="17"/>
    <s v="4011.007"/>
    <s v="Acompte sur bénéfice"/>
    <n v="0"/>
    <n v="-872188.7"/>
    <n v="4011"/>
  </r>
  <r>
    <x v="1"/>
    <x v="2"/>
    <x v="2"/>
    <x v="231"/>
    <x v="197"/>
    <x v="197"/>
    <s v="REVENUS"/>
    <x v="18"/>
    <s v="4013.001"/>
    <s v="Impôt complémentaire sur immeubles"/>
    <n v="0"/>
    <n v="78333.5"/>
    <n v="4013"/>
  </r>
  <r>
    <x v="1"/>
    <x v="2"/>
    <x v="2"/>
    <x v="231"/>
    <x v="197"/>
    <x v="197"/>
    <s v="REVENUS"/>
    <x v="11"/>
    <s v="4198.001"/>
    <s v="Impôt foncier"/>
    <n v="0"/>
    <n v="357310.7"/>
    <n v="4198"/>
  </r>
  <r>
    <x v="1"/>
    <x v="2"/>
    <x v="2"/>
    <x v="231"/>
    <x v="197"/>
    <x v="197"/>
    <s v="REVENUS"/>
    <x v="17"/>
    <s v="4011.001"/>
    <s v="Impôt bénéfice ordinaire"/>
    <n v="0"/>
    <n v="-35273"/>
    <n v="4011"/>
  </r>
  <r>
    <x v="1"/>
    <x v="2"/>
    <x v="2"/>
    <x v="231"/>
    <x v="197"/>
    <x v="197"/>
    <s v="REVENUS"/>
    <x v="6"/>
    <s v="4221.001"/>
    <s v="Intérêts compensat. / créances en faveur du fisc"/>
    <n v="0"/>
    <n v="329.41"/>
    <n v="4221"/>
  </r>
  <r>
    <x v="1"/>
    <x v="2"/>
    <x v="2"/>
    <x v="231"/>
    <x v="197"/>
    <x v="197"/>
    <s v="REVENUS"/>
    <x v="6"/>
    <s v="4211.001"/>
    <s v="Intérêts de retard sur factures"/>
    <n v="0"/>
    <n v="1574.06"/>
    <n v="4211"/>
  </r>
  <r>
    <x v="1"/>
    <x v="2"/>
    <x v="2"/>
    <x v="231"/>
    <x v="197"/>
    <x v="197"/>
    <s v="REVENUS"/>
    <x v="10"/>
    <s v="4041.001"/>
    <s v="Droits de mutation"/>
    <n v="0"/>
    <n v="78760"/>
    <n v="4041"/>
  </r>
  <r>
    <x v="1"/>
    <x v="2"/>
    <x v="2"/>
    <x v="231"/>
    <x v="197"/>
    <x v="197"/>
    <s v="REVENUS"/>
    <x v="6"/>
    <s v="4211.002"/>
    <s v="Intérêts de retard sur acomptes"/>
    <n v="0"/>
    <n v="216.91"/>
    <n v="4211"/>
  </r>
  <r>
    <x v="1"/>
    <x v="2"/>
    <x v="2"/>
    <x v="231"/>
    <x v="197"/>
    <x v="197"/>
    <s v="REVENUS"/>
    <x v="16"/>
    <s v="4012.001"/>
    <s v="Impôt capital ordinaire"/>
    <n v="0"/>
    <n v="26239.7"/>
    <n v="4012"/>
  </r>
  <r>
    <x v="1"/>
    <x v="2"/>
    <x v="2"/>
    <x v="231"/>
    <x v="197"/>
    <x v="197"/>
    <s v="REVENUS"/>
    <x v="16"/>
    <s v="4012.007"/>
    <s v="Acompte sur capital"/>
    <n v="0"/>
    <n v="3049.8"/>
    <n v="4012"/>
  </r>
  <r>
    <x v="1"/>
    <x v="2"/>
    <x v="2"/>
    <x v="231"/>
    <x v="197"/>
    <x v="197"/>
    <s v="REVENUS"/>
    <x v="17"/>
    <s v="4011.002"/>
    <s v="Complément impôt bénéfice ordinaire"/>
    <n v="0"/>
    <n v="1831509.35"/>
    <n v="4011"/>
  </r>
  <r>
    <x v="1"/>
    <x v="2"/>
    <x v="2"/>
    <x v="231"/>
    <x v="197"/>
    <x v="197"/>
    <s v="REVENUS"/>
    <x v="18"/>
    <s v="4013.002"/>
    <s v="Complément impôt complémentaire sur immeubles"/>
    <n v="0"/>
    <n v="-12.5"/>
    <n v="4013"/>
  </r>
  <r>
    <x v="1"/>
    <x v="2"/>
    <x v="2"/>
    <x v="231"/>
    <x v="197"/>
    <x v="197"/>
    <s v="REVENUS"/>
    <x v="18"/>
    <s v="4013.003"/>
    <s v="Remboursement impôt complémentaire sur immeubles"/>
    <n v="0"/>
    <n v="-92451.45"/>
    <n v="4013"/>
  </r>
  <r>
    <x v="1"/>
    <x v="2"/>
    <x v="2"/>
    <x v="232"/>
    <x v="198"/>
    <x v="198"/>
    <s v="CHARGES"/>
    <x v="1"/>
    <s v="3301.006"/>
    <s v="Abandon de solde PM"/>
    <n v="25.89"/>
    <n v="0"/>
    <n v="3301"/>
  </r>
  <r>
    <x v="1"/>
    <x v="2"/>
    <x v="2"/>
    <x v="232"/>
    <x v="198"/>
    <x v="198"/>
    <s v="CHARGES"/>
    <x v="0"/>
    <s v="3212.004"/>
    <s v="Intérêts rémun./perçu trop tôt sur acomptes C/C"/>
    <n v="17.239999999999998"/>
    <n v="0"/>
    <n v="3212"/>
  </r>
  <r>
    <x v="1"/>
    <x v="2"/>
    <x v="2"/>
    <x v="232"/>
    <x v="198"/>
    <x v="198"/>
    <s v="CHARGES"/>
    <x v="0"/>
    <s v="3221.002"/>
    <s v="Intérêts compensatoires / créances en faveur ctb."/>
    <n v="19.72"/>
    <n v="0"/>
    <n v="3221"/>
  </r>
  <r>
    <x v="1"/>
    <x v="2"/>
    <x v="2"/>
    <x v="232"/>
    <x v="198"/>
    <x v="198"/>
    <s v="CHARGES"/>
    <x v="0"/>
    <s v="3212.002"/>
    <s v="Intérêts bonifiés/trop perçu acompte C/C"/>
    <n v="0.36"/>
    <n v="0"/>
    <n v="3212"/>
  </r>
  <r>
    <x v="1"/>
    <x v="2"/>
    <x v="2"/>
    <x v="232"/>
    <x v="198"/>
    <x v="198"/>
    <s v="REVENUS"/>
    <x v="6"/>
    <s v="4211.001"/>
    <s v="Intérêts de retard sur factures"/>
    <n v="0"/>
    <n v="44.94"/>
    <n v="4211"/>
  </r>
  <r>
    <x v="1"/>
    <x v="2"/>
    <x v="2"/>
    <x v="232"/>
    <x v="198"/>
    <x v="198"/>
    <s v="REVENUS"/>
    <x v="17"/>
    <s v="4011.001"/>
    <s v="Impôt bénéfice ordinaire"/>
    <n v="0"/>
    <n v="40115.449999999997"/>
    <n v="4011"/>
  </r>
  <r>
    <x v="1"/>
    <x v="2"/>
    <x v="2"/>
    <x v="232"/>
    <x v="198"/>
    <x v="198"/>
    <s v="REVENUS"/>
    <x v="17"/>
    <s v="4011.007"/>
    <s v="Acompte sur bénéfice"/>
    <n v="0"/>
    <n v="-3897.6"/>
    <n v="4011"/>
  </r>
  <r>
    <x v="1"/>
    <x v="2"/>
    <x v="2"/>
    <x v="232"/>
    <x v="198"/>
    <x v="198"/>
    <s v="REVENUS"/>
    <x v="17"/>
    <s v="4011.002"/>
    <s v="Complément impôt bénéfice ordinaire"/>
    <n v="0"/>
    <n v="904.35"/>
    <n v="4011"/>
  </r>
  <r>
    <x v="1"/>
    <x v="2"/>
    <x v="2"/>
    <x v="232"/>
    <x v="198"/>
    <x v="198"/>
    <s v="REVENUS"/>
    <x v="16"/>
    <s v="4012.001"/>
    <s v="Impôt capital ordinaire"/>
    <n v="0"/>
    <n v="10758.25"/>
    <n v="4012"/>
  </r>
  <r>
    <x v="1"/>
    <x v="2"/>
    <x v="2"/>
    <x v="232"/>
    <x v="198"/>
    <x v="198"/>
    <s v="REVENUS"/>
    <x v="16"/>
    <s v="4012.007"/>
    <s v="Acompte sur capital"/>
    <n v="0"/>
    <n v="-18680.849999999999"/>
    <n v="4012"/>
  </r>
  <r>
    <x v="1"/>
    <x v="2"/>
    <x v="2"/>
    <x v="232"/>
    <x v="198"/>
    <x v="198"/>
    <s v="REVENUS"/>
    <x v="6"/>
    <s v="4211.002"/>
    <s v="Intérêts de retard sur acomptes"/>
    <n v="0"/>
    <n v="-29.62"/>
    <n v="4211"/>
  </r>
  <r>
    <x v="1"/>
    <x v="2"/>
    <x v="2"/>
    <x v="232"/>
    <x v="198"/>
    <x v="198"/>
    <s v="REVENUS"/>
    <x v="6"/>
    <s v="4221.001"/>
    <s v="Intérêts compensat. / créances en faveur du fisc"/>
    <n v="0"/>
    <n v="35.67"/>
    <n v="4221"/>
  </r>
  <r>
    <x v="1"/>
    <x v="2"/>
    <x v="2"/>
    <x v="232"/>
    <x v="198"/>
    <x v="198"/>
    <s v="REVENUS"/>
    <x v="10"/>
    <s v="4041.001"/>
    <s v="Droits de mutation"/>
    <n v="0"/>
    <n v="28215"/>
    <n v="4041"/>
  </r>
  <r>
    <x v="1"/>
    <x v="2"/>
    <x v="2"/>
    <x v="232"/>
    <x v="198"/>
    <x v="198"/>
    <s v="REVENUS"/>
    <x v="18"/>
    <s v="4013.001"/>
    <s v="Impôt complémentaire sur immeubles"/>
    <n v="0"/>
    <n v="6526.15"/>
    <n v="4013"/>
  </r>
  <r>
    <x v="1"/>
    <x v="2"/>
    <x v="2"/>
    <x v="232"/>
    <x v="198"/>
    <x v="198"/>
    <s v="REVENUS"/>
    <x v="11"/>
    <s v="4198.001"/>
    <s v="Impôt foncier"/>
    <n v="0"/>
    <n v="14809.4"/>
    <n v="4198"/>
  </r>
  <r>
    <x v="1"/>
    <x v="2"/>
    <x v="2"/>
    <x v="232"/>
    <x v="198"/>
    <x v="198"/>
    <s v="REVENUS"/>
    <x v="7"/>
    <s v="4184.000"/>
    <s v="Frais de poursuite"/>
    <n v="0"/>
    <n v="18.149999999999999"/>
    <n v="4184"/>
  </r>
  <r>
    <x v="1"/>
    <x v="2"/>
    <x v="2"/>
    <x v="232"/>
    <x v="198"/>
    <x v="198"/>
    <s v="REVENUS"/>
    <x v="18"/>
    <s v="4013.002"/>
    <s v="Complément impôt complémentaire sur immeubles"/>
    <n v="0"/>
    <n v="85"/>
    <n v="4013"/>
  </r>
  <r>
    <x v="1"/>
    <x v="2"/>
    <x v="2"/>
    <x v="233"/>
    <x v="199"/>
    <x v="199"/>
    <s v="CHARGES"/>
    <x v="0"/>
    <s v="3212.004"/>
    <s v="Intérêts rémun./perçu trop tôt sur acomptes C/C"/>
    <n v="143.02000000000001"/>
    <n v="0"/>
    <n v="3212"/>
  </r>
  <r>
    <x v="1"/>
    <x v="2"/>
    <x v="2"/>
    <x v="233"/>
    <x v="199"/>
    <x v="199"/>
    <s v="CHARGES"/>
    <x v="0"/>
    <s v="3221.002"/>
    <s v="Intérêts compensatoires / créances en faveur ctb."/>
    <n v="46.85"/>
    <n v="0"/>
    <n v="3221"/>
  </r>
  <r>
    <x v="1"/>
    <x v="2"/>
    <x v="2"/>
    <x v="233"/>
    <x v="199"/>
    <x v="199"/>
    <s v="CHARGES"/>
    <x v="1"/>
    <s v="3301.006"/>
    <s v="Abandon de solde PM"/>
    <n v="131.18"/>
    <n v="0"/>
    <n v="3301"/>
  </r>
  <r>
    <x v="1"/>
    <x v="2"/>
    <x v="2"/>
    <x v="233"/>
    <x v="199"/>
    <x v="199"/>
    <s v="CHARGES"/>
    <x v="0"/>
    <s v="3212.002"/>
    <s v="Intérêts bonifiés/trop perçu acompte C/C"/>
    <n v="2.1"/>
    <n v="0"/>
    <n v="3212"/>
  </r>
  <r>
    <x v="1"/>
    <x v="2"/>
    <x v="2"/>
    <x v="233"/>
    <x v="199"/>
    <x v="199"/>
    <s v="REVENUS"/>
    <x v="17"/>
    <s v="4011.001"/>
    <s v="Impôt bénéfice ordinaire"/>
    <n v="0"/>
    <n v="59651.15"/>
    <n v="4011"/>
  </r>
  <r>
    <x v="1"/>
    <x v="2"/>
    <x v="2"/>
    <x v="233"/>
    <x v="199"/>
    <x v="199"/>
    <s v="REVENUS"/>
    <x v="17"/>
    <s v="4011.007"/>
    <s v="Acompte sur bénéfice"/>
    <n v="0"/>
    <n v="-29528.75"/>
    <n v="4011"/>
  </r>
  <r>
    <x v="1"/>
    <x v="2"/>
    <x v="2"/>
    <x v="233"/>
    <x v="199"/>
    <x v="199"/>
    <s v="REVENUS"/>
    <x v="16"/>
    <s v="4012.001"/>
    <s v="Impôt capital ordinaire"/>
    <n v="0"/>
    <n v="8125.35"/>
    <n v="4012"/>
  </r>
  <r>
    <x v="1"/>
    <x v="2"/>
    <x v="2"/>
    <x v="233"/>
    <x v="199"/>
    <x v="199"/>
    <s v="REVENUS"/>
    <x v="6"/>
    <s v="4211.001"/>
    <s v="Intérêts de retard sur factures"/>
    <n v="0"/>
    <n v="293.29000000000002"/>
    <n v="4211"/>
  </r>
  <r>
    <x v="1"/>
    <x v="2"/>
    <x v="2"/>
    <x v="233"/>
    <x v="199"/>
    <x v="199"/>
    <s v="REVENUS"/>
    <x v="10"/>
    <s v="4041.001"/>
    <s v="Droits de mutation"/>
    <n v="0"/>
    <n v="41065.65"/>
    <n v="4041"/>
  </r>
  <r>
    <x v="1"/>
    <x v="2"/>
    <x v="2"/>
    <x v="233"/>
    <x v="199"/>
    <x v="199"/>
    <s v="REVENUS"/>
    <x v="17"/>
    <s v="4011.002"/>
    <s v="Complément impôt bénéfice ordinaire"/>
    <n v="0"/>
    <n v="12823.95"/>
    <n v="4011"/>
  </r>
  <r>
    <x v="1"/>
    <x v="2"/>
    <x v="2"/>
    <x v="233"/>
    <x v="199"/>
    <x v="199"/>
    <s v="REVENUS"/>
    <x v="16"/>
    <s v="4012.002"/>
    <s v="Complément impôt capital ordinaire"/>
    <n v="0"/>
    <n v="15555"/>
    <n v="4012"/>
  </r>
  <r>
    <x v="1"/>
    <x v="2"/>
    <x v="2"/>
    <x v="233"/>
    <x v="199"/>
    <x v="199"/>
    <s v="REVENUS"/>
    <x v="6"/>
    <s v="4221.001"/>
    <s v="Intérêts compensat. / créances en faveur du fisc"/>
    <n v="0"/>
    <n v="30.39"/>
    <n v="4221"/>
  </r>
  <r>
    <x v="1"/>
    <x v="2"/>
    <x v="2"/>
    <x v="233"/>
    <x v="199"/>
    <x v="199"/>
    <s v="REVENUS"/>
    <x v="7"/>
    <s v="4184.000"/>
    <s v="Frais de poursuite"/>
    <n v="0"/>
    <n v="789.67"/>
    <n v="4184"/>
  </r>
  <r>
    <x v="1"/>
    <x v="2"/>
    <x v="2"/>
    <x v="233"/>
    <x v="199"/>
    <x v="199"/>
    <s v="REVENUS"/>
    <x v="16"/>
    <s v="4012.007"/>
    <s v="Acompte sur capital"/>
    <n v="0"/>
    <n v="-18003.05"/>
    <n v="4012"/>
  </r>
  <r>
    <x v="1"/>
    <x v="2"/>
    <x v="2"/>
    <x v="233"/>
    <x v="199"/>
    <x v="199"/>
    <s v="REVENUS"/>
    <x v="6"/>
    <s v="4211.002"/>
    <s v="Intérêts de retard sur acomptes"/>
    <n v="0"/>
    <n v="153.31"/>
    <n v="4211"/>
  </r>
  <r>
    <x v="1"/>
    <x v="2"/>
    <x v="2"/>
    <x v="233"/>
    <x v="199"/>
    <x v="199"/>
    <s v="REVENUS"/>
    <x v="18"/>
    <s v="4013.003"/>
    <s v="Remboursement impôt complémentaire sur immeubles"/>
    <n v="0"/>
    <n v="-350.6"/>
    <n v="4013"/>
  </r>
  <r>
    <x v="1"/>
    <x v="2"/>
    <x v="2"/>
    <x v="233"/>
    <x v="199"/>
    <x v="199"/>
    <s v="REVENUS"/>
    <x v="18"/>
    <s v="4013.001"/>
    <s v="Impôt complémentaire sur immeubles"/>
    <n v="0"/>
    <n v="13338.15"/>
    <n v="4013"/>
  </r>
  <r>
    <x v="1"/>
    <x v="2"/>
    <x v="2"/>
    <x v="233"/>
    <x v="199"/>
    <x v="199"/>
    <s v="REVENUS"/>
    <x v="11"/>
    <s v="4198.001"/>
    <s v="Impôt foncier"/>
    <n v="0"/>
    <n v="51933.45"/>
    <n v="4198"/>
  </r>
  <r>
    <x v="1"/>
    <x v="2"/>
    <x v="2"/>
    <x v="234"/>
    <x v="200"/>
    <x v="200"/>
    <s v="CHARGES"/>
    <x v="1"/>
    <s v="3301.006"/>
    <s v="Abandon de solde PM"/>
    <n v="19.07"/>
    <n v="0"/>
    <n v="3301"/>
  </r>
  <r>
    <x v="1"/>
    <x v="2"/>
    <x v="2"/>
    <x v="234"/>
    <x v="200"/>
    <x v="200"/>
    <s v="CHARGES"/>
    <x v="0"/>
    <s v="3221.002"/>
    <s v="Intérêts compensatoires / créances en faveur ctb."/>
    <n v="124.26"/>
    <n v="0"/>
    <n v="3221"/>
  </r>
  <r>
    <x v="1"/>
    <x v="2"/>
    <x v="2"/>
    <x v="234"/>
    <x v="200"/>
    <x v="200"/>
    <s v="CHARGES"/>
    <x v="0"/>
    <s v="3212.004"/>
    <s v="Intérêts rémun./perçu trop tôt sur acomptes C/C"/>
    <n v="36.94"/>
    <n v="0"/>
    <n v="3212"/>
  </r>
  <r>
    <x v="1"/>
    <x v="2"/>
    <x v="2"/>
    <x v="234"/>
    <x v="200"/>
    <x v="200"/>
    <s v="CHARGES"/>
    <x v="0"/>
    <s v="3212.002"/>
    <s v="Intérêts bonifiés/trop perçu acompte C/C"/>
    <n v="10.130000000000001"/>
    <n v="0"/>
    <n v="3212"/>
  </r>
  <r>
    <x v="1"/>
    <x v="2"/>
    <x v="2"/>
    <x v="234"/>
    <x v="200"/>
    <x v="200"/>
    <s v="CHARGES"/>
    <x v="1"/>
    <s v="3301.002"/>
    <s v="Défalcation PM"/>
    <n v="234.95"/>
    <n v="0"/>
    <n v="3301"/>
  </r>
  <r>
    <x v="1"/>
    <x v="2"/>
    <x v="2"/>
    <x v="234"/>
    <x v="200"/>
    <x v="200"/>
    <s v="REVENUS"/>
    <x v="16"/>
    <s v="4012.001"/>
    <s v="Impôt capital ordinaire"/>
    <n v="0"/>
    <n v="4664.55"/>
    <n v="4012"/>
  </r>
  <r>
    <x v="1"/>
    <x v="2"/>
    <x v="2"/>
    <x v="234"/>
    <x v="200"/>
    <x v="200"/>
    <s v="REVENUS"/>
    <x v="16"/>
    <s v="4012.007"/>
    <s v="Acompte sur capital"/>
    <n v="0"/>
    <n v="485.5"/>
    <n v="4012"/>
  </r>
  <r>
    <x v="1"/>
    <x v="2"/>
    <x v="2"/>
    <x v="234"/>
    <x v="200"/>
    <x v="200"/>
    <s v="REVENUS"/>
    <x v="6"/>
    <s v="4211.002"/>
    <s v="Intérêts de retard sur acomptes"/>
    <n v="0"/>
    <n v="41.27"/>
    <n v="4211"/>
  </r>
  <r>
    <x v="1"/>
    <x v="2"/>
    <x v="2"/>
    <x v="234"/>
    <x v="200"/>
    <x v="200"/>
    <s v="REVENUS"/>
    <x v="17"/>
    <s v="4011.001"/>
    <s v="Impôt bénéfice ordinaire"/>
    <n v="0"/>
    <n v="671569.2"/>
    <n v="4011"/>
  </r>
  <r>
    <x v="1"/>
    <x v="2"/>
    <x v="2"/>
    <x v="234"/>
    <x v="200"/>
    <x v="200"/>
    <s v="REVENUS"/>
    <x v="17"/>
    <s v="4011.002"/>
    <s v="Complément impôt bénéfice ordinaire"/>
    <n v="0"/>
    <n v="2250.6999999999998"/>
    <n v="4011"/>
  </r>
  <r>
    <x v="1"/>
    <x v="2"/>
    <x v="2"/>
    <x v="234"/>
    <x v="200"/>
    <x v="200"/>
    <s v="REVENUS"/>
    <x v="6"/>
    <s v="4211.001"/>
    <s v="Intérêts de retard sur factures"/>
    <n v="0"/>
    <n v="29.82"/>
    <n v="4211"/>
  </r>
  <r>
    <x v="1"/>
    <x v="2"/>
    <x v="2"/>
    <x v="234"/>
    <x v="200"/>
    <x v="200"/>
    <s v="REVENUS"/>
    <x v="6"/>
    <s v="4221.001"/>
    <s v="Intérêts compensat. / créances en faveur du fisc"/>
    <n v="0"/>
    <n v="670.4"/>
    <n v="4221"/>
  </r>
  <r>
    <x v="1"/>
    <x v="2"/>
    <x v="2"/>
    <x v="234"/>
    <x v="200"/>
    <x v="200"/>
    <s v="REVENUS"/>
    <x v="16"/>
    <s v="4012.002"/>
    <s v="Complément impôt capital ordinaire"/>
    <n v="0"/>
    <n v="9.5"/>
    <n v="4012"/>
  </r>
  <r>
    <x v="1"/>
    <x v="2"/>
    <x v="2"/>
    <x v="234"/>
    <x v="200"/>
    <x v="200"/>
    <s v="REVENUS"/>
    <x v="17"/>
    <s v="4011.007"/>
    <s v="Acompte sur bénéfice"/>
    <n v="0"/>
    <n v="4414.1499999999996"/>
    <n v="4011"/>
  </r>
  <r>
    <x v="1"/>
    <x v="2"/>
    <x v="2"/>
    <x v="234"/>
    <x v="200"/>
    <x v="200"/>
    <s v="REVENUS"/>
    <x v="10"/>
    <s v="4041.001"/>
    <s v="Droits de mutation"/>
    <n v="0"/>
    <n v="1863.65"/>
    <n v="4041"/>
  </r>
  <r>
    <x v="1"/>
    <x v="2"/>
    <x v="2"/>
    <x v="234"/>
    <x v="200"/>
    <x v="200"/>
    <s v="REVENUS"/>
    <x v="7"/>
    <s v="4184.000"/>
    <s v="Frais de poursuite"/>
    <n v="0"/>
    <n v="20.010000000000002"/>
    <n v="4184"/>
  </r>
  <r>
    <x v="1"/>
    <x v="2"/>
    <x v="2"/>
    <x v="234"/>
    <x v="200"/>
    <x v="200"/>
    <s v="REVENUS"/>
    <x v="8"/>
    <s v="4091.003"/>
    <s v="Impôt récupéré concordat"/>
    <n v="0"/>
    <n v="84.58"/>
    <n v="4091"/>
  </r>
  <r>
    <x v="1"/>
    <x v="2"/>
    <x v="2"/>
    <x v="234"/>
    <x v="200"/>
    <x v="200"/>
    <s v="REVENUS"/>
    <x v="18"/>
    <s v="4013.001"/>
    <s v="Impôt complémentaire sur immeubles"/>
    <n v="0"/>
    <n v="51471.45"/>
    <n v="4013"/>
  </r>
  <r>
    <x v="1"/>
    <x v="2"/>
    <x v="2"/>
    <x v="234"/>
    <x v="200"/>
    <x v="200"/>
    <s v="REVENUS"/>
    <x v="11"/>
    <s v="4198.001"/>
    <s v="Impôt foncier"/>
    <n v="0"/>
    <n v="107119"/>
    <n v="4198"/>
  </r>
  <r>
    <x v="1"/>
    <x v="2"/>
    <x v="2"/>
    <x v="235"/>
    <x v="201"/>
    <x v="201"/>
    <s v="CHARGES"/>
    <x v="1"/>
    <s v="3301.006"/>
    <s v="Abandon de solde PM"/>
    <n v="57.04"/>
    <n v="0"/>
    <n v="3301"/>
  </r>
  <r>
    <x v="1"/>
    <x v="2"/>
    <x v="2"/>
    <x v="235"/>
    <x v="201"/>
    <x v="201"/>
    <s v="CHARGES"/>
    <x v="0"/>
    <s v="3212.004"/>
    <s v="Intérêts rémun./perçu trop tôt sur acomptes C/C"/>
    <n v="42.89"/>
    <n v="0"/>
    <n v="3212"/>
  </r>
  <r>
    <x v="1"/>
    <x v="2"/>
    <x v="2"/>
    <x v="235"/>
    <x v="201"/>
    <x v="201"/>
    <s v="CHARGES"/>
    <x v="0"/>
    <s v="3221.002"/>
    <s v="Intérêts compensatoires / créances en faveur ctb."/>
    <n v="30.48"/>
    <n v="0"/>
    <n v="3221"/>
  </r>
  <r>
    <x v="1"/>
    <x v="2"/>
    <x v="2"/>
    <x v="235"/>
    <x v="201"/>
    <x v="201"/>
    <s v="CHARGES"/>
    <x v="0"/>
    <s v="3212.002"/>
    <s v="Intérêts bonifiés/trop perçu acompte C/C"/>
    <n v="33.83"/>
    <n v="0"/>
    <n v="3212"/>
  </r>
  <r>
    <x v="1"/>
    <x v="2"/>
    <x v="2"/>
    <x v="235"/>
    <x v="201"/>
    <x v="201"/>
    <s v="REVENUS"/>
    <x v="16"/>
    <s v="4012.001"/>
    <s v="Impôt capital ordinaire"/>
    <n v="0"/>
    <n v="9929.4"/>
    <n v="4012"/>
  </r>
  <r>
    <x v="1"/>
    <x v="2"/>
    <x v="2"/>
    <x v="235"/>
    <x v="201"/>
    <x v="201"/>
    <s v="REVENUS"/>
    <x v="16"/>
    <s v="4012.007"/>
    <s v="Acompte sur capital"/>
    <n v="0"/>
    <n v="7362.9"/>
    <n v="4012"/>
  </r>
  <r>
    <x v="1"/>
    <x v="2"/>
    <x v="2"/>
    <x v="235"/>
    <x v="201"/>
    <x v="201"/>
    <s v="REVENUS"/>
    <x v="18"/>
    <s v="4013.001"/>
    <s v="Impôt complémentaire sur immeubles"/>
    <n v="0"/>
    <n v="6361.75"/>
    <n v="4013"/>
  </r>
  <r>
    <x v="1"/>
    <x v="2"/>
    <x v="2"/>
    <x v="235"/>
    <x v="201"/>
    <x v="201"/>
    <s v="REVENUS"/>
    <x v="11"/>
    <s v="4198.001"/>
    <s v="Impôt foncier"/>
    <n v="0"/>
    <n v="19595.25"/>
    <n v="4198"/>
  </r>
  <r>
    <x v="1"/>
    <x v="2"/>
    <x v="2"/>
    <x v="235"/>
    <x v="201"/>
    <x v="201"/>
    <s v="REVENUS"/>
    <x v="6"/>
    <s v="4211.002"/>
    <s v="Intérêts de retard sur acomptes"/>
    <n v="0"/>
    <n v="59.15"/>
    <n v="4211"/>
  </r>
  <r>
    <x v="1"/>
    <x v="2"/>
    <x v="2"/>
    <x v="235"/>
    <x v="201"/>
    <x v="201"/>
    <s v="REVENUS"/>
    <x v="6"/>
    <s v="4211.001"/>
    <s v="Intérêts de retard sur factures"/>
    <n v="0"/>
    <n v="78.23"/>
    <n v="4211"/>
  </r>
  <r>
    <x v="1"/>
    <x v="2"/>
    <x v="2"/>
    <x v="235"/>
    <x v="201"/>
    <x v="201"/>
    <s v="REVENUS"/>
    <x v="17"/>
    <s v="4011.002"/>
    <s v="Complément impôt bénéfice ordinaire"/>
    <n v="0"/>
    <n v="487.85"/>
    <n v="4011"/>
  </r>
  <r>
    <x v="1"/>
    <x v="2"/>
    <x v="2"/>
    <x v="235"/>
    <x v="201"/>
    <x v="201"/>
    <s v="REVENUS"/>
    <x v="17"/>
    <s v="4011.001"/>
    <s v="Impôt bénéfice ordinaire"/>
    <n v="0"/>
    <n v="96957.65"/>
    <n v="4011"/>
  </r>
  <r>
    <x v="1"/>
    <x v="2"/>
    <x v="2"/>
    <x v="235"/>
    <x v="201"/>
    <x v="201"/>
    <s v="REVENUS"/>
    <x v="17"/>
    <s v="4011.007"/>
    <s v="Acompte sur bénéfice"/>
    <n v="0"/>
    <n v="219811.85"/>
    <n v="4011"/>
  </r>
  <r>
    <x v="1"/>
    <x v="2"/>
    <x v="2"/>
    <x v="235"/>
    <x v="201"/>
    <x v="201"/>
    <s v="REVENUS"/>
    <x v="6"/>
    <s v="4221.001"/>
    <s v="Intérêts compensat. / créances en faveur du fisc"/>
    <n v="0"/>
    <n v="15.76"/>
    <n v="4221"/>
  </r>
  <r>
    <x v="1"/>
    <x v="2"/>
    <x v="2"/>
    <x v="235"/>
    <x v="201"/>
    <x v="201"/>
    <s v="REVENUS"/>
    <x v="18"/>
    <s v="4013.002"/>
    <s v="Complément impôt complémentaire sur immeubles"/>
    <n v="0"/>
    <n v="0.25"/>
    <n v="4013"/>
  </r>
  <r>
    <x v="1"/>
    <x v="2"/>
    <x v="2"/>
    <x v="235"/>
    <x v="201"/>
    <x v="201"/>
    <s v="REVENUS"/>
    <x v="18"/>
    <s v="4013.003"/>
    <s v="Remboursement impôt complémentaire sur immeubles"/>
    <n v="0"/>
    <n v="-662.5"/>
    <n v="4013"/>
  </r>
  <r>
    <x v="1"/>
    <x v="2"/>
    <x v="2"/>
    <x v="235"/>
    <x v="201"/>
    <x v="201"/>
    <s v="REVENUS"/>
    <x v="10"/>
    <s v="4041.001"/>
    <s v="Droits de mutation"/>
    <n v="0"/>
    <n v="154154.04999999999"/>
    <n v="4041"/>
  </r>
  <r>
    <x v="1"/>
    <x v="2"/>
    <x v="2"/>
    <x v="236"/>
    <x v="202"/>
    <x v="202"/>
    <s v="CHARGES"/>
    <x v="1"/>
    <s v="3301.006"/>
    <s v="Abandon de solde PM"/>
    <n v="34.56"/>
    <n v="0"/>
    <n v="3301"/>
  </r>
  <r>
    <x v="1"/>
    <x v="2"/>
    <x v="2"/>
    <x v="236"/>
    <x v="202"/>
    <x v="202"/>
    <s v="CHARGES"/>
    <x v="0"/>
    <s v="3221.002"/>
    <s v="Intérêts compensatoires / créances en faveur ctb."/>
    <n v="29.06"/>
    <n v="0"/>
    <n v="3221"/>
  </r>
  <r>
    <x v="1"/>
    <x v="2"/>
    <x v="2"/>
    <x v="236"/>
    <x v="202"/>
    <x v="202"/>
    <s v="CHARGES"/>
    <x v="0"/>
    <s v="3212.004"/>
    <s v="Intérêts rémun./perçu trop tôt sur acomptes C/C"/>
    <n v="16.23"/>
    <n v="0"/>
    <n v="3212"/>
  </r>
  <r>
    <x v="1"/>
    <x v="2"/>
    <x v="2"/>
    <x v="236"/>
    <x v="202"/>
    <x v="202"/>
    <s v="CHARGES"/>
    <x v="0"/>
    <s v="3212.002"/>
    <s v="Intérêts bonifiés/trop perçu acompte C/C"/>
    <n v="0.18"/>
    <n v="0"/>
    <n v="3212"/>
  </r>
  <r>
    <x v="1"/>
    <x v="2"/>
    <x v="2"/>
    <x v="236"/>
    <x v="202"/>
    <x v="202"/>
    <s v="REVENUS"/>
    <x v="6"/>
    <s v="4211.001"/>
    <s v="Intérêts de retard sur factures"/>
    <n v="0"/>
    <n v="141.37"/>
    <n v="4211"/>
  </r>
  <r>
    <x v="1"/>
    <x v="2"/>
    <x v="2"/>
    <x v="236"/>
    <x v="202"/>
    <x v="202"/>
    <s v="REVENUS"/>
    <x v="17"/>
    <s v="4011.001"/>
    <s v="Impôt bénéfice ordinaire"/>
    <n v="0"/>
    <n v="30879.1"/>
    <n v="4011"/>
  </r>
  <r>
    <x v="1"/>
    <x v="2"/>
    <x v="2"/>
    <x v="236"/>
    <x v="202"/>
    <x v="202"/>
    <s v="REVENUS"/>
    <x v="16"/>
    <s v="4012.007"/>
    <s v="Acompte sur capital"/>
    <n v="0"/>
    <n v="455.75"/>
    <n v="4012"/>
  </r>
  <r>
    <x v="1"/>
    <x v="2"/>
    <x v="2"/>
    <x v="236"/>
    <x v="202"/>
    <x v="202"/>
    <s v="REVENUS"/>
    <x v="6"/>
    <s v="4211.002"/>
    <s v="Intérêts de retard sur acomptes"/>
    <n v="0"/>
    <n v="30.51"/>
    <n v="4211"/>
  </r>
  <r>
    <x v="1"/>
    <x v="2"/>
    <x v="2"/>
    <x v="236"/>
    <x v="202"/>
    <x v="202"/>
    <s v="REVENUS"/>
    <x v="6"/>
    <s v="4221.001"/>
    <s v="Intérêts compensat. / créances en faveur du fisc"/>
    <n v="0"/>
    <n v="11.48"/>
    <n v="4221"/>
  </r>
  <r>
    <x v="1"/>
    <x v="2"/>
    <x v="2"/>
    <x v="236"/>
    <x v="202"/>
    <x v="202"/>
    <s v="REVENUS"/>
    <x v="16"/>
    <s v="4012.001"/>
    <s v="Impôt capital ordinaire"/>
    <n v="0"/>
    <n v="1606"/>
    <n v="4012"/>
  </r>
  <r>
    <x v="1"/>
    <x v="2"/>
    <x v="2"/>
    <x v="236"/>
    <x v="202"/>
    <x v="202"/>
    <s v="REVENUS"/>
    <x v="17"/>
    <s v="4011.002"/>
    <s v="Complément impôt bénéfice ordinaire"/>
    <n v="0"/>
    <n v="5914.2"/>
    <n v="4011"/>
  </r>
  <r>
    <x v="1"/>
    <x v="2"/>
    <x v="2"/>
    <x v="236"/>
    <x v="202"/>
    <x v="202"/>
    <s v="REVENUS"/>
    <x v="17"/>
    <s v="4011.007"/>
    <s v="Acompte sur bénéfice"/>
    <n v="0"/>
    <n v="-43390.75"/>
    <n v="4011"/>
  </r>
  <r>
    <x v="1"/>
    <x v="2"/>
    <x v="2"/>
    <x v="236"/>
    <x v="202"/>
    <x v="202"/>
    <s v="REVENUS"/>
    <x v="7"/>
    <s v="4184.000"/>
    <s v="Frais de poursuite"/>
    <n v="0"/>
    <n v="55.36"/>
    <n v="4184"/>
  </r>
  <r>
    <x v="1"/>
    <x v="2"/>
    <x v="2"/>
    <x v="236"/>
    <x v="202"/>
    <x v="202"/>
    <s v="REVENUS"/>
    <x v="11"/>
    <s v="4198.001"/>
    <s v="Impôt foncier"/>
    <n v="0"/>
    <n v="12896.1"/>
    <n v="4198"/>
  </r>
  <r>
    <x v="1"/>
    <x v="2"/>
    <x v="2"/>
    <x v="236"/>
    <x v="202"/>
    <x v="202"/>
    <s v="REVENUS"/>
    <x v="18"/>
    <s v="4013.001"/>
    <s v="Impôt complémentaire sur immeubles"/>
    <n v="0"/>
    <n v="6900.7"/>
    <n v="4013"/>
  </r>
  <r>
    <x v="1"/>
    <x v="2"/>
    <x v="2"/>
    <x v="237"/>
    <x v="203"/>
    <x v="203"/>
    <s v="CHARGES"/>
    <x v="1"/>
    <s v="3301.006"/>
    <s v="Abandon de solde PM"/>
    <n v="51.83"/>
    <n v="0"/>
    <n v="3301"/>
  </r>
  <r>
    <x v="1"/>
    <x v="2"/>
    <x v="2"/>
    <x v="237"/>
    <x v="203"/>
    <x v="203"/>
    <s v="CHARGES"/>
    <x v="1"/>
    <s v="3301.002"/>
    <s v="Défalcation PM"/>
    <n v="4663.1099999999997"/>
    <n v="0"/>
    <n v="3301"/>
  </r>
  <r>
    <x v="1"/>
    <x v="2"/>
    <x v="2"/>
    <x v="237"/>
    <x v="203"/>
    <x v="203"/>
    <s v="CHARGES"/>
    <x v="0"/>
    <s v="3212.004"/>
    <s v="Intérêts rémun./perçu trop tôt sur acomptes C/C"/>
    <n v="30.42"/>
    <n v="0"/>
    <n v="3212"/>
  </r>
  <r>
    <x v="1"/>
    <x v="2"/>
    <x v="2"/>
    <x v="237"/>
    <x v="203"/>
    <x v="203"/>
    <s v="CHARGES"/>
    <x v="0"/>
    <s v="3221.002"/>
    <s v="Intérêts compensatoires / créances en faveur ctb."/>
    <n v="16.829999999999998"/>
    <n v="0"/>
    <n v="3221"/>
  </r>
  <r>
    <x v="1"/>
    <x v="2"/>
    <x v="2"/>
    <x v="237"/>
    <x v="203"/>
    <x v="203"/>
    <s v="CHARGES"/>
    <x v="0"/>
    <s v="3212.002"/>
    <s v="Intérêts bonifiés/trop perçu acompte C/C"/>
    <n v="7.0000000000000007E-2"/>
    <n v="0"/>
    <n v="3212"/>
  </r>
  <r>
    <x v="1"/>
    <x v="2"/>
    <x v="2"/>
    <x v="237"/>
    <x v="203"/>
    <x v="203"/>
    <s v="REVENUS"/>
    <x v="16"/>
    <s v="4012.001"/>
    <s v="Impôt capital ordinaire"/>
    <n v="0"/>
    <n v="432.5"/>
    <n v="4012"/>
  </r>
  <r>
    <x v="1"/>
    <x v="2"/>
    <x v="2"/>
    <x v="237"/>
    <x v="203"/>
    <x v="203"/>
    <s v="REVENUS"/>
    <x v="16"/>
    <s v="4012.007"/>
    <s v="Acompte sur capital"/>
    <n v="0"/>
    <n v="3451.35"/>
    <n v="4012"/>
  </r>
  <r>
    <x v="1"/>
    <x v="2"/>
    <x v="2"/>
    <x v="237"/>
    <x v="203"/>
    <x v="203"/>
    <s v="REVENUS"/>
    <x v="6"/>
    <s v="4211.002"/>
    <s v="Intérêts de retard sur acomptes"/>
    <n v="0"/>
    <n v="98.82"/>
    <n v="4211"/>
  </r>
  <r>
    <x v="1"/>
    <x v="2"/>
    <x v="2"/>
    <x v="237"/>
    <x v="203"/>
    <x v="203"/>
    <s v="REVENUS"/>
    <x v="17"/>
    <s v="4011.007"/>
    <s v="Acompte sur bénéfice"/>
    <n v="0"/>
    <n v="-9266.2000000000007"/>
    <n v="4011"/>
  </r>
  <r>
    <x v="1"/>
    <x v="2"/>
    <x v="2"/>
    <x v="237"/>
    <x v="203"/>
    <x v="203"/>
    <s v="REVENUS"/>
    <x v="6"/>
    <s v="4211.001"/>
    <s v="Intérêts de retard sur factures"/>
    <n v="0"/>
    <n v="268.2"/>
    <n v="4211"/>
  </r>
  <r>
    <x v="1"/>
    <x v="2"/>
    <x v="2"/>
    <x v="237"/>
    <x v="203"/>
    <x v="203"/>
    <s v="REVENUS"/>
    <x v="17"/>
    <s v="4011.002"/>
    <s v="Complément impôt bénéfice ordinaire"/>
    <n v="0"/>
    <n v="2236.1"/>
    <n v="4011"/>
  </r>
  <r>
    <x v="1"/>
    <x v="2"/>
    <x v="2"/>
    <x v="237"/>
    <x v="203"/>
    <x v="203"/>
    <s v="REVENUS"/>
    <x v="17"/>
    <s v="4011.001"/>
    <s v="Impôt bénéfice ordinaire"/>
    <n v="0"/>
    <n v="13019.35"/>
    <n v="4011"/>
  </r>
  <r>
    <x v="1"/>
    <x v="2"/>
    <x v="2"/>
    <x v="237"/>
    <x v="203"/>
    <x v="203"/>
    <s v="REVENUS"/>
    <x v="6"/>
    <s v="4221.001"/>
    <s v="Intérêts compensat. / créances en faveur du fisc"/>
    <n v="0"/>
    <n v="8.5500000000000007"/>
    <n v="4221"/>
  </r>
  <r>
    <x v="1"/>
    <x v="2"/>
    <x v="2"/>
    <x v="237"/>
    <x v="203"/>
    <x v="203"/>
    <s v="REVENUS"/>
    <x v="7"/>
    <s v="4184.000"/>
    <s v="Frais de poursuite"/>
    <n v="0"/>
    <n v="157.93"/>
    <n v="4184"/>
  </r>
  <r>
    <x v="1"/>
    <x v="2"/>
    <x v="2"/>
    <x v="237"/>
    <x v="203"/>
    <x v="203"/>
    <s v="REVENUS"/>
    <x v="18"/>
    <s v="4013.003"/>
    <s v="Remboursement impôt complémentaire sur immeubles"/>
    <n v="0"/>
    <n v="-2104"/>
    <n v="4013"/>
  </r>
  <r>
    <x v="1"/>
    <x v="2"/>
    <x v="2"/>
    <x v="237"/>
    <x v="203"/>
    <x v="203"/>
    <s v="REVENUS"/>
    <x v="18"/>
    <s v="4013.001"/>
    <s v="Impôt complémentaire sur immeubles"/>
    <n v="0"/>
    <n v="4726.5"/>
    <n v="4013"/>
  </r>
  <r>
    <x v="1"/>
    <x v="2"/>
    <x v="2"/>
    <x v="237"/>
    <x v="203"/>
    <x v="203"/>
    <s v="REVENUS"/>
    <x v="11"/>
    <s v="4198.001"/>
    <s v="Impôt foncier"/>
    <n v="0"/>
    <n v="14976"/>
    <n v="4198"/>
  </r>
  <r>
    <x v="1"/>
    <x v="2"/>
    <x v="2"/>
    <x v="237"/>
    <x v="203"/>
    <x v="203"/>
    <s v="REVENUS"/>
    <x v="10"/>
    <s v="4041.001"/>
    <s v="Droits de mutation"/>
    <n v="0"/>
    <n v="7975"/>
    <n v="4041"/>
  </r>
  <r>
    <x v="1"/>
    <x v="2"/>
    <x v="2"/>
    <x v="238"/>
    <x v="204"/>
    <x v="204"/>
    <s v="CHARGES"/>
    <x v="1"/>
    <s v="3301.006"/>
    <s v="Abandon de solde PM"/>
    <n v="71.900000000000006"/>
    <n v="0"/>
    <n v="3301"/>
  </r>
  <r>
    <x v="1"/>
    <x v="2"/>
    <x v="2"/>
    <x v="238"/>
    <x v="204"/>
    <x v="204"/>
    <s v="CHARGES"/>
    <x v="0"/>
    <s v="3212.004"/>
    <s v="Intérêts rémun./perçu trop tôt sur acomptes C/C"/>
    <n v="128.9"/>
    <n v="0"/>
    <n v="3212"/>
  </r>
  <r>
    <x v="1"/>
    <x v="2"/>
    <x v="2"/>
    <x v="238"/>
    <x v="204"/>
    <x v="204"/>
    <s v="CHARGES"/>
    <x v="0"/>
    <s v="3212.002"/>
    <s v="Intérêts bonifiés/trop perçu acompte C/C"/>
    <n v="-1.91"/>
    <n v="0"/>
    <n v="3212"/>
  </r>
  <r>
    <x v="1"/>
    <x v="2"/>
    <x v="2"/>
    <x v="238"/>
    <x v="204"/>
    <x v="204"/>
    <s v="CHARGES"/>
    <x v="0"/>
    <s v="3221.002"/>
    <s v="Intérêts compensatoires / créances en faveur ctb."/>
    <n v="280.73"/>
    <n v="0"/>
    <n v="3221"/>
  </r>
  <r>
    <x v="1"/>
    <x v="2"/>
    <x v="2"/>
    <x v="238"/>
    <x v="204"/>
    <x v="204"/>
    <s v="CHARGES"/>
    <x v="1"/>
    <s v="3301.002"/>
    <s v="Défalcation PM"/>
    <n v="22053.71"/>
    <n v="0"/>
    <n v="3301"/>
  </r>
  <r>
    <x v="1"/>
    <x v="2"/>
    <x v="2"/>
    <x v="238"/>
    <x v="204"/>
    <x v="204"/>
    <s v="REVENUS"/>
    <x v="6"/>
    <s v="4211.001"/>
    <s v="Intérêts de retard sur factures"/>
    <n v="0"/>
    <n v="57.81"/>
    <n v="4211"/>
  </r>
  <r>
    <x v="1"/>
    <x v="2"/>
    <x v="2"/>
    <x v="238"/>
    <x v="204"/>
    <x v="204"/>
    <s v="REVENUS"/>
    <x v="17"/>
    <s v="4011.007"/>
    <s v="Acompte sur bénéfice"/>
    <n v="0"/>
    <n v="-513905"/>
    <n v="4011"/>
  </r>
  <r>
    <x v="1"/>
    <x v="2"/>
    <x v="2"/>
    <x v="238"/>
    <x v="204"/>
    <x v="204"/>
    <s v="REVENUS"/>
    <x v="16"/>
    <s v="4012.001"/>
    <s v="Impôt capital ordinaire"/>
    <n v="0"/>
    <n v="7640.35"/>
    <n v="4012"/>
  </r>
  <r>
    <x v="1"/>
    <x v="2"/>
    <x v="2"/>
    <x v="238"/>
    <x v="204"/>
    <x v="204"/>
    <s v="REVENUS"/>
    <x v="16"/>
    <s v="4012.007"/>
    <s v="Acompte sur capital"/>
    <n v="0"/>
    <n v="1892.05"/>
    <n v="4012"/>
  </r>
  <r>
    <x v="1"/>
    <x v="2"/>
    <x v="2"/>
    <x v="238"/>
    <x v="204"/>
    <x v="204"/>
    <s v="REVENUS"/>
    <x v="17"/>
    <s v="4011.002"/>
    <s v="Complément impôt bénéfice ordinaire"/>
    <n v="0"/>
    <n v="36183.599999999999"/>
    <n v="4011"/>
  </r>
  <r>
    <x v="1"/>
    <x v="2"/>
    <x v="2"/>
    <x v="238"/>
    <x v="204"/>
    <x v="204"/>
    <s v="REVENUS"/>
    <x v="17"/>
    <s v="4011.001"/>
    <s v="Impôt bénéfice ordinaire"/>
    <n v="0"/>
    <n v="495867.3"/>
    <n v="4011"/>
  </r>
  <r>
    <x v="1"/>
    <x v="2"/>
    <x v="2"/>
    <x v="238"/>
    <x v="204"/>
    <x v="204"/>
    <s v="REVENUS"/>
    <x v="6"/>
    <s v="4221.001"/>
    <s v="Intérêts compensat. / créances en faveur du fisc"/>
    <n v="0"/>
    <n v="393.14"/>
    <n v="4221"/>
  </r>
  <r>
    <x v="1"/>
    <x v="2"/>
    <x v="2"/>
    <x v="238"/>
    <x v="204"/>
    <x v="204"/>
    <s v="REVENUS"/>
    <x v="7"/>
    <s v="4184.000"/>
    <s v="Frais de poursuite"/>
    <n v="0"/>
    <n v="66.16"/>
    <n v="4184"/>
  </r>
  <r>
    <x v="1"/>
    <x v="2"/>
    <x v="2"/>
    <x v="238"/>
    <x v="204"/>
    <x v="204"/>
    <s v="REVENUS"/>
    <x v="6"/>
    <s v="4211.002"/>
    <s v="Intérêts de retard sur acomptes"/>
    <n v="0"/>
    <n v="73.09"/>
    <n v="4211"/>
  </r>
  <r>
    <x v="1"/>
    <x v="2"/>
    <x v="2"/>
    <x v="238"/>
    <x v="204"/>
    <x v="204"/>
    <s v="REVENUS"/>
    <x v="18"/>
    <s v="4013.003"/>
    <s v="Remboursement impôt complémentaire sur immeubles"/>
    <n v="0"/>
    <n v="-3235"/>
    <n v="4013"/>
  </r>
  <r>
    <x v="1"/>
    <x v="2"/>
    <x v="2"/>
    <x v="238"/>
    <x v="204"/>
    <x v="204"/>
    <s v="REVENUS"/>
    <x v="18"/>
    <s v="4013.001"/>
    <s v="Impôt complémentaire sur immeubles"/>
    <n v="0"/>
    <n v="26959.599999999999"/>
    <n v="4013"/>
  </r>
  <r>
    <x v="1"/>
    <x v="2"/>
    <x v="2"/>
    <x v="238"/>
    <x v="204"/>
    <x v="204"/>
    <s v="REVENUS"/>
    <x v="11"/>
    <s v="4198.001"/>
    <s v="Impôt foncier"/>
    <n v="0"/>
    <n v="85524.3"/>
    <n v="4198"/>
  </r>
  <r>
    <x v="1"/>
    <x v="2"/>
    <x v="2"/>
    <x v="238"/>
    <x v="204"/>
    <x v="204"/>
    <s v="REVENUS"/>
    <x v="18"/>
    <s v="4013.002"/>
    <s v="Complément impôt complémentaire sur immeubles"/>
    <n v="0"/>
    <n v="-41"/>
    <n v="4013"/>
  </r>
  <r>
    <x v="1"/>
    <x v="2"/>
    <x v="2"/>
    <x v="238"/>
    <x v="204"/>
    <x v="204"/>
    <s v="REVENUS"/>
    <x v="10"/>
    <s v="4041.001"/>
    <s v="Droits de mutation"/>
    <n v="0"/>
    <n v="12957.6"/>
    <n v="4041"/>
  </r>
  <r>
    <x v="1"/>
    <x v="9"/>
    <x v="5"/>
    <x v="239"/>
    <x v="205"/>
    <x v="205"/>
    <s v="CHARGES"/>
    <x v="1"/>
    <s v="3301.006"/>
    <s v="Abandon de solde PM"/>
    <n v="12.62"/>
    <n v="0"/>
    <n v="3301"/>
  </r>
  <r>
    <x v="1"/>
    <x v="9"/>
    <x v="5"/>
    <x v="239"/>
    <x v="205"/>
    <x v="205"/>
    <s v="CHARGES"/>
    <x v="0"/>
    <s v="3212.004"/>
    <s v="Intérêts rémun./perçu trop tôt sur acomptes C/C"/>
    <n v="4.05"/>
    <n v="0"/>
    <n v="3212"/>
  </r>
  <r>
    <x v="1"/>
    <x v="9"/>
    <x v="5"/>
    <x v="239"/>
    <x v="205"/>
    <x v="205"/>
    <s v="CHARGES"/>
    <x v="0"/>
    <s v="3221.002"/>
    <s v="Intérêts compensatoires / créances en faveur ctb."/>
    <n v="4.8499999999999996"/>
    <n v="0"/>
    <n v="3221"/>
  </r>
  <r>
    <x v="1"/>
    <x v="9"/>
    <x v="5"/>
    <x v="239"/>
    <x v="205"/>
    <x v="205"/>
    <s v="CHARGES"/>
    <x v="0"/>
    <s v="3212.002"/>
    <s v="Intérêts bonifiés/trop perçu acompte C/C"/>
    <n v="0.02"/>
    <n v="0"/>
    <n v="3212"/>
  </r>
  <r>
    <x v="1"/>
    <x v="9"/>
    <x v="5"/>
    <x v="239"/>
    <x v="205"/>
    <x v="205"/>
    <s v="REVENUS"/>
    <x v="6"/>
    <s v="4211.001"/>
    <s v="Intérêts de retard sur factures"/>
    <n v="0"/>
    <n v="2.5"/>
    <n v="4211"/>
  </r>
  <r>
    <x v="1"/>
    <x v="9"/>
    <x v="5"/>
    <x v="239"/>
    <x v="205"/>
    <x v="205"/>
    <s v="REVENUS"/>
    <x v="17"/>
    <s v="4011.001"/>
    <s v="Impôt bénéfice ordinaire"/>
    <n v="0"/>
    <n v="4131.75"/>
    <n v="4011"/>
  </r>
  <r>
    <x v="1"/>
    <x v="9"/>
    <x v="5"/>
    <x v="239"/>
    <x v="205"/>
    <x v="205"/>
    <s v="REVENUS"/>
    <x v="16"/>
    <s v="4012.001"/>
    <s v="Impôt capital ordinaire"/>
    <n v="0"/>
    <n v="583.75"/>
    <n v="4012"/>
  </r>
  <r>
    <x v="1"/>
    <x v="9"/>
    <x v="5"/>
    <x v="239"/>
    <x v="205"/>
    <x v="205"/>
    <s v="REVENUS"/>
    <x v="16"/>
    <s v="4012.007"/>
    <s v="Acompte sur capital"/>
    <n v="0"/>
    <n v="290.5"/>
    <n v="4012"/>
  </r>
  <r>
    <x v="1"/>
    <x v="9"/>
    <x v="5"/>
    <x v="239"/>
    <x v="205"/>
    <x v="205"/>
    <s v="REVENUS"/>
    <x v="17"/>
    <s v="4011.002"/>
    <s v="Complément impôt bénéfice ordinaire"/>
    <n v="0"/>
    <n v="419.9"/>
    <n v="4011"/>
  </r>
  <r>
    <x v="1"/>
    <x v="9"/>
    <x v="5"/>
    <x v="239"/>
    <x v="205"/>
    <x v="205"/>
    <s v="REVENUS"/>
    <x v="17"/>
    <s v="4011.007"/>
    <s v="Acompte sur bénéfice"/>
    <n v="0"/>
    <n v="33.950000000000003"/>
    <n v="4011"/>
  </r>
  <r>
    <x v="1"/>
    <x v="9"/>
    <x v="5"/>
    <x v="239"/>
    <x v="205"/>
    <x v="205"/>
    <s v="REVENUS"/>
    <x v="6"/>
    <s v="4211.002"/>
    <s v="Intérêts de retard sur acomptes"/>
    <n v="0"/>
    <n v="1.85"/>
    <n v="4211"/>
  </r>
  <r>
    <x v="1"/>
    <x v="9"/>
    <x v="5"/>
    <x v="239"/>
    <x v="205"/>
    <x v="205"/>
    <s v="REVENUS"/>
    <x v="6"/>
    <s v="4221.001"/>
    <s v="Intérêts compensat. / créances en faveur du fisc"/>
    <n v="0"/>
    <n v="0.65"/>
    <n v="4221"/>
  </r>
  <r>
    <x v="1"/>
    <x v="9"/>
    <x v="5"/>
    <x v="239"/>
    <x v="205"/>
    <x v="205"/>
    <s v="REVENUS"/>
    <x v="11"/>
    <s v="4198.001"/>
    <s v="Impôt foncier"/>
    <n v="0"/>
    <n v="576.70000000000005"/>
    <n v="4198"/>
  </r>
  <r>
    <x v="1"/>
    <x v="9"/>
    <x v="5"/>
    <x v="239"/>
    <x v="205"/>
    <x v="205"/>
    <s v="REVENUS"/>
    <x v="10"/>
    <s v="4041.001"/>
    <s v="Droits de mutation"/>
    <n v="0"/>
    <n v="156.75"/>
    <n v="4041"/>
  </r>
  <r>
    <x v="1"/>
    <x v="9"/>
    <x v="5"/>
    <x v="240"/>
    <x v="206"/>
    <x v="206"/>
    <s v="CHARGES"/>
    <x v="0"/>
    <s v="3221.002"/>
    <s v="Intérêts compensatoires / créances en faveur ctb."/>
    <n v="13.97"/>
    <n v="0"/>
    <n v="3221"/>
  </r>
  <r>
    <x v="1"/>
    <x v="9"/>
    <x v="5"/>
    <x v="240"/>
    <x v="206"/>
    <x v="206"/>
    <s v="CHARGES"/>
    <x v="0"/>
    <s v="3212.002"/>
    <s v="Intérêts bonifiés/trop perçu acompte C/C"/>
    <n v="0.01"/>
    <n v="0"/>
    <n v="3212"/>
  </r>
  <r>
    <x v="1"/>
    <x v="9"/>
    <x v="5"/>
    <x v="240"/>
    <x v="206"/>
    <x v="206"/>
    <s v="CHARGES"/>
    <x v="0"/>
    <s v="3212.004"/>
    <s v="Intérêts rémun./perçu trop tôt sur acomptes C/C"/>
    <n v="12.24"/>
    <n v="0"/>
    <n v="3212"/>
  </r>
  <r>
    <x v="1"/>
    <x v="9"/>
    <x v="5"/>
    <x v="240"/>
    <x v="206"/>
    <x v="206"/>
    <s v="CHARGES"/>
    <x v="1"/>
    <s v="3301.006"/>
    <s v="Abandon de solde PM"/>
    <n v="15.62"/>
    <n v="0"/>
    <n v="3301"/>
  </r>
  <r>
    <x v="1"/>
    <x v="9"/>
    <x v="5"/>
    <x v="240"/>
    <x v="206"/>
    <x v="206"/>
    <s v="REVENUS"/>
    <x v="17"/>
    <s v="4011.002"/>
    <s v="Complément impôt bénéfice ordinaire"/>
    <n v="0"/>
    <n v="197.6"/>
    <n v="4011"/>
  </r>
  <r>
    <x v="1"/>
    <x v="9"/>
    <x v="5"/>
    <x v="240"/>
    <x v="206"/>
    <x v="206"/>
    <s v="REVENUS"/>
    <x v="17"/>
    <s v="4011.001"/>
    <s v="Impôt bénéfice ordinaire"/>
    <n v="0"/>
    <n v="14706.1"/>
    <n v="4011"/>
  </r>
  <r>
    <x v="1"/>
    <x v="9"/>
    <x v="5"/>
    <x v="240"/>
    <x v="206"/>
    <x v="206"/>
    <s v="REVENUS"/>
    <x v="16"/>
    <s v="4012.007"/>
    <s v="Acompte sur capital"/>
    <n v="0"/>
    <n v="-95.25"/>
    <n v="4012"/>
  </r>
  <r>
    <x v="1"/>
    <x v="9"/>
    <x v="5"/>
    <x v="240"/>
    <x v="206"/>
    <x v="206"/>
    <s v="REVENUS"/>
    <x v="6"/>
    <s v="4211.002"/>
    <s v="Intérêts de retard sur acomptes"/>
    <n v="0"/>
    <n v="1.95"/>
    <n v="4211"/>
  </r>
  <r>
    <x v="1"/>
    <x v="9"/>
    <x v="5"/>
    <x v="240"/>
    <x v="206"/>
    <x v="206"/>
    <s v="REVENUS"/>
    <x v="6"/>
    <s v="4221.001"/>
    <s v="Intérêts compensat. / créances en faveur du fisc"/>
    <n v="0"/>
    <n v="2.2799999999999998"/>
    <n v="4221"/>
  </r>
  <r>
    <x v="1"/>
    <x v="9"/>
    <x v="5"/>
    <x v="240"/>
    <x v="206"/>
    <x v="206"/>
    <s v="REVENUS"/>
    <x v="17"/>
    <s v="4011.007"/>
    <s v="Acompte sur bénéfice"/>
    <n v="0"/>
    <n v="-11731.35"/>
    <n v="4011"/>
  </r>
  <r>
    <x v="1"/>
    <x v="9"/>
    <x v="5"/>
    <x v="240"/>
    <x v="206"/>
    <x v="206"/>
    <s v="REVENUS"/>
    <x v="6"/>
    <s v="4211.001"/>
    <s v="Intérêts de retard sur factures"/>
    <n v="0"/>
    <n v="11.52"/>
    <n v="4211"/>
  </r>
  <r>
    <x v="1"/>
    <x v="9"/>
    <x v="5"/>
    <x v="240"/>
    <x v="206"/>
    <x v="206"/>
    <s v="REVENUS"/>
    <x v="16"/>
    <s v="4012.001"/>
    <s v="Impôt capital ordinaire"/>
    <n v="0"/>
    <n v="56.8"/>
    <n v="4012"/>
  </r>
  <r>
    <x v="1"/>
    <x v="9"/>
    <x v="5"/>
    <x v="240"/>
    <x v="206"/>
    <x v="206"/>
    <s v="REVENUS"/>
    <x v="18"/>
    <s v="4013.003"/>
    <s v="Remboursement impôt complémentaire sur immeubles"/>
    <n v="0"/>
    <n v="-8362.5"/>
    <n v="4013"/>
  </r>
  <r>
    <x v="1"/>
    <x v="9"/>
    <x v="5"/>
    <x v="240"/>
    <x v="206"/>
    <x v="206"/>
    <s v="REVENUS"/>
    <x v="11"/>
    <s v="4198.001"/>
    <s v="Impôt foncier"/>
    <n v="0"/>
    <n v="3770"/>
    <n v="4198"/>
  </r>
  <r>
    <x v="1"/>
    <x v="9"/>
    <x v="5"/>
    <x v="240"/>
    <x v="206"/>
    <x v="206"/>
    <s v="REVENUS"/>
    <x v="18"/>
    <s v="4013.001"/>
    <s v="Impôt complémentaire sur immeubles"/>
    <n v="0"/>
    <n v="1672.3"/>
    <n v="4013"/>
  </r>
  <r>
    <x v="1"/>
    <x v="9"/>
    <x v="5"/>
    <x v="241"/>
    <x v="207"/>
    <x v="207"/>
    <s v="CHARGES"/>
    <x v="0"/>
    <s v="3221.002"/>
    <s v="Intérêts compensatoires / créances en faveur ctb."/>
    <n v="2.82"/>
    <n v="0"/>
    <n v="3221"/>
  </r>
  <r>
    <x v="1"/>
    <x v="9"/>
    <x v="5"/>
    <x v="241"/>
    <x v="207"/>
    <x v="207"/>
    <s v="CHARGES"/>
    <x v="0"/>
    <s v="3212.004"/>
    <s v="Intérêts rémun./perçu trop tôt sur acomptes C/C"/>
    <n v="1.74"/>
    <n v="0"/>
    <n v="3212"/>
  </r>
  <r>
    <x v="1"/>
    <x v="9"/>
    <x v="5"/>
    <x v="241"/>
    <x v="207"/>
    <x v="207"/>
    <s v="CHARGES"/>
    <x v="1"/>
    <s v="3301.006"/>
    <s v="Abandon de solde PM"/>
    <n v="9.92"/>
    <n v="0"/>
    <n v="3301"/>
  </r>
  <r>
    <x v="1"/>
    <x v="9"/>
    <x v="5"/>
    <x v="241"/>
    <x v="207"/>
    <x v="207"/>
    <s v="CHARGES"/>
    <x v="0"/>
    <s v="3212.002"/>
    <s v="Intérêts bonifiés/trop perçu acompte C/C"/>
    <n v="0.14000000000000001"/>
    <n v="0"/>
    <n v="3212"/>
  </r>
  <r>
    <x v="1"/>
    <x v="9"/>
    <x v="5"/>
    <x v="241"/>
    <x v="207"/>
    <x v="207"/>
    <s v="REVENUS"/>
    <x v="11"/>
    <s v="4198.001"/>
    <s v="Impôt foncier"/>
    <n v="0"/>
    <n v="2725.6"/>
    <n v="4198"/>
  </r>
  <r>
    <x v="1"/>
    <x v="9"/>
    <x v="5"/>
    <x v="241"/>
    <x v="207"/>
    <x v="207"/>
    <s v="REVENUS"/>
    <x v="17"/>
    <s v="4011.001"/>
    <s v="Impôt bénéfice ordinaire"/>
    <n v="0"/>
    <n v="9701.65"/>
    <n v="4011"/>
  </r>
  <r>
    <x v="1"/>
    <x v="9"/>
    <x v="5"/>
    <x v="241"/>
    <x v="207"/>
    <x v="207"/>
    <s v="REVENUS"/>
    <x v="17"/>
    <s v="4011.007"/>
    <s v="Acompte sur bénéfice"/>
    <n v="0"/>
    <n v="177.15"/>
    <n v="4011"/>
  </r>
  <r>
    <x v="1"/>
    <x v="9"/>
    <x v="5"/>
    <x v="241"/>
    <x v="207"/>
    <x v="207"/>
    <s v="REVENUS"/>
    <x v="6"/>
    <s v="4221.001"/>
    <s v="Intérêts compensat. / créances en faveur du fisc"/>
    <n v="0"/>
    <n v="5.95"/>
    <n v="4221"/>
  </r>
  <r>
    <x v="1"/>
    <x v="9"/>
    <x v="5"/>
    <x v="241"/>
    <x v="207"/>
    <x v="207"/>
    <s v="REVENUS"/>
    <x v="16"/>
    <s v="4012.007"/>
    <s v="Acompte sur capital"/>
    <n v="0"/>
    <n v="501.15"/>
    <n v="4012"/>
  </r>
  <r>
    <x v="1"/>
    <x v="9"/>
    <x v="5"/>
    <x v="241"/>
    <x v="207"/>
    <x v="207"/>
    <s v="REVENUS"/>
    <x v="6"/>
    <s v="4211.002"/>
    <s v="Intérêts de retard sur acomptes"/>
    <n v="0"/>
    <n v="5.56"/>
    <n v="4211"/>
  </r>
  <r>
    <x v="1"/>
    <x v="9"/>
    <x v="5"/>
    <x v="241"/>
    <x v="207"/>
    <x v="207"/>
    <s v="REVENUS"/>
    <x v="17"/>
    <s v="4011.002"/>
    <s v="Complément impôt bénéfice ordinaire"/>
    <n v="0"/>
    <n v="1080.7"/>
    <n v="4011"/>
  </r>
  <r>
    <x v="1"/>
    <x v="9"/>
    <x v="5"/>
    <x v="241"/>
    <x v="207"/>
    <x v="207"/>
    <s v="REVENUS"/>
    <x v="16"/>
    <s v="4012.001"/>
    <s v="Impôt capital ordinaire"/>
    <n v="0"/>
    <n v="214.85"/>
    <n v="4012"/>
  </r>
  <r>
    <x v="1"/>
    <x v="9"/>
    <x v="5"/>
    <x v="241"/>
    <x v="207"/>
    <x v="207"/>
    <s v="REVENUS"/>
    <x v="10"/>
    <s v="4041.001"/>
    <s v="Droits de mutation"/>
    <n v="0"/>
    <n v="14861"/>
    <n v="4041"/>
  </r>
  <r>
    <x v="1"/>
    <x v="9"/>
    <x v="5"/>
    <x v="241"/>
    <x v="207"/>
    <x v="207"/>
    <s v="REVENUS"/>
    <x v="7"/>
    <s v="4184.000"/>
    <s v="Frais de poursuite"/>
    <n v="0"/>
    <n v="23.52"/>
    <n v="4184"/>
  </r>
  <r>
    <x v="1"/>
    <x v="9"/>
    <x v="5"/>
    <x v="241"/>
    <x v="207"/>
    <x v="207"/>
    <s v="REVENUS"/>
    <x v="6"/>
    <s v="4211.001"/>
    <s v="Intérêts de retard sur factures"/>
    <n v="0"/>
    <n v="19.670000000000002"/>
    <n v="4211"/>
  </r>
  <r>
    <x v="1"/>
    <x v="9"/>
    <x v="5"/>
    <x v="242"/>
    <x v="208"/>
    <x v="208"/>
    <s v="CHARGES"/>
    <x v="1"/>
    <s v="3301.006"/>
    <s v="Abandon de solde PM"/>
    <n v="9.3800000000000008"/>
    <n v="0"/>
    <n v="3301"/>
  </r>
  <r>
    <x v="1"/>
    <x v="9"/>
    <x v="5"/>
    <x v="242"/>
    <x v="208"/>
    <x v="208"/>
    <s v="CHARGES"/>
    <x v="0"/>
    <s v="3212.004"/>
    <s v="Intérêts rémun./perçu trop tôt sur acomptes C/C"/>
    <n v="548.75"/>
    <n v="0"/>
    <n v="3212"/>
  </r>
  <r>
    <x v="1"/>
    <x v="9"/>
    <x v="5"/>
    <x v="242"/>
    <x v="208"/>
    <x v="208"/>
    <s v="CHARGES"/>
    <x v="0"/>
    <s v="3221.002"/>
    <s v="Intérêts compensatoires / créances en faveur ctb."/>
    <n v="714.44"/>
    <n v="0"/>
    <n v="3221"/>
  </r>
  <r>
    <x v="1"/>
    <x v="9"/>
    <x v="5"/>
    <x v="242"/>
    <x v="208"/>
    <x v="208"/>
    <s v="CHARGES"/>
    <x v="0"/>
    <s v="3212.002"/>
    <s v="Intérêts bonifiés/trop perçu acompte C/C"/>
    <n v="0.03"/>
    <n v="0"/>
    <n v="3212"/>
  </r>
  <r>
    <x v="1"/>
    <x v="9"/>
    <x v="5"/>
    <x v="242"/>
    <x v="208"/>
    <x v="208"/>
    <s v="REVENUS"/>
    <x v="6"/>
    <s v="4211.001"/>
    <s v="Intérêts de retard sur factures"/>
    <n v="0"/>
    <n v="23.69"/>
    <n v="4211"/>
  </r>
  <r>
    <x v="1"/>
    <x v="9"/>
    <x v="5"/>
    <x v="242"/>
    <x v="208"/>
    <x v="208"/>
    <s v="REVENUS"/>
    <x v="17"/>
    <s v="4011.001"/>
    <s v="Impôt bénéfice ordinaire"/>
    <n v="0"/>
    <n v="2121076"/>
    <n v="4011"/>
  </r>
  <r>
    <x v="1"/>
    <x v="9"/>
    <x v="5"/>
    <x v="242"/>
    <x v="208"/>
    <x v="208"/>
    <s v="REVENUS"/>
    <x v="17"/>
    <s v="4011.007"/>
    <s v="Acompte sur bénéfice"/>
    <n v="0"/>
    <n v="-1252227.1000000001"/>
    <n v="4011"/>
  </r>
  <r>
    <x v="1"/>
    <x v="9"/>
    <x v="5"/>
    <x v="242"/>
    <x v="208"/>
    <x v="208"/>
    <s v="REVENUS"/>
    <x v="16"/>
    <s v="4012.001"/>
    <s v="Impôt capital ordinaire"/>
    <n v="0"/>
    <n v="55228.45"/>
    <n v="4012"/>
  </r>
  <r>
    <x v="1"/>
    <x v="9"/>
    <x v="5"/>
    <x v="242"/>
    <x v="208"/>
    <x v="208"/>
    <s v="REVENUS"/>
    <x v="16"/>
    <s v="4012.007"/>
    <s v="Acompte sur capital"/>
    <n v="0"/>
    <n v="-15670.95"/>
    <n v="4012"/>
  </r>
  <r>
    <x v="1"/>
    <x v="9"/>
    <x v="5"/>
    <x v="242"/>
    <x v="208"/>
    <x v="208"/>
    <s v="REVENUS"/>
    <x v="6"/>
    <s v="4211.002"/>
    <s v="Intérêts de retard sur acomptes"/>
    <n v="0"/>
    <n v="10090.620000000001"/>
    <n v="4211"/>
  </r>
  <r>
    <x v="1"/>
    <x v="9"/>
    <x v="5"/>
    <x v="242"/>
    <x v="208"/>
    <x v="208"/>
    <s v="REVENUS"/>
    <x v="17"/>
    <s v="4011.002"/>
    <s v="Complément impôt bénéfice ordinaire"/>
    <n v="0"/>
    <n v="-110059"/>
    <n v="4011"/>
  </r>
  <r>
    <x v="1"/>
    <x v="9"/>
    <x v="5"/>
    <x v="242"/>
    <x v="208"/>
    <x v="208"/>
    <s v="REVENUS"/>
    <x v="6"/>
    <s v="4221.001"/>
    <s v="Intérêts compensat. / créances en faveur du fisc"/>
    <n v="0"/>
    <n v="122.9"/>
    <n v="4221"/>
  </r>
  <r>
    <x v="1"/>
    <x v="9"/>
    <x v="5"/>
    <x v="242"/>
    <x v="208"/>
    <x v="208"/>
    <s v="REVENUS"/>
    <x v="11"/>
    <s v="4198.001"/>
    <s v="Impôt foncier"/>
    <n v="0"/>
    <n v="59574.9"/>
    <n v="4198"/>
  </r>
  <r>
    <x v="1"/>
    <x v="9"/>
    <x v="5"/>
    <x v="242"/>
    <x v="208"/>
    <x v="208"/>
    <s v="REVENUS"/>
    <x v="10"/>
    <s v="4041.001"/>
    <s v="Droits de mutation"/>
    <n v="0"/>
    <n v="17103.900000000001"/>
    <n v="4041"/>
  </r>
  <r>
    <x v="1"/>
    <x v="9"/>
    <x v="5"/>
    <x v="242"/>
    <x v="208"/>
    <x v="208"/>
    <s v="REVENUS"/>
    <x v="16"/>
    <s v="4012.002"/>
    <s v="Complément impôt capital ordinaire"/>
    <n v="0"/>
    <n v="-22582.2"/>
    <n v="4012"/>
  </r>
  <r>
    <x v="1"/>
    <x v="9"/>
    <x v="5"/>
    <x v="242"/>
    <x v="208"/>
    <x v="208"/>
    <s v="REVENUS"/>
    <x v="7"/>
    <s v="4184.000"/>
    <s v="Frais de poursuite"/>
    <n v="0"/>
    <n v="1.19"/>
    <n v="4184"/>
  </r>
  <r>
    <x v="1"/>
    <x v="9"/>
    <x v="5"/>
    <x v="242"/>
    <x v="208"/>
    <x v="208"/>
    <s v="REVENUS"/>
    <x v="10"/>
    <s v="4041.002"/>
    <s v="Complément droit de mutation"/>
    <n v="0"/>
    <n v="3314.75"/>
    <n v="4041"/>
  </r>
  <r>
    <x v="1"/>
    <x v="9"/>
    <x v="5"/>
    <x v="243"/>
    <x v="209"/>
    <x v="209"/>
    <s v="CHARGES"/>
    <x v="0"/>
    <s v="3212.004"/>
    <s v="Intérêts rémun./perçu trop tôt sur acomptes C/C"/>
    <n v="10.94"/>
    <n v="0"/>
    <n v="3212"/>
  </r>
  <r>
    <x v="1"/>
    <x v="9"/>
    <x v="5"/>
    <x v="243"/>
    <x v="209"/>
    <x v="209"/>
    <s v="CHARGES"/>
    <x v="0"/>
    <s v="3221.002"/>
    <s v="Intérêts compensatoires / créances en faveur ctb."/>
    <n v="17.079999999999998"/>
    <n v="0"/>
    <n v="3221"/>
  </r>
  <r>
    <x v="1"/>
    <x v="9"/>
    <x v="5"/>
    <x v="243"/>
    <x v="209"/>
    <x v="209"/>
    <s v="CHARGES"/>
    <x v="1"/>
    <s v="3301.006"/>
    <s v="Abandon de solde PM"/>
    <n v="43.11"/>
    <n v="0"/>
    <n v="3301"/>
  </r>
  <r>
    <x v="1"/>
    <x v="9"/>
    <x v="5"/>
    <x v="243"/>
    <x v="209"/>
    <x v="209"/>
    <s v="CHARGES"/>
    <x v="0"/>
    <s v="3212.002"/>
    <s v="Intérêts bonifiés/trop perçu acompte C/C"/>
    <n v="0.45"/>
    <n v="0"/>
    <n v="3212"/>
  </r>
  <r>
    <x v="1"/>
    <x v="9"/>
    <x v="5"/>
    <x v="243"/>
    <x v="209"/>
    <x v="209"/>
    <s v="CHARGES"/>
    <x v="1"/>
    <s v="3301.002"/>
    <s v="Défalcation PM"/>
    <n v="594"/>
    <n v="0"/>
    <n v="3301"/>
  </r>
  <r>
    <x v="1"/>
    <x v="9"/>
    <x v="5"/>
    <x v="243"/>
    <x v="209"/>
    <x v="209"/>
    <s v="REVENUS"/>
    <x v="17"/>
    <s v="4011.001"/>
    <s v="Impôt bénéfice ordinaire"/>
    <n v="0"/>
    <n v="57151.75"/>
    <n v="4011"/>
  </r>
  <r>
    <x v="1"/>
    <x v="9"/>
    <x v="5"/>
    <x v="243"/>
    <x v="209"/>
    <x v="209"/>
    <s v="REVENUS"/>
    <x v="17"/>
    <s v="4011.007"/>
    <s v="Acompte sur bénéfice"/>
    <n v="0"/>
    <n v="-53536.55"/>
    <n v="4011"/>
  </r>
  <r>
    <x v="1"/>
    <x v="9"/>
    <x v="5"/>
    <x v="243"/>
    <x v="209"/>
    <x v="209"/>
    <s v="REVENUS"/>
    <x v="6"/>
    <s v="4211.001"/>
    <s v="Intérêts de retard sur factures"/>
    <n v="0"/>
    <n v="40.57"/>
    <n v="4211"/>
  </r>
  <r>
    <x v="1"/>
    <x v="9"/>
    <x v="5"/>
    <x v="243"/>
    <x v="209"/>
    <x v="209"/>
    <s v="REVENUS"/>
    <x v="16"/>
    <s v="4012.001"/>
    <s v="Impôt capital ordinaire"/>
    <n v="0"/>
    <n v="2110.0500000000002"/>
    <n v="4012"/>
  </r>
  <r>
    <x v="1"/>
    <x v="9"/>
    <x v="5"/>
    <x v="243"/>
    <x v="209"/>
    <x v="209"/>
    <s v="REVENUS"/>
    <x v="16"/>
    <s v="4012.007"/>
    <s v="Acompte sur capital"/>
    <n v="0"/>
    <n v="3982.2"/>
    <n v="4012"/>
  </r>
  <r>
    <x v="1"/>
    <x v="9"/>
    <x v="5"/>
    <x v="243"/>
    <x v="209"/>
    <x v="209"/>
    <s v="REVENUS"/>
    <x v="6"/>
    <s v="4211.002"/>
    <s v="Intérêts de retard sur acomptes"/>
    <n v="0"/>
    <n v="315.17"/>
    <n v="4211"/>
  </r>
  <r>
    <x v="1"/>
    <x v="9"/>
    <x v="5"/>
    <x v="243"/>
    <x v="209"/>
    <x v="209"/>
    <s v="REVENUS"/>
    <x v="17"/>
    <s v="4011.002"/>
    <s v="Complément impôt bénéfice ordinaire"/>
    <n v="0"/>
    <n v="4238.5"/>
    <n v="4011"/>
  </r>
  <r>
    <x v="1"/>
    <x v="9"/>
    <x v="5"/>
    <x v="243"/>
    <x v="209"/>
    <x v="209"/>
    <s v="REVENUS"/>
    <x v="6"/>
    <s v="4221.001"/>
    <s v="Intérêts compensat. / créances en faveur du fisc"/>
    <n v="0"/>
    <n v="2.37"/>
    <n v="4221"/>
  </r>
  <r>
    <x v="1"/>
    <x v="9"/>
    <x v="5"/>
    <x v="243"/>
    <x v="209"/>
    <x v="209"/>
    <s v="REVENUS"/>
    <x v="7"/>
    <s v="4184.000"/>
    <s v="Frais de poursuite"/>
    <n v="0"/>
    <n v="33.729999999999997"/>
    <n v="4184"/>
  </r>
  <r>
    <x v="1"/>
    <x v="9"/>
    <x v="5"/>
    <x v="243"/>
    <x v="209"/>
    <x v="209"/>
    <s v="REVENUS"/>
    <x v="11"/>
    <s v="4198.001"/>
    <s v="Impôt foncier"/>
    <n v="0"/>
    <n v="15321.3"/>
    <n v="4198"/>
  </r>
  <r>
    <x v="1"/>
    <x v="9"/>
    <x v="5"/>
    <x v="243"/>
    <x v="209"/>
    <x v="209"/>
    <s v="REVENUS"/>
    <x v="10"/>
    <s v="4041.001"/>
    <s v="Droits de mutation"/>
    <n v="0"/>
    <n v="16154.35"/>
    <n v="4041"/>
  </r>
  <r>
    <x v="1"/>
    <x v="9"/>
    <x v="5"/>
    <x v="244"/>
    <x v="210"/>
    <x v="210"/>
    <s v="CHARGES"/>
    <x v="1"/>
    <s v="3301.006"/>
    <s v="Abandon de solde PM"/>
    <n v="7.11"/>
    <n v="0"/>
    <n v="3301"/>
  </r>
  <r>
    <x v="1"/>
    <x v="9"/>
    <x v="5"/>
    <x v="244"/>
    <x v="210"/>
    <x v="210"/>
    <s v="CHARGES"/>
    <x v="0"/>
    <s v="3212.004"/>
    <s v="Intérêts rémun./perçu trop tôt sur acomptes C/C"/>
    <n v="6.64"/>
    <n v="0"/>
    <n v="3212"/>
  </r>
  <r>
    <x v="1"/>
    <x v="9"/>
    <x v="5"/>
    <x v="244"/>
    <x v="210"/>
    <x v="210"/>
    <s v="CHARGES"/>
    <x v="0"/>
    <s v="3221.002"/>
    <s v="Intérêts compensatoires / créances en faveur ctb."/>
    <n v="9.2799999999999994"/>
    <n v="0"/>
    <n v="3221"/>
  </r>
  <r>
    <x v="1"/>
    <x v="9"/>
    <x v="5"/>
    <x v="244"/>
    <x v="210"/>
    <x v="210"/>
    <s v="CHARGES"/>
    <x v="0"/>
    <s v="3212.002"/>
    <s v="Intérêts bonifiés/trop perçu acompte C/C"/>
    <n v="0.13"/>
    <n v="0"/>
    <n v="3212"/>
  </r>
  <r>
    <x v="1"/>
    <x v="9"/>
    <x v="5"/>
    <x v="244"/>
    <x v="210"/>
    <x v="210"/>
    <s v="REVENUS"/>
    <x v="17"/>
    <s v="4011.002"/>
    <s v="Complément impôt bénéfice ordinaire"/>
    <n v="0"/>
    <n v="3218.6"/>
    <n v="4011"/>
  </r>
  <r>
    <x v="1"/>
    <x v="9"/>
    <x v="5"/>
    <x v="244"/>
    <x v="210"/>
    <x v="210"/>
    <s v="REVENUS"/>
    <x v="16"/>
    <s v="4012.001"/>
    <s v="Impôt capital ordinaire"/>
    <n v="0"/>
    <n v="1201.95"/>
    <n v="4012"/>
  </r>
  <r>
    <x v="1"/>
    <x v="9"/>
    <x v="5"/>
    <x v="244"/>
    <x v="210"/>
    <x v="210"/>
    <s v="REVENUS"/>
    <x v="16"/>
    <s v="4012.007"/>
    <s v="Acompte sur capital"/>
    <n v="0"/>
    <n v="714.65"/>
    <n v="4012"/>
  </r>
  <r>
    <x v="1"/>
    <x v="9"/>
    <x v="5"/>
    <x v="244"/>
    <x v="210"/>
    <x v="210"/>
    <s v="REVENUS"/>
    <x v="17"/>
    <s v="4011.001"/>
    <s v="Impôt bénéfice ordinaire"/>
    <n v="0"/>
    <n v="23557.55"/>
    <n v="4011"/>
  </r>
  <r>
    <x v="1"/>
    <x v="9"/>
    <x v="5"/>
    <x v="244"/>
    <x v="210"/>
    <x v="210"/>
    <s v="REVENUS"/>
    <x v="17"/>
    <s v="4011.007"/>
    <s v="Acompte sur bénéfice"/>
    <n v="0"/>
    <n v="-21881.599999999999"/>
    <n v="4011"/>
  </r>
  <r>
    <x v="1"/>
    <x v="9"/>
    <x v="5"/>
    <x v="244"/>
    <x v="210"/>
    <x v="210"/>
    <s v="REVENUS"/>
    <x v="10"/>
    <s v="4041.001"/>
    <s v="Droits de mutation"/>
    <n v="0"/>
    <n v="35978.75"/>
    <n v="4041"/>
  </r>
  <r>
    <x v="1"/>
    <x v="9"/>
    <x v="5"/>
    <x v="244"/>
    <x v="210"/>
    <x v="210"/>
    <s v="REVENUS"/>
    <x v="6"/>
    <s v="4211.001"/>
    <s v="Intérêts de retard sur factures"/>
    <n v="0"/>
    <n v="9.01"/>
    <n v="4211"/>
  </r>
  <r>
    <x v="1"/>
    <x v="9"/>
    <x v="5"/>
    <x v="244"/>
    <x v="210"/>
    <x v="210"/>
    <s v="REVENUS"/>
    <x v="6"/>
    <s v="4211.002"/>
    <s v="Intérêts de retard sur acomptes"/>
    <n v="0"/>
    <n v="25.37"/>
    <n v="4211"/>
  </r>
  <r>
    <x v="1"/>
    <x v="9"/>
    <x v="5"/>
    <x v="244"/>
    <x v="210"/>
    <x v="210"/>
    <s v="REVENUS"/>
    <x v="6"/>
    <s v="4221.001"/>
    <s v="Intérêts compensat. / créances en faveur du fisc"/>
    <n v="0"/>
    <n v="4.96"/>
    <n v="4221"/>
  </r>
  <r>
    <x v="1"/>
    <x v="9"/>
    <x v="5"/>
    <x v="244"/>
    <x v="210"/>
    <x v="210"/>
    <s v="REVENUS"/>
    <x v="7"/>
    <s v="4184.000"/>
    <s v="Frais de poursuite"/>
    <n v="0"/>
    <n v="36.82"/>
    <n v="4184"/>
  </r>
  <r>
    <x v="1"/>
    <x v="9"/>
    <x v="5"/>
    <x v="244"/>
    <x v="210"/>
    <x v="210"/>
    <s v="REVENUS"/>
    <x v="18"/>
    <s v="4013.003"/>
    <s v="Remboursement impôt complémentaire sur immeubles"/>
    <n v="0"/>
    <n v="-46"/>
    <n v="4013"/>
  </r>
  <r>
    <x v="1"/>
    <x v="9"/>
    <x v="5"/>
    <x v="244"/>
    <x v="210"/>
    <x v="210"/>
    <s v="REVENUS"/>
    <x v="18"/>
    <s v="4013.001"/>
    <s v="Impôt complémentaire sur immeubles"/>
    <n v="0"/>
    <n v="19626.25"/>
    <n v="4013"/>
  </r>
  <r>
    <x v="1"/>
    <x v="9"/>
    <x v="5"/>
    <x v="245"/>
    <x v="211"/>
    <x v="211"/>
    <s v="CHARGES"/>
    <x v="0"/>
    <s v="3212.004"/>
    <s v="Intérêts rémun./perçu trop tôt sur acomptes C/C"/>
    <n v="0.91"/>
    <n v="0"/>
    <n v="3212"/>
  </r>
  <r>
    <x v="1"/>
    <x v="9"/>
    <x v="5"/>
    <x v="245"/>
    <x v="211"/>
    <x v="211"/>
    <s v="CHARGES"/>
    <x v="0"/>
    <s v="3221.002"/>
    <s v="Intérêts compensatoires / créances en faveur ctb."/>
    <n v="3.43"/>
    <n v="0"/>
    <n v="3221"/>
  </r>
  <r>
    <x v="1"/>
    <x v="9"/>
    <x v="5"/>
    <x v="245"/>
    <x v="211"/>
    <x v="211"/>
    <s v="CHARGES"/>
    <x v="1"/>
    <s v="3301.006"/>
    <s v="Abandon de solde PM"/>
    <n v="10.199999999999999"/>
    <n v="0"/>
    <n v="3301"/>
  </r>
  <r>
    <x v="1"/>
    <x v="9"/>
    <x v="5"/>
    <x v="245"/>
    <x v="211"/>
    <x v="211"/>
    <s v="CHARGES"/>
    <x v="0"/>
    <s v="3212.002"/>
    <s v="Intérêts bonifiés/trop perçu acompte C/C"/>
    <n v="0.01"/>
    <n v="0"/>
    <n v="3212"/>
  </r>
  <r>
    <x v="1"/>
    <x v="9"/>
    <x v="5"/>
    <x v="245"/>
    <x v="211"/>
    <x v="211"/>
    <s v="REVENUS"/>
    <x v="17"/>
    <s v="4011.007"/>
    <s v="Acompte sur bénéfice"/>
    <n v="0"/>
    <n v="2654"/>
    <n v="4011"/>
  </r>
  <r>
    <x v="1"/>
    <x v="9"/>
    <x v="5"/>
    <x v="245"/>
    <x v="211"/>
    <x v="211"/>
    <s v="REVENUS"/>
    <x v="16"/>
    <s v="4012.001"/>
    <s v="Impôt capital ordinaire"/>
    <n v="0"/>
    <n v="222"/>
    <n v="4012"/>
  </r>
  <r>
    <x v="1"/>
    <x v="9"/>
    <x v="5"/>
    <x v="245"/>
    <x v="211"/>
    <x v="211"/>
    <s v="REVENUS"/>
    <x v="16"/>
    <s v="4012.007"/>
    <s v="Acompte sur capital"/>
    <n v="0"/>
    <n v="-10.75"/>
    <n v="4012"/>
  </r>
  <r>
    <x v="1"/>
    <x v="9"/>
    <x v="5"/>
    <x v="245"/>
    <x v="211"/>
    <x v="211"/>
    <s v="REVENUS"/>
    <x v="6"/>
    <s v="4211.002"/>
    <s v="Intérêts de retard sur acomptes"/>
    <n v="0"/>
    <n v="50.84"/>
    <n v="4211"/>
  </r>
  <r>
    <x v="1"/>
    <x v="9"/>
    <x v="5"/>
    <x v="245"/>
    <x v="211"/>
    <x v="211"/>
    <s v="REVENUS"/>
    <x v="6"/>
    <s v="4211.001"/>
    <s v="Intérêts de retard sur factures"/>
    <n v="0"/>
    <n v="20.68"/>
    <n v="4211"/>
  </r>
  <r>
    <x v="1"/>
    <x v="9"/>
    <x v="5"/>
    <x v="245"/>
    <x v="211"/>
    <x v="211"/>
    <s v="REVENUS"/>
    <x v="17"/>
    <s v="4011.001"/>
    <s v="Impôt bénéfice ordinaire"/>
    <n v="0"/>
    <n v="17638"/>
    <n v="4011"/>
  </r>
  <r>
    <x v="1"/>
    <x v="9"/>
    <x v="5"/>
    <x v="245"/>
    <x v="211"/>
    <x v="211"/>
    <s v="REVENUS"/>
    <x v="17"/>
    <s v="4011.002"/>
    <s v="Complément impôt bénéfice ordinaire"/>
    <n v="0"/>
    <n v="121.15"/>
    <n v="4011"/>
  </r>
  <r>
    <x v="1"/>
    <x v="9"/>
    <x v="5"/>
    <x v="245"/>
    <x v="211"/>
    <x v="211"/>
    <s v="REVENUS"/>
    <x v="6"/>
    <s v="4221.001"/>
    <s v="Intérêts compensat. / créances en faveur du fisc"/>
    <n v="0"/>
    <n v="2.65"/>
    <n v="4221"/>
  </r>
  <r>
    <x v="1"/>
    <x v="9"/>
    <x v="5"/>
    <x v="245"/>
    <x v="211"/>
    <x v="211"/>
    <s v="REVENUS"/>
    <x v="11"/>
    <s v="4198.001"/>
    <s v="Impôt foncier"/>
    <n v="0"/>
    <n v="1397.15"/>
    <n v="4198"/>
  </r>
  <r>
    <x v="1"/>
    <x v="9"/>
    <x v="5"/>
    <x v="246"/>
    <x v="212"/>
    <x v="212"/>
    <s v="CHARGES"/>
    <x v="1"/>
    <s v="3301.006"/>
    <s v="Abandon de solde PM"/>
    <n v="3.05"/>
    <n v="0"/>
    <n v="3301"/>
  </r>
  <r>
    <x v="1"/>
    <x v="9"/>
    <x v="5"/>
    <x v="246"/>
    <x v="212"/>
    <x v="212"/>
    <s v="CHARGES"/>
    <x v="0"/>
    <s v="3212.002"/>
    <s v="Intérêts bonifiés/trop perçu acompte C/C"/>
    <n v="7.0000000000000007E-2"/>
    <n v="0"/>
    <n v="3212"/>
  </r>
  <r>
    <x v="1"/>
    <x v="9"/>
    <x v="5"/>
    <x v="246"/>
    <x v="212"/>
    <x v="212"/>
    <s v="CHARGES"/>
    <x v="0"/>
    <s v="3212.004"/>
    <s v="Intérêts rémun./perçu trop tôt sur acomptes C/C"/>
    <n v="3.64"/>
    <n v="0"/>
    <n v="3212"/>
  </r>
  <r>
    <x v="1"/>
    <x v="9"/>
    <x v="5"/>
    <x v="246"/>
    <x v="212"/>
    <x v="212"/>
    <s v="CHARGES"/>
    <x v="0"/>
    <s v="3221.002"/>
    <s v="Intérêts compensatoires / créances en faveur ctb."/>
    <n v="0.89"/>
    <n v="0"/>
    <n v="3221"/>
  </r>
  <r>
    <x v="1"/>
    <x v="9"/>
    <x v="5"/>
    <x v="246"/>
    <x v="212"/>
    <x v="212"/>
    <s v="REVENUS"/>
    <x v="11"/>
    <s v="4198.001"/>
    <s v="Impôt foncier"/>
    <n v="0"/>
    <n v="193.4"/>
    <n v="4198"/>
  </r>
  <r>
    <x v="1"/>
    <x v="9"/>
    <x v="5"/>
    <x v="246"/>
    <x v="212"/>
    <x v="212"/>
    <s v="REVENUS"/>
    <x v="6"/>
    <s v="4211.001"/>
    <s v="Intérêts de retard sur factures"/>
    <n v="0"/>
    <n v="0.49"/>
    <n v="4211"/>
  </r>
  <r>
    <x v="1"/>
    <x v="9"/>
    <x v="5"/>
    <x v="246"/>
    <x v="212"/>
    <x v="212"/>
    <s v="REVENUS"/>
    <x v="17"/>
    <s v="4011.001"/>
    <s v="Impôt bénéfice ordinaire"/>
    <n v="0"/>
    <n v="7011.1"/>
    <n v="4011"/>
  </r>
  <r>
    <x v="1"/>
    <x v="9"/>
    <x v="5"/>
    <x v="246"/>
    <x v="212"/>
    <x v="212"/>
    <s v="REVENUS"/>
    <x v="17"/>
    <s v="4011.002"/>
    <s v="Complément impôt bénéfice ordinaire"/>
    <n v="0"/>
    <n v="4563.95"/>
    <n v="4011"/>
  </r>
  <r>
    <x v="1"/>
    <x v="9"/>
    <x v="5"/>
    <x v="246"/>
    <x v="212"/>
    <x v="212"/>
    <s v="REVENUS"/>
    <x v="17"/>
    <s v="4011.007"/>
    <s v="Acompte sur bénéfice"/>
    <n v="0"/>
    <n v="-8083.85"/>
    <n v="4011"/>
  </r>
  <r>
    <x v="1"/>
    <x v="9"/>
    <x v="5"/>
    <x v="246"/>
    <x v="212"/>
    <x v="212"/>
    <s v="REVENUS"/>
    <x v="16"/>
    <s v="4012.007"/>
    <s v="Acompte sur capital"/>
    <n v="0"/>
    <n v="18.25"/>
    <n v="4012"/>
  </r>
  <r>
    <x v="1"/>
    <x v="9"/>
    <x v="5"/>
    <x v="246"/>
    <x v="212"/>
    <x v="212"/>
    <s v="REVENUS"/>
    <x v="16"/>
    <s v="4012.001"/>
    <s v="Impôt capital ordinaire"/>
    <n v="0"/>
    <n v="56.8"/>
    <n v="4012"/>
  </r>
  <r>
    <x v="1"/>
    <x v="9"/>
    <x v="5"/>
    <x v="246"/>
    <x v="212"/>
    <x v="212"/>
    <s v="REVENUS"/>
    <x v="6"/>
    <s v="4211.002"/>
    <s v="Intérêts de retard sur acomptes"/>
    <n v="0"/>
    <n v="13.31"/>
    <n v="4211"/>
  </r>
  <r>
    <x v="1"/>
    <x v="9"/>
    <x v="5"/>
    <x v="246"/>
    <x v="212"/>
    <x v="212"/>
    <s v="REVENUS"/>
    <x v="6"/>
    <s v="4221.001"/>
    <s v="Intérêts compensat. / créances en faveur du fisc"/>
    <n v="0"/>
    <n v="2.0499999999999998"/>
    <n v="4221"/>
  </r>
  <r>
    <x v="1"/>
    <x v="9"/>
    <x v="5"/>
    <x v="247"/>
    <x v="213"/>
    <x v="213"/>
    <s v="CHARGES"/>
    <x v="0"/>
    <s v="3212.004"/>
    <s v="Intérêts rémun./perçu trop tôt sur acomptes C/C"/>
    <n v="477.06"/>
    <n v="0"/>
    <n v="3212"/>
  </r>
  <r>
    <x v="1"/>
    <x v="9"/>
    <x v="5"/>
    <x v="247"/>
    <x v="213"/>
    <x v="213"/>
    <s v="CHARGES"/>
    <x v="0"/>
    <s v="3221.002"/>
    <s v="Intérêts compensatoires / créances en faveur ctb."/>
    <n v="207.03"/>
    <n v="0"/>
    <n v="3221"/>
  </r>
  <r>
    <x v="1"/>
    <x v="9"/>
    <x v="5"/>
    <x v="247"/>
    <x v="213"/>
    <x v="213"/>
    <s v="CHARGES"/>
    <x v="1"/>
    <s v="3301.006"/>
    <s v="Abandon de solde PM"/>
    <n v="128.28"/>
    <n v="0"/>
    <n v="3301"/>
  </r>
  <r>
    <x v="1"/>
    <x v="9"/>
    <x v="5"/>
    <x v="247"/>
    <x v="213"/>
    <x v="213"/>
    <s v="CHARGES"/>
    <x v="0"/>
    <s v="3212.002"/>
    <s v="Intérêts bonifiés/trop perçu acompte C/C"/>
    <n v="3.74"/>
    <n v="0"/>
    <n v="3212"/>
  </r>
  <r>
    <x v="1"/>
    <x v="9"/>
    <x v="5"/>
    <x v="247"/>
    <x v="213"/>
    <x v="213"/>
    <s v="CHARGES"/>
    <x v="1"/>
    <s v="3301.002"/>
    <s v="Défalcation PM"/>
    <n v="368.46"/>
    <n v="0"/>
    <n v="3301"/>
  </r>
  <r>
    <x v="1"/>
    <x v="9"/>
    <x v="5"/>
    <x v="247"/>
    <x v="213"/>
    <x v="213"/>
    <s v="REVENUS"/>
    <x v="17"/>
    <s v="4011.007"/>
    <s v="Acompte sur bénéfice"/>
    <n v="0"/>
    <n v="-450162.15"/>
    <n v="4011"/>
  </r>
  <r>
    <x v="1"/>
    <x v="9"/>
    <x v="5"/>
    <x v="247"/>
    <x v="213"/>
    <x v="213"/>
    <s v="REVENUS"/>
    <x v="16"/>
    <s v="4012.001"/>
    <s v="Impôt capital ordinaire"/>
    <n v="0"/>
    <n v="20177.05"/>
    <n v="4012"/>
  </r>
  <r>
    <x v="1"/>
    <x v="9"/>
    <x v="5"/>
    <x v="247"/>
    <x v="213"/>
    <x v="213"/>
    <s v="REVENUS"/>
    <x v="17"/>
    <s v="4011.001"/>
    <s v="Impôt bénéfice ordinaire"/>
    <n v="0"/>
    <n v="548645.44999999995"/>
    <n v="4011"/>
  </r>
  <r>
    <x v="1"/>
    <x v="9"/>
    <x v="5"/>
    <x v="247"/>
    <x v="213"/>
    <x v="213"/>
    <s v="REVENUS"/>
    <x v="6"/>
    <s v="4211.002"/>
    <s v="Intérêts de retard sur acomptes"/>
    <n v="0"/>
    <n v="1245.71"/>
    <n v="4211"/>
  </r>
  <r>
    <x v="1"/>
    <x v="9"/>
    <x v="5"/>
    <x v="247"/>
    <x v="213"/>
    <x v="213"/>
    <s v="REVENUS"/>
    <x v="6"/>
    <s v="4221.001"/>
    <s v="Intérêts compensat. / créances en faveur du fisc"/>
    <n v="0"/>
    <n v="42.72"/>
    <n v="4221"/>
  </r>
  <r>
    <x v="1"/>
    <x v="9"/>
    <x v="5"/>
    <x v="247"/>
    <x v="213"/>
    <x v="213"/>
    <s v="REVENUS"/>
    <x v="18"/>
    <s v="4013.001"/>
    <s v="Impôt complémentaire sur immeubles"/>
    <n v="0"/>
    <n v="68584.100000000006"/>
    <n v="4013"/>
  </r>
  <r>
    <x v="1"/>
    <x v="9"/>
    <x v="5"/>
    <x v="247"/>
    <x v="213"/>
    <x v="213"/>
    <s v="REVENUS"/>
    <x v="11"/>
    <s v="4198.001"/>
    <s v="Impôt foncier"/>
    <n v="0"/>
    <n v="214770.1"/>
    <n v="4198"/>
  </r>
  <r>
    <x v="1"/>
    <x v="9"/>
    <x v="5"/>
    <x v="247"/>
    <x v="213"/>
    <x v="213"/>
    <s v="REVENUS"/>
    <x v="6"/>
    <s v="4211.001"/>
    <s v="Intérêts de retard sur factures"/>
    <n v="0"/>
    <n v="204.09"/>
    <n v="4211"/>
  </r>
  <r>
    <x v="1"/>
    <x v="9"/>
    <x v="5"/>
    <x v="247"/>
    <x v="213"/>
    <x v="213"/>
    <s v="REVENUS"/>
    <x v="18"/>
    <s v="4013.002"/>
    <s v="Complément impôt complémentaire sur immeubles"/>
    <n v="0"/>
    <n v="2483.6"/>
    <n v="4013"/>
  </r>
  <r>
    <x v="1"/>
    <x v="9"/>
    <x v="5"/>
    <x v="247"/>
    <x v="213"/>
    <x v="213"/>
    <s v="REVENUS"/>
    <x v="16"/>
    <s v="4012.007"/>
    <s v="Acompte sur capital"/>
    <n v="0"/>
    <n v="13933.5"/>
    <n v="4012"/>
  </r>
  <r>
    <x v="1"/>
    <x v="9"/>
    <x v="5"/>
    <x v="247"/>
    <x v="213"/>
    <x v="213"/>
    <s v="REVENUS"/>
    <x v="17"/>
    <s v="4011.002"/>
    <s v="Complément impôt bénéfice ordinaire"/>
    <n v="0"/>
    <n v="-788.6"/>
    <n v="4011"/>
  </r>
  <r>
    <x v="1"/>
    <x v="9"/>
    <x v="5"/>
    <x v="247"/>
    <x v="213"/>
    <x v="213"/>
    <s v="REVENUS"/>
    <x v="10"/>
    <s v="4041.001"/>
    <s v="Droits de mutation"/>
    <n v="0"/>
    <n v="152859.5"/>
    <n v="4041"/>
  </r>
  <r>
    <x v="1"/>
    <x v="9"/>
    <x v="5"/>
    <x v="247"/>
    <x v="213"/>
    <x v="213"/>
    <s v="REVENUS"/>
    <x v="18"/>
    <s v="4013.003"/>
    <s v="Remboursement impôt complémentaire sur immeubles"/>
    <n v="0"/>
    <n v="-21472"/>
    <n v="4013"/>
  </r>
  <r>
    <x v="1"/>
    <x v="9"/>
    <x v="5"/>
    <x v="247"/>
    <x v="213"/>
    <x v="213"/>
    <s v="REVENUS"/>
    <x v="7"/>
    <s v="4184.000"/>
    <s v="Frais de poursuite"/>
    <n v="0"/>
    <n v="136.43"/>
    <n v="4184"/>
  </r>
  <r>
    <x v="1"/>
    <x v="9"/>
    <x v="5"/>
    <x v="247"/>
    <x v="213"/>
    <x v="213"/>
    <s v="REVENUS"/>
    <x v="16"/>
    <s v="4012.002"/>
    <s v="Complément impôt capital ordinaire"/>
    <n v="0"/>
    <n v="38.6"/>
    <n v="4012"/>
  </r>
  <r>
    <x v="1"/>
    <x v="9"/>
    <x v="5"/>
    <x v="248"/>
    <x v="214"/>
    <x v="214"/>
    <s v="CHARGES"/>
    <x v="1"/>
    <s v="3301.006"/>
    <s v="Abandon de solde PM"/>
    <n v="10.93"/>
    <n v="0"/>
    <n v="3301"/>
  </r>
  <r>
    <x v="1"/>
    <x v="9"/>
    <x v="5"/>
    <x v="248"/>
    <x v="214"/>
    <x v="214"/>
    <s v="CHARGES"/>
    <x v="0"/>
    <s v="3212.004"/>
    <s v="Intérêts rémun./perçu trop tôt sur acomptes C/C"/>
    <n v="1.24"/>
    <n v="0"/>
    <n v="3212"/>
  </r>
  <r>
    <x v="1"/>
    <x v="9"/>
    <x v="5"/>
    <x v="248"/>
    <x v="214"/>
    <x v="214"/>
    <s v="CHARGES"/>
    <x v="0"/>
    <s v="3221.002"/>
    <s v="Intérêts compensatoires / créances en faveur ctb."/>
    <n v="0.77"/>
    <n v="0"/>
    <n v="3221"/>
  </r>
  <r>
    <x v="1"/>
    <x v="9"/>
    <x v="5"/>
    <x v="248"/>
    <x v="214"/>
    <x v="214"/>
    <s v="CHARGES"/>
    <x v="0"/>
    <s v="3212.002"/>
    <s v="Intérêts bonifiés/trop perçu acompte C/C"/>
    <n v="0.01"/>
    <n v="0"/>
    <n v="3212"/>
  </r>
  <r>
    <x v="1"/>
    <x v="9"/>
    <x v="5"/>
    <x v="248"/>
    <x v="214"/>
    <x v="214"/>
    <s v="REVENUS"/>
    <x v="18"/>
    <s v="4013.001"/>
    <s v="Impôt complémentaire sur immeubles"/>
    <n v="0"/>
    <n v="14.4"/>
    <n v="4013"/>
  </r>
  <r>
    <x v="1"/>
    <x v="9"/>
    <x v="5"/>
    <x v="248"/>
    <x v="214"/>
    <x v="214"/>
    <s v="REVENUS"/>
    <x v="11"/>
    <s v="4198.001"/>
    <s v="Impôt foncier"/>
    <n v="0"/>
    <n v="104.8"/>
    <n v="4198"/>
  </r>
  <r>
    <x v="1"/>
    <x v="9"/>
    <x v="5"/>
    <x v="248"/>
    <x v="214"/>
    <x v="214"/>
    <s v="REVENUS"/>
    <x v="17"/>
    <s v="4011.001"/>
    <s v="Impôt bénéfice ordinaire"/>
    <n v="0"/>
    <n v="129.35"/>
    <n v="4011"/>
  </r>
  <r>
    <x v="1"/>
    <x v="9"/>
    <x v="5"/>
    <x v="248"/>
    <x v="214"/>
    <x v="214"/>
    <s v="REVENUS"/>
    <x v="17"/>
    <s v="4011.002"/>
    <s v="Complément impôt bénéfice ordinaire"/>
    <n v="0"/>
    <n v="135.65"/>
    <n v="4011"/>
  </r>
  <r>
    <x v="1"/>
    <x v="9"/>
    <x v="5"/>
    <x v="248"/>
    <x v="214"/>
    <x v="214"/>
    <s v="REVENUS"/>
    <x v="17"/>
    <s v="4011.007"/>
    <s v="Acompte sur bénéfice"/>
    <n v="0"/>
    <n v="-411.6"/>
    <n v="4011"/>
  </r>
  <r>
    <x v="1"/>
    <x v="9"/>
    <x v="5"/>
    <x v="248"/>
    <x v="214"/>
    <x v="214"/>
    <s v="REVENUS"/>
    <x v="6"/>
    <s v="4211.002"/>
    <s v="Intérêts de retard sur acomptes"/>
    <n v="0"/>
    <n v="0.35"/>
    <n v="4211"/>
  </r>
  <r>
    <x v="1"/>
    <x v="9"/>
    <x v="5"/>
    <x v="248"/>
    <x v="214"/>
    <x v="214"/>
    <s v="REVENUS"/>
    <x v="18"/>
    <s v="4013.002"/>
    <s v="Complément impôt complémentaire sur immeubles"/>
    <n v="0"/>
    <n v="1.1499999999999999"/>
    <n v="4013"/>
  </r>
  <r>
    <x v="1"/>
    <x v="9"/>
    <x v="5"/>
    <x v="248"/>
    <x v="214"/>
    <x v="214"/>
    <s v="REVENUS"/>
    <x v="16"/>
    <s v="4012.007"/>
    <s v="Acompte sur capital"/>
    <n v="0"/>
    <n v="46.35"/>
    <n v="4012"/>
  </r>
  <r>
    <x v="1"/>
    <x v="9"/>
    <x v="5"/>
    <x v="248"/>
    <x v="214"/>
    <x v="214"/>
    <s v="REVENUS"/>
    <x v="16"/>
    <s v="4012.001"/>
    <s v="Impôt capital ordinaire"/>
    <n v="0"/>
    <n v="31.45"/>
    <n v="4012"/>
  </r>
  <r>
    <x v="1"/>
    <x v="9"/>
    <x v="5"/>
    <x v="249"/>
    <x v="213"/>
    <x v="213"/>
    <s v="CHARGES"/>
    <x v="0"/>
    <s v="3212.002"/>
    <s v="Intérêts bonifiés/trop perçu acompte C/C"/>
    <n v="0.02"/>
    <n v="0"/>
    <n v="3212"/>
  </r>
  <r>
    <x v="1"/>
    <x v="9"/>
    <x v="5"/>
    <x v="249"/>
    <x v="213"/>
    <x v="213"/>
    <s v="CHARGES"/>
    <x v="0"/>
    <s v="3212.004"/>
    <s v="Intérêts rémun./perçu trop tôt sur acomptes C/C"/>
    <n v="0.23"/>
    <n v="0"/>
    <n v="3212"/>
  </r>
  <r>
    <x v="1"/>
    <x v="9"/>
    <x v="5"/>
    <x v="249"/>
    <x v="213"/>
    <x v="213"/>
    <s v="CHARGES"/>
    <x v="0"/>
    <s v="3221.002"/>
    <s v="Intérêts compensatoires / créances en faveur ctb."/>
    <n v="1.28"/>
    <n v="0"/>
    <n v="3221"/>
  </r>
  <r>
    <x v="1"/>
    <x v="9"/>
    <x v="5"/>
    <x v="249"/>
    <x v="213"/>
    <x v="213"/>
    <s v="REVENUS"/>
    <x v="17"/>
    <s v="4011.001"/>
    <s v="Impôt bénéfice ordinaire"/>
    <n v="0"/>
    <n v="133.55000000000001"/>
    <n v="4011"/>
  </r>
  <r>
    <x v="1"/>
    <x v="9"/>
    <x v="5"/>
    <x v="249"/>
    <x v="213"/>
    <x v="213"/>
    <s v="REVENUS"/>
    <x v="17"/>
    <s v="4011.002"/>
    <s v="Complément impôt bénéfice ordinaire"/>
    <n v="0"/>
    <n v="463.6"/>
    <n v="4011"/>
  </r>
  <r>
    <x v="1"/>
    <x v="9"/>
    <x v="5"/>
    <x v="249"/>
    <x v="213"/>
    <x v="213"/>
    <s v="REVENUS"/>
    <x v="17"/>
    <s v="4011.007"/>
    <s v="Acompte sur bénéfice"/>
    <n v="0"/>
    <n v="-1352.55"/>
    <n v="4011"/>
  </r>
  <r>
    <x v="1"/>
    <x v="9"/>
    <x v="5"/>
    <x v="249"/>
    <x v="213"/>
    <x v="213"/>
    <s v="REVENUS"/>
    <x v="6"/>
    <s v="4211.002"/>
    <s v="Intérêts de retard sur acomptes"/>
    <n v="0"/>
    <n v="1.32"/>
    <n v="4211"/>
  </r>
  <r>
    <x v="1"/>
    <x v="9"/>
    <x v="5"/>
    <x v="250"/>
    <x v="215"/>
    <x v="215"/>
    <s v="CHARGES"/>
    <x v="1"/>
    <s v="3301.006"/>
    <s v="Abandon de solde PM"/>
    <n v="4.63"/>
    <n v="0"/>
    <n v="3301"/>
  </r>
  <r>
    <x v="1"/>
    <x v="9"/>
    <x v="5"/>
    <x v="250"/>
    <x v="215"/>
    <x v="215"/>
    <s v="CHARGES"/>
    <x v="0"/>
    <s v="3212.002"/>
    <s v="Intérêts bonifiés/trop perçu acompte C/C"/>
    <n v="0.04"/>
    <n v="0"/>
    <n v="3212"/>
  </r>
  <r>
    <x v="1"/>
    <x v="9"/>
    <x v="5"/>
    <x v="250"/>
    <x v="215"/>
    <x v="215"/>
    <s v="CHARGES"/>
    <x v="0"/>
    <s v="3221.002"/>
    <s v="Intérêts compensatoires / créances en faveur ctb."/>
    <n v="4.6100000000000003"/>
    <n v="0"/>
    <n v="3221"/>
  </r>
  <r>
    <x v="1"/>
    <x v="9"/>
    <x v="5"/>
    <x v="250"/>
    <x v="215"/>
    <x v="215"/>
    <s v="CHARGES"/>
    <x v="0"/>
    <s v="3212.004"/>
    <s v="Intérêts rémun./perçu trop tôt sur acomptes C/C"/>
    <n v="1.59"/>
    <n v="0"/>
    <n v="3212"/>
  </r>
  <r>
    <x v="1"/>
    <x v="9"/>
    <x v="5"/>
    <x v="250"/>
    <x v="215"/>
    <x v="215"/>
    <s v="REVENUS"/>
    <x v="16"/>
    <s v="4012.001"/>
    <s v="Impôt capital ordinaire"/>
    <n v="0"/>
    <n v="354.6"/>
    <n v="4012"/>
  </r>
  <r>
    <x v="1"/>
    <x v="9"/>
    <x v="5"/>
    <x v="250"/>
    <x v="215"/>
    <x v="215"/>
    <s v="REVENUS"/>
    <x v="16"/>
    <s v="4012.007"/>
    <s v="Acompte sur capital"/>
    <n v="0"/>
    <n v="304.39999999999998"/>
    <n v="4012"/>
  </r>
  <r>
    <x v="1"/>
    <x v="9"/>
    <x v="5"/>
    <x v="250"/>
    <x v="215"/>
    <x v="215"/>
    <s v="REVENUS"/>
    <x v="6"/>
    <s v="4211.002"/>
    <s v="Intérêts de retard sur acomptes"/>
    <n v="0"/>
    <n v="12.75"/>
    <n v="4211"/>
  </r>
  <r>
    <x v="1"/>
    <x v="9"/>
    <x v="5"/>
    <x v="250"/>
    <x v="215"/>
    <x v="215"/>
    <s v="REVENUS"/>
    <x v="17"/>
    <s v="4011.001"/>
    <s v="Impôt bénéfice ordinaire"/>
    <n v="0"/>
    <n v="7314.95"/>
    <n v="4011"/>
  </r>
  <r>
    <x v="1"/>
    <x v="9"/>
    <x v="5"/>
    <x v="250"/>
    <x v="215"/>
    <x v="215"/>
    <s v="REVENUS"/>
    <x v="17"/>
    <s v="4011.002"/>
    <s v="Complément impôt bénéfice ordinaire"/>
    <n v="0"/>
    <n v="911.45"/>
    <n v="4011"/>
  </r>
  <r>
    <x v="1"/>
    <x v="9"/>
    <x v="5"/>
    <x v="250"/>
    <x v="215"/>
    <x v="215"/>
    <s v="REVENUS"/>
    <x v="17"/>
    <s v="4011.007"/>
    <s v="Acompte sur bénéfice"/>
    <n v="0"/>
    <n v="2327.85"/>
    <n v="4011"/>
  </r>
  <r>
    <x v="1"/>
    <x v="9"/>
    <x v="5"/>
    <x v="250"/>
    <x v="215"/>
    <x v="215"/>
    <s v="REVENUS"/>
    <x v="6"/>
    <s v="4221.001"/>
    <s v="Intérêts compensat. / créances en faveur du fisc"/>
    <n v="0"/>
    <n v="4.6900000000000004"/>
    <n v="4221"/>
  </r>
  <r>
    <x v="1"/>
    <x v="9"/>
    <x v="5"/>
    <x v="250"/>
    <x v="215"/>
    <x v="215"/>
    <s v="REVENUS"/>
    <x v="18"/>
    <s v="4013.001"/>
    <s v="Impôt complémentaire sur immeubles"/>
    <n v="0"/>
    <n v="833.4"/>
    <n v="4013"/>
  </r>
  <r>
    <x v="1"/>
    <x v="9"/>
    <x v="5"/>
    <x v="250"/>
    <x v="215"/>
    <x v="215"/>
    <s v="REVENUS"/>
    <x v="11"/>
    <s v="4198.001"/>
    <s v="Impôt foncier"/>
    <n v="0"/>
    <n v="6048"/>
    <n v="4198"/>
  </r>
  <r>
    <x v="1"/>
    <x v="9"/>
    <x v="5"/>
    <x v="251"/>
    <x v="216"/>
    <x v="216"/>
    <s v="CHARGES"/>
    <x v="1"/>
    <s v="3301.006"/>
    <s v="Abandon de solde PM"/>
    <n v="10.44"/>
    <n v="0"/>
    <n v="3301"/>
  </r>
  <r>
    <x v="1"/>
    <x v="9"/>
    <x v="5"/>
    <x v="251"/>
    <x v="216"/>
    <x v="216"/>
    <s v="CHARGES"/>
    <x v="0"/>
    <s v="3212.002"/>
    <s v="Intérêts bonifiés/trop perçu acompte C/C"/>
    <n v="0.01"/>
    <n v="0"/>
    <n v="3212"/>
  </r>
  <r>
    <x v="1"/>
    <x v="9"/>
    <x v="5"/>
    <x v="251"/>
    <x v="216"/>
    <x v="216"/>
    <s v="CHARGES"/>
    <x v="0"/>
    <s v="3212.004"/>
    <s v="Intérêts rémun./perçu trop tôt sur acomptes C/C"/>
    <n v="0.75"/>
    <n v="0"/>
    <n v="3212"/>
  </r>
  <r>
    <x v="1"/>
    <x v="9"/>
    <x v="5"/>
    <x v="251"/>
    <x v="216"/>
    <x v="216"/>
    <s v="CHARGES"/>
    <x v="0"/>
    <s v="3221.002"/>
    <s v="Intérêts compensatoires / créances en faveur ctb."/>
    <n v="0.99"/>
    <n v="0"/>
    <n v="3221"/>
  </r>
  <r>
    <x v="1"/>
    <x v="9"/>
    <x v="5"/>
    <x v="251"/>
    <x v="216"/>
    <x v="216"/>
    <s v="REVENUS"/>
    <x v="16"/>
    <s v="4012.001"/>
    <s v="Impôt capital ordinaire"/>
    <n v="0"/>
    <n v="414.7"/>
    <n v="4012"/>
  </r>
  <r>
    <x v="1"/>
    <x v="9"/>
    <x v="5"/>
    <x v="251"/>
    <x v="216"/>
    <x v="216"/>
    <s v="REVENUS"/>
    <x v="6"/>
    <s v="4211.002"/>
    <s v="Intérêts de retard sur acomptes"/>
    <n v="0"/>
    <n v="1.56"/>
    <n v="4211"/>
  </r>
  <r>
    <x v="1"/>
    <x v="9"/>
    <x v="5"/>
    <x v="251"/>
    <x v="216"/>
    <x v="216"/>
    <s v="REVENUS"/>
    <x v="17"/>
    <s v="4011.007"/>
    <s v="Acompte sur bénéfice"/>
    <n v="0"/>
    <n v="573.1"/>
    <n v="4011"/>
  </r>
  <r>
    <x v="1"/>
    <x v="9"/>
    <x v="5"/>
    <x v="251"/>
    <x v="216"/>
    <x v="216"/>
    <s v="REVENUS"/>
    <x v="16"/>
    <s v="4012.007"/>
    <s v="Acompte sur capital"/>
    <n v="0"/>
    <n v="505.25"/>
    <n v="4012"/>
  </r>
  <r>
    <x v="1"/>
    <x v="9"/>
    <x v="5"/>
    <x v="251"/>
    <x v="216"/>
    <x v="216"/>
    <s v="REVENUS"/>
    <x v="17"/>
    <s v="4011.001"/>
    <s v="Impôt bénéfice ordinaire"/>
    <n v="0"/>
    <n v="214.7"/>
    <n v="4011"/>
  </r>
  <r>
    <x v="1"/>
    <x v="9"/>
    <x v="5"/>
    <x v="251"/>
    <x v="216"/>
    <x v="216"/>
    <s v="REVENUS"/>
    <x v="17"/>
    <s v="4011.002"/>
    <s v="Complément impôt bénéfice ordinaire"/>
    <n v="0"/>
    <n v="205"/>
    <n v="4011"/>
  </r>
  <r>
    <x v="1"/>
    <x v="9"/>
    <x v="5"/>
    <x v="251"/>
    <x v="216"/>
    <x v="216"/>
    <s v="REVENUS"/>
    <x v="6"/>
    <s v="4221.001"/>
    <s v="Intérêts compensat. / créances en faveur du fisc"/>
    <n v="0"/>
    <n v="0.05"/>
    <n v="4221"/>
  </r>
  <r>
    <x v="1"/>
    <x v="9"/>
    <x v="5"/>
    <x v="251"/>
    <x v="216"/>
    <x v="216"/>
    <s v="REVENUS"/>
    <x v="18"/>
    <s v="4013.001"/>
    <s v="Impôt complémentaire sur immeubles"/>
    <n v="0"/>
    <n v="1588.5"/>
    <n v="4013"/>
  </r>
  <r>
    <x v="1"/>
    <x v="9"/>
    <x v="5"/>
    <x v="251"/>
    <x v="216"/>
    <x v="216"/>
    <s v="REVENUS"/>
    <x v="11"/>
    <s v="4198.001"/>
    <s v="Impôt foncier"/>
    <n v="0"/>
    <n v="3185.6"/>
    <n v="4198"/>
  </r>
  <r>
    <x v="1"/>
    <x v="9"/>
    <x v="5"/>
    <x v="251"/>
    <x v="216"/>
    <x v="216"/>
    <s v="REVENUS"/>
    <x v="6"/>
    <s v="4211.001"/>
    <s v="Intérêts de retard sur factures"/>
    <n v="0"/>
    <n v="0.1"/>
    <n v="4211"/>
  </r>
  <r>
    <x v="1"/>
    <x v="9"/>
    <x v="5"/>
    <x v="252"/>
    <x v="217"/>
    <x v="217"/>
    <s v="CHARGES"/>
    <x v="0"/>
    <s v="3212.004"/>
    <s v="Intérêts rémun./perçu trop tôt sur acomptes C/C"/>
    <n v="14.88"/>
    <n v="0"/>
    <n v="3212"/>
  </r>
  <r>
    <x v="1"/>
    <x v="9"/>
    <x v="5"/>
    <x v="252"/>
    <x v="217"/>
    <x v="217"/>
    <s v="CHARGES"/>
    <x v="0"/>
    <s v="3221.002"/>
    <s v="Intérêts compensatoires / créances en faveur ctb."/>
    <n v="11.84"/>
    <n v="0"/>
    <n v="3221"/>
  </r>
  <r>
    <x v="1"/>
    <x v="9"/>
    <x v="5"/>
    <x v="252"/>
    <x v="217"/>
    <x v="217"/>
    <s v="CHARGES"/>
    <x v="1"/>
    <s v="3301.006"/>
    <s v="Abandon de solde PM"/>
    <n v="8.86"/>
    <n v="0"/>
    <n v="3301"/>
  </r>
  <r>
    <x v="1"/>
    <x v="9"/>
    <x v="5"/>
    <x v="252"/>
    <x v="217"/>
    <x v="217"/>
    <s v="CHARGES"/>
    <x v="0"/>
    <s v="3212.002"/>
    <s v="Intérêts bonifiés/trop perçu acompte C/C"/>
    <n v="0.08"/>
    <n v="0"/>
    <n v="3212"/>
  </r>
  <r>
    <x v="1"/>
    <x v="9"/>
    <x v="5"/>
    <x v="252"/>
    <x v="217"/>
    <x v="217"/>
    <s v="REVENUS"/>
    <x v="17"/>
    <s v="4011.007"/>
    <s v="Acompte sur bénéfice"/>
    <n v="0"/>
    <n v="-5459.1"/>
    <n v="4011"/>
  </r>
  <r>
    <x v="1"/>
    <x v="9"/>
    <x v="5"/>
    <x v="252"/>
    <x v="217"/>
    <x v="217"/>
    <s v="REVENUS"/>
    <x v="16"/>
    <s v="4012.001"/>
    <s v="Impôt capital ordinaire"/>
    <n v="0"/>
    <n v="561.95000000000005"/>
    <n v="4012"/>
  </r>
  <r>
    <x v="1"/>
    <x v="9"/>
    <x v="5"/>
    <x v="252"/>
    <x v="217"/>
    <x v="217"/>
    <s v="REVENUS"/>
    <x v="16"/>
    <s v="4012.007"/>
    <s v="Acompte sur capital"/>
    <n v="0"/>
    <n v="546.45000000000005"/>
    <n v="4012"/>
  </r>
  <r>
    <x v="1"/>
    <x v="9"/>
    <x v="5"/>
    <x v="252"/>
    <x v="217"/>
    <x v="217"/>
    <s v="REVENUS"/>
    <x v="6"/>
    <s v="4211.002"/>
    <s v="Intérêts de retard sur acomptes"/>
    <n v="0"/>
    <n v="5.28"/>
    <n v="4211"/>
  </r>
  <r>
    <x v="1"/>
    <x v="9"/>
    <x v="5"/>
    <x v="252"/>
    <x v="217"/>
    <x v="217"/>
    <s v="REVENUS"/>
    <x v="17"/>
    <s v="4011.001"/>
    <s v="Impôt bénéfice ordinaire"/>
    <n v="0"/>
    <n v="10016.200000000001"/>
    <n v="4011"/>
  </r>
  <r>
    <x v="1"/>
    <x v="9"/>
    <x v="5"/>
    <x v="252"/>
    <x v="217"/>
    <x v="217"/>
    <s v="REVENUS"/>
    <x v="17"/>
    <s v="4011.002"/>
    <s v="Complément impôt bénéfice ordinaire"/>
    <n v="0"/>
    <n v="1913.8"/>
    <n v="4011"/>
  </r>
  <r>
    <x v="1"/>
    <x v="9"/>
    <x v="5"/>
    <x v="252"/>
    <x v="217"/>
    <x v="217"/>
    <s v="REVENUS"/>
    <x v="6"/>
    <s v="4221.001"/>
    <s v="Intérêts compensat. / créances en faveur du fisc"/>
    <n v="0"/>
    <n v="2.82"/>
    <n v="4221"/>
  </r>
  <r>
    <x v="1"/>
    <x v="9"/>
    <x v="5"/>
    <x v="252"/>
    <x v="217"/>
    <x v="217"/>
    <s v="REVENUS"/>
    <x v="6"/>
    <s v="4211.001"/>
    <s v="Intérêts de retard sur factures"/>
    <n v="0"/>
    <n v="72.72"/>
    <n v="4211"/>
  </r>
  <r>
    <x v="1"/>
    <x v="9"/>
    <x v="5"/>
    <x v="252"/>
    <x v="217"/>
    <x v="217"/>
    <s v="REVENUS"/>
    <x v="18"/>
    <s v="4013.001"/>
    <s v="Impôt complémentaire sur immeubles"/>
    <n v="0"/>
    <n v="2533.1"/>
    <n v="4013"/>
  </r>
  <r>
    <x v="1"/>
    <x v="9"/>
    <x v="5"/>
    <x v="252"/>
    <x v="217"/>
    <x v="217"/>
    <s v="REVENUS"/>
    <x v="11"/>
    <s v="4198.001"/>
    <s v="Impôt foncier"/>
    <n v="0"/>
    <n v="6607.65"/>
    <n v="4198"/>
  </r>
  <r>
    <x v="1"/>
    <x v="9"/>
    <x v="5"/>
    <x v="252"/>
    <x v="217"/>
    <x v="217"/>
    <s v="REVENUS"/>
    <x v="7"/>
    <s v="4184.000"/>
    <s v="Frais de poursuite"/>
    <n v="0"/>
    <n v="25.01"/>
    <n v="4184"/>
  </r>
  <r>
    <x v="1"/>
    <x v="9"/>
    <x v="5"/>
    <x v="253"/>
    <x v="218"/>
    <x v="218"/>
    <s v="CHARGES"/>
    <x v="0"/>
    <s v="3212.004"/>
    <s v="Intérêts rémun./perçu trop tôt sur acomptes C/C"/>
    <n v="98.23"/>
    <n v="0"/>
    <n v="3212"/>
  </r>
  <r>
    <x v="1"/>
    <x v="9"/>
    <x v="5"/>
    <x v="253"/>
    <x v="218"/>
    <x v="218"/>
    <s v="CHARGES"/>
    <x v="0"/>
    <s v="3212.002"/>
    <s v="Intérêts bonifiés/trop perçu acompte C/C"/>
    <n v="0.04"/>
    <n v="0"/>
    <n v="3212"/>
  </r>
  <r>
    <x v="1"/>
    <x v="9"/>
    <x v="5"/>
    <x v="253"/>
    <x v="218"/>
    <x v="218"/>
    <s v="CHARGES"/>
    <x v="0"/>
    <s v="3221.002"/>
    <s v="Intérêts compensatoires / créances en faveur ctb."/>
    <n v="37.729999999999997"/>
    <n v="0"/>
    <n v="3221"/>
  </r>
  <r>
    <x v="1"/>
    <x v="9"/>
    <x v="5"/>
    <x v="253"/>
    <x v="218"/>
    <x v="218"/>
    <s v="CHARGES"/>
    <x v="1"/>
    <s v="3301.006"/>
    <s v="Abandon de solde PM"/>
    <n v="6.43"/>
    <n v="0"/>
    <n v="3301"/>
  </r>
  <r>
    <x v="1"/>
    <x v="9"/>
    <x v="5"/>
    <x v="253"/>
    <x v="218"/>
    <x v="218"/>
    <s v="REVENUS"/>
    <x v="16"/>
    <s v="4012.001"/>
    <s v="Impôt capital ordinaire"/>
    <n v="0"/>
    <n v="905.85"/>
    <n v="4012"/>
  </r>
  <r>
    <x v="1"/>
    <x v="9"/>
    <x v="5"/>
    <x v="253"/>
    <x v="218"/>
    <x v="218"/>
    <s v="REVENUS"/>
    <x v="16"/>
    <s v="4012.007"/>
    <s v="Acompte sur capital"/>
    <n v="0"/>
    <n v="-17.45"/>
    <n v="4012"/>
  </r>
  <r>
    <x v="1"/>
    <x v="9"/>
    <x v="5"/>
    <x v="253"/>
    <x v="218"/>
    <x v="218"/>
    <s v="REVENUS"/>
    <x v="6"/>
    <s v="4221.001"/>
    <s v="Intérêts compensat. / créances en faveur du fisc"/>
    <n v="0"/>
    <n v="0.39"/>
    <n v="4221"/>
  </r>
  <r>
    <x v="1"/>
    <x v="9"/>
    <x v="5"/>
    <x v="253"/>
    <x v="218"/>
    <x v="218"/>
    <s v="REVENUS"/>
    <x v="17"/>
    <s v="4011.001"/>
    <s v="Impôt bénéfice ordinaire"/>
    <n v="0"/>
    <n v="9172.0499999999993"/>
    <n v="4011"/>
  </r>
  <r>
    <x v="1"/>
    <x v="9"/>
    <x v="5"/>
    <x v="253"/>
    <x v="218"/>
    <x v="218"/>
    <s v="REVENUS"/>
    <x v="17"/>
    <s v="4011.002"/>
    <s v="Complément impôt bénéfice ordinaire"/>
    <n v="0"/>
    <n v="931"/>
    <n v="4011"/>
  </r>
  <r>
    <x v="1"/>
    <x v="9"/>
    <x v="5"/>
    <x v="253"/>
    <x v="218"/>
    <x v="218"/>
    <s v="REVENUS"/>
    <x v="17"/>
    <s v="4011.007"/>
    <s v="Acompte sur bénéfice"/>
    <n v="0"/>
    <n v="6368.7"/>
    <n v="4011"/>
  </r>
  <r>
    <x v="1"/>
    <x v="9"/>
    <x v="5"/>
    <x v="253"/>
    <x v="218"/>
    <x v="218"/>
    <s v="REVENUS"/>
    <x v="18"/>
    <s v="4013.001"/>
    <s v="Impôt complémentaire sur immeubles"/>
    <n v="0"/>
    <n v="0.1"/>
    <n v="4013"/>
  </r>
  <r>
    <x v="1"/>
    <x v="9"/>
    <x v="5"/>
    <x v="253"/>
    <x v="218"/>
    <x v="218"/>
    <s v="REVENUS"/>
    <x v="18"/>
    <s v="4013.002"/>
    <s v="Complément impôt complémentaire sur immeubles"/>
    <n v="0"/>
    <n v="68.8"/>
    <n v="4013"/>
  </r>
  <r>
    <x v="1"/>
    <x v="9"/>
    <x v="5"/>
    <x v="253"/>
    <x v="218"/>
    <x v="218"/>
    <s v="REVENUS"/>
    <x v="6"/>
    <s v="4211.002"/>
    <s v="Intérêts de retard sur acomptes"/>
    <n v="0"/>
    <n v="7.84"/>
    <n v="4211"/>
  </r>
  <r>
    <x v="1"/>
    <x v="9"/>
    <x v="5"/>
    <x v="253"/>
    <x v="218"/>
    <x v="218"/>
    <s v="REVENUS"/>
    <x v="6"/>
    <s v="4211.001"/>
    <s v="Intérêts de retard sur factures"/>
    <n v="0"/>
    <n v="3.35"/>
    <n v="4211"/>
  </r>
  <r>
    <x v="1"/>
    <x v="9"/>
    <x v="5"/>
    <x v="253"/>
    <x v="218"/>
    <x v="218"/>
    <s v="REVENUS"/>
    <x v="18"/>
    <s v="4013.003"/>
    <s v="Remboursement impôt complémentaire sur immeubles"/>
    <n v="0"/>
    <n v="-418.5"/>
    <n v="4013"/>
  </r>
  <r>
    <x v="1"/>
    <x v="9"/>
    <x v="5"/>
    <x v="253"/>
    <x v="218"/>
    <x v="218"/>
    <s v="REVENUS"/>
    <x v="7"/>
    <s v="4184.000"/>
    <s v="Frais de poursuite"/>
    <n v="0"/>
    <n v="62.08"/>
    <n v="4184"/>
  </r>
  <r>
    <x v="1"/>
    <x v="9"/>
    <x v="5"/>
    <x v="253"/>
    <x v="218"/>
    <x v="218"/>
    <s v="REVENUS"/>
    <x v="11"/>
    <s v="4198.001"/>
    <s v="Impôt foncier"/>
    <n v="0"/>
    <n v="15148.9"/>
    <n v="4198"/>
  </r>
  <r>
    <x v="1"/>
    <x v="9"/>
    <x v="5"/>
    <x v="254"/>
    <x v="219"/>
    <x v="219"/>
    <s v="CHARGES"/>
    <x v="0"/>
    <s v="3212.004"/>
    <s v="Intérêts rémun./perçu trop tôt sur acomptes C/C"/>
    <n v="243.79"/>
    <n v="0"/>
    <n v="3212"/>
  </r>
  <r>
    <x v="1"/>
    <x v="9"/>
    <x v="5"/>
    <x v="254"/>
    <x v="219"/>
    <x v="219"/>
    <s v="CHARGES"/>
    <x v="0"/>
    <s v="3221.002"/>
    <s v="Intérêts compensatoires / créances en faveur ctb."/>
    <n v="155.94"/>
    <n v="0"/>
    <n v="3221"/>
  </r>
  <r>
    <x v="1"/>
    <x v="9"/>
    <x v="5"/>
    <x v="254"/>
    <x v="219"/>
    <x v="219"/>
    <s v="CHARGES"/>
    <x v="1"/>
    <s v="3301.006"/>
    <s v="Abandon de solde PM"/>
    <n v="179.25"/>
    <n v="0"/>
    <n v="3301"/>
  </r>
  <r>
    <x v="1"/>
    <x v="9"/>
    <x v="5"/>
    <x v="254"/>
    <x v="219"/>
    <x v="219"/>
    <s v="CHARGES"/>
    <x v="0"/>
    <s v="3212.002"/>
    <s v="Intérêts bonifiés/trop perçu acompte C/C"/>
    <n v="5.75"/>
    <n v="0"/>
    <n v="3212"/>
  </r>
  <r>
    <x v="1"/>
    <x v="9"/>
    <x v="5"/>
    <x v="254"/>
    <x v="219"/>
    <x v="219"/>
    <s v="CHARGES"/>
    <x v="1"/>
    <s v="3301.002"/>
    <s v="Défalcation PM"/>
    <n v="9077.36"/>
    <n v="0"/>
    <n v="3301"/>
  </r>
  <r>
    <x v="1"/>
    <x v="9"/>
    <x v="5"/>
    <x v="254"/>
    <x v="219"/>
    <x v="219"/>
    <s v="CHARGES"/>
    <x v="1"/>
    <s v="3301.004"/>
    <s v="Remise PM"/>
    <n v="41250"/>
    <n v="0"/>
    <n v="3301"/>
  </r>
  <r>
    <x v="1"/>
    <x v="9"/>
    <x v="5"/>
    <x v="254"/>
    <x v="219"/>
    <x v="219"/>
    <s v="REVENUS"/>
    <x v="17"/>
    <s v="4011.001"/>
    <s v="Impôt bénéfice ordinaire"/>
    <n v="0"/>
    <n v="2337226.25"/>
    <n v="4011"/>
  </r>
  <r>
    <x v="1"/>
    <x v="9"/>
    <x v="5"/>
    <x v="254"/>
    <x v="219"/>
    <x v="219"/>
    <s v="REVENUS"/>
    <x v="17"/>
    <s v="4011.007"/>
    <s v="Acompte sur bénéfice"/>
    <n v="0"/>
    <n v="-1369379.5"/>
    <n v="4011"/>
  </r>
  <r>
    <x v="1"/>
    <x v="9"/>
    <x v="5"/>
    <x v="254"/>
    <x v="219"/>
    <x v="219"/>
    <s v="REVENUS"/>
    <x v="17"/>
    <s v="4011.002"/>
    <s v="Complément impôt bénéfice ordinaire"/>
    <n v="0"/>
    <n v="30679.65"/>
    <n v="4011"/>
  </r>
  <r>
    <x v="1"/>
    <x v="9"/>
    <x v="5"/>
    <x v="254"/>
    <x v="219"/>
    <x v="219"/>
    <s v="REVENUS"/>
    <x v="6"/>
    <s v="4211.001"/>
    <s v="Intérêts de retard sur factures"/>
    <n v="0"/>
    <n v="169.35"/>
    <n v="4211"/>
  </r>
  <r>
    <x v="1"/>
    <x v="9"/>
    <x v="5"/>
    <x v="254"/>
    <x v="219"/>
    <x v="219"/>
    <s v="REVENUS"/>
    <x v="6"/>
    <s v="4221.001"/>
    <s v="Intérêts compensat. / créances en faveur du fisc"/>
    <n v="0"/>
    <n v="110.24"/>
    <n v="4221"/>
  </r>
  <r>
    <x v="1"/>
    <x v="9"/>
    <x v="5"/>
    <x v="254"/>
    <x v="219"/>
    <x v="219"/>
    <s v="REVENUS"/>
    <x v="16"/>
    <s v="4012.007"/>
    <s v="Acompte sur capital"/>
    <n v="0"/>
    <n v="18860.599999999999"/>
    <n v="4012"/>
  </r>
  <r>
    <x v="1"/>
    <x v="9"/>
    <x v="5"/>
    <x v="254"/>
    <x v="219"/>
    <x v="219"/>
    <s v="REVENUS"/>
    <x v="16"/>
    <s v="4012.001"/>
    <s v="Impôt capital ordinaire"/>
    <n v="0"/>
    <n v="41321.050000000003"/>
    <n v="4012"/>
  </r>
  <r>
    <x v="1"/>
    <x v="9"/>
    <x v="5"/>
    <x v="254"/>
    <x v="219"/>
    <x v="219"/>
    <s v="REVENUS"/>
    <x v="18"/>
    <s v="4013.001"/>
    <s v="Impôt complémentaire sur immeubles"/>
    <n v="0"/>
    <n v="176022.6"/>
    <n v="4013"/>
  </r>
  <r>
    <x v="1"/>
    <x v="9"/>
    <x v="5"/>
    <x v="254"/>
    <x v="219"/>
    <x v="219"/>
    <s v="REVENUS"/>
    <x v="18"/>
    <s v="4013.002"/>
    <s v="Complément impôt complémentaire sur immeubles"/>
    <n v="0"/>
    <n v="308.5"/>
    <n v="4013"/>
  </r>
  <r>
    <x v="1"/>
    <x v="9"/>
    <x v="5"/>
    <x v="254"/>
    <x v="219"/>
    <x v="219"/>
    <s v="REVENUS"/>
    <x v="6"/>
    <s v="4211.002"/>
    <s v="Intérêts de retard sur acomptes"/>
    <n v="0"/>
    <n v="2692.93"/>
    <n v="4211"/>
  </r>
  <r>
    <x v="1"/>
    <x v="9"/>
    <x v="5"/>
    <x v="254"/>
    <x v="219"/>
    <x v="219"/>
    <s v="REVENUS"/>
    <x v="10"/>
    <s v="4041.001"/>
    <s v="Droits de mutation"/>
    <n v="0"/>
    <n v="449707.95"/>
    <n v="4041"/>
  </r>
  <r>
    <x v="1"/>
    <x v="9"/>
    <x v="5"/>
    <x v="254"/>
    <x v="219"/>
    <x v="219"/>
    <s v="REVENUS"/>
    <x v="7"/>
    <s v="4184.000"/>
    <s v="Frais de poursuite"/>
    <n v="0"/>
    <n v="362.65"/>
    <n v="4184"/>
  </r>
  <r>
    <x v="1"/>
    <x v="9"/>
    <x v="5"/>
    <x v="254"/>
    <x v="219"/>
    <x v="219"/>
    <s v="REVENUS"/>
    <x v="18"/>
    <s v="4013.003"/>
    <s v="Remboursement impôt complémentaire sur immeubles"/>
    <n v="0"/>
    <n v="-5001.8"/>
    <n v="4013"/>
  </r>
  <r>
    <x v="1"/>
    <x v="9"/>
    <x v="5"/>
    <x v="254"/>
    <x v="219"/>
    <x v="219"/>
    <s v="REVENUS"/>
    <x v="8"/>
    <s v="4091.001"/>
    <s v="Impôt récupéré après défalcations"/>
    <n v="0"/>
    <n v="110.56"/>
    <n v="4091"/>
  </r>
  <r>
    <x v="1"/>
    <x v="9"/>
    <x v="5"/>
    <x v="255"/>
    <x v="220"/>
    <x v="220"/>
    <s v="CHARGES"/>
    <x v="0"/>
    <s v="3221.002"/>
    <s v="Intérêts compensatoires / créances en faveur ctb."/>
    <n v="18.2"/>
    <n v="0"/>
    <n v="3221"/>
  </r>
  <r>
    <x v="1"/>
    <x v="9"/>
    <x v="5"/>
    <x v="255"/>
    <x v="220"/>
    <x v="220"/>
    <s v="CHARGES"/>
    <x v="1"/>
    <s v="3301.006"/>
    <s v="Abandon de solde PM"/>
    <n v="5.5"/>
    <n v="0"/>
    <n v="3301"/>
  </r>
  <r>
    <x v="1"/>
    <x v="9"/>
    <x v="5"/>
    <x v="255"/>
    <x v="220"/>
    <x v="220"/>
    <s v="CHARGES"/>
    <x v="0"/>
    <s v="3212.004"/>
    <s v="Intérêts rémun./perçu trop tôt sur acomptes C/C"/>
    <n v="23.96"/>
    <n v="0"/>
    <n v="3212"/>
  </r>
  <r>
    <x v="1"/>
    <x v="9"/>
    <x v="5"/>
    <x v="255"/>
    <x v="220"/>
    <x v="220"/>
    <s v="REVENUS"/>
    <x v="17"/>
    <s v="4011.007"/>
    <s v="Acompte sur bénéfice"/>
    <n v="0"/>
    <n v="182.2"/>
    <n v="4011"/>
  </r>
  <r>
    <x v="1"/>
    <x v="9"/>
    <x v="5"/>
    <x v="255"/>
    <x v="220"/>
    <x v="220"/>
    <s v="REVENUS"/>
    <x v="16"/>
    <s v="4012.007"/>
    <s v="Acompte sur capital"/>
    <n v="0"/>
    <n v="452.6"/>
    <n v="4012"/>
  </r>
  <r>
    <x v="1"/>
    <x v="9"/>
    <x v="5"/>
    <x v="255"/>
    <x v="220"/>
    <x v="220"/>
    <s v="REVENUS"/>
    <x v="17"/>
    <s v="4011.001"/>
    <s v="Impôt bénéfice ordinaire"/>
    <n v="0"/>
    <n v="5062.55"/>
    <n v="4011"/>
  </r>
  <r>
    <x v="1"/>
    <x v="9"/>
    <x v="5"/>
    <x v="255"/>
    <x v="220"/>
    <x v="220"/>
    <s v="REVENUS"/>
    <x v="17"/>
    <s v="4011.002"/>
    <s v="Complément impôt bénéfice ordinaire"/>
    <n v="0"/>
    <n v="64.599999999999994"/>
    <n v="4011"/>
  </r>
  <r>
    <x v="1"/>
    <x v="9"/>
    <x v="5"/>
    <x v="255"/>
    <x v="220"/>
    <x v="220"/>
    <s v="REVENUS"/>
    <x v="6"/>
    <s v="4211.002"/>
    <s v="Intérêts de retard sur acomptes"/>
    <n v="0"/>
    <n v="61.07"/>
    <n v="4211"/>
  </r>
  <r>
    <x v="1"/>
    <x v="9"/>
    <x v="5"/>
    <x v="255"/>
    <x v="220"/>
    <x v="220"/>
    <s v="REVENUS"/>
    <x v="16"/>
    <s v="4012.001"/>
    <s v="Impôt capital ordinaire"/>
    <n v="0"/>
    <n v="512.95000000000005"/>
    <n v="4012"/>
  </r>
  <r>
    <x v="1"/>
    <x v="9"/>
    <x v="5"/>
    <x v="255"/>
    <x v="220"/>
    <x v="220"/>
    <s v="REVENUS"/>
    <x v="11"/>
    <s v="4198.001"/>
    <s v="Impôt foncier"/>
    <n v="0"/>
    <n v="1582.2"/>
    <n v="4198"/>
  </r>
  <r>
    <x v="1"/>
    <x v="9"/>
    <x v="5"/>
    <x v="256"/>
    <x v="221"/>
    <x v="221"/>
    <s v="CHARGES"/>
    <x v="0"/>
    <s v="3212.002"/>
    <s v="Intérêts bonifiés/trop perçu acompte C/C"/>
    <n v="0.02"/>
    <n v="0"/>
    <n v="3212"/>
  </r>
  <r>
    <x v="1"/>
    <x v="9"/>
    <x v="5"/>
    <x v="256"/>
    <x v="221"/>
    <x v="221"/>
    <s v="CHARGES"/>
    <x v="0"/>
    <s v="3212.004"/>
    <s v="Intérêts rémun./perçu trop tôt sur acomptes C/C"/>
    <n v="0.95"/>
    <n v="0"/>
    <n v="3212"/>
  </r>
  <r>
    <x v="1"/>
    <x v="9"/>
    <x v="5"/>
    <x v="256"/>
    <x v="221"/>
    <x v="221"/>
    <s v="CHARGES"/>
    <x v="0"/>
    <s v="3221.002"/>
    <s v="Intérêts compensatoires / créances en faveur ctb."/>
    <n v="1.51"/>
    <n v="0"/>
    <n v="3221"/>
  </r>
  <r>
    <x v="1"/>
    <x v="9"/>
    <x v="5"/>
    <x v="256"/>
    <x v="221"/>
    <x v="221"/>
    <s v="CHARGES"/>
    <x v="1"/>
    <s v="3301.006"/>
    <s v="Abandon de solde PM"/>
    <n v="3.7"/>
    <n v="0"/>
    <n v="3301"/>
  </r>
  <r>
    <x v="1"/>
    <x v="9"/>
    <x v="5"/>
    <x v="256"/>
    <x v="221"/>
    <x v="221"/>
    <s v="REVENUS"/>
    <x v="17"/>
    <s v="4011.001"/>
    <s v="Impôt bénéfice ordinaire"/>
    <n v="0"/>
    <n v="1398.4"/>
    <n v="4011"/>
  </r>
  <r>
    <x v="1"/>
    <x v="9"/>
    <x v="5"/>
    <x v="256"/>
    <x v="221"/>
    <x v="221"/>
    <s v="REVENUS"/>
    <x v="17"/>
    <s v="4011.002"/>
    <s v="Complément impôt bénéfice ordinaire"/>
    <n v="0"/>
    <n v="492.6"/>
    <n v="4011"/>
  </r>
  <r>
    <x v="1"/>
    <x v="9"/>
    <x v="5"/>
    <x v="256"/>
    <x v="221"/>
    <x v="221"/>
    <s v="REVENUS"/>
    <x v="17"/>
    <s v="4011.007"/>
    <s v="Acompte sur bénéfice"/>
    <n v="0"/>
    <n v="-1187.8499999999999"/>
    <n v="4011"/>
  </r>
  <r>
    <x v="1"/>
    <x v="9"/>
    <x v="5"/>
    <x v="256"/>
    <x v="221"/>
    <x v="221"/>
    <s v="REVENUS"/>
    <x v="16"/>
    <s v="4012.007"/>
    <s v="Acompte sur capital"/>
    <n v="0"/>
    <n v="62.65"/>
    <n v="4012"/>
  </r>
  <r>
    <x v="1"/>
    <x v="9"/>
    <x v="5"/>
    <x v="256"/>
    <x v="221"/>
    <x v="221"/>
    <s v="REVENUS"/>
    <x v="6"/>
    <s v="4211.002"/>
    <s v="Intérêts de retard sur acomptes"/>
    <n v="0"/>
    <n v="1.18"/>
    <n v="4211"/>
  </r>
  <r>
    <x v="1"/>
    <x v="9"/>
    <x v="5"/>
    <x v="256"/>
    <x v="221"/>
    <x v="221"/>
    <s v="REVENUS"/>
    <x v="16"/>
    <s v="4012.001"/>
    <s v="Impôt capital ordinaire"/>
    <n v="0"/>
    <n v="109.5"/>
    <n v="4012"/>
  </r>
  <r>
    <x v="1"/>
    <x v="9"/>
    <x v="5"/>
    <x v="256"/>
    <x v="221"/>
    <x v="221"/>
    <s v="REVENUS"/>
    <x v="6"/>
    <s v="4221.001"/>
    <s v="Intérêts compensat. / créances en faveur du fisc"/>
    <n v="0"/>
    <n v="0.03"/>
    <n v="4221"/>
  </r>
  <r>
    <x v="1"/>
    <x v="9"/>
    <x v="5"/>
    <x v="256"/>
    <x v="221"/>
    <x v="221"/>
    <s v="REVENUS"/>
    <x v="18"/>
    <s v="4013.001"/>
    <s v="Impôt complémentaire sur immeubles"/>
    <n v="0"/>
    <n v="242.95"/>
    <n v="4013"/>
  </r>
  <r>
    <x v="1"/>
    <x v="9"/>
    <x v="5"/>
    <x v="256"/>
    <x v="221"/>
    <x v="221"/>
    <s v="REVENUS"/>
    <x v="11"/>
    <s v="4198.001"/>
    <s v="Impôt foncier"/>
    <n v="0"/>
    <n v="568.79999999999995"/>
    <n v="4198"/>
  </r>
  <r>
    <x v="1"/>
    <x v="9"/>
    <x v="5"/>
    <x v="257"/>
    <x v="222"/>
    <x v="222"/>
    <s v="CHARGES"/>
    <x v="1"/>
    <s v="3301.006"/>
    <s v="Abandon de solde PM"/>
    <n v="17.010000000000002"/>
    <n v="0"/>
    <n v="3301"/>
  </r>
  <r>
    <x v="1"/>
    <x v="9"/>
    <x v="5"/>
    <x v="257"/>
    <x v="222"/>
    <x v="222"/>
    <s v="CHARGES"/>
    <x v="0"/>
    <s v="3212.002"/>
    <s v="Intérêts bonifiés/trop perçu acompte C/C"/>
    <n v="0.04"/>
    <n v="0"/>
    <n v="3212"/>
  </r>
  <r>
    <x v="1"/>
    <x v="9"/>
    <x v="5"/>
    <x v="257"/>
    <x v="222"/>
    <x v="222"/>
    <s v="CHARGES"/>
    <x v="0"/>
    <s v="3212.004"/>
    <s v="Intérêts rémun./perçu trop tôt sur acomptes C/C"/>
    <n v="4.63"/>
    <n v="0"/>
    <n v="3212"/>
  </r>
  <r>
    <x v="1"/>
    <x v="9"/>
    <x v="5"/>
    <x v="257"/>
    <x v="222"/>
    <x v="222"/>
    <s v="CHARGES"/>
    <x v="0"/>
    <s v="3221.002"/>
    <s v="Intérêts compensatoires / créances en faveur ctb."/>
    <n v="3.92"/>
    <n v="0"/>
    <n v="3221"/>
  </r>
  <r>
    <x v="1"/>
    <x v="9"/>
    <x v="5"/>
    <x v="257"/>
    <x v="222"/>
    <x v="222"/>
    <s v="REVENUS"/>
    <x v="6"/>
    <s v="4211.001"/>
    <s v="Intérêts de retard sur factures"/>
    <n v="0"/>
    <n v="0.9"/>
    <n v="4211"/>
  </r>
  <r>
    <x v="1"/>
    <x v="9"/>
    <x v="5"/>
    <x v="257"/>
    <x v="222"/>
    <x v="222"/>
    <s v="REVENUS"/>
    <x v="17"/>
    <s v="4011.001"/>
    <s v="Impôt bénéfice ordinaire"/>
    <n v="0"/>
    <n v="7145.05"/>
    <n v="4011"/>
  </r>
  <r>
    <x v="1"/>
    <x v="9"/>
    <x v="5"/>
    <x v="257"/>
    <x v="222"/>
    <x v="222"/>
    <s v="REVENUS"/>
    <x v="17"/>
    <s v="4011.002"/>
    <s v="Complément impôt bénéfice ordinaire"/>
    <n v="0"/>
    <n v="317.7"/>
    <n v="4011"/>
  </r>
  <r>
    <x v="1"/>
    <x v="9"/>
    <x v="5"/>
    <x v="257"/>
    <x v="222"/>
    <x v="222"/>
    <s v="REVENUS"/>
    <x v="17"/>
    <s v="4011.007"/>
    <s v="Acompte sur bénéfice"/>
    <n v="0"/>
    <n v="-6103"/>
    <n v="4011"/>
  </r>
  <r>
    <x v="1"/>
    <x v="9"/>
    <x v="5"/>
    <x v="257"/>
    <x v="222"/>
    <x v="222"/>
    <s v="REVENUS"/>
    <x v="6"/>
    <s v="4221.001"/>
    <s v="Intérêts compensat. / créances en faveur du fisc"/>
    <n v="0"/>
    <n v="1.47"/>
    <n v="4221"/>
  </r>
  <r>
    <x v="1"/>
    <x v="9"/>
    <x v="5"/>
    <x v="257"/>
    <x v="222"/>
    <x v="222"/>
    <s v="REVENUS"/>
    <x v="16"/>
    <s v="4012.001"/>
    <s v="Impôt capital ordinaire"/>
    <n v="0"/>
    <n v="1108.8499999999999"/>
    <n v="4012"/>
  </r>
  <r>
    <x v="1"/>
    <x v="9"/>
    <x v="5"/>
    <x v="257"/>
    <x v="222"/>
    <x v="222"/>
    <s v="REVENUS"/>
    <x v="16"/>
    <s v="4012.007"/>
    <s v="Acompte sur capital"/>
    <n v="0"/>
    <n v="378.5"/>
    <n v="4012"/>
  </r>
  <r>
    <x v="1"/>
    <x v="9"/>
    <x v="5"/>
    <x v="257"/>
    <x v="222"/>
    <x v="222"/>
    <s v="REVENUS"/>
    <x v="6"/>
    <s v="4211.002"/>
    <s v="Intérêts de retard sur acomptes"/>
    <n v="0"/>
    <n v="1.27"/>
    <n v="4211"/>
  </r>
  <r>
    <x v="1"/>
    <x v="9"/>
    <x v="5"/>
    <x v="257"/>
    <x v="222"/>
    <x v="222"/>
    <s v="REVENUS"/>
    <x v="11"/>
    <s v="4198.001"/>
    <s v="Impôt foncier"/>
    <n v="0"/>
    <n v="9702"/>
    <n v="4198"/>
  </r>
  <r>
    <x v="1"/>
    <x v="9"/>
    <x v="5"/>
    <x v="258"/>
    <x v="223"/>
    <x v="223"/>
    <s v="CHARGES"/>
    <x v="1"/>
    <s v="3301.006"/>
    <s v="Abandon de solde PM"/>
    <n v="22.22"/>
    <n v="0"/>
    <n v="3301"/>
  </r>
  <r>
    <x v="1"/>
    <x v="9"/>
    <x v="5"/>
    <x v="258"/>
    <x v="223"/>
    <x v="223"/>
    <s v="CHARGES"/>
    <x v="0"/>
    <s v="3212.004"/>
    <s v="Intérêts rémun./perçu trop tôt sur acomptes C/C"/>
    <n v="4.7"/>
    <n v="0"/>
    <n v="3212"/>
  </r>
  <r>
    <x v="1"/>
    <x v="9"/>
    <x v="5"/>
    <x v="258"/>
    <x v="223"/>
    <x v="223"/>
    <s v="CHARGES"/>
    <x v="0"/>
    <s v="3221.002"/>
    <s v="Intérêts compensatoires / créances en faveur ctb."/>
    <n v="8.42"/>
    <n v="0"/>
    <n v="3221"/>
  </r>
  <r>
    <x v="1"/>
    <x v="9"/>
    <x v="5"/>
    <x v="258"/>
    <x v="223"/>
    <x v="223"/>
    <s v="CHARGES"/>
    <x v="0"/>
    <s v="3212.002"/>
    <s v="Intérêts bonifiés/trop perçu acompte C/C"/>
    <n v="0.5"/>
    <n v="0"/>
    <n v="3212"/>
  </r>
  <r>
    <x v="1"/>
    <x v="9"/>
    <x v="5"/>
    <x v="258"/>
    <x v="223"/>
    <x v="223"/>
    <s v="REVENUS"/>
    <x v="18"/>
    <s v="4013.001"/>
    <s v="Impôt complémentaire sur immeubles"/>
    <n v="0"/>
    <n v="4682.05"/>
    <n v="4013"/>
  </r>
  <r>
    <x v="1"/>
    <x v="9"/>
    <x v="5"/>
    <x v="258"/>
    <x v="223"/>
    <x v="223"/>
    <s v="REVENUS"/>
    <x v="11"/>
    <s v="4198.001"/>
    <s v="Impôt foncier"/>
    <n v="0"/>
    <n v="15770.9"/>
    <n v="4198"/>
  </r>
  <r>
    <x v="1"/>
    <x v="9"/>
    <x v="5"/>
    <x v="258"/>
    <x v="223"/>
    <x v="223"/>
    <s v="REVENUS"/>
    <x v="6"/>
    <s v="4211.001"/>
    <s v="Intérêts de retard sur factures"/>
    <n v="0"/>
    <n v="22.92"/>
    <n v="4211"/>
  </r>
  <r>
    <x v="1"/>
    <x v="9"/>
    <x v="5"/>
    <x v="258"/>
    <x v="223"/>
    <x v="223"/>
    <s v="REVENUS"/>
    <x v="17"/>
    <s v="4011.001"/>
    <s v="Impôt bénéfice ordinaire"/>
    <n v="0"/>
    <n v="8544.2000000000007"/>
    <n v="4011"/>
  </r>
  <r>
    <x v="1"/>
    <x v="9"/>
    <x v="5"/>
    <x v="258"/>
    <x v="223"/>
    <x v="223"/>
    <s v="REVENUS"/>
    <x v="17"/>
    <s v="4011.007"/>
    <s v="Acompte sur bénéfice"/>
    <n v="0"/>
    <n v="-7559.6"/>
    <n v="4011"/>
  </r>
  <r>
    <x v="1"/>
    <x v="9"/>
    <x v="5"/>
    <x v="258"/>
    <x v="223"/>
    <x v="223"/>
    <s v="REVENUS"/>
    <x v="6"/>
    <s v="4211.002"/>
    <s v="Intérêts de retard sur acomptes"/>
    <n v="0"/>
    <n v="13.77"/>
    <n v="4211"/>
  </r>
  <r>
    <x v="1"/>
    <x v="9"/>
    <x v="5"/>
    <x v="258"/>
    <x v="223"/>
    <x v="223"/>
    <s v="REVENUS"/>
    <x v="16"/>
    <s v="4012.007"/>
    <s v="Acompte sur capital"/>
    <n v="0"/>
    <n v="169.55"/>
    <n v="4012"/>
  </r>
  <r>
    <x v="1"/>
    <x v="9"/>
    <x v="5"/>
    <x v="258"/>
    <x v="223"/>
    <x v="223"/>
    <s v="REVENUS"/>
    <x v="6"/>
    <s v="4221.001"/>
    <s v="Intérêts compensat. / créances en faveur du fisc"/>
    <n v="0"/>
    <n v="2.8"/>
    <n v="4221"/>
  </r>
  <r>
    <x v="1"/>
    <x v="9"/>
    <x v="5"/>
    <x v="258"/>
    <x v="223"/>
    <x v="223"/>
    <s v="REVENUS"/>
    <x v="16"/>
    <s v="4012.001"/>
    <s v="Impôt capital ordinaire"/>
    <n v="0"/>
    <n v="663.75"/>
    <n v="4012"/>
  </r>
  <r>
    <x v="1"/>
    <x v="9"/>
    <x v="5"/>
    <x v="258"/>
    <x v="223"/>
    <x v="223"/>
    <s v="REVENUS"/>
    <x v="10"/>
    <s v="4041.001"/>
    <s v="Droits de mutation"/>
    <n v="0"/>
    <n v="55357.3"/>
    <n v="4041"/>
  </r>
  <r>
    <x v="1"/>
    <x v="9"/>
    <x v="5"/>
    <x v="258"/>
    <x v="223"/>
    <x v="223"/>
    <s v="REVENUS"/>
    <x v="17"/>
    <s v="4011.002"/>
    <s v="Complément impôt bénéfice ordinaire"/>
    <n v="0"/>
    <n v="2757.4"/>
    <n v="4011"/>
  </r>
  <r>
    <x v="1"/>
    <x v="9"/>
    <x v="5"/>
    <x v="258"/>
    <x v="223"/>
    <x v="223"/>
    <s v="REVENUS"/>
    <x v="18"/>
    <s v="4013.002"/>
    <s v="Complément impôt complémentaire sur immeubles"/>
    <n v="0"/>
    <n v="170"/>
    <n v="4013"/>
  </r>
  <r>
    <x v="1"/>
    <x v="9"/>
    <x v="5"/>
    <x v="258"/>
    <x v="223"/>
    <x v="223"/>
    <s v="REVENUS"/>
    <x v="18"/>
    <s v="4013.003"/>
    <s v="Remboursement impôt complémentaire sur immeubles"/>
    <n v="0"/>
    <n v="-854.5"/>
    <n v="4013"/>
  </r>
  <r>
    <x v="1"/>
    <x v="9"/>
    <x v="5"/>
    <x v="259"/>
    <x v="224"/>
    <x v="224"/>
    <s v="CHARGES"/>
    <x v="1"/>
    <s v="3301.006"/>
    <s v="Abandon de solde PM"/>
    <n v="9.48"/>
    <n v="0"/>
    <n v="3301"/>
  </r>
  <r>
    <x v="1"/>
    <x v="9"/>
    <x v="5"/>
    <x v="259"/>
    <x v="224"/>
    <x v="224"/>
    <s v="CHARGES"/>
    <x v="0"/>
    <s v="3212.004"/>
    <s v="Intérêts rémun./perçu trop tôt sur acomptes C/C"/>
    <n v="3.51"/>
    <n v="0"/>
    <n v="3212"/>
  </r>
  <r>
    <x v="1"/>
    <x v="9"/>
    <x v="5"/>
    <x v="259"/>
    <x v="224"/>
    <x v="224"/>
    <s v="CHARGES"/>
    <x v="0"/>
    <s v="3221.002"/>
    <s v="Intérêts compensatoires / créances en faveur ctb."/>
    <n v="3.59"/>
    <n v="0"/>
    <n v="3221"/>
  </r>
  <r>
    <x v="1"/>
    <x v="9"/>
    <x v="5"/>
    <x v="259"/>
    <x v="224"/>
    <x v="224"/>
    <s v="CHARGES"/>
    <x v="1"/>
    <s v="3301.002"/>
    <s v="Défalcation PM"/>
    <n v="9.4"/>
    <n v="0"/>
    <n v="3301"/>
  </r>
  <r>
    <x v="1"/>
    <x v="9"/>
    <x v="5"/>
    <x v="259"/>
    <x v="224"/>
    <x v="224"/>
    <s v="REVENUS"/>
    <x v="6"/>
    <s v="4211.001"/>
    <s v="Intérêts de retard sur factures"/>
    <n v="0"/>
    <n v="0.28999999999999998"/>
    <n v="4211"/>
  </r>
  <r>
    <x v="1"/>
    <x v="9"/>
    <x v="5"/>
    <x v="259"/>
    <x v="224"/>
    <x v="224"/>
    <s v="REVENUS"/>
    <x v="17"/>
    <s v="4011.001"/>
    <s v="Impôt bénéfice ordinaire"/>
    <n v="0"/>
    <n v="15936.5"/>
    <n v="4011"/>
  </r>
  <r>
    <x v="1"/>
    <x v="9"/>
    <x v="5"/>
    <x v="259"/>
    <x v="224"/>
    <x v="224"/>
    <s v="REVENUS"/>
    <x v="17"/>
    <s v="4011.007"/>
    <s v="Acompte sur bénéfice"/>
    <n v="0"/>
    <n v="-12290.6"/>
    <n v="4011"/>
  </r>
  <r>
    <x v="1"/>
    <x v="9"/>
    <x v="5"/>
    <x v="259"/>
    <x v="224"/>
    <x v="224"/>
    <s v="REVENUS"/>
    <x v="6"/>
    <s v="4221.001"/>
    <s v="Intérêts compensat. / créances en faveur du fisc"/>
    <n v="0"/>
    <n v="3.39"/>
    <n v="4221"/>
  </r>
  <r>
    <x v="1"/>
    <x v="9"/>
    <x v="5"/>
    <x v="259"/>
    <x v="224"/>
    <x v="224"/>
    <s v="REVENUS"/>
    <x v="16"/>
    <s v="4012.007"/>
    <s v="Acompte sur capital"/>
    <n v="0"/>
    <n v="21.55"/>
    <n v="4012"/>
  </r>
  <r>
    <x v="1"/>
    <x v="9"/>
    <x v="5"/>
    <x v="259"/>
    <x v="224"/>
    <x v="224"/>
    <s v="REVENUS"/>
    <x v="6"/>
    <s v="4211.002"/>
    <s v="Intérêts de retard sur acomptes"/>
    <n v="0"/>
    <n v="1.75"/>
    <n v="4211"/>
  </r>
  <r>
    <x v="1"/>
    <x v="9"/>
    <x v="5"/>
    <x v="259"/>
    <x v="224"/>
    <x v="224"/>
    <s v="REVENUS"/>
    <x v="16"/>
    <s v="4012.001"/>
    <s v="Impôt capital ordinaire"/>
    <n v="0"/>
    <n v="99.25"/>
    <n v="4012"/>
  </r>
  <r>
    <x v="1"/>
    <x v="9"/>
    <x v="5"/>
    <x v="259"/>
    <x v="224"/>
    <x v="224"/>
    <s v="REVENUS"/>
    <x v="18"/>
    <s v="4013.001"/>
    <s v="Impôt complémentaire sur immeubles"/>
    <n v="0"/>
    <n v="75"/>
    <n v="4013"/>
  </r>
  <r>
    <x v="1"/>
    <x v="9"/>
    <x v="5"/>
    <x v="259"/>
    <x v="224"/>
    <x v="224"/>
    <s v="REVENUS"/>
    <x v="11"/>
    <s v="4198.001"/>
    <s v="Impôt foncier"/>
    <n v="0"/>
    <n v="873.8"/>
    <n v="4198"/>
  </r>
  <r>
    <x v="1"/>
    <x v="9"/>
    <x v="5"/>
    <x v="259"/>
    <x v="224"/>
    <x v="224"/>
    <s v="REVENUS"/>
    <x v="8"/>
    <s v="4091.001"/>
    <s v="Impôt récupéré après défalcations"/>
    <n v="0"/>
    <n v="9.4"/>
    <n v="4091"/>
  </r>
  <r>
    <x v="1"/>
    <x v="9"/>
    <x v="5"/>
    <x v="260"/>
    <x v="225"/>
    <x v="225"/>
    <s v="CHARGES"/>
    <x v="1"/>
    <s v="3301.006"/>
    <s v="Abandon de solde PM"/>
    <n v="35.18"/>
    <n v="0"/>
    <n v="3301"/>
  </r>
  <r>
    <x v="1"/>
    <x v="9"/>
    <x v="5"/>
    <x v="260"/>
    <x v="225"/>
    <x v="225"/>
    <s v="CHARGES"/>
    <x v="1"/>
    <s v="3301.002"/>
    <s v="Défalcation PM"/>
    <n v="418.76"/>
    <n v="0"/>
    <n v="3301"/>
  </r>
  <r>
    <x v="1"/>
    <x v="9"/>
    <x v="5"/>
    <x v="260"/>
    <x v="225"/>
    <x v="225"/>
    <s v="CHARGES"/>
    <x v="0"/>
    <s v="3212.004"/>
    <s v="Intérêts rémun./perçu trop tôt sur acomptes C/C"/>
    <n v="12.99"/>
    <n v="0"/>
    <n v="3212"/>
  </r>
  <r>
    <x v="1"/>
    <x v="9"/>
    <x v="5"/>
    <x v="260"/>
    <x v="225"/>
    <x v="225"/>
    <s v="CHARGES"/>
    <x v="0"/>
    <s v="3212.002"/>
    <s v="Intérêts bonifiés/trop perçu acompte C/C"/>
    <n v="0.04"/>
    <n v="0"/>
    <n v="3212"/>
  </r>
  <r>
    <x v="1"/>
    <x v="9"/>
    <x v="5"/>
    <x v="260"/>
    <x v="225"/>
    <x v="225"/>
    <s v="CHARGES"/>
    <x v="0"/>
    <s v="3221.002"/>
    <s v="Intérêts compensatoires / créances en faveur ctb."/>
    <n v="16.48"/>
    <n v="0"/>
    <n v="3221"/>
  </r>
  <r>
    <x v="1"/>
    <x v="9"/>
    <x v="5"/>
    <x v="260"/>
    <x v="225"/>
    <x v="225"/>
    <s v="REVENUS"/>
    <x v="6"/>
    <s v="4211.001"/>
    <s v="Intérêts de retard sur factures"/>
    <n v="0"/>
    <n v="46.33"/>
    <n v="4211"/>
  </r>
  <r>
    <x v="1"/>
    <x v="9"/>
    <x v="5"/>
    <x v="260"/>
    <x v="225"/>
    <x v="225"/>
    <s v="REVENUS"/>
    <x v="16"/>
    <s v="4012.001"/>
    <s v="Impôt capital ordinaire"/>
    <n v="0"/>
    <n v="351.95"/>
    <n v="4012"/>
  </r>
  <r>
    <x v="1"/>
    <x v="9"/>
    <x v="5"/>
    <x v="260"/>
    <x v="225"/>
    <x v="225"/>
    <s v="REVENUS"/>
    <x v="16"/>
    <s v="4012.007"/>
    <s v="Acompte sur capital"/>
    <n v="0"/>
    <n v="1058.4000000000001"/>
    <n v="4012"/>
  </r>
  <r>
    <x v="1"/>
    <x v="9"/>
    <x v="5"/>
    <x v="260"/>
    <x v="225"/>
    <x v="225"/>
    <s v="REVENUS"/>
    <x v="17"/>
    <s v="4011.001"/>
    <s v="Impôt bénéfice ordinaire"/>
    <n v="0"/>
    <n v="18183"/>
    <n v="4011"/>
  </r>
  <r>
    <x v="1"/>
    <x v="9"/>
    <x v="5"/>
    <x v="260"/>
    <x v="225"/>
    <x v="225"/>
    <s v="REVENUS"/>
    <x v="17"/>
    <s v="4011.002"/>
    <s v="Complément impôt bénéfice ordinaire"/>
    <n v="0"/>
    <n v="1061.6500000000001"/>
    <n v="4011"/>
  </r>
  <r>
    <x v="1"/>
    <x v="9"/>
    <x v="5"/>
    <x v="260"/>
    <x v="225"/>
    <x v="225"/>
    <s v="REVENUS"/>
    <x v="17"/>
    <s v="4011.007"/>
    <s v="Acompte sur bénéfice"/>
    <n v="0"/>
    <n v="-3508.7"/>
    <n v="4011"/>
  </r>
  <r>
    <x v="1"/>
    <x v="9"/>
    <x v="5"/>
    <x v="260"/>
    <x v="225"/>
    <x v="225"/>
    <s v="REVENUS"/>
    <x v="6"/>
    <s v="4211.002"/>
    <s v="Intérêts de retard sur acomptes"/>
    <n v="0"/>
    <n v="71.48"/>
    <n v="4211"/>
  </r>
  <r>
    <x v="1"/>
    <x v="9"/>
    <x v="5"/>
    <x v="260"/>
    <x v="225"/>
    <x v="225"/>
    <s v="REVENUS"/>
    <x v="6"/>
    <s v="4221.001"/>
    <s v="Intérêts compensat. / créances en faveur du fisc"/>
    <n v="0"/>
    <n v="10.25"/>
    <n v="4221"/>
  </r>
  <r>
    <x v="1"/>
    <x v="9"/>
    <x v="5"/>
    <x v="260"/>
    <x v="225"/>
    <x v="225"/>
    <s v="REVENUS"/>
    <x v="7"/>
    <s v="4184.000"/>
    <s v="Frais de poursuite"/>
    <n v="0"/>
    <n v="40.9"/>
    <n v="4184"/>
  </r>
  <r>
    <x v="1"/>
    <x v="9"/>
    <x v="5"/>
    <x v="260"/>
    <x v="225"/>
    <x v="225"/>
    <s v="REVENUS"/>
    <x v="10"/>
    <s v="4041.002"/>
    <s v="Complément droit de mutation"/>
    <n v="0"/>
    <n v="6321.45"/>
    <n v="4041"/>
  </r>
  <r>
    <x v="1"/>
    <x v="9"/>
    <x v="5"/>
    <x v="260"/>
    <x v="225"/>
    <x v="225"/>
    <s v="REVENUS"/>
    <x v="18"/>
    <s v="4013.001"/>
    <s v="Impôt complémentaire sur immeubles"/>
    <n v="0"/>
    <n v="3988.7"/>
    <n v="4013"/>
  </r>
  <r>
    <x v="1"/>
    <x v="9"/>
    <x v="5"/>
    <x v="260"/>
    <x v="225"/>
    <x v="225"/>
    <s v="REVENUS"/>
    <x v="11"/>
    <s v="4198.001"/>
    <s v="Impôt foncier"/>
    <n v="0"/>
    <n v="8563.2000000000007"/>
    <n v="4198"/>
  </r>
  <r>
    <x v="1"/>
    <x v="9"/>
    <x v="5"/>
    <x v="261"/>
    <x v="226"/>
    <x v="226"/>
    <s v="CHARGES"/>
    <x v="0"/>
    <s v="3212.004"/>
    <s v="Intérêts rémun./perçu trop tôt sur acomptes C/C"/>
    <n v="564.76"/>
    <n v="0"/>
    <n v="3212"/>
  </r>
  <r>
    <x v="1"/>
    <x v="9"/>
    <x v="5"/>
    <x v="261"/>
    <x v="226"/>
    <x v="226"/>
    <s v="CHARGES"/>
    <x v="0"/>
    <s v="3221.002"/>
    <s v="Intérêts compensatoires / créances en faveur ctb."/>
    <n v="140.57"/>
    <n v="0"/>
    <n v="3221"/>
  </r>
  <r>
    <x v="1"/>
    <x v="9"/>
    <x v="5"/>
    <x v="261"/>
    <x v="226"/>
    <x v="226"/>
    <s v="CHARGES"/>
    <x v="1"/>
    <s v="3301.006"/>
    <s v="Abandon de solde PM"/>
    <n v="88.07"/>
    <n v="0"/>
    <n v="3301"/>
  </r>
  <r>
    <x v="1"/>
    <x v="9"/>
    <x v="5"/>
    <x v="261"/>
    <x v="226"/>
    <x v="226"/>
    <s v="CHARGES"/>
    <x v="0"/>
    <s v="3212.002"/>
    <s v="Intérêts bonifiés/trop perçu acompte C/C"/>
    <n v="3.29"/>
    <n v="0"/>
    <n v="3212"/>
  </r>
  <r>
    <x v="1"/>
    <x v="9"/>
    <x v="5"/>
    <x v="261"/>
    <x v="226"/>
    <x v="226"/>
    <s v="CHARGES"/>
    <x v="1"/>
    <s v="3301.002"/>
    <s v="Défalcation PM"/>
    <n v="3979.37"/>
    <n v="0"/>
    <n v="3301"/>
  </r>
  <r>
    <x v="1"/>
    <x v="9"/>
    <x v="5"/>
    <x v="261"/>
    <x v="226"/>
    <x v="226"/>
    <s v="REVENUS"/>
    <x v="17"/>
    <s v="4011.001"/>
    <s v="Impôt bénéfice ordinaire"/>
    <n v="0"/>
    <n v="440650.3"/>
    <n v="4011"/>
  </r>
  <r>
    <x v="1"/>
    <x v="9"/>
    <x v="5"/>
    <x v="261"/>
    <x v="226"/>
    <x v="226"/>
    <s v="REVENUS"/>
    <x v="17"/>
    <s v="4011.007"/>
    <s v="Acompte sur bénéfice"/>
    <n v="0"/>
    <n v="-166420.70000000001"/>
    <n v="4011"/>
  </r>
  <r>
    <x v="1"/>
    <x v="9"/>
    <x v="5"/>
    <x v="261"/>
    <x v="226"/>
    <x v="226"/>
    <s v="REVENUS"/>
    <x v="16"/>
    <s v="4012.001"/>
    <s v="Impôt capital ordinaire"/>
    <n v="0"/>
    <n v="14913"/>
    <n v="4012"/>
  </r>
  <r>
    <x v="1"/>
    <x v="9"/>
    <x v="5"/>
    <x v="261"/>
    <x v="226"/>
    <x v="226"/>
    <s v="REVENUS"/>
    <x v="16"/>
    <s v="4012.007"/>
    <s v="Acompte sur capital"/>
    <n v="0"/>
    <n v="28925.25"/>
    <n v="4012"/>
  </r>
  <r>
    <x v="1"/>
    <x v="9"/>
    <x v="5"/>
    <x v="261"/>
    <x v="226"/>
    <x v="226"/>
    <s v="REVENUS"/>
    <x v="18"/>
    <s v="4013.001"/>
    <s v="Impôt complémentaire sur immeubles"/>
    <n v="0"/>
    <n v="40209.65"/>
    <n v="4013"/>
  </r>
  <r>
    <x v="1"/>
    <x v="9"/>
    <x v="5"/>
    <x v="261"/>
    <x v="226"/>
    <x v="226"/>
    <s v="REVENUS"/>
    <x v="6"/>
    <s v="4211.002"/>
    <s v="Intérêts de retard sur acomptes"/>
    <n v="0"/>
    <n v="921.9"/>
    <n v="4211"/>
  </r>
  <r>
    <x v="1"/>
    <x v="9"/>
    <x v="5"/>
    <x v="261"/>
    <x v="226"/>
    <x v="226"/>
    <s v="REVENUS"/>
    <x v="6"/>
    <s v="4211.001"/>
    <s v="Intérêts de retard sur factures"/>
    <n v="0"/>
    <n v="2007.03"/>
    <n v="4211"/>
  </r>
  <r>
    <x v="1"/>
    <x v="9"/>
    <x v="5"/>
    <x v="261"/>
    <x v="226"/>
    <x v="226"/>
    <s v="REVENUS"/>
    <x v="6"/>
    <s v="4221.001"/>
    <s v="Intérêts compensat. / créances en faveur du fisc"/>
    <n v="0"/>
    <n v="112.44"/>
    <n v="4221"/>
  </r>
  <r>
    <x v="1"/>
    <x v="9"/>
    <x v="5"/>
    <x v="261"/>
    <x v="226"/>
    <x v="226"/>
    <s v="REVENUS"/>
    <x v="10"/>
    <s v="4041.001"/>
    <s v="Droits de mutation"/>
    <n v="0"/>
    <n v="39843.699999999997"/>
    <n v="4041"/>
  </r>
  <r>
    <x v="1"/>
    <x v="9"/>
    <x v="5"/>
    <x v="261"/>
    <x v="226"/>
    <x v="226"/>
    <s v="REVENUS"/>
    <x v="17"/>
    <s v="4011.002"/>
    <s v="Complément impôt bénéfice ordinaire"/>
    <n v="0"/>
    <n v="15723"/>
    <n v="4011"/>
  </r>
  <r>
    <x v="1"/>
    <x v="9"/>
    <x v="5"/>
    <x v="261"/>
    <x v="226"/>
    <x v="226"/>
    <s v="REVENUS"/>
    <x v="7"/>
    <s v="4184.000"/>
    <s v="Frais de poursuite"/>
    <n v="0"/>
    <n v="188.57"/>
    <n v="4184"/>
  </r>
  <r>
    <x v="1"/>
    <x v="9"/>
    <x v="5"/>
    <x v="261"/>
    <x v="226"/>
    <x v="226"/>
    <s v="REVENUS"/>
    <x v="18"/>
    <s v="4013.002"/>
    <s v="Complément impôt complémentaire sur immeubles"/>
    <n v="0"/>
    <n v="917.5"/>
    <n v="4013"/>
  </r>
  <r>
    <x v="1"/>
    <x v="9"/>
    <x v="5"/>
    <x v="261"/>
    <x v="226"/>
    <x v="226"/>
    <s v="REVENUS"/>
    <x v="8"/>
    <s v="4091.001"/>
    <s v="Impôt récupéré après défalcations"/>
    <n v="0"/>
    <n v="3665.58"/>
    <n v="4091"/>
  </r>
  <r>
    <x v="1"/>
    <x v="9"/>
    <x v="5"/>
    <x v="261"/>
    <x v="226"/>
    <x v="226"/>
    <s v="REVENUS"/>
    <x v="18"/>
    <s v="4013.003"/>
    <s v="Remboursement impôt complémentaire sur immeubles"/>
    <n v="0"/>
    <n v="-531.54999999999995"/>
    <n v="4013"/>
  </r>
  <r>
    <x v="1"/>
    <x v="9"/>
    <x v="5"/>
    <x v="262"/>
    <x v="227"/>
    <x v="227"/>
    <s v="CHARGES"/>
    <x v="0"/>
    <s v="3212.004"/>
    <s v="Intérêts rémun./perçu trop tôt sur acomptes C/C"/>
    <n v="4.0999999999999996"/>
    <n v="0"/>
    <n v="3212"/>
  </r>
  <r>
    <x v="1"/>
    <x v="9"/>
    <x v="5"/>
    <x v="262"/>
    <x v="227"/>
    <x v="227"/>
    <s v="CHARGES"/>
    <x v="0"/>
    <s v="3221.002"/>
    <s v="Intérêts compensatoires / créances en faveur ctb."/>
    <n v="8.3000000000000007"/>
    <n v="0"/>
    <n v="3221"/>
  </r>
  <r>
    <x v="1"/>
    <x v="9"/>
    <x v="5"/>
    <x v="262"/>
    <x v="227"/>
    <x v="227"/>
    <s v="CHARGES"/>
    <x v="0"/>
    <s v="3212.002"/>
    <s v="Intérêts bonifiés/trop perçu acompte C/C"/>
    <n v="0.06"/>
    <n v="0"/>
    <n v="3212"/>
  </r>
  <r>
    <x v="1"/>
    <x v="9"/>
    <x v="5"/>
    <x v="262"/>
    <x v="227"/>
    <x v="227"/>
    <s v="CHARGES"/>
    <x v="1"/>
    <s v="3301.006"/>
    <s v="Abandon de solde PM"/>
    <n v="7.52"/>
    <n v="0"/>
    <n v="3301"/>
  </r>
  <r>
    <x v="1"/>
    <x v="9"/>
    <x v="5"/>
    <x v="262"/>
    <x v="227"/>
    <x v="227"/>
    <s v="CHARGES"/>
    <x v="1"/>
    <s v="3301.002"/>
    <s v="Défalcation PM"/>
    <n v="488.12"/>
    <n v="0"/>
    <n v="3301"/>
  </r>
  <r>
    <x v="1"/>
    <x v="9"/>
    <x v="5"/>
    <x v="262"/>
    <x v="227"/>
    <x v="227"/>
    <s v="REVENUS"/>
    <x v="17"/>
    <s v="4011.001"/>
    <s v="Impôt bénéfice ordinaire"/>
    <n v="0"/>
    <n v="6577"/>
    <n v="4011"/>
  </r>
  <r>
    <x v="1"/>
    <x v="9"/>
    <x v="5"/>
    <x v="262"/>
    <x v="227"/>
    <x v="227"/>
    <s v="REVENUS"/>
    <x v="17"/>
    <s v="4011.002"/>
    <s v="Complément impôt bénéfice ordinaire"/>
    <n v="0"/>
    <n v="1485.8"/>
    <n v="4011"/>
  </r>
  <r>
    <x v="1"/>
    <x v="9"/>
    <x v="5"/>
    <x v="262"/>
    <x v="227"/>
    <x v="227"/>
    <s v="REVENUS"/>
    <x v="17"/>
    <s v="4011.007"/>
    <s v="Acompte sur bénéfice"/>
    <n v="0"/>
    <n v="-7165.05"/>
    <n v="4011"/>
  </r>
  <r>
    <x v="1"/>
    <x v="9"/>
    <x v="5"/>
    <x v="262"/>
    <x v="227"/>
    <x v="227"/>
    <s v="REVENUS"/>
    <x v="6"/>
    <s v="4211.002"/>
    <s v="Intérêts de retard sur acomptes"/>
    <n v="0"/>
    <n v="103.92"/>
    <n v="4211"/>
  </r>
  <r>
    <x v="1"/>
    <x v="9"/>
    <x v="5"/>
    <x v="262"/>
    <x v="227"/>
    <x v="227"/>
    <s v="REVENUS"/>
    <x v="6"/>
    <s v="4221.001"/>
    <s v="Intérêts compensat. / créances en faveur du fisc"/>
    <n v="0"/>
    <n v="0.36"/>
    <n v="4221"/>
  </r>
  <r>
    <x v="1"/>
    <x v="9"/>
    <x v="5"/>
    <x v="262"/>
    <x v="227"/>
    <x v="227"/>
    <s v="REVENUS"/>
    <x v="16"/>
    <s v="4012.001"/>
    <s v="Impôt capital ordinaire"/>
    <n v="0"/>
    <n v="374.6"/>
    <n v="4012"/>
  </r>
  <r>
    <x v="1"/>
    <x v="9"/>
    <x v="5"/>
    <x v="262"/>
    <x v="227"/>
    <x v="227"/>
    <s v="REVENUS"/>
    <x v="16"/>
    <s v="4012.007"/>
    <s v="Acompte sur capital"/>
    <n v="0"/>
    <n v="595.54999999999995"/>
    <n v="4012"/>
  </r>
  <r>
    <x v="1"/>
    <x v="9"/>
    <x v="5"/>
    <x v="262"/>
    <x v="227"/>
    <x v="227"/>
    <s v="REVENUS"/>
    <x v="11"/>
    <s v="4198.001"/>
    <s v="Impôt foncier"/>
    <n v="0"/>
    <n v="3341"/>
    <n v="4198"/>
  </r>
  <r>
    <x v="1"/>
    <x v="9"/>
    <x v="5"/>
    <x v="262"/>
    <x v="227"/>
    <x v="227"/>
    <s v="REVENUS"/>
    <x v="7"/>
    <s v="4184.000"/>
    <s v="Frais de poursuite"/>
    <n v="0"/>
    <n v="84.6"/>
    <n v="4184"/>
  </r>
  <r>
    <x v="1"/>
    <x v="9"/>
    <x v="5"/>
    <x v="262"/>
    <x v="227"/>
    <x v="227"/>
    <s v="REVENUS"/>
    <x v="6"/>
    <s v="4211.001"/>
    <s v="Intérêts de retard sur factures"/>
    <n v="0"/>
    <n v="13.9"/>
    <n v="4211"/>
  </r>
  <r>
    <x v="1"/>
    <x v="9"/>
    <x v="5"/>
    <x v="263"/>
    <x v="228"/>
    <x v="228"/>
    <s v="CHARGES"/>
    <x v="1"/>
    <s v="3301.006"/>
    <s v="Abandon de solde PM"/>
    <n v="31.34"/>
    <n v="0"/>
    <n v="3301"/>
  </r>
  <r>
    <x v="1"/>
    <x v="9"/>
    <x v="5"/>
    <x v="263"/>
    <x v="228"/>
    <x v="228"/>
    <s v="CHARGES"/>
    <x v="0"/>
    <s v="3212.004"/>
    <s v="Intérêts rémun./perçu trop tôt sur acomptes C/C"/>
    <n v="20.52"/>
    <n v="0"/>
    <n v="3212"/>
  </r>
  <r>
    <x v="1"/>
    <x v="9"/>
    <x v="5"/>
    <x v="263"/>
    <x v="228"/>
    <x v="228"/>
    <s v="CHARGES"/>
    <x v="0"/>
    <s v="3221.002"/>
    <s v="Intérêts compensatoires / créances en faveur ctb."/>
    <n v="16.260000000000002"/>
    <n v="0"/>
    <n v="3221"/>
  </r>
  <r>
    <x v="1"/>
    <x v="9"/>
    <x v="5"/>
    <x v="263"/>
    <x v="228"/>
    <x v="228"/>
    <s v="CHARGES"/>
    <x v="0"/>
    <s v="3212.002"/>
    <s v="Intérêts bonifiés/trop perçu acompte C/C"/>
    <n v="0.06"/>
    <n v="0"/>
    <n v="3212"/>
  </r>
  <r>
    <x v="1"/>
    <x v="9"/>
    <x v="5"/>
    <x v="263"/>
    <x v="228"/>
    <x v="228"/>
    <s v="REVENUS"/>
    <x v="6"/>
    <s v="4211.001"/>
    <s v="Intérêts de retard sur factures"/>
    <n v="0"/>
    <n v="60.64"/>
    <n v="4211"/>
  </r>
  <r>
    <x v="1"/>
    <x v="9"/>
    <x v="5"/>
    <x v="263"/>
    <x v="228"/>
    <x v="228"/>
    <s v="REVENUS"/>
    <x v="17"/>
    <s v="4011.001"/>
    <s v="Impôt bénéfice ordinaire"/>
    <n v="0"/>
    <n v="20793.75"/>
    <n v="4011"/>
  </r>
  <r>
    <x v="1"/>
    <x v="9"/>
    <x v="5"/>
    <x v="263"/>
    <x v="228"/>
    <x v="228"/>
    <s v="REVENUS"/>
    <x v="17"/>
    <s v="4011.007"/>
    <s v="Acompte sur bénéfice"/>
    <n v="0"/>
    <n v="-13912.15"/>
    <n v="4011"/>
  </r>
  <r>
    <x v="1"/>
    <x v="9"/>
    <x v="5"/>
    <x v="263"/>
    <x v="228"/>
    <x v="228"/>
    <s v="REVENUS"/>
    <x v="6"/>
    <s v="4211.002"/>
    <s v="Intérêts de retard sur acomptes"/>
    <n v="0"/>
    <n v="48.7"/>
    <n v="4211"/>
  </r>
  <r>
    <x v="1"/>
    <x v="9"/>
    <x v="5"/>
    <x v="263"/>
    <x v="228"/>
    <x v="228"/>
    <s v="REVENUS"/>
    <x v="17"/>
    <s v="4011.002"/>
    <s v="Complément impôt bénéfice ordinaire"/>
    <n v="0"/>
    <n v="2530.9"/>
    <n v="4011"/>
  </r>
  <r>
    <x v="1"/>
    <x v="9"/>
    <x v="5"/>
    <x v="263"/>
    <x v="228"/>
    <x v="228"/>
    <s v="REVENUS"/>
    <x v="16"/>
    <s v="4012.001"/>
    <s v="Impôt capital ordinaire"/>
    <n v="0"/>
    <n v="368.5"/>
    <n v="4012"/>
  </r>
  <r>
    <x v="1"/>
    <x v="9"/>
    <x v="5"/>
    <x v="263"/>
    <x v="228"/>
    <x v="228"/>
    <s v="REVENUS"/>
    <x v="16"/>
    <s v="4012.007"/>
    <s v="Acompte sur capital"/>
    <n v="0"/>
    <n v="1324.1"/>
    <n v="4012"/>
  </r>
  <r>
    <x v="1"/>
    <x v="9"/>
    <x v="5"/>
    <x v="263"/>
    <x v="228"/>
    <x v="228"/>
    <s v="REVENUS"/>
    <x v="6"/>
    <s v="4221.001"/>
    <s v="Intérêts compensat. / créances en faveur du fisc"/>
    <n v="0"/>
    <n v="15.6"/>
    <n v="4221"/>
  </r>
  <r>
    <x v="1"/>
    <x v="9"/>
    <x v="5"/>
    <x v="263"/>
    <x v="228"/>
    <x v="228"/>
    <s v="REVENUS"/>
    <x v="18"/>
    <s v="4013.003"/>
    <s v="Remboursement impôt complémentaire sur immeubles"/>
    <n v="0"/>
    <n v="-9750"/>
    <n v="4013"/>
  </r>
  <r>
    <x v="1"/>
    <x v="9"/>
    <x v="5"/>
    <x v="263"/>
    <x v="228"/>
    <x v="228"/>
    <s v="REVENUS"/>
    <x v="11"/>
    <s v="4198.001"/>
    <s v="Impôt foncier"/>
    <n v="0"/>
    <n v="6702.8"/>
    <n v="4198"/>
  </r>
  <r>
    <x v="1"/>
    <x v="9"/>
    <x v="5"/>
    <x v="263"/>
    <x v="228"/>
    <x v="228"/>
    <s v="REVENUS"/>
    <x v="18"/>
    <s v="4013.001"/>
    <s v="Impôt complémentaire sur immeubles"/>
    <n v="0"/>
    <n v="4358.1499999999996"/>
    <n v="4013"/>
  </r>
  <r>
    <x v="1"/>
    <x v="9"/>
    <x v="5"/>
    <x v="263"/>
    <x v="228"/>
    <x v="228"/>
    <s v="REVENUS"/>
    <x v="7"/>
    <s v="4184.000"/>
    <s v="Frais de poursuite"/>
    <n v="0"/>
    <n v="24.38"/>
    <n v="4184"/>
  </r>
  <r>
    <x v="1"/>
    <x v="9"/>
    <x v="5"/>
    <x v="263"/>
    <x v="228"/>
    <x v="228"/>
    <s v="REVENUS"/>
    <x v="10"/>
    <s v="4041.001"/>
    <s v="Droits de mutation"/>
    <n v="0"/>
    <n v="11000"/>
    <n v="4041"/>
  </r>
  <r>
    <x v="1"/>
    <x v="3"/>
    <x v="6"/>
    <x v="264"/>
    <x v="229"/>
    <x v="229"/>
    <s v="CHARGES"/>
    <x v="0"/>
    <s v="3212.002"/>
    <s v="Intérêts bonifiés/trop perçu acompte C/C"/>
    <n v="0.19"/>
    <n v="0"/>
    <n v="3212"/>
  </r>
  <r>
    <x v="1"/>
    <x v="3"/>
    <x v="6"/>
    <x v="264"/>
    <x v="229"/>
    <x v="229"/>
    <s v="CHARGES"/>
    <x v="0"/>
    <s v="3212.004"/>
    <s v="Intérêts rémun./perçu trop tôt sur acomptes C/C"/>
    <n v="5.28"/>
    <n v="0"/>
    <n v="3212"/>
  </r>
  <r>
    <x v="1"/>
    <x v="3"/>
    <x v="6"/>
    <x v="264"/>
    <x v="229"/>
    <x v="229"/>
    <s v="CHARGES"/>
    <x v="1"/>
    <s v="3301.002"/>
    <s v="Défalcation PM"/>
    <n v="2451.7800000000002"/>
    <n v="0"/>
    <n v="3301"/>
  </r>
  <r>
    <x v="1"/>
    <x v="3"/>
    <x v="6"/>
    <x v="264"/>
    <x v="229"/>
    <x v="229"/>
    <s v="CHARGES"/>
    <x v="0"/>
    <s v="3221.002"/>
    <s v="Intérêts compensatoires / créances en faveur ctb."/>
    <n v="22.73"/>
    <n v="0"/>
    <n v="3221"/>
  </r>
  <r>
    <x v="1"/>
    <x v="3"/>
    <x v="6"/>
    <x v="264"/>
    <x v="229"/>
    <x v="229"/>
    <s v="REVENUS"/>
    <x v="6"/>
    <s v="4211.001"/>
    <s v="Intérêts de retard sur factures"/>
    <n v="0"/>
    <n v="119.29"/>
    <n v="4211"/>
  </r>
  <r>
    <x v="1"/>
    <x v="3"/>
    <x v="6"/>
    <x v="264"/>
    <x v="229"/>
    <x v="229"/>
    <s v="REVENUS"/>
    <x v="17"/>
    <s v="4011.002"/>
    <s v="Complément impôt bénéfice ordinaire"/>
    <n v="0"/>
    <n v="4450"/>
    <n v="4011"/>
  </r>
  <r>
    <x v="1"/>
    <x v="3"/>
    <x v="6"/>
    <x v="264"/>
    <x v="229"/>
    <x v="229"/>
    <s v="REVENUS"/>
    <x v="17"/>
    <s v="4011.001"/>
    <s v="Impôt bénéfice ordinaire"/>
    <n v="0"/>
    <n v="4376.7"/>
    <n v="4011"/>
  </r>
  <r>
    <x v="1"/>
    <x v="3"/>
    <x v="6"/>
    <x v="264"/>
    <x v="229"/>
    <x v="229"/>
    <s v="REVENUS"/>
    <x v="6"/>
    <s v="4221.001"/>
    <s v="Intérêts compensat. / créances en faveur du fisc"/>
    <n v="0"/>
    <n v="0.02"/>
    <n v="4221"/>
  </r>
  <r>
    <x v="1"/>
    <x v="3"/>
    <x v="6"/>
    <x v="264"/>
    <x v="229"/>
    <x v="229"/>
    <s v="REVENUS"/>
    <x v="17"/>
    <s v="4011.007"/>
    <s v="Acompte sur bénéfice"/>
    <n v="0"/>
    <n v="-10441.200000000001"/>
    <n v="4011"/>
  </r>
  <r>
    <x v="1"/>
    <x v="3"/>
    <x v="6"/>
    <x v="264"/>
    <x v="229"/>
    <x v="229"/>
    <s v="REVENUS"/>
    <x v="7"/>
    <s v="4184.000"/>
    <s v="Frais de poursuite"/>
    <n v="0"/>
    <n v="49.59"/>
    <n v="4184"/>
  </r>
  <r>
    <x v="1"/>
    <x v="3"/>
    <x v="6"/>
    <x v="264"/>
    <x v="229"/>
    <x v="229"/>
    <s v="REVENUS"/>
    <x v="16"/>
    <s v="4012.001"/>
    <s v="Impôt capital ordinaire"/>
    <n v="0"/>
    <n v="154.19999999999999"/>
    <n v="4012"/>
  </r>
  <r>
    <x v="1"/>
    <x v="3"/>
    <x v="3"/>
    <x v="266"/>
    <x v="231"/>
    <x v="231"/>
    <s v="CHARGES"/>
    <x v="0"/>
    <s v="3212.002"/>
    <s v="Intérêts bonifiés/trop perçu acompte C/C"/>
    <n v="0.02"/>
    <n v="0"/>
    <n v="3212"/>
  </r>
  <r>
    <x v="1"/>
    <x v="3"/>
    <x v="3"/>
    <x v="266"/>
    <x v="231"/>
    <x v="231"/>
    <s v="CHARGES"/>
    <x v="0"/>
    <s v="3212.004"/>
    <s v="Intérêts rémun./perçu trop tôt sur acomptes C/C"/>
    <n v="6.08"/>
    <n v="0"/>
    <n v="3212"/>
  </r>
  <r>
    <x v="1"/>
    <x v="3"/>
    <x v="3"/>
    <x v="266"/>
    <x v="231"/>
    <x v="231"/>
    <s v="CHARGES"/>
    <x v="0"/>
    <s v="3221.002"/>
    <s v="Intérêts compensatoires / créances en faveur ctb."/>
    <n v="9.2799999999999994"/>
    <n v="0"/>
    <n v="3221"/>
  </r>
  <r>
    <x v="1"/>
    <x v="3"/>
    <x v="3"/>
    <x v="266"/>
    <x v="231"/>
    <x v="231"/>
    <s v="CHARGES"/>
    <x v="1"/>
    <s v="3301.006"/>
    <s v="Abandon de solde PM"/>
    <n v="4.78"/>
    <n v="0"/>
    <n v="3301"/>
  </r>
  <r>
    <x v="1"/>
    <x v="3"/>
    <x v="3"/>
    <x v="266"/>
    <x v="231"/>
    <x v="231"/>
    <s v="REVENUS"/>
    <x v="17"/>
    <s v="4011.002"/>
    <s v="Complément impôt bénéfice ordinaire"/>
    <n v="0"/>
    <n v="410"/>
    <n v="4011"/>
  </r>
  <r>
    <x v="1"/>
    <x v="3"/>
    <x v="3"/>
    <x v="266"/>
    <x v="231"/>
    <x v="231"/>
    <s v="REVENUS"/>
    <x v="17"/>
    <s v="4011.001"/>
    <s v="Impôt bénéfice ordinaire"/>
    <n v="0"/>
    <n v="13540"/>
    <n v="4011"/>
  </r>
  <r>
    <x v="1"/>
    <x v="3"/>
    <x v="3"/>
    <x v="266"/>
    <x v="231"/>
    <x v="231"/>
    <s v="REVENUS"/>
    <x v="17"/>
    <s v="4011.007"/>
    <s v="Acompte sur bénéfice"/>
    <n v="0"/>
    <n v="-11853.95"/>
    <n v="4011"/>
  </r>
  <r>
    <x v="1"/>
    <x v="3"/>
    <x v="3"/>
    <x v="266"/>
    <x v="231"/>
    <x v="231"/>
    <s v="REVENUS"/>
    <x v="10"/>
    <s v="4041.001"/>
    <s v="Droits de mutation"/>
    <n v="0"/>
    <n v="20970.95"/>
    <n v="4041"/>
  </r>
  <r>
    <x v="1"/>
    <x v="3"/>
    <x v="3"/>
    <x v="266"/>
    <x v="231"/>
    <x v="231"/>
    <s v="REVENUS"/>
    <x v="16"/>
    <s v="4012.001"/>
    <s v="Impôt capital ordinaire"/>
    <n v="0"/>
    <n v="136.15"/>
    <n v="4012"/>
  </r>
  <r>
    <x v="1"/>
    <x v="3"/>
    <x v="3"/>
    <x v="266"/>
    <x v="231"/>
    <x v="231"/>
    <s v="REVENUS"/>
    <x v="16"/>
    <s v="4012.007"/>
    <s v="Acompte sur capital"/>
    <n v="0"/>
    <n v="161.1"/>
    <n v="4012"/>
  </r>
  <r>
    <x v="1"/>
    <x v="3"/>
    <x v="3"/>
    <x v="266"/>
    <x v="231"/>
    <x v="231"/>
    <s v="REVENUS"/>
    <x v="6"/>
    <s v="4211.002"/>
    <s v="Intérêts de retard sur acomptes"/>
    <n v="0"/>
    <n v="3.81"/>
    <n v="4211"/>
  </r>
  <r>
    <x v="1"/>
    <x v="3"/>
    <x v="3"/>
    <x v="266"/>
    <x v="231"/>
    <x v="231"/>
    <s v="REVENUS"/>
    <x v="6"/>
    <s v="4221.001"/>
    <s v="Intérêts compensat. / créances en faveur du fisc"/>
    <n v="0"/>
    <n v="14.98"/>
    <n v="4221"/>
  </r>
  <r>
    <x v="1"/>
    <x v="3"/>
    <x v="3"/>
    <x v="266"/>
    <x v="231"/>
    <x v="231"/>
    <s v="REVENUS"/>
    <x v="18"/>
    <s v="4013.003"/>
    <s v="Remboursement impôt complémentaire sur immeubles"/>
    <n v="0"/>
    <n v="-148.5"/>
    <n v="4013"/>
  </r>
  <r>
    <x v="1"/>
    <x v="3"/>
    <x v="3"/>
    <x v="266"/>
    <x v="231"/>
    <x v="231"/>
    <s v="REVENUS"/>
    <x v="18"/>
    <s v="4013.001"/>
    <s v="Impôt complémentaire sur immeubles"/>
    <n v="0"/>
    <n v="1351.1"/>
    <n v="4013"/>
  </r>
  <r>
    <x v="1"/>
    <x v="7"/>
    <x v="6"/>
    <x v="267"/>
    <x v="232"/>
    <x v="232"/>
    <s v="CHARGES"/>
    <x v="0"/>
    <s v="3212.002"/>
    <s v="Intérêts bonifiés/trop perçu acompte C/C"/>
    <n v="0.05"/>
    <n v="0"/>
    <n v="3212"/>
  </r>
  <r>
    <x v="1"/>
    <x v="7"/>
    <x v="6"/>
    <x v="267"/>
    <x v="232"/>
    <x v="232"/>
    <s v="REVENUS"/>
    <x v="17"/>
    <s v="4011.001"/>
    <s v="Impôt bénéfice ordinaire"/>
    <n v="0"/>
    <n v="-1089.95"/>
    <n v="4011"/>
  </r>
  <r>
    <x v="1"/>
    <x v="7"/>
    <x v="6"/>
    <x v="267"/>
    <x v="232"/>
    <x v="232"/>
    <s v="REVENUS"/>
    <x v="17"/>
    <s v="4011.002"/>
    <s v="Complément impôt bénéfice ordinaire"/>
    <n v="0"/>
    <n v="1089.95"/>
    <n v="4011"/>
  </r>
  <r>
    <x v="1"/>
    <x v="7"/>
    <x v="6"/>
    <x v="268"/>
    <x v="230"/>
    <x v="230"/>
    <s v="CHARGES"/>
    <x v="0"/>
    <s v="3212.002"/>
    <s v="Intérêts bonifiés/trop perçu acompte C/C"/>
    <n v="0.01"/>
    <n v="0"/>
    <n v="3212"/>
  </r>
  <r>
    <x v="1"/>
    <x v="7"/>
    <x v="6"/>
    <x v="268"/>
    <x v="230"/>
    <x v="230"/>
    <s v="REVENUS"/>
    <x v="17"/>
    <s v="4011.001"/>
    <s v="Impôt bénéfice ordinaire"/>
    <n v="0"/>
    <n v="-266"/>
    <n v="4011"/>
  </r>
  <r>
    <x v="1"/>
    <x v="7"/>
    <x v="6"/>
    <x v="268"/>
    <x v="230"/>
    <x v="230"/>
    <s v="REVENUS"/>
    <x v="17"/>
    <s v="4011.002"/>
    <s v="Complément impôt bénéfice ordinaire"/>
    <n v="0"/>
    <n v="266"/>
    <n v="4011"/>
  </r>
  <r>
    <x v="1"/>
    <x v="7"/>
    <x v="6"/>
    <x v="269"/>
    <x v="233"/>
    <x v="233"/>
    <s v="CHARGES"/>
    <x v="0"/>
    <s v="3212.002"/>
    <s v="Intérêts bonifiés/trop perçu acompte C/C"/>
    <n v="0.33"/>
    <n v="0"/>
    <n v="3212"/>
  </r>
  <r>
    <x v="1"/>
    <x v="7"/>
    <x v="6"/>
    <x v="269"/>
    <x v="233"/>
    <x v="233"/>
    <s v="CHARGES"/>
    <x v="1"/>
    <s v="3301.006"/>
    <s v="Abandon de solde PM"/>
    <n v="17.64"/>
    <n v="0"/>
    <n v="3301"/>
  </r>
  <r>
    <x v="1"/>
    <x v="7"/>
    <x v="6"/>
    <x v="269"/>
    <x v="233"/>
    <x v="233"/>
    <s v="CHARGES"/>
    <x v="0"/>
    <s v="3212.004"/>
    <s v="Intérêts rémun./perçu trop tôt sur acomptes C/C"/>
    <n v="4.63"/>
    <n v="0"/>
    <n v="3212"/>
  </r>
  <r>
    <x v="1"/>
    <x v="7"/>
    <x v="6"/>
    <x v="269"/>
    <x v="233"/>
    <x v="233"/>
    <s v="CHARGES"/>
    <x v="0"/>
    <s v="3221.002"/>
    <s v="Intérêts compensatoires / créances en faveur ctb."/>
    <n v="3.79"/>
    <n v="0"/>
    <n v="3221"/>
  </r>
  <r>
    <x v="1"/>
    <x v="7"/>
    <x v="6"/>
    <x v="269"/>
    <x v="233"/>
    <x v="233"/>
    <s v="REVENUS"/>
    <x v="6"/>
    <s v="4211.001"/>
    <s v="Intérêts de retard sur factures"/>
    <n v="0"/>
    <n v="6.58"/>
    <n v="4211"/>
  </r>
  <r>
    <x v="1"/>
    <x v="7"/>
    <x v="6"/>
    <x v="269"/>
    <x v="233"/>
    <x v="233"/>
    <s v="REVENUS"/>
    <x v="17"/>
    <s v="4011.001"/>
    <s v="Impôt bénéfice ordinaire"/>
    <n v="0"/>
    <n v="11092.65"/>
    <n v="4011"/>
  </r>
  <r>
    <x v="1"/>
    <x v="7"/>
    <x v="6"/>
    <x v="269"/>
    <x v="233"/>
    <x v="233"/>
    <s v="REVENUS"/>
    <x v="17"/>
    <s v="4011.002"/>
    <s v="Complément impôt bénéfice ordinaire"/>
    <n v="0"/>
    <n v="309.3"/>
    <n v="4011"/>
  </r>
  <r>
    <x v="1"/>
    <x v="7"/>
    <x v="6"/>
    <x v="269"/>
    <x v="233"/>
    <x v="233"/>
    <s v="REVENUS"/>
    <x v="6"/>
    <s v="4221.001"/>
    <s v="Intérêts compensat. / créances en faveur du fisc"/>
    <n v="0"/>
    <n v="0.96"/>
    <n v="4221"/>
  </r>
  <r>
    <x v="1"/>
    <x v="7"/>
    <x v="6"/>
    <x v="269"/>
    <x v="233"/>
    <x v="233"/>
    <s v="REVENUS"/>
    <x v="16"/>
    <s v="4012.007"/>
    <s v="Acompte sur capital"/>
    <n v="0"/>
    <n v="366.2"/>
    <n v="4012"/>
  </r>
  <r>
    <x v="1"/>
    <x v="7"/>
    <x v="6"/>
    <x v="269"/>
    <x v="233"/>
    <x v="233"/>
    <s v="REVENUS"/>
    <x v="10"/>
    <s v="4041.001"/>
    <s v="Droits de mutation"/>
    <n v="0"/>
    <n v="22742.5"/>
    <n v="4041"/>
  </r>
  <r>
    <x v="1"/>
    <x v="7"/>
    <x v="6"/>
    <x v="269"/>
    <x v="233"/>
    <x v="233"/>
    <s v="REVENUS"/>
    <x v="16"/>
    <s v="4012.001"/>
    <s v="Impôt capital ordinaire"/>
    <n v="0"/>
    <n v="192.7"/>
    <n v="4012"/>
  </r>
  <r>
    <x v="1"/>
    <x v="7"/>
    <x v="6"/>
    <x v="269"/>
    <x v="233"/>
    <x v="233"/>
    <s v="REVENUS"/>
    <x v="17"/>
    <s v="4011.007"/>
    <s v="Acompte sur bénéfice"/>
    <n v="0"/>
    <n v="-9430.7000000000007"/>
    <n v="4011"/>
  </r>
  <r>
    <x v="1"/>
    <x v="7"/>
    <x v="6"/>
    <x v="269"/>
    <x v="233"/>
    <x v="233"/>
    <s v="REVENUS"/>
    <x v="6"/>
    <s v="4211.002"/>
    <s v="Intérêts de retard sur acomptes"/>
    <n v="0"/>
    <n v="36.97"/>
    <n v="4211"/>
  </r>
  <r>
    <x v="1"/>
    <x v="7"/>
    <x v="6"/>
    <x v="269"/>
    <x v="233"/>
    <x v="233"/>
    <s v="REVENUS"/>
    <x v="18"/>
    <s v="4013.001"/>
    <s v="Impôt complémentaire sur immeubles"/>
    <n v="0"/>
    <n v="4364"/>
    <n v="4013"/>
  </r>
  <r>
    <x v="1"/>
    <x v="7"/>
    <x v="6"/>
    <x v="270"/>
    <x v="229"/>
    <x v="229"/>
    <s v="CHARGES"/>
    <x v="0"/>
    <s v="3212.002"/>
    <s v="Intérêts bonifiés/trop perçu acompte C/C"/>
    <n v="0.01"/>
    <n v="0"/>
    <n v="3212"/>
  </r>
  <r>
    <x v="1"/>
    <x v="7"/>
    <x v="6"/>
    <x v="270"/>
    <x v="229"/>
    <x v="229"/>
    <s v="CHARGES"/>
    <x v="0"/>
    <s v="3212.004"/>
    <s v="Intérêts rémun./perçu trop tôt sur acomptes C/C"/>
    <n v="0.06"/>
    <n v="0"/>
    <n v="3212"/>
  </r>
  <r>
    <x v="1"/>
    <x v="7"/>
    <x v="6"/>
    <x v="270"/>
    <x v="229"/>
    <x v="229"/>
    <s v="CHARGES"/>
    <x v="0"/>
    <s v="3221.002"/>
    <s v="Intérêts compensatoires / créances en faveur ctb."/>
    <n v="0.26"/>
    <n v="0"/>
    <n v="3221"/>
  </r>
  <r>
    <x v="1"/>
    <x v="7"/>
    <x v="6"/>
    <x v="270"/>
    <x v="229"/>
    <x v="229"/>
    <s v="REVENUS"/>
    <x v="17"/>
    <s v="4011.001"/>
    <s v="Impôt bénéfice ordinaire"/>
    <n v="0"/>
    <n v="-93.55"/>
    <n v="4011"/>
  </r>
  <r>
    <x v="1"/>
    <x v="7"/>
    <x v="6"/>
    <x v="270"/>
    <x v="229"/>
    <x v="229"/>
    <s v="REVENUS"/>
    <x v="17"/>
    <s v="4011.002"/>
    <s v="Complément impôt bénéfice ordinaire"/>
    <n v="0"/>
    <n v="190.2"/>
    <n v="4011"/>
  </r>
  <r>
    <x v="1"/>
    <x v="7"/>
    <x v="6"/>
    <x v="270"/>
    <x v="229"/>
    <x v="229"/>
    <s v="REVENUS"/>
    <x v="17"/>
    <s v="4011.007"/>
    <s v="Acompte sur bénéfice"/>
    <n v="0"/>
    <n v="-555.9"/>
    <n v="4011"/>
  </r>
  <r>
    <x v="1"/>
    <x v="7"/>
    <x v="6"/>
    <x v="271"/>
    <x v="234"/>
    <x v="234"/>
    <s v="CHARGES"/>
    <x v="0"/>
    <s v="3212.004"/>
    <s v="Intérêts rémun./perçu trop tôt sur acomptes C/C"/>
    <n v="0.45"/>
    <n v="0"/>
    <n v="3212"/>
  </r>
  <r>
    <x v="1"/>
    <x v="7"/>
    <x v="6"/>
    <x v="271"/>
    <x v="234"/>
    <x v="234"/>
    <s v="CHARGES"/>
    <x v="0"/>
    <s v="3221.002"/>
    <s v="Intérêts compensatoires / créances en faveur ctb."/>
    <n v="2.4500000000000002"/>
    <n v="0"/>
    <n v="3221"/>
  </r>
  <r>
    <x v="1"/>
    <x v="7"/>
    <x v="6"/>
    <x v="271"/>
    <x v="234"/>
    <x v="234"/>
    <s v="CHARGES"/>
    <x v="1"/>
    <s v="3301.006"/>
    <s v="Abandon de solde PM"/>
    <n v="3.42"/>
    <n v="0"/>
    <n v="3301"/>
  </r>
  <r>
    <x v="1"/>
    <x v="7"/>
    <x v="6"/>
    <x v="271"/>
    <x v="234"/>
    <x v="234"/>
    <s v="CHARGES"/>
    <x v="0"/>
    <s v="3212.002"/>
    <s v="Intérêts bonifiés/trop perçu acompte C/C"/>
    <n v="0.02"/>
    <n v="0"/>
    <n v="3212"/>
  </r>
  <r>
    <x v="1"/>
    <x v="7"/>
    <x v="6"/>
    <x v="271"/>
    <x v="234"/>
    <x v="234"/>
    <s v="REVENUS"/>
    <x v="17"/>
    <s v="4011.007"/>
    <s v="Acompte sur bénéfice"/>
    <n v="0"/>
    <n v="448.1"/>
    <n v="4011"/>
  </r>
  <r>
    <x v="1"/>
    <x v="7"/>
    <x v="6"/>
    <x v="271"/>
    <x v="234"/>
    <x v="234"/>
    <s v="REVENUS"/>
    <x v="16"/>
    <s v="4012.001"/>
    <s v="Impôt capital ordinaire"/>
    <n v="0"/>
    <n v="78.650000000000006"/>
    <n v="4012"/>
  </r>
  <r>
    <x v="1"/>
    <x v="7"/>
    <x v="6"/>
    <x v="271"/>
    <x v="234"/>
    <x v="234"/>
    <s v="REVENUS"/>
    <x v="6"/>
    <s v="4211.001"/>
    <s v="Intérêts de retard sur factures"/>
    <n v="0"/>
    <n v="8.58"/>
    <n v="4211"/>
  </r>
  <r>
    <x v="1"/>
    <x v="7"/>
    <x v="6"/>
    <x v="271"/>
    <x v="234"/>
    <x v="234"/>
    <s v="REVENUS"/>
    <x v="18"/>
    <s v="4013.003"/>
    <s v="Remboursement impôt complémentaire sur immeubles"/>
    <n v="0"/>
    <n v="-518.5"/>
    <n v="4013"/>
  </r>
  <r>
    <x v="1"/>
    <x v="7"/>
    <x v="6"/>
    <x v="271"/>
    <x v="234"/>
    <x v="234"/>
    <s v="REVENUS"/>
    <x v="17"/>
    <s v="4011.001"/>
    <s v="Impôt bénéfice ordinaire"/>
    <n v="0"/>
    <n v="6429.85"/>
    <n v="4011"/>
  </r>
  <r>
    <x v="1"/>
    <x v="7"/>
    <x v="6"/>
    <x v="271"/>
    <x v="234"/>
    <x v="234"/>
    <s v="REVENUS"/>
    <x v="17"/>
    <s v="4011.002"/>
    <s v="Complément impôt bénéfice ordinaire"/>
    <n v="0"/>
    <n v="545.29999999999995"/>
    <n v="4011"/>
  </r>
  <r>
    <x v="1"/>
    <x v="7"/>
    <x v="6"/>
    <x v="271"/>
    <x v="234"/>
    <x v="234"/>
    <s v="REVENUS"/>
    <x v="6"/>
    <s v="4211.002"/>
    <s v="Intérêts de retard sur acomptes"/>
    <n v="0"/>
    <n v="2.4300000000000002"/>
    <n v="4211"/>
  </r>
  <r>
    <x v="1"/>
    <x v="7"/>
    <x v="6"/>
    <x v="271"/>
    <x v="234"/>
    <x v="234"/>
    <s v="REVENUS"/>
    <x v="7"/>
    <s v="4184.000"/>
    <s v="Frais de poursuite"/>
    <n v="0"/>
    <n v="75.540000000000006"/>
    <n v="4184"/>
  </r>
  <r>
    <x v="1"/>
    <x v="7"/>
    <x v="6"/>
    <x v="271"/>
    <x v="234"/>
    <x v="234"/>
    <s v="REVENUS"/>
    <x v="6"/>
    <s v="4221.001"/>
    <s v="Intérêts compensat. / créances en faveur du fisc"/>
    <n v="0"/>
    <n v="0.55000000000000004"/>
    <n v="4221"/>
  </r>
  <r>
    <x v="1"/>
    <x v="7"/>
    <x v="6"/>
    <x v="271"/>
    <x v="234"/>
    <x v="234"/>
    <s v="REVENUS"/>
    <x v="16"/>
    <s v="4012.007"/>
    <s v="Acompte sur capital"/>
    <n v="0"/>
    <n v="569.54999999999995"/>
    <n v="4012"/>
  </r>
  <r>
    <x v="1"/>
    <x v="7"/>
    <x v="6"/>
    <x v="271"/>
    <x v="234"/>
    <x v="234"/>
    <s v="REVENUS"/>
    <x v="18"/>
    <s v="4013.001"/>
    <s v="Impôt complémentaire sur immeubles"/>
    <n v="0"/>
    <n v="3432"/>
    <n v="4013"/>
  </r>
  <r>
    <x v="1"/>
    <x v="7"/>
    <x v="6"/>
    <x v="271"/>
    <x v="234"/>
    <x v="234"/>
    <s v="REVENUS"/>
    <x v="18"/>
    <s v="4013.002"/>
    <s v="Complément impôt complémentaire sur immeubles"/>
    <n v="0"/>
    <n v="34.5"/>
    <n v="4013"/>
  </r>
  <r>
    <x v="1"/>
    <x v="7"/>
    <x v="6"/>
    <x v="272"/>
    <x v="229"/>
    <x v="229"/>
    <s v="CHARGES"/>
    <x v="1"/>
    <s v="3301.002"/>
    <s v="Défalcation PM"/>
    <n v="319.3"/>
    <n v="0"/>
    <n v="3301"/>
  </r>
  <r>
    <x v="1"/>
    <x v="7"/>
    <x v="6"/>
    <x v="272"/>
    <x v="229"/>
    <x v="229"/>
    <s v="CHARGES"/>
    <x v="0"/>
    <s v="3212.002"/>
    <s v="Intérêts bonifiés/trop perçu acompte C/C"/>
    <n v="0.28999999999999998"/>
    <n v="0"/>
    <n v="3212"/>
  </r>
  <r>
    <x v="1"/>
    <x v="7"/>
    <x v="6"/>
    <x v="272"/>
    <x v="229"/>
    <x v="229"/>
    <s v="CHARGES"/>
    <x v="0"/>
    <s v="3212.004"/>
    <s v="Intérêts rémun./perçu trop tôt sur acomptes C/C"/>
    <n v="21.26"/>
    <n v="0"/>
    <n v="3212"/>
  </r>
  <r>
    <x v="1"/>
    <x v="7"/>
    <x v="6"/>
    <x v="272"/>
    <x v="229"/>
    <x v="229"/>
    <s v="CHARGES"/>
    <x v="0"/>
    <s v="3221.002"/>
    <s v="Intérêts compensatoires / créances en faveur ctb."/>
    <n v="47.26"/>
    <n v="0"/>
    <n v="3221"/>
  </r>
  <r>
    <x v="1"/>
    <x v="7"/>
    <x v="6"/>
    <x v="272"/>
    <x v="229"/>
    <x v="229"/>
    <s v="REVENUS"/>
    <x v="17"/>
    <s v="4011.001"/>
    <s v="Impôt bénéfice ordinaire"/>
    <n v="0"/>
    <n v="20277"/>
    <n v="4011"/>
  </r>
  <r>
    <x v="1"/>
    <x v="7"/>
    <x v="6"/>
    <x v="272"/>
    <x v="229"/>
    <x v="229"/>
    <s v="REVENUS"/>
    <x v="17"/>
    <s v="4011.002"/>
    <s v="Complément impôt bénéfice ordinaire"/>
    <n v="0"/>
    <n v="7022.4"/>
    <n v="4011"/>
  </r>
  <r>
    <x v="1"/>
    <x v="7"/>
    <x v="6"/>
    <x v="272"/>
    <x v="229"/>
    <x v="229"/>
    <s v="REVENUS"/>
    <x v="6"/>
    <s v="4221.001"/>
    <s v="Intérêts compensat. / créances en faveur du fisc"/>
    <n v="0"/>
    <n v="4.29"/>
    <n v="4221"/>
  </r>
  <r>
    <x v="1"/>
    <x v="7"/>
    <x v="6"/>
    <x v="272"/>
    <x v="229"/>
    <x v="229"/>
    <s v="REVENUS"/>
    <x v="17"/>
    <s v="4011.007"/>
    <s v="Acompte sur bénéfice"/>
    <n v="0"/>
    <n v="-52778.75"/>
    <n v="4011"/>
  </r>
  <r>
    <x v="1"/>
    <x v="7"/>
    <x v="6"/>
    <x v="272"/>
    <x v="229"/>
    <x v="229"/>
    <s v="REVENUS"/>
    <x v="6"/>
    <s v="4211.002"/>
    <s v="Intérêts de retard sur acomptes"/>
    <n v="0"/>
    <n v="29.21"/>
    <n v="4211"/>
  </r>
  <r>
    <x v="1"/>
    <x v="7"/>
    <x v="6"/>
    <x v="272"/>
    <x v="229"/>
    <x v="229"/>
    <s v="REVENUS"/>
    <x v="8"/>
    <s v="4091.001"/>
    <s v="Impôt récupéré après défalcations"/>
    <n v="0"/>
    <n v="319.3"/>
    <n v="4091"/>
  </r>
  <r>
    <x v="1"/>
    <x v="7"/>
    <x v="6"/>
    <x v="272"/>
    <x v="229"/>
    <x v="229"/>
    <s v="REVENUS"/>
    <x v="16"/>
    <s v="4012.001"/>
    <s v="Impôt capital ordinaire"/>
    <n v="0"/>
    <n v="332.2"/>
    <n v="4012"/>
  </r>
  <r>
    <x v="1"/>
    <x v="7"/>
    <x v="6"/>
    <x v="272"/>
    <x v="229"/>
    <x v="229"/>
    <s v="REVENUS"/>
    <x v="16"/>
    <s v="4012.007"/>
    <s v="Acompte sur capital"/>
    <n v="0"/>
    <n v="-332.25"/>
    <n v="4012"/>
  </r>
  <r>
    <x v="1"/>
    <x v="7"/>
    <x v="6"/>
    <x v="273"/>
    <x v="235"/>
    <x v="235"/>
    <s v="CHARGES"/>
    <x v="0"/>
    <s v="3212.004"/>
    <s v="Intérêts rémun./perçu trop tôt sur acomptes C/C"/>
    <n v="11.39"/>
    <n v="0"/>
    <n v="3212"/>
  </r>
  <r>
    <x v="1"/>
    <x v="7"/>
    <x v="6"/>
    <x v="273"/>
    <x v="235"/>
    <x v="235"/>
    <s v="CHARGES"/>
    <x v="0"/>
    <s v="3221.002"/>
    <s v="Intérêts compensatoires / créances en faveur ctb."/>
    <n v="6.19"/>
    <n v="0"/>
    <n v="3221"/>
  </r>
  <r>
    <x v="1"/>
    <x v="7"/>
    <x v="6"/>
    <x v="273"/>
    <x v="235"/>
    <x v="235"/>
    <s v="CHARGES"/>
    <x v="1"/>
    <s v="3301.006"/>
    <s v="Abandon de solde PM"/>
    <n v="13.92"/>
    <n v="0"/>
    <n v="3301"/>
  </r>
  <r>
    <x v="1"/>
    <x v="7"/>
    <x v="6"/>
    <x v="273"/>
    <x v="235"/>
    <x v="235"/>
    <s v="CHARGES"/>
    <x v="0"/>
    <s v="3212.002"/>
    <s v="Intérêts bonifiés/trop perçu acompte C/C"/>
    <n v="0.02"/>
    <n v="0"/>
    <n v="3212"/>
  </r>
  <r>
    <x v="1"/>
    <x v="7"/>
    <x v="6"/>
    <x v="273"/>
    <x v="235"/>
    <x v="235"/>
    <s v="REVENUS"/>
    <x v="18"/>
    <s v="4013.001"/>
    <s v="Impôt complémentaire sur immeubles"/>
    <n v="0"/>
    <n v="2993"/>
    <n v="4013"/>
  </r>
  <r>
    <x v="1"/>
    <x v="7"/>
    <x v="6"/>
    <x v="273"/>
    <x v="235"/>
    <x v="235"/>
    <s v="REVENUS"/>
    <x v="16"/>
    <s v="4012.001"/>
    <s v="Impôt capital ordinaire"/>
    <n v="0"/>
    <n v="723.45"/>
    <n v="4012"/>
  </r>
  <r>
    <x v="1"/>
    <x v="7"/>
    <x v="6"/>
    <x v="273"/>
    <x v="235"/>
    <x v="235"/>
    <s v="REVENUS"/>
    <x v="16"/>
    <s v="4012.007"/>
    <s v="Acompte sur capital"/>
    <n v="0"/>
    <n v="1550.95"/>
    <n v="4012"/>
  </r>
  <r>
    <x v="1"/>
    <x v="7"/>
    <x v="6"/>
    <x v="273"/>
    <x v="235"/>
    <x v="235"/>
    <s v="REVENUS"/>
    <x v="17"/>
    <s v="4011.001"/>
    <s v="Impôt bénéfice ordinaire"/>
    <n v="0"/>
    <n v="4873.8500000000004"/>
    <n v="4011"/>
  </r>
  <r>
    <x v="1"/>
    <x v="7"/>
    <x v="6"/>
    <x v="273"/>
    <x v="235"/>
    <x v="235"/>
    <s v="REVENUS"/>
    <x v="6"/>
    <s v="4211.002"/>
    <s v="Intérêts de retard sur acomptes"/>
    <n v="0"/>
    <n v="10.53"/>
    <n v="4211"/>
  </r>
  <r>
    <x v="1"/>
    <x v="7"/>
    <x v="6"/>
    <x v="273"/>
    <x v="235"/>
    <x v="235"/>
    <s v="REVENUS"/>
    <x v="6"/>
    <s v="4221.001"/>
    <s v="Intérêts compensat. / créances en faveur du fisc"/>
    <n v="0"/>
    <n v="5.03"/>
    <n v="4221"/>
  </r>
  <r>
    <x v="1"/>
    <x v="7"/>
    <x v="6"/>
    <x v="273"/>
    <x v="235"/>
    <x v="235"/>
    <s v="REVENUS"/>
    <x v="17"/>
    <s v="4011.002"/>
    <s v="Complément impôt bénéfice ordinaire"/>
    <n v="0"/>
    <n v="574.15"/>
    <n v="4011"/>
  </r>
  <r>
    <x v="1"/>
    <x v="7"/>
    <x v="6"/>
    <x v="273"/>
    <x v="235"/>
    <x v="235"/>
    <s v="REVENUS"/>
    <x v="17"/>
    <s v="4011.007"/>
    <s v="Acompte sur bénéfice"/>
    <n v="0"/>
    <n v="-4754.2"/>
    <n v="4011"/>
  </r>
  <r>
    <x v="1"/>
    <x v="7"/>
    <x v="6"/>
    <x v="273"/>
    <x v="235"/>
    <x v="235"/>
    <s v="REVENUS"/>
    <x v="6"/>
    <s v="4211.001"/>
    <s v="Intérêts de retard sur factures"/>
    <n v="0"/>
    <n v="52.07"/>
    <n v="4211"/>
  </r>
  <r>
    <x v="1"/>
    <x v="7"/>
    <x v="6"/>
    <x v="273"/>
    <x v="235"/>
    <x v="235"/>
    <s v="REVENUS"/>
    <x v="18"/>
    <s v="4013.003"/>
    <s v="Remboursement impôt complémentaire sur immeubles"/>
    <n v="0"/>
    <n v="-4985"/>
    <n v="4013"/>
  </r>
  <r>
    <x v="1"/>
    <x v="7"/>
    <x v="6"/>
    <x v="273"/>
    <x v="235"/>
    <x v="235"/>
    <s v="REVENUS"/>
    <x v="10"/>
    <s v="4041.001"/>
    <s v="Droits de mutation"/>
    <n v="0"/>
    <n v="5775"/>
    <n v="4041"/>
  </r>
  <r>
    <x v="1"/>
    <x v="7"/>
    <x v="6"/>
    <x v="274"/>
    <x v="230"/>
    <x v="230"/>
    <s v="CHARGES"/>
    <x v="0"/>
    <s v="3212.002"/>
    <s v="Intérêts bonifiés/trop perçu acompte C/C"/>
    <n v="0.35"/>
    <n v="0"/>
    <n v="3212"/>
  </r>
  <r>
    <x v="1"/>
    <x v="7"/>
    <x v="6"/>
    <x v="274"/>
    <x v="230"/>
    <x v="230"/>
    <s v="REVENUS"/>
    <x v="17"/>
    <s v="4011.001"/>
    <s v="Impôt bénéfice ordinaire"/>
    <n v="0"/>
    <n v="-8489.2000000000007"/>
    <n v="4011"/>
  </r>
  <r>
    <x v="1"/>
    <x v="7"/>
    <x v="6"/>
    <x v="274"/>
    <x v="230"/>
    <x v="230"/>
    <s v="REVENUS"/>
    <x v="17"/>
    <s v="4011.002"/>
    <s v="Complément impôt bénéfice ordinaire"/>
    <n v="0"/>
    <n v="8489.2000000000007"/>
    <n v="4011"/>
  </r>
  <r>
    <x v="1"/>
    <x v="7"/>
    <x v="6"/>
    <x v="274"/>
    <x v="230"/>
    <x v="230"/>
    <s v="REVENUS"/>
    <x v="6"/>
    <s v="4221.001"/>
    <s v="Intérêts compensat. / créances en faveur du fisc"/>
    <n v="0"/>
    <n v="-0.01"/>
    <n v="4221"/>
  </r>
  <r>
    <x v="1"/>
    <x v="7"/>
    <x v="6"/>
    <x v="275"/>
    <x v="230"/>
    <x v="230"/>
    <s v="CHARGES"/>
    <x v="0"/>
    <s v="3212.002"/>
    <s v="Intérêts bonifiés/trop perçu acompte C/C"/>
    <n v="0.04"/>
    <n v="0"/>
    <n v="3212"/>
  </r>
  <r>
    <x v="1"/>
    <x v="7"/>
    <x v="6"/>
    <x v="275"/>
    <x v="230"/>
    <x v="230"/>
    <s v="REVENUS"/>
    <x v="17"/>
    <s v="4011.001"/>
    <s v="Impôt bénéfice ordinaire"/>
    <n v="0"/>
    <n v="-927.95"/>
    <n v="4011"/>
  </r>
  <r>
    <x v="1"/>
    <x v="7"/>
    <x v="6"/>
    <x v="275"/>
    <x v="230"/>
    <x v="230"/>
    <s v="REVENUS"/>
    <x v="17"/>
    <s v="4011.002"/>
    <s v="Complément impôt bénéfice ordinaire"/>
    <n v="0"/>
    <n v="927.95"/>
    <n v="4011"/>
  </r>
  <r>
    <x v="1"/>
    <x v="7"/>
    <x v="6"/>
    <x v="275"/>
    <x v="230"/>
    <x v="230"/>
    <s v="REVENUS"/>
    <x v="6"/>
    <s v="4221.001"/>
    <s v="Intérêts compensat. / créances en faveur du fisc"/>
    <n v="0"/>
    <n v="-0.01"/>
    <n v="4221"/>
  </r>
  <r>
    <x v="1"/>
    <x v="7"/>
    <x v="6"/>
    <x v="276"/>
    <x v="230"/>
    <x v="230"/>
    <s v="CHARGES"/>
    <x v="0"/>
    <s v="3212.002"/>
    <s v="Intérêts bonifiés/trop perçu acompte C/C"/>
    <n v="0.15"/>
    <n v="0"/>
    <n v="3212"/>
  </r>
  <r>
    <x v="1"/>
    <x v="7"/>
    <x v="6"/>
    <x v="276"/>
    <x v="230"/>
    <x v="230"/>
    <s v="REVENUS"/>
    <x v="17"/>
    <s v="4011.001"/>
    <s v="Impôt bénéfice ordinaire"/>
    <n v="0"/>
    <n v="-3610"/>
    <n v="4011"/>
  </r>
  <r>
    <x v="1"/>
    <x v="7"/>
    <x v="6"/>
    <x v="276"/>
    <x v="230"/>
    <x v="230"/>
    <s v="REVENUS"/>
    <x v="17"/>
    <s v="4011.002"/>
    <s v="Complément impôt bénéfice ordinaire"/>
    <n v="0"/>
    <n v="3610"/>
    <n v="4011"/>
  </r>
  <r>
    <x v="1"/>
    <x v="4"/>
    <x v="4"/>
    <x v="277"/>
    <x v="88"/>
    <x v="88"/>
    <s v="CHARGES"/>
    <x v="0"/>
    <s v="3212.002"/>
    <s v="Intérêts bonifiés/trop perçu acompte C/C"/>
    <n v="0.04"/>
    <n v="0"/>
    <n v="3212"/>
  </r>
  <r>
    <x v="1"/>
    <x v="4"/>
    <x v="4"/>
    <x v="277"/>
    <x v="88"/>
    <x v="88"/>
    <s v="REVENUS"/>
    <x v="17"/>
    <s v="4011.002"/>
    <s v="Complément impôt bénéfice ordinaire"/>
    <n v="0"/>
    <n v="888.05"/>
    <n v="4011"/>
  </r>
  <r>
    <x v="1"/>
    <x v="4"/>
    <x v="4"/>
    <x v="277"/>
    <x v="88"/>
    <x v="88"/>
    <s v="REVENUS"/>
    <x v="17"/>
    <s v="4011.001"/>
    <s v="Impôt bénéfice ordinaire"/>
    <n v="0"/>
    <n v="-888.05"/>
    <n v="4011"/>
  </r>
  <r>
    <x v="1"/>
    <x v="3"/>
    <x v="3"/>
    <x v="278"/>
    <x v="236"/>
    <x v="236"/>
    <s v="CHARGES"/>
    <x v="0"/>
    <s v="3212.002"/>
    <s v="Intérêts bonifiés/trop perçu acompte C/C"/>
    <n v="0.18"/>
    <n v="0"/>
    <n v="3212"/>
  </r>
  <r>
    <x v="1"/>
    <x v="3"/>
    <x v="3"/>
    <x v="278"/>
    <x v="236"/>
    <x v="236"/>
    <s v="CHARGES"/>
    <x v="1"/>
    <s v="3301.006"/>
    <s v="Abandon de solde PM"/>
    <n v="29.53"/>
    <n v="0"/>
    <n v="3301"/>
  </r>
  <r>
    <x v="1"/>
    <x v="3"/>
    <x v="3"/>
    <x v="278"/>
    <x v="236"/>
    <x v="236"/>
    <s v="CHARGES"/>
    <x v="0"/>
    <s v="3221.002"/>
    <s v="Intérêts compensatoires / créances en faveur ctb."/>
    <n v="1.88"/>
    <n v="0"/>
    <n v="3221"/>
  </r>
  <r>
    <x v="1"/>
    <x v="3"/>
    <x v="3"/>
    <x v="278"/>
    <x v="236"/>
    <x v="236"/>
    <s v="CHARGES"/>
    <x v="0"/>
    <s v="3212.004"/>
    <s v="Intérêts rémun./perçu trop tôt sur acomptes C/C"/>
    <n v="3.44"/>
    <n v="0"/>
    <n v="3212"/>
  </r>
  <r>
    <x v="1"/>
    <x v="3"/>
    <x v="3"/>
    <x v="278"/>
    <x v="236"/>
    <x v="236"/>
    <s v="CHARGES"/>
    <x v="1"/>
    <s v="3301.002"/>
    <s v="Défalcation PM"/>
    <n v="1637.16"/>
    <n v="0"/>
    <n v="3301"/>
  </r>
  <r>
    <x v="1"/>
    <x v="3"/>
    <x v="3"/>
    <x v="278"/>
    <x v="236"/>
    <x v="236"/>
    <s v="REVENUS"/>
    <x v="10"/>
    <s v="4041.001"/>
    <s v="Droits de mutation"/>
    <n v="0"/>
    <n v="19800"/>
    <n v="4041"/>
  </r>
  <r>
    <x v="1"/>
    <x v="3"/>
    <x v="3"/>
    <x v="278"/>
    <x v="236"/>
    <x v="236"/>
    <s v="REVENUS"/>
    <x v="17"/>
    <s v="4011.007"/>
    <s v="Acompte sur bénéfice"/>
    <n v="0"/>
    <n v="-2322.4499999999998"/>
    <n v="4011"/>
  </r>
  <r>
    <x v="1"/>
    <x v="3"/>
    <x v="3"/>
    <x v="278"/>
    <x v="236"/>
    <x v="236"/>
    <s v="REVENUS"/>
    <x v="16"/>
    <s v="4012.007"/>
    <s v="Acompte sur capital"/>
    <n v="0"/>
    <n v="817.7"/>
    <n v="4012"/>
  </r>
  <r>
    <x v="1"/>
    <x v="3"/>
    <x v="3"/>
    <x v="278"/>
    <x v="236"/>
    <x v="236"/>
    <s v="REVENUS"/>
    <x v="17"/>
    <s v="4011.002"/>
    <s v="Complément impôt bénéfice ordinaire"/>
    <n v="0"/>
    <n v="266"/>
    <n v="4011"/>
  </r>
  <r>
    <x v="1"/>
    <x v="3"/>
    <x v="3"/>
    <x v="278"/>
    <x v="236"/>
    <x v="236"/>
    <s v="REVENUS"/>
    <x v="17"/>
    <s v="4011.001"/>
    <s v="Impôt bénéfice ordinaire"/>
    <n v="0"/>
    <n v="11562.55"/>
    <n v="4011"/>
  </r>
  <r>
    <x v="1"/>
    <x v="3"/>
    <x v="3"/>
    <x v="278"/>
    <x v="236"/>
    <x v="236"/>
    <s v="REVENUS"/>
    <x v="6"/>
    <s v="4211.001"/>
    <s v="Intérêts de retard sur factures"/>
    <n v="0"/>
    <n v="119.85"/>
    <n v="4211"/>
  </r>
  <r>
    <x v="1"/>
    <x v="3"/>
    <x v="3"/>
    <x v="278"/>
    <x v="236"/>
    <x v="236"/>
    <s v="REVENUS"/>
    <x v="16"/>
    <s v="4012.001"/>
    <s v="Impôt capital ordinaire"/>
    <n v="0"/>
    <n v="710.45"/>
    <n v="4012"/>
  </r>
  <r>
    <x v="1"/>
    <x v="3"/>
    <x v="3"/>
    <x v="278"/>
    <x v="236"/>
    <x v="236"/>
    <s v="REVENUS"/>
    <x v="6"/>
    <s v="4211.002"/>
    <s v="Intérêts de retard sur acomptes"/>
    <n v="0"/>
    <n v="54.68"/>
    <n v="4211"/>
  </r>
  <r>
    <x v="1"/>
    <x v="3"/>
    <x v="3"/>
    <x v="278"/>
    <x v="236"/>
    <x v="236"/>
    <s v="REVENUS"/>
    <x v="6"/>
    <s v="4221.001"/>
    <s v="Intérêts compensat. / créances en faveur du fisc"/>
    <n v="0"/>
    <n v="1.05"/>
    <n v="4221"/>
  </r>
  <r>
    <x v="1"/>
    <x v="3"/>
    <x v="3"/>
    <x v="278"/>
    <x v="236"/>
    <x v="236"/>
    <s v="REVENUS"/>
    <x v="7"/>
    <s v="4184.000"/>
    <s v="Frais de poursuite"/>
    <n v="0"/>
    <n v="59"/>
    <n v="4184"/>
  </r>
  <r>
    <x v="1"/>
    <x v="3"/>
    <x v="3"/>
    <x v="278"/>
    <x v="236"/>
    <x v="236"/>
    <s v="REVENUS"/>
    <x v="8"/>
    <s v="4091.001"/>
    <s v="Impôt récupéré après défalcations"/>
    <n v="0"/>
    <n v="210.91"/>
    <n v="4091"/>
  </r>
  <r>
    <x v="1"/>
    <x v="3"/>
    <x v="3"/>
    <x v="278"/>
    <x v="236"/>
    <x v="236"/>
    <s v="REVENUS"/>
    <x v="18"/>
    <s v="4013.001"/>
    <s v="Impôt complémentaire sur immeubles"/>
    <n v="0"/>
    <n v="6288.25"/>
    <n v="4013"/>
  </r>
  <r>
    <x v="1"/>
    <x v="7"/>
    <x v="6"/>
    <x v="279"/>
    <x v="232"/>
    <x v="232"/>
    <s v="CHARGES"/>
    <x v="0"/>
    <s v="3212.004"/>
    <s v="Intérêts rémun./perçu trop tôt sur acomptes C/C"/>
    <n v="28.44"/>
    <n v="0"/>
    <n v="3212"/>
  </r>
  <r>
    <x v="1"/>
    <x v="7"/>
    <x v="6"/>
    <x v="279"/>
    <x v="232"/>
    <x v="232"/>
    <s v="CHARGES"/>
    <x v="1"/>
    <s v="3301.006"/>
    <s v="Abandon de solde PM"/>
    <n v="42.12"/>
    <n v="0"/>
    <n v="3301"/>
  </r>
  <r>
    <x v="1"/>
    <x v="7"/>
    <x v="6"/>
    <x v="279"/>
    <x v="232"/>
    <x v="232"/>
    <s v="CHARGES"/>
    <x v="0"/>
    <s v="3221.002"/>
    <s v="Intérêts compensatoires / créances en faveur ctb."/>
    <n v="32.22"/>
    <n v="0"/>
    <n v="3221"/>
  </r>
  <r>
    <x v="1"/>
    <x v="7"/>
    <x v="6"/>
    <x v="279"/>
    <x v="232"/>
    <x v="232"/>
    <s v="CHARGES"/>
    <x v="0"/>
    <s v="3212.002"/>
    <s v="Intérêts bonifiés/trop perçu acompte C/C"/>
    <n v="0.12"/>
    <n v="0"/>
    <n v="3212"/>
  </r>
  <r>
    <x v="1"/>
    <x v="7"/>
    <x v="6"/>
    <x v="279"/>
    <x v="232"/>
    <x v="232"/>
    <s v="CHARGES"/>
    <x v="1"/>
    <s v="3301.002"/>
    <s v="Défalcation PM"/>
    <n v="391.9"/>
    <n v="0"/>
    <n v="3301"/>
  </r>
  <r>
    <x v="1"/>
    <x v="7"/>
    <x v="6"/>
    <x v="279"/>
    <x v="232"/>
    <x v="232"/>
    <s v="REVENUS"/>
    <x v="17"/>
    <s v="4011.001"/>
    <s v="Impôt bénéfice ordinaire"/>
    <n v="0"/>
    <n v="57084.85"/>
    <n v="4011"/>
  </r>
  <r>
    <x v="1"/>
    <x v="7"/>
    <x v="6"/>
    <x v="279"/>
    <x v="232"/>
    <x v="232"/>
    <s v="REVENUS"/>
    <x v="16"/>
    <s v="4012.001"/>
    <s v="Impôt capital ordinaire"/>
    <n v="0"/>
    <n v="1520.55"/>
    <n v="4012"/>
  </r>
  <r>
    <x v="1"/>
    <x v="7"/>
    <x v="6"/>
    <x v="279"/>
    <x v="232"/>
    <x v="232"/>
    <s v="REVENUS"/>
    <x v="16"/>
    <s v="4012.007"/>
    <s v="Acompte sur capital"/>
    <n v="0"/>
    <n v="1089.8"/>
    <n v="4012"/>
  </r>
  <r>
    <x v="1"/>
    <x v="7"/>
    <x v="6"/>
    <x v="279"/>
    <x v="232"/>
    <x v="232"/>
    <s v="REVENUS"/>
    <x v="6"/>
    <s v="4211.001"/>
    <s v="Intérêts de retard sur factures"/>
    <n v="0"/>
    <n v="102.29"/>
    <n v="4211"/>
  </r>
  <r>
    <x v="1"/>
    <x v="7"/>
    <x v="6"/>
    <x v="279"/>
    <x v="232"/>
    <x v="232"/>
    <s v="REVENUS"/>
    <x v="6"/>
    <s v="4211.002"/>
    <s v="Intérêts de retard sur acomptes"/>
    <n v="0"/>
    <n v="109.75"/>
    <n v="4211"/>
  </r>
  <r>
    <x v="1"/>
    <x v="7"/>
    <x v="6"/>
    <x v="279"/>
    <x v="232"/>
    <x v="232"/>
    <s v="REVENUS"/>
    <x v="6"/>
    <s v="4221.001"/>
    <s v="Intérêts compensat. / créances en faveur du fisc"/>
    <n v="0"/>
    <n v="20.94"/>
    <n v="4221"/>
  </r>
  <r>
    <x v="1"/>
    <x v="7"/>
    <x v="6"/>
    <x v="279"/>
    <x v="232"/>
    <x v="232"/>
    <s v="REVENUS"/>
    <x v="17"/>
    <s v="4011.007"/>
    <s v="Acompte sur bénéfice"/>
    <n v="0"/>
    <n v="-36897.699999999997"/>
    <n v="4011"/>
  </r>
  <r>
    <x v="1"/>
    <x v="7"/>
    <x v="6"/>
    <x v="279"/>
    <x v="232"/>
    <x v="232"/>
    <s v="REVENUS"/>
    <x v="17"/>
    <s v="4011.002"/>
    <s v="Complément impôt bénéfice ordinaire"/>
    <n v="0"/>
    <n v="2878.5"/>
    <n v="4011"/>
  </r>
  <r>
    <x v="1"/>
    <x v="7"/>
    <x v="6"/>
    <x v="279"/>
    <x v="232"/>
    <x v="232"/>
    <s v="REVENUS"/>
    <x v="18"/>
    <s v="4013.001"/>
    <s v="Impôt complémentaire sur immeubles"/>
    <n v="0"/>
    <n v="6577.75"/>
    <n v="4013"/>
  </r>
  <r>
    <x v="1"/>
    <x v="7"/>
    <x v="6"/>
    <x v="279"/>
    <x v="232"/>
    <x v="232"/>
    <s v="REVENUS"/>
    <x v="18"/>
    <s v="4013.002"/>
    <s v="Complément impôt complémentaire sur immeubles"/>
    <n v="0"/>
    <n v="15737"/>
    <n v="4013"/>
  </r>
  <r>
    <x v="1"/>
    <x v="7"/>
    <x v="6"/>
    <x v="279"/>
    <x v="232"/>
    <x v="232"/>
    <s v="REVENUS"/>
    <x v="7"/>
    <s v="4184.000"/>
    <s v="Frais de poursuite"/>
    <n v="0"/>
    <n v="28.88"/>
    <n v="4184"/>
  </r>
  <r>
    <x v="1"/>
    <x v="7"/>
    <x v="6"/>
    <x v="279"/>
    <x v="232"/>
    <x v="232"/>
    <s v="REVENUS"/>
    <x v="16"/>
    <s v="4012.002"/>
    <s v="Complément impôt capital ordinaire"/>
    <n v="0"/>
    <n v="-22.95"/>
    <n v="4012"/>
  </r>
  <r>
    <x v="1"/>
    <x v="7"/>
    <x v="6"/>
    <x v="279"/>
    <x v="232"/>
    <x v="232"/>
    <s v="REVENUS"/>
    <x v="18"/>
    <s v="4013.003"/>
    <s v="Remboursement impôt complémentaire sur immeubles"/>
    <n v="0"/>
    <n v="-1465.4"/>
    <n v="4013"/>
  </r>
  <r>
    <x v="1"/>
    <x v="7"/>
    <x v="6"/>
    <x v="279"/>
    <x v="232"/>
    <x v="232"/>
    <s v="REVENUS"/>
    <x v="10"/>
    <s v="4041.001"/>
    <s v="Droits de mutation"/>
    <n v="0"/>
    <n v="20206.25"/>
    <n v="4041"/>
  </r>
  <r>
    <x v="1"/>
    <x v="7"/>
    <x v="6"/>
    <x v="280"/>
    <x v="230"/>
    <x v="230"/>
    <s v="CHARGES"/>
    <x v="0"/>
    <s v="3212.002"/>
    <s v="Intérêts bonifiés/trop perçu acompte C/C"/>
    <n v="0.05"/>
    <n v="0"/>
    <n v="3212"/>
  </r>
  <r>
    <x v="1"/>
    <x v="7"/>
    <x v="6"/>
    <x v="280"/>
    <x v="230"/>
    <x v="230"/>
    <s v="REVENUS"/>
    <x v="17"/>
    <s v="4011.002"/>
    <s v="Complément impôt bénéfice ordinaire"/>
    <n v="0"/>
    <n v="1246.8"/>
    <n v="4011"/>
  </r>
  <r>
    <x v="1"/>
    <x v="7"/>
    <x v="6"/>
    <x v="280"/>
    <x v="230"/>
    <x v="230"/>
    <s v="REVENUS"/>
    <x v="17"/>
    <s v="4011.001"/>
    <s v="Impôt bénéfice ordinaire"/>
    <n v="0"/>
    <n v="-1246.8"/>
    <n v="4011"/>
  </r>
  <r>
    <x v="1"/>
    <x v="7"/>
    <x v="6"/>
    <x v="281"/>
    <x v="230"/>
    <x v="230"/>
    <s v="CHARGES"/>
    <x v="0"/>
    <s v="3212.002"/>
    <s v="Intérêts bonifiés/trop perçu acompte C/C"/>
    <n v="0.04"/>
    <n v="0"/>
    <n v="3212"/>
  </r>
  <r>
    <x v="1"/>
    <x v="7"/>
    <x v="6"/>
    <x v="281"/>
    <x v="230"/>
    <x v="230"/>
    <s v="REVENUS"/>
    <x v="17"/>
    <s v="4011.002"/>
    <s v="Complément impôt bénéfice ordinaire"/>
    <n v="0"/>
    <n v="940.5"/>
    <n v="4011"/>
  </r>
  <r>
    <x v="1"/>
    <x v="7"/>
    <x v="6"/>
    <x v="281"/>
    <x v="230"/>
    <x v="230"/>
    <s v="REVENUS"/>
    <x v="17"/>
    <s v="4011.001"/>
    <s v="Impôt bénéfice ordinaire"/>
    <n v="0"/>
    <n v="-940.5"/>
    <n v="4011"/>
  </r>
  <r>
    <x v="1"/>
    <x v="3"/>
    <x v="3"/>
    <x v="282"/>
    <x v="237"/>
    <x v="237"/>
    <s v="CHARGES"/>
    <x v="0"/>
    <s v="3212.004"/>
    <s v="Intérêts rémun./perçu trop tôt sur acomptes C/C"/>
    <n v="27.78"/>
    <n v="0"/>
    <n v="3212"/>
  </r>
  <r>
    <x v="1"/>
    <x v="3"/>
    <x v="3"/>
    <x v="282"/>
    <x v="237"/>
    <x v="237"/>
    <s v="CHARGES"/>
    <x v="0"/>
    <s v="3221.002"/>
    <s v="Intérêts compensatoires / créances en faveur ctb."/>
    <n v="1.76"/>
    <n v="0"/>
    <n v="3221"/>
  </r>
  <r>
    <x v="1"/>
    <x v="3"/>
    <x v="3"/>
    <x v="282"/>
    <x v="237"/>
    <x v="237"/>
    <s v="CHARGES"/>
    <x v="0"/>
    <s v="3212.002"/>
    <s v="Intérêts bonifiés/trop perçu acompte C/C"/>
    <n v="0.05"/>
    <n v="0"/>
    <n v="3212"/>
  </r>
  <r>
    <x v="1"/>
    <x v="3"/>
    <x v="3"/>
    <x v="282"/>
    <x v="237"/>
    <x v="237"/>
    <s v="CHARGES"/>
    <x v="1"/>
    <s v="3301.006"/>
    <s v="Abandon de solde PM"/>
    <n v="6.84"/>
    <n v="0"/>
    <n v="3301"/>
  </r>
  <r>
    <x v="1"/>
    <x v="3"/>
    <x v="3"/>
    <x v="282"/>
    <x v="237"/>
    <x v="237"/>
    <s v="REVENUS"/>
    <x v="16"/>
    <s v="4012.001"/>
    <s v="Impôt capital ordinaire"/>
    <n v="0"/>
    <n v="352.5"/>
    <n v="4012"/>
  </r>
  <r>
    <x v="1"/>
    <x v="3"/>
    <x v="3"/>
    <x v="282"/>
    <x v="237"/>
    <x v="237"/>
    <s v="REVENUS"/>
    <x v="16"/>
    <s v="4012.007"/>
    <s v="Acompte sur capital"/>
    <n v="0"/>
    <n v="227.8"/>
    <n v="4012"/>
  </r>
  <r>
    <x v="1"/>
    <x v="3"/>
    <x v="3"/>
    <x v="282"/>
    <x v="237"/>
    <x v="237"/>
    <s v="REVENUS"/>
    <x v="17"/>
    <s v="4011.001"/>
    <s v="Impôt bénéfice ordinaire"/>
    <n v="0"/>
    <n v="4247.8"/>
    <n v="4011"/>
  </r>
  <r>
    <x v="1"/>
    <x v="3"/>
    <x v="3"/>
    <x v="282"/>
    <x v="237"/>
    <x v="237"/>
    <s v="REVENUS"/>
    <x v="17"/>
    <s v="4011.002"/>
    <s v="Complément impôt bénéfice ordinaire"/>
    <n v="0"/>
    <n v="1203.2"/>
    <n v="4011"/>
  </r>
  <r>
    <x v="1"/>
    <x v="3"/>
    <x v="3"/>
    <x v="282"/>
    <x v="237"/>
    <x v="237"/>
    <s v="REVENUS"/>
    <x v="17"/>
    <s v="4011.007"/>
    <s v="Acompte sur bénéfice"/>
    <n v="0"/>
    <n v="-7519"/>
    <n v="4011"/>
  </r>
  <r>
    <x v="1"/>
    <x v="3"/>
    <x v="3"/>
    <x v="282"/>
    <x v="237"/>
    <x v="237"/>
    <s v="REVENUS"/>
    <x v="6"/>
    <s v="4211.002"/>
    <s v="Intérêts de retard sur acomptes"/>
    <n v="0"/>
    <n v="42.23"/>
    <n v="4211"/>
  </r>
  <r>
    <x v="1"/>
    <x v="3"/>
    <x v="3"/>
    <x v="282"/>
    <x v="237"/>
    <x v="237"/>
    <s v="REVENUS"/>
    <x v="6"/>
    <s v="4221.001"/>
    <s v="Intérêts compensat. / créances en faveur du fisc"/>
    <n v="0"/>
    <n v="0.28000000000000003"/>
    <n v="4221"/>
  </r>
  <r>
    <x v="1"/>
    <x v="4"/>
    <x v="4"/>
    <x v="283"/>
    <x v="88"/>
    <x v="88"/>
    <s v="CHARGES"/>
    <x v="1"/>
    <s v="3301.006"/>
    <s v="Abandon de solde PM"/>
    <n v="13.84"/>
    <n v="0"/>
    <n v="3301"/>
  </r>
  <r>
    <x v="1"/>
    <x v="4"/>
    <x v="4"/>
    <x v="283"/>
    <x v="88"/>
    <x v="88"/>
    <s v="CHARGES"/>
    <x v="0"/>
    <s v="3221.002"/>
    <s v="Intérêts compensatoires / créances en faveur ctb."/>
    <n v="18.03"/>
    <n v="0"/>
    <n v="3221"/>
  </r>
  <r>
    <x v="1"/>
    <x v="4"/>
    <x v="4"/>
    <x v="283"/>
    <x v="88"/>
    <x v="88"/>
    <s v="CHARGES"/>
    <x v="0"/>
    <s v="3212.004"/>
    <s v="Intérêts rémun./perçu trop tôt sur acomptes C/C"/>
    <n v="8.11"/>
    <n v="0"/>
    <n v="3212"/>
  </r>
  <r>
    <x v="1"/>
    <x v="4"/>
    <x v="4"/>
    <x v="283"/>
    <x v="88"/>
    <x v="88"/>
    <s v="REVENUS"/>
    <x v="16"/>
    <s v="4012.001"/>
    <s v="Impôt capital ordinaire"/>
    <n v="0"/>
    <n v="615.4"/>
    <n v="4012"/>
  </r>
  <r>
    <x v="1"/>
    <x v="4"/>
    <x v="4"/>
    <x v="283"/>
    <x v="88"/>
    <x v="88"/>
    <s v="REVENUS"/>
    <x v="16"/>
    <s v="4012.007"/>
    <s v="Acompte sur capital"/>
    <n v="0"/>
    <n v="687"/>
    <n v="4012"/>
  </r>
  <r>
    <x v="1"/>
    <x v="4"/>
    <x v="4"/>
    <x v="283"/>
    <x v="88"/>
    <x v="88"/>
    <s v="REVENUS"/>
    <x v="6"/>
    <s v="4211.002"/>
    <s v="Intérêts de retard sur acomptes"/>
    <n v="0"/>
    <n v="162.99"/>
    <n v="4211"/>
  </r>
  <r>
    <x v="1"/>
    <x v="4"/>
    <x v="4"/>
    <x v="283"/>
    <x v="88"/>
    <x v="88"/>
    <s v="REVENUS"/>
    <x v="6"/>
    <s v="4211.001"/>
    <s v="Intérêts de retard sur factures"/>
    <n v="0"/>
    <n v="15.13"/>
    <n v="4211"/>
  </r>
  <r>
    <x v="1"/>
    <x v="4"/>
    <x v="4"/>
    <x v="283"/>
    <x v="88"/>
    <x v="88"/>
    <s v="REVENUS"/>
    <x v="10"/>
    <s v="4041.001"/>
    <s v="Droits de mutation"/>
    <n v="0"/>
    <n v="12542.85"/>
    <n v="4041"/>
  </r>
  <r>
    <x v="1"/>
    <x v="4"/>
    <x v="4"/>
    <x v="283"/>
    <x v="88"/>
    <x v="88"/>
    <s v="REVENUS"/>
    <x v="17"/>
    <s v="4011.001"/>
    <s v="Impôt bénéfice ordinaire"/>
    <n v="0"/>
    <n v="66432.05"/>
    <n v="4011"/>
  </r>
  <r>
    <x v="1"/>
    <x v="4"/>
    <x v="4"/>
    <x v="283"/>
    <x v="88"/>
    <x v="88"/>
    <s v="REVENUS"/>
    <x v="6"/>
    <s v="4221.001"/>
    <s v="Intérêts compensat. / créances en faveur du fisc"/>
    <n v="0"/>
    <n v="35.409999999999997"/>
    <n v="4221"/>
  </r>
  <r>
    <x v="1"/>
    <x v="4"/>
    <x v="4"/>
    <x v="283"/>
    <x v="88"/>
    <x v="88"/>
    <s v="REVENUS"/>
    <x v="17"/>
    <s v="4011.007"/>
    <s v="Acompte sur bénéfice"/>
    <n v="0"/>
    <n v="-11487.75"/>
    <n v="4011"/>
  </r>
  <r>
    <x v="1"/>
    <x v="4"/>
    <x v="4"/>
    <x v="283"/>
    <x v="88"/>
    <x v="88"/>
    <s v="REVENUS"/>
    <x v="18"/>
    <s v="4013.003"/>
    <s v="Remboursement impôt complémentaire sur immeubles"/>
    <n v="0"/>
    <n v="-536.5"/>
    <n v="4013"/>
  </r>
  <r>
    <x v="1"/>
    <x v="4"/>
    <x v="4"/>
    <x v="283"/>
    <x v="88"/>
    <x v="88"/>
    <s v="REVENUS"/>
    <x v="7"/>
    <s v="4184.000"/>
    <s v="Frais de poursuite"/>
    <n v="0"/>
    <n v="73.08"/>
    <n v="4184"/>
  </r>
  <r>
    <x v="1"/>
    <x v="4"/>
    <x v="4"/>
    <x v="283"/>
    <x v="88"/>
    <x v="88"/>
    <s v="REVENUS"/>
    <x v="18"/>
    <s v="4013.001"/>
    <s v="Impôt complémentaire sur immeubles"/>
    <n v="0"/>
    <n v="3799.1"/>
    <n v="4013"/>
  </r>
  <r>
    <x v="1"/>
    <x v="4"/>
    <x v="4"/>
    <x v="283"/>
    <x v="88"/>
    <x v="88"/>
    <s v="REVENUS"/>
    <x v="18"/>
    <s v="4013.002"/>
    <s v="Complément impôt complémentaire sur immeubles"/>
    <n v="0"/>
    <n v="270"/>
    <n v="4013"/>
  </r>
  <r>
    <x v="1"/>
    <x v="7"/>
    <x v="6"/>
    <x v="284"/>
    <x v="230"/>
    <x v="230"/>
    <s v="CHARGES"/>
    <x v="0"/>
    <s v="3212.004"/>
    <s v="Intérêts rémun./perçu trop tôt sur acomptes C/C"/>
    <n v="259.68"/>
    <n v="0"/>
    <n v="3212"/>
  </r>
  <r>
    <x v="1"/>
    <x v="7"/>
    <x v="6"/>
    <x v="284"/>
    <x v="230"/>
    <x v="230"/>
    <s v="CHARGES"/>
    <x v="0"/>
    <s v="3221.002"/>
    <s v="Intérêts compensatoires / créances en faveur ctb."/>
    <n v="258.64999999999998"/>
    <n v="0"/>
    <n v="3221"/>
  </r>
  <r>
    <x v="1"/>
    <x v="7"/>
    <x v="6"/>
    <x v="284"/>
    <x v="230"/>
    <x v="230"/>
    <s v="CHARGES"/>
    <x v="1"/>
    <s v="3301.006"/>
    <s v="Abandon de solde PM"/>
    <n v="126.27"/>
    <n v="0"/>
    <n v="3301"/>
  </r>
  <r>
    <x v="1"/>
    <x v="7"/>
    <x v="6"/>
    <x v="284"/>
    <x v="230"/>
    <x v="230"/>
    <s v="CHARGES"/>
    <x v="0"/>
    <s v="3212.002"/>
    <s v="Intérêts bonifiés/trop perçu acompte C/C"/>
    <n v="1.01"/>
    <n v="0"/>
    <n v="3212"/>
  </r>
  <r>
    <x v="1"/>
    <x v="7"/>
    <x v="6"/>
    <x v="284"/>
    <x v="230"/>
    <x v="230"/>
    <s v="CHARGES"/>
    <x v="1"/>
    <s v="3301.002"/>
    <s v="Défalcation PM"/>
    <n v="3309.71"/>
    <n v="0"/>
    <n v="3301"/>
  </r>
  <r>
    <x v="1"/>
    <x v="7"/>
    <x v="6"/>
    <x v="284"/>
    <x v="230"/>
    <x v="230"/>
    <s v="REVENUS"/>
    <x v="17"/>
    <s v="4011.001"/>
    <s v="Impôt bénéfice ordinaire"/>
    <n v="0"/>
    <n v="832068.15"/>
    <n v="4011"/>
  </r>
  <r>
    <x v="1"/>
    <x v="7"/>
    <x v="6"/>
    <x v="284"/>
    <x v="230"/>
    <x v="230"/>
    <s v="REVENUS"/>
    <x v="17"/>
    <s v="4011.007"/>
    <s v="Acompte sur bénéfice"/>
    <n v="0"/>
    <n v="-273465.15000000002"/>
    <n v="4011"/>
  </r>
  <r>
    <x v="1"/>
    <x v="7"/>
    <x v="6"/>
    <x v="284"/>
    <x v="230"/>
    <x v="230"/>
    <s v="REVENUS"/>
    <x v="6"/>
    <s v="4211.002"/>
    <s v="Intérêts de retard sur acomptes"/>
    <n v="0"/>
    <n v="3892.9"/>
    <n v="4211"/>
  </r>
  <r>
    <x v="1"/>
    <x v="7"/>
    <x v="6"/>
    <x v="284"/>
    <x v="230"/>
    <x v="230"/>
    <s v="REVENUS"/>
    <x v="6"/>
    <s v="4221.001"/>
    <s v="Intérêts compensat. / créances en faveur du fisc"/>
    <n v="0"/>
    <n v="182.75"/>
    <n v="4221"/>
  </r>
  <r>
    <x v="1"/>
    <x v="7"/>
    <x v="6"/>
    <x v="284"/>
    <x v="230"/>
    <x v="230"/>
    <s v="REVENUS"/>
    <x v="18"/>
    <s v="4013.001"/>
    <s v="Impôt complémentaire sur immeubles"/>
    <n v="0"/>
    <n v="79806.45"/>
    <n v="4013"/>
  </r>
  <r>
    <x v="1"/>
    <x v="7"/>
    <x v="6"/>
    <x v="284"/>
    <x v="230"/>
    <x v="230"/>
    <s v="REVENUS"/>
    <x v="17"/>
    <s v="4011.002"/>
    <s v="Complément impôt bénéfice ordinaire"/>
    <n v="0"/>
    <n v="-6669.1"/>
    <n v="4011"/>
  </r>
  <r>
    <x v="1"/>
    <x v="7"/>
    <x v="6"/>
    <x v="284"/>
    <x v="230"/>
    <x v="230"/>
    <s v="REVENUS"/>
    <x v="16"/>
    <s v="4012.001"/>
    <s v="Impôt capital ordinaire"/>
    <n v="0"/>
    <n v="11092.25"/>
    <n v="4012"/>
  </r>
  <r>
    <x v="1"/>
    <x v="7"/>
    <x v="6"/>
    <x v="284"/>
    <x v="230"/>
    <x v="230"/>
    <s v="REVENUS"/>
    <x v="6"/>
    <s v="4211.001"/>
    <s v="Intérêts de retard sur factures"/>
    <n v="0"/>
    <n v="595.91999999999996"/>
    <n v="4211"/>
  </r>
  <r>
    <x v="1"/>
    <x v="7"/>
    <x v="6"/>
    <x v="284"/>
    <x v="230"/>
    <x v="230"/>
    <s v="REVENUS"/>
    <x v="16"/>
    <s v="4012.007"/>
    <s v="Acompte sur capital"/>
    <n v="0"/>
    <n v="47872.7"/>
    <n v="4012"/>
  </r>
  <r>
    <x v="1"/>
    <x v="7"/>
    <x v="6"/>
    <x v="284"/>
    <x v="230"/>
    <x v="230"/>
    <s v="REVENUS"/>
    <x v="18"/>
    <s v="4013.003"/>
    <s v="Remboursement impôt complémentaire sur immeubles"/>
    <n v="0"/>
    <n v="-78402.5"/>
    <n v="4013"/>
  </r>
  <r>
    <x v="1"/>
    <x v="7"/>
    <x v="6"/>
    <x v="284"/>
    <x v="230"/>
    <x v="230"/>
    <s v="REVENUS"/>
    <x v="10"/>
    <s v="4041.001"/>
    <s v="Droits de mutation"/>
    <n v="0"/>
    <n v="103631"/>
    <n v="4041"/>
  </r>
  <r>
    <x v="1"/>
    <x v="7"/>
    <x v="6"/>
    <x v="284"/>
    <x v="230"/>
    <x v="230"/>
    <s v="REVENUS"/>
    <x v="18"/>
    <s v="4013.002"/>
    <s v="Complément impôt complémentaire sur immeubles"/>
    <n v="0"/>
    <n v="303.10000000000002"/>
    <n v="4013"/>
  </r>
  <r>
    <x v="1"/>
    <x v="7"/>
    <x v="6"/>
    <x v="284"/>
    <x v="230"/>
    <x v="230"/>
    <s v="REVENUS"/>
    <x v="7"/>
    <s v="4184.000"/>
    <s v="Frais de poursuite"/>
    <n v="0"/>
    <n v="28.38"/>
    <n v="4184"/>
  </r>
  <r>
    <x v="1"/>
    <x v="7"/>
    <x v="6"/>
    <x v="284"/>
    <x v="230"/>
    <x v="230"/>
    <s v="REVENUS"/>
    <x v="16"/>
    <s v="4012.002"/>
    <s v="Complément impôt capital ordinaire"/>
    <n v="0"/>
    <n v="353.75"/>
    <n v="4012"/>
  </r>
  <r>
    <x v="1"/>
    <x v="7"/>
    <x v="6"/>
    <x v="285"/>
    <x v="229"/>
    <x v="229"/>
    <s v="CHARGES"/>
    <x v="0"/>
    <s v="3212.004"/>
    <s v="Intérêts rémun./perçu trop tôt sur acomptes C/C"/>
    <n v="153.88999999999999"/>
    <n v="0"/>
    <n v="3212"/>
  </r>
  <r>
    <x v="1"/>
    <x v="7"/>
    <x v="6"/>
    <x v="285"/>
    <x v="229"/>
    <x v="229"/>
    <s v="CHARGES"/>
    <x v="0"/>
    <s v="3221.002"/>
    <s v="Intérêts compensatoires / créances en faveur ctb."/>
    <n v="54.28"/>
    <n v="0"/>
    <n v="3221"/>
  </r>
  <r>
    <x v="1"/>
    <x v="7"/>
    <x v="6"/>
    <x v="285"/>
    <x v="229"/>
    <x v="229"/>
    <s v="CHARGES"/>
    <x v="1"/>
    <s v="3301.006"/>
    <s v="Abandon de solde PM"/>
    <n v="81.22"/>
    <n v="0"/>
    <n v="3301"/>
  </r>
  <r>
    <x v="1"/>
    <x v="7"/>
    <x v="6"/>
    <x v="285"/>
    <x v="229"/>
    <x v="229"/>
    <s v="CHARGES"/>
    <x v="1"/>
    <s v="3301.002"/>
    <s v="Défalcation PM"/>
    <n v="678.02"/>
    <n v="0"/>
    <n v="3301"/>
  </r>
  <r>
    <x v="1"/>
    <x v="7"/>
    <x v="6"/>
    <x v="285"/>
    <x v="229"/>
    <x v="229"/>
    <s v="REVENUS"/>
    <x v="17"/>
    <s v="4011.007"/>
    <s v="Acompte sur bénéfice"/>
    <n v="0"/>
    <n v="-43988.6"/>
    <n v="4011"/>
  </r>
  <r>
    <x v="1"/>
    <x v="7"/>
    <x v="6"/>
    <x v="285"/>
    <x v="229"/>
    <x v="229"/>
    <s v="REVENUS"/>
    <x v="16"/>
    <s v="4012.001"/>
    <s v="Impôt capital ordinaire"/>
    <n v="0"/>
    <n v="4424.3500000000004"/>
    <n v="4012"/>
  </r>
  <r>
    <x v="1"/>
    <x v="7"/>
    <x v="6"/>
    <x v="285"/>
    <x v="229"/>
    <x v="229"/>
    <s v="REVENUS"/>
    <x v="17"/>
    <s v="4011.001"/>
    <s v="Impôt bénéfice ordinaire"/>
    <n v="0"/>
    <n v="162003.54999999999"/>
    <n v="4011"/>
  </r>
  <r>
    <x v="1"/>
    <x v="7"/>
    <x v="6"/>
    <x v="285"/>
    <x v="229"/>
    <x v="229"/>
    <s v="REVENUS"/>
    <x v="16"/>
    <s v="4012.007"/>
    <s v="Acompte sur capital"/>
    <n v="0"/>
    <n v="4995.95"/>
    <n v="4012"/>
  </r>
  <r>
    <x v="1"/>
    <x v="7"/>
    <x v="6"/>
    <x v="285"/>
    <x v="229"/>
    <x v="229"/>
    <s v="REVENUS"/>
    <x v="6"/>
    <s v="4211.002"/>
    <s v="Intérêts de retard sur acomptes"/>
    <n v="0"/>
    <n v="147.13"/>
    <n v="4211"/>
  </r>
  <r>
    <x v="1"/>
    <x v="7"/>
    <x v="6"/>
    <x v="285"/>
    <x v="229"/>
    <x v="229"/>
    <s v="REVENUS"/>
    <x v="6"/>
    <s v="4221.001"/>
    <s v="Intérêts compensat. / créances en faveur du fisc"/>
    <n v="0"/>
    <n v="19"/>
    <n v="4221"/>
  </r>
  <r>
    <x v="1"/>
    <x v="7"/>
    <x v="6"/>
    <x v="285"/>
    <x v="229"/>
    <x v="229"/>
    <s v="REVENUS"/>
    <x v="18"/>
    <s v="4013.003"/>
    <s v="Remboursement impôt complémentaire sur immeubles"/>
    <n v="0"/>
    <n v="-14890.6"/>
    <n v="4013"/>
  </r>
  <r>
    <x v="1"/>
    <x v="7"/>
    <x v="6"/>
    <x v="285"/>
    <x v="229"/>
    <x v="229"/>
    <s v="REVENUS"/>
    <x v="6"/>
    <s v="4211.001"/>
    <s v="Intérêts de retard sur factures"/>
    <n v="0"/>
    <n v="14.28"/>
    <n v="4211"/>
  </r>
  <r>
    <x v="1"/>
    <x v="7"/>
    <x v="6"/>
    <x v="285"/>
    <x v="229"/>
    <x v="229"/>
    <s v="REVENUS"/>
    <x v="18"/>
    <s v="4013.001"/>
    <s v="Impôt complémentaire sur immeubles"/>
    <n v="0"/>
    <n v="16147.35"/>
    <n v="4013"/>
  </r>
  <r>
    <x v="1"/>
    <x v="7"/>
    <x v="6"/>
    <x v="285"/>
    <x v="229"/>
    <x v="229"/>
    <s v="REVENUS"/>
    <x v="18"/>
    <s v="4013.002"/>
    <s v="Complément impôt complémentaire sur immeubles"/>
    <n v="0"/>
    <n v="15488"/>
    <n v="4013"/>
  </r>
  <r>
    <x v="1"/>
    <x v="7"/>
    <x v="6"/>
    <x v="285"/>
    <x v="229"/>
    <x v="229"/>
    <s v="REVENUS"/>
    <x v="7"/>
    <s v="4184.000"/>
    <s v="Frais de poursuite"/>
    <n v="0"/>
    <n v="25.45"/>
    <n v="4184"/>
  </r>
  <r>
    <x v="1"/>
    <x v="3"/>
    <x v="3"/>
    <x v="286"/>
    <x v="238"/>
    <x v="238"/>
    <s v="CHARGES"/>
    <x v="1"/>
    <s v="3301.006"/>
    <s v="Abandon de solde PM"/>
    <n v="4.84"/>
    <n v="0"/>
    <n v="3301"/>
  </r>
  <r>
    <x v="1"/>
    <x v="3"/>
    <x v="3"/>
    <x v="286"/>
    <x v="238"/>
    <x v="238"/>
    <s v="CHARGES"/>
    <x v="0"/>
    <s v="3212.002"/>
    <s v="Intérêts bonifiés/trop perçu acompte C/C"/>
    <n v="0.02"/>
    <n v="0"/>
    <n v="3212"/>
  </r>
  <r>
    <x v="1"/>
    <x v="3"/>
    <x v="3"/>
    <x v="286"/>
    <x v="238"/>
    <x v="238"/>
    <s v="CHARGES"/>
    <x v="0"/>
    <s v="3212.004"/>
    <s v="Intérêts rémun./perçu trop tôt sur acomptes C/C"/>
    <n v="7.0000000000000007E-2"/>
    <n v="0"/>
    <n v="3212"/>
  </r>
  <r>
    <x v="1"/>
    <x v="3"/>
    <x v="3"/>
    <x v="286"/>
    <x v="238"/>
    <x v="238"/>
    <s v="CHARGES"/>
    <x v="0"/>
    <s v="3221.002"/>
    <s v="Intérêts compensatoires / créances en faveur ctb."/>
    <n v="0.4"/>
    <n v="0"/>
    <n v="3221"/>
  </r>
  <r>
    <x v="1"/>
    <x v="3"/>
    <x v="3"/>
    <x v="286"/>
    <x v="238"/>
    <x v="238"/>
    <s v="REVENUS"/>
    <x v="6"/>
    <s v="4211.001"/>
    <s v="Intérêts de retard sur factures"/>
    <n v="0"/>
    <n v="8.23"/>
    <n v="4211"/>
  </r>
  <r>
    <x v="1"/>
    <x v="3"/>
    <x v="3"/>
    <x v="286"/>
    <x v="238"/>
    <x v="238"/>
    <s v="REVENUS"/>
    <x v="16"/>
    <s v="4012.001"/>
    <s v="Impôt capital ordinaire"/>
    <n v="0"/>
    <n v="498.6"/>
    <n v="4012"/>
  </r>
  <r>
    <x v="1"/>
    <x v="3"/>
    <x v="3"/>
    <x v="286"/>
    <x v="238"/>
    <x v="238"/>
    <s v="REVENUS"/>
    <x v="17"/>
    <s v="4011.001"/>
    <s v="Impôt bénéfice ordinaire"/>
    <n v="0"/>
    <n v="-4424.6499999999996"/>
    <n v="4011"/>
  </r>
  <r>
    <x v="1"/>
    <x v="3"/>
    <x v="3"/>
    <x v="286"/>
    <x v="238"/>
    <x v="238"/>
    <s v="REVENUS"/>
    <x v="17"/>
    <s v="4011.002"/>
    <s v="Complément impôt bénéfice ordinaire"/>
    <n v="0"/>
    <n v="60.8"/>
    <n v="4011"/>
  </r>
  <r>
    <x v="1"/>
    <x v="3"/>
    <x v="3"/>
    <x v="286"/>
    <x v="238"/>
    <x v="238"/>
    <s v="REVENUS"/>
    <x v="17"/>
    <s v="4011.007"/>
    <s v="Acompte sur bénéfice"/>
    <n v="0"/>
    <n v="-165.6"/>
    <n v="4011"/>
  </r>
  <r>
    <x v="1"/>
    <x v="3"/>
    <x v="3"/>
    <x v="286"/>
    <x v="238"/>
    <x v="238"/>
    <s v="REVENUS"/>
    <x v="16"/>
    <s v="4012.007"/>
    <s v="Acompte sur capital"/>
    <n v="0"/>
    <n v="56.5"/>
    <n v="4012"/>
  </r>
  <r>
    <x v="1"/>
    <x v="3"/>
    <x v="3"/>
    <x v="286"/>
    <x v="238"/>
    <x v="238"/>
    <s v="REVENUS"/>
    <x v="16"/>
    <s v="4012.002"/>
    <s v="Complément impôt capital ordinaire"/>
    <n v="0"/>
    <n v="138.6"/>
    <n v="4012"/>
  </r>
  <r>
    <x v="1"/>
    <x v="3"/>
    <x v="3"/>
    <x v="286"/>
    <x v="238"/>
    <x v="238"/>
    <s v="REVENUS"/>
    <x v="6"/>
    <s v="4221.001"/>
    <s v="Intérêts compensat. / créances en faveur du fisc"/>
    <n v="0"/>
    <n v="-4.87"/>
    <n v="4221"/>
  </r>
  <r>
    <x v="1"/>
    <x v="3"/>
    <x v="3"/>
    <x v="286"/>
    <x v="238"/>
    <x v="238"/>
    <s v="REVENUS"/>
    <x v="6"/>
    <s v="4211.002"/>
    <s v="Intérêts de retard sur acomptes"/>
    <n v="0"/>
    <n v="9.5500000000000007"/>
    <n v="4211"/>
  </r>
  <r>
    <x v="1"/>
    <x v="3"/>
    <x v="3"/>
    <x v="286"/>
    <x v="238"/>
    <x v="238"/>
    <s v="REVENUS"/>
    <x v="18"/>
    <s v="4013.001"/>
    <s v="Impôt complémentaire sur immeubles"/>
    <n v="0"/>
    <n v="637.5"/>
    <n v="4013"/>
  </r>
  <r>
    <x v="1"/>
    <x v="3"/>
    <x v="3"/>
    <x v="287"/>
    <x v="239"/>
    <x v="239"/>
    <s v="CHARGES"/>
    <x v="0"/>
    <s v="3221.002"/>
    <s v="Intérêts compensatoires / créances en faveur ctb."/>
    <n v="6.31"/>
    <n v="0"/>
    <n v="3221"/>
  </r>
  <r>
    <x v="1"/>
    <x v="3"/>
    <x v="3"/>
    <x v="287"/>
    <x v="239"/>
    <x v="239"/>
    <s v="CHARGES"/>
    <x v="0"/>
    <s v="3212.002"/>
    <s v="Intérêts bonifiés/trop perçu acompte C/C"/>
    <n v="0.06"/>
    <n v="0"/>
    <n v="3212"/>
  </r>
  <r>
    <x v="1"/>
    <x v="3"/>
    <x v="3"/>
    <x v="287"/>
    <x v="239"/>
    <x v="239"/>
    <s v="CHARGES"/>
    <x v="0"/>
    <s v="3212.004"/>
    <s v="Intérêts rémun./perçu trop tôt sur acomptes C/C"/>
    <n v="5.99"/>
    <n v="0"/>
    <n v="3212"/>
  </r>
  <r>
    <x v="1"/>
    <x v="3"/>
    <x v="3"/>
    <x v="287"/>
    <x v="239"/>
    <x v="239"/>
    <s v="CHARGES"/>
    <x v="1"/>
    <s v="3301.006"/>
    <s v="Abandon de solde PM"/>
    <n v="6.95"/>
    <n v="0"/>
    <n v="3301"/>
  </r>
  <r>
    <x v="1"/>
    <x v="3"/>
    <x v="3"/>
    <x v="287"/>
    <x v="239"/>
    <x v="239"/>
    <s v="REVENUS"/>
    <x v="10"/>
    <s v="4041.001"/>
    <s v="Droits de mutation"/>
    <n v="0"/>
    <n v="7161"/>
    <n v="4041"/>
  </r>
  <r>
    <x v="1"/>
    <x v="3"/>
    <x v="3"/>
    <x v="287"/>
    <x v="239"/>
    <x v="239"/>
    <s v="REVENUS"/>
    <x v="17"/>
    <s v="4011.001"/>
    <s v="Impôt bénéfice ordinaire"/>
    <n v="0"/>
    <n v="26622.65"/>
    <n v="4011"/>
  </r>
  <r>
    <x v="1"/>
    <x v="3"/>
    <x v="3"/>
    <x v="287"/>
    <x v="239"/>
    <x v="239"/>
    <s v="REVENUS"/>
    <x v="16"/>
    <s v="4012.007"/>
    <s v="Acompte sur capital"/>
    <n v="0"/>
    <n v="332.5"/>
    <n v="4012"/>
  </r>
  <r>
    <x v="1"/>
    <x v="3"/>
    <x v="3"/>
    <x v="287"/>
    <x v="239"/>
    <x v="239"/>
    <s v="REVENUS"/>
    <x v="6"/>
    <s v="4211.002"/>
    <s v="Intérêts de retard sur acomptes"/>
    <n v="0"/>
    <n v="17.190000000000001"/>
    <n v="4211"/>
  </r>
  <r>
    <x v="1"/>
    <x v="3"/>
    <x v="3"/>
    <x v="287"/>
    <x v="239"/>
    <x v="239"/>
    <s v="REVENUS"/>
    <x v="6"/>
    <s v="4221.001"/>
    <s v="Intérêts compensat. / créances en faveur du fisc"/>
    <n v="0"/>
    <n v="5.65"/>
    <n v="4221"/>
  </r>
  <r>
    <x v="1"/>
    <x v="3"/>
    <x v="3"/>
    <x v="287"/>
    <x v="239"/>
    <x v="239"/>
    <s v="REVENUS"/>
    <x v="17"/>
    <s v="4011.002"/>
    <s v="Complément impôt bénéfice ordinaire"/>
    <n v="0"/>
    <n v="1472.9"/>
    <n v="4011"/>
  </r>
  <r>
    <x v="1"/>
    <x v="3"/>
    <x v="3"/>
    <x v="287"/>
    <x v="239"/>
    <x v="239"/>
    <s v="REVENUS"/>
    <x v="17"/>
    <s v="4011.007"/>
    <s v="Acompte sur bénéfice"/>
    <n v="0"/>
    <n v="-7812.95"/>
    <n v="4011"/>
  </r>
  <r>
    <x v="1"/>
    <x v="3"/>
    <x v="3"/>
    <x v="287"/>
    <x v="239"/>
    <x v="239"/>
    <s v="REVENUS"/>
    <x v="6"/>
    <s v="4211.001"/>
    <s v="Intérêts de retard sur factures"/>
    <n v="0"/>
    <n v="2.4300000000000002"/>
    <n v="4211"/>
  </r>
  <r>
    <x v="1"/>
    <x v="3"/>
    <x v="3"/>
    <x v="287"/>
    <x v="239"/>
    <x v="239"/>
    <s v="REVENUS"/>
    <x v="16"/>
    <s v="4012.001"/>
    <s v="Impôt capital ordinaire"/>
    <n v="0"/>
    <n v="53.85"/>
    <n v="4012"/>
  </r>
  <r>
    <x v="1"/>
    <x v="3"/>
    <x v="3"/>
    <x v="287"/>
    <x v="239"/>
    <x v="239"/>
    <s v="REVENUS"/>
    <x v="7"/>
    <s v="4184.000"/>
    <s v="Frais de poursuite"/>
    <n v="0"/>
    <n v="110.29"/>
    <n v="4184"/>
  </r>
  <r>
    <x v="1"/>
    <x v="3"/>
    <x v="3"/>
    <x v="375"/>
    <x v="240"/>
    <x v="240"/>
    <s v="CHARGES"/>
    <x v="0"/>
    <s v="3212.002"/>
    <s v="Intérêts bonifiés/trop perçu acompte C/C"/>
    <n v="0.18"/>
    <n v="0"/>
    <n v="3212"/>
  </r>
  <r>
    <x v="1"/>
    <x v="3"/>
    <x v="3"/>
    <x v="375"/>
    <x v="240"/>
    <x v="240"/>
    <s v="REVENUS"/>
    <x v="17"/>
    <s v="4011.001"/>
    <s v="Impôt bénéfice ordinaire"/>
    <n v="0"/>
    <n v="-4315.6499999999996"/>
    <n v="4011"/>
  </r>
  <r>
    <x v="1"/>
    <x v="3"/>
    <x v="3"/>
    <x v="375"/>
    <x v="240"/>
    <x v="240"/>
    <s v="REVENUS"/>
    <x v="17"/>
    <s v="4011.002"/>
    <s v="Complément impôt bénéfice ordinaire"/>
    <n v="0"/>
    <n v="4315.6499999999996"/>
    <n v="4011"/>
  </r>
  <r>
    <x v="1"/>
    <x v="3"/>
    <x v="3"/>
    <x v="288"/>
    <x v="240"/>
    <x v="240"/>
    <s v="CHARGES"/>
    <x v="0"/>
    <s v="3212.002"/>
    <s v="Intérêts bonifiés/trop perçu acompte C/C"/>
    <n v="0.05"/>
    <n v="0"/>
    <n v="3212"/>
  </r>
  <r>
    <x v="1"/>
    <x v="3"/>
    <x v="3"/>
    <x v="288"/>
    <x v="240"/>
    <x v="240"/>
    <s v="REVENUS"/>
    <x v="17"/>
    <s v="4011.002"/>
    <s v="Complément impôt bénéfice ordinaire"/>
    <n v="0"/>
    <n v="1275.8499999999999"/>
    <n v="4011"/>
  </r>
  <r>
    <x v="1"/>
    <x v="3"/>
    <x v="3"/>
    <x v="288"/>
    <x v="240"/>
    <x v="240"/>
    <s v="REVENUS"/>
    <x v="17"/>
    <s v="4011.001"/>
    <s v="Impôt bénéfice ordinaire"/>
    <n v="0"/>
    <n v="-1275.8499999999999"/>
    <n v="4011"/>
  </r>
  <r>
    <x v="1"/>
    <x v="3"/>
    <x v="3"/>
    <x v="289"/>
    <x v="241"/>
    <x v="241"/>
    <s v="CHARGES"/>
    <x v="1"/>
    <s v="3301.006"/>
    <s v="Abandon de solde PM"/>
    <n v="97.75"/>
    <n v="0"/>
    <n v="3301"/>
  </r>
  <r>
    <x v="1"/>
    <x v="3"/>
    <x v="3"/>
    <x v="289"/>
    <x v="241"/>
    <x v="241"/>
    <s v="CHARGES"/>
    <x v="0"/>
    <s v="3221.002"/>
    <s v="Intérêts compensatoires / créances en faveur ctb."/>
    <n v="77.34"/>
    <n v="0"/>
    <n v="3221"/>
  </r>
  <r>
    <x v="1"/>
    <x v="3"/>
    <x v="3"/>
    <x v="289"/>
    <x v="241"/>
    <x v="241"/>
    <s v="CHARGES"/>
    <x v="1"/>
    <s v="3301.002"/>
    <s v="Défalcation PM"/>
    <n v="13850.19"/>
    <n v="0"/>
    <n v="3301"/>
  </r>
  <r>
    <x v="1"/>
    <x v="3"/>
    <x v="3"/>
    <x v="289"/>
    <x v="241"/>
    <x v="241"/>
    <s v="CHARGES"/>
    <x v="0"/>
    <s v="3212.002"/>
    <s v="Intérêts bonifiés/trop perçu acompte C/C"/>
    <n v="14.49"/>
    <n v="0"/>
    <n v="3212"/>
  </r>
  <r>
    <x v="1"/>
    <x v="3"/>
    <x v="3"/>
    <x v="289"/>
    <x v="241"/>
    <x v="241"/>
    <s v="CHARGES"/>
    <x v="0"/>
    <s v="3212.004"/>
    <s v="Intérêts rémun./perçu trop tôt sur acomptes C/C"/>
    <n v="54.38"/>
    <n v="0"/>
    <n v="3212"/>
  </r>
  <r>
    <x v="1"/>
    <x v="3"/>
    <x v="3"/>
    <x v="289"/>
    <x v="241"/>
    <x v="241"/>
    <s v="REVENUS"/>
    <x v="17"/>
    <s v="4011.007"/>
    <s v="Acompte sur bénéfice"/>
    <n v="0"/>
    <n v="-161776"/>
    <n v="4011"/>
  </r>
  <r>
    <x v="1"/>
    <x v="3"/>
    <x v="3"/>
    <x v="289"/>
    <x v="241"/>
    <x v="241"/>
    <s v="REVENUS"/>
    <x v="16"/>
    <s v="4012.001"/>
    <s v="Impôt capital ordinaire"/>
    <n v="0"/>
    <n v="6949.1"/>
    <n v="4012"/>
  </r>
  <r>
    <x v="1"/>
    <x v="3"/>
    <x v="3"/>
    <x v="289"/>
    <x v="241"/>
    <x v="241"/>
    <s v="REVENUS"/>
    <x v="18"/>
    <s v="4013.001"/>
    <s v="Impôt complémentaire sur immeubles"/>
    <n v="0"/>
    <n v="35869"/>
    <n v="4013"/>
  </r>
  <r>
    <x v="1"/>
    <x v="3"/>
    <x v="3"/>
    <x v="289"/>
    <x v="241"/>
    <x v="241"/>
    <s v="REVENUS"/>
    <x v="10"/>
    <s v="4041.001"/>
    <s v="Droits de mutation"/>
    <n v="0"/>
    <n v="88222.6"/>
    <n v="4041"/>
  </r>
  <r>
    <x v="1"/>
    <x v="3"/>
    <x v="3"/>
    <x v="289"/>
    <x v="241"/>
    <x v="241"/>
    <s v="REVENUS"/>
    <x v="17"/>
    <s v="4011.001"/>
    <s v="Impôt bénéfice ordinaire"/>
    <n v="0"/>
    <n v="221406.9"/>
    <n v="4011"/>
  </r>
  <r>
    <x v="1"/>
    <x v="3"/>
    <x v="3"/>
    <x v="289"/>
    <x v="241"/>
    <x v="241"/>
    <s v="REVENUS"/>
    <x v="17"/>
    <s v="4011.002"/>
    <s v="Complément impôt bénéfice ordinaire"/>
    <n v="0"/>
    <n v="21587.599999999999"/>
    <n v="4011"/>
  </r>
  <r>
    <x v="1"/>
    <x v="3"/>
    <x v="3"/>
    <x v="289"/>
    <x v="241"/>
    <x v="241"/>
    <s v="REVENUS"/>
    <x v="16"/>
    <s v="4012.007"/>
    <s v="Acompte sur capital"/>
    <n v="0"/>
    <n v="15203.7"/>
    <n v="4012"/>
  </r>
  <r>
    <x v="1"/>
    <x v="3"/>
    <x v="3"/>
    <x v="289"/>
    <x v="241"/>
    <x v="241"/>
    <s v="REVENUS"/>
    <x v="6"/>
    <s v="4211.001"/>
    <s v="Intérêts de retard sur factures"/>
    <n v="0"/>
    <n v="2061.54"/>
    <n v="4211"/>
  </r>
  <r>
    <x v="1"/>
    <x v="3"/>
    <x v="3"/>
    <x v="289"/>
    <x v="241"/>
    <x v="241"/>
    <s v="REVENUS"/>
    <x v="6"/>
    <s v="4211.002"/>
    <s v="Intérêts de retard sur acomptes"/>
    <n v="0"/>
    <n v="689.49"/>
    <n v="4211"/>
  </r>
  <r>
    <x v="1"/>
    <x v="3"/>
    <x v="3"/>
    <x v="289"/>
    <x v="241"/>
    <x v="241"/>
    <s v="REVENUS"/>
    <x v="6"/>
    <s v="4221.001"/>
    <s v="Intérêts compensat. / créances en faveur du fisc"/>
    <n v="0"/>
    <n v="80.72"/>
    <n v="4221"/>
  </r>
  <r>
    <x v="1"/>
    <x v="3"/>
    <x v="3"/>
    <x v="289"/>
    <x v="241"/>
    <x v="241"/>
    <s v="REVENUS"/>
    <x v="7"/>
    <s v="4184.000"/>
    <s v="Frais de poursuite"/>
    <n v="0"/>
    <n v="346.13"/>
    <n v="4184"/>
  </r>
  <r>
    <x v="1"/>
    <x v="3"/>
    <x v="3"/>
    <x v="289"/>
    <x v="241"/>
    <x v="241"/>
    <s v="REVENUS"/>
    <x v="18"/>
    <s v="4013.002"/>
    <s v="Complément impôt complémentaire sur immeubles"/>
    <n v="0"/>
    <n v="57"/>
    <n v="4013"/>
  </r>
  <r>
    <x v="1"/>
    <x v="3"/>
    <x v="3"/>
    <x v="289"/>
    <x v="241"/>
    <x v="241"/>
    <s v="REVENUS"/>
    <x v="16"/>
    <s v="4012.002"/>
    <s v="Complément impôt capital ordinaire"/>
    <n v="0"/>
    <n v="5460.9"/>
    <n v="4012"/>
  </r>
  <r>
    <x v="1"/>
    <x v="3"/>
    <x v="3"/>
    <x v="289"/>
    <x v="241"/>
    <x v="241"/>
    <s v="REVENUS"/>
    <x v="18"/>
    <s v="4013.003"/>
    <s v="Remboursement impôt complémentaire sur immeubles"/>
    <n v="0"/>
    <n v="-675"/>
    <n v="4013"/>
  </r>
  <r>
    <x v="1"/>
    <x v="3"/>
    <x v="3"/>
    <x v="290"/>
    <x v="242"/>
    <x v="242"/>
    <s v="CHARGES"/>
    <x v="1"/>
    <s v="3301.006"/>
    <s v="Abandon de solde PM"/>
    <n v="33.159999999999997"/>
    <n v="0"/>
    <n v="3301"/>
  </r>
  <r>
    <x v="1"/>
    <x v="3"/>
    <x v="3"/>
    <x v="290"/>
    <x v="242"/>
    <x v="242"/>
    <s v="CHARGES"/>
    <x v="0"/>
    <s v="3212.002"/>
    <s v="Intérêts bonifiés/trop perçu acompte C/C"/>
    <n v="0.35"/>
    <n v="0"/>
    <n v="3212"/>
  </r>
  <r>
    <x v="1"/>
    <x v="3"/>
    <x v="3"/>
    <x v="290"/>
    <x v="242"/>
    <x v="242"/>
    <s v="CHARGES"/>
    <x v="0"/>
    <s v="3212.004"/>
    <s v="Intérêts rémun./perçu trop tôt sur acomptes C/C"/>
    <n v="6.97"/>
    <n v="0"/>
    <n v="3212"/>
  </r>
  <r>
    <x v="1"/>
    <x v="3"/>
    <x v="3"/>
    <x v="290"/>
    <x v="242"/>
    <x v="242"/>
    <s v="CHARGES"/>
    <x v="0"/>
    <s v="3221.002"/>
    <s v="Intérêts compensatoires / créances en faveur ctb."/>
    <n v="18.21"/>
    <n v="0"/>
    <n v="3221"/>
  </r>
  <r>
    <x v="1"/>
    <x v="3"/>
    <x v="3"/>
    <x v="290"/>
    <x v="242"/>
    <x v="242"/>
    <s v="CHARGES"/>
    <x v="1"/>
    <s v="3301.002"/>
    <s v="Défalcation PM"/>
    <n v="1611.99"/>
    <n v="0"/>
    <n v="3301"/>
  </r>
  <r>
    <x v="1"/>
    <x v="3"/>
    <x v="3"/>
    <x v="290"/>
    <x v="242"/>
    <x v="242"/>
    <s v="REVENUS"/>
    <x v="6"/>
    <s v="4211.001"/>
    <s v="Intérêts de retard sur factures"/>
    <n v="0"/>
    <n v="24.03"/>
    <n v="4211"/>
  </r>
  <r>
    <x v="1"/>
    <x v="3"/>
    <x v="3"/>
    <x v="290"/>
    <x v="242"/>
    <x v="242"/>
    <s v="REVENUS"/>
    <x v="16"/>
    <s v="4012.001"/>
    <s v="Impôt capital ordinaire"/>
    <n v="0"/>
    <n v="412.75"/>
    <n v="4012"/>
  </r>
  <r>
    <x v="1"/>
    <x v="3"/>
    <x v="3"/>
    <x v="290"/>
    <x v="242"/>
    <x v="242"/>
    <s v="REVENUS"/>
    <x v="16"/>
    <s v="4012.007"/>
    <s v="Acompte sur capital"/>
    <n v="0"/>
    <n v="510"/>
    <n v="4012"/>
  </r>
  <r>
    <x v="1"/>
    <x v="3"/>
    <x v="3"/>
    <x v="290"/>
    <x v="242"/>
    <x v="242"/>
    <s v="REVENUS"/>
    <x v="6"/>
    <s v="4211.002"/>
    <s v="Intérêts de retard sur acomptes"/>
    <n v="0"/>
    <n v="68.53"/>
    <n v="4211"/>
  </r>
  <r>
    <x v="1"/>
    <x v="3"/>
    <x v="3"/>
    <x v="290"/>
    <x v="242"/>
    <x v="242"/>
    <s v="REVENUS"/>
    <x v="18"/>
    <s v="4013.001"/>
    <s v="Impôt complémentaire sur immeubles"/>
    <n v="0"/>
    <n v="4565.45"/>
    <n v="4013"/>
  </r>
  <r>
    <x v="1"/>
    <x v="3"/>
    <x v="3"/>
    <x v="290"/>
    <x v="242"/>
    <x v="242"/>
    <s v="REVENUS"/>
    <x v="17"/>
    <s v="4011.001"/>
    <s v="Impôt bénéfice ordinaire"/>
    <n v="0"/>
    <n v="12257"/>
    <n v="4011"/>
  </r>
  <r>
    <x v="1"/>
    <x v="3"/>
    <x v="3"/>
    <x v="290"/>
    <x v="242"/>
    <x v="242"/>
    <s v="REVENUS"/>
    <x v="17"/>
    <s v="4011.002"/>
    <s v="Complément impôt bénéfice ordinaire"/>
    <n v="0"/>
    <n v="7771.5"/>
    <n v="4011"/>
  </r>
  <r>
    <x v="1"/>
    <x v="3"/>
    <x v="3"/>
    <x v="290"/>
    <x v="242"/>
    <x v="242"/>
    <s v="REVENUS"/>
    <x v="17"/>
    <s v="4011.007"/>
    <s v="Acompte sur bénéfice"/>
    <n v="0"/>
    <n v="-12482.75"/>
    <n v="4011"/>
  </r>
  <r>
    <x v="1"/>
    <x v="3"/>
    <x v="3"/>
    <x v="290"/>
    <x v="242"/>
    <x v="242"/>
    <s v="REVENUS"/>
    <x v="6"/>
    <s v="4221.001"/>
    <s v="Intérêts compensat. / créances en faveur du fisc"/>
    <n v="0"/>
    <n v="7.5"/>
    <n v="4221"/>
  </r>
  <r>
    <x v="1"/>
    <x v="3"/>
    <x v="3"/>
    <x v="290"/>
    <x v="242"/>
    <x v="242"/>
    <s v="REVENUS"/>
    <x v="7"/>
    <s v="4184.000"/>
    <s v="Frais de poursuite"/>
    <n v="0"/>
    <n v="106.35"/>
    <n v="4184"/>
  </r>
  <r>
    <x v="1"/>
    <x v="3"/>
    <x v="3"/>
    <x v="290"/>
    <x v="242"/>
    <x v="242"/>
    <s v="REVENUS"/>
    <x v="10"/>
    <s v="4041.001"/>
    <s v="Droits de mutation"/>
    <n v="0"/>
    <n v="27.2"/>
    <n v="4041"/>
  </r>
  <r>
    <x v="1"/>
    <x v="3"/>
    <x v="3"/>
    <x v="291"/>
    <x v="240"/>
    <x v="240"/>
    <s v="CHARGES"/>
    <x v="0"/>
    <s v="3212.002"/>
    <s v="Intérêts bonifiés/trop perçu acompte C/C"/>
    <n v="0.32"/>
    <n v="0"/>
    <n v="3212"/>
  </r>
  <r>
    <x v="1"/>
    <x v="3"/>
    <x v="3"/>
    <x v="291"/>
    <x v="240"/>
    <x v="240"/>
    <s v="REVENUS"/>
    <x v="17"/>
    <s v="4011.001"/>
    <s v="Impôt bénéfice ordinaire"/>
    <n v="0"/>
    <n v="-7790.5"/>
    <n v="4011"/>
  </r>
  <r>
    <x v="1"/>
    <x v="3"/>
    <x v="3"/>
    <x v="291"/>
    <x v="240"/>
    <x v="240"/>
    <s v="REVENUS"/>
    <x v="17"/>
    <s v="4011.002"/>
    <s v="Complément impôt bénéfice ordinaire"/>
    <n v="0"/>
    <n v="7790.5"/>
    <n v="4011"/>
  </r>
  <r>
    <x v="1"/>
    <x v="3"/>
    <x v="3"/>
    <x v="292"/>
    <x v="243"/>
    <x v="243"/>
    <s v="CHARGES"/>
    <x v="0"/>
    <s v="3221.002"/>
    <s v="Intérêts compensatoires / créances en faveur ctb."/>
    <n v="4.91"/>
    <n v="0"/>
    <n v="3221"/>
  </r>
  <r>
    <x v="1"/>
    <x v="3"/>
    <x v="3"/>
    <x v="292"/>
    <x v="243"/>
    <x v="243"/>
    <s v="CHARGES"/>
    <x v="1"/>
    <s v="3301.006"/>
    <s v="Abandon de solde PM"/>
    <n v="8.32"/>
    <n v="0"/>
    <n v="3301"/>
  </r>
  <r>
    <x v="1"/>
    <x v="3"/>
    <x v="3"/>
    <x v="292"/>
    <x v="243"/>
    <x v="243"/>
    <s v="CHARGES"/>
    <x v="0"/>
    <s v="3212.004"/>
    <s v="Intérêts rémun./perçu trop tôt sur acomptes C/C"/>
    <n v="2.8"/>
    <n v="0"/>
    <n v="3212"/>
  </r>
  <r>
    <x v="1"/>
    <x v="3"/>
    <x v="3"/>
    <x v="292"/>
    <x v="243"/>
    <x v="243"/>
    <s v="CHARGES"/>
    <x v="0"/>
    <s v="3212.002"/>
    <s v="Intérêts bonifiés/trop perçu acompte C/C"/>
    <n v="0.2"/>
    <n v="0"/>
    <n v="3212"/>
  </r>
  <r>
    <x v="1"/>
    <x v="3"/>
    <x v="3"/>
    <x v="292"/>
    <x v="243"/>
    <x v="243"/>
    <s v="CHARGES"/>
    <x v="1"/>
    <s v="3301.002"/>
    <s v="Défalcation PM"/>
    <n v="54421.91"/>
    <n v="0"/>
    <n v="3301"/>
  </r>
  <r>
    <x v="1"/>
    <x v="3"/>
    <x v="3"/>
    <x v="292"/>
    <x v="243"/>
    <x v="243"/>
    <s v="REVENUS"/>
    <x v="18"/>
    <s v="4013.001"/>
    <s v="Impôt complémentaire sur immeubles"/>
    <n v="0"/>
    <n v="2080.9499999999998"/>
    <n v="4013"/>
  </r>
  <r>
    <x v="1"/>
    <x v="3"/>
    <x v="3"/>
    <x v="292"/>
    <x v="243"/>
    <x v="243"/>
    <s v="REVENUS"/>
    <x v="17"/>
    <s v="4011.001"/>
    <s v="Impôt bénéfice ordinaire"/>
    <n v="0"/>
    <n v="30017.75"/>
    <n v="4011"/>
  </r>
  <r>
    <x v="1"/>
    <x v="3"/>
    <x v="3"/>
    <x v="292"/>
    <x v="243"/>
    <x v="243"/>
    <s v="REVENUS"/>
    <x v="17"/>
    <s v="4011.002"/>
    <s v="Complément impôt bénéfice ordinaire"/>
    <n v="0"/>
    <n v="3160.8"/>
    <n v="4011"/>
  </r>
  <r>
    <x v="1"/>
    <x v="3"/>
    <x v="3"/>
    <x v="292"/>
    <x v="243"/>
    <x v="243"/>
    <s v="REVENUS"/>
    <x v="6"/>
    <s v="4211.001"/>
    <s v="Intérêts de retard sur factures"/>
    <n v="0"/>
    <n v="4883.78"/>
    <n v="4211"/>
  </r>
  <r>
    <x v="1"/>
    <x v="3"/>
    <x v="3"/>
    <x v="292"/>
    <x v="243"/>
    <x v="243"/>
    <s v="REVENUS"/>
    <x v="6"/>
    <s v="4221.001"/>
    <s v="Intérêts compensat. / créances en faveur du fisc"/>
    <n v="0"/>
    <n v="29.29"/>
    <n v="4221"/>
  </r>
  <r>
    <x v="1"/>
    <x v="3"/>
    <x v="3"/>
    <x v="292"/>
    <x v="243"/>
    <x v="243"/>
    <s v="REVENUS"/>
    <x v="16"/>
    <s v="4012.001"/>
    <s v="Impôt capital ordinaire"/>
    <n v="0"/>
    <n v="1698.7"/>
    <n v="4012"/>
  </r>
  <r>
    <x v="1"/>
    <x v="3"/>
    <x v="3"/>
    <x v="292"/>
    <x v="243"/>
    <x v="243"/>
    <s v="REVENUS"/>
    <x v="6"/>
    <s v="4211.002"/>
    <s v="Intérêts de retard sur acomptes"/>
    <n v="0"/>
    <n v="97.62"/>
    <n v="4211"/>
  </r>
  <r>
    <x v="1"/>
    <x v="3"/>
    <x v="3"/>
    <x v="292"/>
    <x v="243"/>
    <x v="243"/>
    <s v="REVENUS"/>
    <x v="16"/>
    <s v="4012.007"/>
    <s v="Acompte sur capital"/>
    <n v="0"/>
    <n v="-2656.7"/>
    <n v="4012"/>
  </r>
  <r>
    <x v="1"/>
    <x v="3"/>
    <x v="3"/>
    <x v="292"/>
    <x v="243"/>
    <x v="243"/>
    <s v="REVENUS"/>
    <x v="10"/>
    <s v="4041.001"/>
    <s v="Droits de mutation"/>
    <n v="0"/>
    <n v="8232.9500000000007"/>
    <n v="4041"/>
  </r>
  <r>
    <x v="1"/>
    <x v="3"/>
    <x v="3"/>
    <x v="292"/>
    <x v="243"/>
    <x v="243"/>
    <s v="REVENUS"/>
    <x v="18"/>
    <s v="4013.002"/>
    <s v="Complément impôt complémentaire sur immeubles"/>
    <n v="0"/>
    <n v="28.8"/>
    <n v="4013"/>
  </r>
  <r>
    <x v="1"/>
    <x v="3"/>
    <x v="3"/>
    <x v="292"/>
    <x v="243"/>
    <x v="243"/>
    <s v="REVENUS"/>
    <x v="7"/>
    <s v="4184.000"/>
    <s v="Frais de poursuite"/>
    <n v="0"/>
    <n v="506.14"/>
    <n v="4184"/>
  </r>
  <r>
    <x v="1"/>
    <x v="3"/>
    <x v="3"/>
    <x v="292"/>
    <x v="243"/>
    <x v="243"/>
    <s v="REVENUS"/>
    <x v="17"/>
    <s v="4011.007"/>
    <s v="Acompte sur bénéfice"/>
    <n v="0"/>
    <n v="49015.45"/>
    <n v="4011"/>
  </r>
  <r>
    <x v="1"/>
    <x v="3"/>
    <x v="3"/>
    <x v="292"/>
    <x v="243"/>
    <x v="243"/>
    <s v="REVENUS"/>
    <x v="18"/>
    <s v="4013.003"/>
    <s v="Remboursement impôt complémentaire sur immeubles"/>
    <n v="0"/>
    <n v="-62.45"/>
    <n v="4013"/>
  </r>
  <r>
    <x v="1"/>
    <x v="3"/>
    <x v="3"/>
    <x v="293"/>
    <x v="240"/>
    <x v="240"/>
    <s v="CHARGES"/>
    <x v="0"/>
    <s v="3212.002"/>
    <s v="Intérêts bonifiés/trop perçu acompte C/C"/>
    <n v="0.01"/>
    <n v="0"/>
    <n v="3212"/>
  </r>
  <r>
    <x v="1"/>
    <x v="3"/>
    <x v="3"/>
    <x v="293"/>
    <x v="240"/>
    <x v="240"/>
    <s v="REVENUS"/>
    <x v="17"/>
    <s v="4011.001"/>
    <s v="Impôt bénéfice ordinaire"/>
    <n v="0"/>
    <n v="-137.30000000000001"/>
    <n v="4011"/>
  </r>
  <r>
    <x v="1"/>
    <x v="3"/>
    <x v="3"/>
    <x v="293"/>
    <x v="240"/>
    <x v="240"/>
    <s v="REVENUS"/>
    <x v="17"/>
    <s v="4011.002"/>
    <s v="Complément impôt bénéfice ordinaire"/>
    <n v="0"/>
    <n v="137.30000000000001"/>
    <n v="4011"/>
  </r>
  <r>
    <x v="1"/>
    <x v="3"/>
    <x v="3"/>
    <x v="294"/>
    <x v="244"/>
    <x v="244"/>
    <s v="CHARGES"/>
    <x v="1"/>
    <s v="3301.006"/>
    <s v="Abandon de solde PM"/>
    <n v="3.04"/>
    <n v="0"/>
    <n v="3301"/>
  </r>
  <r>
    <x v="1"/>
    <x v="3"/>
    <x v="3"/>
    <x v="294"/>
    <x v="244"/>
    <x v="244"/>
    <s v="CHARGES"/>
    <x v="0"/>
    <s v="3221.002"/>
    <s v="Intérêts compensatoires / créances en faveur ctb."/>
    <n v="2.69"/>
    <n v="0"/>
    <n v="3221"/>
  </r>
  <r>
    <x v="1"/>
    <x v="3"/>
    <x v="3"/>
    <x v="294"/>
    <x v="244"/>
    <x v="244"/>
    <s v="CHARGES"/>
    <x v="0"/>
    <s v="3212.004"/>
    <s v="Intérêts rémun./perçu trop tôt sur acomptes C/C"/>
    <n v="2.58"/>
    <n v="0"/>
    <n v="3212"/>
  </r>
  <r>
    <x v="1"/>
    <x v="3"/>
    <x v="3"/>
    <x v="294"/>
    <x v="244"/>
    <x v="244"/>
    <s v="CHARGES"/>
    <x v="0"/>
    <s v="3212.002"/>
    <s v="Intérêts bonifiés/trop perçu acompte C/C"/>
    <n v="0.02"/>
    <n v="0"/>
    <n v="3212"/>
  </r>
  <r>
    <x v="1"/>
    <x v="3"/>
    <x v="3"/>
    <x v="294"/>
    <x v="244"/>
    <x v="244"/>
    <s v="REVENUS"/>
    <x v="16"/>
    <s v="4012.001"/>
    <s v="Impôt capital ordinaire"/>
    <n v="0"/>
    <n v="534.54999999999995"/>
    <n v="4012"/>
  </r>
  <r>
    <x v="1"/>
    <x v="3"/>
    <x v="3"/>
    <x v="294"/>
    <x v="244"/>
    <x v="244"/>
    <s v="REVENUS"/>
    <x v="16"/>
    <s v="4012.007"/>
    <s v="Acompte sur capital"/>
    <n v="0"/>
    <n v="-128"/>
    <n v="4012"/>
  </r>
  <r>
    <x v="1"/>
    <x v="3"/>
    <x v="3"/>
    <x v="294"/>
    <x v="244"/>
    <x v="244"/>
    <s v="REVENUS"/>
    <x v="17"/>
    <s v="4011.001"/>
    <s v="Impôt bénéfice ordinaire"/>
    <n v="0"/>
    <n v="3667.6"/>
    <n v="4011"/>
  </r>
  <r>
    <x v="1"/>
    <x v="3"/>
    <x v="3"/>
    <x v="294"/>
    <x v="244"/>
    <x v="244"/>
    <s v="REVENUS"/>
    <x v="17"/>
    <s v="4011.002"/>
    <s v="Complément impôt bénéfice ordinaire"/>
    <n v="0"/>
    <n v="659.95"/>
    <n v="4011"/>
  </r>
  <r>
    <x v="1"/>
    <x v="3"/>
    <x v="3"/>
    <x v="294"/>
    <x v="244"/>
    <x v="244"/>
    <s v="REVENUS"/>
    <x v="6"/>
    <s v="4211.001"/>
    <s v="Intérêts de retard sur factures"/>
    <n v="0"/>
    <n v="0.98"/>
    <n v="4211"/>
  </r>
  <r>
    <x v="1"/>
    <x v="3"/>
    <x v="3"/>
    <x v="294"/>
    <x v="244"/>
    <x v="244"/>
    <s v="REVENUS"/>
    <x v="6"/>
    <s v="4221.001"/>
    <s v="Intérêts compensat. / créances en faveur du fisc"/>
    <n v="0"/>
    <n v="0.52"/>
    <n v="4221"/>
  </r>
  <r>
    <x v="1"/>
    <x v="3"/>
    <x v="3"/>
    <x v="294"/>
    <x v="244"/>
    <x v="244"/>
    <s v="REVENUS"/>
    <x v="6"/>
    <s v="4211.002"/>
    <s v="Intérêts de retard sur acomptes"/>
    <n v="0"/>
    <n v="5.85"/>
    <n v="4211"/>
  </r>
  <r>
    <x v="1"/>
    <x v="3"/>
    <x v="3"/>
    <x v="294"/>
    <x v="244"/>
    <x v="244"/>
    <s v="REVENUS"/>
    <x v="17"/>
    <s v="4011.007"/>
    <s v="Acompte sur bénéfice"/>
    <n v="0"/>
    <n v="-831.9"/>
    <n v="4011"/>
  </r>
  <r>
    <x v="1"/>
    <x v="3"/>
    <x v="3"/>
    <x v="294"/>
    <x v="244"/>
    <x v="244"/>
    <s v="REVENUS"/>
    <x v="10"/>
    <s v="4041.001"/>
    <s v="Droits de mutation"/>
    <n v="0"/>
    <n v="38.5"/>
    <n v="4041"/>
  </r>
  <r>
    <x v="1"/>
    <x v="3"/>
    <x v="3"/>
    <x v="294"/>
    <x v="244"/>
    <x v="244"/>
    <s v="REVENUS"/>
    <x v="18"/>
    <s v="4013.001"/>
    <s v="Impôt complémentaire sur immeubles"/>
    <n v="0"/>
    <n v="1305"/>
    <n v="4013"/>
  </r>
  <r>
    <x v="1"/>
    <x v="3"/>
    <x v="3"/>
    <x v="295"/>
    <x v="245"/>
    <x v="245"/>
    <s v="CHARGES"/>
    <x v="0"/>
    <s v="3212.004"/>
    <s v="Intérêts rémun./perçu trop tôt sur acomptes C/C"/>
    <n v="773.01"/>
    <n v="0"/>
    <n v="3212"/>
  </r>
  <r>
    <x v="1"/>
    <x v="3"/>
    <x v="3"/>
    <x v="295"/>
    <x v="245"/>
    <x v="245"/>
    <s v="CHARGES"/>
    <x v="0"/>
    <s v="3221.002"/>
    <s v="Intérêts compensatoires / créances en faveur ctb."/>
    <n v="948.83"/>
    <n v="0"/>
    <n v="3221"/>
  </r>
  <r>
    <x v="1"/>
    <x v="3"/>
    <x v="3"/>
    <x v="295"/>
    <x v="245"/>
    <x v="245"/>
    <s v="CHARGES"/>
    <x v="1"/>
    <s v="3301.006"/>
    <s v="Abandon de solde PM"/>
    <n v="336.7"/>
    <n v="0"/>
    <n v="3301"/>
  </r>
  <r>
    <x v="1"/>
    <x v="3"/>
    <x v="3"/>
    <x v="295"/>
    <x v="245"/>
    <x v="245"/>
    <s v="CHARGES"/>
    <x v="0"/>
    <s v="3212.002"/>
    <s v="Intérêts bonifiés/trop perçu acompte C/C"/>
    <n v="4.6100000000000003"/>
    <n v="0"/>
    <n v="3212"/>
  </r>
  <r>
    <x v="1"/>
    <x v="3"/>
    <x v="3"/>
    <x v="295"/>
    <x v="245"/>
    <x v="245"/>
    <s v="CHARGES"/>
    <x v="1"/>
    <s v="3301.002"/>
    <s v="Défalcation PM"/>
    <n v="16735.650000000001"/>
    <n v="0"/>
    <n v="3301"/>
  </r>
  <r>
    <x v="1"/>
    <x v="3"/>
    <x v="3"/>
    <x v="295"/>
    <x v="245"/>
    <x v="245"/>
    <s v="REVENUS"/>
    <x v="17"/>
    <s v="4011.001"/>
    <s v="Impôt bénéfice ordinaire"/>
    <n v="0"/>
    <n v="1601401.15"/>
    <n v="4011"/>
  </r>
  <r>
    <x v="1"/>
    <x v="3"/>
    <x v="3"/>
    <x v="295"/>
    <x v="245"/>
    <x v="245"/>
    <s v="REVENUS"/>
    <x v="17"/>
    <s v="4011.007"/>
    <s v="Acompte sur bénéfice"/>
    <n v="0"/>
    <n v="-742256.1"/>
    <n v="4011"/>
  </r>
  <r>
    <x v="1"/>
    <x v="3"/>
    <x v="3"/>
    <x v="295"/>
    <x v="245"/>
    <x v="245"/>
    <s v="REVENUS"/>
    <x v="16"/>
    <s v="4012.001"/>
    <s v="Impôt capital ordinaire"/>
    <n v="0"/>
    <n v="63396.45"/>
    <n v="4012"/>
  </r>
  <r>
    <x v="1"/>
    <x v="3"/>
    <x v="3"/>
    <x v="295"/>
    <x v="245"/>
    <x v="245"/>
    <s v="REVENUS"/>
    <x v="16"/>
    <s v="4012.007"/>
    <s v="Acompte sur capital"/>
    <n v="0"/>
    <n v="31960.6"/>
    <n v="4012"/>
  </r>
  <r>
    <x v="1"/>
    <x v="3"/>
    <x v="3"/>
    <x v="295"/>
    <x v="245"/>
    <x v="245"/>
    <s v="REVENUS"/>
    <x v="18"/>
    <s v="4013.001"/>
    <s v="Impôt complémentaire sur immeubles"/>
    <n v="0"/>
    <n v="247684.05"/>
    <n v="4013"/>
  </r>
  <r>
    <x v="1"/>
    <x v="3"/>
    <x v="3"/>
    <x v="295"/>
    <x v="245"/>
    <x v="245"/>
    <s v="REVENUS"/>
    <x v="17"/>
    <s v="4011.002"/>
    <s v="Complément impôt bénéfice ordinaire"/>
    <n v="0"/>
    <n v="117571.85"/>
    <n v="4011"/>
  </r>
  <r>
    <x v="1"/>
    <x v="3"/>
    <x v="3"/>
    <x v="295"/>
    <x v="245"/>
    <x v="245"/>
    <s v="REVENUS"/>
    <x v="6"/>
    <s v="4211.002"/>
    <s v="Intérêts de retard sur acomptes"/>
    <n v="0"/>
    <n v="5560.95"/>
    <n v="4211"/>
  </r>
  <r>
    <x v="1"/>
    <x v="3"/>
    <x v="3"/>
    <x v="295"/>
    <x v="245"/>
    <x v="245"/>
    <s v="REVENUS"/>
    <x v="6"/>
    <s v="4221.001"/>
    <s v="Intérêts compensat. / créances en faveur du fisc"/>
    <n v="0"/>
    <n v="437.18"/>
    <n v="4221"/>
  </r>
  <r>
    <x v="1"/>
    <x v="3"/>
    <x v="3"/>
    <x v="295"/>
    <x v="245"/>
    <x v="245"/>
    <s v="REVENUS"/>
    <x v="6"/>
    <s v="4211.001"/>
    <s v="Intérêts de retard sur factures"/>
    <n v="0"/>
    <n v="1980.1"/>
    <n v="4211"/>
  </r>
  <r>
    <x v="1"/>
    <x v="3"/>
    <x v="3"/>
    <x v="295"/>
    <x v="245"/>
    <x v="245"/>
    <s v="REVENUS"/>
    <x v="18"/>
    <s v="4013.003"/>
    <s v="Remboursement impôt complémentaire sur immeubles"/>
    <n v="0"/>
    <n v="-63298.3"/>
    <n v="4013"/>
  </r>
  <r>
    <x v="1"/>
    <x v="3"/>
    <x v="3"/>
    <x v="295"/>
    <x v="245"/>
    <x v="245"/>
    <s v="REVENUS"/>
    <x v="7"/>
    <s v="4184.000"/>
    <s v="Frais de poursuite"/>
    <n v="0"/>
    <n v="1163.69"/>
    <n v="4184"/>
  </r>
  <r>
    <x v="1"/>
    <x v="3"/>
    <x v="3"/>
    <x v="295"/>
    <x v="245"/>
    <x v="245"/>
    <s v="REVENUS"/>
    <x v="10"/>
    <s v="4041.001"/>
    <s v="Droits de mutation"/>
    <n v="0"/>
    <n v="220389.75"/>
    <n v="4041"/>
  </r>
  <r>
    <x v="1"/>
    <x v="3"/>
    <x v="3"/>
    <x v="295"/>
    <x v="245"/>
    <x v="245"/>
    <s v="REVENUS"/>
    <x v="18"/>
    <s v="4013.002"/>
    <s v="Complément impôt complémentaire sur immeubles"/>
    <n v="0"/>
    <n v="5994.95"/>
    <n v="4013"/>
  </r>
  <r>
    <x v="1"/>
    <x v="3"/>
    <x v="3"/>
    <x v="295"/>
    <x v="245"/>
    <x v="245"/>
    <s v="REVENUS"/>
    <x v="16"/>
    <s v="4012.002"/>
    <s v="Complément impôt capital ordinaire"/>
    <n v="0"/>
    <n v="3249.55"/>
    <n v="4012"/>
  </r>
  <r>
    <x v="1"/>
    <x v="3"/>
    <x v="3"/>
    <x v="295"/>
    <x v="245"/>
    <x v="245"/>
    <s v="REVENUS"/>
    <x v="8"/>
    <s v="4091.001"/>
    <s v="Impôt récupéré après défalcations"/>
    <n v="0"/>
    <n v="342.94"/>
    <n v="4091"/>
  </r>
  <r>
    <x v="1"/>
    <x v="3"/>
    <x v="3"/>
    <x v="296"/>
    <x v="240"/>
    <x v="240"/>
    <s v="CHARGES"/>
    <x v="0"/>
    <s v="3212.002"/>
    <s v="Intérêts bonifiés/trop perçu acompte C/C"/>
    <n v="0.01"/>
    <n v="0"/>
    <n v="3212"/>
  </r>
  <r>
    <x v="1"/>
    <x v="3"/>
    <x v="3"/>
    <x v="296"/>
    <x v="240"/>
    <x v="240"/>
    <s v="REVENUS"/>
    <x v="17"/>
    <s v="4011.001"/>
    <s v="Impôt bénéfice ordinaire"/>
    <n v="0"/>
    <n v="-209.95"/>
    <n v="4011"/>
  </r>
  <r>
    <x v="1"/>
    <x v="3"/>
    <x v="3"/>
    <x v="296"/>
    <x v="240"/>
    <x v="240"/>
    <s v="REVENUS"/>
    <x v="17"/>
    <s v="4011.002"/>
    <s v="Complément impôt bénéfice ordinaire"/>
    <n v="0"/>
    <n v="209.95"/>
    <n v="4011"/>
  </r>
  <r>
    <x v="1"/>
    <x v="3"/>
    <x v="3"/>
    <x v="298"/>
    <x v="246"/>
    <x v="246"/>
    <s v="CHARGES"/>
    <x v="1"/>
    <s v="3301.006"/>
    <s v="Abandon de solde PM"/>
    <n v="0.88"/>
    <n v="0"/>
    <n v="3301"/>
  </r>
  <r>
    <x v="1"/>
    <x v="3"/>
    <x v="3"/>
    <x v="298"/>
    <x v="246"/>
    <x v="246"/>
    <s v="CHARGES"/>
    <x v="0"/>
    <s v="3212.002"/>
    <s v="Intérêts bonifiés/trop perçu acompte C/C"/>
    <n v="0.01"/>
    <n v="0"/>
    <n v="3212"/>
  </r>
  <r>
    <x v="1"/>
    <x v="3"/>
    <x v="3"/>
    <x v="298"/>
    <x v="246"/>
    <x v="246"/>
    <s v="CHARGES"/>
    <x v="0"/>
    <s v="3221.002"/>
    <s v="Intérêts compensatoires / créances en faveur ctb."/>
    <n v="2.74"/>
    <n v="0"/>
    <n v="3221"/>
  </r>
  <r>
    <x v="1"/>
    <x v="3"/>
    <x v="3"/>
    <x v="298"/>
    <x v="246"/>
    <x v="246"/>
    <s v="CHARGES"/>
    <x v="0"/>
    <s v="3212.004"/>
    <s v="Intérêts rémun./perçu trop tôt sur acomptes C/C"/>
    <n v="5.2"/>
    <n v="0"/>
    <n v="3212"/>
  </r>
  <r>
    <x v="1"/>
    <x v="3"/>
    <x v="3"/>
    <x v="298"/>
    <x v="246"/>
    <x v="246"/>
    <s v="REVENUS"/>
    <x v="18"/>
    <s v="4013.003"/>
    <s v="Remboursement impôt complémentaire sur immeubles"/>
    <n v="0"/>
    <n v="-191.5"/>
    <n v="4013"/>
  </r>
  <r>
    <x v="1"/>
    <x v="3"/>
    <x v="3"/>
    <x v="298"/>
    <x v="246"/>
    <x v="246"/>
    <s v="REVENUS"/>
    <x v="6"/>
    <s v="4211.001"/>
    <s v="Intérêts de retard sur factures"/>
    <n v="0"/>
    <n v="0.31"/>
    <n v="4211"/>
  </r>
  <r>
    <x v="1"/>
    <x v="3"/>
    <x v="3"/>
    <x v="298"/>
    <x v="246"/>
    <x v="246"/>
    <s v="REVENUS"/>
    <x v="18"/>
    <s v="4013.001"/>
    <s v="Impôt complémentaire sur immeubles"/>
    <n v="0"/>
    <n v="35.85"/>
    <n v="4013"/>
  </r>
  <r>
    <x v="1"/>
    <x v="3"/>
    <x v="3"/>
    <x v="298"/>
    <x v="246"/>
    <x v="246"/>
    <s v="REVENUS"/>
    <x v="17"/>
    <s v="4011.001"/>
    <s v="Impôt bénéfice ordinaire"/>
    <n v="0"/>
    <n v="14451.8"/>
    <n v="4011"/>
  </r>
  <r>
    <x v="1"/>
    <x v="3"/>
    <x v="3"/>
    <x v="298"/>
    <x v="246"/>
    <x v="246"/>
    <s v="REVENUS"/>
    <x v="17"/>
    <s v="4011.002"/>
    <s v="Complément impôt bénéfice ordinaire"/>
    <n v="0"/>
    <n v="10418.9"/>
    <n v="4011"/>
  </r>
  <r>
    <x v="1"/>
    <x v="3"/>
    <x v="3"/>
    <x v="298"/>
    <x v="246"/>
    <x v="246"/>
    <s v="REVENUS"/>
    <x v="17"/>
    <s v="4011.007"/>
    <s v="Acompte sur bénéfice"/>
    <n v="0"/>
    <n v="-7085.8"/>
    <n v="4011"/>
  </r>
  <r>
    <x v="1"/>
    <x v="3"/>
    <x v="3"/>
    <x v="298"/>
    <x v="246"/>
    <x v="246"/>
    <s v="REVENUS"/>
    <x v="16"/>
    <s v="4012.001"/>
    <s v="Impôt capital ordinaire"/>
    <n v="0"/>
    <n v="549.04999999999995"/>
    <n v="4012"/>
  </r>
  <r>
    <x v="1"/>
    <x v="3"/>
    <x v="3"/>
    <x v="298"/>
    <x v="246"/>
    <x v="246"/>
    <s v="REVENUS"/>
    <x v="16"/>
    <s v="4012.007"/>
    <s v="Acompte sur capital"/>
    <n v="0"/>
    <n v="286.60000000000002"/>
    <n v="4012"/>
  </r>
  <r>
    <x v="1"/>
    <x v="3"/>
    <x v="3"/>
    <x v="298"/>
    <x v="246"/>
    <x v="246"/>
    <s v="REVENUS"/>
    <x v="6"/>
    <s v="4211.002"/>
    <s v="Intérêts de retard sur acomptes"/>
    <n v="0"/>
    <n v="1.3"/>
    <n v="4211"/>
  </r>
  <r>
    <x v="1"/>
    <x v="3"/>
    <x v="3"/>
    <x v="298"/>
    <x v="246"/>
    <x v="246"/>
    <s v="REVENUS"/>
    <x v="16"/>
    <s v="4012.002"/>
    <s v="Complément impôt capital ordinaire"/>
    <n v="0"/>
    <n v="399.4"/>
    <n v="4012"/>
  </r>
  <r>
    <x v="1"/>
    <x v="3"/>
    <x v="3"/>
    <x v="298"/>
    <x v="246"/>
    <x v="246"/>
    <s v="REVENUS"/>
    <x v="10"/>
    <s v="4041.001"/>
    <s v="Droits de mutation"/>
    <n v="0"/>
    <n v="6165.45"/>
    <n v="4041"/>
  </r>
  <r>
    <x v="1"/>
    <x v="3"/>
    <x v="3"/>
    <x v="299"/>
    <x v="247"/>
    <x v="247"/>
    <s v="CHARGES"/>
    <x v="0"/>
    <s v="3212.004"/>
    <s v="Intérêts rémun./perçu trop tôt sur acomptes C/C"/>
    <n v="7.0000000000000007E-2"/>
    <n v="0"/>
    <n v="3212"/>
  </r>
  <r>
    <x v="1"/>
    <x v="3"/>
    <x v="3"/>
    <x v="299"/>
    <x v="247"/>
    <x v="247"/>
    <s v="CHARGES"/>
    <x v="0"/>
    <s v="3221.002"/>
    <s v="Intérêts compensatoires / créances en faveur ctb."/>
    <n v="0.4"/>
    <n v="0"/>
    <n v="3221"/>
  </r>
  <r>
    <x v="1"/>
    <x v="3"/>
    <x v="3"/>
    <x v="299"/>
    <x v="247"/>
    <x v="247"/>
    <s v="CHARGES"/>
    <x v="1"/>
    <s v="3301.006"/>
    <s v="Abandon de solde PM"/>
    <n v="0.54"/>
    <n v="0"/>
    <n v="3301"/>
  </r>
  <r>
    <x v="1"/>
    <x v="3"/>
    <x v="3"/>
    <x v="299"/>
    <x v="247"/>
    <x v="247"/>
    <s v="REVENUS"/>
    <x v="17"/>
    <s v="4011.001"/>
    <s v="Impôt bénéfice ordinaire"/>
    <n v="0"/>
    <n v="354.3"/>
    <n v="4011"/>
  </r>
  <r>
    <x v="1"/>
    <x v="3"/>
    <x v="3"/>
    <x v="299"/>
    <x v="247"/>
    <x v="247"/>
    <s v="REVENUS"/>
    <x v="17"/>
    <s v="4011.002"/>
    <s v="Complément impôt bénéfice ordinaire"/>
    <n v="0"/>
    <n v="64.599999999999994"/>
    <n v="4011"/>
  </r>
  <r>
    <x v="1"/>
    <x v="3"/>
    <x v="3"/>
    <x v="299"/>
    <x v="247"/>
    <x v="247"/>
    <s v="REVENUS"/>
    <x v="17"/>
    <s v="4011.007"/>
    <s v="Acompte sur bénéfice"/>
    <n v="0"/>
    <n v="-492.4"/>
    <n v="4011"/>
  </r>
  <r>
    <x v="1"/>
    <x v="3"/>
    <x v="3"/>
    <x v="299"/>
    <x v="247"/>
    <x v="247"/>
    <s v="REVENUS"/>
    <x v="16"/>
    <s v="4012.007"/>
    <s v="Acompte sur capital"/>
    <n v="0"/>
    <n v="11.1"/>
    <n v="4012"/>
  </r>
  <r>
    <x v="1"/>
    <x v="3"/>
    <x v="3"/>
    <x v="299"/>
    <x v="247"/>
    <x v="247"/>
    <s v="REVENUS"/>
    <x v="6"/>
    <s v="4211.002"/>
    <s v="Intérêts de retard sur acomptes"/>
    <n v="0"/>
    <n v="0.48"/>
    <n v="4211"/>
  </r>
  <r>
    <x v="1"/>
    <x v="3"/>
    <x v="3"/>
    <x v="299"/>
    <x v="247"/>
    <x v="247"/>
    <s v="REVENUS"/>
    <x v="16"/>
    <s v="4012.001"/>
    <s v="Impôt capital ordinaire"/>
    <n v="0"/>
    <n v="0.5"/>
    <n v="4012"/>
  </r>
  <r>
    <x v="1"/>
    <x v="3"/>
    <x v="3"/>
    <x v="300"/>
    <x v="248"/>
    <x v="248"/>
    <s v="CHARGES"/>
    <x v="1"/>
    <s v="3301.006"/>
    <s v="Abandon de solde PM"/>
    <n v="4.74"/>
    <n v="0"/>
    <n v="3301"/>
  </r>
  <r>
    <x v="1"/>
    <x v="3"/>
    <x v="3"/>
    <x v="300"/>
    <x v="248"/>
    <x v="248"/>
    <s v="CHARGES"/>
    <x v="0"/>
    <s v="3212.004"/>
    <s v="Intérêts rémun./perçu trop tôt sur acomptes C/C"/>
    <n v="1.93"/>
    <n v="0"/>
    <n v="3212"/>
  </r>
  <r>
    <x v="1"/>
    <x v="3"/>
    <x v="3"/>
    <x v="300"/>
    <x v="248"/>
    <x v="248"/>
    <s v="CHARGES"/>
    <x v="0"/>
    <s v="3212.002"/>
    <s v="Intérêts bonifiés/trop perçu acompte C/C"/>
    <n v="0.01"/>
    <n v="0"/>
    <n v="3212"/>
  </r>
  <r>
    <x v="1"/>
    <x v="3"/>
    <x v="3"/>
    <x v="300"/>
    <x v="248"/>
    <x v="248"/>
    <s v="CHARGES"/>
    <x v="0"/>
    <s v="3221.002"/>
    <s v="Intérêts compensatoires / créances en faveur ctb."/>
    <n v="2.71"/>
    <n v="0"/>
    <n v="3221"/>
  </r>
  <r>
    <x v="1"/>
    <x v="3"/>
    <x v="3"/>
    <x v="300"/>
    <x v="248"/>
    <x v="248"/>
    <s v="CHARGES"/>
    <x v="1"/>
    <s v="3301.002"/>
    <s v="Défalcation PM"/>
    <n v="2081.04"/>
    <n v="0"/>
    <n v="3301"/>
  </r>
  <r>
    <x v="1"/>
    <x v="3"/>
    <x v="3"/>
    <x v="300"/>
    <x v="248"/>
    <x v="248"/>
    <s v="REVENUS"/>
    <x v="6"/>
    <s v="4211.001"/>
    <s v="Intérêts de retard sur factures"/>
    <n v="0"/>
    <n v="1.94"/>
    <n v="4211"/>
  </r>
  <r>
    <x v="1"/>
    <x v="3"/>
    <x v="3"/>
    <x v="300"/>
    <x v="248"/>
    <x v="248"/>
    <s v="REVENUS"/>
    <x v="17"/>
    <s v="4011.002"/>
    <s v="Complément impôt bénéfice ordinaire"/>
    <n v="0"/>
    <n v="282.64999999999998"/>
    <n v="4011"/>
  </r>
  <r>
    <x v="1"/>
    <x v="3"/>
    <x v="3"/>
    <x v="300"/>
    <x v="248"/>
    <x v="248"/>
    <s v="REVENUS"/>
    <x v="17"/>
    <s v="4011.001"/>
    <s v="Impôt bénéfice ordinaire"/>
    <n v="0"/>
    <n v="6070.95"/>
    <n v="4011"/>
  </r>
  <r>
    <x v="1"/>
    <x v="3"/>
    <x v="3"/>
    <x v="300"/>
    <x v="248"/>
    <x v="248"/>
    <s v="REVENUS"/>
    <x v="17"/>
    <s v="4011.007"/>
    <s v="Acompte sur bénéfice"/>
    <n v="0"/>
    <n v="-1188.25"/>
    <n v="4011"/>
  </r>
  <r>
    <x v="1"/>
    <x v="3"/>
    <x v="3"/>
    <x v="300"/>
    <x v="248"/>
    <x v="248"/>
    <s v="REVENUS"/>
    <x v="16"/>
    <s v="4012.001"/>
    <s v="Impôt capital ordinaire"/>
    <n v="0"/>
    <n v="98.55"/>
    <n v="4012"/>
  </r>
  <r>
    <x v="1"/>
    <x v="3"/>
    <x v="3"/>
    <x v="300"/>
    <x v="248"/>
    <x v="248"/>
    <s v="REVENUS"/>
    <x v="16"/>
    <s v="4012.007"/>
    <s v="Acompte sur capital"/>
    <n v="0"/>
    <n v="176.3"/>
    <n v="4012"/>
  </r>
  <r>
    <x v="1"/>
    <x v="3"/>
    <x v="3"/>
    <x v="300"/>
    <x v="248"/>
    <x v="248"/>
    <s v="REVENUS"/>
    <x v="6"/>
    <s v="4211.002"/>
    <s v="Intérêts de retard sur acomptes"/>
    <n v="0"/>
    <n v="3.98"/>
    <n v="4211"/>
  </r>
  <r>
    <x v="1"/>
    <x v="3"/>
    <x v="3"/>
    <x v="300"/>
    <x v="248"/>
    <x v="248"/>
    <s v="REVENUS"/>
    <x v="6"/>
    <s v="4221.001"/>
    <s v="Intérêts compensat. / créances en faveur du fisc"/>
    <n v="0"/>
    <n v="4.12"/>
    <n v="4221"/>
  </r>
  <r>
    <x v="1"/>
    <x v="3"/>
    <x v="3"/>
    <x v="300"/>
    <x v="248"/>
    <x v="248"/>
    <s v="REVENUS"/>
    <x v="18"/>
    <s v="4013.001"/>
    <s v="Impôt complémentaire sur immeubles"/>
    <n v="0"/>
    <n v="2089.6999999999998"/>
    <n v="4013"/>
  </r>
  <r>
    <x v="1"/>
    <x v="3"/>
    <x v="3"/>
    <x v="301"/>
    <x v="240"/>
    <x v="240"/>
    <s v="CHARGES"/>
    <x v="0"/>
    <s v="3212.002"/>
    <s v="Intérêts bonifiés/trop perçu acompte C/C"/>
    <n v="0.23"/>
    <n v="0"/>
    <n v="3212"/>
  </r>
  <r>
    <x v="1"/>
    <x v="3"/>
    <x v="3"/>
    <x v="301"/>
    <x v="240"/>
    <x v="240"/>
    <s v="CHARGES"/>
    <x v="0"/>
    <s v="3221.002"/>
    <s v="Intérêts compensatoires / créances en faveur ctb."/>
    <n v="213.82"/>
    <n v="0"/>
    <n v="3221"/>
  </r>
  <r>
    <x v="1"/>
    <x v="3"/>
    <x v="3"/>
    <x v="301"/>
    <x v="240"/>
    <x v="240"/>
    <s v="CHARGES"/>
    <x v="0"/>
    <s v="3212.004"/>
    <s v="Intérêts rémun./perçu trop tôt sur acomptes C/C"/>
    <n v="257.77999999999997"/>
    <n v="0"/>
    <n v="3212"/>
  </r>
  <r>
    <x v="1"/>
    <x v="3"/>
    <x v="3"/>
    <x v="301"/>
    <x v="240"/>
    <x v="240"/>
    <s v="CHARGES"/>
    <x v="1"/>
    <s v="3301.006"/>
    <s v="Abandon de solde PM"/>
    <n v="68.010000000000005"/>
    <n v="0"/>
    <n v="3301"/>
  </r>
  <r>
    <x v="1"/>
    <x v="3"/>
    <x v="3"/>
    <x v="301"/>
    <x v="240"/>
    <x v="240"/>
    <s v="CHARGES"/>
    <x v="1"/>
    <s v="3301.002"/>
    <s v="Défalcation PM"/>
    <n v="1132.3599999999999"/>
    <n v="0"/>
    <n v="3301"/>
  </r>
  <r>
    <x v="1"/>
    <x v="3"/>
    <x v="3"/>
    <x v="301"/>
    <x v="240"/>
    <x v="240"/>
    <s v="REVENUS"/>
    <x v="16"/>
    <s v="4012.001"/>
    <s v="Impôt capital ordinaire"/>
    <n v="0"/>
    <n v="11532.45"/>
    <n v="4012"/>
  </r>
  <r>
    <x v="1"/>
    <x v="3"/>
    <x v="3"/>
    <x v="301"/>
    <x v="240"/>
    <x v="240"/>
    <s v="REVENUS"/>
    <x v="16"/>
    <s v="4012.007"/>
    <s v="Acompte sur capital"/>
    <n v="0"/>
    <n v="5716.6"/>
    <n v="4012"/>
  </r>
  <r>
    <x v="1"/>
    <x v="3"/>
    <x v="3"/>
    <x v="301"/>
    <x v="240"/>
    <x v="240"/>
    <s v="REVENUS"/>
    <x v="6"/>
    <s v="4211.002"/>
    <s v="Intérêts de retard sur acomptes"/>
    <n v="0"/>
    <n v="147.69999999999999"/>
    <n v="4211"/>
  </r>
  <r>
    <x v="1"/>
    <x v="3"/>
    <x v="3"/>
    <x v="301"/>
    <x v="240"/>
    <x v="240"/>
    <s v="REVENUS"/>
    <x v="18"/>
    <s v="4013.001"/>
    <s v="Impôt complémentaire sur immeubles"/>
    <n v="0"/>
    <n v="28625.85"/>
    <n v="4013"/>
  </r>
  <r>
    <x v="1"/>
    <x v="3"/>
    <x v="3"/>
    <x v="301"/>
    <x v="240"/>
    <x v="240"/>
    <s v="REVENUS"/>
    <x v="17"/>
    <s v="4011.001"/>
    <s v="Impôt bénéfice ordinaire"/>
    <n v="0"/>
    <n v="335096.90000000002"/>
    <n v="4011"/>
  </r>
  <r>
    <x v="1"/>
    <x v="3"/>
    <x v="3"/>
    <x v="301"/>
    <x v="240"/>
    <x v="240"/>
    <s v="REVENUS"/>
    <x v="17"/>
    <s v="4011.002"/>
    <s v="Complément impôt bénéfice ordinaire"/>
    <n v="0"/>
    <n v="5426.25"/>
    <n v="4011"/>
  </r>
  <r>
    <x v="1"/>
    <x v="3"/>
    <x v="3"/>
    <x v="301"/>
    <x v="240"/>
    <x v="240"/>
    <s v="REVENUS"/>
    <x v="6"/>
    <s v="4211.001"/>
    <s v="Intérêts de retard sur factures"/>
    <n v="0"/>
    <n v="33.65"/>
    <n v="4211"/>
  </r>
  <r>
    <x v="1"/>
    <x v="3"/>
    <x v="3"/>
    <x v="301"/>
    <x v="240"/>
    <x v="240"/>
    <s v="REVENUS"/>
    <x v="6"/>
    <s v="4221.001"/>
    <s v="Intérêts compensat. / créances en faveur du fisc"/>
    <n v="0"/>
    <n v="34.33"/>
    <n v="4221"/>
  </r>
  <r>
    <x v="1"/>
    <x v="3"/>
    <x v="3"/>
    <x v="301"/>
    <x v="240"/>
    <x v="240"/>
    <s v="REVENUS"/>
    <x v="17"/>
    <s v="4011.007"/>
    <s v="Acompte sur bénéfice"/>
    <n v="0"/>
    <n v="-294915.65000000002"/>
    <n v="4011"/>
  </r>
  <r>
    <x v="1"/>
    <x v="3"/>
    <x v="3"/>
    <x v="301"/>
    <x v="240"/>
    <x v="240"/>
    <s v="REVENUS"/>
    <x v="18"/>
    <s v="4013.002"/>
    <s v="Complément impôt complémentaire sur immeubles"/>
    <n v="0"/>
    <n v="110.5"/>
    <n v="4013"/>
  </r>
  <r>
    <x v="1"/>
    <x v="3"/>
    <x v="3"/>
    <x v="301"/>
    <x v="240"/>
    <x v="240"/>
    <s v="REVENUS"/>
    <x v="7"/>
    <s v="4184.000"/>
    <s v="Frais de poursuite"/>
    <n v="0"/>
    <n v="186.62"/>
    <n v="4184"/>
  </r>
  <r>
    <x v="1"/>
    <x v="3"/>
    <x v="3"/>
    <x v="301"/>
    <x v="240"/>
    <x v="240"/>
    <s v="REVENUS"/>
    <x v="10"/>
    <s v="4041.001"/>
    <s v="Droits de mutation"/>
    <n v="0"/>
    <n v="94329.25"/>
    <n v="4041"/>
  </r>
  <r>
    <x v="1"/>
    <x v="3"/>
    <x v="3"/>
    <x v="301"/>
    <x v="240"/>
    <x v="240"/>
    <s v="REVENUS"/>
    <x v="18"/>
    <s v="4013.003"/>
    <s v="Remboursement impôt complémentaire sur immeubles"/>
    <n v="0"/>
    <n v="-3822.3"/>
    <n v="4013"/>
  </r>
  <r>
    <x v="1"/>
    <x v="10"/>
    <x v="9"/>
    <x v="302"/>
    <x v="249"/>
    <x v="249"/>
    <s v="CHARGES"/>
    <x v="0"/>
    <s v="3212.004"/>
    <s v="Intérêts rémun./perçu trop tôt sur acomptes C/C"/>
    <n v="836.53"/>
    <n v="0"/>
    <n v="3212"/>
  </r>
  <r>
    <x v="1"/>
    <x v="10"/>
    <x v="9"/>
    <x v="302"/>
    <x v="249"/>
    <x v="249"/>
    <s v="CHARGES"/>
    <x v="0"/>
    <s v="3221.002"/>
    <s v="Intérêts compensatoires / créances en faveur ctb."/>
    <n v="335.39"/>
    <n v="0"/>
    <n v="3221"/>
  </r>
  <r>
    <x v="1"/>
    <x v="10"/>
    <x v="9"/>
    <x v="302"/>
    <x v="249"/>
    <x v="249"/>
    <s v="CHARGES"/>
    <x v="1"/>
    <s v="3301.006"/>
    <s v="Abandon de solde PM"/>
    <n v="125.83"/>
    <n v="0"/>
    <n v="3301"/>
  </r>
  <r>
    <x v="1"/>
    <x v="10"/>
    <x v="9"/>
    <x v="302"/>
    <x v="249"/>
    <x v="249"/>
    <s v="CHARGES"/>
    <x v="1"/>
    <s v="3301.002"/>
    <s v="Défalcation PM"/>
    <n v="127.33"/>
    <n v="0"/>
    <n v="3301"/>
  </r>
  <r>
    <x v="1"/>
    <x v="10"/>
    <x v="9"/>
    <x v="302"/>
    <x v="249"/>
    <x v="249"/>
    <s v="CHARGES"/>
    <x v="0"/>
    <s v="3212.002"/>
    <s v="Intérêts bonifiés/trop perçu acompte C/C"/>
    <n v="0.69"/>
    <n v="0"/>
    <n v="3212"/>
  </r>
  <r>
    <x v="1"/>
    <x v="10"/>
    <x v="9"/>
    <x v="302"/>
    <x v="249"/>
    <x v="249"/>
    <s v="REVENUS"/>
    <x v="17"/>
    <s v="4011.001"/>
    <s v="Impôt bénéfice ordinaire"/>
    <n v="0"/>
    <n v="368703.15"/>
    <n v="4011"/>
  </r>
  <r>
    <x v="1"/>
    <x v="10"/>
    <x v="9"/>
    <x v="302"/>
    <x v="249"/>
    <x v="249"/>
    <s v="REVENUS"/>
    <x v="17"/>
    <s v="4011.007"/>
    <s v="Acompte sur bénéfice"/>
    <n v="0"/>
    <n v="-341908.65"/>
    <n v="4011"/>
  </r>
  <r>
    <x v="1"/>
    <x v="10"/>
    <x v="9"/>
    <x v="302"/>
    <x v="249"/>
    <x v="249"/>
    <s v="REVENUS"/>
    <x v="18"/>
    <s v="4013.001"/>
    <s v="Impôt complémentaire sur immeubles"/>
    <n v="0"/>
    <n v="41376.15"/>
    <n v="4013"/>
  </r>
  <r>
    <x v="1"/>
    <x v="10"/>
    <x v="9"/>
    <x v="302"/>
    <x v="249"/>
    <x v="249"/>
    <s v="REVENUS"/>
    <x v="16"/>
    <s v="4012.001"/>
    <s v="Impôt capital ordinaire"/>
    <n v="0"/>
    <n v="34456.699999999997"/>
    <n v="4012"/>
  </r>
  <r>
    <x v="1"/>
    <x v="10"/>
    <x v="9"/>
    <x v="302"/>
    <x v="249"/>
    <x v="249"/>
    <s v="REVENUS"/>
    <x v="16"/>
    <s v="4012.007"/>
    <s v="Acompte sur capital"/>
    <n v="0"/>
    <n v="34090.949999999997"/>
    <n v="4012"/>
  </r>
  <r>
    <x v="1"/>
    <x v="10"/>
    <x v="9"/>
    <x v="302"/>
    <x v="249"/>
    <x v="249"/>
    <s v="REVENUS"/>
    <x v="10"/>
    <s v="4041.001"/>
    <s v="Droits de mutation"/>
    <n v="0"/>
    <n v="27727.200000000001"/>
    <n v="4041"/>
  </r>
  <r>
    <x v="1"/>
    <x v="10"/>
    <x v="9"/>
    <x v="302"/>
    <x v="249"/>
    <x v="249"/>
    <s v="REVENUS"/>
    <x v="17"/>
    <s v="4011.002"/>
    <s v="Complément impôt bénéfice ordinaire"/>
    <n v="0"/>
    <n v="19609.150000000001"/>
    <n v="4011"/>
  </r>
  <r>
    <x v="1"/>
    <x v="10"/>
    <x v="9"/>
    <x v="302"/>
    <x v="249"/>
    <x v="249"/>
    <s v="REVENUS"/>
    <x v="6"/>
    <s v="4211.001"/>
    <s v="Intérêts de retard sur factures"/>
    <n v="0"/>
    <n v="1387.13"/>
    <n v="4211"/>
  </r>
  <r>
    <x v="1"/>
    <x v="10"/>
    <x v="9"/>
    <x v="302"/>
    <x v="249"/>
    <x v="249"/>
    <s v="REVENUS"/>
    <x v="6"/>
    <s v="4211.002"/>
    <s v="Intérêts de retard sur acomptes"/>
    <n v="0"/>
    <n v="435.08"/>
    <n v="4211"/>
  </r>
  <r>
    <x v="1"/>
    <x v="10"/>
    <x v="9"/>
    <x v="302"/>
    <x v="249"/>
    <x v="249"/>
    <s v="REVENUS"/>
    <x v="6"/>
    <s v="4221.001"/>
    <s v="Intérêts compensat. / créances en faveur du fisc"/>
    <n v="0"/>
    <n v="60.2"/>
    <n v="4221"/>
  </r>
  <r>
    <x v="1"/>
    <x v="10"/>
    <x v="9"/>
    <x v="302"/>
    <x v="249"/>
    <x v="249"/>
    <s v="REVENUS"/>
    <x v="8"/>
    <s v="4091.001"/>
    <s v="Impôt récupéré après défalcations"/>
    <n v="0"/>
    <n v="0"/>
    <n v="4091"/>
  </r>
  <r>
    <x v="1"/>
    <x v="10"/>
    <x v="9"/>
    <x v="302"/>
    <x v="249"/>
    <x v="249"/>
    <s v="REVENUS"/>
    <x v="18"/>
    <s v="4013.003"/>
    <s v="Remboursement impôt complémentaire sur immeubles"/>
    <n v="0"/>
    <n v="-18155.3"/>
    <n v="4013"/>
  </r>
  <r>
    <x v="1"/>
    <x v="10"/>
    <x v="9"/>
    <x v="302"/>
    <x v="249"/>
    <x v="249"/>
    <s v="REVENUS"/>
    <x v="7"/>
    <s v="4184.000"/>
    <s v="Frais de poursuite"/>
    <n v="0"/>
    <n v="225.97"/>
    <n v="4184"/>
  </r>
  <r>
    <x v="1"/>
    <x v="10"/>
    <x v="9"/>
    <x v="302"/>
    <x v="249"/>
    <x v="249"/>
    <s v="REVENUS"/>
    <x v="18"/>
    <s v="4013.002"/>
    <s v="Complément impôt complémentaire sur immeubles"/>
    <n v="0"/>
    <n v="548"/>
    <n v="4013"/>
  </r>
  <r>
    <x v="1"/>
    <x v="10"/>
    <x v="9"/>
    <x v="303"/>
    <x v="250"/>
    <x v="250"/>
    <s v="CHARGES"/>
    <x v="0"/>
    <s v="3212.004"/>
    <s v="Intérêts rémun./perçu trop tôt sur acomptes C/C"/>
    <n v="6.38"/>
    <n v="0"/>
    <n v="3212"/>
  </r>
  <r>
    <x v="1"/>
    <x v="10"/>
    <x v="9"/>
    <x v="303"/>
    <x v="250"/>
    <x v="250"/>
    <s v="CHARGES"/>
    <x v="0"/>
    <s v="3221.002"/>
    <s v="Intérêts compensatoires / créances en faveur ctb."/>
    <n v="7.6"/>
    <n v="0"/>
    <n v="3221"/>
  </r>
  <r>
    <x v="1"/>
    <x v="10"/>
    <x v="9"/>
    <x v="303"/>
    <x v="250"/>
    <x v="250"/>
    <s v="CHARGES"/>
    <x v="1"/>
    <s v="3301.006"/>
    <s v="Abandon de solde PM"/>
    <n v="12.66"/>
    <n v="0"/>
    <n v="3301"/>
  </r>
  <r>
    <x v="1"/>
    <x v="10"/>
    <x v="9"/>
    <x v="303"/>
    <x v="250"/>
    <x v="250"/>
    <s v="CHARGES"/>
    <x v="0"/>
    <s v="3212.002"/>
    <s v="Intérêts bonifiés/trop perçu acompte C/C"/>
    <n v="0.03"/>
    <n v="0"/>
    <n v="3212"/>
  </r>
  <r>
    <x v="1"/>
    <x v="10"/>
    <x v="9"/>
    <x v="303"/>
    <x v="250"/>
    <x v="250"/>
    <s v="REVENUS"/>
    <x v="10"/>
    <s v="4041.001"/>
    <s v="Droits de mutation"/>
    <n v="0"/>
    <n v="374"/>
    <n v="4041"/>
  </r>
  <r>
    <x v="1"/>
    <x v="10"/>
    <x v="9"/>
    <x v="303"/>
    <x v="250"/>
    <x v="250"/>
    <s v="REVENUS"/>
    <x v="16"/>
    <s v="4012.007"/>
    <s v="Acompte sur capital"/>
    <n v="0"/>
    <n v="2099.1"/>
    <n v="4012"/>
  </r>
  <r>
    <x v="1"/>
    <x v="10"/>
    <x v="9"/>
    <x v="303"/>
    <x v="250"/>
    <x v="250"/>
    <s v="REVENUS"/>
    <x v="17"/>
    <s v="4011.001"/>
    <s v="Impôt bénéfice ordinaire"/>
    <n v="0"/>
    <n v="34273.35"/>
    <n v="4011"/>
  </r>
  <r>
    <x v="1"/>
    <x v="10"/>
    <x v="9"/>
    <x v="303"/>
    <x v="250"/>
    <x v="250"/>
    <s v="REVENUS"/>
    <x v="17"/>
    <s v="4011.007"/>
    <s v="Acompte sur bénéfice"/>
    <n v="0"/>
    <n v="-18166.349999999999"/>
    <n v="4011"/>
  </r>
  <r>
    <x v="1"/>
    <x v="10"/>
    <x v="9"/>
    <x v="303"/>
    <x v="250"/>
    <x v="250"/>
    <s v="REVENUS"/>
    <x v="6"/>
    <s v="4211.002"/>
    <s v="Intérêts de retard sur acomptes"/>
    <n v="0"/>
    <n v="3.75"/>
    <n v="4211"/>
  </r>
  <r>
    <x v="1"/>
    <x v="10"/>
    <x v="9"/>
    <x v="303"/>
    <x v="250"/>
    <x v="250"/>
    <s v="REVENUS"/>
    <x v="6"/>
    <s v="4211.001"/>
    <s v="Intérêts de retard sur factures"/>
    <n v="0"/>
    <n v="0.44"/>
    <n v="4211"/>
  </r>
  <r>
    <x v="1"/>
    <x v="10"/>
    <x v="9"/>
    <x v="303"/>
    <x v="250"/>
    <x v="250"/>
    <s v="REVENUS"/>
    <x v="17"/>
    <s v="4011.002"/>
    <s v="Complément impôt bénéfice ordinaire"/>
    <n v="0"/>
    <n v="710.6"/>
    <n v="4011"/>
  </r>
  <r>
    <x v="1"/>
    <x v="10"/>
    <x v="9"/>
    <x v="303"/>
    <x v="250"/>
    <x v="250"/>
    <s v="REVENUS"/>
    <x v="16"/>
    <s v="4012.001"/>
    <s v="Impôt capital ordinaire"/>
    <n v="0"/>
    <n v="233.35"/>
    <n v="4012"/>
  </r>
  <r>
    <x v="1"/>
    <x v="10"/>
    <x v="9"/>
    <x v="303"/>
    <x v="250"/>
    <x v="250"/>
    <s v="REVENUS"/>
    <x v="6"/>
    <s v="4221.001"/>
    <s v="Intérêts compensat. / créances en faveur du fisc"/>
    <n v="0"/>
    <n v="0.09"/>
    <n v="4221"/>
  </r>
  <r>
    <x v="1"/>
    <x v="10"/>
    <x v="9"/>
    <x v="303"/>
    <x v="250"/>
    <x v="250"/>
    <s v="REVENUS"/>
    <x v="18"/>
    <s v="4013.001"/>
    <s v="Impôt complémentaire sur immeubles"/>
    <n v="0"/>
    <n v="916.35"/>
    <n v="4013"/>
  </r>
  <r>
    <x v="1"/>
    <x v="10"/>
    <x v="9"/>
    <x v="303"/>
    <x v="250"/>
    <x v="250"/>
    <s v="REVENUS"/>
    <x v="11"/>
    <s v="4198.001"/>
    <s v="Impôt foncier"/>
    <n v="0"/>
    <n v="7432.55"/>
    <n v="4198"/>
  </r>
  <r>
    <x v="1"/>
    <x v="10"/>
    <x v="9"/>
    <x v="304"/>
    <x v="251"/>
    <x v="251"/>
    <s v="CHARGES"/>
    <x v="0"/>
    <s v="3221.002"/>
    <s v="Intérêts compensatoires / créances en faveur ctb."/>
    <n v="55.92"/>
    <n v="0"/>
    <n v="3221"/>
  </r>
  <r>
    <x v="1"/>
    <x v="10"/>
    <x v="9"/>
    <x v="304"/>
    <x v="251"/>
    <x v="251"/>
    <s v="CHARGES"/>
    <x v="1"/>
    <s v="3301.006"/>
    <s v="Abandon de solde PM"/>
    <n v="42.83"/>
    <n v="0"/>
    <n v="3301"/>
  </r>
  <r>
    <x v="1"/>
    <x v="10"/>
    <x v="9"/>
    <x v="304"/>
    <x v="251"/>
    <x v="251"/>
    <s v="CHARGES"/>
    <x v="0"/>
    <s v="3212.004"/>
    <s v="Intérêts rémun./perçu trop tôt sur acomptes C/C"/>
    <n v="40.369999999999997"/>
    <n v="0"/>
    <n v="3212"/>
  </r>
  <r>
    <x v="1"/>
    <x v="10"/>
    <x v="9"/>
    <x v="304"/>
    <x v="251"/>
    <x v="251"/>
    <s v="CHARGES"/>
    <x v="0"/>
    <s v="3212.002"/>
    <s v="Intérêts bonifiés/trop perçu acompte C/C"/>
    <n v="0.39"/>
    <n v="0"/>
    <n v="3212"/>
  </r>
  <r>
    <x v="1"/>
    <x v="10"/>
    <x v="9"/>
    <x v="304"/>
    <x v="251"/>
    <x v="251"/>
    <s v="REVENUS"/>
    <x v="17"/>
    <s v="4011.007"/>
    <s v="Acompte sur bénéfice"/>
    <n v="0"/>
    <n v="-73149.3"/>
    <n v="4011"/>
  </r>
  <r>
    <x v="1"/>
    <x v="10"/>
    <x v="9"/>
    <x v="304"/>
    <x v="251"/>
    <x v="251"/>
    <s v="REVENUS"/>
    <x v="16"/>
    <s v="4012.007"/>
    <s v="Acompte sur capital"/>
    <n v="0"/>
    <n v="7787"/>
    <n v="4012"/>
  </r>
  <r>
    <x v="1"/>
    <x v="10"/>
    <x v="9"/>
    <x v="304"/>
    <x v="251"/>
    <x v="251"/>
    <s v="REVENUS"/>
    <x v="17"/>
    <s v="4011.001"/>
    <s v="Impôt bénéfice ordinaire"/>
    <n v="0"/>
    <n v="100373.25"/>
    <n v="4011"/>
  </r>
  <r>
    <x v="1"/>
    <x v="10"/>
    <x v="9"/>
    <x v="304"/>
    <x v="251"/>
    <x v="251"/>
    <s v="REVENUS"/>
    <x v="17"/>
    <s v="4011.002"/>
    <s v="Complément impôt bénéfice ordinaire"/>
    <n v="0"/>
    <n v="12429"/>
    <n v="4011"/>
  </r>
  <r>
    <x v="1"/>
    <x v="10"/>
    <x v="9"/>
    <x v="304"/>
    <x v="251"/>
    <x v="251"/>
    <s v="REVENUS"/>
    <x v="6"/>
    <s v="4211.001"/>
    <s v="Intérêts de retard sur factures"/>
    <n v="0"/>
    <n v="109.08"/>
    <n v="4211"/>
  </r>
  <r>
    <x v="1"/>
    <x v="10"/>
    <x v="9"/>
    <x v="304"/>
    <x v="251"/>
    <x v="251"/>
    <s v="REVENUS"/>
    <x v="6"/>
    <s v="4221.001"/>
    <s v="Intérêts compensat. / créances en faveur du fisc"/>
    <n v="0"/>
    <n v="35.08"/>
    <n v="4221"/>
  </r>
  <r>
    <x v="1"/>
    <x v="10"/>
    <x v="9"/>
    <x v="304"/>
    <x v="251"/>
    <x v="251"/>
    <s v="REVENUS"/>
    <x v="6"/>
    <s v="4211.002"/>
    <s v="Intérêts de retard sur acomptes"/>
    <n v="0"/>
    <n v="284.01"/>
    <n v="4211"/>
  </r>
  <r>
    <x v="1"/>
    <x v="10"/>
    <x v="9"/>
    <x v="304"/>
    <x v="251"/>
    <x v="251"/>
    <s v="REVENUS"/>
    <x v="16"/>
    <s v="4012.001"/>
    <s v="Impôt capital ordinaire"/>
    <n v="0"/>
    <n v="6596.95"/>
    <n v="4012"/>
  </r>
  <r>
    <x v="1"/>
    <x v="10"/>
    <x v="9"/>
    <x v="304"/>
    <x v="251"/>
    <x v="251"/>
    <s v="REVENUS"/>
    <x v="18"/>
    <s v="4013.001"/>
    <s v="Impôt complémentaire sur immeubles"/>
    <n v="0"/>
    <n v="33792.550000000003"/>
    <n v="4013"/>
  </r>
  <r>
    <x v="1"/>
    <x v="10"/>
    <x v="9"/>
    <x v="304"/>
    <x v="251"/>
    <x v="251"/>
    <s v="REVENUS"/>
    <x v="10"/>
    <s v="4041.001"/>
    <s v="Droits de mutation"/>
    <n v="0"/>
    <n v="33"/>
    <n v="4041"/>
  </r>
  <r>
    <x v="1"/>
    <x v="10"/>
    <x v="9"/>
    <x v="304"/>
    <x v="251"/>
    <x v="251"/>
    <s v="REVENUS"/>
    <x v="18"/>
    <s v="4013.002"/>
    <s v="Complément impôt complémentaire sur immeubles"/>
    <n v="0"/>
    <n v="68.5"/>
    <n v="4013"/>
  </r>
  <r>
    <x v="1"/>
    <x v="5"/>
    <x v="1"/>
    <x v="305"/>
    <x v="252"/>
    <x v="252"/>
    <s v="CHARGES"/>
    <x v="0"/>
    <s v="3212.004"/>
    <s v="Intérêts rémun./perçu trop tôt sur acomptes C/C"/>
    <n v="72.7"/>
    <n v="0"/>
    <n v="3212"/>
  </r>
  <r>
    <x v="1"/>
    <x v="5"/>
    <x v="1"/>
    <x v="305"/>
    <x v="252"/>
    <x v="252"/>
    <s v="CHARGES"/>
    <x v="0"/>
    <s v="3221.002"/>
    <s v="Intérêts compensatoires / créances en faveur ctb."/>
    <n v="52.55"/>
    <n v="0"/>
    <n v="3221"/>
  </r>
  <r>
    <x v="1"/>
    <x v="5"/>
    <x v="1"/>
    <x v="305"/>
    <x v="252"/>
    <x v="252"/>
    <s v="CHARGES"/>
    <x v="0"/>
    <s v="3212.002"/>
    <s v="Intérêts bonifiés/trop perçu acompte C/C"/>
    <n v="0.55000000000000004"/>
    <n v="0"/>
    <n v="3212"/>
  </r>
  <r>
    <x v="1"/>
    <x v="5"/>
    <x v="1"/>
    <x v="305"/>
    <x v="252"/>
    <x v="252"/>
    <s v="CHARGES"/>
    <x v="1"/>
    <s v="3301.006"/>
    <s v="Abandon de solde PM"/>
    <n v="18.63"/>
    <n v="0"/>
    <n v="3301"/>
  </r>
  <r>
    <x v="1"/>
    <x v="5"/>
    <x v="1"/>
    <x v="305"/>
    <x v="252"/>
    <x v="252"/>
    <s v="CHARGES"/>
    <x v="1"/>
    <s v="3301.002"/>
    <s v="Défalcation PM"/>
    <n v="492.11"/>
    <n v="0"/>
    <n v="3301"/>
  </r>
  <r>
    <x v="1"/>
    <x v="5"/>
    <x v="1"/>
    <x v="305"/>
    <x v="252"/>
    <x v="252"/>
    <s v="REVENUS"/>
    <x v="18"/>
    <s v="4013.001"/>
    <s v="Impôt complémentaire sur immeubles"/>
    <n v="0"/>
    <n v="29579.15"/>
    <n v="4013"/>
  </r>
  <r>
    <x v="1"/>
    <x v="5"/>
    <x v="1"/>
    <x v="305"/>
    <x v="252"/>
    <x v="252"/>
    <s v="REVENUS"/>
    <x v="17"/>
    <s v="4011.001"/>
    <s v="Impôt bénéfice ordinaire"/>
    <n v="0"/>
    <n v="82282.8"/>
    <n v="4011"/>
  </r>
  <r>
    <x v="1"/>
    <x v="5"/>
    <x v="1"/>
    <x v="305"/>
    <x v="252"/>
    <x v="252"/>
    <s v="REVENUS"/>
    <x v="17"/>
    <s v="4011.002"/>
    <s v="Complément impôt bénéfice ordinaire"/>
    <n v="0"/>
    <n v="33224.800000000003"/>
    <n v="4011"/>
  </r>
  <r>
    <x v="1"/>
    <x v="5"/>
    <x v="1"/>
    <x v="305"/>
    <x v="252"/>
    <x v="252"/>
    <s v="REVENUS"/>
    <x v="17"/>
    <s v="4011.007"/>
    <s v="Acompte sur bénéfice"/>
    <n v="0"/>
    <n v="-24480.25"/>
    <n v="4011"/>
  </r>
  <r>
    <x v="1"/>
    <x v="5"/>
    <x v="1"/>
    <x v="305"/>
    <x v="252"/>
    <x v="252"/>
    <s v="REVENUS"/>
    <x v="6"/>
    <s v="4211.002"/>
    <s v="Intérêts de retard sur acomptes"/>
    <n v="0"/>
    <n v="98.43"/>
    <n v="4211"/>
  </r>
  <r>
    <x v="1"/>
    <x v="5"/>
    <x v="1"/>
    <x v="305"/>
    <x v="252"/>
    <x v="252"/>
    <s v="REVENUS"/>
    <x v="6"/>
    <s v="4221.001"/>
    <s v="Intérêts compensat. / créances en faveur du fisc"/>
    <n v="0"/>
    <n v="22.21"/>
    <n v="4221"/>
  </r>
  <r>
    <x v="1"/>
    <x v="5"/>
    <x v="1"/>
    <x v="305"/>
    <x v="252"/>
    <x v="252"/>
    <s v="REVENUS"/>
    <x v="16"/>
    <s v="4012.007"/>
    <s v="Acompte sur capital"/>
    <n v="0"/>
    <n v="1874.85"/>
    <n v="4012"/>
  </r>
  <r>
    <x v="1"/>
    <x v="5"/>
    <x v="1"/>
    <x v="305"/>
    <x v="252"/>
    <x v="252"/>
    <s v="REVENUS"/>
    <x v="16"/>
    <s v="4012.001"/>
    <s v="Impôt capital ordinaire"/>
    <n v="0"/>
    <n v="1610.5"/>
    <n v="4012"/>
  </r>
  <r>
    <x v="1"/>
    <x v="5"/>
    <x v="1"/>
    <x v="305"/>
    <x v="252"/>
    <x v="252"/>
    <s v="REVENUS"/>
    <x v="18"/>
    <s v="4013.002"/>
    <s v="Complément impôt complémentaire sur immeubles"/>
    <n v="0"/>
    <n v="399.5"/>
    <n v="4013"/>
  </r>
  <r>
    <x v="1"/>
    <x v="5"/>
    <x v="1"/>
    <x v="305"/>
    <x v="252"/>
    <x v="252"/>
    <s v="REVENUS"/>
    <x v="7"/>
    <s v="4184.000"/>
    <s v="Frais de poursuite"/>
    <n v="0"/>
    <n v="98.48"/>
    <n v="4184"/>
  </r>
  <r>
    <x v="1"/>
    <x v="5"/>
    <x v="1"/>
    <x v="305"/>
    <x v="252"/>
    <x v="252"/>
    <s v="REVENUS"/>
    <x v="6"/>
    <s v="4211.001"/>
    <s v="Intérêts de retard sur factures"/>
    <n v="0"/>
    <n v="8.19"/>
    <n v="4211"/>
  </r>
  <r>
    <x v="1"/>
    <x v="1"/>
    <x v="2"/>
    <x v="306"/>
    <x v="253"/>
    <x v="253"/>
    <s v="CHARGES"/>
    <x v="1"/>
    <s v="3301.006"/>
    <s v="Abandon de solde PM"/>
    <n v="20.440000000000001"/>
    <n v="0"/>
    <n v="3301"/>
  </r>
  <r>
    <x v="1"/>
    <x v="1"/>
    <x v="2"/>
    <x v="306"/>
    <x v="253"/>
    <x v="253"/>
    <s v="CHARGES"/>
    <x v="0"/>
    <s v="3221.002"/>
    <s v="Intérêts compensatoires / créances en faveur ctb."/>
    <n v="16.79"/>
    <n v="0"/>
    <n v="3221"/>
  </r>
  <r>
    <x v="1"/>
    <x v="1"/>
    <x v="2"/>
    <x v="306"/>
    <x v="253"/>
    <x v="253"/>
    <s v="CHARGES"/>
    <x v="0"/>
    <s v="3212.004"/>
    <s v="Intérêts rémun./perçu trop tôt sur acomptes C/C"/>
    <n v="8.69"/>
    <n v="0"/>
    <n v="3212"/>
  </r>
  <r>
    <x v="1"/>
    <x v="1"/>
    <x v="2"/>
    <x v="306"/>
    <x v="253"/>
    <x v="253"/>
    <s v="CHARGES"/>
    <x v="0"/>
    <s v="3212.002"/>
    <s v="Intérêts bonifiés/trop perçu acompte C/C"/>
    <n v="0.02"/>
    <n v="0"/>
    <n v="3212"/>
  </r>
  <r>
    <x v="1"/>
    <x v="1"/>
    <x v="2"/>
    <x v="306"/>
    <x v="253"/>
    <x v="253"/>
    <s v="REVENUS"/>
    <x v="16"/>
    <s v="4012.001"/>
    <s v="Impôt capital ordinaire"/>
    <n v="0"/>
    <n v="400.7"/>
    <n v="4012"/>
  </r>
  <r>
    <x v="1"/>
    <x v="1"/>
    <x v="2"/>
    <x v="306"/>
    <x v="253"/>
    <x v="253"/>
    <s v="REVENUS"/>
    <x v="16"/>
    <s v="4012.007"/>
    <s v="Acompte sur capital"/>
    <n v="0"/>
    <n v="1812.2"/>
    <n v="4012"/>
  </r>
  <r>
    <x v="1"/>
    <x v="1"/>
    <x v="2"/>
    <x v="306"/>
    <x v="253"/>
    <x v="253"/>
    <s v="REVENUS"/>
    <x v="18"/>
    <s v="4013.001"/>
    <s v="Impôt complémentaire sur immeubles"/>
    <n v="0"/>
    <n v="7487.35"/>
    <n v="4013"/>
  </r>
  <r>
    <x v="1"/>
    <x v="1"/>
    <x v="2"/>
    <x v="306"/>
    <x v="253"/>
    <x v="253"/>
    <s v="REVENUS"/>
    <x v="6"/>
    <s v="4211.002"/>
    <s v="Intérêts de retard sur acomptes"/>
    <n v="0"/>
    <n v="47.75"/>
    <n v="4211"/>
  </r>
  <r>
    <x v="1"/>
    <x v="1"/>
    <x v="2"/>
    <x v="306"/>
    <x v="253"/>
    <x v="253"/>
    <s v="REVENUS"/>
    <x v="17"/>
    <s v="4011.001"/>
    <s v="Impôt bénéfice ordinaire"/>
    <n v="0"/>
    <n v="16367.65"/>
    <n v="4011"/>
  </r>
  <r>
    <x v="1"/>
    <x v="1"/>
    <x v="2"/>
    <x v="306"/>
    <x v="253"/>
    <x v="253"/>
    <s v="REVENUS"/>
    <x v="17"/>
    <s v="4011.002"/>
    <s v="Complément impôt bénéfice ordinaire"/>
    <n v="0"/>
    <n v="365.75"/>
    <n v="4011"/>
  </r>
  <r>
    <x v="1"/>
    <x v="1"/>
    <x v="2"/>
    <x v="306"/>
    <x v="253"/>
    <x v="253"/>
    <s v="REVENUS"/>
    <x v="6"/>
    <s v="4221.001"/>
    <s v="Intérêts compensat. / créances en faveur du fisc"/>
    <n v="0"/>
    <n v="3.01"/>
    <n v="4221"/>
  </r>
  <r>
    <x v="1"/>
    <x v="1"/>
    <x v="2"/>
    <x v="306"/>
    <x v="253"/>
    <x v="253"/>
    <s v="REVENUS"/>
    <x v="18"/>
    <s v="4013.002"/>
    <s v="Complément impôt complémentaire sur immeubles"/>
    <n v="0"/>
    <n v="25.5"/>
    <n v="4013"/>
  </r>
  <r>
    <x v="1"/>
    <x v="1"/>
    <x v="2"/>
    <x v="306"/>
    <x v="253"/>
    <x v="253"/>
    <s v="REVENUS"/>
    <x v="6"/>
    <s v="4211.001"/>
    <s v="Intérêts de retard sur factures"/>
    <n v="0"/>
    <n v="80.180000000000007"/>
    <n v="4211"/>
  </r>
  <r>
    <x v="1"/>
    <x v="1"/>
    <x v="2"/>
    <x v="306"/>
    <x v="253"/>
    <x v="253"/>
    <s v="REVENUS"/>
    <x v="17"/>
    <s v="4011.007"/>
    <s v="Acompte sur bénéfice"/>
    <n v="0"/>
    <n v="-5374.5"/>
    <n v="4011"/>
  </r>
  <r>
    <x v="1"/>
    <x v="1"/>
    <x v="2"/>
    <x v="306"/>
    <x v="253"/>
    <x v="253"/>
    <s v="REVENUS"/>
    <x v="18"/>
    <s v="4013.003"/>
    <s v="Remboursement impôt complémentaire sur immeubles"/>
    <n v="0"/>
    <n v="-168.5"/>
    <n v="4013"/>
  </r>
  <r>
    <x v="1"/>
    <x v="1"/>
    <x v="2"/>
    <x v="307"/>
    <x v="254"/>
    <x v="254"/>
    <s v="CHARGES"/>
    <x v="0"/>
    <s v="3212.004"/>
    <s v="Intérêts rémun./perçu trop tôt sur acomptes C/C"/>
    <n v="48.11"/>
    <n v="0"/>
    <n v="3212"/>
  </r>
  <r>
    <x v="1"/>
    <x v="1"/>
    <x v="2"/>
    <x v="307"/>
    <x v="254"/>
    <x v="254"/>
    <s v="CHARGES"/>
    <x v="0"/>
    <s v="3221.002"/>
    <s v="Intérêts compensatoires / créances en faveur ctb."/>
    <n v="206.33"/>
    <n v="0"/>
    <n v="3221"/>
  </r>
  <r>
    <x v="1"/>
    <x v="1"/>
    <x v="2"/>
    <x v="307"/>
    <x v="254"/>
    <x v="254"/>
    <s v="CHARGES"/>
    <x v="1"/>
    <s v="3301.006"/>
    <s v="Abandon de solde PM"/>
    <n v="37.08"/>
    <n v="0"/>
    <n v="3301"/>
  </r>
  <r>
    <x v="1"/>
    <x v="1"/>
    <x v="2"/>
    <x v="307"/>
    <x v="254"/>
    <x v="254"/>
    <s v="CHARGES"/>
    <x v="0"/>
    <s v="3212.002"/>
    <s v="Intérêts bonifiés/trop perçu acompte C/C"/>
    <n v="0.03"/>
    <n v="0"/>
    <n v="3212"/>
  </r>
  <r>
    <x v="1"/>
    <x v="1"/>
    <x v="2"/>
    <x v="307"/>
    <x v="254"/>
    <x v="254"/>
    <s v="REVENUS"/>
    <x v="17"/>
    <s v="4011.007"/>
    <s v="Acompte sur bénéfice"/>
    <n v="0"/>
    <n v="-25580.55"/>
    <n v="4011"/>
  </r>
  <r>
    <x v="1"/>
    <x v="1"/>
    <x v="2"/>
    <x v="307"/>
    <x v="254"/>
    <x v="254"/>
    <s v="REVENUS"/>
    <x v="16"/>
    <s v="4012.007"/>
    <s v="Acompte sur capital"/>
    <n v="0"/>
    <n v="-8726"/>
    <n v="4012"/>
  </r>
  <r>
    <x v="1"/>
    <x v="1"/>
    <x v="2"/>
    <x v="307"/>
    <x v="254"/>
    <x v="254"/>
    <s v="REVENUS"/>
    <x v="17"/>
    <s v="4011.001"/>
    <s v="Impôt bénéfice ordinaire"/>
    <n v="0"/>
    <n v="73078"/>
    <n v="4011"/>
  </r>
  <r>
    <x v="1"/>
    <x v="1"/>
    <x v="2"/>
    <x v="307"/>
    <x v="254"/>
    <x v="254"/>
    <s v="REVENUS"/>
    <x v="6"/>
    <s v="4211.002"/>
    <s v="Intérêts de retard sur acomptes"/>
    <n v="0"/>
    <n v="320.93"/>
    <n v="4211"/>
  </r>
  <r>
    <x v="1"/>
    <x v="1"/>
    <x v="2"/>
    <x v="307"/>
    <x v="254"/>
    <x v="254"/>
    <s v="REVENUS"/>
    <x v="6"/>
    <s v="4221.001"/>
    <s v="Intérêts compensat. / créances en faveur du fisc"/>
    <n v="0"/>
    <n v="306.75"/>
    <n v="4221"/>
  </r>
  <r>
    <x v="1"/>
    <x v="1"/>
    <x v="2"/>
    <x v="307"/>
    <x v="254"/>
    <x v="254"/>
    <s v="REVENUS"/>
    <x v="16"/>
    <s v="4012.001"/>
    <s v="Impôt capital ordinaire"/>
    <n v="0"/>
    <n v="4254"/>
    <n v="4012"/>
  </r>
  <r>
    <x v="1"/>
    <x v="1"/>
    <x v="2"/>
    <x v="307"/>
    <x v="254"/>
    <x v="254"/>
    <s v="REVENUS"/>
    <x v="17"/>
    <s v="4011.002"/>
    <s v="Complément impôt bénéfice ordinaire"/>
    <n v="0"/>
    <n v="17101.400000000001"/>
    <n v="4011"/>
  </r>
  <r>
    <x v="1"/>
    <x v="1"/>
    <x v="2"/>
    <x v="307"/>
    <x v="254"/>
    <x v="254"/>
    <s v="REVENUS"/>
    <x v="6"/>
    <s v="4211.001"/>
    <s v="Intérêts de retard sur factures"/>
    <n v="0"/>
    <n v="144.69999999999999"/>
    <n v="4211"/>
  </r>
  <r>
    <x v="1"/>
    <x v="1"/>
    <x v="2"/>
    <x v="307"/>
    <x v="254"/>
    <x v="254"/>
    <s v="REVENUS"/>
    <x v="18"/>
    <s v="4013.003"/>
    <s v="Remboursement impôt complémentaire sur immeubles"/>
    <n v="0"/>
    <n v="-11"/>
    <n v="4013"/>
  </r>
  <r>
    <x v="1"/>
    <x v="1"/>
    <x v="2"/>
    <x v="307"/>
    <x v="254"/>
    <x v="254"/>
    <s v="REVENUS"/>
    <x v="16"/>
    <s v="4012.002"/>
    <s v="Complément impôt capital ordinaire"/>
    <n v="0"/>
    <n v="581.65"/>
    <n v="4012"/>
  </r>
  <r>
    <x v="1"/>
    <x v="1"/>
    <x v="2"/>
    <x v="307"/>
    <x v="254"/>
    <x v="254"/>
    <s v="REVENUS"/>
    <x v="10"/>
    <s v="4041.001"/>
    <s v="Droits de mutation"/>
    <n v="0"/>
    <n v="11451.9"/>
    <n v="4041"/>
  </r>
  <r>
    <x v="1"/>
    <x v="1"/>
    <x v="2"/>
    <x v="307"/>
    <x v="254"/>
    <x v="254"/>
    <s v="REVENUS"/>
    <x v="18"/>
    <s v="4013.001"/>
    <s v="Impôt complémentaire sur immeubles"/>
    <n v="0"/>
    <n v="15572.65"/>
    <n v="4013"/>
  </r>
  <r>
    <x v="1"/>
    <x v="1"/>
    <x v="2"/>
    <x v="308"/>
    <x v="255"/>
    <x v="255"/>
    <s v="CHARGES"/>
    <x v="0"/>
    <s v="3221.002"/>
    <s v="Intérêts compensatoires / créances en faveur ctb."/>
    <n v="1.44"/>
    <n v="0"/>
    <n v="3221"/>
  </r>
  <r>
    <x v="1"/>
    <x v="1"/>
    <x v="2"/>
    <x v="308"/>
    <x v="255"/>
    <x v="255"/>
    <s v="CHARGES"/>
    <x v="1"/>
    <s v="3301.006"/>
    <s v="Abandon de solde PM"/>
    <n v="23.46"/>
    <n v="0"/>
    <n v="3301"/>
  </r>
  <r>
    <x v="1"/>
    <x v="1"/>
    <x v="2"/>
    <x v="308"/>
    <x v="255"/>
    <x v="255"/>
    <s v="CHARGES"/>
    <x v="0"/>
    <s v="3212.004"/>
    <s v="Intérêts rémun./perçu trop tôt sur acomptes C/C"/>
    <n v="1.38"/>
    <n v="0"/>
    <n v="3212"/>
  </r>
  <r>
    <x v="1"/>
    <x v="1"/>
    <x v="2"/>
    <x v="308"/>
    <x v="255"/>
    <x v="255"/>
    <s v="CHARGES"/>
    <x v="0"/>
    <s v="3212.002"/>
    <s v="Intérêts bonifiés/trop perçu acompte C/C"/>
    <n v="0.01"/>
    <n v="0"/>
    <n v="3212"/>
  </r>
  <r>
    <x v="1"/>
    <x v="1"/>
    <x v="2"/>
    <x v="308"/>
    <x v="255"/>
    <x v="255"/>
    <s v="CHARGES"/>
    <x v="1"/>
    <s v="3301.002"/>
    <s v="Défalcation PM"/>
    <n v="121.52"/>
    <n v="0"/>
    <n v="3301"/>
  </r>
  <r>
    <x v="1"/>
    <x v="1"/>
    <x v="2"/>
    <x v="308"/>
    <x v="255"/>
    <x v="255"/>
    <s v="REVENUS"/>
    <x v="17"/>
    <s v="4011.001"/>
    <s v="Impôt bénéfice ordinaire"/>
    <n v="0"/>
    <n v="7255.45"/>
    <n v="4011"/>
  </r>
  <r>
    <x v="1"/>
    <x v="1"/>
    <x v="2"/>
    <x v="308"/>
    <x v="255"/>
    <x v="255"/>
    <s v="REVENUS"/>
    <x v="17"/>
    <s v="4011.002"/>
    <s v="Complément impôt bénéfice ordinaire"/>
    <n v="0"/>
    <n v="154.65"/>
    <n v="4011"/>
  </r>
  <r>
    <x v="1"/>
    <x v="1"/>
    <x v="2"/>
    <x v="308"/>
    <x v="255"/>
    <x v="255"/>
    <s v="REVENUS"/>
    <x v="6"/>
    <s v="4211.001"/>
    <s v="Intérêts de retard sur factures"/>
    <n v="0"/>
    <n v="12.71"/>
    <n v="4211"/>
  </r>
  <r>
    <x v="1"/>
    <x v="1"/>
    <x v="2"/>
    <x v="308"/>
    <x v="255"/>
    <x v="255"/>
    <s v="REVENUS"/>
    <x v="6"/>
    <s v="4221.001"/>
    <s v="Intérêts compensat. / créances en faveur du fisc"/>
    <n v="0"/>
    <n v="0.66"/>
    <n v="4221"/>
  </r>
  <r>
    <x v="1"/>
    <x v="1"/>
    <x v="2"/>
    <x v="308"/>
    <x v="255"/>
    <x v="255"/>
    <s v="REVENUS"/>
    <x v="18"/>
    <s v="4013.003"/>
    <s v="Remboursement impôt complémentaire sur immeubles"/>
    <n v="0"/>
    <n v="-127"/>
    <n v="4013"/>
  </r>
  <r>
    <x v="1"/>
    <x v="1"/>
    <x v="2"/>
    <x v="308"/>
    <x v="255"/>
    <x v="255"/>
    <s v="REVENUS"/>
    <x v="17"/>
    <s v="4011.007"/>
    <s v="Acompte sur bénéfice"/>
    <n v="0"/>
    <n v="-8175.75"/>
    <n v="4011"/>
  </r>
  <r>
    <x v="1"/>
    <x v="1"/>
    <x v="2"/>
    <x v="308"/>
    <x v="255"/>
    <x v="255"/>
    <s v="REVENUS"/>
    <x v="16"/>
    <s v="4012.001"/>
    <s v="Impôt capital ordinaire"/>
    <n v="0"/>
    <n v="370.3"/>
    <n v="4012"/>
  </r>
  <r>
    <x v="1"/>
    <x v="1"/>
    <x v="2"/>
    <x v="308"/>
    <x v="255"/>
    <x v="255"/>
    <s v="REVENUS"/>
    <x v="16"/>
    <s v="4012.007"/>
    <s v="Acompte sur capital"/>
    <n v="0"/>
    <n v="402.05"/>
    <n v="4012"/>
  </r>
  <r>
    <x v="1"/>
    <x v="1"/>
    <x v="2"/>
    <x v="308"/>
    <x v="255"/>
    <x v="255"/>
    <s v="REVENUS"/>
    <x v="6"/>
    <s v="4211.002"/>
    <s v="Intérêts de retard sur acomptes"/>
    <n v="0"/>
    <n v="10.11"/>
    <n v="4211"/>
  </r>
  <r>
    <x v="1"/>
    <x v="1"/>
    <x v="2"/>
    <x v="308"/>
    <x v="255"/>
    <x v="255"/>
    <s v="REVENUS"/>
    <x v="18"/>
    <s v="4013.001"/>
    <s v="Impôt complémentaire sur immeubles"/>
    <n v="0"/>
    <n v="2158.9"/>
    <n v="4013"/>
  </r>
  <r>
    <x v="1"/>
    <x v="1"/>
    <x v="2"/>
    <x v="308"/>
    <x v="255"/>
    <x v="255"/>
    <s v="REVENUS"/>
    <x v="11"/>
    <s v="4198.001"/>
    <s v="Impôt foncier"/>
    <n v="0"/>
    <n v="12894.75"/>
    <n v="4198"/>
  </r>
  <r>
    <x v="1"/>
    <x v="1"/>
    <x v="2"/>
    <x v="308"/>
    <x v="255"/>
    <x v="255"/>
    <s v="REVENUS"/>
    <x v="8"/>
    <s v="4091.001"/>
    <s v="Impôt récupéré après défalcations"/>
    <n v="0"/>
    <n v="121.52"/>
    <n v="4091"/>
  </r>
  <r>
    <x v="1"/>
    <x v="1"/>
    <x v="2"/>
    <x v="309"/>
    <x v="256"/>
    <x v="256"/>
    <s v="CHARGES"/>
    <x v="0"/>
    <s v="3212.004"/>
    <s v="Intérêts rémun./perçu trop tôt sur acomptes C/C"/>
    <n v="6.44"/>
    <n v="0"/>
    <n v="3212"/>
  </r>
  <r>
    <x v="1"/>
    <x v="1"/>
    <x v="2"/>
    <x v="309"/>
    <x v="256"/>
    <x v="256"/>
    <s v="CHARGES"/>
    <x v="0"/>
    <s v="3221.002"/>
    <s v="Intérêts compensatoires / créances en faveur ctb."/>
    <n v="10.37"/>
    <n v="0"/>
    <n v="3221"/>
  </r>
  <r>
    <x v="1"/>
    <x v="1"/>
    <x v="2"/>
    <x v="309"/>
    <x v="256"/>
    <x v="256"/>
    <s v="CHARGES"/>
    <x v="1"/>
    <s v="3301.006"/>
    <s v="Abandon de solde PM"/>
    <n v="28.87"/>
    <n v="0"/>
    <n v="3301"/>
  </r>
  <r>
    <x v="1"/>
    <x v="1"/>
    <x v="2"/>
    <x v="309"/>
    <x v="256"/>
    <x v="256"/>
    <s v="CHARGES"/>
    <x v="0"/>
    <s v="3212.002"/>
    <s v="Intérêts bonifiés/trop perçu acompte C/C"/>
    <n v="0.11"/>
    <n v="0"/>
    <n v="3212"/>
  </r>
  <r>
    <x v="1"/>
    <x v="1"/>
    <x v="2"/>
    <x v="309"/>
    <x v="256"/>
    <x v="256"/>
    <s v="CHARGES"/>
    <x v="1"/>
    <s v="3301.002"/>
    <s v="Défalcation PM"/>
    <n v="10885.03"/>
    <n v="0"/>
    <n v="3301"/>
  </r>
  <r>
    <x v="1"/>
    <x v="1"/>
    <x v="2"/>
    <x v="309"/>
    <x v="256"/>
    <x v="256"/>
    <s v="REVENUS"/>
    <x v="16"/>
    <s v="4012.001"/>
    <s v="Impôt capital ordinaire"/>
    <n v="0"/>
    <n v="33224.75"/>
    <n v="4012"/>
  </r>
  <r>
    <x v="1"/>
    <x v="1"/>
    <x v="2"/>
    <x v="309"/>
    <x v="256"/>
    <x v="256"/>
    <s v="REVENUS"/>
    <x v="16"/>
    <s v="4012.007"/>
    <s v="Acompte sur capital"/>
    <n v="0"/>
    <n v="-16760.75"/>
    <n v="4012"/>
  </r>
  <r>
    <x v="1"/>
    <x v="1"/>
    <x v="2"/>
    <x v="309"/>
    <x v="256"/>
    <x v="256"/>
    <s v="REVENUS"/>
    <x v="6"/>
    <s v="4221.001"/>
    <s v="Intérêts compensat. / créances en faveur du fisc"/>
    <n v="0"/>
    <n v="42.4"/>
    <n v="4221"/>
  </r>
  <r>
    <x v="1"/>
    <x v="1"/>
    <x v="2"/>
    <x v="309"/>
    <x v="256"/>
    <x v="256"/>
    <s v="REVENUS"/>
    <x v="17"/>
    <s v="4011.007"/>
    <s v="Acompte sur bénéfice"/>
    <n v="0"/>
    <n v="-15729.45"/>
    <n v="4011"/>
  </r>
  <r>
    <x v="1"/>
    <x v="1"/>
    <x v="2"/>
    <x v="309"/>
    <x v="256"/>
    <x v="256"/>
    <s v="REVENUS"/>
    <x v="6"/>
    <s v="4211.002"/>
    <s v="Intérêts de retard sur acomptes"/>
    <n v="0"/>
    <n v="38.020000000000003"/>
    <n v="4211"/>
  </r>
  <r>
    <x v="1"/>
    <x v="1"/>
    <x v="2"/>
    <x v="309"/>
    <x v="256"/>
    <x v="256"/>
    <s v="REVENUS"/>
    <x v="17"/>
    <s v="4011.001"/>
    <s v="Impôt bénéfice ordinaire"/>
    <n v="0"/>
    <n v="55545.95"/>
    <n v="4011"/>
  </r>
  <r>
    <x v="1"/>
    <x v="1"/>
    <x v="2"/>
    <x v="309"/>
    <x v="256"/>
    <x v="256"/>
    <s v="REVENUS"/>
    <x v="17"/>
    <s v="4011.002"/>
    <s v="Complément impôt bénéfice ordinaire"/>
    <n v="0"/>
    <n v="5943.4"/>
    <n v="4011"/>
  </r>
  <r>
    <x v="1"/>
    <x v="1"/>
    <x v="2"/>
    <x v="309"/>
    <x v="256"/>
    <x v="256"/>
    <s v="REVENUS"/>
    <x v="6"/>
    <s v="4211.001"/>
    <s v="Intérêts de retard sur factures"/>
    <n v="0"/>
    <n v="831.98"/>
    <n v="4211"/>
  </r>
  <r>
    <x v="1"/>
    <x v="1"/>
    <x v="2"/>
    <x v="309"/>
    <x v="256"/>
    <x v="256"/>
    <s v="REVENUS"/>
    <x v="8"/>
    <s v="4091.001"/>
    <s v="Impôt récupéré après défalcations"/>
    <n v="0"/>
    <n v="10885.03"/>
    <n v="4091"/>
  </r>
  <r>
    <x v="1"/>
    <x v="1"/>
    <x v="2"/>
    <x v="309"/>
    <x v="256"/>
    <x v="256"/>
    <s v="REVENUS"/>
    <x v="18"/>
    <s v="4013.003"/>
    <s v="Remboursement impôt complémentaire sur immeubles"/>
    <n v="0"/>
    <n v="-4882.5"/>
    <n v="4013"/>
  </r>
  <r>
    <x v="1"/>
    <x v="1"/>
    <x v="2"/>
    <x v="309"/>
    <x v="256"/>
    <x v="256"/>
    <s v="REVENUS"/>
    <x v="18"/>
    <s v="4013.001"/>
    <s v="Impôt complémentaire sur immeubles"/>
    <n v="0"/>
    <n v="16913.5"/>
    <n v="4013"/>
  </r>
  <r>
    <x v="1"/>
    <x v="1"/>
    <x v="2"/>
    <x v="309"/>
    <x v="256"/>
    <x v="256"/>
    <s v="REVENUS"/>
    <x v="10"/>
    <s v="4041.001"/>
    <s v="Droits de mutation"/>
    <n v="0"/>
    <n v="200.75"/>
    <n v="4041"/>
  </r>
  <r>
    <x v="1"/>
    <x v="1"/>
    <x v="2"/>
    <x v="310"/>
    <x v="257"/>
    <x v="257"/>
    <s v="CHARGES"/>
    <x v="1"/>
    <s v="3301.006"/>
    <s v="Abandon de solde PM"/>
    <n v="14.82"/>
    <n v="0"/>
    <n v="3301"/>
  </r>
  <r>
    <x v="1"/>
    <x v="1"/>
    <x v="2"/>
    <x v="310"/>
    <x v="257"/>
    <x v="257"/>
    <s v="CHARGES"/>
    <x v="0"/>
    <s v="3212.004"/>
    <s v="Intérêts rémun./perçu trop tôt sur acomptes C/C"/>
    <n v="15.11"/>
    <n v="0"/>
    <n v="3212"/>
  </r>
  <r>
    <x v="1"/>
    <x v="1"/>
    <x v="2"/>
    <x v="310"/>
    <x v="257"/>
    <x v="257"/>
    <s v="CHARGES"/>
    <x v="0"/>
    <s v="3221.002"/>
    <s v="Intérêts compensatoires / créances en faveur ctb."/>
    <n v="5.42"/>
    <n v="0"/>
    <n v="3221"/>
  </r>
  <r>
    <x v="1"/>
    <x v="1"/>
    <x v="2"/>
    <x v="310"/>
    <x v="257"/>
    <x v="257"/>
    <s v="CHARGES"/>
    <x v="0"/>
    <s v="3212.002"/>
    <s v="Intérêts bonifiés/trop perçu acompte C/C"/>
    <n v="0.04"/>
    <n v="0"/>
    <n v="3212"/>
  </r>
  <r>
    <x v="1"/>
    <x v="1"/>
    <x v="2"/>
    <x v="310"/>
    <x v="257"/>
    <x v="257"/>
    <s v="REVENUS"/>
    <x v="16"/>
    <s v="4012.001"/>
    <s v="Impôt capital ordinaire"/>
    <n v="0"/>
    <n v="302.64999999999998"/>
    <n v="4012"/>
  </r>
  <r>
    <x v="1"/>
    <x v="1"/>
    <x v="2"/>
    <x v="310"/>
    <x v="257"/>
    <x v="257"/>
    <s v="REVENUS"/>
    <x v="16"/>
    <s v="4012.007"/>
    <s v="Acompte sur capital"/>
    <n v="0"/>
    <n v="1240.1500000000001"/>
    <n v="4012"/>
  </r>
  <r>
    <x v="1"/>
    <x v="1"/>
    <x v="2"/>
    <x v="310"/>
    <x v="257"/>
    <x v="257"/>
    <s v="REVENUS"/>
    <x v="6"/>
    <s v="4211.002"/>
    <s v="Intérêts de retard sur acomptes"/>
    <n v="0"/>
    <n v="5.01"/>
    <n v="4211"/>
  </r>
  <r>
    <x v="1"/>
    <x v="1"/>
    <x v="2"/>
    <x v="310"/>
    <x v="257"/>
    <x v="257"/>
    <s v="REVENUS"/>
    <x v="17"/>
    <s v="4011.007"/>
    <s v="Acompte sur bénéfice"/>
    <n v="0"/>
    <n v="-3507.8"/>
    <n v="4011"/>
  </r>
  <r>
    <x v="1"/>
    <x v="1"/>
    <x v="2"/>
    <x v="310"/>
    <x v="257"/>
    <x v="257"/>
    <s v="REVENUS"/>
    <x v="6"/>
    <s v="4211.001"/>
    <s v="Intérêts de retard sur factures"/>
    <n v="0"/>
    <n v="2.02"/>
    <n v="4211"/>
  </r>
  <r>
    <x v="1"/>
    <x v="1"/>
    <x v="2"/>
    <x v="310"/>
    <x v="257"/>
    <x v="257"/>
    <s v="REVENUS"/>
    <x v="17"/>
    <s v="4011.001"/>
    <s v="Impôt bénéfice ordinaire"/>
    <n v="0"/>
    <n v="2554.85"/>
    <n v="4011"/>
  </r>
  <r>
    <x v="1"/>
    <x v="1"/>
    <x v="2"/>
    <x v="310"/>
    <x v="257"/>
    <x v="257"/>
    <s v="REVENUS"/>
    <x v="17"/>
    <s v="4011.002"/>
    <s v="Complément impôt bénéfice ordinaire"/>
    <n v="0"/>
    <n v="841.3"/>
    <n v="4011"/>
  </r>
  <r>
    <x v="1"/>
    <x v="1"/>
    <x v="2"/>
    <x v="310"/>
    <x v="257"/>
    <x v="257"/>
    <s v="REVENUS"/>
    <x v="18"/>
    <s v="4013.003"/>
    <s v="Remboursement impôt complémentaire sur immeubles"/>
    <n v="0"/>
    <n v="-1998.5"/>
    <n v="4013"/>
  </r>
  <r>
    <x v="1"/>
    <x v="1"/>
    <x v="2"/>
    <x v="310"/>
    <x v="257"/>
    <x v="257"/>
    <s v="REVENUS"/>
    <x v="6"/>
    <s v="4221.001"/>
    <s v="Intérêts compensat. / créances en faveur du fisc"/>
    <n v="0"/>
    <n v="1.38"/>
    <n v="4221"/>
  </r>
  <r>
    <x v="1"/>
    <x v="1"/>
    <x v="2"/>
    <x v="310"/>
    <x v="257"/>
    <x v="257"/>
    <s v="REVENUS"/>
    <x v="18"/>
    <s v="4013.001"/>
    <s v="Impôt complémentaire sur immeubles"/>
    <n v="0"/>
    <n v="2972.75"/>
    <n v="4013"/>
  </r>
  <r>
    <x v="1"/>
    <x v="1"/>
    <x v="2"/>
    <x v="310"/>
    <x v="257"/>
    <x v="257"/>
    <s v="REVENUS"/>
    <x v="10"/>
    <s v="4041.001"/>
    <s v="Droits de mutation"/>
    <n v="0"/>
    <n v="5288.3"/>
    <n v="4041"/>
  </r>
  <r>
    <x v="1"/>
    <x v="1"/>
    <x v="2"/>
    <x v="311"/>
    <x v="258"/>
    <x v="258"/>
    <s v="CHARGES"/>
    <x v="0"/>
    <s v="3212.004"/>
    <s v="Intérêts rémun./perçu trop tôt sur acomptes C/C"/>
    <n v="5.94"/>
    <n v="0"/>
    <n v="3212"/>
  </r>
  <r>
    <x v="1"/>
    <x v="1"/>
    <x v="2"/>
    <x v="311"/>
    <x v="258"/>
    <x v="258"/>
    <s v="CHARGES"/>
    <x v="0"/>
    <s v="3221.002"/>
    <s v="Intérêts compensatoires / créances en faveur ctb."/>
    <n v="8.41"/>
    <n v="0"/>
    <n v="3221"/>
  </r>
  <r>
    <x v="1"/>
    <x v="1"/>
    <x v="2"/>
    <x v="311"/>
    <x v="258"/>
    <x v="258"/>
    <s v="CHARGES"/>
    <x v="1"/>
    <s v="3301.006"/>
    <s v="Abandon de solde PM"/>
    <n v="58.62"/>
    <n v="0"/>
    <n v="3301"/>
  </r>
  <r>
    <x v="1"/>
    <x v="1"/>
    <x v="2"/>
    <x v="311"/>
    <x v="258"/>
    <x v="258"/>
    <s v="CHARGES"/>
    <x v="0"/>
    <s v="3212.002"/>
    <s v="Intérêts bonifiés/trop perçu acompte C/C"/>
    <n v="0.08"/>
    <n v="0"/>
    <n v="3212"/>
  </r>
  <r>
    <x v="1"/>
    <x v="1"/>
    <x v="2"/>
    <x v="311"/>
    <x v="258"/>
    <x v="258"/>
    <s v="REVENUS"/>
    <x v="18"/>
    <s v="4013.001"/>
    <s v="Impôt complémentaire sur immeubles"/>
    <n v="0"/>
    <n v="19305.45"/>
    <n v="4013"/>
  </r>
  <r>
    <x v="1"/>
    <x v="1"/>
    <x v="2"/>
    <x v="311"/>
    <x v="258"/>
    <x v="258"/>
    <s v="REVENUS"/>
    <x v="16"/>
    <s v="4012.001"/>
    <s v="Impôt capital ordinaire"/>
    <n v="0"/>
    <n v="2492.4"/>
    <n v="4012"/>
  </r>
  <r>
    <x v="1"/>
    <x v="1"/>
    <x v="2"/>
    <x v="311"/>
    <x v="258"/>
    <x v="258"/>
    <s v="REVENUS"/>
    <x v="16"/>
    <s v="4012.007"/>
    <s v="Acompte sur capital"/>
    <n v="0"/>
    <n v="1482.65"/>
    <n v="4012"/>
  </r>
  <r>
    <x v="1"/>
    <x v="1"/>
    <x v="2"/>
    <x v="311"/>
    <x v="258"/>
    <x v="258"/>
    <s v="REVENUS"/>
    <x v="17"/>
    <s v="4011.007"/>
    <s v="Acompte sur bénéfice"/>
    <n v="0"/>
    <n v="-46669.7"/>
    <n v="4011"/>
  </r>
  <r>
    <x v="1"/>
    <x v="1"/>
    <x v="2"/>
    <x v="311"/>
    <x v="258"/>
    <x v="258"/>
    <s v="REVENUS"/>
    <x v="18"/>
    <s v="4013.003"/>
    <s v="Remboursement impôt complémentaire sur immeubles"/>
    <n v="0"/>
    <n v="-6929.35"/>
    <n v="4013"/>
  </r>
  <r>
    <x v="1"/>
    <x v="1"/>
    <x v="2"/>
    <x v="311"/>
    <x v="258"/>
    <x v="258"/>
    <s v="REVENUS"/>
    <x v="6"/>
    <s v="4211.002"/>
    <s v="Intérêts de retard sur acomptes"/>
    <n v="0"/>
    <n v="94.64"/>
    <n v="4211"/>
  </r>
  <r>
    <x v="1"/>
    <x v="1"/>
    <x v="2"/>
    <x v="311"/>
    <x v="258"/>
    <x v="258"/>
    <s v="REVENUS"/>
    <x v="6"/>
    <s v="4211.001"/>
    <s v="Intérêts de retard sur factures"/>
    <n v="0"/>
    <n v="6.79"/>
    <n v="4211"/>
  </r>
  <r>
    <x v="1"/>
    <x v="1"/>
    <x v="2"/>
    <x v="311"/>
    <x v="258"/>
    <x v="258"/>
    <s v="REVENUS"/>
    <x v="17"/>
    <s v="4011.001"/>
    <s v="Impôt bénéfice ordinaire"/>
    <n v="0"/>
    <n v="36020.1"/>
    <n v="4011"/>
  </r>
  <r>
    <x v="1"/>
    <x v="1"/>
    <x v="2"/>
    <x v="311"/>
    <x v="258"/>
    <x v="258"/>
    <s v="REVENUS"/>
    <x v="17"/>
    <s v="4011.002"/>
    <s v="Complément impôt bénéfice ordinaire"/>
    <n v="0"/>
    <n v="1110.55"/>
    <n v="4011"/>
  </r>
  <r>
    <x v="1"/>
    <x v="1"/>
    <x v="2"/>
    <x v="311"/>
    <x v="258"/>
    <x v="258"/>
    <s v="REVENUS"/>
    <x v="6"/>
    <s v="4221.001"/>
    <s v="Intérêts compensat. / créances en faveur du fisc"/>
    <n v="0"/>
    <n v="5.63"/>
    <n v="4221"/>
  </r>
  <r>
    <x v="1"/>
    <x v="1"/>
    <x v="2"/>
    <x v="311"/>
    <x v="258"/>
    <x v="258"/>
    <s v="REVENUS"/>
    <x v="10"/>
    <s v="4041.001"/>
    <s v="Droits de mutation"/>
    <n v="0"/>
    <n v="17401.849999999999"/>
    <n v="4041"/>
  </r>
  <r>
    <x v="1"/>
    <x v="1"/>
    <x v="2"/>
    <x v="311"/>
    <x v="258"/>
    <x v="258"/>
    <s v="REVENUS"/>
    <x v="16"/>
    <s v="4012.002"/>
    <s v="Complément impôt capital ordinaire"/>
    <n v="0"/>
    <n v="108.5"/>
    <n v="4012"/>
  </r>
  <r>
    <x v="1"/>
    <x v="1"/>
    <x v="2"/>
    <x v="311"/>
    <x v="258"/>
    <x v="258"/>
    <s v="REVENUS"/>
    <x v="7"/>
    <s v="4184.000"/>
    <s v="Frais de poursuite"/>
    <n v="0"/>
    <n v="6.75"/>
    <n v="4184"/>
  </r>
  <r>
    <x v="1"/>
    <x v="1"/>
    <x v="2"/>
    <x v="312"/>
    <x v="259"/>
    <x v="259"/>
    <s v="CHARGES"/>
    <x v="0"/>
    <s v="3212.004"/>
    <s v="Intérêts rémun./perçu trop tôt sur acomptes C/C"/>
    <n v="24.36"/>
    <n v="0"/>
    <n v="3212"/>
  </r>
  <r>
    <x v="1"/>
    <x v="1"/>
    <x v="2"/>
    <x v="312"/>
    <x v="259"/>
    <x v="259"/>
    <s v="CHARGES"/>
    <x v="0"/>
    <s v="3221.002"/>
    <s v="Intérêts compensatoires / créances en faveur ctb."/>
    <n v="36.15"/>
    <n v="0"/>
    <n v="3221"/>
  </r>
  <r>
    <x v="1"/>
    <x v="1"/>
    <x v="2"/>
    <x v="312"/>
    <x v="259"/>
    <x v="259"/>
    <s v="CHARGES"/>
    <x v="1"/>
    <s v="3301.006"/>
    <s v="Abandon de solde PM"/>
    <n v="33.28"/>
    <n v="0"/>
    <n v="3301"/>
  </r>
  <r>
    <x v="1"/>
    <x v="1"/>
    <x v="2"/>
    <x v="312"/>
    <x v="259"/>
    <x v="259"/>
    <s v="CHARGES"/>
    <x v="1"/>
    <s v="3301.002"/>
    <s v="Défalcation PM"/>
    <n v="2927.23"/>
    <n v="0"/>
    <n v="3301"/>
  </r>
  <r>
    <x v="1"/>
    <x v="1"/>
    <x v="2"/>
    <x v="312"/>
    <x v="259"/>
    <x v="259"/>
    <s v="CHARGES"/>
    <x v="0"/>
    <s v="3212.002"/>
    <s v="Intérêts bonifiés/trop perçu acompte C/C"/>
    <n v="7.0000000000000007E-2"/>
    <n v="0"/>
    <n v="3212"/>
  </r>
  <r>
    <x v="1"/>
    <x v="1"/>
    <x v="2"/>
    <x v="312"/>
    <x v="259"/>
    <x v="259"/>
    <s v="REVENUS"/>
    <x v="16"/>
    <s v="4012.001"/>
    <s v="Impôt capital ordinaire"/>
    <n v="0"/>
    <n v="616.1"/>
    <n v="4012"/>
  </r>
  <r>
    <x v="1"/>
    <x v="1"/>
    <x v="2"/>
    <x v="312"/>
    <x v="259"/>
    <x v="259"/>
    <s v="REVENUS"/>
    <x v="16"/>
    <s v="4012.007"/>
    <s v="Acompte sur capital"/>
    <n v="0"/>
    <n v="-216.6"/>
    <n v="4012"/>
  </r>
  <r>
    <x v="1"/>
    <x v="1"/>
    <x v="2"/>
    <x v="312"/>
    <x v="259"/>
    <x v="259"/>
    <s v="REVENUS"/>
    <x v="6"/>
    <s v="4211.002"/>
    <s v="Intérêts de retard sur acomptes"/>
    <n v="0"/>
    <n v="20.65"/>
    <n v="4211"/>
  </r>
  <r>
    <x v="1"/>
    <x v="1"/>
    <x v="2"/>
    <x v="312"/>
    <x v="259"/>
    <x v="259"/>
    <s v="REVENUS"/>
    <x v="17"/>
    <s v="4011.001"/>
    <s v="Impôt bénéfice ordinaire"/>
    <n v="0"/>
    <n v="32202.9"/>
    <n v="4011"/>
  </r>
  <r>
    <x v="1"/>
    <x v="1"/>
    <x v="2"/>
    <x v="312"/>
    <x v="259"/>
    <x v="259"/>
    <s v="REVENUS"/>
    <x v="17"/>
    <s v="4011.007"/>
    <s v="Acompte sur bénéfice"/>
    <n v="0"/>
    <n v="1057"/>
    <n v="4011"/>
  </r>
  <r>
    <x v="1"/>
    <x v="1"/>
    <x v="2"/>
    <x v="312"/>
    <x v="259"/>
    <x v="259"/>
    <s v="REVENUS"/>
    <x v="8"/>
    <s v="4091.001"/>
    <s v="Impôt récupéré après défalcations"/>
    <n v="0"/>
    <n v="1665.08"/>
    <n v="4091"/>
  </r>
  <r>
    <x v="1"/>
    <x v="1"/>
    <x v="2"/>
    <x v="312"/>
    <x v="259"/>
    <x v="259"/>
    <s v="REVENUS"/>
    <x v="6"/>
    <s v="4211.001"/>
    <s v="Intérêts de retard sur factures"/>
    <n v="0"/>
    <n v="43.04"/>
    <n v="4211"/>
  </r>
  <r>
    <x v="1"/>
    <x v="1"/>
    <x v="2"/>
    <x v="312"/>
    <x v="259"/>
    <x v="259"/>
    <s v="REVENUS"/>
    <x v="17"/>
    <s v="4011.002"/>
    <s v="Complément impôt bénéfice ordinaire"/>
    <n v="0"/>
    <n v="1801.2"/>
    <n v="4011"/>
  </r>
  <r>
    <x v="1"/>
    <x v="1"/>
    <x v="2"/>
    <x v="312"/>
    <x v="259"/>
    <x v="259"/>
    <s v="REVENUS"/>
    <x v="7"/>
    <s v="4184.000"/>
    <s v="Frais de poursuite"/>
    <n v="0"/>
    <n v="88.44"/>
    <n v="4184"/>
  </r>
  <r>
    <x v="1"/>
    <x v="1"/>
    <x v="2"/>
    <x v="312"/>
    <x v="259"/>
    <x v="259"/>
    <s v="REVENUS"/>
    <x v="6"/>
    <s v="4221.001"/>
    <s v="Intérêts compensat. / créances en faveur du fisc"/>
    <n v="0"/>
    <n v="11.28"/>
    <n v="4221"/>
  </r>
  <r>
    <x v="1"/>
    <x v="1"/>
    <x v="2"/>
    <x v="312"/>
    <x v="259"/>
    <x v="259"/>
    <s v="REVENUS"/>
    <x v="18"/>
    <s v="4013.001"/>
    <s v="Impôt complémentaire sur immeubles"/>
    <n v="0"/>
    <n v="1183.05"/>
    <n v="4013"/>
  </r>
  <r>
    <x v="1"/>
    <x v="1"/>
    <x v="2"/>
    <x v="312"/>
    <x v="259"/>
    <x v="259"/>
    <s v="REVENUS"/>
    <x v="18"/>
    <s v="4013.002"/>
    <s v="Complément impôt complémentaire sur immeubles"/>
    <n v="0"/>
    <n v="-2.7"/>
    <n v="4013"/>
  </r>
  <r>
    <x v="1"/>
    <x v="1"/>
    <x v="2"/>
    <x v="312"/>
    <x v="259"/>
    <x v="259"/>
    <s v="REVENUS"/>
    <x v="18"/>
    <s v="4013.003"/>
    <s v="Remboursement impôt complémentaire sur immeubles"/>
    <n v="0"/>
    <n v="-109.2"/>
    <n v="4013"/>
  </r>
  <r>
    <x v="1"/>
    <x v="1"/>
    <x v="2"/>
    <x v="312"/>
    <x v="259"/>
    <x v="259"/>
    <s v="REVENUS"/>
    <x v="10"/>
    <s v="4041.001"/>
    <s v="Droits de mutation"/>
    <n v="0"/>
    <n v="11470.25"/>
    <n v="4041"/>
  </r>
  <r>
    <x v="1"/>
    <x v="1"/>
    <x v="2"/>
    <x v="313"/>
    <x v="260"/>
    <x v="260"/>
    <s v="CHARGES"/>
    <x v="0"/>
    <s v="3221.002"/>
    <s v="Intérêts compensatoires / créances en faveur ctb."/>
    <n v="24.22"/>
    <n v="0"/>
    <n v="3221"/>
  </r>
  <r>
    <x v="1"/>
    <x v="1"/>
    <x v="2"/>
    <x v="313"/>
    <x v="260"/>
    <x v="260"/>
    <s v="CHARGES"/>
    <x v="0"/>
    <s v="3212.004"/>
    <s v="Intérêts rémun./perçu trop tôt sur acomptes C/C"/>
    <n v="48.88"/>
    <n v="0"/>
    <n v="3212"/>
  </r>
  <r>
    <x v="1"/>
    <x v="1"/>
    <x v="2"/>
    <x v="313"/>
    <x v="260"/>
    <x v="260"/>
    <s v="CHARGES"/>
    <x v="1"/>
    <s v="3301.006"/>
    <s v="Abandon de solde PM"/>
    <n v="55.23"/>
    <n v="0"/>
    <n v="3301"/>
  </r>
  <r>
    <x v="1"/>
    <x v="1"/>
    <x v="2"/>
    <x v="313"/>
    <x v="260"/>
    <x v="260"/>
    <s v="CHARGES"/>
    <x v="0"/>
    <s v="3212.002"/>
    <s v="Intérêts bonifiés/trop perçu acompte C/C"/>
    <n v="1.99"/>
    <n v="0"/>
    <n v="3212"/>
  </r>
  <r>
    <x v="1"/>
    <x v="1"/>
    <x v="2"/>
    <x v="313"/>
    <x v="260"/>
    <x v="260"/>
    <s v="CHARGES"/>
    <x v="1"/>
    <s v="3301.002"/>
    <s v="Défalcation PM"/>
    <n v="357.91"/>
    <n v="0"/>
    <n v="3301"/>
  </r>
  <r>
    <x v="1"/>
    <x v="1"/>
    <x v="2"/>
    <x v="313"/>
    <x v="260"/>
    <x v="260"/>
    <s v="REVENUS"/>
    <x v="17"/>
    <s v="4011.001"/>
    <s v="Impôt bénéfice ordinaire"/>
    <n v="0"/>
    <n v="63608.95"/>
    <n v="4011"/>
  </r>
  <r>
    <x v="1"/>
    <x v="1"/>
    <x v="2"/>
    <x v="313"/>
    <x v="260"/>
    <x v="260"/>
    <s v="REVENUS"/>
    <x v="17"/>
    <s v="4011.002"/>
    <s v="Complément impôt bénéfice ordinaire"/>
    <n v="0"/>
    <n v="4410.95"/>
    <n v="4011"/>
  </r>
  <r>
    <x v="1"/>
    <x v="1"/>
    <x v="2"/>
    <x v="313"/>
    <x v="260"/>
    <x v="260"/>
    <s v="REVENUS"/>
    <x v="6"/>
    <s v="4211.001"/>
    <s v="Intérêts de retard sur factures"/>
    <n v="0"/>
    <n v="251.35"/>
    <n v="4211"/>
  </r>
  <r>
    <x v="1"/>
    <x v="1"/>
    <x v="2"/>
    <x v="313"/>
    <x v="260"/>
    <x v="260"/>
    <s v="REVENUS"/>
    <x v="6"/>
    <s v="4221.001"/>
    <s v="Intérêts compensat. / créances en faveur du fisc"/>
    <n v="0"/>
    <n v="30.96"/>
    <n v="4221"/>
  </r>
  <r>
    <x v="1"/>
    <x v="1"/>
    <x v="2"/>
    <x v="313"/>
    <x v="260"/>
    <x v="260"/>
    <s v="REVENUS"/>
    <x v="16"/>
    <s v="4012.001"/>
    <s v="Impôt capital ordinaire"/>
    <n v="0"/>
    <n v="7665.2"/>
    <n v="4012"/>
  </r>
  <r>
    <x v="1"/>
    <x v="1"/>
    <x v="2"/>
    <x v="313"/>
    <x v="260"/>
    <x v="260"/>
    <s v="REVENUS"/>
    <x v="16"/>
    <s v="4012.007"/>
    <s v="Acompte sur capital"/>
    <n v="0"/>
    <n v="-2584.25"/>
    <n v="4012"/>
  </r>
  <r>
    <x v="1"/>
    <x v="1"/>
    <x v="2"/>
    <x v="313"/>
    <x v="260"/>
    <x v="260"/>
    <s v="REVENUS"/>
    <x v="6"/>
    <s v="4211.002"/>
    <s v="Intérêts de retard sur acomptes"/>
    <n v="0"/>
    <n v="150.80000000000001"/>
    <n v="4211"/>
  </r>
  <r>
    <x v="1"/>
    <x v="1"/>
    <x v="2"/>
    <x v="313"/>
    <x v="260"/>
    <x v="260"/>
    <s v="REVENUS"/>
    <x v="17"/>
    <s v="4011.007"/>
    <s v="Acompte sur bénéfice"/>
    <n v="0"/>
    <n v="-53.75"/>
    <n v="4011"/>
  </r>
  <r>
    <x v="1"/>
    <x v="1"/>
    <x v="2"/>
    <x v="313"/>
    <x v="260"/>
    <x v="260"/>
    <s v="REVENUS"/>
    <x v="7"/>
    <s v="4184.000"/>
    <s v="Frais de poursuite"/>
    <n v="0"/>
    <n v="185.45"/>
    <n v="4184"/>
  </r>
  <r>
    <x v="1"/>
    <x v="1"/>
    <x v="2"/>
    <x v="313"/>
    <x v="260"/>
    <x v="260"/>
    <s v="REVENUS"/>
    <x v="8"/>
    <s v="4091.001"/>
    <s v="Impôt récupéré après défalcations"/>
    <n v="0"/>
    <n v="258.01"/>
    <n v="4091"/>
  </r>
  <r>
    <x v="1"/>
    <x v="1"/>
    <x v="2"/>
    <x v="313"/>
    <x v="260"/>
    <x v="260"/>
    <s v="REVENUS"/>
    <x v="18"/>
    <s v="4013.003"/>
    <s v="Remboursement impôt complémentaire sur immeubles"/>
    <n v="0"/>
    <n v="-1564.2"/>
    <n v="4013"/>
  </r>
  <r>
    <x v="1"/>
    <x v="1"/>
    <x v="2"/>
    <x v="313"/>
    <x v="260"/>
    <x v="260"/>
    <s v="REVENUS"/>
    <x v="10"/>
    <s v="4041.001"/>
    <s v="Droits de mutation"/>
    <n v="0"/>
    <n v="34045"/>
    <n v="4041"/>
  </r>
  <r>
    <x v="1"/>
    <x v="1"/>
    <x v="2"/>
    <x v="313"/>
    <x v="260"/>
    <x v="260"/>
    <s v="REVENUS"/>
    <x v="18"/>
    <s v="4013.001"/>
    <s v="Impôt complémentaire sur immeubles"/>
    <n v="0"/>
    <n v="24685.7"/>
    <n v="4013"/>
  </r>
  <r>
    <x v="1"/>
    <x v="1"/>
    <x v="2"/>
    <x v="314"/>
    <x v="261"/>
    <x v="261"/>
    <s v="CHARGES"/>
    <x v="0"/>
    <s v="3221.002"/>
    <s v="Intérêts compensatoires / créances en faveur ctb."/>
    <n v="109.05"/>
    <n v="0"/>
    <n v="3221"/>
  </r>
  <r>
    <x v="1"/>
    <x v="1"/>
    <x v="2"/>
    <x v="314"/>
    <x v="261"/>
    <x v="261"/>
    <s v="CHARGES"/>
    <x v="1"/>
    <s v="3301.006"/>
    <s v="Abandon de solde PM"/>
    <n v="59.02"/>
    <n v="0"/>
    <n v="3301"/>
  </r>
  <r>
    <x v="1"/>
    <x v="1"/>
    <x v="2"/>
    <x v="314"/>
    <x v="261"/>
    <x v="261"/>
    <s v="CHARGES"/>
    <x v="0"/>
    <s v="3212.004"/>
    <s v="Intérêts rémun./perçu trop tôt sur acomptes C/C"/>
    <n v="96.89"/>
    <n v="0"/>
    <n v="3212"/>
  </r>
  <r>
    <x v="1"/>
    <x v="1"/>
    <x v="2"/>
    <x v="314"/>
    <x v="261"/>
    <x v="261"/>
    <s v="CHARGES"/>
    <x v="1"/>
    <s v="3301.002"/>
    <s v="Défalcation PM"/>
    <n v="6004.81"/>
    <n v="0"/>
    <n v="3301"/>
  </r>
  <r>
    <x v="1"/>
    <x v="1"/>
    <x v="2"/>
    <x v="314"/>
    <x v="261"/>
    <x v="261"/>
    <s v="CHARGES"/>
    <x v="0"/>
    <s v="3212.002"/>
    <s v="Intérêts bonifiés/trop perçu acompte C/C"/>
    <n v="0.28999999999999998"/>
    <n v="0"/>
    <n v="3212"/>
  </r>
  <r>
    <x v="1"/>
    <x v="1"/>
    <x v="2"/>
    <x v="314"/>
    <x v="261"/>
    <x v="261"/>
    <s v="REVENUS"/>
    <x v="16"/>
    <s v="4012.001"/>
    <s v="Impôt capital ordinaire"/>
    <n v="0"/>
    <n v="5288.15"/>
    <n v="4012"/>
  </r>
  <r>
    <x v="1"/>
    <x v="1"/>
    <x v="2"/>
    <x v="314"/>
    <x v="261"/>
    <x v="261"/>
    <s v="REVENUS"/>
    <x v="18"/>
    <s v="4013.001"/>
    <s v="Impôt complémentaire sur immeubles"/>
    <n v="0"/>
    <n v="28332.799999999999"/>
    <n v="4013"/>
  </r>
  <r>
    <x v="1"/>
    <x v="1"/>
    <x v="2"/>
    <x v="314"/>
    <x v="261"/>
    <x v="261"/>
    <s v="REVENUS"/>
    <x v="17"/>
    <s v="4011.001"/>
    <s v="Impôt bénéfice ordinaire"/>
    <n v="0"/>
    <n v="174241.65"/>
    <n v="4011"/>
  </r>
  <r>
    <x v="1"/>
    <x v="1"/>
    <x v="2"/>
    <x v="314"/>
    <x v="261"/>
    <x v="261"/>
    <s v="REVENUS"/>
    <x v="17"/>
    <s v="4011.002"/>
    <s v="Complément impôt bénéfice ordinaire"/>
    <n v="0"/>
    <n v="3322.5"/>
    <n v="4011"/>
  </r>
  <r>
    <x v="1"/>
    <x v="1"/>
    <x v="2"/>
    <x v="314"/>
    <x v="261"/>
    <x v="261"/>
    <s v="REVENUS"/>
    <x v="6"/>
    <s v="4211.001"/>
    <s v="Intérêts de retard sur factures"/>
    <n v="0"/>
    <n v="31.03"/>
    <n v="4211"/>
  </r>
  <r>
    <x v="1"/>
    <x v="1"/>
    <x v="2"/>
    <x v="314"/>
    <x v="261"/>
    <x v="261"/>
    <s v="REVENUS"/>
    <x v="6"/>
    <s v="4221.001"/>
    <s v="Intérêts compensat. / créances en faveur du fisc"/>
    <n v="0"/>
    <n v="17.920000000000002"/>
    <n v="4221"/>
  </r>
  <r>
    <x v="1"/>
    <x v="1"/>
    <x v="2"/>
    <x v="314"/>
    <x v="261"/>
    <x v="261"/>
    <s v="REVENUS"/>
    <x v="17"/>
    <s v="4011.007"/>
    <s v="Acompte sur bénéfice"/>
    <n v="0"/>
    <n v="-30025"/>
    <n v="4011"/>
  </r>
  <r>
    <x v="1"/>
    <x v="1"/>
    <x v="2"/>
    <x v="314"/>
    <x v="261"/>
    <x v="261"/>
    <s v="REVENUS"/>
    <x v="6"/>
    <s v="4211.002"/>
    <s v="Intérêts de retard sur acomptes"/>
    <n v="0"/>
    <n v="43.2"/>
    <n v="4211"/>
  </r>
  <r>
    <x v="1"/>
    <x v="1"/>
    <x v="2"/>
    <x v="314"/>
    <x v="261"/>
    <x v="261"/>
    <s v="REVENUS"/>
    <x v="16"/>
    <s v="4012.007"/>
    <s v="Acompte sur capital"/>
    <n v="0"/>
    <n v="3022.15"/>
    <n v="4012"/>
  </r>
  <r>
    <x v="1"/>
    <x v="1"/>
    <x v="2"/>
    <x v="314"/>
    <x v="261"/>
    <x v="261"/>
    <s v="REVENUS"/>
    <x v="18"/>
    <s v="4013.002"/>
    <s v="Complément impôt complémentaire sur immeubles"/>
    <n v="0"/>
    <n v="62"/>
    <n v="4013"/>
  </r>
  <r>
    <x v="1"/>
    <x v="1"/>
    <x v="2"/>
    <x v="314"/>
    <x v="261"/>
    <x v="261"/>
    <s v="REVENUS"/>
    <x v="7"/>
    <s v="4184.000"/>
    <s v="Frais de poursuite"/>
    <n v="0"/>
    <n v="107.45"/>
    <n v="4184"/>
  </r>
  <r>
    <x v="1"/>
    <x v="1"/>
    <x v="2"/>
    <x v="314"/>
    <x v="261"/>
    <x v="261"/>
    <s v="REVENUS"/>
    <x v="10"/>
    <s v="4041.001"/>
    <s v="Droits de mutation"/>
    <n v="0"/>
    <n v="258500"/>
    <n v="4041"/>
  </r>
  <r>
    <x v="1"/>
    <x v="1"/>
    <x v="2"/>
    <x v="314"/>
    <x v="261"/>
    <x v="261"/>
    <s v="REVENUS"/>
    <x v="16"/>
    <s v="4012.002"/>
    <s v="Complément impôt capital ordinaire"/>
    <n v="0"/>
    <n v="10.7"/>
    <n v="4012"/>
  </r>
  <r>
    <x v="1"/>
    <x v="1"/>
    <x v="2"/>
    <x v="315"/>
    <x v="262"/>
    <x v="262"/>
    <s v="CHARGES"/>
    <x v="1"/>
    <s v="3301.006"/>
    <s v="Abandon de solde PM"/>
    <n v="254.75"/>
    <n v="0"/>
    <n v="3301"/>
  </r>
  <r>
    <x v="1"/>
    <x v="1"/>
    <x v="2"/>
    <x v="315"/>
    <x v="262"/>
    <x v="262"/>
    <s v="CHARGES"/>
    <x v="0"/>
    <s v="3212.004"/>
    <s v="Intérêts rémun./perçu trop tôt sur acomptes C/C"/>
    <n v="32057.22"/>
    <n v="0"/>
    <n v="3212"/>
  </r>
  <r>
    <x v="1"/>
    <x v="1"/>
    <x v="2"/>
    <x v="315"/>
    <x v="262"/>
    <x v="262"/>
    <s v="CHARGES"/>
    <x v="0"/>
    <s v="3221.002"/>
    <s v="Intérêts compensatoires / créances en faveur ctb."/>
    <n v="1701.92"/>
    <n v="0"/>
    <n v="3221"/>
  </r>
  <r>
    <x v="1"/>
    <x v="1"/>
    <x v="2"/>
    <x v="315"/>
    <x v="262"/>
    <x v="262"/>
    <s v="CHARGES"/>
    <x v="1"/>
    <s v="3301.002"/>
    <s v="Défalcation PM"/>
    <n v="55769.45"/>
    <n v="0"/>
    <n v="3301"/>
  </r>
  <r>
    <x v="1"/>
    <x v="1"/>
    <x v="2"/>
    <x v="315"/>
    <x v="262"/>
    <x v="262"/>
    <s v="CHARGES"/>
    <x v="0"/>
    <s v="3212.002"/>
    <s v="Intérêts bonifiés/trop perçu acompte C/C"/>
    <n v="57.91"/>
    <n v="0"/>
    <n v="3212"/>
  </r>
  <r>
    <x v="1"/>
    <x v="1"/>
    <x v="2"/>
    <x v="315"/>
    <x v="262"/>
    <x v="262"/>
    <s v="REVENUS"/>
    <x v="16"/>
    <s v="4012.007"/>
    <s v="Acompte sur capital"/>
    <n v="0"/>
    <n v="-127216.1"/>
    <n v="4012"/>
  </r>
  <r>
    <x v="1"/>
    <x v="1"/>
    <x v="2"/>
    <x v="315"/>
    <x v="262"/>
    <x v="262"/>
    <s v="REVENUS"/>
    <x v="17"/>
    <s v="4011.001"/>
    <s v="Impôt bénéfice ordinaire"/>
    <n v="0"/>
    <n v="25964070.050000001"/>
    <n v="4011"/>
  </r>
  <r>
    <x v="1"/>
    <x v="1"/>
    <x v="2"/>
    <x v="315"/>
    <x v="262"/>
    <x v="262"/>
    <s v="REVENUS"/>
    <x v="16"/>
    <s v="4012.001"/>
    <s v="Impôt capital ordinaire"/>
    <n v="0"/>
    <n v="277275.05"/>
    <n v="4012"/>
  </r>
  <r>
    <x v="1"/>
    <x v="1"/>
    <x v="2"/>
    <x v="315"/>
    <x v="262"/>
    <x v="262"/>
    <s v="REVENUS"/>
    <x v="18"/>
    <s v="4013.001"/>
    <s v="Impôt complémentaire sur immeubles"/>
    <n v="0"/>
    <n v="367871.25"/>
    <n v="4013"/>
  </r>
  <r>
    <x v="1"/>
    <x v="1"/>
    <x v="2"/>
    <x v="315"/>
    <x v="262"/>
    <x v="262"/>
    <s v="REVENUS"/>
    <x v="6"/>
    <s v="4211.002"/>
    <s v="Intérêts de retard sur acomptes"/>
    <n v="0"/>
    <n v="8403.76"/>
    <n v="4211"/>
  </r>
  <r>
    <x v="1"/>
    <x v="1"/>
    <x v="2"/>
    <x v="315"/>
    <x v="262"/>
    <x v="262"/>
    <s v="REVENUS"/>
    <x v="6"/>
    <s v="4221.001"/>
    <s v="Intérêts compensat. / créances en faveur du fisc"/>
    <n v="0"/>
    <n v="7044.05"/>
    <n v="4221"/>
  </r>
  <r>
    <x v="1"/>
    <x v="1"/>
    <x v="2"/>
    <x v="315"/>
    <x v="262"/>
    <x v="262"/>
    <s v="REVENUS"/>
    <x v="17"/>
    <s v="4011.002"/>
    <s v="Complément impôt bénéfice ordinaire"/>
    <n v="0"/>
    <n v="135239.5"/>
    <n v="4011"/>
  </r>
  <r>
    <x v="1"/>
    <x v="1"/>
    <x v="2"/>
    <x v="315"/>
    <x v="262"/>
    <x v="262"/>
    <s v="REVENUS"/>
    <x v="17"/>
    <s v="4011.007"/>
    <s v="Acompte sur bénéfice"/>
    <n v="0"/>
    <n v="57623583.649999999"/>
    <n v="4011"/>
  </r>
  <r>
    <x v="1"/>
    <x v="1"/>
    <x v="2"/>
    <x v="315"/>
    <x v="262"/>
    <x v="262"/>
    <s v="REVENUS"/>
    <x v="6"/>
    <s v="4211.001"/>
    <s v="Intérêts de retard sur factures"/>
    <n v="0"/>
    <n v="4670.2299999999996"/>
    <n v="4211"/>
  </r>
  <r>
    <x v="1"/>
    <x v="1"/>
    <x v="2"/>
    <x v="315"/>
    <x v="262"/>
    <x v="262"/>
    <s v="REVENUS"/>
    <x v="18"/>
    <s v="4013.003"/>
    <s v="Remboursement impôt complémentaire sur immeubles"/>
    <n v="0"/>
    <n v="-221800.5"/>
    <n v="4013"/>
  </r>
  <r>
    <x v="1"/>
    <x v="1"/>
    <x v="2"/>
    <x v="315"/>
    <x v="262"/>
    <x v="262"/>
    <s v="REVENUS"/>
    <x v="7"/>
    <s v="4184.000"/>
    <s v="Frais de poursuite"/>
    <n v="0"/>
    <n v="3491.2"/>
    <n v="4184"/>
  </r>
  <r>
    <x v="1"/>
    <x v="1"/>
    <x v="2"/>
    <x v="315"/>
    <x v="262"/>
    <x v="262"/>
    <s v="REVENUS"/>
    <x v="16"/>
    <s v="4012.002"/>
    <s v="Complément impôt capital ordinaire"/>
    <n v="0"/>
    <n v="82133.850000000006"/>
    <n v="4012"/>
  </r>
  <r>
    <x v="1"/>
    <x v="1"/>
    <x v="2"/>
    <x v="315"/>
    <x v="262"/>
    <x v="262"/>
    <s v="REVENUS"/>
    <x v="10"/>
    <s v="4041.001"/>
    <s v="Droits de mutation"/>
    <n v="0"/>
    <n v="319526.15000000002"/>
    <n v="4041"/>
  </r>
  <r>
    <x v="1"/>
    <x v="1"/>
    <x v="2"/>
    <x v="315"/>
    <x v="262"/>
    <x v="262"/>
    <s v="REVENUS"/>
    <x v="18"/>
    <s v="4013.002"/>
    <s v="Complément impôt complémentaire sur immeubles"/>
    <n v="0"/>
    <n v="522.29999999999995"/>
    <n v="4013"/>
  </r>
  <r>
    <x v="1"/>
    <x v="1"/>
    <x v="2"/>
    <x v="315"/>
    <x v="262"/>
    <x v="262"/>
    <s v="REVENUS"/>
    <x v="8"/>
    <s v="4091.001"/>
    <s v="Impôt récupéré après défalcations"/>
    <n v="0"/>
    <n v="9.31"/>
    <n v="4091"/>
  </r>
  <r>
    <x v="1"/>
    <x v="1"/>
    <x v="2"/>
    <x v="315"/>
    <x v="262"/>
    <x v="262"/>
    <s v="REVENUS"/>
    <x v="6"/>
    <s v="4221.003"/>
    <s v="Intérêts compensat. / acomptes en faveur du fisc"/>
    <n v="0"/>
    <n v="-1.71"/>
    <n v="4221"/>
  </r>
  <r>
    <x v="1"/>
    <x v="1"/>
    <x v="2"/>
    <x v="315"/>
    <x v="262"/>
    <x v="262"/>
    <s v="REVENUS"/>
    <x v="8"/>
    <s v="4091.003"/>
    <s v="Impôt récupéré concordat"/>
    <n v="0"/>
    <n v="56.76"/>
    <n v="4091"/>
  </r>
  <r>
    <x v="1"/>
    <x v="1"/>
    <x v="2"/>
    <x v="316"/>
    <x v="263"/>
    <x v="263"/>
    <s v="CHARGES"/>
    <x v="0"/>
    <s v="3212.004"/>
    <s v="Intérêts rémun./perçu trop tôt sur acomptes C/C"/>
    <n v="2.41"/>
    <n v="0"/>
    <n v="3212"/>
  </r>
  <r>
    <x v="1"/>
    <x v="1"/>
    <x v="2"/>
    <x v="316"/>
    <x v="263"/>
    <x v="263"/>
    <s v="CHARGES"/>
    <x v="0"/>
    <s v="3221.002"/>
    <s v="Intérêts compensatoires / créances en faveur ctb."/>
    <n v="2.5099999999999998"/>
    <n v="0"/>
    <n v="3221"/>
  </r>
  <r>
    <x v="1"/>
    <x v="1"/>
    <x v="2"/>
    <x v="316"/>
    <x v="263"/>
    <x v="263"/>
    <s v="CHARGES"/>
    <x v="1"/>
    <s v="3301.006"/>
    <s v="Abandon de solde PM"/>
    <n v="15.28"/>
    <n v="0"/>
    <n v="3301"/>
  </r>
  <r>
    <x v="1"/>
    <x v="1"/>
    <x v="2"/>
    <x v="316"/>
    <x v="263"/>
    <x v="263"/>
    <s v="CHARGES"/>
    <x v="1"/>
    <s v="3301.002"/>
    <s v="Défalcation PM"/>
    <n v="3224.34"/>
    <n v="0"/>
    <n v="3301"/>
  </r>
  <r>
    <x v="1"/>
    <x v="1"/>
    <x v="2"/>
    <x v="316"/>
    <x v="263"/>
    <x v="263"/>
    <s v="REVENUS"/>
    <x v="16"/>
    <s v="4012.007"/>
    <s v="Acompte sur capital"/>
    <n v="0"/>
    <n v="185.3"/>
    <n v="4012"/>
  </r>
  <r>
    <x v="1"/>
    <x v="1"/>
    <x v="2"/>
    <x v="316"/>
    <x v="263"/>
    <x v="263"/>
    <s v="REVENUS"/>
    <x v="17"/>
    <s v="4011.007"/>
    <s v="Acompte sur bénéfice"/>
    <n v="0"/>
    <n v="-279.64999999999998"/>
    <n v="4011"/>
  </r>
  <r>
    <x v="1"/>
    <x v="1"/>
    <x v="2"/>
    <x v="316"/>
    <x v="263"/>
    <x v="263"/>
    <s v="REVENUS"/>
    <x v="16"/>
    <s v="4012.001"/>
    <s v="Impôt capital ordinaire"/>
    <n v="0"/>
    <n v="-120.6"/>
    <n v="4012"/>
  </r>
  <r>
    <x v="1"/>
    <x v="1"/>
    <x v="2"/>
    <x v="316"/>
    <x v="263"/>
    <x v="263"/>
    <s v="REVENUS"/>
    <x v="6"/>
    <s v="4211.002"/>
    <s v="Intérêts de retard sur acomptes"/>
    <n v="0"/>
    <n v="175.16"/>
    <n v="4211"/>
  </r>
  <r>
    <x v="1"/>
    <x v="1"/>
    <x v="2"/>
    <x v="316"/>
    <x v="263"/>
    <x v="263"/>
    <s v="REVENUS"/>
    <x v="17"/>
    <s v="4011.001"/>
    <s v="Impôt bénéfice ordinaire"/>
    <n v="0"/>
    <n v="9140.35"/>
    <n v="4011"/>
  </r>
  <r>
    <x v="1"/>
    <x v="1"/>
    <x v="2"/>
    <x v="316"/>
    <x v="263"/>
    <x v="263"/>
    <s v="REVENUS"/>
    <x v="6"/>
    <s v="4221.001"/>
    <s v="Intérêts compensat. / créances en faveur du fisc"/>
    <n v="0"/>
    <n v="8.07"/>
    <n v="4221"/>
  </r>
  <r>
    <x v="1"/>
    <x v="1"/>
    <x v="2"/>
    <x v="316"/>
    <x v="263"/>
    <x v="263"/>
    <s v="REVENUS"/>
    <x v="6"/>
    <s v="4211.001"/>
    <s v="Intérêts de retard sur factures"/>
    <n v="0"/>
    <n v="176.8"/>
    <n v="4211"/>
  </r>
  <r>
    <x v="1"/>
    <x v="1"/>
    <x v="2"/>
    <x v="316"/>
    <x v="263"/>
    <x v="263"/>
    <s v="REVENUS"/>
    <x v="7"/>
    <s v="4184.000"/>
    <s v="Frais de poursuite"/>
    <n v="0"/>
    <n v="67.05"/>
    <n v="4184"/>
  </r>
  <r>
    <x v="1"/>
    <x v="1"/>
    <x v="2"/>
    <x v="317"/>
    <x v="264"/>
    <x v="264"/>
    <s v="CHARGES"/>
    <x v="1"/>
    <s v="3301.006"/>
    <s v="Abandon de solde PM"/>
    <n v="6.47"/>
    <n v="0"/>
    <n v="3301"/>
  </r>
  <r>
    <x v="1"/>
    <x v="1"/>
    <x v="2"/>
    <x v="317"/>
    <x v="264"/>
    <x v="264"/>
    <s v="CHARGES"/>
    <x v="0"/>
    <s v="3212.004"/>
    <s v="Intérêts rémun./perçu trop tôt sur acomptes C/C"/>
    <n v="2.5"/>
    <n v="0"/>
    <n v="3212"/>
  </r>
  <r>
    <x v="1"/>
    <x v="1"/>
    <x v="2"/>
    <x v="317"/>
    <x v="264"/>
    <x v="264"/>
    <s v="CHARGES"/>
    <x v="0"/>
    <s v="3221.002"/>
    <s v="Intérêts compensatoires / créances en faveur ctb."/>
    <n v="3.02"/>
    <n v="0"/>
    <n v="3221"/>
  </r>
  <r>
    <x v="1"/>
    <x v="1"/>
    <x v="2"/>
    <x v="317"/>
    <x v="264"/>
    <x v="264"/>
    <s v="REVENUS"/>
    <x v="6"/>
    <s v="4211.001"/>
    <s v="Intérêts de retard sur factures"/>
    <n v="0"/>
    <n v="48.62"/>
    <n v="4211"/>
  </r>
  <r>
    <x v="1"/>
    <x v="1"/>
    <x v="2"/>
    <x v="317"/>
    <x v="264"/>
    <x v="264"/>
    <s v="REVENUS"/>
    <x v="17"/>
    <s v="4011.001"/>
    <s v="Impôt bénéfice ordinaire"/>
    <n v="0"/>
    <n v="28380.9"/>
    <n v="4011"/>
  </r>
  <r>
    <x v="1"/>
    <x v="1"/>
    <x v="2"/>
    <x v="317"/>
    <x v="264"/>
    <x v="264"/>
    <s v="REVENUS"/>
    <x v="17"/>
    <s v="4011.007"/>
    <s v="Acompte sur bénéfice"/>
    <n v="0"/>
    <n v="4738.8"/>
    <n v="4011"/>
  </r>
  <r>
    <x v="1"/>
    <x v="1"/>
    <x v="2"/>
    <x v="317"/>
    <x v="264"/>
    <x v="264"/>
    <s v="REVENUS"/>
    <x v="6"/>
    <s v="4221.001"/>
    <s v="Intérêts compensat. / créances en faveur du fisc"/>
    <n v="0"/>
    <n v="12.89"/>
    <n v="4221"/>
  </r>
  <r>
    <x v="1"/>
    <x v="1"/>
    <x v="2"/>
    <x v="317"/>
    <x v="264"/>
    <x v="264"/>
    <s v="REVENUS"/>
    <x v="17"/>
    <s v="4011.002"/>
    <s v="Complément impôt bénéfice ordinaire"/>
    <n v="0"/>
    <n v="54.7"/>
    <n v="4011"/>
  </r>
  <r>
    <x v="1"/>
    <x v="1"/>
    <x v="2"/>
    <x v="317"/>
    <x v="264"/>
    <x v="264"/>
    <s v="REVENUS"/>
    <x v="16"/>
    <s v="4012.001"/>
    <s v="Impôt capital ordinaire"/>
    <n v="0"/>
    <n v="1467.3"/>
    <n v="4012"/>
  </r>
  <r>
    <x v="1"/>
    <x v="1"/>
    <x v="2"/>
    <x v="317"/>
    <x v="264"/>
    <x v="264"/>
    <s v="REVENUS"/>
    <x v="16"/>
    <s v="4012.007"/>
    <s v="Acompte sur capital"/>
    <n v="0"/>
    <n v="559"/>
    <n v="4012"/>
  </r>
  <r>
    <x v="1"/>
    <x v="1"/>
    <x v="2"/>
    <x v="317"/>
    <x v="264"/>
    <x v="264"/>
    <s v="REVENUS"/>
    <x v="6"/>
    <s v="4211.002"/>
    <s v="Intérêts de retard sur acomptes"/>
    <n v="0"/>
    <n v="1.69"/>
    <n v="4211"/>
  </r>
  <r>
    <x v="1"/>
    <x v="1"/>
    <x v="2"/>
    <x v="317"/>
    <x v="264"/>
    <x v="264"/>
    <s v="REVENUS"/>
    <x v="18"/>
    <s v="4013.001"/>
    <s v="Impôt complémentaire sur immeubles"/>
    <n v="0"/>
    <n v="2606.4"/>
    <n v="4013"/>
  </r>
  <r>
    <x v="1"/>
    <x v="1"/>
    <x v="2"/>
    <x v="317"/>
    <x v="264"/>
    <x v="264"/>
    <s v="REVENUS"/>
    <x v="10"/>
    <s v="4041.001"/>
    <s v="Droits de mutation"/>
    <n v="0"/>
    <n v="19800"/>
    <n v="4041"/>
  </r>
  <r>
    <x v="1"/>
    <x v="11"/>
    <x v="9"/>
    <x v="318"/>
    <x v="265"/>
    <x v="265"/>
    <s v="CHARGES"/>
    <x v="0"/>
    <s v="3212.004"/>
    <s v="Intérêts rémun./perçu trop tôt sur acomptes C/C"/>
    <n v="3004.86"/>
    <n v="0"/>
    <n v="3212"/>
  </r>
  <r>
    <x v="1"/>
    <x v="11"/>
    <x v="9"/>
    <x v="318"/>
    <x v="265"/>
    <x v="265"/>
    <s v="CHARGES"/>
    <x v="0"/>
    <s v="3221.002"/>
    <s v="Intérêts compensatoires / créances en faveur ctb."/>
    <n v="11239.95"/>
    <n v="0"/>
    <n v="3221"/>
  </r>
  <r>
    <x v="1"/>
    <x v="11"/>
    <x v="9"/>
    <x v="318"/>
    <x v="265"/>
    <x v="265"/>
    <s v="CHARGES"/>
    <x v="1"/>
    <s v="3301.006"/>
    <s v="Abandon de solde PM"/>
    <n v="167.73"/>
    <n v="0"/>
    <n v="3301"/>
  </r>
  <r>
    <x v="1"/>
    <x v="11"/>
    <x v="9"/>
    <x v="318"/>
    <x v="265"/>
    <x v="265"/>
    <s v="CHARGES"/>
    <x v="0"/>
    <s v="3212.002"/>
    <s v="Intérêts bonifiés/trop perçu acompte C/C"/>
    <n v="2164.25"/>
    <n v="0"/>
    <n v="3212"/>
  </r>
  <r>
    <x v="1"/>
    <x v="11"/>
    <x v="9"/>
    <x v="318"/>
    <x v="265"/>
    <x v="265"/>
    <s v="CHARGES"/>
    <x v="1"/>
    <s v="3301.002"/>
    <s v="Défalcation PM"/>
    <n v="4015.22"/>
    <n v="0"/>
    <n v="3301"/>
  </r>
  <r>
    <x v="1"/>
    <x v="11"/>
    <x v="9"/>
    <x v="318"/>
    <x v="265"/>
    <x v="265"/>
    <s v="REVENUS"/>
    <x v="16"/>
    <s v="4012.007"/>
    <s v="Acompte sur capital"/>
    <n v="0"/>
    <n v="51162.3"/>
    <n v="4012"/>
  </r>
  <r>
    <x v="1"/>
    <x v="11"/>
    <x v="9"/>
    <x v="318"/>
    <x v="265"/>
    <x v="265"/>
    <s v="REVENUS"/>
    <x v="17"/>
    <s v="4011.001"/>
    <s v="Impôt bénéfice ordinaire"/>
    <n v="0"/>
    <n v="223146.15"/>
    <n v="4011"/>
  </r>
  <r>
    <x v="1"/>
    <x v="11"/>
    <x v="9"/>
    <x v="318"/>
    <x v="265"/>
    <x v="265"/>
    <s v="REVENUS"/>
    <x v="17"/>
    <s v="4011.007"/>
    <s v="Acompte sur bénéfice"/>
    <n v="0"/>
    <n v="-193175.5"/>
    <n v="4011"/>
  </r>
  <r>
    <x v="1"/>
    <x v="11"/>
    <x v="9"/>
    <x v="318"/>
    <x v="265"/>
    <x v="265"/>
    <s v="REVENUS"/>
    <x v="18"/>
    <s v="4013.003"/>
    <s v="Remboursement impôt complémentaire sur immeubles"/>
    <n v="0"/>
    <n v="-6597"/>
    <n v="4013"/>
  </r>
  <r>
    <x v="1"/>
    <x v="11"/>
    <x v="9"/>
    <x v="318"/>
    <x v="265"/>
    <x v="265"/>
    <s v="REVENUS"/>
    <x v="6"/>
    <s v="4211.002"/>
    <s v="Intérêts de retard sur acomptes"/>
    <n v="0"/>
    <n v="1698.84"/>
    <n v="4211"/>
  </r>
  <r>
    <x v="1"/>
    <x v="11"/>
    <x v="9"/>
    <x v="318"/>
    <x v="265"/>
    <x v="265"/>
    <s v="REVENUS"/>
    <x v="6"/>
    <s v="4221.001"/>
    <s v="Intérêts compensat. / créances en faveur du fisc"/>
    <n v="0"/>
    <n v="125.98"/>
    <n v="4221"/>
  </r>
  <r>
    <x v="1"/>
    <x v="11"/>
    <x v="9"/>
    <x v="318"/>
    <x v="265"/>
    <x v="265"/>
    <s v="REVENUS"/>
    <x v="16"/>
    <s v="4012.001"/>
    <s v="Impôt capital ordinaire"/>
    <n v="0"/>
    <n v="18387.3"/>
    <n v="4012"/>
  </r>
  <r>
    <x v="1"/>
    <x v="11"/>
    <x v="9"/>
    <x v="318"/>
    <x v="265"/>
    <x v="265"/>
    <s v="REVENUS"/>
    <x v="18"/>
    <s v="4013.001"/>
    <s v="Impôt complémentaire sur immeubles"/>
    <n v="0"/>
    <n v="75392.05"/>
    <n v="4013"/>
  </r>
  <r>
    <x v="1"/>
    <x v="11"/>
    <x v="9"/>
    <x v="318"/>
    <x v="265"/>
    <x v="265"/>
    <s v="REVENUS"/>
    <x v="17"/>
    <s v="4011.002"/>
    <s v="Complément impôt bénéfice ordinaire"/>
    <n v="0"/>
    <n v="10803.45"/>
    <n v="4011"/>
  </r>
  <r>
    <x v="1"/>
    <x v="11"/>
    <x v="9"/>
    <x v="318"/>
    <x v="265"/>
    <x v="265"/>
    <s v="REVENUS"/>
    <x v="6"/>
    <s v="4211.001"/>
    <s v="Intérêts de retard sur factures"/>
    <n v="0"/>
    <n v="229.05"/>
    <n v="4211"/>
  </r>
  <r>
    <x v="1"/>
    <x v="11"/>
    <x v="9"/>
    <x v="318"/>
    <x v="265"/>
    <x v="265"/>
    <s v="REVENUS"/>
    <x v="7"/>
    <s v="4184.000"/>
    <s v="Frais de poursuite"/>
    <n v="0"/>
    <n v="279.68"/>
    <n v="4184"/>
  </r>
  <r>
    <x v="1"/>
    <x v="11"/>
    <x v="9"/>
    <x v="318"/>
    <x v="265"/>
    <x v="265"/>
    <s v="REVENUS"/>
    <x v="18"/>
    <s v="4013.002"/>
    <s v="Complément impôt complémentaire sur immeubles"/>
    <n v="0"/>
    <n v="1"/>
    <n v="4013"/>
  </r>
  <r>
    <x v="1"/>
    <x v="11"/>
    <x v="9"/>
    <x v="318"/>
    <x v="265"/>
    <x v="265"/>
    <s v="REVENUS"/>
    <x v="10"/>
    <s v="4041.001"/>
    <s v="Droits de mutation"/>
    <n v="0"/>
    <n v="42059.199999999997"/>
    <n v="4041"/>
  </r>
  <r>
    <x v="1"/>
    <x v="11"/>
    <x v="9"/>
    <x v="318"/>
    <x v="265"/>
    <x v="265"/>
    <s v="REVENUS"/>
    <x v="16"/>
    <s v="4012.002"/>
    <s v="Complément impôt capital ordinaire"/>
    <n v="0"/>
    <n v="-786.75"/>
    <n v="4012"/>
  </r>
  <r>
    <x v="1"/>
    <x v="11"/>
    <x v="9"/>
    <x v="319"/>
    <x v="266"/>
    <x v="266"/>
    <s v="CHARGES"/>
    <x v="0"/>
    <s v="3221.002"/>
    <s v="Intérêts compensatoires / créances en faveur ctb."/>
    <n v="248.07"/>
    <n v="0"/>
    <n v="3221"/>
  </r>
  <r>
    <x v="1"/>
    <x v="11"/>
    <x v="9"/>
    <x v="319"/>
    <x v="266"/>
    <x v="266"/>
    <s v="CHARGES"/>
    <x v="1"/>
    <s v="3301.006"/>
    <s v="Abandon de solde PM"/>
    <n v="104.41"/>
    <n v="0"/>
    <n v="3301"/>
  </r>
  <r>
    <x v="1"/>
    <x v="11"/>
    <x v="9"/>
    <x v="319"/>
    <x v="266"/>
    <x v="266"/>
    <s v="CHARGES"/>
    <x v="0"/>
    <s v="3212.004"/>
    <s v="Intérêts rémun./perçu trop tôt sur acomptes C/C"/>
    <n v="165.26"/>
    <n v="0"/>
    <n v="3212"/>
  </r>
  <r>
    <x v="1"/>
    <x v="11"/>
    <x v="9"/>
    <x v="319"/>
    <x v="266"/>
    <x v="266"/>
    <s v="CHARGES"/>
    <x v="0"/>
    <s v="3212.002"/>
    <s v="Intérêts bonifiés/trop perçu acompte C/C"/>
    <n v="29.91"/>
    <n v="0"/>
    <n v="3212"/>
  </r>
  <r>
    <x v="1"/>
    <x v="11"/>
    <x v="9"/>
    <x v="319"/>
    <x v="266"/>
    <x v="266"/>
    <s v="CHARGES"/>
    <x v="1"/>
    <s v="3301.002"/>
    <s v="Défalcation PM"/>
    <n v="98921.9"/>
    <n v="0"/>
    <n v="3301"/>
  </r>
  <r>
    <x v="1"/>
    <x v="11"/>
    <x v="9"/>
    <x v="319"/>
    <x v="266"/>
    <x v="266"/>
    <s v="REVENUS"/>
    <x v="18"/>
    <s v="4013.001"/>
    <s v="Impôt complémentaire sur immeubles"/>
    <n v="0"/>
    <n v="69966.75"/>
    <n v="4013"/>
  </r>
  <r>
    <x v="1"/>
    <x v="11"/>
    <x v="9"/>
    <x v="319"/>
    <x v="266"/>
    <x v="266"/>
    <s v="REVENUS"/>
    <x v="17"/>
    <s v="4011.001"/>
    <s v="Impôt bénéfice ordinaire"/>
    <n v="0"/>
    <n v="192391.7"/>
    <n v="4011"/>
  </r>
  <r>
    <x v="1"/>
    <x v="11"/>
    <x v="9"/>
    <x v="319"/>
    <x v="266"/>
    <x v="266"/>
    <s v="REVENUS"/>
    <x v="17"/>
    <s v="4011.002"/>
    <s v="Complément impôt bénéfice ordinaire"/>
    <n v="0"/>
    <n v="4141.1000000000004"/>
    <n v="4011"/>
  </r>
  <r>
    <x v="1"/>
    <x v="11"/>
    <x v="9"/>
    <x v="319"/>
    <x v="266"/>
    <x v="266"/>
    <s v="REVENUS"/>
    <x v="6"/>
    <s v="4211.001"/>
    <s v="Intérêts de retard sur factures"/>
    <n v="0"/>
    <n v="190.8"/>
    <n v="4211"/>
  </r>
  <r>
    <x v="1"/>
    <x v="11"/>
    <x v="9"/>
    <x v="319"/>
    <x v="266"/>
    <x v="266"/>
    <s v="REVENUS"/>
    <x v="6"/>
    <s v="4221.001"/>
    <s v="Intérêts compensat. / créances en faveur du fisc"/>
    <n v="0"/>
    <n v="29.01"/>
    <n v="4221"/>
  </r>
  <r>
    <x v="1"/>
    <x v="11"/>
    <x v="9"/>
    <x v="319"/>
    <x v="266"/>
    <x v="266"/>
    <s v="REVENUS"/>
    <x v="10"/>
    <s v="4041.001"/>
    <s v="Droits de mutation"/>
    <n v="0"/>
    <n v="119980.25"/>
    <n v="4041"/>
  </r>
  <r>
    <x v="1"/>
    <x v="11"/>
    <x v="9"/>
    <x v="319"/>
    <x v="266"/>
    <x v="266"/>
    <s v="REVENUS"/>
    <x v="17"/>
    <s v="4011.007"/>
    <s v="Acompte sur bénéfice"/>
    <n v="0"/>
    <n v="-83010.649999999994"/>
    <n v="4011"/>
  </r>
  <r>
    <x v="1"/>
    <x v="11"/>
    <x v="9"/>
    <x v="319"/>
    <x v="266"/>
    <x v="266"/>
    <s v="REVENUS"/>
    <x v="16"/>
    <s v="4012.001"/>
    <s v="Impôt capital ordinaire"/>
    <n v="0"/>
    <n v="10856.45"/>
    <n v="4012"/>
  </r>
  <r>
    <x v="1"/>
    <x v="11"/>
    <x v="9"/>
    <x v="319"/>
    <x v="266"/>
    <x v="266"/>
    <s v="REVENUS"/>
    <x v="16"/>
    <s v="4012.007"/>
    <s v="Acompte sur capital"/>
    <n v="0"/>
    <n v="6758.3"/>
    <n v="4012"/>
  </r>
  <r>
    <x v="1"/>
    <x v="11"/>
    <x v="9"/>
    <x v="319"/>
    <x v="266"/>
    <x v="266"/>
    <s v="REVENUS"/>
    <x v="6"/>
    <s v="4211.002"/>
    <s v="Intérêts de retard sur acomptes"/>
    <n v="0"/>
    <n v="1076.68"/>
    <n v="4211"/>
  </r>
  <r>
    <x v="1"/>
    <x v="11"/>
    <x v="9"/>
    <x v="319"/>
    <x v="266"/>
    <x v="266"/>
    <s v="REVENUS"/>
    <x v="18"/>
    <s v="4013.002"/>
    <s v="Complément impôt complémentaire sur immeubles"/>
    <n v="0"/>
    <n v="18.5"/>
    <n v="4013"/>
  </r>
  <r>
    <x v="1"/>
    <x v="11"/>
    <x v="9"/>
    <x v="319"/>
    <x v="266"/>
    <x v="266"/>
    <s v="REVENUS"/>
    <x v="9"/>
    <s v="4031.001"/>
    <s v="Impôt sur les gains immobiliers"/>
    <n v="0"/>
    <n v="96204.95"/>
    <n v="4031"/>
  </r>
  <r>
    <x v="1"/>
    <x v="11"/>
    <x v="9"/>
    <x v="319"/>
    <x v="266"/>
    <x v="266"/>
    <s v="REVENUS"/>
    <x v="6"/>
    <s v="4221.002"/>
    <s v="Intérêts compensat. sur impôts distincts"/>
    <n v="0"/>
    <n v="30.12"/>
    <n v="4221"/>
  </r>
  <r>
    <x v="1"/>
    <x v="11"/>
    <x v="9"/>
    <x v="319"/>
    <x v="266"/>
    <x v="266"/>
    <s v="REVENUS"/>
    <x v="7"/>
    <s v="4184.000"/>
    <s v="Frais de poursuite"/>
    <n v="0"/>
    <n v="67.09"/>
    <n v="4184"/>
  </r>
  <r>
    <x v="1"/>
    <x v="11"/>
    <x v="9"/>
    <x v="319"/>
    <x v="266"/>
    <x v="266"/>
    <s v="REVENUS"/>
    <x v="18"/>
    <s v="4013.003"/>
    <s v="Remboursement impôt complémentaire sur immeubles"/>
    <n v="0"/>
    <n v="-3806"/>
    <n v="4013"/>
  </r>
  <r>
    <x v="1"/>
    <x v="11"/>
    <x v="9"/>
    <x v="319"/>
    <x v="266"/>
    <x v="266"/>
    <s v="REVENUS"/>
    <x v="8"/>
    <s v="4091.001"/>
    <s v="Impôt récupéré après défalcations"/>
    <n v="0"/>
    <n v="98882.9"/>
    <n v="4091"/>
  </r>
  <r>
    <x v="1"/>
    <x v="11"/>
    <x v="9"/>
    <x v="319"/>
    <x v="266"/>
    <x v="266"/>
    <s v="REVENUS"/>
    <x v="16"/>
    <s v="4012.002"/>
    <s v="Complément impôt capital ordinaire"/>
    <n v="0"/>
    <n v="16.75"/>
    <n v="4012"/>
  </r>
  <r>
    <x v="1"/>
    <x v="11"/>
    <x v="9"/>
    <x v="320"/>
    <x v="267"/>
    <x v="267"/>
    <s v="CHARGES"/>
    <x v="0"/>
    <s v="3212.004"/>
    <s v="Intérêts rémun./perçu trop tôt sur acomptes C/C"/>
    <n v="173.55"/>
    <n v="0"/>
    <n v="3212"/>
  </r>
  <r>
    <x v="1"/>
    <x v="11"/>
    <x v="9"/>
    <x v="320"/>
    <x v="267"/>
    <x v="267"/>
    <s v="CHARGES"/>
    <x v="0"/>
    <s v="3221.002"/>
    <s v="Intérêts compensatoires / créances en faveur ctb."/>
    <n v="108.68"/>
    <n v="0"/>
    <n v="3221"/>
  </r>
  <r>
    <x v="1"/>
    <x v="11"/>
    <x v="9"/>
    <x v="320"/>
    <x v="267"/>
    <x v="267"/>
    <s v="CHARGES"/>
    <x v="1"/>
    <s v="3301.006"/>
    <s v="Abandon de solde PM"/>
    <n v="95.08"/>
    <n v="0"/>
    <n v="3301"/>
  </r>
  <r>
    <x v="1"/>
    <x v="11"/>
    <x v="9"/>
    <x v="320"/>
    <x v="267"/>
    <x v="267"/>
    <s v="CHARGES"/>
    <x v="0"/>
    <s v="3212.002"/>
    <s v="Intérêts bonifiés/trop perçu acompte C/C"/>
    <n v="1.37"/>
    <n v="0"/>
    <n v="3212"/>
  </r>
  <r>
    <x v="1"/>
    <x v="11"/>
    <x v="9"/>
    <x v="320"/>
    <x v="267"/>
    <x v="267"/>
    <s v="REVENUS"/>
    <x v="17"/>
    <s v="4011.001"/>
    <s v="Impôt bénéfice ordinaire"/>
    <n v="0"/>
    <n v="142227.25"/>
    <n v="4011"/>
  </r>
  <r>
    <x v="1"/>
    <x v="11"/>
    <x v="9"/>
    <x v="320"/>
    <x v="267"/>
    <x v="267"/>
    <s v="REVENUS"/>
    <x v="17"/>
    <s v="4011.007"/>
    <s v="Acompte sur bénéfice"/>
    <n v="0"/>
    <n v="-95277.4"/>
    <n v="4011"/>
  </r>
  <r>
    <x v="1"/>
    <x v="11"/>
    <x v="9"/>
    <x v="320"/>
    <x v="267"/>
    <x v="267"/>
    <s v="REVENUS"/>
    <x v="16"/>
    <s v="4012.001"/>
    <s v="Impôt capital ordinaire"/>
    <n v="0"/>
    <n v="13531.4"/>
    <n v="4012"/>
  </r>
  <r>
    <x v="1"/>
    <x v="11"/>
    <x v="9"/>
    <x v="320"/>
    <x v="267"/>
    <x v="267"/>
    <s v="REVENUS"/>
    <x v="16"/>
    <s v="4012.007"/>
    <s v="Acompte sur capital"/>
    <n v="0"/>
    <n v="22697.200000000001"/>
    <n v="4012"/>
  </r>
  <r>
    <x v="1"/>
    <x v="11"/>
    <x v="9"/>
    <x v="320"/>
    <x v="267"/>
    <x v="267"/>
    <s v="REVENUS"/>
    <x v="17"/>
    <s v="4011.002"/>
    <s v="Complément impôt bénéfice ordinaire"/>
    <n v="0"/>
    <n v="97409.1"/>
    <n v="4011"/>
  </r>
  <r>
    <x v="1"/>
    <x v="11"/>
    <x v="9"/>
    <x v="320"/>
    <x v="267"/>
    <x v="267"/>
    <s v="REVENUS"/>
    <x v="6"/>
    <s v="4211.001"/>
    <s v="Intérêts de retard sur factures"/>
    <n v="0"/>
    <n v="158.30000000000001"/>
    <n v="4211"/>
  </r>
  <r>
    <x v="1"/>
    <x v="11"/>
    <x v="9"/>
    <x v="320"/>
    <x v="267"/>
    <x v="267"/>
    <s v="REVENUS"/>
    <x v="6"/>
    <s v="4211.002"/>
    <s v="Intérêts de retard sur acomptes"/>
    <n v="0"/>
    <n v="878.46"/>
    <n v="4211"/>
  </r>
  <r>
    <x v="1"/>
    <x v="11"/>
    <x v="9"/>
    <x v="320"/>
    <x v="267"/>
    <x v="267"/>
    <s v="REVENUS"/>
    <x v="6"/>
    <s v="4221.001"/>
    <s v="Intérêts compensat. / créances en faveur du fisc"/>
    <n v="0"/>
    <n v="363.66"/>
    <n v="4221"/>
  </r>
  <r>
    <x v="1"/>
    <x v="11"/>
    <x v="9"/>
    <x v="320"/>
    <x v="267"/>
    <x v="267"/>
    <s v="REVENUS"/>
    <x v="18"/>
    <s v="4013.003"/>
    <s v="Remboursement impôt complémentaire sur immeubles"/>
    <n v="0"/>
    <n v="-925"/>
    <n v="4013"/>
  </r>
  <r>
    <x v="1"/>
    <x v="11"/>
    <x v="9"/>
    <x v="320"/>
    <x v="267"/>
    <x v="267"/>
    <s v="REVENUS"/>
    <x v="16"/>
    <s v="4012.002"/>
    <s v="Complément impôt capital ordinaire"/>
    <n v="0"/>
    <n v="83.65"/>
    <n v="4012"/>
  </r>
  <r>
    <x v="1"/>
    <x v="11"/>
    <x v="9"/>
    <x v="320"/>
    <x v="267"/>
    <x v="267"/>
    <s v="REVENUS"/>
    <x v="7"/>
    <s v="4184.000"/>
    <s v="Frais de poursuite"/>
    <n v="0"/>
    <n v="123.59"/>
    <n v="4184"/>
  </r>
  <r>
    <x v="1"/>
    <x v="11"/>
    <x v="9"/>
    <x v="320"/>
    <x v="267"/>
    <x v="267"/>
    <s v="REVENUS"/>
    <x v="10"/>
    <s v="4041.001"/>
    <s v="Droits de mutation"/>
    <n v="0"/>
    <n v="48400"/>
    <n v="4041"/>
  </r>
  <r>
    <x v="1"/>
    <x v="11"/>
    <x v="9"/>
    <x v="320"/>
    <x v="267"/>
    <x v="267"/>
    <s v="REVENUS"/>
    <x v="18"/>
    <s v="4013.001"/>
    <s v="Impôt complémentaire sur immeubles"/>
    <n v="0"/>
    <n v="13334.9"/>
    <n v="4013"/>
  </r>
  <r>
    <x v="1"/>
    <x v="11"/>
    <x v="9"/>
    <x v="321"/>
    <x v="268"/>
    <x v="268"/>
    <s v="CHARGES"/>
    <x v="0"/>
    <s v="3212.004"/>
    <s v="Intérêts rémun./perçu trop tôt sur acomptes C/C"/>
    <n v="59.67"/>
    <n v="0"/>
    <n v="3212"/>
  </r>
  <r>
    <x v="1"/>
    <x v="11"/>
    <x v="9"/>
    <x v="321"/>
    <x v="268"/>
    <x v="268"/>
    <s v="CHARGES"/>
    <x v="0"/>
    <s v="3221.002"/>
    <s v="Intérêts compensatoires / créances en faveur ctb."/>
    <n v="51.92"/>
    <n v="0"/>
    <n v="3221"/>
  </r>
  <r>
    <x v="1"/>
    <x v="11"/>
    <x v="9"/>
    <x v="321"/>
    <x v="268"/>
    <x v="268"/>
    <s v="CHARGES"/>
    <x v="1"/>
    <s v="3301.006"/>
    <s v="Abandon de solde PM"/>
    <n v="42.69"/>
    <n v="0"/>
    <n v="3301"/>
  </r>
  <r>
    <x v="1"/>
    <x v="11"/>
    <x v="9"/>
    <x v="321"/>
    <x v="268"/>
    <x v="268"/>
    <s v="CHARGES"/>
    <x v="0"/>
    <s v="3212.002"/>
    <s v="Intérêts bonifiés/trop perçu acompte C/C"/>
    <n v="1.41"/>
    <n v="0"/>
    <n v="3212"/>
  </r>
  <r>
    <x v="1"/>
    <x v="11"/>
    <x v="9"/>
    <x v="321"/>
    <x v="268"/>
    <x v="268"/>
    <s v="CHARGES"/>
    <x v="1"/>
    <s v="3301.002"/>
    <s v="Défalcation PM"/>
    <n v="1043.6600000000001"/>
    <n v="0"/>
    <n v="3301"/>
  </r>
  <r>
    <x v="1"/>
    <x v="11"/>
    <x v="9"/>
    <x v="321"/>
    <x v="268"/>
    <x v="268"/>
    <s v="REVENUS"/>
    <x v="17"/>
    <s v="4011.001"/>
    <s v="Impôt bénéfice ordinaire"/>
    <n v="0"/>
    <n v="129108.4"/>
    <n v="4011"/>
  </r>
  <r>
    <x v="1"/>
    <x v="11"/>
    <x v="9"/>
    <x v="321"/>
    <x v="268"/>
    <x v="268"/>
    <s v="REVENUS"/>
    <x v="17"/>
    <s v="4011.007"/>
    <s v="Acompte sur bénéfice"/>
    <n v="0"/>
    <n v="96337.8"/>
    <n v="4011"/>
  </r>
  <r>
    <x v="1"/>
    <x v="11"/>
    <x v="9"/>
    <x v="321"/>
    <x v="268"/>
    <x v="268"/>
    <s v="REVENUS"/>
    <x v="6"/>
    <s v="4211.001"/>
    <s v="Intérêts de retard sur factures"/>
    <n v="0"/>
    <n v="3203.98"/>
    <n v="4211"/>
  </r>
  <r>
    <x v="1"/>
    <x v="11"/>
    <x v="9"/>
    <x v="321"/>
    <x v="268"/>
    <x v="268"/>
    <s v="REVENUS"/>
    <x v="16"/>
    <s v="4012.007"/>
    <s v="Acompte sur capital"/>
    <n v="0"/>
    <n v="43816.75"/>
    <n v="4012"/>
  </r>
  <r>
    <x v="1"/>
    <x v="11"/>
    <x v="9"/>
    <x v="321"/>
    <x v="268"/>
    <x v="268"/>
    <s v="REVENUS"/>
    <x v="7"/>
    <s v="4184.000"/>
    <s v="Frais de poursuite"/>
    <n v="0"/>
    <n v="108.87"/>
    <n v="4184"/>
  </r>
  <r>
    <x v="1"/>
    <x v="11"/>
    <x v="9"/>
    <x v="321"/>
    <x v="268"/>
    <x v="268"/>
    <s v="REVENUS"/>
    <x v="6"/>
    <s v="4211.002"/>
    <s v="Intérêts de retard sur acomptes"/>
    <n v="0"/>
    <n v="100.28"/>
    <n v="4211"/>
  </r>
  <r>
    <x v="1"/>
    <x v="11"/>
    <x v="9"/>
    <x v="321"/>
    <x v="268"/>
    <x v="268"/>
    <s v="REVENUS"/>
    <x v="6"/>
    <s v="4221.001"/>
    <s v="Intérêts compensat. / créances en faveur du fisc"/>
    <n v="0"/>
    <n v="151.81"/>
    <n v="4221"/>
  </r>
  <r>
    <x v="1"/>
    <x v="11"/>
    <x v="9"/>
    <x v="321"/>
    <x v="268"/>
    <x v="268"/>
    <s v="REVENUS"/>
    <x v="17"/>
    <s v="4011.002"/>
    <s v="Complément impôt bénéfice ordinaire"/>
    <n v="0"/>
    <n v="42912.4"/>
    <n v="4011"/>
  </r>
  <r>
    <x v="1"/>
    <x v="11"/>
    <x v="9"/>
    <x v="321"/>
    <x v="268"/>
    <x v="268"/>
    <s v="REVENUS"/>
    <x v="16"/>
    <s v="4012.001"/>
    <s v="Impôt capital ordinaire"/>
    <n v="0"/>
    <n v="20220"/>
    <n v="4012"/>
  </r>
  <r>
    <x v="1"/>
    <x v="11"/>
    <x v="9"/>
    <x v="321"/>
    <x v="268"/>
    <x v="268"/>
    <s v="REVENUS"/>
    <x v="18"/>
    <s v="4013.003"/>
    <s v="Remboursement impôt complémentaire sur immeubles"/>
    <n v="0"/>
    <n v="-12862"/>
    <n v="4013"/>
  </r>
  <r>
    <x v="1"/>
    <x v="11"/>
    <x v="9"/>
    <x v="321"/>
    <x v="268"/>
    <x v="268"/>
    <s v="REVENUS"/>
    <x v="18"/>
    <s v="4013.001"/>
    <s v="Impôt complémentaire sur immeubles"/>
    <n v="0"/>
    <n v="197667.45"/>
    <n v="4013"/>
  </r>
  <r>
    <x v="1"/>
    <x v="11"/>
    <x v="9"/>
    <x v="321"/>
    <x v="268"/>
    <x v="268"/>
    <s v="REVENUS"/>
    <x v="10"/>
    <s v="4041.001"/>
    <s v="Droits de mutation"/>
    <n v="0"/>
    <n v="95590"/>
    <n v="4041"/>
  </r>
  <r>
    <x v="1"/>
    <x v="11"/>
    <x v="9"/>
    <x v="321"/>
    <x v="268"/>
    <x v="268"/>
    <s v="REVENUS"/>
    <x v="16"/>
    <s v="4012.002"/>
    <s v="Complément impôt capital ordinaire"/>
    <n v="0"/>
    <n v="-58"/>
    <n v="4012"/>
  </r>
  <r>
    <x v="1"/>
    <x v="11"/>
    <x v="9"/>
    <x v="321"/>
    <x v="268"/>
    <x v="268"/>
    <s v="REVENUS"/>
    <x v="18"/>
    <s v="4013.002"/>
    <s v="Complément impôt complémentaire sur immeubles"/>
    <n v="0"/>
    <n v="113.5"/>
    <n v="4013"/>
  </r>
  <r>
    <x v="1"/>
    <x v="11"/>
    <x v="9"/>
    <x v="322"/>
    <x v="269"/>
    <x v="269"/>
    <s v="CHARGES"/>
    <x v="0"/>
    <s v="3221.002"/>
    <s v="Intérêts compensatoires / créances en faveur ctb."/>
    <n v="23.73"/>
    <n v="0"/>
    <n v="3221"/>
  </r>
  <r>
    <x v="1"/>
    <x v="11"/>
    <x v="9"/>
    <x v="322"/>
    <x v="269"/>
    <x v="269"/>
    <s v="CHARGES"/>
    <x v="0"/>
    <s v="3212.002"/>
    <s v="Intérêts bonifiés/trop perçu acompte C/C"/>
    <n v="29.36"/>
    <n v="0"/>
    <n v="3212"/>
  </r>
  <r>
    <x v="1"/>
    <x v="11"/>
    <x v="9"/>
    <x v="322"/>
    <x v="269"/>
    <x v="269"/>
    <s v="CHARGES"/>
    <x v="1"/>
    <s v="3301.006"/>
    <s v="Abandon de solde PM"/>
    <n v="41.26"/>
    <n v="0"/>
    <n v="3301"/>
  </r>
  <r>
    <x v="1"/>
    <x v="11"/>
    <x v="9"/>
    <x v="322"/>
    <x v="269"/>
    <x v="269"/>
    <s v="CHARGES"/>
    <x v="0"/>
    <s v="3212.004"/>
    <s v="Intérêts rémun./perçu trop tôt sur acomptes C/C"/>
    <n v="27.23"/>
    <n v="0"/>
    <n v="3212"/>
  </r>
  <r>
    <x v="1"/>
    <x v="11"/>
    <x v="9"/>
    <x v="322"/>
    <x v="269"/>
    <x v="269"/>
    <s v="REVENUS"/>
    <x v="17"/>
    <s v="4011.001"/>
    <s v="Impôt bénéfice ordinaire"/>
    <n v="0"/>
    <n v="33757.599999999999"/>
    <n v="4011"/>
  </r>
  <r>
    <x v="1"/>
    <x v="11"/>
    <x v="9"/>
    <x v="322"/>
    <x v="269"/>
    <x v="269"/>
    <s v="REVENUS"/>
    <x v="17"/>
    <s v="4011.002"/>
    <s v="Complément impôt bénéfice ordinaire"/>
    <n v="0"/>
    <n v="3519.3"/>
    <n v="4011"/>
  </r>
  <r>
    <x v="1"/>
    <x v="11"/>
    <x v="9"/>
    <x v="322"/>
    <x v="269"/>
    <x v="269"/>
    <s v="REVENUS"/>
    <x v="6"/>
    <s v="4211.001"/>
    <s v="Intérêts de retard sur factures"/>
    <n v="0"/>
    <n v="10.87"/>
    <n v="4211"/>
  </r>
  <r>
    <x v="1"/>
    <x v="11"/>
    <x v="9"/>
    <x v="322"/>
    <x v="269"/>
    <x v="269"/>
    <s v="REVENUS"/>
    <x v="6"/>
    <s v="4221.001"/>
    <s v="Intérêts compensat. / créances en faveur du fisc"/>
    <n v="0"/>
    <n v="12.37"/>
    <n v="4221"/>
  </r>
  <r>
    <x v="1"/>
    <x v="11"/>
    <x v="9"/>
    <x v="322"/>
    <x v="269"/>
    <x v="269"/>
    <s v="REVENUS"/>
    <x v="17"/>
    <s v="4011.007"/>
    <s v="Acompte sur bénéfice"/>
    <n v="0"/>
    <n v="-42109.9"/>
    <n v="4011"/>
  </r>
  <r>
    <x v="1"/>
    <x v="11"/>
    <x v="9"/>
    <x v="322"/>
    <x v="269"/>
    <x v="269"/>
    <s v="REVENUS"/>
    <x v="10"/>
    <s v="4041.001"/>
    <s v="Droits de mutation"/>
    <n v="0"/>
    <n v="145563.20000000001"/>
    <n v="4041"/>
  </r>
  <r>
    <x v="1"/>
    <x v="11"/>
    <x v="9"/>
    <x v="322"/>
    <x v="269"/>
    <x v="269"/>
    <s v="REVENUS"/>
    <x v="6"/>
    <s v="4211.002"/>
    <s v="Intérêts de retard sur acomptes"/>
    <n v="0"/>
    <n v="83.73"/>
    <n v="4211"/>
  </r>
  <r>
    <x v="1"/>
    <x v="11"/>
    <x v="9"/>
    <x v="322"/>
    <x v="269"/>
    <x v="269"/>
    <s v="REVENUS"/>
    <x v="16"/>
    <s v="4012.007"/>
    <s v="Acompte sur capital"/>
    <n v="0"/>
    <n v="2383.1"/>
    <n v="4012"/>
  </r>
  <r>
    <x v="1"/>
    <x v="11"/>
    <x v="9"/>
    <x v="322"/>
    <x v="269"/>
    <x v="269"/>
    <s v="REVENUS"/>
    <x v="16"/>
    <s v="4012.001"/>
    <s v="Impôt capital ordinaire"/>
    <n v="0"/>
    <n v="2937.3"/>
    <n v="4012"/>
  </r>
  <r>
    <x v="1"/>
    <x v="11"/>
    <x v="9"/>
    <x v="322"/>
    <x v="269"/>
    <x v="269"/>
    <s v="REVENUS"/>
    <x v="7"/>
    <s v="4184.000"/>
    <s v="Frais de poursuite"/>
    <n v="0"/>
    <n v="25.36"/>
    <n v="4184"/>
  </r>
  <r>
    <x v="1"/>
    <x v="11"/>
    <x v="9"/>
    <x v="322"/>
    <x v="269"/>
    <x v="269"/>
    <s v="REVENUS"/>
    <x v="18"/>
    <s v="4013.003"/>
    <s v="Remboursement impôt complémentaire sur immeubles"/>
    <n v="0"/>
    <n v="-22039"/>
    <n v="4013"/>
  </r>
  <r>
    <x v="1"/>
    <x v="11"/>
    <x v="9"/>
    <x v="322"/>
    <x v="269"/>
    <x v="269"/>
    <s v="REVENUS"/>
    <x v="16"/>
    <s v="4012.002"/>
    <s v="Complément impôt capital ordinaire"/>
    <n v="0"/>
    <n v="-277.3"/>
    <n v="4012"/>
  </r>
  <r>
    <x v="1"/>
    <x v="11"/>
    <x v="9"/>
    <x v="322"/>
    <x v="269"/>
    <x v="269"/>
    <s v="REVENUS"/>
    <x v="9"/>
    <s v="4031.001"/>
    <s v="Impôt sur les gains immobiliers"/>
    <n v="0"/>
    <n v="60041.1"/>
    <n v="4031"/>
  </r>
  <r>
    <x v="1"/>
    <x v="11"/>
    <x v="9"/>
    <x v="322"/>
    <x v="269"/>
    <x v="269"/>
    <s v="REVENUS"/>
    <x v="18"/>
    <s v="4013.001"/>
    <s v="Impôt complémentaire sur immeubles"/>
    <n v="0"/>
    <n v="17311.45"/>
    <n v="4013"/>
  </r>
  <r>
    <x v="1"/>
    <x v="11"/>
    <x v="9"/>
    <x v="322"/>
    <x v="269"/>
    <x v="269"/>
    <s v="REVENUS"/>
    <x v="11"/>
    <s v="4198.001"/>
    <s v="Impôt foncier"/>
    <n v="0"/>
    <n v="57012.55"/>
    <n v="4198"/>
  </r>
  <r>
    <x v="1"/>
    <x v="11"/>
    <x v="9"/>
    <x v="322"/>
    <x v="269"/>
    <x v="269"/>
    <s v="REVENUS"/>
    <x v="18"/>
    <s v="4013.002"/>
    <s v="Complément impôt complémentaire sur immeubles"/>
    <n v="0"/>
    <n v="23"/>
    <n v="4013"/>
  </r>
  <r>
    <x v="1"/>
    <x v="11"/>
    <x v="9"/>
    <x v="323"/>
    <x v="270"/>
    <x v="270"/>
    <s v="CHARGES"/>
    <x v="0"/>
    <s v="3212.004"/>
    <s v="Intérêts rémun./perçu trop tôt sur acomptes C/C"/>
    <n v="2973.03"/>
    <n v="0"/>
    <n v="3212"/>
  </r>
  <r>
    <x v="1"/>
    <x v="11"/>
    <x v="9"/>
    <x v="323"/>
    <x v="270"/>
    <x v="270"/>
    <s v="CHARGES"/>
    <x v="0"/>
    <s v="3221.002"/>
    <s v="Intérêts compensatoires / créances en faveur ctb."/>
    <n v="5348.28"/>
    <n v="0"/>
    <n v="3221"/>
  </r>
  <r>
    <x v="1"/>
    <x v="11"/>
    <x v="9"/>
    <x v="323"/>
    <x v="270"/>
    <x v="270"/>
    <s v="CHARGES"/>
    <x v="1"/>
    <s v="3301.006"/>
    <s v="Abandon de solde PM"/>
    <n v="1061.44"/>
    <n v="0"/>
    <n v="3301"/>
  </r>
  <r>
    <x v="1"/>
    <x v="11"/>
    <x v="9"/>
    <x v="323"/>
    <x v="270"/>
    <x v="270"/>
    <s v="CHARGES"/>
    <x v="1"/>
    <s v="3301.002"/>
    <s v="Défalcation PM"/>
    <n v="132195.73000000001"/>
    <n v="0"/>
    <n v="3301"/>
  </r>
  <r>
    <x v="1"/>
    <x v="11"/>
    <x v="9"/>
    <x v="323"/>
    <x v="270"/>
    <x v="270"/>
    <s v="CHARGES"/>
    <x v="0"/>
    <s v="3212.002"/>
    <s v="Intérêts bonifiés/trop perçu acompte C/C"/>
    <n v="2766.02"/>
    <n v="0"/>
    <n v="3212"/>
  </r>
  <r>
    <x v="1"/>
    <x v="11"/>
    <x v="9"/>
    <x v="323"/>
    <x v="270"/>
    <x v="270"/>
    <s v="CHARGES"/>
    <x v="1"/>
    <s v="3301.002"/>
    <s v="Défalcation PM"/>
    <n v="57268.66"/>
    <n v="0"/>
    <n v="3301"/>
  </r>
  <r>
    <x v="1"/>
    <x v="11"/>
    <x v="9"/>
    <x v="323"/>
    <x v="270"/>
    <x v="270"/>
    <s v="REVENUS"/>
    <x v="17"/>
    <s v="4011.001"/>
    <s v="Impôt bénéfice ordinaire"/>
    <n v="0"/>
    <n v="4970856.2"/>
    <n v="4011"/>
  </r>
  <r>
    <x v="1"/>
    <x v="11"/>
    <x v="9"/>
    <x v="323"/>
    <x v="270"/>
    <x v="270"/>
    <s v="REVENUS"/>
    <x v="17"/>
    <s v="4011.007"/>
    <s v="Acompte sur bénéfice"/>
    <n v="0"/>
    <n v="-2857543.85"/>
    <n v="4011"/>
  </r>
  <r>
    <x v="1"/>
    <x v="11"/>
    <x v="9"/>
    <x v="323"/>
    <x v="270"/>
    <x v="270"/>
    <s v="REVENUS"/>
    <x v="16"/>
    <s v="4012.001"/>
    <s v="Impôt capital ordinaire"/>
    <n v="0"/>
    <n v="346923.4"/>
    <n v="4012"/>
  </r>
  <r>
    <x v="1"/>
    <x v="11"/>
    <x v="9"/>
    <x v="323"/>
    <x v="270"/>
    <x v="270"/>
    <s v="REVENUS"/>
    <x v="16"/>
    <s v="4012.007"/>
    <s v="Acompte sur capital"/>
    <n v="0"/>
    <n v="69796.05"/>
    <n v="4012"/>
  </r>
  <r>
    <x v="1"/>
    <x v="11"/>
    <x v="9"/>
    <x v="323"/>
    <x v="270"/>
    <x v="270"/>
    <s v="REVENUS"/>
    <x v="18"/>
    <s v="4013.001"/>
    <s v="Impôt complémentaire sur immeubles"/>
    <n v="0"/>
    <n v="903888.15"/>
    <n v="4013"/>
  </r>
  <r>
    <x v="1"/>
    <x v="11"/>
    <x v="9"/>
    <x v="323"/>
    <x v="270"/>
    <x v="270"/>
    <s v="REVENUS"/>
    <x v="6"/>
    <s v="4211.002"/>
    <s v="Intérêts de retard sur acomptes"/>
    <n v="0"/>
    <n v="30518.75"/>
    <n v="4211"/>
  </r>
  <r>
    <x v="1"/>
    <x v="11"/>
    <x v="9"/>
    <x v="323"/>
    <x v="270"/>
    <x v="270"/>
    <s v="REVENUS"/>
    <x v="6"/>
    <s v="4221.001"/>
    <s v="Intérêts compensat. / créances en faveur du fisc"/>
    <n v="0"/>
    <n v="-1126.53"/>
    <n v="4221"/>
  </r>
  <r>
    <x v="1"/>
    <x v="11"/>
    <x v="9"/>
    <x v="323"/>
    <x v="270"/>
    <x v="270"/>
    <s v="REVENUS"/>
    <x v="18"/>
    <s v="4013.003"/>
    <s v="Remboursement impôt complémentaire sur immeubles"/>
    <n v="0"/>
    <n v="-230747.95"/>
    <n v="4013"/>
  </r>
  <r>
    <x v="1"/>
    <x v="11"/>
    <x v="9"/>
    <x v="323"/>
    <x v="270"/>
    <x v="270"/>
    <s v="REVENUS"/>
    <x v="7"/>
    <s v="4184.000"/>
    <s v="Frais de poursuite"/>
    <n v="0"/>
    <n v="4637.97"/>
    <n v="4184"/>
  </r>
  <r>
    <x v="1"/>
    <x v="11"/>
    <x v="9"/>
    <x v="323"/>
    <x v="270"/>
    <x v="270"/>
    <s v="REVENUS"/>
    <x v="6"/>
    <s v="4211.001"/>
    <s v="Intérêts de retard sur factures"/>
    <n v="0"/>
    <n v="31675.75"/>
    <n v="4211"/>
  </r>
  <r>
    <x v="1"/>
    <x v="11"/>
    <x v="9"/>
    <x v="323"/>
    <x v="270"/>
    <x v="270"/>
    <s v="REVENUS"/>
    <x v="17"/>
    <s v="4011.002"/>
    <s v="Complément impôt bénéfice ordinaire"/>
    <n v="0"/>
    <n v="500662.6"/>
    <n v="4011"/>
  </r>
  <r>
    <x v="1"/>
    <x v="11"/>
    <x v="9"/>
    <x v="323"/>
    <x v="270"/>
    <x v="270"/>
    <s v="REVENUS"/>
    <x v="10"/>
    <s v="4041.001"/>
    <s v="Droits de mutation"/>
    <n v="0"/>
    <n v="1484810.55"/>
    <n v="4041"/>
  </r>
  <r>
    <x v="1"/>
    <x v="11"/>
    <x v="9"/>
    <x v="323"/>
    <x v="270"/>
    <x v="270"/>
    <s v="REVENUS"/>
    <x v="16"/>
    <s v="4012.002"/>
    <s v="Complément impôt capital ordinaire"/>
    <n v="0"/>
    <n v="22462.55"/>
    <n v="4012"/>
  </r>
  <r>
    <x v="1"/>
    <x v="11"/>
    <x v="9"/>
    <x v="323"/>
    <x v="270"/>
    <x v="270"/>
    <s v="REVENUS"/>
    <x v="10"/>
    <s v="4041.002"/>
    <s v="Complément droit de mutation"/>
    <n v="0"/>
    <n v="54375"/>
    <n v="4041"/>
  </r>
  <r>
    <x v="1"/>
    <x v="11"/>
    <x v="9"/>
    <x v="323"/>
    <x v="270"/>
    <x v="270"/>
    <s v="REVENUS"/>
    <x v="8"/>
    <s v="4091.001"/>
    <s v="Impôt récupéré après défalcations"/>
    <n v="0"/>
    <n v="3467.17"/>
    <n v="4091"/>
  </r>
  <r>
    <x v="1"/>
    <x v="11"/>
    <x v="9"/>
    <x v="323"/>
    <x v="270"/>
    <x v="270"/>
    <s v="REVENUS"/>
    <x v="18"/>
    <s v="4013.002"/>
    <s v="Complément impôt complémentaire sur immeubles"/>
    <n v="0"/>
    <n v="40412.85"/>
    <n v="4013"/>
  </r>
  <r>
    <x v="1"/>
    <x v="11"/>
    <x v="9"/>
    <x v="323"/>
    <x v="270"/>
    <x v="270"/>
    <s v="REVENUS"/>
    <x v="6"/>
    <s v="4221.003"/>
    <s v="Intérêts compensat. / acomptes en faveur du fisc"/>
    <n v="0"/>
    <n v="-13.53"/>
    <n v="4221"/>
  </r>
  <r>
    <x v="1"/>
    <x v="11"/>
    <x v="9"/>
    <x v="323"/>
    <x v="270"/>
    <x v="270"/>
    <s v="REVENUS"/>
    <x v="13"/>
    <s v="4371.012"/>
    <s v="Amende soustraction IBC"/>
    <n v="0"/>
    <n v="-101850"/>
    <n v="4371"/>
  </r>
  <r>
    <x v="1"/>
    <x v="11"/>
    <x v="9"/>
    <x v="323"/>
    <x v="270"/>
    <x v="270"/>
    <s v="REVENUS"/>
    <x v="9"/>
    <s v="4031.001"/>
    <s v="Impôt sur les gains immobiliers"/>
    <n v="0"/>
    <n v="-139306"/>
    <n v="4031"/>
  </r>
  <r>
    <x v="1"/>
    <x v="11"/>
    <x v="9"/>
    <x v="323"/>
    <x v="270"/>
    <x v="270"/>
    <s v="REVENUS"/>
    <x v="9"/>
    <s v="4031.002"/>
    <s v="Complément impôt sur les gains immobiliers"/>
    <n v="0"/>
    <n v="101468.2"/>
    <n v="4031"/>
  </r>
  <r>
    <x v="1"/>
    <x v="11"/>
    <x v="9"/>
    <x v="323"/>
    <x v="270"/>
    <x v="270"/>
    <s v="REVENUS"/>
    <x v="6"/>
    <s v="4221.002"/>
    <s v="Intérêts compensat. sur impôts distincts"/>
    <n v="0"/>
    <n v="-1.84"/>
    <n v="4221"/>
  </r>
  <r>
    <x v="1"/>
    <x v="11"/>
    <x v="9"/>
    <x v="323"/>
    <x v="270"/>
    <x v="270"/>
    <s v="REVENUS"/>
    <x v="8"/>
    <s v="4091.003"/>
    <s v="Impôt récupéré concordat"/>
    <n v="0"/>
    <n v="62"/>
    <n v="4091"/>
  </r>
  <r>
    <x v="1"/>
    <x v="11"/>
    <x v="9"/>
    <x v="324"/>
    <x v="271"/>
    <x v="271"/>
    <s v="CHARGES"/>
    <x v="0"/>
    <s v="3212.004"/>
    <s v="Intérêts rémun./perçu trop tôt sur acomptes C/C"/>
    <n v="1050.96"/>
    <n v="0"/>
    <n v="3212"/>
  </r>
  <r>
    <x v="1"/>
    <x v="11"/>
    <x v="9"/>
    <x v="324"/>
    <x v="271"/>
    <x v="271"/>
    <s v="CHARGES"/>
    <x v="0"/>
    <s v="3221.002"/>
    <s v="Intérêts compensatoires / créances en faveur ctb."/>
    <n v="1841.28"/>
    <n v="0"/>
    <n v="3221"/>
  </r>
  <r>
    <x v="1"/>
    <x v="11"/>
    <x v="9"/>
    <x v="324"/>
    <x v="271"/>
    <x v="271"/>
    <s v="CHARGES"/>
    <x v="1"/>
    <s v="3301.006"/>
    <s v="Abandon de solde PM"/>
    <n v="163.25"/>
    <n v="0"/>
    <n v="3301"/>
  </r>
  <r>
    <x v="1"/>
    <x v="11"/>
    <x v="9"/>
    <x v="324"/>
    <x v="271"/>
    <x v="271"/>
    <s v="CHARGES"/>
    <x v="0"/>
    <s v="3212.002"/>
    <s v="Intérêts bonifiés/trop perçu acompte C/C"/>
    <n v="164.17"/>
    <n v="0"/>
    <n v="3212"/>
  </r>
  <r>
    <x v="1"/>
    <x v="11"/>
    <x v="9"/>
    <x v="324"/>
    <x v="271"/>
    <x v="271"/>
    <s v="CHARGES"/>
    <x v="1"/>
    <s v="3301.002"/>
    <s v="Défalcation PM"/>
    <n v="475.67"/>
    <n v="0"/>
    <n v="3301"/>
  </r>
  <r>
    <x v="1"/>
    <x v="11"/>
    <x v="9"/>
    <x v="324"/>
    <x v="271"/>
    <x v="271"/>
    <s v="REVENUS"/>
    <x v="17"/>
    <s v="4011.001"/>
    <s v="Impôt bénéfice ordinaire"/>
    <n v="0"/>
    <n v="591719.25"/>
    <n v="4011"/>
  </r>
  <r>
    <x v="1"/>
    <x v="11"/>
    <x v="9"/>
    <x v="324"/>
    <x v="271"/>
    <x v="271"/>
    <s v="REVENUS"/>
    <x v="17"/>
    <s v="4011.007"/>
    <s v="Acompte sur bénéfice"/>
    <n v="0"/>
    <n v="-244049.85"/>
    <n v="4011"/>
  </r>
  <r>
    <x v="1"/>
    <x v="11"/>
    <x v="9"/>
    <x v="324"/>
    <x v="271"/>
    <x v="271"/>
    <s v="REVENUS"/>
    <x v="16"/>
    <s v="4012.001"/>
    <s v="Impôt capital ordinaire"/>
    <n v="0"/>
    <n v="26590.15"/>
    <n v="4012"/>
  </r>
  <r>
    <x v="1"/>
    <x v="11"/>
    <x v="9"/>
    <x v="324"/>
    <x v="271"/>
    <x v="271"/>
    <s v="REVENUS"/>
    <x v="16"/>
    <s v="4012.007"/>
    <s v="Acompte sur capital"/>
    <n v="0"/>
    <n v="22042.55"/>
    <n v="4012"/>
  </r>
  <r>
    <x v="1"/>
    <x v="11"/>
    <x v="9"/>
    <x v="324"/>
    <x v="271"/>
    <x v="271"/>
    <s v="REVENUS"/>
    <x v="7"/>
    <s v="4184.000"/>
    <s v="Frais de poursuite"/>
    <n v="0"/>
    <n v="263"/>
    <n v="4184"/>
  </r>
  <r>
    <x v="1"/>
    <x v="11"/>
    <x v="9"/>
    <x v="324"/>
    <x v="271"/>
    <x v="271"/>
    <s v="REVENUS"/>
    <x v="6"/>
    <s v="4211.002"/>
    <s v="Intérêts de retard sur acomptes"/>
    <n v="0"/>
    <n v="3898.76"/>
    <n v="4211"/>
  </r>
  <r>
    <x v="1"/>
    <x v="11"/>
    <x v="9"/>
    <x v="324"/>
    <x v="271"/>
    <x v="271"/>
    <s v="REVENUS"/>
    <x v="6"/>
    <s v="4221.001"/>
    <s v="Intérêts compensat. / créances en faveur du fisc"/>
    <n v="0"/>
    <n v="-612.97"/>
    <n v="4221"/>
  </r>
  <r>
    <x v="1"/>
    <x v="11"/>
    <x v="9"/>
    <x v="324"/>
    <x v="271"/>
    <x v="271"/>
    <s v="REVENUS"/>
    <x v="17"/>
    <s v="4011.002"/>
    <s v="Complément impôt bénéfice ordinaire"/>
    <n v="0"/>
    <n v="23391.75"/>
    <n v="4011"/>
  </r>
  <r>
    <x v="1"/>
    <x v="11"/>
    <x v="9"/>
    <x v="324"/>
    <x v="271"/>
    <x v="271"/>
    <s v="REVENUS"/>
    <x v="6"/>
    <s v="4211.001"/>
    <s v="Intérêts de retard sur factures"/>
    <n v="0"/>
    <n v="1027.9100000000001"/>
    <n v="4211"/>
  </r>
  <r>
    <x v="1"/>
    <x v="11"/>
    <x v="9"/>
    <x v="324"/>
    <x v="271"/>
    <x v="271"/>
    <s v="REVENUS"/>
    <x v="10"/>
    <s v="4041.001"/>
    <s v="Droits de mutation"/>
    <n v="0"/>
    <n v="366121.75"/>
    <n v="4041"/>
  </r>
  <r>
    <x v="1"/>
    <x v="11"/>
    <x v="9"/>
    <x v="324"/>
    <x v="271"/>
    <x v="271"/>
    <s v="REVENUS"/>
    <x v="18"/>
    <s v="4013.001"/>
    <s v="Impôt complémentaire sur immeubles"/>
    <n v="0"/>
    <n v="84358"/>
    <n v="4013"/>
  </r>
  <r>
    <x v="1"/>
    <x v="11"/>
    <x v="9"/>
    <x v="324"/>
    <x v="271"/>
    <x v="271"/>
    <s v="REVENUS"/>
    <x v="8"/>
    <s v="4091.001"/>
    <s v="Impôt récupéré après défalcations"/>
    <n v="0"/>
    <n v="21.07"/>
    <n v="4091"/>
  </r>
  <r>
    <x v="1"/>
    <x v="11"/>
    <x v="9"/>
    <x v="324"/>
    <x v="271"/>
    <x v="271"/>
    <s v="REVENUS"/>
    <x v="16"/>
    <s v="4012.002"/>
    <s v="Complément impôt capital ordinaire"/>
    <n v="0"/>
    <n v="589.6"/>
    <n v="4012"/>
  </r>
  <r>
    <x v="1"/>
    <x v="11"/>
    <x v="9"/>
    <x v="324"/>
    <x v="271"/>
    <x v="271"/>
    <s v="REVENUS"/>
    <x v="9"/>
    <s v="4031.001"/>
    <s v="Impôt sur les gains immobiliers"/>
    <n v="0"/>
    <n v="39136.25"/>
    <n v="4031"/>
  </r>
  <r>
    <x v="1"/>
    <x v="11"/>
    <x v="9"/>
    <x v="324"/>
    <x v="271"/>
    <x v="271"/>
    <s v="REVENUS"/>
    <x v="18"/>
    <s v="4013.003"/>
    <s v="Remboursement impôt complémentaire sur immeubles"/>
    <n v="0"/>
    <n v="-4940.5"/>
    <n v="4013"/>
  </r>
  <r>
    <x v="1"/>
    <x v="11"/>
    <x v="9"/>
    <x v="325"/>
    <x v="272"/>
    <x v="272"/>
    <s v="CHARGES"/>
    <x v="0"/>
    <s v="3212.004"/>
    <s v="Intérêts rémun./perçu trop tôt sur acomptes C/C"/>
    <n v="759"/>
    <n v="0"/>
    <n v="3212"/>
  </r>
  <r>
    <x v="1"/>
    <x v="11"/>
    <x v="9"/>
    <x v="325"/>
    <x v="272"/>
    <x v="272"/>
    <s v="CHARGES"/>
    <x v="0"/>
    <s v="3221.002"/>
    <s v="Intérêts compensatoires / créances en faveur ctb."/>
    <n v="456.55"/>
    <n v="0"/>
    <n v="3221"/>
  </r>
  <r>
    <x v="1"/>
    <x v="11"/>
    <x v="9"/>
    <x v="325"/>
    <x v="272"/>
    <x v="272"/>
    <s v="CHARGES"/>
    <x v="1"/>
    <s v="3301.006"/>
    <s v="Abandon de solde PM"/>
    <n v="173.44"/>
    <n v="0"/>
    <n v="3301"/>
  </r>
  <r>
    <x v="1"/>
    <x v="11"/>
    <x v="9"/>
    <x v="325"/>
    <x v="272"/>
    <x v="272"/>
    <s v="CHARGES"/>
    <x v="0"/>
    <s v="3212.002"/>
    <s v="Intérêts bonifiés/trop perçu acompte C/C"/>
    <n v="637.91999999999996"/>
    <n v="0"/>
    <n v="3212"/>
  </r>
  <r>
    <x v="1"/>
    <x v="11"/>
    <x v="9"/>
    <x v="325"/>
    <x v="272"/>
    <x v="272"/>
    <s v="CHARGES"/>
    <x v="1"/>
    <s v="3301.002"/>
    <s v="Défalcation PM"/>
    <n v="16044.35"/>
    <n v="0"/>
    <n v="3301"/>
  </r>
  <r>
    <x v="1"/>
    <x v="11"/>
    <x v="9"/>
    <x v="325"/>
    <x v="272"/>
    <x v="272"/>
    <s v="REVENUS"/>
    <x v="17"/>
    <s v="4011.001"/>
    <s v="Impôt bénéfice ordinaire"/>
    <n v="0"/>
    <n v="1409110.95"/>
    <n v="4011"/>
  </r>
  <r>
    <x v="1"/>
    <x v="11"/>
    <x v="9"/>
    <x v="325"/>
    <x v="272"/>
    <x v="272"/>
    <s v="REVENUS"/>
    <x v="17"/>
    <s v="4011.007"/>
    <s v="Acompte sur bénéfice"/>
    <n v="0"/>
    <n v="2920567.9"/>
    <n v="4011"/>
  </r>
  <r>
    <x v="1"/>
    <x v="11"/>
    <x v="9"/>
    <x v="325"/>
    <x v="272"/>
    <x v="272"/>
    <s v="REVENUS"/>
    <x v="16"/>
    <s v="4012.001"/>
    <s v="Impôt capital ordinaire"/>
    <n v="0"/>
    <n v="4785535.3"/>
    <n v="4012"/>
  </r>
  <r>
    <x v="1"/>
    <x v="11"/>
    <x v="9"/>
    <x v="325"/>
    <x v="272"/>
    <x v="272"/>
    <s v="REVENUS"/>
    <x v="7"/>
    <s v="4184.000"/>
    <s v="Frais de poursuite"/>
    <n v="0"/>
    <n v="287.26"/>
    <n v="4184"/>
  </r>
  <r>
    <x v="1"/>
    <x v="11"/>
    <x v="9"/>
    <x v="325"/>
    <x v="272"/>
    <x v="272"/>
    <s v="REVENUS"/>
    <x v="6"/>
    <s v="4221.001"/>
    <s v="Intérêts compensat. / créances en faveur du fisc"/>
    <n v="0"/>
    <n v="134"/>
    <n v="4221"/>
  </r>
  <r>
    <x v="1"/>
    <x v="11"/>
    <x v="9"/>
    <x v="325"/>
    <x v="272"/>
    <x v="272"/>
    <s v="REVENUS"/>
    <x v="18"/>
    <s v="4013.001"/>
    <s v="Impôt complémentaire sur immeubles"/>
    <n v="0"/>
    <n v="334028.45"/>
    <n v="4013"/>
  </r>
  <r>
    <x v="1"/>
    <x v="11"/>
    <x v="9"/>
    <x v="325"/>
    <x v="272"/>
    <x v="272"/>
    <s v="REVENUS"/>
    <x v="17"/>
    <s v="4011.002"/>
    <s v="Complément impôt bénéfice ordinaire"/>
    <n v="0"/>
    <n v="41327.550000000003"/>
    <n v="4011"/>
  </r>
  <r>
    <x v="1"/>
    <x v="11"/>
    <x v="9"/>
    <x v="325"/>
    <x v="272"/>
    <x v="272"/>
    <s v="REVENUS"/>
    <x v="16"/>
    <s v="4012.007"/>
    <s v="Acompte sur capital"/>
    <n v="0"/>
    <n v="-4729325.8"/>
    <n v="4012"/>
  </r>
  <r>
    <x v="1"/>
    <x v="11"/>
    <x v="9"/>
    <x v="325"/>
    <x v="272"/>
    <x v="272"/>
    <s v="REVENUS"/>
    <x v="6"/>
    <s v="4211.001"/>
    <s v="Intérêts de retard sur factures"/>
    <n v="0"/>
    <n v="262.06"/>
    <n v="4211"/>
  </r>
  <r>
    <x v="1"/>
    <x v="11"/>
    <x v="9"/>
    <x v="325"/>
    <x v="272"/>
    <x v="272"/>
    <s v="REVENUS"/>
    <x v="10"/>
    <s v="4041.001"/>
    <s v="Droits de mutation"/>
    <n v="0"/>
    <n v="825208.1"/>
    <n v="4041"/>
  </r>
  <r>
    <x v="1"/>
    <x v="11"/>
    <x v="9"/>
    <x v="325"/>
    <x v="272"/>
    <x v="272"/>
    <s v="REVENUS"/>
    <x v="6"/>
    <s v="4211.002"/>
    <s v="Intérêts de retard sur acomptes"/>
    <n v="0"/>
    <n v="4223.13"/>
    <n v="4211"/>
  </r>
  <r>
    <x v="1"/>
    <x v="11"/>
    <x v="9"/>
    <x v="325"/>
    <x v="272"/>
    <x v="272"/>
    <s v="REVENUS"/>
    <x v="10"/>
    <s v="4041.002"/>
    <s v="Complément droit de mutation"/>
    <n v="0"/>
    <n v="43087"/>
    <n v="4041"/>
  </r>
  <r>
    <x v="1"/>
    <x v="11"/>
    <x v="9"/>
    <x v="325"/>
    <x v="272"/>
    <x v="272"/>
    <s v="REVENUS"/>
    <x v="8"/>
    <s v="4091.001"/>
    <s v="Impôt récupéré après défalcations"/>
    <n v="0"/>
    <n v="4686.8599999999997"/>
    <n v="4091"/>
  </r>
  <r>
    <x v="1"/>
    <x v="11"/>
    <x v="9"/>
    <x v="325"/>
    <x v="272"/>
    <x v="272"/>
    <s v="REVENUS"/>
    <x v="18"/>
    <s v="4013.002"/>
    <s v="Complément impôt complémentaire sur immeubles"/>
    <n v="0"/>
    <n v="1038.4000000000001"/>
    <n v="4013"/>
  </r>
  <r>
    <x v="1"/>
    <x v="11"/>
    <x v="9"/>
    <x v="325"/>
    <x v="272"/>
    <x v="272"/>
    <s v="REVENUS"/>
    <x v="18"/>
    <s v="4013.003"/>
    <s v="Remboursement impôt complémentaire sur immeubles"/>
    <n v="0"/>
    <n v="-123322.95"/>
    <n v="4013"/>
  </r>
  <r>
    <x v="1"/>
    <x v="11"/>
    <x v="9"/>
    <x v="325"/>
    <x v="272"/>
    <x v="272"/>
    <s v="REVENUS"/>
    <x v="16"/>
    <s v="4012.002"/>
    <s v="Complément impôt capital ordinaire"/>
    <n v="0"/>
    <n v="-34969"/>
    <n v="4012"/>
  </r>
  <r>
    <x v="1"/>
    <x v="11"/>
    <x v="9"/>
    <x v="325"/>
    <x v="272"/>
    <x v="272"/>
    <s v="REVENUS"/>
    <x v="9"/>
    <s v="4031.001"/>
    <s v="Impôt sur les gains immobiliers"/>
    <n v="0"/>
    <n v="53736.4"/>
    <n v="4031"/>
  </r>
  <r>
    <x v="1"/>
    <x v="11"/>
    <x v="9"/>
    <x v="326"/>
    <x v="273"/>
    <x v="273"/>
    <s v="CHARGES"/>
    <x v="0"/>
    <s v="3212.004"/>
    <s v="Intérêts rémun./perçu trop tôt sur acomptes C/C"/>
    <n v="3036.63"/>
    <n v="0"/>
    <n v="3212"/>
  </r>
  <r>
    <x v="1"/>
    <x v="11"/>
    <x v="9"/>
    <x v="326"/>
    <x v="273"/>
    <x v="273"/>
    <s v="CHARGES"/>
    <x v="0"/>
    <s v="3221.002"/>
    <s v="Intérêts compensatoires / créances en faveur ctb."/>
    <n v="3044.07"/>
    <n v="0"/>
    <n v="3221"/>
  </r>
  <r>
    <x v="1"/>
    <x v="11"/>
    <x v="9"/>
    <x v="326"/>
    <x v="273"/>
    <x v="273"/>
    <s v="CHARGES"/>
    <x v="1"/>
    <s v="3301.006"/>
    <s v="Abandon de solde PM"/>
    <n v="721.02"/>
    <n v="0"/>
    <n v="3301"/>
  </r>
  <r>
    <x v="1"/>
    <x v="11"/>
    <x v="9"/>
    <x v="326"/>
    <x v="273"/>
    <x v="273"/>
    <s v="CHARGES"/>
    <x v="0"/>
    <s v="3212.002"/>
    <s v="Intérêts bonifiés/trop perçu acompte C/C"/>
    <n v="21.23"/>
    <n v="0"/>
    <n v="3212"/>
  </r>
  <r>
    <x v="1"/>
    <x v="11"/>
    <x v="9"/>
    <x v="326"/>
    <x v="273"/>
    <x v="273"/>
    <s v="CHARGES"/>
    <x v="1"/>
    <s v="3301.002"/>
    <s v="Défalcation PM"/>
    <n v="8722.66"/>
    <n v="0"/>
    <n v="3301"/>
  </r>
  <r>
    <x v="1"/>
    <x v="11"/>
    <x v="9"/>
    <x v="326"/>
    <x v="273"/>
    <x v="273"/>
    <s v="REVENUS"/>
    <x v="6"/>
    <s v="4211.001"/>
    <s v="Intérêts de retard sur factures"/>
    <n v="0"/>
    <n v="8047.23"/>
    <n v="4211"/>
  </r>
  <r>
    <x v="1"/>
    <x v="11"/>
    <x v="9"/>
    <x v="326"/>
    <x v="273"/>
    <x v="273"/>
    <s v="REVENUS"/>
    <x v="17"/>
    <s v="4011.001"/>
    <s v="Impôt bénéfice ordinaire"/>
    <n v="0"/>
    <n v="5857952.9000000004"/>
    <n v="4011"/>
  </r>
  <r>
    <x v="1"/>
    <x v="11"/>
    <x v="9"/>
    <x v="326"/>
    <x v="273"/>
    <x v="273"/>
    <s v="REVENUS"/>
    <x v="17"/>
    <s v="4011.007"/>
    <s v="Acompte sur bénéfice"/>
    <n v="0"/>
    <n v="5695518.1500000004"/>
    <n v="4011"/>
  </r>
  <r>
    <x v="1"/>
    <x v="11"/>
    <x v="9"/>
    <x v="326"/>
    <x v="273"/>
    <x v="273"/>
    <s v="REVENUS"/>
    <x v="16"/>
    <s v="4012.001"/>
    <s v="Impôt capital ordinaire"/>
    <n v="0"/>
    <n v="11584769.949999999"/>
    <n v="4012"/>
  </r>
  <r>
    <x v="1"/>
    <x v="11"/>
    <x v="9"/>
    <x v="326"/>
    <x v="273"/>
    <x v="273"/>
    <s v="REVENUS"/>
    <x v="16"/>
    <s v="4012.007"/>
    <s v="Acompte sur capital"/>
    <n v="0"/>
    <n v="-10560570.1"/>
    <n v="4012"/>
  </r>
  <r>
    <x v="1"/>
    <x v="11"/>
    <x v="9"/>
    <x v="326"/>
    <x v="273"/>
    <x v="273"/>
    <s v="REVENUS"/>
    <x v="18"/>
    <s v="4013.001"/>
    <s v="Impôt complémentaire sur immeubles"/>
    <n v="0"/>
    <n v="862202.55"/>
    <n v="4013"/>
  </r>
  <r>
    <x v="1"/>
    <x v="11"/>
    <x v="9"/>
    <x v="326"/>
    <x v="273"/>
    <x v="273"/>
    <s v="REVENUS"/>
    <x v="6"/>
    <s v="4211.002"/>
    <s v="Intérêts de retard sur acomptes"/>
    <n v="0"/>
    <n v="20854.400000000001"/>
    <n v="4211"/>
  </r>
  <r>
    <x v="1"/>
    <x v="11"/>
    <x v="9"/>
    <x v="326"/>
    <x v="273"/>
    <x v="273"/>
    <s v="REVENUS"/>
    <x v="6"/>
    <s v="4221.001"/>
    <s v="Intérêts compensat. / créances en faveur du fisc"/>
    <n v="0"/>
    <n v="891.34"/>
    <n v="4221"/>
  </r>
  <r>
    <x v="1"/>
    <x v="11"/>
    <x v="9"/>
    <x v="326"/>
    <x v="273"/>
    <x v="273"/>
    <s v="REVENUS"/>
    <x v="17"/>
    <s v="4011.002"/>
    <s v="Complément impôt bénéfice ordinaire"/>
    <n v="0"/>
    <n v="205471.65"/>
    <n v="4011"/>
  </r>
  <r>
    <x v="1"/>
    <x v="11"/>
    <x v="9"/>
    <x v="326"/>
    <x v="273"/>
    <x v="273"/>
    <s v="REVENUS"/>
    <x v="16"/>
    <s v="4012.002"/>
    <s v="Complément impôt capital ordinaire"/>
    <n v="0"/>
    <n v="14932.25"/>
    <n v="4012"/>
  </r>
  <r>
    <x v="1"/>
    <x v="11"/>
    <x v="9"/>
    <x v="326"/>
    <x v="273"/>
    <x v="273"/>
    <s v="REVENUS"/>
    <x v="6"/>
    <s v="4221.003"/>
    <s v="Intérêts compensat. / acomptes en faveur du fisc"/>
    <n v="0"/>
    <n v="0.01"/>
    <n v="4221"/>
  </r>
  <r>
    <x v="1"/>
    <x v="11"/>
    <x v="9"/>
    <x v="326"/>
    <x v="273"/>
    <x v="273"/>
    <s v="REVENUS"/>
    <x v="13"/>
    <s v="4371.012"/>
    <s v="Amende soustraction IBC"/>
    <n v="0"/>
    <n v="-10250"/>
    <n v="4371"/>
  </r>
  <r>
    <x v="1"/>
    <x v="11"/>
    <x v="9"/>
    <x v="326"/>
    <x v="273"/>
    <x v="273"/>
    <s v="REVENUS"/>
    <x v="18"/>
    <s v="4013.003"/>
    <s v="Remboursement impôt complémentaire sur immeubles"/>
    <n v="0"/>
    <n v="-119249.5"/>
    <n v="4013"/>
  </r>
  <r>
    <x v="1"/>
    <x v="11"/>
    <x v="9"/>
    <x v="326"/>
    <x v="273"/>
    <x v="273"/>
    <s v="REVENUS"/>
    <x v="10"/>
    <s v="4041.001"/>
    <s v="Droits de mutation"/>
    <n v="0"/>
    <n v="932360"/>
    <n v="4041"/>
  </r>
  <r>
    <x v="1"/>
    <x v="11"/>
    <x v="9"/>
    <x v="326"/>
    <x v="273"/>
    <x v="273"/>
    <s v="REVENUS"/>
    <x v="7"/>
    <s v="4184.000"/>
    <s v="Frais de poursuite"/>
    <n v="0"/>
    <n v="1298.3599999999999"/>
    <n v="4184"/>
  </r>
  <r>
    <x v="1"/>
    <x v="11"/>
    <x v="9"/>
    <x v="326"/>
    <x v="273"/>
    <x v="273"/>
    <s v="REVENUS"/>
    <x v="8"/>
    <s v="4091.001"/>
    <s v="Impôt récupéré après défalcations"/>
    <n v="0"/>
    <n v="2096.35"/>
    <n v="4091"/>
  </r>
  <r>
    <x v="1"/>
    <x v="11"/>
    <x v="9"/>
    <x v="326"/>
    <x v="273"/>
    <x v="273"/>
    <s v="REVENUS"/>
    <x v="18"/>
    <s v="4013.002"/>
    <s v="Complément impôt complémentaire sur immeubles"/>
    <n v="0"/>
    <n v="6714.65"/>
    <n v="4013"/>
  </r>
  <r>
    <x v="1"/>
    <x v="11"/>
    <x v="9"/>
    <x v="326"/>
    <x v="273"/>
    <x v="273"/>
    <s v="REVENUS"/>
    <x v="9"/>
    <s v="4031.001"/>
    <s v="Impôt sur les gains immobiliers"/>
    <n v="0"/>
    <n v="101266"/>
    <n v="4031"/>
  </r>
  <r>
    <x v="1"/>
    <x v="11"/>
    <x v="9"/>
    <x v="326"/>
    <x v="273"/>
    <x v="273"/>
    <s v="REVENUS"/>
    <x v="10"/>
    <s v="4041.002"/>
    <s v="Complément droit de mutation"/>
    <n v="0"/>
    <n v="32450"/>
    <n v="4041"/>
  </r>
  <r>
    <x v="1"/>
    <x v="11"/>
    <x v="9"/>
    <x v="326"/>
    <x v="273"/>
    <x v="273"/>
    <s v="REVENUS"/>
    <x v="8"/>
    <s v="4091.003"/>
    <s v="Impôt récupéré concordat"/>
    <n v="0"/>
    <n v="40.630000000000003"/>
    <n v="4091"/>
  </r>
  <r>
    <x v="1"/>
    <x v="11"/>
    <x v="9"/>
    <x v="327"/>
    <x v="274"/>
    <x v="274"/>
    <s v="CHARGES"/>
    <x v="0"/>
    <s v="3221.002"/>
    <s v="Intérêts compensatoires / créances en faveur ctb."/>
    <n v="16.68"/>
    <n v="0"/>
    <n v="3221"/>
  </r>
  <r>
    <x v="1"/>
    <x v="11"/>
    <x v="9"/>
    <x v="327"/>
    <x v="274"/>
    <x v="274"/>
    <s v="CHARGES"/>
    <x v="1"/>
    <s v="3301.006"/>
    <s v="Abandon de solde PM"/>
    <n v="32.590000000000003"/>
    <n v="0"/>
    <n v="3301"/>
  </r>
  <r>
    <x v="1"/>
    <x v="11"/>
    <x v="9"/>
    <x v="327"/>
    <x v="274"/>
    <x v="274"/>
    <s v="CHARGES"/>
    <x v="0"/>
    <s v="3212.002"/>
    <s v="Intérêts bonifiés/trop perçu acompte C/C"/>
    <n v="0.53"/>
    <n v="0"/>
    <n v="3212"/>
  </r>
  <r>
    <x v="1"/>
    <x v="11"/>
    <x v="9"/>
    <x v="327"/>
    <x v="274"/>
    <x v="274"/>
    <s v="CHARGES"/>
    <x v="0"/>
    <s v="3212.004"/>
    <s v="Intérêts rémun./perçu trop tôt sur acomptes C/C"/>
    <n v="57.68"/>
    <n v="0"/>
    <n v="3212"/>
  </r>
  <r>
    <x v="1"/>
    <x v="11"/>
    <x v="9"/>
    <x v="327"/>
    <x v="274"/>
    <x v="274"/>
    <s v="CHARGES"/>
    <x v="1"/>
    <s v="3301.002"/>
    <s v="Défalcation PM"/>
    <n v="0"/>
    <n v="0"/>
    <n v="3301"/>
  </r>
  <r>
    <x v="1"/>
    <x v="11"/>
    <x v="9"/>
    <x v="327"/>
    <x v="274"/>
    <x v="274"/>
    <s v="REVENUS"/>
    <x v="18"/>
    <s v="4013.001"/>
    <s v="Impôt complémentaire sur immeubles"/>
    <n v="0"/>
    <n v="16049.85"/>
    <n v="4013"/>
  </r>
  <r>
    <x v="1"/>
    <x v="11"/>
    <x v="9"/>
    <x v="327"/>
    <x v="274"/>
    <x v="274"/>
    <s v="REVENUS"/>
    <x v="17"/>
    <s v="4011.001"/>
    <s v="Impôt bénéfice ordinaire"/>
    <n v="0"/>
    <n v="73997.899999999994"/>
    <n v="4011"/>
  </r>
  <r>
    <x v="1"/>
    <x v="11"/>
    <x v="9"/>
    <x v="327"/>
    <x v="274"/>
    <x v="274"/>
    <s v="REVENUS"/>
    <x v="17"/>
    <s v="4011.002"/>
    <s v="Complément impôt bénéfice ordinaire"/>
    <n v="0"/>
    <n v="3436.65"/>
    <n v="4011"/>
  </r>
  <r>
    <x v="1"/>
    <x v="11"/>
    <x v="9"/>
    <x v="327"/>
    <x v="274"/>
    <x v="274"/>
    <s v="REVENUS"/>
    <x v="6"/>
    <s v="4211.001"/>
    <s v="Intérêts de retard sur factures"/>
    <n v="0"/>
    <n v="110.13"/>
    <n v="4211"/>
  </r>
  <r>
    <x v="1"/>
    <x v="11"/>
    <x v="9"/>
    <x v="327"/>
    <x v="274"/>
    <x v="274"/>
    <s v="REVENUS"/>
    <x v="6"/>
    <s v="4221.001"/>
    <s v="Intérêts compensat. / créances en faveur du fisc"/>
    <n v="0"/>
    <n v="9.2100000000000009"/>
    <n v="4221"/>
  </r>
  <r>
    <x v="1"/>
    <x v="11"/>
    <x v="9"/>
    <x v="327"/>
    <x v="274"/>
    <x v="274"/>
    <s v="REVENUS"/>
    <x v="10"/>
    <s v="4041.001"/>
    <s v="Droits de mutation"/>
    <n v="0"/>
    <n v="12485"/>
    <n v="4041"/>
  </r>
  <r>
    <x v="1"/>
    <x v="11"/>
    <x v="9"/>
    <x v="327"/>
    <x v="274"/>
    <x v="274"/>
    <s v="REVENUS"/>
    <x v="16"/>
    <s v="4012.007"/>
    <s v="Acompte sur capital"/>
    <n v="0"/>
    <n v="1037.45"/>
    <n v="4012"/>
  </r>
  <r>
    <x v="1"/>
    <x v="11"/>
    <x v="9"/>
    <x v="327"/>
    <x v="274"/>
    <x v="274"/>
    <s v="REVENUS"/>
    <x v="6"/>
    <s v="4211.002"/>
    <s v="Intérêts de retard sur acomptes"/>
    <n v="0"/>
    <n v="38.44"/>
    <n v="4211"/>
  </r>
  <r>
    <x v="1"/>
    <x v="11"/>
    <x v="9"/>
    <x v="327"/>
    <x v="274"/>
    <x v="274"/>
    <s v="REVENUS"/>
    <x v="16"/>
    <s v="4012.001"/>
    <s v="Impôt capital ordinaire"/>
    <n v="0"/>
    <n v="7263.85"/>
    <n v="4012"/>
  </r>
  <r>
    <x v="1"/>
    <x v="11"/>
    <x v="9"/>
    <x v="327"/>
    <x v="274"/>
    <x v="274"/>
    <s v="REVENUS"/>
    <x v="16"/>
    <s v="4012.002"/>
    <s v="Complément impôt capital ordinaire"/>
    <n v="0"/>
    <n v="-184"/>
    <n v="4012"/>
  </r>
  <r>
    <x v="1"/>
    <x v="11"/>
    <x v="9"/>
    <x v="327"/>
    <x v="274"/>
    <x v="274"/>
    <s v="REVENUS"/>
    <x v="18"/>
    <s v="4013.002"/>
    <s v="Complément impôt complémentaire sur immeubles"/>
    <n v="0"/>
    <n v="90.5"/>
    <n v="4013"/>
  </r>
  <r>
    <x v="1"/>
    <x v="11"/>
    <x v="9"/>
    <x v="327"/>
    <x v="274"/>
    <x v="274"/>
    <s v="REVENUS"/>
    <x v="17"/>
    <s v="4011.007"/>
    <s v="Acompte sur bénéfice"/>
    <n v="0"/>
    <n v="-53828.35"/>
    <n v="4011"/>
  </r>
  <r>
    <x v="1"/>
    <x v="11"/>
    <x v="9"/>
    <x v="327"/>
    <x v="274"/>
    <x v="274"/>
    <s v="REVENUS"/>
    <x v="18"/>
    <s v="4013.003"/>
    <s v="Remboursement impôt complémentaire sur immeubles"/>
    <n v="0"/>
    <n v="-2349"/>
    <n v="4013"/>
  </r>
  <r>
    <x v="1"/>
    <x v="11"/>
    <x v="9"/>
    <x v="327"/>
    <x v="274"/>
    <x v="274"/>
    <s v="REVENUS"/>
    <x v="7"/>
    <s v="4184.000"/>
    <s v="Frais de poursuite"/>
    <n v="0"/>
    <n v="45.26"/>
    <n v="4184"/>
  </r>
  <r>
    <x v="1"/>
    <x v="12"/>
    <x v="5"/>
    <x v="328"/>
    <x v="275"/>
    <x v="275"/>
    <s v="CHARGES"/>
    <x v="1"/>
    <s v="3301.006"/>
    <s v="Abandon de solde PM"/>
    <n v="5.29"/>
    <n v="0"/>
    <n v="3301"/>
  </r>
  <r>
    <x v="1"/>
    <x v="12"/>
    <x v="5"/>
    <x v="328"/>
    <x v="275"/>
    <x v="275"/>
    <s v="CHARGES"/>
    <x v="0"/>
    <s v="3212.002"/>
    <s v="Intérêts bonifiés/trop perçu acompte C/C"/>
    <n v="0.08"/>
    <n v="0"/>
    <n v="3212"/>
  </r>
  <r>
    <x v="1"/>
    <x v="12"/>
    <x v="5"/>
    <x v="328"/>
    <x v="275"/>
    <x v="275"/>
    <s v="CHARGES"/>
    <x v="0"/>
    <s v="3212.004"/>
    <s v="Intérêts rémun./perçu trop tôt sur acomptes C/C"/>
    <n v="1.36"/>
    <n v="0"/>
    <n v="3212"/>
  </r>
  <r>
    <x v="1"/>
    <x v="12"/>
    <x v="5"/>
    <x v="328"/>
    <x v="275"/>
    <x v="275"/>
    <s v="CHARGES"/>
    <x v="0"/>
    <s v="3221.002"/>
    <s v="Intérêts compensatoires / créances en faveur ctb."/>
    <n v="3.67"/>
    <n v="0"/>
    <n v="3221"/>
  </r>
  <r>
    <x v="1"/>
    <x v="12"/>
    <x v="5"/>
    <x v="328"/>
    <x v="275"/>
    <x v="275"/>
    <s v="REVENUS"/>
    <x v="17"/>
    <s v="4011.001"/>
    <s v="Impôt bénéfice ordinaire"/>
    <n v="0"/>
    <n v="1073.8"/>
    <n v="4011"/>
  </r>
  <r>
    <x v="1"/>
    <x v="12"/>
    <x v="5"/>
    <x v="328"/>
    <x v="275"/>
    <x v="275"/>
    <s v="REVENUS"/>
    <x v="17"/>
    <s v="4011.002"/>
    <s v="Complément impôt bénéfice ordinaire"/>
    <n v="0"/>
    <n v="2006.4"/>
    <n v="4011"/>
  </r>
  <r>
    <x v="1"/>
    <x v="12"/>
    <x v="5"/>
    <x v="328"/>
    <x v="275"/>
    <x v="275"/>
    <s v="REVENUS"/>
    <x v="16"/>
    <s v="4012.001"/>
    <s v="Impôt capital ordinaire"/>
    <n v="0"/>
    <n v="4.55"/>
    <n v="4012"/>
  </r>
  <r>
    <x v="1"/>
    <x v="12"/>
    <x v="5"/>
    <x v="328"/>
    <x v="275"/>
    <x v="275"/>
    <s v="REVENUS"/>
    <x v="16"/>
    <s v="4012.007"/>
    <s v="Acompte sur capital"/>
    <n v="0"/>
    <n v="162.4"/>
    <n v="4012"/>
  </r>
  <r>
    <x v="1"/>
    <x v="12"/>
    <x v="5"/>
    <x v="328"/>
    <x v="275"/>
    <x v="275"/>
    <s v="REVENUS"/>
    <x v="6"/>
    <s v="4211.002"/>
    <s v="Intérêts de retard sur acomptes"/>
    <n v="0"/>
    <n v="3.66"/>
    <n v="4211"/>
  </r>
  <r>
    <x v="1"/>
    <x v="12"/>
    <x v="5"/>
    <x v="328"/>
    <x v="275"/>
    <x v="275"/>
    <s v="REVENUS"/>
    <x v="6"/>
    <s v="4211.001"/>
    <s v="Intérêts de retard sur factures"/>
    <n v="0"/>
    <n v="0.77"/>
    <n v="4211"/>
  </r>
  <r>
    <x v="1"/>
    <x v="12"/>
    <x v="5"/>
    <x v="328"/>
    <x v="275"/>
    <x v="275"/>
    <s v="REVENUS"/>
    <x v="17"/>
    <s v="4011.007"/>
    <s v="Acompte sur bénéfice"/>
    <n v="0"/>
    <n v="722.25"/>
    <n v="4011"/>
  </r>
  <r>
    <x v="1"/>
    <x v="12"/>
    <x v="5"/>
    <x v="328"/>
    <x v="275"/>
    <x v="275"/>
    <s v="REVENUS"/>
    <x v="10"/>
    <s v="4041.001"/>
    <s v="Droits de mutation"/>
    <n v="0"/>
    <n v="8360"/>
    <n v="4041"/>
  </r>
  <r>
    <x v="1"/>
    <x v="12"/>
    <x v="5"/>
    <x v="329"/>
    <x v="276"/>
    <x v="276"/>
    <s v="CHARGES"/>
    <x v="0"/>
    <s v="3212.004"/>
    <s v="Intérêts rémun./perçu trop tôt sur acomptes C/C"/>
    <n v="4.3899999999999997"/>
    <n v="0"/>
    <n v="3212"/>
  </r>
  <r>
    <x v="1"/>
    <x v="12"/>
    <x v="5"/>
    <x v="329"/>
    <x v="276"/>
    <x v="276"/>
    <s v="CHARGES"/>
    <x v="0"/>
    <s v="3221.002"/>
    <s v="Intérêts compensatoires / créances en faveur ctb."/>
    <n v="4.6399999999999997"/>
    <n v="0"/>
    <n v="3221"/>
  </r>
  <r>
    <x v="1"/>
    <x v="12"/>
    <x v="5"/>
    <x v="329"/>
    <x v="276"/>
    <x v="276"/>
    <s v="CHARGES"/>
    <x v="1"/>
    <s v="3301.006"/>
    <s v="Abandon de solde PM"/>
    <n v="4.63"/>
    <n v="0"/>
    <n v="3301"/>
  </r>
  <r>
    <x v="1"/>
    <x v="12"/>
    <x v="5"/>
    <x v="329"/>
    <x v="276"/>
    <x v="276"/>
    <s v="REVENUS"/>
    <x v="17"/>
    <s v="4011.001"/>
    <s v="Impôt bénéfice ordinaire"/>
    <n v="0"/>
    <n v="4910.25"/>
    <n v="4011"/>
  </r>
  <r>
    <x v="1"/>
    <x v="12"/>
    <x v="5"/>
    <x v="329"/>
    <x v="276"/>
    <x v="276"/>
    <s v="REVENUS"/>
    <x v="17"/>
    <s v="4011.007"/>
    <s v="Acompte sur bénéfice"/>
    <n v="0"/>
    <n v="-9151.7999999999993"/>
    <n v="4011"/>
  </r>
  <r>
    <x v="1"/>
    <x v="12"/>
    <x v="5"/>
    <x v="329"/>
    <x v="276"/>
    <x v="276"/>
    <s v="REVENUS"/>
    <x v="16"/>
    <s v="4012.007"/>
    <s v="Acompte sur capital"/>
    <n v="0"/>
    <n v="189.25"/>
    <n v="4012"/>
  </r>
  <r>
    <x v="1"/>
    <x v="12"/>
    <x v="5"/>
    <x v="329"/>
    <x v="276"/>
    <x v="276"/>
    <s v="REVENUS"/>
    <x v="6"/>
    <s v="4221.001"/>
    <s v="Intérêts compensat. / créances en faveur du fisc"/>
    <n v="0"/>
    <n v="0.1"/>
    <n v="4221"/>
  </r>
  <r>
    <x v="1"/>
    <x v="12"/>
    <x v="5"/>
    <x v="329"/>
    <x v="276"/>
    <x v="276"/>
    <s v="REVENUS"/>
    <x v="6"/>
    <s v="4211.002"/>
    <s v="Intérêts de retard sur acomptes"/>
    <n v="0"/>
    <n v="0.92"/>
    <n v="4211"/>
  </r>
  <r>
    <x v="1"/>
    <x v="12"/>
    <x v="5"/>
    <x v="329"/>
    <x v="276"/>
    <x v="276"/>
    <s v="REVENUS"/>
    <x v="16"/>
    <s v="4012.001"/>
    <s v="Impôt capital ordinaire"/>
    <n v="0"/>
    <n v="107.9"/>
    <n v="4012"/>
  </r>
  <r>
    <x v="1"/>
    <x v="12"/>
    <x v="5"/>
    <x v="329"/>
    <x v="276"/>
    <x v="276"/>
    <s v="REVENUS"/>
    <x v="10"/>
    <s v="4041.001"/>
    <s v="Droits de mutation"/>
    <n v="0"/>
    <n v="1760"/>
    <n v="4041"/>
  </r>
  <r>
    <x v="1"/>
    <x v="12"/>
    <x v="5"/>
    <x v="329"/>
    <x v="276"/>
    <x v="276"/>
    <s v="REVENUS"/>
    <x v="6"/>
    <s v="4211.001"/>
    <s v="Intérêts de retard sur factures"/>
    <n v="0"/>
    <n v="0.3"/>
    <n v="4211"/>
  </r>
  <r>
    <x v="1"/>
    <x v="12"/>
    <x v="5"/>
    <x v="330"/>
    <x v="277"/>
    <x v="277"/>
    <s v="CHARGES"/>
    <x v="0"/>
    <s v="3221.002"/>
    <s v="Intérêts compensatoires / créances en faveur ctb."/>
    <n v="3.08"/>
    <n v="0"/>
    <n v="3221"/>
  </r>
  <r>
    <x v="1"/>
    <x v="12"/>
    <x v="5"/>
    <x v="330"/>
    <x v="277"/>
    <x v="277"/>
    <s v="CHARGES"/>
    <x v="0"/>
    <s v="3212.002"/>
    <s v="Intérêts bonifiés/trop perçu acompte C/C"/>
    <n v="0.05"/>
    <n v="0"/>
    <n v="3212"/>
  </r>
  <r>
    <x v="1"/>
    <x v="12"/>
    <x v="5"/>
    <x v="330"/>
    <x v="277"/>
    <x v="277"/>
    <s v="CHARGES"/>
    <x v="0"/>
    <s v="3212.004"/>
    <s v="Intérêts rémun./perçu trop tôt sur acomptes C/C"/>
    <n v="8.26"/>
    <n v="0"/>
    <n v="3212"/>
  </r>
  <r>
    <x v="1"/>
    <x v="12"/>
    <x v="5"/>
    <x v="330"/>
    <x v="277"/>
    <x v="277"/>
    <s v="CHARGES"/>
    <x v="1"/>
    <s v="3301.006"/>
    <s v="Abandon de solde PM"/>
    <n v="12.89"/>
    <n v="0"/>
    <n v="3301"/>
  </r>
  <r>
    <x v="1"/>
    <x v="12"/>
    <x v="5"/>
    <x v="330"/>
    <x v="277"/>
    <x v="277"/>
    <s v="REVENUS"/>
    <x v="17"/>
    <s v="4011.001"/>
    <s v="Impôt bénéfice ordinaire"/>
    <n v="0"/>
    <n v="7559.45"/>
    <n v="4011"/>
  </r>
  <r>
    <x v="1"/>
    <x v="12"/>
    <x v="5"/>
    <x v="330"/>
    <x v="277"/>
    <x v="277"/>
    <s v="REVENUS"/>
    <x v="17"/>
    <s v="4011.002"/>
    <s v="Complément impôt bénéfice ordinaire"/>
    <n v="0"/>
    <n v="2263.0500000000002"/>
    <n v="4011"/>
  </r>
  <r>
    <x v="1"/>
    <x v="12"/>
    <x v="5"/>
    <x v="330"/>
    <x v="277"/>
    <x v="277"/>
    <s v="REVENUS"/>
    <x v="6"/>
    <s v="4211.001"/>
    <s v="Intérêts de retard sur factures"/>
    <n v="0"/>
    <n v="99.84"/>
    <n v="4211"/>
  </r>
  <r>
    <x v="1"/>
    <x v="12"/>
    <x v="5"/>
    <x v="330"/>
    <x v="277"/>
    <x v="277"/>
    <s v="REVENUS"/>
    <x v="6"/>
    <s v="4221.001"/>
    <s v="Intérêts compensat. / créances en faveur du fisc"/>
    <n v="0"/>
    <n v="5.54"/>
    <n v="4221"/>
  </r>
  <r>
    <x v="1"/>
    <x v="12"/>
    <x v="5"/>
    <x v="330"/>
    <x v="277"/>
    <x v="277"/>
    <s v="REVENUS"/>
    <x v="16"/>
    <s v="4012.001"/>
    <s v="Impôt capital ordinaire"/>
    <n v="0"/>
    <n v="259.2"/>
    <n v="4012"/>
  </r>
  <r>
    <x v="1"/>
    <x v="12"/>
    <x v="5"/>
    <x v="330"/>
    <x v="277"/>
    <x v="277"/>
    <s v="REVENUS"/>
    <x v="16"/>
    <s v="4012.007"/>
    <s v="Acompte sur capital"/>
    <n v="0"/>
    <n v="285.55"/>
    <n v="4012"/>
  </r>
  <r>
    <x v="1"/>
    <x v="12"/>
    <x v="5"/>
    <x v="330"/>
    <x v="277"/>
    <x v="277"/>
    <s v="REVENUS"/>
    <x v="17"/>
    <s v="4011.007"/>
    <s v="Acompte sur bénéfice"/>
    <n v="0"/>
    <n v="-6916.1"/>
    <n v="4011"/>
  </r>
  <r>
    <x v="1"/>
    <x v="12"/>
    <x v="5"/>
    <x v="330"/>
    <x v="277"/>
    <x v="277"/>
    <s v="REVENUS"/>
    <x v="6"/>
    <s v="4211.002"/>
    <s v="Intérêts de retard sur acomptes"/>
    <n v="0"/>
    <n v="58.44"/>
    <n v="4211"/>
  </r>
  <r>
    <x v="1"/>
    <x v="12"/>
    <x v="5"/>
    <x v="330"/>
    <x v="277"/>
    <x v="277"/>
    <s v="REVENUS"/>
    <x v="18"/>
    <s v="4013.001"/>
    <s v="Impôt complémentaire sur immeubles"/>
    <n v="0"/>
    <n v="3864.65"/>
    <n v="4013"/>
  </r>
  <r>
    <x v="1"/>
    <x v="12"/>
    <x v="5"/>
    <x v="330"/>
    <x v="277"/>
    <x v="277"/>
    <s v="REVENUS"/>
    <x v="11"/>
    <s v="4198.001"/>
    <s v="Impôt foncier"/>
    <n v="0"/>
    <n v="8365.7999999999993"/>
    <n v="4198"/>
  </r>
  <r>
    <x v="1"/>
    <x v="12"/>
    <x v="5"/>
    <x v="330"/>
    <x v="277"/>
    <x v="277"/>
    <s v="REVENUS"/>
    <x v="16"/>
    <s v="4012.002"/>
    <s v="Complément impôt capital ordinaire"/>
    <n v="0"/>
    <n v="58.2"/>
    <n v="4012"/>
  </r>
  <r>
    <x v="1"/>
    <x v="12"/>
    <x v="5"/>
    <x v="331"/>
    <x v="278"/>
    <x v="278"/>
    <s v="CHARGES"/>
    <x v="1"/>
    <s v="3301.006"/>
    <s v="Abandon de solde PM"/>
    <n v="31.78"/>
    <n v="0"/>
    <n v="3301"/>
  </r>
  <r>
    <x v="1"/>
    <x v="12"/>
    <x v="5"/>
    <x v="331"/>
    <x v="278"/>
    <x v="278"/>
    <s v="CHARGES"/>
    <x v="0"/>
    <s v="3221.002"/>
    <s v="Intérêts compensatoires / créances en faveur ctb."/>
    <n v="3.92"/>
    <n v="0"/>
    <n v="3221"/>
  </r>
  <r>
    <x v="1"/>
    <x v="12"/>
    <x v="5"/>
    <x v="331"/>
    <x v="278"/>
    <x v="278"/>
    <s v="CHARGES"/>
    <x v="0"/>
    <s v="3212.004"/>
    <s v="Intérêts rémun./perçu trop tôt sur acomptes C/C"/>
    <n v="3.32"/>
    <n v="0"/>
    <n v="3212"/>
  </r>
  <r>
    <x v="1"/>
    <x v="12"/>
    <x v="5"/>
    <x v="331"/>
    <x v="278"/>
    <x v="278"/>
    <s v="CHARGES"/>
    <x v="0"/>
    <s v="3212.002"/>
    <s v="Intérêts bonifiés/trop perçu acompte C/C"/>
    <n v="0.02"/>
    <n v="0"/>
    <n v="3212"/>
  </r>
  <r>
    <x v="1"/>
    <x v="12"/>
    <x v="5"/>
    <x v="331"/>
    <x v="278"/>
    <x v="278"/>
    <s v="REVENUS"/>
    <x v="6"/>
    <s v="4211.001"/>
    <s v="Intérêts de retard sur factures"/>
    <n v="0"/>
    <n v="6.95"/>
    <n v="4211"/>
  </r>
  <r>
    <x v="1"/>
    <x v="12"/>
    <x v="5"/>
    <x v="331"/>
    <x v="278"/>
    <x v="278"/>
    <s v="REVENUS"/>
    <x v="17"/>
    <s v="4011.001"/>
    <s v="Impôt bénéfice ordinaire"/>
    <n v="0"/>
    <n v="207010.3"/>
    <n v="4011"/>
  </r>
  <r>
    <x v="1"/>
    <x v="12"/>
    <x v="5"/>
    <x v="331"/>
    <x v="278"/>
    <x v="278"/>
    <s v="REVENUS"/>
    <x v="17"/>
    <s v="4011.002"/>
    <s v="Complément impôt bénéfice ordinaire"/>
    <n v="0"/>
    <n v="5502.2"/>
    <n v="4011"/>
  </r>
  <r>
    <x v="1"/>
    <x v="12"/>
    <x v="5"/>
    <x v="331"/>
    <x v="278"/>
    <x v="278"/>
    <s v="REVENUS"/>
    <x v="16"/>
    <s v="4012.001"/>
    <s v="Impôt capital ordinaire"/>
    <n v="0"/>
    <n v="2022.25"/>
    <n v="4012"/>
  </r>
  <r>
    <x v="1"/>
    <x v="12"/>
    <x v="5"/>
    <x v="331"/>
    <x v="278"/>
    <x v="278"/>
    <s v="REVENUS"/>
    <x v="16"/>
    <s v="4012.007"/>
    <s v="Acompte sur capital"/>
    <n v="0"/>
    <n v="3868.6"/>
    <n v="4012"/>
  </r>
  <r>
    <x v="1"/>
    <x v="12"/>
    <x v="5"/>
    <x v="331"/>
    <x v="278"/>
    <x v="278"/>
    <s v="REVENUS"/>
    <x v="17"/>
    <s v="4011.007"/>
    <s v="Acompte sur bénéfice"/>
    <n v="0"/>
    <n v="-92159.6"/>
    <n v="4011"/>
  </r>
  <r>
    <x v="1"/>
    <x v="12"/>
    <x v="5"/>
    <x v="331"/>
    <x v="278"/>
    <x v="278"/>
    <s v="REVENUS"/>
    <x v="6"/>
    <s v="4211.002"/>
    <s v="Intérêts de retard sur acomptes"/>
    <n v="0"/>
    <n v="117.61"/>
    <n v="4211"/>
  </r>
  <r>
    <x v="1"/>
    <x v="12"/>
    <x v="5"/>
    <x v="331"/>
    <x v="278"/>
    <x v="278"/>
    <s v="REVENUS"/>
    <x v="16"/>
    <s v="4012.002"/>
    <s v="Complément impôt capital ordinaire"/>
    <n v="0"/>
    <n v="2523.9499999999998"/>
    <n v="4012"/>
  </r>
  <r>
    <x v="1"/>
    <x v="12"/>
    <x v="5"/>
    <x v="331"/>
    <x v="278"/>
    <x v="278"/>
    <s v="REVENUS"/>
    <x v="6"/>
    <s v="4221.001"/>
    <s v="Intérêts compensat. / créances en faveur du fisc"/>
    <n v="0"/>
    <n v="28.77"/>
    <n v="4221"/>
  </r>
  <r>
    <x v="1"/>
    <x v="12"/>
    <x v="5"/>
    <x v="331"/>
    <x v="278"/>
    <x v="278"/>
    <s v="REVENUS"/>
    <x v="18"/>
    <s v="4013.003"/>
    <s v="Remboursement impôt complémentaire sur immeubles"/>
    <n v="0"/>
    <n v="-5817.6"/>
    <n v="4013"/>
  </r>
  <r>
    <x v="1"/>
    <x v="12"/>
    <x v="5"/>
    <x v="331"/>
    <x v="278"/>
    <x v="278"/>
    <s v="REVENUS"/>
    <x v="10"/>
    <s v="4041.001"/>
    <s v="Droits de mutation"/>
    <n v="0"/>
    <n v="9768.5499999999993"/>
    <n v="4041"/>
  </r>
  <r>
    <x v="1"/>
    <x v="12"/>
    <x v="5"/>
    <x v="331"/>
    <x v="278"/>
    <x v="278"/>
    <s v="REVENUS"/>
    <x v="18"/>
    <s v="4013.001"/>
    <s v="Impôt complémentaire sur immeubles"/>
    <n v="0"/>
    <n v="2805.15"/>
    <n v="4013"/>
  </r>
  <r>
    <x v="1"/>
    <x v="12"/>
    <x v="4"/>
    <x v="332"/>
    <x v="161"/>
    <x v="161"/>
    <s v="REVENUS"/>
    <x v="17"/>
    <s v="4011.002"/>
    <s v="Complément impôt bénéfice ordinaire"/>
    <n v="0"/>
    <n v="59.3"/>
    <n v="4011"/>
  </r>
  <r>
    <x v="1"/>
    <x v="12"/>
    <x v="4"/>
    <x v="332"/>
    <x v="161"/>
    <x v="161"/>
    <s v="REVENUS"/>
    <x v="17"/>
    <s v="4011.001"/>
    <s v="Impôt bénéfice ordinaire"/>
    <n v="0"/>
    <n v="-59.3"/>
    <n v="4011"/>
  </r>
  <r>
    <x v="1"/>
    <x v="12"/>
    <x v="5"/>
    <x v="333"/>
    <x v="279"/>
    <x v="279"/>
    <s v="CHARGES"/>
    <x v="0"/>
    <s v="3212.004"/>
    <s v="Intérêts rémun./perçu trop tôt sur acomptes C/C"/>
    <n v="0.92"/>
    <n v="0"/>
    <n v="3212"/>
  </r>
  <r>
    <x v="1"/>
    <x v="12"/>
    <x v="5"/>
    <x v="333"/>
    <x v="279"/>
    <x v="279"/>
    <s v="CHARGES"/>
    <x v="0"/>
    <s v="3221.002"/>
    <s v="Intérêts compensatoires / créances en faveur ctb."/>
    <n v="1.41"/>
    <n v="0"/>
    <n v="3221"/>
  </r>
  <r>
    <x v="1"/>
    <x v="12"/>
    <x v="5"/>
    <x v="333"/>
    <x v="279"/>
    <x v="279"/>
    <s v="CHARGES"/>
    <x v="0"/>
    <s v="3212.002"/>
    <s v="Intérêts bonifiés/trop perçu acompte C/C"/>
    <n v="0.01"/>
    <n v="0"/>
    <n v="3212"/>
  </r>
  <r>
    <x v="1"/>
    <x v="12"/>
    <x v="5"/>
    <x v="333"/>
    <x v="279"/>
    <x v="279"/>
    <s v="CHARGES"/>
    <x v="1"/>
    <s v="3301.006"/>
    <s v="Abandon de solde PM"/>
    <n v="11.74"/>
    <n v="0"/>
    <n v="3301"/>
  </r>
  <r>
    <x v="1"/>
    <x v="12"/>
    <x v="5"/>
    <x v="333"/>
    <x v="279"/>
    <x v="279"/>
    <s v="REVENUS"/>
    <x v="17"/>
    <s v="4011.007"/>
    <s v="Acompte sur bénéfice"/>
    <n v="0"/>
    <n v="-1497.65"/>
    <n v="4011"/>
  </r>
  <r>
    <x v="1"/>
    <x v="12"/>
    <x v="5"/>
    <x v="333"/>
    <x v="279"/>
    <x v="279"/>
    <s v="REVENUS"/>
    <x v="16"/>
    <s v="4012.001"/>
    <s v="Impôt capital ordinaire"/>
    <n v="0"/>
    <n v="74.55"/>
    <n v="4012"/>
  </r>
  <r>
    <x v="1"/>
    <x v="12"/>
    <x v="5"/>
    <x v="333"/>
    <x v="279"/>
    <x v="279"/>
    <s v="REVENUS"/>
    <x v="6"/>
    <s v="4211.002"/>
    <s v="Intérêts de retard sur acomptes"/>
    <n v="0"/>
    <n v="2.5299999999999998"/>
    <n v="4211"/>
  </r>
  <r>
    <x v="1"/>
    <x v="12"/>
    <x v="5"/>
    <x v="333"/>
    <x v="279"/>
    <x v="279"/>
    <s v="REVENUS"/>
    <x v="17"/>
    <s v="4011.002"/>
    <s v="Complément impôt bénéfice ordinaire"/>
    <n v="0"/>
    <n v="279.3"/>
    <n v="4011"/>
  </r>
  <r>
    <x v="1"/>
    <x v="12"/>
    <x v="5"/>
    <x v="333"/>
    <x v="279"/>
    <x v="279"/>
    <s v="REVENUS"/>
    <x v="17"/>
    <s v="4011.001"/>
    <s v="Impôt bénéfice ordinaire"/>
    <n v="0"/>
    <n v="2063.15"/>
    <n v="4011"/>
  </r>
  <r>
    <x v="1"/>
    <x v="12"/>
    <x v="5"/>
    <x v="333"/>
    <x v="279"/>
    <x v="279"/>
    <s v="REVENUS"/>
    <x v="6"/>
    <s v="4211.001"/>
    <s v="Intérêts de retard sur factures"/>
    <n v="0"/>
    <n v="9.18"/>
    <n v="4211"/>
  </r>
  <r>
    <x v="1"/>
    <x v="12"/>
    <x v="5"/>
    <x v="333"/>
    <x v="279"/>
    <x v="279"/>
    <s v="REVENUS"/>
    <x v="16"/>
    <s v="4012.007"/>
    <s v="Acompte sur capital"/>
    <n v="0"/>
    <n v="-384.6"/>
    <n v="4012"/>
  </r>
  <r>
    <x v="1"/>
    <x v="12"/>
    <x v="5"/>
    <x v="333"/>
    <x v="279"/>
    <x v="279"/>
    <s v="REVENUS"/>
    <x v="6"/>
    <s v="4221.001"/>
    <s v="Intérêts compensat. / créances en faveur du fisc"/>
    <n v="0"/>
    <n v="0.95"/>
    <n v="4221"/>
  </r>
  <r>
    <x v="1"/>
    <x v="12"/>
    <x v="5"/>
    <x v="333"/>
    <x v="279"/>
    <x v="279"/>
    <s v="REVENUS"/>
    <x v="18"/>
    <s v="4013.001"/>
    <s v="Impôt complémentaire sur immeubles"/>
    <n v="0"/>
    <n v="520.70000000000005"/>
    <n v="4013"/>
  </r>
  <r>
    <x v="1"/>
    <x v="12"/>
    <x v="5"/>
    <x v="334"/>
    <x v="280"/>
    <x v="280"/>
    <s v="CHARGES"/>
    <x v="0"/>
    <s v="3212.004"/>
    <s v="Intérêts rémun./perçu trop tôt sur acomptes C/C"/>
    <n v="0.05"/>
    <n v="0"/>
    <n v="3212"/>
  </r>
  <r>
    <x v="1"/>
    <x v="12"/>
    <x v="5"/>
    <x v="334"/>
    <x v="280"/>
    <x v="280"/>
    <s v="CHARGES"/>
    <x v="0"/>
    <s v="3221.002"/>
    <s v="Intérêts compensatoires / créances en faveur ctb."/>
    <n v="0.28999999999999998"/>
    <n v="0"/>
    <n v="3221"/>
  </r>
  <r>
    <x v="1"/>
    <x v="12"/>
    <x v="5"/>
    <x v="334"/>
    <x v="280"/>
    <x v="280"/>
    <s v="CHARGES"/>
    <x v="1"/>
    <s v="3301.006"/>
    <s v="Abandon de solde PM"/>
    <n v="0.32"/>
    <n v="0"/>
    <n v="3301"/>
  </r>
  <r>
    <x v="1"/>
    <x v="12"/>
    <x v="5"/>
    <x v="334"/>
    <x v="280"/>
    <x v="280"/>
    <s v="REVENUS"/>
    <x v="17"/>
    <s v="4011.007"/>
    <s v="Acompte sur bénéfice"/>
    <n v="0"/>
    <n v="-395"/>
    <n v="4011"/>
  </r>
  <r>
    <x v="1"/>
    <x v="12"/>
    <x v="5"/>
    <x v="334"/>
    <x v="280"/>
    <x v="280"/>
    <s v="REVENUS"/>
    <x v="16"/>
    <s v="4012.007"/>
    <s v="Acompte sur capital"/>
    <n v="0"/>
    <n v="399.95"/>
    <n v="4012"/>
  </r>
  <r>
    <x v="1"/>
    <x v="12"/>
    <x v="5"/>
    <x v="334"/>
    <x v="280"/>
    <x v="280"/>
    <s v="REVENUS"/>
    <x v="17"/>
    <s v="4011.001"/>
    <s v="Impôt bénéfice ordinaire"/>
    <n v="0"/>
    <n v="502.25"/>
    <n v="4011"/>
  </r>
  <r>
    <x v="1"/>
    <x v="12"/>
    <x v="5"/>
    <x v="334"/>
    <x v="280"/>
    <x v="280"/>
    <s v="REVENUS"/>
    <x v="6"/>
    <s v="4211.002"/>
    <s v="Intérêts de retard sur acomptes"/>
    <n v="0"/>
    <n v="0.34"/>
    <n v="4211"/>
  </r>
  <r>
    <x v="1"/>
    <x v="12"/>
    <x v="5"/>
    <x v="334"/>
    <x v="280"/>
    <x v="280"/>
    <s v="REVENUS"/>
    <x v="6"/>
    <s v="4221.001"/>
    <s v="Intérêts compensat. / créances en faveur du fisc"/>
    <n v="0"/>
    <n v="0.15"/>
    <n v="4221"/>
  </r>
  <r>
    <x v="1"/>
    <x v="12"/>
    <x v="5"/>
    <x v="334"/>
    <x v="280"/>
    <x v="280"/>
    <s v="REVENUS"/>
    <x v="18"/>
    <s v="4013.001"/>
    <s v="Impôt complémentaire sur immeubles"/>
    <n v="0"/>
    <n v="0"/>
    <n v="4013"/>
  </r>
  <r>
    <x v="1"/>
    <x v="12"/>
    <x v="5"/>
    <x v="334"/>
    <x v="280"/>
    <x v="280"/>
    <s v="REVENUS"/>
    <x v="6"/>
    <s v="4211.001"/>
    <s v="Intérêts de retard sur factures"/>
    <n v="0"/>
    <n v="0.32"/>
    <n v="4211"/>
  </r>
  <r>
    <x v="1"/>
    <x v="12"/>
    <x v="5"/>
    <x v="334"/>
    <x v="280"/>
    <x v="280"/>
    <s v="REVENUS"/>
    <x v="18"/>
    <s v="4013.002"/>
    <s v="Complément impôt complémentaire sur immeubles"/>
    <n v="0"/>
    <n v="92.95"/>
    <n v="4013"/>
  </r>
  <r>
    <x v="1"/>
    <x v="12"/>
    <x v="5"/>
    <x v="335"/>
    <x v="281"/>
    <x v="281"/>
    <s v="CHARGES"/>
    <x v="0"/>
    <s v="3221.002"/>
    <s v="Intérêts compensatoires / créances en faveur ctb."/>
    <n v="7.81"/>
    <n v="0"/>
    <n v="3221"/>
  </r>
  <r>
    <x v="1"/>
    <x v="12"/>
    <x v="5"/>
    <x v="335"/>
    <x v="281"/>
    <x v="281"/>
    <s v="CHARGES"/>
    <x v="1"/>
    <s v="3301.006"/>
    <s v="Abandon de solde PM"/>
    <n v="18.16"/>
    <n v="0"/>
    <n v="3301"/>
  </r>
  <r>
    <x v="1"/>
    <x v="12"/>
    <x v="5"/>
    <x v="335"/>
    <x v="281"/>
    <x v="281"/>
    <s v="CHARGES"/>
    <x v="0"/>
    <s v="3212.002"/>
    <s v="Intérêts bonifiés/trop perçu acompte C/C"/>
    <n v="0.02"/>
    <n v="0"/>
    <n v="3212"/>
  </r>
  <r>
    <x v="1"/>
    <x v="12"/>
    <x v="5"/>
    <x v="335"/>
    <x v="281"/>
    <x v="281"/>
    <s v="CHARGES"/>
    <x v="0"/>
    <s v="3212.004"/>
    <s v="Intérêts rémun./perçu trop tôt sur acomptes C/C"/>
    <n v="6.36"/>
    <n v="0"/>
    <n v="3212"/>
  </r>
  <r>
    <x v="1"/>
    <x v="12"/>
    <x v="5"/>
    <x v="335"/>
    <x v="281"/>
    <x v="281"/>
    <s v="REVENUS"/>
    <x v="17"/>
    <s v="4011.001"/>
    <s v="Impôt bénéfice ordinaire"/>
    <n v="0"/>
    <n v="7718.2"/>
    <n v="4011"/>
  </r>
  <r>
    <x v="1"/>
    <x v="12"/>
    <x v="5"/>
    <x v="335"/>
    <x v="281"/>
    <x v="281"/>
    <s v="REVENUS"/>
    <x v="17"/>
    <s v="4011.002"/>
    <s v="Complément impôt bénéfice ordinaire"/>
    <n v="0"/>
    <n v="1236.3"/>
    <n v="4011"/>
  </r>
  <r>
    <x v="1"/>
    <x v="12"/>
    <x v="5"/>
    <x v="335"/>
    <x v="281"/>
    <x v="281"/>
    <s v="REVENUS"/>
    <x v="6"/>
    <s v="4211.001"/>
    <s v="Intérêts de retard sur factures"/>
    <n v="0"/>
    <n v="0.15"/>
    <n v="4211"/>
  </r>
  <r>
    <x v="1"/>
    <x v="12"/>
    <x v="5"/>
    <x v="335"/>
    <x v="281"/>
    <x v="281"/>
    <s v="REVENUS"/>
    <x v="6"/>
    <s v="4221.001"/>
    <s v="Intérêts compensat. / créances en faveur du fisc"/>
    <n v="0"/>
    <n v="3.68"/>
    <n v="4221"/>
  </r>
  <r>
    <x v="1"/>
    <x v="12"/>
    <x v="5"/>
    <x v="335"/>
    <x v="281"/>
    <x v="281"/>
    <s v="REVENUS"/>
    <x v="18"/>
    <s v="4013.001"/>
    <s v="Impôt complémentaire sur immeubles"/>
    <n v="0"/>
    <n v="490"/>
    <n v="4013"/>
  </r>
  <r>
    <x v="1"/>
    <x v="12"/>
    <x v="5"/>
    <x v="335"/>
    <x v="281"/>
    <x v="281"/>
    <s v="REVENUS"/>
    <x v="16"/>
    <s v="4012.007"/>
    <s v="Acompte sur capital"/>
    <n v="0"/>
    <n v="-500.3"/>
    <n v="4012"/>
  </r>
  <r>
    <x v="1"/>
    <x v="12"/>
    <x v="5"/>
    <x v="335"/>
    <x v="281"/>
    <x v="281"/>
    <s v="REVENUS"/>
    <x v="16"/>
    <s v="4012.001"/>
    <s v="Impôt capital ordinaire"/>
    <n v="0"/>
    <n v="2669.4"/>
    <n v="4012"/>
  </r>
  <r>
    <x v="1"/>
    <x v="12"/>
    <x v="5"/>
    <x v="335"/>
    <x v="281"/>
    <x v="281"/>
    <s v="REVENUS"/>
    <x v="6"/>
    <s v="4211.002"/>
    <s v="Intérêts de retard sur acomptes"/>
    <n v="0"/>
    <n v="15.72"/>
    <n v="4211"/>
  </r>
  <r>
    <x v="1"/>
    <x v="12"/>
    <x v="5"/>
    <x v="335"/>
    <x v="281"/>
    <x v="281"/>
    <s v="REVENUS"/>
    <x v="17"/>
    <s v="4011.007"/>
    <s v="Acompte sur bénéfice"/>
    <n v="0"/>
    <n v="8123.4"/>
    <n v="4011"/>
  </r>
  <r>
    <x v="1"/>
    <x v="12"/>
    <x v="5"/>
    <x v="335"/>
    <x v="281"/>
    <x v="281"/>
    <s v="REVENUS"/>
    <x v="18"/>
    <s v="4013.003"/>
    <s v="Remboursement impôt complémentaire sur immeubles"/>
    <n v="0"/>
    <n v="-3338.5"/>
    <n v="4013"/>
  </r>
  <r>
    <x v="1"/>
    <x v="12"/>
    <x v="5"/>
    <x v="335"/>
    <x v="281"/>
    <x v="281"/>
    <s v="REVENUS"/>
    <x v="18"/>
    <s v="4013.002"/>
    <s v="Complément impôt complémentaire sur immeubles"/>
    <n v="0"/>
    <n v="277.45"/>
    <n v="4013"/>
  </r>
  <r>
    <x v="1"/>
    <x v="12"/>
    <x v="5"/>
    <x v="336"/>
    <x v="282"/>
    <x v="282"/>
    <s v="CHARGES"/>
    <x v="0"/>
    <s v="3212.004"/>
    <s v="Intérêts rémun./perçu trop tôt sur acomptes C/C"/>
    <n v="3.41"/>
    <n v="0"/>
    <n v="3212"/>
  </r>
  <r>
    <x v="1"/>
    <x v="12"/>
    <x v="5"/>
    <x v="336"/>
    <x v="282"/>
    <x v="282"/>
    <s v="CHARGES"/>
    <x v="0"/>
    <s v="3221.002"/>
    <s v="Intérêts compensatoires / créances en faveur ctb."/>
    <n v="2.62"/>
    <n v="0"/>
    <n v="3221"/>
  </r>
  <r>
    <x v="1"/>
    <x v="12"/>
    <x v="5"/>
    <x v="336"/>
    <x v="282"/>
    <x v="282"/>
    <s v="CHARGES"/>
    <x v="0"/>
    <s v="3212.002"/>
    <s v="Intérêts bonifiés/trop perçu acompte C/C"/>
    <n v="0.01"/>
    <n v="0"/>
    <n v="3212"/>
  </r>
  <r>
    <x v="1"/>
    <x v="12"/>
    <x v="5"/>
    <x v="336"/>
    <x v="282"/>
    <x v="282"/>
    <s v="CHARGES"/>
    <x v="1"/>
    <s v="3301.006"/>
    <s v="Abandon de solde PM"/>
    <n v="7.0000000000000007E-2"/>
    <n v="0"/>
    <n v="3301"/>
  </r>
  <r>
    <x v="1"/>
    <x v="12"/>
    <x v="5"/>
    <x v="336"/>
    <x v="282"/>
    <x v="282"/>
    <s v="REVENUS"/>
    <x v="17"/>
    <s v="4011.001"/>
    <s v="Impôt bénéfice ordinaire"/>
    <n v="0"/>
    <n v="2879.55"/>
    <n v="4011"/>
  </r>
  <r>
    <x v="1"/>
    <x v="12"/>
    <x v="5"/>
    <x v="336"/>
    <x v="282"/>
    <x v="282"/>
    <s v="REVENUS"/>
    <x v="17"/>
    <s v="4011.007"/>
    <s v="Acompte sur bénéfice"/>
    <n v="0"/>
    <n v="1353.4"/>
    <n v="4011"/>
  </r>
  <r>
    <x v="1"/>
    <x v="12"/>
    <x v="5"/>
    <x v="336"/>
    <x v="282"/>
    <x v="282"/>
    <s v="REVENUS"/>
    <x v="17"/>
    <s v="4011.002"/>
    <s v="Complément impôt bénéfice ordinaire"/>
    <n v="0"/>
    <n v="282.64999999999998"/>
    <n v="4011"/>
  </r>
  <r>
    <x v="1"/>
    <x v="12"/>
    <x v="5"/>
    <x v="336"/>
    <x v="282"/>
    <x v="282"/>
    <s v="REVENUS"/>
    <x v="10"/>
    <s v="4041.001"/>
    <s v="Droits de mutation"/>
    <n v="0"/>
    <n v="18150"/>
    <n v="4041"/>
  </r>
  <r>
    <x v="1"/>
    <x v="12"/>
    <x v="5"/>
    <x v="336"/>
    <x v="282"/>
    <x v="282"/>
    <s v="REVENUS"/>
    <x v="16"/>
    <s v="4012.007"/>
    <s v="Acompte sur capital"/>
    <n v="0"/>
    <n v="69"/>
    <n v="4012"/>
  </r>
  <r>
    <x v="1"/>
    <x v="12"/>
    <x v="5"/>
    <x v="336"/>
    <x v="282"/>
    <x v="282"/>
    <s v="REVENUS"/>
    <x v="16"/>
    <s v="4012.001"/>
    <s v="Impôt capital ordinaire"/>
    <n v="0"/>
    <n v="49.05"/>
    <n v="4012"/>
  </r>
  <r>
    <x v="1"/>
    <x v="12"/>
    <x v="5"/>
    <x v="336"/>
    <x v="282"/>
    <x v="282"/>
    <s v="REVENUS"/>
    <x v="6"/>
    <s v="4211.002"/>
    <s v="Intérêts de retard sur acomptes"/>
    <n v="0"/>
    <n v="10.15"/>
    <n v="4211"/>
  </r>
  <r>
    <x v="1"/>
    <x v="12"/>
    <x v="5"/>
    <x v="336"/>
    <x v="282"/>
    <x v="282"/>
    <s v="REVENUS"/>
    <x v="6"/>
    <s v="4221.001"/>
    <s v="Intérêts compensat. / créances en faveur du fisc"/>
    <n v="0"/>
    <n v="0.53"/>
    <n v="4221"/>
  </r>
  <r>
    <x v="1"/>
    <x v="12"/>
    <x v="5"/>
    <x v="336"/>
    <x v="282"/>
    <x v="282"/>
    <s v="REVENUS"/>
    <x v="6"/>
    <s v="4211.001"/>
    <s v="Intérêts de retard sur factures"/>
    <n v="0"/>
    <n v="7.0000000000000007E-2"/>
    <n v="4211"/>
  </r>
  <r>
    <x v="1"/>
    <x v="12"/>
    <x v="5"/>
    <x v="337"/>
    <x v="283"/>
    <x v="283"/>
    <s v="CHARGES"/>
    <x v="0"/>
    <s v="3212.004"/>
    <s v="Intérêts rémun./perçu trop tôt sur acomptes C/C"/>
    <n v="2.56"/>
    <n v="0"/>
    <n v="3212"/>
  </r>
  <r>
    <x v="1"/>
    <x v="12"/>
    <x v="5"/>
    <x v="337"/>
    <x v="283"/>
    <x v="283"/>
    <s v="CHARGES"/>
    <x v="0"/>
    <s v="3221.002"/>
    <s v="Intérêts compensatoires / créances en faveur ctb."/>
    <n v="3.47"/>
    <n v="0"/>
    <n v="3221"/>
  </r>
  <r>
    <x v="1"/>
    <x v="12"/>
    <x v="5"/>
    <x v="337"/>
    <x v="283"/>
    <x v="283"/>
    <s v="CHARGES"/>
    <x v="0"/>
    <s v="3212.002"/>
    <s v="Intérêts bonifiés/trop perçu acompte C/C"/>
    <n v="0.01"/>
    <n v="0"/>
    <n v="3212"/>
  </r>
  <r>
    <x v="1"/>
    <x v="12"/>
    <x v="5"/>
    <x v="337"/>
    <x v="283"/>
    <x v="283"/>
    <s v="CHARGES"/>
    <x v="1"/>
    <s v="3301.006"/>
    <s v="Abandon de solde PM"/>
    <n v="4.75"/>
    <n v="0"/>
    <n v="3301"/>
  </r>
  <r>
    <x v="1"/>
    <x v="12"/>
    <x v="5"/>
    <x v="337"/>
    <x v="283"/>
    <x v="283"/>
    <s v="REVENUS"/>
    <x v="18"/>
    <s v="4013.001"/>
    <s v="Impôt complémentaire sur immeubles"/>
    <n v="0"/>
    <n v="830.3"/>
    <n v="4013"/>
  </r>
  <r>
    <x v="1"/>
    <x v="12"/>
    <x v="5"/>
    <x v="337"/>
    <x v="283"/>
    <x v="283"/>
    <s v="REVENUS"/>
    <x v="17"/>
    <s v="4011.001"/>
    <s v="Impôt bénéfice ordinaire"/>
    <n v="0"/>
    <n v="6257.2"/>
    <n v="4011"/>
  </r>
  <r>
    <x v="1"/>
    <x v="12"/>
    <x v="5"/>
    <x v="337"/>
    <x v="283"/>
    <x v="283"/>
    <s v="REVENUS"/>
    <x v="17"/>
    <s v="4011.002"/>
    <s v="Complément impôt bénéfice ordinaire"/>
    <n v="0"/>
    <n v="209.95"/>
    <n v="4011"/>
  </r>
  <r>
    <x v="1"/>
    <x v="12"/>
    <x v="5"/>
    <x v="337"/>
    <x v="283"/>
    <x v="283"/>
    <s v="REVENUS"/>
    <x v="16"/>
    <s v="4012.007"/>
    <s v="Acompte sur capital"/>
    <n v="0"/>
    <n v="-6.45"/>
    <n v="4012"/>
  </r>
  <r>
    <x v="1"/>
    <x v="12"/>
    <x v="5"/>
    <x v="337"/>
    <x v="283"/>
    <x v="283"/>
    <s v="REVENUS"/>
    <x v="17"/>
    <s v="4011.007"/>
    <s v="Acompte sur bénéfice"/>
    <n v="0"/>
    <n v="-4863.1000000000004"/>
    <n v="4011"/>
  </r>
  <r>
    <x v="1"/>
    <x v="12"/>
    <x v="5"/>
    <x v="337"/>
    <x v="283"/>
    <x v="283"/>
    <s v="REVENUS"/>
    <x v="6"/>
    <s v="4211.002"/>
    <s v="Intérêts de retard sur acomptes"/>
    <n v="0"/>
    <n v="4.3"/>
    <n v="4211"/>
  </r>
  <r>
    <x v="1"/>
    <x v="12"/>
    <x v="5"/>
    <x v="337"/>
    <x v="283"/>
    <x v="283"/>
    <s v="REVENUS"/>
    <x v="6"/>
    <s v="4221.001"/>
    <s v="Intérêts compensat. / créances en faveur du fisc"/>
    <n v="0"/>
    <n v="3.49"/>
    <n v="4221"/>
  </r>
  <r>
    <x v="1"/>
    <x v="12"/>
    <x v="5"/>
    <x v="337"/>
    <x v="283"/>
    <x v="283"/>
    <s v="REVENUS"/>
    <x v="6"/>
    <s v="4211.001"/>
    <s v="Intérêts de retard sur factures"/>
    <n v="0"/>
    <n v="0.67"/>
    <n v="4211"/>
  </r>
  <r>
    <x v="1"/>
    <x v="12"/>
    <x v="5"/>
    <x v="337"/>
    <x v="283"/>
    <x v="283"/>
    <s v="REVENUS"/>
    <x v="16"/>
    <s v="4012.001"/>
    <s v="Impôt capital ordinaire"/>
    <n v="0"/>
    <n v="109.3"/>
    <n v="4012"/>
  </r>
  <r>
    <x v="1"/>
    <x v="12"/>
    <x v="5"/>
    <x v="337"/>
    <x v="283"/>
    <x v="283"/>
    <s v="REVENUS"/>
    <x v="11"/>
    <s v="4198.001"/>
    <s v="Impôt foncier"/>
    <n v="0"/>
    <n v="1740.4"/>
    <n v="4198"/>
  </r>
  <r>
    <x v="1"/>
    <x v="12"/>
    <x v="5"/>
    <x v="338"/>
    <x v="284"/>
    <x v="284"/>
    <s v="CHARGES"/>
    <x v="0"/>
    <s v="3221.002"/>
    <s v="Intérêts compensatoires / créances en faveur ctb."/>
    <n v="1.76"/>
    <n v="0"/>
    <n v="3221"/>
  </r>
  <r>
    <x v="1"/>
    <x v="12"/>
    <x v="5"/>
    <x v="338"/>
    <x v="284"/>
    <x v="284"/>
    <s v="CHARGES"/>
    <x v="0"/>
    <s v="3212.002"/>
    <s v="Intérêts bonifiés/trop perçu acompte C/C"/>
    <n v="0.04"/>
    <n v="0"/>
    <n v="3212"/>
  </r>
  <r>
    <x v="1"/>
    <x v="12"/>
    <x v="5"/>
    <x v="338"/>
    <x v="284"/>
    <x v="284"/>
    <s v="CHARGES"/>
    <x v="0"/>
    <s v="3212.004"/>
    <s v="Intérêts rémun./perçu trop tôt sur acomptes C/C"/>
    <n v="0.32"/>
    <n v="0"/>
    <n v="3212"/>
  </r>
  <r>
    <x v="1"/>
    <x v="12"/>
    <x v="5"/>
    <x v="338"/>
    <x v="284"/>
    <x v="284"/>
    <s v="REVENUS"/>
    <x v="17"/>
    <s v="4011.001"/>
    <s v="Impôt bénéfice ordinaire"/>
    <n v="0"/>
    <n v="6268.85"/>
    <n v="4011"/>
  </r>
  <r>
    <x v="1"/>
    <x v="12"/>
    <x v="5"/>
    <x v="338"/>
    <x v="284"/>
    <x v="284"/>
    <s v="REVENUS"/>
    <x v="17"/>
    <s v="4011.002"/>
    <s v="Complément impôt bénéfice ordinaire"/>
    <n v="0"/>
    <n v="920.55"/>
    <n v="4011"/>
  </r>
  <r>
    <x v="1"/>
    <x v="12"/>
    <x v="5"/>
    <x v="338"/>
    <x v="284"/>
    <x v="284"/>
    <s v="REVENUS"/>
    <x v="6"/>
    <s v="4221.001"/>
    <s v="Intérêts compensat. / créances en faveur du fisc"/>
    <n v="0"/>
    <n v="2.68"/>
    <n v="4221"/>
  </r>
  <r>
    <x v="1"/>
    <x v="12"/>
    <x v="5"/>
    <x v="338"/>
    <x v="284"/>
    <x v="284"/>
    <s v="REVENUS"/>
    <x v="17"/>
    <s v="4011.007"/>
    <s v="Acompte sur bénéfice"/>
    <n v="0"/>
    <n v="2001.8"/>
    <n v="4011"/>
  </r>
  <r>
    <x v="1"/>
    <x v="12"/>
    <x v="5"/>
    <x v="338"/>
    <x v="284"/>
    <x v="284"/>
    <s v="REVENUS"/>
    <x v="16"/>
    <s v="4012.007"/>
    <s v="Acompte sur capital"/>
    <n v="0"/>
    <n v="187"/>
    <n v="4012"/>
  </r>
  <r>
    <x v="1"/>
    <x v="12"/>
    <x v="5"/>
    <x v="338"/>
    <x v="284"/>
    <x v="284"/>
    <s v="REVENUS"/>
    <x v="6"/>
    <s v="4211.002"/>
    <s v="Intérêts de retard sur acomptes"/>
    <n v="0"/>
    <n v="2.93"/>
    <n v="4211"/>
  </r>
  <r>
    <x v="1"/>
    <x v="12"/>
    <x v="5"/>
    <x v="338"/>
    <x v="284"/>
    <x v="284"/>
    <s v="REVENUS"/>
    <x v="11"/>
    <s v="4198.001"/>
    <s v="Impôt foncier"/>
    <n v="0"/>
    <n v="2222.5"/>
    <n v="4198"/>
  </r>
  <r>
    <x v="1"/>
    <x v="12"/>
    <x v="5"/>
    <x v="339"/>
    <x v="285"/>
    <x v="285"/>
    <s v="CHARGES"/>
    <x v="1"/>
    <s v="3301.006"/>
    <s v="Abandon de solde PM"/>
    <n v="19.989999999999998"/>
    <n v="0"/>
    <n v="3301"/>
  </r>
  <r>
    <x v="1"/>
    <x v="12"/>
    <x v="5"/>
    <x v="339"/>
    <x v="285"/>
    <x v="285"/>
    <s v="CHARGES"/>
    <x v="0"/>
    <s v="3212.004"/>
    <s v="Intérêts rémun./perçu trop tôt sur acomptes C/C"/>
    <n v="10.75"/>
    <n v="0"/>
    <n v="3212"/>
  </r>
  <r>
    <x v="1"/>
    <x v="12"/>
    <x v="5"/>
    <x v="339"/>
    <x v="285"/>
    <x v="285"/>
    <s v="CHARGES"/>
    <x v="0"/>
    <s v="3221.002"/>
    <s v="Intérêts compensatoires / créances en faveur ctb."/>
    <n v="25.5"/>
    <n v="0"/>
    <n v="3221"/>
  </r>
  <r>
    <x v="1"/>
    <x v="12"/>
    <x v="5"/>
    <x v="339"/>
    <x v="285"/>
    <x v="285"/>
    <s v="CHARGES"/>
    <x v="0"/>
    <s v="3212.002"/>
    <s v="Intérêts bonifiés/trop perçu acompte C/C"/>
    <n v="0.14000000000000001"/>
    <n v="0"/>
    <n v="3212"/>
  </r>
  <r>
    <x v="1"/>
    <x v="12"/>
    <x v="5"/>
    <x v="339"/>
    <x v="285"/>
    <x v="285"/>
    <s v="REVENUS"/>
    <x v="17"/>
    <s v="4011.001"/>
    <s v="Impôt bénéfice ordinaire"/>
    <n v="0"/>
    <n v="31566.6"/>
    <n v="4011"/>
  </r>
  <r>
    <x v="1"/>
    <x v="12"/>
    <x v="5"/>
    <x v="339"/>
    <x v="285"/>
    <x v="285"/>
    <s v="REVENUS"/>
    <x v="17"/>
    <s v="4011.007"/>
    <s v="Acompte sur bénéfice"/>
    <n v="0"/>
    <n v="-23655.25"/>
    <n v="4011"/>
  </r>
  <r>
    <x v="1"/>
    <x v="12"/>
    <x v="5"/>
    <x v="339"/>
    <x v="285"/>
    <x v="285"/>
    <s v="REVENUS"/>
    <x v="16"/>
    <s v="4012.001"/>
    <s v="Impôt capital ordinaire"/>
    <n v="0"/>
    <n v="107.2"/>
    <n v="4012"/>
  </r>
  <r>
    <x v="1"/>
    <x v="12"/>
    <x v="5"/>
    <x v="339"/>
    <x v="285"/>
    <x v="285"/>
    <s v="REVENUS"/>
    <x v="16"/>
    <s v="4012.007"/>
    <s v="Acompte sur capital"/>
    <n v="0"/>
    <n v="174.95"/>
    <n v="4012"/>
  </r>
  <r>
    <x v="1"/>
    <x v="12"/>
    <x v="5"/>
    <x v="339"/>
    <x v="285"/>
    <x v="285"/>
    <s v="REVENUS"/>
    <x v="6"/>
    <s v="4211.002"/>
    <s v="Intérêts de retard sur acomptes"/>
    <n v="0"/>
    <n v="87.45"/>
    <n v="4211"/>
  </r>
  <r>
    <x v="1"/>
    <x v="12"/>
    <x v="5"/>
    <x v="339"/>
    <x v="285"/>
    <x v="285"/>
    <s v="REVENUS"/>
    <x v="10"/>
    <s v="4041.001"/>
    <s v="Droits de mutation"/>
    <n v="0"/>
    <n v="1531.65"/>
    <n v="4041"/>
  </r>
  <r>
    <x v="1"/>
    <x v="12"/>
    <x v="5"/>
    <x v="339"/>
    <x v="285"/>
    <x v="285"/>
    <s v="REVENUS"/>
    <x v="17"/>
    <s v="4011.002"/>
    <s v="Complément impôt bénéfice ordinaire"/>
    <n v="0"/>
    <n v="3276"/>
    <n v="4011"/>
  </r>
  <r>
    <x v="1"/>
    <x v="12"/>
    <x v="5"/>
    <x v="339"/>
    <x v="285"/>
    <x v="285"/>
    <s v="REVENUS"/>
    <x v="6"/>
    <s v="4221.001"/>
    <s v="Intérêts compensat. / créances en faveur du fisc"/>
    <n v="0"/>
    <n v="7.75"/>
    <n v="4221"/>
  </r>
  <r>
    <x v="1"/>
    <x v="12"/>
    <x v="5"/>
    <x v="339"/>
    <x v="285"/>
    <x v="285"/>
    <s v="REVENUS"/>
    <x v="6"/>
    <s v="4211.001"/>
    <s v="Intérêts de retard sur factures"/>
    <n v="0"/>
    <n v="2.36"/>
    <n v="4211"/>
  </r>
  <r>
    <x v="1"/>
    <x v="12"/>
    <x v="5"/>
    <x v="339"/>
    <x v="285"/>
    <x v="285"/>
    <s v="REVENUS"/>
    <x v="18"/>
    <s v="4013.003"/>
    <s v="Remboursement impôt complémentaire sur immeubles"/>
    <n v="0"/>
    <n v="-1813.5"/>
    <n v="4013"/>
  </r>
  <r>
    <x v="1"/>
    <x v="12"/>
    <x v="5"/>
    <x v="339"/>
    <x v="285"/>
    <x v="285"/>
    <s v="REVENUS"/>
    <x v="18"/>
    <s v="4013.001"/>
    <s v="Impôt complémentaire sur immeubles"/>
    <n v="0"/>
    <n v="1555.15"/>
    <n v="4013"/>
  </r>
  <r>
    <x v="1"/>
    <x v="12"/>
    <x v="5"/>
    <x v="340"/>
    <x v="286"/>
    <x v="286"/>
    <s v="CHARGES"/>
    <x v="1"/>
    <s v="3301.006"/>
    <s v="Abandon de solde PM"/>
    <n v="15.7"/>
    <n v="0"/>
    <n v="3301"/>
  </r>
  <r>
    <x v="1"/>
    <x v="12"/>
    <x v="5"/>
    <x v="340"/>
    <x v="286"/>
    <x v="286"/>
    <s v="CHARGES"/>
    <x v="0"/>
    <s v="3212.004"/>
    <s v="Intérêts rémun./perçu trop tôt sur acomptes C/C"/>
    <n v="2.99"/>
    <n v="0"/>
    <n v="3212"/>
  </r>
  <r>
    <x v="1"/>
    <x v="12"/>
    <x v="5"/>
    <x v="340"/>
    <x v="286"/>
    <x v="286"/>
    <s v="CHARGES"/>
    <x v="0"/>
    <s v="3221.002"/>
    <s v="Intérêts compensatoires / créances en faveur ctb."/>
    <n v="3.14"/>
    <n v="0"/>
    <n v="3221"/>
  </r>
  <r>
    <x v="1"/>
    <x v="12"/>
    <x v="5"/>
    <x v="340"/>
    <x v="286"/>
    <x v="286"/>
    <s v="CHARGES"/>
    <x v="0"/>
    <s v="3212.002"/>
    <s v="Intérêts bonifiés/trop perçu acompte C/C"/>
    <n v="0.21"/>
    <n v="0"/>
    <n v="3212"/>
  </r>
  <r>
    <x v="1"/>
    <x v="12"/>
    <x v="5"/>
    <x v="340"/>
    <x v="286"/>
    <x v="286"/>
    <s v="CHARGES"/>
    <x v="1"/>
    <s v="3301.002"/>
    <s v="Défalcation PM"/>
    <n v="541.11"/>
    <n v="0"/>
    <n v="3301"/>
  </r>
  <r>
    <x v="1"/>
    <x v="12"/>
    <x v="5"/>
    <x v="340"/>
    <x v="286"/>
    <x v="286"/>
    <s v="REVENUS"/>
    <x v="7"/>
    <s v="4184.000"/>
    <s v="Frais de poursuite"/>
    <n v="0"/>
    <n v="13.59"/>
    <n v="4184"/>
  </r>
  <r>
    <x v="1"/>
    <x v="12"/>
    <x v="5"/>
    <x v="340"/>
    <x v="286"/>
    <x v="286"/>
    <s v="REVENUS"/>
    <x v="18"/>
    <s v="4013.001"/>
    <s v="Impôt complémentaire sur immeubles"/>
    <n v="0"/>
    <n v="8085.95"/>
    <n v="4013"/>
  </r>
  <r>
    <x v="1"/>
    <x v="12"/>
    <x v="5"/>
    <x v="340"/>
    <x v="286"/>
    <x v="286"/>
    <s v="REVENUS"/>
    <x v="6"/>
    <s v="4211.001"/>
    <s v="Intérêts de retard sur factures"/>
    <n v="0"/>
    <n v="1.56"/>
    <n v="4211"/>
  </r>
  <r>
    <x v="1"/>
    <x v="12"/>
    <x v="5"/>
    <x v="340"/>
    <x v="286"/>
    <x v="286"/>
    <s v="REVENUS"/>
    <x v="16"/>
    <s v="4012.001"/>
    <s v="Impôt capital ordinaire"/>
    <n v="0"/>
    <n v="5494.95"/>
    <n v="4012"/>
  </r>
  <r>
    <x v="1"/>
    <x v="12"/>
    <x v="5"/>
    <x v="340"/>
    <x v="286"/>
    <x v="286"/>
    <s v="REVENUS"/>
    <x v="17"/>
    <s v="4011.001"/>
    <s v="Impôt bénéfice ordinaire"/>
    <n v="0"/>
    <n v="17645.099999999999"/>
    <n v="4011"/>
  </r>
  <r>
    <x v="1"/>
    <x v="12"/>
    <x v="5"/>
    <x v="340"/>
    <x v="286"/>
    <x v="286"/>
    <s v="REVENUS"/>
    <x v="17"/>
    <s v="4011.002"/>
    <s v="Complément impôt bénéfice ordinaire"/>
    <n v="0"/>
    <n v="1816.9"/>
    <n v="4011"/>
  </r>
  <r>
    <x v="1"/>
    <x v="12"/>
    <x v="5"/>
    <x v="340"/>
    <x v="286"/>
    <x v="286"/>
    <s v="REVENUS"/>
    <x v="10"/>
    <s v="4041.001"/>
    <s v="Droits de mutation"/>
    <n v="0"/>
    <n v="33"/>
    <n v="4041"/>
  </r>
  <r>
    <x v="1"/>
    <x v="12"/>
    <x v="5"/>
    <x v="340"/>
    <x v="286"/>
    <x v="286"/>
    <s v="REVENUS"/>
    <x v="6"/>
    <s v="4211.002"/>
    <s v="Intérêts de retard sur acomptes"/>
    <n v="0"/>
    <n v="5.62"/>
    <n v="4211"/>
  </r>
  <r>
    <x v="1"/>
    <x v="12"/>
    <x v="5"/>
    <x v="340"/>
    <x v="286"/>
    <x v="286"/>
    <s v="REVENUS"/>
    <x v="18"/>
    <s v="4013.002"/>
    <s v="Complément impôt complémentaire sur immeubles"/>
    <n v="0"/>
    <n v="92"/>
    <n v="4013"/>
  </r>
  <r>
    <x v="1"/>
    <x v="12"/>
    <x v="5"/>
    <x v="340"/>
    <x v="286"/>
    <x v="286"/>
    <s v="REVENUS"/>
    <x v="16"/>
    <s v="4012.007"/>
    <s v="Acompte sur capital"/>
    <n v="0"/>
    <n v="-1698"/>
    <n v="4012"/>
  </r>
  <r>
    <x v="1"/>
    <x v="12"/>
    <x v="5"/>
    <x v="340"/>
    <x v="286"/>
    <x v="286"/>
    <s v="REVENUS"/>
    <x v="6"/>
    <s v="4221.001"/>
    <s v="Intérêts compensat. / créances en faveur du fisc"/>
    <n v="0"/>
    <n v="1.1499999999999999"/>
    <n v="4221"/>
  </r>
  <r>
    <x v="1"/>
    <x v="12"/>
    <x v="5"/>
    <x v="340"/>
    <x v="286"/>
    <x v="286"/>
    <s v="REVENUS"/>
    <x v="17"/>
    <s v="4011.007"/>
    <s v="Acompte sur bénéfice"/>
    <n v="0"/>
    <n v="2284.35"/>
    <n v="4011"/>
  </r>
  <r>
    <x v="1"/>
    <x v="12"/>
    <x v="5"/>
    <x v="340"/>
    <x v="286"/>
    <x v="286"/>
    <s v="REVENUS"/>
    <x v="18"/>
    <s v="4013.003"/>
    <s v="Remboursement impôt complémentaire sur immeubles"/>
    <n v="0"/>
    <n v="-459"/>
    <n v="4013"/>
  </r>
  <r>
    <x v="1"/>
    <x v="12"/>
    <x v="5"/>
    <x v="340"/>
    <x v="286"/>
    <x v="286"/>
    <s v="REVENUS"/>
    <x v="11"/>
    <s v="4198.001"/>
    <s v="Impôt foncier"/>
    <n v="0"/>
    <n v="19677.599999999999"/>
    <n v="4198"/>
  </r>
  <r>
    <x v="1"/>
    <x v="12"/>
    <x v="5"/>
    <x v="341"/>
    <x v="213"/>
    <x v="213"/>
    <s v="CHARGES"/>
    <x v="0"/>
    <s v="3212.002"/>
    <s v="Intérêts bonifiés/trop perçu acompte C/C"/>
    <n v="0.08"/>
    <n v="0"/>
    <n v="3212"/>
  </r>
  <r>
    <x v="1"/>
    <x v="12"/>
    <x v="5"/>
    <x v="341"/>
    <x v="213"/>
    <x v="213"/>
    <s v="CHARGES"/>
    <x v="0"/>
    <s v="3212.004"/>
    <s v="Intérêts rémun./perçu trop tôt sur acomptes C/C"/>
    <n v="0.46"/>
    <n v="0"/>
    <n v="3212"/>
  </r>
  <r>
    <x v="1"/>
    <x v="12"/>
    <x v="5"/>
    <x v="341"/>
    <x v="213"/>
    <x v="213"/>
    <s v="CHARGES"/>
    <x v="0"/>
    <s v="3221.002"/>
    <s v="Intérêts compensatoires / créances en faveur ctb."/>
    <n v="2.35"/>
    <n v="0"/>
    <n v="3221"/>
  </r>
  <r>
    <x v="1"/>
    <x v="12"/>
    <x v="5"/>
    <x v="341"/>
    <x v="213"/>
    <x v="213"/>
    <s v="CHARGES"/>
    <x v="1"/>
    <s v="3301.006"/>
    <s v="Abandon de solde PM"/>
    <n v="0.03"/>
    <n v="0"/>
    <n v="3301"/>
  </r>
  <r>
    <x v="1"/>
    <x v="12"/>
    <x v="5"/>
    <x v="341"/>
    <x v="213"/>
    <x v="213"/>
    <s v="REVENUS"/>
    <x v="17"/>
    <s v="4011.001"/>
    <s v="Impôt bénéfice ordinaire"/>
    <n v="0"/>
    <n v="-105.05"/>
    <n v="4011"/>
  </r>
  <r>
    <x v="1"/>
    <x v="12"/>
    <x v="5"/>
    <x v="341"/>
    <x v="213"/>
    <x v="213"/>
    <s v="REVENUS"/>
    <x v="17"/>
    <s v="4011.002"/>
    <s v="Complément impôt bénéfice ordinaire"/>
    <n v="0"/>
    <n v="1205.75"/>
    <n v="4011"/>
  </r>
  <r>
    <x v="1"/>
    <x v="12"/>
    <x v="5"/>
    <x v="341"/>
    <x v="213"/>
    <x v="213"/>
    <s v="REVENUS"/>
    <x v="6"/>
    <s v="4221.001"/>
    <s v="Intérêts compensat. / créances en faveur du fisc"/>
    <n v="0"/>
    <n v="0.02"/>
    <n v="4221"/>
  </r>
  <r>
    <x v="1"/>
    <x v="12"/>
    <x v="5"/>
    <x v="341"/>
    <x v="213"/>
    <x v="213"/>
    <s v="REVENUS"/>
    <x v="17"/>
    <s v="4011.007"/>
    <s v="Acompte sur bénéfice"/>
    <n v="0"/>
    <n v="-907.2"/>
    <n v="4011"/>
  </r>
  <r>
    <x v="1"/>
    <x v="12"/>
    <x v="5"/>
    <x v="341"/>
    <x v="213"/>
    <x v="213"/>
    <s v="REVENUS"/>
    <x v="6"/>
    <s v="4211.001"/>
    <s v="Intérêts de retard sur factures"/>
    <n v="0"/>
    <n v="0.03"/>
    <n v="4211"/>
  </r>
  <r>
    <x v="1"/>
    <x v="12"/>
    <x v="5"/>
    <x v="341"/>
    <x v="213"/>
    <x v="213"/>
    <s v="REVENUS"/>
    <x v="6"/>
    <s v="4211.002"/>
    <s v="Intérêts de retard sur acomptes"/>
    <n v="0"/>
    <n v="2.2400000000000002"/>
    <n v="4211"/>
  </r>
  <r>
    <x v="1"/>
    <x v="12"/>
    <x v="5"/>
    <x v="342"/>
    <x v="278"/>
    <x v="278"/>
    <s v="REVENUS"/>
    <x v="17"/>
    <s v="4011.001"/>
    <s v="Impôt bénéfice ordinaire"/>
    <n v="0"/>
    <n v="-57"/>
    <n v="4011"/>
  </r>
  <r>
    <x v="1"/>
    <x v="12"/>
    <x v="5"/>
    <x v="342"/>
    <x v="278"/>
    <x v="278"/>
    <s v="REVENUS"/>
    <x v="17"/>
    <s v="4011.002"/>
    <s v="Complément impôt bénéfice ordinaire"/>
    <n v="0"/>
    <n v="57"/>
    <n v="4011"/>
  </r>
  <r>
    <x v="1"/>
    <x v="12"/>
    <x v="5"/>
    <x v="343"/>
    <x v="287"/>
    <x v="287"/>
    <s v="CHARGES"/>
    <x v="0"/>
    <s v="3212.004"/>
    <s v="Intérêts rémun./perçu trop tôt sur acomptes C/C"/>
    <n v="7.62"/>
    <n v="0"/>
    <n v="3212"/>
  </r>
  <r>
    <x v="1"/>
    <x v="12"/>
    <x v="5"/>
    <x v="343"/>
    <x v="287"/>
    <x v="287"/>
    <s v="CHARGES"/>
    <x v="1"/>
    <s v="3301.006"/>
    <s v="Abandon de solde PM"/>
    <n v="32.21"/>
    <n v="0"/>
    <n v="3301"/>
  </r>
  <r>
    <x v="1"/>
    <x v="12"/>
    <x v="5"/>
    <x v="343"/>
    <x v="287"/>
    <x v="287"/>
    <s v="CHARGES"/>
    <x v="0"/>
    <s v="3212.002"/>
    <s v="Intérêts bonifiés/trop perçu acompte C/C"/>
    <n v="0.82"/>
    <n v="0"/>
    <n v="3212"/>
  </r>
  <r>
    <x v="1"/>
    <x v="12"/>
    <x v="5"/>
    <x v="343"/>
    <x v="287"/>
    <x v="287"/>
    <s v="CHARGES"/>
    <x v="0"/>
    <s v="3221.002"/>
    <s v="Intérêts compensatoires / créances en faveur ctb."/>
    <n v="6.44"/>
    <n v="0"/>
    <n v="3221"/>
  </r>
  <r>
    <x v="1"/>
    <x v="12"/>
    <x v="5"/>
    <x v="343"/>
    <x v="287"/>
    <x v="287"/>
    <s v="REVENUS"/>
    <x v="16"/>
    <s v="4012.001"/>
    <s v="Impôt capital ordinaire"/>
    <n v="0"/>
    <n v="1146.05"/>
    <n v="4012"/>
  </r>
  <r>
    <x v="1"/>
    <x v="12"/>
    <x v="5"/>
    <x v="343"/>
    <x v="287"/>
    <x v="287"/>
    <s v="REVENUS"/>
    <x v="16"/>
    <s v="4012.007"/>
    <s v="Acompte sur capital"/>
    <n v="0"/>
    <n v="539.79999999999995"/>
    <n v="4012"/>
  </r>
  <r>
    <x v="1"/>
    <x v="12"/>
    <x v="5"/>
    <x v="343"/>
    <x v="287"/>
    <x v="287"/>
    <s v="REVENUS"/>
    <x v="6"/>
    <s v="4211.002"/>
    <s v="Intérêts de retard sur acomptes"/>
    <n v="0"/>
    <n v="123.78"/>
    <n v="4211"/>
  </r>
  <r>
    <x v="1"/>
    <x v="12"/>
    <x v="5"/>
    <x v="343"/>
    <x v="287"/>
    <x v="287"/>
    <s v="REVENUS"/>
    <x v="6"/>
    <s v="4211.001"/>
    <s v="Intérêts de retard sur factures"/>
    <n v="0"/>
    <n v="9.66"/>
    <n v="4211"/>
  </r>
  <r>
    <x v="1"/>
    <x v="12"/>
    <x v="5"/>
    <x v="343"/>
    <x v="287"/>
    <x v="287"/>
    <s v="REVENUS"/>
    <x v="17"/>
    <s v="4011.001"/>
    <s v="Impôt bénéfice ordinaire"/>
    <n v="0"/>
    <n v="38745.25"/>
    <n v="4011"/>
  </r>
  <r>
    <x v="1"/>
    <x v="12"/>
    <x v="5"/>
    <x v="343"/>
    <x v="287"/>
    <x v="287"/>
    <s v="REVENUS"/>
    <x v="17"/>
    <s v="4011.002"/>
    <s v="Complément impôt bénéfice ordinaire"/>
    <n v="0"/>
    <n v="1304.1500000000001"/>
    <n v="4011"/>
  </r>
  <r>
    <x v="1"/>
    <x v="12"/>
    <x v="5"/>
    <x v="343"/>
    <x v="287"/>
    <x v="287"/>
    <s v="REVENUS"/>
    <x v="17"/>
    <s v="4011.007"/>
    <s v="Acompte sur bénéfice"/>
    <n v="0"/>
    <n v="15303.2"/>
    <n v="4011"/>
  </r>
  <r>
    <x v="1"/>
    <x v="12"/>
    <x v="5"/>
    <x v="343"/>
    <x v="287"/>
    <x v="287"/>
    <s v="REVENUS"/>
    <x v="6"/>
    <s v="4221.001"/>
    <s v="Intérêts compensat. / créances en faveur du fisc"/>
    <n v="0"/>
    <n v="18.29"/>
    <n v="4221"/>
  </r>
  <r>
    <x v="1"/>
    <x v="12"/>
    <x v="5"/>
    <x v="343"/>
    <x v="287"/>
    <x v="287"/>
    <s v="REVENUS"/>
    <x v="18"/>
    <s v="4013.003"/>
    <s v="Remboursement impôt complémentaire sur immeubles"/>
    <n v="0"/>
    <n v="-248.25"/>
    <n v="4013"/>
  </r>
  <r>
    <x v="1"/>
    <x v="12"/>
    <x v="5"/>
    <x v="343"/>
    <x v="287"/>
    <x v="287"/>
    <s v="REVENUS"/>
    <x v="10"/>
    <s v="4041.001"/>
    <s v="Droits de mutation"/>
    <n v="0"/>
    <n v="18297.099999999999"/>
    <n v="4041"/>
  </r>
  <r>
    <x v="1"/>
    <x v="12"/>
    <x v="5"/>
    <x v="343"/>
    <x v="287"/>
    <x v="287"/>
    <s v="REVENUS"/>
    <x v="18"/>
    <s v="4013.001"/>
    <s v="Impôt complémentaire sur immeubles"/>
    <n v="0"/>
    <n v="9560.7000000000007"/>
    <n v="4013"/>
  </r>
  <r>
    <x v="1"/>
    <x v="12"/>
    <x v="5"/>
    <x v="343"/>
    <x v="287"/>
    <x v="287"/>
    <s v="REVENUS"/>
    <x v="11"/>
    <s v="4198.001"/>
    <s v="Impôt foncier"/>
    <n v="0"/>
    <n v="39896.85"/>
    <n v="4198"/>
  </r>
  <r>
    <x v="1"/>
    <x v="12"/>
    <x v="5"/>
    <x v="344"/>
    <x v="288"/>
    <x v="288"/>
    <s v="CHARGES"/>
    <x v="0"/>
    <s v="3221.002"/>
    <s v="Intérêts compensatoires / créances en faveur ctb."/>
    <n v="7.61"/>
    <n v="0"/>
    <n v="3221"/>
  </r>
  <r>
    <x v="1"/>
    <x v="12"/>
    <x v="5"/>
    <x v="344"/>
    <x v="288"/>
    <x v="288"/>
    <s v="CHARGES"/>
    <x v="1"/>
    <s v="3301.006"/>
    <s v="Abandon de solde PM"/>
    <n v="8.69"/>
    <n v="0"/>
    <n v="3301"/>
  </r>
  <r>
    <x v="1"/>
    <x v="12"/>
    <x v="5"/>
    <x v="344"/>
    <x v="288"/>
    <x v="288"/>
    <s v="CHARGES"/>
    <x v="0"/>
    <s v="3212.002"/>
    <s v="Intérêts bonifiés/trop perçu acompte C/C"/>
    <n v="0.05"/>
    <n v="0"/>
    <n v="3212"/>
  </r>
  <r>
    <x v="1"/>
    <x v="12"/>
    <x v="5"/>
    <x v="344"/>
    <x v="288"/>
    <x v="288"/>
    <s v="CHARGES"/>
    <x v="0"/>
    <s v="3212.004"/>
    <s v="Intérêts rémun./perçu trop tôt sur acomptes C/C"/>
    <n v="3.58"/>
    <n v="0"/>
    <n v="3212"/>
  </r>
  <r>
    <x v="1"/>
    <x v="12"/>
    <x v="5"/>
    <x v="344"/>
    <x v="288"/>
    <x v="288"/>
    <s v="REVENUS"/>
    <x v="17"/>
    <s v="4011.001"/>
    <s v="Impôt bénéfice ordinaire"/>
    <n v="0"/>
    <n v="26268.7"/>
    <n v="4011"/>
  </r>
  <r>
    <x v="1"/>
    <x v="12"/>
    <x v="5"/>
    <x v="344"/>
    <x v="288"/>
    <x v="288"/>
    <s v="REVENUS"/>
    <x v="17"/>
    <s v="4011.002"/>
    <s v="Complément impôt bénéfice ordinaire"/>
    <n v="0"/>
    <n v="739.1"/>
    <n v="4011"/>
  </r>
  <r>
    <x v="1"/>
    <x v="12"/>
    <x v="5"/>
    <x v="344"/>
    <x v="288"/>
    <x v="288"/>
    <s v="REVENUS"/>
    <x v="6"/>
    <s v="4211.001"/>
    <s v="Intérêts de retard sur factures"/>
    <n v="0"/>
    <n v="0.43"/>
    <n v="4211"/>
  </r>
  <r>
    <x v="1"/>
    <x v="12"/>
    <x v="5"/>
    <x v="344"/>
    <x v="288"/>
    <x v="288"/>
    <s v="REVENUS"/>
    <x v="6"/>
    <s v="4221.001"/>
    <s v="Intérêts compensat. / créances en faveur du fisc"/>
    <n v="0"/>
    <n v="6.37"/>
    <n v="4221"/>
  </r>
  <r>
    <x v="1"/>
    <x v="12"/>
    <x v="5"/>
    <x v="344"/>
    <x v="288"/>
    <x v="288"/>
    <s v="REVENUS"/>
    <x v="17"/>
    <s v="4011.007"/>
    <s v="Acompte sur bénéfice"/>
    <n v="0"/>
    <n v="-31715.35"/>
    <n v="4011"/>
  </r>
  <r>
    <x v="1"/>
    <x v="12"/>
    <x v="5"/>
    <x v="344"/>
    <x v="288"/>
    <x v="288"/>
    <s v="REVENUS"/>
    <x v="16"/>
    <s v="4012.001"/>
    <s v="Impôt capital ordinaire"/>
    <n v="0"/>
    <n v="551.35"/>
    <n v="4012"/>
  </r>
  <r>
    <x v="1"/>
    <x v="12"/>
    <x v="5"/>
    <x v="344"/>
    <x v="288"/>
    <x v="288"/>
    <s v="REVENUS"/>
    <x v="16"/>
    <s v="4012.007"/>
    <s v="Acompte sur capital"/>
    <n v="0"/>
    <n v="787.55"/>
    <n v="4012"/>
  </r>
  <r>
    <x v="1"/>
    <x v="12"/>
    <x v="5"/>
    <x v="344"/>
    <x v="288"/>
    <x v="288"/>
    <s v="REVENUS"/>
    <x v="6"/>
    <s v="4211.002"/>
    <s v="Intérêts de retard sur acomptes"/>
    <n v="0"/>
    <n v="5.24"/>
    <n v="4211"/>
  </r>
  <r>
    <x v="1"/>
    <x v="12"/>
    <x v="5"/>
    <x v="345"/>
    <x v="289"/>
    <x v="289"/>
    <s v="CHARGES"/>
    <x v="0"/>
    <s v="3221.002"/>
    <s v="Intérêts compensatoires / créances en faveur ctb."/>
    <n v="163.49"/>
    <n v="0"/>
    <n v="3221"/>
  </r>
  <r>
    <x v="1"/>
    <x v="12"/>
    <x v="5"/>
    <x v="345"/>
    <x v="289"/>
    <x v="289"/>
    <s v="CHARGES"/>
    <x v="1"/>
    <s v="3301.006"/>
    <s v="Abandon de solde PM"/>
    <n v="57.48"/>
    <n v="0"/>
    <n v="3301"/>
  </r>
  <r>
    <x v="1"/>
    <x v="12"/>
    <x v="5"/>
    <x v="345"/>
    <x v="289"/>
    <x v="289"/>
    <s v="CHARGES"/>
    <x v="0"/>
    <s v="3212.002"/>
    <s v="Intérêts bonifiés/trop perçu acompte C/C"/>
    <n v="21.2"/>
    <n v="0"/>
    <n v="3212"/>
  </r>
  <r>
    <x v="1"/>
    <x v="12"/>
    <x v="5"/>
    <x v="345"/>
    <x v="289"/>
    <x v="289"/>
    <s v="CHARGES"/>
    <x v="1"/>
    <s v="3301.002"/>
    <s v="Défalcation PM"/>
    <n v="57608.89"/>
    <n v="0"/>
    <n v="3301"/>
  </r>
  <r>
    <x v="1"/>
    <x v="12"/>
    <x v="5"/>
    <x v="345"/>
    <x v="289"/>
    <x v="289"/>
    <s v="CHARGES"/>
    <x v="0"/>
    <s v="3212.004"/>
    <s v="Intérêts rémun./perçu trop tôt sur acomptes C/C"/>
    <n v="181.39"/>
    <n v="0"/>
    <n v="3212"/>
  </r>
  <r>
    <x v="1"/>
    <x v="12"/>
    <x v="5"/>
    <x v="345"/>
    <x v="289"/>
    <x v="289"/>
    <s v="REVENUS"/>
    <x v="17"/>
    <s v="4011.001"/>
    <s v="Impôt bénéfice ordinaire"/>
    <n v="0"/>
    <n v="543050.25"/>
    <n v="4011"/>
  </r>
  <r>
    <x v="1"/>
    <x v="12"/>
    <x v="5"/>
    <x v="345"/>
    <x v="289"/>
    <x v="289"/>
    <s v="REVENUS"/>
    <x v="17"/>
    <s v="4011.002"/>
    <s v="Complément impôt bénéfice ordinaire"/>
    <n v="0"/>
    <n v="33938.550000000003"/>
    <n v="4011"/>
  </r>
  <r>
    <x v="1"/>
    <x v="12"/>
    <x v="5"/>
    <x v="345"/>
    <x v="289"/>
    <x v="289"/>
    <s v="REVENUS"/>
    <x v="6"/>
    <s v="4211.001"/>
    <s v="Intérêts de retard sur factures"/>
    <n v="0"/>
    <n v="9663.51"/>
    <n v="4211"/>
  </r>
  <r>
    <x v="1"/>
    <x v="12"/>
    <x v="5"/>
    <x v="345"/>
    <x v="289"/>
    <x v="289"/>
    <s v="REVENUS"/>
    <x v="6"/>
    <s v="4221.001"/>
    <s v="Intérêts compensat. / créances en faveur du fisc"/>
    <n v="0"/>
    <n v="62.29"/>
    <n v="4221"/>
  </r>
  <r>
    <x v="1"/>
    <x v="12"/>
    <x v="5"/>
    <x v="345"/>
    <x v="289"/>
    <x v="289"/>
    <s v="REVENUS"/>
    <x v="17"/>
    <s v="4011.007"/>
    <s v="Acompte sur bénéfice"/>
    <n v="0"/>
    <n v="-182419.1"/>
    <n v="4011"/>
  </r>
  <r>
    <x v="1"/>
    <x v="12"/>
    <x v="5"/>
    <x v="345"/>
    <x v="289"/>
    <x v="289"/>
    <s v="REVENUS"/>
    <x v="16"/>
    <s v="4012.007"/>
    <s v="Acompte sur capital"/>
    <n v="0"/>
    <n v="2595.65"/>
    <n v="4012"/>
  </r>
  <r>
    <x v="1"/>
    <x v="12"/>
    <x v="5"/>
    <x v="345"/>
    <x v="289"/>
    <x v="289"/>
    <s v="REVENUS"/>
    <x v="16"/>
    <s v="4012.001"/>
    <s v="Impôt capital ordinaire"/>
    <n v="0"/>
    <n v="6154.15"/>
    <n v="4012"/>
  </r>
  <r>
    <x v="1"/>
    <x v="12"/>
    <x v="5"/>
    <x v="345"/>
    <x v="289"/>
    <x v="289"/>
    <s v="REVENUS"/>
    <x v="6"/>
    <s v="4211.002"/>
    <s v="Intérêts de retard sur acomptes"/>
    <n v="0"/>
    <n v="493.76"/>
    <n v="4211"/>
  </r>
  <r>
    <x v="1"/>
    <x v="12"/>
    <x v="5"/>
    <x v="345"/>
    <x v="289"/>
    <x v="289"/>
    <s v="REVENUS"/>
    <x v="18"/>
    <s v="4013.003"/>
    <s v="Remboursement impôt complémentaire sur immeubles"/>
    <n v="0"/>
    <n v="-65717.850000000006"/>
    <n v="4013"/>
  </r>
  <r>
    <x v="1"/>
    <x v="12"/>
    <x v="5"/>
    <x v="345"/>
    <x v="289"/>
    <x v="289"/>
    <s v="REVENUS"/>
    <x v="7"/>
    <s v="4184.000"/>
    <s v="Frais de poursuite"/>
    <n v="0"/>
    <n v="206.59"/>
    <n v="4184"/>
  </r>
  <r>
    <x v="1"/>
    <x v="12"/>
    <x v="5"/>
    <x v="345"/>
    <x v="289"/>
    <x v="289"/>
    <s v="REVENUS"/>
    <x v="16"/>
    <s v="4012.002"/>
    <s v="Complément impôt capital ordinaire"/>
    <n v="0"/>
    <n v="2871.3"/>
    <n v="4012"/>
  </r>
  <r>
    <x v="1"/>
    <x v="12"/>
    <x v="5"/>
    <x v="345"/>
    <x v="289"/>
    <x v="289"/>
    <s v="REVENUS"/>
    <x v="10"/>
    <s v="4041.001"/>
    <s v="Droits de mutation"/>
    <n v="0"/>
    <n v="70730"/>
    <n v="4041"/>
  </r>
  <r>
    <x v="1"/>
    <x v="12"/>
    <x v="5"/>
    <x v="345"/>
    <x v="289"/>
    <x v="289"/>
    <s v="REVENUS"/>
    <x v="18"/>
    <s v="4013.001"/>
    <s v="Impôt complémentaire sur immeubles"/>
    <n v="0"/>
    <n v="65273.2"/>
    <n v="4013"/>
  </r>
  <r>
    <x v="1"/>
    <x v="4"/>
    <x v="4"/>
    <x v="346"/>
    <x v="290"/>
    <x v="290"/>
    <s v="CHARGES"/>
    <x v="0"/>
    <s v="3212.004"/>
    <s v="Intérêts rémun./perçu trop tôt sur acomptes C/C"/>
    <n v="4.26"/>
    <n v="0"/>
    <n v="3212"/>
  </r>
  <r>
    <x v="1"/>
    <x v="4"/>
    <x v="4"/>
    <x v="346"/>
    <x v="290"/>
    <x v="290"/>
    <s v="CHARGES"/>
    <x v="0"/>
    <s v="3221.002"/>
    <s v="Intérêts compensatoires / créances en faveur ctb."/>
    <n v="3.97"/>
    <n v="0"/>
    <n v="3221"/>
  </r>
  <r>
    <x v="1"/>
    <x v="4"/>
    <x v="4"/>
    <x v="346"/>
    <x v="290"/>
    <x v="290"/>
    <s v="CHARGES"/>
    <x v="1"/>
    <s v="3301.006"/>
    <s v="Abandon de solde PM"/>
    <n v="5.07"/>
    <n v="0"/>
    <n v="3301"/>
  </r>
  <r>
    <x v="1"/>
    <x v="4"/>
    <x v="4"/>
    <x v="346"/>
    <x v="290"/>
    <x v="290"/>
    <s v="REVENUS"/>
    <x v="17"/>
    <s v="4011.007"/>
    <s v="Acompte sur bénéfice"/>
    <n v="0"/>
    <n v="-1445.6"/>
    <n v="4011"/>
  </r>
  <r>
    <x v="1"/>
    <x v="4"/>
    <x v="4"/>
    <x v="346"/>
    <x v="290"/>
    <x v="290"/>
    <s v="REVENUS"/>
    <x v="16"/>
    <s v="4012.001"/>
    <s v="Impôt capital ordinaire"/>
    <n v="0"/>
    <n v="444.4"/>
    <n v="4012"/>
  </r>
  <r>
    <x v="1"/>
    <x v="4"/>
    <x v="4"/>
    <x v="346"/>
    <x v="290"/>
    <x v="290"/>
    <s v="REVENUS"/>
    <x v="16"/>
    <s v="4012.007"/>
    <s v="Acompte sur capital"/>
    <n v="0"/>
    <n v="582.20000000000005"/>
    <n v="4012"/>
  </r>
  <r>
    <x v="1"/>
    <x v="4"/>
    <x v="4"/>
    <x v="346"/>
    <x v="290"/>
    <x v="290"/>
    <s v="REVENUS"/>
    <x v="6"/>
    <s v="4211.002"/>
    <s v="Intérêts de retard sur acomptes"/>
    <n v="0"/>
    <n v="17.37"/>
    <n v="4211"/>
  </r>
  <r>
    <x v="1"/>
    <x v="4"/>
    <x v="4"/>
    <x v="346"/>
    <x v="290"/>
    <x v="290"/>
    <s v="REVENUS"/>
    <x v="17"/>
    <s v="4011.001"/>
    <s v="Impôt bénéfice ordinaire"/>
    <n v="0"/>
    <n v="3642.3"/>
    <n v="4011"/>
  </r>
  <r>
    <x v="1"/>
    <x v="4"/>
    <x v="4"/>
    <x v="346"/>
    <x v="290"/>
    <x v="290"/>
    <s v="REVENUS"/>
    <x v="6"/>
    <s v="4221.001"/>
    <s v="Intérêts compensat. / créances en faveur du fisc"/>
    <n v="0"/>
    <n v="3.77"/>
    <n v="4221"/>
  </r>
  <r>
    <x v="1"/>
    <x v="12"/>
    <x v="5"/>
    <x v="347"/>
    <x v="291"/>
    <x v="291"/>
    <s v="CHARGES"/>
    <x v="1"/>
    <s v="3301.006"/>
    <s v="Abandon de solde PM"/>
    <n v="30.2"/>
    <n v="0"/>
    <n v="3301"/>
  </r>
  <r>
    <x v="1"/>
    <x v="12"/>
    <x v="5"/>
    <x v="347"/>
    <x v="291"/>
    <x v="291"/>
    <s v="CHARGES"/>
    <x v="0"/>
    <s v="3212.002"/>
    <s v="Intérêts bonifiés/trop perçu acompte C/C"/>
    <n v="0.01"/>
    <n v="0"/>
    <n v="3212"/>
  </r>
  <r>
    <x v="1"/>
    <x v="12"/>
    <x v="5"/>
    <x v="347"/>
    <x v="291"/>
    <x v="291"/>
    <s v="CHARGES"/>
    <x v="0"/>
    <s v="3212.004"/>
    <s v="Intérêts rémun./perçu trop tôt sur acomptes C/C"/>
    <n v="30.16"/>
    <n v="0"/>
    <n v="3212"/>
  </r>
  <r>
    <x v="1"/>
    <x v="12"/>
    <x v="5"/>
    <x v="347"/>
    <x v="291"/>
    <x v="291"/>
    <s v="CHARGES"/>
    <x v="0"/>
    <s v="3221.002"/>
    <s v="Intérêts compensatoires / créances en faveur ctb."/>
    <n v="1.07"/>
    <n v="0"/>
    <n v="3221"/>
  </r>
  <r>
    <x v="1"/>
    <x v="12"/>
    <x v="5"/>
    <x v="347"/>
    <x v="291"/>
    <x v="291"/>
    <s v="REVENUS"/>
    <x v="16"/>
    <s v="4012.001"/>
    <s v="Impôt capital ordinaire"/>
    <n v="0"/>
    <n v="71.55"/>
    <n v="4012"/>
  </r>
  <r>
    <x v="1"/>
    <x v="12"/>
    <x v="5"/>
    <x v="347"/>
    <x v="291"/>
    <x v="291"/>
    <s v="REVENUS"/>
    <x v="6"/>
    <s v="4211.002"/>
    <s v="Intérêts de retard sur acomptes"/>
    <n v="0"/>
    <n v="29.94"/>
    <n v="4211"/>
  </r>
  <r>
    <x v="1"/>
    <x v="12"/>
    <x v="5"/>
    <x v="347"/>
    <x v="291"/>
    <x v="291"/>
    <s v="REVENUS"/>
    <x v="16"/>
    <s v="4012.007"/>
    <s v="Acompte sur capital"/>
    <n v="0"/>
    <n v="110.55"/>
    <n v="4012"/>
  </r>
  <r>
    <x v="1"/>
    <x v="12"/>
    <x v="5"/>
    <x v="347"/>
    <x v="291"/>
    <x v="291"/>
    <s v="REVENUS"/>
    <x v="17"/>
    <s v="4011.002"/>
    <s v="Complément impôt bénéfice ordinaire"/>
    <n v="0"/>
    <n v="192.65"/>
    <n v="4011"/>
  </r>
  <r>
    <x v="1"/>
    <x v="12"/>
    <x v="5"/>
    <x v="347"/>
    <x v="291"/>
    <x v="291"/>
    <s v="REVENUS"/>
    <x v="17"/>
    <s v="4011.001"/>
    <s v="Impôt bénéfice ordinaire"/>
    <n v="0"/>
    <n v="53989.05"/>
    <n v="4011"/>
  </r>
  <r>
    <x v="1"/>
    <x v="12"/>
    <x v="5"/>
    <x v="347"/>
    <x v="291"/>
    <x v="291"/>
    <s v="REVENUS"/>
    <x v="10"/>
    <s v="4041.001"/>
    <s v="Droits de mutation"/>
    <n v="0"/>
    <n v="42091.8"/>
    <n v="4041"/>
  </r>
  <r>
    <x v="1"/>
    <x v="12"/>
    <x v="5"/>
    <x v="347"/>
    <x v="291"/>
    <x v="291"/>
    <s v="REVENUS"/>
    <x v="6"/>
    <s v="4221.001"/>
    <s v="Intérêts compensat. / créances en faveur du fisc"/>
    <n v="0"/>
    <n v="19.87"/>
    <n v="4221"/>
  </r>
  <r>
    <x v="1"/>
    <x v="12"/>
    <x v="5"/>
    <x v="347"/>
    <x v="291"/>
    <x v="291"/>
    <s v="REVENUS"/>
    <x v="17"/>
    <s v="4011.007"/>
    <s v="Acompte sur bénéfice"/>
    <n v="0"/>
    <n v="-21550.6"/>
    <n v="4011"/>
  </r>
  <r>
    <x v="1"/>
    <x v="12"/>
    <x v="5"/>
    <x v="347"/>
    <x v="291"/>
    <x v="291"/>
    <s v="REVENUS"/>
    <x v="6"/>
    <s v="4211.001"/>
    <s v="Intérêts de retard sur factures"/>
    <n v="0"/>
    <n v="57.35"/>
    <n v="4211"/>
  </r>
  <r>
    <x v="1"/>
    <x v="12"/>
    <x v="5"/>
    <x v="347"/>
    <x v="291"/>
    <x v="291"/>
    <s v="REVENUS"/>
    <x v="11"/>
    <s v="4198.001"/>
    <s v="Impôt foncier"/>
    <n v="0"/>
    <n v="4046.5"/>
    <n v="4198"/>
  </r>
  <r>
    <x v="1"/>
    <x v="12"/>
    <x v="5"/>
    <x v="348"/>
    <x v="292"/>
    <x v="292"/>
    <s v="CHARGES"/>
    <x v="1"/>
    <s v="3301.002"/>
    <s v="Défalcation PM"/>
    <n v="949.18"/>
    <n v="0"/>
    <n v="3301"/>
  </r>
  <r>
    <x v="1"/>
    <x v="12"/>
    <x v="5"/>
    <x v="348"/>
    <x v="292"/>
    <x v="292"/>
    <s v="CHARGES"/>
    <x v="1"/>
    <s v="3301.006"/>
    <s v="Abandon de solde PM"/>
    <n v="10.35"/>
    <n v="0"/>
    <n v="3301"/>
  </r>
  <r>
    <x v="1"/>
    <x v="12"/>
    <x v="5"/>
    <x v="348"/>
    <x v="292"/>
    <x v="292"/>
    <s v="CHARGES"/>
    <x v="0"/>
    <s v="3212.002"/>
    <s v="Intérêts bonifiés/trop perçu acompte C/C"/>
    <n v="0.02"/>
    <n v="0"/>
    <n v="3212"/>
  </r>
  <r>
    <x v="1"/>
    <x v="12"/>
    <x v="5"/>
    <x v="348"/>
    <x v="292"/>
    <x v="292"/>
    <s v="CHARGES"/>
    <x v="0"/>
    <s v="3212.004"/>
    <s v="Intérêts rémun./perçu trop tôt sur acomptes C/C"/>
    <n v="4.3899999999999997"/>
    <n v="0"/>
    <n v="3212"/>
  </r>
  <r>
    <x v="1"/>
    <x v="12"/>
    <x v="5"/>
    <x v="348"/>
    <x v="292"/>
    <x v="292"/>
    <s v="CHARGES"/>
    <x v="0"/>
    <s v="3221.002"/>
    <s v="Intérêts compensatoires / créances en faveur ctb."/>
    <n v="2.98"/>
    <n v="0"/>
    <n v="3221"/>
  </r>
  <r>
    <x v="1"/>
    <x v="12"/>
    <x v="5"/>
    <x v="348"/>
    <x v="292"/>
    <x v="292"/>
    <s v="REVENUS"/>
    <x v="17"/>
    <s v="4011.007"/>
    <s v="Acompte sur bénéfice"/>
    <n v="0"/>
    <n v="-4743.3500000000004"/>
    <n v="4011"/>
  </r>
  <r>
    <x v="1"/>
    <x v="12"/>
    <x v="5"/>
    <x v="348"/>
    <x v="292"/>
    <x v="292"/>
    <s v="REVENUS"/>
    <x v="17"/>
    <s v="4011.001"/>
    <s v="Impôt bénéfice ordinaire"/>
    <n v="0"/>
    <n v="304.89999999999998"/>
    <n v="4011"/>
  </r>
  <r>
    <x v="1"/>
    <x v="12"/>
    <x v="5"/>
    <x v="348"/>
    <x v="292"/>
    <x v="292"/>
    <s v="REVENUS"/>
    <x v="17"/>
    <s v="4011.002"/>
    <s v="Complément impôt bénéfice ordinaire"/>
    <n v="0"/>
    <n v="419.9"/>
    <n v="4011"/>
  </r>
  <r>
    <x v="1"/>
    <x v="12"/>
    <x v="5"/>
    <x v="348"/>
    <x v="292"/>
    <x v="292"/>
    <s v="REVENUS"/>
    <x v="16"/>
    <s v="4012.001"/>
    <s v="Impôt capital ordinaire"/>
    <n v="0"/>
    <n v="84.9"/>
    <n v="4012"/>
  </r>
  <r>
    <x v="1"/>
    <x v="12"/>
    <x v="5"/>
    <x v="348"/>
    <x v="292"/>
    <x v="292"/>
    <s v="REVENUS"/>
    <x v="16"/>
    <s v="4012.007"/>
    <s v="Acompte sur capital"/>
    <n v="0"/>
    <n v="168.85"/>
    <n v="4012"/>
  </r>
  <r>
    <x v="1"/>
    <x v="12"/>
    <x v="5"/>
    <x v="348"/>
    <x v="292"/>
    <x v="292"/>
    <s v="REVENUS"/>
    <x v="6"/>
    <s v="4211.001"/>
    <s v="Intérêts de retard sur factures"/>
    <n v="0"/>
    <n v="0.68"/>
    <n v="4211"/>
  </r>
  <r>
    <x v="1"/>
    <x v="12"/>
    <x v="5"/>
    <x v="348"/>
    <x v="292"/>
    <x v="292"/>
    <s v="REVENUS"/>
    <x v="6"/>
    <s v="4211.002"/>
    <s v="Intérêts de retard sur acomptes"/>
    <n v="0"/>
    <n v="1.5"/>
    <n v="4211"/>
  </r>
  <r>
    <x v="1"/>
    <x v="12"/>
    <x v="5"/>
    <x v="349"/>
    <x v="293"/>
    <x v="293"/>
    <s v="CHARGES"/>
    <x v="0"/>
    <s v="3221.002"/>
    <s v="Intérêts compensatoires / créances en faveur ctb."/>
    <n v="13.54"/>
    <n v="0"/>
    <n v="3221"/>
  </r>
  <r>
    <x v="1"/>
    <x v="12"/>
    <x v="5"/>
    <x v="349"/>
    <x v="293"/>
    <x v="293"/>
    <s v="CHARGES"/>
    <x v="1"/>
    <s v="3301.006"/>
    <s v="Abandon de solde PM"/>
    <n v="19.760000000000002"/>
    <n v="0"/>
    <n v="3301"/>
  </r>
  <r>
    <x v="1"/>
    <x v="12"/>
    <x v="5"/>
    <x v="349"/>
    <x v="293"/>
    <x v="293"/>
    <s v="CHARGES"/>
    <x v="0"/>
    <s v="3212.004"/>
    <s v="Intérêts rémun./perçu trop tôt sur acomptes C/C"/>
    <n v="10.79"/>
    <n v="0"/>
    <n v="3212"/>
  </r>
  <r>
    <x v="1"/>
    <x v="12"/>
    <x v="5"/>
    <x v="349"/>
    <x v="293"/>
    <x v="293"/>
    <s v="CHARGES"/>
    <x v="0"/>
    <s v="3212.002"/>
    <s v="Intérêts bonifiés/trop perçu acompte C/C"/>
    <n v="0.11"/>
    <n v="0"/>
    <n v="3212"/>
  </r>
  <r>
    <x v="1"/>
    <x v="12"/>
    <x v="5"/>
    <x v="349"/>
    <x v="293"/>
    <x v="293"/>
    <s v="REVENUS"/>
    <x v="17"/>
    <s v="4011.001"/>
    <s v="Impôt bénéfice ordinaire"/>
    <n v="0"/>
    <n v="33537.199999999997"/>
    <n v="4011"/>
  </r>
  <r>
    <x v="1"/>
    <x v="12"/>
    <x v="5"/>
    <x v="349"/>
    <x v="293"/>
    <x v="293"/>
    <s v="REVENUS"/>
    <x v="17"/>
    <s v="4011.002"/>
    <s v="Complément impôt bénéfice ordinaire"/>
    <n v="0"/>
    <n v="2772.35"/>
    <n v="4011"/>
  </r>
  <r>
    <x v="1"/>
    <x v="12"/>
    <x v="5"/>
    <x v="349"/>
    <x v="293"/>
    <x v="293"/>
    <s v="REVENUS"/>
    <x v="6"/>
    <s v="4211.001"/>
    <s v="Intérêts de retard sur factures"/>
    <n v="0"/>
    <n v="708.68"/>
    <n v="4211"/>
  </r>
  <r>
    <x v="1"/>
    <x v="12"/>
    <x v="5"/>
    <x v="349"/>
    <x v="293"/>
    <x v="293"/>
    <s v="REVENUS"/>
    <x v="6"/>
    <s v="4221.001"/>
    <s v="Intérêts compensat. / créances en faveur du fisc"/>
    <n v="0"/>
    <n v="3.05"/>
    <n v="4221"/>
  </r>
  <r>
    <x v="1"/>
    <x v="12"/>
    <x v="5"/>
    <x v="349"/>
    <x v="293"/>
    <x v="293"/>
    <s v="REVENUS"/>
    <x v="17"/>
    <s v="4011.007"/>
    <s v="Acompte sur bénéfice"/>
    <n v="0"/>
    <n v="-30899.9"/>
    <n v="4011"/>
  </r>
  <r>
    <x v="1"/>
    <x v="12"/>
    <x v="5"/>
    <x v="349"/>
    <x v="293"/>
    <x v="293"/>
    <s v="REVENUS"/>
    <x v="16"/>
    <s v="4012.001"/>
    <s v="Impôt capital ordinaire"/>
    <n v="0"/>
    <n v="225.6"/>
    <n v="4012"/>
  </r>
  <r>
    <x v="1"/>
    <x v="12"/>
    <x v="5"/>
    <x v="349"/>
    <x v="293"/>
    <x v="293"/>
    <s v="REVENUS"/>
    <x v="16"/>
    <s v="4012.007"/>
    <s v="Acompte sur capital"/>
    <n v="0"/>
    <n v="678.25"/>
    <n v="4012"/>
  </r>
  <r>
    <x v="1"/>
    <x v="12"/>
    <x v="5"/>
    <x v="349"/>
    <x v="293"/>
    <x v="293"/>
    <s v="REVENUS"/>
    <x v="6"/>
    <s v="4211.002"/>
    <s v="Intérêts de retard sur acomptes"/>
    <n v="0"/>
    <n v="11.26"/>
    <n v="4211"/>
  </r>
  <r>
    <x v="1"/>
    <x v="12"/>
    <x v="5"/>
    <x v="349"/>
    <x v="293"/>
    <x v="293"/>
    <s v="REVENUS"/>
    <x v="16"/>
    <s v="4012.002"/>
    <s v="Complément impôt capital ordinaire"/>
    <n v="0"/>
    <n v="-1032.1500000000001"/>
    <n v="4012"/>
  </r>
  <r>
    <x v="1"/>
    <x v="12"/>
    <x v="5"/>
    <x v="376"/>
    <x v="285"/>
    <x v="285"/>
    <s v="CHARGES"/>
    <x v="0"/>
    <s v="3212.002"/>
    <s v="Intérêts bonifiés/trop perçu acompte C/C"/>
    <n v="0.05"/>
    <n v="0"/>
    <n v="3212"/>
  </r>
  <r>
    <x v="1"/>
    <x v="12"/>
    <x v="5"/>
    <x v="376"/>
    <x v="285"/>
    <x v="285"/>
    <s v="REVENUS"/>
    <x v="17"/>
    <s v="4011.001"/>
    <s v="Impôt bénéfice ordinaire"/>
    <n v="0"/>
    <n v="-1287.45"/>
    <n v="4011"/>
  </r>
  <r>
    <x v="1"/>
    <x v="12"/>
    <x v="5"/>
    <x v="376"/>
    <x v="285"/>
    <x v="285"/>
    <s v="REVENUS"/>
    <x v="17"/>
    <s v="4011.002"/>
    <s v="Complément impôt bénéfice ordinaire"/>
    <n v="0"/>
    <n v="1287.45"/>
    <n v="4011"/>
  </r>
  <r>
    <x v="1"/>
    <x v="12"/>
    <x v="5"/>
    <x v="350"/>
    <x v="294"/>
    <x v="294"/>
    <s v="CHARGES"/>
    <x v="0"/>
    <s v="3212.002"/>
    <s v="Intérêts bonifiés/trop perçu acompte C/C"/>
    <n v="0.06"/>
    <n v="0"/>
    <n v="3212"/>
  </r>
  <r>
    <x v="1"/>
    <x v="12"/>
    <x v="5"/>
    <x v="350"/>
    <x v="294"/>
    <x v="294"/>
    <s v="CHARGES"/>
    <x v="0"/>
    <s v="3212.004"/>
    <s v="Intérêts rémun./perçu trop tôt sur acomptes C/C"/>
    <n v="0.78"/>
    <n v="0"/>
    <n v="3212"/>
  </r>
  <r>
    <x v="1"/>
    <x v="12"/>
    <x v="5"/>
    <x v="350"/>
    <x v="294"/>
    <x v="294"/>
    <s v="CHARGES"/>
    <x v="1"/>
    <s v="3301.006"/>
    <s v="Abandon de solde PM"/>
    <n v="1.01"/>
    <n v="0"/>
    <n v="3301"/>
  </r>
  <r>
    <x v="1"/>
    <x v="12"/>
    <x v="5"/>
    <x v="350"/>
    <x v="294"/>
    <x v="294"/>
    <s v="CHARGES"/>
    <x v="0"/>
    <s v="3221.002"/>
    <s v="Intérêts compensatoires / créances en faveur ctb."/>
    <n v="2.59"/>
    <n v="0"/>
    <n v="3221"/>
  </r>
  <r>
    <x v="1"/>
    <x v="12"/>
    <x v="5"/>
    <x v="350"/>
    <x v="294"/>
    <x v="294"/>
    <s v="REVENUS"/>
    <x v="17"/>
    <s v="4011.001"/>
    <s v="Impôt bénéfice ordinaire"/>
    <n v="0"/>
    <n v="1802.5"/>
    <n v="4011"/>
  </r>
  <r>
    <x v="1"/>
    <x v="12"/>
    <x v="5"/>
    <x v="350"/>
    <x v="294"/>
    <x v="294"/>
    <s v="REVENUS"/>
    <x v="17"/>
    <s v="4011.002"/>
    <s v="Complément impôt bénéfice ordinaire"/>
    <n v="0"/>
    <n v="1558.5"/>
    <n v="4011"/>
  </r>
  <r>
    <x v="1"/>
    <x v="12"/>
    <x v="5"/>
    <x v="350"/>
    <x v="294"/>
    <x v="294"/>
    <s v="REVENUS"/>
    <x v="16"/>
    <s v="4012.001"/>
    <s v="Impôt capital ordinaire"/>
    <n v="0"/>
    <n v="28"/>
    <n v="4012"/>
  </r>
  <r>
    <x v="1"/>
    <x v="12"/>
    <x v="5"/>
    <x v="350"/>
    <x v="294"/>
    <x v="294"/>
    <s v="REVENUS"/>
    <x v="16"/>
    <s v="4012.007"/>
    <s v="Acompte sur capital"/>
    <n v="0"/>
    <n v="17.5"/>
    <n v="4012"/>
  </r>
  <r>
    <x v="1"/>
    <x v="12"/>
    <x v="5"/>
    <x v="350"/>
    <x v="294"/>
    <x v="294"/>
    <s v="REVENUS"/>
    <x v="17"/>
    <s v="4011.007"/>
    <s v="Acompte sur bénéfice"/>
    <n v="0"/>
    <n v="-178.3"/>
    <n v="4011"/>
  </r>
  <r>
    <x v="1"/>
    <x v="12"/>
    <x v="5"/>
    <x v="350"/>
    <x v="294"/>
    <x v="294"/>
    <s v="REVENUS"/>
    <x v="6"/>
    <s v="4221.001"/>
    <s v="Intérêts compensat. / créances en faveur du fisc"/>
    <n v="0"/>
    <n v="1"/>
    <n v="4221"/>
  </r>
  <r>
    <x v="1"/>
    <x v="12"/>
    <x v="5"/>
    <x v="350"/>
    <x v="294"/>
    <x v="294"/>
    <s v="REVENUS"/>
    <x v="6"/>
    <s v="4211.001"/>
    <s v="Intérêts de retard sur factures"/>
    <n v="0"/>
    <n v="0.03"/>
    <n v="4211"/>
  </r>
  <r>
    <x v="1"/>
    <x v="12"/>
    <x v="5"/>
    <x v="350"/>
    <x v="294"/>
    <x v="294"/>
    <s v="REVENUS"/>
    <x v="6"/>
    <s v="4211.002"/>
    <s v="Intérêts de retard sur acomptes"/>
    <n v="0"/>
    <n v="1.77"/>
    <n v="4211"/>
  </r>
  <r>
    <x v="1"/>
    <x v="12"/>
    <x v="5"/>
    <x v="350"/>
    <x v="294"/>
    <x v="294"/>
    <s v="REVENUS"/>
    <x v="11"/>
    <s v="4198.001"/>
    <s v="Impôt foncier"/>
    <n v="0"/>
    <n v="60"/>
    <n v="4198"/>
  </r>
  <r>
    <x v="1"/>
    <x v="12"/>
    <x v="5"/>
    <x v="351"/>
    <x v="295"/>
    <x v="295"/>
    <s v="CHARGES"/>
    <x v="1"/>
    <s v="3301.006"/>
    <s v="Abandon de solde PM"/>
    <n v="18.09"/>
    <n v="0"/>
    <n v="3301"/>
  </r>
  <r>
    <x v="1"/>
    <x v="12"/>
    <x v="5"/>
    <x v="351"/>
    <x v="295"/>
    <x v="295"/>
    <s v="CHARGES"/>
    <x v="0"/>
    <s v="3212.002"/>
    <s v="Intérêts bonifiés/trop perçu acompte C/C"/>
    <n v="0.59"/>
    <n v="0"/>
    <n v="3212"/>
  </r>
  <r>
    <x v="1"/>
    <x v="12"/>
    <x v="5"/>
    <x v="351"/>
    <x v="295"/>
    <x v="295"/>
    <s v="CHARGES"/>
    <x v="0"/>
    <s v="3212.004"/>
    <s v="Intérêts rémun./perçu trop tôt sur acomptes C/C"/>
    <n v="34.28"/>
    <n v="0"/>
    <n v="3212"/>
  </r>
  <r>
    <x v="1"/>
    <x v="12"/>
    <x v="5"/>
    <x v="351"/>
    <x v="295"/>
    <x v="295"/>
    <s v="CHARGES"/>
    <x v="0"/>
    <s v="3221.002"/>
    <s v="Intérêts compensatoires / créances en faveur ctb."/>
    <n v="31.55"/>
    <n v="0"/>
    <n v="3221"/>
  </r>
  <r>
    <x v="1"/>
    <x v="12"/>
    <x v="5"/>
    <x v="351"/>
    <x v="295"/>
    <x v="295"/>
    <s v="REVENUS"/>
    <x v="6"/>
    <s v="4211.001"/>
    <s v="Intérêts de retard sur factures"/>
    <n v="0"/>
    <n v="10.59"/>
    <n v="4211"/>
  </r>
  <r>
    <x v="1"/>
    <x v="12"/>
    <x v="5"/>
    <x v="351"/>
    <x v="295"/>
    <x v="295"/>
    <s v="REVENUS"/>
    <x v="17"/>
    <s v="4011.001"/>
    <s v="Impôt bénéfice ordinaire"/>
    <n v="0"/>
    <n v="30129.05"/>
    <n v="4011"/>
  </r>
  <r>
    <x v="1"/>
    <x v="12"/>
    <x v="5"/>
    <x v="351"/>
    <x v="295"/>
    <x v="295"/>
    <s v="REVENUS"/>
    <x v="17"/>
    <s v="4011.002"/>
    <s v="Complément impôt bénéfice ordinaire"/>
    <n v="0"/>
    <n v="1019.15"/>
    <n v="4011"/>
  </r>
  <r>
    <x v="1"/>
    <x v="12"/>
    <x v="5"/>
    <x v="351"/>
    <x v="295"/>
    <x v="295"/>
    <s v="REVENUS"/>
    <x v="17"/>
    <s v="4011.007"/>
    <s v="Acompte sur bénéfice"/>
    <n v="0"/>
    <n v="-866.5"/>
    <n v="4011"/>
  </r>
  <r>
    <x v="1"/>
    <x v="12"/>
    <x v="5"/>
    <x v="351"/>
    <x v="295"/>
    <x v="295"/>
    <s v="REVENUS"/>
    <x v="16"/>
    <s v="4012.007"/>
    <s v="Acompte sur capital"/>
    <n v="0"/>
    <n v="-30.2"/>
    <n v="4012"/>
  </r>
  <r>
    <x v="1"/>
    <x v="12"/>
    <x v="5"/>
    <x v="351"/>
    <x v="295"/>
    <x v="295"/>
    <s v="REVENUS"/>
    <x v="16"/>
    <s v="4012.001"/>
    <s v="Impôt capital ordinaire"/>
    <n v="0"/>
    <n v="120.2"/>
    <n v="4012"/>
  </r>
  <r>
    <x v="1"/>
    <x v="12"/>
    <x v="5"/>
    <x v="351"/>
    <x v="295"/>
    <x v="295"/>
    <s v="REVENUS"/>
    <x v="6"/>
    <s v="4211.002"/>
    <s v="Intérêts de retard sur acomptes"/>
    <n v="0"/>
    <n v="3.45"/>
    <n v="4211"/>
  </r>
  <r>
    <x v="1"/>
    <x v="12"/>
    <x v="5"/>
    <x v="351"/>
    <x v="295"/>
    <x v="295"/>
    <s v="REVENUS"/>
    <x v="10"/>
    <s v="4041.001"/>
    <s v="Droits de mutation"/>
    <n v="0"/>
    <n v="8250"/>
    <n v="4041"/>
  </r>
  <r>
    <x v="1"/>
    <x v="12"/>
    <x v="5"/>
    <x v="351"/>
    <x v="295"/>
    <x v="295"/>
    <s v="REVENUS"/>
    <x v="6"/>
    <s v="4221.001"/>
    <s v="Intérêts compensat. / créances en faveur du fisc"/>
    <n v="0"/>
    <n v="0.17"/>
    <n v="4221"/>
  </r>
  <r>
    <x v="1"/>
    <x v="12"/>
    <x v="5"/>
    <x v="351"/>
    <x v="295"/>
    <x v="295"/>
    <s v="REVENUS"/>
    <x v="11"/>
    <s v="4198.001"/>
    <s v="Impôt foncier"/>
    <n v="0"/>
    <n v="11258.8"/>
    <n v="4198"/>
  </r>
  <r>
    <x v="1"/>
    <x v="12"/>
    <x v="5"/>
    <x v="351"/>
    <x v="295"/>
    <x v="295"/>
    <s v="REVENUS"/>
    <x v="7"/>
    <s v="4184.000"/>
    <s v="Frais de poursuite"/>
    <n v="0"/>
    <n v="6.38"/>
    <n v="4184"/>
  </r>
  <r>
    <x v="1"/>
    <x v="12"/>
    <x v="5"/>
    <x v="352"/>
    <x v="296"/>
    <x v="296"/>
    <s v="CHARGES"/>
    <x v="0"/>
    <s v="3221.002"/>
    <s v="Intérêts compensatoires / créances en faveur ctb."/>
    <n v="0.93"/>
    <n v="0"/>
    <n v="3221"/>
  </r>
  <r>
    <x v="1"/>
    <x v="12"/>
    <x v="5"/>
    <x v="352"/>
    <x v="296"/>
    <x v="296"/>
    <s v="CHARGES"/>
    <x v="0"/>
    <s v="3212.002"/>
    <s v="Intérêts bonifiés/trop perçu acompte C/C"/>
    <n v="0.04"/>
    <n v="0"/>
    <n v="3212"/>
  </r>
  <r>
    <x v="1"/>
    <x v="12"/>
    <x v="5"/>
    <x v="352"/>
    <x v="296"/>
    <x v="296"/>
    <s v="CHARGES"/>
    <x v="0"/>
    <s v="3212.004"/>
    <s v="Intérêts rémun./perçu trop tôt sur acomptes C/C"/>
    <n v="0.66"/>
    <n v="0"/>
    <n v="3212"/>
  </r>
  <r>
    <x v="1"/>
    <x v="12"/>
    <x v="5"/>
    <x v="352"/>
    <x v="296"/>
    <x v="296"/>
    <s v="REVENUS"/>
    <x v="17"/>
    <s v="4011.001"/>
    <s v="Impôt bénéfice ordinaire"/>
    <n v="0"/>
    <n v="2549"/>
    <n v="4011"/>
  </r>
  <r>
    <x v="1"/>
    <x v="12"/>
    <x v="5"/>
    <x v="352"/>
    <x v="296"/>
    <x v="296"/>
    <s v="REVENUS"/>
    <x v="17"/>
    <s v="4011.002"/>
    <s v="Complément impôt bénéfice ordinaire"/>
    <n v="0"/>
    <n v="622"/>
    <n v="4011"/>
  </r>
  <r>
    <x v="1"/>
    <x v="12"/>
    <x v="5"/>
    <x v="352"/>
    <x v="296"/>
    <x v="296"/>
    <s v="REVENUS"/>
    <x v="6"/>
    <s v="4211.001"/>
    <s v="Intérêts de retard sur factures"/>
    <n v="0"/>
    <n v="0.05"/>
    <n v="4211"/>
  </r>
  <r>
    <x v="1"/>
    <x v="12"/>
    <x v="5"/>
    <x v="352"/>
    <x v="296"/>
    <x v="296"/>
    <s v="REVENUS"/>
    <x v="6"/>
    <s v="4221.001"/>
    <s v="Intérêts compensat. / créances en faveur du fisc"/>
    <n v="0"/>
    <n v="1.89"/>
    <n v="4221"/>
  </r>
  <r>
    <x v="1"/>
    <x v="12"/>
    <x v="5"/>
    <x v="352"/>
    <x v="296"/>
    <x v="296"/>
    <s v="REVENUS"/>
    <x v="16"/>
    <s v="4012.007"/>
    <s v="Acompte sur capital"/>
    <n v="0"/>
    <n v="37.799999999999997"/>
    <n v="4012"/>
  </r>
  <r>
    <x v="1"/>
    <x v="12"/>
    <x v="5"/>
    <x v="352"/>
    <x v="296"/>
    <x v="296"/>
    <s v="REVENUS"/>
    <x v="6"/>
    <s v="4211.002"/>
    <s v="Intérêts de retard sur acomptes"/>
    <n v="0"/>
    <n v="0.23"/>
    <n v="4211"/>
  </r>
  <r>
    <x v="1"/>
    <x v="12"/>
    <x v="5"/>
    <x v="352"/>
    <x v="296"/>
    <x v="296"/>
    <s v="REVENUS"/>
    <x v="17"/>
    <s v="4011.007"/>
    <s v="Acompte sur bénéfice"/>
    <n v="0"/>
    <n v="1317.8"/>
    <n v="4011"/>
  </r>
  <r>
    <x v="1"/>
    <x v="12"/>
    <x v="5"/>
    <x v="352"/>
    <x v="296"/>
    <x v="296"/>
    <s v="REVENUS"/>
    <x v="16"/>
    <s v="4012.001"/>
    <s v="Impôt capital ordinaire"/>
    <n v="0"/>
    <n v="43.2"/>
    <n v="4012"/>
  </r>
  <r>
    <x v="1"/>
    <x v="12"/>
    <x v="5"/>
    <x v="352"/>
    <x v="296"/>
    <x v="296"/>
    <s v="REVENUS"/>
    <x v="10"/>
    <s v="4041.001"/>
    <s v="Droits de mutation"/>
    <n v="0"/>
    <n v="12.35"/>
    <n v="4041"/>
  </r>
  <r>
    <x v="1"/>
    <x v="12"/>
    <x v="5"/>
    <x v="352"/>
    <x v="296"/>
    <x v="296"/>
    <s v="REVENUS"/>
    <x v="18"/>
    <s v="4013.001"/>
    <s v="Impôt complémentaire sur immeubles"/>
    <n v="0"/>
    <n v="228.6"/>
    <n v="4013"/>
  </r>
  <r>
    <x v="1"/>
    <x v="12"/>
    <x v="5"/>
    <x v="353"/>
    <x v="297"/>
    <x v="297"/>
    <s v="CHARGES"/>
    <x v="0"/>
    <s v="3212.004"/>
    <s v="Intérêts rémun./perçu trop tôt sur acomptes C/C"/>
    <n v="2.0699999999999998"/>
    <n v="0"/>
    <n v="3212"/>
  </r>
  <r>
    <x v="1"/>
    <x v="12"/>
    <x v="5"/>
    <x v="353"/>
    <x v="297"/>
    <x v="297"/>
    <s v="CHARGES"/>
    <x v="0"/>
    <s v="3221.002"/>
    <s v="Intérêts compensatoires / créances en faveur ctb."/>
    <n v="3.99"/>
    <n v="0"/>
    <n v="3221"/>
  </r>
  <r>
    <x v="1"/>
    <x v="12"/>
    <x v="5"/>
    <x v="353"/>
    <x v="297"/>
    <x v="297"/>
    <s v="CHARGES"/>
    <x v="0"/>
    <s v="3212.002"/>
    <s v="Intérêts bonifiés/trop perçu acompte C/C"/>
    <n v="0.17"/>
    <n v="0"/>
    <n v="3212"/>
  </r>
  <r>
    <x v="1"/>
    <x v="12"/>
    <x v="5"/>
    <x v="353"/>
    <x v="297"/>
    <x v="297"/>
    <s v="CHARGES"/>
    <x v="1"/>
    <s v="3301.006"/>
    <s v="Abandon de solde PM"/>
    <n v="4.9000000000000004"/>
    <n v="0"/>
    <n v="3301"/>
  </r>
  <r>
    <x v="1"/>
    <x v="12"/>
    <x v="5"/>
    <x v="353"/>
    <x v="297"/>
    <x v="297"/>
    <s v="REVENUS"/>
    <x v="16"/>
    <s v="4012.001"/>
    <s v="Impôt capital ordinaire"/>
    <n v="0"/>
    <n v="430.35"/>
    <n v="4012"/>
  </r>
  <r>
    <x v="1"/>
    <x v="12"/>
    <x v="5"/>
    <x v="353"/>
    <x v="297"/>
    <x v="297"/>
    <s v="REVENUS"/>
    <x v="16"/>
    <s v="4012.007"/>
    <s v="Acompte sur capital"/>
    <n v="0"/>
    <n v="549.85"/>
    <n v="4012"/>
  </r>
  <r>
    <x v="1"/>
    <x v="12"/>
    <x v="5"/>
    <x v="353"/>
    <x v="297"/>
    <x v="297"/>
    <s v="REVENUS"/>
    <x v="17"/>
    <s v="4011.001"/>
    <s v="Impôt bénéfice ordinaire"/>
    <n v="0"/>
    <n v="14130.5"/>
    <n v="4011"/>
  </r>
  <r>
    <x v="1"/>
    <x v="12"/>
    <x v="5"/>
    <x v="353"/>
    <x v="297"/>
    <x v="297"/>
    <s v="REVENUS"/>
    <x v="17"/>
    <s v="4011.002"/>
    <s v="Complément impôt bénéfice ordinaire"/>
    <n v="0"/>
    <n v="1665.8"/>
    <n v="4011"/>
  </r>
  <r>
    <x v="1"/>
    <x v="12"/>
    <x v="5"/>
    <x v="353"/>
    <x v="297"/>
    <x v="297"/>
    <s v="REVENUS"/>
    <x v="6"/>
    <s v="4211.001"/>
    <s v="Intérêts de retard sur factures"/>
    <n v="0"/>
    <n v="0.1"/>
    <n v="4211"/>
  </r>
  <r>
    <x v="1"/>
    <x v="12"/>
    <x v="5"/>
    <x v="353"/>
    <x v="297"/>
    <x v="297"/>
    <s v="REVENUS"/>
    <x v="6"/>
    <s v="4221.001"/>
    <s v="Intérêts compensat. / créances en faveur du fisc"/>
    <n v="0"/>
    <n v="9.9"/>
    <n v="4221"/>
  </r>
  <r>
    <x v="1"/>
    <x v="12"/>
    <x v="5"/>
    <x v="353"/>
    <x v="297"/>
    <x v="297"/>
    <s v="REVENUS"/>
    <x v="6"/>
    <s v="4211.002"/>
    <s v="Intérêts de retard sur acomptes"/>
    <n v="0"/>
    <n v="189.84"/>
    <n v="4211"/>
  </r>
  <r>
    <x v="1"/>
    <x v="12"/>
    <x v="5"/>
    <x v="353"/>
    <x v="297"/>
    <x v="297"/>
    <s v="REVENUS"/>
    <x v="17"/>
    <s v="4011.007"/>
    <s v="Acompte sur bénéfice"/>
    <n v="0"/>
    <n v="913.35"/>
    <n v="4011"/>
  </r>
  <r>
    <x v="1"/>
    <x v="12"/>
    <x v="5"/>
    <x v="353"/>
    <x v="297"/>
    <x v="297"/>
    <s v="REVENUS"/>
    <x v="18"/>
    <s v="4013.003"/>
    <s v="Remboursement impôt complémentaire sur immeubles"/>
    <n v="0"/>
    <n v="-137"/>
    <n v="4013"/>
  </r>
  <r>
    <x v="1"/>
    <x v="12"/>
    <x v="5"/>
    <x v="353"/>
    <x v="297"/>
    <x v="297"/>
    <s v="REVENUS"/>
    <x v="18"/>
    <s v="4013.001"/>
    <s v="Impôt complémentaire sur immeubles"/>
    <n v="0"/>
    <n v="781.4"/>
    <n v="4013"/>
  </r>
  <r>
    <x v="1"/>
    <x v="12"/>
    <x v="5"/>
    <x v="353"/>
    <x v="297"/>
    <x v="297"/>
    <s v="REVENUS"/>
    <x v="11"/>
    <s v="4198.001"/>
    <s v="Impôt foncier"/>
    <n v="0"/>
    <n v="1965.8"/>
    <n v="4198"/>
  </r>
  <r>
    <x v="1"/>
    <x v="12"/>
    <x v="5"/>
    <x v="354"/>
    <x v="298"/>
    <x v="298"/>
    <s v="CHARGES"/>
    <x v="1"/>
    <s v="3301.006"/>
    <s v="Abandon de solde PM"/>
    <n v="2.36"/>
    <n v="0"/>
    <n v="3301"/>
  </r>
  <r>
    <x v="1"/>
    <x v="12"/>
    <x v="5"/>
    <x v="354"/>
    <x v="298"/>
    <x v="298"/>
    <s v="CHARGES"/>
    <x v="0"/>
    <s v="3212.002"/>
    <s v="Intérêts bonifiés/trop perçu acompte C/C"/>
    <n v="0.01"/>
    <n v="0"/>
    <n v="3212"/>
  </r>
  <r>
    <x v="1"/>
    <x v="12"/>
    <x v="5"/>
    <x v="354"/>
    <x v="298"/>
    <x v="298"/>
    <s v="CHARGES"/>
    <x v="0"/>
    <s v="3212.004"/>
    <s v="Intérêts rémun./perçu trop tôt sur acomptes C/C"/>
    <n v="0.55000000000000004"/>
    <n v="0"/>
    <n v="3212"/>
  </r>
  <r>
    <x v="1"/>
    <x v="12"/>
    <x v="5"/>
    <x v="354"/>
    <x v="298"/>
    <x v="298"/>
    <s v="CHARGES"/>
    <x v="0"/>
    <s v="3221.002"/>
    <s v="Intérêts compensatoires / créances en faveur ctb."/>
    <n v="1.29"/>
    <n v="0"/>
    <n v="3221"/>
  </r>
  <r>
    <x v="1"/>
    <x v="12"/>
    <x v="5"/>
    <x v="354"/>
    <x v="298"/>
    <x v="298"/>
    <s v="REVENUS"/>
    <x v="16"/>
    <s v="4012.001"/>
    <s v="Impôt capital ordinaire"/>
    <n v="0"/>
    <n v="115.5"/>
    <n v="4012"/>
  </r>
  <r>
    <x v="1"/>
    <x v="12"/>
    <x v="5"/>
    <x v="354"/>
    <x v="298"/>
    <x v="298"/>
    <s v="REVENUS"/>
    <x v="16"/>
    <s v="4012.007"/>
    <s v="Acompte sur capital"/>
    <n v="0"/>
    <n v="550.15"/>
    <n v="4012"/>
  </r>
  <r>
    <x v="1"/>
    <x v="12"/>
    <x v="5"/>
    <x v="354"/>
    <x v="298"/>
    <x v="298"/>
    <s v="REVENUS"/>
    <x v="6"/>
    <s v="4211.002"/>
    <s v="Intérêts de retard sur acomptes"/>
    <n v="0"/>
    <n v="3.76"/>
    <n v="4211"/>
  </r>
  <r>
    <x v="1"/>
    <x v="12"/>
    <x v="5"/>
    <x v="354"/>
    <x v="298"/>
    <x v="298"/>
    <s v="REVENUS"/>
    <x v="17"/>
    <s v="4011.002"/>
    <s v="Complément impôt bénéfice ordinaire"/>
    <n v="0"/>
    <n v="209.95"/>
    <n v="4011"/>
  </r>
  <r>
    <x v="1"/>
    <x v="12"/>
    <x v="5"/>
    <x v="354"/>
    <x v="298"/>
    <x v="298"/>
    <s v="REVENUS"/>
    <x v="17"/>
    <s v="4011.001"/>
    <s v="Impôt bénéfice ordinaire"/>
    <n v="0"/>
    <n v="419.9"/>
    <n v="4011"/>
  </r>
  <r>
    <x v="1"/>
    <x v="12"/>
    <x v="5"/>
    <x v="354"/>
    <x v="298"/>
    <x v="298"/>
    <s v="REVENUS"/>
    <x v="17"/>
    <s v="4011.007"/>
    <s v="Acompte sur bénéfice"/>
    <n v="0"/>
    <n v="-854.3"/>
    <n v="4011"/>
  </r>
  <r>
    <x v="1"/>
    <x v="12"/>
    <x v="5"/>
    <x v="354"/>
    <x v="298"/>
    <x v="298"/>
    <s v="REVENUS"/>
    <x v="6"/>
    <s v="4211.001"/>
    <s v="Intérêts de retard sur factures"/>
    <n v="0"/>
    <n v="0.67"/>
    <n v="4211"/>
  </r>
  <r>
    <x v="1"/>
    <x v="12"/>
    <x v="5"/>
    <x v="354"/>
    <x v="298"/>
    <x v="298"/>
    <s v="REVENUS"/>
    <x v="18"/>
    <s v="4013.001"/>
    <s v="Impôt complémentaire sur immeubles"/>
    <n v="0"/>
    <n v="819.5"/>
    <n v="4013"/>
  </r>
  <r>
    <x v="1"/>
    <x v="12"/>
    <x v="5"/>
    <x v="355"/>
    <x v="299"/>
    <x v="299"/>
    <s v="CHARGES"/>
    <x v="0"/>
    <s v="3212.002"/>
    <s v="Intérêts bonifiés/trop perçu acompte C/C"/>
    <n v="0.03"/>
    <n v="0"/>
    <n v="3212"/>
  </r>
  <r>
    <x v="1"/>
    <x v="12"/>
    <x v="5"/>
    <x v="355"/>
    <x v="299"/>
    <x v="299"/>
    <s v="CHARGES"/>
    <x v="1"/>
    <s v="3301.006"/>
    <s v="Abandon de solde PM"/>
    <n v="13.46"/>
    <n v="0"/>
    <n v="3301"/>
  </r>
  <r>
    <x v="1"/>
    <x v="12"/>
    <x v="5"/>
    <x v="355"/>
    <x v="299"/>
    <x v="299"/>
    <s v="CHARGES"/>
    <x v="0"/>
    <s v="3221.002"/>
    <s v="Intérêts compensatoires / créances en faveur ctb."/>
    <n v="7.85"/>
    <n v="0"/>
    <n v="3221"/>
  </r>
  <r>
    <x v="1"/>
    <x v="12"/>
    <x v="5"/>
    <x v="355"/>
    <x v="299"/>
    <x v="299"/>
    <s v="CHARGES"/>
    <x v="0"/>
    <s v="3212.004"/>
    <s v="Intérêts rémun./perçu trop tôt sur acomptes C/C"/>
    <n v="5.03"/>
    <n v="0"/>
    <n v="3212"/>
  </r>
  <r>
    <x v="1"/>
    <x v="12"/>
    <x v="5"/>
    <x v="355"/>
    <x v="299"/>
    <x v="299"/>
    <s v="REVENUS"/>
    <x v="16"/>
    <s v="4012.001"/>
    <s v="Impôt capital ordinaire"/>
    <n v="0"/>
    <n v="95"/>
    <n v="4012"/>
  </r>
  <r>
    <x v="1"/>
    <x v="12"/>
    <x v="5"/>
    <x v="355"/>
    <x v="299"/>
    <x v="299"/>
    <s v="REVENUS"/>
    <x v="16"/>
    <s v="4012.007"/>
    <s v="Acompte sur capital"/>
    <n v="0"/>
    <n v="332.75"/>
    <n v="4012"/>
  </r>
  <r>
    <x v="1"/>
    <x v="12"/>
    <x v="5"/>
    <x v="355"/>
    <x v="299"/>
    <x v="299"/>
    <s v="REVENUS"/>
    <x v="17"/>
    <s v="4011.001"/>
    <s v="Impôt bénéfice ordinaire"/>
    <n v="0"/>
    <n v="21602.6"/>
    <n v="4011"/>
  </r>
  <r>
    <x v="1"/>
    <x v="12"/>
    <x v="5"/>
    <x v="355"/>
    <x v="299"/>
    <x v="299"/>
    <s v="REVENUS"/>
    <x v="17"/>
    <s v="4011.002"/>
    <s v="Complément impôt bénéfice ordinaire"/>
    <n v="0"/>
    <n v="934.6"/>
    <n v="4011"/>
  </r>
  <r>
    <x v="1"/>
    <x v="12"/>
    <x v="5"/>
    <x v="355"/>
    <x v="299"/>
    <x v="299"/>
    <s v="REVENUS"/>
    <x v="6"/>
    <s v="4211.001"/>
    <s v="Intérêts de retard sur factures"/>
    <n v="0"/>
    <n v="4.08"/>
    <n v="4211"/>
  </r>
  <r>
    <x v="1"/>
    <x v="12"/>
    <x v="5"/>
    <x v="355"/>
    <x v="299"/>
    <x v="299"/>
    <s v="REVENUS"/>
    <x v="6"/>
    <s v="4221.001"/>
    <s v="Intérêts compensat. / créances en faveur du fisc"/>
    <n v="0"/>
    <n v="13.23"/>
    <n v="4221"/>
  </r>
  <r>
    <x v="1"/>
    <x v="12"/>
    <x v="5"/>
    <x v="355"/>
    <x v="299"/>
    <x v="299"/>
    <s v="REVENUS"/>
    <x v="6"/>
    <s v="4211.002"/>
    <s v="Intérêts de retard sur acomptes"/>
    <n v="0"/>
    <n v="35.700000000000003"/>
    <n v="4211"/>
  </r>
  <r>
    <x v="1"/>
    <x v="12"/>
    <x v="5"/>
    <x v="355"/>
    <x v="299"/>
    <x v="299"/>
    <s v="REVENUS"/>
    <x v="17"/>
    <s v="4011.007"/>
    <s v="Acompte sur bénéfice"/>
    <n v="0"/>
    <n v="6000.95"/>
    <n v="4011"/>
  </r>
  <r>
    <x v="1"/>
    <x v="12"/>
    <x v="5"/>
    <x v="355"/>
    <x v="299"/>
    <x v="299"/>
    <s v="REVENUS"/>
    <x v="10"/>
    <s v="4041.001"/>
    <s v="Droits de mutation"/>
    <n v="0"/>
    <n v="0"/>
    <n v="4041"/>
  </r>
  <r>
    <x v="1"/>
    <x v="12"/>
    <x v="5"/>
    <x v="355"/>
    <x v="299"/>
    <x v="299"/>
    <s v="REVENUS"/>
    <x v="7"/>
    <s v="4184.000"/>
    <s v="Frais de poursuite"/>
    <n v="0"/>
    <n v="106.05"/>
    <n v="4184"/>
  </r>
  <r>
    <x v="1"/>
    <x v="12"/>
    <x v="5"/>
    <x v="355"/>
    <x v="299"/>
    <x v="299"/>
    <s v="REVENUS"/>
    <x v="18"/>
    <s v="4013.001"/>
    <s v="Impôt complémentaire sur immeubles"/>
    <n v="0"/>
    <n v="2972.55"/>
    <n v="4013"/>
  </r>
  <r>
    <x v="1"/>
    <x v="12"/>
    <x v="5"/>
    <x v="356"/>
    <x v="300"/>
    <x v="300"/>
    <s v="CHARGES"/>
    <x v="0"/>
    <s v="3212.002"/>
    <s v="Intérêts bonifiés/trop perçu acompte C/C"/>
    <n v="0.02"/>
    <n v="0"/>
    <n v="3212"/>
  </r>
  <r>
    <x v="1"/>
    <x v="12"/>
    <x v="5"/>
    <x v="356"/>
    <x v="300"/>
    <x v="300"/>
    <s v="CHARGES"/>
    <x v="0"/>
    <s v="3212.004"/>
    <s v="Intérêts rémun./perçu trop tôt sur acomptes C/C"/>
    <n v="0.46"/>
    <n v="0"/>
    <n v="3212"/>
  </r>
  <r>
    <x v="1"/>
    <x v="12"/>
    <x v="5"/>
    <x v="356"/>
    <x v="300"/>
    <x v="300"/>
    <s v="CHARGES"/>
    <x v="0"/>
    <s v="3221.002"/>
    <s v="Intérêts compensatoires / créances en faveur ctb."/>
    <n v="0.86"/>
    <n v="0"/>
    <n v="3221"/>
  </r>
  <r>
    <x v="1"/>
    <x v="12"/>
    <x v="5"/>
    <x v="356"/>
    <x v="300"/>
    <x v="300"/>
    <s v="CHARGES"/>
    <x v="1"/>
    <s v="3301.006"/>
    <s v="Abandon de solde PM"/>
    <n v="0.05"/>
    <n v="0"/>
    <n v="3301"/>
  </r>
  <r>
    <x v="1"/>
    <x v="12"/>
    <x v="5"/>
    <x v="356"/>
    <x v="300"/>
    <x v="300"/>
    <s v="REVENUS"/>
    <x v="18"/>
    <s v="4013.001"/>
    <s v="Impôt complémentaire sur immeubles"/>
    <n v="0"/>
    <n v="55.5"/>
    <n v="4013"/>
  </r>
  <r>
    <x v="1"/>
    <x v="12"/>
    <x v="5"/>
    <x v="356"/>
    <x v="300"/>
    <x v="300"/>
    <s v="REVENUS"/>
    <x v="17"/>
    <s v="4011.001"/>
    <s v="Impôt bénéfice ordinaire"/>
    <n v="0"/>
    <n v="-5.0999999999999996"/>
    <n v="4011"/>
  </r>
  <r>
    <x v="1"/>
    <x v="12"/>
    <x v="5"/>
    <x v="356"/>
    <x v="300"/>
    <x v="300"/>
    <s v="REVENUS"/>
    <x v="17"/>
    <s v="4011.002"/>
    <s v="Complément impôt bénéfice ordinaire"/>
    <n v="0"/>
    <n v="385.3"/>
    <n v="4011"/>
  </r>
  <r>
    <x v="1"/>
    <x v="12"/>
    <x v="5"/>
    <x v="356"/>
    <x v="300"/>
    <x v="300"/>
    <s v="REVENUS"/>
    <x v="17"/>
    <s v="4011.007"/>
    <s v="Acompte sur bénéfice"/>
    <n v="0"/>
    <n v="-636.6"/>
    <n v="4011"/>
  </r>
  <r>
    <x v="1"/>
    <x v="12"/>
    <x v="5"/>
    <x v="356"/>
    <x v="300"/>
    <x v="300"/>
    <s v="REVENUS"/>
    <x v="16"/>
    <s v="4012.007"/>
    <s v="Acompte sur capital"/>
    <n v="0"/>
    <n v="60"/>
    <n v="4012"/>
  </r>
  <r>
    <x v="1"/>
    <x v="12"/>
    <x v="5"/>
    <x v="356"/>
    <x v="300"/>
    <x v="300"/>
    <s v="REVENUS"/>
    <x v="6"/>
    <s v="4211.002"/>
    <s v="Intérêts de retard sur acomptes"/>
    <n v="0"/>
    <n v="0.91"/>
    <n v="4211"/>
  </r>
  <r>
    <x v="1"/>
    <x v="12"/>
    <x v="5"/>
    <x v="356"/>
    <x v="300"/>
    <x v="300"/>
    <s v="REVENUS"/>
    <x v="16"/>
    <s v="4012.001"/>
    <s v="Impôt capital ordinaire"/>
    <n v="0"/>
    <n v="25.6"/>
    <n v="4012"/>
  </r>
  <r>
    <x v="1"/>
    <x v="12"/>
    <x v="5"/>
    <x v="357"/>
    <x v="301"/>
    <x v="301"/>
    <s v="CHARGES"/>
    <x v="0"/>
    <s v="3221.002"/>
    <s v="Intérêts compensatoires / créances en faveur ctb."/>
    <n v="2.11"/>
    <n v="0"/>
    <n v="3221"/>
  </r>
  <r>
    <x v="1"/>
    <x v="12"/>
    <x v="5"/>
    <x v="357"/>
    <x v="301"/>
    <x v="301"/>
    <s v="CHARGES"/>
    <x v="0"/>
    <s v="3212.004"/>
    <s v="Intérêts rémun./perçu trop tôt sur acomptes C/C"/>
    <n v="0.96"/>
    <n v="0"/>
    <n v="3212"/>
  </r>
  <r>
    <x v="1"/>
    <x v="12"/>
    <x v="5"/>
    <x v="357"/>
    <x v="301"/>
    <x v="301"/>
    <s v="CHARGES"/>
    <x v="1"/>
    <s v="3301.006"/>
    <s v="Abandon de solde PM"/>
    <n v="6.75"/>
    <n v="0"/>
    <n v="3301"/>
  </r>
  <r>
    <x v="1"/>
    <x v="12"/>
    <x v="5"/>
    <x v="357"/>
    <x v="301"/>
    <x v="301"/>
    <s v="REVENUS"/>
    <x v="17"/>
    <s v="4011.001"/>
    <s v="Impôt bénéfice ordinaire"/>
    <n v="0"/>
    <n v="536.54999999999995"/>
    <n v="4011"/>
  </r>
  <r>
    <x v="1"/>
    <x v="12"/>
    <x v="5"/>
    <x v="357"/>
    <x v="301"/>
    <x v="301"/>
    <s v="REVENUS"/>
    <x v="17"/>
    <s v="4011.007"/>
    <s v="Acompte sur bénéfice"/>
    <n v="0"/>
    <n v="-968.9"/>
    <n v="4011"/>
  </r>
  <r>
    <x v="1"/>
    <x v="12"/>
    <x v="5"/>
    <x v="357"/>
    <x v="301"/>
    <x v="301"/>
    <s v="REVENUS"/>
    <x v="16"/>
    <s v="4012.001"/>
    <s v="Impôt capital ordinaire"/>
    <n v="0"/>
    <n v="297.55"/>
    <n v="4012"/>
  </r>
  <r>
    <x v="1"/>
    <x v="12"/>
    <x v="5"/>
    <x v="357"/>
    <x v="301"/>
    <x v="301"/>
    <s v="REVENUS"/>
    <x v="16"/>
    <s v="4012.007"/>
    <s v="Acompte sur capital"/>
    <n v="0"/>
    <n v="570.45000000000005"/>
    <n v="4012"/>
  </r>
  <r>
    <x v="1"/>
    <x v="12"/>
    <x v="5"/>
    <x v="357"/>
    <x v="301"/>
    <x v="301"/>
    <s v="REVENUS"/>
    <x v="6"/>
    <s v="4211.002"/>
    <s v="Intérêts de retard sur acomptes"/>
    <n v="0"/>
    <n v="0.48"/>
    <n v="4211"/>
  </r>
  <r>
    <x v="1"/>
    <x v="12"/>
    <x v="5"/>
    <x v="357"/>
    <x v="301"/>
    <x v="301"/>
    <s v="REVENUS"/>
    <x v="10"/>
    <s v="4041.001"/>
    <s v="Droits de mutation"/>
    <n v="0"/>
    <n v="2200"/>
    <n v="4041"/>
  </r>
  <r>
    <x v="1"/>
    <x v="12"/>
    <x v="5"/>
    <x v="357"/>
    <x v="301"/>
    <x v="301"/>
    <s v="REVENUS"/>
    <x v="6"/>
    <s v="4211.001"/>
    <s v="Intérêts de retard sur factures"/>
    <n v="0"/>
    <n v="3"/>
    <n v="4211"/>
  </r>
  <r>
    <x v="1"/>
    <x v="12"/>
    <x v="5"/>
    <x v="357"/>
    <x v="301"/>
    <x v="301"/>
    <s v="REVENUS"/>
    <x v="6"/>
    <s v="4221.001"/>
    <s v="Intérêts compensat. / créances en faveur du fisc"/>
    <n v="0"/>
    <n v="0.42"/>
    <n v="4221"/>
  </r>
  <r>
    <x v="1"/>
    <x v="12"/>
    <x v="5"/>
    <x v="358"/>
    <x v="302"/>
    <x v="302"/>
    <s v="CHARGES"/>
    <x v="0"/>
    <s v="3212.002"/>
    <s v="Intérêts bonifiés/trop perçu acompte C/C"/>
    <n v="0.01"/>
    <n v="0"/>
    <n v="3212"/>
  </r>
  <r>
    <x v="1"/>
    <x v="12"/>
    <x v="5"/>
    <x v="358"/>
    <x v="302"/>
    <x v="302"/>
    <s v="CHARGES"/>
    <x v="0"/>
    <s v="3212.004"/>
    <s v="Intérêts rémun./perçu trop tôt sur acomptes C/C"/>
    <n v="7.0000000000000007E-2"/>
    <n v="0"/>
    <n v="3212"/>
  </r>
  <r>
    <x v="1"/>
    <x v="12"/>
    <x v="5"/>
    <x v="358"/>
    <x v="302"/>
    <x v="302"/>
    <s v="CHARGES"/>
    <x v="0"/>
    <s v="3221.002"/>
    <s v="Intérêts compensatoires / créances en faveur ctb."/>
    <n v="0.28000000000000003"/>
    <n v="0"/>
    <n v="3221"/>
  </r>
  <r>
    <x v="1"/>
    <x v="12"/>
    <x v="5"/>
    <x v="358"/>
    <x v="302"/>
    <x v="302"/>
    <s v="CHARGES"/>
    <x v="1"/>
    <s v="3301.006"/>
    <s v="Abandon de solde PM"/>
    <n v="1.1200000000000001"/>
    <n v="0"/>
    <n v="3301"/>
  </r>
  <r>
    <x v="1"/>
    <x v="12"/>
    <x v="5"/>
    <x v="358"/>
    <x v="302"/>
    <x v="302"/>
    <s v="REVENUS"/>
    <x v="17"/>
    <s v="4011.002"/>
    <s v="Complément impôt bénéfice ordinaire"/>
    <n v="0"/>
    <n v="129.19999999999999"/>
    <n v="4011"/>
  </r>
  <r>
    <x v="1"/>
    <x v="12"/>
    <x v="5"/>
    <x v="358"/>
    <x v="302"/>
    <x v="302"/>
    <s v="REVENUS"/>
    <x v="17"/>
    <s v="4011.001"/>
    <s v="Impôt bénéfice ordinaire"/>
    <n v="0"/>
    <n v="61.05"/>
    <n v="4011"/>
  </r>
  <r>
    <x v="1"/>
    <x v="12"/>
    <x v="5"/>
    <x v="358"/>
    <x v="302"/>
    <x v="302"/>
    <s v="REVENUS"/>
    <x v="10"/>
    <s v="4041.001"/>
    <s v="Droits de mutation"/>
    <n v="0"/>
    <n v="5435.6"/>
    <n v="4041"/>
  </r>
  <r>
    <x v="1"/>
    <x v="12"/>
    <x v="5"/>
    <x v="358"/>
    <x v="302"/>
    <x v="302"/>
    <s v="REVENUS"/>
    <x v="7"/>
    <s v="4184.000"/>
    <s v="Frais de poursuite"/>
    <n v="0"/>
    <n v="284.18"/>
    <n v="4184"/>
  </r>
  <r>
    <x v="1"/>
    <x v="12"/>
    <x v="5"/>
    <x v="358"/>
    <x v="302"/>
    <x v="302"/>
    <s v="REVENUS"/>
    <x v="6"/>
    <s v="4211.001"/>
    <s v="Intérêts de retard sur factures"/>
    <n v="0"/>
    <n v="0.02"/>
    <n v="4211"/>
  </r>
  <r>
    <x v="1"/>
    <x v="12"/>
    <x v="5"/>
    <x v="358"/>
    <x v="302"/>
    <x v="302"/>
    <s v="REVENUS"/>
    <x v="17"/>
    <s v="4011.007"/>
    <s v="Acompte sur bénéfice"/>
    <n v="0"/>
    <n v="5279.75"/>
    <n v="4011"/>
  </r>
  <r>
    <x v="1"/>
    <x v="12"/>
    <x v="5"/>
    <x v="358"/>
    <x v="302"/>
    <x v="302"/>
    <s v="REVENUS"/>
    <x v="16"/>
    <s v="4012.007"/>
    <s v="Acompte sur capital"/>
    <n v="0"/>
    <n v="90.65"/>
    <n v="4012"/>
  </r>
  <r>
    <x v="1"/>
    <x v="12"/>
    <x v="5"/>
    <x v="358"/>
    <x v="302"/>
    <x v="302"/>
    <s v="REVENUS"/>
    <x v="16"/>
    <s v="4012.001"/>
    <s v="Impôt capital ordinaire"/>
    <n v="0"/>
    <n v="69.349999999999994"/>
    <n v="4012"/>
  </r>
  <r>
    <x v="1"/>
    <x v="12"/>
    <x v="5"/>
    <x v="358"/>
    <x v="302"/>
    <x v="302"/>
    <s v="REVENUS"/>
    <x v="6"/>
    <s v="4211.002"/>
    <s v="Intérêts de retard sur acomptes"/>
    <n v="0"/>
    <n v="2.76"/>
    <n v="4211"/>
  </r>
  <r>
    <x v="1"/>
    <x v="12"/>
    <x v="5"/>
    <x v="358"/>
    <x v="302"/>
    <x v="302"/>
    <s v="REVENUS"/>
    <x v="6"/>
    <s v="4221.001"/>
    <s v="Intérêts compensat. / créances en faveur du fisc"/>
    <n v="0"/>
    <n v="0.05"/>
    <n v="4221"/>
  </r>
  <r>
    <x v="1"/>
    <x v="12"/>
    <x v="5"/>
    <x v="359"/>
    <x v="303"/>
    <x v="303"/>
    <s v="CHARGES"/>
    <x v="0"/>
    <s v="3212.004"/>
    <s v="Intérêts rémun./perçu trop tôt sur acomptes C/C"/>
    <n v="7364.39"/>
    <n v="0"/>
    <n v="3212"/>
  </r>
  <r>
    <x v="1"/>
    <x v="12"/>
    <x v="5"/>
    <x v="359"/>
    <x v="303"/>
    <x v="303"/>
    <s v="CHARGES"/>
    <x v="0"/>
    <s v="3221.002"/>
    <s v="Intérêts compensatoires / créances en faveur ctb."/>
    <n v="2756.1"/>
    <n v="0"/>
    <n v="3221"/>
  </r>
  <r>
    <x v="1"/>
    <x v="12"/>
    <x v="5"/>
    <x v="359"/>
    <x v="303"/>
    <x v="303"/>
    <s v="CHARGES"/>
    <x v="1"/>
    <s v="3301.006"/>
    <s v="Abandon de solde PM"/>
    <n v="933.81"/>
    <n v="0"/>
    <n v="3301"/>
  </r>
  <r>
    <x v="1"/>
    <x v="12"/>
    <x v="5"/>
    <x v="359"/>
    <x v="303"/>
    <x v="303"/>
    <s v="CHARGES"/>
    <x v="0"/>
    <s v="3212.002"/>
    <s v="Intérêts bonifiés/trop perçu acompte C/C"/>
    <n v="26.32"/>
    <n v="0"/>
    <n v="3212"/>
  </r>
  <r>
    <x v="1"/>
    <x v="12"/>
    <x v="5"/>
    <x v="359"/>
    <x v="303"/>
    <x v="303"/>
    <s v="CHARGES"/>
    <x v="1"/>
    <s v="3301.002"/>
    <s v="Défalcation PM"/>
    <n v="56885.59"/>
    <n v="0"/>
    <n v="3301"/>
  </r>
  <r>
    <x v="1"/>
    <x v="12"/>
    <x v="5"/>
    <x v="359"/>
    <x v="303"/>
    <x v="303"/>
    <s v="REVENUS"/>
    <x v="7"/>
    <s v="4184.000"/>
    <s v="Frais de poursuite"/>
    <n v="0"/>
    <n v="1962.6"/>
    <n v="4184"/>
  </r>
  <r>
    <x v="1"/>
    <x v="12"/>
    <x v="5"/>
    <x v="359"/>
    <x v="303"/>
    <x v="303"/>
    <s v="REVENUS"/>
    <x v="17"/>
    <s v="4011.001"/>
    <s v="Impôt bénéfice ordinaire"/>
    <n v="0"/>
    <n v="6732623.8499999996"/>
    <n v="4011"/>
  </r>
  <r>
    <x v="1"/>
    <x v="12"/>
    <x v="5"/>
    <x v="359"/>
    <x v="303"/>
    <x v="303"/>
    <s v="REVENUS"/>
    <x v="17"/>
    <s v="4011.007"/>
    <s v="Acompte sur bénéfice"/>
    <n v="0"/>
    <n v="-2240710.85"/>
    <n v="4011"/>
  </r>
  <r>
    <x v="1"/>
    <x v="12"/>
    <x v="5"/>
    <x v="359"/>
    <x v="303"/>
    <x v="303"/>
    <s v="REVENUS"/>
    <x v="16"/>
    <s v="4012.001"/>
    <s v="Impôt capital ordinaire"/>
    <n v="0"/>
    <n v="375332.85"/>
    <n v="4012"/>
  </r>
  <r>
    <x v="1"/>
    <x v="12"/>
    <x v="5"/>
    <x v="359"/>
    <x v="303"/>
    <x v="303"/>
    <s v="REVENUS"/>
    <x v="16"/>
    <s v="4012.007"/>
    <s v="Acompte sur capital"/>
    <n v="0"/>
    <n v="390056.9"/>
    <n v="4012"/>
  </r>
  <r>
    <x v="1"/>
    <x v="12"/>
    <x v="5"/>
    <x v="359"/>
    <x v="303"/>
    <x v="303"/>
    <s v="REVENUS"/>
    <x v="6"/>
    <s v="4211.002"/>
    <s v="Intérêts de retard sur acomptes"/>
    <n v="0"/>
    <n v="9335.1200000000008"/>
    <n v="4211"/>
  </r>
  <r>
    <x v="1"/>
    <x v="12"/>
    <x v="5"/>
    <x v="359"/>
    <x v="303"/>
    <x v="303"/>
    <s v="REVENUS"/>
    <x v="6"/>
    <s v="4221.001"/>
    <s v="Intérêts compensat. / créances en faveur du fisc"/>
    <n v="0"/>
    <n v="2696.08"/>
    <n v="4221"/>
  </r>
  <r>
    <x v="1"/>
    <x v="12"/>
    <x v="5"/>
    <x v="359"/>
    <x v="303"/>
    <x v="303"/>
    <s v="REVENUS"/>
    <x v="17"/>
    <s v="4011.002"/>
    <s v="Complément impôt bénéfice ordinaire"/>
    <n v="0"/>
    <n v="419621.2"/>
    <n v="4011"/>
  </r>
  <r>
    <x v="1"/>
    <x v="12"/>
    <x v="5"/>
    <x v="359"/>
    <x v="303"/>
    <x v="303"/>
    <s v="REVENUS"/>
    <x v="18"/>
    <s v="4013.001"/>
    <s v="Impôt complémentaire sur immeubles"/>
    <n v="0"/>
    <n v="793589.85"/>
    <n v="4013"/>
  </r>
  <r>
    <x v="1"/>
    <x v="12"/>
    <x v="5"/>
    <x v="359"/>
    <x v="303"/>
    <x v="303"/>
    <s v="REVENUS"/>
    <x v="11"/>
    <s v="4198.001"/>
    <s v="Impôt foncier"/>
    <n v="0"/>
    <n v="2158879.4500000002"/>
    <n v="4198"/>
  </r>
  <r>
    <x v="1"/>
    <x v="12"/>
    <x v="5"/>
    <x v="359"/>
    <x v="303"/>
    <x v="303"/>
    <s v="REVENUS"/>
    <x v="18"/>
    <s v="4013.002"/>
    <s v="Complément impôt complémentaire sur immeubles"/>
    <n v="0"/>
    <n v="16392.95"/>
    <n v="4013"/>
  </r>
  <r>
    <x v="1"/>
    <x v="12"/>
    <x v="5"/>
    <x v="359"/>
    <x v="303"/>
    <x v="303"/>
    <s v="REVENUS"/>
    <x v="10"/>
    <s v="4041.001"/>
    <s v="Droits de mutation"/>
    <n v="0"/>
    <n v="856351.35"/>
    <n v="4041"/>
  </r>
  <r>
    <x v="1"/>
    <x v="12"/>
    <x v="5"/>
    <x v="359"/>
    <x v="303"/>
    <x v="303"/>
    <s v="REVENUS"/>
    <x v="6"/>
    <s v="4211.001"/>
    <s v="Intérêts de retard sur factures"/>
    <n v="0"/>
    <n v="11123.52"/>
    <n v="4211"/>
  </r>
  <r>
    <x v="1"/>
    <x v="12"/>
    <x v="5"/>
    <x v="359"/>
    <x v="303"/>
    <x v="303"/>
    <s v="REVENUS"/>
    <x v="18"/>
    <s v="4013.003"/>
    <s v="Remboursement impôt complémentaire sur immeubles"/>
    <n v="0"/>
    <n v="-219904.45"/>
    <n v="4013"/>
  </r>
  <r>
    <x v="1"/>
    <x v="12"/>
    <x v="5"/>
    <x v="359"/>
    <x v="303"/>
    <x v="303"/>
    <s v="REVENUS"/>
    <x v="8"/>
    <s v="4091.001"/>
    <s v="Impôt récupéré après défalcations"/>
    <n v="0"/>
    <n v="564.79"/>
    <n v="4091"/>
  </r>
  <r>
    <x v="1"/>
    <x v="12"/>
    <x v="5"/>
    <x v="359"/>
    <x v="303"/>
    <x v="303"/>
    <s v="REVENUS"/>
    <x v="16"/>
    <s v="4012.002"/>
    <s v="Complément impôt capital ordinaire"/>
    <n v="0"/>
    <n v="24312.2"/>
    <n v="4012"/>
  </r>
  <r>
    <x v="1"/>
    <x v="12"/>
    <x v="5"/>
    <x v="359"/>
    <x v="303"/>
    <x v="303"/>
    <s v="REVENUS"/>
    <x v="9"/>
    <s v="4031.001"/>
    <s v="Impôt sur les gains immobiliers"/>
    <n v="0"/>
    <n v="8727.7999999999993"/>
    <n v="4031"/>
  </r>
  <r>
    <x v="1"/>
    <x v="12"/>
    <x v="5"/>
    <x v="359"/>
    <x v="303"/>
    <x v="303"/>
    <s v="REVENUS"/>
    <x v="6"/>
    <s v="4221.002"/>
    <s v="Intérêts compensat. sur impôts distincts"/>
    <n v="0"/>
    <n v="3.46"/>
    <n v="4221"/>
  </r>
  <r>
    <x v="1"/>
    <x v="12"/>
    <x v="5"/>
    <x v="359"/>
    <x v="303"/>
    <x v="303"/>
    <s v="REVENUS"/>
    <x v="8"/>
    <s v="4091.003"/>
    <s v="Impôt récupéré concordat"/>
    <n v="0"/>
    <n v="158.08000000000001"/>
    <n v="4091"/>
  </r>
  <r>
    <x v="1"/>
    <x v="12"/>
    <x v="5"/>
    <x v="360"/>
    <x v="304"/>
    <x v="304"/>
    <s v="CHARGES"/>
    <x v="0"/>
    <s v="3221.002"/>
    <s v="Intérêts compensatoires / créances en faveur ctb."/>
    <n v="217.5"/>
    <n v="0"/>
    <n v="3221"/>
  </r>
  <r>
    <x v="1"/>
    <x v="12"/>
    <x v="5"/>
    <x v="360"/>
    <x v="304"/>
    <x v="304"/>
    <s v="CHARGES"/>
    <x v="1"/>
    <s v="3301.006"/>
    <s v="Abandon de solde PM"/>
    <n v="102.71"/>
    <n v="0"/>
    <n v="3301"/>
  </r>
  <r>
    <x v="1"/>
    <x v="12"/>
    <x v="5"/>
    <x v="360"/>
    <x v="304"/>
    <x v="304"/>
    <s v="CHARGES"/>
    <x v="0"/>
    <s v="3212.004"/>
    <s v="Intérêts rémun./perçu trop tôt sur acomptes C/C"/>
    <n v="249.09"/>
    <n v="0"/>
    <n v="3212"/>
  </r>
  <r>
    <x v="1"/>
    <x v="12"/>
    <x v="5"/>
    <x v="360"/>
    <x v="304"/>
    <x v="304"/>
    <s v="CHARGES"/>
    <x v="0"/>
    <s v="3212.002"/>
    <s v="Intérêts bonifiés/trop perçu acompte C/C"/>
    <n v="0.75"/>
    <n v="0"/>
    <n v="3212"/>
  </r>
  <r>
    <x v="1"/>
    <x v="12"/>
    <x v="5"/>
    <x v="360"/>
    <x v="304"/>
    <x v="304"/>
    <s v="REVENUS"/>
    <x v="6"/>
    <s v="4211.001"/>
    <s v="Intérêts de retard sur factures"/>
    <n v="0"/>
    <n v="79.33"/>
    <n v="4211"/>
  </r>
  <r>
    <x v="1"/>
    <x v="12"/>
    <x v="5"/>
    <x v="360"/>
    <x v="304"/>
    <x v="304"/>
    <s v="REVENUS"/>
    <x v="18"/>
    <s v="4013.001"/>
    <s v="Impôt complémentaire sur immeubles"/>
    <n v="0"/>
    <n v="47885.599999999999"/>
    <n v="4013"/>
  </r>
  <r>
    <x v="1"/>
    <x v="12"/>
    <x v="5"/>
    <x v="360"/>
    <x v="304"/>
    <x v="304"/>
    <s v="REVENUS"/>
    <x v="17"/>
    <s v="4011.001"/>
    <s v="Impôt bénéfice ordinaire"/>
    <n v="0"/>
    <n v="266757.7"/>
    <n v="4011"/>
  </r>
  <r>
    <x v="1"/>
    <x v="12"/>
    <x v="5"/>
    <x v="360"/>
    <x v="304"/>
    <x v="304"/>
    <s v="REVENUS"/>
    <x v="17"/>
    <s v="4011.002"/>
    <s v="Complément impôt bénéfice ordinaire"/>
    <n v="0"/>
    <n v="-16490.25"/>
    <n v="4011"/>
  </r>
  <r>
    <x v="1"/>
    <x v="12"/>
    <x v="5"/>
    <x v="360"/>
    <x v="304"/>
    <x v="304"/>
    <s v="REVENUS"/>
    <x v="6"/>
    <s v="4221.001"/>
    <s v="Intérêts compensat. / créances en faveur du fisc"/>
    <n v="0"/>
    <n v="95.4"/>
    <n v="4221"/>
  </r>
  <r>
    <x v="1"/>
    <x v="12"/>
    <x v="5"/>
    <x v="360"/>
    <x v="304"/>
    <x v="304"/>
    <s v="REVENUS"/>
    <x v="16"/>
    <s v="4012.001"/>
    <s v="Impôt capital ordinaire"/>
    <n v="0"/>
    <n v="11097.15"/>
    <n v="4012"/>
  </r>
  <r>
    <x v="1"/>
    <x v="12"/>
    <x v="5"/>
    <x v="360"/>
    <x v="304"/>
    <x v="304"/>
    <s v="REVENUS"/>
    <x v="16"/>
    <s v="4012.007"/>
    <s v="Acompte sur capital"/>
    <n v="0"/>
    <n v="-6265.45"/>
    <n v="4012"/>
  </r>
  <r>
    <x v="1"/>
    <x v="12"/>
    <x v="5"/>
    <x v="360"/>
    <x v="304"/>
    <x v="304"/>
    <s v="REVENUS"/>
    <x v="17"/>
    <s v="4011.007"/>
    <s v="Acompte sur bénéfice"/>
    <n v="0"/>
    <n v="-54076.4"/>
    <n v="4011"/>
  </r>
  <r>
    <x v="1"/>
    <x v="12"/>
    <x v="5"/>
    <x v="360"/>
    <x v="304"/>
    <x v="304"/>
    <s v="REVENUS"/>
    <x v="6"/>
    <s v="4211.002"/>
    <s v="Intérêts de retard sur acomptes"/>
    <n v="0"/>
    <n v="2758.08"/>
    <n v="4211"/>
  </r>
  <r>
    <x v="1"/>
    <x v="12"/>
    <x v="5"/>
    <x v="360"/>
    <x v="304"/>
    <x v="304"/>
    <s v="REVENUS"/>
    <x v="18"/>
    <s v="4013.002"/>
    <s v="Complément impôt complémentaire sur immeubles"/>
    <n v="0"/>
    <n v="73"/>
    <n v="4013"/>
  </r>
  <r>
    <x v="1"/>
    <x v="12"/>
    <x v="5"/>
    <x v="360"/>
    <x v="304"/>
    <x v="304"/>
    <s v="REVENUS"/>
    <x v="18"/>
    <s v="4013.003"/>
    <s v="Remboursement impôt complémentaire sur immeubles"/>
    <n v="0"/>
    <n v="-49045"/>
    <n v="4013"/>
  </r>
  <r>
    <x v="1"/>
    <x v="12"/>
    <x v="5"/>
    <x v="360"/>
    <x v="304"/>
    <x v="304"/>
    <s v="REVENUS"/>
    <x v="16"/>
    <s v="4012.002"/>
    <s v="Complément impôt capital ordinaire"/>
    <n v="0"/>
    <n v="3.2"/>
    <n v="4012"/>
  </r>
  <r>
    <x v="1"/>
    <x v="12"/>
    <x v="5"/>
    <x v="360"/>
    <x v="304"/>
    <x v="304"/>
    <s v="REVENUS"/>
    <x v="10"/>
    <s v="4041.001"/>
    <s v="Droits de mutation"/>
    <n v="0"/>
    <n v="188429.95"/>
    <n v="4041"/>
  </r>
  <r>
    <x v="1"/>
    <x v="12"/>
    <x v="5"/>
    <x v="360"/>
    <x v="304"/>
    <x v="304"/>
    <s v="REVENUS"/>
    <x v="9"/>
    <s v="4031.001"/>
    <s v="Impôt sur les gains immobiliers"/>
    <n v="0"/>
    <n v="1709.05"/>
    <n v="4031"/>
  </r>
  <r>
    <x v="1"/>
    <x v="12"/>
    <x v="5"/>
    <x v="360"/>
    <x v="304"/>
    <x v="304"/>
    <s v="REVENUS"/>
    <x v="6"/>
    <s v="4221.002"/>
    <s v="Intérêts compensat. sur impôts distincts"/>
    <n v="0"/>
    <n v="0.27"/>
    <n v="4221"/>
  </r>
  <r>
    <x v="1"/>
    <x v="12"/>
    <x v="5"/>
    <x v="360"/>
    <x v="304"/>
    <x v="304"/>
    <s v="REVENUS"/>
    <x v="7"/>
    <s v="4184.000"/>
    <s v="Frais de poursuite"/>
    <n v="0"/>
    <n v="33.15"/>
    <n v="4184"/>
  </r>
  <r>
    <x v="1"/>
    <x v="13"/>
    <x v="5"/>
    <x v="361"/>
    <x v="305"/>
    <x v="305"/>
    <s v="CHARGES"/>
    <x v="0"/>
    <s v="3212.004"/>
    <s v="Intérêts rémun./perçu trop tôt sur acomptes C/C"/>
    <n v="49.34"/>
    <n v="0"/>
    <n v="3212"/>
  </r>
  <r>
    <x v="1"/>
    <x v="13"/>
    <x v="5"/>
    <x v="361"/>
    <x v="305"/>
    <x v="305"/>
    <s v="CHARGES"/>
    <x v="0"/>
    <s v="3221.002"/>
    <s v="Intérêts compensatoires / créances en faveur ctb."/>
    <n v="113.13"/>
    <n v="0"/>
    <n v="3221"/>
  </r>
  <r>
    <x v="1"/>
    <x v="13"/>
    <x v="5"/>
    <x v="361"/>
    <x v="305"/>
    <x v="305"/>
    <s v="CHARGES"/>
    <x v="0"/>
    <s v="3212.002"/>
    <s v="Intérêts bonifiés/trop perçu acompte C/C"/>
    <n v="1.55"/>
    <n v="0"/>
    <n v="3212"/>
  </r>
  <r>
    <x v="1"/>
    <x v="13"/>
    <x v="5"/>
    <x v="361"/>
    <x v="305"/>
    <x v="305"/>
    <s v="CHARGES"/>
    <x v="1"/>
    <s v="3301.006"/>
    <s v="Abandon de solde PM"/>
    <n v="70.61"/>
    <n v="0"/>
    <n v="3301"/>
  </r>
  <r>
    <x v="1"/>
    <x v="13"/>
    <x v="5"/>
    <x v="361"/>
    <x v="305"/>
    <x v="305"/>
    <s v="REVENUS"/>
    <x v="18"/>
    <s v="4013.003"/>
    <s v="Remboursement impôt complémentaire sur immeubles"/>
    <n v="0"/>
    <n v="-197.5"/>
    <n v="4013"/>
  </r>
  <r>
    <x v="1"/>
    <x v="13"/>
    <x v="5"/>
    <x v="361"/>
    <x v="305"/>
    <x v="305"/>
    <s v="REVENUS"/>
    <x v="17"/>
    <s v="4011.001"/>
    <s v="Impôt bénéfice ordinaire"/>
    <n v="0"/>
    <n v="502038.8"/>
    <n v="4011"/>
  </r>
  <r>
    <x v="1"/>
    <x v="13"/>
    <x v="5"/>
    <x v="361"/>
    <x v="305"/>
    <x v="305"/>
    <s v="REVENUS"/>
    <x v="17"/>
    <s v="4011.002"/>
    <s v="Complément impôt bénéfice ordinaire"/>
    <n v="0"/>
    <n v="11152.85"/>
    <n v="4011"/>
  </r>
  <r>
    <x v="1"/>
    <x v="13"/>
    <x v="5"/>
    <x v="361"/>
    <x v="305"/>
    <x v="305"/>
    <s v="REVENUS"/>
    <x v="16"/>
    <s v="4012.002"/>
    <s v="Complément impôt capital ordinaire"/>
    <n v="0"/>
    <n v="302.39999999999998"/>
    <n v="4012"/>
  </r>
  <r>
    <x v="1"/>
    <x v="13"/>
    <x v="5"/>
    <x v="361"/>
    <x v="305"/>
    <x v="305"/>
    <s v="REVENUS"/>
    <x v="6"/>
    <s v="4211.001"/>
    <s v="Intérêts de retard sur factures"/>
    <n v="0"/>
    <n v="170.51"/>
    <n v="4211"/>
  </r>
  <r>
    <x v="1"/>
    <x v="13"/>
    <x v="5"/>
    <x v="361"/>
    <x v="305"/>
    <x v="305"/>
    <s v="REVENUS"/>
    <x v="6"/>
    <s v="4221.001"/>
    <s v="Intérêts compensat. / créances en faveur du fisc"/>
    <n v="0"/>
    <n v="82.59"/>
    <n v="4221"/>
  </r>
  <r>
    <x v="1"/>
    <x v="13"/>
    <x v="5"/>
    <x v="361"/>
    <x v="305"/>
    <x v="305"/>
    <s v="REVENUS"/>
    <x v="16"/>
    <s v="4012.001"/>
    <s v="Impôt capital ordinaire"/>
    <n v="0"/>
    <n v="16756.099999999999"/>
    <n v="4012"/>
  </r>
  <r>
    <x v="1"/>
    <x v="13"/>
    <x v="5"/>
    <x v="361"/>
    <x v="305"/>
    <x v="305"/>
    <s v="REVENUS"/>
    <x v="16"/>
    <s v="4012.007"/>
    <s v="Acompte sur capital"/>
    <n v="0"/>
    <n v="96429.4"/>
    <n v="4012"/>
  </r>
  <r>
    <x v="1"/>
    <x v="13"/>
    <x v="5"/>
    <x v="361"/>
    <x v="305"/>
    <x v="305"/>
    <s v="REVENUS"/>
    <x v="17"/>
    <s v="4011.007"/>
    <s v="Acompte sur bénéfice"/>
    <n v="0"/>
    <n v="-291919.55"/>
    <n v="4011"/>
  </r>
  <r>
    <x v="1"/>
    <x v="13"/>
    <x v="5"/>
    <x v="361"/>
    <x v="305"/>
    <x v="305"/>
    <s v="REVENUS"/>
    <x v="10"/>
    <s v="4041.001"/>
    <s v="Droits de mutation"/>
    <n v="0"/>
    <n v="23018.5"/>
    <n v="4041"/>
  </r>
  <r>
    <x v="1"/>
    <x v="13"/>
    <x v="5"/>
    <x v="361"/>
    <x v="305"/>
    <x v="305"/>
    <s v="REVENUS"/>
    <x v="18"/>
    <s v="4013.001"/>
    <s v="Impôt complémentaire sur immeubles"/>
    <n v="0"/>
    <n v="32162.45"/>
    <n v="4013"/>
  </r>
  <r>
    <x v="1"/>
    <x v="13"/>
    <x v="5"/>
    <x v="361"/>
    <x v="305"/>
    <x v="305"/>
    <s v="REVENUS"/>
    <x v="6"/>
    <s v="4211.002"/>
    <s v="Intérêts de retard sur acomptes"/>
    <n v="0"/>
    <n v="355.98"/>
    <n v="4211"/>
  </r>
  <r>
    <x v="1"/>
    <x v="13"/>
    <x v="5"/>
    <x v="361"/>
    <x v="305"/>
    <x v="305"/>
    <s v="REVENUS"/>
    <x v="7"/>
    <s v="4184.000"/>
    <s v="Frais de poursuite"/>
    <n v="0"/>
    <n v="14.3"/>
    <n v="4184"/>
  </r>
  <r>
    <x v="1"/>
    <x v="13"/>
    <x v="5"/>
    <x v="362"/>
    <x v="306"/>
    <x v="306"/>
    <s v="CHARGES"/>
    <x v="1"/>
    <s v="3301.006"/>
    <s v="Abandon de solde PM"/>
    <n v="29.89"/>
    <n v="0"/>
    <n v="3301"/>
  </r>
  <r>
    <x v="1"/>
    <x v="13"/>
    <x v="5"/>
    <x v="362"/>
    <x v="306"/>
    <x v="306"/>
    <s v="CHARGES"/>
    <x v="0"/>
    <s v="3212.004"/>
    <s v="Intérêts rémun./perçu trop tôt sur acomptes C/C"/>
    <n v="190.56"/>
    <n v="0"/>
    <n v="3212"/>
  </r>
  <r>
    <x v="1"/>
    <x v="13"/>
    <x v="5"/>
    <x v="362"/>
    <x v="306"/>
    <x v="306"/>
    <s v="CHARGES"/>
    <x v="0"/>
    <s v="3212.002"/>
    <s v="Intérêts bonifiés/trop perçu acompte C/C"/>
    <n v="0.13"/>
    <n v="0"/>
    <n v="3212"/>
  </r>
  <r>
    <x v="1"/>
    <x v="13"/>
    <x v="5"/>
    <x v="362"/>
    <x v="306"/>
    <x v="306"/>
    <s v="CHARGES"/>
    <x v="0"/>
    <s v="3221.002"/>
    <s v="Intérêts compensatoires / créances en faveur ctb."/>
    <n v="257.58"/>
    <n v="0"/>
    <n v="3221"/>
  </r>
  <r>
    <x v="1"/>
    <x v="13"/>
    <x v="5"/>
    <x v="362"/>
    <x v="306"/>
    <x v="306"/>
    <s v="CHARGES"/>
    <x v="1"/>
    <s v="3301.002"/>
    <s v="Défalcation PM"/>
    <n v="68.77"/>
    <n v="0"/>
    <n v="3301"/>
  </r>
  <r>
    <x v="1"/>
    <x v="13"/>
    <x v="5"/>
    <x v="362"/>
    <x v="306"/>
    <x v="306"/>
    <s v="REVENUS"/>
    <x v="18"/>
    <s v="4013.001"/>
    <s v="Impôt complémentaire sur immeubles"/>
    <n v="0"/>
    <n v="31542.55"/>
    <n v="4013"/>
  </r>
  <r>
    <x v="1"/>
    <x v="13"/>
    <x v="5"/>
    <x v="362"/>
    <x v="306"/>
    <x v="306"/>
    <s v="REVENUS"/>
    <x v="6"/>
    <s v="4211.001"/>
    <s v="Intérêts de retard sur factures"/>
    <n v="0"/>
    <n v="245.62"/>
    <n v="4211"/>
  </r>
  <r>
    <x v="1"/>
    <x v="13"/>
    <x v="5"/>
    <x v="362"/>
    <x v="306"/>
    <x v="306"/>
    <s v="REVENUS"/>
    <x v="17"/>
    <s v="4011.001"/>
    <s v="Impôt bénéfice ordinaire"/>
    <n v="0"/>
    <n v="7120673.75"/>
    <n v="4011"/>
  </r>
  <r>
    <x v="1"/>
    <x v="13"/>
    <x v="5"/>
    <x v="362"/>
    <x v="306"/>
    <x v="306"/>
    <s v="REVENUS"/>
    <x v="17"/>
    <s v="4011.002"/>
    <s v="Complément impôt bénéfice ordinaire"/>
    <n v="0"/>
    <n v="10134.35"/>
    <n v="4011"/>
  </r>
  <r>
    <x v="1"/>
    <x v="13"/>
    <x v="5"/>
    <x v="362"/>
    <x v="306"/>
    <x v="306"/>
    <s v="REVENUS"/>
    <x v="16"/>
    <s v="4012.007"/>
    <s v="Acompte sur capital"/>
    <n v="0"/>
    <n v="61268.800000000003"/>
    <n v="4012"/>
  </r>
  <r>
    <x v="1"/>
    <x v="13"/>
    <x v="5"/>
    <x v="362"/>
    <x v="306"/>
    <x v="306"/>
    <s v="REVENUS"/>
    <x v="17"/>
    <s v="4011.007"/>
    <s v="Acompte sur bénéfice"/>
    <n v="0"/>
    <n v="-2050529.25"/>
    <n v="4011"/>
  </r>
  <r>
    <x v="1"/>
    <x v="13"/>
    <x v="5"/>
    <x v="362"/>
    <x v="306"/>
    <x v="306"/>
    <s v="REVENUS"/>
    <x v="16"/>
    <s v="4012.001"/>
    <s v="Impôt capital ordinaire"/>
    <n v="0"/>
    <n v="424878.6"/>
    <n v="4012"/>
  </r>
  <r>
    <x v="1"/>
    <x v="13"/>
    <x v="5"/>
    <x v="362"/>
    <x v="306"/>
    <x v="306"/>
    <s v="REVENUS"/>
    <x v="6"/>
    <s v="4211.002"/>
    <s v="Intérêts de retard sur acomptes"/>
    <n v="0"/>
    <n v="1543.97"/>
    <n v="4211"/>
  </r>
  <r>
    <x v="1"/>
    <x v="13"/>
    <x v="5"/>
    <x v="362"/>
    <x v="306"/>
    <x v="306"/>
    <s v="REVENUS"/>
    <x v="10"/>
    <s v="4041.001"/>
    <s v="Droits de mutation"/>
    <n v="0"/>
    <n v="22145.75"/>
    <n v="4041"/>
  </r>
  <r>
    <x v="1"/>
    <x v="13"/>
    <x v="5"/>
    <x v="362"/>
    <x v="306"/>
    <x v="306"/>
    <s v="REVENUS"/>
    <x v="7"/>
    <s v="4184.000"/>
    <s v="Frais de poursuite"/>
    <n v="0"/>
    <n v="87.67"/>
    <n v="4184"/>
  </r>
  <r>
    <x v="1"/>
    <x v="13"/>
    <x v="5"/>
    <x v="362"/>
    <x v="306"/>
    <x v="306"/>
    <s v="REVENUS"/>
    <x v="6"/>
    <s v="4221.001"/>
    <s v="Intérêts compensat. / créances en faveur du fisc"/>
    <n v="0"/>
    <n v="181.56"/>
    <n v="4221"/>
  </r>
  <r>
    <x v="1"/>
    <x v="13"/>
    <x v="5"/>
    <x v="362"/>
    <x v="306"/>
    <x v="306"/>
    <s v="REVENUS"/>
    <x v="18"/>
    <s v="4013.003"/>
    <s v="Remboursement impôt complémentaire sur immeubles"/>
    <n v="0"/>
    <n v="-454.5"/>
    <n v="4013"/>
  </r>
  <r>
    <x v="1"/>
    <x v="13"/>
    <x v="5"/>
    <x v="362"/>
    <x v="306"/>
    <x v="306"/>
    <s v="REVENUS"/>
    <x v="16"/>
    <s v="4012.002"/>
    <s v="Complément impôt capital ordinaire"/>
    <n v="0"/>
    <n v="87.3"/>
    <n v="4012"/>
  </r>
  <r>
    <x v="1"/>
    <x v="13"/>
    <x v="5"/>
    <x v="363"/>
    <x v="307"/>
    <x v="307"/>
    <s v="CHARGES"/>
    <x v="0"/>
    <s v="3212.004"/>
    <s v="Intérêts rémun./perçu trop tôt sur acomptes C/C"/>
    <n v="5.61"/>
    <n v="0"/>
    <n v="3212"/>
  </r>
  <r>
    <x v="1"/>
    <x v="13"/>
    <x v="5"/>
    <x v="363"/>
    <x v="307"/>
    <x v="307"/>
    <s v="CHARGES"/>
    <x v="0"/>
    <s v="3221.002"/>
    <s v="Intérêts compensatoires / créances en faveur ctb."/>
    <n v="7.12"/>
    <n v="0"/>
    <n v="3221"/>
  </r>
  <r>
    <x v="1"/>
    <x v="13"/>
    <x v="5"/>
    <x v="363"/>
    <x v="307"/>
    <x v="307"/>
    <s v="CHARGES"/>
    <x v="0"/>
    <s v="3212.002"/>
    <s v="Intérêts bonifiés/trop perçu acompte C/C"/>
    <n v="0.02"/>
    <n v="0"/>
    <n v="3212"/>
  </r>
  <r>
    <x v="1"/>
    <x v="13"/>
    <x v="5"/>
    <x v="363"/>
    <x v="307"/>
    <x v="307"/>
    <s v="CHARGES"/>
    <x v="1"/>
    <s v="3301.006"/>
    <s v="Abandon de solde PM"/>
    <n v="6.51"/>
    <n v="0"/>
    <n v="3301"/>
  </r>
  <r>
    <x v="1"/>
    <x v="13"/>
    <x v="5"/>
    <x v="363"/>
    <x v="307"/>
    <x v="307"/>
    <s v="REVENUS"/>
    <x v="17"/>
    <s v="4011.001"/>
    <s v="Impôt bénéfice ordinaire"/>
    <n v="0"/>
    <n v="48000.45"/>
    <n v="4011"/>
  </r>
  <r>
    <x v="1"/>
    <x v="13"/>
    <x v="5"/>
    <x v="363"/>
    <x v="307"/>
    <x v="307"/>
    <s v="REVENUS"/>
    <x v="17"/>
    <s v="4011.007"/>
    <s v="Acompte sur bénéfice"/>
    <n v="0"/>
    <n v="-50098"/>
    <n v="4011"/>
  </r>
  <r>
    <x v="1"/>
    <x v="13"/>
    <x v="5"/>
    <x v="363"/>
    <x v="307"/>
    <x v="307"/>
    <s v="REVENUS"/>
    <x v="6"/>
    <s v="4221.001"/>
    <s v="Intérêts compensat. / créances en faveur du fisc"/>
    <n v="0"/>
    <n v="4.47"/>
    <n v="4221"/>
  </r>
  <r>
    <x v="1"/>
    <x v="13"/>
    <x v="5"/>
    <x v="363"/>
    <x v="307"/>
    <x v="307"/>
    <s v="REVENUS"/>
    <x v="17"/>
    <s v="4011.002"/>
    <s v="Complément impôt bénéfice ordinaire"/>
    <n v="0"/>
    <n v="585.4"/>
    <n v="4011"/>
  </r>
  <r>
    <x v="1"/>
    <x v="13"/>
    <x v="5"/>
    <x v="363"/>
    <x v="307"/>
    <x v="307"/>
    <s v="REVENUS"/>
    <x v="16"/>
    <s v="4012.001"/>
    <s v="Impôt capital ordinaire"/>
    <n v="0"/>
    <n v="2232.15"/>
    <n v="4012"/>
  </r>
  <r>
    <x v="1"/>
    <x v="13"/>
    <x v="5"/>
    <x v="363"/>
    <x v="307"/>
    <x v="307"/>
    <s v="REVENUS"/>
    <x v="16"/>
    <s v="4012.007"/>
    <s v="Acompte sur capital"/>
    <n v="0"/>
    <n v="57651.4"/>
    <n v="4012"/>
  </r>
  <r>
    <x v="1"/>
    <x v="13"/>
    <x v="5"/>
    <x v="363"/>
    <x v="307"/>
    <x v="307"/>
    <s v="REVENUS"/>
    <x v="18"/>
    <s v="4013.001"/>
    <s v="Impôt complémentaire sur immeubles"/>
    <n v="0"/>
    <n v="2847"/>
    <n v="4013"/>
  </r>
  <r>
    <x v="1"/>
    <x v="13"/>
    <x v="5"/>
    <x v="363"/>
    <x v="307"/>
    <x v="307"/>
    <s v="REVENUS"/>
    <x v="6"/>
    <s v="4211.002"/>
    <s v="Intérêts de retard sur acomptes"/>
    <n v="0"/>
    <n v="79.89"/>
    <n v="4211"/>
  </r>
  <r>
    <x v="1"/>
    <x v="13"/>
    <x v="5"/>
    <x v="363"/>
    <x v="307"/>
    <x v="307"/>
    <s v="REVENUS"/>
    <x v="10"/>
    <s v="4041.001"/>
    <s v="Droits de mutation"/>
    <n v="0"/>
    <n v="3520"/>
    <n v="4041"/>
  </r>
  <r>
    <x v="1"/>
    <x v="13"/>
    <x v="5"/>
    <x v="363"/>
    <x v="307"/>
    <x v="307"/>
    <s v="REVENUS"/>
    <x v="6"/>
    <s v="4211.001"/>
    <s v="Intérêts de retard sur factures"/>
    <n v="0"/>
    <n v="7.97"/>
    <n v="4211"/>
  </r>
  <r>
    <x v="1"/>
    <x v="13"/>
    <x v="5"/>
    <x v="364"/>
    <x v="308"/>
    <x v="308"/>
    <s v="CHARGES"/>
    <x v="1"/>
    <s v="3301.006"/>
    <s v="Abandon de solde PM"/>
    <n v="9.85"/>
    <n v="0"/>
    <n v="3301"/>
  </r>
  <r>
    <x v="1"/>
    <x v="13"/>
    <x v="5"/>
    <x v="364"/>
    <x v="308"/>
    <x v="308"/>
    <s v="CHARGES"/>
    <x v="0"/>
    <s v="3212.004"/>
    <s v="Intérêts rémun./perçu trop tôt sur acomptes C/C"/>
    <n v="1.55"/>
    <n v="0"/>
    <n v="3212"/>
  </r>
  <r>
    <x v="1"/>
    <x v="13"/>
    <x v="5"/>
    <x v="364"/>
    <x v="308"/>
    <x v="308"/>
    <s v="CHARGES"/>
    <x v="0"/>
    <s v="3221.002"/>
    <s v="Intérêts compensatoires / créances en faveur ctb."/>
    <n v="1.36"/>
    <n v="0"/>
    <n v="3221"/>
  </r>
  <r>
    <x v="1"/>
    <x v="13"/>
    <x v="5"/>
    <x v="364"/>
    <x v="308"/>
    <x v="308"/>
    <s v="REVENUS"/>
    <x v="18"/>
    <s v="4013.001"/>
    <s v="Impôt complémentaire sur immeubles"/>
    <n v="0"/>
    <n v="1849.4"/>
    <n v="4013"/>
  </r>
  <r>
    <x v="1"/>
    <x v="13"/>
    <x v="5"/>
    <x v="364"/>
    <x v="308"/>
    <x v="308"/>
    <s v="REVENUS"/>
    <x v="16"/>
    <s v="4012.007"/>
    <s v="Acompte sur capital"/>
    <n v="0"/>
    <n v="550.54999999999995"/>
    <n v="4012"/>
  </r>
  <r>
    <x v="1"/>
    <x v="13"/>
    <x v="5"/>
    <x v="364"/>
    <x v="308"/>
    <x v="308"/>
    <s v="REVENUS"/>
    <x v="17"/>
    <s v="4011.007"/>
    <s v="Acompte sur bénéfice"/>
    <n v="0"/>
    <n v="-1548.95"/>
    <n v="4011"/>
  </r>
  <r>
    <x v="1"/>
    <x v="13"/>
    <x v="5"/>
    <x v="364"/>
    <x v="308"/>
    <x v="308"/>
    <s v="REVENUS"/>
    <x v="17"/>
    <s v="4011.001"/>
    <s v="Impôt bénéfice ordinaire"/>
    <n v="0"/>
    <n v="580.79999999999995"/>
    <n v="4011"/>
  </r>
  <r>
    <x v="1"/>
    <x v="13"/>
    <x v="5"/>
    <x v="364"/>
    <x v="308"/>
    <x v="308"/>
    <s v="REVENUS"/>
    <x v="16"/>
    <s v="4012.001"/>
    <s v="Impôt capital ordinaire"/>
    <n v="0"/>
    <n v="564.45000000000005"/>
    <n v="4012"/>
  </r>
  <r>
    <x v="1"/>
    <x v="13"/>
    <x v="5"/>
    <x v="364"/>
    <x v="308"/>
    <x v="308"/>
    <s v="REVENUS"/>
    <x v="18"/>
    <s v="4013.003"/>
    <s v="Remboursement impôt complémentaire sur immeubles"/>
    <n v="0"/>
    <n v="-300.10000000000002"/>
    <n v="4013"/>
  </r>
  <r>
    <x v="1"/>
    <x v="13"/>
    <x v="5"/>
    <x v="364"/>
    <x v="308"/>
    <x v="308"/>
    <s v="REVENUS"/>
    <x v="6"/>
    <s v="4211.002"/>
    <s v="Intérêts de retard sur acomptes"/>
    <n v="0"/>
    <n v="0.3"/>
    <n v="4211"/>
  </r>
  <r>
    <x v="1"/>
    <x v="13"/>
    <x v="5"/>
    <x v="364"/>
    <x v="308"/>
    <x v="308"/>
    <s v="REVENUS"/>
    <x v="6"/>
    <s v="4221.001"/>
    <s v="Intérêts compensat. / créances en faveur du fisc"/>
    <n v="0"/>
    <n v="0.11"/>
    <n v="4221"/>
  </r>
  <r>
    <x v="1"/>
    <x v="13"/>
    <x v="5"/>
    <x v="365"/>
    <x v="309"/>
    <x v="309"/>
    <s v="CHARGES"/>
    <x v="0"/>
    <s v="3212.004"/>
    <s v="Intérêts rémun./perçu trop tôt sur acomptes C/C"/>
    <n v="3.3"/>
    <n v="0"/>
    <n v="3212"/>
  </r>
  <r>
    <x v="1"/>
    <x v="13"/>
    <x v="5"/>
    <x v="365"/>
    <x v="309"/>
    <x v="309"/>
    <s v="CHARGES"/>
    <x v="0"/>
    <s v="3221.002"/>
    <s v="Intérêts compensatoires / créances en faveur ctb."/>
    <n v="14.87"/>
    <n v="0"/>
    <n v="3221"/>
  </r>
  <r>
    <x v="1"/>
    <x v="13"/>
    <x v="5"/>
    <x v="365"/>
    <x v="309"/>
    <x v="309"/>
    <s v="CHARGES"/>
    <x v="0"/>
    <s v="3212.002"/>
    <s v="Intérêts bonifiés/trop perçu acompte C/C"/>
    <n v="0.02"/>
    <n v="0"/>
    <n v="3212"/>
  </r>
  <r>
    <x v="1"/>
    <x v="13"/>
    <x v="5"/>
    <x v="365"/>
    <x v="309"/>
    <x v="309"/>
    <s v="CHARGES"/>
    <x v="1"/>
    <s v="3301.006"/>
    <s v="Abandon de solde PM"/>
    <n v="5.98"/>
    <n v="0"/>
    <n v="3301"/>
  </r>
  <r>
    <x v="1"/>
    <x v="13"/>
    <x v="5"/>
    <x v="365"/>
    <x v="309"/>
    <x v="309"/>
    <s v="REVENUS"/>
    <x v="18"/>
    <s v="4013.001"/>
    <s v="Impôt complémentaire sur immeubles"/>
    <n v="0"/>
    <n v="1502.75"/>
    <n v="4013"/>
  </r>
  <r>
    <x v="1"/>
    <x v="13"/>
    <x v="5"/>
    <x v="365"/>
    <x v="309"/>
    <x v="309"/>
    <s v="REVENUS"/>
    <x v="17"/>
    <s v="4011.007"/>
    <s v="Acompte sur bénéfice"/>
    <n v="0"/>
    <n v="-610.54999999999995"/>
    <n v="4011"/>
  </r>
  <r>
    <x v="1"/>
    <x v="13"/>
    <x v="5"/>
    <x v="365"/>
    <x v="309"/>
    <x v="309"/>
    <s v="REVENUS"/>
    <x v="16"/>
    <s v="4012.001"/>
    <s v="Impôt capital ordinaire"/>
    <n v="0"/>
    <n v="246.5"/>
    <n v="4012"/>
  </r>
  <r>
    <x v="1"/>
    <x v="13"/>
    <x v="5"/>
    <x v="365"/>
    <x v="309"/>
    <x v="309"/>
    <s v="REVENUS"/>
    <x v="17"/>
    <s v="4011.001"/>
    <s v="Impôt bénéfice ordinaire"/>
    <n v="0"/>
    <n v="76460.5"/>
    <n v="4011"/>
  </r>
  <r>
    <x v="1"/>
    <x v="13"/>
    <x v="5"/>
    <x v="365"/>
    <x v="309"/>
    <x v="309"/>
    <s v="REVENUS"/>
    <x v="17"/>
    <s v="4011.002"/>
    <s v="Complément impôt bénéfice ordinaire"/>
    <n v="0"/>
    <n v="1551.15"/>
    <n v="4011"/>
  </r>
  <r>
    <x v="1"/>
    <x v="13"/>
    <x v="5"/>
    <x v="365"/>
    <x v="309"/>
    <x v="309"/>
    <s v="REVENUS"/>
    <x v="6"/>
    <s v="4211.001"/>
    <s v="Intérêts de retard sur factures"/>
    <n v="0"/>
    <n v="2.72"/>
    <n v="4211"/>
  </r>
  <r>
    <x v="1"/>
    <x v="13"/>
    <x v="5"/>
    <x v="365"/>
    <x v="309"/>
    <x v="309"/>
    <s v="REVENUS"/>
    <x v="18"/>
    <s v="4013.002"/>
    <s v="Complément impôt complémentaire sur immeubles"/>
    <n v="0"/>
    <n v="562.25"/>
    <n v="4013"/>
  </r>
  <r>
    <x v="1"/>
    <x v="13"/>
    <x v="5"/>
    <x v="365"/>
    <x v="309"/>
    <x v="309"/>
    <s v="REVENUS"/>
    <x v="16"/>
    <s v="4012.007"/>
    <s v="Acompte sur capital"/>
    <n v="0"/>
    <n v="-80.400000000000006"/>
    <n v="4012"/>
  </r>
  <r>
    <x v="1"/>
    <x v="13"/>
    <x v="5"/>
    <x v="365"/>
    <x v="309"/>
    <x v="309"/>
    <s v="REVENUS"/>
    <x v="6"/>
    <s v="4211.002"/>
    <s v="Intérêts de retard sur acomptes"/>
    <n v="0"/>
    <n v="215.44"/>
    <n v="4211"/>
  </r>
  <r>
    <x v="1"/>
    <x v="13"/>
    <x v="5"/>
    <x v="365"/>
    <x v="309"/>
    <x v="309"/>
    <s v="REVENUS"/>
    <x v="6"/>
    <s v="4221.001"/>
    <s v="Intérêts compensat. / créances en faveur du fisc"/>
    <n v="0"/>
    <n v="23.02"/>
    <n v="4221"/>
  </r>
  <r>
    <x v="1"/>
    <x v="13"/>
    <x v="5"/>
    <x v="366"/>
    <x v="310"/>
    <x v="310"/>
    <s v="CHARGES"/>
    <x v="1"/>
    <s v="3301.006"/>
    <s v="Abandon de solde PM"/>
    <n v="19.329999999999998"/>
    <n v="0"/>
    <n v="3301"/>
  </r>
  <r>
    <x v="1"/>
    <x v="13"/>
    <x v="5"/>
    <x v="366"/>
    <x v="310"/>
    <x v="310"/>
    <s v="CHARGES"/>
    <x v="0"/>
    <s v="3212.002"/>
    <s v="Intérêts bonifiés/trop perçu acompte C/C"/>
    <n v="0.03"/>
    <n v="0"/>
    <n v="3212"/>
  </r>
  <r>
    <x v="1"/>
    <x v="13"/>
    <x v="5"/>
    <x v="366"/>
    <x v="310"/>
    <x v="310"/>
    <s v="CHARGES"/>
    <x v="0"/>
    <s v="3212.004"/>
    <s v="Intérêts rémun./perçu trop tôt sur acomptes C/C"/>
    <n v="17.53"/>
    <n v="0"/>
    <n v="3212"/>
  </r>
  <r>
    <x v="1"/>
    <x v="13"/>
    <x v="5"/>
    <x v="366"/>
    <x v="310"/>
    <x v="310"/>
    <s v="CHARGES"/>
    <x v="0"/>
    <s v="3221.002"/>
    <s v="Intérêts compensatoires / créances en faveur ctb."/>
    <n v="30.73"/>
    <n v="0"/>
    <n v="3221"/>
  </r>
  <r>
    <x v="1"/>
    <x v="13"/>
    <x v="5"/>
    <x v="366"/>
    <x v="310"/>
    <x v="310"/>
    <s v="REVENUS"/>
    <x v="6"/>
    <s v="4211.001"/>
    <s v="Intérêts de retard sur factures"/>
    <n v="0"/>
    <n v="36.729999999999997"/>
    <n v="4211"/>
  </r>
  <r>
    <x v="1"/>
    <x v="13"/>
    <x v="5"/>
    <x v="366"/>
    <x v="310"/>
    <x v="310"/>
    <s v="REVENUS"/>
    <x v="18"/>
    <s v="4013.001"/>
    <s v="Impôt complémentaire sur immeubles"/>
    <n v="0"/>
    <n v="1431.35"/>
    <n v="4013"/>
  </r>
  <r>
    <x v="1"/>
    <x v="13"/>
    <x v="5"/>
    <x v="366"/>
    <x v="310"/>
    <x v="310"/>
    <s v="REVENUS"/>
    <x v="17"/>
    <s v="4011.001"/>
    <s v="Impôt bénéfice ordinaire"/>
    <n v="0"/>
    <n v="38339"/>
    <n v="4011"/>
  </r>
  <r>
    <x v="1"/>
    <x v="13"/>
    <x v="5"/>
    <x v="366"/>
    <x v="310"/>
    <x v="310"/>
    <s v="REVENUS"/>
    <x v="17"/>
    <s v="4011.002"/>
    <s v="Complément impôt bénéfice ordinaire"/>
    <n v="0"/>
    <n v="641.45000000000005"/>
    <n v="4011"/>
  </r>
  <r>
    <x v="1"/>
    <x v="13"/>
    <x v="5"/>
    <x v="366"/>
    <x v="310"/>
    <x v="310"/>
    <s v="REVENUS"/>
    <x v="17"/>
    <s v="4011.007"/>
    <s v="Acompte sur bénéfice"/>
    <n v="0"/>
    <n v="-40265.1"/>
    <n v="4011"/>
  </r>
  <r>
    <x v="1"/>
    <x v="13"/>
    <x v="5"/>
    <x v="366"/>
    <x v="310"/>
    <x v="310"/>
    <s v="REVENUS"/>
    <x v="18"/>
    <s v="4013.002"/>
    <s v="Complément impôt complémentaire sur immeubles"/>
    <n v="0"/>
    <n v="33"/>
    <n v="4013"/>
  </r>
  <r>
    <x v="1"/>
    <x v="13"/>
    <x v="5"/>
    <x v="366"/>
    <x v="310"/>
    <x v="310"/>
    <s v="REVENUS"/>
    <x v="16"/>
    <s v="4012.007"/>
    <s v="Acompte sur capital"/>
    <n v="0"/>
    <n v="3596.25"/>
    <n v="4012"/>
  </r>
  <r>
    <x v="1"/>
    <x v="13"/>
    <x v="5"/>
    <x v="366"/>
    <x v="310"/>
    <x v="310"/>
    <s v="REVENUS"/>
    <x v="16"/>
    <s v="4012.001"/>
    <s v="Impôt capital ordinaire"/>
    <n v="0"/>
    <n v="318.95"/>
    <n v="4012"/>
  </r>
  <r>
    <x v="1"/>
    <x v="13"/>
    <x v="5"/>
    <x v="366"/>
    <x v="310"/>
    <x v="310"/>
    <s v="REVENUS"/>
    <x v="10"/>
    <s v="4041.001"/>
    <s v="Droits de mutation"/>
    <n v="0"/>
    <n v="4400"/>
    <n v="4041"/>
  </r>
  <r>
    <x v="1"/>
    <x v="13"/>
    <x v="5"/>
    <x v="366"/>
    <x v="310"/>
    <x v="310"/>
    <s v="REVENUS"/>
    <x v="6"/>
    <s v="4221.001"/>
    <s v="Intérêts compensat. / créances en faveur du fisc"/>
    <n v="0"/>
    <n v="1.39"/>
    <n v="4221"/>
  </r>
  <r>
    <x v="1"/>
    <x v="13"/>
    <x v="5"/>
    <x v="366"/>
    <x v="310"/>
    <x v="310"/>
    <s v="REVENUS"/>
    <x v="6"/>
    <s v="4211.002"/>
    <s v="Intérêts de retard sur acomptes"/>
    <n v="0"/>
    <n v="81.790000000000006"/>
    <n v="4211"/>
  </r>
  <r>
    <x v="1"/>
    <x v="13"/>
    <x v="5"/>
    <x v="366"/>
    <x v="310"/>
    <x v="310"/>
    <s v="REVENUS"/>
    <x v="16"/>
    <s v="4012.002"/>
    <s v="Complément impôt capital ordinaire"/>
    <n v="0"/>
    <n v="99"/>
    <n v="4012"/>
  </r>
  <r>
    <x v="1"/>
    <x v="13"/>
    <x v="5"/>
    <x v="366"/>
    <x v="310"/>
    <x v="310"/>
    <s v="REVENUS"/>
    <x v="7"/>
    <s v="4184.000"/>
    <s v="Frais de poursuite"/>
    <n v="0"/>
    <n v="24.17"/>
    <n v="4184"/>
  </r>
  <r>
    <x v="1"/>
    <x v="13"/>
    <x v="5"/>
    <x v="367"/>
    <x v="311"/>
    <x v="311"/>
    <s v="CHARGES"/>
    <x v="0"/>
    <s v="3212.004"/>
    <s v="Intérêts rémun./perçu trop tôt sur acomptes C/C"/>
    <n v="18.09"/>
    <n v="0"/>
    <n v="3212"/>
  </r>
  <r>
    <x v="1"/>
    <x v="13"/>
    <x v="5"/>
    <x v="367"/>
    <x v="311"/>
    <x v="311"/>
    <s v="CHARGES"/>
    <x v="0"/>
    <s v="3221.002"/>
    <s v="Intérêts compensatoires / créances en faveur ctb."/>
    <n v="22.73"/>
    <n v="0"/>
    <n v="3221"/>
  </r>
  <r>
    <x v="1"/>
    <x v="13"/>
    <x v="5"/>
    <x v="367"/>
    <x v="311"/>
    <x v="311"/>
    <s v="CHARGES"/>
    <x v="1"/>
    <s v="3301.006"/>
    <s v="Abandon de solde PM"/>
    <n v="38.35"/>
    <n v="0"/>
    <n v="3301"/>
  </r>
  <r>
    <x v="1"/>
    <x v="13"/>
    <x v="5"/>
    <x v="367"/>
    <x v="311"/>
    <x v="311"/>
    <s v="CHARGES"/>
    <x v="0"/>
    <s v="3212.002"/>
    <s v="Intérêts bonifiés/trop perçu acompte C/C"/>
    <n v="0.02"/>
    <n v="0"/>
    <n v="3212"/>
  </r>
  <r>
    <x v="1"/>
    <x v="13"/>
    <x v="5"/>
    <x v="367"/>
    <x v="311"/>
    <x v="311"/>
    <s v="REVENUS"/>
    <x v="17"/>
    <s v="4011.001"/>
    <s v="Impôt bénéfice ordinaire"/>
    <n v="0"/>
    <n v="46989.2"/>
    <n v="4011"/>
  </r>
  <r>
    <x v="1"/>
    <x v="13"/>
    <x v="5"/>
    <x v="367"/>
    <x v="311"/>
    <x v="311"/>
    <s v="REVENUS"/>
    <x v="17"/>
    <s v="4011.007"/>
    <s v="Acompte sur bénéfice"/>
    <n v="0"/>
    <n v="-27354.55"/>
    <n v="4011"/>
  </r>
  <r>
    <x v="1"/>
    <x v="13"/>
    <x v="5"/>
    <x v="367"/>
    <x v="311"/>
    <x v="311"/>
    <s v="REVENUS"/>
    <x v="18"/>
    <s v="4013.001"/>
    <s v="Impôt complémentaire sur immeubles"/>
    <n v="0"/>
    <n v="1265.1500000000001"/>
    <n v="4013"/>
  </r>
  <r>
    <x v="1"/>
    <x v="13"/>
    <x v="5"/>
    <x v="367"/>
    <x v="311"/>
    <x v="311"/>
    <s v="REVENUS"/>
    <x v="6"/>
    <s v="4211.001"/>
    <s v="Intérêts de retard sur factures"/>
    <n v="0"/>
    <n v="32.68"/>
    <n v="4211"/>
  </r>
  <r>
    <x v="1"/>
    <x v="13"/>
    <x v="5"/>
    <x v="367"/>
    <x v="311"/>
    <x v="311"/>
    <s v="REVENUS"/>
    <x v="17"/>
    <s v="4011.002"/>
    <s v="Complément impôt bénéfice ordinaire"/>
    <n v="0"/>
    <n v="512.04999999999995"/>
    <n v="4011"/>
  </r>
  <r>
    <x v="1"/>
    <x v="13"/>
    <x v="5"/>
    <x v="367"/>
    <x v="311"/>
    <x v="311"/>
    <s v="REVENUS"/>
    <x v="16"/>
    <s v="4012.001"/>
    <s v="Impôt capital ordinaire"/>
    <n v="0"/>
    <n v="1437.5"/>
    <n v="4012"/>
  </r>
  <r>
    <x v="1"/>
    <x v="13"/>
    <x v="5"/>
    <x v="367"/>
    <x v="311"/>
    <x v="311"/>
    <s v="REVENUS"/>
    <x v="16"/>
    <s v="4012.007"/>
    <s v="Acompte sur capital"/>
    <n v="0"/>
    <n v="1957.4"/>
    <n v="4012"/>
  </r>
  <r>
    <x v="1"/>
    <x v="13"/>
    <x v="5"/>
    <x v="367"/>
    <x v="311"/>
    <x v="311"/>
    <s v="REVENUS"/>
    <x v="6"/>
    <s v="4211.002"/>
    <s v="Intérêts de retard sur acomptes"/>
    <n v="0"/>
    <n v="46.21"/>
    <n v="4211"/>
  </r>
  <r>
    <x v="1"/>
    <x v="13"/>
    <x v="5"/>
    <x v="367"/>
    <x v="311"/>
    <x v="311"/>
    <s v="REVENUS"/>
    <x v="6"/>
    <s v="4221.001"/>
    <s v="Intérêts compensat. / créances en faveur du fisc"/>
    <n v="0"/>
    <n v="16.2"/>
    <n v="4221"/>
  </r>
  <r>
    <x v="1"/>
    <x v="13"/>
    <x v="5"/>
    <x v="367"/>
    <x v="311"/>
    <x v="311"/>
    <s v="REVENUS"/>
    <x v="18"/>
    <s v="4013.003"/>
    <s v="Remboursement impôt complémentaire sur immeubles"/>
    <n v="0"/>
    <n v="-27.4"/>
    <n v="4013"/>
  </r>
  <r>
    <x v="1"/>
    <x v="13"/>
    <x v="5"/>
    <x v="367"/>
    <x v="311"/>
    <x v="311"/>
    <s v="REVENUS"/>
    <x v="7"/>
    <s v="4184.000"/>
    <s v="Frais de poursuite"/>
    <n v="0"/>
    <n v="34.17"/>
    <n v="4184"/>
  </r>
  <r>
    <x v="1"/>
    <x v="13"/>
    <x v="5"/>
    <x v="367"/>
    <x v="311"/>
    <x v="311"/>
    <s v="REVENUS"/>
    <x v="18"/>
    <s v="4013.002"/>
    <s v="Complément impôt complémentaire sur immeubles"/>
    <n v="0"/>
    <n v="22.25"/>
    <n v="4013"/>
  </r>
  <r>
    <x v="1"/>
    <x v="13"/>
    <x v="5"/>
    <x v="368"/>
    <x v="312"/>
    <x v="312"/>
    <s v="CHARGES"/>
    <x v="1"/>
    <s v="3301.002"/>
    <s v="Défalcation PM"/>
    <n v="797.62"/>
    <n v="0"/>
    <n v="3301"/>
  </r>
  <r>
    <x v="1"/>
    <x v="13"/>
    <x v="5"/>
    <x v="368"/>
    <x v="312"/>
    <x v="312"/>
    <s v="CHARGES"/>
    <x v="0"/>
    <s v="3212.004"/>
    <s v="Intérêts rémun./perçu trop tôt sur acomptes C/C"/>
    <n v="7.86"/>
    <n v="0"/>
    <n v="3212"/>
  </r>
  <r>
    <x v="1"/>
    <x v="13"/>
    <x v="5"/>
    <x v="368"/>
    <x v="312"/>
    <x v="312"/>
    <s v="CHARGES"/>
    <x v="0"/>
    <s v="3221.002"/>
    <s v="Intérêts compensatoires / créances en faveur ctb."/>
    <n v="17.61"/>
    <n v="0"/>
    <n v="3221"/>
  </r>
  <r>
    <x v="1"/>
    <x v="13"/>
    <x v="5"/>
    <x v="368"/>
    <x v="312"/>
    <x v="312"/>
    <s v="CHARGES"/>
    <x v="1"/>
    <s v="3301.006"/>
    <s v="Abandon de solde PM"/>
    <n v="32.82"/>
    <n v="0"/>
    <n v="3301"/>
  </r>
  <r>
    <x v="1"/>
    <x v="13"/>
    <x v="5"/>
    <x v="368"/>
    <x v="312"/>
    <x v="312"/>
    <s v="CHARGES"/>
    <x v="0"/>
    <s v="3212.002"/>
    <s v="Intérêts bonifiés/trop perçu acompte C/C"/>
    <n v="0.08"/>
    <n v="0"/>
    <n v="3212"/>
  </r>
  <r>
    <x v="1"/>
    <x v="13"/>
    <x v="5"/>
    <x v="368"/>
    <x v="312"/>
    <x v="312"/>
    <s v="REVENUS"/>
    <x v="16"/>
    <s v="4012.007"/>
    <s v="Acompte sur capital"/>
    <n v="0"/>
    <n v="1423.15"/>
    <n v="4012"/>
  </r>
  <r>
    <x v="1"/>
    <x v="13"/>
    <x v="5"/>
    <x v="368"/>
    <x v="312"/>
    <x v="312"/>
    <s v="REVENUS"/>
    <x v="17"/>
    <s v="4011.001"/>
    <s v="Impôt bénéfice ordinaire"/>
    <n v="0"/>
    <n v="229651.35"/>
    <n v="4011"/>
  </r>
  <r>
    <x v="1"/>
    <x v="13"/>
    <x v="5"/>
    <x v="368"/>
    <x v="312"/>
    <x v="312"/>
    <s v="REVENUS"/>
    <x v="6"/>
    <s v="4211.002"/>
    <s v="Intérêts de retard sur acomptes"/>
    <n v="0"/>
    <n v="86.87"/>
    <n v="4211"/>
  </r>
  <r>
    <x v="1"/>
    <x v="13"/>
    <x v="5"/>
    <x v="368"/>
    <x v="312"/>
    <x v="312"/>
    <s v="REVENUS"/>
    <x v="6"/>
    <s v="4221.001"/>
    <s v="Intérêts compensat. / créances en faveur du fisc"/>
    <n v="0"/>
    <n v="22.04"/>
    <n v="4221"/>
  </r>
  <r>
    <x v="1"/>
    <x v="13"/>
    <x v="5"/>
    <x v="368"/>
    <x v="312"/>
    <x v="312"/>
    <s v="REVENUS"/>
    <x v="17"/>
    <s v="4011.002"/>
    <s v="Complément impôt bénéfice ordinaire"/>
    <n v="0"/>
    <n v="1959.95"/>
    <n v="4011"/>
  </r>
  <r>
    <x v="1"/>
    <x v="13"/>
    <x v="5"/>
    <x v="368"/>
    <x v="312"/>
    <x v="312"/>
    <s v="REVENUS"/>
    <x v="16"/>
    <s v="4012.001"/>
    <s v="Impôt capital ordinaire"/>
    <n v="0"/>
    <n v="9501.7000000000007"/>
    <n v="4012"/>
  </r>
  <r>
    <x v="1"/>
    <x v="13"/>
    <x v="5"/>
    <x v="368"/>
    <x v="312"/>
    <x v="312"/>
    <s v="REVENUS"/>
    <x v="17"/>
    <s v="4011.007"/>
    <s v="Acompte sur bénéfice"/>
    <n v="0"/>
    <n v="-148289.15"/>
    <n v="4011"/>
  </r>
  <r>
    <x v="1"/>
    <x v="13"/>
    <x v="5"/>
    <x v="368"/>
    <x v="312"/>
    <x v="312"/>
    <s v="REVENUS"/>
    <x v="7"/>
    <s v="4184.000"/>
    <s v="Frais de poursuite"/>
    <n v="0"/>
    <n v="14.48"/>
    <n v="4184"/>
  </r>
  <r>
    <x v="1"/>
    <x v="13"/>
    <x v="5"/>
    <x v="368"/>
    <x v="312"/>
    <x v="312"/>
    <s v="REVENUS"/>
    <x v="6"/>
    <s v="4211.001"/>
    <s v="Intérêts de retard sur factures"/>
    <n v="0"/>
    <n v="2.17"/>
    <n v="4211"/>
  </r>
  <r>
    <x v="1"/>
    <x v="13"/>
    <x v="5"/>
    <x v="368"/>
    <x v="312"/>
    <x v="312"/>
    <s v="REVENUS"/>
    <x v="10"/>
    <s v="4041.001"/>
    <s v="Droits de mutation"/>
    <n v="0"/>
    <n v="1416.05"/>
    <n v="4041"/>
  </r>
  <r>
    <x v="1"/>
    <x v="13"/>
    <x v="5"/>
    <x v="369"/>
    <x v="312"/>
    <x v="312"/>
    <s v="CHARGES"/>
    <x v="0"/>
    <s v="3212.004"/>
    <s v="Intérêts rémun./perçu trop tôt sur acomptes C/C"/>
    <n v="0.06"/>
    <n v="0"/>
    <n v="3212"/>
  </r>
  <r>
    <x v="1"/>
    <x v="13"/>
    <x v="5"/>
    <x v="369"/>
    <x v="312"/>
    <x v="312"/>
    <s v="CHARGES"/>
    <x v="0"/>
    <s v="3221.002"/>
    <s v="Intérêts compensatoires / créances en faveur ctb."/>
    <n v="0.14000000000000001"/>
    <n v="0"/>
    <n v="3221"/>
  </r>
  <r>
    <x v="1"/>
    <x v="13"/>
    <x v="5"/>
    <x v="369"/>
    <x v="312"/>
    <x v="312"/>
    <s v="REVENUS"/>
    <x v="16"/>
    <s v="4012.007"/>
    <s v="Acompte sur capital"/>
    <n v="0"/>
    <n v="23.5"/>
    <n v="4012"/>
  </r>
  <r>
    <x v="1"/>
    <x v="13"/>
    <x v="5"/>
    <x v="369"/>
    <x v="312"/>
    <x v="312"/>
    <s v="REVENUS"/>
    <x v="17"/>
    <s v="4011.007"/>
    <s v="Acompte sur bénéfice"/>
    <n v="0"/>
    <n v="-112"/>
    <n v="4011"/>
  </r>
  <r>
    <x v="1"/>
    <x v="13"/>
    <x v="5"/>
    <x v="369"/>
    <x v="312"/>
    <x v="312"/>
    <s v="REVENUS"/>
    <x v="16"/>
    <s v="4012.001"/>
    <s v="Impôt capital ordinaire"/>
    <n v="0"/>
    <n v="11.95"/>
    <n v="4012"/>
  </r>
  <r>
    <x v="1"/>
    <x v="13"/>
    <x v="5"/>
    <x v="370"/>
    <x v="312"/>
    <x v="312"/>
    <s v="CHARGES"/>
    <x v="0"/>
    <s v="3212.002"/>
    <s v="Intérêts bonifiés/trop perçu acompte C/C"/>
    <n v="7.0000000000000007E-2"/>
    <n v="0"/>
    <n v="3212"/>
  </r>
  <r>
    <x v="1"/>
    <x v="13"/>
    <x v="5"/>
    <x v="370"/>
    <x v="312"/>
    <x v="312"/>
    <s v="CHARGES"/>
    <x v="0"/>
    <s v="3212.004"/>
    <s v="Intérêts rémun./perçu trop tôt sur acomptes C/C"/>
    <n v="0.87"/>
    <n v="0"/>
    <n v="3212"/>
  </r>
  <r>
    <x v="1"/>
    <x v="13"/>
    <x v="5"/>
    <x v="370"/>
    <x v="312"/>
    <x v="312"/>
    <s v="CHARGES"/>
    <x v="0"/>
    <s v="3221.002"/>
    <s v="Intérêts compensatoires / créances en faveur ctb."/>
    <n v="3.74"/>
    <n v="0"/>
    <n v="3221"/>
  </r>
  <r>
    <x v="1"/>
    <x v="13"/>
    <x v="5"/>
    <x v="370"/>
    <x v="312"/>
    <x v="312"/>
    <s v="REVENUS"/>
    <x v="17"/>
    <s v="4011.001"/>
    <s v="Impôt bénéfice ordinaire"/>
    <n v="0"/>
    <n v="-419.6"/>
    <n v="4011"/>
  </r>
  <r>
    <x v="1"/>
    <x v="13"/>
    <x v="5"/>
    <x v="370"/>
    <x v="312"/>
    <x v="312"/>
    <s v="REVENUS"/>
    <x v="17"/>
    <s v="4011.002"/>
    <s v="Complément impôt bénéfice ordinaire"/>
    <n v="0"/>
    <n v="1782.95"/>
    <n v="4011"/>
  </r>
  <r>
    <x v="1"/>
    <x v="13"/>
    <x v="5"/>
    <x v="370"/>
    <x v="312"/>
    <x v="312"/>
    <s v="REVENUS"/>
    <x v="17"/>
    <s v="4011.007"/>
    <s v="Acompte sur bénéfice"/>
    <n v="0"/>
    <n v="-6521.9"/>
    <n v="4011"/>
  </r>
  <r>
    <x v="2"/>
    <x v="0"/>
    <x v="0"/>
    <x v="0"/>
    <x v="0"/>
    <x v="0"/>
    <s v="CHARGES"/>
    <x v="19"/>
    <s v="3186.002"/>
    <s v="Commission perception IS"/>
    <n v="19495.13"/>
    <n v="0"/>
    <n v="3186"/>
  </r>
  <r>
    <x v="2"/>
    <x v="0"/>
    <x v="0"/>
    <x v="0"/>
    <x v="0"/>
    <x v="0"/>
    <s v="CHARGES"/>
    <x v="1"/>
    <s v="3301.001"/>
    <s v="Défalcations, abandons de solde PP et IS"/>
    <n v="69546.5"/>
    <n v="0"/>
    <n v="3301"/>
  </r>
  <r>
    <x v="2"/>
    <x v="0"/>
    <x v="0"/>
    <x v="0"/>
    <x v="0"/>
    <x v="0"/>
    <s v="REVENUS"/>
    <x v="2"/>
    <s v="4001.010"/>
    <s v="Impôt sourciers mixtes"/>
    <n v="0"/>
    <n v="59758.97"/>
    <n v="4001"/>
  </r>
  <r>
    <x v="2"/>
    <x v="0"/>
    <x v="0"/>
    <x v="0"/>
    <x v="0"/>
    <x v="0"/>
    <s v="REVENUS"/>
    <x v="14"/>
    <s v="4003.000"/>
    <s v="Impôt à la source"/>
    <n v="0"/>
    <n v="566250.49"/>
    <n v="4003"/>
  </r>
  <r>
    <x v="2"/>
    <x v="0"/>
    <x v="0"/>
    <x v="0"/>
    <x v="0"/>
    <x v="0"/>
    <s v="REVENUS"/>
    <x v="7"/>
    <s v="4184.000"/>
    <s v="Frais de poursuite"/>
    <n v="0"/>
    <n v="467.32"/>
    <n v="4184"/>
  </r>
  <r>
    <x v="2"/>
    <x v="0"/>
    <x v="0"/>
    <x v="0"/>
    <x v="0"/>
    <x v="0"/>
    <s v="REVENUS"/>
    <x v="6"/>
    <s v="4211.001"/>
    <s v="Intérêts de retard sur factures"/>
    <n v="0"/>
    <n v="2143.9499999999998"/>
    <n v="4211"/>
  </r>
  <r>
    <x v="2"/>
    <x v="0"/>
    <x v="0"/>
    <x v="0"/>
    <x v="0"/>
    <x v="0"/>
    <s v="REVENUS"/>
    <x v="6"/>
    <s v="4211.002"/>
    <s v="Intérêts de retard sur acomptes"/>
    <n v="0"/>
    <n v="4968.78"/>
    <n v="4211"/>
  </r>
  <r>
    <x v="2"/>
    <x v="0"/>
    <x v="0"/>
    <x v="0"/>
    <x v="0"/>
    <x v="0"/>
    <s v="REVENUS"/>
    <x v="14"/>
    <s v="4003.010"/>
    <s v="IS - Employés et sourciers étrangers"/>
    <n v="0"/>
    <n v="25105.040000000001"/>
    <n v="4003"/>
  </r>
  <r>
    <x v="2"/>
    <x v="0"/>
    <x v="0"/>
    <x v="0"/>
    <x v="0"/>
    <x v="0"/>
    <s v="REVENUS"/>
    <x v="8"/>
    <s v="4091.001"/>
    <s v="Impôt récupéré après défalcations"/>
    <n v="0"/>
    <n v="21325.8"/>
    <n v="4091"/>
  </r>
  <r>
    <x v="2"/>
    <x v="0"/>
    <x v="0"/>
    <x v="0"/>
    <x v="0"/>
    <x v="0"/>
    <s v="REVENUS"/>
    <x v="2"/>
    <s v="4001.005"/>
    <s v="Amende de soustract. Impôt"/>
    <n v="0"/>
    <n v="250"/>
    <n v="4001"/>
  </r>
  <r>
    <x v="2"/>
    <x v="0"/>
    <x v="0"/>
    <x v="0"/>
    <x v="0"/>
    <x v="0"/>
    <s v="REVENUS"/>
    <x v="14"/>
    <s v="4003.060"/>
    <s v="IS - Administrateurs"/>
    <n v="0"/>
    <n v="9775.24"/>
    <n v="4003"/>
  </r>
  <r>
    <x v="2"/>
    <x v="0"/>
    <x v="0"/>
    <x v="0"/>
    <x v="0"/>
    <x v="0"/>
    <s v="REVENUS"/>
    <x v="2"/>
    <s v="4001.001"/>
    <s v="Impôt revenu"/>
    <n v="0"/>
    <n v="85893.31"/>
    <n v="4001"/>
  </r>
  <r>
    <x v="2"/>
    <x v="0"/>
    <x v="0"/>
    <x v="0"/>
    <x v="0"/>
    <x v="0"/>
    <s v="REVENUS"/>
    <x v="2"/>
    <s v="4001.002"/>
    <s v="Impôt complément s/revenu PP"/>
    <n v="0"/>
    <n v="5688.2"/>
    <n v="4001"/>
  </r>
  <r>
    <x v="2"/>
    <x v="0"/>
    <x v="0"/>
    <x v="0"/>
    <x v="0"/>
    <x v="0"/>
    <s v="REVENUS"/>
    <x v="14"/>
    <s v="4003.070"/>
    <s v="IS - Loi travail au noir"/>
    <n v="0"/>
    <n v="3612.03"/>
    <n v="4003"/>
  </r>
  <r>
    <x v="2"/>
    <x v="0"/>
    <x v="0"/>
    <x v="1"/>
    <x v="1"/>
    <x v="1"/>
    <s v="CHARGES"/>
    <x v="19"/>
    <s v="3186.002"/>
    <s v="Commission perception IS"/>
    <n v="10746.27"/>
    <n v="0"/>
    <n v="3186"/>
  </r>
  <r>
    <x v="2"/>
    <x v="0"/>
    <x v="0"/>
    <x v="1"/>
    <x v="1"/>
    <x v="1"/>
    <s v="CHARGES"/>
    <x v="1"/>
    <s v="3301.001"/>
    <s v="Défalcations, abandons de solde PP et IS"/>
    <n v="16096.66"/>
    <n v="0"/>
    <n v="3301"/>
  </r>
  <r>
    <x v="2"/>
    <x v="0"/>
    <x v="0"/>
    <x v="1"/>
    <x v="1"/>
    <x v="1"/>
    <s v="REVENUS"/>
    <x v="14"/>
    <s v="4003.000"/>
    <s v="Impôt à la source"/>
    <n v="0"/>
    <n v="305686.3"/>
    <n v="4003"/>
  </r>
  <r>
    <x v="2"/>
    <x v="0"/>
    <x v="0"/>
    <x v="1"/>
    <x v="1"/>
    <x v="1"/>
    <s v="REVENUS"/>
    <x v="2"/>
    <s v="4001.010"/>
    <s v="Impôt sourciers mixtes"/>
    <n v="0"/>
    <n v="22364.01"/>
    <n v="4001"/>
  </r>
  <r>
    <x v="2"/>
    <x v="0"/>
    <x v="0"/>
    <x v="1"/>
    <x v="1"/>
    <x v="1"/>
    <s v="REVENUS"/>
    <x v="7"/>
    <s v="4184.000"/>
    <s v="Frais de poursuite"/>
    <n v="0"/>
    <n v="777.1"/>
    <n v="4184"/>
  </r>
  <r>
    <x v="2"/>
    <x v="0"/>
    <x v="0"/>
    <x v="1"/>
    <x v="1"/>
    <x v="1"/>
    <s v="REVENUS"/>
    <x v="6"/>
    <s v="4211.001"/>
    <s v="Intérêts de retard sur factures"/>
    <n v="0"/>
    <n v="1484.01"/>
    <n v="4211"/>
  </r>
  <r>
    <x v="2"/>
    <x v="0"/>
    <x v="0"/>
    <x v="1"/>
    <x v="1"/>
    <x v="1"/>
    <s v="REVENUS"/>
    <x v="6"/>
    <s v="4211.002"/>
    <s v="Intérêts de retard sur acomptes"/>
    <n v="0"/>
    <n v="2929.47"/>
    <n v="4211"/>
  </r>
  <r>
    <x v="2"/>
    <x v="0"/>
    <x v="0"/>
    <x v="1"/>
    <x v="1"/>
    <x v="1"/>
    <s v="REVENUS"/>
    <x v="2"/>
    <s v="4001.005"/>
    <s v="Amende de soustract. Impôt"/>
    <n v="0"/>
    <n v="2855"/>
    <n v="4001"/>
  </r>
  <r>
    <x v="2"/>
    <x v="0"/>
    <x v="0"/>
    <x v="1"/>
    <x v="1"/>
    <x v="1"/>
    <s v="REVENUS"/>
    <x v="2"/>
    <s v="4001.001"/>
    <s v="Impôt revenu"/>
    <n v="0"/>
    <n v="64681.33"/>
    <n v="4001"/>
  </r>
  <r>
    <x v="2"/>
    <x v="0"/>
    <x v="0"/>
    <x v="1"/>
    <x v="1"/>
    <x v="1"/>
    <s v="REVENUS"/>
    <x v="14"/>
    <s v="4003.010"/>
    <s v="IS - Employés et sourciers étrangers"/>
    <n v="0"/>
    <n v="5094.78"/>
    <n v="4003"/>
  </r>
  <r>
    <x v="2"/>
    <x v="0"/>
    <x v="0"/>
    <x v="1"/>
    <x v="1"/>
    <x v="1"/>
    <s v="REVENUS"/>
    <x v="8"/>
    <s v="4091.001"/>
    <s v="Impôt récupéré après défalcations"/>
    <n v="0"/>
    <n v="256.54000000000002"/>
    <n v="4091"/>
  </r>
  <r>
    <x v="2"/>
    <x v="0"/>
    <x v="0"/>
    <x v="1"/>
    <x v="1"/>
    <x v="1"/>
    <s v="REVENUS"/>
    <x v="14"/>
    <s v="4003.070"/>
    <s v="IS - Loi travail au noir"/>
    <n v="0"/>
    <n v="372.42"/>
    <n v="4003"/>
  </r>
  <r>
    <x v="2"/>
    <x v="0"/>
    <x v="0"/>
    <x v="2"/>
    <x v="2"/>
    <x v="2"/>
    <s v="CHARGES"/>
    <x v="19"/>
    <s v="3186.002"/>
    <s v="Commission perception IS"/>
    <n v="684.96"/>
    <n v="0"/>
    <n v="3186"/>
  </r>
  <r>
    <x v="2"/>
    <x v="0"/>
    <x v="0"/>
    <x v="2"/>
    <x v="2"/>
    <x v="2"/>
    <s v="CHARGES"/>
    <x v="1"/>
    <s v="3301.001"/>
    <s v="Défalcations, abandons de solde PP et IS"/>
    <n v="10.61"/>
    <n v="0"/>
    <n v="3301"/>
  </r>
  <r>
    <x v="2"/>
    <x v="0"/>
    <x v="0"/>
    <x v="2"/>
    <x v="2"/>
    <x v="2"/>
    <s v="REVENUS"/>
    <x v="14"/>
    <s v="4003.000"/>
    <s v="Impôt à la source"/>
    <n v="0"/>
    <n v="19692.13"/>
    <n v="4003"/>
  </r>
  <r>
    <x v="2"/>
    <x v="0"/>
    <x v="0"/>
    <x v="2"/>
    <x v="2"/>
    <x v="2"/>
    <s v="REVENUS"/>
    <x v="2"/>
    <s v="4001.010"/>
    <s v="Impôt sourciers mixtes"/>
    <n v="0"/>
    <n v="8599.84"/>
    <n v="4001"/>
  </r>
  <r>
    <x v="2"/>
    <x v="0"/>
    <x v="0"/>
    <x v="2"/>
    <x v="2"/>
    <x v="2"/>
    <s v="REVENUS"/>
    <x v="6"/>
    <s v="4211.001"/>
    <s v="Intérêts de retard sur factures"/>
    <n v="0"/>
    <n v="22.8"/>
    <n v="4211"/>
  </r>
  <r>
    <x v="2"/>
    <x v="0"/>
    <x v="0"/>
    <x v="2"/>
    <x v="2"/>
    <x v="2"/>
    <s v="REVENUS"/>
    <x v="6"/>
    <s v="4211.002"/>
    <s v="Intérêts de retard sur acomptes"/>
    <n v="0"/>
    <n v="115.66"/>
    <n v="4211"/>
  </r>
  <r>
    <x v="2"/>
    <x v="0"/>
    <x v="0"/>
    <x v="2"/>
    <x v="2"/>
    <x v="2"/>
    <s v="REVENUS"/>
    <x v="2"/>
    <s v="4001.001"/>
    <s v="Impôt revenu"/>
    <n v="0"/>
    <n v="5448.4"/>
    <n v="4001"/>
  </r>
  <r>
    <x v="2"/>
    <x v="0"/>
    <x v="0"/>
    <x v="2"/>
    <x v="2"/>
    <x v="2"/>
    <s v="REVENUS"/>
    <x v="14"/>
    <s v="4003.010"/>
    <s v="IS - Employés et sourciers étrangers"/>
    <n v="0"/>
    <n v="1862.51"/>
    <n v="4003"/>
  </r>
  <r>
    <x v="2"/>
    <x v="0"/>
    <x v="0"/>
    <x v="2"/>
    <x v="2"/>
    <x v="2"/>
    <s v="REVENUS"/>
    <x v="7"/>
    <s v="4184.000"/>
    <s v="Frais de poursuite"/>
    <n v="0"/>
    <n v="80.489999999999995"/>
    <n v="4184"/>
  </r>
  <r>
    <x v="2"/>
    <x v="0"/>
    <x v="0"/>
    <x v="3"/>
    <x v="3"/>
    <x v="3"/>
    <s v="CHARGES"/>
    <x v="19"/>
    <s v="3186.002"/>
    <s v="Commission perception IS"/>
    <n v="42.35"/>
    <n v="0"/>
    <n v="3186"/>
  </r>
  <r>
    <x v="2"/>
    <x v="0"/>
    <x v="0"/>
    <x v="3"/>
    <x v="3"/>
    <x v="3"/>
    <s v="CHARGES"/>
    <x v="1"/>
    <s v="3301.001"/>
    <s v="Défalcations, abandons de solde PP et IS"/>
    <n v="-0.02"/>
    <n v="0"/>
    <n v="3301"/>
  </r>
  <r>
    <x v="2"/>
    <x v="0"/>
    <x v="0"/>
    <x v="3"/>
    <x v="3"/>
    <x v="3"/>
    <s v="REVENUS"/>
    <x v="14"/>
    <s v="4003.000"/>
    <s v="Impôt à la source"/>
    <n v="0"/>
    <n v="1197.28"/>
    <n v="4003"/>
  </r>
  <r>
    <x v="2"/>
    <x v="0"/>
    <x v="0"/>
    <x v="3"/>
    <x v="3"/>
    <x v="3"/>
    <s v="REVENUS"/>
    <x v="6"/>
    <s v="4211.001"/>
    <s v="Intérêts de retard sur factures"/>
    <n v="0"/>
    <n v="2.31"/>
    <n v="4211"/>
  </r>
  <r>
    <x v="2"/>
    <x v="0"/>
    <x v="0"/>
    <x v="3"/>
    <x v="3"/>
    <x v="3"/>
    <s v="REVENUS"/>
    <x v="6"/>
    <s v="4211.002"/>
    <s v="Intérêts de retard sur acomptes"/>
    <n v="0"/>
    <n v="1.5"/>
    <n v="4211"/>
  </r>
  <r>
    <x v="2"/>
    <x v="0"/>
    <x v="0"/>
    <x v="3"/>
    <x v="3"/>
    <x v="3"/>
    <s v="REVENUS"/>
    <x v="2"/>
    <s v="4001.010"/>
    <s v="Impôt sourciers mixtes"/>
    <n v="0"/>
    <n v="-1410.01"/>
    <n v="4001"/>
  </r>
  <r>
    <x v="2"/>
    <x v="0"/>
    <x v="0"/>
    <x v="4"/>
    <x v="4"/>
    <x v="4"/>
    <s v="CHARGES"/>
    <x v="19"/>
    <s v="3186.002"/>
    <s v="Commission perception IS"/>
    <n v="3780.59"/>
    <n v="0"/>
    <n v="3186"/>
  </r>
  <r>
    <x v="2"/>
    <x v="0"/>
    <x v="0"/>
    <x v="4"/>
    <x v="4"/>
    <x v="4"/>
    <s v="CHARGES"/>
    <x v="1"/>
    <s v="3301.001"/>
    <s v="Défalcations, abandons de solde PP et IS"/>
    <n v="23.66"/>
    <n v="0"/>
    <n v="3301"/>
  </r>
  <r>
    <x v="2"/>
    <x v="0"/>
    <x v="0"/>
    <x v="4"/>
    <x v="4"/>
    <x v="4"/>
    <s v="REVENUS"/>
    <x v="14"/>
    <s v="4003.000"/>
    <s v="Impôt à la source"/>
    <n v="0"/>
    <n v="138909.26999999999"/>
    <n v="4003"/>
  </r>
  <r>
    <x v="2"/>
    <x v="0"/>
    <x v="0"/>
    <x v="4"/>
    <x v="4"/>
    <x v="4"/>
    <s v="REVENUS"/>
    <x v="2"/>
    <s v="4001.010"/>
    <s v="Impôt sourciers mixtes"/>
    <n v="0"/>
    <n v="-2276.44"/>
    <n v="4001"/>
  </r>
  <r>
    <x v="2"/>
    <x v="0"/>
    <x v="0"/>
    <x v="4"/>
    <x v="4"/>
    <x v="4"/>
    <s v="REVENUS"/>
    <x v="6"/>
    <s v="4211.001"/>
    <s v="Intérêts de retard sur factures"/>
    <n v="0"/>
    <n v="264.14999999999998"/>
    <n v="4211"/>
  </r>
  <r>
    <x v="2"/>
    <x v="0"/>
    <x v="0"/>
    <x v="4"/>
    <x v="4"/>
    <x v="4"/>
    <s v="REVENUS"/>
    <x v="6"/>
    <s v="4211.002"/>
    <s v="Intérêts de retard sur acomptes"/>
    <n v="0"/>
    <n v="779.74"/>
    <n v="4211"/>
  </r>
  <r>
    <x v="2"/>
    <x v="0"/>
    <x v="0"/>
    <x v="4"/>
    <x v="4"/>
    <x v="4"/>
    <s v="REVENUS"/>
    <x v="7"/>
    <s v="4184.000"/>
    <s v="Frais de poursuite"/>
    <n v="0"/>
    <n v="63.68"/>
    <n v="4184"/>
  </r>
  <r>
    <x v="2"/>
    <x v="0"/>
    <x v="0"/>
    <x v="4"/>
    <x v="4"/>
    <x v="4"/>
    <s v="REVENUS"/>
    <x v="2"/>
    <s v="4001.001"/>
    <s v="Impôt revenu"/>
    <n v="0"/>
    <n v="16066.01"/>
    <n v="4001"/>
  </r>
  <r>
    <x v="2"/>
    <x v="0"/>
    <x v="0"/>
    <x v="5"/>
    <x v="5"/>
    <x v="5"/>
    <s v="CHARGES"/>
    <x v="19"/>
    <s v="3186.002"/>
    <s v="Commission perception IS"/>
    <n v="790.54"/>
    <n v="0"/>
    <n v="3186"/>
  </r>
  <r>
    <x v="2"/>
    <x v="0"/>
    <x v="0"/>
    <x v="5"/>
    <x v="5"/>
    <x v="5"/>
    <s v="CHARGES"/>
    <x v="1"/>
    <s v="3301.001"/>
    <s v="Défalcations, abandons de solde PP et IS"/>
    <n v="3.78"/>
    <n v="0"/>
    <n v="3301"/>
  </r>
  <r>
    <x v="2"/>
    <x v="0"/>
    <x v="0"/>
    <x v="5"/>
    <x v="5"/>
    <x v="5"/>
    <s v="REVENUS"/>
    <x v="14"/>
    <s v="4003.000"/>
    <s v="Impôt à la source"/>
    <n v="0"/>
    <n v="47847.53"/>
    <n v="4003"/>
  </r>
  <r>
    <x v="2"/>
    <x v="0"/>
    <x v="0"/>
    <x v="5"/>
    <x v="5"/>
    <x v="5"/>
    <s v="REVENUS"/>
    <x v="6"/>
    <s v="4211.001"/>
    <s v="Intérêts de retard sur factures"/>
    <n v="0"/>
    <n v="99.55"/>
    <n v="4211"/>
  </r>
  <r>
    <x v="2"/>
    <x v="0"/>
    <x v="0"/>
    <x v="5"/>
    <x v="5"/>
    <x v="5"/>
    <s v="REVENUS"/>
    <x v="2"/>
    <s v="4001.010"/>
    <s v="Impôt sourciers mixtes"/>
    <n v="0"/>
    <n v="17129.16"/>
    <n v="4001"/>
  </r>
  <r>
    <x v="2"/>
    <x v="0"/>
    <x v="0"/>
    <x v="5"/>
    <x v="5"/>
    <x v="5"/>
    <s v="REVENUS"/>
    <x v="6"/>
    <s v="4211.002"/>
    <s v="Intérêts de retard sur acomptes"/>
    <n v="0"/>
    <n v="233.72"/>
    <n v="4211"/>
  </r>
  <r>
    <x v="2"/>
    <x v="0"/>
    <x v="0"/>
    <x v="5"/>
    <x v="5"/>
    <x v="5"/>
    <s v="REVENUS"/>
    <x v="14"/>
    <s v="4003.010"/>
    <s v="IS - Employés et sourciers étrangers"/>
    <n v="0"/>
    <n v="748.07"/>
    <n v="4003"/>
  </r>
  <r>
    <x v="2"/>
    <x v="0"/>
    <x v="0"/>
    <x v="5"/>
    <x v="5"/>
    <x v="5"/>
    <s v="REVENUS"/>
    <x v="2"/>
    <s v="4001.001"/>
    <s v="Impôt revenu"/>
    <n v="0"/>
    <n v="4407.42"/>
    <n v="4001"/>
  </r>
  <r>
    <x v="2"/>
    <x v="0"/>
    <x v="0"/>
    <x v="5"/>
    <x v="5"/>
    <x v="5"/>
    <s v="REVENUS"/>
    <x v="14"/>
    <s v="4003.070"/>
    <s v="IS - Loi travail au noir"/>
    <n v="0"/>
    <n v="36.49"/>
    <n v="4003"/>
  </r>
  <r>
    <x v="2"/>
    <x v="0"/>
    <x v="0"/>
    <x v="6"/>
    <x v="6"/>
    <x v="6"/>
    <s v="CHARGES"/>
    <x v="19"/>
    <s v="3186.002"/>
    <s v="Commission perception IS"/>
    <n v="12963.98"/>
    <n v="0"/>
    <n v="3186"/>
  </r>
  <r>
    <x v="2"/>
    <x v="0"/>
    <x v="0"/>
    <x v="6"/>
    <x v="6"/>
    <x v="6"/>
    <s v="CHARGES"/>
    <x v="1"/>
    <s v="3301.001"/>
    <s v="Défalcations, abandons de solde PP et IS"/>
    <n v="19957.57"/>
    <n v="0"/>
    <n v="3301"/>
  </r>
  <r>
    <x v="2"/>
    <x v="0"/>
    <x v="0"/>
    <x v="6"/>
    <x v="6"/>
    <x v="6"/>
    <s v="REVENUS"/>
    <x v="2"/>
    <s v="4001.010"/>
    <s v="Impôt sourciers mixtes"/>
    <n v="0"/>
    <n v="-57966.8"/>
    <n v="4001"/>
  </r>
  <r>
    <x v="2"/>
    <x v="0"/>
    <x v="0"/>
    <x v="6"/>
    <x v="6"/>
    <x v="6"/>
    <s v="REVENUS"/>
    <x v="14"/>
    <s v="4003.000"/>
    <s v="Impôt à la source"/>
    <n v="0"/>
    <n v="442858.67"/>
    <n v="4003"/>
  </r>
  <r>
    <x v="2"/>
    <x v="0"/>
    <x v="0"/>
    <x v="6"/>
    <x v="6"/>
    <x v="6"/>
    <s v="REVENUS"/>
    <x v="7"/>
    <s v="4184.000"/>
    <s v="Frais de poursuite"/>
    <n v="0"/>
    <n v="547.12"/>
    <n v="4184"/>
  </r>
  <r>
    <x v="2"/>
    <x v="0"/>
    <x v="0"/>
    <x v="6"/>
    <x v="6"/>
    <x v="6"/>
    <s v="REVENUS"/>
    <x v="6"/>
    <s v="4211.001"/>
    <s v="Intérêts de retard sur factures"/>
    <n v="0"/>
    <n v="1288.44"/>
    <n v="4211"/>
  </r>
  <r>
    <x v="2"/>
    <x v="0"/>
    <x v="0"/>
    <x v="6"/>
    <x v="6"/>
    <x v="6"/>
    <s v="REVENUS"/>
    <x v="6"/>
    <s v="4211.002"/>
    <s v="Intérêts de retard sur acomptes"/>
    <n v="0"/>
    <n v="2117.5700000000002"/>
    <n v="4211"/>
  </r>
  <r>
    <x v="2"/>
    <x v="0"/>
    <x v="0"/>
    <x v="6"/>
    <x v="6"/>
    <x v="6"/>
    <s v="REVENUS"/>
    <x v="14"/>
    <s v="4003.060"/>
    <s v="IS - Administrateurs"/>
    <n v="0"/>
    <n v="1934.52"/>
    <n v="4003"/>
  </r>
  <r>
    <x v="2"/>
    <x v="0"/>
    <x v="0"/>
    <x v="6"/>
    <x v="6"/>
    <x v="6"/>
    <s v="REVENUS"/>
    <x v="2"/>
    <s v="4001.001"/>
    <s v="Impôt revenu"/>
    <n v="0"/>
    <n v="41486.21"/>
    <n v="4001"/>
  </r>
  <r>
    <x v="2"/>
    <x v="0"/>
    <x v="0"/>
    <x v="6"/>
    <x v="6"/>
    <x v="6"/>
    <s v="REVENUS"/>
    <x v="8"/>
    <s v="4091.001"/>
    <s v="Impôt récupéré après défalcations"/>
    <n v="0"/>
    <n v="12135.69"/>
    <n v="4091"/>
  </r>
  <r>
    <x v="2"/>
    <x v="0"/>
    <x v="0"/>
    <x v="6"/>
    <x v="6"/>
    <x v="6"/>
    <s v="REVENUS"/>
    <x v="14"/>
    <s v="4003.020"/>
    <s v="IS - Artistes - Conférenciers - Sportifs"/>
    <n v="0"/>
    <n v="603.24"/>
    <n v="4003"/>
  </r>
  <r>
    <x v="2"/>
    <x v="0"/>
    <x v="0"/>
    <x v="6"/>
    <x v="6"/>
    <x v="6"/>
    <s v="REVENUS"/>
    <x v="14"/>
    <s v="4003.070"/>
    <s v="IS - Loi travail au noir"/>
    <n v="0"/>
    <n v="11.58"/>
    <n v="4003"/>
  </r>
  <r>
    <x v="2"/>
    <x v="0"/>
    <x v="0"/>
    <x v="6"/>
    <x v="6"/>
    <x v="6"/>
    <s v="REVENUS"/>
    <x v="2"/>
    <s v="4001.005"/>
    <s v="Amende de soustract. Impôt"/>
    <n v="0"/>
    <n v="83.34"/>
    <n v="4001"/>
  </r>
  <r>
    <x v="2"/>
    <x v="0"/>
    <x v="0"/>
    <x v="7"/>
    <x v="7"/>
    <x v="7"/>
    <s v="CHARGES"/>
    <x v="19"/>
    <s v="3186.002"/>
    <s v="Commission perception IS"/>
    <n v="1743.38"/>
    <n v="0"/>
    <n v="3186"/>
  </r>
  <r>
    <x v="2"/>
    <x v="0"/>
    <x v="0"/>
    <x v="7"/>
    <x v="7"/>
    <x v="7"/>
    <s v="CHARGES"/>
    <x v="1"/>
    <s v="3301.001"/>
    <s v="Défalcations, abandons de solde PP et IS"/>
    <n v="1389.74"/>
    <n v="0"/>
    <n v="3301"/>
  </r>
  <r>
    <x v="2"/>
    <x v="0"/>
    <x v="0"/>
    <x v="7"/>
    <x v="7"/>
    <x v="7"/>
    <s v="REVENUS"/>
    <x v="2"/>
    <s v="4001.010"/>
    <s v="Impôt sourciers mixtes"/>
    <n v="0"/>
    <n v="7141.05"/>
    <n v="4001"/>
  </r>
  <r>
    <x v="2"/>
    <x v="0"/>
    <x v="0"/>
    <x v="7"/>
    <x v="7"/>
    <x v="7"/>
    <s v="REVENUS"/>
    <x v="14"/>
    <s v="4003.000"/>
    <s v="Impôt à la source"/>
    <n v="0"/>
    <n v="60289.47"/>
    <n v="4003"/>
  </r>
  <r>
    <x v="2"/>
    <x v="0"/>
    <x v="0"/>
    <x v="7"/>
    <x v="7"/>
    <x v="7"/>
    <s v="REVENUS"/>
    <x v="6"/>
    <s v="4211.001"/>
    <s v="Intérêts de retard sur factures"/>
    <n v="0"/>
    <n v="322.33"/>
    <n v="4211"/>
  </r>
  <r>
    <x v="2"/>
    <x v="0"/>
    <x v="0"/>
    <x v="7"/>
    <x v="7"/>
    <x v="7"/>
    <s v="REVENUS"/>
    <x v="6"/>
    <s v="4211.002"/>
    <s v="Intérêts de retard sur acomptes"/>
    <n v="0"/>
    <n v="469.56"/>
    <n v="4211"/>
  </r>
  <r>
    <x v="2"/>
    <x v="0"/>
    <x v="0"/>
    <x v="7"/>
    <x v="7"/>
    <x v="7"/>
    <s v="REVENUS"/>
    <x v="7"/>
    <s v="4184.000"/>
    <s v="Frais de poursuite"/>
    <n v="0"/>
    <n v="9.52"/>
    <n v="4184"/>
  </r>
  <r>
    <x v="2"/>
    <x v="0"/>
    <x v="0"/>
    <x v="7"/>
    <x v="7"/>
    <x v="7"/>
    <s v="REVENUS"/>
    <x v="2"/>
    <s v="4001.001"/>
    <s v="Impôt revenu"/>
    <n v="0"/>
    <n v="5907.73"/>
    <n v="4001"/>
  </r>
  <r>
    <x v="2"/>
    <x v="0"/>
    <x v="0"/>
    <x v="7"/>
    <x v="7"/>
    <x v="7"/>
    <s v="REVENUS"/>
    <x v="14"/>
    <s v="4003.070"/>
    <s v="IS - Loi travail au noir"/>
    <n v="0"/>
    <n v="1.98"/>
    <n v="4003"/>
  </r>
  <r>
    <x v="2"/>
    <x v="0"/>
    <x v="0"/>
    <x v="7"/>
    <x v="7"/>
    <x v="7"/>
    <s v="REVENUS"/>
    <x v="14"/>
    <s v="4003.010"/>
    <s v="IS - Employés et sourciers étrangers"/>
    <n v="0"/>
    <n v="259.74"/>
    <n v="4003"/>
  </r>
  <r>
    <x v="2"/>
    <x v="0"/>
    <x v="0"/>
    <x v="8"/>
    <x v="8"/>
    <x v="8"/>
    <s v="CHARGES"/>
    <x v="19"/>
    <s v="3186.002"/>
    <s v="Commission perception IS"/>
    <n v="20167.59"/>
    <n v="0"/>
    <n v="3186"/>
  </r>
  <r>
    <x v="2"/>
    <x v="0"/>
    <x v="0"/>
    <x v="8"/>
    <x v="8"/>
    <x v="8"/>
    <s v="CHARGES"/>
    <x v="1"/>
    <s v="3301.001"/>
    <s v="Défalcations, abandons de solde PP et IS"/>
    <n v="1221.27"/>
    <n v="0"/>
    <n v="3301"/>
  </r>
  <r>
    <x v="2"/>
    <x v="0"/>
    <x v="0"/>
    <x v="8"/>
    <x v="8"/>
    <x v="8"/>
    <s v="REVENUS"/>
    <x v="2"/>
    <s v="4001.010"/>
    <s v="Impôt sourciers mixtes"/>
    <n v="0"/>
    <n v="107894.91"/>
    <n v="4001"/>
  </r>
  <r>
    <x v="2"/>
    <x v="0"/>
    <x v="0"/>
    <x v="8"/>
    <x v="8"/>
    <x v="8"/>
    <s v="REVENUS"/>
    <x v="14"/>
    <s v="4003.000"/>
    <s v="Impôt à la source"/>
    <n v="0"/>
    <n v="674990.26"/>
    <n v="4003"/>
  </r>
  <r>
    <x v="2"/>
    <x v="0"/>
    <x v="0"/>
    <x v="8"/>
    <x v="8"/>
    <x v="8"/>
    <s v="REVENUS"/>
    <x v="2"/>
    <s v="4001.001"/>
    <s v="Impôt revenu"/>
    <n v="0"/>
    <n v="50379.13"/>
    <n v="4001"/>
  </r>
  <r>
    <x v="2"/>
    <x v="0"/>
    <x v="0"/>
    <x v="8"/>
    <x v="8"/>
    <x v="8"/>
    <s v="REVENUS"/>
    <x v="6"/>
    <s v="4211.001"/>
    <s v="Intérêts de retard sur factures"/>
    <n v="0"/>
    <n v="1166.98"/>
    <n v="4211"/>
  </r>
  <r>
    <x v="2"/>
    <x v="0"/>
    <x v="0"/>
    <x v="8"/>
    <x v="8"/>
    <x v="8"/>
    <s v="REVENUS"/>
    <x v="6"/>
    <s v="4211.002"/>
    <s v="Intérêts de retard sur acomptes"/>
    <n v="0"/>
    <n v="4015.72"/>
    <n v="4211"/>
  </r>
  <r>
    <x v="2"/>
    <x v="0"/>
    <x v="0"/>
    <x v="8"/>
    <x v="8"/>
    <x v="8"/>
    <s v="REVENUS"/>
    <x v="14"/>
    <s v="4003.010"/>
    <s v="IS - Employés et sourciers étrangers"/>
    <n v="0"/>
    <n v="4186.1899999999996"/>
    <n v="4003"/>
  </r>
  <r>
    <x v="2"/>
    <x v="0"/>
    <x v="0"/>
    <x v="8"/>
    <x v="8"/>
    <x v="8"/>
    <s v="REVENUS"/>
    <x v="7"/>
    <s v="4184.000"/>
    <s v="Frais de poursuite"/>
    <n v="0"/>
    <n v="197.51"/>
    <n v="4184"/>
  </r>
  <r>
    <x v="2"/>
    <x v="0"/>
    <x v="0"/>
    <x v="8"/>
    <x v="8"/>
    <x v="8"/>
    <s v="REVENUS"/>
    <x v="14"/>
    <s v="4003.060"/>
    <s v="IS - Administrateurs"/>
    <n v="0"/>
    <n v="6673.34"/>
    <n v="4003"/>
  </r>
  <r>
    <x v="2"/>
    <x v="0"/>
    <x v="0"/>
    <x v="8"/>
    <x v="8"/>
    <x v="8"/>
    <s v="REVENUS"/>
    <x v="2"/>
    <s v="4001.005"/>
    <s v="Amende de soustract. Impôt"/>
    <n v="0"/>
    <n v="251"/>
    <n v="4001"/>
  </r>
  <r>
    <x v="2"/>
    <x v="0"/>
    <x v="0"/>
    <x v="8"/>
    <x v="8"/>
    <x v="8"/>
    <s v="REVENUS"/>
    <x v="8"/>
    <s v="4091.001"/>
    <s v="Impôt récupéré après défalcations"/>
    <n v="0"/>
    <n v="-0.22"/>
    <n v="4091"/>
  </r>
  <r>
    <x v="2"/>
    <x v="0"/>
    <x v="0"/>
    <x v="8"/>
    <x v="8"/>
    <x v="8"/>
    <s v="REVENUS"/>
    <x v="14"/>
    <s v="4003.020"/>
    <s v="IS - Artistes - Conférenciers - Sportifs"/>
    <n v="0"/>
    <n v="561.21"/>
    <n v="4003"/>
  </r>
  <r>
    <x v="2"/>
    <x v="0"/>
    <x v="0"/>
    <x v="8"/>
    <x v="8"/>
    <x v="8"/>
    <s v="REVENUS"/>
    <x v="2"/>
    <s v="4001.002"/>
    <s v="Impôt complément s/revenu PP"/>
    <n v="0"/>
    <n v="3940.71"/>
    <n v="4001"/>
  </r>
  <r>
    <x v="2"/>
    <x v="0"/>
    <x v="0"/>
    <x v="8"/>
    <x v="8"/>
    <x v="8"/>
    <s v="REVENUS"/>
    <x v="14"/>
    <s v="4003.070"/>
    <s v="IS - Loi travail au noir"/>
    <n v="0"/>
    <n v="593.70000000000005"/>
    <n v="4003"/>
  </r>
  <r>
    <x v="2"/>
    <x v="0"/>
    <x v="0"/>
    <x v="9"/>
    <x v="9"/>
    <x v="9"/>
    <s v="CHARGES"/>
    <x v="19"/>
    <s v="3186.002"/>
    <s v="Commission perception IS"/>
    <n v="874.09"/>
    <n v="0"/>
    <n v="3186"/>
  </r>
  <r>
    <x v="2"/>
    <x v="0"/>
    <x v="0"/>
    <x v="9"/>
    <x v="9"/>
    <x v="9"/>
    <s v="CHARGES"/>
    <x v="1"/>
    <s v="3301.001"/>
    <s v="Défalcations, abandons de solde PP et IS"/>
    <n v="3045.99"/>
    <n v="0"/>
    <n v="3301"/>
  </r>
  <r>
    <x v="2"/>
    <x v="0"/>
    <x v="0"/>
    <x v="9"/>
    <x v="9"/>
    <x v="9"/>
    <s v="REVENUS"/>
    <x v="14"/>
    <s v="4003.000"/>
    <s v="Impôt à la source"/>
    <n v="0"/>
    <n v="90778.81"/>
    <n v="4003"/>
  </r>
  <r>
    <x v="2"/>
    <x v="0"/>
    <x v="0"/>
    <x v="9"/>
    <x v="9"/>
    <x v="9"/>
    <s v="REVENUS"/>
    <x v="6"/>
    <s v="4211.001"/>
    <s v="Intérêts de retard sur factures"/>
    <n v="0"/>
    <n v="82.98"/>
    <n v="4211"/>
  </r>
  <r>
    <x v="2"/>
    <x v="0"/>
    <x v="0"/>
    <x v="9"/>
    <x v="9"/>
    <x v="9"/>
    <s v="REVENUS"/>
    <x v="6"/>
    <s v="4211.002"/>
    <s v="Intérêts de retard sur acomptes"/>
    <n v="0"/>
    <n v="1447.01"/>
    <n v="4211"/>
  </r>
  <r>
    <x v="2"/>
    <x v="0"/>
    <x v="0"/>
    <x v="9"/>
    <x v="9"/>
    <x v="9"/>
    <s v="REVENUS"/>
    <x v="2"/>
    <s v="4001.010"/>
    <s v="Impôt sourciers mixtes"/>
    <n v="0"/>
    <n v="-38378.82"/>
    <n v="4001"/>
  </r>
  <r>
    <x v="2"/>
    <x v="0"/>
    <x v="0"/>
    <x v="9"/>
    <x v="9"/>
    <x v="9"/>
    <s v="REVENUS"/>
    <x v="7"/>
    <s v="4184.000"/>
    <s v="Frais de poursuite"/>
    <n v="0"/>
    <n v="3.8"/>
    <n v="4184"/>
  </r>
  <r>
    <x v="2"/>
    <x v="0"/>
    <x v="0"/>
    <x v="9"/>
    <x v="9"/>
    <x v="9"/>
    <s v="REVENUS"/>
    <x v="8"/>
    <s v="4091.001"/>
    <s v="Impôt récupéré après défalcations"/>
    <n v="0"/>
    <n v="2863.87"/>
    <n v="4091"/>
  </r>
  <r>
    <x v="2"/>
    <x v="0"/>
    <x v="0"/>
    <x v="9"/>
    <x v="9"/>
    <x v="9"/>
    <s v="REVENUS"/>
    <x v="2"/>
    <s v="4001.001"/>
    <s v="Impôt revenu"/>
    <n v="0"/>
    <n v="1660.72"/>
    <n v="4001"/>
  </r>
  <r>
    <x v="2"/>
    <x v="0"/>
    <x v="0"/>
    <x v="10"/>
    <x v="10"/>
    <x v="10"/>
    <s v="CHARGES"/>
    <x v="19"/>
    <s v="3186.002"/>
    <s v="Commission perception IS"/>
    <n v="4150.5600000000004"/>
    <n v="0"/>
    <n v="3186"/>
  </r>
  <r>
    <x v="2"/>
    <x v="0"/>
    <x v="0"/>
    <x v="10"/>
    <x v="10"/>
    <x v="10"/>
    <s v="CHARGES"/>
    <x v="1"/>
    <s v="3301.001"/>
    <s v="Défalcations, abandons de solde PP et IS"/>
    <n v="1572.31"/>
    <n v="0"/>
    <n v="3301"/>
  </r>
  <r>
    <x v="2"/>
    <x v="0"/>
    <x v="0"/>
    <x v="10"/>
    <x v="10"/>
    <x v="10"/>
    <s v="REVENUS"/>
    <x v="14"/>
    <s v="4003.000"/>
    <s v="Impôt à la source"/>
    <n v="0"/>
    <n v="171691.62"/>
    <n v="4003"/>
  </r>
  <r>
    <x v="2"/>
    <x v="0"/>
    <x v="0"/>
    <x v="10"/>
    <x v="10"/>
    <x v="10"/>
    <s v="REVENUS"/>
    <x v="6"/>
    <s v="4211.001"/>
    <s v="Intérêts de retard sur factures"/>
    <n v="0"/>
    <n v="123.05"/>
    <n v="4211"/>
  </r>
  <r>
    <x v="2"/>
    <x v="0"/>
    <x v="0"/>
    <x v="10"/>
    <x v="10"/>
    <x v="10"/>
    <s v="REVENUS"/>
    <x v="6"/>
    <s v="4211.002"/>
    <s v="Intérêts de retard sur acomptes"/>
    <n v="0"/>
    <n v="334.23"/>
    <n v="4211"/>
  </r>
  <r>
    <x v="2"/>
    <x v="0"/>
    <x v="0"/>
    <x v="10"/>
    <x v="10"/>
    <x v="10"/>
    <s v="REVENUS"/>
    <x v="7"/>
    <s v="4184.000"/>
    <s v="Frais de poursuite"/>
    <n v="0"/>
    <n v="59.81"/>
    <n v="4184"/>
  </r>
  <r>
    <x v="2"/>
    <x v="0"/>
    <x v="0"/>
    <x v="10"/>
    <x v="10"/>
    <x v="10"/>
    <s v="REVENUS"/>
    <x v="2"/>
    <s v="4001.010"/>
    <s v="Impôt sourciers mixtes"/>
    <n v="0"/>
    <n v="-15679.31"/>
    <n v="4001"/>
  </r>
  <r>
    <x v="2"/>
    <x v="0"/>
    <x v="0"/>
    <x v="10"/>
    <x v="10"/>
    <x v="10"/>
    <s v="REVENUS"/>
    <x v="2"/>
    <s v="4001.001"/>
    <s v="Impôt revenu"/>
    <n v="0"/>
    <n v="12852.84"/>
    <n v="4001"/>
  </r>
  <r>
    <x v="2"/>
    <x v="0"/>
    <x v="0"/>
    <x v="10"/>
    <x v="10"/>
    <x v="10"/>
    <s v="REVENUS"/>
    <x v="2"/>
    <s v="4001.002"/>
    <s v="Impôt complément s/revenu PP"/>
    <n v="0"/>
    <n v="2051"/>
    <n v="4001"/>
  </r>
  <r>
    <x v="2"/>
    <x v="0"/>
    <x v="0"/>
    <x v="10"/>
    <x v="10"/>
    <x v="10"/>
    <s v="REVENUS"/>
    <x v="8"/>
    <s v="4091.001"/>
    <s v="Impôt récupéré après défalcations"/>
    <n v="0"/>
    <n v="1440.14"/>
    <n v="4091"/>
  </r>
  <r>
    <x v="2"/>
    <x v="0"/>
    <x v="0"/>
    <x v="10"/>
    <x v="10"/>
    <x v="10"/>
    <s v="REVENUS"/>
    <x v="14"/>
    <s v="4003.020"/>
    <s v="IS - Artistes - Conférenciers - Sportifs"/>
    <n v="0"/>
    <n v="1206.6300000000001"/>
    <n v="4003"/>
  </r>
  <r>
    <x v="2"/>
    <x v="0"/>
    <x v="0"/>
    <x v="11"/>
    <x v="11"/>
    <x v="11"/>
    <s v="CHARGES"/>
    <x v="19"/>
    <s v="3186.002"/>
    <s v="Commission perception IS"/>
    <n v="3895.32"/>
    <n v="0"/>
    <n v="3186"/>
  </r>
  <r>
    <x v="2"/>
    <x v="0"/>
    <x v="0"/>
    <x v="11"/>
    <x v="11"/>
    <x v="11"/>
    <s v="CHARGES"/>
    <x v="1"/>
    <s v="3301.001"/>
    <s v="Défalcations, abandons de solde PP et IS"/>
    <n v="978.62"/>
    <n v="0"/>
    <n v="3301"/>
  </r>
  <r>
    <x v="2"/>
    <x v="0"/>
    <x v="0"/>
    <x v="11"/>
    <x v="11"/>
    <x v="11"/>
    <s v="REVENUS"/>
    <x v="14"/>
    <s v="4003.000"/>
    <s v="Impôt à la source"/>
    <n v="0"/>
    <n v="124201.76"/>
    <n v="4003"/>
  </r>
  <r>
    <x v="2"/>
    <x v="0"/>
    <x v="0"/>
    <x v="11"/>
    <x v="11"/>
    <x v="11"/>
    <s v="REVENUS"/>
    <x v="6"/>
    <s v="4211.001"/>
    <s v="Intérêts de retard sur factures"/>
    <n v="0"/>
    <n v="94.54"/>
    <n v="4211"/>
  </r>
  <r>
    <x v="2"/>
    <x v="0"/>
    <x v="0"/>
    <x v="11"/>
    <x v="11"/>
    <x v="11"/>
    <s v="REVENUS"/>
    <x v="6"/>
    <s v="4211.002"/>
    <s v="Intérêts de retard sur acomptes"/>
    <n v="0"/>
    <n v="220.49"/>
    <n v="4211"/>
  </r>
  <r>
    <x v="2"/>
    <x v="0"/>
    <x v="0"/>
    <x v="11"/>
    <x v="11"/>
    <x v="11"/>
    <s v="REVENUS"/>
    <x v="2"/>
    <s v="4001.010"/>
    <s v="Impôt sourciers mixtes"/>
    <n v="0"/>
    <n v="1587.73"/>
    <n v="4001"/>
  </r>
  <r>
    <x v="2"/>
    <x v="0"/>
    <x v="0"/>
    <x v="11"/>
    <x v="11"/>
    <x v="11"/>
    <s v="REVENUS"/>
    <x v="7"/>
    <s v="4184.000"/>
    <s v="Frais de poursuite"/>
    <n v="0"/>
    <n v="58.02"/>
    <n v="4184"/>
  </r>
  <r>
    <x v="2"/>
    <x v="0"/>
    <x v="0"/>
    <x v="11"/>
    <x v="11"/>
    <x v="11"/>
    <s v="REVENUS"/>
    <x v="2"/>
    <s v="4001.001"/>
    <s v="Impôt revenu"/>
    <n v="0"/>
    <n v="9333.09"/>
    <n v="4001"/>
  </r>
  <r>
    <x v="2"/>
    <x v="0"/>
    <x v="0"/>
    <x v="11"/>
    <x v="11"/>
    <x v="11"/>
    <s v="REVENUS"/>
    <x v="14"/>
    <s v="4003.070"/>
    <s v="IS - Loi travail au noir"/>
    <n v="0"/>
    <n v="786.66"/>
    <n v="4003"/>
  </r>
  <r>
    <x v="2"/>
    <x v="0"/>
    <x v="0"/>
    <x v="12"/>
    <x v="12"/>
    <x v="12"/>
    <s v="CHARGES"/>
    <x v="19"/>
    <s v="3186.002"/>
    <s v="Commission perception IS"/>
    <n v="2618.52"/>
    <n v="0"/>
    <n v="3186"/>
  </r>
  <r>
    <x v="2"/>
    <x v="0"/>
    <x v="0"/>
    <x v="12"/>
    <x v="12"/>
    <x v="12"/>
    <s v="CHARGES"/>
    <x v="1"/>
    <s v="3301.001"/>
    <s v="Défalcations, abandons de solde PP et IS"/>
    <n v="15100.25"/>
    <n v="0"/>
    <n v="3301"/>
  </r>
  <r>
    <x v="2"/>
    <x v="0"/>
    <x v="0"/>
    <x v="12"/>
    <x v="12"/>
    <x v="12"/>
    <s v="REVENUS"/>
    <x v="14"/>
    <s v="4003.000"/>
    <s v="Impôt à la source"/>
    <n v="0"/>
    <n v="68288.789999999994"/>
    <n v="4003"/>
  </r>
  <r>
    <x v="2"/>
    <x v="0"/>
    <x v="0"/>
    <x v="12"/>
    <x v="12"/>
    <x v="12"/>
    <s v="REVENUS"/>
    <x v="2"/>
    <s v="4001.001"/>
    <s v="Impôt revenu"/>
    <n v="0"/>
    <n v="26926.04"/>
    <n v="4001"/>
  </r>
  <r>
    <x v="2"/>
    <x v="0"/>
    <x v="0"/>
    <x v="12"/>
    <x v="12"/>
    <x v="12"/>
    <s v="REVENUS"/>
    <x v="2"/>
    <s v="4001.010"/>
    <s v="Impôt sourciers mixtes"/>
    <n v="0"/>
    <n v="-52514.79"/>
    <n v="4001"/>
  </r>
  <r>
    <x v="2"/>
    <x v="0"/>
    <x v="0"/>
    <x v="12"/>
    <x v="12"/>
    <x v="12"/>
    <s v="REVENUS"/>
    <x v="6"/>
    <s v="4211.002"/>
    <s v="Intérêts de retard sur acomptes"/>
    <n v="0"/>
    <n v="710.8"/>
    <n v="4211"/>
  </r>
  <r>
    <x v="2"/>
    <x v="0"/>
    <x v="0"/>
    <x v="12"/>
    <x v="12"/>
    <x v="12"/>
    <s v="REVENUS"/>
    <x v="6"/>
    <s v="4211.001"/>
    <s v="Intérêts de retard sur factures"/>
    <n v="0"/>
    <n v="286.89"/>
    <n v="4211"/>
  </r>
  <r>
    <x v="2"/>
    <x v="0"/>
    <x v="0"/>
    <x v="12"/>
    <x v="12"/>
    <x v="12"/>
    <s v="REVENUS"/>
    <x v="8"/>
    <s v="4091.001"/>
    <s v="Impôt récupéré après défalcations"/>
    <n v="0"/>
    <n v="5935.54"/>
    <n v="4091"/>
  </r>
  <r>
    <x v="2"/>
    <x v="0"/>
    <x v="0"/>
    <x v="12"/>
    <x v="12"/>
    <x v="12"/>
    <s v="REVENUS"/>
    <x v="7"/>
    <s v="4184.000"/>
    <s v="Frais de poursuite"/>
    <n v="0"/>
    <n v="194.1"/>
    <n v="4184"/>
  </r>
  <r>
    <x v="2"/>
    <x v="0"/>
    <x v="0"/>
    <x v="12"/>
    <x v="12"/>
    <x v="12"/>
    <s v="REVENUS"/>
    <x v="14"/>
    <s v="4003.070"/>
    <s v="IS - Loi travail au noir"/>
    <n v="0"/>
    <n v="67.12"/>
    <n v="4003"/>
  </r>
  <r>
    <x v="2"/>
    <x v="0"/>
    <x v="0"/>
    <x v="12"/>
    <x v="12"/>
    <x v="12"/>
    <s v="REVENUS"/>
    <x v="14"/>
    <s v="4003.060"/>
    <s v="IS - Administrateurs"/>
    <n v="0"/>
    <n v="772.18"/>
    <n v="4003"/>
  </r>
  <r>
    <x v="2"/>
    <x v="0"/>
    <x v="0"/>
    <x v="13"/>
    <x v="13"/>
    <x v="13"/>
    <s v="CHARGES"/>
    <x v="19"/>
    <s v="3186.002"/>
    <s v="Commission perception IS"/>
    <n v="13361.21"/>
    <n v="0"/>
    <n v="3186"/>
  </r>
  <r>
    <x v="2"/>
    <x v="0"/>
    <x v="0"/>
    <x v="13"/>
    <x v="13"/>
    <x v="13"/>
    <s v="CHARGES"/>
    <x v="1"/>
    <s v="3301.001"/>
    <s v="Défalcations, abandons de solde PP et IS"/>
    <n v="6105.02"/>
    <n v="0"/>
    <n v="3301"/>
  </r>
  <r>
    <x v="2"/>
    <x v="0"/>
    <x v="0"/>
    <x v="13"/>
    <x v="13"/>
    <x v="13"/>
    <s v="REVENUS"/>
    <x v="2"/>
    <s v="4001.010"/>
    <s v="Impôt sourciers mixtes"/>
    <n v="0"/>
    <n v="51417.760000000002"/>
    <n v="4001"/>
  </r>
  <r>
    <x v="2"/>
    <x v="0"/>
    <x v="0"/>
    <x v="13"/>
    <x v="13"/>
    <x v="13"/>
    <s v="REVENUS"/>
    <x v="14"/>
    <s v="4003.000"/>
    <s v="Impôt à la source"/>
    <n v="0"/>
    <n v="373330.78"/>
    <n v="4003"/>
  </r>
  <r>
    <x v="2"/>
    <x v="0"/>
    <x v="0"/>
    <x v="13"/>
    <x v="13"/>
    <x v="13"/>
    <s v="REVENUS"/>
    <x v="6"/>
    <s v="4211.002"/>
    <s v="Intérêts de retard sur acomptes"/>
    <n v="0"/>
    <n v="2916.01"/>
    <n v="4211"/>
  </r>
  <r>
    <x v="2"/>
    <x v="0"/>
    <x v="0"/>
    <x v="13"/>
    <x v="13"/>
    <x v="13"/>
    <s v="REVENUS"/>
    <x v="6"/>
    <s v="4211.001"/>
    <s v="Intérêts de retard sur factures"/>
    <n v="0"/>
    <n v="922.41"/>
    <n v="4211"/>
  </r>
  <r>
    <x v="2"/>
    <x v="0"/>
    <x v="0"/>
    <x v="13"/>
    <x v="13"/>
    <x v="13"/>
    <s v="REVENUS"/>
    <x v="7"/>
    <s v="4184.000"/>
    <s v="Frais de poursuite"/>
    <n v="0"/>
    <n v="351.16"/>
    <n v="4184"/>
  </r>
  <r>
    <x v="2"/>
    <x v="0"/>
    <x v="0"/>
    <x v="13"/>
    <x v="13"/>
    <x v="13"/>
    <s v="REVENUS"/>
    <x v="14"/>
    <s v="4003.010"/>
    <s v="IS - Employés et sourciers étrangers"/>
    <n v="0"/>
    <n v="2319.87"/>
    <n v="4003"/>
  </r>
  <r>
    <x v="2"/>
    <x v="0"/>
    <x v="0"/>
    <x v="13"/>
    <x v="13"/>
    <x v="13"/>
    <s v="REVENUS"/>
    <x v="2"/>
    <s v="4001.001"/>
    <s v="Impôt revenu"/>
    <n v="0"/>
    <n v="70382.990000000005"/>
    <n v="4001"/>
  </r>
  <r>
    <x v="2"/>
    <x v="0"/>
    <x v="0"/>
    <x v="13"/>
    <x v="13"/>
    <x v="13"/>
    <s v="REVENUS"/>
    <x v="8"/>
    <s v="4091.001"/>
    <s v="Impôt récupéré après défalcations"/>
    <n v="0"/>
    <n v="3563.5"/>
    <n v="4091"/>
  </r>
  <r>
    <x v="2"/>
    <x v="0"/>
    <x v="0"/>
    <x v="13"/>
    <x v="13"/>
    <x v="13"/>
    <s v="REVENUS"/>
    <x v="14"/>
    <s v="4003.080"/>
    <s v="IS - Participations Hors Suisse"/>
    <n v="0"/>
    <n v="2090.9299999999998"/>
    <n v="4003"/>
  </r>
  <r>
    <x v="2"/>
    <x v="0"/>
    <x v="0"/>
    <x v="13"/>
    <x v="13"/>
    <x v="13"/>
    <s v="REVENUS"/>
    <x v="14"/>
    <s v="4003.070"/>
    <s v="IS - Loi travail au noir"/>
    <n v="0"/>
    <n v="163.52000000000001"/>
    <n v="4003"/>
  </r>
  <r>
    <x v="2"/>
    <x v="0"/>
    <x v="0"/>
    <x v="13"/>
    <x v="13"/>
    <x v="13"/>
    <s v="REVENUS"/>
    <x v="2"/>
    <s v="4001.002"/>
    <s v="Impôt complément s/revenu PP"/>
    <n v="0"/>
    <n v="1335.48"/>
    <n v="4001"/>
  </r>
  <r>
    <x v="2"/>
    <x v="0"/>
    <x v="0"/>
    <x v="13"/>
    <x v="13"/>
    <x v="13"/>
    <s v="REVENUS"/>
    <x v="2"/>
    <s v="4001.005"/>
    <s v="Amende de soustract. Impôt"/>
    <n v="0"/>
    <n v="234"/>
    <n v="4001"/>
  </r>
  <r>
    <x v="2"/>
    <x v="0"/>
    <x v="0"/>
    <x v="14"/>
    <x v="14"/>
    <x v="14"/>
    <s v="CHARGES"/>
    <x v="19"/>
    <s v="3186.002"/>
    <s v="Commission perception IS"/>
    <n v="1659.06"/>
    <n v="0"/>
    <n v="3186"/>
  </r>
  <r>
    <x v="2"/>
    <x v="0"/>
    <x v="0"/>
    <x v="14"/>
    <x v="14"/>
    <x v="14"/>
    <s v="CHARGES"/>
    <x v="1"/>
    <s v="3301.001"/>
    <s v="Défalcations, abandons de solde PP et IS"/>
    <n v="2894.28"/>
    <n v="0"/>
    <n v="3301"/>
  </r>
  <r>
    <x v="2"/>
    <x v="0"/>
    <x v="0"/>
    <x v="14"/>
    <x v="14"/>
    <x v="14"/>
    <s v="REVENUS"/>
    <x v="2"/>
    <s v="4001.010"/>
    <s v="Impôt sourciers mixtes"/>
    <n v="0"/>
    <n v="-3022.05"/>
    <n v="4001"/>
  </r>
  <r>
    <x v="2"/>
    <x v="0"/>
    <x v="0"/>
    <x v="14"/>
    <x v="14"/>
    <x v="14"/>
    <s v="REVENUS"/>
    <x v="14"/>
    <s v="4003.000"/>
    <s v="Impôt à la source"/>
    <n v="0"/>
    <n v="32913.82"/>
    <n v="4003"/>
  </r>
  <r>
    <x v="2"/>
    <x v="0"/>
    <x v="0"/>
    <x v="14"/>
    <x v="14"/>
    <x v="14"/>
    <s v="REVENUS"/>
    <x v="6"/>
    <s v="4211.001"/>
    <s v="Intérêts de retard sur factures"/>
    <n v="0"/>
    <n v="78.75"/>
    <n v="4211"/>
  </r>
  <r>
    <x v="2"/>
    <x v="0"/>
    <x v="0"/>
    <x v="14"/>
    <x v="14"/>
    <x v="14"/>
    <s v="REVENUS"/>
    <x v="6"/>
    <s v="4211.002"/>
    <s v="Intérêts de retard sur acomptes"/>
    <n v="0"/>
    <n v="458"/>
    <n v="4211"/>
  </r>
  <r>
    <x v="2"/>
    <x v="0"/>
    <x v="0"/>
    <x v="14"/>
    <x v="14"/>
    <x v="14"/>
    <s v="REVENUS"/>
    <x v="14"/>
    <s v="4003.010"/>
    <s v="IS - Employés et sourciers étrangers"/>
    <n v="0"/>
    <n v="18014.57"/>
    <n v="4003"/>
  </r>
  <r>
    <x v="2"/>
    <x v="0"/>
    <x v="0"/>
    <x v="14"/>
    <x v="14"/>
    <x v="14"/>
    <s v="REVENUS"/>
    <x v="2"/>
    <s v="4001.001"/>
    <s v="Impôt revenu"/>
    <n v="0"/>
    <n v="753.78"/>
    <n v="4001"/>
  </r>
  <r>
    <x v="2"/>
    <x v="0"/>
    <x v="0"/>
    <x v="14"/>
    <x v="14"/>
    <x v="14"/>
    <s v="REVENUS"/>
    <x v="14"/>
    <s v="4003.070"/>
    <s v="IS - Loi travail au noir"/>
    <n v="0"/>
    <n v="12.76"/>
    <n v="4003"/>
  </r>
  <r>
    <x v="2"/>
    <x v="1"/>
    <x v="1"/>
    <x v="15"/>
    <x v="15"/>
    <x v="15"/>
    <s v="CHARGES"/>
    <x v="19"/>
    <s v="3186.002"/>
    <s v="Commission perception IS"/>
    <n v="13561.67"/>
    <n v="0"/>
    <n v="3186"/>
  </r>
  <r>
    <x v="2"/>
    <x v="1"/>
    <x v="1"/>
    <x v="15"/>
    <x v="15"/>
    <x v="15"/>
    <s v="CHARGES"/>
    <x v="1"/>
    <s v="3301.001"/>
    <s v="Défalcations, abandons de solde PP et IS"/>
    <n v="12.35"/>
    <n v="0"/>
    <n v="3301"/>
  </r>
  <r>
    <x v="2"/>
    <x v="1"/>
    <x v="1"/>
    <x v="15"/>
    <x v="15"/>
    <x v="15"/>
    <s v="REVENUS"/>
    <x v="2"/>
    <s v="4001.010"/>
    <s v="Impôt sourciers mixtes"/>
    <n v="0"/>
    <n v="128402.46"/>
    <n v="4001"/>
  </r>
  <r>
    <x v="2"/>
    <x v="1"/>
    <x v="1"/>
    <x v="15"/>
    <x v="15"/>
    <x v="15"/>
    <s v="REVENUS"/>
    <x v="14"/>
    <s v="4003.000"/>
    <s v="Impôt à la source"/>
    <n v="0"/>
    <n v="8003.16"/>
    <n v="4003"/>
  </r>
  <r>
    <x v="2"/>
    <x v="1"/>
    <x v="1"/>
    <x v="15"/>
    <x v="15"/>
    <x v="15"/>
    <s v="REVENUS"/>
    <x v="6"/>
    <s v="4211.002"/>
    <s v="Intérêts de retard sur acomptes"/>
    <n v="0"/>
    <n v="341.23"/>
    <n v="4211"/>
  </r>
  <r>
    <x v="2"/>
    <x v="1"/>
    <x v="1"/>
    <x v="15"/>
    <x v="15"/>
    <x v="15"/>
    <s v="REVENUS"/>
    <x v="7"/>
    <s v="4184.000"/>
    <s v="Frais de poursuite"/>
    <n v="0"/>
    <n v="111.48"/>
    <n v="4184"/>
  </r>
  <r>
    <x v="2"/>
    <x v="1"/>
    <x v="1"/>
    <x v="15"/>
    <x v="15"/>
    <x v="15"/>
    <s v="REVENUS"/>
    <x v="6"/>
    <s v="4211.001"/>
    <s v="Intérêts de retard sur factures"/>
    <n v="0"/>
    <n v="84.75"/>
    <n v="4211"/>
  </r>
  <r>
    <x v="2"/>
    <x v="1"/>
    <x v="1"/>
    <x v="15"/>
    <x v="15"/>
    <x v="15"/>
    <s v="REVENUS"/>
    <x v="2"/>
    <s v="4001.001"/>
    <s v="Impôt revenu"/>
    <n v="0"/>
    <n v="4512.76"/>
    <n v="4001"/>
  </r>
  <r>
    <x v="2"/>
    <x v="1"/>
    <x v="1"/>
    <x v="15"/>
    <x v="15"/>
    <x v="15"/>
    <s v="REVENUS"/>
    <x v="14"/>
    <s v="4003.060"/>
    <s v="IS - Administrateurs"/>
    <n v="0"/>
    <n v="284308.52"/>
    <n v="4003"/>
  </r>
  <r>
    <x v="2"/>
    <x v="1"/>
    <x v="1"/>
    <x v="15"/>
    <x v="15"/>
    <x v="15"/>
    <s v="REVENUS"/>
    <x v="2"/>
    <s v="4001.005"/>
    <s v="Amende de soustract. Impôt"/>
    <n v="0"/>
    <n v="34"/>
    <n v="4001"/>
  </r>
  <r>
    <x v="2"/>
    <x v="1"/>
    <x v="1"/>
    <x v="16"/>
    <x v="16"/>
    <x v="16"/>
    <s v="CHARGES"/>
    <x v="19"/>
    <s v="3186.002"/>
    <s v="Commission perception IS"/>
    <n v="30141.55"/>
    <n v="0"/>
    <n v="3186"/>
  </r>
  <r>
    <x v="2"/>
    <x v="1"/>
    <x v="1"/>
    <x v="16"/>
    <x v="16"/>
    <x v="16"/>
    <s v="CHARGES"/>
    <x v="1"/>
    <s v="3301.001"/>
    <s v="Défalcations, abandons de solde PP et IS"/>
    <n v="2295.89"/>
    <n v="0"/>
    <n v="3301"/>
  </r>
  <r>
    <x v="2"/>
    <x v="1"/>
    <x v="1"/>
    <x v="16"/>
    <x v="16"/>
    <x v="16"/>
    <s v="REVENUS"/>
    <x v="2"/>
    <s v="4001.010"/>
    <s v="Impôt sourciers mixtes"/>
    <n v="0"/>
    <n v="18033.830000000002"/>
    <n v="4001"/>
  </r>
  <r>
    <x v="2"/>
    <x v="1"/>
    <x v="1"/>
    <x v="16"/>
    <x v="16"/>
    <x v="16"/>
    <s v="REVENUS"/>
    <x v="14"/>
    <s v="4003.000"/>
    <s v="Impôt à la source"/>
    <n v="0"/>
    <n v="515878.35"/>
    <n v="4003"/>
  </r>
  <r>
    <x v="2"/>
    <x v="1"/>
    <x v="1"/>
    <x v="16"/>
    <x v="16"/>
    <x v="16"/>
    <s v="REVENUS"/>
    <x v="6"/>
    <s v="4211.001"/>
    <s v="Intérêts de retard sur factures"/>
    <n v="0"/>
    <n v="1602.2"/>
    <n v="4211"/>
  </r>
  <r>
    <x v="2"/>
    <x v="1"/>
    <x v="1"/>
    <x v="16"/>
    <x v="16"/>
    <x v="16"/>
    <s v="REVENUS"/>
    <x v="6"/>
    <s v="4211.002"/>
    <s v="Intérêts de retard sur acomptes"/>
    <n v="0"/>
    <n v="4666.2700000000004"/>
    <n v="4211"/>
  </r>
  <r>
    <x v="2"/>
    <x v="1"/>
    <x v="1"/>
    <x v="16"/>
    <x v="16"/>
    <x v="16"/>
    <s v="REVENUS"/>
    <x v="14"/>
    <s v="4003.010"/>
    <s v="IS - Employés et sourciers étrangers"/>
    <n v="0"/>
    <n v="8016.82"/>
    <n v="4003"/>
  </r>
  <r>
    <x v="2"/>
    <x v="1"/>
    <x v="1"/>
    <x v="16"/>
    <x v="16"/>
    <x v="16"/>
    <s v="REVENUS"/>
    <x v="7"/>
    <s v="4184.000"/>
    <s v="Frais de poursuite"/>
    <n v="0"/>
    <n v="323.8"/>
    <n v="4184"/>
  </r>
  <r>
    <x v="2"/>
    <x v="1"/>
    <x v="1"/>
    <x v="16"/>
    <x v="16"/>
    <x v="16"/>
    <s v="REVENUS"/>
    <x v="2"/>
    <s v="4001.001"/>
    <s v="Impôt revenu"/>
    <n v="0"/>
    <n v="167637.1"/>
    <n v="4001"/>
  </r>
  <r>
    <x v="2"/>
    <x v="1"/>
    <x v="1"/>
    <x v="16"/>
    <x v="16"/>
    <x v="16"/>
    <s v="REVENUS"/>
    <x v="14"/>
    <s v="4003.080"/>
    <s v="IS - Participations Hors Suisse"/>
    <n v="0"/>
    <n v="17665.71"/>
    <n v="4003"/>
  </r>
  <r>
    <x v="2"/>
    <x v="1"/>
    <x v="1"/>
    <x v="16"/>
    <x v="16"/>
    <x v="16"/>
    <s v="REVENUS"/>
    <x v="8"/>
    <s v="4091.001"/>
    <s v="Impôt récupéré après défalcations"/>
    <n v="0"/>
    <n v="382.12"/>
    <n v="4091"/>
  </r>
  <r>
    <x v="2"/>
    <x v="1"/>
    <x v="1"/>
    <x v="16"/>
    <x v="16"/>
    <x v="16"/>
    <s v="REVENUS"/>
    <x v="14"/>
    <s v="4003.070"/>
    <s v="IS - Loi travail au noir"/>
    <n v="0"/>
    <n v="292.47000000000003"/>
    <n v="4003"/>
  </r>
  <r>
    <x v="2"/>
    <x v="1"/>
    <x v="1"/>
    <x v="16"/>
    <x v="16"/>
    <x v="16"/>
    <s v="REVENUS"/>
    <x v="2"/>
    <s v="4001.002"/>
    <s v="Impôt complément s/revenu PP"/>
    <n v="0"/>
    <n v="26443.52"/>
    <n v="4001"/>
  </r>
  <r>
    <x v="2"/>
    <x v="1"/>
    <x v="1"/>
    <x v="17"/>
    <x v="17"/>
    <x v="17"/>
    <s v="CHARGES"/>
    <x v="19"/>
    <s v="3186.002"/>
    <s v="Commission perception IS"/>
    <n v="1221.07"/>
    <n v="0"/>
    <n v="3186"/>
  </r>
  <r>
    <x v="2"/>
    <x v="1"/>
    <x v="1"/>
    <x v="17"/>
    <x v="17"/>
    <x v="17"/>
    <s v="CHARGES"/>
    <x v="1"/>
    <s v="3301.001"/>
    <s v="Défalcations, abandons de solde PP et IS"/>
    <n v="32.51"/>
    <n v="0"/>
    <n v="3301"/>
  </r>
  <r>
    <x v="2"/>
    <x v="1"/>
    <x v="1"/>
    <x v="17"/>
    <x v="17"/>
    <x v="17"/>
    <s v="REVENUS"/>
    <x v="14"/>
    <s v="4003.000"/>
    <s v="Impôt à la source"/>
    <n v="0"/>
    <n v="22552.35"/>
    <n v="4003"/>
  </r>
  <r>
    <x v="2"/>
    <x v="1"/>
    <x v="1"/>
    <x v="17"/>
    <x v="17"/>
    <x v="17"/>
    <s v="REVENUS"/>
    <x v="6"/>
    <s v="4211.001"/>
    <s v="Intérêts de retard sur factures"/>
    <n v="0"/>
    <n v="59.84"/>
    <n v="4211"/>
  </r>
  <r>
    <x v="2"/>
    <x v="1"/>
    <x v="1"/>
    <x v="17"/>
    <x v="17"/>
    <x v="17"/>
    <s v="REVENUS"/>
    <x v="6"/>
    <s v="4211.002"/>
    <s v="Intérêts de retard sur acomptes"/>
    <n v="0"/>
    <n v="200.32"/>
    <n v="4211"/>
  </r>
  <r>
    <x v="2"/>
    <x v="1"/>
    <x v="1"/>
    <x v="17"/>
    <x v="17"/>
    <x v="17"/>
    <s v="REVENUS"/>
    <x v="2"/>
    <s v="4001.010"/>
    <s v="Impôt sourciers mixtes"/>
    <n v="0"/>
    <n v="-5234.1400000000003"/>
    <n v="4001"/>
  </r>
  <r>
    <x v="2"/>
    <x v="1"/>
    <x v="1"/>
    <x v="17"/>
    <x v="17"/>
    <x v="17"/>
    <s v="REVENUS"/>
    <x v="2"/>
    <s v="4001.001"/>
    <s v="Impôt revenu"/>
    <n v="0"/>
    <n v="-5883.1"/>
    <n v="4001"/>
  </r>
  <r>
    <x v="2"/>
    <x v="1"/>
    <x v="1"/>
    <x v="17"/>
    <x v="17"/>
    <x v="17"/>
    <s v="REVENUS"/>
    <x v="2"/>
    <s v="4001.002"/>
    <s v="Impôt complément s/revenu PP"/>
    <n v="0"/>
    <n v="17196.419999999998"/>
    <n v="4001"/>
  </r>
  <r>
    <x v="2"/>
    <x v="1"/>
    <x v="1"/>
    <x v="17"/>
    <x v="17"/>
    <x v="17"/>
    <s v="REVENUS"/>
    <x v="8"/>
    <s v="4091.001"/>
    <s v="Impôt récupéré après défalcations"/>
    <n v="0"/>
    <n v="0"/>
    <n v="4091"/>
  </r>
  <r>
    <x v="2"/>
    <x v="1"/>
    <x v="1"/>
    <x v="17"/>
    <x v="17"/>
    <x v="17"/>
    <s v="REVENUS"/>
    <x v="14"/>
    <s v="4003.070"/>
    <s v="IS - Loi travail au noir"/>
    <n v="0"/>
    <n v="41.37"/>
    <n v="4003"/>
  </r>
  <r>
    <x v="2"/>
    <x v="1"/>
    <x v="1"/>
    <x v="17"/>
    <x v="17"/>
    <x v="17"/>
    <s v="REVENUS"/>
    <x v="7"/>
    <s v="4184.000"/>
    <s v="Frais de poursuite"/>
    <n v="0"/>
    <n v="9.5299999999999994"/>
    <n v="4184"/>
  </r>
  <r>
    <x v="2"/>
    <x v="1"/>
    <x v="1"/>
    <x v="17"/>
    <x v="17"/>
    <x v="17"/>
    <s v="REVENUS"/>
    <x v="14"/>
    <s v="4003.010"/>
    <s v="IS - Employés et sourciers étrangers"/>
    <n v="0"/>
    <n v="34.28"/>
    <n v="4003"/>
  </r>
  <r>
    <x v="2"/>
    <x v="1"/>
    <x v="1"/>
    <x v="18"/>
    <x v="18"/>
    <x v="18"/>
    <s v="CHARGES"/>
    <x v="19"/>
    <s v="3186.002"/>
    <s v="Commission perception IS"/>
    <n v="692.89"/>
    <n v="0"/>
    <n v="3186"/>
  </r>
  <r>
    <x v="2"/>
    <x v="1"/>
    <x v="1"/>
    <x v="18"/>
    <x v="18"/>
    <x v="18"/>
    <s v="CHARGES"/>
    <x v="1"/>
    <s v="3301.001"/>
    <s v="Défalcations, abandons de solde PP et IS"/>
    <n v="0.17"/>
    <n v="0"/>
    <n v="3301"/>
  </r>
  <r>
    <x v="2"/>
    <x v="1"/>
    <x v="1"/>
    <x v="18"/>
    <x v="18"/>
    <x v="18"/>
    <s v="REVENUS"/>
    <x v="6"/>
    <s v="4211.002"/>
    <s v="Intérêts de retard sur acomptes"/>
    <n v="0"/>
    <n v="33.61"/>
    <n v="4211"/>
  </r>
  <r>
    <x v="2"/>
    <x v="1"/>
    <x v="1"/>
    <x v="18"/>
    <x v="18"/>
    <x v="18"/>
    <s v="REVENUS"/>
    <x v="14"/>
    <s v="4003.000"/>
    <s v="Impôt à la source"/>
    <n v="0"/>
    <n v="4367.42"/>
    <n v="4003"/>
  </r>
  <r>
    <x v="2"/>
    <x v="1"/>
    <x v="1"/>
    <x v="18"/>
    <x v="18"/>
    <x v="18"/>
    <s v="REVENUS"/>
    <x v="6"/>
    <s v="4211.001"/>
    <s v="Intérêts de retard sur factures"/>
    <n v="0"/>
    <n v="4.55"/>
    <n v="4211"/>
  </r>
  <r>
    <x v="2"/>
    <x v="1"/>
    <x v="1"/>
    <x v="18"/>
    <x v="18"/>
    <x v="18"/>
    <s v="REVENUS"/>
    <x v="2"/>
    <s v="4001.001"/>
    <s v="Impôt revenu"/>
    <n v="0"/>
    <n v="7563.26"/>
    <n v="4001"/>
  </r>
  <r>
    <x v="2"/>
    <x v="1"/>
    <x v="1"/>
    <x v="18"/>
    <x v="18"/>
    <x v="18"/>
    <s v="REVENUS"/>
    <x v="2"/>
    <s v="4001.010"/>
    <s v="Impôt sourciers mixtes"/>
    <n v="0"/>
    <n v="10620.69"/>
    <n v="4001"/>
  </r>
  <r>
    <x v="2"/>
    <x v="1"/>
    <x v="1"/>
    <x v="19"/>
    <x v="19"/>
    <x v="19"/>
    <s v="CHARGES"/>
    <x v="19"/>
    <s v="3186.002"/>
    <s v="Commission perception IS"/>
    <n v="4484.87"/>
    <n v="0"/>
    <n v="3186"/>
  </r>
  <r>
    <x v="2"/>
    <x v="1"/>
    <x v="1"/>
    <x v="19"/>
    <x v="19"/>
    <x v="19"/>
    <s v="CHARGES"/>
    <x v="1"/>
    <s v="3301.001"/>
    <s v="Défalcations, abandons de solde PP et IS"/>
    <n v="2795.54"/>
    <n v="0"/>
    <n v="3301"/>
  </r>
  <r>
    <x v="2"/>
    <x v="1"/>
    <x v="1"/>
    <x v="19"/>
    <x v="19"/>
    <x v="19"/>
    <s v="REVENUS"/>
    <x v="14"/>
    <s v="4003.000"/>
    <s v="Impôt à la source"/>
    <n v="0"/>
    <n v="142232.9"/>
    <n v="4003"/>
  </r>
  <r>
    <x v="2"/>
    <x v="1"/>
    <x v="1"/>
    <x v="19"/>
    <x v="19"/>
    <x v="19"/>
    <s v="REVENUS"/>
    <x v="2"/>
    <s v="4001.010"/>
    <s v="Impôt sourciers mixtes"/>
    <n v="0"/>
    <n v="-5719.7"/>
    <n v="4001"/>
  </r>
  <r>
    <x v="2"/>
    <x v="1"/>
    <x v="1"/>
    <x v="19"/>
    <x v="19"/>
    <x v="19"/>
    <s v="REVENUS"/>
    <x v="6"/>
    <s v="4211.001"/>
    <s v="Intérêts de retard sur factures"/>
    <n v="0"/>
    <n v="333.05"/>
    <n v="4211"/>
  </r>
  <r>
    <x v="2"/>
    <x v="1"/>
    <x v="1"/>
    <x v="19"/>
    <x v="19"/>
    <x v="19"/>
    <s v="REVENUS"/>
    <x v="6"/>
    <s v="4211.002"/>
    <s v="Intérêts de retard sur acomptes"/>
    <n v="0"/>
    <n v="1172.82"/>
    <n v="4211"/>
  </r>
  <r>
    <x v="2"/>
    <x v="1"/>
    <x v="1"/>
    <x v="19"/>
    <x v="19"/>
    <x v="19"/>
    <s v="REVENUS"/>
    <x v="7"/>
    <s v="4184.000"/>
    <s v="Frais de poursuite"/>
    <n v="0"/>
    <n v="106.16"/>
    <n v="4184"/>
  </r>
  <r>
    <x v="2"/>
    <x v="1"/>
    <x v="1"/>
    <x v="19"/>
    <x v="19"/>
    <x v="19"/>
    <s v="REVENUS"/>
    <x v="2"/>
    <s v="4001.001"/>
    <s v="Impôt revenu"/>
    <n v="0"/>
    <n v="24587.22"/>
    <n v="4001"/>
  </r>
  <r>
    <x v="2"/>
    <x v="1"/>
    <x v="1"/>
    <x v="19"/>
    <x v="19"/>
    <x v="19"/>
    <s v="REVENUS"/>
    <x v="8"/>
    <s v="4091.001"/>
    <s v="Impôt récupéré après défalcations"/>
    <n v="0"/>
    <n v="0"/>
    <n v="4091"/>
  </r>
  <r>
    <x v="2"/>
    <x v="1"/>
    <x v="1"/>
    <x v="19"/>
    <x v="19"/>
    <x v="19"/>
    <s v="REVENUS"/>
    <x v="14"/>
    <s v="4003.070"/>
    <s v="IS - Loi travail au noir"/>
    <n v="0"/>
    <n v="0.99"/>
    <n v="4003"/>
  </r>
  <r>
    <x v="2"/>
    <x v="1"/>
    <x v="1"/>
    <x v="20"/>
    <x v="20"/>
    <x v="20"/>
    <s v="CHARGES"/>
    <x v="19"/>
    <s v="3186.002"/>
    <s v="Commission perception IS"/>
    <n v="2042.38"/>
    <n v="0"/>
    <n v="3186"/>
  </r>
  <r>
    <x v="2"/>
    <x v="1"/>
    <x v="1"/>
    <x v="20"/>
    <x v="20"/>
    <x v="20"/>
    <s v="CHARGES"/>
    <x v="1"/>
    <s v="3301.001"/>
    <s v="Défalcations, abandons de solde PP et IS"/>
    <n v="1.33"/>
    <n v="0"/>
    <n v="3301"/>
  </r>
  <r>
    <x v="2"/>
    <x v="1"/>
    <x v="1"/>
    <x v="20"/>
    <x v="20"/>
    <x v="20"/>
    <s v="REVENUS"/>
    <x v="14"/>
    <s v="4003.000"/>
    <s v="Impôt à la source"/>
    <n v="0"/>
    <n v="28904.86"/>
    <n v="4003"/>
  </r>
  <r>
    <x v="2"/>
    <x v="1"/>
    <x v="1"/>
    <x v="20"/>
    <x v="20"/>
    <x v="20"/>
    <s v="REVENUS"/>
    <x v="6"/>
    <s v="4211.001"/>
    <s v="Intérêts de retard sur factures"/>
    <n v="0"/>
    <n v="217.29"/>
    <n v="4211"/>
  </r>
  <r>
    <x v="2"/>
    <x v="1"/>
    <x v="1"/>
    <x v="20"/>
    <x v="20"/>
    <x v="20"/>
    <s v="REVENUS"/>
    <x v="2"/>
    <s v="4001.010"/>
    <s v="Impôt sourciers mixtes"/>
    <n v="0"/>
    <n v="38440.050000000003"/>
    <n v="4001"/>
  </r>
  <r>
    <x v="2"/>
    <x v="1"/>
    <x v="1"/>
    <x v="20"/>
    <x v="20"/>
    <x v="20"/>
    <s v="REVENUS"/>
    <x v="6"/>
    <s v="4211.002"/>
    <s v="Intérêts de retard sur acomptes"/>
    <n v="0"/>
    <n v="221.25"/>
    <n v="4211"/>
  </r>
  <r>
    <x v="2"/>
    <x v="1"/>
    <x v="1"/>
    <x v="20"/>
    <x v="20"/>
    <x v="20"/>
    <s v="REVENUS"/>
    <x v="14"/>
    <s v="4003.010"/>
    <s v="IS - Employés et sourciers étrangers"/>
    <n v="0"/>
    <n v="2728.67"/>
    <n v="4003"/>
  </r>
  <r>
    <x v="2"/>
    <x v="1"/>
    <x v="1"/>
    <x v="20"/>
    <x v="20"/>
    <x v="20"/>
    <s v="REVENUS"/>
    <x v="7"/>
    <s v="4184.000"/>
    <s v="Frais de poursuite"/>
    <n v="0"/>
    <n v="23.68"/>
    <n v="4184"/>
  </r>
  <r>
    <x v="2"/>
    <x v="1"/>
    <x v="1"/>
    <x v="21"/>
    <x v="21"/>
    <x v="21"/>
    <s v="CHARGES"/>
    <x v="19"/>
    <s v="3186.002"/>
    <s v="Commission perception IS"/>
    <n v="7317.26"/>
    <n v="0"/>
    <n v="3186"/>
  </r>
  <r>
    <x v="2"/>
    <x v="1"/>
    <x v="1"/>
    <x v="21"/>
    <x v="21"/>
    <x v="21"/>
    <s v="CHARGES"/>
    <x v="1"/>
    <s v="3301.001"/>
    <s v="Défalcations, abandons de solde PP et IS"/>
    <n v="6400.25"/>
    <n v="0"/>
    <n v="3301"/>
  </r>
  <r>
    <x v="2"/>
    <x v="1"/>
    <x v="1"/>
    <x v="21"/>
    <x v="21"/>
    <x v="21"/>
    <s v="REVENUS"/>
    <x v="2"/>
    <s v="4001.010"/>
    <s v="Impôt sourciers mixtes"/>
    <n v="0"/>
    <n v="-212858.29"/>
    <n v="4001"/>
  </r>
  <r>
    <x v="2"/>
    <x v="1"/>
    <x v="1"/>
    <x v="21"/>
    <x v="21"/>
    <x v="21"/>
    <s v="REVENUS"/>
    <x v="6"/>
    <s v="4211.001"/>
    <s v="Intérêts de retard sur factures"/>
    <n v="0"/>
    <n v="547.04999999999995"/>
    <n v="4211"/>
  </r>
  <r>
    <x v="2"/>
    <x v="1"/>
    <x v="1"/>
    <x v="21"/>
    <x v="21"/>
    <x v="21"/>
    <s v="REVENUS"/>
    <x v="14"/>
    <s v="4003.000"/>
    <s v="Impôt à la source"/>
    <n v="0"/>
    <n v="37522.239999999998"/>
    <n v="4003"/>
  </r>
  <r>
    <x v="2"/>
    <x v="1"/>
    <x v="1"/>
    <x v="21"/>
    <x v="21"/>
    <x v="21"/>
    <s v="REVENUS"/>
    <x v="14"/>
    <s v="4003.010"/>
    <s v="IS - Employés et sourciers étrangers"/>
    <n v="0"/>
    <n v="14015.77"/>
    <n v="4003"/>
  </r>
  <r>
    <x v="2"/>
    <x v="1"/>
    <x v="1"/>
    <x v="21"/>
    <x v="21"/>
    <x v="21"/>
    <s v="REVENUS"/>
    <x v="6"/>
    <s v="4211.002"/>
    <s v="Intérêts de retard sur acomptes"/>
    <n v="0"/>
    <n v="751.66"/>
    <n v="4211"/>
  </r>
  <r>
    <x v="2"/>
    <x v="1"/>
    <x v="1"/>
    <x v="21"/>
    <x v="21"/>
    <x v="21"/>
    <s v="REVENUS"/>
    <x v="7"/>
    <s v="4184.000"/>
    <s v="Frais de poursuite"/>
    <n v="0"/>
    <n v="142.81"/>
    <n v="4184"/>
  </r>
  <r>
    <x v="2"/>
    <x v="1"/>
    <x v="1"/>
    <x v="21"/>
    <x v="21"/>
    <x v="21"/>
    <s v="REVENUS"/>
    <x v="2"/>
    <s v="4001.001"/>
    <s v="Impôt revenu"/>
    <n v="0"/>
    <n v="397.1"/>
    <n v="4001"/>
  </r>
  <r>
    <x v="2"/>
    <x v="1"/>
    <x v="1"/>
    <x v="21"/>
    <x v="21"/>
    <x v="21"/>
    <s v="REVENUS"/>
    <x v="8"/>
    <s v="4091.001"/>
    <s v="Impôt récupéré après défalcations"/>
    <n v="0"/>
    <n v="6191.36"/>
    <n v="4091"/>
  </r>
  <r>
    <x v="2"/>
    <x v="1"/>
    <x v="1"/>
    <x v="22"/>
    <x v="22"/>
    <x v="22"/>
    <s v="CHARGES"/>
    <x v="19"/>
    <s v="3186.002"/>
    <s v="Commission perception IS"/>
    <n v="7807.28"/>
    <n v="0"/>
    <n v="3186"/>
  </r>
  <r>
    <x v="2"/>
    <x v="1"/>
    <x v="1"/>
    <x v="22"/>
    <x v="22"/>
    <x v="22"/>
    <s v="CHARGES"/>
    <x v="1"/>
    <s v="3301.001"/>
    <s v="Défalcations, abandons de solde PP et IS"/>
    <n v="1527.57"/>
    <n v="0"/>
    <n v="3301"/>
  </r>
  <r>
    <x v="2"/>
    <x v="1"/>
    <x v="1"/>
    <x v="22"/>
    <x v="22"/>
    <x v="22"/>
    <s v="REVENUS"/>
    <x v="14"/>
    <s v="4003.000"/>
    <s v="Impôt à la source"/>
    <n v="0"/>
    <n v="203997.81"/>
    <n v="4003"/>
  </r>
  <r>
    <x v="2"/>
    <x v="1"/>
    <x v="1"/>
    <x v="22"/>
    <x v="22"/>
    <x v="22"/>
    <s v="REVENUS"/>
    <x v="2"/>
    <s v="4001.010"/>
    <s v="Impôt sourciers mixtes"/>
    <n v="0"/>
    <n v="-22172.67"/>
    <n v="4001"/>
  </r>
  <r>
    <x v="2"/>
    <x v="1"/>
    <x v="1"/>
    <x v="22"/>
    <x v="22"/>
    <x v="22"/>
    <s v="REVENUS"/>
    <x v="6"/>
    <s v="4211.001"/>
    <s v="Intérêts de retard sur factures"/>
    <n v="0"/>
    <n v="480.96"/>
    <n v="4211"/>
  </r>
  <r>
    <x v="2"/>
    <x v="1"/>
    <x v="1"/>
    <x v="22"/>
    <x v="22"/>
    <x v="22"/>
    <s v="REVENUS"/>
    <x v="6"/>
    <s v="4211.002"/>
    <s v="Intérêts de retard sur acomptes"/>
    <n v="0"/>
    <n v="852.88"/>
    <n v="4211"/>
  </r>
  <r>
    <x v="2"/>
    <x v="1"/>
    <x v="1"/>
    <x v="22"/>
    <x v="22"/>
    <x v="22"/>
    <s v="REVENUS"/>
    <x v="7"/>
    <s v="4184.000"/>
    <s v="Frais de poursuite"/>
    <n v="0"/>
    <n v="69.010000000000005"/>
    <n v="4184"/>
  </r>
  <r>
    <x v="2"/>
    <x v="1"/>
    <x v="1"/>
    <x v="22"/>
    <x v="22"/>
    <x v="22"/>
    <s v="REVENUS"/>
    <x v="2"/>
    <s v="4001.001"/>
    <s v="Impôt revenu"/>
    <n v="0"/>
    <n v="18296.59"/>
    <n v="4001"/>
  </r>
  <r>
    <x v="2"/>
    <x v="1"/>
    <x v="1"/>
    <x v="22"/>
    <x v="22"/>
    <x v="22"/>
    <s v="REVENUS"/>
    <x v="14"/>
    <s v="4003.070"/>
    <s v="IS - Loi travail au noir"/>
    <n v="0"/>
    <n v="68.11"/>
    <n v="4003"/>
  </r>
  <r>
    <x v="2"/>
    <x v="1"/>
    <x v="1"/>
    <x v="22"/>
    <x v="22"/>
    <x v="22"/>
    <s v="REVENUS"/>
    <x v="2"/>
    <s v="4001.002"/>
    <s v="Impôt complément s/revenu PP"/>
    <n v="0"/>
    <n v="458.27"/>
    <n v="4001"/>
  </r>
  <r>
    <x v="2"/>
    <x v="1"/>
    <x v="1"/>
    <x v="22"/>
    <x v="22"/>
    <x v="22"/>
    <s v="REVENUS"/>
    <x v="2"/>
    <s v="4001.005"/>
    <s v="Amende de soustract. Impôt"/>
    <n v="0"/>
    <n v="192.41"/>
    <n v="4001"/>
  </r>
  <r>
    <x v="2"/>
    <x v="2"/>
    <x v="2"/>
    <x v="23"/>
    <x v="23"/>
    <x v="23"/>
    <s v="CHARGES"/>
    <x v="19"/>
    <s v="3186.002"/>
    <s v="Commission perception IS"/>
    <n v="390.67"/>
    <n v="0"/>
    <n v="3186"/>
  </r>
  <r>
    <x v="2"/>
    <x v="2"/>
    <x v="2"/>
    <x v="23"/>
    <x v="23"/>
    <x v="23"/>
    <s v="CHARGES"/>
    <x v="1"/>
    <s v="3301.001"/>
    <s v="Défalcations, abandons de solde PP et IS"/>
    <n v="-3.33"/>
    <n v="0"/>
    <n v="3301"/>
  </r>
  <r>
    <x v="2"/>
    <x v="2"/>
    <x v="2"/>
    <x v="23"/>
    <x v="23"/>
    <x v="23"/>
    <s v="REVENUS"/>
    <x v="2"/>
    <s v="4001.010"/>
    <s v="Impôt sourciers mixtes"/>
    <n v="0"/>
    <n v="4439.13"/>
    <n v="4001"/>
  </r>
  <r>
    <x v="2"/>
    <x v="2"/>
    <x v="2"/>
    <x v="23"/>
    <x v="23"/>
    <x v="23"/>
    <s v="REVENUS"/>
    <x v="14"/>
    <s v="4003.000"/>
    <s v="Impôt à la source"/>
    <n v="0"/>
    <n v="8986.31"/>
    <n v="4003"/>
  </r>
  <r>
    <x v="2"/>
    <x v="2"/>
    <x v="2"/>
    <x v="23"/>
    <x v="23"/>
    <x v="23"/>
    <s v="REVENUS"/>
    <x v="14"/>
    <s v="4003.010"/>
    <s v="IS - Employés et sourciers étrangers"/>
    <n v="0"/>
    <n v="34.28"/>
    <n v="4003"/>
  </r>
  <r>
    <x v="2"/>
    <x v="2"/>
    <x v="2"/>
    <x v="23"/>
    <x v="23"/>
    <x v="23"/>
    <s v="REVENUS"/>
    <x v="6"/>
    <s v="4211.002"/>
    <s v="Intérêts de retard sur acomptes"/>
    <n v="0"/>
    <n v="341.64"/>
    <n v="4211"/>
  </r>
  <r>
    <x v="2"/>
    <x v="2"/>
    <x v="2"/>
    <x v="23"/>
    <x v="23"/>
    <x v="23"/>
    <s v="REVENUS"/>
    <x v="6"/>
    <s v="4211.001"/>
    <s v="Intérêts de retard sur factures"/>
    <n v="0"/>
    <n v="157.19"/>
    <n v="4211"/>
  </r>
  <r>
    <x v="2"/>
    <x v="2"/>
    <x v="2"/>
    <x v="23"/>
    <x v="23"/>
    <x v="23"/>
    <s v="REVENUS"/>
    <x v="2"/>
    <s v="4001.001"/>
    <s v="Impôt revenu"/>
    <n v="0"/>
    <n v="1268.51"/>
    <n v="4001"/>
  </r>
  <r>
    <x v="2"/>
    <x v="2"/>
    <x v="2"/>
    <x v="23"/>
    <x v="23"/>
    <x v="23"/>
    <s v="REVENUS"/>
    <x v="8"/>
    <s v="4091.001"/>
    <s v="Impôt récupéré après défalcations"/>
    <n v="0"/>
    <n v="104.2"/>
    <n v="4091"/>
  </r>
  <r>
    <x v="2"/>
    <x v="2"/>
    <x v="2"/>
    <x v="24"/>
    <x v="24"/>
    <x v="24"/>
    <s v="CHARGES"/>
    <x v="19"/>
    <s v="3186.002"/>
    <s v="Commission perception IS"/>
    <n v="581.95000000000005"/>
    <n v="0"/>
    <n v="3186"/>
  </r>
  <r>
    <x v="2"/>
    <x v="2"/>
    <x v="2"/>
    <x v="24"/>
    <x v="24"/>
    <x v="24"/>
    <s v="CHARGES"/>
    <x v="1"/>
    <s v="3301.001"/>
    <s v="Défalcations, abandons de solde PP et IS"/>
    <n v="0.13"/>
    <n v="0"/>
    <n v="3301"/>
  </r>
  <r>
    <x v="2"/>
    <x v="2"/>
    <x v="2"/>
    <x v="24"/>
    <x v="24"/>
    <x v="24"/>
    <s v="REVENUS"/>
    <x v="14"/>
    <s v="4003.000"/>
    <s v="Impôt à la source"/>
    <n v="0"/>
    <n v="23189.25"/>
    <n v="4003"/>
  </r>
  <r>
    <x v="2"/>
    <x v="2"/>
    <x v="2"/>
    <x v="24"/>
    <x v="24"/>
    <x v="24"/>
    <s v="REVENUS"/>
    <x v="6"/>
    <s v="4211.002"/>
    <s v="Intérêts de retard sur acomptes"/>
    <n v="0"/>
    <n v="62.07"/>
    <n v="4211"/>
  </r>
  <r>
    <x v="2"/>
    <x v="2"/>
    <x v="2"/>
    <x v="24"/>
    <x v="24"/>
    <x v="24"/>
    <s v="REVENUS"/>
    <x v="6"/>
    <s v="4211.001"/>
    <s v="Intérêts de retard sur factures"/>
    <n v="0"/>
    <n v="55.93"/>
    <n v="4211"/>
  </r>
  <r>
    <x v="2"/>
    <x v="2"/>
    <x v="2"/>
    <x v="24"/>
    <x v="24"/>
    <x v="24"/>
    <s v="REVENUS"/>
    <x v="2"/>
    <s v="4001.010"/>
    <s v="Impôt sourciers mixtes"/>
    <n v="0"/>
    <n v="-5067.4799999999996"/>
    <n v="4001"/>
  </r>
  <r>
    <x v="2"/>
    <x v="2"/>
    <x v="2"/>
    <x v="24"/>
    <x v="24"/>
    <x v="24"/>
    <s v="REVENUS"/>
    <x v="14"/>
    <s v="4003.070"/>
    <s v="IS - Loi travail au noir"/>
    <n v="0"/>
    <n v="0"/>
    <n v="4003"/>
  </r>
  <r>
    <x v="2"/>
    <x v="2"/>
    <x v="2"/>
    <x v="24"/>
    <x v="24"/>
    <x v="24"/>
    <s v="REVENUS"/>
    <x v="2"/>
    <s v="4001.001"/>
    <s v="Impôt revenu"/>
    <n v="0"/>
    <n v="3171.44"/>
    <n v="4001"/>
  </r>
  <r>
    <x v="2"/>
    <x v="2"/>
    <x v="2"/>
    <x v="24"/>
    <x v="24"/>
    <x v="24"/>
    <s v="REVENUS"/>
    <x v="2"/>
    <s v="4001.002"/>
    <s v="Impôt complément s/revenu PP"/>
    <n v="0"/>
    <n v="1726.54"/>
    <n v="4001"/>
  </r>
  <r>
    <x v="2"/>
    <x v="1"/>
    <x v="1"/>
    <x v="25"/>
    <x v="25"/>
    <x v="25"/>
    <s v="CHARGES"/>
    <x v="19"/>
    <s v="3186.002"/>
    <s v="Commission perception IS"/>
    <n v="505.81"/>
    <n v="0"/>
    <n v="3186"/>
  </r>
  <r>
    <x v="2"/>
    <x v="1"/>
    <x v="1"/>
    <x v="25"/>
    <x v="25"/>
    <x v="25"/>
    <s v="CHARGES"/>
    <x v="1"/>
    <s v="3301.001"/>
    <s v="Défalcations, abandons de solde PP et IS"/>
    <n v="348.49"/>
    <n v="0"/>
    <n v="3301"/>
  </r>
  <r>
    <x v="2"/>
    <x v="1"/>
    <x v="1"/>
    <x v="25"/>
    <x v="25"/>
    <x v="25"/>
    <s v="REVENUS"/>
    <x v="14"/>
    <s v="4003.000"/>
    <s v="Impôt à la source"/>
    <n v="0"/>
    <n v="25776.17"/>
    <n v="4003"/>
  </r>
  <r>
    <x v="2"/>
    <x v="1"/>
    <x v="1"/>
    <x v="25"/>
    <x v="25"/>
    <x v="25"/>
    <s v="REVENUS"/>
    <x v="2"/>
    <s v="4001.010"/>
    <s v="Impôt sourciers mixtes"/>
    <n v="0"/>
    <n v="254.97"/>
    <n v="4001"/>
  </r>
  <r>
    <x v="2"/>
    <x v="1"/>
    <x v="1"/>
    <x v="25"/>
    <x v="25"/>
    <x v="25"/>
    <s v="REVENUS"/>
    <x v="6"/>
    <s v="4211.001"/>
    <s v="Intérêts de retard sur factures"/>
    <n v="0"/>
    <n v="83.85"/>
    <n v="4211"/>
  </r>
  <r>
    <x v="2"/>
    <x v="1"/>
    <x v="1"/>
    <x v="25"/>
    <x v="25"/>
    <x v="25"/>
    <s v="REVENUS"/>
    <x v="6"/>
    <s v="4211.002"/>
    <s v="Intérêts de retard sur acomptes"/>
    <n v="0"/>
    <n v="356.22"/>
    <n v="4211"/>
  </r>
  <r>
    <x v="2"/>
    <x v="1"/>
    <x v="1"/>
    <x v="25"/>
    <x v="25"/>
    <x v="25"/>
    <s v="REVENUS"/>
    <x v="2"/>
    <s v="4001.001"/>
    <s v="Impôt revenu"/>
    <n v="0"/>
    <n v="1752.72"/>
    <n v="4001"/>
  </r>
  <r>
    <x v="2"/>
    <x v="1"/>
    <x v="1"/>
    <x v="26"/>
    <x v="26"/>
    <x v="26"/>
    <s v="CHARGES"/>
    <x v="19"/>
    <s v="3186.002"/>
    <s v="Commission perception IS"/>
    <n v="1191.74"/>
    <n v="0"/>
    <n v="3186"/>
  </r>
  <r>
    <x v="2"/>
    <x v="1"/>
    <x v="1"/>
    <x v="26"/>
    <x v="26"/>
    <x v="26"/>
    <s v="CHARGES"/>
    <x v="1"/>
    <s v="3301.001"/>
    <s v="Défalcations, abandons de solde PP et IS"/>
    <n v="138.15"/>
    <n v="0"/>
    <n v="3301"/>
  </r>
  <r>
    <x v="2"/>
    <x v="1"/>
    <x v="1"/>
    <x v="26"/>
    <x v="26"/>
    <x v="26"/>
    <s v="REVENUS"/>
    <x v="14"/>
    <s v="4003.000"/>
    <s v="Impôt à la source"/>
    <n v="0"/>
    <n v="39752.03"/>
    <n v="4003"/>
  </r>
  <r>
    <x v="2"/>
    <x v="1"/>
    <x v="1"/>
    <x v="26"/>
    <x v="26"/>
    <x v="26"/>
    <s v="REVENUS"/>
    <x v="6"/>
    <s v="4211.001"/>
    <s v="Intérêts de retard sur factures"/>
    <n v="0"/>
    <n v="162.49"/>
    <n v="4211"/>
  </r>
  <r>
    <x v="2"/>
    <x v="1"/>
    <x v="1"/>
    <x v="26"/>
    <x v="26"/>
    <x v="26"/>
    <s v="REVENUS"/>
    <x v="2"/>
    <s v="4001.010"/>
    <s v="Impôt sourciers mixtes"/>
    <n v="0"/>
    <n v="-11765.11"/>
    <n v="4001"/>
  </r>
  <r>
    <x v="2"/>
    <x v="1"/>
    <x v="1"/>
    <x v="26"/>
    <x v="26"/>
    <x v="26"/>
    <s v="REVENUS"/>
    <x v="6"/>
    <s v="4211.002"/>
    <s v="Intérêts de retard sur acomptes"/>
    <n v="0"/>
    <n v="1103.5"/>
    <n v="4211"/>
  </r>
  <r>
    <x v="2"/>
    <x v="1"/>
    <x v="1"/>
    <x v="26"/>
    <x v="26"/>
    <x v="26"/>
    <s v="REVENUS"/>
    <x v="2"/>
    <s v="4001.001"/>
    <s v="Impôt revenu"/>
    <n v="0"/>
    <n v="4494.1499999999996"/>
    <n v="4001"/>
  </r>
  <r>
    <x v="2"/>
    <x v="1"/>
    <x v="1"/>
    <x v="26"/>
    <x v="26"/>
    <x v="26"/>
    <s v="REVENUS"/>
    <x v="14"/>
    <s v="4003.070"/>
    <s v="IS - Loi travail au noir"/>
    <n v="0"/>
    <n v="1.63"/>
    <n v="4003"/>
  </r>
  <r>
    <x v="2"/>
    <x v="1"/>
    <x v="1"/>
    <x v="26"/>
    <x v="26"/>
    <x v="26"/>
    <s v="REVENUS"/>
    <x v="7"/>
    <s v="4184.000"/>
    <s v="Frais de poursuite"/>
    <n v="0"/>
    <n v="3.14"/>
    <n v="4184"/>
  </r>
  <r>
    <x v="2"/>
    <x v="2"/>
    <x v="2"/>
    <x v="27"/>
    <x v="27"/>
    <x v="27"/>
    <s v="CHARGES"/>
    <x v="19"/>
    <s v="3186.002"/>
    <s v="Commission perception IS"/>
    <n v="3871.26"/>
    <n v="0"/>
    <n v="3186"/>
  </r>
  <r>
    <x v="2"/>
    <x v="2"/>
    <x v="2"/>
    <x v="27"/>
    <x v="27"/>
    <x v="27"/>
    <s v="CHARGES"/>
    <x v="1"/>
    <s v="3301.001"/>
    <s v="Défalcations, abandons de solde PP et IS"/>
    <n v="5.91"/>
    <n v="0"/>
    <n v="3301"/>
  </r>
  <r>
    <x v="2"/>
    <x v="2"/>
    <x v="2"/>
    <x v="27"/>
    <x v="27"/>
    <x v="27"/>
    <s v="REVENUS"/>
    <x v="2"/>
    <s v="4001.010"/>
    <s v="Impôt sourciers mixtes"/>
    <n v="0"/>
    <n v="88742.58"/>
    <n v="4001"/>
  </r>
  <r>
    <x v="2"/>
    <x v="2"/>
    <x v="2"/>
    <x v="27"/>
    <x v="27"/>
    <x v="27"/>
    <s v="REVENUS"/>
    <x v="14"/>
    <s v="4003.000"/>
    <s v="Impôt à la source"/>
    <n v="0"/>
    <n v="29931.86"/>
    <n v="4003"/>
  </r>
  <r>
    <x v="2"/>
    <x v="2"/>
    <x v="2"/>
    <x v="27"/>
    <x v="27"/>
    <x v="27"/>
    <s v="REVENUS"/>
    <x v="6"/>
    <s v="4211.001"/>
    <s v="Intérêts de retard sur factures"/>
    <n v="0"/>
    <n v="129.25"/>
    <n v="4211"/>
  </r>
  <r>
    <x v="2"/>
    <x v="2"/>
    <x v="2"/>
    <x v="27"/>
    <x v="27"/>
    <x v="27"/>
    <s v="REVENUS"/>
    <x v="6"/>
    <s v="4211.002"/>
    <s v="Intérêts de retard sur acomptes"/>
    <n v="0"/>
    <n v="397.88"/>
    <n v="4211"/>
  </r>
  <r>
    <x v="2"/>
    <x v="2"/>
    <x v="2"/>
    <x v="27"/>
    <x v="27"/>
    <x v="27"/>
    <s v="REVENUS"/>
    <x v="7"/>
    <s v="4184.000"/>
    <s v="Frais de poursuite"/>
    <n v="0"/>
    <n v="25.91"/>
    <n v="4184"/>
  </r>
  <r>
    <x v="2"/>
    <x v="2"/>
    <x v="2"/>
    <x v="27"/>
    <x v="27"/>
    <x v="27"/>
    <s v="REVENUS"/>
    <x v="2"/>
    <s v="4001.001"/>
    <s v="Impôt revenu"/>
    <n v="0"/>
    <n v="4065.59"/>
    <n v="4001"/>
  </r>
  <r>
    <x v="2"/>
    <x v="2"/>
    <x v="2"/>
    <x v="27"/>
    <x v="27"/>
    <x v="27"/>
    <s v="REVENUS"/>
    <x v="14"/>
    <s v="4003.070"/>
    <s v="IS - Loi travail au noir"/>
    <n v="0"/>
    <n v="96.42"/>
    <n v="4003"/>
  </r>
  <r>
    <x v="2"/>
    <x v="2"/>
    <x v="2"/>
    <x v="27"/>
    <x v="27"/>
    <x v="27"/>
    <s v="REVENUS"/>
    <x v="2"/>
    <s v="4001.002"/>
    <s v="Impôt complément s/revenu PP"/>
    <n v="0"/>
    <n v="2076.5700000000002"/>
    <n v="4001"/>
  </r>
  <r>
    <x v="2"/>
    <x v="2"/>
    <x v="2"/>
    <x v="27"/>
    <x v="27"/>
    <x v="27"/>
    <s v="REVENUS"/>
    <x v="2"/>
    <s v="4001.005"/>
    <s v="Amende de soustract. Impôt"/>
    <n v="0"/>
    <n v="33"/>
    <n v="4001"/>
  </r>
  <r>
    <x v="2"/>
    <x v="1"/>
    <x v="1"/>
    <x v="28"/>
    <x v="28"/>
    <x v="28"/>
    <s v="CHARGES"/>
    <x v="19"/>
    <s v="3186.002"/>
    <s v="Commission perception IS"/>
    <n v="2299.61"/>
    <n v="0"/>
    <n v="3186"/>
  </r>
  <r>
    <x v="2"/>
    <x v="1"/>
    <x v="1"/>
    <x v="28"/>
    <x v="28"/>
    <x v="28"/>
    <s v="CHARGES"/>
    <x v="1"/>
    <s v="3301.001"/>
    <s v="Défalcations, abandons de solde PP et IS"/>
    <n v="2155.38"/>
    <n v="0"/>
    <n v="3301"/>
  </r>
  <r>
    <x v="2"/>
    <x v="1"/>
    <x v="1"/>
    <x v="28"/>
    <x v="28"/>
    <x v="28"/>
    <s v="REVENUS"/>
    <x v="2"/>
    <s v="4001.010"/>
    <s v="Impôt sourciers mixtes"/>
    <n v="0"/>
    <n v="-9.92"/>
    <n v="4001"/>
  </r>
  <r>
    <x v="2"/>
    <x v="1"/>
    <x v="1"/>
    <x v="28"/>
    <x v="28"/>
    <x v="28"/>
    <s v="REVENUS"/>
    <x v="14"/>
    <s v="4003.000"/>
    <s v="Impôt à la source"/>
    <n v="0"/>
    <n v="-8020.53"/>
    <n v="4003"/>
  </r>
  <r>
    <x v="2"/>
    <x v="1"/>
    <x v="1"/>
    <x v="28"/>
    <x v="28"/>
    <x v="28"/>
    <s v="REVENUS"/>
    <x v="6"/>
    <s v="4211.001"/>
    <s v="Intérêts de retard sur factures"/>
    <n v="0"/>
    <n v="210.3"/>
    <n v="4211"/>
  </r>
  <r>
    <x v="2"/>
    <x v="1"/>
    <x v="1"/>
    <x v="28"/>
    <x v="28"/>
    <x v="28"/>
    <s v="REVENUS"/>
    <x v="2"/>
    <s v="4001.001"/>
    <s v="Impôt revenu"/>
    <n v="0"/>
    <n v="15219.95"/>
    <n v="4001"/>
  </r>
  <r>
    <x v="2"/>
    <x v="1"/>
    <x v="1"/>
    <x v="28"/>
    <x v="28"/>
    <x v="28"/>
    <s v="REVENUS"/>
    <x v="6"/>
    <s v="4211.002"/>
    <s v="Intérêts de retard sur acomptes"/>
    <n v="0"/>
    <n v="174.91"/>
    <n v="4211"/>
  </r>
  <r>
    <x v="2"/>
    <x v="1"/>
    <x v="1"/>
    <x v="28"/>
    <x v="28"/>
    <x v="28"/>
    <s v="REVENUS"/>
    <x v="8"/>
    <s v="4091.001"/>
    <s v="Impôt récupéré après défalcations"/>
    <n v="0"/>
    <n v="2061.11"/>
    <n v="4091"/>
  </r>
  <r>
    <x v="2"/>
    <x v="1"/>
    <x v="1"/>
    <x v="28"/>
    <x v="28"/>
    <x v="28"/>
    <s v="REVENUS"/>
    <x v="7"/>
    <s v="4184.000"/>
    <s v="Frais de poursuite"/>
    <n v="0"/>
    <n v="38.64"/>
    <n v="4184"/>
  </r>
  <r>
    <x v="2"/>
    <x v="1"/>
    <x v="1"/>
    <x v="29"/>
    <x v="29"/>
    <x v="29"/>
    <s v="CHARGES"/>
    <x v="19"/>
    <s v="3186.002"/>
    <s v="Commission perception IS"/>
    <n v="1498.05"/>
    <n v="0"/>
    <n v="3186"/>
  </r>
  <r>
    <x v="2"/>
    <x v="1"/>
    <x v="1"/>
    <x v="29"/>
    <x v="29"/>
    <x v="29"/>
    <s v="CHARGES"/>
    <x v="1"/>
    <s v="3301.001"/>
    <s v="Défalcations, abandons de solde PP et IS"/>
    <n v="58.28"/>
    <n v="0"/>
    <n v="3301"/>
  </r>
  <r>
    <x v="2"/>
    <x v="1"/>
    <x v="1"/>
    <x v="29"/>
    <x v="29"/>
    <x v="29"/>
    <s v="REVENUS"/>
    <x v="2"/>
    <s v="4001.010"/>
    <s v="Impôt sourciers mixtes"/>
    <n v="0"/>
    <n v="49020.54"/>
    <n v="4001"/>
  </r>
  <r>
    <x v="2"/>
    <x v="1"/>
    <x v="1"/>
    <x v="29"/>
    <x v="29"/>
    <x v="29"/>
    <s v="REVENUS"/>
    <x v="6"/>
    <s v="4211.001"/>
    <s v="Intérêts de retard sur factures"/>
    <n v="0"/>
    <n v="107.48"/>
    <n v="4211"/>
  </r>
  <r>
    <x v="2"/>
    <x v="1"/>
    <x v="1"/>
    <x v="29"/>
    <x v="29"/>
    <x v="29"/>
    <s v="REVENUS"/>
    <x v="6"/>
    <s v="4211.002"/>
    <s v="Intérêts de retard sur acomptes"/>
    <n v="0"/>
    <n v="79.400000000000006"/>
    <n v="4211"/>
  </r>
  <r>
    <x v="2"/>
    <x v="1"/>
    <x v="1"/>
    <x v="29"/>
    <x v="29"/>
    <x v="29"/>
    <s v="REVENUS"/>
    <x v="14"/>
    <s v="4003.000"/>
    <s v="Impôt à la source"/>
    <n v="0"/>
    <n v="-2382.0300000000002"/>
    <n v="4003"/>
  </r>
  <r>
    <x v="2"/>
    <x v="1"/>
    <x v="1"/>
    <x v="29"/>
    <x v="29"/>
    <x v="29"/>
    <s v="REVENUS"/>
    <x v="2"/>
    <s v="4001.001"/>
    <s v="Impôt revenu"/>
    <n v="0"/>
    <n v="2462.1"/>
    <n v="4001"/>
  </r>
  <r>
    <x v="2"/>
    <x v="1"/>
    <x v="1"/>
    <x v="30"/>
    <x v="30"/>
    <x v="30"/>
    <s v="CHARGES"/>
    <x v="19"/>
    <s v="3186.002"/>
    <s v="Commission perception IS"/>
    <n v="1454.95"/>
    <n v="0"/>
    <n v="3186"/>
  </r>
  <r>
    <x v="2"/>
    <x v="1"/>
    <x v="1"/>
    <x v="30"/>
    <x v="30"/>
    <x v="30"/>
    <s v="CHARGES"/>
    <x v="1"/>
    <s v="3301.001"/>
    <s v="Défalcations, abandons de solde PP et IS"/>
    <n v="8.57"/>
    <n v="0"/>
    <n v="3301"/>
  </r>
  <r>
    <x v="2"/>
    <x v="1"/>
    <x v="1"/>
    <x v="30"/>
    <x v="30"/>
    <x v="30"/>
    <s v="REVENUS"/>
    <x v="2"/>
    <s v="4001.010"/>
    <s v="Impôt sourciers mixtes"/>
    <n v="0"/>
    <n v="7457.78"/>
    <n v="4001"/>
  </r>
  <r>
    <x v="2"/>
    <x v="1"/>
    <x v="1"/>
    <x v="30"/>
    <x v="30"/>
    <x v="30"/>
    <s v="REVENUS"/>
    <x v="14"/>
    <s v="4003.000"/>
    <s v="Impôt à la source"/>
    <n v="0"/>
    <n v="-63166.080000000002"/>
    <n v="4003"/>
  </r>
  <r>
    <x v="2"/>
    <x v="1"/>
    <x v="1"/>
    <x v="30"/>
    <x v="30"/>
    <x v="30"/>
    <s v="REVENUS"/>
    <x v="6"/>
    <s v="4211.002"/>
    <s v="Intérêts de retard sur acomptes"/>
    <n v="0"/>
    <n v="64.31"/>
    <n v="4211"/>
  </r>
  <r>
    <x v="2"/>
    <x v="1"/>
    <x v="1"/>
    <x v="30"/>
    <x v="30"/>
    <x v="30"/>
    <s v="REVENUS"/>
    <x v="6"/>
    <s v="4211.001"/>
    <s v="Intérêts de retard sur factures"/>
    <n v="0"/>
    <n v="-13.95"/>
    <n v="4211"/>
  </r>
  <r>
    <x v="2"/>
    <x v="1"/>
    <x v="1"/>
    <x v="30"/>
    <x v="30"/>
    <x v="30"/>
    <s v="REVENUS"/>
    <x v="7"/>
    <s v="4184.000"/>
    <s v="Frais de poursuite"/>
    <n v="0"/>
    <n v="-9.0500000000000007"/>
    <n v="4184"/>
  </r>
  <r>
    <x v="2"/>
    <x v="1"/>
    <x v="1"/>
    <x v="30"/>
    <x v="30"/>
    <x v="30"/>
    <s v="REVENUS"/>
    <x v="2"/>
    <s v="4001.001"/>
    <s v="Impôt revenu"/>
    <n v="0"/>
    <n v="40181.15"/>
    <n v="4001"/>
  </r>
  <r>
    <x v="2"/>
    <x v="3"/>
    <x v="3"/>
    <x v="31"/>
    <x v="31"/>
    <x v="31"/>
    <s v="CHARGES"/>
    <x v="19"/>
    <s v="3186.002"/>
    <s v="Commission perception IS"/>
    <n v="9598.82"/>
    <n v="0"/>
    <n v="3186"/>
  </r>
  <r>
    <x v="2"/>
    <x v="3"/>
    <x v="3"/>
    <x v="31"/>
    <x v="31"/>
    <x v="31"/>
    <s v="CHARGES"/>
    <x v="1"/>
    <s v="3301.001"/>
    <s v="Défalcations, abandons de solde PP et IS"/>
    <n v="4585.57"/>
    <n v="0"/>
    <n v="3301"/>
  </r>
  <r>
    <x v="2"/>
    <x v="3"/>
    <x v="3"/>
    <x v="31"/>
    <x v="31"/>
    <x v="31"/>
    <s v="REVENUS"/>
    <x v="14"/>
    <s v="4003.000"/>
    <s v="Impôt à la source"/>
    <n v="0"/>
    <n v="372839.66"/>
    <n v="4003"/>
  </r>
  <r>
    <x v="2"/>
    <x v="3"/>
    <x v="3"/>
    <x v="31"/>
    <x v="31"/>
    <x v="31"/>
    <s v="REVENUS"/>
    <x v="2"/>
    <s v="4001.010"/>
    <s v="Impôt sourciers mixtes"/>
    <n v="0"/>
    <n v="-4223.74"/>
    <n v="4001"/>
  </r>
  <r>
    <x v="2"/>
    <x v="3"/>
    <x v="3"/>
    <x v="31"/>
    <x v="31"/>
    <x v="31"/>
    <s v="REVENUS"/>
    <x v="6"/>
    <s v="4211.002"/>
    <s v="Intérêts de retard sur acomptes"/>
    <n v="0"/>
    <n v="2956.91"/>
    <n v="4211"/>
  </r>
  <r>
    <x v="2"/>
    <x v="3"/>
    <x v="3"/>
    <x v="31"/>
    <x v="31"/>
    <x v="31"/>
    <s v="REVENUS"/>
    <x v="6"/>
    <s v="4211.001"/>
    <s v="Intérêts de retard sur factures"/>
    <n v="0"/>
    <n v="1451.83"/>
    <n v="4211"/>
  </r>
  <r>
    <x v="2"/>
    <x v="3"/>
    <x v="3"/>
    <x v="31"/>
    <x v="31"/>
    <x v="31"/>
    <s v="REVENUS"/>
    <x v="2"/>
    <s v="4001.001"/>
    <s v="Impôt revenu"/>
    <n v="0"/>
    <n v="68755.539999999994"/>
    <n v="4001"/>
  </r>
  <r>
    <x v="2"/>
    <x v="3"/>
    <x v="3"/>
    <x v="31"/>
    <x v="31"/>
    <x v="31"/>
    <s v="REVENUS"/>
    <x v="2"/>
    <s v="4001.005"/>
    <s v="Amende de soustract. Impôt"/>
    <n v="0"/>
    <n v="344"/>
    <n v="4001"/>
  </r>
  <r>
    <x v="2"/>
    <x v="3"/>
    <x v="3"/>
    <x v="31"/>
    <x v="31"/>
    <x v="31"/>
    <s v="REVENUS"/>
    <x v="7"/>
    <s v="4184.000"/>
    <s v="Frais de poursuite"/>
    <n v="0"/>
    <n v="353.49"/>
    <n v="4184"/>
  </r>
  <r>
    <x v="2"/>
    <x v="3"/>
    <x v="3"/>
    <x v="31"/>
    <x v="31"/>
    <x v="31"/>
    <s v="REVENUS"/>
    <x v="14"/>
    <s v="4003.010"/>
    <s v="IS - Employés et sourciers étrangers"/>
    <n v="0"/>
    <n v="1398.95"/>
    <n v="4003"/>
  </r>
  <r>
    <x v="2"/>
    <x v="3"/>
    <x v="3"/>
    <x v="31"/>
    <x v="31"/>
    <x v="31"/>
    <s v="REVENUS"/>
    <x v="2"/>
    <s v="4001.002"/>
    <s v="Impôt complément s/revenu PP"/>
    <n v="0"/>
    <n v="869.2"/>
    <n v="4001"/>
  </r>
  <r>
    <x v="2"/>
    <x v="3"/>
    <x v="3"/>
    <x v="31"/>
    <x v="31"/>
    <x v="31"/>
    <s v="REVENUS"/>
    <x v="14"/>
    <s v="4003.020"/>
    <s v="IS - Artistes - Conférenciers - Sportifs"/>
    <n v="0"/>
    <n v="47"/>
    <n v="4003"/>
  </r>
  <r>
    <x v="2"/>
    <x v="3"/>
    <x v="3"/>
    <x v="31"/>
    <x v="31"/>
    <x v="31"/>
    <s v="REVENUS"/>
    <x v="8"/>
    <s v="4091.001"/>
    <s v="Impôt récupéré après défalcations"/>
    <n v="0"/>
    <n v="3763.88"/>
    <n v="4091"/>
  </r>
  <r>
    <x v="2"/>
    <x v="3"/>
    <x v="3"/>
    <x v="31"/>
    <x v="31"/>
    <x v="31"/>
    <s v="REVENUS"/>
    <x v="14"/>
    <s v="4003.070"/>
    <s v="IS - Loi travail au noir"/>
    <n v="0"/>
    <n v="2636.15"/>
    <n v="4003"/>
  </r>
  <r>
    <x v="2"/>
    <x v="3"/>
    <x v="3"/>
    <x v="32"/>
    <x v="32"/>
    <x v="32"/>
    <s v="REVENUS"/>
    <x v="6"/>
    <s v="4211.001"/>
    <s v="Intérêts de retard sur factures"/>
    <n v="0"/>
    <n v="3.25"/>
    <n v="4211"/>
  </r>
  <r>
    <x v="2"/>
    <x v="3"/>
    <x v="3"/>
    <x v="32"/>
    <x v="32"/>
    <x v="32"/>
    <s v="REVENUS"/>
    <x v="6"/>
    <s v="4211.002"/>
    <s v="Intérêts de retard sur acomptes"/>
    <n v="0"/>
    <n v="0.04"/>
    <n v="4211"/>
  </r>
  <r>
    <x v="2"/>
    <x v="3"/>
    <x v="3"/>
    <x v="32"/>
    <x v="32"/>
    <x v="32"/>
    <s v="REVENUS"/>
    <x v="2"/>
    <s v="4001.010"/>
    <s v="Impôt sourciers mixtes"/>
    <n v="0"/>
    <n v="-7.22"/>
    <n v="4001"/>
  </r>
  <r>
    <x v="2"/>
    <x v="3"/>
    <x v="3"/>
    <x v="33"/>
    <x v="32"/>
    <x v="32"/>
    <s v="REVENUS"/>
    <x v="6"/>
    <s v="4211.001"/>
    <s v="Intérêts de retard sur factures"/>
    <n v="0"/>
    <n v="1.3"/>
    <n v="4211"/>
  </r>
  <r>
    <x v="2"/>
    <x v="3"/>
    <x v="3"/>
    <x v="33"/>
    <x v="32"/>
    <x v="32"/>
    <s v="REVENUS"/>
    <x v="6"/>
    <s v="4211.002"/>
    <s v="Intérêts de retard sur acomptes"/>
    <n v="0"/>
    <n v="0.01"/>
    <n v="4211"/>
  </r>
  <r>
    <x v="2"/>
    <x v="3"/>
    <x v="3"/>
    <x v="35"/>
    <x v="33"/>
    <x v="33"/>
    <s v="CHARGES"/>
    <x v="19"/>
    <s v="3186.002"/>
    <s v="Commission perception IS"/>
    <n v="1293.54"/>
    <n v="0"/>
    <n v="3186"/>
  </r>
  <r>
    <x v="2"/>
    <x v="3"/>
    <x v="3"/>
    <x v="35"/>
    <x v="33"/>
    <x v="33"/>
    <s v="CHARGES"/>
    <x v="1"/>
    <s v="3301.001"/>
    <s v="Défalcations, abandons de solde PP et IS"/>
    <n v="14.3"/>
    <n v="0"/>
    <n v="3301"/>
  </r>
  <r>
    <x v="2"/>
    <x v="3"/>
    <x v="3"/>
    <x v="35"/>
    <x v="33"/>
    <x v="33"/>
    <s v="REVENUS"/>
    <x v="14"/>
    <s v="4003.000"/>
    <s v="Impôt à la source"/>
    <n v="0"/>
    <n v="34218.730000000003"/>
    <n v="4003"/>
  </r>
  <r>
    <x v="2"/>
    <x v="3"/>
    <x v="3"/>
    <x v="35"/>
    <x v="33"/>
    <x v="33"/>
    <s v="REVENUS"/>
    <x v="6"/>
    <s v="4211.001"/>
    <s v="Intérêts de retard sur factures"/>
    <n v="0"/>
    <n v="365.51"/>
    <n v="4211"/>
  </r>
  <r>
    <x v="2"/>
    <x v="3"/>
    <x v="3"/>
    <x v="35"/>
    <x v="33"/>
    <x v="33"/>
    <s v="REVENUS"/>
    <x v="6"/>
    <s v="4211.002"/>
    <s v="Intérêts de retard sur acomptes"/>
    <n v="0"/>
    <n v="195.55"/>
    <n v="4211"/>
  </r>
  <r>
    <x v="2"/>
    <x v="3"/>
    <x v="3"/>
    <x v="35"/>
    <x v="33"/>
    <x v="33"/>
    <s v="REVENUS"/>
    <x v="2"/>
    <s v="4001.010"/>
    <s v="Impôt sourciers mixtes"/>
    <n v="0"/>
    <n v="-15595.01"/>
    <n v="4001"/>
  </r>
  <r>
    <x v="2"/>
    <x v="3"/>
    <x v="3"/>
    <x v="35"/>
    <x v="33"/>
    <x v="33"/>
    <s v="REVENUS"/>
    <x v="7"/>
    <s v="4184.000"/>
    <s v="Frais de poursuite"/>
    <n v="0"/>
    <n v="7.98"/>
    <n v="4184"/>
  </r>
  <r>
    <x v="2"/>
    <x v="3"/>
    <x v="3"/>
    <x v="35"/>
    <x v="33"/>
    <x v="33"/>
    <s v="REVENUS"/>
    <x v="2"/>
    <s v="4001.001"/>
    <s v="Impôt revenu"/>
    <n v="0"/>
    <n v="6200.3"/>
    <n v="4001"/>
  </r>
  <r>
    <x v="2"/>
    <x v="3"/>
    <x v="3"/>
    <x v="36"/>
    <x v="34"/>
    <x v="34"/>
    <s v="CHARGES"/>
    <x v="19"/>
    <s v="3186.002"/>
    <s v="Commission perception IS"/>
    <n v="1207.4100000000001"/>
    <n v="0"/>
    <n v="3186"/>
  </r>
  <r>
    <x v="2"/>
    <x v="3"/>
    <x v="3"/>
    <x v="36"/>
    <x v="34"/>
    <x v="34"/>
    <s v="CHARGES"/>
    <x v="1"/>
    <s v="3301.001"/>
    <s v="Défalcations, abandons de solde PP et IS"/>
    <n v="883.36"/>
    <n v="0"/>
    <n v="3301"/>
  </r>
  <r>
    <x v="2"/>
    <x v="3"/>
    <x v="3"/>
    <x v="36"/>
    <x v="34"/>
    <x v="34"/>
    <s v="REVENUS"/>
    <x v="14"/>
    <s v="4003.000"/>
    <s v="Impôt à la source"/>
    <n v="0"/>
    <n v="49124.26"/>
    <n v="4003"/>
  </r>
  <r>
    <x v="2"/>
    <x v="3"/>
    <x v="3"/>
    <x v="36"/>
    <x v="34"/>
    <x v="34"/>
    <s v="REVENUS"/>
    <x v="6"/>
    <s v="4211.001"/>
    <s v="Intérêts de retard sur factures"/>
    <n v="0"/>
    <n v="60.87"/>
    <n v="4211"/>
  </r>
  <r>
    <x v="2"/>
    <x v="3"/>
    <x v="3"/>
    <x v="36"/>
    <x v="34"/>
    <x v="34"/>
    <s v="REVENUS"/>
    <x v="6"/>
    <s v="4211.002"/>
    <s v="Intérêts de retard sur acomptes"/>
    <n v="0"/>
    <n v="402.25"/>
    <n v="4211"/>
  </r>
  <r>
    <x v="2"/>
    <x v="3"/>
    <x v="3"/>
    <x v="36"/>
    <x v="34"/>
    <x v="34"/>
    <s v="REVENUS"/>
    <x v="2"/>
    <s v="4001.010"/>
    <s v="Impôt sourciers mixtes"/>
    <n v="0"/>
    <n v="67.37"/>
    <n v="4001"/>
  </r>
  <r>
    <x v="2"/>
    <x v="3"/>
    <x v="3"/>
    <x v="36"/>
    <x v="34"/>
    <x v="34"/>
    <s v="REVENUS"/>
    <x v="2"/>
    <s v="4001.001"/>
    <s v="Impôt revenu"/>
    <n v="0"/>
    <n v="1348.4"/>
    <n v="4001"/>
  </r>
  <r>
    <x v="2"/>
    <x v="3"/>
    <x v="3"/>
    <x v="36"/>
    <x v="34"/>
    <x v="34"/>
    <s v="REVENUS"/>
    <x v="2"/>
    <s v="4001.002"/>
    <s v="Impôt complément s/revenu PP"/>
    <n v="0"/>
    <n v="737.36"/>
    <n v="4001"/>
  </r>
  <r>
    <x v="2"/>
    <x v="3"/>
    <x v="3"/>
    <x v="36"/>
    <x v="34"/>
    <x v="34"/>
    <s v="REVENUS"/>
    <x v="7"/>
    <s v="4184.000"/>
    <s v="Frais de poursuite"/>
    <n v="0"/>
    <n v="43.54"/>
    <n v="4184"/>
  </r>
  <r>
    <x v="2"/>
    <x v="3"/>
    <x v="3"/>
    <x v="36"/>
    <x v="34"/>
    <x v="34"/>
    <s v="REVENUS"/>
    <x v="14"/>
    <s v="4003.070"/>
    <s v="IS - Loi travail au noir"/>
    <n v="0"/>
    <n v="329.94"/>
    <n v="4003"/>
  </r>
  <r>
    <x v="2"/>
    <x v="3"/>
    <x v="3"/>
    <x v="38"/>
    <x v="31"/>
    <x v="31"/>
    <s v="REVENUS"/>
    <x v="6"/>
    <s v="4211.001"/>
    <s v="Intérêts de retard sur factures"/>
    <n v="0"/>
    <n v="4.47"/>
    <n v="4211"/>
  </r>
  <r>
    <x v="2"/>
    <x v="3"/>
    <x v="3"/>
    <x v="38"/>
    <x v="31"/>
    <x v="31"/>
    <s v="REVENUS"/>
    <x v="6"/>
    <s v="4211.002"/>
    <s v="Intérêts de retard sur acomptes"/>
    <n v="0"/>
    <n v="0.03"/>
    <n v="4211"/>
  </r>
  <r>
    <x v="2"/>
    <x v="3"/>
    <x v="3"/>
    <x v="39"/>
    <x v="32"/>
    <x v="32"/>
    <s v="REVENUS"/>
    <x v="6"/>
    <s v="4211.001"/>
    <s v="Intérêts de retard sur factures"/>
    <n v="0"/>
    <n v="6.82"/>
    <n v="4211"/>
  </r>
  <r>
    <x v="2"/>
    <x v="3"/>
    <x v="3"/>
    <x v="39"/>
    <x v="32"/>
    <x v="32"/>
    <s v="REVENUS"/>
    <x v="6"/>
    <s v="4211.002"/>
    <s v="Intérêts de retard sur acomptes"/>
    <n v="0"/>
    <n v="0.05"/>
    <n v="4211"/>
  </r>
  <r>
    <x v="2"/>
    <x v="3"/>
    <x v="3"/>
    <x v="41"/>
    <x v="32"/>
    <x v="32"/>
    <s v="CHARGES"/>
    <x v="19"/>
    <s v="3186.002"/>
    <s v="Commission perception IS"/>
    <n v="4665.0600000000004"/>
    <n v="0"/>
    <n v="3186"/>
  </r>
  <r>
    <x v="2"/>
    <x v="3"/>
    <x v="3"/>
    <x v="41"/>
    <x v="32"/>
    <x v="32"/>
    <s v="CHARGES"/>
    <x v="1"/>
    <s v="3301.001"/>
    <s v="Défalcations, abandons de solde PP et IS"/>
    <n v="8.65"/>
    <n v="0"/>
    <n v="3301"/>
  </r>
  <r>
    <x v="2"/>
    <x v="3"/>
    <x v="3"/>
    <x v="41"/>
    <x v="32"/>
    <x v="32"/>
    <s v="REVENUS"/>
    <x v="14"/>
    <s v="4003.000"/>
    <s v="Impôt à la source"/>
    <n v="0"/>
    <n v="69540.22"/>
    <n v="4003"/>
  </r>
  <r>
    <x v="2"/>
    <x v="3"/>
    <x v="3"/>
    <x v="41"/>
    <x v="32"/>
    <x v="32"/>
    <s v="REVENUS"/>
    <x v="2"/>
    <s v="4001.010"/>
    <s v="Impôt sourciers mixtes"/>
    <n v="0"/>
    <n v="-42843.22"/>
    <n v="4001"/>
  </r>
  <r>
    <x v="2"/>
    <x v="3"/>
    <x v="3"/>
    <x v="41"/>
    <x v="32"/>
    <x v="32"/>
    <s v="REVENUS"/>
    <x v="6"/>
    <s v="4211.001"/>
    <s v="Intérêts de retard sur factures"/>
    <n v="0"/>
    <n v="336.99"/>
    <n v="4211"/>
  </r>
  <r>
    <x v="2"/>
    <x v="3"/>
    <x v="3"/>
    <x v="41"/>
    <x v="32"/>
    <x v="32"/>
    <s v="REVENUS"/>
    <x v="6"/>
    <s v="4211.002"/>
    <s v="Intérêts de retard sur acomptes"/>
    <n v="0"/>
    <n v="1067.3"/>
    <n v="4211"/>
  </r>
  <r>
    <x v="2"/>
    <x v="3"/>
    <x v="3"/>
    <x v="41"/>
    <x v="32"/>
    <x v="32"/>
    <s v="REVENUS"/>
    <x v="2"/>
    <s v="4001.001"/>
    <s v="Impôt revenu"/>
    <n v="0"/>
    <n v="25615.29"/>
    <n v="4001"/>
  </r>
  <r>
    <x v="2"/>
    <x v="3"/>
    <x v="3"/>
    <x v="41"/>
    <x v="32"/>
    <x v="32"/>
    <s v="REVENUS"/>
    <x v="14"/>
    <s v="4003.010"/>
    <s v="IS - Employés et sourciers étrangers"/>
    <n v="0"/>
    <n v="1606.08"/>
    <n v="4003"/>
  </r>
  <r>
    <x v="2"/>
    <x v="3"/>
    <x v="3"/>
    <x v="41"/>
    <x v="32"/>
    <x v="32"/>
    <s v="REVENUS"/>
    <x v="7"/>
    <s v="4184.000"/>
    <s v="Frais de poursuite"/>
    <n v="0"/>
    <n v="168.94"/>
    <n v="4184"/>
  </r>
  <r>
    <x v="2"/>
    <x v="3"/>
    <x v="3"/>
    <x v="41"/>
    <x v="32"/>
    <x v="32"/>
    <s v="REVENUS"/>
    <x v="14"/>
    <s v="4003.070"/>
    <s v="IS - Loi travail au noir"/>
    <n v="0"/>
    <n v="346.65"/>
    <n v="4003"/>
  </r>
  <r>
    <x v="2"/>
    <x v="3"/>
    <x v="3"/>
    <x v="41"/>
    <x v="32"/>
    <x v="32"/>
    <s v="REVENUS"/>
    <x v="2"/>
    <s v="4001.002"/>
    <s v="Impôt complément s/revenu PP"/>
    <n v="0"/>
    <n v="2251.63"/>
    <n v="4001"/>
  </r>
  <r>
    <x v="2"/>
    <x v="4"/>
    <x v="4"/>
    <x v="42"/>
    <x v="35"/>
    <x v="35"/>
    <s v="CHARGES"/>
    <x v="19"/>
    <s v="3186.002"/>
    <s v="Commission perception IS"/>
    <n v="1870.74"/>
    <n v="0"/>
    <n v="3186"/>
  </r>
  <r>
    <x v="2"/>
    <x v="4"/>
    <x v="4"/>
    <x v="42"/>
    <x v="35"/>
    <x v="35"/>
    <s v="CHARGES"/>
    <x v="1"/>
    <s v="3301.001"/>
    <s v="Défalcations, abandons de solde PP et IS"/>
    <n v="-0.01"/>
    <n v="0"/>
    <n v="3301"/>
  </r>
  <r>
    <x v="2"/>
    <x v="4"/>
    <x v="4"/>
    <x v="42"/>
    <x v="35"/>
    <x v="35"/>
    <s v="REVENUS"/>
    <x v="6"/>
    <s v="4211.002"/>
    <s v="Intérêts de retard sur acomptes"/>
    <n v="0"/>
    <n v="38.71"/>
    <n v="4211"/>
  </r>
  <r>
    <x v="2"/>
    <x v="4"/>
    <x v="4"/>
    <x v="42"/>
    <x v="35"/>
    <x v="35"/>
    <s v="REVENUS"/>
    <x v="6"/>
    <s v="4211.001"/>
    <s v="Intérêts de retard sur factures"/>
    <n v="0"/>
    <n v="49.54"/>
    <n v="4211"/>
  </r>
  <r>
    <x v="2"/>
    <x v="4"/>
    <x v="4"/>
    <x v="42"/>
    <x v="35"/>
    <x v="35"/>
    <s v="REVENUS"/>
    <x v="2"/>
    <s v="4001.010"/>
    <s v="Impôt sourciers mixtes"/>
    <n v="0"/>
    <n v="7873.91"/>
    <n v="4001"/>
  </r>
  <r>
    <x v="2"/>
    <x v="4"/>
    <x v="4"/>
    <x v="42"/>
    <x v="35"/>
    <x v="35"/>
    <s v="REVENUS"/>
    <x v="14"/>
    <s v="4003.000"/>
    <s v="Impôt à la source"/>
    <n v="0"/>
    <n v="49518.400000000001"/>
    <n v="4003"/>
  </r>
  <r>
    <x v="2"/>
    <x v="4"/>
    <x v="4"/>
    <x v="42"/>
    <x v="35"/>
    <x v="35"/>
    <s v="REVENUS"/>
    <x v="2"/>
    <s v="4001.001"/>
    <s v="Impôt revenu"/>
    <n v="0"/>
    <n v="3600.46"/>
    <n v="4001"/>
  </r>
  <r>
    <x v="2"/>
    <x v="4"/>
    <x v="4"/>
    <x v="43"/>
    <x v="36"/>
    <x v="36"/>
    <s v="CHARGES"/>
    <x v="19"/>
    <s v="3186.002"/>
    <s v="Commission perception IS"/>
    <n v="4004.91"/>
    <n v="0"/>
    <n v="3186"/>
  </r>
  <r>
    <x v="2"/>
    <x v="4"/>
    <x v="4"/>
    <x v="43"/>
    <x v="36"/>
    <x v="36"/>
    <s v="CHARGES"/>
    <x v="1"/>
    <s v="3301.001"/>
    <s v="Défalcations, abandons de solde PP et IS"/>
    <n v="4.51"/>
    <n v="0"/>
    <n v="3301"/>
  </r>
  <r>
    <x v="2"/>
    <x v="4"/>
    <x v="4"/>
    <x v="43"/>
    <x v="36"/>
    <x v="36"/>
    <s v="REVENUS"/>
    <x v="14"/>
    <s v="4003.000"/>
    <s v="Impôt à la source"/>
    <n v="0"/>
    <n v="25542.11"/>
    <n v="4003"/>
  </r>
  <r>
    <x v="2"/>
    <x v="4"/>
    <x v="4"/>
    <x v="43"/>
    <x v="36"/>
    <x v="36"/>
    <s v="REVENUS"/>
    <x v="6"/>
    <s v="4211.001"/>
    <s v="Intérêts de retard sur factures"/>
    <n v="0"/>
    <n v="25.3"/>
    <n v="4211"/>
  </r>
  <r>
    <x v="2"/>
    <x v="4"/>
    <x v="4"/>
    <x v="43"/>
    <x v="36"/>
    <x v="36"/>
    <s v="REVENUS"/>
    <x v="6"/>
    <s v="4211.002"/>
    <s v="Intérêts de retard sur acomptes"/>
    <n v="0"/>
    <n v="202.89"/>
    <n v="4211"/>
  </r>
  <r>
    <x v="2"/>
    <x v="4"/>
    <x v="4"/>
    <x v="43"/>
    <x v="36"/>
    <x v="36"/>
    <s v="REVENUS"/>
    <x v="2"/>
    <s v="4001.010"/>
    <s v="Impôt sourciers mixtes"/>
    <n v="0"/>
    <n v="-32166.07"/>
    <n v="4001"/>
  </r>
  <r>
    <x v="2"/>
    <x v="4"/>
    <x v="4"/>
    <x v="43"/>
    <x v="36"/>
    <x v="36"/>
    <s v="REVENUS"/>
    <x v="2"/>
    <s v="4001.005"/>
    <s v="Amende de soustract. Impôt"/>
    <n v="0"/>
    <n v="167"/>
    <n v="4001"/>
  </r>
  <r>
    <x v="2"/>
    <x v="4"/>
    <x v="4"/>
    <x v="43"/>
    <x v="36"/>
    <x v="36"/>
    <s v="REVENUS"/>
    <x v="7"/>
    <s v="4184.000"/>
    <s v="Frais de poursuite"/>
    <n v="0"/>
    <n v="44.94"/>
    <n v="4184"/>
  </r>
  <r>
    <x v="2"/>
    <x v="4"/>
    <x v="4"/>
    <x v="43"/>
    <x v="36"/>
    <x v="36"/>
    <s v="REVENUS"/>
    <x v="2"/>
    <s v="4001.001"/>
    <s v="Impôt revenu"/>
    <n v="0"/>
    <n v="222.55"/>
    <n v="4001"/>
  </r>
  <r>
    <x v="2"/>
    <x v="4"/>
    <x v="4"/>
    <x v="44"/>
    <x v="37"/>
    <x v="37"/>
    <s v="CHARGES"/>
    <x v="19"/>
    <s v="3186.002"/>
    <s v="Commission perception IS"/>
    <n v="1636.4"/>
    <n v="0"/>
    <n v="3186"/>
  </r>
  <r>
    <x v="2"/>
    <x v="4"/>
    <x v="4"/>
    <x v="44"/>
    <x v="37"/>
    <x v="37"/>
    <s v="CHARGES"/>
    <x v="1"/>
    <s v="3301.001"/>
    <s v="Défalcations, abandons de solde PP et IS"/>
    <n v="409.12"/>
    <n v="0"/>
    <n v="3301"/>
  </r>
  <r>
    <x v="2"/>
    <x v="4"/>
    <x v="4"/>
    <x v="44"/>
    <x v="37"/>
    <x v="37"/>
    <s v="REVENUS"/>
    <x v="2"/>
    <s v="4001.010"/>
    <s v="Impôt sourciers mixtes"/>
    <n v="0"/>
    <n v="11533.94"/>
    <n v="4001"/>
  </r>
  <r>
    <x v="2"/>
    <x v="4"/>
    <x v="4"/>
    <x v="44"/>
    <x v="37"/>
    <x v="37"/>
    <s v="REVENUS"/>
    <x v="14"/>
    <s v="4003.000"/>
    <s v="Impôt à la source"/>
    <n v="0"/>
    <n v="15808.71"/>
    <n v="4003"/>
  </r>
  <r>
    <x v="2"/>
    <x v="4"/>
    <x v="4"/>
    <x v="44"/>
    <x v="37"/>
    <x v="37"/>
    <s v="REVENUS"/>
    <x v="7"/>
    <s v="4184.000"/>
    <s v="Frais de poursuite"/>
    <n v="0"/>
    <n v="15.24"/>
    <n v="4184"/>
  </r>
  <r>
    <x v="2"/>
    <x v="4"/>
    <x v="4"/>
    <x v="44"/>
    <x v="37"/>
    <x v="37"/>
    <s v="REVENUS"/>
    <x v="6"/>
    <s v="4211.001"/>
    <s v="Intérêts de retard sur factures"/>
    <n v="0"/>
    <n v="106.93"/>
    <n v="4211"/>
  </r>
  <r>
    <x v="2"/>
    <x v="4"/>
    <x v="4"/>
    <x v="44"/>
    <x v="37"/>
    <x v="37"/>
    <s v="REVENUS"/>
    <x v="6"/>
    <s v="4211.002"/>
    <s v="Intérêts de retard sur acomptes"/>
    <n v="0"/>
    <n v="26.48"/>
    <n v="4211"/>
  </r>
  <r>
    <x v="2"/>
    <x v="4"/>
    <x v="4"/>
    <x v="44"/>
    <x v="37"/>
    <x v="37"/>
    <s v="REVENUS"/>
    <x v="8"/>
    <s v="4091.001"/>
    <s v="Impôt récupéré après défalcations"/>
    <n v="0"/>
    <n v="409.73"/>
    <n v="4091"/>
  </r>
  <r>
    <x v="2"/>
    <x v="4"/>
    <x v="4"/>
    <x v="44"/>
    <x v="37"/>
    <x v="37"/>
    <s v="REVENUS"/>
    <x v="2"/>
    <s v="4001.001"/>
    <s v="Impôt revenu"/>
    <n v="0"/>
    <n v="12735.03"/>
    <n v="4001"/>
  </r>
  <r>
    <x v="2"/>
    <x v="4"/>
    <x v="4"/>
    <x v="44"/>
    <x v="37"/>
    <x v="37"/>
    <s v="REVENUS"/>
    <x v="2"/>
    <s v="4001.002"/>
    <s v="Impôt complément s/revenu PP"/>
    <n v="0"/>
    <n v="446.48"/>
    <n v="4001"/>
  </r>
  <r>
    <x v="2"/>
    <x v="5"/>
    <x v="1"/>
    <x v="45"/>
    <x v="38"/>
    <x v="38"/>
    <s v="CHARGES"/>
    <x v="19"/>
    <s v="3186.002"/>
    <s v="Commission perception IS"/>
    <n v="84.82"/>
    <n v="0"/>
    <n v="3186"/>
  </r>
  <r>
    <x v="2"/>
    <x v="5"/>
    <x v="1"/>
    <x v="45"/>
    <x v="38"/>
    <x v="38"/>
    <s v="CHARGES"/>
    <x v="1"/>
    <s v="3301.001"/>
    <s v="Défalcations, abandons de solde PP et IS"/>
    <n v="0.03"/>
    <n v="0"/>
    <n v="3301"/>
  </r>
  <r>
    <x v="2"/>
    <x v="5"/>
    <x v="1"/>
    <x v="45"/>
    <x v="38"/>
    <x v="38"/>
    <s v="REVENUS"/>
    <x v="14"/>
    <s v="4003.000"/>
    <s v="Impôt à la source"/>
    <n v="0"/>
    <n v="3514.83"/>
    <n v="4003"/>
  </r>
  <r>
    <x v="2"/>
    <x v="5"/>
    <x v="1"/>
    <x v="45"/>
    <x v="38"/>
    <x v="38"/>
    <s v="REVENUS"/>
    <x v="2"/>
    <s v="4001.010"/>
    <s v="Impôt sourciers mixtes"/>
    <n v="0"/>
    <n v="-12365.04"/>
    <n v="4001"/>
  </r>
  <r>
    <x v="2"/>
    <x v="5"/>
    <x v="1"/>
    <x v="45"/>
    <x v="38"/>
    <x v="38"/>
    <s v="REVENUS"/>
    <x v="6"/>
    <s v="4211.002"/>
    <s v="Intérêts de retard sur acomptes"/>
    <n v="0"/>
    <n v="3.56"/>
    <n v="4211"/>
  </r>
  <r>
    <x v="2"/>
    <x v="5"/>
    <x v="1"/>
    <x v="45"/>
    <x v="38"/>
    <x v="38"/>
    <s v="REVENUS"/>
    <x v="6"/>
    <s v="4211.001"/>
    <s v="Intérêts de retard sur factures"/>
    <n v="0"/>
    <n v="0.13"/>
    <n v="4211"/>
  </r>
  <r>
    <x v="2"/>
    <x v="5"/>
    <x v="1"/>
    <x v="45"/>
    <x v="38"/>
    <x v="38"/>
    <s v="REVENUS"/>
    <x v="7"/>
    <s v="4184.000"/>
    <s v="Frais de poursuite"/>
    <n v="0"/>
    <n v="0.2"/>
    <n v="4184"/>
  </r>
  <r>
    <x v="2"/>
    <x v="5"/>
    <x v="1"/>
    <x v="46"/>
    <x v="39"/>
    <x v="39"/>
    <s v="CHARGES"/>
    <x v="19"/>
    <s v="3186.002"/>
    <s v="Commission perception IS"/>
    <n v="138.13999999999999"/>
    <n v="0"/>
    <n v="3186"/>
  </r>
  <r>
    <x v="2"/>
    <x v="5"/>
    <x v="1"/>
    <x v="46"/>
    <x v="39"/>
    <x v="39"/>
    <s v="CHARGES"/>
    <x v="1"/>
    <s v="3301.001"/>
    <s v="Défalcations, abandons de solde PP et IS"/>
    <n v="0.61"/>
    <n v="0"/>
    <n v="3301"/>
  </r>
  <r>
    <x v="2"/>
    <x v="5"/>
    <x v="1"/>
    <x v="46"/>
    <x v="39"/>
    <x v="39"/>
    <s v="REVENUS"/>
    <x v="6"/>
    <s v="4211.002"/>
    <s v="Intérêts de retard sur acomptes"/>
    <n v="0"/>
    <n v="201.95"/>
    <n v="4211"/>
  </r>
  <r>
    <x v="2"/>
    <x v="5"/>
    <x v="1"/>
    <x v="46"/>
    <x v="39"/>
    <x v="39"/>
    <s v="REVENUS"/>
    <x v="6"/>
    <s v="4211.001"/>
    <s v="Intérêts de retard sur factures"/>
    <n v="0"/>
    <n v="58.54"/>
    <n v="4211"/>
  </r>
  <r>
    <x v="2"/>
    <x v="5"/>
    <x v="1"/>
    <x v="46"/>
    <x v="39"/>
    <x v="39"/>
    <s v="REVENUS"/>
    <x v="14"/>
    <s v="4003.000"/>
    <s v="Impôt à la source"/>
    <n v="0"/>
    <n v="3838.68"/>
    <n v="4003"/>
  </r>
  <r>
    <x v="2"/>
    <x v="5"/>
    <x v="1"/>
    <x v="46"/>
    <x v="39"/>
    <x v="39"/>
    <s v="REVENUS"/>
    <x v="2"/>
    <s v="4001.010"/>
    <s v="Impôt sourciers mixtes"/>
    <n v="0"/>
    <n v="53.63"/>
    <n v="4001"/>
  </r>
  <r>
    <x v="2"/>
    <x v="5"/>
    <x v="1"/>
    <x v="47"/>
    <x v="40"/>
    <x v="40"/>
    <s v="CHARGES"/>
    <x v="19"/>
    <s v="3186.002"/>
    <s v="Commission perception IS"/>
    <n v="425.64"/>
    <n v="0"/>
    <n v="3186"/>
  </r>
  <r>
    <x v="2"/>
    <x v="5"/>
    <x v="1"/>
    <x v="47"/>
    <x v="40"/>
    <x v="40"/>
    <s v="CHARGES"/>
    <x v="1"/>
    <s v="3301.001"/>
    <s v="Défalcations, abandons de solde PP et IS"/>
    <n v="-0.01"/>
    <n v="0"/>
    <n v="3301"/>
  </r>
  <r>
    <x v="2"/>
    <x v="5"/>
    <x v="1"/>
    <x v="47"/>
    <x v="40"/>
    <x v="40"/>
    <s v="REVENUS"/>
    <x v="2"/>
    <s v="4001.001"/>
    <s v="Impôt revenu"/>
    <n v="0"/>
    <n v="1235.6400000000001"/>
    <n v="4001"/>
  </r>
  <r>
    <x v="2"/>
    <x v="5"/>
    <x v="1"/>
    <x v="47"/>
    <x v="40"/>
    <x v="40"/>
    <s v="REVENUS"/>
    <x v="14"/>
    <s v="4003.000"/>
    <s v="Impôt à la source"/>
    <n v="0"/>
    <n v="-1416.62"/>
    <n v="4003"/>
  </r>
  <r>
    <x v="2"/>
    <x v="5"/>
    <x v="1"/>
    <x v="47"/>
    <x v="40"/>
    <x v="40"/>
    <s v="REVENUS"/>
    <x v="6"/>
    <s v="4211.001"/>
    <s v="Intérêts de retard sur factures"/>
    <n v="0"/>
    <n v="4.32"/>
    <n v="4211"/>
  </r>
  <r>
    <x v="2"/>
    <x v="5"/>
    <x v="1"/>
    <x v="47"/>
    <x v="40"/>
    <x v="40"/>
    <s v="REVENUS"/>
    <x v="2"/>
    <s v="4001.010"/>
    <s v="Impôt sourciers mixtes"/>
    <n v="0"/>
    <n v="9956.33"/>
    <n v="4001"/>
  </r>
  <r>
    <x v="2"/>
    <x v="5"/>
    <x v="1"/>
    <x v="47"/>
    <x v="40"/>
    <x v="40"/>
    <s v="REVENUS"/>
    <x v="6"/>
    <s v="4211.002"/>
    <s v="Intérêts de retard sur acomptes"/>
    <n v="0"/>
    <n v="-1.41"/>
    <n v="4211"/>
  </r>
  <r>
    <x v="2"/>
    <x v="5"/>
    <x v="1"/>
    <x v="48"/>
    <x v="41"/>
    <x v="41"/>
    <s v="CHARGES"/>
    <x v="19"/>
    <s v="3186.002"/>
    <s v="Commission perception IS"/>
    <n v="8526.0300000000007"/>
    <n v="0"/>
    <n v="3186"/>
  </r>
  <r>
    <x v="2"/>
    <x v="5"/>
    <x v="1"/>
    <x v="48"/>
    <x v="41"/>
    <x v="41"/>
    <s v="CHARGES"/>
    <x v="1"/>
    <s v="3301.001"/>
    <s v="Défalcations, abandons de solde PP et IS"/>
    <n v="4070.98"/>
    <n v="0"/>
    <n v="3301"/>
  </r>
  <r>
    <x v="2"/>
    <x v="5"/>
    <x v="1"/>
    <x v="48"/>
    <x v="41"/>
    <x v="41"/>
    <s v="REVENUS"/>
    <x v="14"/>
    <s v="4003.000"/>
    <s v="Impôt à la source"/>
    <n v="0"/>
    <n v="223711.55"/>
    <n v="4003"/>
  </r>
  <r>
    <x v="2"/>
    <x v="5"/>
    <x v="1"/>
    <x v="48"/>
    <x v="41"/>
    <x v="41"/>
    <s v="REVENUS"/>
    <x v="2"/>
    <s v="4001.010"/>
    <s v="Impôt sourciers mixtes"/>
    <n v="0"/>
    <n v="9230.5499999999993"/>
    <n v="4001"/>
  </r>
  <r>
    <x v="2"/>
    <x v="5"/>
    <x v="1"/>
    <x v="48"/>
    <x v="41"/>
    <x v="41"/>
    <s v="REVENUS"/>
    <x v="6"/>
    <s v="4211.002"/>
    <s v="Intérêts de retard sur acomptes"/>
    <n v="0"/>
    <n v="1381.11"/>
    <n v="4211"/>
  </r>
  <r>
    <x v="2"/>
    <x v="5"/>
    <x v="1"/>
    <x v="48"/>
    <x v="41"/>
    <x v="41"/>
    <s v="REVENUS"/>
    <x v="6"/>
    <s v="4211.001"/>
    <s v="Intérêts de retard sur factures"/>
    <n v="0"/>
    <n v="1949.68"/>
    <n v="4211"/>
  </r>
  <r>
    <x v="2"/>
    <x v="5"/>
    <x v="1"/>
    <x v="48"/>
    <x v="41"/>
    <x v="41"/>
    <s v="REVENUS"/>
    <x v="7"/>
    <s v="4184.000"/>
    <s v="Frais de poursuite"/>
    <n v="0"/>
    <n v="250.5"/>
    <n v="4184"/>
  </r>
  <r>
    <x v="2"/>
    <x v="5"/>
    <x v="1"/>
    <x v="48"/>
    <x v="41"/>
    <x v="41"/>
    <s v="REVENUS"/>
    <x v="8"/>
    <s v="4091.001"/>
    <s v="Impôt récupéré après défalcations"/>
    <n v="0"/>
    <n v="341.79"/>
    <n v="4091"/>
  </r>
  <r>
    <x v="2"/>
    <x v="5"/>
    <x v="1"/>
    <x v="48"/>
    <x v="41"/>
    <x v="41"/>
    <s v="REVENUS"/>
    <x v="14"/>
    <s v="4003.010"/>
    <s v="IS - Employés et sourciers étrangers"/>
    <n v="0"/>
    <n v="1479.07"/>
    <n v="4003"/>
  </r>
  <r>
    <x v="2"/>
    <x v="5"/>
    <x v="1"/>
    <x v="48"/>
    <x v="41"/>
    <x v="41"/>
    <s v="REVENUS"/>
    <x v="2"/>
    <s v="4001.001"/>
    <s v="Impôt revenu"/>
    <n v="0"/>
    <n v="26341.68"/>
    <n v="4001"/>
  </r>
  <r>
    <x v="2"/>
    <x v="5"/>
    <x v="1"/>
    <x v="48"/>
    <x v="41"/>
    <x v="41"/>
    <s v="REVENUS"/>
    <x v="2"/>
    <s v="4001.002"/>
    <s v="Impôt complément s/revenu PP"/>
    <n v="0"/>
    <n v="1856.42"/>
    <n v="4001"/>
  </r>
  <r>
    <x v="2"/>
    <x v="5"/>
    <x v="1"/>
    <x v="48"/>
    <x v="41"/>
    <x v="41"/>
    <s v="REVENUS"/>
    <x v="14"/>
    <s v="4003.070"/>
    <s v="IS - Loi travail au noir"/>
    <n v="0"/>
    <n v="5.46"/>
    <n v="4003"/>
  </r>
  <r>
    <x v="2"/>
    <x v="5"/>
    <x v="1"/>
    <x v="48"/>
    <x v="41"/>
    <x v="41"/>
    <s v="REVENUS"/>
    <x v="2"/>
    <s v="4001.005"/>
    <s v="Amende de soustract. Impôt"/>
    <n v="0"/>
    <n v="0"/>
    <n v="4001"/>
  </r>
  <r>
    <x v="2"/>
    <x v="5"/>
    <x v="1"/>
    <x v="49"/>
    <x v="42"/>
    <x v="42"/>
    <s v="CHARGES"/>
    <x v="19"/>
    <s v="3186.002"/>
    <s v="Commission perception IS"/>
    <n v="1118.73"/>
    <n v="0"/>
    <n v="3186"/>
  </r>
  <r>
    <x v="2"/>
    <x v="5"/>
    <x v="1"/>
    <x v="49"/>
    <x v="42"/>
    <x v="42"/>
    <s v="CHARGES"/>
    <x v="1"/>
    <s v="3301.001"/>
    <s v="Défalcations, abandons de solde PP et IS"/>
    <n v="3704.69"/>
    <n v="0"/>
    <n v="3301"/>
  </r>
  <r>
    <x v="2"/>
    <x v="5"/>
    <x v="1"/>
    <x v="49"/>
    <x v="42"/>
    <x v="42"/>
    <s v="REVENUS"/>
    <x v="14"/>
    <s v="4003.000"/>
    <s v="Impôt à la source"/>
    <n v="0"/>
    <n v="35449.269999999997"/>
    <n v="4003"/>
  </r>
  <r>
    <x v="2"/>
    <x v="5"/>
    <x v="1"/>
    <x v="49"/>
    <x v="42"/>
    <x v="42"/>
    <s v="REVENUS"/>
    <x v="2"/>
    <s v="4001.010"/>
    <s v="Impôt sourciers mixtes"/>
    <n v="0"/>
    <n v="-1910.86"/>
    <n v="4001"/>
  </r>
  <r>
    <x v="2"/>
    <x v="5"/>
    <x v="1"/>
    <x v="49"/>
    <x v="42"/>
    <x v="42"/>
    <s v="REVENUS"/>
    <x v="6"/>
    <s v="4211.001"/>
    <s v="Intérêts de retard sur factures"/>
    <n v="0"/>
    <n v="18.84"/>
    <n v="4211"/>
  </r>
  <r>
    <x v="2"/>
    <x v="5"/>
    <x v="1"/>
    <x v="49"/>
    <x v="42"/>
    <x v="42"/>
    <s v="REVENUS"/>
    <x v="14"/>
    <s v="4003.010"/>
    <s v="IS - Employés et sourciers étrangers"/>
    <n v="0"/>
    <n v="339.43"/>
    <n v="4003"/>
  </r>
  <r>
    <x v="2"/>
    <x v="5"/>
    <x v="1"/>
    <x v="49"/>
    <x v="42"/>
    <x v="42"/>
    <s v="REVENUS"/>
    <x v="6"/>
    <s v="4211.002"/>
    <s v="Intérêts de retard sur acomptes"/>
    <n v="0"/>
    <n v="75.069999999999993"/>
    <n v="4211"/>
  </r>
  <r>
    <x v="2"/>
    <x v="5"/>
    <x v="1"/>
    <x v="49"/>
    <x v="42"/>
    <x v="42"/>
    <s v="REVENUS"/>
    <x v="2"/>
    <s v="4001.001"/>
    <s v="Impôt revenu"/>
    <n v="0"/>
    <n v="1912.94"/>
    <n v="4001"/>
  </r>
  <r>
    <x v="2"/>
    <x v="5"/>
    <x v="1"/>
    <x v="50"/>
    <x v="43"/>
    <x v="43"/>
    <s v="CHARGES"/>
    <x v="19"/>
    <s v="3186.002"/>
    <s v="Commission perception IS"/>
    <n v="858.97"/>
    <n v="0"/>
    <n v="3186"/>
  </r>
  <r>
    <x v="2"/>
    <x v="5"/>
    <x v="1"/>
    <x v="50"/>
    <x v="43"/>
    <x v="43"/>
    <s v="CHARGES"/>
    <x v="1"/>
    <s v="3301.001"/>
    <s v="Défalcations, abandons de solde PP et IS"/>
    <n v="2.77"/>
    <n v="0"/>
    <n v="3301"/>
  </r>
  <r>
    <x v="2"/>
    <x v="5"/>
    <x v="1"/>
    <x v="50"/>
    <x v="43"/>
    <x v="43"/>
    <s v="REVENUS"/>
    <x v="14"/>
    <s v="4003.000"/>
    <s v="Impôt à la source"/>
    <n v="0"/>
    <n v="11654.18"/>
    <n v="4003"/>
  </r>
  <r>
    <x v="2"/>
    <x v="5"/>
    <x v="1"/>
    <x v="50"/>
    <x v="43"/>
    <x v="43"/>
    <s v="REVENUS"/>
    <x v="2"/>
    <s v="4001.010"/>
    <s v="Impôt sourciers mixtes"/>
    <n v="0"/>
    <n v="10058.14"/>
    <n v="4001"/>
  </r>
  <r>
    <x v="2"/>
    <x v="5"/>
    <x v="1"/>
    <x v="50"/>
    <x v="43"/>
    <x v="43"/>
    <s v="REVENUS"/>
    <x v="6"/>
    <s v="4211.001"/>
    <s v="Intérêts de retard sur factures"/>
    <n v="0"/>
    <n v="1.6"/>
    <n v="4211"/>
  </r>
  <r>
    <x v="2"/>
    <x v="5"/>
    <x v="1"/>
    <x v="50"/>
    <x v="43"/>
    <x v="43"/>
    <s v="REVENUS"/>
    <x v="14"/>
    <s v="4003.070"/>
    <s v="IS - Loi travail au noir"/>
    <n v="0"/>
    <n v="21.31"/>
    <n v="4003"/>
  </r>
  <r>
    <x v="2"/>
    <x v="5"/>
    <x v="1"/>
    <x v="50"/>
    <x v="43"/>
    <x v="43"/>
    <s v="REVENUS"/>
    <x v="6"/>
    <s v="4211.002"/>
    <s v="Intérêts de retard sur acomptes"/>
    <n v="0"/>
    <n v="-10.07"/>
    <n v="4211"/>
  </r>
  <r>
    <x v="2"/>
    <x v="5"/>
    <x v="1"/>
    <x v="50"/>
    <x v="43"/>
    <x v="43"/>
    <s v="REVENUS"/>
    <x v="2"/>
    <s v="4001.001"/>
    <s v="Impôt revenu"/>
    <n v="0"/>
    <n v="1907.09"/>
    <n v="4001"/>
  </r>
  <r>
    <x v="2"/>
    <x v="5"/>
    <x v="1"/>
    <x v="50"/>
    <x v="43"/>
    <x v="43"/>
    <s v="REVENUS"/>
    <x v="7"/>
    <s v="4184.000"/>
    <s v="Frais de poursuite"/>
    <n v="0"/>
    <n v="2.72"/>
    <n v="4184"/>
  </r>
  <r>
    <x v="2"/>
    <x v="4"/>
    <x v="4"/>
    <x v="51"/>
    <x v="44"/>
    <x v="44"/>
    <s v="CHARGES"/>
    <x v="19"/>
    <s v="3186.002"/>
    <s v="Commission perception IS"/>
    <n v="2098.7199999999998"/>
    <n v="0"/>
    <n v="3186"/>
  </r>
  <r>
    <x v="2"/>
    <x v="4"/>
    <x v="4"/>
    <x v="51"/>
    <x v="44"/>
    <x v="44"/>
    <s v="CHARGES"/>
    <x v="1"/>
    <s v="3301.001"/>
    <s v="Défalcations, abandons de solde PP et IS"/>
    <n v="200.1"/>
    <n v="0"/>
    <n v="3301"/>
  </r>
  <r>
    <x v="2"/>
    <x v="4"/>
    <x v="4"/>
    <x v="51"/>
    <x v="44"/>
    <x v="44"/>
    <s v="REVENUS"/>
    <x v="14"/>
    <s v="4003.000"/>
    <s v="Impôt à la source"/>
    <n v="0"/>
    <n v="21584.42"/>
    <n v="4003"/>
  </r>
  <r>
    <x v="2"/>
    <x v="4"/>
    <x v="4"/>
    <x v="51"/>
    <x v="44"/>
    <x v="44"/>
    <s v="REVENUS"/>
    <x v="6"/>
    <s v="4211.001"/>
    <s v="Intérêts de retard sur factures"/>
    <n v="0"/>
    <n v="74.989999999999995"/>
    <n v="4211"/>
  </r>
  <r>
    <x v="2"/>
    <x v="4"/>
    <x v="4"/>
    <x v="51"/>
    <x v="44"/>
    <x v="44"/>
    <s v="REVENUS"/>
    <x v="14"/>
    <s v="4003.010"/>
    <s v="IS - Employés et sourciers étrangers"/>
    <n v="0"/>
    <n v="96.58"/>
    <n v="4003"/>
  </r>
  <r>
    <x v="2"/>
    <x v="4"/>
    <x v="4"/>
    <x v="51"/>
    <x v="44"/>
    <x v="44"/>
    <s v="REVENUS"/>
    <x v="6"/>
    <s v="4211.002"/>
    <s v="Intérêts de retard sur acomptes"/>
    <n v="0"/>
    <n v="196.28"/>
    <n v="4211"/>
  </r>
  <r>
    <x v="2"/>
    <x v="4"/>
    <x v="4"/>
    <x v="51"/>
    <x v="44"/>
    <x v="44"/>
    <s v="REVENUS"/>
    <x v="2"/>
    <s v="4001.010"/>
    <s v="Impôt sourciers mixtes"/>
    <n v="0"/>
    <n v="-4120.97"/>
    <n v="4001"/>
  </r>
  <r>
    <x v="2"/>
    <x v="4"/>
    <x v="4"/>
    <x v="51"/>
    <x v="44"/>
    <x v="44"/>
    <s v="REVENUS"/>
    <x v="2"/>
    <s v="4001.001"/>
    <s v="Impôt revenu"/>
    <n v="0"/>
    <n v="24516.71"/>
    <n v="4001"/>
  </r>
  <r>
    <x v="2"/>
    <x v="4"/>
    <x v="4"/>
    <x v="51"/>
    <x v="44"/>
    <x v="44"/>
    <s v="REVENUS"/>
    <x v="8"/>
    <s v="4091.001"/>
    <s v="Impôt récupéré après défalcations"/>
    <n v="0"/>
    <n v="195.26"/>
    <n v="4091"/>
  </r>
  <r>
    <x v="2"/>
    <x v="4"/>
    <x v="4"/>
    <x v="51"/>
    <x v="44"/>
    <x v="44"/>
    <s v="REVENUS"/>
    <x v="2"/>
    <s v="4001.002"/>
    <s v="Impôt complément s/revenu PP"/>
    <n v="0"/>
    <n v="1087.8"/>
    <n v="4001"/>
  </r>
  <r>
    <x v="2"/>
    <x v="5"/>
    <x v="1"/>
    <x v="52"/>
    <x v="45"/>
    <x v="45"/>
    <s v="CHARGES"/>
    <x v="19"/>
    <s v="3186.002"/>
    <s v="Commission perception IS"/>
    <n v="190.75"/>
    <n v="0"/>
    <n v="3186"/>
  </r>
  <r>
    <x v="2"/>
    <x v="5"/>
    <x v="1"/>
    <x v="52"/>
    <x v="45"/>
    <x v="45"/>
    <s v="CHARGES"/>
    <x v="1"/>
    <s v="3301.001"/>
    <s v="Défalcations, abandons de solde PP et IS"/>
    <n v="-0.02"/>
    <n v="0"/>
    <n v="3301"/>
  </r>
  <r>
    <x v="2"/>
    <x v="5"/>
    <x v="1"/>
    <x v="52"/>
    <x v="45"/>
    <x v="45"/>
    <s v="REVENUS"/>
    <x v="14"/>
    <s v="4003.000"/>
    <s v="Impôt à la source"/>
    <n v="0"/>
    <n v="4904.03"/>
    <n v="4003"/>
  </r>
  <r>
    <x v="2"/>
    <x v="5"/>
    <x v="1"/>
    <x v="52"/>
    <x v="45"/>
    <x v="45"/>
    <s v="REVENUS"/>
    <x v="6"/>
    <s v="4211.002"/>
    <s v="Intérêts de retard sur acomptes"/>
    <n v="0"/>
    <n v="50.27"/>
    <n v="4211"/>
  </r>
  <r>
    <x v="2"/>
    <x v="5"/>
    <x v="1"/>
    <x v="52"/>
    <x v="45"/>
    <x v="45"/>
    <s v="REVENUS"/>
    <x v="2"/>
    <s v="4001.001"/>
    <s v="Impôt revenu"/>
    <n v="0"/>
    <n v="4812.53"/>
    <n v="4001"/>
  </r>
  <r>
    <x v="2"/>
    <x v="5"/>
    <x v="1"/>
    <x v="52"/>
    <x v="45"/>
    <x v="45"/>
    <s v="REVENUS"/>
    <x v="2"/>
    <s v="4001.010"/>
    <s v="Impôt sourciers mixtes"/>
    <n v="0"/>
    <n v="0"/>
    <n v="4001"/>
  </r>
  <r>
    <x v="2"/>
    <x v="5"/>
    <x v="1"/>
    <x v="52"/>
    <x v="45"/>
    <x v="45"/>
    <s v="REVENUS"/>
    <x v="6"/>
    <s v="4211.001"/>
    <s v="Intérêts de retard sur factures"/>
    <n v="0"/>
    <n v="0"/>
    <n v="4211"/>
  </r>
  <r>
    <x v="2"/>
    <x v="5"/>
    <x v="1"/>
    <x v="52"/>
    <x v="45"/>
    <x v="45"/>
    <s v="REVENUS"/>
    <x v="7"/>
    <s v="4184.000"/>
    <s v="Frais de poursuite"/>
    <n v="0"/>
    <n v="50.3"/>
    <n v="4184"/>
  </r>
  <r>
    <x v="2"/>
    <x v="5"/>
    <x v="1"/>
    <x v="53"/>
    <x v="46"/>
    <x v="46"/>
    <s v="CHARGES"/>
    <x v="19"/>
    <s v="3186.002"/>
    <s v="Commission perception IS"/>
    <n v="2725.36"/>
    <n v="0"/>
    <n v="3186"/>
  </r>
  <r>
    <x v="2"/>
    <x v="5"/>
    <x v="1"/>
    <x v="53"/>
    <x v="46"/>
    <x v="46"/>
    <s v="CHARGES"/>
    <x v="1"/>
    <s v="3301.001"/>
    <s v="Défalcations, abandons de solde PP et IS"/>
    <n v="7407.68"/>
    <n v="0"/>
    <n v="3301"/>
  </r>
  <r>
    <x v="2"/>
    <x v="5"/>
    <x v="1"/>
    <x v="53"/>
    <x v="46"/>
    <x v="46"/>
    <s v="REVENUS"/>
    <x v="2"/>
    <s v="4001.010"/>
    <s v="Impôt sourciers mixtes"/>
    <n v="0"/>
    <n v="-25323.46"/>
    <n v="4001"/>
  </r>
  <r>
    <x v="2"/>
    <x v="5"/>
    <x v="1"/>
    <x v="53"/>
    <x v="46"/>
    <x v="46"/>
    <s v="REVENUS"/>
    <x v="14"/>
    <s v="4003.000"/>
    <s v="Impôt à la source"/>
    <n v="0"/>
    <n v="74019.789999999994"/>
    <n v="4003"/>
  </r>
  <r>
    <x v="2"/>
    <x v="5"/>
    <x v="1"/>
    <x v="53"/>
    <x v="46"/>
    <x v="46"/>
    <s v="REVENUS"/>
    <x v="6"/>
    <s v="4211.002"/>
    <s v="Intérêts de retard sur acomptes"/>
    <n v="0"/>
    <n v="383.43"/>
    <n v="4211"/>
  </r>
  <r>
    <x v="2"/>
    <x v="5"/>
    <x v="1"/>
    <x v="53"/>
    <x v="46"/>
    <x v="46"/>
    <s v="REVENUS"/>
    <x v="7"/>
    <s v="4184.000"/>
    <s v="Frais de poursuite"/>
    <n v="0"/>
    <n v="4.01"/>
    <n v="4184"/>
  </r>
  <r>
    <x v="2"/>
    <x v="5"/>
    <x v="1"/>
    <x v="53"/>
    <x v="46"/>
    <x v="46"/>
    <s v="REVENUS"/>
    <x v="6"/>
    <s v="4211.001"/>
    <s v="Intérêts de retard sur factures"/>
    <n v="0"/>
    <n v="128.84"/>
    <n v="4211"/>
  </r>
  <r>
    <x v="2"/>
    <x v="5"/>
    <x v="1"/>
    <x v="53"/>
    <x v="46"/>
    <x v="46"/>
    <s v="REVENUS"/>
    <x v="2"/>
    <s v="4001.001"/>
    <s v="Impôt revenu"/>
    <n v="0"/>
    <n v="2112.7600000000002"/>
    <n v="4001"/>
  </r>
  <r>
    <x v="2"/>
    <x v="5"/>
    <x v="1"/>
    <x v="53"/>
    <x v="46"/>
    <x v="46"/>
    <s v="REVENUS"/>
    <x v="2"/>
    <s v="4001.002"/>
    <s v="Impôt complément s/revenu PP"/>
    <n v="0"/>
    <n v="2765.88"/>
    <n v="4001"/>
  </r>
  <r>
    <x v="2"/>
    <x v="5"/>
    <x v="1"/>
    <x v="53"/>
    <x v="46"/>
    <x v="46"/>
    <s v="REVENUS"/>
    <x v="14"/>
    <s v="4003.080"/>
    <s v="IS - Participations Hors Suisse"/>
    <n v="0"/>
    <n v="8.19"/>
    <n v="4003"/>
  </r>
  <r>
    <x v="2"/>
    <x v="5"/>
    <x v="1"/>
    <x v="53"/>
    <x v="46"/>
    <x v="46"/>
    <s v="REVENUS"/>
    <x v="2"/>
    <s v="4001.005"/>
    <s v="Amende de soustract. Impôt"/>
    <n v="0"/>
    <n v="0"/>
    <n v="4001"/>
  </r>
  <r>
    <x v="2"/>
    <x v="5"/>
    <x v="1"/>
    <x v="53"/>
    <x v="46"/>
    <x v="46"/>
    <s v="REVENUS"/>
    <x v="8"/>
    <s v="4091.001"/>
    <s v="Impôt récupéré après défalcations"/>
    <n v="0"/>
    <n v="254.61"/>
    <n v="4091"/>
  </r>
  <r>
    <x v="2"/>
    <x v="5"/>
    <x v="1"/>
    <x v="54"/>
    <x v="47"/>
    <x v="47"/>
    <s v="CHARGES"/>
    <x v="19"/>
    <s v="3186.002"/>
    <s v="Commission perception IS"/>
    <n v="-89.14"/>
    <n v="0"/>
    <n v="3186"/>
  </r>
  <r>
    <x v="2"/>
    <x v="5"/>
    <x v="1"/>
    <x v="54"/>
    <x v="47"/>
    <x v="47"/>
    <s v="CHARGES"/>
    <x v="1"/>
    <s v="3301.001"/>
    <s v="Défalcations, abandons de solde PP et IS"/>
    <n v="0.08"/>
    <n v="0"/>
    <n v="3301"/>
  </r>
  <r>
    <x v="2"/>
    <x v="5"/>
    <x v="1"/>
    <x v="54"/>
    <x v="47"/>
    <x v="47"/>
    <s v="REVENUS"/>
    <x v="14"/>
    <s v="4003.000"/>
    <s v="Impôt à la source"/>
    <n v="0"/>
    <n v="1743.05"/>
    <n v="4003"/>
  </r>
  <r>
    <x v="2"/>
    <x v="5"/>
    <x v="1"/>
    <x v="54"/>
    <x v="47"/>
    <x v="47"/>
    <s v="REVENUS"/>
    <x v="6"/>
    <s v="4211.001"/>
    <s v="Intérêts de retard sur factures"/>
    <n v="0"/>
    <n v="8.5500000000000007"/>
    <n v="4211"/>
  </r>
  <r>
    <x v="2"/>
    <x v="5"/>
    <x v="1"/>
    <x v="54"/>
    <x v="47"/>
    <x v="47"/>
    <s v="REVENUS"/>
    <x v="6"/>
    <s v="4211.002"/>
    <s v="Intérêts de retard sur acomptes"/>
    <n v="0"/>
    <n v="50.08"/>
    <n v="4211"/>
  </r>
  <r>
    <x v="2"/>
    <x v="5"/>
    <x v="1"/>
    <x v="54"/>
    <x v="47"/>
    <x v="47"/>
    <s v="REVENUS"/>
    <x v="2"/>
    <s v="4001.010"/>
    <s v="Impôt sourciers mixtes"/>
    <n v="0"/>
    <n v="-565.6"/>
    <n v="4001"/>
  </r>
  <r>
    <x v="2"/>
    <x v="5"/>
    <x v="1"/>
    <x v="54"/>
    <x v="47"/>
    <x v="47"/>
    <s v="REVENUS"/>
    <x v="7"/>
    <s v="4184.000"/>
    <s v="Frais de poursuite"/>
    <n v="0"/>
    <n v="23.07"/>
    <n v="4184"/>
  </r>
  <r>
    <x v="2"/>
    <x v="5"/>
    <x v="1"/>
    <x v="55"/>
    <x v="48"/>
    <x v="48"/>
    <s v="CHARGES"/>
    <x v="19"/>
    <s v="3186.002"/>
    <s v="Commission perception IS"/>
    <n v="2464.21"/>
    <n v="0"/>
    <n v="3186"/>
  </r>
  <r>
    <x v="2"/>
    <x v="5"/>
    <x v="1"/>
    <x v="55"/>
    <x v="48"/>
    <x v="48"/>
    <s v="CHARGES"/>
    <x v="1"/>
    <s v="3301.001"/>
    <s v="Défalcations, abandons de solde PP et IS"/>
    <n v="1415.84"/>
    <n v="0"/>
    <n v="3301"/>
  </r>
  <r>
    <x v="2"/>
    <x v="5"/>
    <x v="1"/>
    <x v="55"/>
    <x v="48"/>
    <x v="48"/>
    <s v="REVENUS"/>
    <x v="2"/>
    <s v="4001.010"/>
    <s v="Impôt sourciers mixtes"/>
    <n v="0"/>
    <n v="-10568.73"/>
    <n v="4001"/>
  </r>
  <r>
    <x v="2"/>
    <x v="5"/>
    <x v="1"/>
    <x v="55"/>
    <x v="48"/>
    <x v="48"/>
    <s v="REVENUS"/>
    <x v="14"/>
    <s v="4003.000"/>
    <s v="Impôt à la source"/>
    <n v="0"/>
    <n v="50024.74"/>
    <n v="4003"/>
  </r>
  <r>
    <x v="2"/>
    <x v="5"/>
    <x v="1"/>
    <x v="55"/>
    <x v="48"/>
    <x v="48"/>
    <s v="REVENUS"/>
    <x v="6"/>
    <s v="4211.001"/>
    <s v="Intérêts de retard sur factures"/>
    <n v="0"/>
    <n v="1.48"/>
    <n v="4211"/>
  </r>
  <r>
    <x v="2"/>
    <x v="5"/>
    <x v="1"/>
    <x v="55"/>
    <x v="48"/>
    <x v="48"/>
    <s v="REVENUS"/>
    <x v="6"/>
    <s v="4211.002"/>
    <s v="Intérêts de retard sur acomptes"/>
    <n v="0"/>
    <n v="189.25"/>
    <n v="4211"/>
  </r>
  <r>
    <x v="2"/>
    <x v="5"/>
    <x v="1"/>
    <x v="55"/>
    <x v="48"/>
    <x v="48"/>
    <s v="REVENUS"/>
    <x v="14"/>
    <s v="4003.010"/>
    <s v="IS - Employés et sourciers étrangers"/>
    <n v="0"/>
    <n v="5332.9"/>
    <n v="4003"/>
  </r>
  <r>
    <x v="2"/>
    <x v="5"/>
    <x v="1"/>
    <x v="55"/>
    <x v="48"/>
    <x v="48"/>
    <s v="REVENUS"/>
    <x v="2"/>
    <s v="4001.001"/>
    <s v="Impôt revenu"/>
    <n v="0"/>
    <n v="7690.71"/>
    <n v="4001"/>
  </r>
  <r>
    <x v="2"/>
    <x v="5"/>
    <x v="1"/>
    <x v="55"/>
    <x v="48"/>
    <x v="48"/>
    <s v="REVENUS"/>
    <x v="8"/>
    <s v="4091.001"/>
    <s v="Impôt récupéré après défalcations"/>
    <n v="0"/>
    <n v="1387.35"/>
    <n v="4091"/>
  </r>
  <r>
    <x v="2"/>
    <x v="5"/>
    <x v="1"/>
    <x v="55"/>
    <x v="48"/>
    <x v="48"/>
    <s v="REVENUS"/>
    <x v="7"/>
    <s v="4184.000"/>
    <s v="Frais de poursuite"/>
    <n v="0"/>
    <n v="0"/>
    <n v="4184"/>
  </r>
  <r>
    <x v="2"/>
    <x v="5"/>
    <x v="1"/>
    <x v="56"/>
    <x v="49"/>
    <x v="49"/>
    <s v="CHARGES"/>
    <x v="19"/>
    <s v="3186.002"/>
    <s v="Commission perception IS"/>
    <n v="937.63"/>
    <n v="0"/>
    <n v="3186"/>
  </r>
  <r>
    <x v="2"/>
    <x v="5"/>
    <x v="1"/>
    <x v="56"/>
    <x v="49"/>
    <x v="49"/>
    <s v="CHARGES"/>
    <x v="1"/>
    <s v="3301.001"/>
    <s v="Défalcations, abandons de solde PP et IS"/>
    <n v="-1.34"/>
    <n v="0"/>
    <n v="3301"/>
  </r>
  <r>
    <x v="2"/>
    <x v="5"/>
    <x v="1"/>
    <x v="56"/>
    <x v="49"/>
    <x v="49"/>
    <s v="REVENUS"/>
    <x v="14"/>
    <s v="4003.000"/>
    <s v="Impôt à la source"/>
    <n v="0"/>
    <n v="17435.2"/>
    <n v="4003"/>
  </r>
  <r>
    <x v="2"/>
    <x v="5"/>
    <x v="1"/>
    <x v="56"/>
    <x v="49"/>
    <x v="49"/>
    <s v="REVENUS"/>
    <x v="6"/>
    <s v="4211.001"/>
    <s v="Intérêts de retard sur factures"/>
    <n v="0"/>
    <n v="71"/>
    <n v="4211"/>
  </r>
  <r>
    <x v="2"/>
    <x v="5"/>
    <x v="1"/>
    <x v="56"/>
    <x v="49"/>
    <x v="49"/>
    <s v="REVENUS"/>
    <x v="6"/>
    <s v="4211.002"/>
    <s v="Intérêts de retard sur acomptes"/>
    <n v="0"/>
    <n v="44.54"/>
    <n v="4211"/>
  </r>
  <r>
    <x v="2"/>
    <x v="5"/>
    <x v="1"/>
    <x v="56"/>
    <x v="49"/>
    <x v="49"/>
    <s v="REVENUS"/>
    <x v="2"/>
    <s v="4001.010"/>
    <s v="Impôt sourciers mixtes"/>
    <n v="0"/>
    <n v="6184.77"/>
    <n v="4001"/>
  </r>
  <r>
    <x v="2"/>
    <x v="5"/>
    <x v="1"/>
    <x v="56"/>
    <x v="49"/>
    <x v="49"/>
    <s v="REVENUS"/>
    <x v="14"/>
    <s v="4003.060"/>
    <s v="IS - Administrateurs"/>
    <n v="0"/>
    <n v="4729.6899999999996"/>
    <n v="4003"/>
  </r>
  <r>
    <x v="2"/>
    <x v="5"/>
    <x v="1"/>
    <x v="56"/>
    <x v="49"/>
    <x v="49"/>
    <s v="REVENUS"/>
    <x v="14"/>
    <s v="4003.010"/>
    <s v="IS - Employés et sourciers étrangers"/>
    <n v="0"/>
    <n v="2571.84"/>
    <n v="4003"/>
  </r>
  <r>
    <x v="2"/>
    <x v="5"/>
    <x v="1"/>
    <x v="56"/>
    <x v="49"/>
    <x v="49"/>
    <s v="REVENUS"/>
    <x v="2"/>
    <s v="4001.001"/>
    <s v="Impôt revenu"/>
    <n v="0"/>
    <n v="5388.49"/>
    <n v="4001"/>
  </r>
  <r>
    <x v="2"/>
    <x v="5"/>
    <x v="1"/>
    <x v="57"/>
    <x v="50"/>
    <x v="50"/>
    <s v="CHARGES"/>
    <x v="19"/>
    <s v="3186.002"/>
    <s v="Commission perception IS"/>
    <n v="4072.26"/>
    <n v="0"/>
    <n v="3186"/>
  </r>
  <r>
    <x v="2"/>
    <x v="5"/>
    <x v="1"/>
    <x v="57"/>
    <x v="50"/>
    <x v="50"/>
    <s v="CHARGES"/>
    <x v="1"/>
    <s v="3301.001"/>
    <s v="Défalcations, abandons de solde PP et IS"/>
    <n v="861.48"/>
    <n v="0"/>
    <n v="3301"/>
  </r>
  <r>
    <x v="2"/>
    <x v="5"/>
    <x v="1"/>
    <x v="57"/>
    <x v="50"/>
    <x v="50"/>
    <s v="REVENUS"/>
    <x v="14"/>
    <s v="4003.000"/>
    <s v="Impôt à la source"/>
    <n v="0"/>
    <n v="46072.47"/>
    <n v="4003"/>
  </r>
  <r>
    <x v="2"/>
    <x v="5"/>
    <x v="1"/>
    <x v="57"/>
    <x v="50"/>
    <x v="50"/>
    <s v="REVENUS"/>
    <x v="2"/>
    <s v="4001.010"/>
    <s v="Impôt sourciers mixtes"/>
    <n v="0"/>
    <n v="90685.96"/>
    <n v="4001"/>
  </r>
  <r>
    <x v="2"/>
    <x v="5"/>
    <x v="1"/>
    <x v="57"/>
    <x v="50"/>
    <x v="50"/>
    <s v="REVENUS"/>
    <x v="6"/>
    <s v="4211.002"/>
    <s v="Intérêts de retard sur acomptes"/>
    <n v="0"/>
    <n v="56.46"/>
    <n v="4211"/>
  </r>
  <r>
    <x v="2"/>
    <x v="5"/>
    <x v="1"/>
    <x v="57"/>
    <x v="50"/>
    <x v="50"/>
    <s v="REVENUS"/>
    <x v="6"/>
    <s v="4211.001"/>
    <s v="Intérêts de retard sur factures"/>
    <n v="0"/>
    <n v="60.94"/>
    <n v="4211"/>
  </r>
  <r>
    <x v="2"/>
    <x v="5"/>
    <x v="1"/>
    <x v="57"/>
    <x v="50"/>
    <x v="50"/>
    <s v="REVENUS"/>
    <x v="7"/>
    <s v="4184.000"/>
    <s v="Frais de poursuite"/>
    <n v="0"/>
    <n v="106.67"/>
    <n v="4184"/>
  </r>
  <r>
    <x v="2"/>
    <x v="5"/>
    <x v="1"/>
    <x v="57"/>
    <x v="50"/>
    <x v="50"/>
    <s v="REVENUS"/>
    <x v="2"/>
    <s v="4001.001"/>
    <s v="Impôt revenu"/>
    <n v="0"/>
    <n v="2557.54"/>
    <n v="4001"/>
  </r>
  <r>
    <x v="2"/>
    <x v="4"/>
    <x v="4"/>
    <x v="58"/>
    <x v="51"/>
    <x v="51"/>
    <s v="CHARGES"/>
    <x v="19"/>
    <s v="3186.002"/>
    <s v="Commission perception IS"/>
    <n v="490.1"/>
    <n v="0"/>
    <n v="3186"/>
  </r>
  <r>
    <x v="2"/>
    <x v="4"/>
    <x v="4"/>
    <x v="58"/>
    <x v="51"/>
    <x v="51"/>
    <s v="CHARGES"/>
    <x v="1"/>
    <s v="3301.001"/>
    <s v="Défalcations, abandons de solde PP et IS"/>
    <n v="3.02"/>
    <n v="0"/>
    <n v="3301"/>
  </r>
  <r>
    <x v="2"/>
    <x v="4"/>
    <x v="4"/>
    <x v="58"/>
    <x v="51"/>
    <x v="51"/>
    <s v="REVENUS"/>
    <x v="14"/>
    <s v="4003.000"/>
    <s v="Impôt à la source"/>
    <n v="0"/>
    <n v="4362.62"/>
    <n v="4003"/>
  </r>
  <r>
    <x v="2"/>
    <x v="4"/>
    <x v="4"/>
    <x v="58"/>
    <x v="51"/>
    <x v="51"/>
    <s v="REVENUS"/>
    <x v="6"/>
    <s v="4211.001"/>
    <s v="Intérêts de retard sur factures"/>
    <n v="0"/>
    <n v="23.52"/>
    <n v="4211"/>
  </r>
  <r>
    <x v="2"/>
    <x v="4"/>
    <x v="4"/>
    <x v="58"/>
    <x v="51"/>
    <x v="51"/>
    <s v="REVENUS"/>
    <x v="6"/>
    <s v="4211.002"/>
    <s v="Intérêts de retard sur acomptes"/>
    <n v="0"/>
    <n v="53.8"/>
    <n v="4211"/>
  </r>
  <r>
    <x v="2"/>
    <x v="4"/>
    <x v="4"/>
    <x v="58"/>
    <x v="51"/>
    <x v="51"/>
    <s v="REVENUS"/>
    <x v="2"/>
    <s v="4001.010"/>
    <s v="Impôt sourciers mixtes"/>
    <n v="0"/>
    <n v="6002.29"/>
    <n v="4001"/>
  </r>
  <r>
    <x v="2"/>
    <x v="4"/>
    <x v="4"/>
    <x v="58"/>
    <x v="51"/>
    <x v="51"/>
    <s v="REVENUS"/>
    <x v="14"/>
    <s v="4003.010"/>
    <s v="IS - Employés et sourciers étrangers"/>
    <n v="0"/>
    <n v="29.51"/>
    <n v="4003"/>
  </r>
  <r>
    <x v="2"/>
    <x v="4"/>
    <x v="4"/>
    <x v="58"/>
    <x v="51"/>
    <x v="51"/>
    <s v="REVENUS"/>
    <x v="2"/>
    <s v="4001.001"/>
    <s v="Impôt revenu"/>
    <n v="0"/>
    <n v="5599.4"/>
    <n v="4001"/>
  </r>
  <r>
    <x v="2"/>
    <x v="5"/>
    <x v="1"/>
    <x v="59"/>
    <x v="52"/>
    <x v="52"/>
    <s v="CHARGES"/>
    <x v="19"/>
    <s v="3186.002"/>
    <s v="Commission perception IS"/>
    <n v="122.32"/>
    <n v="0"/>
    <n v="3186"/>
  </r>
  <r>
    <x v="2"/>
    <x v="5"/>
    <x v="1"/>
    <x v="59"/>
    <x v="52"/>
    <x v="52"/>
    <s v="REVENUS"/>
    <x v="2"/>
    <s v="4001.010"/>
    <s v="Impôt sourciers mixtes"/>
    <n v="0"/>
    <n v="4204.34"/>
    <n v="4001"/>
  </r>
  <r>
    <x v="2"/>
    <x v="5"/>
    <x v="1"/>
    <x v="59"/>
    <x v="52"/>
    <x v="52"/>
    <s v="REVENUS"/>
    <x v="14"/>
    <s v="4003.000"/>
    <s v="Impôt à la source"/>
    <n v="0"/>
    <n v="2075.6799999999998"/>
    <n v="4003"/>
  </r>
  <r>
    <x v="2"/>
    <x v="5"/>
    <x v="1"/>
    <x v="59"/>
    <x v="52"/>
    <x v="52"/>
    <s v="REVENUS"/>
    <x v="14"/>
    <s v="4003.010"/>
    <s v="IS - Employés et sourciers étrangers"/>
    <n v="0"/>
    <n v="33.369999999999997"/>
    <n v="4003"/>
  </r>
  <r>
    <x v="2"/>
    <x v="5"/>
    <x v="1"/>
    <x v="59"/>
    <x v="52"/>
    <x v="52"/>
    <s v="REVENUS"/>
    <x v="6"/>
    <s v="4211.002"/>
    <s v="Intérêts de retard sur acomptes"/>
    <n v="0"/>
    <n v="62.22"/>
    <n v="4211"/>
  </r>
  <r>
    <x v="2"/>
    <x v="5"/>
    <x v="1"/>
    <x v="59"/>
    <x v="52"/>
    <x v="52"/>
    <s v="REVENUS"/>
    <x v="6"/>
    <s v="4211.001"/>
    <s v="Intérêts de retard sur factures"/>
    <n v="0"/>
    <n v="0.23"/>
    <n v="4211"/>
  </r>
  <r>
    <x v="2"/>
    <x v="4"/>
    <x v="4"/>
    <x v="60"/>
    <x v="53"/>
    <x v="53"/>
    <s v="CHARGES"/>
    <x v="19"/>
    <s v="3186.002"/>
    <s v="Commission perception IS"/>
    <n v="8419.36"/>
    <n v="0"/>
    <n v="3186"/>
  </r>
  <r>
    <x v="2"/>
    <x v="4"/>
    <x v="4"/>
    <x v="60"/>
    <x v="53"/>
    <x v="53"/>
    <s v="CHARGES"/>
    <x v="1"/>
    <s v="3301.001"/>
    <s v="Défalcations, abandons de solde PP et IS"/>
    <n v="0.28000000000000003"/>
    <n v="0"/>
    <n v="3301"/>
  </r>
  <r>
    <x v="2"/>
    <x v="4"/>
    <x v="4"/>
    <x v="60"/>
    <x v="53"/>
    <x v="53"/>
    <s v="REVENUS"/>
    <x v="14"/>
    <s v="4003.000"/>
    <s v="Impôt à la source"/>
    <n v="0"/>
    <n v="37440.42"/>
    <n v="4003"/>
  </r>
  <r>
    <x v="2"/>
    <x v="4"/>
    <x v="4"/>
    <x v="60"/>
    <x v="53"/>
    <x v="53"/>
    <s v="REVENUS"/>
    <x v="6"/>
    <s v="4211.001"/>
    <s v="Intérêts de retard sur factures"/>
    <n v="0"/>
    <n v="147.24"/>
    <n v="4211"/>
  </r>
  <r>
    <x v="2"/>
    <x v="4"/>
    <x v="4"/>
    <x v="60"/>
    <x v="53"/>
    <x v="53"/>
    <s v="REVENUS"/>
    <x v="2"/>
    <s v="4001.010"/>
    <s v="Impôt sourciers mixtes"/>
    <n v="0"/>
    <n v="37264.160000000003"/>
    <n v="4001"/>
  </r>
  <r>
    <x v="2"/>
    <x v="4"/>
    <x v="4"/>
    <x v="60"/>
    <x v="53"/>
    <x v="53"/>
    <s v="REVENUS"/>
    <x v="6"/>
    <s v="4211.002"/>
    <s v="Intérêts de retard sur acomptes"/>
    <n v="0"/>
    <n v="158.08000000000001"/>
    <n v="4211"/>
  </r>
  <r>
    <x v="2"/>
    <x v="4"/>
    <x v="4"/>
    <x v="60"/>
    <x v="53"/>
    <x v="53"/>
    <s v="REVENUS"/>
    <x v="2"/>
    <s v="4001.001"/>
    <s v="Impôt revenu"/>
    <n v="0"/>
    <n v="14783.78"/>
    <n v="4001"/>
  </r>
  <r>
    <x v="2"/>
    <x v="4"/>
    <x v="4"/>
    <x v="60"/>
    <x v="53"/>
    <x v="53"/>
    <s v="REVENUS"/>
    <x v="7"/>
    <s v="4184.000"/>
    <s v="Frais de poursuite"/>
    <n v="0"/>
    <n v="0.17"/>
    <n v="4184"/>
  </r>
  <r>
    <x v="2"/>
    <x v="5"/>
    <x v="1"/>
    <x v="61"/>
    <x v="54"/>
    <x v="54"/>
    <s v="CHARGES"/>
    <x v="19"/>
    <s v="3186.002"/>
    <s v="Commission perception IS"/>
    <n v="2.4"/>
    <n v="0"/>
    <n v="3186"/>
  </r>
  <r>
    <x v="2"/>
    <x v="5"/>
    <x v="1"/>
    <x v="61"/>
    <x v="54"/>
    <x v="54"/>
    <s v="CHARGES"/>
    <x v="1"/>
    <s v="3301.001"/>
    <s v="Défalcations, abandons de solde PP et IS"/>
    <n v="0.25"/>
    <n v="0"/>
    <n v="3301"/>
  </r>
  <r>
    <x v="2"/>
    <x v="5"/>
    <x v="1"/>
    <x v="61"/>
    <x v="54"/>
    <x v="54"/>
    <s v="REVENUS"/>
    <x v="14"/>
    <s v="4003.000"/>
    <s v="Impôt à la source"/>
    <n v="0"/>
    <n v="-773.17"/>
    <n v="4003"/>
  </r>
  <r>
    <x v="2"/>
    <x v="5"/>
    <x v="1"/>
    <x v="61"/>
    <x v="54"/>
    <x v="54"/>
    <s v="REVENUS"/>
    <x v="2"/>
    <s v="4001.001"/>
    <s v="Impôt revenu"/>
    <n v="0"/>
    <n v="1131.6600000000001"/>
    <n v="4001"/>
  </r>
  <r>
    <x v="2"/>
    <x v="5"/>
    <x v="1"/>
    <x v="61"/>
    <x v="54"/>
    <x v="54"/>
    <s v="REVENUS"/>
    <x v="6"/>
    <s v="4211.002"/>
    <s v="Intérêts de retard sur acomptes"/>
    <n v="0"/>
    <n v="8.3000000000000007"/>
    <n v="4211"/>
  </r>
  <r>
    <x v="2"/>
    <x v="5"/>
    <x v="1"/>
    <x v="61"/>
    <x v="54"/>
    <x v="54"/>
    <s v="REVENUS"/>
    <x v="14"/>
    <s v="4003.010"/>
    <s v="IS - Employés et sourciers étrangers"/>
    <n v="0"/>
    <n v="82.59"/>
    <n v="4003"/>
  </r>
  <r>
    <x v="2"/>
    <x v="5"/>
    <x v="1"/>
    <x v="61"/>
    <x v="54"/>
    <x v="54"/>
    <s v="REVENUS"/>
    <x v="6"/>
    <s v="4211.001"/>
    <s v="Intérêts de retard sur factures"/>
    <n v="0"/>
    <n v="0.35"/>
    <n v="4211"/>
  </r>
  <r>
    <x v="2"/>
    <x v="5"/>
    <x v="1"/>
    <x v="61"/>
    <x v="54"/>
    <x v="54"/>
    <s v="REVENUS"/>
    <x v="2"/>
    <s v="4001.010"/>
    <s v="Impôt sourciers mixtes"/>
    <n v="0"/>
    <n v="0"/>
    <n v="4001"/>
  </r>
  <r>
    <x v="2"/>
    <x v="5"/>
    <x v="1"/>
    <x v="61"/>
    <x v="54"/>
    <x v="54"/>
    <s v="REVENUS"/>
    <x v="14"/>
    <s v="4003.070"/>
    <s v="IS - Loi travail au noir"/>
    <n v="0"/>
    <n v="7.29"/>
    <n v="4003"/>
  </r>
  <r>
    <x v="2"/>
    <x v="5"/>
    <x v="1"/>
    <x v="62"/>
    <x v="55"/>
    <x v="55"/>
    <s v="CHARGES"/>
    <x v="19"/>
    <s v="3186.002"/>
    <s v="Commission perception IS"/>
    <n v="648.69000000000005"/>
    <n v="0"/>
    <n v="3186"/>
  </r>
  <r>
    <x v="2"/>
    <x v="5"/>
    <x v="1"/>
    <x v="62"/>
    <x v="55"/>
    <x v="55"/>
    <s v="CHARGES"/>
    <x v="1"/>
    <s v="3301.001"/>
    <s v="Défalcations, abandons de solde PP et IS"/>
    <n v="7.09"/>
    <n v="0"/>
    <n v="3301"/>
  </r>
  <r>
    <x v="2"/>
    <x v="5"/>
    <x v="1"/>
    <x v="62"/>
    <x v="55"/>
    <x v="55"/>
    <s v="REVENUS"/>
    <x v="6"/>
    <s v="4211.001"/>
    <s v="Intérêts de retard sur factures"/>
    <n v="0"/>
    <n v="-16.170000000000002"/>
    <n v="4211"/>
  </r>
  <r>
    <x v="2"/>
    <x v="5"/>
    <x v="1"/>
    <x v="62"/>
    <x v="55"/>
    <x v="55"/>
    <s v="REVENUS"/>
    <x v="6"/>
    <s v="4211.002"/>
    <s v="Intérêts de retard sur acomptes"/>
    <n v="0"/>
    <n v="17.760000000000002"/>
    <n v="4211"/>
  </r>
  <r>
    <x v="2"/>
    <x v="5"/>
    <x v="1"/>
    <x v="62"/>
    <x v="55"/>
    <x v="55"/>
    <s v="REVENUS"/>
    <x v="14"/>
    <s v="4003.000"/>
    <s v="Impôt à la source"/>
    <n v="0"/>
    <n v="8917.8700000000008"/>
    <n v="4003"/>
  </r>
  <r>
    <x v="2"/>
    <x v="5"/>
    <x v="1"/>
    <x v="62"/>
    <x v="55"/>
    <x v="55"/>
    <s v="REVENUS"/>
    <x v="2"/>
    <s v="4001.010"/>
    <s v="Impôt sourciers mixtes"/>
    <n v="0"/>
    <n v="7239.84"/>
    <n v="4001"/>
  </r>
  <r>
    <x v="2"/>
    <x v="5"/>
    <x v="1"/>
    <x v="62"/>
    <x v="55"/>
    <x v="55"/>
    <s v="REVENUS"/>
    <x v="7"/>
    <s v="4184.000"/>
    <s v="Frais de poursuite"/>
    <n v="0"/>
    <n v="0.05"/>
    <n v="4184"/>
  </r>
  <r>
    <x v="2"/>
    <x v="5"/>
    <x v="1"/>
    <x v="62"/>
    <x v="55"/>
    <x v="55"/>
    <s v="REVENUS"/>
    <x v="14"/>
    <s v="4003.070"/>
    <s v="IS - Loi travail au noir"/>
    <n v="0"/>
    <n v="0.48"/>
    <n v="4003"/>
  </r>
  <r>
    <x v="2"/>
    <x v="5"/>
    <x v="1"/>
    <x v="62"/>
    <x v="55"/>
    <x v="55"/>
    <s v="REVENUS"/>
    <x v="2"/>
    <s v="4001.001"/>
    <s v="Impôt revenu"/>
    <n v="0"/>
    <n v="6205.38"/>
    <n v="4001"/>
  </r>
  <r>
    <x v="2"/>
    <x v="5"/>
    <x v="1"/>
    <x v="62"/>
    <x v="55"/>
    <x v="55"/>
    <s v="REVENUS"/>
    <x v="8"/>
    <s v="4091.001"/>
    <s v="Impôt récupéré après défalcations"/>
    <n v="0"/>
    <n v="5.45"/>
    <n v="4091"/>
  </r>
  <r>
    <x v="2"/>
    <x v="5"/>
    <x v="1"/>
    <x v="63"/>
    <x v="56"/>
    <x v="56"/>
    <s v="CHARGES"/>
    <x v="19"/>
    <s v="3186.002"/>
    <s v="Commission perception IS"/>
    <n v="3824.83"/>
    <n v="0"/>
    <n v="3186"/>
  </r>
  <r>
    <x v="2"/>
    <x v="5"/>
    <x v="1"/>
    <x v="63"/>
    <x v="56"/>
    <x v="56"/>
    <s v="CHARGES"/>
    <x v="1"/>
    <s v="3301.001"/>
    <s v="Défalcations, abandons de solde PP et IS"/>
    <n v="12.08"/>
    <n v="0"/>
    <n v="3301"/>
  </r>
  <r>
    <x v="2"/>
    <x v="5"/>
    <x v="1"/>
    <x v="63"/>
    <x v="56"/>
    <x v="56"/>
    <s v="REVENUS"/>
    <x v="6"/>
    <s v="4211.001"/>
    <s v="Intérêts de retard sur factures"/>
    <n v="0"/>
    <n v="125.05"/>
    <n v="4211"/>
  </r>
  <r>
    <x v="2"/>
    <x v="5"/>
    <x v="1"/>
    <x v="63"/>
    <x v="56"/>
    <x v="56"/>
    <s v="REVENUS"/>
    <x v="14"/>
    <s v="4003.000"/>
    <s v="Impôt à la source"/>
    <n v="0"/>
    <n v="101215.21"/>
    <n v="4003"/>
  </r>
  <r>
    <x v="2"/>
    <x v="5"/>
    <x v="1"/>
    <x v="63"/>
    <x v="56"/>
    <x v="56"/>
    <s v="REVENUS"/>
    <x v="2"/>
    <s v="4001.010"/>
    <s v="Impôt sourciers mixtes"/>
    <n v="0"/>
    <n v="-9905.07"/>
    <n v="4001"/>
  </r>
  <r>
    <x v="2"/>
    <x v="5"/>
    <x v="1"/>
    <x v="63"/>
    <x v="56"/>
    <x v="56"/>
    <s v="REVENUS"/>
    <x v="7"/>
    <s v="4184.000"/>
    <s v="Frais de poursuite"/>
    <n v="0"/>
    <n v="98.35"/>
    <n v="4184"/>
  </r>
  <r>
    <x v="2"/>
    <x v="5"/>
    <x v="1"/>
    <x v="63"/>
    <x v="56"/>
    <x v="56"/>
    <s v="REVENUS"/>
    <x v="6"/>
    <s v="4211.002"/>
    <s v="Intérêts de retard sur acomptes"/>
    <n v="0"/>
    <n v="134.96"/>
    <n v="4211"/>
  </r>
  <r>
    <x v="2"/>
    <x v="5"/>
    <x v="1"/>
    <x v="63"/>
    <x v="56"/>
    <x v="56"/>
    <s v="REVENUS"/>
    <x v="2"/>
    <s v="4001.001"/>
    <s v="Impôt revenu"/>
    <n v="0"/>
    <n v="10099.11"/>
    <n v="4001"/>
  </r>
  <r>
    <x v="2"/>
    <x v="5"/>
    <x v="1"/>
    <x v="63"/>
    <x v="56"/>
    <x v="56"/>
    <s v="REVENUS"/>
    <x v="8"/>
    <s v="4091.001"/>
    <s v="Impôt récupéré après défalcations"/>
    <n v="0"/>
    <n v="0"/>
    <n v="4091"/>
  </r>
  <r>
    <x v="2"/>
    <x v="5"/>
    <x v="1"/>
    <x v="64"/>
    <x v="57"/>
    <x v="57"/>
    <s v="CHARGES"/>
    <x v="19"/>
    <s v="3186.002"/>
    <s v="Commission perception IS"/>
    <n v="1322.88"/>
    <n v="0"/>
    <n v="3186"/>
  </r>
  <r>
    <x v="2"/>
    <x v="5"/>
    <x v="1"/>
    <x v="64"/>
    <x v="57"/>
    <x v="57"/>
    <s v="CHARGES"/>
    <x v="1"/>
    <s v="3301.001"/>
    <s v="Défalcations, abandons de solde PP et IS"/>
    <n v="162.44999999999999"/>
    <n v="0"/>
    <n v="3301"/>
  </r>
  <r>
    <x v="2"/>
    <x v="5"/>
    <x v="1"/>
    <x v="64"/>
    <x v="57"/>
    <x v="57"/>
    <s v="REVENUS"/>
    <x v="14"/>
    <s v="4003.000"/>
    <s v="Impôt à la source"/>
    <n v="0"/>
    <n v="36469.08"/>
    <n v="4003"/>
  </r>
  <r>
    <x v="2"/>
    <x v="5"/>
    <x v="1"/>
    <x v="64"/>
    <x v="57"/>
    <x v="57"/>
    <s v="REVENUS"/>
    <x v="6"/>
    <s v="4211.001"/>
    <s v="Intérêts de retard sur factures"/>
    <n v="0"/>
    <n v="69.8"/>
    <n v="4211"/>
  </r>
  <r>
    <x v="2"/>
    <x v="5"/>
    <x v="1"/>
    <x v="64"/>
    <x v="57"/>
    <x v="57"/>
    <s v="REVENUS"/>
    <x v="6"/>
    <s v="4211.002"/>
    <s v="Intérêts de retard sur acomptes"/>
    <n v="0"/>
    <n v="21.76"/>
    <n v="4211"/>
  </r>
  <r>
    <x v="2"/>
    <x v="5"/>
    <x v="1"/>
    <x v="64"/>
    <x v="57"/>
    <x v="57"/>
    <s v="REVENUS"/>
    <x v="2"/>
    <s v="4001.010"/>
    <s v="Impôt sourciers mixtes"/>
    <n v="0"/>
    <n v="18451.009999999998"/>
    <n v="4001"/>
  </r>
  <r>
    <x v="2"/>
    <x v="5"/>
    <x v="1"/>
    <x v="64"/>
    <x v="57"/>
    <x v="57"/>
    <s v="REVENUS"/>
    <x v="7"/>
    <s v="4184.000"/>
    <s v="Frais de poursuite"/>
    <n v="0"/>
    <n v="-0.05"/>
    <n v="4184"/>
  </r>
  <r>
    <x v="2"/>
    <x v="5"/>
    <x v="1"/>
    <x v="64"/>
    <x v="57"/>
    <x v="57"/>
    <s v="REVENUS"/>
    <x v="8"/>
    <s v="4091.001"/>
    <s v="Impôt récupéré après défalcations"/>
    <n v="0"/>
    <n v="154.63999999999999"/>
    <n v="4091"/>
  </r>
  <r>
    <x v="2"/>
    <x v="5"/>
    <x v="1"/>
    <x v="65"/>
    <x v="58"/>
    <x v="58"/>
    <s v="CHARGES"/>
    <x v="19"/>
    <s v="3186.002"/>
    <s v="Commission perception IS"/>
    <n v="1910.58"/>
    <n v="0"/>
    <n v="3186"/>
  </r>
  <r>
    <x v="2"/>
    <x v="5"/>
    <x v="1"/>
    <x v="65"/>
    <x v="58"/>
    <x v="58"/>
    <s v="CHARGES"/>
    <x v="1"/>
    <s v="3301.001"/>
    <s v="Défalcations, abandons de solde PP et IS"/>
    <n v="6712.46"/>
    <n v="0"/>
    <n v="3301"/>
  </r>
  <r>
    <x v="2"/>
    <x v="5"/>
    <x v="1"/>
    <x v="65"/>
    <x v="58"/>
    <x v="58"/>
    <s v="REVENUS"/>
    <x v="14"/>
    <s v="4003.000"/>
    <s v="Impôt à la source"/>
    <n v="0"/>
    <n v="34511.82"/>
    <n v="4003"/>
  </r>
  <r>
    <x v="2"/>
    <x v="5"/>
    <x v="1"/>
    <x v="65"/>
    <x v="58"/>
    <x v="58"/>
    <s v="REVENUS"/>
    <x v="2"/>
    <s v="4001.010"/>
    <s v="Impôt sourciers mixtes"/>
    <n v="0"/>
    <n v="-16080.59"/>
    <n v="4001"/>
  </r>
  <r>
    <x v="2"/>
    <x v="5"/>
    <x v="1"/>
    <x v="65"/>
    <x v="58"/>
    <x v="58"/>
    <s v="REVENUS"/>
    <x v="6"/>
    <s v="4211.001"/>
    <s v="Intérêts de retard sur factures"/>
    <n v="0"/>
    <n v="176.74"/>
    <n v="4211"/>
  </r>
  <r>
    <x v="2"/>
    <x v="5"/>
    <x v="1"/>
    <x v="65"/>
    <x v="58"/>
    <x v="58"/>
    <s v="REVENUS"/>
    <x v="6"/>
    <s v="4211.002"/>
    <s v="Intérêts de retard sur acomptes"/>
    <n v="0"/>
    <n v="248.31"/>
    <n v="4211"/>
  </r>
  <r>
    <x v="2"/>
    <x v="5"/>
    <x v="1"/>
    <x v="65"/>
    <x v="58"/>
    <x v="58"/>
    <s v="REVENUS"/>
    <x v="7"/>
    <s v="4184.000"/>
    <s v="Frais de poursuite"/>
    <n v="0"/>
    <n v="0.97"/>
    <n v="4184"/>
  </r>
  <r>
    <x v="2"/>
    <x v="5"/>
    <x v="1"/>
    <x v="65"/>
    <x v="58"/>
    <x v="58"/>
    <s v="REVENUS"/>
    <x v="14"/>
    <s v="4003.060"/>
    <s v="IS - Administrateurs"/>
    <n v="0"/>
    <n v="776.95"/>
    <n v="4003"/>
  </r>
  <r>
    <x v="2"/>
    <x v="5"/>
    <x v="1"/>
    <x v="65"/>
    <x v="58"/>
    <x v="58"/>
    <s v="REVENUS"/>
    <x v="8"/>
    <s v="4091.001"/>
    <s v="Impôt récupéré après défalcations"/>
    <n v="0"/>
    <n v="6640.6"/>
    <n v="4091"/>
  </r>
  <r>
    <x v="2"/>
    <x v="5"/>
    <x v="1"/>
    <x v="65"/>
    <x v="58"/>
    <x v="58"/>
    <s v="REVENUS"/>
    <x v="2"/>
    <s v="4001.001"/>
    <s v="Impôt revenu"/>
    <n v="0"/>
    <n v="6333.11"/>
    <n v="4001"/>
  </r>
  <r>
    <x v="2"/>
    <x v="4"/>
    <x v="4"/>
    <x v="66"/>
    <x v="59"/>
    <x v="59"/>
    <s v="CHARGES"/>
    <x v="19"/>
    <s v="3186.002"/>
    <s v="Commission perception IS"/>
    <n v="5717.32"/>
    <n v="0"/>
    <n v="3186"/>
  </r>
  <r>
    <x v="2"/>
    <x v="4"/>
    <x v="4"/>
    <x v="66"/>
    <x v="59"/>
    <x v="59"/>
    <s v="CHARGES"/>
    <x v="1"/>
    <s v="3301.001"/>
    <s v="Défalcations, abandons de solde PP et IS"/>
    <n v="5592.74"/>
    <n v="0"/>
    <n v="3301"/>
  </r>
  <r>
    <x v="2"/>
    <x v="4"/>
    <x v="4"/>
    <x v="66"/>
    <x v="59"/>
    <x v="59"/>
    <s v="REVENUS"/>
    <x v="2"/>
    <s v="4001.010"/>
    <s v="Impôt sourciers mixtes"/>
    <n v="0"/>
    <n v="-42930.27"/>
    <n v="4001"/>
  </r>
  <r>
    <x v="2"/>
    <x v="4"/>
    <x v="4"/>
    <x v="66"/>
    <x v="59"/>
    <x v="59"/>
    <s v="REVENUS"/>
    <x v="14"/>
    <s v="4003.000"/>
    <s v="Impôt à la source"/>
    <n v="0"/>
    <n v="161798.82"/>
    <n v="4003"/>
  </r>
  <r>
    <x v="2"/>
    <x v="4"/>
    <x v="4"/>
    <x v="66"/>
    <x v="59"/>
    <x v="59"/>
    <s v="REVENUS"/>
    <x v="6"/>
    <s v="4211.002"/>
    <s v="Intérêts de retard sur acomptes"/>
    <n v="0"/>
    <n v="794.36"/>
    <n v="4211"/>
  </r>
  <r>
    <x v="2"/>
    <x v="4"/>
    <x v="4"/>
    <x v="66"/>
    <x v="59"/>
    <x v="59"/>
    <s v="REVENUS"/>
    <x v="7"/>
    <s v="4184.000"/>
    <s v="Frais de poursuite"/>
    <n v="0"/>
    <n v="122.16"/>
    <n v="4184"/>
  </r>
  <r>
    <x v="2"/>
    <x v="4"/>
    <x v="4"/>
    <x v="66"/>
    <x v="59"/>
    <x v="59"/>
    <s v="REVENUS"/>
    <x v="6"/>
    <s v="4211.001"/>
    <s v="Intérêts de retard sur factures"/>
    <n v="0"/>
    <n v="765.17"/>
    <n v="4211"/>
  </r>
  <r>
    <x v="2"/>
    <x v="4"/>
    <x v="4"/>
    <x v="66"/>
    <x v="59"/>
    <x v="59"/>
    <s v="REVENUS"/>
    <x v="8"/>
    <s v="4091.001"/>
    <s v="Impôt récupéré après défalcations"/>
    <n v="0"/>
    <n v="2425.37"/>
    <n v="4091"/>
  </r>
  <r>
    <x v="2"/>
    <x v="4"/>
    <x v="4"/>
    <x v="66"/>
    <x v="59"/>
    <x v="59"/>
    <s v="REVENUS"/>
    <x v="14"/>
    <s v="4003.020"/>
    <s v="IS - Artistes - Conférenciers - Sportifs"/>
    <n v="0"/>
    <n v="17305.91"/>
    <n v="4003"/>
  </r>
  <r>
    <x v="2"/>
    <x v="4"/>
    <x v="4"/>
    <x v="66"/>
    <x v="59"/>
    <x v="59"/>
    <s v="REVENUS"/>
    <x v="2"/>
    <s v="4001.005"/>
    <s v="Amende de soustract. Impôt"/>
    <n v="0"/>
    <n v="338.19"/>
    <n v="4001"/>
  </r>
  <r>
    <x v="2"/>
    <x v="4"/>
    <x v="4"/>
    <x v="66"/>
    <x v="59"/>
    <x v="59"/>
    <s v="REVENUS"/>
    <x v="2"/>
    <s v="4001.001"/>
    <s v="Impôt revenu"/>
    <n v="0"/>
    <n v="29826.69"/>
    <n v="4001"/>
  </r>
  <r>
    <x v="2"/>
    <x v="4"/>
    <x v="4"/>
    <x v="66"/>
    <x v="59"/>
    <x v="59"/>
    <s v="REVENUS"/>
    <x v="14"/>
    <s v="4003.060"/>
    <s v="IS - Administrateurs"/>
    <n v="0"/>
    <n v="9530.9699999999993"/>
    <n v="4003"/>
  </r>
  <r>
    <x v="2"/>
    <x v="4"/>
    <x v="4"/>
    <x v="66"/>
    <x v="59"/>
    <x v="59"/>
    <s v="REVENUS"/>
    <x v="2"/>
    <s v="4001.002"/>
    <s v="Impôt complément s/revenu PP"/>
    <n v="0"/>
    <n v="1391.87"/>
    <n v="4001"/>
  </r>
  <r>
    <x v="2"/>
    <x v="4"/>
    <x v="4"/>
    <x v="66"/>
    <x v="59"/>
    <x v="59"/>
    <s v="REVENUS"/>
    <x v="14"/>
    <s v="4003.070"/>
    <s v="IS - Loi travail au noir"/>
    <n v="0"/>
    <n v="1393.51"/>
    <n v="4003"/>
  </r>
  <r>
    <x v="2"/>
    <x v="4"/>
    <x v="4"/>
    <x v="67"/>
    <x v="60"/>
    <x v="60"/>
    <s v="CHARGES"/>
    <x v="19"/>
    <s v="3186.002"/>
    <s v="Commission perception IS"/>
    <n v="3577.25"/>
    <n v="0"/>
    <n v="3186"/>
  </r>
  <r>
    <x v="2"/>
    <x v="4"/>
    <x v="4"/>
    <x v="67"/>
    <x v="60"/>
    <x v="60"/>
    <s v="CHARGES"/>
    <x v="1"/>
    <s v="3301.001"/>
    <s v="Défalcations, abandons de solde PP et IS"/>
    <n v="6279.66"/>
    <n v="0"/>
    <n v="3301"/>
  </r>
  <r>
    <x v="2"/>
    <x v="4"/>
    <x v="4"/>
    <x v="67"/>
    <x v="60"/>
    <x v="60"/>
    <s v="REVENUS"/>
    <x v="2"/>
    <s v="4001.010"/>
    <s v="Impôt sourciers mixtes"/>
    <n v="0"/>
    <n v="-8908.11"/>
    <n v="4001"/>
  </r>
  <r>
    <x v="2"/>
    <x v="4"/>
    <x v="4"/>
    <x v="67"/>
    <x v="60"/>
    <x v="60"/>
    <s v="REVENUS"/>
    <x v="14"/>
    <s v="4003.000"/>
    <s v="Impôt à la source"/>
    <n v="0"/>
    <n v="88668.3"/>
    <n v="4003"/>
  </r>
  <r>
    <x v="2"/>
    <x v="4"/>
    <x v="4"/>
    <x v="67"/>
    <x v="60"/>
    <x v="60"/>
    <s v="REVENUS"/>
    <x v="6"/>
    <s v="4211.001"/>
    <s v="Intérêts de retard sur factures"/>
    <n v="0"/>
    <n v="222.39"/>
    <n v="4211"/>
  </r>
  <r>
    <x v="2"/>
    <x v="4"/>
    <x v="4"/>
    <x v="67"/>
    <x v="60"/>
    <x v="60"/>
    <s v="REVENUS"/>
    <x v="6"/>
    <s v="4211.002"/>
    <s v="Intérêts de retard sur acomptes"/>
    <n v="0"/>
    <n v="192.92"/>
    <n v="4211"/>
  </r>
  <r>
    <x v="2"/>
    <x v="4"/>
    <x v="4"/>
    <x v="67"/>
    <x v="60"/>
    <x v="60"/>
    <s v="REVENUS"/>
    <x v="7"/>
    <s v="4184.000"/>
    <s v="Frais de poursuite"/>
    <n v="0"/>
    <n v="124.17"/>
    <n v="4184"/>
  </r>
  <r>
    <x v="2"/>
    <x v="4"/>
    <x v="4"/>
    <x v="67"/>
    <x v="60"/>
    <x v="60"/>
    <s v="REVENUS"/>
    <x v="2"/>
    <s v="4001.001"/>
    <s v="Impôt revenu"/>
    <n v="0"/>
    <n v="12044.62"/>
    <n v="4001"/>
  </r>
  <r>
    <x v="2"/>
    <x v="4"/>
    <x v="4"/>
    <x v="67"/>
    <x v="60"/>
    <x v="60"/>
    <s v="REVENUS"/>
    <x v="14"/>
    <s v="4003.070"/>
    <s v="IS - Loi travail au noir"/>
    <n v="0"/>
    <n v="1.68"/>
    <n v="4003"/>
  </r>
  <r>
    <x v="2"/>
    <x v="4"/>
    <x v="4"/>
    <x v="67"/>
    <x v="60"/>
    <x v="60"/>
    <s v="REVENUS"/>
    <x v="8"/>
    <s v="4091.001"/>
    <s v="Impôt récupéré après défalcations"/>
    <n v="0"/>
    <n v="1883.29"/>
    <n v="4091"/>
  </r>
  <r>
    <x v="2"/>
    <x v="5"/>
    <x v="1"/>
    <x v="68"/>
    <x v="61"/>
    <x v="61"/>
    <s v="CHARGES"/>
    <x v="19"/>
    <s v="3186.002"/>
    <s v="Commission perception IS"/>
    <n v="1582.72"/>
    <n v="0"/>
    <n v="3186"/>
  </r>
  <r>
    <x v="2"/>
    <x v="5"/>
    <x v="1"/>
    <x v="68"/>
    <x v="61"/>
    <x v="61"/>
    <s v="CHARGES"/>
    <x v="1"/>
    <s v="3301.001"/>
    <s v="Défalcations, abandons de solde PP et IS"/>
    <n v="518.67999999999995"/>
    <n v="0"/>
    <n v="3301"/>
  </r>
  <r>
    <x v="2"/>
    <x v="5"/>
    <x v="1"/>
    <x v="68"/>
    <x v="61"/>
    <x v="61"/>
    <s v="REVENUS"/>
    <x v="6"/>
    <s v="4211.002"/>
    <s v="Intérêts de retard sur acomptes"/>
    <n v="0"/>
    <n v="155.71"/>
    <n v="4211"/>
  </r>
  <r>
    <x v="2"/>
    <x v="5"/>
    <x v="1"/>
    <x v="68"/>
    <x v="61"/>
    <x v="61"/>
    <s v="REVENUS"/>
    <x v="2"/>
    <s v="4001.010"/>
    <s v="Impôt sourciers mixtes"/>
    <n v="0"/>
    <n v="-5705.45"/>
    <n v="4001"/>
  </r>
  <r>
    <x v="2"/>
    <x v="5"/>
    <x v="1"/>
    <x v="68"/>
    <x v="61"/>
    <x v="61"/>
    <s v="REVENUS"/>
    <x v="14"/>
    <s v="4003.000"/>
    <s v="Impôt à la source"/>
    <n v="0"/>
    <n v="39390.080000000002"/>
    <n v="4003"/>
  </r>
  <r>
    <x v="2"/>
    <x v="5"/>
    <x v="1"/>
    <x v="68"/>
    <x v="61"/>
    <x v="61"/>
    <s v="REVENUS"/>
    <x v="6"/>
    <s v="4211.001"/>
    <s v="Intérêts de retard sur factures"/>
    <n v="0"/>
    <n v="46.15"/>
    <n v="4211"/>
  </r>
  <r>
    <x v="2"/>
    <x v="5"/>
    <x v="1"/>
    <x v="68"/>
    <x v="61"/>
    <x v="61"/>
    <s v="REVENUS"/>
    <x v="7"/>
    <s v="4184.000"/>
    <s v="Frais de poursuite"/>
    <n v="0"/>
    <n v="16.91"/>
    <n v="4184"/>
  </r>
  <r>
    <x v="2"/>
    <x v="5"/>
    <x v="1"/>
    <x v="68"/>
    <x v="61"/>
    <x v="61"/>
    <s v="REVENUS"/>
    <x v="2"/>
    <s v="4001.001"/>
    <s v="Impôt revenu"/>
    <n v="0"/>
    <n v="1911.87"/>
    <n v="4001"/>
  </r>
  <r>
    <x v="2"/>
    <x v="5"/>
    <x v="1"/>
    <x v="68"/>
    <x v="61"/>
    <x v="61"/>
    <s v="REVENUS"/>
    <x v="2"/>
    <s v="4001.002"/>
    <s v="Impôt complément s/revenu PP"/>
    <n v="0"/>
    <n v="6919.31"/>
    <n v="4001"/>
  </r>
  <r>
    <x v="2"/>
    <x v="5"/>
    <x v="1"/>
    <x v="68"/>
    <x v="61"/>
    <x v="61"/>
    <s v="REVENUS"/>
    <x v="8"/>
    <s v="4091.001"/>
    <s v="Impôt récupéré après défalcations"/>
    <n v="0"/>
    <n v="150.94"/>
    <n v="4091"/>
  </r>
  <r>
    <x v="2"/>
    <x v="5"/>
    <x v="1"/>
    <x v="69"/>
    <x v="62"/>
    <x v="62"/>
    <s v="CHARGES"/>
    <x v="19"/>
    <s v="3186.002"/>
    <s v="Commission perception IS"/>
    <n v="6645.11"/>
    <n v="0"/>
    <n v="3186"/>
  </r>
  <r>
    <x v="2"/>
    <x v="5"/>
    <x v="1"/>
    <x v="69"/>
    <x v="62"/>
    <x v="62"/>
    <s v="CHARGES"/>
    <x v="1"/>
    <s v="3301.001"/>
    <s v="Défalcations, abandons de solde PP et IS"/>
    <n v="7763.57"/>
    <n v="0"/>
    <n v="3301"/>
  </r>
  <r>
    <x v="2"/>
    <x v="5"/>
    <x v="1"/>
    <x v="69"/>
    <x v="62"/>
    <x v="62"/>
    <s v="REVENUS"/>
    <x v="14"/>
    <s v="4003.000"/>
    <s v="Impôt à la source"/>
    <n v="0"/>
    <n v="121898.9"/>
    <n v="4003"/>
  </r>
  <r>
    <x v="2"/>
    <x v="5"/>
    <x v="1"/>
    <x v="69"/>
    <x v="62"/>
    <x v="62"/>
    <s v="REVENUS"/>
    <x v="2"/>
    <s v="4001.010"/>
    <s v="Impôt sourciers mixtes"/>
    <n v="0"/>
    <n v="23001.69"/>
    <n v="4001"/>
  </r>
  <r>
    <x v="2"/>
    <x v="5"/>
    <x v="1"/>
    <x v="69"/>
    <x v="62"/>
    <x v="62"/>
    <s v="REVENUS"/>
    <x v="6"/>
    <s v="4211.002"/>
    <s v="Intérêts de retard sur acomptes"/>
    <n v="0"/>
    <n v="827.47"/>
    <n v="4211"/>
  </r>
  <r>
    <x v="2"/>
    <x v="5"/>
    <x v="1"/>
    <x v="69"/>
    <x v="62"/>
    <x v="62"/>
    <s v="REVENUS"/>
    <x v="6"/>
    <s v="4211.001"/>
    <s v="Intérêts de retard sur factures"/>
    <n v="0"/>
    <n v="306"/>
    <n v="4211"/>
  </r>
  <r>
    <x v="2"/>
    <x v="5"/>
    <x v="1"/>
    <x v="69"/>
    <x v="62"/>
    <x v="62"/>
    <s v="REVENUS"/>
    <x v="8"/>
    <s v="4091.001"/>
    <s v="Impôt récupéré après défalcations"/>
    <n v="0"/>
    <n v="346.97"/>
    <n v="4091"/>
  </r>
  <r>
    <x v="2"/>
    <x v="5"/>
    <x v="1"/>
    <x v="69"/>
    <x v="62"/>
    <x v="62"/>
    <s v="REVENUS"/>
    <x v="7"/>
    <s v="4184.000"/>
    <s v="Frais de poursuite"/>
    <n v="0"/>
    <n v="69.53"/>
    <n v="4184"/>
  </r>
  <r>
    <x v="2"/>
    <x v="5"/>
    <x v="1"/>
    <x v="69"/>
    <x v="62"/>
    <x v="62"/>
    <s v="REVENUS"/>
    <x v="2"/>
    <s v="4001.001"/>
    <s v="Impôt revenu"/>
    <n v="0"/>
    <n v="54460.27"/>
    <n v="4001"/>
  </r>
  <r>
    <x v="2"/>
    <x v="5"/>
    <x v="1"/>
    <x v="69"/>
    <x v="62"/>
    <x v="62"/>
    <s v="REVENUS"/>
    <x v="14"/>
    <s v="4003.070"/>
    <s v="IS - Loi travail au noir"/>
    <n v="0"/>
    <n v="752.9"/>
    <n v="4003"/>
  </r>
  <r>
    <x v="2"/>
    <x v="5"/>
    <x v="1"/>
    <x v="69"/>
    <x v="62"/>
    <x v="62"/>
    <s v="REVENUS"/>
    <x v="2"/>
    <s v="4001.002"/>
    <s v="Impôt complément s/revenu PP"/>
    <n v="0"/>
    <n v="754.04"/>
    <n v="4001"/>
  </r>
  <r>
    <x v="2"/>
    <x v="5"/>
    <x v="1"/>
    <x v="69"/>
    <x v="62"/>
    <x v="62"/>
    <s v="REVENUS"/>
    <x v="2"/>
    <s v="4001.005"/>
    <s v="Amende de soustract. Impôt"/>
    <n v="0"/>
    <n v="100"/>
    <n v="4001"/>
  </r>
  <r>
    <x v="2"/>
    <x v="5"/>
    <x v="1"/>
    <x v="70"/>
    <x v="63"/>
    <x v="63"/>
    <s v="CHARGES"/>
    <x v="19"/>
    <s v="3186.002"/>
    <s v="Commission perception IS"/>
    <n v="689.38"/>
    <n v="0"/>
    <n v="3186"/>
  </r>
  <r>
    <x v="2"/>
    <x v="5"/>
    <x v="1"/>
    <x v="70"/>
    <x v="63"/>
    <x v="63"/>
    <s v="CHARGES"/>
    <x v="1"/>
    <s v="3301.001"/>
    <s v="Défalcations, abandons de solde PP et IS"/>
    <n v="4.6100000000000003"/>
    <n v="0"/>
    <n v="3301"/>
  </r>
  <r>
    <x v="2"/>
    <x v="5"/>
    <x v="1"/>
    <x v="70"/>
    <x v="63"/>
    <x v="63"/>
    <s v="REVENUS"/>
    <x v="14"/>
    <s v="4003.000"/>
    <s v="Impôt à la source"/>
    <n v="0"/>
    <n v="10508.35"/>
    <n v="4003"/>
  </r>
  <r>
    <x v="2"/>
    <x v="5"/>
    <x v="1"/>
    <x v="70"/>
    <x v="63"/>
    <x v="63"/>
    <s v="REVENUS"/>
    <x v="2"/>
    <s v="4001.010"/>
    <s v="Impôt sourciers mixtes"/>
    <n v="0"/>
    <n v="1671.16"/>
    <n v="4001"/>
  </r>
  <r>
    <x v="2"/>
    <x v="5"/>
    <x v="1"/>
    <x v="70"/>
    <x v="63"/>
    <x v="63"/>
    <s v="REVENUS"/>
    <x v="7"/>
    <s v="4184.000"/>
    <s v="Frais de poursuite"/>
    <n v="0"/>
    <n v="1.93"/>
    <n v="4184"/>
  </r>
  <r>
    <x v="2"/>
    <x v="5"/>
    <x v="1"/>
    <x v="70"/>
    <x v="63"/>
    <x v="63"/>
    <s v="REVENUS"/>
    <x v="6"/>
    <s v="4211.001"/>
    <s v="Intérêts de retard sur factures"/>
    <n v="0"/>
    <n v="17.89"/>
    <n v="4211"/>
  </r>
  <r>
    <x v="2"/>
    <x v="5"/>
    <x v="1"/>
    <x v="70"/>
    <x v="63"/>
    <x v="63"/>
    <s v="REVENUS"/>
    <x v="6"/>
    <s v="4211.002"/>
    <s v="Intérêts de retard sur acomptes"/>
    <n v="0"/>
    <n v="73.319999999999993"/>
    <n v="4211"/>
  </r>
  <r>
    <x v="2"/>
    <x v="5"/>
    <x v="1"/>
    <x v="70"/>
    <x v="63"/>
    <x v="63"/>
    <s v="REVENUS"/>
    <x v="2"/>
    <s v="4001.001"/>
    <s v="Impôt revenu"/>
    <n v="0"/>
    <n v="7569.81"/>
    <n v="4001"/>
  </r>
  <r>
    <x v="2"/>
    <x v="5"/>
    <x v="1"/>
    <x v="70"/>
    <x v="63"/>
    <x v="63"/>
    <s v="REVENUS"/>
    <x v="14"/>
    <s v="4003.010"/>
    <s v="IS - Employés et sourciers étrangers"/>
    <n v="0"/>
    <n v="2556.23"/>
    <n v="4003"/>
  </r>
  <r>
    <x v="2"/>
    <x v="5"/>
    <x v="1"/>
    <x v="71"/>
    <x v="64"/>
    <x v="64"/>
    <s v="CHARGES"/>
    <x v="19"/>
    <s v="3186.002"/>
    <s v="Commission perception IS"/>
    <n v="61.51"/>
    <n v="0"/>
    <n v="3186"/>
  </r>
  <r>
    <x v="2"/>
    <x v="5"/>
    <x v="1"/>
    <x v="71"/>
    <x v="64"/>
    <x v="64"/>
    <s v="CHARGES"/>
    <x v="1"/>
    <s v="3301.001"/>
    <s v="Défalcations, abandons de solde PP et IS"/>
    <n v="0.01"/>
    <n v="0"/>
    <n v="3301"/>
  </r>
  <r>
    <x v="2"/>
    <x v="5"/>
    <x v="1"/>
    <x v="71"/>
    <x v="64"/>
    <x v="64"/>
    <s v="REVENUS"/>
    <x v="14"/>
    <s v="4003.000"/>
    <s v="Impôt à la source"/>
    <n v="0"/>
    <n v="1544.17"/>
    <n v="4003"/>
  </r>
  <r>
    <x v="2"/>
    <x v="5"/>
    <x v="1"/>
    <x v="71"/>
    <x v="64"/>
    <x v="64"/>
    <s v="REVENUS"/>
    <x v="2"/>
    <s v="4001.010"/>
    <s v="Impôt sourciers mixtes"/>
    <n v="0"/>
    <n v="-258.58999999999997"/>
    <n v="4001"/>
  </r>
  <r>
    <x v="2"/>
    <x v="5"/>
    <x v="1"/>
    <x v="71"/>
    <x v="64"/>
    <x v="64"/>
    <s v="REVENUS"/>
    <x v="6"/>
    <s v="4211.001"/>
    <s v="Intérêts de retard sur factures"/>
    <n v="0"/>
    <n v="18.97"/>
    <n v="4211"/>
  </r>
  <r>
    <x v="2"/>
    <x v="5"/>
    <x v="1"/>
    <x v="71"/>
    <x v="64"/>
    <x v="64"/>
    <s v="REVENUS"/>
    <x v="6"/>
    <s v="4211.002"/>
    <s v="Intérêts de retard sur acomptes"/>
    <n v="0"/>
    <n v="27.14"/>
    <n v="4211"/>
  </r>
  <r>
    <x v="2"/>
    <x v="5"/>
    <x v="1"/>
    <x v="71"/>
    <x v="64"/>
    <x v="64"/>
    <s v="REVENUS"/>
    <x v="14"/>
    <s v="4003.070"/>
    <s v="IS - Loi travail au noir"/>
    <n v="0"/>
    <n v="166.24"/>
    <n v="4003"/>
  </r>
  <r>
    <x v="2"/>
    <x v="5"/>
    <x v="1"/>
    <x v="71"/>
    <x v="64"/>
    <x v="64"/>
    <s v="REVENUS"/>
    <x v="14"/>
    <s v="4003.010"/>
    <s v="IS - Employés et sourciers étrangers"/>
    <n v="0"/>
    <n v="690.66"/>
    <n v="4003"/>
  </r>
  <r>
    <x v="2"/>
    <x v="4"/>
    <x v="4"/>
    <x v="72"/>
    <x v="65"/>
    <x v="65"/>
    <s v="CHARGES"/>
    <x v="19"/>
    <s v="3186.002"/>
    <s v="Commission perception IS"/>
    <n v="1253.17"/>
    <n v="0"/>
    <n v="3186"/>
  </r>
  <r>
    <x v="2"/>
    <x v="4"/>
    <x v="4"/>
    <x v="72"/>
    <x v="65"/>
    <x v="65"/>
    <s v="CHARGES"/>
    <x v="1"/>
    <s v="3301.001"/>
    <s v="Défalcations, abandons de solde PP et IS"/>
    <n v="6.59"/>
    <n v="0"/>
    <n v="3301"/>
  </r>
  <r>
    <x v="2"/>
    <x v="4"/>
    <x v="4"/>
    <x v="72"/>
    <x v="65"/>
    <x v="65"/>
    <s v="REVENUS"/>
    <x v="2"/>
    <s v="4001.010"/>
    <s v="Impôt sourciers mixtes"/>
    <n v="0"/>
    <n v="25972.74"/>
    <n v="4001"/>
  </r>
  <r>
    <x v="2"/>
    <x v="4"/>
    <x v="4"/>
    <x v="72"/>
    <x v="65"/>
    <x v="65"/>
    <s v="REVENUS"/>
    <x v="14"/>
    <s v="4003.000"/>
    <s v="Impôt à la source"/>
    <n v="0"/>
    <n v="45220.76"/>
    <n v="4003"/>
  </r>
  <r>
    <x v="2"/>
    <x v="4"/>
    <x v="4"/>
    <x v="72"/>
    <x v="65"/>
    <x v="65"/>
    <s v="REVENUS"/>
    <x v="6"/>
    <s v="4211.001"/>
    <s v="Intérêts de retard sur factures"/>
    <n v="0"/>
    <n v="5.75"/>
    <n v="4211"/>
  </r>
  <r>
    <x v="2"/>
    <x v="4"/>
    <x v="4"/>
    <x v="72"/>
    <x v="65"/>
    <x v="65"/>
    <s v="REVENUS"/>
    <x v="7"/>
    <s v="4184.000"/>
    <s v="Frais de poursuite"/>
    <n v="0"/>
    <n v="61.91"/>
    <n v="4184"/>
  </r>
  <r>
    <x v="2"/>
    <x v="4"/>
    <x v="4"/>
    <x v="72"/>
    <x v="65"/>
    <x v="65"/>
    <s v="REVENUS"/>
    <x v="6"/>
    <s v="4211.002"/>
    <s v="Intérêts de retard sur acomptes"/>
    <n v="0"/>
    <n v="616.77"/>
    <n v="4211"/>
  </r>
  <r>
    <x v="2"/>
    <x v="4"/>
    <x v="4"/>
    <x v="72"/>
    <x v="65"/>
    <x v="65"/>
    <s v="REVENUS"/>
    <x v="2"/>
    <s v="4001.005"/>
    <s v="Amende de soustract. Impôt"/>
    <n v="0"/>
    <n v="0"/>
    <n v="4001"/>
  </r>
  <r>
    <x v="2"/>
    <x v="4"/>
    <x v="4"/>
    <x v="72"/>
    <x v="65"/>
    <x v="65"/>
    <s v="REVENUS"/>
    <x v="14"/>
    <s v="4003.010"/>
    <s v="IS - Employés et sourciers étrangers"/>
    <n v="0"/>
    <n v="75.52"/>
    <n v="4003"/>
  </r>
  <r>
    <x v="2"/>
    <x v="4"/>
    <x v="4"/>
    <x v="72"/>
    <x v="65"/>
    <x v="65"/>
    <s v="REVENUS"/>
    <x v="2"/>
    <s v="4001.001"/>
    <s v="Impôt revenu"/>
    <n v="0"/>
    <n v="881.28"/>
    <n v="4001"/>
  </r>
  <r>
    <x v="2"/>
    <x v="4"/>
    <x v="4"/>
    <x v="73"/>
    <x v="66"/>
    <x v="66"/>
    <s v="CHARGES"/>
    <x v="19"/>
    <s v="3186.002"/>
    <s v="Commission perception IS"/>
    <n v="2998.18"/>
    <n v="0"/>
    <n v="3186"/>
  </r>
  <r>
    <x v="2"/>
    <x v="4"/>
    <x v="4"/>
    <x v="73"/>
    <x v="66"/>
    <x v="66"/>
    <s v="CHARGES"/>
    <x v="1"/>
    <s v="3301.001"/>
    <s v="Défalcations, abandons de solde PP et IS"/>
    <n v="0.9"/>
    <n v="0"/>
    <n v="3301"/>
  </r>
  <r>
    <x v="2"/>
    <x v="4"/>
    <x v="4"/>
    <x v="73"/>
    <x v="66"/>
    <x v="66"/>
    <s v="REVENUS"/>
    <x v="14"/>
    <s v="4003.000"/>
    <s v="Impôt à la source"/>
    <n v="0"/>
    <n v="75571.78"/>
    <n v="4003"/>
  </r>
  <r>
    <x v="2"/>
    <x v="4"/>
    <x v="4"/>
    <x v="73"/>
    <x v="66"/>
    <x v="66"/>
    <s v="REVENUS"/>
    <x v="6"/>
    <s v="4211.001"/>
    <s v="Intérêts de retard sur factures"/>
    <n v="0"/>
    <n v="379.09"/>
    <n v="4211"/>
  </r>
  <r>
    <x v="2"/>
    <x v="4"/>
    <x v="4"/>
    <x v="73"/>
    <x v="66"/>
    <x v="66"/>
    <s v="REVENUS"/>
    <x v="2"/>
    <s v="4001.010"/>
    <s v="Impôt sourciers mixtes"/>
    <n v="0"/>
    <n v="-90461.96"/>
    <n v="4001"/>
  </r>
  <r>
    <x v="2"/>
    <x v="4"/>
    <x v="4"/>
    <x v="73"/>
    <x v="66"/>
    <x v="66"/>
    <s v="REVENUS"/>
    <x v="7"/>
    <s v="4184.000"/>
    <s v="Frais de poursuite"/>
    <n v="0"/>
    <n v="50.97"/>
    <n v="4184"/>
  </r>
  <r>
    <x v="2"/>
    <x v="4"/>
    <x v="4"/>
    <x v="73"/>
    <x v="66"/>
    <x v="66"/>
    <s v="REVENUS"/>
    <x v="6"/>
    <s v="4211.002"/>
    <s v="Intérêts de retard sur acomptes"/>
    <n v="0"/>
    <n v="410.86"/>
    <n v="4211"/>
  </r>
  <r>
    <x v="2"/>
    <x v="4"/>
    <x v="4"/>
    <x v="73"/>
    <x v="66"/>
    <x v="66"/>
    <s v="REVENUS"/>
    <x v="2"/>
    <s v="4001.001"/>
    <s v="Impôt revenu"/>
    <n v="0"/>
    <n v="3500.48"/>
    <n v="4001"/>
  </r>
  <r>
    <x v="2"/>
    <x v="4"/>
    <x v="4"/>
    <x v="74"/>
    <x v="67"/>
    <x v="67"/>
    <s v="CHARGES"/>
    <x v="19"/>
    <s v="3186.002"/>
    <s v="Commission perception IS"/>
    <n v="1001.08"/>
    <n v="0"/>
    <n v="3186"/>
  </r>
  <r>
    <x v="2"/>
    <x v="4"/>
    <x v="4"/>
    <x v="74"/>
    <x v="67"/>
    <x v="67"/>
    <s v="CHARGES"/>
    <x v="1"/>
    <s v="3301.001"/>
    <s v="Défalcations, abandons de solde PP et IS"/>
    <n v="15.82"/>
    <n v="0"/>
    <n v="3301"/>
  </r>
  <r>
    <x v="2"/>
    <x v="4"/>
    <x v="4"/>
    <x v="74"/>
    <x v="67"/>
    <x v="67"/>
    <s v="REVENUS"/>
    <x v="14"/>
    <s v="4003.000"/>
    <s v="Impôt à la source"/>
    <n v="0"/>
    <n v="35956.800000000003"/>
    <n v="4003"/>
  </r>
  <r>
    <x v="2"/>
    <x v="4"/>
    <x v="4"/>
    <x v="74"/>
    <x v="67"/>
    <x v="67"/>
    <s v="REVENUS"/>
    <x v="6"/>
    <s v="4211.002"/>
    <s v="Intérêts de retard sur acomptes"/>
    <n v="0"/>
    <n v="192.85"/>
    <n v="4211"/>
  </r>
  <r>
    <x v="2"/>
    <x v="4"/>
    <x v="4"/>
    <x v="74"/>
    <x v="67"/>
    <x v="67"/>
    <s v="REVENUS"/>
    <x v="6"/>
    <s v="4211.001"/>
    <s v="Intérêts de retard sur factures"/>
    <n v="0"/>
    <n v="115.98"/>
    <n v="4211"/>
  </r>
  <r>
    <x v="2"/>
    <x v="4"/>
    <x v="4"/>
    <x v="74"/>
    <x v="67"/>
    <x v="67"/>
    <s v="REVENUS"/>
    <x v="2"/>
    <s v="4001.010"/>
    <s v="Impôt sourciers mixtes"/>
    <n v="0"/>
    <n v="-21053.74"/>
    <n v="4001"/>
  </r>
  <r>
    <x v="2"/>
    <x v="4"/>
    <x v="4"/>
    <x v="74"/>
    <x v="67"/>
    <x v="67"/>
    <s v="REVENUS"/>
    <x v="7"/>
    <s v="4184.000"/>
    <s v="Frais de poursuite"/>
    <n v="0"/>
    <n v="7.26"/>
    <n v="4184"/>
  </r>
  <r>
    <x v="2"/>
    <x v="4"/>
    <x v="4"/>
    <x v="74"/>
    <x v="67"/>
    <x v="67"/>
    <s v="REVENUS"/>
    <x v="2"/>
    <s v="4001.001"/>
    <s v="Impôt revenu"/>
    <n v="0"/>
    <n v="5758.69"/>
    <n v="4001"/>
  </r>
  <r>
    <x v="2"/>
    <x v="4"/>
    <x v="4"/>
    <x v="74"/>
    <x v="67"/>
    <x v="67"/>
    <s v="REVENUS"/>
    <x v="2"/>
    <s v="4001.005"/>
    <s v="Amende de soustract. Impôt"/>
    <n v="0"/>
    <n v="67"/>
    <n v="4001"/>
  </r>
  <r>
    <x v="2"/>
    <x v="4"/>
    <x v="4"/>
    <x v="75"/>
    <x v="68"/>
    <x v="68"/>
    <s v="CHARGES"/>
    <x v="19"/>
    <s v="3186.002"/>
    <s v="Commission perception IS"/>
    <n v="1913.54"/>
    <n v="0"/>
    <n v="3186"/>
  </r>
  <r>
    <x v="2"/>
    <x v="4"/>
    <x v="4"/>
    <x v="75"/>
    <x v="68"/>
    <x v="68"/>
    <s v="CHARGES"/>
    <x v="1"/>
    <s v="3301.001"/>
    <s v="Défalcations, abandons de solde PP et IS"/>
    <n v="18.03"/>
    <n v="0"/>
    <n v="3301"/>
  </r>
  <r>
    <x v="2"/>
    <x v="4"/>
    <x v="4"/>
    <x v="75"/>
    <x v="68"/>
    <x v="68"/>
    <s v="REVENUS"/>
    <x v="2"/>
    <s v="4001.010"/>
    <s v="Impôt sourciers mixtes"/>
    <n v="0"/>
    <n v="-3391.88"/>
    <n v="4001"/>
  </r>
  <r>
    <x v="2"/>
    <x v="4"/>
    <x v="4"/>
    <x v="75"/>
    <x v="68"/>
    <x v="68"/>
    <s v="REVENUS"/>
    <x v="14"/>
    <s v="4003.000"/>
    <s v="Impôt à la source"/>
    <n v="0"/>
    <n v="62370.33"/>
    <n v="4003"/>
  </r>
  <r>
    <x v="2"/>
    <x v="4"/>
    <x v="4"/>
    <x v="75"/>
    <x v="68"/>
    <x v="68"/>
    <s v="REVENUS"/>
    <x v="6"/>
    <s v="4211.001"/>
    <s v="Intérêts de retard sur factures"/>
    <n v="0"/>
    <n v="220.92"/>
    <n v="4211"/>
  </r>
  <r>
    <x v="2"/>
    <x v="4"/>
    <x v="4"/>
    <x v="75"/>
    <x v="68"/>
    <x v="68"/>
    <s v="REVENUS"/>
    <x v="6"/>
    <s v="4211.002"/>
    <s v="Intérêts de retard sur acomptes"/>
    <n v="0"/>
    <n v="323.07"/>
    <n v="4211"/>
  </r>
  <r>
    <x v="2"/>
    <x v="4"/>
    <x v="4"/>
    <x v="75"/>
    <x v="68"/>
    <x v="68"/>
    <s v="REVENUS"/>
    <x v="7"/>
    <s v="4184.000"/>
    <s v="Frais de poursuite"/>
    <n v="0"/>
    <n v="274.19"/>
    <n v="4184"/>
  </r>
  <r>
    <x v="2"/>
    <x v="4"/>
    <x v="4"/>
    <x v="75"/>
    <x v="68"/>
    <x v="68"/>
    <s v="REVENUS"/>
    <x v="2"/>
    <s v="4001.001"/>
    <s v="Impôt revenu"/>
    <n v="0"/>
    <n v="9205.25"/>
    <n v="4001"/>
  </r>
  <r>
    <x v="2"/>
    <x v="4"/>
    <x v="4"/>
    <x v="75"/>
    <x v="68"/>
    <x v="68"/>
    <s v="REVENUS"/>
    <x v="8"/>
    <s v="4091.001"/>
    <s v="Impôt récupéré après défalcations"/>
    <n v="0"/>
    <n v="0"/>
    <n v="4091"/>
  </r>
  <r>
    <x v="2"/>
    <x v="4"/>
    <x v="4"/>
    <x v="75"/>
    <x v="68"/>
    <x v="68"/>
    <s v="REVENUS"/>
    <x v="2"/>
    <s v="4001.005"/>
    <s v="Amende de soustract. Impôt"/>
    <n v="0"/>
    <n v="100"/>
    <n v="4001"/>
  </r>
  <r>
    <x v="2"/>
    <x v="4"/>
    <x v="4"/>
    <x v="76"/>
    <x v="69"/>
    <x v="69"/>
    <s v="CHARGES"/>
    <x v="19"/>
    <s v="3186.002"/>
    <s v="Commission perception IS"/>
    <n v="711.15"/>
    <n v="0"/>
    <n v="3186"/>
  </r>
  <r>
    <x v="2"/>
    <x v="4"/>
    <x v="4"/>
    <x v="76"/>
    <x v="69"/>
    <x v="69"/>
    <s v="CHARGES"/>
    <x v="1"/>
    <s v="3301.001"/>
    <s v="Défalcations, abandons de solde PP et IS"/>
    <n v="4.5999999999999996"/>
    <n v="0"/>
    <n v="3301"/>
  </r>
  <r>
    <x v="2"/>
    <x v="4"/>
    <x v="4"/>
    <x v="76"/>
    <x v="69"/>
    <x v="69"/>
    <s v="REVENUS"/>
    <x v="14"/>
    <s v="4003.000"/>
    <s v="Impôt à la source"/>
    <n v="0"/>
    <n v="29805.64"/>
    <n v="4003"/>
  </r>
  <r>
    <x v="2"/>
    <x v="4"/>
    <x v="4"/>
    <x v="76"/>
    <x v="69"/>
    <x v="69"/>
    <s v="REVENUS"/>
    <x v="2"/>
    <s v="4001.010"/>
    <s v="Impôt sourciers mixtes"/>
    <n v="0"/>
    <n v="-22489.25"/>
    <n v="4001"/>
  </r>
  <r>
    <x v="2"/>
    <x v="4"/>
    <x v="4"/>
    <x v="76"/>
    <x v="69"/>
    <x v="69"/>
    <s v="REVENUS"/>
    <x v="6"/>
    <s v="4211.002"/>
    <s v="Intérêts de retard sur acomptes"/>
    <n v="0"/>
    <n v="307.45999999999998"/>
    <n v="4211"/>
  </r>
  <r>
    <x v="2"/>
    <x v="4"/>
    <x v="4"/>
    <x v="76"/>
    <x v="69"/>
    <x v="69"/>
    <s v="REVENUS"/>
    <x v="6"/>
    <s v="4211.001"/>
    <s v="Intérêts de retard sur factures"/>
    <n v="0"/>
    <n v="60.75"/>
    <n v="4211"/>
  </r>
  <r>
    <x v="2"/>
    <x v="4"/>
    <x v="4"/>
    <x v="76"/>
    <x v="69"/>
    <x v="69"/>
    <s v="REVENUS"/>
    <x v="7"/>
    <s v="4184.000"/>
    <s v="Frais de poursuite"/>
    <n v="0"/>
    <n v="0.7"/>
    <n v="4184"/>
  </r>
  <r>
    <x v="2"/>
    <x v="4"/>
    <x v="4"/>
    <x v="76"/>
    <x v="69"/>
    <x v="69"/>
    <s v="REVENUS"/>
    <x v="2"/>
    <s v="4001.001"/>
    <s v="Impôt revenu"/>
    <n v="0"/>
    <n v="2388.2800000000002"/>
    <n v="4001"/>
  </r>
  <r>
    <x v="2"/>
    <x v="4"/>
    <x v="4"/>
    <x v="77"/>
    <x v="70"/>
    <x v="70"/>
    <s v="CHARGES"/>
    <x v="19"/>
    <s v="3186.002"/>
    <s v="Commission perception IS"/>
    <n v="1214.5999999999999"/>
    <n v="0"/>
    <n v="3186"/>
  </r>
  <r>
    <x v="2"/>
    <x v="4"/>
    <x v="4"/>
    <x v="77"/>
    <x v="70"/>
    <x v="70"/>
    <s v="CHARGES"/>
    <x v="1"/>
    <s v="3301.001"/>
    <s v="Défalcations, abandons de solde PP et IS"/>
    <n v="412.66"/>
    <n v="0"/>
    <n v="3301"/>
  </r>
  <r>
    <x v="2"/>
    <x v="4"/>
    <x v="4"/>
    <x v="77"/>
    <x v="70"/>
    <x v="70"/>
    <s v="REVENUS"/>
    <x v="14"/>
    <s v="4003.000"/>
    <s v="Impôt à la source"/>
    <n v="0"/>
    <n v="38757.56"/>
    <n v="4003"/>
  </r>
  <r>
    <x v="2"/>
    <x v="4"/>
    <x v="4"/>
    <x v="77"/>
    <x v="70"/>
    <x v="70"/>
    <s v="REVENUS"/>
    <x v="2"/>
    <s v="4001.010"/>
    <s v="Impôt sourciers mixtes"/>
    <n v="0"/>
    <n v="11619.45"/>
    <n v="4001"/>
  </r>
  <r>
    <x v="2"/>
    <x v="4"/>
    <x v="4"/>
    <x v="77"/>
    <x v="70"/>
    <x v="70"/>
    <s v="REVENUS"/>
    <x v="6"/>
    <s v="4211.002"/>
    <s v="Intérêts de retard sur acomptes"/>
    <n v="0"/>
    <n v="301.55"/>
    <n v="4211"/>
  </r>
  <r>
    <x v="2"/>
    <x v="4"/>
    <x v="4"/>
    <x v="77"/>
    <x v="70"/>
    <x v="70"/>
    <s v="REVENUS"/>
    <x v="2"/>
    <s v="4001.001"/>
    <s v="Impôt revenu"/>
    <n v="0"/>
    <n v="4840.29"/>
    <n v="4001"/>
  </r>
  <r>
    <x v="2"/>
    <x v="4"/>
    <x v="4"/>
    <x v="77"/>
    <x v="70"/>
    <x v="70"/>
    <s v="REVENUS"/>
    <x v="6"/>
    <s v="4211.001"/>
    <s v="Intérêts de retard sur factures"/>
    <n v="0"/>
    <n v="84.49"/>
    <n v="4211"/>
  </r>
  <r>
    <x v="2"/>
    <x v="4"/>
    <x v="4"/>
    <x v="77"/>
    <x v="70"/>
    <x v="70"/>
    <s v="REVENUS"/>
    <x v="8"/>
    <s v="4091.001"/>
    <s v="Impôt récupéré après défalcations"/>
    <n v="0"/>
    <n v="360.8"/>
    <n v="4091"/>
  </r>
  <r>
    <x v="2"/>
    <x v="4"/>
    <x v="4"/>
    <x v="77"/>
    <x v="70"/>
    <x v="70"/>
    <s v="REVENUS"/>
    <x v="7"/>
    <s v="4184.000"/>
    <s v="Frais de poursuite"/>
    <n v="0"/>
    <n v="14.11"/>
    <n v="4184"/>
  </r>
  <r>
    <x v="2"/>
    <x v="4"/>
    <x v="4"/>
    <x v="78"/>
    <x v="71"/>
    <x v="71"/>
    <s v="CHARGES"/>
    <x v="19"/>
    <s v="3186.002"/>
    <s v="Commission perception IS"/>
    <n v="627.41"/>
    <n v="0"/>
    <n v="3186"/>
  </r>
  <r>
    <x v="2"/>
    <x v="4"/>
    <x v="4"/>
    <x v="78"/>
    <x v="71"/>
    <x v="71"/>
    <s v="CHARGES"/>
    <x v="1"/>
    <s v="3301.001"/>
    <s v="Défalcations, abandons de solde PP et IS"/>
    <n v="24143.84"/>
    <n v="0"/>
    <n v="3301"/>
  </r>
  <r>
    <x v="2"/>
    <x v="4"/>
    <x v="4"/>
    <x v="78"/>
    <x v="71"/>
    <x v="71"/>
    <s v="REVENUS"/>
    <x v="2"/>
    <s v="4001.010"/>
    <s v="Impôt sourciers mixtes"/>
    <n v="0"/>
    <n v="-33127.79"/>
    <n v="4001"/>
  </r>
  <r>
    <x v="2"/>
    <x v="4"/>
    <x v="4"/>
    <x v="78"/>
    <x v="71"/>
    <x v="71"/>
    <s v="REVENUS"/>
    <x v="14"/>
    <s v="4003.000"/>
    <s v="Impôt à la source"/>
    <n v="0"/>
    <n v="3763.97"/>
    <n v="4003"/>
  </r>
  <r>
    <x v="2"/>
    <x v="4"/>
    <x v="4"/>
    <x v="78"/>
    <x v="71"/>
    <x v="71"/>
    <s v="REVENUS"/>
    <x v="6"/>
    <s v="4211.001"/>
    <s v="Intérêts de retard sur factures"/>
    <n v="0"/>
    <n v="148.77000000000001"/>
    <n v="4211"/>
  </r>
  <r>
    <x v="2"/>
    <x v="4"/>
    <x v="4"/>
    <x v="78"/>
    <x v="71"/>
    <x v="71"/>
    <s v="REVENUS"/>
    <x v="6"/>
    <s v="4211.002"/>
    <s v="Intérêts de retard sur acomptes"/>
    <n v="0"/>
    <n v="400.16"/>
    <n v="4211"/>
  </r>
  <r>
    <x v="2"/>
    <x v="4"/>
    <x v="4"/>
    <x v="78"/>
    <x v="71"/>
    <x v="71"/>
    <s v="REVENUS"/>
    <x v="7"/>
    <s v="4184.000"/>
    <s v="Frais de poursuite"/>
    <n v="0"/>
    <n v="46.94"/>
    <n v="4184"/>
  </r>
  <r>
    <x v="2"/>
    <x v="4"/>
    <x v="4"/>
    <x v="78"/>
    <x v="71"/>
    <x v="71"/>
    <s v="REVENUS"/>
    <x v="2"/>
    <s v="4001.001"/>
    <s v="Impôt revenu"/>
    <n v="0"/>
    <n v="17822.57"/>
    <n v="4001"/>
  </r>
  <r>
    <x v="2"/>
    <x v="4"/>
    <x v="4"/>
    <x v="78"/>
    <x v="71"/>
    <x v="71"/>
    <s v="REVENUS"/>
    <x v="8"/>
    <s v="4091.001"/>
    <s v="Impôt récupéré après défalcations"/>
    <n v="0"/>
    <n v="-12.56"/>
    <n v="4091"/>
  </r>
  <r>
    <x v="2"/>
    <x v="4"/>
    <x v="4"/>
    <x v="79"/>
    <x v="72"/>
    <x v="72"/>
    <s v="CHARGES"/>
    <x v="19"/>
    <s v="3186.002"/>
    <s v="Commission perception IS"/>
    <n v="5548.23"/>
    <n v="0"/>
    <n v="3186"/>
  </r>
  <r>
    <x v="2"/>
    <x v="4"/>
    <x v="4"/>
    <x v="79"/>
    <x v="72"/>
    <x v="72"/>
    <s v="CHARGES"/>
    <x v="1"/>
    <s v="3301.001"/>
    <s v="Défalcations, abandons de solde PP et IS"/>
    <n v="-59.47"/>
    <n v="0"/>
    <n v="3301"/>
  </r>
  <r>
    <x v="2"/>
    <x v="4"/>
    <x v="4"/>
    <x v="79"/>
    <x v="72"/>
    <x v="72"/>
    <s v="REVENUS"/>
    <x v="2"/>
    <s v="4001.010"/>
    <s v="Impôt sourciers mixtes"/>
    <n v="0"/>
    <n v="-17187.830000000002"/>
    <n v="4001"/>
  </r>
  <r>
    <x v="2"/>
    <x v="4"/>
    <x v="4"/>
    <x v="79"/>
    <x v="72"/>
    <x v="72"/>
    <s v="REVENUS"/>
    <x v="14"/>
    <s v="4003.000"/>
    <s v="Impôt à la source"/>
    <n v="0"/>
    <n v="128237.85"/>
    <n v="4003"/>
  </r>
  <r>
    <x v="2"/>
    <x v="4"/>
    <x v="4"/>
    <x v="79"/>
    <x v="72"/>
    <x v="72"/>
    <s v="REVENUS"/>
    <x v="6"/>
    <s v="4211.002"/>
    <s v="Intérêts de retard sur acomptes"/>
    <n v="0"/>
    <n v="827.63"/>
    <n v="4211"/>
  </r>
  <r>
    <x v="2"/>
    <x v="4"/>
    <x v="4"/>
    <x v="79"/>
    <x v="72"/>
    <x v="72"/>
    <s v="REVENUS"/>
    <x v="6"/>
    <s v="4211.001"/>
    <s v="Intérêts de retard sur factures"/>
    <n v="0"/>
    <n v="518.16"/>
    <n v="4211"/>
  </r>
  <r>
    <x v="2"/>
    <x v="4"/>
    <x v="4"/>
    <x v="79"/>
    <x v="72"/>
    <x v="72"/>
    <s v="REVENUS"/>
    <x v="7"/>
    <s v="4184.000"/>
    <s v="Frais de poursuite"/>
    <n v="0"/>
    <n v="109.41"/>
    <n v="4184"/>
  </r>
  <r>
    <x v="2"/>
    <x v="4"/>
    <x v="4"/>
    <x v="79"/>
    <x v="72"/>
    <x v="72"/>
    <s v="REVENUS"/>
    <x v="14"/>
    <s v="4003.020"/>
    <s v="IS - Artistes - Conférenciers - Sportifs"/>
    <n v="0"/>
    <n v="23.76"/>
    <n v="4003"/>
  </r>
  <r>
    <x v="2"/>
    <x v="4"/>
    <x v="4"/>
    <x v="79"/>
    <x v="72"/>
    <x v="72"/>
    <s v="REVENUS"/>
    <x v="8"/>
    <s v="4091.001"/>
    <s v="Impôt récupéré après défalcations"/>
    <n v="0"/>
    <n v="-421.79"/>
    <n v="4091"/>
  </r>
  <r>
    <x v="2"/>
    <x v="4"/>
    <x v="4"/>
    <x v="79"/>
    <x v="72"/>
    <x v="72"/>
    <s v="REVENUS"/>
    <x v="2"/>
    <s v="4001.001"/>
    <s v="Impôt revenu"/>
    <n v="0"/>
    <n v="28876.94"/>
    <n v="4001"/>
  </r>
  <r>
    <x v="2"/>
    <x v="4"/>
    <x v="4"/>
    <x v="79"/>
    <x v="72"/>
    <x v="72"/>
    <s v="REVENUS"/>
    <x v="14"/>
    <s v="4003.070"/>
    <s v="IS - Loi travail au noir"/>
    <n v="0"/>
    <n v="2.34"/>
    <n v="4003"/>
  </r>
  <r>
    <x v="2"/>
    <x v="4"/>
    <x v="4"/>
    <x v="79"/>
    <x v="72"/>
    <x v="72"/>
    <s v="REVENUS"/>
    <x v="14"/>
    <s v="4003.060"/>
    <s v="IS - Administrateurs"/>
    <n v="0"/>
    <n v="422.3"/>
    <n v="4003"/>
  </r>
  <r>
    <x v="2"/>
    <x v="4"/>
    <x v="4"/>
    <x v="79"/>
    <x v="72"/>
    <x v="72"/>
    <s v="REVENUS"/>
    <x v="2"/>
    <s v="4001.005"/>
    <s v="Amende de soustract. Impôt"/>
    <n v="0"/>
    <n v="784.51"/>
    <n v="4001"/>
  </r>
  <r>
    <x v="2"/>
    <x v="4"/>
    <x v="4"/>
    <x v="80"/>
    <x v="73"/>
    <x v="73"/>
    <s v="REVENUS"/>
    <x v="6"/>
    <s v="4211.001"/>
    <s v="Intérêts de retard sur factures"/>
    <n v="0"/>
    <n v="0.18"/>
    <n v="4211"/>
  </r>
  <r>
    <x v="2"/>
    <x v="4"/>
    <x v="4"/>
    <x v="81"/>
    <x v="74"/>
    <x v="74"/>
    <s v="CHARGES"/>
    <x v="19"/>
    <s v="3186.002"/>
    <s v="Commission perception IS"/>
    <n v="8401.8700000000008"/>
    <n v="0"/>
    <n v="3186"/>
  </r>
  <r>
    <x v="2"/>
    <x v="4"/>
    <x v="4"/>
    <x v="81"/>
    <x v="74"/>
    <x v="74"/>
    <s v="CHARGES"/>
    <x v="1"/>
    <s v="3301.001"/>
    <s v="Défalcations, abandons de solde PP et IS"/>
    <n v="11735.83"/>
    <n v="0"/>
    <n v="3301"/>
  </r>
  <r>
    <x v="2"/>
    <x v="4"/>
    <x v="4"/>
    <x v="81"/>
    <x v="74"/>
    <x v="74"/>
    <s v="REVENUS"/>
    <x v="2"/>
    <s v="4001.010"/>
    <s v="Impôt sourciers mixtes"/>
    <n v="0"/>
    <n v="-20169.16"/>
    <n v="4001"/>
  </r>
  <r>
    <x v="2"/>
    <x v="4"/>
    <x v="4"/>
    <x v="81"/>
    <x v="74"/>
    <x v="74"/>
    <s v="REVENUS"/>
    <x v="14"/>
    <s v="4003.000"/>
    <s v="Impôt à la source"/>
    <n v="0"/>
    <n v="166887.87"/>
    <n v="4003"/>
  </r>
  <r>
    <x v="2"/>
    <x v="4"/>
    <x v="4"/>
    <x v="81"/>
    <x v="74"/>
    <x v="74"/>
    <s v="REVENUS"/>
    <x v="2"/>
    <s v="4001.001"/>
    <s v="Impôt revenu"/>
    <n v="0"/>
    <n v="45538.41"/>
    <n v="4001"/>
  </r>
  <r>
    <x v="2"/>
    <x v="4"/>
    <x v="4"/>
    <x v="81"/>
    <x v="74"/>
    <x v="74"/>
    <s v="REVENUS"/>
    <x v="6"/>
    <s v="4211.002"/>
    <s v="Intérêts de retard sur acomptes"/>
    <n v="0"/>
    <n v="946.61"/>
    <n v="4211"/>
  </r>
  <r>
    <x v="2"/>
    <x v="4"/>
    <x v="4"/>
    <x v="81"/>
    <x v="74"/>
    <x v="74"/>
    <s v="REVENUS"/>
    <x v="6"/>
    <s v="4211.001"/>
    <s v="Intérêts de retard sur factures"/>
    <n v="0"/>
    <n v="507.97"/>
    <n v="4211"/>
  </r>
  <r>
    <x v="2"/>
    <x v="4"/>
    <x v="4"/>
    <x v="81"/>
    <x v="74"/>
    <x v="74"/>
    <s v="REVENUS"/>
    <x v="7"/>
    <s v="4184.000"/>
    <s v="Frais de poursuite"/>
    <n v="0"/>
    <n v="209.3"/>
    <n v="4184"/>
  </r>
  <r>
    <x v="2"/>
    <x v="4"/>
    <x v="4"/>
    <x v="81"/>
    <x v="74"/>
    <x v="74"/>
    <s v="REVENUS"/>
    <x v="14"/>
    <s v="4003.020"/>
    <s v="IS - Artistes - Conférenciers - Sportifs"/>
    <n v="0"/>
    <n v="134.88"/>
    <n v="4003"/>
  </r>
  <r>
    <x v="2"/>
    <x v="4"/>
    <x v="4"/>
    <x v="81"/>
    <x v="74"/>
    <x v="74"/>
    <s v="REVENUS"/>
    <x v="2"/>
    <s v="4001.005"/>
    <s v="Amende de soustract. Impôt"/>
    <n v="0"/>
    <n v="501"/>
    <n v="4001"/>
  </r>
  <r>
    <x v="2"/>
    <x v="4"/>
    <x v="4"/>
    <x v="81"/>
    <x v="74"/>
    <x v="74"/>
    <s v="REVENUS"/>
    <x v="8"/>
    <s v="4091.001"/>
    <s v="Impôt récupéré après défalcations"/>
    <n v="0"/>
    <n v="1675.55"/>
    <n v="4091"/>
  </r>
  <r>
    <x v="2"/>
    <x v="4"/>
    <x v="4"/>
    <x v="81"/>
    <x v="74"/>
    <x v="74"/>
    <s v="REVENUS"/>
    <x v="14"/>
    <s v="4003.070"/>
    <s v="IS - Loi travail au noir"/>
    <n v="0"/>
    <n v="2056.1999999999998"/>
    <n v="4003"/>
  </r>
  <r>
    <x v="2"/>
    <x v="4"/>
    <x v="4"/>
    <x v="81"/>
    <x v="74"/>
    <x v="74"/>
    <s v="REVENUS"/>
    <x v="2"/>
    <s v="4001.002"/>
    <s v="Impôt complément s/revenu PP"/>
    <n v="0"/>
    <n v="1283.28"/>
    <n v="4001"/>
  </r>
  <r>
    <x v="2"/>
    <x v="4"/>
    <x v="4"/>
    <x v="81"/>
    <x v="74"/>
    <x v="74"/>
    <s v="REVENUS"/>
    <x v="14"/>
    <s v="4003.060"/>
    <s v="IS - Administrateurs"/>
    <n v="0"/>
    <n v="1350.52"/>
    <n v="4003"/>
  </r>
  <r>
    <x v="2"/>
    <x v="4"/>
    <x v="4"/>
    <x v="82"/>
    <x v="75"/>
    <x v="75"/>
    <s v="CHARGES"/>
    <x v="19"/>
    <s v="3186.002"/>
    <s v="Commission perception IS"/>
    <n v="1274.72"/>
    <n v="0"/>
    <n v="3186"/>
  </r>
  <r>
    <x v="2"/>
    <x v="4"/>
    <x v="4"/>
    <x v="82"/>
    <x v="75"/>
    <x v="75"/>
    <s v="CHARGES"/>
    <x v="1"/>
    <s v="3301.001"/>
    <s v="Défalcations, abandons de solde PP et IS"/>
    <n v="11.87"/>
    <n v="0"/>
    <n v="3301"/>
  </r>
  <r>
    <x v="2"/>
    <x v="4"/>
    <x v="4"/>
    <x v="82"/>
    <x v="75"/>
    <x v="75"/>
    <s v="REVENUS"/>
    <x v="2"/>
    <s v="4001.010"/>
    <s v="Impôt sourciers mixtes"/>
    <n v="0"/>
    <n v="-29045.98"/>
    <n v="4001"/>
  </r>
  <r>
    <x v="2"/>
    <x v="4"/>
    <x v="4"/>
    <x v="82"/>
    <x v="75"/>
    <x v="75"/>
    <s v="REVENUS"/>
    <x v="14"/>
    <s v="4003.000"/>
    <s v="Impôt à la source"/>
    <n v="0"/>
    <n v="35273.17"/>
    <n v="4003"/>
  </r>
  <r>
    <x v="2"/>
    <x v="4"/>
    <x v="4"/>
    <x v="82"/>
    <x v="75"/>
    <x v="75"/>
    <s v="REVENUS"/>
    <x v="6"/>
    <s v="4211.001"/>
    <s v="Intérêts de retard sur factures"/>
    <n v="0"/>
    <n v="51.33"/>
    <n v="4211"/>
  </r>
  <r>
    <x v="2"/>
    <x v="4"/>
    <x v="4"/>
    <x v="82"/>
    <x v="75"/>
    <x v="75"/>
    <s v="REVENUS"/>
    <x v="6"/>
    <s v="4211.002"/>
    <s v="Intérêts de retard sur acomptes"/>
    <n v="0"/>
    <n v="65.88"/>
    <n v="4211"/>
  </r>
  <r>
    <x v="2"/>
    <x v="4"/>
    <x v="4"/>
    <x v="82"/>
    <x v="75"/>
    <x v="75"/>
    <s v="REVENUS"/>
    <x v="7"/>
    <s v="4184.000"/>
    <s v="Frais de poursuite"/>
    <n v="0"/>
    <n v="0.79"/>
    <n v="4184"/>
  </r>
  <r>
    <x v="2"/>
    <x v="4"/>
    <x v="4"/>
    <x v="82"/>
    <x v="75"/>
    <x v="75"/>
    <s v="REVENUS"/>
    <x v="2"/>
    <s v="4001.001"/>
    <s v="Impôt revenu"/>
    <n v="0"/>
    <n v="2385.77"/>
    <n v="4001"/>
  </r>
  <r>
    <x v="2"/>
    <x v="4"/>
    <x v="4"/>
    <x v="82"/>
    <x v="75"/>
    <x v="75"/>
    <s v="REVENUS"/>
    <x v="8"/>
    <s v="4091.001"/>
    <s v="Impôt récupéré après défalcations"/>
    <n v="0"/>
    <n v="12.22"/>
    <n v="4091"/>
  </r>
  <r>
    <x v="2"/>
    <x v="4"/>
    <x v="4"/>
    <x v="83"/>
    <x v="76"/>
    <x v="76"/>
    <s v="CHARGES"/>
    <x v="19"/>
    <s v="3186.002"/>
    <s v="Commission perception IS"/>
    <n v="2512.34"/>
    <n v="0"/>
    <n v="3186"/>
  </r>
  <r>
    <x v="2"/>
    <x v="4"/>
    <x v="4"/>
    <x v="83"/>
    <x v="76"/>
    <x v="76"/>
    <s v="CHARGES"/>
    <x v="1"/>
    <s v="3301.001"/>
    <s v="Défalcations, abandons de solde PP et IS"/>
    <n v="0.36"/>
    <n v="0"/>
    <n v="3301"/>
  </r>
  <r>
    <x v="2"/>
    <x v="4"/>
    <x v="4"/>
    <x v="83"/>
    <x v="76"/>
    <x v="76"/>
    <s v="REVENUS"/>
    <x v="2"/>
    <s v="4001.010"/>
    <s v="Impôt sourciers mixtes"/>
    <n v="0"/>
    <n v="-1951.61"/>
    <n v="4001"/>
  </r>
  <r>
    <x v="2"/>
    <x v="4"/>
    <x v="4"/>
    <x v="83"/>
    <x v="76"/>
    <x v="76"/>
    <s v="REVENUS"/>
    <x v="14"/>
    <s v="4003.000"/>
    <s v="Impôt à la source"/>
    <n v="0"/>
    <n v="44486.49"/>
    <n v="4003"/>
  </r>
  <r>
    <x v="2"/>
    <x v="4"/>
    <x v="4"/>
    <x v="83"/>
    <x v="76"/>
    <x v="76"/>
    <s v="REVENUS"/>
    <x v="14"/>
    <s v="4003.060"/>
    <s v="IS - Administrateurs"/>
    <n v="0"/>
    <n v="15973.15"/>
    <n v="4003"/>
  </r>
  <r>
    <x v="2"/>
    <x v="4"/>
    <x v="4"/>
    <x v="83"/>
    <x v="76"/>
    <x v="76"/>
    <s v="REVENUS"/>
    <x v="6"/>
    <s v="4211.001"/>
    <s v="Intérêts de retard sur factures"/>
    <n v="0"/>
    <n v="130.15"/>
    <n v="4211"/>
  </r>
  <r>
    <x v="2"/>
    <x v="4"/>
    <x v="4"/>
    <x v="83"/>
    <x v="76"/>
    <x v="76"/>
    <s v="REVENUS"/>
    <x v="6"/>
    <s v="4211.002"/>
    <s v="Intérêts de retard sur acomptes"/>
    <n v="0"/>
    <n v="69.27"/>
    <n v="4211"/>
  </r>
  <r>
    <x v="2"/>
    <x v="4"/>
    <x v="4"/>
    <x v="83"/>
    <x v="76"/>
    <x v="76"/>
    <s v="REVENUS"/>
    <x v="2"/>
    <s v="4001.005"/>
    <s v="Amende de soustract. Impôt"/>
    <n v="0"/>
    <n v="284.8"/>
    <n v="4001"/>
  </r>
  <r>
    <x v="2"/>
    <x v="4"/>
    <x v="4"/>
    <x v="83"/>
    <x v="76"/>
    <x v="76"/>
    <s v="REVENUS"/>
    <x v="2"/>
    <s v="4001.001"/>
    <s v="Impôt revenu"/>
    <n v="0"/>
    <n v="11635.52"/>
    <n v="4001"/>
  </r>
  <r>
    <x v="2"/>
    <x v="4"/>
    <x v="4"/>
    <x v="83"/>
    <x v="76"/>
    <x v="76"/>
    <s v="REVENUS"/>
    <x v="7"/>
    <s v="4184.000"/>
    <s v="Frais de poursuite"/>
    <n v="0"/>
    <n v="20.04"/>
    <n v="4184"/>
  </r>
  <r>
    <x v="2"/>
    <x v="4"/>
    <x v="4"/>
    <x v="84"/>
    <x v="77"/>
    <x v="77"/>
    <s v="CHARGES"/>
    <x v="19"/>
    <s v="3186.002"/>
    <s v="Commission perception IS"/>
    <n v="357.56"/>
    <n v="0"/>
    <n v="3186"/>
  </r>
  <r>
    <x v="2"/>
    <x v="4"/>
    <x v="4"/>
    <x v="84"/>
    <x v="77"/>
    <x v="77"/>
    <s v="CHARGES"/>
    <x v="1"/>
    <s v="3301.001"/>
    <s v="Défalcations, abandons de solde PP et IS"/>
    <n v="0.27"/>
    <n v="0"/>
    <n v="3301"/>
  </r>
  <r>
    <x v="2"/>
    <x v="4"/>
    <x v="4"/>
    <x v="84"/>
    <x v="77"/>
    <x v="77"/>
    <s v="REVENUS"/>
    <x v="14"/>
    <s v="4003.000"/>
    <s v="Impôt à la source"/>
    <n v="0"/>
    <n v="13097.31"/>
    <n v="4003"/>
  </r>
  <r>
    <x v="2"/>
    <x v="4"/>
    <x v="4"/>
    <x v="84"/>
    <x v="77"/>
    <x v="77"/>
    <s v="REVENUS"/>
    <x v="6"/>
    <s v="4211.002"/>
    <s v="Intérêts de retard sur acomptes"/>
    <n v="0"/>
    <n v="17.559999999999999"/>
    <n v="4211"/>
  </r>
  <r>
    <x v="2"/>
    <x v="4"/>
    <x v="4"/>
    <x v="84"/>
    <x v="77"/>
    <x v="77"/>
    <s v="REVENUS"/>
    <x v="6"/>
    <s v="4211.001"/>
    <s v="Intérêts de retard sur factures"/>
    <n v="0"/>
    <n v="12.54"/>
    <n v="4211"/>
  </r>
  <r>
    <x v="2"/>
    <x v="4"/>
    <x v="4"/>
    <x v="84"/>
    <x v="77"/>
    <x v="77"/>
    <s v="REVENUS"/>
    <x v="7"/>
    <s v="4184.000"/>
    <s v="Frais de poursuite"/>
    <n v="0"/>
    <n v="130.78"/>
    <n v="4184"/>
  </r>
  <r>
    <x v="2"/>
    <x v="4"/>
    <x v="4"/>
    <x v="84"/>
    <x v="77"/>
    <x v="77"/>
    <s v="REVENUS"/>
    <x v="2"/>
    <s v="4001.010"/>
    <s v="Impôt sourciers mixtes"/>
    <n v="0"/>
    <n v="-5880.45"/>
    <n v="4001"/>
  </r>
  <r>
    <x v="2"/>
    <x v="4"/>
    <x v="4"/>
    <x v="84"/>
    <x v="77"/>
    <x v="77"/>
    <s v="REVENUS"/>
    <x v="14"/>
    <s v="4003.070"/>
    <s v="IS - Loi travail au noir"/>
    <n v="0"/>
    <n v="1.98"/>
    <n v="4003"/>
  </r>
  <r>
    <x v="2"/>
    <x v="4"/>
    <x v="4"/>
    <x v="84"/>
    <x v="77"/>
    <x v="77"/>
    <s v="REVENUS"/>
    <x v="2"/>
    <s v="4001.001"/>
    <s v="Impôt revenu"/>
    <n v="0"/>
    <n v="595.80999999999995"/>
    <n v="4001"/>
  </r>
  <r>
    <x v="2"/>
    <x v="4"/>
    <x v="4"/>
    <x v="85"/>
    <x v="78"/>
    <x v="78"/>
    <s v="CHARGES"/>
    <x v="19"/>
    <s v="3186.002"/>
    <s v="Commission perception IS"/>
    <n v="5553.32"/>
    <n v="0"/>
    <n v="3186"/>
  </r>
  <r>
    <x v="2"/>
    <x v="4"/>
    <x v="4"/>
    <x v="85"/>
    <x v="78"/>
    <x v="78"/>
    <s v="CHARGES"/>
    <x v="1"/>
    <s v="3301.001"/>
    <s v="Défalcations, abandons de solde PP et IS"/>
    <n v="2434.8000000000002"/>
    <n v="0"/>
    <n v="3301"/>
  </r>
  <r>
    <x v="2"/>
    <x v="4"/>
    <x v="4"/>
    <x v="85"/>
    <x v="78"/>
    <x v="78"/>
    <s v="REVENUS"/>
    <x v="14"/>
    <s v="4003.000"/>
    <s v="Impôt à la source"/>
    <n v="0"/>
    <n v="97209.85"/>
    <n v="4003"/>
  </r>
  <r>
    <x v="2"/>
    <x v="4"/>
    <x v="4"/>
    <x v="85"/>
    <x v="78"/>
    <x v="78"/>
    <s v="REVENUS"/>
    <x v="2"/>
    <s v="4001.010"/>
    <s v="Impôt sourciers mixtes"/>
    <n v="0"/>
    <n v="-32856.14"/>
    <n v="4001"/>
  </r>
  <r>
    <x v="2"/>
    <x v="4"/>
    <x v="4"/>
    <x v="85"/>
    <x v="78"/>
    <x v="78"/>
    <s v="REVENUS"/>
    <x v="2"/>
    <s v="4001.001"/>
    <s v="Impôt revenu"/>
    <n v="0"/>
    <n v="3586.6"/>
    <n v="4001"/>
  </r>
  <r>
    <x v="2"/>
    <x v="4"/>
    <x v="4"/>
    <x v="85"/>
    <x v="78"/>
    <x v="78"/>
    <s v="REVENUS"/>
    <x v="2"/>
    <s v="4001.002"/>
    <s v="Impôt complément s/revenu PP"/>
    <n v="0"/>
    <n v="2358.52"/>
    <n v="4001"/>
  </r>
  <r>
    <x v="2"/>
    <x v="4"/>
    <x v="4"/>
    <x v="85"/>
    <x v="78"/>
    <x v="78"/>
    <s v="REVENUS"/>
    <x v="6"/>
    <s v="4211.001"/>
    <s v="Intérêts de retard sur factures"/>
    <n v="0"/>
    <n v="351.98"/>
    <n v="4211"/>
  </r>
  <r>
    <x v="2"/>
    <x v="4"/>
    <x v="4"/>
    <x v="85"/>
    <x v="78"/>
    <x v="78"/>
    <s v="REVENUS"/>
    <x v="6"/>
    <s v="4211.002"/>
    <s v="Intérêts de retard sur acomptes"/>
    <n v="0"/>
    <n v="578.05999999999995"/>
    <n v="4211"/>
  </r>
  <r>
    <x v="2"/>
    <x v="4"/>
    <x v="4"/>
    <x v="85"/>
    <x v="78"/>
    <x v="78"/>
    <s v="REVENUS"/>
    <x v="8"/>
    <s v="4091.001"/>
    <s v="Impôt récupéré après défalcations"/>
    <n v="0"/>
    <n v="515.78"/>
    <n v="4091"/>
  </r>
  <r>
    <x v="2"/>
    <x v="4"/>
    <x v="4"/>
    <x v="85"/>
    <x v="78"/>
    <x v="78"/>
    <s v="REVENUS"/>
    <x v="7"/>
    <s v="4184.000"/>
    <s v="Frais de poursuite"/>
    <n v="0"/>
    <n v="69.52"/>
    <n v="4184"/>
  </r>
  <r>
    <x v="2"/>
    <x v="4"/>
    <x v="4"/>
    <x v="86"/>
    <x v="79"/>
    <x v="79"/>
    <s v="CHARGES"/>
    <x v="19"/>
    <s v="3186.002"/>
    <s v="Commission perception IS"/>
    <n v="0.18"/>
    <n v="0"/>
    <n v="3186"/>
  </r>
  <r>
    <x v="2"/>
    <x v="4"/>
    <x v="4"/>
    <x v="86"/>
    <x v="79"/>
    <x v="79"/>
    <s v="REVENUS"/>
    <x v="6"/>
    <s v="4211.001"/>
    <s v="Intérêts de retard sur factures"/>
    <n v="0"/>
    <n v="0.24"/>
    <n v="4211"/>
  </r>
  <r>
    <x v="2"/>
    <x v="4"/>
    <x v="4"/>
    <x v="86"/>
    <x v="79"/>
    <x v="79"/>
    <s v="REVENUS"/>
    <x v="6"/>
    <s v="4211.002"/>
    <s v="Intérêts de retard sur acomptes"/>
    <n v="0"/>
    <n v="0.03"/>
    <n v="4211"/>
  </r>
  <r>
    <x v="2"/>
    <x v="4"/>
    <x v="4"/>
    <x v="88"/>
    <x v="80"/>
    <x v="80"/>
    <s v="CHARGES"/>
    <x v="19"/>
    <s v="3186.002"/>
    <s v="Commission perception IS"/>
    <n v="2343.7600000000002"/>
    <n v="0"/>
    <n v="3186"/>
  </r>
  <r>
    <x v="2"/>
    <x v="4"/>
    <x v="4"/>
    <x v="88"/>
    <x v="80"/>
    <x v="80"/>
    <s v="CHARGES"/>
    <x v="1"/>
    <s v="3301.001"/>
    <s v="Défalcations, abandons de solde PP et IS"/>
    <n v="138.69999999999999"/>
    <n v="0"/>
    <n v="3301"/>
  </r>
  <r>
    <x v="2"/>
    <x v="4"/>
    <x v="4"/>
    <x v="88"/>
    <x v="80"/>
    <x v="80"/>
    <s v="REVENUS"/>
    <x v="14"/>
    <s v="4003.000"/>
    <s v="Impôt à la source"/>
    <n v="0"/>
    <n v="36272.03"/>
    <n v="4003"/>
  </r>
  <r>
    <x v="2"/>
    <x v="4"/>
    <x v="4"/>
    <x v="88"/>
    <x v="80"/>
    <x v="80"/>
    <s v="REVENUS"/>
    <x v="7"/>
    <s v="4184.000"/>
    <s v="Frais de poursuite"/>
    <n v="0"/>
    <n v="14.09"/>
    <n v="4184"/>
  </r>
  <r>
    <x v="2"/>
    <x v="4"/>
    <x v="4"/>
    <x v="88"/>
    <x v="80"/>
    <x v="80"/>
    <s v="REVENUS"/>
    <x v="6"/>
    <s v="4211.001"/>
    <s v="Intérêts de retard sur factures"/>
    <n v="0"/>
    <n v="113.75"/>
    <n v="4211"/>
  </r>
  <r>
    <x v="2"/>
    <x v="4"/>
    <x v="4"/>
    <x v="88"/>
    <x v="80"/>
    <x v="80"/>
    <s v="REVENUS"/>
    <x v="6"/>
    <s v="4211.002"/>
    <s v="Intérêts de retard sur acomptes"/>
    <n v="0"/>
    <n v="109.33"/>
    <n v="4211"/>
  </r>
  <r>
    <x v="2"/>
    <x v="4"/>
    <x v="4"/>
    <x v="88"/>
    <x v="80"/>
    <x v="80"/>
    <s v="REVENUS"/>
    <x v="2"/>
    <s v="4001.010"/>
    <s v="Impôt sourciers mixtes"/>
    <n v="0"/>
    <n v="27704.02"/>
    <n v="4001"/>
  </r>
  <r>
    <x v="2"/>
    <x v="4"/>
    <x v="4"/>
    <x v="88"/>
    <x v="80"/>
    <x v="80"/>
    <s v="REVENUS"/>
    <x v="2"/>
    <s v="4001.001"/>
    <s v="Impôt revenu"/>
    <n v="0"/>
    <n v="17093.849999999999"/>
    <n v="4001"/>
  </r>
  <r>
    <x v="2"/>
    <x v="4"/>
    <x v="4"/>
    <x v="88"/>
    <x v="80"/>
    <x v="80"/>
    <s v="REVENUS"/>
    <x v="2"/>
    <s v="4001.002"/>
    <s v="Impôt complément s/revenu PP"/>
    <n v="0"/>
    <n v="118.02"/>
    <n v="4001"/>
  </r>
  <r>
    <x v="2"/>
    <x v="4"/>
    <x v="4"/>
    <x v="88"/>
    <x v="80"/>
    <x v="80"/>
    <s v="REVENUS"/>
    <x v="8"/>
    <s v="4091.001"/>
    <s v="Impôt récupéré après défalcations"/>
    <n v="0"/>
    <n v="0"/>
    <n v="4091"/>
  </r>
  <r>
    <x v="2"/>
    <x v="4"/>
    <x v="4"/>
    <x v="90"/>
    <x v="81"/>
    <x v="81"/>
    <s v="CHARGES"/>
    <x v="19"/>
    <s v="3186.002"/>
    <s v="Commission perception IS"/>
    <n v="1517.25"/>
    <n v="0"/>
    <n v="3186"/>
  </r>
  <r>
    <x v="2"/>
    <x v="4"/>
    <x v="4"/>
    <x v="90"/>
    <x v="81"/>
    <x v="81"/>
    <s v="CHARGES"/>
    <x v="1"/>
    <s v="3301.001"/>
    <s v="Défalcations, abandons de solde PP et IS"/>
    <n v="9.0299999999999994"/>
    <n v="0"/>
    <n v="3301"/>
  </r>
  <r>
    <x v="2"/>
    <x v="4"/>
    <x v="4"/>
    <x v="90"/>
    <x v="81"/>
    <x v="81"/>
    <s v="REVENUS"/>
    <x v="6"/>
    <s v="4211.002"/>
    <s v="Intérêts de retard sur acomptes"/>
    <n v="0"/>
    <n v="71.44"/>
    <n v="4211"/>
  </r>
  <r>
    <x v="2"/>
    <x v="4"/>
    <x v="4"/>
    <x v="90"/>
    <x v="81"/>
    <x v="81"/>
    <s v="REVENUS"/>
    <x v="14"/>
    <s v="4003.000"/>
    <s v="Impôt à la source"/>
    <n v="0"/>
    <n v="17460.79"/>
    <n v="4003"/>
  </r>
  <r>
    <x v="2"/>
    <x v="4"/>
    <x v="4"/>
    <x v="90"/>
    <x v="81"/>
    <x v="81"/>
    <s v="REVENUS"/>
    <x v="6"/>
    <s v="4211.001"/>
    <s v="Intérêts de retard sur factures"/>
    <n v="0"/>
    <n v="26.43"/>
    <n v="4211"/>
  </r>
  <r>
    <x v="2"/>
    <x v="4"/>
    <x v="4"/>
    <x v="90"/>
    <x v="81"/>
    <x v="81"/>
    <s v="REVENUS"/>
    <x v="2"/>
    <s v="4001.010"/>
    <s v="Impôt sourciers mixtes"/>
    <n v="0"/>
    <n v="15576.85"/>
    <n v="4001"/>
  </r>
  <r>
    <x v="2"/>
    <x v="4"/>
    <x v="4"/>
    <x v="90"/>
    <x v="81"/>
    <x v="81"/>
    <s v="REVENUS"/>
    <x v="7"/>
    <s v="4184.000"/>
    <s v="Frais de poursuite"/>
    <n v="0"/>
    <n v="16.64"/>
    <n v="4184"/>
  </r>
  <r>
    <x v="2"/>
    <x v="4"/>
    <x v="4"/>
    <x v="90"/>
    <x v="81"/>
    <x v="81"/>
    <s v="REVENUS"/>
    <x v="2"/>
    <s v="4001.001"/>
    <s v="Impôt revenu"/>
    <n v="0"/>
    <n v="9808.6299999999992"/>
    <n v="4001"/>
  </r>
  <r>
    <x v="2"/>
    <x v="4"/>
    <x v="4"/>
    <x v="91"/>
    <x v="82"/>
    <x v="82"/>
    <s v="CHARGES"/>
    <x v="19"/>
    <s v="3186.002"/>
    <s v="Commission perception IS"/>
    <n v="488.62"/>
    <n v="0"/>
    <n v="3186"/>
  </r>
  <r>
    <x v="2"/>
    <x v="4"/>
    <x v="4"/>
    <x v="91"/>
    <x v="82"/>
    <x v="82"/>
    <s v="CHARGES"/>
    <x v="1"/>
    <s v="3301.001"/>
    <s v="Défalcations, abandons de solde PP et IS"/>
    <n v="-0.16"/>
    <n v="0"/>
    <n v="3301"/>
  </r>
  <r>
    <x v="2"/>
    <x v="4"/>
    <x v="4"/>
    <x v="91"/>
    <x v="82"/>
    <x v="82"/>
    <s v="REVENUS"/>
    <x v="14"/>
    <s v="4003.000"/>
    <s v="Impôt à la source"/>
    <n v="0"/>
    <n v="808.22"/>
    <n v="4003"/>
  </r>
  <r>
    <x v="2"/>
    <x v="4"/>
    <x v="4"/>
    <x v="91"/>
    <x v="82"/>
    <x v="82"/>
    <s v="REVENUS"/>
    <x v="6"/>
    <s v="4211.001"/>
    <s v="Intérêts de retard sur factures"/>
    <n v="0"/>
    <n v="2.12"/>
    <n v="4211"/>
  </r>
  <r>
    <x v="2"/>
    <x v="4"/>
    <x v="4"/>
    <x v="91"/>
    <x v="82"/>
    <x v="82"/>
    <s v="REVENUS"/>
    <x v="6"/>
    <s v="4211.002"/>
    <s v="Intérêts de retard sur acomptes"/>
    <n v="0"/>
    <n v="9.24"/>
    <n v="4211"/>
  </r>
  <r>
    <x v="2"/>
    <x v="4"/>
    <x v="4"/>
    <x v="91"/>
    <x v="82"/>
    <x v="82"/>
    <s v="REVENUS"/>
    <x v="2"/>
    <s v="4001.010"/>
    <s v="Impôt sourciers mixtes"/>
    <n v="0"/>
    <n v="-7884.4"/>
    <n v="4001"/>
  </r>
  <r>
    <x v="2"/>
    <x v="4"/>
    <x v="4"/>
    <x v="91"/>
    <x v="82"/>
    <x v="82"/>
    <s v="REVENUS"/>
    <x v="2"/>
    <s v="4001.001"/>
    <s v="Impôt revenu"/>
    <n v="0"/>
    <n v="6558.8"/>
    <n v="4001"/>
  </r>
  <r>
    <x v="2"/>
    <x v="4"/>
    <x v="4"/>
    <x v="91"/>
    <x v="82"/>
    <x v="82"/>
    <s v="REVENUS"/>
    <x v="2"/>
    <s v="4001.005"/>
    <s v="Amende de soustract. Impôt"/>
    <n v="0"/>
    <n v="167"/>
    <n v="4001"/>
  </r>
  <r>
    <x v="2"/>
    <x v="4"/>
    <x v="4"/>
    <x v="92"/>
    <x v="83"/>
    <x v="83"/>
    <s v="CHARGES"/>
    <x v="19"/>
    <s v="3186.002"/>
    <s v="Commission perception IS"/>
    <n v="967.65"/>
    <n v="0"/>
    <n v="3186"/>
  </r>
  <r>
    <x v="2"/>
    <x v="4"/>
    <x v="4"/>
    <x v="92"/>
    <x v="83"/>
    <x v="83"/>
    <s v="CHARGES"/>
    <x v="1"/>
    <s v="3301.001"/>
    <s v="Défalcations, abandons de solde PP et IS"/>
    <n v="0.35"/>
    <n v="0"/>
    <n v="3301"/>
  </r>
  <r>
    <x v="2"/>
    <x v="4"/>
    <x v="4"/>
    <x v="92"/>
    <x v="83"/>
    <x v="83"/>
    <s v="REVENUS"/>
    <x v="14"/>
    <s v="4003.000"/>
    <s v="Impôt à la source"/>
    <n v="0"/>
    <n v="10707.29"/>
    <n v="4003"/>
  </r>
  <r>
    <x v="2"/>
    <x v="4"/>
    <x v="4"/>
    <x v="92"/>
    <x v="83"/>
    <x v="83"/>
    <s v="REVENUS"/>
    <x v="2"/>
    <s v="4001.010"/>
    <s v="Impôt sourciers mixtes"/>
    <n v="0"/>
    <n v="15464.98"/>
    <n v="4001"/>
  </r>
  <r>
    <x v="2"/>
    <x v="4"/>
    <x v="4"/>
    <x v="92"/>
    <x v="83"/>
    <x v="83"/>
    <s v="REVENUS"/>
    <x v="6"/>
    <s v="4211.001"/>
    <s v="Intérêts de retard sur factures"/>
    <n v="0"/>
    <n v="13.16"/>
    <n v="4211"/>
  </r>
  <r>
    <x v="2"/>
    <x v="4"/>
    <x v="4"/>
    <x v="92"/>
    <x v="83"/>
    <x v="83"/>
    <s v="REVENUS"/>
    <x v="6"/>
    <s v="4211.002"/>
    <s v="Intérêts de retard sur acomptes"/>
    <n v="0"/>
    <n v="29.21"/>
    <n v="4211"/>
  </r>
  <r>
    <x v="2"/>
    <x v="4"/>
    <x v="4"/>
    <x v="93"/>
    <x v="73"/>
    <x v="73"/>
    <s v="CHARGES"/>
    <x v="19"/>
    <s v="3186.002"/>
    <s v="Commission perception IS"/>
    <n v="0.4"/>
    <n v="0"/>
    <n v="3186"/>
  </r>
  <r>
    <x v="2"/>
    <x v="4"/>
    <x v="4"/>
    <x v="93"/>
    <x v="73"/>
    <x v="73"/>
    <s v="REVENUS"/>
    <x v="6"/>
    <s v="4211.001"/>
    <s v="Intérêts de retard sur factures"/>
    <n v="0"/>
    <n v="6.44"/>
    <n v="4211"/>
  </r>
  <r>
    <x v="2"/>
    <x v="4"/>
    <x v="4"/>
    <x v="93"/>
    <x v="73"/>
    <x v="73"/>
    <s v="REVENUS"/>
    <x v="6"/>
    <s v="4211.002"/>
    <s v="Intérêts de retard sur acomptes"/>
    <n v="0"/>
    <n v="0.11"/>
    <n v="4211"/>
  </r>
  <r>
    <x v="2"/>
    <x v="4"/>
    <x v="4"/>
    <x v="94"/>
    <x v="84"/>
    <x v="84"/>
    <s v="CHARGES"/>
    <x v="19"/>
    <s v="3186.002"/>
    <s v="Commission perception IS"/>
    <n v="1595.94"/>
    <n v="0"/>
    <n v="3186"/>
  </r>
  <r>
    <x v="2"/>
    <x v="4"/>
    <x v="4"/>
    <x v="94"/>
    <x v="84"/>
    <x v="84"/>
    <s v="CHARGES"/>
    <x v="1"/>
    <s v="3301.001"/>
    <s v="Défalcations, abandons de solde PP et IS"/>
    <n v="1.18"/>
    <n v="0"/>
    <n v="3301"/>
  </r>
  <r>
    <x v="2"/>
    <x v="4"/>
    <x v="4"/>
    <x v="94"/>
    <x v="84"/>
    <x v="84"/>
    <s v="REVENUS"/>
    <x v="14"/>
    <s v="4003.000"/>
    <s v="Impôt à la source"/>
    <n v="0"/>
    <n v="30627.98"/>
    <n v="4003"/>
  </r>
  <r>
    <x v="2"/>
    <x v="4"/>
    <x v="4"/>
    <x v="94"/>
    <x v="84"/>
    <x v="84"/>
    <s v="REVENUS"/>
    <x v="6"/>
    <s v="4211.002"/>
    <s v="Intérêts de retard sur acomptes"/>
    <n v="0"/>
    <n v="161.31"/>
    <n v="4211"/>
  </r>
  <r>
    <x v="2"/>
    <x v="4"/>
    <x v="4"/>
    <x v="94"/>
    <x v="84"/>
    <x v="84"/>
    <s v="REVENUS"/>
    <x v="6"/>
    <s v="4211.001"/>
    <s v="Intérêts de retard sur factures"/>
    <n v="0"/>
    <n v="21.35"/>
    <n v="4211"/>
  </r>
  <r>
    <x v="2"/>
    <x v="4"/>
    <x v="4"/>
    <x v="94"/>
    <x v="84"/>
    <x v="84"/>
    <s v="REVENUS"/>
    <x v="2"/>
    <s v="4001.010"/>
    <s v="Impôt sourciers mixtes"/>
    <n v="0"/>
    <n v="20715.330000000002"/>
    <n v="4001"/>
  </r>
  <r>
    <x v="2"/>
    <x v="4"/>
    <x v="4"/>
    <x v="94"/>
    <x v="84"/>
    <x v="84"/>
    <s v="REVENUS"/>
    <x v="2"/>
    <s v="4001.001"/>
    <s v="Impôt revenu"/>
    <n v="0"/>
    <n v="8716.89"/>
    <n v="4001"/>
  </r>
  <r>
    <x v="2"/>
    <x v="4"/>
    <x v="4"/>
    <x v="94"/>
    <x v="84"/>
    <x v="84"/>
    <s v="REVENUS"/>
    <x v="7"/>
    <s v="4184.000"/>
    <s v="Frais de poursuite"/>
    <n v="0"/>
    <n v="17.57"/>
    <n v="4184"/>
  </r>
  <r>
    <x v="2"/>
    <x v="4"/>
    <x v="4"/>
    <x v="95"/>
    <x v="85"/>
    <x v="85"/>
    <s v="CHARGES"/>
    <x v="19"/>
    <s v="3186.002"/>
    <s v="Commission perception IS"/>
    <n v="480.73"/>
    <n v="0"/>
    <n v="3186"/>
  </r>
  <r>
    <x v="2"/>
    <x v="4"/>
    <x v="4"/>
    <x v="95"/>
    <x v="85"/>
    <x v="85"/>
    <s v="CHARGES"/>
    <x v="1"/>
    <s v="3301.001"/>
    <s v="Défalcations, abandons de solde PP et IS"/>
    <n v="1.93"/>
    <n v="0"/>
    <n v="3301"/>
  </r>
  <r>
    <x v="2"/>
    <x v="4"/>
    <x v="4"/>
    <x v="95"/>
    <x v="85"/>
    <x v="85"/>
    <s v="REVENUS"/>
    <x v="14"/>
    <s v="4003.000"/>
    <s v="Impôt à la source"/>
    <n v="0"/>
    <n v="17090.21"/>
    <n v="4003"/>
  </r>
  <r>
    <x v="2"/>
    <x v="4"/>
    <x v="4"/>
    <x v="95"/>
    <x v="85"/>
    <x v="85"/>
    <s v="REVENUS"/>
    <x v="6"/>
    <s v="4211.001"/>
    <s v="Intérêts de retard sur factures"/>
    <n v="0"/>
    <n v="3.14"/>
    <n v="4211"/>
  </r>
  <r>
    <x v="2"/>
    <x v="4"/>
    <x v="4"/>
    <x v="95"/>
    <x v="85"/>
    <x v="85"/>
    <s v="REVENUS"/>
    <x v="2"/>
    <s v="4001.010"/>
    <s v="Impôt sourciers mixtes"/>
    <n v="0"/>
    <n v="-1654.9"/>
    <n v="4001"/>
  </r>
  <r>
    <x v="2"/>
    <x v="4"/>
    <x v="4"/>
    <x v="95"/>
    <x v="85"/>
    <x v="85"/>
    <s v="REVENUS"/>
    <x v="6"/>
    <s v="4211.002"/>
    <s v="Intérêts de retard sur acomptes"/>
    <n v="0"/>
    <n v="0.32"/>
    <n v="4211"/>
  </r>
  <r>
    <x v="2"/>
    <x v="4"/>
    <x v="4"/>
    <x v="96"/>
    <x v="86"/>
    <x v="86"/>
    <s v="CHARGES"/>
    <x v="19"/>
    <s v="3186.002"/>
    <s v="Commission perception IS"/>
    <n v="1080.04"/>
    <n v="0"/>
    <n v="3186"/>
  </r>
  <r>
    <x v="2"/>
    <x v="4"/>
    <x v="4"/>
    <x v="96"/>
    <x v="86"/>
    <x v="86"/>
    <s v="CHARGES"/>
    <x v="1"/>
    <s v="3301.001"/>
    <s v="Défalcations, abandons de solde PP et IS"/>
    <n v="0.69"/>
    <n v="0"/>
    <n v="3301"/>
  </r>
  <r>
    <x v="2"/>
    <x v="4"/>
    <x v="4"/>
    <x v="96"/>
    <x v="86"/>
    <x v="86"/>
    <s v="REVENUS"/>
    <x v="2"/>
    <s v="4001.010"/>
    <s v="Impôt sourciers mixtes"/>
    <n v="0"/>
    <n v="2570.73"/>
    <n v="4001"/>
  </r>
  <r>
    <x v="2"/>
    <x v="4"/>
    <x v="4"/>
    <x v="96"/>
    <x v="86"/>
    <x v="86"/>
    <s v="REVENUS"/>
    <x v="14"/>
    <s v="4003.000"/>
    <s v="Impôt à la source"/>
    <n v="0"/>
    <n v="6266.37"/>
    <n v="4003"/>
  </r>
  <r>
    <x v="2"/>
    <x v="4"/>
    <x v="4"/>
    <x v="96"/>
    <x v="86"/>
    <x v="86"/>
    <s v="REVENUS"/>
    <x v="7"/>
    <s v="4184.000"/>
    <s v="Frais de poursuite"/>
    <n v="0"/>
    <n v="60.92"/>
    <n v="4184"/>
  </r>
  <r>
    <x v="2"/>
    <x v="4"/>
    <x v="4"/>
    <x v="96"/>
    <x v="86"/>
    <x v="86"/>
    <s v="REVENUS"/>
    <x v="6"/>
    <s v="4211.001"/>
    <s v="Intérêts de retard sur factures"/>
    <n v="0"/>
    <n v="19.54"/>
    <n v="4211"/>
  </r>
  <r>
    <x v="2"/>
    <x v="4"/>
    <x v="4"/>
    <x v="96"/>
    <x v="86"/>
    <x v="86"/>
    <s v="REVENUS"/>
    <x v="6"/>
    <s v="4211.002"/>
    <s v="Intérêts de retard sur acomptes"/>
    <n v="0"/>
    <n v="126.87"/>
    <n v="4211"/>
  </r>
  <r>
    <x v="2"/>
    <x v="4"/>
    <x v="4"/>
    <x v="96"/>
    <x v="86"/>
    <x v="86"/>
    <s v="REVENUS"/>
    <x v="2"/>
    <s v="4001.001"/>
    <s v="Impôt revenu"/>
    <n v="0"/>
    <n v="4412.04"/>
    <n v="4001"/>
  </r>
  <r>
    <x v="2"/>
    <x v="4"/>
    <x v="4"/>
    <x v="97"/>
    <x v="73"/>
    <x v="73"/>
    <s v="CHARGES"/>
    <x v="19"/>
    <s v="3186.002"/>
    <s v="Commission perception IS"/>
    <n v="0.53"/>
    <n v="0"/>
    <n v="3186"/>
  </r>
  <r>
    <x v="2"/>
    <x v="4"/>
    <x v="4"/>
    <x v="97"/>
    <x v="73"/>
    <x v="73"/>
    <s v="REVENUS"/>
    <x v="6"/>
    <s v="4211.001"/>
    <s v="Intérêts de retard sur factures"/>
    <n v="0"/>
    <n v="-0.02"/>
    <n v="4211"/>
  </r>
  <r>
    <x v="2"/>
    <x v="4"/>
    <x v="4"/>
    <x v="97"/>
    <x v="73"/>
    <x v="73"/>
    <s v="REVENUS"/>
    <x v="6"/>
    <s v="4211.002"/>
    <s v="Intérêts de retard sur acomptes"/>
    <n v="0"/>
    <n v="0.11"/>
    <n v="4211"/>
  </r>
  <r>
    <x v="2"/>
    <x v="4"/>
    <x v="4"/>
    <x v="98"/>
    <x v="87"/>
    <x v="87"/>
    <s v="CHARGES"/>
    <x v="19"/>
    <s v="3186.002"/>
    <s v="Commission perception IS"/>
    <n v="649.53"/>
    <n v="0"/>
    <n v="3186"/>
  </r>
  <r>
    <x v="2"/>
    <x v="4"/>
    <x v="4"/>
    <x v="98"/>
    <x v="87"/>
    <x v="87"/>
    <s v="CHARGES"/>
    <x v="1"/>
    <s v="3301.001"/>
    <s v="Défalcations, abandons de solde PP et IS"/>
    <n v="40.31"/>
    <n v="0"/>
    <n v="3301"/>
  </r>
  <r>
    <x v="2"/>
    <x v="4"/>
    <x v="4"/>
    <x v="98"/>
    <x v="87"/>
    <x v="87"/>
    <s v="REVENUS"/>
    <x v="14"/>
    <s v="4003.000"/>
    <s v="Impôt à la source"/>
    <n v="0"/>
    <n v="4792.95"/>
    <n v="4003"/>
  </r>
  <r>
    <x v="2"/>
    <x v="4"/>
    <x v="4"/>
    <x v="98"/>
    <x v="87"/>
    <x v="87"/>
    <s v="REVENUS"/>
    <x v="6"/>
    <s v="4211.002"/>
    <s v="Intérêts de retard sur acomptes"/>
    <n v="0"/>
    <n v="-73.680000000000007"/>
    <n v="4211"/>
  </r>
  <r>
    <x v="2"/>
    <x v="4"/>
    <x v="4"/>
    <x v="98"/>
    <x v="87"/>
    <x v="87"/>
    <s v="REVENUS"/>
    <x v="2"/>
    <s v="4001.010"/>
    <s v="Impôt sourciers mixtes"/>
    <n v="0"/>
    <n v="-20511.150000000001"/>
    <n v="4001"/>
  </r>
  <r>
    <x v="2"/>
    <x v="4"/>
    <x v="4"/>
    <x v="98"/>
    <x v="87"/>
    <x v="87"/>
    <s v="REVENUS"/>
    <x v="6"/>
    <s v="4211.001"/>
    <s v="Intérêts de retard sur factures"/>
    <n v="0"/>
    <n v="6.49"/>
    <n v="4211"/>
  </r>
  <r>
    <x v="2"/>
    <x v="4"/>
    <x v="4"/>
    <x v="98"/>
    <x v="87"/>
    <x v="87"/>
    <s v="REVENUS"/>
    <x v="7"/>
    <s v="4184.000"/>
    <s v="Frais de poursuite"/>
    <n v="0"/>
    <n v="0.24"/>
    <n v="4184"/>
  </r>
  <r>
    <x v="2"/>
    <x v="4"/>
    <x v="4"/>
    <x v="98"/>
    <x v="87"/>
    <x v="87"/>
    <s v="REVENUS"/>
    <x v="2"/>
    <s v="4001.001"/>
    <s v="Impôt revenu"/>
    <n v="0"/>
    <n v="6598.73"/>
    <n v="4001"/>
  </r>
  <r>
    <x v="2"/>
    <x v="4"/>
    <x v="4"/>
    <x v="99"/>
    <x v="88"/>
    <x v="88"/>
    <s v="CHARGES"/>
    <x v="19"/>
    <s v="3186.002"/>
    <s v="Commission perception IS"/>
    <n v="0.32"/>
    <n v="0"/>
    <n v="3186"/>
  </r>
  <r>
    <x v="2"/>
    <x v="4"/>
    <x v="4"/>
    <x v="99"/>
    <x v="88"/>
    <x v="88"/>
    <s v="REVENUS"/>
    <x v="6"/>
    <s v="4211.001"/>
    <s v="Intérêts de retard sur factures"/>
    <n v="0"/>
    <n v="-0.01"/>
    <n v="4211"/>
  </r>
  <r>
    <x v="2"/>
    <x v="4"/>
    <x v="4"/>
    <x v="99"/>
    <x v="88"/>
    <x v="88"/>
    <s v="REVENUS"/>
    <x v="6"/>
    <s v="4211.002"/>
    <s v="Intérêts de retard sur acomptes"/>
    <n v="0"/>
    <n v="0.06"/>
    <n v="4211"/>
  </r>
  <r>
    <x v="2"/>
    <x v="4"/>
    <x v="4"/>
    <x v="100"/>
    <x v="89"/>
    <x v="89"/>
    <s v="CHARGES"/>
    <x v="19"/>
    <s v="3186.002"/>
    <s v="Commission perception IS"/>
    <n v="882.55"/>
    <n v="0"/>
    <n v="3186"/>
  </r>
  <r>
    <x v="2"/>
    <x v="4"/>
    <x v="4"/>
    <x v="100"/>
    <x v="89"/>
    <x v="89"/>
    <s v="CHARGES"/>
    <x v="1"/>
    <s v="3301.001"/>
    <s v="Défalcations, abandons de solde PP et IS"/>
    <n v="8.61"/>
    <n v="0"/>
    <n v="3301"/>
  </r>
  <r>
    <x v="2"/>
    <x v="4"/>
    <x v="4"/>
    <x v="100"/>
    <x v="89"/>
    <x v="89"/>
    <s v="REVENUS"/>
    <x v="14"/>
    <s v="4003.000"/>
    <s v="Impôt à la source"/>
    <n v="0"/>
    <n v="10580.62"/>
    <n v="4003"/>
  </r>
  <r>
    <x v="2"/>
    <x v="4"/>
    <x v="4"/>
    <x v="100"/>
    <x v="89"/>
    <x v="89"/>
    <s v="REVENUS"/>
    <x v="2"/>
    <s v="4001.010"/>
    <s v="Impôt sourciers mixtes"/>
    <n v="0"/>
    <n v="11777.35"/>
    <n v="4001"/>
  </r>
  <r>
    <x v="2"/>
    <x v="4"/>
    <x v="4"/>
    <x v="100"/>
    <x v="89"/>
    <x v="89"/>
    <s v="REVENUS"/>
    <x v="6"/>
    <s v="4211.001"/>
    <s v="Intérêts de retard sur factures"/>
    <n v="0"/>
    <n v="19.559999999999999"/>
    <n v="4211"/>
  </r>
  <r>
    <x v="2"/>
    <x v="4"/>
    <x v="4"/>
    <x v="100"/>
    <x v="89"/>
    <x v="89"/>
    <s v="REVENUS"/>
    <x v="6"/>
    <s v="4211.002"/>
    <s v="Intérêts de retard sur acomptes"/>
    <n v="0"/>
    <n v="164.89"/>
    <n v="4211"/>
  </r>
  <r>
    <x v="2"/>
    <x v="4"/>
    <x v="4"/>
    <x v="100"/>
    <x v="89"/>
    <x v="89"/>
    <s v="REVENUS"/>
    <x v="7"/>
    <s v="4184.000"/>
    <s v="Frais de poursuite"/>
    <n v="0"/>
    <n v="0.08"/>
    <n v="4184"/>
  </r>
  <r>
    <x v="2"/>
    <x v="4"/>
    <x v="4"/>
    <x v="100"/>
    <x v="89"/>
    <x v="89"/>
    <s v="REVENUS"/>
    <x v="8"/>
    <s v="4091.001"/>
    <s v="Impôt récupéré après défalcations"/>
    <n v="0"/>
    <n v="0"/>
    <n v="4091"/>
  </r>
  <r>
    <x v="2"/>
    <x v="4"/>
    <x v="4"/>
    <x v="100"/>
    <x v="89"/>
    <x v="89"/>
    <s v="REVENUS"/>
    <x v="2"/>
    <s v="4001.001"/>
    <s v="Impôt revenu"/>
    <n v="0"/>
    <n v="2926.07"/>
    <n v="4001"/>
  </r>
  <r>
    <x v="2"/>
    <x v="4"/>
    <x v="4"/>
    <x v="101"/>
    <x v="73"/>
    <x v="73"/>
    <s v="CHARGES"/>
    <x v="19"/>
    <s v="3186.002"/>
    <s v="Commission perception IS"/>
    <n v="2679.14"/>
    <n v="0"/>
    <n v="3186"/>
  </r>
  <r>
    <x v="2"/>
    <x v="4"/>
    <x v="4"/>
    <x v="101"/>
    <x v="73"/>
    <x v="73"/>
    <s v="CHARGES"/>
    <x v="1"/>
    <s v="3301.001"/>
    <s v="Défalcations, abandons de solde PP et IS"/>
    <n v="6.34"/>
    <n v="0"/>
    <n v="3301"/>
  </r>
  <r>
    <x v="2"/>
    <x v="4"/>
    <x v="4"/>
    <x v="101"/>
    <x v="73"/>
    <x v="73"/>
    <s v="REVENUS"/>
    <x v="2"/>
    <s v="4001.010"/>
    <s v="Impôt sourciers mixtes"/>
    <n v="0"/>
    <n v="8425.49"/>
    <n v="4001"/>
  </r>
  <r>
    <x v="2"/>
    <x v="4"/>
    <x v="4"/>
    <x v="101"/>
    <x v="73"/>
    <x v="73"/>
    <s v="REVENUS"/>
    <x v="14"/>
    <s v="4003.000"/>
    <s v="Impôt à la source"/>
    <n v="0"/>
    <n v="50161.9"/>
    <n v="4003"/>
  </r>
  <r>
    <x v="2"/>
    <x v="4"/>
    <x v="4"/>
    <x v="101"/>
    <x v="73"/>
    <x v="73"/>
    <s v="REVENUS"/>
    <x v="6"/>
    <s v="4211.001"/>
    <s v="Intérêts de retard sur factures"/>
    <n v="0"/>
    <n v="109.09"/>
    <n v="4211"/>
  </r>
  <r>
    <x v="2"/>
    <x v="4"/>
    <x v="4"/>
    <x v="101"/>
    <x v="73"/>
    <x v="73"/>
    <s v="REVENUS"/>
    <x v="7"/>
    <s v="4184.000"/>
    <s v="Frais de poursuite"/>
    <n v="0"/>
    <n v="98.6"/>
    <n v="4184"/>
  </r>
  <r>
    <x v="2"/>
    <x v="4"/>
    <x v="4"/>
    <x v="101"/>
    <x v="73"/>
    <x v="73"/>
    <s v="REVENUS"/>
    <x v="6"/>
    <s v="4211.002"/>
    <s v="Intérêts de retard sur acomptes"/>
    <n v="0"/>
    <n v="466.35"/>
    <n v="4211"/>
  </r>
  <r>
    <x v="2"/>
    <x v="4"/>
    <x v="4"/>
    <x v="101"/>
    <x v="73"/>
    <x v="73"/>
    <s v="REVENUS"/>
    <x v="2"/>
    <s v="4001.001"/>
    <s v="Impôt revenu"/>
    <n v="0"/>
    <n v="16496.53"/>
    <n v="4001"/>
  </r>
  <r>
    <x v="2"/>
    <x v="4"/>
    <x v="4"/>
    <x v="101"/>
    <x v="73"/>
    <x v="73"/>
    <s v="REVENUS"/>
    <x v="14"/>
    <s v="4003.020"/>
    <s v="IS - Artistes - Conférenciers - Sportifs"/>
    <n v="0"/>
    <n v="475.27"/>
    <n v="4003"/>
  </r>
  <r>
    <x v="2"/>
    <x v="4"/>
    <x v="4"/>
    <x v="101"/>
    <x v="73"/>
    <x v="73"/>
    <s v="REVENUS"/>
    <x v="14"/>
    <s v="4003.070"/>
    <s v="IS - Loi travail au noir"/>
    <n v="0"/>
    <n v="10.93"/>
    <n v="4003"/>
  </r>
  <r>
    <x v="2"/>
    <x v="4"/>
    <x v="4"/>
    <x v="102"/>
    <x v="79"/>
    <x v="79"/>
    <s v="CHARGES"/>
    <x v="19"/>
    <s v="3186.002"/>
    <s v="Commission perception IS"/>
    <n v="1817.55"/>
    <n v="0"/>
    <n v="3186"/>
  </r>
  <r>
    <x v="2"/>
    <x v="4"/>
    <x v="4"/>
    <x v="102"/>
    <x v="79"/>
    <x v="79"/>
    <s v="CHARGES"/>
    <x v="1"/>
    <s v="3301.001"/>
    <s v="Défalcations, abandons de solde PP et IS"/>
    <n v="-9.64"/>
    <n v="0"/>
    <n v="3301"/>
  </r>
  <r>
    <x v="2"/>
    <x v="4"/>
    <x v="4"/>
    <x v="102"/>
    <x v="79"/>
    <x v="79"/>
    <s v="REVENUS"/>
    <x v="14"/>
    <s v="4003.000"/>
    <s v="Impôt à la source"/>
    <n v="0"/>
    <n v="11363.73"/>
    <n v="4003"/>
  </r>
  <r>
    <x v="2"/>
    <x v="4"/>
    <x v="4"/>
    <x v="102"/>
    <x v="79"/>
    <x v="79"/>
    <s v="REVENUS"/>
    <x v="2"/>
    <s v="4001.010"/>
    <s v="Impôt sourciers mixtes"/>
    <n v="0"/>
    <n v="4817.87"/>
    <n v="4001"/>
  </r>
  <r>
    <x v="2"/>
    <x v="4"/>
    <x v="4"/>
    <x v="102"/>
    <x v="79"/>
    <x v="79"/>
    <s v="REVENUS"/>
    <x v="6"/>
    <s v="4211.001"/>
    <s v="Intérêts de retard sur factures"/>
    <n v="0"/>
    <n v="22.99"/>
    <n v="4211"/>
  </r>
  <r>
    <x v="2"/>
    <x v="4"/>
    <x v="4"/>
    <x v="102"/>
    <x v="79"/>
    <x v="79"/>
    <s v="REVENUS"/>
    <x v="2"/>
    <s v="4001.001"/>
    <s v="Impôt revenu"/>
    <n v="0"/>
    <n v="12465.49"/>
    <n v="4001"/>
  </r>
  <r>
    <x v="2"/>
    <x v="4"/>
    <x v="4"/>
    <x v="102"/>
    <x v="79"/>
    <x v="79"/>
    <s v="REVENUS"/>
    <x v="6"/>
    <s v="4211.002"/>
    <s v="Intérêts de retard sur acomptes"/>
    <n v="0"/>
    <n v="94.84"/>
    <n v="4211"/>
  </r>
  <r>
    <x v="2"/>
    <x v="4"/>
    <x v="4"/>
    <x v="102"/>
    <x v="79"/>
    <x v="79"/>
    <s v="REVENUS"/>
    <x v="2"/>
    <s v="4001.002"/>
    <s v="Impôt complément s/revenu PP"/>
    <n v="0"/>
    <n v="2288.6999999999998"/>
    <n v="4001"/>
  </r>
  <r>
    <x v="2"/>
    <x v="6"/>
    <x v="5"/>
    <x v="103"/>
    <x v="90"/>
    <x v="90"/>
    <s v="CHARGES"/>
    <x v="19"/>
    <s v="3186.002"/>
    <s v="Commission perception IS"/>
    <n v="29.46"/>
    <n v="0"/>
    <n v="3186"/>
  </r>
  <r>
    <x v="2"/>
    <x v="6"/>
    <x v="5"/>
    <x v="103"/>
    <x v="90"/>
    <x v="90"/>
    <s v="CHARGES"/>
    <x v="1"/>
    <s v="3301.001"/>
    <s v="Défalcations, abandons de solde PP et IS"/>
    <n v="476.73"/>
    <n v="0"/>
    <n v="3301"/>
  </r>
  <r>
    <x v="2"/>
    <x v="6"/>
    <x v="5"/>
    <x v="103"/>
    <x v="90"/>
    <x v="90"/>
    <s v="REVENUS"/>
    <x v="6"/>
    <s v="4211.001"/>
    <s v="Intérêts de retard sur factures"/>
    <n v="0"/>
    <n v="34.31"/>
    <n v="4211"/>
  </r>
  <r>
    <x v="2"/>
    <x v="6"/>
    <x v="5"/>
    <x v="103"/>
    <x v="90"/>
    <x v="90"/>
    <s v="REVENUS"/>
    <x v="6"/>
    <s v="4211.002"/>
    <s v="Intérêts de retard sur acomptes"/>
    <n v="0"/>
    <n v="23.28"/>
    <n v="4211"/>
  </r>
  <r>
    <x v="2"/>
    <x v="6"/>
    <x v="5"/>
    <x v="103"/>
    <x v="90"/>
    <x v="90"/>
    <s v="REVENUS"/>
    <x v="2"/>
    <s v="4001.010"/>
    <s v="Impôt sourciers mixtes"/>
    <n v="0"/>
    <n v="-157.38999999999999"/>
    <n v="4001"/>
  </r>
  <r>
    <x v="2"/>
    <x v="6"/>
    <x v="5"/>
    <x v="103"/>
    <x v="90"/>
    <x v="90"/>
    <s v="REVENUS"/>
    <x v="14"/>
    <s v="4003.000"/>
    <s v="Impôt à la source"/>
    <n v="0"/>
    <n v="-2026.29"/>
    <n v="4003"/>
  </r>
  <r>
    <x v="2"/>
    <x v="6"/>
    <x v="5"/>
    <x v="103"/>
    <x v="90"/>
    <x v="90"/>
    <s v="REVENUS"/>
    <x v="7"/>
    <s v="4184.000"/>
    <s v="Frais de poursuite"/>
    <n v="0"/>
    <n v="2.2799999999999998"/>
    <n v="4184"/>
  </r>
  <r>
    <x v="2"/>
    <x v="6"/>
    <x v="5"/>
    <x v="103"/>
    <x v="90"/>
    <x v="90"/>
    <s v="REVENUS"/>
    <x v="2"/>
    <s v="4001.001"/>
    <s v="Impôt revenu"/>
    <n v="0"/>
    <n v="3623.49"/>
    <n v="4001"/>
  </r>
  <r>
    <x v="2"/>
    <x v="6"/>
    <x v="5"/>
    <x v="104"/>
    <x v="91"/>
    <x v="91"/>
    <s v="CHARGES"/>
    <x v="19"/>
    <s v="3186.002"/>
    <s v="Commission perception IS"/>
    <n v="411.43"/>
    <n v="0"/>
    <n v="3186"/>
  </r>
  <r>
    <x v="2"/>
    <x v="6"/>
    <x v="5"/>
    <x v="104"/>
    <x v="91"/>
    <x v="91"/>
    <s v="CHARGES"/>
    <x v="1"/>
    <s v="3301.001"/>
    <s v="Défalcations, abandons de solde PP et IS"/>
    <n v="29.22"/>
    <n v="0"/>
    <n v="3301"/>
  </r>
  <r>
    <x v="2"/>
    <x v="6"/>
    <x v="5"/>
    <x v="104"/>
    <x v="91"/>
    <x v="91"/>
    <s v="REVENUS"/>
    <x v="2"/>
    <s v="4001.010"/>
    <s v="Impôt sourciers mixtes"/>
    <n v="0"/>
    <n v="-13247.43"/>
    <n v="4001"/>
  </r>
  <r>
    <x v="2"/>
    <x v="6"/>
    <x v="5"/>
    <x v="104"/>
    <x v="91"/>
    <x v="91"/>
    <s v="REVENUS"/>
    <x v="6"/>
    <s v="4211.001"/>
    <s v="Intérêts de retard sur factures"/>
    <n v="0"/>
    <n v="20.420000000000002"/>
    <n v="4211"/>
  </r>
  <r>
    <x v="2"/>
    <x v="6"/>
    <x v="5"/>
    <x v="104"/>
    <x v="91"/>
    <x v="91"/>
    <s v="REVENUS"/>
    <x v="14"/>
    <s v="4003.000"/>
    <s v="Impôt à la source"/>
    <n v="0"/>
    <n v="15639.79"/>
    <n v="4003"/>
  </r>
  <r>
    <x v="2"/>
    <x v="6"/>
    <x v="5"/>
    <x v="104"/>
    <x v="91"/>
    <x v="91"/>
    <s v="REVENUS"/>
    <x v="2"/>
    <s v="4001.005"/>
    <s v="Amende de soustract. Impôt"/>
    <n v="0"/>
    <n v="83"/>
    <n v="4001"/>
  </r>
  <r>
    <x v="2"/>
    <x v="6"/>
    <x v="5"/>
    <x v="104"/>
    <x v="91"/>
    <x v="91"/>
    <s v="REVENUS"/>
    <x v="6"/>
    <s v="4211.002"/>
    <s v="Intérêts de retard sur acomptes"/>
    <n v="0"/>
    <n v="52.66"/>
    <n v="4211"/>
  </r>
  <r>
    <x v="2"/>
    <x v="6"/>
    <x v="5"/>
    <x v="104"/>
    <x v="91"/>
    <x v="91"/>
    <s v="REVENUS"/>
    <x v="7"/>
    <s v="4184.000"/>
    <s v="Frais de poursuite"/>
    <n v="0"/>
    <n v="22.43"/>
    <n v="4184"/>
  </r>
  <r>
    <x v="2"/>
    <x v="6"/>
    <x v="5"/>
    <x v="105"/>
    <x v="92"/>
    <x v="92"/>
    <s v="CHARGES"/>
    <x v="19"/>
    <s v="3186.002"/>
    <s v="Commission perception IS"/>
    <n v="2224.31"/>
    <n v="0"/>
    <n v="3186"/>
  </r>
  <r>
    <x v="2"/>
    <x v="6"/>
    <x v="5"/>
    <x v="105"/>
    <x v="92"/>
    <x v="92"/>
    <s v="CHARGES"/>
    <x v="1"/>
    <s v="3301.001"/>
    <s v="Défalcations, abandons de solde PP et IS"/>
    <n v="213.48"/>
    <n v="0"/>
    <n v="3301"/>
  </r>
  <r>
    <x v="2"/>
    <x v="6"/>
    <x v="5"/>
    <x v="105"/>
    <x v="92"/>
    <x v="92"/>
    <s v="REVENUS"/>
    <x v="14"/>
    <s v="4003.000"/>
    <s v="Impôt à la source"/>
    <n v="0"/>
    <n v="71742.05"/>
    <n v="4003"/>
  </r>
  <r>
    <x v="2"/>
    <x v="6"/>
    <x v="5"/>
    <x v="105"/>
    <x v="92"/>
    <x v="92"/>
    <s v="REVENUS"/>
    <x v="6"/>
    <s v="4211.001"/>
    <s v="Intérêts de retard sur factures"/>
    <n v="0"/>
    <n v="109.46"/>
    <n v="4211"/>
  </r>
  <r>
    <x v="2"/>
    <x v="6"/>
    <x v="5"/>
    <x v="105"/>
    <x v="92"/>
    <x v="92"/>
    <s v="REVENUS"/>
    <x v="6"/>
    <s v="4211.002"/>
    <s v="Intérêts de retard sur acomptes"/>
    <n v="0"/>
    <n v="113.5"/>
    <n v="4211"/>
  </r>
  <r>
    <x v="2"/>
    <x v="6"/>
    <x v="5"/>
    <x v="105"/>
    <x v="92"/>
    <x v="92"/>
    <s v="REVENUS"/>
    <x v="2"/>
    <s v="4001.010"/>
    <s v="Impôt sourciers mixtes"/>
    <n v="0"/>
    <n v="10013.43"/>
    <n v="4001"/>
  </r>
  <r>
    <x v="2"/>
    <x v="6"/>
    <x v="5"/>
    <x v="105"/>
    <x v="92"/>
    <x v="92"/>
    <s v="REVENUS"/>
    <x v="7"/>
    <s v="4184.000"/>
    <s v="Frais de poursuite"/>
    <n v="0"/>
    <n v="12.44"/>
    <n v="4184"/>
  </r>
  <r>
    <x v="2"/>
    <x v="6"/>
    <x v="5"/>
    <x v="105"/>
    <x v="92"/>
    <x v="92"/>
    <s v="REVENUS"/>
    <x v="14"/>
    <s v="4003.060"/>
    <s v="IS - Administrateurs"/>
    <n v="0"/>
    <n v="3217.39"/>
    <n v="4003"/>
  </r>
  <r>
    <x v="2"/>
    <x v="6"/>
    <x v="5"/>
    <x v="105"/>
    <x v="92"/>
    <x v="92"/>
    <s v="REVENUS"/>
    <x v="8"/>
    <s v="4091.001"/>
    <s v="Impôt récupéré après défalcations"/>
    <n v="0"/>
    <n v="0"/>
    <n v="4091"/>
  </r>
  <r>
    <x v="2"/>
    <x v="6"/>
    <x v="5"/>
    <x v="105"/>
    <x v="92"/>
    <x v="92"/>
    <s v="REVENUS"/>
    <x v="2"/>
    <s v="4001.001"/>
    <s v="Impôt revenu"/>
    <n v="0"/>
    <n v="4561.6000000000004"/>
    <n v="4001"/>
  </r>
  <r>
    <x v="2"/>
    <x v="6"/>
    <x v="5"/>
    <x v="105"/>
    <x v="92"/>
    <x v="92"/>
    <s v="REVENUS"/>
    <x v="14"/>
    <s v="4003.010"/>
    <s v="IS - Employés et sourciers étrangers"/>
    <n v="0"/>
    <n v="798.31"/>
    <n v="4003"/>
  </r>
  <r>
    <x v="2"/>
    <x v="6"/>
    <x v="5"/>
    <x v="106"/>
    <x v="93"/>
    <x v="93"/>
    <s v="CHARGES"/>
    <x v="19"/>
    <s v="3186.002"/>
    <s v="Commission perception IS"/>
    <n v="2189.2199999999998"/>
    <n v="0"/>
    <n v="3186"/>
  </r>
  <r>
    <x v="2"/>
    <x v="6"/>
    <x v="5"/>
    <x v="106"/>
    <x v="93"/>
    <x v="93"/>
    <s v="CHARGES"/>
    <x v="1"/>
    <s v="3301.001"/>
    <s v="Défalcations, abandons de solde PP et IS"/>
    <n v="1917.26"/>
    <n v="0"/>
    <n v="3301"/>
  </r>
  <r>
    <x v="2"/>
    <x v="6"/>
    <x v="5"/>
    <x v="106"/>
    <x v="93"/>
    <x v="93"/>
    <s v="REVENUS"/>
    <x v="2"/>
    <s v="4001.010"/>
    <s v="Impôt sourciers mixtes"/>
    <n v="0"/>
    <n v="-11507.39"/>
    <n v="4001"/>
  </r>
  <r>
    <x v="2"/>
    <x v="6"/>
    <x v="5"/>
    <x v="106"/>
    <x v="93"/>
    <x v="93"/>
    <s v="REVENUS"/>
    <x v="14"/>
    <s v="4003.000"/>
    <s v="Impôt à la source"/>
    <n v="0"/>
    <n v="34790.19"/>
    <n v="4003"/>
  </r>
  <r>
    <x v="2"/>
    <x v="6"/>
    <x v="5"/>
    <x v="106"/>
    <x v="93"/>
    <x v="93"/>
    <s v="REVENUS"/>
    <x v="6"/>
    <s v="4211.001"/>
    <s v="Intérêts de retard sur factures"/>
    <n v="0"/>
    <n v="127.45"/>
    <n v="4211"/>
  </r>
  <r>
    <x v="2"/>
    <x v="6"/>
    <x v="5"/>
    <x v="106"/>
    <x v="93"/>
    <x v="93"/>
    <s v="REVENUS"/>
    <x v="7"/>
    <s v="4184.000"/>
    <s v="Frais de poursuite"/>
    <n v="0"/>
    <n v="8.01"/>
    <n v="4184"/>
  </r>
  <r>
    <x v="2"/>
    <x v="6"/>
    <x v="5"/>
    <x v="106"/>
    <x v="93"/>
    <x v="93"/>
    <s v="REVENUS"/>
    <x v="6"/>
    <s v="4211.002"/>
    <s v="Intérêts de retard sur acomptes"/>
    <n v="0"/>
    <n v="291.83999999999997"/>
    <n v="4211"/>
  </r>
  <r>
    <x v="2"/>
    <x v="6"/>
    <x v="5"/>
    <x v="106"/>
    <x v="93"/>
    <x v="93"/>
    <s v="REVENUS"/>
    <x v="2"/>
    <s v="4001.001"/>
    <s v="Impôt revenu"/>
    <n v="0"/>
    <n v="14516.37"/>
    <n v="4001"/>
  </r>
  <r>
    <x v="2"/>
    <x v="6"/>
    <x v="5"/>
    <x v="106"/>
    <x v="93"/>
    <x v="93"/>
    <s v="REVENUS"/>
    <x v="8"/>
    <s v="4091.001"/>
    <s v="Impôt récupéré après défalcations"/>
    <n v="0"/>
    <n v="1908.19"/>
    <n v="4091"/>
  </r>
  <r>
    <x v="2"/>
    <x v="6"/>
    <x v="5"/>
    <x v="106"/>
    <x v="93"/>
    <x v="93"/>
    <s v="REVENUS"/>
    <x v="14"/>
    <s v="4003.010"/>
    <s v="IS - Employés et sourciers étrangers"/>
    <n v="0"/>
    <n v="1727.88"/>
    <n v="4003"/>
  </r>
  <r>
    <x v="2"/>
    <x v="6"/>
    <x v="5"/>
    <x v="106"/>
    <x v="93"/>
    <x v="93"/>
    <s v="REVENUS"/>
    <x v="14"/>
    <s v="4003.070"/>
    <s v="IS - Loi travail au noir"/>
    <n v="0"/>
    <n v="1.01"/>
    <n v="4003"/>
  </r>
  <r>
    <x v="2"/>
    <x v="6"/>
    <x v="5"/>
    <x v="107"/>
    <x v="94"/>
    <x v="94"/>
    <s v="CHARGES"/>
    <x v="19"/>
    <s v="3186.002"/>
    <s v="Commission perception IS"/>
    <n v="238.59"/>
    <n v="0"/>
    <n v="3186"/>
  </r>
  <r>
    <x v="2"/>
    <x v="6"/>
    <x v="5"/>
    <x v="107"/>
    <x v="94"/>
    <x v="94"/>
    <s v="CHARGES"/>
    <x v="1"/>
    <s v="3301.001"/>
    <s v="Défalcations, abandons de solde PP et IS"/>
    <n v="0.01"/>
    <n v="0"/>
    <n v="3301"/>
  </r>
  <r>
    <x v="2"/>
    <x v="6"/>
    <x v="5"/>
    <x v="107"/>
    <x v="94"/>
    <x v="94"/>
    <s v="REVENUS"/>
    <x v="14"/>
    <s v="4003.000"/>
    <s v="Impôt à la source"/>
    <n v="0"/>
    <n v="15603.62"/>
    <n v="4003"/>
  </r>
  <r>
    <x v="2"/>
    <x v="6"/>
    <x v="5"/>
    <x v="107"/>
    <x v="94"/>
    <x v="94"/>
    <s v="REVENUS"/>
    <x v="2"/>
    <s v="4001.010"/>
    <s v="Impôt sourciers mixtes"/>
    <n v="0"/>
    <n v="-24413.22"/>
    <n v="4001"/>
  </r>
  <r>
    <x v="2"/>
    <x v="6"/>
    <x v="5"/>
    <x v="107"/>
    <x v="94"/>
    <x v="94"/>
    <s v="REVENUS"/>
    <x v="7"/>
    <s v="4184.000"/>
    <s v="Frais de poursuite"/>
    <n v="0"/>
    <n v="9.66"/>
    <n v="4184"/>
  </r>
  <r>
    <x v="2"/>
    <x v="6"/>
    <x v="5"/>
    <x v="107"/>
    <x v="94"/>
    <x v="94"/>
    <s v="REVENUS"/>
    <x v="14"/>
    <s v="4003.010"/>
    <s v="IS - Employés et sourciers étrangers"/>
    <n v="0"/>
    <n v="2108.13"/>
    <n v="4003"/>
  </r>
  <r>
    <x v="2"/>
    <x v="6"/>
    <x v="5"/>
    <x v="107"/>
    <x v="94"/>
    <x v="94"/>
    <s v="REVENUS"/>
    <x v="6"/>
    <s v="4211.001"/>
    <s v="Intérêts de retard sur factures"/>
    <n v="0"/>
    <n v="62.68"/>
    <n v="4211"/>
  </r>
  <r>
    <x v="2"/>
    <x v="6"/>
    <x v="5"/>
    <x v="107"/>
    <x v="94"/>
    <x v="94"/>
    <s v="REVENUS"/>
    <x v="6"/>
    <s v="4211.002"/>
    <s v="Intérêts de retard sur acomptes"/>
    <n v="0"/>
    <n v="48.43"/>
    <n v="4211"/>
  </r>
  <r>
    <x v="2"/>
    <x v="6"/>
    <x v="5"/>
    <x v="107"/>
    <x v="94"/>
    <x v="94"/>
    <s v="REVENUS"/>
    <x v="2"/>
    <s v="4001.001"/>
    <s v="Impôt revenu"/>
    <n v="0"/>
    <n v="2648.31"/>
    <n v="4001"/>
  </r>
  <r>
    <x v="2"/>
    <x v="6"/>
    <x v="5"/>
    <x v="108"/>
    <x v="95"/>
    <x v="95"/>
    <s v="CHARGES"/>
    <x v="19"/>
    <s v="3186.002"/>
    <s v="Commission perception IS"/>
    <n v="817.51"/>
    <n v="0"/>
    <n v="3186"/>
  </r>
  <r>
    <x v="2"/>
    <x v="6"/>
    <x v="5"/>
    <x v="108"/>
    <x v="95"/>
    <x v="95"/>
    <s v="CHARGES"/>
    <x v="1"/>
    <s v="3301.001"/>
    <s v="Défalcations, abandons de solde PP et IS"/>
    <n v="-1.1299999999999999"/>
    <n v="0"/>
    <n v="3301"/>
  </r>
  <r>
    <x v="2"/>
    <x v="6"/>
    <x v="5"/>
    <x v="108"/>
    <x v="95"/>
    <x v="95"/>
    <s v="REVENUS"/>
    <x v="14"/>
    <s v="4003.000"/>
    <s v="Impôt à la source"/>
    <n v="0"/>
    <n v="13573.72"/>
    <n v="4003"/>
  </r>
  <r>
    <x v="2"/>
    <x v="6"/>
    <x v="5"/>
    <x v="108"/>
    <x v="95"/>
    <x v="95"/>
    <s v="REVENUS"/>
    <x v="14"/>
    <s v="4003.010"/>
    <s v="IS - Employés et sourciers étrangers"/>
    <n v="0"/>
    <n v="1341.1"/>
    <n v="4003"/>
  </r>
  <r>
    <x v="2"/>
    <x v="6"/>
    <x v="5"/>
    <x v="108"/>
    <x v="95"/>
    <x v="95"/>
    <s v="REVENUS"/>
    <x v="6"/>
    <s v="4211.001"/>
    <s v="Intérêts de retard sur factures"/>
    <n v="0"/>
    <n v="50.03"/>
    <n v="4211"/>
  </r>
  <r>
    <x v="2"/>
    <x v="6"/>
    <x v="5"/>
    <x v="108"/>
    <x v="95"/>
    <x v="95"/>
    <s v="REVENUS"/>
    <x v="6"/>
    <s v="4211.002"/>
    <s v="Intérêts de retard sur acomptes"/>
    <n v="0"/>
    <n v="30.14"/>
    <n v="4211"/>
  </r>
  <r>
    <x v="2"/>
    <x v="6"/>
    <x v="5"/>
    <x v="108"/>
    <x v="95"/>
    <x v="95"/>
    <s v="REVENUS"/>
    <x v="2"/>
    <s v="4001.010"/>
    <s v="Impôt sourciers mixtes"/>
    <n v="0"/>
    <n v="15432.77"/>
    <n v="4001"/>
  </r>
  <r>
    <x v="2"/>
    <x v="6"/>
    <x v="5"/>
    <x v="109"/>
    <x v="96"/>
    <x v="96"/>
    <s v="CHARGES"/>
    <x v="19"/>
    <s v="3186.002"/>
    <s v="Commission perception IS"/>
    <n v="162.41999999999999"/>
    <n v="0"/>
    <n v="3186"/>
  </r>
  <r>
    <x v="2"/>
    <x v="6"/>
    <x v="5"/>
    <x v="109"/>
    <x v="96"/>
    <x v="96"/>
    <s v="CHARGES"/>
    <x v="1"/>
    <s v="3301.001"/>
    <s v="Défalcations, abandons de solde PP et IS"/>
    <n v="0.15"/>
    <n v="0"/>
    <n v="3301"/>
  </r>
  <r>
    <x v="2"/>
    <x v="6"/>
    <x v="5"/>
    <x v="109"/>
    <x v="96"/>
    <x v="96"/>
    <s v="REVENUS"/>
    <x v="14"/>
    <s v="4003.000"/>
    <s v="Impôt à la source"/>
    <n v="0"/>
    <n v="229.55"/>
    <n v="4003"/>
  </r>
  <r>
    <x v="2"/>
    <x v="6"/>
    <x v="5"/>
    <x v="109"/>
    <x v="96"/>
    <x v="96"/>
    <s v="REVENUS"/>
    <x v="2"/>
    <s v="4001.010"/>
    <s v="Impôt sourciers mixtes"/>
    <n v="0"/>
    <n v="-397.09"/>
    <n v="4001"/>
  </r>
  <r>
    <x v="2"/>
    <x v="6"/>
    <x v="5"/>
    <x v="109"/>
    <x v="96"/>
    <x v="96"/>
    <s v="REVENUS"/>
    <x v="6"/>
    <s v="4211.002"/>
    <s v="Intérêts de retard sur acomptes"/>
    <n v="0"/>
    <n v="-2.2999999999999998"/>
    <n v="4211"/>
  </r>
  <r>
    <x v="2"/>
    <x v="6"/>
    <x v="5"/>
    <x v="109"/>
    <x v="96"/>
    <x v="96"/>
    <s v="REVENUS"/>
    <x v="6"/>
    <s v="4211.001"/>
    <s v="Intérêts de retard sur factures"/>
    <n v="0"/>
    <n v="2.62"/>
    <n v="4211"/>
  </r>
  <r>
    <x v="2"/>
    <x v="6"/>
    <x v="5"/>
    <x v="110"/>
    <x v="97"/>
    <x v="97"/>
    <s v="CHARGES"/>
    <x v="19"/>
    <s v="3186.002"/>
    <s v="Commission perception IS"/>
    <n v="841.17"/>
    <n v="0"/>
    <n v="3186"/>
  </r>
  <r>
    <x v="2"/>
    <x v="6"/>
    <x v="5"/>
    <x v="110"/>
    <x v="97"/>
    <x v="97"/>
    <s v="CHARGES"/>
    <x v="1"/>
    <s v="3301.001"/>
    <s v="Défalcations, abandons de solde PP et IS"/>
    <n v="-2.9"/>
    <n v="0"/>
    <n v="3301"/>
  </r>
  <r>
    <x v="2"/>
    <x v="6"/>
    <x v="5"/>
    <x v="110"/>
    <x v="97"/>
    <x v="97"/>
    <s v="REVENUS"/>
    <x v="14"/>
    <s v="4003.000"/>
    <s v="Impôt à la source"/>
    <n v="0"/>
    <n v="20803.37"/>
    <n v="4003"/>
  </r>
  <r>
    <x v="2"/>
    <x v="6"/>
    <x v="5"/>
    <x v="110"/>
    <x v="97"/>
    <x v="97"/>
    <s v="REVENUS"/>
    <x v="2"/>
    <s v="4001.010"/>
    <s v="Impôt sourciers mixtes"/>
    <n v="0"/>
    <n v="2256.39"/>
    <n v="4001"/>
  </r>
  <r>
    <x v="2"/>
    <x v="6"/>
    <x v="5"/>
    <x v="110"/>
    <x v="97"/>
    <x v="97"/>
    <s v="REVENUS"/>
    <x v="6"/>
    <s v="4211.001"/>
    <s v="Intérêts de retard sur factures"/>
    <n v="0"/>
    <n v="44.68"/>
    <n v="4211"/>
  </r>
  <r>
    <x v="2"/>
    <x v="6"/>
    <x v="5"/>
    <x v="110"/>
    <x v="97"/>
    <x v="97"/>
    <s v="REVENUS"/>
    <x v="14"/>
    <s v="4003.010"/>
    <s v="IS - Employés et sourciers étrangers"/>
    <n v="0"/>
    <n v="659.02"/>
    <n v="4003"/>
  </r>
  <r>
    <x v="2"/>
    <x v="6"/>
    <x v="5"/>
    <x v="110"/>
    <x v="97"/>
    <x v="97"/>
    <s v="REVENUS"/>
    <x v="6"/>
    <s v="4211.002"/>
    <s v="Intérêts de retard sur acomptes"/>
    <n v="0"/>
    <n v="14.44"/>
    <n v="4211"/>
  </r>
  <r>
    <x v="2"/>
    <x v="6"/>
    <x v="5"/>
    <x v="111"/>
    <x v="98"/>
    <x v="98"/>
    <s v="CHARGES"/>
    <x v="1"/>
    <s v="3301.001"/>
    <s v="Défalcations, abandons de solde PP et IS"/>
    <n v="0.03"/>
    <n v="0"/>
    <n v="3301"/>
  </r>
  <r>
    <x v="2"/>
    <x v="6"/>
    <x v="5"/>
    <x v="111"/>
    <x v="98"/>
    <x v="98"/>
    <s v="CHARGES"/>
    <x v="19"/>
    <s v="3186.002"/>
    <s v="Commission perception IS"/>
    <n v="1905.91"/>
    <n v="0"/>
    <n v="3186"/>
  </r>
  <r>
    <x v="2"/>
    <x v="6"/>
    <x v="5"/>
    <x v="111"/>
    <x v="98"/>
    <x v="98"/>
    <s v="REVENUS"/>
    <x v="6"/>
    <s v="4211.001"/>
    <s v="Intérêts de retard sur factures"/>
    <n v="0"/>
    <n v="-5.0999999999999996"/>
    <n v="4211"/>
  </r>
  <r>
    <x v="2"/>
    <x v="6"/>
    <x v="5"/>
    <x v="111"/>
    <x v="98"/>
    <x v="98"/>
    <s v="REVENUS"/>
    <x v="2"/>
    <s v="4001.010"/>
    <s v="Impôt sourciers mixtes"/>
    <n v="0"/>
    <n v="23435.34"/>
    <n v="4001"/>
  </r>
  <r>
    <x v="2"/>
    <x v="6"/>
    <x v="5"/>
    <x v="111"/>
    <x v="98"/>
    <x v="98"/>
    <s v="REVENUS"/>
    <x v="6"/>
    <s v="4211.002"/>
    <s v="Intérêts de retard sur acomptes"/>
    <n v="0"/>
    <n v="27.86"/>
    <n v="4211"/>
  </r>
  <r>
    <x v="2"/>
    <x v="6"/>
    <x v="5"/>
    <x v="111"/>
    <x v="98"/>
    <x v="98"/>
    <s v="REVENUS"/>
    <x v="14"/>
    <s v="4003.000"/>
    <s v="Impôt à la source"/>
    <n v="0"/>
    <n v="4056.5"/>
    <n v="4003"/>
  </r>
  <r>
    <x v="2"/>
    <x v="6"/>
    <x v="5"/>
    <x v="112"/>
    <x v="99"/>
    <x v="99"/>
    <s v="CHARGES"/>
    <x v="19"/>
    <s v="3186.002"/>
    <s v="Commission perception IS"/>
    <n v="7220.91"/>
    <n v="0"/>
    <n v="3186"/>
  </r>
  <r>
    <x v="2"/>
    <x v="6"/>
    <x v="5"/>
    <x v="112"/>
    <x v="99"/>
    <x v="99"/>
    <s v="CHARGES"/>
    <x v="1"/>
    <s v="3301.001"/>
    <s v="Défalcations, abandons de solde PP et IS"/>
    <n v="5113.51"/>
    <n v="0"/>
    <n v="3301"/>
  </r>
  <r>
    <x v="2"/>
    <x v="6"/>
    <x v="5"/>
    <x v="112"/>
    <x v="99"/>
    <x v="99"/>
    <s v="REVENUS"/>
    <x v="14"/>
    <s v="4003.000"/>
    <s v="Impôt à la source"/>
    <n v="0"/>
    <n v="97888.9"/>
    <n v="4003"/>
  </r>
  <r>
    <x v="2"/>
    <x v="6"/>
    <x v="5"/>
    <x v="112"/>
    <x v="99"/>
    <x v="99"/>
    <s v="REVENUS"/>
    <x v="2"/>
    <s v="4001.010"/>
    <s v="Impôt sourciers mixtes"/>
    <n v="0"/>
    <n v="63252.43"/>
    <n v="4001"/>
  </r>
  <r>
    <x v="2"/>
    <x v="6"/>
    <x v="5"/>
    <x v="112"/>
    <x v="99"/>
    <x v="99"/>
    <s v="REVENUS"/>
    <x v="6"/>
    <s v="4211.001"/>
    <s v="Intérêts de retard sur factures"/>
    <n v="0"/>
    <n v="594.15"/>
    <n v="4211"/>
  </r>
  <r>
    <x v="2"/>
    <x v="6"/>
    <x v="5"/>
    <x v="112"/>
    <x v="99"/>
    <x v="99"/>
    <s v="REVENUS"/>
    <x v="6"/>
    <s v="4211.002"/>
    <s v="Intérêts de retard sur acomptes"/>
    <n v="0"/>
    <n v="738.82"/>
    <n v="4211"/>
  </r>
  <r>
    <x v="2"/>
    <x v="6"/>
    <x v="5"/>
    <x v="112"/>
    <x v="99"/>
    <x v="99"/>
    <s v="REVENUS"/>
    <x v="7"/>
    <s v="4184.000"/>
    <s v="Frais de poursuite"/>
    <n v="0"/>
    <n v="363.98"/>
    <n v="4184"/>
  </r>
  <r>
    <x v="2"/>
    <x v="6"/>
    <x v="5"/>
    <x v="112"/>
    <x v="99"/>
    <x v="99"/>
    <s v="REVENUS"/>
    <x v="8"/>
    <s v="4091.001"/>
    <s v="Impôt récupéré après défalcations"/>
    <n v="0"/>
    <n v="2466.0700000000002"/>
    <n v="4091"/>
  </r>
  <r>
    <x v="2"/>
    <x v="6"/>
    <x v="5"/>
    <x v="112"/>
    <x v="99"/>
    <x v="99"/>
    <s v="REVENUS"/>
    <x v="2"/>
    <s v="4001.001"/>
    <s v="Impôt revenu"/>
    <n v="0"/>
    <n v="25118.33"/>
    <n v="4001"/>
  </r>
  <r>
    <x v="2"/>
    <x v="6"/>
    <x v="5"/>
    <x v="112"/>
    <x v="99"/>
    <x v="99"/>
    <s v="REVENUS"/>
    <x v="14"/>
    <s v="4003.020"/>
    <s v="IS - Artistes - Conférenciers - Sportifs"/>
    <n v="0"/>
    <n v="132.32"/>
    <n v="4003"/>
  </r>
  <r>
    <x v="2"/>
    <x v="6"/>
    <x v="5"/>
    <x v="112"/>
    <x v="99"/>
    <x v="99"/>
    <s v="REVENUS"/>
    <x v="14"/>
    <s v="4003.070"/>
    <s v="IS - Loi travail au noir"/>
    <n v="0"/>
    <n v="2.83"/>
    <n v="4003"/>
  </r>
  <r>
    <x v="2"/>
    <x v="6"/>
    <x v="5"/>
    <x v="112"/>
    <x v="99"/>
    <x v="99"/>
    <s v="REVENUS"/>
    <x v="2"/>
    <s v="4001.005"/>
    <s v="Amende de soustract. Impôt"/>
    <n v="0"/>
    <n v="0"/>
    <n v="4001"/>
  </r>
  <r>
    <x v="2"/>
    <x v="6"/>
    <x v="5"/>
    <x v="113"/>
    <x v="100"/>
    <x v="100"/>
    <s v="CHARGES"/>
    <x v="19"/>
    <s v="3186.002"/>
    <s v="Commission perception IS"/>
    <n v="274.04000000000002"/>
    <n v="0"/>
    <n v="3186"/>
  </r>
  <r>
    <x v="2"/>
    <x v="6"/>
    <x v="5"/>
    <x v="113"/>
    <x v="100"/>
    <x v="100"/>
    <s v="CHARGES"/>
    <x v="1"/>
    <s v="3301.001"/>
    <s v="Défalcations, abandons de solde PP et IS"/>
    <n v="0.17"/>
    <n v="0"/>
    <n v="3301"/>
  </r>
  <r>
    <x v="2"/>
    <x v="6"/>
    <x v="5"/>
    <x v="113"/>
    <x v="100"/>
    <x v="100"/>
    <s v="REVENUS"/>
    <x v="14"/>
    <s v="4003.000"/>
    <s v="Impôt à la source"/>
    <n v="0"/>
    <n v="6319.65"/>
    <n v="4003"/>
  </r>
  <r>
    <x v="2"/>
    <x v="6"/>
    <x v="5"/>
    <x v="113"/>
    <x v="100"/>
    <x v="100"/>
    <s v="REVENUS"/>
    <x v="6"/>
    <s v="4211.001"/>
    <s v="Intérêts de retard sur factures"/>
    <n v="0"/>
    <n v="4.7300000000000004"/>
    <n v="4211"/>
  </r>
  <r>
    <x v="2"/>
    <x v="6"/>
    <x v="5"/>
    <x v="113"/>
    <x v="100"/>
    <x v="100"/>
    <s v="REVENUS"/>
    <x v="2"/>
    <s v="4001.010"/>
    <s v="Impôt sourciers mixtes"/>
    <n v="0"/>
    <n v="-1170.05"/>
    <n v="4001"/>
  </r>
  <r>
    <x v="2"/>
    <x v="6"/>
    <x v="5"/>
    <x v="113"/>
    <x v="100"/>
    <x v="100"/>
    <s v="REVENUS"/>
    <x v="6"/>
    <s v="4211.002"/>
    <s v="Intérêts de retard sur acomptes"/>
    <n v="0"/>
    <n v="7.1"/>
    <n v="4211"/>
  </r>
  <r>
    <x v="2"/>
    <x v="6"/>
    <x v="5"/>
    <x v="113"/>
    <x v="100"/>
    <x v="100"/>
    <s v="REVENUS"/>
    <x v="2"/>
    <s v="4001.001"/>
    <s v="Impôt revenu"/>
    <n v="0"/>
    <n v="2886.91"/>
    <n v="4001"/>
  </r>
  <r>
    <x v="2"/>
    <x v="6"/>
    <x v="5"/>
    <x v="114"/>
    <x v="101"/>
    <x v="101"/>
    <s v="REVENUS"/>
    <x v="6"/>
    <s v="4211.001"/>
    <s v="Intérêts de retard sur factures"/>
    <n v="0"/>
    <n v="0.41"/>
    <n v="4211"/>
  </r>
  <r>
    <x v="2"/>
    <x v="6"/>
    <x v="5"/>
    <x v="114"/>
    <x v="101"/>
    <x v="101"/>
    <s v="REVENUS"/>
    <x v="6"/>
    <s v="4211.002"/>
    <s v="Intérêts de retard sur acomptes"/>
    <n v="0"/>
    <n v="-0.03"/>
    <n v="4211"/>
  </r>
  <r>
    <x v="2"/>
    <x v="6"/>
    <x v="5"/>
    <x v="115"/>
    <x v="102"/>
    <x v="102"/>
    <s v="CHARGES"/>
    <x v="19"/>
    <s v="3186.002"/>
    <s v="Commission perception IS"/>
    <n v="13.16"/>
    <n v="0"/>
    <n v="3186"/>
  </r>
  <r>
    <x v="2"/>
    <x v="6"/>
    <x v="5"/>
    <x v="115"/>
    <x v="102"/>
    <x v="102"/>
    <s v="REVENUS"/>
    <x v="6"/>
    <s v="4211.002"/>
    <s v="Intérêts de retard sur acomptes"/>
    <n v="0"/>
    <n v="-0.15"/>
    <n v="4211"/>
  </r>
  <r>
    <x v="2"/>
    <x v="6"/>
    <x v="5"/>
    <x v="115"/>
    <x v="102"/>
    <x v="102"/>
    <s v="REVENUS"/>
    <x v="6"/>
    <s v="4211.001"/>
    <s v="Intérêts de retard sur factures"/>
    <n v="0"/>
    <n v="0.05"/>
    <n v="4211"/>
  </r>
  <r>
    <x v="2"/>
    <x v="6"/>
    <x v="5"/>
    <x v="115"/>
    <x v="102"/>
    <x v="102"/>
    <s v="REVENUS"/>
    <x v="2"/>
    <s v="4001.010"/>
    <s v="Impôt sourciers mixtes"/>
    <n v="0"/>
    <n v="-203.99"/>
    <n v="4001"/>
  </r>
  <r>
    <x v="2"/>
    <x v="6"/>
    <x v="5"/>
    <x v="116"/>
    <x v="103"/>
    <x v="103"/>
    <s v="CHARGES"/>
    <x v="19"/>
    <s v="3186.002"/>
    <s v="Commission perception IS"/>
    <n v="156.66999999999999"/>
    <n v="0"/>
    <n v="3186"/>
  </r>
  <r>
    <x v="2"/>
    <x v="6"/>
    <x v="5"/>
    <x v="116"/>
    <x v="103"/>
    <x v="103"/>
    <s v="CHARGES"/>
    <x v="1"/>
    <s v="3301.001"/>
    <s v="Défalcations, abandons de solde PP et IS"/>
    <n v="3556.38"/>
    <n v="0"/>
    <n v="3301"/>
  </r>
  <r>
    <x v="2"/>
    <x v="6"/>
    <x v="5"/>
    <x v="116"/>
    <x v="103"/>
    <x v="103"/>
    <s v="REVENUS"/>
    <x v="14"/>
    <s v="4003.000"/>
    <s v="Impôt à la source"/>
    <n v="0"/>
    <n v="7410.17"/>
    <n v="4003"/>
  </r>
  <r>
    <x v="2"/>
    <x v="6"/>
    <x v="5"/>
    <x v="116"/>
    <x v="103"/>
    <x v="103"/>
    <s v="REVENUS"/>
    <x v="6"/>
    <s v="4211.001"/>
    <s v="Intérêts de retard sur factures"/>
    <n v="0"/>
    <n v="30.51"/>
    <n v="4211"/>
  </r>
  <r>
    <x v="2"/>
    <x v="6"/>
    <x v="5"/>
    <x v="116"/>
    <x v="103"/>
    <x v="103"/>
    <s v="REVENUS"/>
    <x v="7"/>
    <s v="4184.000"/>
    <s v="Frais de poursuite"/>
    <n v="0"/>
    <n v="23.12"/>
    <n v="4184"/>
  </r>
  <r>
    <x v="2"/>
    <x v="6"/>
    <x v="5"/>
    <x v="116"/>
    <x v="103"/>
    <x v="103"/>
    <s v="REVENUS"/>
    <x v="2"/>
    <s v="4001.010"/>
    <s v="Impôt sourciers mixtes"/>
    <n v="0"/>
    <n v="1030.3399999999999"/>
    <n v="4001"/>
  </r>
  <r>
    <x v="2"/>
    <x v="6"/>
    <x v="5"/>
    <x v="116"/>
    <x v="103"/>
    <x v="103"/>
    <s v="REVENUS"/>
    <x v="6"/>
    <s v="4211.002"/>
    <s v="Intérêts de retard sur acomptes"/>
    <n v="0"/>
    <n v="73.22"/>
    <n v="4211"/>
  </r>
  <r>
    <x v="2"/>
    <x v="6"/>
    <x v="5"/>
    <x v="116"/>
    <x v="103"/>
    <x v="103"/>
    <s v="REVENUS"/>
    <x v="2"/>
    <s v="4001.001"/>
    <s v="Impôt revenu"/>
    <n v="0"/>
    <n v="345.32"/>
    <n v="4001"/>
  </r>
  <r>
    <x v="2"/>
    <x v="6"/>
    <x v="5"/>
    <x v="116"/>
    <x v="103"/>
    <x v="103"/>
    <s v="REVENUS"/>
    <x v="14"/>
    <s v="4003.010"/>
    <s v="IS - Employés et sourciers étrangers"/>
    <n v="0"/>
    <n v="211.43"/>
    <n v="4003"/>
  </r>
  <r>
    <x v="2"/>
    <x v="6"/>
    <x v="5"/>
    <x v="116"/>
    <x v="103"/>
    <x v="103"/>
    <s v="REVENUS"/>
    <x v="2"/>
    <s v="4001.002"/>
    <s v="Impôt complément s/revenu PP"/>
    <n v="0"/>
    <n v="762.87"/>
    <n v="4001"/>
  </r>
  <r>
    <x v="2"/>
    <x v="6"/>
    <x v="5"/>
    <x v="117"/>
    <x v="104"/>
    <x v="104"/>
    <s v="CHARGES"/>
    <x v="19"/>
    <s v="3186.002"/>
    <s v="Commission perception IS"/>
    <n v="-84.74"/>
    <n v="0"/>
    <n v="3186"/>
  </r>
  <r>
    <x v="2"/>
    <x v="6"/>
    <x v="5"/>
    <x v="117"/>
    <x v="104"/>
    <x v="104"/>
    <s v="CHARGES"/>
    <x v="1"/>
    <s v="3301.001"/>
    <s v="Défalcations, abandons de solde PP et IS"/>
    <n v="986.09"/>
    <n v="0"/>
    <n v="3301"/>
  </r>
  <r>
    <x v="2"/>
    <x v="6"/>
    <x v="5"/>
    <x v="117"/>
    <x v="104"/>
    <x v="104"/>
    <s v="REVENUS"/>
    <x v="2"/>
    <s v="4001.010"/>
    <s v="Impôt sourciers mixtes"/>
    <n v="0"/>
    <n v="92.13"/>
    <n v="4001"/>
  </r>
  <r>
    <x v="2"/>
    <x v="6"/>
    <x v="5"/>
    <x v="117"/>
    <x v="104"/>
    <x v="104"/>
    <s v="REVENUS"/>
    <x v="14"/>
    <s v="4003.000"/>
    <s v="Impôt à la source"/>
    <n v="0"/>
    <n v="-2241.41"/>
    <n v="4003"/>
  </r>
  <r>
    <x v="2"/>
    <x v="6"/>
    <x v="5"/>
    <x v="117"/>
    <x v="104"/>
    <x v="104"/>
    <s v="REVENUS"/>
    <x v="6"/>
    <s v="4211.001"/>
    <s v="Intérêts de retard sur factures"/>
    <n v="0"/>
    <n v="47.56"/>
    <n v="4211"/>
  </r>
  <r>
    <x v="2"/>
    <x v="6"/>
    <x v="5"/>
    <x v="117"/>
    <x v="104"/>
    <x v="104"/>
    <s v="REVENUS"/>
    <x v="6"/>
    <s v="4211.002"/>
    <s v="Intérêts de retard sur acomptes"/>
    <n v="0"/>
    <n v="11.35"/>
    <n v="4211"/>
  </r>
  <r>
    <x v="2"/>
    <x v="6"/>
    <x v="5"/>
    <x v="117"/>
    <x v="104"/>
    <x v="104"/>
    <s v="REVENUS"/>
    <x v="8"/>
    <s v="4091.001"/>
    <s v="Impôt récupéré après défalcations"/>
    <n v="0"/>
    <n v="695.42"/>
    <n v="4091"/>
  </r>
  <r>
    <x v="2"/>
    <x v="6"/>
    <x v="5"/>
    <x v="117"/>
    <x v="104"/>
    <x v="104"/>
    <s v="REVENUS"/>
    <x v="2"/>
    <s v="4001.001"/>
    <s v="Impôt revenu"/>
    <n v="0"/>
    <n v="2024.11"/>
    <n v="4001"/>
  </r>
  <r>
    <x v="2"/>
    <x v="6"/>
    <x v="5"/>
    <x v="117"/>
    <x v="104"/>
    <x v="104"/>
    <s v="REVENUS"/>
    <x v="7"/>
    <s v="4184.000"/>
    <s v="Frais de poursuite"/>
    <n v="0"/>
    <n v="9.68"/>
    <n v="4184"/>
  </r>
  <r>
    <x v="2"/>
    <x v="6"/>
    <x v="5"/>
    <x v="119"/>
    <x v="106"/>
    <x v="106"/>
    <s v="CHARGES"/>
    <x v="19"/>
    <s v="3186.002"/>
    <s v="Commission perception IS"/>
    <n v="5537.8"/>
    <n v="0"/>
    <n v="3186"/>
  </r>
  <r>
    <x v="2"/>
    <x v="6"/>
    <x v="5"/>
    <x v="119"/>
    <x v="106"/>
    <x v="106"/>
    <s v="CHARGES"/>
    <x v="1"/>
    <s v="3301.001"/>
    <s v="Défalcations, abandons de solde PP et IS"/>
    <n v="17208.13"/>
    <n v="0"/>
    <n v="3301"/>
  </r>
  <r>
    <x v="2"/>
    <x v="6"/>
    <x v="5"/>
    <x v="119"/>
    <x v="106"/>
    <x v="106"/>
    <s v="REVENUS"/>
    <x v="2"/>
    <s v="4001.010"/>
    <s v="Impôt sourciers mixtes"/>
    <n v="0"/>
    <n v="-58887.13"/>
    <n v="4001"/>
  </r>
  <r>
    <x v="2"/>
    <x v="6"/>
    <x v="5"/>
    <x v="119"/>
    <x v="106"/>
    <x v="106"/>
    <s v="REVENUS"/>
    <x v="14"/>
    <s v="4003.000"/>
    <s v="Impôt à la source"/>
    <n v="0"/>
    <n v="123883.09"/>
    <n v="4003"/>
  </r>
  <r>
    <x v="2"/>
    <x v="6"/>
    <x v="5"/>
    <x v="119"/>
    <x v="106"/>
    <x v="106"/>
    <s v="REVENUS"/>
    <x v="6"/>
    <s v="4211.002"/>
    <s v="Intérêts de retard sur acomptes"/>
    <n v="0"/>
    <n v="907.18"/>
    <n v="4211"/>
  </r>
  <r>
    <x v="2"/>
    <x v="6"/>
    <x v="5"/>
    <x v="119"/>
    <x v="106"/>
    <x v="106"/>
    <s v="REVENUS"/>
    <x v="6"/>
    <s v="4211.001"/>
    <s v="Intérêts de retard sur factures"/>
    <n v="0"/>
    <n v="522.46"/>
    <n v="4211"/>
  </r>
  <r>
    <x v="2"/>
    <x v="6"/>
    <x v="5"/>
    <x v="119"/>
    <x v="106"/>
    <x v="106"/>
    <s v="REVENUS"/>
    <x v="2"/>
    <s v="4001.001"/>
    <s v="Impôt revenu"/>
    <n v="0"/>
    <n v="27310.400000000001"/>
    <n v="4001"/>
  </r>
  <r>
    <x v="2"/>
    <x v="6"/>
    <x v="5"/>
    <x v="119"/>
    <x v="106"/>
    <x v="106"/>
    <s v="REVENUS"/>
    <x v="2"/>
    <s v="4001.002"/>
    <s v="Impôt complément s/revenu PP"/>
    <n v="0"/>
    <n v="6563.18"/>
    <n v="4001"/>
  </r>
  <r>
    <x v="2"/>
    <x v="6"/>
    <x v="5"/>
    <x v="119"/>
    <x v="106"/>
    <x v="106"/>
    <s v="REVENUS"/>
    <x v="7"/>
    <s v="4184.000"/>
    <s v="Frais de poursuite"/>
    <n v="0"/>
    <n v="63.43"/>
    <n v="4184"/>
  </r>
  <r>
    <x v="2"/>
    <x v="6"/>
    <x v="5"/>
    <x v="119"/>
    <x v="106"/>
    <x v="106"/>
    <s v="REVENUS"/>
    <x v="14"/>
    <s v="4003.030"/>
    <s v="IS - Prestations en capital / Prévoyance"/>
    <n v="0"/>
    <n v="393.59"/>
    <n v="4003"/>
  </r>
  <r>
    <x v="2"/>
    <x v="6"/>
    <x v="5"/>
    <x v="119"/>
    <x v="106"/>
    <x v="106"/>
    <s v="REVENUS"/>
    <x v="14"/>
    <s v="4003.070"/>
    <s v="IS - Loi travail au noir"/>
    <n v="0"/>
    <n v="127.74"/>
    <n v="4003"/>
  </r>
  <r>
    <x v="2"/>
    <x v="6"/>
    <x v="5"/>
    <x v="119"/>
    <x v="106"/>
    <x v="106"/>
    <s v="REVENUS"/>
    <x v="14"/>
    <s v="4003.060"/>
    <s v="IS - Administrateurs"/>
    <n v="0"/>
    <n v="321.74"/>
    <n v="4003"/>
  </r>
  <r>
    <x v="2"/>
    <x v="6"/>
    <x v="5"/>
    <x v="119"/>
    <x v="106"/>
    <x v="106"/>
    <s v="REVENUS"/>
    <x v="8"/>
    <s v="4091.001"/>
    <s v="Impôt récupéré après défalcations"/>
    <n v="0"/>
    <n v="248.27"/>
    <n v="4091"/>
  </r>
  <r>
    <x v="2"/>
    <x v="6"/>
    <x v="5"/>
    <x v="119"/>
    <x v="106"/>
    <x v="106"/>
    <s v="REVENUS"/>
    <x v="2"/>
    <s v="4001.005"/>
    <s v="Amende de soustract. Impôt"/>
    <n v="0"/>
    <n v="150"/>
    <n v="4001"/>
  </r>
  <r>
    <x v="2"/>
    <x v="6"/>
    <x v="5"/>
    <x v="121"/>
    <x v="105"/>
    <x v="105"/>
    <s v="CHARGES"/>
    <x v="19"/>
    <s v="3186.002"/>
    <s v="Commission perception IS"/>
    <n v="1014.89"/>
    <n v="0"/>
    <n v="3186"/>
  </r>
  <r>
    <x v="2"/>
    <x v="6"/>
    <x v="5"/>
    <x v="121"/>
    <x v="105"/>
    <x v="105"/>
    <s v="CHARGES"/>
    <x v="1"/>
    <s v="3301.001"/>
    <s v="Défalcations, abandons de solde PP et IS"/>
    <n v="43.36"/>
    <n v="0"/>
    <n v="3301"/>
  </r>
  <r>
    <x v="2"/>
    <x v="6"/>
    <x v="5"/>
    <x v="121"/>
    <x v="105"/>
    <x v="105"/>
    <s v="REVENUS"/>
    <x v="2"/>
    <s v="4001.010"/>
    <s v="Impôt sourciers mixtes"/>
    <n v="0"/>
    <n v="-9059.3700000000008"/>
    <n v="4001"/>
  </r>
  <r>
    <x v="2"/>
    <x v="6"/>
    <x v="5"/>
    <x v="121"/>
    <x v="105"/>
    <x v="105"/>
    <s v="REVENUS"/>
    <x v="14"/>
    <s v="4003.000"/>
    <s v="Impôt à la source"/>
    <n v="0"/>
    <n v="12529.03"/>
    <n v="4003"/>
  </r>
  <r>
    <x v="2"/>
    <x v="6"/>
    <x v="5"/>
    <x v="121"/>
    <x v="105"/>
    <x v="105"/>
    <s v="REVENUS"/>
    <x v="6"/>
    <s v="4211.001"/>
    <s v="Intérêts de retard sur factures"/>
    <n v="0"/>
    <n v="63.17"/>
    <n v="4211"/>
  </r>
  <r>
    <x v="2"/>
    <x v="6"/>
    <x v="5"/>
    <x v="121"/>
    <x v="105"/>
    <x v="105"/>
    <s v="REVENUS"/>
    <x v="6"/>
    <s v="4211.002"/>
    <s v="Intérêts de retard sur acomptes"/>
    <n v="0"/>
    <n v="69.72"/>
    <n v="4211"/>
  </r>
  <r>
    <x v="2"/>
    <x v="6"/>
    <x v="5"/>
    <x v="121"/>
    <x v="105"/>
    <x v="105"/>
    <s v="REVENUS"/>
    <x v="8"/>
    <s v="4091.001"/>
    <s v="Impôt récupéré après défalcations"/>
    <n v="0"/>
    <n v="37.979999999999997"/>
    <n v="4091"/>
  </r>
  <r>
    <x v="2"/>
    <x v="6"/>
    <x v="5"/>
    <x v="121"/>
    <x v="105"/>
    <x v="105"/>
    <s v="REVENUS"/>
    <x v="2"/>
    <s v="4001.001"/>
    <s v="Impôt revenu"/>
    <n v="0"/>
    <n v="11735.63"/>
    <n v="4001"/>
  </r>
  <r>
    <x v="2"/>
    <x v="6"/>
    <x v="5"/>
    <x v="121"/>
    <x v="105"/>
    <x v="105"/>
    <s v="REVENUS"/>
    <x v="7"/>
    <s v="4184.000"/>
    <s v="Frais de poursuite"/>
    <n v="0"/>
    <n v="2"/>
    <n v="4184"/>
  </r>
  <r>
    <x v="2"/>
    <x v="7"/>
    <x v="6"/>
    <x v="122"/>
    <x v="107"/>
    <x v="107"/>
    <s v="CHARGES"/>
    <x v="19"/>
    <s v="3186.002"/>
    <s v="Commission perception IS"/>
    <n v="45795.99"/>
    <n v="0"/>
    <n v="3186"/>
  </r>
  <r>
    <x v="2"/>
    <x v="7"/>
    <x v="6"/>
    <x v="122"/>
    <x v="107"/>
    <x v="107"/>
    <s v="CHARGES"/>
    <x v="1"/>
    <s v="3301.001"/>
    <s v="Défalcations, abandons de solde PP et IS"/>
    <n v="2543.58"/>
    <n v="0"/>
    <n v="3301"/>
  </r>
  <r>
    <x v="2"/>
    <x v="7"/>
    <x v="6"/>
    <x v="122"/>
    <x v="107"/>
    <x v="107"/>
    <s v="REVENUS"/>
    <x v="2"/>
    <s v="4001.010"/>
    <s v="Impôt sourciers mixtes"/>
    <n v="0"/>
    <n v="479044.6"/>
    <n v="4001"/>
  </r>
  <r>
    <x v="2"/>
    <x v="7"/>
    <x v="6"/>
    <x v="122"/>
    <x v="107"/>
    <x v="107"/>
    <s v="REVENUS"/>
    <x v="14"/>
    <s v="4003.000"/>
    <s v="Impôt à la source"/>
    <n v="0"/>
    <n v="186771.42"/>
    <n v="4003"/>
  </r>
  <r>
    <x v="2"/>
    <x v="7"/>
    <x v="6"/>
    <x v="122"/>
    <x v="107"/>
    <x v="107"/>
    <s v="REVENUS"/>
    <x v="6"/>
    <s v="4211.001"/>
    <s v="Intérêts de retard sur factures"/>
    <n v="0"/>
    <n v="544.95000000000005"/>
    <n v="4211"/>
  </r>
  <r>
    <x v="2"/>
    <x v="7"/>
    <x v="6"/>
    <x v="122"/>
    <x v="107"/>
    <x v="107"/>
    <s v="REVENUS"/>
    <x v="6"/>
    <s v="4211.002"/>
    <s v="Intérêts de retard sur acomptes"/>
    <n v="0"/>
    <n v="2134.44"/>
    <n v="4211"/>
  </r>
  <r>
    <x v="2"/>
    <x v="7"/>
    <x v="6"/>
    <x v="122"/>
    <x v="107"/>
    <x v="107"/>
    <s v="REVENUS"/>
    <x v="2"/>
    <s v="4001.001"/>
    <s v="Impôt revenu"/>
    <n v="0"/>
    <n v="55671.95"/>
    <n v="4001"/>
  </r>
  <r>
    <x v="2"/>
    <x v="7"/>
    <x v="6"/>
    <x v="122"/>
    <x v="107"/>
    <x v="107"/>
    <s v="REVENUS"/>
    <x v="7"/>
    <s v="4184.000"/>
    <s v="Frais de poursuite"/>
    <n v="0"/>
    <n v="109.53"/>
    <n v="4184"/>
  </r>
  <r>
    <x v="2"/>
    <x v="7"/>
    <x v="6"/>
    <x v="122"/>
    <x v="107"/>
    <x v="107"/>
    <s v="REVENUS"/>
    <x v="2"/>
    <s v="4001.005"/>
    <s v="Amende de soustract. Impôt"/>
    <n v="0"/>
    <n v="200"/>
    <n v="4001"/>
  </r>
  <r>
    <x v="2"/>
    <x v="7"/>
    <x v="6"/>
    <x v="122"/>
    <x v="107"/>
    <x v="107"/>
    <s v="REVENUS"/>
    <x v="8"/>
    <s v="4091.001"/>
    <s v="Impôt récupéré après défalcations"/>
    <n v="0"/>
    <n v="2457.84"/>
    <n v="4091"/>
  </r>
  <r>
    <x v="2"/>
    <x v="7"/>
    <x v="6"/>
    <x v="122"/>
    <x v="107"/>
    <x v="107"/>
    <s v="REVENUS"/>
    <x v="14"/>
    <s v="4003.070"/>
    <s v="IS - Loi travail au noir"/>
    <n v="0"/>
    <n v="1354.57"/>
    <n v="4003"/>
  </r>
  <r>
    <x v="2"/>
    <x v="8"/>
    <x v="7"/>
    <x v="123"/>
    <x v="108"/>
    <x v="108"/>
    <s v="CHARGES"/>
    <x v="19"/>
    <s v="3186.002"/>
    <s v="Commission perception IS"/>
    <n v="13317.82"/>
    <n v="0"/>
    <n v="3186"/>
  </r>
  <r>
    <x v="2"/>
    <x v="8"/>
    <x v="7"/>
    <x v="123"/>
    <x v="108"/>
    <x v="108"/>
    <s v="CHARGES"/>
    <x v="1"/>
    <s v="3301.001"/>
    <s v="Défalcations, abandons de solde PP et IS"/>
    <n v="2702.02"/>
    <n v="0"/>
    <n v="3301"/>
  </r>
  <r>
    <x v="2"/>
    <x v="8"/>
    <x v="7"/>
    <x v="123"/>
    <x v="108"/>
    <x v="108"/>
    <s v="REVENUS"/>
    <x v="2"/>
    <s v="4001.010"/>
    <s v="Impôt sourciers mixtes"/>
    <n v="0"/>
    <n v="-44521.14"/>
    <n v="4001"/>
  </r>
  <r>
    <x v="2"/>
    <x v="8"/>
    <x v="7"/>
    <x v="123"/>
    <x v="108"/>
    <x v="108"/>
    <s v="REVENUS"/>
    <x v="14"/>
    <s v="4003.000"/>
    <s v="Impôt à la source"/>
    <n v="0"/>
    <n v="258699.31"/>
    <n v="4003"/>
  </r>
  <r>
    <x v="2"/>
    <x v="8"/>
    <x v="7"/>
    <x v="123"/>
    <x v="108"/>
    <x v="108"/>
    <s v="REVENUS"/>
    <x v="6"/>
    <s v="4211.001"/>
    <s v="Intérêts de retard sur factures"/>
    <n v="0"/>
    <n v="374.99"/>
    <n v="4211"/>
  </r>
  <r>
    <x v="2"/>
    <x v="8"/>
    <x v="7"/>
    <x v="123"/>
    <x v="108"/>
    <x v="108"/>
    <s v="REVENUS"/>
    <x v="6"/>
    <s v="4211.002"/>
    <s v="Intérêts de retard sur acomptes"/>
    <n v="0"/>
    <n v="1510.98"/>
    <n v="4211"/>
  </r>
  <r>
    <x v="2"/>
    <x v="8"/>
    <x v="7"/>
    <x v="123"/>
    <x v="108"/>
    <x v="108"/>
    <s v="REVENUS"/>
    <x v="8"/>
    <s v="4091.001"/>
    <s v="Impôt récupéré après défalcations"/>
    <n v="0"/>
    <n v="2134.8200000000002"/>
    <n v="4091"/>
  </r>
  <r>
    <x v="2"/>
    <x v="8"/>
    <x v="7"/>
    <x v="123"/>
    <x v="108"/>
    <x v="108"/>
    <s v="REVENUS"/>
    <x v="7"/>
    <s v="4184.000"/>
    <s v="Frais de poursuite"/>
    <n v="0"/>
    <n v="192.38"/>
    <n v="4184"/>
  </r>
  <r>
    <x v="2"/>
    <x v="8"/>
    <x v="7"/>
    <x v="123"/>
    <x v="108"/>
    <x v="108"/>
    <s v="REVENUS"/>
    <x v="14"/>
    <s v="4003.030"/>
    <s v="IS - Prestations en capital / Prévoyance"/>
    <n v="0"/>
    <n v="9474.5300000000007"/>
    <n v="4003"/>
  </r>
  <r>
    <x v="2"/>
    <x v="8"/>
    <x v="7"/>
    <x v="123"/>
    <x v="108"/>
    <x v="108"/>
    <s v="REVENUS"/>
    <x v="14"/>
    <s v="4003.060"/>
    <s v="IS - Administrateurs"/>
    <n v="0"/>
    <n v="57524.02"/>
    <n v="4003"/>
  </r>
  <r>
    <x v="2"/>
    <x v="8"/>
    <x v="7"/>
    <x v="123"/>
    <x v="108"/>
    <x v="108"/>
    <s v="REVENUS"/>
    <x v="2"/>
    <s v="4001.001"/>
    <s v="Impôt revenu"/>
    <n v="0"/>
    <n v="32083.63"/>
    <n v="4001"/>
  </r>
  <r>
    <x v="2"/>
    <x v="8"/>
    <x v="7"/>
    <x v="123"/>
    <x v="108"/>
    <x v="108"/>
    <s v="REVENUS"/>
    <x v="2"/>
    <s v="4001.005"/>
    <s v="Amende de soustract. Impôt"/>
    <n v="0"/>
    <n v="1062.3"/>
    <n v="4001"/>
  </r>
  <r>
    <x v="2"/>
    <x v="8"/>
    <x v="7"/>
    <x v="123"/>
    <x v="108"/>
    <x v="108"/>
    <s v="REVENUS"/>
    <x v="14"/>
    <s v="4003.020"/>
    <s v="IS - Artistes - Conférenciers - Sportifs"/>
    <n v="0"/>
    <n v="48.83"/>
    <n v="4003"/>
  </r>
  <r>
    <x v="2"/>
    <x v="8"/>
    <x v="7"/>
    <x v="123"/>
    <x v="108"/>
    <x v="108"/>
    <s v="REVENUS"/>
    <x v="2"/>
    <s v="4001.002"/>
    <s v="Impôt complément s/revenu PP"/>
    <n v="0"/>
    <n v="2693.24"/>
    <n v="4001"/>
  </r>
  <r>
    <x v="2"/>
    <x v="8"/>
    <x v="7"/>
    <x v="123"/>
    <x v="108"/>
    <x v="108"/>
    <s v="REVENUS"/>
    <x v="14"/>
    <s v="4003.070"/>
    <s v="IS - Loi travail au noir"/>
    <n v="0"/>
    <n v="0.68"/>
    <n v="4003"/>
  </r>
  <r>
    <x v="2"/>
    <x v="8"/>
    <x v="8"/>
    <x v="124"/>
    <x v="109"/>
    <x v="109"/>
    <s v="CHARGES"/>
    <x v="19"/>
    <s v="3186.002"/>
    <s v="Commission perception IS"/>
    <n v="31216.74"/>
    <n v="0"/>
    <n v="3186"/>
  </r>
  <r>
    <x v="2"/>
    <x v="8"/>
    <x v="8"/>
    <x v="124"/>
    <x v="109"/>
    <x v="109"/>
    <s v="CHARGES"/>
    <x v="1"/>
    <s v="3301.001"/>
    <s v="Défalcations, abandons de solde PP et IS"/>
    <n v="20248.73"/>
    <n v="0"/>
    <n v="3301"/>
  </r>
  <r>
    <x v="2"/>
    <x v="8"/>
    <x v="8"/>
    <x v="124"/>
    <x v="109"/>
    <x v="109"/>
    <s v="REVENUS"/>
    <x v="2"/>
    <s v="4001.010"/>
    <s v="Impôt sourciers mixtes"/>
    <n v="0"/>
    <n v="-79462.58"/>
    <n v="4001"/>
  </r>
  <r>
    <x v="2"/>
    <x v="8"/>
    <x v="8"/>
    <x v="124"/>
    <x v="109"/>
    <x v="109"/>
    <s v="REVENUS"/>
    <x v="14"/>
    <s v="4003.000"/>
    <s v="Impôt à la source"/>
    <n v="0"/>
    <n v="959870.02"/>
    <n v="4003"/>
  </r>
  <r>
    <x v="2"/>
    <x v="8"/>
    <x v="8"/>
    <x v="124"/>
    <x v="109"/>
    <x v="109"/>
    <s v="REVENUS"/>
    <x v="14"/>
    <s v="4003.030"/>
    <s v="IS - Prestations en capital / Prévoyance"/>
    <n v="0"/>
    <n v="9429.7199999999993"/>
    <n v="4003"/>
  </r>
  <r>
    <x v="2"/>
    <x v="8"/>
    <x v="8"/>
    <x v="124"/>
    <x v="109"/>
    <x v="109"/>
    <s v="REVENUS"/>
    <x v="6"/>
    <s v="4211.002"/>
    <s v="Intérêts de retard sur acomptes"/>
    <n v="0"/>
    <n v="3917.75"/>
    <n v="4211"/>
  </r>
  <r>
    <x v="2"/>
    <x v="8"/>
    <x v="8"/>
    <x v="124"/>
    <x v="109"/>
    <x v="109"/>
    <s v="REVENUS"/>
    <x v="6"/>
    <s v="4211.001"/>
    <s v="Intérêts de retard sur factures"/>
    <n v="0"/>
    <n v="2257.86"/>
    <n v="4211"/>
  </r>
  <r>
    <x v="2"/>
    <x v="8"/>
    <x v="8"/>
    <x v="124"/>
    <x v="109"/>
    <x v="109"/>
    <s v="REVENUS"/>
    <x v="2"/>
    <s v="4001.001"/>
    <s v="Impôt revenu"/>
    <n v="0"/>
    <n v="85310.04"/>
    <n v="4001"/>
  </r>
  <r>
    <x v="2"/>
    <x v="8"/>
    <x v="8"/>
    <x v="124"/>
    <x v="109"/>
    <x v="109"/>
    <s v="REVENUS"/>
    <x v="8"/>
    <s v="4091.001"/>
    <s v="Impôt récupéré après défalcations"/>
    <n v="0"/>
    <n v="1823.47"/>
    <n v="4091"/>
  </r>
  <r>
    <x v="2"/>
    <x v="8"/>
    <x v="8"/>
    <x v="124"/>
    <x v="109"/>
    <x v="109"/>
    <s v="REVENUS"/>
    <x v="2"/>
    <s v="4001.005"/>
    <s v="Amende de soustract. Impôt"/>
    <n v="0"/>
    <n v="3286.1"/>
    <n v="4001"/>
  </r>
  <r>
    <x v="2"/>
    <x v="8"/>
    <x v="8"/>
    <x v="124"/>
    <x v="109"/>
    <x v="109"/>
    <s v="REVENUS"/>
    <x v="7"/>
    <s v="4184.000"/>
    <s v="Frais de poursuite"/>
    <n v="0"/>
    <n v="483.18"/>
    <n v="4184"/>
  </r>
  <r>
    <x v="2"/>
    <x v="8"/>
    <x v="8"/>
    <x v="124"/>
    <x v="109"/>
    <x v="109"/>
    <s v="REVENUS"/>
    <x v="14"/>
    <s v="4003.010"/>
    <s v="IS - Employés et sourciers étrangers"/>
    <n v="0"/>
    <n v="446.66"/>
    <n v="4003"/>
  </r>
  <r>
    <x v="2"/>
    <x v="8"/>
    <x v="8"/>
    <x v="124"/>
    <x v="109"/>
    <x v="109"/>
    <s v="REVENUS"/>
    <x v="2"/>
    <s v="4001.002"/>
    <s v="Impôt complément s/revenu PP"/>
    <n v="0"/>
    <n v="9074.17"/>
    <n v="4001"/>
  </r>
  <r>
    <x v="2"/>
    <x v="8"/>
    <x v="8"/>
    <x v="124"/>
    <x v="109"/>
    <x v="109"/>
    <s v="REVENUS"/>
    <x v="14"/>
    <s v="4003.060"/>
    <s v="IS - Administrateurs"/>
    <n v="0"/>
    <n v="643.48"/>
    <n v="4003"/>
  </r>
  <r>
    <x v="2"/>
    <x v="8"/>
    <x v="8"/>
    <x v="124"/>
    <x v="109"/>
    <x v="109"/>
    <s v="REVENUS"/>
    <x v="14"/>
    <s v="4003.080"/>
    <s v="IS - Participations Hors Suisse"/>
    <n v="0"/>
    <n v="66005.58"/>
    <n v="4003"/>
  </r>
  <r>
    <x v="2"/>
    <x v="8"/>
    <x v="8"/>
    <x v="124"/>
    <x v="109"/>
    <x v="109"/>
    <s v="REVENUS"/>
    <x v="14"/>
    <s v="4003.070"/>
    <s v="IS - Loi travail au noir"/>
    <n v="0"/>
    <n v="4822.3599999999997"/>
    <n v="4003"/>
  </r>
  <r>
    <x v="2"/>
    <x v="8"/>
    <x v="8"/>
    <x v="124"/>
    <x v="109"/>
    <x v="109"/>
    <s v="REVENUS"/>
    <x v="14"/>
    <s v="4003.020"/>
    <s v="IS - Artistes - Conférenciers - Sportifs"/>
    <n v="0"/>
    <n v="125.55"/>
    <n v="4003"/>
  </r>
  <r>
    <x v="2"/>
    <x v="8"/>
    <x v="7"/>
    <x v="125"/>
    <x v="110"/>
    <x v="110"/>
    <s v="CHARGES"/>
    <x v="19"/>
    <s v="3186.002"/>
    <s v="Commission perception IS"/>
    <n v="60705.31"/>
    <n v="0"/>
    <n v="3186"/>
  </r>
  <r>
    <x v="2"/>
    <x v="8"/>
    <x v="7"/>
    <x v="125"/>
    <x v="110"/>
    <x v="110"/>
    <s v="CHARGES"/>
    <x v="1"/>
    <s v="3301.001"/>
    <s v="Défalcations, abandons de solde PP et IS"/>
    <n v="7252.3"/>
    <n v="0"/>
    <n v="3301"/>
  </r>
  <r>
    <x v="2"/>
    <x v="8"/>
    <x v="7"/>
    <x v="125"/>
    <x v="110"/>
    <x v="110"/>
    <s v="REVENUS"/>
    <x v="2"/>
    <s v="4001.010"/>
    <s v="Impôt sourciers mixtes"/>
    <n v="0"/>
    <n v="-244062.52"/>
    <n v="4001"/>
  </r>
  <r>
    <x v="2"/>
    <x v="8"/>
    <x v="7"/>
    <x v="125"/>
    <x v="110"/>
    <x v="110"/>
    <s v="REVENUS"/>
    <x v="14"/>
    <s v="4003.000"/>
    <s v="Impôt à la source"/>
    <n v="0"/>
    <n v="382180.71"/>
    <n v="4003"/>
  </r>
  <r>
    <x v="2"/>
    <x v="8"/>
    <x v="7"/>
    <x v="125"/>
    <x v="110"/>
    <x v="110"/>
    <s v="REVENUS"/>
    <x v="6"/>
    <s v="4211.001"/>
    <s v="Intérêts de retard sur factures"/>
    <n v="0"/>
    <n v="3750.48"/>
    <n v="4211"/>
  </r>
  <r>
    <x v="2"/>
    <x v="8"/>
    <x v="7"/>
    <x v="125"/>
    <x v="110"/>
    <x v="110"/>
    <s v="REVENUS"/>
    <x v="6"/>
    <s v="4211.002"/>
    <s v="Intérêts de retard sur acomptes"/>
    <n v="0"/>
    <n v="5463.84"/>
    <n v="4211"/>
  </r>
  <r>
    <x v="2"/>
    <x v="8"/>
    <x v="7"/>
    <x v="125"/>
    <x v="110"/>
    <x v="110"/>
    <s v="REVENUS"/>
    <x v="7"/>
    <s v="4184.000"/>
    <s v="Frais de poursuite"/>
    <n v="0"/>
    <n v="118.5"/>
    <n v="4184"/>
  </r>
  <r>
    <x v="2"/>
    <x v="8"/>
    <x v="7"/>
    <x v="125"/>
    <x v="110"/>
    <x v="110"/>
    <s v="REVENUS"/>
    <x v="14"/>
    <s v="4003.060"/>
    <s v="IS - Administrateurs"/>
    <n v="0"/>
    <n v="16061.46"/>
    <n v="4003"/>
  </r>
  <r>
    <x v="2"/>
    <x v="8"/>
    <x v="7"/>
    <x v="125"/>
    <x v="110"/>
    <x v="110"/>
    <s v="REVENUS"/>
    <x v="2"/>
    <s v="4001.001"/>
    <s v="Impôt revenu"/>
    <n v="0"/>
    <n v="162773.34"/>
    <n v="4001"/>
  </r>
  <r>
    <x v="2"/>
    <x v="8"/>
    <x v="7"/>
    <x v="125"/>
    <x v="110"/>
    <x v="110"/>
    <s v="REVENUS"/>
    <x v="8"/>
    <s v="4091.001"/>
    <s v="Impôt récupéré après défalcations"/>
    <n v="0"/>
    <n v="2593.2199999999998"/>
    <n v="4091"/>
  </r>
  <r>
    <x v="2"/>
    <x v="8"/>
    <x v="7"/>
    <x v="125"/>
    <x v="110"/>
    <x v="110"/>
    <s v="REVENUS"/>
    <x v="2"/>
    <s v="4001.005"/>
    <s v="Amende de soustract. Impôt"/>
    <n v="0"/>
    <n v="0"/>
    <n v="4001"/>
  </r>
  <r>
    <x v="2"/>
    <x v="8"/>
    <x v="7"/>
    <x v="125"/>
    <x v="110"/>
    <x v="110"/>
    <s v="REVENUS"/>
    <x v="14"/>
    <s v="4003.070"/>
    <s v="IS - Loi travail au noir"/>
    <n v="0"/>
    <n v="640.39"/>
    <n v="4003"/>
  </r>
  <r>
    <x v="2"/>
    <x v="8"/>
    <x v="7"/>
    <x v="125"/>
    <x v="110"/>
    <x v="110"/>
    <s v="REVENUS"/>
    <x v="2"/>
    <s v="4001.002"/>
    <s v="Impôt complément s/revenu PP"/>
    <n v="0"/>
    <n v="1151.49"/>
    <n v="4001"/>
  </r>
  <r>
    <x v="2"/>
    <x v="8"/>
    <x v="7"/>
    <x v="126"/>
    <x v="111"/>
    <x v="111"/>
    <s v="CHARGES"/>
    <x v="19"/>
    <s v="3186.002"/>
    <s v="Commission perception IS"/>
    <n v="8558.52"/>
    <n v="0"/>
    <n v="3186"/>
  </r>
  <r>
    <x v="2"/>
    <x v="8"/>
    <x v="7"/>
    <x v="126"/>
    <x v="111"/>
    <x v="111"/>
    <s v="CHARGES"/>
    <x v="1"/>
    <s v="3301.001"/>
    <s v="Défalcations, abandons de solde PP et IS"/>
    <n v="6.32"/>
    <n v="0"/>
    <n v="3301"/>
  </r>
  <r>
    <x v="2"/>
    <x v="8"/>
    <x v="7"/>
    <x v="126"/>
    <x v="111"/>
    <x v="111"/>
    <s v="REVENUS"/>
    <x v="14"/>
    <s v="4003.000"/>
    <s v="Impôt à la source"/>
    <n v="0"/>
    <n v="48157.27"/>
    <n v="4003"/>
  </r>
  <r>
    <x v="2"/>
    <x v="8"/>
    <x v="7"/>
    <x v="126"/>
    <x v="111"/>
    <x v="111"/>
    <s v="REVENUS"/>
    <x v="2"/>
    <s v="4001.010"/>
    <s v="Impôt sourciers mixtes"/>
    <n v="0"/>
    <n v="-164737.35"/>
    <n v="4001"/>
  </r>
  <r>
    <x v="2"/>
    <x v="8"/>
    <x v="7"/>
    <x v="126"/>
    <x v="111"/>
    <x v="111"/>
    <s v="REVENUS"/>
    <x v="6"/>
    <s v="4211.001"/>
    <s v="Intérêts de retard sur factures"/>
    <n v="0"/>
    <n v="177.03"/>
    <n v="4211"/>
  </r>
  <r>
    <x v="2"/>
    <x v="8"/>
    <x v="7"/>
    <x v="126"/>
    <x v="111"/>
    <x v="111"/>
    <s v="REVENUS"/>
    <x v="6"/>
    <s v="4211.002"/>
    <s v="Intérêts de retard sur acomptes"/>
    <n v="0"/>
    <n v="316.8"/>
    <n v="4211"/>
  </r>
  <r>
    <x v="2"/>
    <x v="8"/>
    <x v="7"/>
    <x v="126"/>
    <x v="111"/>
    <x v="111"/>
    <s v="REVENUS"/>
    <x v="7"/>
    <s v="4184.000"/>
    <s v="Frais de poursuite"/>
    <n v="0"/>
    <n v="26.85"/>
    <n v="4184"/>
  </r>
  <r>
    <x v="2"/>
    <x v="8"/>
    <x v="7"/>
    <x v="126"/>
    <x v="111"/>
    <x v="111"/>
    <s v="REVENUS"/>
    <x v="2"/>
    <s v="4001.001"/>
    <s v="Impôt revenu"/>
    <n v="0"/>
    <n v="5311.54"/>
    <n v="4001"/>
  </r>
  <r>
    <x v="2"/>
    <x v="8"/>
    <x v="7"/>
    <x v="126"/>
    <x v="111"/>
    <x v="111"/>
    <s v="REVENUS"/>
    <x v="2"/>
    <s v="4001.005"/>
    <s v="Amende de soustract. Impôt"/>
    <n v="0"/>
    <n v="0"/>
    <n v="4001"/>
  </r>
  <r>
    <x v="2"/>
    <x v="8"/>
    <x v="7"/>
    <x v="127"/>
    <x v="112"/>
    <x v="112"/>
    <s v="CHARGES"/>
    <x v="19"/>
    <s v="3186.002"/>
    <s v="Commission perception IS"/>
    <n v="1359538.79"/>
    <n v="0"/>
    <n v="3186"/>
  </r>
  <r>
    <x v="2"/>
    <x v="8"/>
    <x v="7"/>
    <x v="127"/>
    <x v="112"/>
    <x v="112"/>
    <s v="CHARGES"/>
    <x v="1"/>
    <s v="3301.001"/>
    <s v="Défalcations, abandons de solde PP et IS"/>
    <n v="372368.01"/>
    <n v="0"/>
    <n v="3301"/>
  </r>
  <r>
    <x v="2"/>
    <x v="8"/>
    <x v="7"/>
    <x v="127"/>
    <x v="112"/>
    <x v="112"/>
    <s v="CHARGES"/>
    <x v="1"/>
    <s v="3301.001"/>
    <s v="Défalcations, abandons de solde PP et IS"/>
    <n v="-15.44"/>
    <n v="0"/>
    <n v="3301"/>
  </r>
  <r>
    <x v="2"/>
    <x v="8"/>
    <x v="7"/>
    <x v="127"/>
    <x v="112"/>
    <x v="112"/>
    <s v="REVENUS"/>
    <x v="2"/>
    <s v="4001.010"/>
    <s v="Impôt sourciers mixtes"/>
    <n v="0"/>
    <n v="-4628362.67"/>
    <n v="4001"/>
  </r>
  <r>
    <x v="2"/>
    <x v="8"/>
    <x v="7"/>
    <x v="127"/>
    <x v="112"/>
    <x v="112"/>
    <s v="REVENUS"/>
    <x v="14"/>
    <s v="4003.000"/>
    <s v="Impôt à la source"/>
    <n v="0"/>
    <n v="21265133.34"/>
    <n v="4003"/>
  </r>
  <r>
    <x v="2"/>
    <x v="8"/>
    <x v="7"/>
    <x v="127"/>
    <x v="112"/>
    <x v="112"/>
    <s v="REVENUS"/>
    <x v="2"/>
    <s v="4001.001"/>
    <s v="Impôt revenu"/>
    <n v="0"/>
    <n v="5684762.0499999998"/>
    <n v="4001"/>
  </r>
  <r>
    <x v="2"/>
    <x v="8"/>
    <x v="7"/>
    <x v="127"/>
    <x v="112"/>
    <x v="112"/>
    <s v="REVENUS"/>
    <x v="2"/>
    <s v="4001.005"/>
    <s v="Amende de soustract. Impôt"/>
    <n v="0"/>
    <n v="30391.41"/>
    <n v="4001"/>
  </r>
  <r>
    <x v="2"/>
    <x v="8"/>
    <x v="7"/>
    <x v="127"/>
    <x v="112"/>
    <x v="112"/>
    <s v="REVENUS"/>
    <x v="6"/>
    <s v="4211.001"/>
    <s v="Intérêts de retard sur factures"/>
    <n v="0"/>
    <n v="61054.45"/>
    <n v="4211"/>
  </r>
  <r>
    <x v="2"/>
    <x v="8"/>
    <x v="7"/>
    <x v="127"/>
    <x v="112"/>
    <x v="112"/>
    <s v="REVENUS"/>
    <x v="14"/>
    <s v="4003.020"/>
    <s v="IS - Artistes - Conférenciers - Sportifs"/>
    <n v="0"/>
    <n v="198204.03"/>
    <n v="4003"/>
  </r>
  <r>
    <x v="2"/>
    <x v="8"/>
    <x v="7"/>
    <x v="127"/>
    <x v="112"/>
    <x v="112"/>
    <s v="REVENUS"/>
    <x v="14"/>
    <s v="4003.030"/>
    <s v="IS - Prestations en capital / Prévoyance"/>
    <n v="0"/>
    <n v="2119789.6800000002"/>
    <n v="4003"/>
  </r>
  <r>
    <x v="2"/>
    <x v="8"/>
    <x v="7"/>
    <x v="127"/>
    <x v="112"/>
    <x v="112"/>
    <s v="REVENUS"/>
    <x v="14"/>
    <s v="4003.060"/>
    <s v="IS - Administrateurs"/>
    <n v="0"/>
    <n v="238310.49"/>
    <n v="4003"/>
  </r>
  <r>
    <x v="2"/>
    <x v="8"/>
    <x v="7"/>
    <x v="127"/>
    <x v="112"/>
    <x v="112"/>
    <s v="REVENUS"/>
    <x v="6"/>
    <s v="4211.002"/>
    <s v="Intérêts de retard sur acomptes"/>
    <n v="0"/>
    <n v="131195.51999999999"/>
    <n v="4211"/>
  </r>
  <r>
    <x v="2"/>
    <x v="8"/>
    <x v="7"/>
    <x v="127"/>
    <x v="112"/>
    <x v="112"/>
    <s v="REVENUS"/>
    <x v="8"/>
    <s v="4091.001"/>
    <s v="Impôt récupéré après défalcations"/>
    <n v="0"/>
    <n v="64265.21"/>
    <n v="4091"/>
  </r>
  <r>
    <x v="2"/>
    <x v="8"/>
    <x v="7"/>
    <x v="127"/>
    <x v="112"/>
    <x v="112"/>
    <s v="REVENUS"/>
    <x v="7"/>
    <s v="4184.000"/>
    <s v="Frais de poursuite"/>
    <n v="0"/>
    <n v="10506.21"/>
    <n v="4184"/>
  </r>
  <r>
    <x v="2"/>
    <x v="8"/>
    <x v="7"/>
    <x v="127"/>
    <x v="112"/>
    <x v="112"/>
    <s v="REVENUS"/>
    <x v="14"/>
    <s v="4003.010"/>
    <s v="IS - Employés et sourciers étrangers"/>
    <n v="0"/>
    <n v="107048.61"/>
    <n v="4003"/>
  </r>
  <r>
    <x v="2"/>
    <x v="8"/>
    <x v="7"/>
    <x v="127"/>
    <x v="112"/>
    <x v="112"/>
    <s v="REVENUS"/>
    <x v="14"/>
    <s v="4003.080"/>
    <s v="IS - Participations Hors Suisse"/>
    <n v="0"/>
    <n v="481389.72"/>
    <n v="4003"/>
  </r>
  <r>
    <x v="2"/>
    <x v="8"/>
    <x v="7"/>
    <x v="127"/>
    <x v="112"/>
    <x v="112"/>
    <s v="REVENUS"/>
    <x v="2"/>
    <s v="4001.002"/>
    <s v="Impôt complément s/revenu PP"/>
    <n v="0"/>
    <n v="354122.58"/>
    <n v="4001"/>
  </r>
  <r>
    <x v="2"/>
    <x v="8"/>
    <x v="7"/>
    <x v="127"/>
    <x v="112"/>
    <x v="112"/>
    <s v="REVENUS"/>
    <x v="14"/>
    <s v="4003.070"/>
    <s v="IS - Loi travail au noir"/>
    <n v="0"/>
    <n v="64816.19"/>
    <n v="4003"/>
  </r>
  <r>
    <x v="2"/>
    <x v="8"/>
    <x v="7"/>
    <x v="127"/>
    <x v="112"/>
    <x v="112"/>
    <s v="REVENUS"/>
    <x v="8"/>
    <s v="4091.003"/>
    <s v="Impôt récupéré concordat"/>
    <n v="0"/>
    <n v="4622.57"/>
    <n v="4091"/>
  </r>
  <r>
    <x v="2"/>
    <x v="8"/>
    <x v="7"/>
    <x v="128"/>
    <x v="113"/>
    <x v="113"/>
    <s v="CHARGES"/>
    <x v="19"/>
    <s v="3186.002"/>
    <s v="Commission perception IS"/>
    <n v="67504.41"/>
    <n v="0"/>
    <n v="3186"/>
  </r>
  <r>
    <x v="2"/>
    <x v="8"/>
    <x v="7"/>
    <x v="128"/>
    <x v="113"/>
    <x v="113"/>
    <s v="CHARGES"/>
    <x v="1"/>
    <s v="3301.001"/>
    <s v="Défalcations, abandons de solde PP et IS"/>
    <n v="11364.09"/>
    <n v="0"/>
    <n v="3301"/>
  </r>
  <r>
    <x v="2"/>
    <x v="8"/>
    <x v="7"/>
    <x v="128"/>
    <x v="113"/>
    <x v="113"/>
    <s v="REVENUS"/>
    <x v="2"/>
    <s v="4001.010"/>
    <s v="Impôt sourciers mixtes"/>
    <n v="0"/>
    <n v="-414424.02"/>
    <n v="4001"/>
  </r>
  <r>
    <x v="2"/>
    <x v="8"/>
    <x v="7"/>
    <x v="128"/>
    <x v="113"/>
    <x v="113"/>
    <s v="REVENUS"/>
    <x v="14"/>
    <s v="4003.000"/>
    <s v="Impôt à la source"/>
    <n v="0"/>
    <n v="481134.82"/>
    <n v="4003"/>
  </r>
  <r>
    <x v="2"/>
    <x v="8"/>
    <x v="7"/>
    <x v="128"/>
    <x v="113"/>
    <x v="113"/>
    <s v="REVENUS"/>
    <x v="2"/>
    <s v="4001.005"/>
    <s v="Amende de soustract. Impôt"/>
    <n v="0"/>
    <n v="413"/>
    <n v="4001"/>
  </r>
  <r>
    <x v="2"/>
    <x v="8"/>
    <x v="7"/>
    <x v="128"/>
    <x v="113"/>
    <x v="113"/>
    <s v="REVENUS"/>
    <x v="6"/>
    <s v="4211.001"/>
    <s v="Intérêts de retard sur factures"/>
    <n v="0"/>
    <n v="1990.13"/>
    <n v="4211"/>
  </r>
  <r>
    <x v="2"/>
    <x v="8"/>
    <x v="7"/>
    <x v="128"/>
    <x v="113"/>
    <x v="113"/>
    <s v="REVENUS"/>
    <x v="6"/>
    <s v="4211.002"/>
    <s v="Intérêts de retard sur acomptes"/>
    <n v="0"/>
    <n v="5380.54"/>
    <n v="4211"/>
  </r>
  <r>
    <x v="2"/>
    <x v="8"/>
    <x v="7"/>
    <x v="128"/>
    <x v="113"/>
    <x v="113"/>
    <s v="REVENUS"/>
    <x v="2"/>
    <s v="4001.001"/>
    <s v="Impôt revenu"/>
    <n v="0"/>
    <n v="116611.24"/>
    <n v="4001"/>
  </r>
  <r>
    <x v="2"/>
    <x v="8"/>
    <x v="7"/>
    <x v="128"/>
    <x v="113"/>
    <x v="113"/>
    <s v="REVENUS"/>
    <x v="7"/>
    <s v="4184.000"/>
    <s v="Frais de poursuite"/>
    <n v="0"/>
    <n v="284.08"/>
    <n v="4184"/>
  </r>
  <r>
    <x v="2"/>
    <x v="8"/>
    <x v="7"/>
    <x v="128"/>
    <x v="113"/>
    <x v="113"/>
    <s v="REVENUS"/>
    <x v="14"/>
    <s v="4003.060"/>
    <s v="IS - Administrateurs"/>
    <n v="0"/>
    <n v="5490.63"/>
    <n v="4003"/>
  </r>
  <r>
    <x v="2"/>
    <x v="8"/>
    <x v="7"/>
    <x v="128"/>
    <x v="113"/>
    <x v="113"/>
    <s v="REVENUS"/>
    <x v="14"/>
    <s v="4003.020"/>
    <s v="IS - Artistes - Conférenciers - Sportifs"/>
    <n v="0"/>
    <n v="165.77"/>
    <n v="4003"/>
  </r>
  <r>
    <x v="2"/>
    <x v="8"/>
    <x v="7"/>
    <x v="128"/>
    <x v="113"/>
    <x v="113"/>
    <s v="REVENUS"/>
    <x v="8"/>
    <s v="4091.001"/>
    <s v="Impôt récupéré après défalcations"/>
    <n v="0"/>
    <n v="4369"/>
    <n v="4091"/>
  </r>
  <r>
    <x v="2"/>
    <x v="8"/>
    <x v="7"/>
    <x v="128"/>
    <x v="113"/>
    <x v="113"/>
    <s v="REVENUS"/>
    <x v="14"/>
    <s v="4003.070"/>
    <s v="IS - Loi travail au noir"/>
    <n v="0"/>
    <n v="213.53"/>
    <n v="4003"/>
  </r>
  <r>
    <x v="2"/>
    <x v="8"/>
    <x v="7"/>
    <x v="128"/>
    <x v="113"/>
    <x v="113"/>
    <s v="REVENUS"/>
    <x v="8"/>
    <s v="4091.003"/>
    <s v="Impôt récupéré concordat"/>
    <n v="0"/>
    <n v="215.24"/>
    <n v="4091"/>
  </r>
  <r>
    <x v="2"/>
    <x v="8"/>
    <x v="7"/>
    <x v="128"/>
    <x v="113"/>
    <x v="113"/>
    <s v="REVENUS"/>
    <x v="2"/>
    <s v="4001.002"/>
    <s v="Impôt complément s/revenu PP"/>
    <n v="0"/>
    <n v="7626.04"/>
    <n v="4001"/>
  </r>
  <r>
    <x v="2"/>
    <x v="7"/>
    <x v="6"/>
    <x v="129"/>
    <x v="114"/>
    <x v="114"/>
    <s v="CHARGES"/>
    <x v="19"/>
    <s v="3186.002"/>
    <s v="Commission perception IS"/>
    <n v="20389"/>
    <n v="0"/>
    <n v="3186"/>
  </r>
  <r>
    <x v="2"/>
    <x v="7"/>
    <x v="6"/>
    <x v="129"/>
    <x v="114"/>
    <x v="114"/>
    <s v="CHARGES"/>
    <x v="1"/>
    <s v="3301.001"/>
    <s v="Défalcations, abandons de solde PP et IS"/>
    <n v="1330.07"/>
    <n v="0"/>
    <n v="3301"/>
  </r>
  <r>
    <x v="2"/>
    <x v="7"/>
    <x v="6"/>
    <x v="129"/>
    <x v="114"/>
    <x v="114"/>
    <s v="REVENUS"/>
    <x v="2"/>
    <s v="4001.010"/>
    <s v="Impôt sourciers mixtes"/>
    <n v="0"/>
    <n v="-64008.86"/>
    <n v="4001"/>
  </r>
  <r>
    <x v="2"/>
    <x v="7"/>
    <x v="6"/>
    <x v="129"/>
    <x v="114"/>
    <x v="114"/>
    <s v="REVENUS"/>
    <x v="14"/>
    <s v="4003.000"/>
    <s v="Impôt à la source"/>
    <n v="0"/>
    <n v="109293.32"/>
    <n v="4003"/>
  </r>
  <r>
    <x v="2"/>
    <x v="7"/>
    <x v="6"/>
    <x v="129"/>
    <x v="114"/>
    <x v="114"/>
    <s v="REVENUS"/>
    <x v="6"/>
    <s v="4211.002"/>
    <s v="Intérêts de retard sur acomptes"/>
    <n v="0"/>
    <n v="554.11"/>
    <n v="4211"/>
  </r>
  <r>
    <x v="2"/>
    <x v="7"/>
    <x v="6"/>
    <x v="129"/>
    <x v="114"/>
    <x v="114"/>
    <s v="REVENUS"/>
    <x v="6"/>
    <s v="4211.001"/>
    <s v="Intérêts de retard sur factures"/>
    <n v="0"/>
    <n v="531.1"/>
    <n v="4211"/>
  </r>
  <r>
    <x v="2"/>
    <x v="7"/>
    <x v="6"/>
    <x v="129"/>
    <x v="114"/>
    <x v="114"/>
    <s v="REVENUS"/>
    <x v="14"/>
    <s v="4003.030"/>
    <s v="IS - Prestations en capital / Prévoyance"/>
    <n v="0"/>
    <n v="203652.8"/>
    <n v="4003"/>
  </r>
  <r>
    <x v="2"/>
    <x v="7"/>
    <x v="6"/>
    <x v="129"/>
    <x v="114"/>
    <x v="114"/>
    <s v="REVENUS"/>
    <x v="7"/>
    <s v="4184.000"/>
    <s v="Frais de poursuite"/>
    <n v="0"/>
    <n v="38.58"/>
    <n v="4184"/>
  </r>
  <r>
    <x v="2"/>
    <x v="7"/>
    <x v="6"/>
    <x v="129"/>
    <x v="114"/>
    <x v="114"/>
    <s v="REVENUS"/>
    <x v="8"/>
    <s v="4091.001"/>
    <s v="Impôt récupéré après défalcations"/>
    <n v="0"/>
    <n v="1449.22"/>
    <n v="4091"/>
  </r>
  <r>
    <x v="2"/>
    <x v="7"/>
    <x v="6"/>
    <x v="129"/>
    <x v="114"/>
    <x v="114"/>
    <s v="REVENUS"/>
    <x v="2"/>
    <s v="4001.005"/>
    <s v="Amende de soustract. Impôt"/>
    <n v="0"/>
    <n v="0"/>
    <n v="4001"/>
  </r>
  <r>
    <x v="2"/>
    <x v="7"/>
    <x v="6"/>
    <x v="129"/>
    <x v="114"/>
    <x v="114"/>
    <s v="REVENUS"/>
    <x v="2"/>
    <s v="4001.001"/>
    <s v="Impôt revenu"/>
    <n v="0"/>
    <n v="26164.66"/>
    <n v="4001"/>
  </r>
  <r>
    <x v="2"/>
    <x v="7"/>
    <x v="6"/>
    <x v="129"/>
    <x v="114"/>
    <x v="114"/>
    <s v="REVENUS"/>
    <x v="2"/>
    <s v="4001.002"/>
    <s v="Impôt complément s/revenu PP"/>
    <n v="0"/>
    <n v="3066.14"/>
    <n v="4001"/>
  </r>
  <r>
    <x v="2"/>
    <x v="8"/>
    <x v="8"/>
    <x v="130"/>
    <x v="115"/>
    <x v="115"/>
    <s v="CHARGES"/>
    <x v="19"/>
    <s v="3186.002"/>
    <s v="Commission perception IS"/>
    <n v="54422.5"/>
    <n v="0"/>
    <n v="3186"/>
  </r>
  <r>
    <x v="2"/>
    <x v="8"/>
    <x v="8"/>
    <x v="130"/>
    <x v="115"/>
    <x v="115"/>
    <s v="CHARGES"/>
    <x v="1"/>
    <s v="3301.001"/>
    <s v="Défalcations, abandons de solde PP et IS"/>
    <n v="30661.29"/>
    <n v="0"/>
    <n v="3301"/>
  </r>
  <r>
    <x v="2"/>
    <x v="8"/>
    <x v="8"/>
    <x v="130"/>
    <x v="115"/>
    <x v="115"/>
    <s v="REVENUS"/>
    <x v="2"/>
    <s v="4001.010"/>
    <s v="Impôt sourciers mixtes"/>
    <n v="0"/>
    <n v="-75203.240000000005"/>
    <n v="4001"/>
  </r>
  <r>
    <x v="2"/>
    <x v="8"/>
    <x v="8"/>
    <x v="130"/>
    <x v="115"/>
    <x v="115"/>
    <s v="REVENUS"/>
    <x v="14"/>
    <s v="4003.000"/>
    <s v="Impôt à la source"/>
    <n v="0"/>
    <n v="1211956.75"/>
    <n v="4003"/>
  </r>
  <r>
    <x v="2"/>
    <x v="8"/>
    <x v="8"/>
    <x v="130"/>
    <x v="115"/>
    <x v="115"/>
    <s v="REVENUS"/>
    <x v="6"/>
    <s v="4211.002"/>
    <s v="Intérêts de retard sur acomptes"/>
    <n v="0"/>
    <n v="6642.02"/>
    <n v="4211"/>
  </r>
  <r>
    <x v="2"/>
    <x v="8"/>
    <x v="8"/>
    <x v="130"/>
    <x v="115"/>
    <x v="115"/>
    <s v="REVENUS"/>
    <x v="6"/>
    <s v="4211.001"/>
    <s v="Intérêts de retard sur factures"/>
    <n v="0"/>
    <n v="4765.41"/>
    <n v="4211"/>
  </r>
  <r>
    <x v="2"/>
    <x v="8"/>
    <x v="8"/>
    <x v="130"/>
    <x v="115"/>
    <x v="115"/>
    <s v="REVENUS"/>
    <x v="2"/>
    <s v="4001.001"/>
    <s v="Impôt revenu"/>
    <n v="0"/>
    <n v="279524.71000000002"/>
    <n v="4001"/>
  </r>
  <r>
    <x v="2"/>
    <x v="8"/>
    <x v="8"/>
    <x v="130"/>
    <x v="115"/>
    <x v="115"/>
    <s v="REVENUS"/>
    <x v="7"/>
    <s v="4184.000"/>
    <s v="Frais de poursuite"/>
    <n v="0"/>
    <n v="638.78"/>
    <n v="4184"/>
  </r>
  <r>
    <x v="2"/>
    <x v="8"/>
    <x v="8"/>
    <x v="130"/>
    <x v="115"/>
    <x v="115"/>
    <s v="REVENUS"/>
    <x v="8"/>
    <s v="4091.001"/>
    <s v="Impôt récupéré après défalcations"/>
    <n v="0"/>
    <n v="1508.93"/>
    <n v="4091"/>
  </r>
  <r>
    <x v="2"/>
    <x v="8"/>
    <x v="8"/>
    <x v="130"/>
    <x v="115"/>
    <x v="115"/>
    <s v="REVENUS"/>
    <x v="14"/>
    <s v="4003.030"/>
    <s v="IS - Prestations en capital / Prévoyance"/>
    <n v="0"/>
    <n v="54223.7"/>
    <n v="4003"/>
  </r>
  <r>
    <x v="2"/>
    <x v="8"/>
    <x v="8"/>
    <x v="130"/>
    <x v="115"/>
    <x v="115"/>
    <s v="REVENUS"/>
    <x v="14"/>
    <s v="4003.080"/>
    <s v="IS - Participations Hors Suisse"/>
    <n v="0"/>
    <n v="304736.49"/>
    <n v="4003"/>
  </r>
  <r>
    <x v="2"/>
    <x v="8"/>
    <x v="8"/>
    <x v="130"/>
    <x v="115"/>
    <x v="115"/>
    <s v="REVENUS"/>
    <x v="2"/>
    <s v="4001.005"/>
    <s v="Amende de soustract. Impôt"/>
    <n v="0"/>
    <n v="963"/>
    <n v="4001"/>
  </r>
  <r>
    <x v="2"/>
    <x v="8"/>
    <x v="8"/>
    <x v="130"/>
    <x v="115"/>
    <x v="115"/>
    <s v="REVENUS"/>
    <x v="2"/>
    <s v="4001.002"/>
    <s v="Impôt complément s/revenu PP"/>
    <n v="0"/>
    <n v="25839.88"/>
    <n v="4001"/>
  </r>
  <r>
    <x v="2"/>
    <x v="8"/>
    <x v="8"/>
    <x v="130"/>
    <x v="115"/>
    <x v="115"/>
    <s v="REVENUS"/>
    <x v="14"/>
    <s v="4003.070"/>
    <s v="IS - Loi travail au noir"/>
    <n v="0"/>
    <n v="3812.79"/>
    <n v="4003"/>
  </r>
  <r>
    <x v="2"/>
    <x v="8"/>
    <x v="8"/>
    <x v="130"/>
    <x v="115"/>
    <x v="115"/>
    <s v="REVENUS"/>
    <x v="14"/>
    <s v="4003.060"/>
    <s v="IS - Administrateurs"/>
    <n v="0"/>
    <n v="3005.22"/>
    <n v="4003"/>
  </r>
  <r>
    <x v="2"/>
    <x v="7"/>
    <x v="6"/>
    <x v="131"/>
    <x v="116"/>
    <x v="116"/>
    <s v="CHARGES"/>
    <x v="19"/>
    <s v="3186.002"/>
    <s v="Commission perception IS"/>
    <n v="237095.71"/>
    <n v="0"/>
    <n v="3186"/>
  </r>
  <r>
    <x v="2"/>
    <x v="7"/>
    <x v="6"/>
    <x v="131"/>
    <x v="116"/>
    <x v="116"/>
    <s v="CHARGES"/>
    <x v="1"/>
    <s v="3301.001"/>
    <s v="Défalcations, abandons de solde PP et IS"/>
    <n v="20588.79"/>
    <n v="0"/>
    <n v="3301"/>
  </r>
  <r>
    <x v="2"/>
    <x v="7"/>
    <x v="6"/>
    <x v="131"/>
    <x v="116"/>
    <x v="116"/>
    <s v="REVENUS"/>
    <x v="2"/>
    <s v="4001.010"/>
    <s v="Impôt sourciers mixtes"/>
    <n v="0"/>
    <n v="-303003.52000000002"/>
    <n v="4001"/>
  </r>
  <r>
    <x v="2"/>
    <x v="7"/>
    <x v="6"/>
    <x v="131"/>
    <x v="116"/>
    <x v="116"/>
    <s v="REVENUS"/>
    <x v="14"/>
    <s v="4003.000"/>
    <s v="Impôt à la source"/>
    <n v="0"/>
    <n v="1081383.5900000001"/>
    <n v="4003"/>
  </r>
  <r>
    <x v="2"/>
    <x v="7"/>
    <x v="6"/>
    <x v="131"/>
    <x v="116"/>
    <x v="116"/>
    <s v="REVENUS"/>
    <x v="14"/>
    <s v="4003.020"/>
    <s v="IS - Artistes - Conférenciers - Sportifs"/>
    <n v="0"/>
    <n v="2672.75"/>
    <n v="4003"/>
  </r>
  <r>
    <x v="2"/>
    <x v="7"/>
    <x v="6"/>
    <x v="131"/>
    <x v="116"/>
    <x v="116"/>
    <s v="REVENUS"/>
    <x v="6"/>
    <s v="4211.001"/>
    <s v="Intérêts de retard sur factures"/>
    <n v="0"/>
    <n v="4033.45"/>
    <n v="4211"/>
  </r>
  <r>
    <x v="2"/>
    <x v="7"/>
    <x v="6"/>
    <x v="131"/>
    <x v="116"/>
    <x v="116"/>
    <s v="REVENUS"/>
    <x v="6"/>
    <s v="4211.002"/>
    <s v="Intérêts de retard sur acomptes"/>
    <n v="0"/>
    <n v="14408.75"/>
    <n v="4211"/>
  </r>
  <r>
    <x v="2"/>
    <x v="7"/>
    <x v="6"/>
    <x v="131"/>
    <x v="116"/>
    <x v="116"/>
    <s v="REVENUS"/>
    <x v="7"/>
    <s v="4184.000"/>
    <s v="Frais de poursuite"/>
    <n v="0"/>
    <n v="811.3"/>
    <n v="4184"/>
  </r>
  <r>
    <x v="2"/>
    <x v="7"/>
    <x v="6"/>
    <x v="131"/>
    <x v="116"/>
    <x v="116"/>
    <s v="REVENUS"/>
    <x v="2"/>
    <s v="4001.001"/>
    <s v="Impôt revenu"/>
    <n v="0"/>
    <n v="283320.33"/>
    <n v="4001"/>
  </r>
  <r>
    <x v="2"/>
    <x v="7"/>
    <x v="6"/>
    <x v="131"/>
    <x v="116"/>
    <x v="116"/>
    <s v="REVENUS"/>
    <x v="2"/>
    <s v="4001.005"/>
    <s v="Amende de soustract. Impôt"/>
    <n v="0"/>
    <n v="1206.21"/>
    <n v="4001"/>
  </r>
  <r>
    <x v="2"/>
    <x v="7"/>
    <x v="6"/>
    <x v="131"/>
    <x v="116"/>
    <x v="116"/>
    <s v="REVENUS"/>
    <x v="8"/>
    <s v="4091.001"/>
    <s v="Impôt récupéré après défalcations"/>
    <n v="0"/>
    <n v="6716.53"/>
    <n v="4091"/>
  </r>
  <r>
    <x v="2"/>
    <x v="7"/>
    <x v="6"/>
    <x v="131"/>
    <x v="116"/>
    <x v="116"/>
    <s v="REVENUS"/>
    <x v="14"/>
    <s v="4003.060"/>
    <s v="IS - Administrateurs"/>
    <n v="0"/>
    <n v="124732.42"/>
    <n v="4003"/>
  </r>
  <r>
    <x v="2"/>
    <x v="7"/>
    <x v="6"/>
    <x v="131"/>
    <x v="116"/>
    <x v="116"/>
    <s v="REVENUS"/>
    <x v="14"/>
    <s v="4003.030"/>
    <s v="IS - Prestations en capital / Prévoyance"/>
    <n v="0"/>
    <n v="20510.509999999998"/>
    <n v="4003"/>
  </r>
  <r>
    <x v="2"/>
    <x v="7"/>
    <x v="6"/>
    <x v="131"/>
    <x v="116"/>
    <x v="116"/>
    <s v="REVENUS"/>
    <x v="2"/>
    <s v="4001.002"/>
    <s v="Impôt complément s/revenu PP"/>
    <n v="0"/>
    <n v="20451.939999999999"/>
    <n v="4001"/>
  </r>
  <r>
    <x v="2"/>
    <x v="7"/>
    <x v="6"/>
    <x v="131"/>
    <x v="116"/>
    <x v="116"/>
    <s v="REVENUS"/>
    <x v="14"/>
    <s v="4003.070"/>
    <s v="IS - Loi travail au noir"/>
    <n v="0"/>
    <n v="572.62"/>
    <n v="4003"/>
  </r>
  <r>
    <x v="2"/>
    <x v="7"/>
    <x v="6"/>
    <x v="131"/>
    <x v="116"/>
    <x v="116"/>
    <s v="REVENUS"/>
    <x v="8"/>
    <s v="4091.003"/>
    <s v="Impôt récupéré concordat"/>
    <n v="0"/>
    <n v="658.37"/>
    <n v="4091"/>
  </r>
  <r>
    <x v="2"/>
    <x v="8"/>
    <x v="8"/>
    <x v="132"/>
    <x v="117"/>
    <x v="117"/>
    <s v="CHARGES"/>
    <x v="19"/>
    <s v="3186.002"/>
    <s v="Commission perception IS"/>
    <n v="83841.09"/>
    <n v="0"/>
    <n v="3186"/>
  </r>
  <r>
    <x v="2"/>
    <x v="8"/>
    <x v="8"/>
    <x v="132"/>
    <x v="117"/>
    <x v="117"/>
    <s v="CHARGES"/>
    <x v="1"/>
    <s v="3301.001"/>
    <s v="Défalcations, abandons de solde PP et IS"/>
    <n v="77698.31"/>
    <n v="0"/>
    <n v="3301"/>
  </r>
  <r>
    <x v="2"/>
    <x v="8"/>
    <x v="8"/>
    <x v="132"/>
    <x v="117"/>
    <x v="117"/>
    <s v="REVENUS"/>
    <x v="2"/>
    <s v="4001.010"/>
    <s v="Impôt sourciers mixtes"/>
    <n v="0"/>
    <n v="-164087.31"/>
    <n v="4001"/>
  </r>
  <r>
    <x v="2"/>
    <x v="8"/>
    <x v="8"/>
    <x v="132"/>
    <x v="117"/>
    <x v="117"/>
    <s v="REVENUS"/>
    <x v="14"/>
    <s v="4003.000"/>
    <s v="Impôt à la source"/>
    <n v="0"/>
    <n v="2450970.87"/>
    <n v="4003"/>
  </r>
  <r>
    <x v="2"/>
    <x v="8"/>
    <x v="8"/>
    <x v="132"/>
    <x v="117"/>
    <x v="117"/>
    <s v="REVENUS"/>
    <x v="2"/>
    <s v="4001.001"/>
    <s v="Impôt revenu"/>
    <n v="0"/>
    <n v="449782.35"/>
    <n v="4001"/>
  </r>
  <r>
    <x v="2"/>
    <x v="8"/>
    <x v="8"/>
    <x v="132"/>
    <x v="117"/>
    <x v="117"/>
    <s v="REVENUS"/>
    <x v="6"/>
    <s v="4211.002"/>
    <s v="Intérêts de retard sur acomptes"/>
    <n v="0"/>
    <n v="9025.39"/>
    <n v="4211"/>
  </r>
  <r>
    <x v="2"/>
    <x v="8"/>
    <x v="8"/>
    <x v="132"/>
    <x v="117"/>
    <x v="117"/>
    <s v="REVENUS"/>
    <x v="6"/>
    <s v="4211.001"/>
    <s v="Intérêts de retard sur factures"/>
    <n v="0"/>
    <n v="6339.66"/>
    <n v="4211"/>
  </r>
  <r>
    <x v="2"/>
    <x v="8"/>
    <x v="8"/>
    <x v="132"/>
    <x v="117"/>
    <x v="117"/>
    <s v="REVENUS"/>
    <x v="7"/>
    <s v="4184.000"/>
    <s v="Frais de poursuite"/>
    <n v="0"/>
    <n v="1811.27"/>
    <n v="4184"/>
  </r>
  <r>
    <x v="2"/>
    <x v="8"/>
    <x v="8"/>
    <x v="132"/>
    <x v="117"/>
    <x v="117"/>
    <s v="REVENUS"/>
    <x v="8"/>
    <s v="4091.001"/>
    <s v="Impôt récupéré après défalcations"/>
    <n v="0"/>
    <n v="11267.56"/>
    <n v="4091"/>
  </r>
  <r>
    <x v="2"/>
    <x v="8"/>
    <x v="8"/>
    <x v="132"/>
    <x v="117"/>
    <x v="117"/>
    <s v="REVENUS"/>
    <x v="14"/>
    <s v="4003.020"/>
    <s v="IS - Artistes - Conférenciers - Sportifs"/>
    <n v="0"/>
    <n v="476.35"/>
    <n v="4003"/>
  </r>
  <r>
    <x v="2"/>
    <x v="8"/>
    <x v="8"/>
    <x v="132"/>
    <x v="117"/>
    <x v="117"/>
    <s v="REVENUS"/>
    <x v="14"/>
    <s v="4003.030"/>
    <s v="IS - Prestations en capital / Prévoyance"/>
    <n v="0"/>
    <n v="2687.05"/>
    <n v="4003"/>
  </r>
  <r>
    <x v="2"/>
    <x v="8"/>
    <x v="8"/>
    <x v="132"/>
    <x v="117"/>
    <x v="117"/>
    <s v="REVENUS"/>
    <x v="2"/>
    <s v="4001.005"/>
    <s v="Amende de soustract. Impôt"/>
    <n v="0"/>
    <n v="866"/>
    <n v="4001"/>
  </r>
  <r>
    <x v="2"/>
    <x v="8"/>
    <x v="8"/>
    <x v="132"/>
    <x v="117"/>
    <x v="117"/>
    <s v="REVENUS"/>
    <x v="14"/>
    <s v="4003.060"/>
    <s v="IS - Administrateurs"/>
    <n v="0"/>
    <n v="1307.67"/>
    <n v="4003"/>
  </r>
  <r>
    <x v="2"/>
    <x v="8"/>
    <x v="8"/>
    <x v="132"/>
    <x v="117"/>
    <x v="117"/>
    <s v="REVENUS"/>
    <x v="2"/>
    <s v="4001.002"/>
    <s v="Impôt complément s/revenu PP"/>
    <n v="0"/>
    <n v="35182.239999999998"/>
    <n v="4001"/>
  </r>
  <r>
    <x v="2"/>
    <x v="8"/>
    <x v="8"/>
    <x v="132"/>
    <x v="117"/>
    <x v="117"/>
    <s v="REVENUS"/>
    <x v="14"/>
    <s v="4003.070"/>
    <s v="IS - Loi travail au noir"/>
    <n v="0"/>
    <n v="8242.99"/>
    <n v="4003"/>
  </r>
  <r>
    <x v="2"/>
    <x v="8"/>
    <x v="8"/>
    <x v="132"/>
    <x v="117"/>
    <x v="117"/>
    <s v="REVENUS"/>
    <x v="8"/>
    <s v="4091.003"/>
    <s v="Impôt récupéré concordat"/>
    <n v="0"/>
    <n v="11690.49"/>
    <n v="4091"/>
  </r>
  <r>
    <x v="2"/>
    <x v="8"/>
    <x v="7"/>
    <x v="133"/>
    <x v="118"/>
    <x v="118"/>
    <s v="CHARGES"/>
    <x v="19"/>
    <s v="3186.002"/>
    <s v="Commission perception IS"/>
    <n v="8141.42"/>
    <n v="0"/>
    <n v="3186"/>
  </r>
  <r>
    <x v="2"/>
    <x v="8"/>
    <x v="7"/>
    <x v="133"/>
    <x v="118"/>
    <x v="118"/>
    <s v="CHARGES"/>
    <x v="1"/>
    <s v="3301.001"/>
    <s v="Défalcations, abandons de solde PP et IS"/>
    <n v="730.38"/>
    <n v="0"/>
    <n v="3301"/>
  </r>
  <r>
    <x v="2"/>
    <x v="8"/>
    <x v="7"/>
    <x v="133"/>
    <x v="118"/>
    <x v="118"/>
    <s v="REVENUS"/>
    <x v="14"/>
    <s v="4003.000"/>
    <s v="Impôt à la source"/>
    <n v="0"/>
    <n v="186869.62"/>
    <n v="4003"/>
  </r>
  <r>
    <x v="2"/>
    <x v="8"/>
    <x v="7"/>
    <x v="133"/>
    <x v="118"/>
    <x v="118"/>
    <s v="REVENUS"/>
    <x v="2"/>
    <s v="4001.010"/>
    <s v="Impôt sourciers mixtes"/>
    <n v="0"/>
    <n v="-26798.240000000002"/>
    <n v="4001"/>
  </r>
  <r>
    <x v="2"/>
    <x v="8"/>
    <x v="7"/>
    <x v="133"/>
    <x v="118"/>
    <x v="118"/>
    <s v="REVENUS"/>
    <x v="6"/>
    <s v="4211.002"/>
    <s v="Intérêts de retard sur acomptes"/>
    <n v="0"/>
    <n v="505.19"/>
    <n v="4211"/>
  </r>
  <r>
    <x v="2"/>
    <x v="8"/>
    <x v="7"/>
    <x v="133"/>
    <x v="118"/>
    <x v="118"/>
    <s v="REVENUS"/>
    <x v="6"/>
    <s v="4211.001"/>
    <s v="Intérêts de retard sur factures"/>
    <n v="0"/>
    <n v="817.92"/>
    <n v="4211"/>
  </r>
  <r>
    <x v="2"/>
    <x v="8"/>
    <x v="7"/>
    <x v="133"/>
    <x v="118"/>
    <x v="118"/>
    <s v="REVENUS"/>
    <x v="2"/>
    <s v="4001.001"/>
    <s v="Impôt revenu"/>
    <n v="0"/>
    <n v="37050.300000000003"/>
    <n v="4001"/>
  </r>
  <r>
    <x v="2"/>
    <x v="8"/>
    <x v="7"/>
    <x v="133"/>
    <x v="118"/>
    <x v="118"/>
    <s v="REVENUS"/>
    <x v="7"/>
    <s v="4184.000"/>
    <s v="Frais de poursuite"/>
    <n v="0"/>
    <n v="68.33"/>
    <n v="4184"/>
  </r>
  <r>
    <x v="2"/>
    <x v="8"/>
    <x v="7"/>
    <x v="133"/>
    <x v="118"/>
    <x v="118"/>
    <s v="REVENUS"/>
    <x v="2"/>
    <s v="4001.005"/>
    <s v="Amende de soustract. Impôt"/>
    <n v="0"/>
    <n v="431.75"/>
    <n v="4001"/>
  </r>
  <r>
    <x v="2"/>
    <x v="8"/>
    <x v="7"/>
    <x v="133"/>
    <x v="118"/>
    <x v="118"/>
    <s v="REVENUS"/>
    <x v="8"/>
    <s v="4091.001"/>
    <s v="Impôt récupéré après défalcations"/>
    <n v="0"/>
    <n v="530.79999999999995"/>
    <n v="4091"/>
  </r>
  <r>
    <x v="2"/>
    <x v="8"/>
    <x v="7"/>
    <x v="133"/>
    <x v="118"/>
    <x v="118"/>
    <s v="REVENUS"/>
    <x v="14"/>
    <s v="4003.070"/>
    <s v="IS - Loi travail au noir"/>
    <n v="0"/>
    <n v="47.01"/>
    <n v="4003"/>
  </r>
  <r>
    <x v="2"/>
    <x v="7"/>
    <x v="6"/>
    <x v="134"/>
    <x v="119"/>
    <x v="119"/>
    <s v="CHARGES"/>
    <x v="19"/>
    <s v="3186.002"/>
    <s v="Commission perception IS"/>
    <n v="8716.5"/>
    <n v="0"/>
    <n v="3186"/>
  </r>
  <r>
    <x v="2"/>
    <x v="7"/>
    <x v="6"/>
    <x v="134"/>
    <x v="119"/>
    <x v="119"/>
    <s v="CHARGES"/>
    <x v="1"/>
    <s v="3301.001"/>
    <s v="Défalcations, abandons de solde PP et IS"/>
    <n v="218.97"/>
    <n v="0"/>
    <n v="3301"/>
  </r>
  <r>
    <x v="2"/>
    <x v="7"/>
    <x v="6"/>
    <x v="134"/>
    <x v="119"/>
    <x v="119"/>
    <s v="REVENUS"/>
    <x v="14"/>
    <s v="4003.000"/>
    <s v="Impôt à la source"/>
    <n v="0"/>
    <n v="112866.52"/>
    <n v="4003"/>
  </r>
  <r>
    <x v="2"/>
    <x v="7"/>
    <x v="6"/>
    <x v="134"/>
    <x v="119"/>
    <x v="119"/>
    <s v="REVENUS"/>
    <x v="2"/>
    <s v="4001.001"/>
    <s v="Impôt revenu"/>
    <n v="0"/>
    <n v="53263.33"/>
    <n v="4001"/>
  </r>
  <r>
    <x v="2"/>
    <x v="7"/>
    <x v="6"/>
    <x v="134"/>
    <x v="119"/>
    <x v="119"/>
    <s v="REVENUS"/>
    <x v="2"/>
    <s v="4001.010"/>
    <s v="Impôt sourciers mixtes"/>
    <n v="0"/>
    <n v="-141696.42000000001"/>
    <n v="4001"/>
  </r>
  <r>
    <x v="2"/>
    <x v="7"/>
    <x v="6"/>
    <x v="134"/>
    <x v="119"/>
    <x v="119"/>
    <s v="REVENUS"/>
    <x v="14"/>
    <s v="4003.010"/>
    <s v="IS - Employés et sourciers étrangers"/>
    <n v="0"/>
    <n v="8171"/>
    <n v="4003"/>
  </r>
  <r>
    <x v="2"/>
    <x v="7"/>
    <x v="6"/>
    <x v="134"/>
    <x v="119"/>
    <x v="119"/>
    <s v="REVENUS"/>
    <x v="6"/>
    <s v="4211.001"/>
    <s v="Intérêts de retard sur factures"/>
    <n v="0"/>
    <n v="325.08999999999997"/>
    <n v="4211"/>
  </r>
  <r>
    <x v="2"/>
    <x v="7"/>
    <x v="6"/>
    <x v="134"/>
    <x v="119"/>
    <x v="119"/>
    <s v="REVENUS"/>
    <x v="6"/>
    <s v="4211.002"/>
    <s v="Intérêts de retard sur acomptes"/>
    <n v="0"/>
    <n v="1284.67"/>
    <n v="4211"/>
  </r>
  <r>
    <x v="2"/>
    <x v="7"/>
    <x v="6"/>
    <x v="134"/>
    <x v="119"/>
    <x v="119"/>
    <s v="REVENUS"/>
    <x v="7"/>
    <s v="4184.000"/>
    <s v="Frais de poursuite"/>
    <n v="0"/>
    <n v="45.75"/>
    <n v="4184"/>
  </r>
  <r>
    <x v="2"/>
    <x v="7"/>
    <x v="6"/>
    <x v="134"/>
    <x v="119"/>
    <x v="119"/>
    <s v="REVENUS"/>
    <x v="8"/>
    <s v="4091.001"/>
    <s v="Impôt récupéré après défalcations"/>
    <n v="0"/>
    <n v="-2.31"/>
    <n v="4091"/>
  </r>
  <r>
    <x v="2"/>
    <x v="7"/>
    <x v="6"/>
    <x v="134"/>
    <x v="119"/>
    <x v="119"/>
    <s v="REVENUS"/>
    <x v="2"/>
    <s v="4001.002"/>
    <s v="Impôt complément s/revenu PP"/>
    <n v="0"/>
    <n v="6727.42"/>
    <n v="4001"/>
  </r>
  <r>
    <x v="2"/>
    <x v="7"/>
    <x v="6"/>
    <x v="135"/>
    <x v="120"/>
    <x v="120"/>
    <s v="CHARGES"/>
    <x v="19"/>
    <s v="3186.002"/>
    <s v="Commission perception IS"/>
    <n v="93.49"/>
    <n v="0"/>
    <n v="3186"/>
  </r>
  <r>
    <x v="2"/>
    <x v="7"/>
    <x v="6"/>
    <x v="135"/>
    <x v="120"/>
    <x v="120"/>
    <s v="REVENUS"/>
    <x v="6"/>
    <s v="4211.001"/>
    <s v="Intérêts de retard sur factures"/>
    <n v="0"/>
    <n v="20.329999999999998"/>
    <n v="4211"/>
  </r>
  <r>
    <x v="2"/>
    <x v="7"/>
    <x v="6"/>
    <x v="135"/>
    <x v="120"/>
    <x v="120"/>
    <s v="REVENUS"/>
    <x v="6"/>
    <s v="4211.002"/>
    <s v="Intérêts de retard sur acomptes"/>
    <n v="0"/>
    <n v="0.19"/>
    <n v="4211"/>
  </r>
  <r>
    <x v="2"/>
    <x v="7"/>
    <x v="6"/>
    <x v="135"/>
    <x v="120"/>
    <x v="120"/>
    <s v="REVENUS"/>
    <x v="14"/>
    <s v="4003.000"/>
    <s v="Impôt à la source"/>
    <n v="0"/>
    <n v="3107.59"/>
    <n v="4003"/>
  </r>
  <r>
    <x v="2"/>
    <x v="7"/>
    <x v="6"/>
    <x v="137"/>
    <x v="121"/>
    <x v="121"/>
    <s v="CHARGES"/>
    <x v="19"/>
    <s v="3186.002"/>
    <s v="Commission perception IS"/>
    <n v="5789.26"/>
    <n v="0"/>
    <n v="3186"/>
  </r>
  <r>
    <x v="2"/>
    <x v="7"/>
    <x v="6"/>
    <x v="137"/>
    <x v="121"/>
    <x v="121"/>
    <s v="CHARGES"/>
    <x v="1"/>
    <s v="3301.001"/>
    <s v="Défalcations, abandons de solde PP et IS"/>
    <n v="4056.85"/>
    <n v="0"/>
    <n v="3301"/>
  </r>
  <r>
    <x v="2"/>
    <x v="7"/>
    <x v="6"/>
    <x v="137"/>
    <x v="121"/>
    <x v="121"/>
    <s v="REVENUS"/>
    <x v="14"/>
    <s v="4003.000"/>
    <s v="Impôt à la source"/>
    <n v="0"/>
    <n v="86578.43"/>
    <n v="4003"/>
  </r>
  <r>
    <x v="2"/>
    <x v="7"/>
    <x v="6"/>
    <x v="137"/>
    <x v="121"/>
    <x v="121"/>
    <s v="REVENUS"/>
    <x v="2"/>
    <s v="4001.010"/>
    <s v="Impôt sourciers mixtes"/>
    <n v="0"/>
    <n v="-7333.49"/>
    <n v="4001"/>
  </r>
  <r>
    <x v="2"/>
    <x v="7"/>
    <x v="6"/>
    <x v="137"/>
    <x v="121"/>
    <x v="121"/>
    <s v="REVENUS"/>
    <x v="6"/>
    <s v="4211.001"/>
    <s v="Intérêts de retard sur factures"/>
    <n v="0"/>
    <n v="480.22"/>
    <n v="4211"/>
  </r>
  <r>
    <x v="2"/>
    <x v="7"/>
    <x v="6"/>
    <x v="137"/>
    <x v="121"/>
    <x v="121"/>
    <s v="REVENUS"/>
    <x v="6"/>
    <s v="4211.002"/>
    <s v="Intérêts de retard sur acomptes"/>
    <n v="0"/>
    <n v="669.37"/>
    <n v="4211"/>
  </r>
  <r>
    <x v="2"/>
    <x v="7"/>
    <x v="6"/>
    <x v="137"/>
    <x v="121"/>
    <x v="121"/>
    <s v="REVENUS"/>
    <x v="7"/>
    <s v="4184.000"/>
    <s v="Frais de poursuite"/>
    <n v="0"/>
    <n v="169.18"/>
    <n v="4184"/>
  </r>
  <r>
    <x v="2"/>
    <x v="7"/>
    <x v="6"/>
    <x v="137"/>
    <x v="121"/>
    <x v="121"/>
    <s v="REVENUS"/>
    <x v="2"/>
    <s v="4001.001"/>
    <s v="Impôt revenu"/>
    <n v="0"/>
    <n v="12987.68"/>
    <n v="4001"/>
  </r>
  <r>
    <x v="2"/>
    <x v="7"/>
    <x v="6"/>
    <x v="137"/>
    <x v="121"/>
    <x v="121"/>
    <s v="REVENUS"/>
    <x v="14"/>
    <s v="4003.010"/>
    <s v="IS - Employés et sourciers étrangers"/>
    <n v="0"/>
    <n v="104.19"/>
    <n v="4003"/>
  </r>
  <r>
    <x v="2"/>
    <x v="7"/>
    <x v="6"/>
    <x v="137"/>
    <x v="121"/>
    <x v="121"/>
    <s v="REVENUS"/>
    <x v="14"/>
    <s v="4003.070"/>
    <s v="IS - Loi travail au noir"/>
    <n v="0"/>
    <n v="65.86"/>
    <n v="4003"/>
  </r>
  <r>
    <x v="2"/>
    <x v="7"/>
    <x v="6"/>
    <x v="138"/>
    <x v="120"/>
    <x v="120"/>
    <s v="CHARGES"/>
    <x v="19"/>
    <s v="3186.002"/>
    <s v="Commission perception IS"/>
    <n v="0.12"/>
    <n v="0"/>
    <n v="3186"/>
  </r>
  <r>
    <x v="2"/>
    <x v="7"/>
    <x v="6"/>
    <x v="138"/>
    <x v="120"/>
    <x v="120"/>
    <s v="REVENUS"/>
    <x v="6"/>
    <s v="4211.001"/>
    <s v="Intérêts de retard sur factures"/>
    <n v="0"/>
    <n v="0.19"/>
    <n v="4211"/>
  </r>
  <r>
    <x v="2"/>
    <x v="7"/>
    <x v="6"/>
    <x v="138"/>
    <x v="120"/>
    <x v="120"/>
    <s v="REVENUS"/>
    <x v="6"/>
    <s v="4211.002"/>
    <s v="Intérêts de retard sur acomptes"/>
    <n v="0"/>
    <n v="0.04"/>
    <n v="4211"/>
  </r>
  <r>
    <x v="2"/>
    <x v="7"/>
    <x v="6"/>
    <x v="139"/>
    <x v="122"/>
    <x v="122"/>
    <s v="CHARGES"/>
    <x v="19"/>
    <s v="3186.002"/>
    <s v="Commission perception IS"/>
    <n v="129490.4"/>
    <n v="0"/>
    <n v="3186"/>
  </r>
  <r>
    <x v="2"/>
    <x v="7"/>
    <x v="6"/>
    <x v="139"/>
    <x v="122"/>
    <x v="122"/>
    <s v="CHARGES"/>
    <x v="1"/>
    <s v="3301.001"/>
    <s v="Défalcations, abandons de solde PP et IS"/>
    <n v="-1950.32"/>
    <n v="0"/>
    <n v="3301"/>
  </r>
  <r>
    <x v="2"/>
    <x v="7"/>
    <x v="6"/>
    <x v="139"/>
    <x v="122"/>
    <x v="122"/>
    <s v="REVENUS"/>
    <x v="2"/>
    <s v="4001.010"/>
    <s v="Impôt sourciers mixtes"/>
    <n v="0"/>
    <n v="-886779.14"/>
    <n v="4001"/>
  </r>
  <r>
    <x v="2"/>
    <x v="7"/>
    <x v="6"/>
    <x v="139"/>
    <x v="122"/>
    <x v="122"/>
    <s v="REVENUS"/>
    <x v="14"/>
    <s v="4003.000"/>
    <s v="Impôt à la source"/>
    <n v="0"/>
    <n v="195824.17"/>
    <n v="4003"/>
  </r>
  <r>
    <x v="2"/>
    <x v="7"/>
    <x v="6"/>
    <x v="139"/>
    <x v="122"/>
    <x v="122"/>
    <s v="REVENUS"/>
    <x v="2"/>
    <s v="4001.001"/>
    <s v="Impôt revenu"/>
    <n v="0"/>
    <n v="100625.65"/>
    <n v="4001"/>
  </r>
  <r>
    <x v="2"/>
    <x v="7"/>
    <x v="6"/>
    <x v="139"/>
    <x v="122"/>
    <x v="122"/>
    <s v="REVENUS"/>
    <x v="6"/>
    <s v="4211.001"/>
    <s v="Intérêts de retard sur factures"/>
    <n v="0"/>
    <n v="5806.12"/>
    <n v="4211"/>
  </r>
  <r>
    <x v="2"/>
    <x v="7"/>
    <x v="6"/>
    <x v="139"/>
    <x v="122"/>
    <x v="122"/>
    <s v="REVENUS"/>
    <x v="6"/>
    <s v="4211.002"/>
    <s v="Intérêts de retard sur acomptes"/>
    <n v="0"/>
    <n v="8058.65"/>
    <n v="4211"/>
  </r>
  <r>
    <x v="2"/>
    <x v="7"/>
    <x v="6"/>
    <x v="139"/>
    <x v="122"/>
    <x v="122"/>
    <s v="REVENUS"/>
    <x v="14"/>
    <s v="4003.010"/>
    <s v="IS - Employés et sourciers étrangers"/>
    <n v="0"/>
    <n v="16024.81"/>
    <n v="4003"/>
  </r>
  <r>
    <x v="2"/>
    <x v="7"/>
    <x v="6"/>
    <x v="139"/>
    <x v="122"/>
    <x v="122"/>
    <s v="REVENUS"/>
    <x v="7"/>
    <s v="4184.000"/>
    <s v="Frais de poursuite"/>
    <n v="0"/>
    <n v="245.74"/>
    <n v="4184"/>
  </r>
  <r>
    <x v="2"/>
    <x v="7"/>
    <x v="6"/>
    <x v="139"/>
    <x v="122"/>
    <x v="122"/>
    <s v="REVENUS"/>
    <x v="2"/>
    <s v="4001.002"/>
    <s v="Impôt complément s/revenu PP"/>
    <n v="0"/>
    <n v="158198.92000000001"/>
    <n v="4001"/>
  </r>
  <r>
    <x v="2"/>
    <x v="7"/>
    <x v="6"/>
    <x v="139"/>
    <x v="122"/>
    <x v="122"/>
    <s v="REVENUS"/>
    <x v="14"/>
    <s v="4003.060"/>
    <s v="IS - Administrateurs"/>
    <n v="0"/>
    <n v="57332.78"/>
    <n v="4003"/>
  </r>
  <r>
    <x v="2"/>
    <x v="7"/>
    <x v="6"/>
    <x v="139"/>
    <x v="122"/>
    <x v="122"/>
    <s v="REVENUS"/>
    <x v="14"/>
    <s v="4003.030"/>
    <s v="IS - Prestations en capital / Prévoyance"/>
    <n v="0"/>
    <n v="1581.78"/>
    <n v="4003"/>
  </r>
  <r>
    <x v="2"/>
    <x v="7"/>
    <x v="6"/>
    <x v="139"/>
    <x v="122"/>
    <x v="122"/>
    <s v="REVENUS"/>
    <x v="14"/>
    <s v="4003.020"/>
    <s v="IS - Artistes - Conférenciers - Sportifs"/>
    <n v="0"/>
    <n v="215.59"/>
    <n v="4003"/>
  </r>
  <r>
    <x v="2"/>
    <x v="7"/>
    <x v="6"/>
    <x v="139"/>
    <x v="122"/>
    <x v="122"/>
    <s v="REVENUS"/>
    <x v="14"/>
    <s v="4003.070"/>
    <s v="IS - Loi travail au noir"/>
    <n v="0"/>
    <n v="217.61"/>
    <n v="4003"/>
  </r>
  <r>
    <x v="2"/>
    <x v="7"/>
    <x v="6"/>
    <x v="139"/>
    <x v="122"/>
    <x v="122"/>
    <s v="REVENUS"/>
    <x v="8"/>
    <s v="4091.001"/>
    <s v="Impôt récupéré après défalcations"/>
    <n v="0"/>
    <n v="4264.62"/>
    <n v="4091"/>
  </r>
  <r>
    <x v="2"/>
    <x v="7"/>
    <x v="6"/>
    <x v="139"/>
    <x v="122"/>
    <x v="122"/>
    <s v="REVENUS"/>
    <x v="2"/>
    <s v="4001.005"/>
    <s v="Amende de soustract. Impôt"/>
    <n v="0"/>
    <n v="250"/>
    <n v="4001"/>
  </r>
  <r>
    <x v="2"/>
    <x v="7"/>
    <x v="6"/>
    <x v="140"/>
    <x v="123"/>
    <x v="123"/>
    <s v="CHARGES"/>
    <x v="19"/>
    <s v="3186.002"/>
    <s v="Commission perception IS"/>
    <n v="6804.22"/>
    <n v="0"/>
    <n v="3186"/>
  </r>
  <r>
    <x v="2"/>
    <x v="7"/>
    <x v="6"/>
    <x v="140"/>
    <x v="123"/>
    <x v="123"/>
    <s v="CHARGES"/>
    <x v="1"/>
    <s v="3301.001"/>
    <s v="Défalcations, abandons de solde PP et IS"/>
    <n v="943.05"/>
    <n v="0"/>
    <n v="3301"/>
  </r>
  <r>
    <x v="2"/>
    <x v="7"/>
    <x v="6"/>
    <x v="140"/>
    <x v="123"/>
    <x v="123"/>
    <s v="REVENUS"/>
    <x v="2"/>
    <s v="4001.010"/>
    <s v="Impôt sourciers mixtes"/>
    <n v="0"/>
    <n v="-26019.61"/>
    <n v="4001"/>
  </r>
  <r>
    <x v="2"/>
    <x v="7"/>
    <x v="6"/>
    <x v="140"/>
    <x v="123"/>
    <x v="123"/>
    <s v="REVENUS"/>
    <x v="14"/>
    <s v="4003.000"/>
    <s v="Impôt à la source"/>
    <n v="0"/>
    <n v="209684.03"/>
    <n v="4003"/>
  </r>
  <r>
    <x v="2"/>
    <x v="7"/>
    <x v="6"/>
    <x v="140"/>
    <x v="123"/>
    <x v="123"/>
    <s v="REVENUS"/>
    <x v="6"/>
    <s v="4211.002"/>
    <s v="Intérêts de retard sur acomptes"/>
    <n v="0"/>
    <n v="1262.8399999999999"/>
    <n v="4211"/>
  </r>
  <r>
    <x v="2"/>
    <x v="7"/>
    <x v="6"/>
    <x v="140"/>
    <x v="123"/>
    <x v="123"/>
    <s v="REVENUS"/>
    <x v="6"/>
    <s v="4211.001"/>
    <s v="Intérêts de retard sur factures"/>
    <n v="0"/>
    <n v="487.89"/>
    <n v="4211"/>
  </r>
  <r>
    <x v="2"/>
    <x v="7"/>
    <x v="6"/>
    <x v="140"/>
    <x v="123"/>
    <x v="123"/>
    <s v="REVENUS"/>
    <x v="14"/>
    <s v="4003.010"/>
    <s v="IS - Employés et sourciers étrangers"/>
    <n v="0"/>
    <n v="990.19"/>
    <n v="4003"/>
  </r>
  <r>
    <x v="2"/>
    <x v="7"/>
    <x v="6"/>
    <x v="140"/>
    <x v="123"/>
    <x v="123"/>
    <s v="REVENUS"/>
    <x v="7"/>
    <s v="4184.000"/>
    <s v="Frais de poursuite"/>
    <n v="0"/>
    <n v="389.74"/>
    <n v="4184"/>
  </r>
  <r>
    <x v="2"/>
    <x v="7"/>
    <x v="6"/>
    <x v="140"/>
    <x v="123"/>
    <x v="123"/>
    <s v="REVENUS"/>
    <x v="2"/>
    <s v="4001.005"/>
    <s v="Amende de soustract. Impôt"/>
    <n v="0"/>
    <n v="1335"/>
    <n v="4001"/>
  </r>
  <r>
    <x v="2"/>
    <x v="7"/>
    <x v="6"/>
    <x v="140"/>
    <x v="123"/>
    <x v="123"/>
    <s v="REVENUS"/>
    <x v="14"/>
    <s v="4003.020"/>
    <s v="IS - Artistes - Conférenciers - Sportifs"/>
    <n v="0"/>
    <n v="524.21"/>
    <n v="4003"/>
  </r>
  <r>
    <x v="2"/>
    <x v="7"/>
    <x v="6"/>
    <x v="140"/>
    <x v="123"/>
    <x v="123"/>
    <s v="REVENUS"/>
    <x v="2"/>
    <s v="4001.001"/>
    <s v="Impôt revenu"/>
    <n v="0"/>
    <n v="49834.46"/>
    <n v="4001"/>
  </r>
  <r>
    <x v="2"/>
    <x v="7"/>
    <x v="6"/>
    <x v="140"/>
    <x v="123"/>
    <x v="123"/>
    <s v="REVENUS"/>
    <x v="8"/>
    <s v="4091.001"/>
    <s v="Impôt récupéré après défalcations"/>
    <n v="0"/>
    <n v="-253.89"/>
    <n v="4091"/>
  </r>
  <r>
    <x v="2"/>
    <x v="7"/>
    <x v="6"/>
    <x v="140"/>
    <x v="123"/>
    <x v="123"/>
    <s v="REVENUS"/>
    <x v="14"/>
    <s v="4003.060"/>
    <s v="IS - Administrateurs"/>
    <n v="0"/>
    <n v="160.87"/>
    <n v="4003"/>
  </r>
  <r>
    <x v="2"/>
    <x v="7"/>
    <x v="6"/>
    <x v="141"/>
    <x v="120"/>
    <x v="120"/>
    <s v="CHARGES"/>
    <x v="19"/>
    <s v="3186.002"/>
    <s v="Commission perception IS"/>
    <n v="0.03"/>
    <n v="0"/>
    <n v="3186"/>
  </r>
  <r>
    <x v="2"/>
    <x v="7"/>
    <x v="6"/>
    <x v="141"/>
    <x v="120"/>
    <x v="120"/>
    <s v="REVENUS"/>
    <x v="6"/>
    <s v="4211.002"/>
    <s v="Intérêts de retard sur acomptes"/>
    <n v="0"/>
    <n v="0.01"/>
    <n v="4211"/>
  </r>
  <r>
    <x v="2"/>
    <x v="7"/>
    <x v="6"/>
    <x v="142"/>
    <x v="124"/>
    <x v="124"/>
    <s v="CHARGES"/>
    <x v="19"/>
    <s v="3186.002"/>
    <s v="Commission perception IS"/>
    <n v="2142.83"/>
    <n v="0"/>
    <n v="3186"/>
  </r>
  <r>
    <x v="2"/>
    <x v="7"/>
    <x v="6"/>
    <x v="142"/>
    <x v="124"/>
    <x v="124"/>
    <s v="CHARGES"/>
    <x v="1"/>
    <s v="3301.001"/>
    <s v="Défalcations, abandons de solde PP et IS"/>
    <n v="0.79"/>
    <n v="0"/>
    <n v="3301"/>
  </r>
  <r>
    <x v="2"/>
    <x v="7"/>
    <x v="6"/>
    <x v="142"/>
    <x v="124"/>
    <x v="124"/>
    <s v="REVENUS"/>
    <x v="2"/>
    <s v="4001.010"/>
    <s v="Impôt sourciers mixtes"/>
    <n v="0"/>
    <n v="-9739.08"/>
    <n v="4001"/>
  </r>
  <r>
    <x v="2"/>
    <x v="7"/>
    <x v="6"/>
    <x v="142"/>
    <x v="124"/>
    <x v="124"/>
    <s v="REVENUS"/>
    <x v="14"/>
    <s v="4003.000"/>
    <s v="Impôt à la source"/>
    <n v="0"/>
    <n v="57829.72"/>
    <n v="4003"/>
  </r>
  <r>
    <x v="2"/>
    <x v="7"/>
    <x v="6"/>
    <x v="142"/>
    <x v="124"/>
    <x v="124"/>
    <s v="REVENUS"/>
    <x v="14"/>
    <s v="4003.010"/>
    <s v="IS - Employés et sourciers étrangers"/>
    <n v="0"/>
    <n v="1174.29"/>
    <n v="4003"/>
  </r>
  <r>
    <x v="2"/>
    <x v="7"/>
    <x v="6"/>
    <x v="142"/>
    <x v="124"/>
    <x v="124"/>
    <s v="REVENUS"/>
    <x v="6"/>
    <s v="4211.001"/>
    <s v="Intérêts de retard sur factures"/>
    <n v="0"/>
    <n v="7.6"/>
    <n v="4211"/>
  </r>
  <r>
    <x v="2"/>
    <x v="7"/>
    <x v="6"/>
    <x v="142"/>
    <x v="124"/>
    <x v="124"/>
    <s v="REVENUS"/>
    <x v="6"/>
    <s v="4211.002"/>
    <s v="Intérêts de retard sur acomptes"/>
    <n v="0"/>
    <n v="96.51"/>
    <n v="4211"/>
  </r>
  <r>
    <x v="2"/>
    <x v="7"/>
    <x v="6"/>
    <x v="142"/>
    <x v="124"/>
    <x v="124"/>
    <s v="REVENUS"/>
    <x v="2"/>
    <s v="4001.001"/>
    <s v="Impôt revenu"/>
    <n v="0"/>
    <n v="378.77"/>
    <n v="4001"/>
  </r>
  <r>
    <x v="2"/>
    <x v="7"/>
    <x v="6"/>
    <x v="143"/>
    <x v="125"/>
    <x v="125"/>
    <s v="CHARGES"/>
    <x v="19"/>
    <s v="3186.002"/>
    <s v="Commission perception IS"/>
    <n v="1279.8800000000001"/>
    <n v="0"/>
    <n v="3186"/>
  </r>
  <r>
    <x v="2"/>
    <x v="7"/>
    <x v="6"/>
    <x v="143"/>
    <x v="125"/>
    <x v="125"/>
    <s v="CHARGES"/>
    <x v="1"/>
    <s v="3301.001"/>
    <s v="Défalcations, abandons de solde PP et IS"/>
    <n v="0.87"/>
    <n v="0"/>
    <n v="3301"/>
  </r>
  <r>
    <x v="2"/>
    <x v="7"/>
    <x v="6"/>
    <x v="143"/>
    <x v="125"/>
    <x v="125"/>
    <s v="REVENUS"/>
    <x v="14"/>
    <s v="4003.000"/>
    <s v="Impôt à la source"/>
    <n v="0"/>
    <n v="26191.7"/>
    <n v="4003"/>
  </r>
  <r>
    <x v="2"/>
    <x v="7"/>
    <x v="6"/>
    <x v="143"/>
    <x v="125"/>
    <x v="125"/>
    <s v="REVENUS"/>
    <x v="6"/>
    <s v="4211.001"/>
    <s v="Intérêts de retard sur factures"/>
    <n v="0"/>
    <n v="33.409999999999997"/>
    <n v="4211"/>
  </r>
  <r>
    <x v="2"/>
    <x v="7"/>
    <x v="6"/>
    <x v="143"/>
    <x v="125"/>
    <x v="125"/>
    <s v="REVENUS"/>
    <x v="6"/>
    <s v="4211.002"/>
    <s v="Intérêts de retard sur acomptes"/>
    <n v="0"/>
    <n v="251.93"/>
    <n v="4211"/>
  </r>
  <r>
    <x v="2"/>
    <x v="7"/>
    <x v="6"/>
    <x v="143"/>
    <x v="125"/>
    <x v="125"/>
    <s v="REVENUS"/>
    <x v="14"/>
    <s v="4003.010"/>
    <s v="IS - Employés et sourciers étrangers"/>
    <n v="0"/>
    <n v="737.02"/>
    <n v="4003"/>
  </r>
  <r>
    <x v="2"/>
    <x v="7"/>
    <x v="6"/>
    <x v="143"/>
    <x v="125"/>
    <x v="125"/>
    <s v="REVENUS"/>
    <x v="2"/>
    <s v="4001.010"/>
    <s v="Impôt sourciers mixtes"/>
    <n v="0"/>
    <n v="-17679.66"/>
    <n v="4001"/>
  </r>
  <r>
    <x v="2"/>
    <x v="7"/>
    <x v="6"/>
    <x v="143"/>
    <x v="125"/>
    <x v="125"/>
    <s v="REVENUS"/>
    <x v="2"/>
    <s v="4001.001"/>
    <s v="Impôt revenu"/>
    <n v="0"/>
    <n v="9456.34"/>
    <n v="4001"/>
  </r>
  <r>
    <x v="2"/>
    <x v="7"/>
    <x v="6"/>
    <x v="143"/>
    <x v="125"/>
    <x v="125"/>
    <s v="REVENUS"/>
    <x v="14"/>
    <s v="4003.070"/>
    <s v="IS - Loi travail au noir"/>
    <n v="0"/>
    <n v="-11.87"/>
    <n v="4003"/>
  </r>
  <r>
    <x v="2"/>
    <x v="7"/>
    <x v="6"/>
    <x v="144"/>
    <x v="126"/>
    <x v="126"/>
    <s v="CHARGES"/>
    <x v="19"/>
    <s v="3186.002"/>
    <s v="Commission perception IS"/>
    <n v="9559.2000000000007"/>
    <n v="0"/>
    <n v="3186"/>
  </r>
  <r>
    <x v="2"/>
    <x v="7"/>
    <x v="6"/>
    <x v="144"/>
    <x v="126"/>
    <x v="126"/>
    <s v="CHARGES"/>
    <x v="1"/>
    <s v="3301.001"/>
    <s v="Défalcations, abandons de solde PP et IS"/>
    <n v="7384.44"/>
    <n v="0"/>
    <n v="3301"/>
  </r>
  <r>
    <x v="2"/>
    <x v="7"/>
    <x v="6"/>
    <x v="144"/>
    <x v="126"/>
    <x v="126"/>
    <s v="REVENUS"/>
    <x v="2"/>
    <s v="4001.001"/>
    <s v="Impôt revenu"/>
    <n v="0"/>
    <n v="41155.06"/>
    <n v="4001"/>
  </r>
  <r>
    <x v="2"/>
    <x v="7"/>
    <x v="6"/>
    <x v="144"/>
    <x v="126"/>
    <x v="126"/>
    <s v="REVENUS"/>
    <x v="2"/>
    <s v="4001.010"/>
    <s v="Impôt sourciers mixtes"/>
    <n v="0"/>
    <n v="-147396.76999999999"/>
    <n v="4001"/>
  </r>
  <r>
    <x v="2"/>
    <x v="7"/>
    <x v="6"/>
    <x v="144"/>
    <x v="126"/>
    <x v="126"/>
    <s v="REVENUS"/>
    <x v="14"/>
    <s v="4003.000"/>
    <s v="Impôt à la source"/>
    <n v="0"/>
    <n v="106040.44"/>
    <n v="4003"/>
  </r>
  <r>
    <x v="2"/>
    <x v="7"/>
    <x v="6"/>
    <x v="144"/>
    <x v="126"/>
    <x v="126"/>
    <s v="REVENUS"/>
    <x v="6"/>
    <s v="4211.002"/>
    <s v="Intérêts de retard sur acomptes"/>
    <n v="0"/>
    <n v="506.77"/>
    <n v="4211"/>
  </r>
  <r>
    <x v="2"/>
    <x v="7"/>
    <x v="6"/>
    <x v="144"/>
    <x v="126"/>
    <x v="126"/>
    <s v="REVENUS"/>
    <x v="6"/>
    <s v="4211.001"/>
    <s v="Intérêts de retard sur factures"/>
    <n v="0"/>
    <n v="569.38"/>
    <n v="4211"/>
  </r>
  <r>
    <x v="2"/>
    <x v="7"/>
    <x v="6"/>
    <x v="144"/>
    <x v="126"/>
    <x v="126"/>
    <s v="REVENUS"/>
    <x v="7"/>
    <s v="4184.000"/>
    <s v="Frais de poursuite"/>
    <n v="0"/>
    <n v="51.72"/>
    <n v="4184"/>
  </r>
  <r>
    <x v="2"/>
    <x v="7"/>
    <x v="6"/>
    <x v="144"/>
    <x v="126"/>
    <x v="126"/>
    <s v="REVENUS"/>
    <x v="8"/>
    <s v="4091.001"/>
    <s v="Impôt récupéré après défalcations"/>
    <n v="0"/>
    <n v="6495.8"/>
    <n v="4091"/>
  </r>
  <r>
    <x v="2"/>
    <x v="7"/>
    <x v="6"/>
    <x v="144"/>
    <x v="126"/>
    <x v="126"/>
    <s v="REVENUS"/>
    <x v="2"/>
    <s v="4001.005"/>
    <s v="Amende de soustract. Impôt"/>
    <n v="0"/>
    <n v="250"/>
    <n v="4001"/>
  </r>
  <r>
    <x v="2"/>
    <x v="7"/>
    <x v="6"/>
    <x v="144"/>
    <x v="126"/>
    <x v="126"/>
    <s v="REVENUS"/>
    <x v="2"/>
    <s v="4001.002"/>
    <s v="Impôt complément s/revenu PP"/>
    <n v="0"/>
    <n v="4358.58"/>
    <n v="4001"/>
  </r>
  <r>
    <x v="2"/>
    <x v="7"/>
    <x v="6"/>
    <x v="144"/>
    <x v="126"/>
    <x v="126"/>
    <s v="REVENUS"/>
    <x v="14"/>
    <s v="4003.070"/>
    <s v="IS - Loi travail au noir"/>
    <n v="0"/>
    <n v="169.87"/>
    <n v="4003"/>
  </r>
  <r>
    <x v="2"/>
    <x v="7"/>
    <x v="6"/>
    <x v="145"/>
    <x v="120"/>
    <x v="120"/>
    <s v="CHARGES"/>
    <x v="19"/>
    <s v="3186.002"/>
    <s v="Commission perception IS"/>
    <n v="0.18"/>
    <n v="0"/>
    <n v="3186"/>
  </r>
  <r>
    <x v="2"/>
    <x v="7"/>
    <x v="6"/>
    <x v="145"/>
    <x v="120"/>
    <x v="120"/>
    <s v="REVENUS"/>
    <x v="6"/>
    <s v="4211.001"/>
    <s v="Intérêts de retard sur factures"/>
    <n v="0"/>
    <n v="-0.01"/>
    <n v="4211"/>
  </r>
  <r>
    <x v="2"/>
    <x v="7"/>
    <x v="6"/>
    <x v="145"/>
    <x v="120"/>
    <x v="120"/>
    <s v="REVENUS"/>
    <x v="6"/>
    <s v="4211.002"/>
    <s v="Intérêts de retard sur acomptes"/>
    <n v="0"/>
    <n v="0.03"/>
    <n v="4211"/>
  </r>
  <r>
    <x v="2"/>
    <x v="7"/>
    <x v="6"/>
    <x v="146"/>
    <x v="120"/>
    <x v="120"/>
    <s v="CHARGES"/>
    <x v="19"/>
    <s v="3186.002"/>
    <s v="Commission perception IS"/>
    <n v="48928.800000000003"/>
    <n v="0"/>
    <n v="3186"/>
  </r>
  <r>
    <x v="2"/>
    <x v="7"/>
    <x v="6"/>
    <x v="146"/>
    <x v="120"/>
    <x v="120"/>
    <s v="CHARGES"/>
    <x v="1"/>
    <s v="3301.001"/>
    <s v="Défalcations, abandons de solde PP et IS"/>
    <n v="26032.89"/>
    <n v="0"/>
    <n v="3301"/>
  </r>
  <r>
    <x v="2"/>
    <x v="7"/>
    <x v="6"/>
    <x v="146"/>
    <x v="120"/>
    <x v="120"/>
    <s v="REVENUS"/>
    <x v="2"/>
    <s v="4001.010"/>
    <s v="Impôt sourciers mixtes"/>
    <n v="0"/>
    <n v="216549.27"/>
    <n v="4001"/>
  </r>
  <r>
    <x v="2"/>
    <x v="7"/>
    <x v="6"/>
    <x v="146"/>
    <x v="120"/>
    <x v="120"/>
    <s v="REVENUS"/>
    <x v="14"/>
    <s v="4003.000"/>
    <s v="Impôt à la source"/>
    <n v="0"/>
    <n v="489989.81"/>
    <n v="4003"/>
  </r>
  <r>
    <x v="2"/>
    <x v="7"/>
    <x v="6"/>
    <x v="146"/>
    <x v="120"/>
    <x v="120"/>
    <s v="REVENUS"/>
    <x v="6"/>
    <s v="4211.001"/>
    <s v="Intérêts de retard sur factures"/>
    <n v="0"/>
    <n v="3699.3"/>
    <n v="4211"/>
  </r>
  <r>
    <x v="2"/>
    <x v="7"/>
    <x v="6"/>
    <x v="146"/>
    <x v="120"/>
    <x v="120"/>
    <s v="REVENUS"/>
    <x v="6"/>
    <s v="4211.002"/>
    <s v="Intérêts de retard sur acomptes"/>
    <n v="0"/>
    <n v="4684.07"/>
    <n v="4211"/>
  </r>
  <r>
    <x v="2"/>
    <x v="7"/>
    <x v="6"/>
    <x v="146"/>
    <x v="120"/>
    <x v="120"/>
    <s v="REVENUS"/>
    <x v="14"/>
    <s v="4003.020"/>
    <s v="IS - Artistes - Conférenciers - Sportifs"/>
    <n v="0"/>
    <n v="4354.07"/>
    <n v="4003"/>
  </r>
  <r>
    <x v="2"/>
    <x v="7"/>
    <x v="6"/>
    <x v="146"/>
    <x v="120"/>
    <x v="120"/>
    <s v="REVENUS"/>
    <x v="8"/>
    <s v="4091.001"/>
    <s v="Impôt récupéré après défalcations"/>
    <n v="0"/>
    <n v="12335.79"/>
    <n v="4091"/>
  </r>
  <r>
    <x v="2"/>
    <x v="7"/>
    <x v="6"/>
    <x v="146"/>
    <x v="120"/>
    <x v="120"/>
    <s v="REVENUS"/>
    <x v="7"/>
    <s v="4184.000"/>
    <s v="Frais de poursuite"/>
    <n v="0"/>
    <n v="171.06"/>
    <n v="4184"/>
  </r>
  <r>
    <x v="2"/>
    <x v="7"/>
    <x v="6"/>
    <x v="146"/>
    <x v="120"/>
    <x v="120"/>
    <s v="REVENUS"/>
    <x v="2"/>
    <s v="4001.001"/>
    <s v="Impôt revenu"/>
    <n v="0"/>
    <n v="49891.88"/>
    <n v="4001"/>
  </r>
  <r>
    <x v="2"/>
    <x v="7"/>
    <x v="6"/>
    <x v="146"/>
    <x v="120"/>
    <x v="120"/>
    <s v="REVENUS"/>
    <x v="14"/>
    <s v="4003.010"/>
    <s v="IS - Employés et sourciers étrangers"/>
    <n v="0"/>
    <n v="29772.880000000001"/>
    <n v="4003"/>
  </r>
  <r>
    <x v="2"/>
    <x v="7"/>
    <x v="6"/>
    <x v="146"/>
    <x v="120"/>
    <x v="120"/>
    <s v="REVENUS"/>
    <x v="2"/>
    <s v="4001.005"/>
    <s v="Amende de soustract. Impôt"/>
    <n v="0"/>
    <n v="2543.0500000000002"/>
    <n v="4001"/>
  </r>
  <r>
    <x v="2"/>
    <x v="7"/>
    <x v="6"/>
    <x v="146"/>
    <x v="120"/>
    <x v="120"/>
    <s v="REVENUS"/>
    <x v="2"/>
    <s v="4001.002"/>
    <s v="Impôt complément s/revenu PP"/>
    <n v="0"/>
    <n v="3926.6"/>
    <n v="4001"/>
  </r>
  <r>
    <x v="2"/>
    <x v="7"/>
    <x v="6"/>
    <x v="146"/>
    <x v="120"/>
    <x v="120"/>
    <s v="REVENUS"/>
    <x v="14"/>
    <s v="4003.070"/>
    <s v="IS - Loi travail au noir"/>
    <n v="0"/>
    <n v="393.58"/>
    <n v="4003"/>
  </r>
  <r>
    <x v="2"/>
    <x v="7"/>
    <x v="6"/>
    <x v="146"/>
    <x v="120"/>
    <x v="120"/>
    <s v="REVENUS"/>
    <x v="8"/>
    <s v="4091.003"/>
    <s v="Impôt récupéré concordat"/>
    <n v="0"/>
    <n v="438.89"/>
    <n v="4091"/>
  </r>
  <r>
    <x v="2"/>
    <x v="5"/>
    <x v="1"/>
    <x v="147"/>
    <x v="127"/>
    <x v="127"/>
    <s v="CHARGES"/>
    <x v="19"/>
    <s v="3186.002"/>
    <s v="Commission perception IS"/>
    <n v="2308.61"/>
    <n v="0"/>
    <n v="3186"/>
  </r>
  <r>
    <x v="2"/>
    <x v="5"/>
    <x v="1"/>
    <x v="147"/>
    <x v="127"/>
    <x v="127"/>
    <s v="CHARGES"/>
    <x v="1"/>
    <s v="3301.001"/>
    <s v="Défalcations, abandons de solde PP et IS"/>
    <n v="3485.54"/>
    <n v="0"/>
    <n v="3301"/>
  </r>
  <r>
    <x v="2"/>
    <x v="5"/>
    <x v="1"/>
    <x v="147"/>
    <x v="127"/>
    <x v="127"/>
    <s v="REVENUS"/>
    <x v="2"/>
    <s v="4001.010"/>
    <s v="Impôt sourciers mixtes"/>
    <n v="0"/>
    <n v="2727.91"/>
    <n v="4001"/>
  </r>
  <r>
    <x v="2"/>
    <x v="5"/>
    <x v="1"/>
    <x v="147"/>
    <x v="127"/>
    <x v="127"/>
    <s v="REVENUS"/>
    <x v="14"/>
    <s v="4003.000"/>
    <s v="Impôt à la source"/>
    <n v="0"/>
    <n v="58083.86"/>
    <n v="4003"/>
  </r>
  <r>
    <x v="2"/>
    <x v="5"/>
    <x v="1"/>
    <x v="147"/>
    <x v="127"/>
    <x v="127"/>
    <s v="REVENUS"/>
    <x v="14"/>
    <s v="4003.060"/>
    <s v="IS - Administrateurs"/>
    <n v="0"/>
    <n v="5520.8"/>
    <n v="4003"/>
  </r>
  <r>
    <x v="2"/>
    <x v="5"/>
    <x v="1"/>
    <x v="147"/>
    <x v="127"/>
    <x v="127"/>
    <s v="REVENUS"/>
    <x v="6"/>
    <s v="4211.001"/>
    <s v="Intérêts de retard sur factures"/>
    <n v="0"/>
    <n v="332.8"/>
    <n v="4211"/>
  </r>
  <r>
    <x v="2"/>
    <x v="5"/>
    <x v="1"/>
    <x v="147"/>
    <x v="127"/>
    <x v="127"/>
    <s v="REVENUS"/>
    <x v="6"/>
    <s v="4211.002"/>
    <s v="Intérêts de retard sur acomptes"/>
    <n v="0"/>
    <n v="477.41"/>
    <n v="4211"/>
  </r>
  <r>
    <x v="2"/>
    <x v="5"/>
    <x v="1"/>
    <x v="147"/>
    <x v="127"/>
    <x v="127"/>
    <s v="REVENUS"/>
    <x v="7"/>
    <s v="4184.000"/>
    <s v="Frais de poursuite"/>
    <n v="0"/>
    <n v="6.75"/>
    <n v="4184"/>
  </r>
  <r>
    <x v="2"/>
    <x v="5"/>
    <x v="1"/>
    <x v="147"/>
    <x v="127"/>
    <x v="127"/>
    <s v="REVENUS"/>
    <x v="14"/>
    <s v="4003.030"/>
    <s v="IS - Prestations en capital / Prévoyance"/>
    <n v="0"/>
    <n v="5600.88"/>
    <n v="4003"/>
  </r>
  <r>
    <x v="2"/>
    <x v="5"/>
    <x v="1"/>
    <x v="147"/>
    <x v="127"/>
    <x v="127"/>
    <s v="REVENUS"/>
    <x v="2"/>
    <s v="4001.001"/>
    <s v="Impôt revenu"/>
    <n v="0"/>
    <n v="8943.43"/>
    <n v="4001"/>
  </r>
  <r>
    <x v="2"/>
    <x v="5"/>
    <x v="1"/>
    <x v="147"/>
    <x v="127"/>
    <x v="127"/>
    <s v="REVENUS"/>
    <x v="2"/>
    <s v="4001.005"/>
    <s v="Amende de soustract. Impôt"/>
    <n v="0"/>
    <n v="166.65"/>
    <n v="4001"/>
  </r>
  <r>
    <x v="2"/>
    <x v="5"/>
    <x v="1"/>
    <x v="147"/>
    <x v="127"/>
    <x v="127"/>
    <s v="REVENUS"/>
    <x v="14"/>
    <s v="4003.010"/>
    <s v="IS - Employés et sourciers étrangers"/>
    <n v="0"/>
    <n v="35.57"/>
    <n v="4003"/>
  </r>
  <r>
    <x v="2"/>
    <x v="5"/>
    <x v="1"/>
    <x v="148"/>
    <x v="128"/>
    <x v="128"/>
    <s v="CHARGES"/>
    <x v="19"/>
    <s v="3186.002"/>
    <s v="Commission perception IS"/>
    <n v="557.95000000000005"/>
    <n v="0"/>
    <n v="3186"/>
  </r>
  <r>
    <x v="2"/>
    <x v="5"/>
    <x v="1"/>
    <x v="148"/>
    <x v="128"/>
    <x v="128"/>
    <s v="CHARGES"/>
    <x v="1"/>
    <s v="3301.001"/>
    <s v="Défalcations, abandons de solde PP et IS"/>
    <n v="0.2"/>
    <n v="0"/>
    <n v="3301"/>
  </r>
  <r>
    <x v="2"/>
    <x v="5"/>
    <x v="1"/>
    <x v="148"/>
    <x v="128"/>
    <x v="128"/>
    <s v="REVENUS"/>
    <x v="2"/>
    <s v="4001.010"/>
    <s v="Impôt sourciers mixtes"/>
    <n v="0"/>
    <n v="-59545.47"/>
    <n v="4001"/>
  </r>
  <r>
    <x v="2"/>
    <x v="5"/>
    <x v="1"/>
    <x v="148"/>
    <x v="128"/>
    <x v="128"/>
    <s v="REVENUS"/>
    <x v="14"/>
    <s v="4003.000"/>
    <s v="Impôt à la source"/>
    <n v="0"/>
    <n v="14580.2"/>
    <n v="4003"/>
  </r>
  <r>
    <x v="2"/>
    <x v="5"/>
    <x v="1"/>
    <x v="148"/>
    <x v="128"/>
    <x v="128"/>
    <s v="REVENUS"/>
    <x v="6"/>
    <s v="4211.001"/>
    <s v="Intérêts de retard sur factures"/>
    <n v="0"/>
    <n v="146.11000000000001"/>
    <n v="4211"/>
  </r>
  <r>
    <x v="2"/>
    <x v="5"/>
    <x v="1"/>
    <x v="148"/>
    <x v="128"/>
    <x v="128"/>
    <s v="REVENUS"/>
    <x v="6"/>
    <s v="4211.002"/>
    <s v="Intérêts de retard sur acomptes"/>
    <n v="0"/>
    <n v="68.680000000000007"/>
    <n v="4211"/>
  </r>
  <r>
    <x v="2"/>
    <x v="5"/>
    <x v="1"/>
    <x v="148"/>
    <x v="128"/>
    <x v="128"/>
    <s v="REVENUS"/>
    <x v="2"/>
    <s v="4001.001"/>
    <s v="Impôt revenu"/>
    <n v="0"/>
    <n v="1471.41"/>
    <n v="4001"/>
  </r>
  <r>
    <x v="2"/>
    <x v="5"/>
    <x v="1"/>
    <x v="148"/>
    <x v="128"/>
    <x v="128"/>
    <s v="REVENUS"/>
    <x v="7"/>
    <s v="4184.000"/>
    <s v="Frais de poursuite"/>
    <n v="0"/>
    <n v="10.27"/>
    <n v="4184"/>
  </r>
  <r>
    <x v="2"/>
    <x v="5"/>
    <x v="1"/>
    <x v="148"/>
    <x v="128"/>
    <x v="128"/>
    <s v="REVENUS"/>
    <x v="14"/>
    <s v="4003.010"/>
    <s v="IS - Employés et sourciers étrangers"/>
    <n v="0"/>
    <n v="85.25"/>
    <n v="4003"/>
  </r>
  <r>
    <x v="2"/>
    <x v="5"/>
    <x v="1"/>
    <x v="149"/>
    <x v="129"/>
    <x v="129"/>
    <s v="CHARGES"/>
    <x v="19"/>
    <s v="3186.002"/>
    <s v="Commission perception IS"/>
    <n v="6223.79"/>
    <n v="0"/>
    <n v="3186"/>
  </r>
  <r>
    <x v="2"/>
    <x v="5"/>
    <x v="1"/>
    <x v="149"/>
    <x v="129"/>
    <x v="129"/>
    <s v="CHARGES"/>
    <x v="1"/>
    <s v="3301.001"/>
    <s v="Défalcations, abandons de solde PP et IS"/>
    <n v="11.88"/>
    <n v="0"/>
    <n v="3301"/>
  </r>
  <r>
    <x v="2"/>
    <x v="5"/>
    <x v="1"/>
    <x v="149"/>
    <x v="129"/>
    <x v="129"/>
    <s v="REVENUS"/>
    <x v="2"/>
    <s v="4001.010"/>
    <s v="Impôt sourciers mixtes"/>
    <n v="0"/>
    <n v="-49762.27"/>
    <n v="4001"/>
  </r>
  <r>
    <x v="2"/>
    <x v="5"/>
    <x v="1"/>
    <x v="149"/>
    <x v="129"/>
    <x v="129"/>
    <s v="REVENUS"/>
    <x v="14"/>
    <s v="4003.000"/>
    <s v="Impôt à la source"/>
    <n v="0"/>
    <n v="55295.25"/>
    <n v="4003"/>
  </r>
  <r>
    <x v="2"/>
    <x v="5"/>
    <x v="1"/>
    <x v="149"/>
    <x v="129"/>
    <x v="129"/>
    <s v="REVENUS"/>
    <x v="6"/>
    <s v="4211.001"/>
    <s v="Intérêts de retard sur factures"/>
    <n v="0"/>
    <n v="536.1"/>
    <n v="4211"/>
  </r>
  <r>
    <x v="2"/>
    <x v="5"/>
    <x v="1"/>
    <x v="149"/>
    <x v="129"/>
    <x v="129"/>
    <s v="REVENUS"/>
    <x v="6"/>
    <s v="4211.002"/>
    <s v="Intérêts de retard sur acomptes"/>
    <n v="0"/>
    <n v="558.36"/>
    <n v="4211"/>
  </r>
  <r>
    <x v="2"/>
    <x v="5"/>
    <x v="1"/>
    <x v="149"/>
    <x v="129"/>
    <x v="129"/>
    <s v="REVENUS"/>
    <x v="2"/>
    <s v="4001.001"/>
    <s v="Impôt revenu"/>
    <n v="0"/>
    <n v="780.2"/>
    <n v="4001"/>
  </r>
  <r>
    <x v="2"/>
    <x v="5"/>
    <x v="1"/>
    <x v="149"/>
    <x v="129"/>
    <x v="129"/>
    <s v="REVENUS"/>
    <x v="7"/>
    <s v="4184.000"/>
    <s v="Frais de poursuite"/>
    <n v="0"/>
    <n v="0.47"/>
    <n v="4184"/>
  </r>
  <r>
    <x v="2"/>
    <x v="8"/>
    <x v="8"/>
    <x v="150"/>
    <x v="130"/>
    <x v="130"/>
    <s v="CHARGES"/>
    <x v="19"/>
    <s v="3186.002"/>
    <s v="Commission perception IS"/>
    <n v="33483.42"/>
    <n v="0"/>
    <n v="3186"/>
  </r>
  <r>
    <x v="2"/>
    <x v="8"/>
    <x v="8"/>
    <x v="150"/>
    <x v="130"/>
    <x v="130"/>
    <s v="CHARGES"/>
    <x v="1"/>
    <s v="3301.001"/>
    <s v="Défalcations, abandons de solde PP et IS"/>
    <n v="21940.97"/>
    <n v="0"/>
    <n v="3301"/>
  </r>
  <r>
    <x v="2"/>
    <x v="8"/>
    <x v="8"/>
    <x v="150"/>
    <x v="130"/>
    <x v="130"/>
    <s v="REVENUS"/>
    <x v="2"/>
    <s v="4001.010"/>
    <s v="Impôt sourciers mixtes"/>
    <n v="0"/>
    <n v="-139470.97"/>
    <n v="4001"/>
  </r>
  <r>
    <x v="2"/>
    <x v="8"/>
    <x v="8"/>
    <x v="150"/>
    <x v="130"/>
    <x v="130"/>
    <s v="REVENUS"/>
    <x v="14"/>
    <s v="4003.000"/>
    <s v="Impôt à la source"/>
    <n v="0"/>
    <n v="817603.68"/>
    <n v="4003"/>
  </r>
  <r>
    <x v="2"/>
    <x v="8"/>
    <x v="8"/>
    <x v="150"/>
    <x v="130"/>
    <x v="130"/>
    <s v="REVENUS"/>
    <x v="6"/>
    <s v="4211.001"/>
    <s v="Intérêts de retard sur factures"/>
    <n v="0"/>
    <n v="2384.29"/>
    <n v="4211"/>
  </r>
  <r>
    <x v="2"/>
    <x v="8"/>
    <x v="8"/>
    <x v="150"/>
    <x v="130"/>
    <x v="130"/>
    <s v="REVENUS"/>
    <x v="6"/>
    <s v="4211.002"/>
    <s v="Intérêts de retard sur acomptes"/>
    <n v="0"/>
    <n v="3949.98"/>
    <n v="4211"/>
  </r>
  <r>
    <x v="2"/>
    <x v="8"/>
    <x v="8"/>
    <x v="150"/>
    <x v="130"/>
    <x v="130"/>
    <s v="REVENUS"/>
    <x v="7"/>
    <s v="4184.000"/>
    <s v="Frais de poursuite"/>
    <n v="0"/>
    <n v="845.35"/>
    <n v="4184"/>
  </r>
  <r>
    <x v="2"/>
    <x v="8"/>
    <x v="8"/>
    <x v="150"/>
    <x v="130"/>
    <x v="130"/>
    <s v="REVENUS"/>
    <x v="2"/>
    <s v="4001.002"/>
    <s v="Impôt complément s/revenu PP"/>
    <n v="0"/>
    <n v="7316.05"/>
    <n v="4001"/>
  </r>
  <r>
    <x v="2"/>
    <x v="8"/>
    <x v="8"/>
    <x v="150"/>
    <x v="130"/>
    <x v="130"/>
    <s v="REVENUS"/>
    <x v="8"/>
    <s v="4091.001"/>
    <s v="Impôt récupéré après défalcations"/>
    <n v="0"/>
    <n v="4229.32"/>
    <n v="4091"/>
  </r>
  <r>
    <x v="2"/>
    <x v="8"/>
    <x v="8"/>
    <x v="150"/>
    <x v="130"/>
    <x v="130"/>
    <s v="REVENUS"/>
    <x v="2"/>
    <s v="4001.005"/>
    <s v="Amende de soustract. Impôt"/>
    <n v="0"/>
    <n v="1682"/>
    <n v="4001"/>
  </r>
  <r>
    <x v="2"/>
    <x v="8"/>
    <x v="8"/>
    <x v="150"/>
    <x v="130"/>
    <x v="130"/>
    <s v="REVENUS"/>
    <x v="2"/>
    <s v="4001.001"/>
    <s v="Impôt revenu"/>
    <n v="0"/>
    <n v="125128.89"/>
    <n v="4001"/>
  </r>
  <r>
    <x v="2"/>
    <x v="8"/>
    <x v="8"/>
    <x v="150"/>
    <x v="130"/>
    <x v="130"/>
    <s v="REVENUS"/>
    <x v="14"/>
    <s v="4003.020"/>
    <s v="IS - Artistes - Conférenciers - Sportifs"/>
    <n v="0"/>
    <n v="69.489999999999995"/>
    <n v="4003"/>
  </r>
  <r>
    <x v="2"/>
    <x v="8"/>
    <x v="8"/>
    <x v="150"/>
    <x v="130"/>
    <x v="130"/>
    <s v="REVENUS"/>
    <x v="14"/>
    <s v="4003.070"/>
    <s v="IS - Loi travail au noir"/>
    <n v="0"/>
    <n v="850.14"/>
    <n v="4003"/>
  </r>
  <r>
    <x v="2"/>
    <x v="8"/>
    <x v="8"/>
    <x v="150"/>
    <x v="130"/>
    <x v="130"/>
    <s v="REVENUS"/>
    <x v="14"/>
    <s v="4003.080"/>
    <s v="IS - Participations Hors Suisse"/>
    <n v="0"/>
    <n v="4247.62"/>
    <n v="4003"/>
  </r>
  <r>
    <x v="2"/>
    <x v="8"/>
    <x v="8"/>
    <x v="150"/>
    <x v="130"/>
    <x v="130"/>
    <s v="REVENUS"/>
    <x v="14"/>
    <s v="4003.060"/>
    <s v="IS - Administrateurs"/>
    <n v="0"/>
    <n v="1608.7"/>
    <n v="4003"/>
  </r>
  <r>
    <x v="2"/>
    <x v="8"/>
    <x v="8"/>
    <x v="150"/>
    <x v="130"/>
    <x v="130"/>
    <s v="REVENUS"/>
    <x v="14"/>
    <s v="4003.050"/>
    <s v="IS - intérêts hypothécaires"/>
    <n v="0"/>
    <n v="2801.26"/>
    <n v="4003"/>
  </r>
  <r>
    <x v="2"/>
    <x v="5"/>
    <x v="1"/>
    <x v="151"/>
    <x v="131"/>
    <x v="131"/>
    <s v="CHARGES"/>
    <x v="19"/>
    <s v="3186.002"/>
    <s v="Commission perception IS"/>
    <n v="736.5"/>
    <n v="0"/>
    <n v="3186"/>
  </r>
  <r>
    <x v="2"/>
    <x v="5"/>
    <x v="1"/>
    <x v="151"/>
    <x v="131"/>
    <x v="131"/>
    <s v="CHARGES"/>
    <x v="1"/>
    <s v="3301.001"/>
    <s v="Défalcations, abandons de solde PP et IS"/>
    <n v="0.42"/>
    <n v="0"/>
    <n v="3301"/>
  </r>
  <r>
    <x v="2"/>
    <x v="5"/>
    <x v="1"/>
    <x v="151"/>
    <x v="131"/>
    <x v="131"/>
    <s v="REVENUS"/>
    <x v="14"/>
    <s v="4003.000"/>
    <s v="Impôt à la source"/>
    <n v="0"/>
    <n v="25207.45"/>
    <n v="4003"/>
  </r>
  <r>
    <x v="2"/>
    <x v="5"/>
    <x v="1"/>
    <x v="151"/>
    <x v="131"/>
    <x v="131"/>
    <s v="REVENUS"/>
    <x v="2"/>
    <s v="4001.010"/>
    <s v="Impôt sourciers mixtes"/>
    <n v="0"/>
    <n v="-16010.39"/>
    <n v="4001"/>
  </r>
  <r>
    <x v="2"/>
    <x v="5"/>
    <x v="1"/>
    <x v="151"/>
    <x v="131"/>
    <x v="131"/>
    <s v="REVENUS"/>
    <x v="6"/>
    <s v="4211.001"/>
    <s v="Intérêts de retard sur factures"/>
    <n v="0"/>
    <n v="33.97"/>
    <n v="4211"/>
  </r>
  <r>
    <x v="2"/>
    <x v="5"/>
    <x v="1"/>
    <x v="151"/>
    <x v="131"/>
    <x v="131"/>
    <s v="REVENUS"/>
    <x v="6"/>
    <s v="4211.002"/>
    <s v="Intérêts de retard sur acomptes"/>
    <n v="0"/>
    <n v="167.38"/>
    <n v="4211"/>
  </r>
  <r>
    <x v="2"/>
    <x v="5"/>
    <x v="1"/>
    <x v="151"/>
    <x v="131"/>
    <x v="131"/>
    <s v="REVENUS"/>
    <x v="14"/>
    <s v="4003.020"/>
    <s v="IS - Artistes - Conférenciers - Sportifs"/>
    <n v="0"/>
    <n v="32.64"/>
    <n v="4003"/>
  </r>
  <r>
    <x v="2"/>
    <x v="5"/>
    <x v="1"/>
    <x v="151"/>
    <x v="131"/>
    <x v="131"/>
    <s v="REVENUS"/>
    <x v="7"/>
    <s v="4184.000"/>
    <s v="Frais de poursuite"/>
    <n v="0"/>
    <n v="33.590000000000003"/>
    <n v="4184"/>
  </r>
  <r>
    <x v="2"/>
    <x v="5"/>
    <x v="1"/>
    <x v="151"/>
    <x v="131"/>
    <x v="131"/>
    <s v="REVENUS"/>
    <x v="14"/>
    <s v="4003.010"/>
    <s v="IS - Employés et sourciers étrangers"/>
    <n v="0"/>
    <n v="666.08"/>
    <n v="4003"/>
  </r>
  <r>
    <x v="2"/>
    <x v="8"/>
    <x v="8"/>
    <x v="152"/>
    <x v="132"/>
    <x v="132"/>
    <s v="CHARGES"/>
    <x v="19"/>
    <s v="3186.002"/>
    <s v="Commission perception IS"/>
    <n v="37824.42"/>
    <n v="0"/>
    <n v="3186"/>
  </r>
  <r>
    <x v="2"/>
    <x v="8"/>
    <x v="8"/>
    <x v="152"/>
    <x v="132"/>
    <x v="132"/>
    <s v="CHARGES"/>
    <x v="1"/>
    <s v="3301.001"/>
    <s v="Défalcations, abandons de solde PP et IS"/>
    <n v="20541.78"/>
    <n v="0"/>
    <n v="3301"/>
  </r>
  <r>
    <x v="2"/>
    <x v="8"/>
    <x v="8"/>
    <x v="152"/>
    <x v="132"/>
    <x v="132"/>
    <s v="REVENUS"/>
    <x v="2"/>
    <s v="4001.010"/>
    <s v="Impôt sourciers mixtes"/>
    <n v="0"/>
    <n v="13603.04"/>
    <n v="4001"/>
  </r>
  <r>
    <x v="2"/>
    <x v="8"/>
    <x v="8"/>
    <x v="152"/>
    <x v="132"/>
    <x v="132"/>
    <s v="REVENUS"/>
    <x v="14"/>
    <s v="4003.000"/>
    <s v="Impôt à la source"/>
    <n v="0"/>
    <n v="810414.19"/>
    <n v="4003"/>
  </r>
  <r>
    <x v="2"/>
    <x v="8"/>
    <x v="8"/>
    <x v="152"/>
    <x v="132"/>
    <x v="132"/>
    <s v="REVENUS"/>
    <x v="2"/>
    <s v="4001.001"/>
    <s v="Impôt revenu"/>
    <n v="0"/>
    <n v="208554.38"/>
    <n v="4001"/>
  </r>
  <r>
    <x v="2"/>
    <x v="8"/>
    <x v="8"/>
    <x v="152"/>
    <x v="132"/>
    <x v="132"/>
    <s v="REVENUS"/>
    <x v="6"/>
    <s v="4211.001"/>
    <s v="Intérêts de retard sur factures"/>
    <n v="0"/>
    <n v="2058.81"/>
    <n v="4211"/>
  </r>
  <r>
    <x v="2"/>
    <x v="8"/>
    <x v="8"/>
    <x v="152"/>
    <x v="132"/>
    <x v="132"/>
    <s v="REVENUS"/>
    <x v="6"/>
    <s v="4211.002"/>
    <s v="Intérêts de retard sur acomptes"/>
    <n v="0"/>
    <n v="3320.25"/>
    <n v="4211"/>
  </r>
  <r>
    <x v="2"/>
    <x v="8"/>
    <x v="8"/>
    <x v="152"/>
    <x v="132"/>
    <x v="132"/>
    <s v="REVENUS"/>
    <x v="7"/>
    <s v="4184.000"/>
    <s v="Frais de poursuite"/>
    <n v="0"/>
    <n v="669.69"/>
    <n v="4184"/>
  </r>
  <r>
    <x v="2"/>
    <x v="8"/>
    <x v="8"/>
    <x v="152"/>
    <x v="132"/>
    <x v="132"/>
    <s v="REVENUS"/>
    <x v="8"/>
    <s v="4091.001"/>
    <s v="Impôt récupéré après défalcations"/>
    <n v="0"/>
    <n v="6667.67"/>
    <n v="4091"/>
  </r>
  <r>
    <x v="2"/>
    <x v="8"/>
    <x v="8"/>
    <x v="152"/>
    <x v="132"/>
    <x v="132"/>
    <s v="REVENUS"/>
    <x v="2"/>
    <s v="4001.002"/>
    <s v="Impôt complément s/revenu PP"/>
    <n v="0"/>
    <n v="1158.56"/>
    <n v="4001"/>
  </r>
  <r>
    <x v="2"/>
    <x v="8"/>
    <x v="8"/>
    <x v="152"/>
    <x v="132"/>
    <x v="132"/>
    <s v="REVENUS"/>
    <x v="14"/>
    <s v="4003.020"/>
    <s v="IS - Artistes - Conférenciers - Sportifs"/>
    <n v="0"/>
    <n v="16.489999999999998"/>
    <n v="4003"/>
  </r>
  <r>
    <x v="2"/>
    <x v="8"/>
    <x v="8"/>
    <x v="152"/>
    <x v="132"/>
    <x v="132"/>
    <s v="REVENUS"/>
    <x v="14"/>
    <s v="4003.070"/>
    <s v="IS - Loi travail au noir"/>
    <n v="0"/>
    <n v="868.96"/>
    <n v="4003"/>
  </r>
  <r>
    <x v="2"/>
    <x v="8"/>
    <x v="8"/>
    <x v="152"/>
    <x v="132"/>
    <x v="132"/>
    <s v="REVENUS"/>
    <x v="2"/>
    <s v="4001.005"/>
    <s v="Amende de soustract. Impôt"/>
    <n v="0"/>
    <n v="167"/>
    <n v="4001"/>
  </r>
  <r>
    <x v="2"/>
    <x v="8"/>
    <x v="8"/>
    <x v="152"/>
    <x v="132"/>
    <x v="132"/>
    <s v="REVENUS"/>
    <x v="8"/>
    <s v="4091.003"/>
    <s v="Impôt récupéré concordat"/>
    <n v="0"/>
    <n v="2069.21"/>
    <n v="4091"/>
  </r>
  <r>
    <x v="2"/>
    <x v="5"/>
    <x v="1"/>
    <x v="153"/>
    <x v="133"/>
    <x v="133"/>
    <s v="CHARGES"/>
    <x v="19"/>
    <s v="3186.002"/>
    <s v="Commission perception IS"/>
    <n v="7248.67"/>
    <n v="0"/>
    <n v="3186"/>
  </r>
  <r>
    <x v="2"/>
    <x v="5"/>
    <x v="1"/>
    <x v="153"/>
    <x v="133"/>
    <x v="133"/>
    <s v="CHARGES"/>
    <x v="1"/>
    <s v="3301.001"/>
    <s v="Défalcations, abandons de solde PP et IS"/>
    <n v="1871.95"/>
    <n v="0"/>
    <n v="3301"/>
  </r>
  <r>
    <x v="2"/>
    <x v="5"/>
    <x v="1"/>
    <x v="153"/>
    <x v="133"/>
    <x v="133"/>
    <s v="REVENUS"/>
    <x v="2"/>
    <s v="4001.010"/>
    <s v="Impôt sourciers mixtes"/>
    <n v="0"/>
    <n v="73420.69"/>
    <n v="4001"/>
  </r>
  <r>
    <x v="2"/>
    <x v="5"/>
    <x v="1"/>
    <x v="153"/>
    <x v="133"/>
    <x v="133"/>
    <s v="REVENUS"/>
    <x v="14"/>
    <s v="4003.000"/>
    <s v="Impôt à la source"/>
    <n v="0"/>
    <n v="61270.33"/>
    <n v="4003"/>
  </r>
  <r>
    <x v="2"/>
    <x v="5"/>
    <x v="1"/>
    <x v="153"/>
    <x v="133"/>
    <x v="133"/>
    <s v="REVENUS"/>
    <x v="6"/>
    <s v="4211.001"/>
    <s v="Intérêts de retard sur factures"/>
    <n v="0"/>
    <n v="236.62"/>
    <n v="4211"/>
  </r>
  <r>
    <x v="2"/>
    <x v="5"/>
    <x v="1"/>
    <x v="153"/>
    <x v="133"/>
    <x v="133"/>
    <s v="REVENUS"/>
    <x v="6"/>
    <s v="4211.002"/>
    <s v="Intérêts de retard sur acomptes"/>
    <n v="0"/>
    <n v="758.31"/>
    <n v="4211"/>
  </r>
  <r>
    <x v="2"/>
    <x v="5"/>
    <x v="1"/>
    <x v="153"/>
    <x v="133"/>
    <x v="133"/>
    <s v="REVENUS"/>
    <x v="14"/>
    <s v="4003.010"/>
    <s v="IS - Employés et sourciers étrangers"/>
    <n v="0"/>
    <n v="1229.1400000000001"/>
    <n v="4003"/>
  </r>
  <r>
    <x v="2"/>
    <x v="5"/>
    <x v="1"/>
    <x v="153"/>
    <x v="133"/>
    <x v="133"/>
    <s v="REVENUS"/>
    <x v="2"/>
    <s v="4001.001"/>
    <s v="Impôt revenu"/>
    <n v="0"/>
    <n v="8086.13"/>
    <n v="4001"/>
  </r>
  <r>
    <x v="2"/>
    <x v="5"/>
    <x v="1"/>
    <x v="154"/>
    <x v="134"/>
    <x v="134"/>
    <s v="CHARGES"/>
    <x v="19"/>
    <s v="3186.002"/>
    <s v="Commission perception IS"/>
    <n v="1471.94"/>
    <n v="0"/>
    <n v="3186"/>
  </r>
  <r>
    <x v="2"/>
    <x v="5"/>
    <x v="1"/>
    <x v="154"/>
    <x v="134"/>
    <x v="134"/>
    <s v="CHARGES"/>
    <x v="1"/>
    <s v="3301.001"/>
    <s v="Défalcations, abandons de solde PP et IS"/>
    <n v="0.66"/>
    <n v="0"/>
    <n v="3301"/>
  </r>
  <r>
    <x v="2"/>
    <x v="5"/>
    <x v="1"/>
    <x v="154"/>
    <x v="134"/>
    <x v="134"/>
    <s v="REVENUS"/>
    <x v="14"/>
    <s v="4003.000"/>
    <s v="Impôt à la source"/>
    <n v="0"/>
    <n v="18243.009999999998"/>
    <n v="4003"/>
  </r>
  <r>
    <x v="2"/>
    <x v="5"/>
    <x v="1"/>
    <x v="154"/>
    <x v="134"/>
    <x v="134"/>
    <s v="REVENUS"/>
    <x v="7"/>
    <s v="4184.000"/>
    <s v="Frais de poursuite"/>
    <n v="0"/>
    <n v="51.45"/>
    <n v="4184"/>
  </r>
  <r>
    <x v="2"/>
    <x v="5"/>
    <x v="1"/>
    <x v="154"/>
    <x v="134"/>
    <x v="134"/>
    <s v="REVENUS"/>
    <x v="2"/>
    <s v="4001.010"/>
    <s v="Impôt sourciers mixtes"/>
    <n v="0"/>
    <n v="1370.78"/>
    <n v="4001"/>
  </r>
  <r>
    <x v="2"/>
    <x v="5"/>
    <x v="1"/>
    <x v="154"/>
    <x v="134"/>
    <x v="134"/>
    <s v="REVENUS"/>
    <x v="6"/>
    <s v="4211.002"/>
    <s v="Intérêts de retard sur acomptes"/>
    <n v="0"/>
    <n v="2.16"/>
    <n v="4211"/>
  </r>
  <r>
    <x v="2"/>
    <x v="5"/>
    <x v="1"/>
    <x v="154"/>
    <x v="134"/>
    <x v="134"/>
    <s v="REVENUS"/>
    <x v="6"/>
    <s v="4211.001"/>
    <s v="Intérêts de retard sur factures"/>
    <n v="0"/>
    <n v="308.60000000000002"/>
    <n v="4211"/>
  </r>
  <r>
    <x v="2"/>
    <x v="5"/>
    <x v="1"/>
    <x v="154"/>
    <x v="134"/>
    <x v="134"/>
    <s v="REVENUS"/>
    <x v="2"/>
    <s v="4001.001"/>
    <s v="Impôt revenu"/>
    <n v="0"/>
    <n v="7841.5"/>
    <n v="4001"/>
  </r>
  <r>
    <x v="2"/>
    <x v="5"/>
    <x v="1"/>
    <x v="154"/>
    <x v="134"/>
    <x v="134"/>
    <s v="REVENUS"/>
    <x v="2"/>
    <s v="4001.002"/>
    <s v="Impôt complément s/revenu PP"/>
    <n v="0"/>
    <n v="2348.3000000000002"/>
    <n v="4001"/>
  </r>
  <r>
    <x v="2"/>
    <x v="5"/>
    <x v="1"/>
    <x v="156"/>
    <x v="136"/>
    <x v="136"/>
    <s v="CHARGES"/>
    <x v="19"/>
    <s v="3186.002"/>
    <s v="Commission perception IS"/>
    <n v="3566.37"/>
    <n v="0"/>
    <n v="3186"/>
  </r>
  <r>
    <x v="2"/>
    <x v="5"/>
    <x v="1"/>
    <x v="156"/>
    <x v="136"/>
    <x v="136"/>
    <s v="CHARGES"/>
    <x v="1"/>
    <s v="3301.001"/>
    <s v="Défalcations, abandons de solde PP et IS"/>
    <n v="4.5999999999999996"/>
    <n v="0"/>
    <n v="3301"/>
  </r>
  <r>
    <x v="2"/>
    <x v="5"/>
    <x v="1"/>
    <x v="156"/>
    <x v="136"/>
    <x v="136"/>
    <s v="REVENUS"/>
    <x v="2"/>
    <s v="4001.010"/>
    <s v="Impôt sourciers mixtes"/>
    <n v="0"/>
    <n v="59727.09"/>
    <n v="4001"/>
  </r>
  <r>
    <x v="2"/>
    <x v="5"/>
    <x v="1"/>
    <x v="156"/>
    <x v="136"/>
    <x v="136"/>
    <s v="REVENUS"/>
    <x v="14"/>
    <s v="4003.000"/>
    <s v="Impôt à la source"/>
    <n v="0"/>
    <n v="69100.84"/>
    <n v="4003"/>
  </r>
  <r>
    <x v="2"/>
    <x v="5"/>
    <x v="1"/>
    <x v="156"/>
    <x v="136"/>
    <x v="136"/>
    <s v="REVENUS"/>
    <x v="2"/>
    <s v="4001.001"/>
    <s v="Impôt revenu"/>
    <n v="0"/>
    <n v="8599.9599999999991"/>
    <n v="4001"/>
  </r>
  <r>
    <x v="2"/>
    <x v="5"/>
    <x v="1"/>
    <x v="156"/>
    <x v="136"/>
    <x v="136"/>
    <s v="REVENUS"/>
    <x v="6"/>
    <s v="4211.001"/>
    <s v="Intérêts de retard sur factures"/>
    <n v="0"/>
    <n v="450.02"/>
    <n v="4211"/>
  </r>
  <r>
    <x v="2"/>
    <x v="5"/>
    <x v="1"/>
    <x v="156"/>
    <x v="136"/>
    <x v="136"/>
    <s v="REVENUS"/>
    <x v="6"/>
    <s v="4211.002"/>
    <s v="Intérêts de retard sur acomptes"/>
    <n v="0"/>
    <n v="958.88"/>
    <n v="4211"/>
  </r>
  <r>
    <x v="2"/>
    <x v="5"/>
    <x v="1"/>
    <x v="156"/>
    <x v="136"/>
    <x v="136"/>
    <s v="REVENUS"/>
    <x v="14"/>
    <s v="4003.010"/>
    <s v="IS - Employés et sourciers étrangers"/>
    <n v="0"/>
    <n v="332.02"/>
    <n v="4003"/>
  </r>
  <r>
    <x v="2"/>
    <x v="5"/>
    <x v="1"/>
    <x v="156"/>
    <x v="136"/>
    <x v="136"/>
    <s v="REVENUS"/>
    <x v="2"/>
    <s v="4001.002"/>
    <s v="Impôt complément s/revenu PP"/>
    <n v="0"/>
    <n v="2349.25"/>
    <n v="4001"/>
  </r>
  <r>
    <x v="2"/>
    <x v="5"/>
    <x v="1"/>
    <x v="157"/>
    <x v="137"/>
    <x v="137"/>
    <s v="CHARGES"/>
    <x v="19"/>
    <s v="3186.002"/>
    <s v="Commission perception IS"/>
    <n v="7073.37"/>
    <n v="0"/>
    <n v="3186"/>
  </r>
  <r>
    <x v="2"/>
    <x v="5"/>
    <x v="1"/>
    <x v="157"/>
    <x v="137"/>
    <x v="137"/>
    <s v="CHARGES"/>
    <x v="1"/>
    <s v="3301.001"/>
    <s v="Défalcations, abandons de solde PP et IS"/>
    <n v="517.25"/>
    <n v="0"/>
    <n v="3301"/>
  </r>
  <r>
    <x v="2"/>
    <x v="5"/>
    <x v="1"/>
    <x v="157"/>
    <x v="137"/>
    <x v="137"/>
    <s v="REVENUS"/>
    <x v="14"/>
    <s v="4003.000"/>
    <s v="Impôt à la source"/>
    <n v="0"/>
    <n v="203479.69"/>
    <n v="4003"/>
  </r>
  <r>
    <x v="2"/>
    <x v="5"/>
    <x v="1"/>
    <x v="157"/>
    <x v="137"/>
    <x v="137"/>
    <s v="REVENUS"/>
    <x v="2"/>
    <s v="4001.010"/>
    <s v="Impôt sourciers mixtes"/>
    <n v="0"/>
    <n v="23906.32"/>
    <n v="4001"/>
  </r>
  <r>
    <x v="2"/>
    <x v="5"/>
    <x v="1"/>
    <x v="157"/>
    <x v="137"/>
    <x v="137"/>
    <s v="REVENUS"/>
    <x v="2"/>
    <s v="4001.001"/>
    <s v="Impôt revenu"/>
    <n v="0"/>
    <n v="13261.9"/>
    <n v="4001"/>
  </r>
  <r>
    <x v="2"/>
    <x v="5"/>
    <x v="1"/>
    <x v="157"/>
    <x v="137"/>
    <x v="137"/>
    <s v="REVENUS"/>
    <x v="6"/>
    <s v="4211.002"/>
    <s v="Intérêts de retard sur acomptes"/>
    <n v="0"/>
    <n v="812.07"/>
    <n v="4211"/>
  </r>
  <r>
    <x v="2"/>
    <x v="5"/>
    <x v="1"/>
    <x v="157"/>
    <x v="137"/>
    <x v="137"/>
    <s v="REVENUS"/>
    <x v="6"/>
    <s v="4211.001"/>
    <s v="Intérêts de retard sur factures"/>
    <n v="0"/>
    <n v="493.87"/>
    <n v="4211"/>
  </r>
  <r>
    <x v="2"/>
    <x v="5"/>
    <x v="1"/>
    <x v="157"/>
    <x v="137"/>
    <x v="137"/>
    <s v="REVENUS"/>
    <x v="8"/>
    <s v="4091.001"/>
    <s v="Impôt récupéré après défalcations"/>
    <n v="0"/>
    <n v="-10.31"/>
    <n v="4091"/>
  </r>
  <r>
    <x v="2"/>
    <x v="5"/>
    <x v="1"/>
    <x v="157"/>
    <x v="137"/>
    <x v="137"/>
    <s v="REVENUS"/>
    <x v="7"/>
    <s v="4184.000"/>
    <s v="Frais de poursuite"/>
    <n v="0"/>
    <n v="144.35"/>
    <n v="4184"/>
  </r>
  <r>
    <x v="2"/>
    <x v="5"/>
    <x v="1"/>
    <x v="157"/>
    <x v="137"/>
    <x v="137"/>
    <s v="REVENUS"/>
    <x v="14"/>
    <s v="4003.010"/>
    <s v="IS - Employés et sourciers étrangers"/>
    <n v="0"/>
    <n v="6973.85"/>
    <n v="4003"/>
  </r>
  <r>
    <x v="2"/>
    <x v="5"/>
    <x v="1"/>
    <x v="157"/>
    <x v="137"/>
    <x v="137"/>
    <s v="REVENUS"/>
    <x v="14"/>
    <s v="4003.070"/>
    <s v="IS - Loi travail au noir"/>
    <n v="0"/>
    <n v="4.7699999999999996"/>
    <n v="4003"/>
  </r>
  <r>
    <x v="2"/>
    <x v="5"/>
    <x v="1"/>
    <x v="157"/>
    <x v="137"/>
    <x v="137"/>
    <s v="REVENUS"/>
    <x v="2"/>
    <s v="4001.005"/>
    <s v="Amende de soustract. Impôt"/>
    <n v="0"/>
    <n v="33"/>
    <n v="4001"/>
  </r>
  <r>
    <x v="2"/>
    <x v="5"/>
    <x v="1"/>
    <x v="158"/>
    <x v="138"/>
    <x v="138"/>
    <s v="CHARGES"/>
    <x v="19"/>
    <s v="3186.002"/>
    <s v="Commission perception IS"/>
    <n v="7623.84"/>
    <n v="0"/>
    <n v="3186"/>
  </r>
  <r>
    <x v="2"/>
    <x v="5"/>
    <x v="1"/>
    <x v="158"/>
    <x v="138"/>
    <x v="138"/>
    <s v="CHARGES"/>
    <x v="1"/>
    <s v="3301.001"/>
    <s v="Défalcations, abandons de solde PP et IS"/>
    <n v="6811.55"/>
    <n v="0"/>
    <n v="3301"/>
  </r>
  <r>
    <x v="2"/>
    <x v="5"/>
    <x v="1"/>
    <x v="158"/>
    <x v="138"/>
    <x v="138"/>
    <s v="REVENUS"/>
    <x v="14"/>
    <s v="4003.000"/>
    <s v="Impôt à la source"/>
    <n v="0"/>
    <n v="204333.52"/>
    <n v="4003"/>
  </r>
  <r>
    <x v="2"/>
    <x v="5"/>
    <x v="1"/>
    <x v="158"/>
    <x v="138"/>
    <x v="138"/>
    <s v="REVENUS"/>
    <x v="2"/>
    <s v="4001.010"/>
    <s v="Impôt sourciers mixtes"/>
    <n v="0"/>
    <n v="-35360.47"/>
    <n v="4001"/>
  </r>
  <r>
    <x v="2"/>
    <x v="5"/>
    <x v="1"/>
    <x v="158"/>
    <x v="138"/>
    <x v="138"/>
    <s v="REVENUS"/>
    <x v="6"/>
    <s v="4211.001"/>
    <s v="Intérêts de retard sur factures"/>
    <n v="0"/>
    <n v="685.91"/>
    <n v="4211"/>
  </r>
  <r>
    <x v="2"/>
    <x v="5"/>
    <x v="1"/>
    <x v="158"/>
    <x v="138"/>
    <x v="138"/>
    <s v="REVENUS"/>
    <x v="6"/>
    <s v="4211.002"/>
    <s v="Intérêts de retard sur acomptes"/>
    <n v="0"/>
    <n v="1293.22"/>
    <n v="4211"/>
  </r>
  <r>
    <x v="2"/>
    <x v="5"/>
    <x v="1"/>
    <x v="158"/>
    <x v="138"/>
    <x v="138"/>
    <s v="REVENUS"/>
    <x v="8"/>
    <s v="4091.001"/>
    <s v="Impôt récupéré après défalcations"/>
    <n v="0"/>
    <n v="2257.77"/>
    <n v="4091"/>
  </r>
  <r>
    <x v="2"/>
    <x v="5"/>
    <x v="1"/>
    <x v="158"/>
    <x v="138"/>
    <x v="138"/>
    <s v="REVENUS"/>
    <x v="7"/>
    <s v="4184.000"/>
    <s v="Frais de poursuite"/>
    <n v="0"/>
    <n v="185.97"/>
    <n v="4184"/>
  </r>
  <r>
    <x v="2"/>
    <x v="5"/>
    <x v="1"/>
    <x v="158"/>
    <x v="138"/>
    <x v="138"/>
    <s v="REVENUS"/>
    <x v="2"/>
    <s v="4001.001"/>
    <s v="Impôt revenu"/>
    <n v="0"/>
    <n v="44076.65"/>
    <n v="4001"/>
  </r>
  <r>
    <x v="2"/>
    <x v="5"/>
    <x v="1"/>
    <x v="158"/>
    <x v="138"/>
    <x v="138"/>
    <s v="REVENUS"/>
    <x v="14"/>
    <s v="4003.010"/>
    <s v="IS - Employés et sourciers étrangers"/>
    <n v="0"/>
    <n v="-56.58"/>
    <n v="4003"/>
  </r>
  <r>
    <x v="2"/>
    <x v="5"/>
    <x v="1"/>
    <x v="158"/>
    <x v="138"/>
    <x v="138"/>
    <s v="REVENUS"/>
    <x v="2"/>
    <s v="4001.005"/>
    <s v="Amende de soustract. Impôt"/>
    <n v="0"/>
    <n v="33"/>
    <n v="4001"/>
  </r>
  <r>
    <x v="2"/>
    <x v="5"/>
    <x v="1"/>
    <x v="159"/>
    <x v="135"/>
    <x v="135"/>
    <s v="CHARGES"/>
    <x v="19"/>
    <s v="3186.002"/>
    <s v="Commission perception IS"/>
    <n v="23025.24"/>
    <n v="0"/>
    <n v="3186"/>
  </r>
  <r>
    <x v="2"/>
    <x v="5"/>
    <x v="1"/>
    <x v="159"/>
    <x v="135"/>
    <x v="135"/>
    <s v="CHARGES"/>
    <x v="1"/>
    <s v="3301.001"/>
    <s v="Défalcations, abandons de solde PP et IS"/>
    <n v="27.71"/>
    <n v="0"/>
    <n v="3301"/>
  </r>
  <r>
    <x v="2"/>
    <x v="5"/>
    <x v="1"/>
    <x v="159"/>
    <x v="135"/>
    <x v="135"/>
    <s v="REVENUS"/>
    <x v="2"/>
    <s v="4001.010"/>
    <s v="Impôt sourciers mixtes"/>
    <n v="0"/>
    <n v="90326.720000000001"/>
    <n v="4001"/>
  </r>
  <r>
    <x v="2"/>
    <x v="5"/>
    <x v="1"/>
    <x v="159"/>
    <x v="135"/>
    <x v="135"/>
    <s v="REVENUS"/>
    <x v="14"/>
    <s v="4003.000"/>
    <s v="Impôt à la source"/>
    <n v="0"/>
    <n v="105201.99"/>
    <n v="4003"/>
  </r>
  <r>
    <x v="2"/>
    <x v="5"/>
    <x v="1"/>
    <x v="159"/>
    <x v="135"/>
    <x v="135"/>
    <s v="REVENUS"/>
    <x v="6"/>
    <s v="4211.001"/>
    <s v="Intérêts de retard sur factures"/>
    <n v="0"/>
    <n v="536.79999999999995"/>
    <n v="4211"/>
  </r>
  <r>
    <x v="2"/>
    <x v="5"/>
    <x v="1"/>
    <x v="159"/>
    <x v="135"/>
    <x v="135"/>
    <s v="REVENUS"/>
    <x v="6"/>
    <s v="4211.002"/>
    <s v="Intérêts de retard sur acomptes"/>
    <n v="0"/>
    <n v="1227.8800000000001"/>
    <n v="4211"/>
  </r>
  <r>
    <x v="2"/>
    <x v="5"/>
    <x v="1"/>
    <x v="159"/>
    <x v="135"/>
    <x v="135"/>
    <s v="REVENUS"/>
    <x v="14"/>
    <s v="4003.010"/>
    <s v="IS - Employés et sourciers étrangers"/>
    <n v="0"/>
    <n v="8967.76"/>
    <n v="4003"/>
  </r>
  <r>
    <x v="2"/>
    <x v="5"/>
    <x v="1"/>
    <x v="159"/>
    <x v="135"/>
    <x v="135"/>
    <s v="REVENUS"/>
    <x v="2"/>
    <s v="4001.001"/>
    <s v="Impôt revenu"/>
    <n v="0"/>
    <n v="37708.620000000003"/>
    <n v="4001"/>
  </r>
  <r>
    <x v="2"/>
    <x v="5"/>
    <x v="1"/>
    <x v="159"/>
    <x v="135"/>
    <x v="135"/>
    <s v="REVENUS"/>
    <x v="2"/>
    <s v="4001.002"/>
    <s v="Impôt complément s/revenu PP"/>
    <n v="0"/>
    <n v="4073.02"/>
    <n v="4001"/>
  </r>
  <r>
    <x v="2"/>
    <x v="5"/>
    <x v="1"/>
    <x v="159"/>
    <x v="135"/>
    <x v="135"/>
    <s v="REVENUS"/>
    <x v="7"/>
    <s v="4184.000"/>
    <s v="Frais de poursuite"/>
    <n v="0"/>
    <n v="26.14"/>
    <n v="4184"/>
  </r>
  <r>
    <x v="2"/>
    <x v="5"/>
    <x v="1"/>
    <x v="159"/>
    <x v="135"/>
    <x v="135"/>
    <s v="REVENUS"/>
    <x v="14"/>
    <s v="4003.020"/>
    <s v="IS - Artistes - Conférenciers - Sportifs"/>
    <n v="0"/>
    <n v="12.88"/>
    <n v="4003"/>
  </r>
  <r>
    <x v="2"/>
    <x v="8"/>
    <x v="8"/>
    <x v="160"/>
    <x v="139"/>
    <x v="139"/>
    <s v="CHARGES"/>
    <x v="19"/>
    <s v="3186.002"/>
    <s v="Commission perception IS"/>
    <n v="77279.92"/>
    <n v="0"/>
    <n v="3186"/>
  </r>
  <r>
    <x v="2"/>
    <x v="8"/>
    <x v="8"/>
    <x v="160"/>
    <x v="139"/>
    <x v="139"/>
    <s v="CHARGES"/>
    <x v="1"/>
    <s v="3301.001"/>
    <s v="Défalcations, abandons de solde PP et IS"/>
    <n v="94885.79"/>
    <n v="0"/>
    <n v="3301"/>
  </r>
  <r>
    <x v="2"/>
    <x v="8"/>
    <x v="8"/>
    <x v="160"/>
    <x v="139"/>
    <x v="139"/>
    <s v="REVENUS"/>
    <x v="2"/>
    <s v="4001.010"/>
    <s v="Impôt sourciers mixtes"/>
    <n v="0"/>
    <n v="87854.33"/>
    <n v="4001"/>
  </r>
  <r>
    <x v="2"/>
    <x v="8"/>
    <x v="8"/>
    <x v="160"/>
    <x v="139"/>
    <x v="139"/>
    <s v="REVENUS"/>
    <x v="14"/>
    <s v="4003.000"/>
    <s v="Impôt à la source"/>
    <n v="0"/>
    <n v="1625548.17"/>
    <n v="4003"/>
  </r>
  <r>
    <x v="2"/>
    <x v="8"/>
    <x v="8"/>
    <x v="160"/>
    <x v="139"/>
    <x v="139"/>
    <s v="REVENUS"/>
    <x v="2"/>
    <s v="4001.001"/>
    <s v="Impôt revenu"/>
    <n v="0"/>
    <n v="349695.08"/>
    <n v="4001"/>
  </r>
  <r>
    <x v="2"/>
    <x v="8"/>
    <x v="8"/>
    <x v="160"/>
    <x v="139"/>
    <x v="139"/>
    <s v="REVENUS"/>
    <x v="6"/>
    <s v="4211.001"/>
    <s v="Intérêts de retard sur factures"/>
    <n v="0"/>
    <n v="6467.08"/>
    <n v="4211"/>
  </r>
  <r>
    <x v="2"/>
    <x v="8"/>
    <x v="8"/>
    <x v="160"/>
    <x v="139"/>
    <x v="139"/>
    <s v="REVENUS"/>
    <x v="6"/>
    <s v="4211.002"/>
    <s v="Intérêts de retard sur acomptes"/>
    <n v="0"/>
    <n v="6210.17"/>
    <n v="4211"/>
  </r>
  <r>
    <x v="2"/>
    <x v="8"/>
    <x v="8"/>
    <x v="160"/>
    <x v="139"/>
    <x v="139"/>
    <s v="REVENUS"/>
    <x v="7"/>
    <s v="4184.000"/>
    <s v="Frais de poursuite"/>
    <n v="0"/>
    <n v="626.95000000000005"/>
    <n v="4184"/>
  </r>
  <r>
    <x v="2"/>
    <x v="8"/>
    <x v="8"/>
    <x v="160"/>
    <x v="139"/>
    <x v="139"/>
    <s v="REVENUS"/>
    <x v="14"/>
    <s v="4003.080"/>
    <s v="IS - Participations Hors Suisse"/>
    <n v="0"/>
    <n v="22899"/>
    <n v="4003"/>
  </r>
  <r>
    <x v="2"/>
    <x v="8"/>
    <x v="8"/>
    <x v="160"/>
    <x v="139"/>
    <x v="139"/>
    <s v="REVENUS"/>
    <x v="2"/>
    <s v="4001.002"/>
    <s v="Impôt complément s/revenu PP"/>
    <n v="0"/>
    <n v="19977.580000000002"/>
    <n v="4001"/>
  </r>
  <r>
    <x v="2"/>
    <x v="8"/>
    <x v="8"/>
    <x v="160"/>
    <x v="139"/>
    <x v="139"/>
    <s v="REVENUS"/>
    <x v="14"/>
    <s v="4003.030"/>
    <s v="IS - Prestations en capital / Prévoyance"/>
    <n v="0"/>
    <n v="13769.66"/>
    <n v="4003"/>
  </r>
  <r>
    <x v="2"/>
    <x v="8"/>
    <x v="8"/>
    <x v="160"/>
    <x v="139"/>
    <x v="139"/>
    <s v="REVENUS"/>
    <x v="14"/>
    <s v="4003.060"/>
    <s v="IS - Administrateurs"/>
    <n v="0"/>
    <n v="64621.18"/>
    <n v="4003"/>
  </r>
  <r>
    <x v="2"/>
    <x v="8"/>
    <x v="8"/>
    <x v="160"/>
    <x v="139"/>
    <x v="139"/>
    <s v="REVENUS"/>
    <x v="2"/>
    <s v="4001.005"/>
    <s v="Amende de soustract. Impôt"/>
    <n v="0"/>
    <n v="2878.1"/>
    <n v="4001"/>
  </r>
  <r>
    <x v="2"/>
    <x v="8"/>
    <x v="8"/>
    <x v="160"/>
    <x v="139"/>
    <x v="139"/>
    <s v="REVENUS"/>
    <x v="8"/>
    <s v="4091.001"/>
    <s v="Impôt récupéré après défalcations"/>
    <n v="0"/>
    <n v="5338.47"/>
    <n v="4091"/>
  </r>
  <r>
    <x v="2"/>
    <x v="8"/>
    <x v="8"/>
    <x v="160"/>
    <x v="139"/>
    <x v="139"/>
    <s v="REVENUS"/>
    <x v="14"/>
    <s v="4003.070"/>
    <s v="IS - Loi travail au noir"/>
    <n v="0"/>
    <n v="3521.43"/>
    <n v="4003"/>
  </r>
  <r>
    <x v="2"/>
    <x v="8"/>
    <x v="8"/>
    <x v="160"/>
    <x v="139"/>
    <x v="139"/>
    <s v="REVENUS"/>
    <x v="8"/>
    <s v="4091.003"/>
    <s v="Impôt récupéré concordat"/>
    <n v="0"/>
    <n v="3663.75"/>
    <n v="4091"/>
  </r>
  <r>
    <x v="2"/>
    <x v="8"/>
    <x v="8"/>
    <x v="160"/>
    <x v="139"/>
    <x v="139"/>
    <s v="REVENUS"/>
    <x v="14"/>
    <s v="4003.050"/>
    <s v="IS - intérêts hypothécaires"/>
    <n v="0"/>
    <n v="18913.939999999999"/>
    <n v="4003"/>
  </r>
  <r>
    <x v="2"/>
    <x v="5"/>
    <x v="1"/>
    <x v="161"/>
    <x v="140"/>
    <x v="140"/>
    <s v="CHARGES"/>
    <x v="19"/>
    <s v="3186.002"/>
    <s v="Commission perception IS"/>
    <n v="17742.48"/>
    <n v="0"/>
    <n v="3186"/>
  </r>
  <r>
    <x v="2"/>
    <x v="5"/>
    <x v="1"/>
    <x v="161"/>
    <x v="140"/>
    <x v="140"/>
    <s v="CHARGES"/>
    <x v="1"/>
    <s v="3301.001"/>
    <s v="Défalcations, abandons de solde PP et IS"/>
    <n v="3273.5"/>
    <n v="0"/>
    <n v="3301"/>
  </r>
  <r>
    <x v="2"/>
    <x v="5"/>
    <x v="1"/>
    <x v="161"/>
    <x v="140"/>
    <x v="140"/>
    <s v="REVENUS"/>
    <x v="2"/>
    <s v="4001.010"/>
    <s v="Impôt sourciers mixtes"/>
    <n v="0"/>
    <n v="6456.82"/>
    <n v="4001"/>
  </r>
  <r>
    <x v="2"/>
    <x v="5"/>
    <x v="1"/>
    <x v="161"/>
    <x v="140"/>
    <x v="140"/>
    <s v="REVENUS"/>
    <x v="14"/>
    <s v="4003.000"/>
    <s v="Impôt à la source"/>
    <n v="0"/>
    <n v="226625.19"/>
    <n v="4003"/>
  </r>
  <r>
    <x v="2"/>
    <x v="5"/>
    <x v="1"/>
    <x v="161"/>
    <x v="140"/>
    <x v="140"/>
    <s v="REVENUS"/>
    <x v="6"/>
    <s v="4211.001"/>
    <s v="Intérêts de retard sur factures"/>
    <n v="0"/>
    <n v="1389.7"/>
    <n v="4211"/>
  </r>
  <r>
    <x v="2"/>
    <x v="5"/>
    <x v="1"/>
    <x v="161"/>
    <x v="140"/>
    <x v="140"/>
    <s v="REVENUS"/>
    <x v="6"/>
    <s v="4211.002"/>
    <s v="Intérêts de retard sur acomptes"/>
    <n v="0"/>
    <n v="3097.92"/>
    <n v="4211"/>
  </r>
  <r>
    <x v="2"/>
    <x v="5"/>
    <x v="1"/>
    <x v="161"/>
    <x v="140"/>
    <x v="140"/>
    <s v="REVENUS"/>
    <x v="14"/>
    <s v="4003.010"/>
    <s v="IS - Employés et sourciers étrangers"/>
    <n v="0"/>
    <n v="16660.11"/>
    <n v="4003"/>
  </r>
  <r>
    <x v="2"/>
    <x v="5"/>
    <x v="1"/>
    <x v="161"/>
    <x v="140"/>
    <x v="140"/>
    <s v="REVENUS"/>
    <x v="8"/>
    <s v="4091.001"/>
    <s v="Impôt récupéré après défalcations"/>
    <n v="0"/>
    <n v="429.99"/>
    <n v="4091"/>
  </r>
  <r>
    <x v="2"/>
    <x v="5"/>
    <x v="1"/>
    <x v="161"/>
    <x v="140"/>
    <x v="140"/>
    <s v="REVENUS"/>
    <x v="7"/>
    <s v="4184.000"/>
    <s v="Frais de poursuite"/>
    <n v="0"/>
    <n v="252.99"/>
    <n v="4184"/>
  </r>
  <r>
    <x v="2"/>
    <x v="5"/>
    <x v="1"/>
    <x v="161"/>
    <x v="140"/>
    <x v="140"/>
    <s v="REVENUS"/>
    <x v="14"/>
    <s v="4003.080"/>
    <s v="IS - Participations Hors Suisse"/>
    <n v="0"/>
    <n v="111374.19"/>
    <n v="4003"/>
  </r>
  <r>
    <x v="2"/>
    <x v="5"/>
    <x v="1"/>
    <x v="161"/>
    <x v="140"/>
    <x v="140"/>
    <s v="REVENUS"/>
    <x v="2"/>
    <s v="4001.005"/>
    <s v="Amende de soustract. Impôt"/>
    <n v="0"/>
    <n v="200"/>
    <n v="4001"/>
  </r>
  <r>
    <x v="2"/>
    <x v="5"/>
    <x v="1"/>
    <x v="161"/>
    <x v="140"/>
    <x v="140"/>
    <s v="REVENUS"/>
    <x v="2"/>
    <s v="4001.001"/>
    <s v="Impôt revenu"/>
    <n v="0"/>
    <n v="29663.77"/>
    <n v="4001"/>
  </r>
  <r>
    <x v="2"/>
    <x v="5"/>
    <x v="1"/>
    <x v="161"/>
    <x v="140"/>
    <x v="140"/>
    <s v="REVENUS"/>
    <x v="2"/>
    <s v="4001.002"/>
    <s v="Impôt complément s/revenu PP"/>
    <n v="0"/>
    <n v="837.91"/>
    <n v="4001"/>
  </r>
  <r>
    <x v="2"/>
    <x v="5"/>
    <x v="1"/>
    <x v="161"/>
    <x v="140"/>
    <x v="140"/>
    <s v="REVENUS"/>
    <x v="14"/>
    <s v="4003.030"/>
    <s v="IS - Prestations en capital / Prévoyance"/>
    <n v="0"/>
    <n v="1747.04"/>
    <n v="4003"/>
  </r>
  <r>
    <x v="2"/>
    <x v="5"/>
    <x v="1"/>
    <x v="161"/>
    <x v="140"/>
    <x v="140"/>
    <s v="REVENUS"/>
    <x v="14"/>
    <s v="4003.070"/>
    <s v="IS - Loi travail au noir"/>
    <n v="0"/>
    <n v="1120.74"/>
    <n v="4003"/>
  </r>
  <r>
    <x v="2"/>
    <x v="5"/>
    <x v="1"/>
    <x v="162"/>
    <x v="141"/>
    <x v="141"/>
    <s v="CHARGES"/>
    <x v="19"/>
    <s v="3186.002"/>
    <s v="Commission perception IS"/>
    <n v="5927.15"/>
    <n v="0"/>
    <n v="3186"/>
  </r>
  <r>
    <x v="2"/>
    <x v="5"/>
    <x v="1"/>
    <x v="162"/>
    <x v="141"/>
    <x v="141"/>
    <s v="CHARGES"/>
    <x v="1"/>
    <s v="3301.001"/>
    <s v="Défalcations, abandons de solde PP et IS"/>
    <n v="3.33"/>
    <n v="0"/>
    <n v="3301"/>
  </r>
  <r>
    <x v="2"/>
    <x v="5"/>
    <x v="1"/>
    <x v="162"/>
    <x v="141"/>
    <x v="141"/>
    <s v="REVENUS"/>
    <x v="2"/>
    <s v="4001.010"/>
    <s v="Impôt sourciers mixtes"/>
    <n v="0"/>
    <n v="-95010.74"/>
    <n v="4001"/>
  </r>
  <r>
    <x v="2"/>
    <x v="5"/>
    <x v="1"/>
    <x v="162"/>
    <x v="141"/>
    <x v="141"/>
    <s v="REVENUS"/>
    <x v="14"/>
    <s v="4003.000"/>
    <s v="Impôt à la source"/>
    <n v="0"/>
    <n v="74358.97"/>
    <n v="4003"/>
  </r>
  <r>
    <x v="2"/>
    <x v="5"/>
    <x v="1"/>
    <x v="162"/>
    <x v="141"/>
    <x v="141"/>
    <s v="REVENUS"/>
    <x v="6"/>
    <s v="4211.001"/>
    <s v="Intérêts de retard sur factures"/>
    <n v="0"/>
    <n v="642.26"/>
    <n v="4211"/>
  </r>
  <r>
    <x v="2"/>
    <x v="5"/>
    <x v="1"/>
    <x v="162"/>
    <x v="141"/>
    <x v="141"/>
    <s v="REVENUS"/>
    <x v="6"/>
    <s v="4211.002"/>
    <s v="Intérêts de retard sur acomptes"/>
    <n v="0"/>
    <n v="530.41999999999996"/>
    <n v="4211"/>
  </r>
  <r>
    <x v="2"/>
    <x v="5"/>
    <x v="1"/>
    <x v="162"/>
    <x v="141"/>
    <x v="141"/>
    <s v="REVENUS"/>
    <x v="2"/>
    <s v="4001.001"/>
    <s v="Impôt revenu"/>
    <n v="0"/>
    <n v="14799.67"/>
    <n v="4001"/>
  </r>
  <r>
    <x v="2"/>
    <x v="5"/>
    <x v="1"/>
    <x v="162"/>
    <x v="141"/>
    <x v="141"/>
    <s v="REVENUS"/>
    <x v="7"/>
    <s v="4184.000"/>
    <s v="Frais de poursuite"/>
    <n v="0"/>
    <n v="7.43"/>
    <n v="4184"/>
  </r>
  <r>
    <x v="2"/>
    <x v="5"/>
    <x v="1"/>
    <x v="162"/>
    <x v="141"/>
    <x v="141"/>
    <s v="REVENUS"/>
    <x v="14"/>
    <s v="4003.010"/>
    <s v="IS - Employés et sourciers étrangers"/>
    <n v="0"/>
    <n v="1557.62"/>
    <n v="4003"/>
  </r>
  <r>
    <x v="2"/>
    <x v="5"/>
    <x v="1"/>
    <x v="163"/>
    <x v="142"/>
    <x v="142"/>
    <s v="CHARGES"/>
    <x v="19"/>
    <s v="3186.002"/>
    <s v="Commission perception IS"/>
    <n v="5111.92"/>
    <n v="0"/>
    <n v="3186"/>
  </r>
  <r>
    <x v="2"/>
    <x v="5"/>
    <x v="1"/>
    <x v="163"/>
    <x v="142"/>
    <x v="142"/>
    <s v="CHARGES"/>
    <x v="1"/>
    <s v="3301.001"/>
    <s v="Défalcations, abandons de solde PP et IS"/>
    <n v="1392.66"/>
    <n v="0"/>
    <n v="3301"/>
  </r>
  <r>
    <x v="2"/>
    <x v="5"/>
    <x v="1"/>
    <x v="163"/>
    <x v="142"/>
    <x v="142"/>
    <s v="REVENUS"/>
    <x v="2"/>
    <s v="4001.010"/>
    <s v="Impôt sourciers mixtes"/>
    <n v="0"/>
    <n v="-43461.53"/>
    <n v="4001"/>
  </r>
  <r>
    <x v="2"/>
    <x v="5"/>
    <x v="1"/>
    <x v="163"/>
    <x v="142"/>
    <x v="142"/>
    <s v="REVENUS"/>
    <x v="14"/>
    <s v="4003.000"/>
    <s v="Impôt à la source"/>
    <n v="0"/>
    <n v="117841.74"/>
    <n v="4003"/>
  </r>
  <r>
    <x v="2"/>
    <x v="5"/>
    <x v="1"/>
    <x v="163"/>
    <x v="142"/>
    <x v="142"/>
    <s v="REVENUS"/>
    <x v="6"/>
    <s v="4211.002"/>
    <s v="Intérêts de retard sur acomptes"/>
    <n v="0"/>
    <n v="700.07"/>
    <n v="4211"/>
  </r>
  <r>
    <x v="2"/>
    <x v="5"/>
    <x v="1"/>
    <x v="163"/>
    <x v="142"/>
    <x v="142"/>
    <s v="REVENUS"/>
    <x v="6"/>
    <s v="4211.001"/>
    <s v="Intérêts de retard sur factures"/>
    <n v="0"/>
    <n v="538.96"/>
    <n v="4211"/>
  </r>
  <r>
    <x v="2"/>
    <x v="5"/>
    <x v="1"/>
    <x v="163"/>
    <x v="142"/>
    <x v="142"/>
    <s v="REVENUS"/>
    <x v="2"/>
    <s v="4001.005"/>
    <s v="Amende de soustract. Impôt"/>
    <n v="0"/>
    <n v="323"/>
    <n v="4001"/>
  </r>
  <r>
    <x v="2"/>
    <x v="5"/>
    <x v="1"/>
    <x v="163"/>
    <x v="142"/>
    <x v="142"/>
    <s v="REVENUS"/>
    <x v="7"/>
    <s v="4184.000"/>
    <s v="Frais de poursuite"/>
    <n v="0"/>
    <n v="171.88"/>
    <n v="4184"/>
  </r>
  <r>
    <x v="2"/>
    <x v="5"/>
    <x v="1"/>
    <x v="163"/>
    <x v="142"/>
    <x v="142"/>
    <s v="REVENUS"/>
    <x v="14"/>
    <s v="4003.010"/>
    <s v="IS - Employés et sourciers étrangers"/>
    <n v="0"/>
    <n v="1460.24"/>
    <n v="4003"/>
  </r>
  <r>
    <x v="2"/>
    <x v="5"/>
    <x v="1"/>
    <x v="163"/>
    <x v="142"/>
    <x v="142"/>
    <s v="REVENUS"/>
    <x v="14"/>
    <s v="4003.060"/>
    <s v="IS - Administrateurs"/>
    <n v="0"/>
    <n v="9108.2999999999993"/>
    <n v="4003"/>
  </r>
  <r>
    <x v="2"/>
    <x v="5"/>
    <x v="1"/>
    <x v="163"/>
    <x v="142"/>
    <x v="142"/>
    <s v="REVENUS"/>
    <x v="2"/>
    <s v="4001.001"/>
    <s v="Impôt revenu"/>
    <n v="0"/>
    <n v="9714.27"/>
    <n v="4001"/>
  </r>
  <r>
    <x v="2"/>
    <x v="5"/>
    <x v="1"/>
    <x v="163"/>
    <x v="142"/>
    <x v="142"/>
    <s v="REVENUS"/>
    <x v="2"/>
    <s v="4001.002"/>
    <s v="Impôt complément s/revenu PP"/>
    <n v="0"/>
    <n v="2977.78"/>
    <n v="4001"/>
  </r>
  <r>
    <x v="2"/>
    <x v="5"/>
    <x v="1"/>
    <x v="163"/>
    <x v="142"/>
    <x v="142"/>
    <s v="REVENUS"/>
    <x v="8"/>
    <s v="4091.001"/>
    <s v="Impôt récupéré après défalcations"/>
    <n v="0"/>
    <n v="1375.53"/>
    <n v="4091"/>
  </r>
  <r>
    <x v="2"/>
    <x v="5"/>
    <x v="1"/>
    <x v="163"/>
    <x v="142"/>
    <x v="142"/>
    <s v="REVENUS"/>
    <x v="14"/>
    <s v="4003.070"/>
    <s v="IS - Loi travail au noir"/>
    <n v="0"/>
    <n v="237.36"/>
    <n v="4003"/>
  </r>
  <r>
    <x v="2"/>
    <x v="5"/>
    <x v="1"/>
    <x v="164"/>
    <x v="143"/>
    <x v="143"/>
    <s v="CHARGES"/>
    <x v="19"/>
    <s v="3186.002"/>
    <s v="Commission perception IS"/>
    <n v="3688.83"/>
    <n v="0"/>
    <n v="3186"/>
  </r>
  <r>
    <x v="2"/>
    <x v="5"/>
    <x v="1"/>
    <x v="164"/>
    <x v="143"/>
    <x v="143"/>
    <s v="CHARGES"/>
    <x v="1"/>
    <s v="3301.001"/>
    <s v="Défalcations, abandons de solde PP et IS"/>
    <n v="8128.8"/>
    <n v="0"/>
    <n v="3301"/>
  </r>
  <r>
    <x v="2"/>
    <x v="5"/>
    <x v="1"/>
    <x v="164"/>
    <x v="143"/>
    <x v="143"/>
    <s v="REVENUS"/>
    <x v="2"/>
    <s v="4001.010"/>
    <s v="Impôt sourciers mixtes"/>
    <n v="0"/>
    <n v="-39676.519999999997"/>
    <n v="4001"/>
  </r>
  <r>
    <x v="2"/>
    <x v="5"/>
    <x v="1"/>
    <x v="164"/>
    <x v="143"/>
    <x v="143"/>
    <s v="REVENUS"/>
    <x v="14"/>
    <s v="4003.000"/>
    <s v="Impôt à la source"/>
    <n v="0"/>
    <n v="8905.42"/>
    <n v="4003"/>
  </r>
  <r>
    <x v="2"/>
    <x v="5"/>
    <x v="1"/>
    <x v="164"/>
    <x v="143"/>
    <x v="143"/>
    <s v="REVENUS"/>
    <x v="6"/>
    <s v="4211.002"/>
    <s v="Intérêts de retard sur acomptes"/>
    <n v="0"/>
    <n v="670.89"/>
    <n v="4211"/>
  </r>
  <r>
    <x v="2"/>
    <x v="5"/>
    <x v="1"/>
    <x v="164"/>
    <x v="143"/>
    <x v="143"/>
    <s v="REVENUS"/>
    <x v="7"/>
    <s v="4184.000"/>
    <s v="Frais de poursuite"/>
    <n v="0"/>
    <n v="77.540000000000006"/>
    <n v="4184"/>
  </r>
  <r>
    <x v="2"/>
    <x v="5"/>
    <x v="1"/>
    <x v="164"/>
    <x v="143"/>
    <x v="143"/>
    <s v="REVENUS"/>
    <x v="6"/>
    <s v="4211.001"/>
    <s v="Intérêts de retard sur factures"/>
    <n v="0"/>
    <n v="518.84"/>
    <n v="4211"/>
  </r>
  <r>
    <x v="2"/>
    <x v="5"/>
    <x v="1"/>
    <x v="164"/>
    <x v="143"/>
    <x v="143"/>
    <s v="REVENUS"/>
    <x v="14"/>
    <s v="4003.010"/>
    <s v="IS - Employés et sourciers étrangers"/>
    <n v="0"/>
    <n v="117.86"/>
    <n v="4003"/>
  </r>
  <r>
    <x v="2"/>
    <x v="5"/>
    <x v="1"/>
    <x v="164"/>
    <x v="143"/>
    <x v="143"/>
    <s v="REVENUS"/>
    <x v="8"/>
    <s v="4091.001"/>
    <s v="Impôt récupéré après défalcations"/>
    <n v="0"/>
    <n v="210.69"/>
    <n v="4091"/>
  </r>
  <r>
    <x v="2"/>
    <x v="5"/>
    <x v="1"/>
    <x v="164"/>
    <x v="143"/>
    <x v="143"/>
    <s v="REVENUS"/>
    <x v="2"/>
    <s v="4001.005"/>
    <s v="Amende de soustract. Impôt"/>
    <n v="0"/>
    <n v="0"/>
    <n v="4001"/>
  </r>
  <r>
    <x v="2"/>
    <x v="5"/>
    <x v="1"/>
    <x v="164"/>
    <x v="143"/>
    <x v="143"/>
    <s v="REVENUS"/>
    <x v="2"/>
    <s v="4001.001"/>
    <s v="Impôt revenu"/>
    <n v="0"/>
    <n v="2600.4499999999998"/>
    <n v="4001"/>
  </r>
  <r>
    <x v="2"/>
    <x v="5"/>
    <x v="1"/>
    <x v="165"/>
    <x v="144"/>
    <x v="144"/>
    <s v="CHARGES"/>
    <x v="19"/>
    <s v="3186.002"/>
    <s v="Commission perception IS"/>
    <n v="19812.59"/>
    <n v="0"/>
    <n v="3186"/>
  </r>
  <r>
    <x v="2"/>
    <x v="5"/>
    <x v="1"/>
    <x v="165"/>
    <x v="144"/>
    <x v="144"/>
    <s v="CHARGES"/>
    <x v="1"/>
    <s v="3301.001"/>
    <s v="Défalcations, abandons de solde PP et IS"/>
    <n v="4.32"/>
    <n v="0"/>
    <n v="3301"/>
  </r>
  <r>
    <x v="2"/>
    <x v="5"/>
    <x v="1"/>
    <x v="165"/>
    <x v="144"/>
    <x v="144"/>
    <s v="REVENUS"/>
    <x v="2"/>
    <s v="4001.010"/>
    <s v="Impôt sourciers mixtes"/>
    <n v="0"/>
    <n v="100445.21"/>
    <n v="4001"/>
  </r>
  <r>
    <x v="2"/>
    <x v="5"/>
    <x v="1"/>
    <x v="165"/>
    <x v="144"/>
    <x v="144"/>
    <s v="REVENUS"/>
    <x v="14"/>
    <s v="4003.000"/>
    <s v="Impôt à la source"/>
    <n v="0"/>
    <n v="23195.8"/>
    <n v="4003"/>
  </r>
  <r>
    <x v="2"/>
    <x v="5"/>
    <x v="1"/>
    <x v="165"/>
    <x v="144"/>
    <x v="144"/>
    <s v="REVENUS"/>
    <x v="6"/>
    <s v="4211.001"/>
    <s v="Intérêts de retard sur factures"/>
    <n v="0"/>
    <n v="614.39"/>
    <n v="4211"/>
  </r>
  <r>
    <x v="2"/>
    <x v="5"/>
    <x v="1"/>
    <x v="165"/>
    <x v="144"/>
    <x v="144"/>
    <s v="REVENUS"/>
    <x v="6"/>
    <s v="4211.002"/>
    <s v="Intérêts de retard sur acomptes"/>
    <n v="0"/>
    <n v="925.67"/>
    <n v="4211"/>
  </r>
  <r>
    <x v="2"/>
    <x v="5"/>
    <x v="1"/>
    <x v="165"/>
    <x v="144"/>
    <x v="144"/>
    <s v="REVENUS"/>
    <x v="2"/>
    <s v="4001.001"/>
    <s v="Impôt revenu"/>
    <n v="0"/>
    <n v="4082.11"/>
    <n v="4001"/>
  </r>
  <r>
    <x v="2"/>
    <x v="5"/>
    <x v="1"/>
    <x v="165"/>
    <x v="144"/>
    <x v="144"/>
    <s v="REVENUS"/>
    <x v="14"/>
    <s v="4003.010"/>
    <s v="IS - Employés et sourciers étrangers"/>
    <n v="0"/>
    <n v="539.80999999999995"/>
    <n v="4003"/>
  </r>
  <r>
    <x v="2"/>
    <x v="5"/>
    <x v="1"/>
    <x v="167"/>
    <x v="145"/>
    <x v="145"/>
    <s v="CHARGES"/>
    <x v="19"/>
    <s v="3186.002"/>
    <s v="Commission perception IS"/>
    <n v="134873.56"/>
    <n v="0"/>
    <n v="3186"/>
  </r>
  <r>
    <x v="2"/>
    <x v="5"/>
    <x v="1"/>
    <x v="167"/>
    <x v="145"/>
    <x v="145"/>
    <s v="CHARGES"/>
    <x v="1"/>
    <s v="3301.001"/>
    <s v="Défalcations, abandons de solde PP et IS"/>
    <n v="11415.15"/>
    <n v="0"/>
    <n v="3301"/>
  </r>
  <r>
    <x v="2"/>
    <x v="5"/>
    <x v="1"/>
    <x v="167"/>
    <x v="145"/>
    <x v="145"/>
    <s v="REVENUS"/>
    <x v="2"/>
    <s v="4001.010"/>
    <s v="Impôt sourciers mixtes"/>
    <n v="0"/>
    <n v="-60553.57"/>
    <n v="4001"/>
  </r>
  <r>
    <x v="2"/>
    <x v="5"/>
    <x v="1"/>
    <x v="167"/>
    <x v="145"/>
    <x v="145"/>
    <s v="REVENUS"/>
    <x v="14"/>
    <s v="4003.000"/>
    <s v="Impôt à la source"/>
    <n v="0"/>
    <n v="1548718.02"/>
    <n v="4003"/>
  </r>
  <r>
    <x v="2"/>
    <x v="5"/>
    <x v="1"/>
    <x v="167"/>
    <x v="145"/>
    <x v="145"/>
    <s v="REVENUS"/>
    <x v="2"/>
    <s v="4001.001"/>
    <s v="Impôt revenu"/>
    <n v="0"/>
    <n v="352772.15"/>
    <n v="4001"/>
  </r>
  <r>
    <x v="2"/>
    <x v="5"/>
    <x v="1"/>
    <x v="167"/>
    <x v="145"/>
    <x v="145"/>
    <s v="REVENUS"/>
    <x v="2"/>
    <s v="4001.002"/>
    <s v="Impôt complément s/revenu PP"/>
    <n v="0"/>
    <n v="35030.400000000001"/>
    <n v="4001"/>
  </r>
  <r>
    <x v="2"/>
    <x v="5"/>
    <x v="1"/>
    <x v="167"/>
    <x v="145"/>
    <x v="145"/>
    <s v="REVENUS"/>
    <x v="14"/>
    <s v="4003.060"/>
    <s v="IS - Administrateurs"/>
    <n v="0"/>
    <n v="10988.13"/>
    <n v="4003"/>
  </r>
  <r>
    <x v="2"/>
    <x v="5"/>
    <x v="1"/>
    <x v="167"/>
    <x v="145"/>
    <x v="145"/>
    <s v="REVENUS"/>
    <x v="6"/>
    <s v="4211.001"/>
    <s v="Intérêts de retard sur factures"/>
    <n v="0"/>
    <n v="5596.95"/>
    <n v="4211"/>
  </r>
  <r>
    <x v="2"/>
    <x v="5"/>
    <x v="1"/>
    <x v="167"/>
    <x v="145"/>
    <x v="145"/>
    <s v="REVENUS"/>
    <x v="6"/>
    <s v="4211.002"/>
    <s v="Intérêts de retard sur acomptes"/>
    <n v="0"/>
    <n v="14218.33"/>
    <n v="4211"/>
  </r>
  <r>
    <x v="2"/>
    <x v="5"/>
    <x v="1"/>
    <x v="167"/>
    <x v="145"/>
    <x v="145"/>
    <s v="REVENUS"/>
    <x v="14"/>
    <s v="4003.010"/>
    <s v="IS - Employés et sourciers étrangers"/>
    <n v="0"/>
    <n v="18992.099999999999"/>
    <n v="4003"/>
  </r>
  <r>
    <x v="2"/>
    <x v="5"/>
    <x v="1"/>
    <x v="167"/>
    <x v="145"/>
    <x v="145"/>
    <s v="REVENUS"/>
    <x v="7"/>
    <s v="4184.000"/>
    <s v="Frais de poursuite"/>
    <n v="0"/>
    <n v="958.02"/>
    <n v="4184"/>
  </r>
  <r>
    <x v="2"/>
    <x v="5"/>
    <x v="1"/>
    <x v="167"/>
    <x v="145"/>
    <x v="145"/>
    <s v="REVENUS"/>
    <x v="14"/>
    <s v="4003.080"/>
    <s v="IS - Participations Hors Suisse"/>
    <n v="0"/>
    <n v="170586.69"/>
    <n v="4003"/>
  </r>
  <r>
    <x v="2"/>
    <x v="5"/>
    <x v="1"/>
    <x v="167"/>
    <x v="145"/>
    <x v="145"/>
    <s v="REVENUS"/>
    <x v="8"/>
    <s v="4091.001"/>
    <s v="Impôt récupéré après défalcations"/>
    <n v="0"/>
    <n v="5071.9799999999996"/>
    <n v="4091"/>
  </r>
  <r>
    <x v="2"/>
    <x v="5"/>
    <x v="1"/>
    <x v="167"/>
    <x v="145"/>
    <x v="145"/>
    <s v="REVENUS"/>
    <x v="14"/>
    <s v="4003.030"/>
    <s v="IS - Prestations en capital / Prévoyance"/>
    <n v="0"/>
    <n v="7055.4"/>
    <n v="4003"/>
  </r>
  <r>
    <x v="2"/>
    <x v="5"/>
    <x v="1"/>
    <x v="167"/>
    <x v="145"/>
    <x v="145"/>
    <s v="REVENUS"/>
    <x v="2"/>
    <s v="4001.005"/>
    <s v="Amende de soustract. Impôt"/>
    <n v="0"/>
    <n v="2214.98"/>
    <n v="4001"/>
  </r>
  <r>
    <x v="2"/>
    <x v="5"/>
    <x v="1"/>
    <x v="167"/>
    <x v="145"/>
    <x v="145"/>
    <s v="REVENUS"/>
    <x v="14"/>
    <s v="4003.020"/>
    <s v="IS - Artistes - Conférenciers - Sportifs"/>
    <n v="0"/>
    <n v="6611.4"/>
    <n v="4003"/>
  </r>
  <r>
    <x v="2"/>
    <x v="5"/>
    <x v="1"/>
    <x v="167"/>
    <x v="145"/>
    <x v="145"/>
    <s v="REVENUS"/>
    <x v="14"/>
    <s v="4003.070"/>
    <s v="IS - Loi travail au noir"/>
    <n v="0"/>
    <n v="3672.68"/>
    <n v="4003"/>
  </r>
  <r>
    <x v="2"/>
    <x v="5"/>
    <x v="1"/>
    <x v="167"/>
    <x v="145"/>
    <x v="145"/>
    <s v="REVENUS"/>
    <x v="8"/>
    <s v="4091.003"/>
    <s v="Impôt récupéré concordat"/>
    <n v="0"/>
    <n v="186.4"/>
    <n v="4091"/>
  </r>
  <r>
    <x v="2"/>
    <x v="5"/>
    <x v="1"/>
    <x v="168"/>
    <x v="146"/>
    <x v="146"/>
    <s v="CHARGES"/>
    <x v="19"/>
    <s v="3186.002"/>
    <s v="Commission perception IS"/>
    <n v="21309.599999999999"/>
    <n v="0"/>
    <n v="3186"/>
  </r>
  <r>
    <x v="2"/>
    <x v="5"/>
    <x v="1"/>
    <x v="168"/>
    <x v="146"/>
    <x v="146"/>
    <s v="CHARGES"/>
    <x v="1"/>
    <s v="3301.001"/>
    <s v="Défalcations, abandons de solde PP et IS"/>
    <n v="6322.18"/>
    <n v="0"/>
    <n v="3301"/>
  </r>
  <r>
    <x v="2"/>
    <x v="5"/>
    <x v="1"/>
    <x v="168"/>
    <x v="146"/>
    <x v="146"/>
    <s v="REVENUS"/>
    <x v="14"/>
    <s v="4003.000"/>
    <s v="Impôt à la source"/>
    <n v="0"/>
    <n v="254990.71"/>
    <n v="4003"/>
  </r>
  <r>
    <x v="2"/>
    <x v="5"/>
    <x v="1"/>
    <x v="168"/>
    <x v="146"/>
    <x v="146"/>
    <s v="REVENUS"/>
    <x v="2"/>
    <s v="4001.010"/>
    <s v="Impôt sourciers mixtes"/>
    <n v="0"/>
    <n v="-121040.01"/>
    <n v="4001"/>
  </r>
  <r>
    <x v="2"/>
    <x v="5"/>
    <x v="1"/>
    <x v="168"/>
    <x v="146"/>
    <x v="146"/>
    <s v="REVENUS"/>
    <x v="6"/>
    <s v="4211.002"/>
    <s v="Intérêts de retard sur acomptes"/>
    <n v="0"/>
    <n v="4393.37"/>
    <n v="4211"/>
  </r>
  <r>
    <x v="2"/>
    <x v="5"/>
    <x v="1"/>
    <x v="168"/>
    <x v="146"/>
    <x v="146"/>
    <s v="REVENUS"/>
    <x v="6"/>
    <s v="4211.001"/>
    <s v="Intérêts de retard sur factures"/>
    <n v="0"/>
    <n v="2921.62"/>
    <n v="4211"/>
  </r>
  <r>
    <x v="2"/>
    <x v="5"/>
    <x v="1"/>
    <x v="168"/>
    <x v="146"/>
    <x v="146"/>
    <s v="REVENUS"/>
    <x v="7"/>
    <s v="4184.000"/>
    <s v="Frais de poursuite"/>
    <n v="0"/>
    <n v="385.93"/>
    <n v="4184"/>
  </r>
  <r>
    <x v="2"/>
    <x v="5"/>
    <x v="1"/>
    <x v="168"/>
    <x v="146"/>
    <x v="146"/>
    <s v="REVENUS"/>
    <x v="2"/>
    <s v="4001.001"/>
    <s v="Impôt revenu"/>
    <n v="0"/>
    <n v="83117.41"/>
    <n v="4001"/>
  </r>
  <r>
    <x v="2"/>
    <x v="5"/>
    <x v="1"/>
    <x v="168"/>
    <x v="146"/>
    <x v="146"/>
    <s v="REVENUS"/>
    <x v="2"/>
    <s v="4001.002"/>
    <s v="Impôt complément s/revenu PP"/>
    <n v="0"/>
    <n v="439.21"/>
    <n v="4001"/>
  </r>
  <r>
    <x v="2"/>
    <x v="5"/>
    <x v="1"/>
    <x v="168"/>
    <x v="146"/>
    <x v="146"/>
    <s v="REVENUS"/>
    <x v="14"/>
    <s v="4003.010"/>
    <s v="IS - Employés et sourciers étrangers"/>
    <n v="0"/>
    <n v="1918.44"/>
    <n v="4003"/>
  </r>
  <r>
    <x v="2"/>
    <x v="5"/>
    <x v="1"/>
    <x v="168"/>
    <x v="146"/>
    <x v="146"/>
    <s v="REVENUS"/>
    <x v="14"/>
    <s v="4003.020"/>
    <s v="IS - Artistes - Conférenciers - Sportifs"/>
    <n v="0"/>
    <n v="33.44"/>
    <n v="4003"/>
  </r>
  <r>
    <x v="2"/>
    <x v="5"/>
    <x v="1"/>
    <x v="168"/>
    <x v="146"/>
    <x v="146"/>
    <s v="REVENUS"/>
    <x v="14"/>
    <s v="4003.060"/>
    <s v="IS - Administrateurs"/>
    <n v="0"/>
    <n v="5802.01"/>
    <n v="4003"/>
  </r>
  <r>
    <x v="2"/>
    <x v="5"/>
    <x v="1"/>
    <x v="168"/>
    <x v="146"/>
    <x v="146"/>
    <s v="REVENUS"/>
    <x v="14"/>
    <s v="4003.030"/>
    <s v="IS - Prestations en capital / Prévoyance"/>
    <n v="0"/>
    <n v="2221.77"/>
    <n v="4003"/>
  </r>
  <r>
    <x v="2"/>
    <x v="5"/>
    <x v="1"/>
    <x v="168"/>
    <x v="146"/>
    <x v="146"/>
    <s v="REVENUS"/>
    <x v="14"/>
    <s v="4003.070"/>
    <s v="IS - Loi travail au noir"/>
    <n v="0"/>
    <n v="249.91"/>
    <n v="4003"/>
  </r>
  <r>
    <x v="2"/>
    <x v="5"/>
    <x v="1"/>
    <x v="168"/>
    <x v="146"/>
    <x v="146"/>
    <s v="REVENUS"/>
    <x v="8"/>
    <s v="4091.001"/>
    <s v="Impôt récupéré après défalcations"/>
    <n v="0"/>
    <n v="624.42999999999995"/>
    <n v="4091"/>
  </r>
  <r>
    <x v="2"/>
    <x v="5"/>
    <x v="1"/>
    <x v="168"/>
    <x v="146"/>
    <x v="146"/>
    <s v="REVENUS"/>
    <x v="2"/>
    <s v="4001.005"/>
    <s v="Amende de soustract. Impôt"/>
    <n v="0"/>
    <n v="317"/>
    <n v="4001"/>
  </r>
  <r>
    <x v="2"/>
    <x v="5"/>
    <x v="1"/>
    <x v="169"/>
    <x v="147"/>
    <x v="147"/>
    <s v="CHARGES"/>
    <x v="19"/>
    <s v="3186.002"/>
    <s v="Commission perception IS"/>
    <n v="229.13"/>
    <n v="0"/>
    <n v="3186"/>
  </r>
  <r>
    <x v="2"/>
    <x v="5"/>
    <x v="1"/>
    <x v="169"/>
    <x v="147"/>
    <x v="147"/>
    <s v="CHARGES"/>
    <x v="1"/>
    <s v="3301.001"/>
    <s v="Défalcations, abandons de solde PP et IS"/>
    <n v="0.15"/>
    <n v="0"/>
    <n v="3301"/>
  </r>
  <r>
    <x v="2"/>
    <x v="5"/>
    <x v="1"/>
    <x v="169"/>
    <x v="147"/>
    <x v="147"/>
    <s v="REVENUS"/>
    <x v="14"/>
    <s v="4003.000"/>
    <s v="Impôt à la source"/>
    <n v="0"/>
    <n v="3739.98"/>
    <n v="4003"/>
  </r>
  <r>
    <x v="2"/>
    <x v="5"/>
    <x v="1"/>
    <x v="169"/>
    <x v="147"/>
    <x v="147"/>
    <s v="REVENUS"/>
    <x v="6"/>
    <s v="4211.001"/>
    <s v="Intérêts de retard sur factures"/>
    <n v="0"/>
    <n v="43.19"/>
    <n v="4211"/>
  </r>
  <r>
    <x v="2"/>
    <x v="5"/>
    <x v="1"/>
    <x v="169"/>
    <x v="147"/>
    <x v="147"/>
    <s v="REVENUS"/>
    <x v="7"/>
    <s v="4184.000"/>
    <s v="Frais de poursuite"/>
    <n v="0"/>
    <n v="18.62"/>
    <n v="4184"/>
  </r>
  <r>
    <x v="2"/>
    <x v="5"/>
    <x v="1"/>
    <x v="169"/>
    <x v="147"/>
    <x v="147"/>
    <s v="REVENUS"/>
    <x v="6"/>
    <s v="4211.002"/>
    <s v="Intérêts de retard sur acomptes"/>
    <n v="0"/>
    <n v="44.6"/>
    <n v="4211"/>
  </r>
  <r>
    <x v="2"/>
    <x v="5"/>
    <x v="1"/>
    <x v="169"/>
    <x v="147"/>
    <x v="147"/>
    <s v="REVENUS"/>
    <x v="2"/>
    <s v="4001.010"/>
    <s v="Impôt sourciers mixtes"/>
    <n v="0"/>
    <n v="5220.7299999999996"/>
    <n v="4001"/>
  </r>
  <r>
    <x v="2"/>
    <x v="5"/>
    <x v="1"/>
    <x v="170"/>
    <x v="148"/>
    <x v="148"/>
    <s v="CHARGES"/>
    <x v="19"/>
    <s v="3186.002"/>
    <s v="Commission perception IS"/>
    <n v="1143.03"/>
    <n v="0"/>
    <n v="3186"/>
  </r>
  <r>
    <x v="2"/>
    <x v="5"/>
    <x v="1"/>
    <x v="170"/>
    <x v="148"/>
    <x v="148"/>
    <s v="CHARGES"/>
    <x v="1"/>
    <s v="3301.001"/>
    <s v="Défalcations, abandons de solde PP et IS"/>
    <n v="4022.3"/>
    <n v="0"/>
    <n v="3301"/>
  </r>
  <r>
    <x v="2"/>
    <x v="5"/>
    <x v="1"/>
    <x v="170"/>
    <x v="148"/>
    <x v="148"/>
    <s v="REVENUS"/>
    <x v="2"/>
    <s v="4001.010"/>
    <s v="Impôt sourciers mixtes"/>
    <n v="0"/>
    <n v="1587.31"/>
    <n v="4001"/>
  </r>
  <r>
    <x v="2"/>
    <x v="5"/>
    <x v="1"/>
    <x v="170"/>
    <x v="148"/>
    <x v="148"/>
    <s v="REVENUS"/>
    <x v="14"/>
    <s v="4003.000"/>
    <s v="Impôt à la source"/>
    <n v="0"/>
    <n v="63843.77"/>
    <n v="4003"/>
  </r>
  <r>
    <x v="2"/>
    <x v="5"/>
    <x v="1"/>
    <x v="170"/>
    <x v="148"/>
    <x v="148"/>
    <s v="REVENUS"/>
    <x v="6"/>
    <s v="4211.002"/>
    <s v="Intérêts de retard sur acomptes"/>
    <n v="0"/>
    <n v="885.59"/>
    <n v="4211"/>
  </r>
  <r>
    <x v="2"/>
    <x v="5"/>
    <x v="1"/>
    <x v="170"/>
    <x v="148"/>
    <x v="148"/>
    <s v="REVENUS"/>
    <x v="7"/>
    <s v="4184.000"/>
    <s v="Frais de poursuite"/>
    <n v="0"/>
    <n v="249.55"/>
    <n v="4184"/>
  </r>
  <r>
    <x v="2"/>
    <x v="5"/>
    <x v="1"/>
    <x v="170"/>
    <x v="148"/>
    <x v="148"/>
    <s v="REVENUS"/>
    <x v="6"/>
    <s v="4211.001"/>
    <s v="Intérêts de retard sur factures"/>
    <n v="0"/>
    <n v="709.83"/>
    <n v="4211"/>
  </r>
  <r>
    <x v="2"/>
    <x v="5"/>
    <x v="1"/>
    <x v="170"/>
    <x v="148"/>
    <x v="148"/>
    <s v="REVENUS"/>
    <x v="2"/>
    <s v="4001.001"/>
    <s v="Impôt revenu"/>
    <n v="0"/>
    <n v="6769.28"/>
    <n v="4001"/>
  </r>
  <r>
    <x v="2"/>
    <x v="5"/>
    <x v="1"/>
    <x v="170"/>
    <x v="148"/>
    <x v="148"/>
    <s v="REVENUS"/>
    <x v="14"/>
    <s v="4003.010"/>
    <s v="IS - Employés et sourciers étrangers"/>
    <n v="0"/>
    <n v="1242.06"/>
    <n v="4003"/>
  </r>
  <r>
    <x v="2"/>
    <x v="5"/>
    <x v="1"/>
    <x v="170"/>
    <x v="148"/>
    <x v="148"/>
    <s v="REVENUS"/>
    <x v="8"/>
    <s v="4091.001"/>
    <s v="Impôt récupéré après défalcations"/>
    <n v="0"/>
    <n v="507.83"/>
    <n v="4091"/>
  </r>
  <r>
    <x v="2"/>
    <x v="5"/>
    <x v="1"/>
    <x v="170"/>
    <x v="148"/>
    <x v="148"/>
    <s v="REVENUS"/>
    <x v="14"/>
    <s v="4003.030"/>
    <s v="IS - Prestations en capital / Prévoyance"/>
    <n v="0"/>
    <n v="1622.29"/>
    <n v="4003"/>
  </r>
  <r>
    <x v="2"/>
    <x v="5"/>
    <x v="1"/>
    <x v="170"/>
    <x v="148"/>
    <x v="148"/>
    <s v="REVENUS"/>
    <x v="2"/>
    <s v="4001.005"/>
    <s v="Amende de soustract. Impôt"/>
    <n v="0"/>
    <n v="0"/>
    <n v="4001"/>
  </r>
  <r>
    <x v="2"/>
    <x v="5"/>
    <x v="1"/>
    <x v="171"/>
    <x v="149"/>
    <x v="149"/>
    <s v="CHARGES"/>
    <x v="19"/>
    <s v="3186.002"/>
    <s v="Commission perception IS"/>
    <n v="46759.98"/>
    <n v="0"/>
    <n v="3186"/>
  </r>
  <r>
    <x v="2"/>
    <x v="5"/>
    <x v="1"/>
    <x v="171"/>
    <x v="149"/>
    <x v="149"/>
    <s v="CHARGES"/>
    <x v="1"/>
    <s v="3301.001"/>
    <s v="Défalcations, abandons de solde PP et IS"/>
    <n v="7244.1"/>
    <n v="0"/>
    <n v="3301"/>
  </r>
  <r>
    <x v="2"/>
    <x v="5"/>
    <x v="1"/>
    <x v="171"/>
    <x v="149"/>
    <x v="149"/>
    <s v="CHARGES"/>
    <x v="1"/>
    <s v="3301.001"/>
    <s v="Défalcations, abandons de solde PP et IS"/>
    <n v="1928.53"/>
    <n v="0"/>
    <n v="3301"/>
  </r>
  <r>
    <x v="2"/>
    <x v="5"/>
    <x v="1"/>
    <x v="171"/>
    <x v="149"/>
    <x v="149"/>
    <s v="REVENUS"/>
    <x v="2"/>
    <s v="4001.010"/>
    <s v="Impôt sourciers mixtes"/>
    <n v="0"/>
    <n v="-281040.56"/>
    <n v="4001"/>
  </r>
  <r>
    <x v="2"/>
    <x v="5"/>
    <x v="1"/>
    <x v="171"/>
    <x v="149"/>
    <x v="149"/>
    <s v="REVENUS"/>
    <x v="14"/>
    <s v="4003.000"/>
    <s v="Impôt à la source"/>
    <n v="0"/>
    <n v="524206.59"/>
    <n v="4003"/>
  </r>
  <r>
    <x v="2"/>
    <x v="5"/>
    <x v="1"/>
    <x v="171"/>
    <x v="149"/>
    <x v="149"/>
    <s v="REVENUS"/>
    <x v="6"/>
    <s v="4211.002"/>
    <s v="Intérêts de retard sur acomptes"/>
    <n v="0"/>
    <n v="7259.79"/>
    <n v="4211"/>
  </r>
  <r>
    <x v="2"/>
    <x v="5"/>
    <x v="1"/>
    <x v="171"/>
    <x v="149"/>
    <x v="149"/>
    <s v="REVENUS"/>
    <x v="6"/>
    <s v="4211.001"/>
    <s v="Intérêts de retard sur factures"/>
    <n v="0"/>
    <n v="1775.27"/>
    <n v="4211"/>
  </r>
  <r>
    <x v="2"/>
    <x v="5"/>
    <x v="1"/>
    <x v="171"/>
    <x v="149"/>
    <x v="149"/>
    <s v="REVENUS"/>
    <x v="7"/>
    <s v="4184.000"/>
    <s v="Frais de poursuite"/>
    <n v="0"/>
    <n v="188.13"/>
    <n v="4184"/>
  </r>
  <r>
    <x v="2"/>
    <x v="5"/>
    <x v="1"/>
    <x v="171"/>
    <x v="149"/>
    <x v="149"/>
    <s v="REVENUS"/>
    <x v="2"/>
    <s v="4001.001"/>
    <s v="Impôt revenu"/>
    <n v="0"/>
    <n v="134503.81"/>
    <n v="4001"/>
  </r>
  <r>
    <x v="2"/>
    <x v="5"/>
    <x v="1"/>
    <x v="171"/>
    <x v="149"/>
    <x v="149"/>
    <s v="REVENUS"/>
    <x v="14"/>
    <s v="4003.010"/>
    <s v="IS - Employés et sourciers étrangers"/>
    <n v="0"/>
    <n v="1806.75"/>
    <n v="4003"/>
  </r>
  <r>
    <x v="2"/>
    <x v="5"/>
    <x v="1"/>
    <x v="171"/>
    <x v="149"/>
    <x v="149"/>
    <s v="REVENUS"/>
    <x v="14"/>
    <s v="4003.060"/>
    <s v="IS - Administrateurs"/>
    <n v="0"/>
    <n v="30932.240000000002"/>
    <n v="4003"/>
  </r>
  <r>
    <x v="2"/>
    <x v="5"/>
    <x v="1"/>
    <x v="171"/>
    <x v="149"/>
    <x v="149"/>
    <s v="REVENUS"/>
    <x v="14"/>
    <s v="4003.020"/>
    <s v="IS - Artistes - Conférenciers - Sportifs"/>
    <n v="0"/>
    <n v="62.64"/>
    <n v="4003"/>
  </r>
  <r>
    <x v="2"/>
    <x v="5"/>
    <x v="1"/>
    <x v="171"/>
    <x v="149"/>
    <x v="149"/>
    <s v="REVENUS"/>
    <x v="14"/>
    <s v="4003.080"/>
    <s v="IS - Participations Hors Suisse"/>
    <n v="0"/>
    <n v="30116.5"/>
    <n v="4003"/>
  </r>
  <r>
    <x v="2"/>
    <x v="5"/>
    <x v="1"/>
    <x v="171"/>
    <x v="149"/>
    <x v="149"/>
    <s v="REVENUS"/>
    <x v="2"/>
    <s v="4001.002"/>
    <s v="Impôt complément s/revenu PP"/>
    <n v="0"/>
    <n v="5841.99"/>
    <n v="4001"/>
  </r>
  <r>
    <x v="2"/>
    <x v="5"/>
    <x v="1"/>
    <x v="171"/>
    <x v="149"/>
    <x v="149"/>
    <s v="REVENUS"/>
    <x v="8"/>
    <s v="4091.001"/>
    <s v="Impôt récupéré après défalcations"/>
    <n v="0"/>
    <n v="246.48"/>
    <n v="4091"/>
  </r>
  <r>
    <x v="2"/>
    <x v="5"/>
    <x v="1"/>
    <x v="171"/>
    <x v="149"/>
    <x v="149"/>
    <s v="REVENUS"/>
    <x v="2"/>
    <s v="4001.005"/>
    <s v="Amende de soustract. Impôt"/>
    <n v="0"/>
    <n v="467"/>
    <n v="4001"/>
  </r>
  <r>
    <x v="2"/>
    <x v="5"/>
    <x v="1"/>
    <x v="171"/>
    <x v="149"/>
    <x v="149"/>
    <s v="REVENUS"/>
    <x v="14"/>
    <s v="4003.070"/>
    <s v="IS - Loi travail au noir"/>
    <n v="0"/>
    <n v="597.34"/>
    <n v="4003"/>
  </r>
  <r>
    <x v="2"/>
    <x v="5"/>
    <x v="1"/>
    <x v="171"/>
    <x v="149"/>
    <x v="149"/>
    <s v="REVENUS"/>
    <x v="8"/>
    <s v="4091.001"/>
    <s v="Impôt récupéré après défalcations"/>
    <n v="0"/>
    <n v="2328.5300000000002"/>
    <n v="4091"/>
  </r>
  <r>
    <x v="2"/>
    <x v="8"/>
    <x v="8"/>
    <x v="173"/>
    <x v="150"/>
    <x v="150"/>
    <s v="CHARGES"/>
    <x v="19"/>
    <s v="3186.002"/>
    <s v="Commission perception IS"/>
    <n v="82330.880000000005"/>
    <n v="0"/>
    <n v="3186"/>
  </r>
  <r>
    <x v="2"/>
    <x v="8"/>
    <x v="8"/>
    <x v="173"/>
    <x v="150"/>
    <x v="150"/>
    <s v="CHARGES"/>
    <x v="1"/>
    <s v="3301.001"/>
    <s v="Défalcations, abandons de solde PP et IS"/>
    <n v="2676.72"/>
    <n v="0"/>
    <n v="3301"/>
  </r>
  <r>
    <x v="2"/>
    <x v="8"/>
    <x v="8"/>
    <x v="173"/>
    <x v="150"/>
    <x v="150"/>
    <s v="REVENUS"/>
    <x v="2"/>
    <s v="4001.010"/>
    <s v="Impôt sourciers mixtes"/>
    <n v="0"/>
    <n v="-656536.24"/>
    <n v="4001"/>
  </r>
  <r>
    <x v="2"/>
    <x v="8"/>
    <x v="8"/>
    <x v="173"/>
    <x v="150"/>
    <x v="150"/>
    <s v="REVENUS"/>
    <x v="14"/>
    <s v="4003.000"/>
    <s v="Impôt à la source"/>
    <n v="0"/>
    <n v="709105.51"/>
    <n v="4003"/>
  </r>
  <r>
    <x v="2"/>
    <x v="8"/>
    <x v="8"/>
    <x v="173"/>
    <x v="150"/>
    <x v="150"/>
    <s v="REVENUS"/>
    <x v="2"/>
    <s v="4001.001"/>
    <s v="Impôt revenu"/>
    <n v="0"/>
    <n v="162274.94"/>
    <n v="4001"/>
  </r>
  <r>
    <x v="2"/>
    <x v="8"/>
    <x v="8"/>
    <x v="173"/>
    <x v="150"/>
    <x v="150"/>
    <s v="REVENUS"/>
    <x v="6"/>
    <s v="4211.001"/>
    <s v="Intérêts de retard sur factures"/>
    <n v="0"/>
    <n v="1863.43"/>
    <n v="4211"/>
  </r>
  <r>
    <x v="2"/>
    <x v="8"/>
    <x v="8"/>
    <x v="173"/>
    <x v="150"/>
    <x v="150"/>
    <s v="REVENUS"/>
    <x v="6"/>
    <s v="4211.002"/>
    <s v="Intérêts de retard sur acomptes"/>
    <n v="0"/>
    <n v="3169.29"/>
    <n v="4211"/>
  </r>
  <r>
    <x v="2"/>
    <x v="8"/>
    <x v="8"/>
    <x v="173"/>
    <x v="150"/>
    <x v="150"/>
    <s v="REVENUS"/>
    <x v="7"/>
    <s v="4184.000"/>
    <s v="Frais de poursuite"/>
    <n v="0"/>
    <n v="107.43"/>
    <n v="4184"/>
  </r>
  <r>
    <x v="2"/>
    <x v="8"/>
    <x v="8"/>
    <x v="173"/>
    <x v="150"/>
    <x v="150"/>
    <s v="REVENUS"/>
    <x v="8"/>
    <s v="4091.001"/>
    <s v="Impôt récupéré après défalcations"/>
    <n v="0"/>
    <n v="154.88999999999999"/>
    <n v="4091"/>
  </r>
  <r>
    <x v="2"/>
    <x v="8"/>
    <x v="8"/>
    <x v="173"/>
    <x v="150"/>
    <x v="150"/>
    <s v="REVENUS"/>
    <x v="2"/>
    <s v="4001.005"/>
    <s v="Amende de soustract. Impôt"/>
    <n v="0"/>
    <n v="367"/>
    <n v="4001"/>
  </r>
  <r>
    <x v="2"/>
    <x v="8"/>
    <x v="8"/>
    <x v="173"/>
    <x v="150"/>
    <x v="150"/>
    <s v="REVENUS"/>
    <x v="2"/>
    <s v="4001.002"/>
    <s v="Impôt complément s/revenu PP"/>
    <n v="0"/>
    <n v="3012.06"/>
    <n v="4001"/>
  </r>
  <r>
    <x v="2"/>
    <x v="8"/>
    <x v="8"/>
    <x v="173"/>
    <x v="150"/>
    <x v="150"/>
    <s v="REVENUS"/>
    <x v="14"/>
    <s v="4003.070"/>
    <s v="IS - Loi travail au noir"/>
    <n v="0"/>
    <n v="6.09"/>
    <n v="4003"/>
  </r>
  <r>
    <x v="2"/>
    <x v="5"/>
    <x v="1"/>
    <x v="174"/>
    <x v="151"/>
    <x v="151"/>
    <s v="CHARGES"/>
    <x v="19"/>
    <s v="3186.002"/>
    <s v="Commission perception IS"/>
    <n v="13650.26"/>
    <n v="0"/>
    <n v="3186"/>
  </r>
  <r>
    <x v="2"/>
    <x v="5"/>
    <x v="1"/>
    <x v="174"/>
    <x v="151"/>
    <x v="151"/>
    <s v="CHARGES"/>
    <x v="1"/>
    <s v="3301.001"/>
    <s v="Défalcations, abandons de solde PP et IS"/>
    <n v="3066.27"/>
    <n v="0"/>
    <n v="3301"/>
  </r>
  <r>
    <x v="2"/>
    <x v="5"/>
    <x v="1"/>
    <x v="174"/>
    <x v="151"/>
    <x v="151"/>
    <s v="REVENUS"/>
    <x v="14"/>
    <s v="4003.000"/>
    <s v="Impôt à la source"/>
    <n v="0"/>
    <n v="15576.91"/>
    <n v="4003"/>
  </r>
  <r>
    <x v="2"/>
    <x v="5"/>
    <x v="1"/>
    <x v="174"/>
    <x v="151"/>
    <x v="151"/>
    <s v="REVENUS"/>
    <x v="2"/>
    <s v="4001.010"/>
    <s v="Impôt sourciers mixtes"/>
    <n v="0"/>
    <n v="12230.97"/>
    <n v="4001"/>
  </r>
  <r>
    <x v="2"/>
    <x v="5"/>
    <x v="1"/>
    <x v="174"/>
    <x v="151"/>
    <x v="151"/>
    <s v="REVENUS"/>
    <x v="14"/>
    <s v="4003.030"/>
    <s v="IS - Prestations en capital / Prévoyance"/>
    <n v="0"/>
    <n v="195644.78"/>
    <n v="4003"/>
  </r>
  <r>
    <x v="2"/>
    <x v="5"/>
    <x v="1"/>
    <x v="174"/>
    <x v="151"/>
    <x v="151"/>
    <s v="REVENUS"/>
    <x v="6"/>
    <s v="4211.001"/>
    <s v="Intérêts de retard sur factures"/>
    <n v="0"/>
    <n v="736.79"/>
    <n v="4211"/>
  </r>
  <r>
    <x v="2"/>
    <x v="5"/>
    <x v="1"/>
    <x v="174"/>
    <x v="151"/>
    <x v="151"/>
    <s v="REVENUS"/>
    <x v="7"/>
    <s v="4184.000"/>
    <s v="Frais de poursuite"/>
    <n v="0"/>
    <n v="101.78"/>
    <n v="4184"/>
  </r>
  <r>
    <x v="2"/>
    <x v="5"/>
    <x v="1"/>
    <x v="174"/>
    <x v="151"/>
    <x v="151"/>
    <s v="REVENUS"/>
    <x v="6"/>
    <s v="4211.002"/>
    <s v="Intérêts de retard sur acomptes"/>
    <n v="0"/>
    <n v="582.12"/>
    <n v="4211"/>
  </r>
  <r>
    <x v="2"/>
    <x v="5"/>
    <x v="1"/>
    <x v="174"/>
    <x v="151"/>
    <x v="151"/>
    <s v="REVENUS"/>
    <x v="14"/>
    <s v="4003.010"/>
    <s v="IS - Employés et sourciers étrangers"/>
    <n v="0"/>
    <n v="1306.03"/>
    <n v="4003"/>
  </r>
  <r>
    <x v="2"/>
    <x v="5"/>
    <x v="1"/>
    <x v="174"/>
    <x v="151"/>
    <x v="151"/>
    <s v="REVENUS"/>
    <x v="8"/>
    <s v="4091.001"/>
    <s v="Impôt récupéré après défalcations"/>
    <n v="0"/>
    <n v="75.52"/>
    <n v="4091"/>
  </r>
  <r>
    <x v="2"/>
    <x v="5"/>
    <x v="1"/>
    <x v="174"/>
    <x v="151"/>
    <x v="151"/>
    <s v="REVENUS"/>
    <x v="2"/>
    <s v="4001.001"/>
    <s v="Impôt revenu"/>
    <n v="0"/>
    <n v="21546.02"/>
    <n v="4001"/>
  </r>
  <r>
    <x v="2"/>
    <x v="5"/>
    <x v="1"/>
    <x v="174"/>
    <x v="151"/>
    <x v="151"/>
    <s v="REVENUS"/>
    <x v="14"/>
    <s v="4003.080"/>
    <s v="IS - Participations Hors Suisse"/>
    <n v="0"/>
    <n v="44069.18"/>
    <n v="4003"/>
  </r>
  <r>
    <x v="2"/>
    <x v="5"/>
    <x v="1"/>
    <x v="174"/>
    <x v="151"/>
    <x v="151"/>
    <s v="REVENUS"/>
    <x v="14"/>
    <s v="4003.070"/>
    <s v="IS - Loi travail au noir"/>
    <n v="0"/>
    <n v="3.32"/>
    <n v="4003"/>
  </r>
  <r>
    <x v="2"/>
    <x v="5"/>
    <x v="1"/>
    <x v="175"/>
    <x v="152"/>
    <x v="152"/>
    <s v="CHARGES"/>
    <x v="19"/>
    <s v="3186.002"/>
    <s v="Commission perception IS"/>
    <n v="-211.27"/>
    <n v="0"/>
    <n v="3186"/>
  </r>
  <r>
    <x v="2"/>
    <x v="5"/>
    <x v="1"/>
    <x v="175"/>
    <x v="152"/>
    <x v="152"/>
    <s v="CHARGES"/>
    <x v="1"/>
    <s v="3301.001"/>
    <s v="Défalcations, abandons de solde PP et IS"/>
    <n v="3.07"/>
    <n v="0"/>
    <n v="3301"/>
  </r>
  <r>
    <x v="2"/>
    <x v="5"/>
    <x v="1"/>
    <x v="175"/>
    <x v="152"/>
    <x v="152"/>
    <s v="REVENUS"/>
    <x v="2"/>
    <s v="4001.010"/>
    <s v="Impôt sourciers mixtes"/>
    <n v="0"/>
    <n v="4059.4"/>
    <n v="4001"/>
  </r>
  <r>
    <x v="2"/>
    <x v="5"/>
    <x v="1"/>
    <x v="175"/>
    <x v="152"/>
    <x v="152"/>
    <s v="REVENUS"/>
    <x v="14"/>
    <s v="4003.000"/>
    <s v="Impôt à la source"/>
    <n v="0"/>
    <n v="-25222.14"/>
    <n v="4003"/>
  </r>
  <r>
    <x v="2"/>
    <x v="5"/>
    <x v="1"/>
    <x v="175"/>
    <x v="152"/>
    <x v="152"/>
    <s v="REVENUS"/>
    <x v="6"/>
    <s v="4211.001"/>
    <s v="Intérêts de retard sur factures"/>
    <n v="0"/>
    <n v="39.56"/>
    <n v="4211"/>
  </r>
  <r>
    <x v="2"/>
    <x v="5"/>
    <x v="1"/>
    <x v="175"/>
    <x v="152"/>
    <x v="152"/>
    <s v="REVENUS"/>
    <x v="6"/>
    <s v="4211.002"/>
    <s v="Intérêts de retard sur acomptes"/>
    <n v="0"/>
    <n v="261.45"/>
    <n v="4211"/>
  </r>
  <r>
    <x v="2"/>
    <x v="8"/>
    <x v="8"/>
    <x v="176"/>
    <x v="153"/>
    <x v="153"/>
    <s v="CHARGES"/>
    <x v="19"/>
    <s v="3186.002"/>
    <s v="Commission perception IS"/>
    <n v="2378.12"/>
    <n v="0"/>
    <n v="3186"/>
  </r>
  <r>
    <x v="2"/>
    <x v="8"/>
    <x v="8"/>
    <x v="176"/>
    <x v="153"/>
    <x v="153"/>
    <s v="CHARGES"/>
    <x v="1"/>
    <s v="3301.001"/>
    <s v="Défalcations, abandons de solde PP et IS"/>
    <n v="685.34"/>
    <n v="0"/>
    <n v="3301"/>
  </r>
  <r>
    <x v="2"/>
    <x v="8"/>
    <x v="8"/>
    <x v="176"/>
    <x v="153"/>
    <x v="153"/>
    <s v="REVENUS"/>
    <x v="14"/>
    <s v="4003.000"/>
    <s v="Impôt à la source"/>
    <n v="0"/>
    <n v="32671.37"/>
    <n v="4003"/>
  </r>
  <r>
    <x v="2"/>
    <x v="8"/>
    <x v="8"/>
    <x v="176"/>
    <x v="153"/>
    <x v="153"/>
    <s v="REVENUS"/>
    <x v="2"/>
    <s v="4001.010"/>
    <s v="Impôt sourciers mixtes"/>
    <n v="0"/>
    <n v="3952.55"/>
    <n v="4001"/>
  </r>
  <r>
    <x v="2"/>
    <x v="8"/>
    <x v="8"/>
    <x v="176"/>
    <x v="153"/>
    <x v="153"/>
    <s v="REVENUS"/>
    <x v="7"/>
    <s v="4184.000"/>
    <s v="Frais de poursuite"/>
    <n v="0"/>
    <n v="43.32"/>
    <n v="4184"/>
  </r>
  <r>
    <x v="2"/>
    <x v="8"/>
    <x v="8"/>
    <x v="176"/>
    <x v="153"/>
    <x v="153"/>
    <s v="REVENUS"/>
    <x v="6"/>
    <s v="4211.001"/>
    <s v="Intérêts de retard sur factures"/>
    <n v="0"/>
    <n v="137.30000000000001"/>
    <n v="4211"/>
  </r>
  <r>
    <x v="2"/>
    <x v="8"/>
    <x v="8"/>
    <x v="176"/>
    <x v="153"/>
    <x v="153"/>
    <s v="REVENUS"/>
    <x v="2"/>
    <s v="4001.005"/>
    <s v="Amende de soustract. Impôt"/>
    <n v="0"/>
    <n v="-1022"/>
    <n v="4001"/>
  </r>
  <r>
    <x v="2"/>
    <x v="8"/>
    <x v="8"/>
    <x v="176"/>
    <x v="153"/>
    <x v="153"/>
    <s v="REVENUS"/>
    <x v="6"/>
    <s v="4211.002"/>
    <s v="Intérêts de retard sur acomptes"/>
    <n v="0"/>
    <n v="188.43"/>
    <n v="4211"/>
  </r>
  <r>
    <x v="2"/>
    <x v="8"/>
    <x v="8"/>
    <x v="176"/>
    <x v="153"/>
    <x v="153"/>
    <s v="REVENUS"/>
    <x v="2"/>
    <s v="4001.001"/>
    <s v="Impôt revenu"/>
    <n v="0"/>
    <n v="24759.68"/>
    <n v="4001"/>
  </r>
  <r>
    <x v="2"/>
    <x v="5"/>
    <x v="1"/>
    <x v="177"/>
    <x v="154"/>
    <x v="154"/>
    <s v="CHARGES"/>
    <x v="19"/>
    <s v="3186.002"/>
    <s v="Commission perception IS"/>
    <n v="2207.0500000000002"/>
    <n v="0"/>
    <n v="3186"/>
  </r>
  <r>
    <x v="2"/>
    <x v="5"/>
    <x v="1"/>
    <x v="177"/>
    <x v="154"/>
    <x v="154"/>
    <s v="CHARGES"/>
    <x v="1"/>
    <s v="3301.001"/>
    <s v="Défalcations, abandons de solde PP et IS"/>
    <n v="-0.18"/>
    <n v="0"/>
    <n v="3301"/>
  </r>
  <r>
    <x v="2"/>
    <x v="5"/>
    <x v="1"/>
    <x v="177"/>
    <x v="154"/>
    <x v="154"/>
    <s v="REVENUS"/>
    <x v="14"/>
    <s v="4003.000"/>
    <s v="Impôt à la source"/>
    <n v="0"/>
    <n v="26535.73"/>
    <n v="4003"/>
  </r>
  <r>
    <x v="2"/>
    <x v="5"/>
    <x v="1"/>
    <x v="177"/>
    <x v="154"/>
    <x v="154"/>
    <s v="REVENUS"/>
    <x v="6"/>
    <s v="4211.001"/>
    <s v="Intérêts de retard sur factures"/>
    <n v="0"/>
    <n v="239.42"/>
    <n v="4211"/>
  </r>
  <r>
    <x v="2"/>
    <x v="5"/>
    <x v="1"/>
    <x v="177"/>
    <x v="154"/>
    <x v="154"/>
    <s v="REVENUS"/>
    <x v="7"/>
    <s v="4184.000"/>
    <s v="Frais de poursuite"/>
    <n v="0"/>
    <n v="157.32"/>
    <n v="4184"/>
  </r>
  <r>
    <x v="2"/>
    <x v="5"/>
    <x v="1"/>
    <x v="177"/>
    <x v="154"/>
    <x v="154"/>
    <s v="REVENUS"/>
    <x v="6"/>
    <s v="4211.002"/>
    <s v="Intérêts de retard sur acomptes"/>
    <n v="0"/>
    <n v="157.4"/>
    <n v="4211"/>
  </r>
  <r>
    <x v="2"/>
    <x v="5"/>
    <x v="1"/>
    <x v="177"/>
    <x v="154"/>
    <x v="154"/>
    <s v="REVENUS"/>
    <x v="2"/>
    <s v="4001.010"/>
    <s v="Impôt sourciers mixtes"/>
    <n v="0"/>
    <n v="2856.25"/>
    <n v="4001"/>
  </r>
  <r>
    <x v="2"/>
    <x v="5"/>
    <x v="1"/>
    <x v="177"/>
    <x v="154"/>
    <x v="154"/>
    <s v="REVENUS"/>
    <x v="2"/>
    <s v="4001.001"/>
    <s v="Impôt revenu"/>
    <n v="0"/>
    <n v="1727.01"/>
    <n v="4001"/>
  </r>
  <r>
    <x v="2"/>
    <x v="5"/>
    <x v="1"/>
    <x v="177"/>
    <x v="154"/>
    <x v="154"/>
    <s v="REVENUS"/>
    <x v="14"/>
    <s v="4003.010"/>
    <s v="IS - Employés et sourciers étrangers"/>
    <n v="0"/>
    <n v="2231.11"/>
    <n v="4003"/>
  </r>
  <r>
    <x v="2"/>
    <x v="5"/>
    <x v="1"/>
    <x v="177"/>
    <x v="154"/>
    <x v="154"/>
    <s v="REVENUS"/>
    <x v="2"/>
    <s v="4001.005"/>
    <s v="Amende de soustract. Impôt"/>
    <n v="0"/>
    <n v="0"/>
    <n v="4001"/>
  </r>
  <r>
    <x v="2"/>
    <x v="5"/>
    <x v="1"/>
    <x v="178"/>
    <x v="155"/>
    <x v="155"/>
    <s v="CHARGES"/>
    <x v="19"/>
    <s v="3186.002"/>
    <s v="Commission perception IS"/>
    <n v="5750.93"/>
    <n v="0"/>
    <n v="3186"/>
  </r>
  <r>
    <x v="2"/>
    <x v="5"/>
    <x v="1"/>
    <x v="178"/>
    <x v="155"/>
    <x v="155"/>
    <s v="CHARGES"/>
    <x v="1"/>
    <s v="3301.001"/>
    <s v="Défalcations, abandons de solde PP et IS"/>
    <n v="1.67"/>
    <n v="0"/>
    <n v="3301"/>
  </r>
  <r>
    <x v="2"/>
    <x v="5"/>
    <x v="1"/>
    <x v="178"/>
    <x v="155"/>
    <x v="155"/>
    <s v="REVENUS"/>
    <x v="2"/>
    <s v="4001.010"/>
    <s v="Impôt sourciers mixtes"/>
    <n v="0"/>
    <n v="-62322.57"/>
    <n v="4001"/>
  </r>
  <r>
    <x v="2"/>
    <x v="5"/>
    <x v="1"/>
    <x v="178"/>
    <x v="155"/>
    <x v="155"/>
    <s v="REVENUS"/>
    <x v="14"/>
    <s v="4003.000"/>
    <s v="Impôt à la source"/>
    <n v="0"/>
    <n v="56784.11"/>
    <n v="4003"/>
  </r>
  <r>
    <x v="2"/>
    <x v="5"/>
    <x v="1"/>
    <x v="178"/>
    <x v="155"/>
    <x v="155"/>
    <s v="REVENUS"/>
    <x v="6"/>
    <s v="4211.002"/>
    <s v="Intérêts de retard sur acomptes"/>
    <n v="0"/>
    <n v="582.08000000000004"/>
    <n v="4211"/>
  </r>
  <r>
    <x v="2"/>
    <x v="5"/>
    <x v="1"/>
    <x v="178"/>
    <x v="155"/>
    <x v="155"/>
    <s v="REVENUS"/>
    <x v="6"/>
    <s v="4211.001"/>
    <s v="Intérêts de retard sur factures"/>
    <n v="0"/>
    <n v="137.04"/>
    <n v="4211"/>
  </r>
  <r>
    <x v="2"/>
    <x v="5"/>
    <x v="1"/>
    <x v="178"/>
    <x v="155"/>
    <x v="155"/>
    <s v="REVENUS"/>
    <x v="8"/>
    <s v="4091.001"/>
    <s v="Impôt récupéré après défalcations"/>
    <n v="0"/>
    <n v="1.18"/>
    <n v="4091"/>
  </r>
  <r>
    <x v="2"/>
    <x v="5"/>
    <x v="1"/>
    <x v="178"/>
    <x v="155"/>
    <x v="155"/>
    <s v="REVENUS"/>
    <x v="2"/>
    <s v="4001.001"/>
    <s v="Impôt revenu"/>
    <n v="0"/>
    <n v="14046.32"/>
    <n v="4001"/>
  </r>
  <r>
    <x v="2"/>
    <x v="5"/>
    <x v="1"/>
    <x v="178"/>
    <x v="155"/>
    <x v="155"/>
    <s v="REVENUS"/>
    <x v="14"/>
    <s v="4003.010"/>
    <s v="IS - Employés et sourciers étrangers"/>
    <n v="0"/>
    <n v="830.04"/>
    <n v="4003"/>
  </r>
  <r>
    <x v="2"/>
    <x v="5"/>
    <x v="1"/>
    <x v="179"/>
    <x v="156"/>
    <x v="156"/>
    <s v="CHARGES"/>
    <x v="19"/>
    <s v="3186.002"/>
    <s v="Commission perception IS"/>
    <n v="834.88"/>
    <n v="0"/>
    <n v="3186"/>
  </r>
  <r>
    <x v="2"/>
    <x v="5"/>
    <x v="1"/>
    <x v="179"/>
    <x v="156"/>
    <x v="156"/>
    <s v="CHARGES"/>
    <x v="1"/>
    <s v="3301.001"/>
    <s v="Défalcations, abandons de solde PP et IS"/>
    <n v="0.94"/>
    <n v="0"/>
    <n v="3301"/>
  </r>
  <r>
    <x v="2"/>
    <x v="5"/>
    <x v="1"/>
    <x v="179"/>
    <x v="156"/>
    <x v="156"/>
    <s v="REVENUS"/>
    <x v="14"/>
    <s v="4003.000"/>
    <s v="Impôt à la source"/>
    <n v="0"/>
    <n v="39342.019999999997"/>
    <n v="4003"/>
  </r>
  <r>
    <x v="2"/>
    <x v="5"/>
    <x v="1"/>
    <x v="179"/>
    <x v="156"/>
    <x v="156"/>
    <s v="REVENUS"/>
    <x v="2"/>
    <s v="4001.001"/>
    <s v="Impôt revenu"/>
    <n v="0"/>
    <n v="6976.08"/>
    <n v="4001"/>
  </r>
  <r>
    <x v="2"/>
    <x v="5"/>
    <x v="1"/>
    <x v="179"/>
    <x v="156"/>
    <x v="156"/>
    <s v="REVENUS"/>
    <x v="6"/>
    <s v="4211.002"/>
    <s v="Intérêts de retard sur acomptes"/>
    <n v="0"/>
    <n v="410.82"/>
    <n v="4211"/>
  </r>
  <r>
    <x v="2"/>
    <x v="5"/>
    <x v="1"/>
    <x v="179"/>
    <x v="156"/>
    <x v="156"/>
    <s v="REVENUS"/>
    <x v="14"/>
    <s v="4003.010"/>
    <s v="IS - Employés et sourciers étrangers"/>
    <n v="0"/>
    <n v="1704.08"/>
    <n v="4003"/>
  </r>
  <r>
    <x v="2"/>
    <x v="5"/>
    <x v="1"/>
    <x v="179"/>
    <x v="156"/>
    <x v="156"/>
    <s v="REVENUS"/>
    <x v="7"/>
    <s v="4184.000"/>
    <s v="Frais de poursuite"/>
    <n v="0"/>
    <n v="12.4"/>
    <n v="4184"/>
  </r>
  <r>
    <x v="2"/>
    <x v="5"/>
    <x v="1"/>
    <x v="179"/>
    <x v="156"/>
    <x v="156"/>
    <s v="REVENUS"/>
    <x v="6"/>
    <s v="4211.001"/>
    <s v="Intérêts de retard sur factures"/>
    <n v="0"/>
    <n v="9.9600000000000009"/>
    <n v="4211"/>
  </r>
  <r>
    <x v="2"/>
    <x v="5"/>
    <x v="1"/>
    <x v="179"/>
    <x v="156"/>
    <x v="156"/>
    <s v="REVENUS"/>
    <x v="2"/>
    <s v="4001.010"/>
    <s v="Impôt sourciers mixtes"/>
    <n v="0"/>
    <n v="1199.05"/>
    <n v="4001"/>
  </r>
  <r>
    <x v="2"/>
    <x v="5"/>
    <x v="1"/>
    <x v="179"/>
    <x v="156"/>
    <x v="156"/>
    <s v="REVENUS"/>
    <x v="14"/>
    <s v="4003.020"/>
    <s v="IS - Artistes - Conférenciers - Sportifs"/>
    <n v="0"/>
    <n v="170.29"/>
    <n v="4003"/>
  </r>
  <r>
    <x v="2"/>
    <x v="5"/>
    <x v="1"/>
    <x v="180"/>
    <x v="157"/>
    <x v="157"/>
    <s v="CHARGES"/>
    <x v="19"/>
    <s v="3186.002"/>
    <s v="Commission perception IS"/>
    <n v="11191.48"/>
    <n v="0"/>
    <n v="3186"/>
  </r>
  <r>
    <x v="2"/>
    <x v="5"/>
    <x v="1"/>
    <x v="180"/>
    <x v="157"/>
    <x v="157"/>
    <s v="CHARGES"/>
    <x v="1"/>
    <s v="3301.001"/>
    <s v="Défalcations, abandons de solde PP et IS"/>
    <n v="4097.79"/>
    <n v="0"/>
    <n v="3301"/>
  </r>
  <r>
    <x v="2"/>
    <x v="5"/>
    <x v="1"/>
    <x v="180"/>
    <x v="157"/>
    <x v="157"/>
    <s v="REVENUS"/>
    <x v="2"/>
    <s v="4001.010"/>
    <s v="Impôt sourciers mixtes"/>
    <n v="0"/>
    <n v="-32545.75"/>
    <n v="4001"/>
  </r>
  <r>
    <x v="2"/>
    <x v="5"/>
    <x v="1"/>
    <x v="180"/>
    <x v="157"/>
    <x v="157"/>
    <s v="REVENUS"/>
    <x v="14"/>
    <s v="4003.000"/>
    <s v="Impôt à la source"/>
    <n v="0"/>
    <n v="-13996.99"/>
    <n v="4003"/>
  </r>
  <r>
    <x v="2"/>
    <x v="5"/>
    <x v="1"/>
    <x v="180"/>
    <x v="157"/>
    <x v="157"/>
    <s v="REVENUS"/>
    <x v="6"/>
    <s v="4211.001"/>
    <s v="Intérêts de retard sur factures"/>
    <n v="0"/>
    <n v="681"/>
    <n v="4211"/>
  </r>
  <r>
    <x v="2"/>
    <x v="5"/>
    <x v="1"/>
    <x v="180"/>
    <x v="157"/>
    <x v="157"/>
    <s v="REVENUS"/>
    <x v="14"/>
    <s v="4003.010"/>
    <s v="IS - Employés et sourciers étrangers"/>
    <n v="0"/>
    <n v="582.77"/>
    <n v="4003"/>
  </r>
  <r>
    <x v="2"/>
    <x v="5"/>
    <x v="1"/>
    <x v="180"/>
    <x v="157"/>
    <x v="157"/>
    <s v="REVENUS"/>
    <x v="6"/>
    <s v="4211.002"/>
    <s v="Intérêts de retard sur acomptes"/>
    <n v="0"/>
    <n v="1557.61"/>
    <n v="4211"/>
  </r>
  <r>
    <x v="2"/>
    <x v="5"/>
    <x v="1"/>
    <x v="180"/>
    <x v="157"/>
    <x v="157"/>
    <s v="REVENUS"/>
    <x v="7"/>
    <s v="4184.000"/>
    <s v="Frais de poursuite"/>
    <n v="0"/>
    <n v="26.66"/>
    <n v="4184"/>
  </r>
  <r>
    <x v="2"/>
    <x v="5"/>
    <x v="1"/>
    <x v="180"/>
    <x v="157"/>
    <x v="157"/>
    <s v="REVENUS"/>
    <x v="2"/>
    <s v="4001.001"/>
    <s v="Impôt revenu"/>
    <n v="0"/>
    <n v="5649.93"/>
    <n v="4001"/>
  </r>
  <r>
    <x v="2"/>
    <x v="5"/>
    <x v="1"/>
    <x v="180"/>
    <x v="157"/>
    <x v="157"/>
    <s v="REVENUS"/>
    <x v="8"/>
    <s v="4091.001"/>
    <s v="Impôt récupéré après défalcations"/>
    <n v="0"/>
    <n v="-181.96"/>
    <n v="4091"/>
  </r>
  <r>
    <x v="2"/>
    <x v="5"/>
    <x v="1"/>
    <x v="180"/>
    <x v="157"/>
    <x v="157"/>
    <s v="REVENUS"/>
    <x v="2"/>
    <s v="4001.005"/>
    <s v="Amende de soustract. Impôt"/>
    <n v="0"/>
    <n v="216"/>
    <n v="4001"/>
  </r>
  <r>
    <x v="2"/>
    <x v="4"/>
    <x v="4"/>
    <x v="181"/>
    <x v="158"/>
    <x v="158"/>
    <s v="CHARGES"/>
    <x v="19"/>
    <s v="3186.002"/>
    <s v="Commission perception IS"/>
    <n v="191.14"/>
    <n v="0"/>
    <n v="3186"/>
  </r>
  <r>
    <x v="2"/>
    <x v="4"/>
    <x v="4"/>
    <x v="181"/>
    <x v="158"/>
    <x v="158"/>
    <s v="CHARGES"/>
    <x v="1"/>
    <s v="3301.001"/>
    <s v="Défalcations, abandons de solde PP et IS"/>
    <n v="-7.0000000000000007E-2"/>
    <n v="0"/>
    <n v="3301"/>
  </r>
  <r>
    <x v="2"/>
    <x v="4"/>
    <x v="4"/>
    <x v="181"/>
    <x v="158"/>
    <x v="158"/>
    <s v="REVENUS"/>
    <x v="14"/>
    <s v="4003.000"/>
    <s v="Impôt à la source"/>
    <n v="0"/>
    <n v="6062.62"/>
    <n v="4003"/>
  </r>
  <r>
    <x v="2"/>
    <x v="4"/>
    <x v="4"/>
    <x v="181"/>
    <x v="158"/>
    <x v="158"/>
    <s v="REVENUS"/>
    <x v="2"/>
    <s v="4001.010"/>
    <s v="Impôt sourciers mixtes"/>
    <n v="0"/>
    <n v="-3207.79"/>
    <n v="4001"/>
  </r>
  <r>
    <x v="2"/>
    <x v="4"/>
    <x v="4"/>
    <x v="181"/>
    <x v="158"/>
    <x v="158"/>
    <s v="REVENUS"/>
    <x v="6"/>
    <s v="4211.001"/>
    <s v="Intérêts de retard sur factures"/>
    <n v="0"/>
    <n v="0.62"/>
    <n v="4211"/>
  </r>
  <r>
    <x v="2"/>
    <x v="4"/>
    <x v="4"/>
    <x v="181"/>
    <x v="158"/>
    <x v="158"/>
    <s v="REVENUS"/>
    <x v="6"/>
    <s v="4211.002"/>
    <s v="Intérêts de retard sur acomptes"/>
    <n v="0"/>
    <n v="12.38"/>
    <n v="4211"/>
  </r>
  <r>
    <x v="2"/>
    <x v="3"/>
    <x v="3"/>
    <x v="182"/>
    <x v="159"/>
    <x v="159"/>
    <s v="REVENUS"/>
    <x v="6"/>
    <s v="4211.001"/>
    <s v="Intérêts de retard sur factures"/>
    <n v="0"/>
    <n v="1.1499999999999999"/>
    <n v="4211"/>
  </r>
  <r>
    <x v="2"/>
    <x v="3"/>
    <x v="3"/>
    <x v="182"/>
    <x v="159"/>
    <x v="159"/>
    <s v="REVENUS"/>
    <x v="6"/>
    <s v="4211.002"/>
    <s v="Intérêts de retard sur acomptes"/>
    <n v="0"/>
    <n v="4.08"/>
    <n v="4211"/>
  </r>
  <r>
    <x v="2"/>
    <x v="3"/>
    <x v="3"/>
    <x v="183"/>
    <x v="160"/>
    <x v="160"/>
    <s v="CHARGES"/>
    <x v="19"/>
    <s v="3186.002"/>
    <s v="Commission perception IS"/>
    <n v="177.53"/>
    <n v="0"/>
    <n v="3186"/>
  </r>
  <r>
    <x v="2"/>
    <x v="3"/>
    <x v="3"/>
    <x v="183"/>
    <x v="160"/>
    <x v="160"/>
    <s v="CHARGES"/>
    <x v="1"/>
    <s v="3301.001"/>
    <s v="Défalcations, abandons de solde PP et IS"/>
    <n v="0.05"/>
    <n v="0"/>
    <n v="3301"/>
  </r>
  <r>
    <x v="2"/>
    <x v="3"/>
    <x v="3"/>
    <x v="183"/>
    <x v="160"/>
    <x v="160"/>
    <s v="REVENUS"/>
    <x v="14"/>
    <s v="4003.000"/>
    <s v="Impôt à la source"/>
    <n v="0"/>
    <n v="7597.84"/>
    <n v="4003"/>
  </r>
  <r>
    <x v="2"/>
    <x v="3"/>
    <x v="3"/>
    <x v="183"/>
    <x v="160"/>
    <x v="160"/>
    <s v="REVENUS"/>
    <x v="6"/>
    <s v="4211.002"/>
    <s v="Intérêts de retard sur acomptes"/>
    <n v="0"/>
    <n v="51.4"/>
    <n v="4211"/>
  </r>
  <r>
    <x v="2"/>
    <x v="3"/>
    <x v="3"/>
    <x v="183"/>
    <x v="160"/>
    <x v="160"/>
    <s v="REVENUS"/>
    <x v="6"/>
    <s v="4211.001"/>
    <s v="Intérêts de retard sur factures"/>
    <n v="0"/>
    <n v="0.17"/>
    <n v="4211"/>
  </r>
  <r>
    <x v="2"/>
    <x v="3"/>
    <x v="3"/>
    <x v="185"/>
    <x v="162"/>
    <x v="162"/>
    <s v="CHARGES"/>
    <x v="19"/>
    <s v="3186.002"/>
    <s v="Commission perception IS"/>
    <n v="402.74"/>
    <n v="0"/>
    <n v="3186"/>
  </r>
  <r>
    <x v="2"/>
    <x v="3"/>
    <x v="3"/>
    <x v="185"/>
    <x v="162"/>
    <x v="162"/>
    <s v="CHARGES"/>
    <x v="1"/>
    <s v="3301.001"/>
    <s v="Défalcations, abandons de solde PP et IS"/>
    <n v="0.01"/>
    <n v="0"/>
    <n v="3301"/>
  </r>
  <r>
    <x v="2"/>
    <x v="3"/>
    <x v="3"/>
    <x v="185"/>
    <x v="162"/>
    <x v="162"/>
    <s v="REVENUS"/>
    <x v="14"/>
    <s v="4003.000"/>
    <s v="Impôt à la source"/>
    <n v="0"/>
    <n v="9927.1299999999992"/>
    <n v="4003"/>
  </r>
  <r>
    <x v="2"/>
    <x v="3"/>
    <x v="3"/>
    <x v="185"/>
    <x v="162"/>
    <x v="162"/>
    <s v="REVENUS"/>
    <x v="2"/>
    <s v="4001.001"/>
    <s v="Impôt revenu"/>
    <n v="0"/>
    <n v="3173.4"/>
    <n v="4001"/>
  </r>
  <r>
    <x v="2"/>
    <x v="3"/>
    <x v="3"/>
    <x v="185"/>
    <x v="162"/>
    <x v="162"/>
    <s v="REVENUS"/>
    <x v="6"/>
    <s v="4211.001"/>
    <s v="Intérêts de retard sur factures"/>
    <n v="0"/>
    <n v="-0.31"/>
    <n v="4211"/>
  </r>
  <r>
    <x v="2"/>
    <x v="3"/>
    <x v="3"/>
    <x v="185"/>
    <x v="162"/>
    <x v="162"/>
    <s v="REVENUS"/>
    <x v="6"/>
    <s v="4211.002"/>
    <s v="Intérêts de retard sur acomptes"/>
    <n v="0"/>
    <n v="3.29"/>
    <n v="4211"/>
  </r>
  <r>
    <x v="2"/>
    <x v="3"/>
    <x v="3"/>
    <x v="185"/>
    <x v="162"/>
    <x v="162"/>
    <s v="REVENUS"/>
    <x v="14"/>
    <s v="4003.070"/>
    <s v="IS - Loi travail au noir"/>
    <n v="0"/>
    <n v="45.12"/>
    <n v="4003"/>
  </r>
  <r>
    <x v="2"/>
    <x v="3"/>
    <x v="3"/>
    <x v="185"/>
    <x v="162"/>
    <x v="162"/>
    <s v="REVENUS"/>
    <x v="2"/>
    <s v="4001.010"/>
    <s v="Impôt sourciers mixtes"/>
    <n v="0"/>
    <n v="371.96"/>
    <n v="4001"/>
  </r>
  <r>
    <x v="2"/>
    <x v="3"/>
    <x v="3"/>
    <x v="188"/>
    <x v="163"/>
    <x v="163"/>
    <s v="CHARGES"/>
    <x v="19"/>
    <s v="3186.002"/>
    <s v="Commission perception IS"/>
    <n v="74.430000000000007"/>
    <n v="0"/>
    <n v="3186"/>
  </r>
  <r>
    <x v="2"/>
    <x v="3"/>
    <x v="3"/>
    <x v="188"/>
    <x v="163"/>
    <x v="163"/>
    <s v="CHARGES"/>
    <x v="1"/>
    <s v="3301.001"/>
    <s v="Défalcations, abandons de solde PP et IS"/>
    <n v="89.59"/>
    <n v="0"/>
    <n v="3301"/>
  </r>
  <r>
    <x v="2"/>
    <x v="3"/>
    <x v="3"/>
    <x v="188"/>
    <x v="163"/>
    <x v="163"/>
    <s v="REVENUS"/>
    <x v="14"/>
    <s v="4003.000"/>
    <s v="Impôt à la source"/>
    <n v="0"/>
    <n v="-2083.19"/>
    <n v="4003"/>
  </r>
  <r>
    <x v="2"/>
    <x v="3"/>
    <x v="3"/>
    <x v="188"/>
    <x v="163"/>
    <x v="163"/>
    <s v="REVENUS"/>
    <x v="2"/>
    <s v="4001.010"/>
    <s v="Impôt sourciers mixtes"/>
    <n v="0"/>
    <n v="-2471.2399999999998"/>
    <n v="4001"/>
  </r>
  <r>
    <x v="2"/>
    <x v="3"/>
    <x v="3"/>
    <x v="188"/>
    <x v="163"/>
    <x v="163"/>
    <s v="REVENUS"/>
    <x v="6"/>
    <s v="4211.001"/>
    <s v="Intérêts de retard sur factures"/>
    <n v="0"/>
    <n v="6.2"/>
    <n v="4211"/>
  </r>
  <r>
    <x v="2"/>
    <x v="3"/>
    <x v="3"/>
    <x v="188"/>
    <x v="163"/>
    <x v="163"/>
    <s v="REVENUS"/>
    <x v="7"/>
    <s v="4184.000"/>
    <s v="Frais de poursuite"/>
    <n v="0"/>
    <n v="0"/>
    <n v="4184"/>
  </r>
  <r>
    <x v="2"/>
    <x v="3"/>
    <x v="3"/>
    <x v="188"/>
    <x v="163"/>
    <x v="163"/>
    <s v="REVENUS"/>
    <x v="6"/>
    <s v="4211.002"/>
    <s v="Intérêts de retard sur acomptes"/>
    <n v="0"/>
    <n v="79.44"/>
    <n v="4211"/>
  </r>
  <r>
    <x v="2"/>
    <x v="3"/>
    <x v="3"/>
    <x v="190"/>
    <x v="164"/>
    <x v="164"/>
    <s v="CHARGES"/>
    <x v="19"/>
    <s v="3186.002"/>
    <s v="Commission perception IS"/>
    <n v="-117.19"/>
    <n v="0"/>
    <n v="3186"/>
  </r>
  <r>
    <x v="2"/>
    <x v="3"/>
    <x v="3"/>
    <x v="190"/>
    <x v="164"/>
    <x v="164"/>
    <s v="CHARGES"/>
    <x v="1"/>
    <s v="3301.001"/>
    <s v="Défalcations, abandons de solde PP et IS"/>
    <n v="0.15"/>
    <n v="0"/>
    <n v="3301"/>
  </r>
  <r>
    <x v="2"/>
    <x v="3"/>
    <x v="3"/>
    <x v="190"/>
    <x v="164"/>
    <x v="164"/>
    <s v="REVENUS"/>
    <x v="2"/>
    <s v="4001.010"/>
    <s v="Impôt sourciers mixtes"/>
    <n v="0"/>
    <n v="605.77"/>
    <n v="4001"/>
  </r>
  <r>
    <x v="2"/>
    <x v="3"/>
    <x v="3"/>
    <x v="190"/>
    <x v="164"/>
    <x v="164"/>
    <s v="REVENUS"/>
    <x v="14"/>
    <s v="4003.000"/>
    <s v="Impôt à la source"/>
    <n v="0"/>
    <n v="872.56"/>
    <n v="4003"/>
  </r>
  <r>
    <x v="2"/>
    <x v="3"/>
    <x v="3"/>
    <x v="190"/>
    <x v="164"/>
    <x v="164"/>
    <s v="REVENUS"/>
    <x v="6"/>
    <s v="4211.001"/>
    <s v="Intérêts de retard sur factures"/>
    <n v="0"/>
    <n v="7.72"/>
    <n v="4211"/>
  </r>
  <r>
    <x v="2"/>
    <x v="3"/>
    <x v="3"/>
    <x v="190"/>
    <x v="164"/>
    <x v="164"/>
    <s v="REVENUS"/>
    <x v="6"/>
    <s v="4211.002"/>
    <s v="Intérêts de retard sur acomptes"/>
    <n v="0"/>
    <n v="126.67"/>
    <n v="4211"/>
  </r>
  <r>
    <x v="2"/>
    <x v="3"/>
    <x v="3"/>
    <x v="190"/>
    <x v="164"/>
    <x v="164"/>
    <s v="REVENUS"/>
    <x v="14"/>
    <s v="4003.070"/>
    <s v="IS - Loi travail au noir"/>
    <n v="0"/>
    <n v="0.66"/>
    <n v="4003"/>
  </r>
  <r>
    <x v="2"/>
    <x v="3"/>
    <x v="3"/>
    <x v="190"/>
    <x v="164"/>
    <x v="164"/>
    <s v="REVENUS"/>
    <x v="7"/>
    <s v="4184.000"/>
    <s v="Frais de poursuite"/>
    <n v="0"/>
    <n v="0.37"/>
    <n v="4184"/>
  </r>
  <r>
    <x v="2"/>
    <x v="3"/>
    <x v="3"/>
    <x v="191"/>
    <x v="159"/>
    <x v="159"/>
    <s v="REVENUS"/>
    <x v="7"/>
    <s v="4184.000"/>
    <s v="Frais de poursuite"/>
    <n v="0"/>
    <n v="0.31"/>
    <n v="4184"/>
  </r>
  <r>
    <x v="2"/>
    <x v="3"/>
    <x v="3"/>
    <x v="191"/>
    <x v="159"/>
    <x v="159"/>
    <s v="REVENUS"/>
    <x v="6"/>
    <s v="4211.001"/>
    <s v="Intérêts de retard sur factures"/>
    <n v="0"/>
    <n v="11.84"/>
    <n v="4211"/>
  </r>
  <r>
    <x v="2"/>
    <x v="3"/>
    <x v="3"/>
    <x v="191"/>
    <x v="159"/>
    <x v="159"/>
    <s v="REVENUS"/>
    <x v="6"/>
    <s v="4211.002"/>
    <s v="Intérêts de retard sur acomptes"/>
    <n v="0"/>
    <n v="-0.01"/>
    <n v="4211"/>
  </r>
  <r>
    <x v="2"/>
    <x v="3"/>
    <x v="3"/>
    <x v="192"/>
    <x v="165"/>
    <x v="165"/>
    <s v="CHARGES"/>
    <x v="19"/>
    <s v="3186.002"/>
    <s v="Commission perception IS"/>
    <n v="458.67"/>
    <n v="0"/>
    <n v="3186"/>
  </r>
  <r>
    <x v="2"/>
    <x v="3"/>
    <x v="3"/>
    <x v="192"/>
    <x v="165"/>
    <x v="165"/>
    <s v="CHARGES"/>
    <x v="1"/>
    <s v="3301.001"/>
    <s v="Défalcations, abandons de solde PP et IS"/>
    <n v="79.64"/>
    <n v="0"/>
    <n v="3301"/>
  </r>
  <r>
    <x v="2"/>
    <x v="3"/>
    <x v="3"/>
    <x v="192"/>
    <x v="165"/>
    <x v="165"/>
    <s v="REVENUS"/>
    <x v="6"/>
    <s v="4211.001"/>
    <s v="Intérêts de retard sur factures"/>
    <n v="0"/>
    <n v="1.44"/>
    <n v="4211"/>
  </r>
  <r>
    <x v="2"/>
    <x v="3"/>
    <x v="3"/>
    <x v="192"/>
    <x v="165"/>
    <x v="165"/>
    <s v="REVENUS"/>
    <x v="14"/>
    <s v="4003.000"/>
    <s v="Impôt à la source"/>
    <n v="0"/>
    <n v="10930.52"/>
    <n v="4003"/>
  </r>
  <r>
    <x v="2"/>
    <x v="3"/>
    <x v="3"/>
    <x v="192"/>
    <x v="165"/>
    <x v="165"/>
    <s v="REVENUS"/>
    <x v="2"/>
    <s v="4001.010"/>
    <s v="Impôt sourciers mixtes"/>
    <n v="0"/>
    <n v="-443.74"/>
    <n v="4001"/>
  </r>
  <r>
    <x v="2"/>
    <x v="3"/>
    <x v="3"/>
    <x v="192"/>
    <x v="165"/>
    <x v="165"/>
    <s v="REVENUS"/>
    <x v="7"/>
    <s v="4184.000"/>
    <s v="Frais de poursuite"/>
    <n v="0"/>
    <n v="14.02"/>
    <n v="4184"/>
  </r>
  <r>
    <x v="2"/>
    <x v="3"/>
    <x v="3"/>
    <x v="192"/>
    <x v="165"/>
    <x v="165"/>
    <s v="REVENUS"/>
    <x v="6"/>
    <s v="4211.002"/>
    <s v="Intérêts de retard sur acomptes"/>
    <n v="0"/>
    <n v="13.79"/>
    <n v="4211"/>
  </r>
  <r>
    <x v="2"/>
    <x v="3"/>
    <x v="3"/>
    <x v="192"/>
    <x v="165"/>
    <x v="165"/>
    <s v="REVENUS"/>
    <x v="2"/>
    <s v="4001.001"/>
    <s v="Impôt revenu"/>
    <n v="0"/>
    <n v="653.63"/>
    <n v="4001"/>
  </r>
  <r>
    <x v="2"/>
    <x v="3"/>
    <x v="3"/>
    <x v="193"/>
    <x v="166"/>
    <x v="166"/>
    <s v="CHARGES"/>
    <x v="1"/>
    <s v="3301.001"/>
    <s v="Défalcations, abandons de solde PP et IS"/>
    <n v="0.63"/>
    <n v="0"/>
    <n v="3301"/>
  </r>
  <r>
    <x v="2"/>
    <x v="3"/>
    <x v="3"/>
    <x v="193"/>
    <x v="166"/>
    <x v="166"/>
    <s v="REVENUS"/>
    <x v="6"/>
    <s v="4211.001"/>
    <s v="Intérêts de retard sur factures"/>
    <n v="0"/>
    <n v="0.95"/>
    <n v="4211"/>
  </r>
  <r>
    <x v="2"/>
    <x v="3"/>
    <x v="3"/>
    <x v="193"/>
    <x v="166"/>
    <x v="166"/>
    <s v="REVENUS"/>
    <x v="6"/>
    <s v="4211.002"/>
    <s v="Intérêts de retard sur acomptes"/>
    <n v="0"/>
    <n v="0.24"/>
    <n v="4211"/>
  </r>
  <r>
    <x v="2"/>
    <x v="3"/>
    <x v="3"/>
    <x v="194"/>
    <x v="159"/>
    <x v="159"/>
    <s v="CHARGES"/>
    <x v="19"/>
    <s v="3186.002"/>
    <s v="Commission perception IS"/>
    <n v="7559.17"/>
    <n v="0"/>
    <n v="3186"/>
  </r>
  <r>
    <x v="2"/>
    <x v="3"/>
    <x v="3"/>
    <x v="194"/>
    <x v="159"/>
    <x v="159"/>
    <s v="CHARGES"/>
    <x v="1"/>
    <s v="3301.001"/>
    <s v="Défalcations, abandons de solde PP et IS"/>
    <n v="12276.68"/>
    <n v="0"/>
    <n v="3301"/>
  </r>
  <r>
    <x v="2"/>
    <x v="3"/>
    <x v="3"/>
    <x v="194"/>
    <x v="159"/>
    <x v="159"/>
    <s v="REVENUS"/>
    <x v="14"/>
    <s v="4003.000"/>
    <s v="Impôt à la source"/>
    <n v="0"/>
    <n v="221023.26"/>
    <n v="4003"/>
  </r>
  <r>
    <x v="2"/>
    <x v="3"/>
    <x v="3"/>
    <x v="194"/>
    <x v="159"/>
    <x v="159"/>
    <s v="REVENUS"/>
    <x v="2"/>
    <s v="4001.010"/>
    <s v="Impôt sourciers mixtes"/>
    <n v="0"/>
    <n v="-9157.56"/>
    <n v="4001"/>
  </r>
  <r>
    <x v="2"/>
    <x v="3"/>
    <x v="3"/>
    <x v="194"/>
    <x v="159"/>
    <x v="159"/>
    <s v="REVENUS"/>
    <x v="6"/>
    <s v="4211.001"/>
    <s v="Intérêts de retard sur factures"/>
    <n v="0"/>
    <n v="778.54"/>
    <n v="4211"/>
  </r>
  <r>
    <x v="2"/>
    <x v="3"/>
    <x v="3"/>
    <x v="194"/>
    <x v="159"/>
    <x v="159"/>
    <s v="REVENUS"/>
    <x v="6"/>
    <s v="4211.002"/>
    <s v="Intérêts de retard sur acomptes"/>
    <n v="0"/>
    <n v="1692.25"/>
    <n v="4211"/>
  </r>
  <r>
    <x v="2"/>
    <x v="3"/>
    <x v="3"/>
    <x v="194"/>
    <x v="159"/>
    <x v="159"/>
    <s v="REVENUS"/>
    <x v="2"/>
    <s v="4001.001"/>
    <s v="Impôt revenu"/>
    <n v="0"/>
    <n v="64696.14"/>
    <n v="4001"/>
  </r>
  <r>
    <x v="2"/>
    <x v="3"/>
    <x v="3"/>
    <x v="194"/>
    <x v="159"/>
    <x v="159"/>
    <s v="REVENUS"/>
    <x v="7"/>
    <s v="4184.000"/>
    <s v="Frais de poursuite"/>
    <n v="0"/>
    <n v="187.32"/>
    <n v="4184"/>
  </r>
  <r>
    <x v="2"/>
    <x v="3"/>
    <x v="3"/>
    <x v="194"/>
    <x v="159"/>
    <x v="159"/>
    <s v="REVENUS"/>
    <x v="14"/>
    <s v="4003.030"/>
    <s v="IS - Prestations en capital / Prévoyance"/>
    <n v="0"/>
    <n v="12381.08"/>
    <n v="4003"/>
  </r>
  <r>
    <x v="2"/>
    <x v="3"/>
    <x v="3"/>
    <x v="194"/>
    <x v="159"/>
    <x v="159"/>
    <s v="REVENUS"/>
    <x v="2"/>
    <s v="4001.005"/>
    <s v="Amende de soustract. Impôt"/>
    <n v="0"/>
    <n v="0"/>
    <n v="4001"/>
  </r>
  <r>
    <x v="2"/>
    <x v="3"/>
    <x v="3"/>
    <x v="194"/>
    <x v="159"/>
    <x v="159"/>
    <s v="REVENUS"/>
    <x v="8"/>
    <s v="4091.001"/>
    <s v="Impôt récupéré après défalcations"/>
    <n v="0"/>
    <n v="7650.48"/>
    <n v="4091"/>
  </r>
  <r>
    <x v="2"/>
    <x v="3"/>
    <x v="3"/>
    <x v="194"/>
    <x v="159"/>
    <x v="159"/>
    <s v="REVENUS"/>
    <x v="14"/>
    <s v="4003.070"/>
    <s v="IS - Loi travail au noir"/>
    <n v="0"/>
    <n v="477"/>
    <n v="4003"/>
  </r>
  <r>
    <x v="2"/>
    <x v="3"/>
    <x v="3"/>
    <x v="197"/>
    <x v="167"/>
    <x v="167"/>
    <s v="CHARGES"/>
    <x v="19"/>
    <s v="3186.002"/>
    <s v="Commission perception IS"/>
    <n v="12108.43"/>
    <n v="0"/>
    <n v="3186"/>
  </r>
  <r>
    <x v="2"/>
    <x v="3"/>
    <x v="3"/>
    <x v="197"/>
    <x v="167"/>
    <x v="167"/>
    <s v="CHARGES"/>
    <x v="1"/>
    <s v="3301.001"/>
    <s v="Défalcations, abandons de solde PP et IS"/>
    <n v="16758.72"/>
    <n v="0"/>
    <n v="3301"/>
  </r>
  <r>
    <x v="2"/>
    <x v="3"/>
    <x v="3"/>
    <x v="197"/>
    <x v="167"/>
    <x v="167"/>
    <s v="REVENUS"/>
    <x v="14"/>
    <s v="4003.000"/>
    <s v="Impôt à la source"/>
    <n v="0"/>
    <n v="470354.52"/>
    <n v="4003"/>
  </r>
  <r>
    <x v="2"/>
    <x v="3"/>
    <x v="3"/>
    <x v="197"/>
    <x v="167"/>
    <x v="167"/>
    <s v="REVENUS"/>
    <x v="6"/>
    <s v="4211.002"/>
    <s v="Intérêts de retard sur acomptes"/>
    <n v="0"/>
    <n v="2369.31"/>
    <n v="4211"/>
  </r>
  <r>
    <x v="2"/>
    <x v="3"/>
    <x v="3"/>
    <x v="197"/>
    <x v="167"/>
    <x v="167"/>
    <s v="REVENUS"/>
    <x v="2"/>
    <s v="4001.010"/>
    <s v="Impôt sourciers mixtes"/>
    <n v="0"/>
    <n v="-19118.900000000001"/>
    <n v="4001"/>
  </r>
  <r>
    <x v="2"/>
    <x v="3"/>
    <x v="3"/>
    <x v="197"/>
    <x v="167"/>
    <x v="167"/>
    <s v="REVENUS"/>
    <x v="6"/>
    <s v="4211.001"/>
    <s v="Intérêts de retard sur factures"/>
    <n v="0"/>
    <n v="1080.79"/>
    <n v="4211"/>
  </r>
  <r>
    <x v="2"/>
    <x v="3"/>
    <x v="3"/>
    <x v="197"/>
    <x v="167"/>
    <x v="167"/>
    <s v="REVENUS"/>
    <x v="7"/>
    <s v="4184.000"/>
    <s v="Frais de poursuite"/>
    <n v="0"/>
    <n v="301.17"/>
    <n v="4184"/>
  </r>
  <r>
    <x v="2"/>
    <x v="3"/>
    <x v="3"/>
    <x v="197"/>
    <x v="167"/>
    <x v="167"/>
    <s v="REVENUS"/>
    <x v="2"/>
    <s v="4001.001"/>
    <s v="Impôt revenu"/>
    <n v="0"/>
    <n v="64653.56"/>
    <n v="4001"/>
  </r>
  <r>
    <x v="2"/>
    <x v="3"/>
    <x v="3"/>
    <x v="197"/>
    <x v="167"/>
    <x v="167"/>
    <s v="REVENUS"/>
    <x v="2"/>
    <s v="4001.002"/>
    <s v="Impôt complément s/revenu PP"/>
    <n v="0"/>
    <n v="6245.34"/>
    <n v="4001"/>
  </r>
  <r>
    <x v="2"/>
    <x v="3"/>
    <x v="3"/>
    <x v="197"/>
    <x v="167"/>
    <x v="167"/>
    <s v="REVENUS"/>
    <x v="2"/>
    <s v="4001.005"/>
    <s v="Amende de soustract. Impôt"/>
    <n v="0"/>
    <n v="-200"/>
    <n v="4001"/>
  </r>
  <r>
    <x v="2"/>
    <x v="3"/>
    <x v="3"/>
    <x v="197"/>
    <x v="167"/>
    <x v="167"/>
    <s v="REVENUS"/>
    <x v="14"/>
    <s v="4003.070"/>
    <s v="IS - Loi travail au noir"/>
    <n v="0"/>
    <n v="821.4"/>
    <n v="4003"/>
  </r>
  <r>
    <x v="2"/>
    <x v="3"/>
    <x v="3"/>
    <x v="197"/>
    <x v="167"/>
    <x v="167"/>
    <s v="REVENUS"/>
    <x v="8"/>
    <s v="4091.001"/>
    <s v="Impôt récupéré après défalcations"/>
    <n v="0"/>
    <n v="5003.3"/>
    <n v="4091"/>
  </r>
  <r>
    <x v="2"/>
    <x v="4"/>
    <x v="4"/>
    <x v="198"/>
    <x v="168"/>
    <x v="168"/>
    <s v="CHARGES"/>
    <x v="19"/>
    <s v="3186.002"/>
    <s v="Commission perception IS"/>
    <n v="295.60000000000002"/>
    <n v="0"/>
    <n v="3186"/>
  </r>
  <r>
    <x v="2"/>
    <x v="4"/>
    <x v="4"/>
    <x v="198"/>
    <x v="168"/>
    <x v="168"/>
    <s v="CHARGES"/>
    <x v="1"/>
    <s v="3301.001"/>
    <s v="Défalcations, abandons de solde PP et IS"/>
    <n v="1.48"/>
    <n v="0"/>
    <n v="3301"/>
  </r>
  <r>
    <x v="2"/>
    <x v="4"/>
    <x v="4"/>
    <x v="198"/>
    <x v="168"/>
    <x v="168"/>
    <s v="REVENUS"/>
    <x v="14"/>
    <s v="4003.000"/>
    <s v="Impôt à la source"/>
    <n v="0"/>
    <n v="9399.07"/>
    <n v="4003"/>
  </r>
  <r>
    <x v="2"/>
    <x v="4"/>
    <x v="4"/>
    <x v="198"/>
    <x v="168"/>
    <x v="168"/>
    <s v="REVENUS"/>
    <x v="14"/>
    <s v="4003.010"/>
    <s v="IS - Employés et sourciers étrangers"/>
    <n v="0"/>
    <n v="119.48"/>
    <n v="4003"/>
  </r>
  <r>
    <x v="2"/>
    <x v="4"/>
    <x v="4"/>
    <x v="198"/>
    <x v="168"/>
    <x v="168"/>
    <s v="REVENUS"/>
    <x v="6"/>
    <s v="4211.002"/>
    <s v="Intérêts de retard sur acomptes"/>
    <n v="0"/>
    <n v="9.91"/>
    <n v="4211"/>
  </r>
  <r>
    <x v="2"/>
    <x v="4"/>
    <x v="4"/>
    <x v="198"/>
    <x v="168"/>
    <x v="168"/>
    <s v="REVENUS"/>
    <x v="6"/>
    <s v="4211.001"/>
    <s v="Intérêts de retard sur factures"/>
    <n v="0"/>
    <n v="84.6"/>
    <n v="4211"/>
  </r>
  <r>
    <x v="2"/>
    <x v="4"/>
    <x v="4"/>
    <x v="198"/>
    <x v="168"/>
    <x v="168"/>
    <s v="REVENUS"/>
    <x v="2"/>
    <s v="4001.010"/>
    <s v="Impôt sourciers mixtes"/>
    <n v="0"/>
    <n v="-8.8699999999999992"/>
    <n v="4001"/>
  </r>
  <r>
    <x v="2"/>
    <x v="3"/>
    <x v="3"/>
    <x v="200"/>
    <x v="169"/>
    <x v="169"/>
    <s v="CHARGES"/>
    <x v="19"/>
    <s v="3186.002"/>
    <s v="Commission perception IS"/>
    <n v="3.9"/>
    <n v="0"/>
    <n v="3186"/>
  </r>
  <r>
    <x v="2"/>
    <x v="3"/>
    <x v="3"/>
    <x v="200"/>
    <x v="169"/>
    <x v="169"/>
    <s v="CHARGES"/>
    <x v="1"/>
    <s v="3301.001"/>
    <s v="Défalcations, abandons de solde PP et IS"/>
    <n v="244.72"/>
    <n v="0"/>
    <n v="3301"/>
  </r>
  <r>
    <x v="2"/>
    <x v="3"/>
    <x v="3"/>
    <x v="200"/>
    <x v="169"/>
    <x v="169"/>
    <s v="REVENUS"/>
    <x v="2"/>
    <s v="4001.010"/>
    <s v="Impôt sourciers mixtes"/>
    <n v="0"/>
    <n v="2965.13"/>
    <n v="4001"/>
  </r>
  <r>
    <x v="2"/>
    <x v="3"/>
    <x v="3"/>
    <x v="200"/>
    <x v="169"/>
    <x v="169"/>
    <s v="REVENUS"/>
    <x v="6"/>
    <s v="4211.001"/>
    <s v="Intérêts de retard sur factures"/>
    <n v="0"/>
    <n v="167.78"/>
    <n v="4211"/>
  </r>
  <r>
    <x v="2"/>
    <x v="3"/>
    <x v="3"/>
    <x v="200"/>
    <x v="169"/>
    <x v="169"/>
    <s v="REVENUS"/>
    <x v="8"/>
    <s v="4091.001"/>
    <s v="Impôt récupéré après défalcations"/>
    <n v="0"/>
    <n v="0"/>
    <n v="4091"/>
  </r>
  <r>
    <x v="2"/>
    <x v="3"/>
    <x v="3"/>
    <x v="200"/>
    <x v="169"/>
    <x v="169"/>
    <s v="REVENUS"/>
    <x v="6"/>
    <s v="4211.002"/>
    <s v="Intérêts de retard sur acomptes"/>
    <n v="0"/>
    <n v="311"/>
    <n v="4211"/>
  </r>
  <r>
    <x v="2"/>
    <x v="3"/>
    <x v="3"/>
    <x v="200"/>
    <x v="169"/>
    <x v="169"/>
    <s v="REVENUS"/>
    <x v="2"/>
    <s v="4001.001"/>
    <s v="Impôt revenu"/>
    <n v="0"/>
    <n v="1480.15"/>
    <n v="4001"/>
  </r>
  <r>
    <x v="2"/>
    <x v="3"/>
    <x v="3"/>
    <x v="200"/>
    <x v="169"/>
    <x v="169"/>
    <s v="REVENUS"/>
    <x v="14"/>
    <s v="4003.000"/>
    <s v="Impôt à la source"/>
    <n v="0"/>
    <n v="-1870.79"/>
    <n v="4003"/>
  </r>
  <r>
    <x v="2"/>
    <x v="3"/>
    <x v="3"/>
    <x v="200"/>
    <x v="169"/>
    <x v="169"/>
    <s v="REVENUS"/>
    <x v="7"/>
    <s v="4184.000"/>
    <s v="Frais de poursuite"/>
    <n v="0"/>
    <n v="-0.01"/>
    <n v="4184"/>
  </r>
  <r>
    <x v="2"/>
    <x v="3"/>
    <x v="3"/>
    <x v="201"/>
    <x v="170"/>
    <x v="170"/>
    <s v="CHARGES"/>
    <x v="19"/>
    <s v="3186.002"/>
    <s v="Commission perception IS"/>
    <n v="0.03"/>
    <n v="0"/>
    <n v="3186"/>
  </r>
  <r>
    <x v="2"/>
    <x v="3"/>
    <x v="3"/>
    <x v="201"/>
    <x v="170"/>
    <x v="170"/>
    <s v="CHARGES"/>
    <x v="1"/>
    <s v="3301.001"/>
    <s v="Défalcations, abandons de solde PP et IS"/>
    <n v="0.01"/>
    <n v="0"/>
    <n v="3301"/>
  </r>
  <r>
    <x v="2"/>
    <x v="3"/>
    <x v="3"/>
    <x v="201"/>
    <x v="170"/>
    <x v="170"/>
    <s v="REVENUS"/>
    <x v="14"/>
    <s v="4003.000"/>
    <s v="Impôt à la source"/>
    <n v="0"/>
    <n v="121.38"/>
    <n v="4003"/>
  </r>
  <r>
    <x v="2"/>
    <x v="3"/>
    <x v="3"/>
    <x v="201"/>
    <x v="170"/>
    <x v="170"/>
    <s v="REVENUS"/>
    <x v="2"/>
    <s v="4001.010"/>
    <s v="Impôt sourciers mixtes"/>
    <n v="0"/>
    <n v="10.130000000000001"/>
    <n v="4001"/>
  </r>
  <r>
    <x v="2"/>
    <x v="3"/>
    <x v="3"/>
    <x v="201"/>
    <x v="170"/>
    <x v="170"/>
    <s v="REVENUS"/>
    <x v="6"/>
    <s v="4211.001"/>
    <s v="Intérêts de retard sur factures"/>
    <n v="0"/>
    <n v="0.48"/>
    <n v="4211"/>
  </r>
  <r>
    <x v="2"/>
    <x v="3"/>
    <x v="3"/>
    <x v="201"/>
    <x v="170"/>
    <x v="170"/>
    <s v="REVENUS"/>
    <x v="6"/>
    <s v="4211.002"/>
    <s v="Intérêts de retard sur acomptes"/>
    <n v="0"/>
    <n v="1.75"/>
    <n v="4211"/>
  </r>
  <r>
    <x v="2"/>
    <x v="4"/>
    <x v="4"/>
    <x v="371"/>
    <x v="161"/>
    <x v="161"/>
    <s v="CHARGES"/>
    <x v="19"/>
    <s v="3186.002"/>
    <s v="Commission perception IS"/>
    <n v="0.18"/>
    <n v="0"/>
    <n v="3186"/>
  </r>
  <r>
    <x v="2"/>
    <x v="4"/>
    <x v="4"/>
    <x v="371"/>
    <x v="161"/>
    <x v="161"/>
    <s v="REVENUS"/>
    <x v="6"/>
    <s v="4211.001"/>
    <s v="Intérêts de retard sur factures"/>
    <n v="0"/>
    <n v="-0.01"/>
    <n v="4211"/>
  </r>
  <r>
    <x v="2"/>
    <x v="4"/>
    <x v="4"/>
    <x v="371"/>
    <x v="161"/>
    <x v="161"/>
    <s v="REVENUS"/>
    <x v="6"/>
    <s v="4211.002"/>
    <s v="Intérêts de retard sur acomptes"/>
    <n v="0"/>
    <n v="0.03"/>
    <n v="4211"/>
  </r>
  <r>
    <x v="2"/>
    <x v="3"/>
    <x v="3"/>
    <x v="202"/>
    <x v="159"/>
    <x v="159"/>
    <s v="REVENUS"/>
    <x v="6"/>
    <s v="4211.001"/>
    <s v="Intérêts de retard sur factures"/>
    <n v="0"/>
    <n v="7.0000000000000007E-2"/>
    <n v="4211"/>
  </r>
  <r>
    <x v="2"/>
    <x v="3"/>
    <x v="3"/>
    <x v="202"/>
    <x v="159"/>
    <x v="159"/>
    <s v="REVENUS"/>
    <x v="6"/>
    <s v="4211.002"/>
    <s v="Intérêts de retard sur acomptes"/>
    <n v="0"/>
    <n v="0.01"/>
    <n v="4211"/>
  </r>
  <r>
    <x v="2"/>
    <x v="4"/>
    <x v="4"/>
    <x v="372"/>
    <x v="88"/>
    <x v="88"/>
    <s v="REVENUS"/>
    <x v="6"/>
    <s v="4211.001"/>
    <s v="Intérêts de retard sur factures"/>
    <n v="0"/>
    <n v="3.31"/>
    <n v="4211"/>
  </r>
  <r>
    <x v="2"/>
    <x v="4"/>
    <x v="4"/>
    <x v="372"/>
    <x v="88"/>
    <x v="88"/>
    <s v="REVENUS"/>
    <x v="6"/>
    <s v="4211.002"/>
    <s v="Intérêts de retard sur acomptes"/>
    <n v="0"/>
    <n v="0.03"/>
    <n v="4211"/>
  </r>
  <r>
    <x v="2"/>
    <x v="3"/>
    <x v="3"/>
    <x v="373"/>
    <x v="313"/>
    <x v="313"/>
    <s v="CHARGES"/>
    <x v="19"/>
    <s v="3186.002"/>
    <s v="Commission perception IS"/>
    <n v="424.45"/>
    <n v="0"/>
    <n v="3186"/>
  </r>
  <r>
    <x v="2"/>
    <x v="3"/>
    <x v="3"/>
    <x v="373"/>
    <x v="313"/>
    <x v="313"/>
    <s v="CHARGES"/>
    <x v="1"/>
    <s v="3301.001"/>
    <s v="Défalcations, abandons de solde PP et IS"/>
    <n v="2.17"/>
    <n v="0"/>
    <n v="3301"/>
  </r>
  <r>
    <x v="2"/>
    <x v="3"/>
    <x v="3"/>
    <x v="373"/>
    <x v="313"/>
    <x v="313"/>
    <s v="REVENUS"/>
    <x v="2"/>
    <s v="4001.010"/>
    <s v="Impôt sourciers mixtes"/>
    <n v="0"/>
    <n v="-1047.8499999999999"/>
    <n v="4001"/>
  </r>
  <r>
    <x v="2"/>
    <x v="3"/>
    <x v="3"/>
    <x v="373"/>
    <x v="313"/>
    <x v="313"/>
    <s v="REVENUS"/>
    <x v="14"/>
    <s v="4003.000"/>
    <s v="Impôt à la source"/>
    <n v="0"/>
    <n v="1283.3900000000001"/>
    <n v="4003"/>
  </r>
  <r>
    <x v="2"/>
    <x v="3"/>
    <x v="3"/>
    <x v="373"/>
    <x v="313"/>
    <x v="313"/>
    <s v="REVENUS"/>
    <x v="6"/>
    <s v="4211.001"/>
    <s v="Intérêts de retard sur factures"/>
    <n v="0"/>
    <n v="22.21"/>
    <n v="4211"/>
  </r>
  <r>
    <x v="2"/>
    <x v="3"/>
    <x v="3"/>
    <x v="373"/>
    <x v="313"/>
    <x v="313"/>
    <s v="REVENUS"/>
    <x v="6"/>
    <s v="4211.002"/>
    <s v="Intérêts de retard sur acomptes"/>
    <n v="0"/>
    <n v="38.58"/>
    <n v="4211"/>
  </r>
  <r>
    <x v="2"/>
    <x v="3"/>
    <x v="3"/>
    <x v="373"/>
    <x v="313"/>
    <x v="313"/>
    <s v="REVENUS"/>
    <x v="2"/>
    <s v="4001.001"/>
    <s v="Impôt revenu"/>
    <n v="0"/>
    <n v="6909.73"/>
    <n v="4001"/>
  </r>
  <r>
    <x v="2"/>
    <x v="4"/>
    <x v="4"/>
    <x v="203"/>
    <x v="161"/>
    <x v="161"/>
    <s v="CHARGES"/>
    <x v="19"/>
    <s v="3186.002"/>
    <s v="Commission perception IS"/>
    <n v="0.14000000000000001"/>
    <n v="0"/>
    <n v="3186"/>
  </r>
  <r>
    <x v="2"/>
    <x v="4"/>
    <x v="4"/>
    <x v="203"/>
    <x v="161"/>
    <x v="161"/>
    <s v="REVENUS"/>
    <x v="6"/>
    <s v="4211.002"/>
    <s v="Intérêts de retard sur acomptes"/>
    <n v="0"/>
    <n v="-7.0000000000000007E-2"/>
    <n v="4211"/>
  </r>
  <r>
    <x v="2"/>
    <x v="4"/>
    <x v="4"/>
    <x v="374"/>
    <x v="88"/>
    <x v="88"/>
    <s v="CHARGES"/>
    <x v="1"/>
    <s v="3301.001"/>
    <s v="Défalcations, abandons de solde PP et IS"/>
    <n v="0.11"/>
    <n v="0"/>
    <n v="3301"/>
  </r>
  <r>
    <x v="2"/>
    <x v="4"/>
    <x v="4"/>
    <x v="374"/>
    <x v="88"/>
    <x v="88"/>
    <s v="REVENUS"/>
    <x v="6"/>
    <s v="4211.001"/>
    <s v="Intérêts de retard sur factures"/>
    <n v="0"/>
    <n v="0.06"/>
    <n v="4211"/>
  </r>
  <r>
    <x v="2"/>
    <x v="4"/>
    <x v="4"/>
    <x v="374"/>
    <x v="88"/>
    <x v="88"/>
    <s v="REVENUS"/>
    <x v="6"/>
    <s v="4211.002"/>
    <s v="Intérêts de retard sur acomptes"/>
    <n v="0"/>
    <n v="0.05"/>
    <n v="4211"/>
  </r>
  <r>
    <x v="2"/>
    <x v="3"/>
    <x v="3"/>
    <x v="205"/>
    <x v="172"/>
    <x v="172"/>
    <s v="CHARGES"/>
    <x v="19"/>
    <s v="3186.002"/>
    <s v="Commission perception IS"/>
    <n v="611.84"/>
    <n v="0"/>
    <n v="3186"/>
  </r>
  <r>
    <x v="2"/>
    <x v="3"/>
    <x v="3"/>
    <x v="205"/>
    <x v="172"/>
    <x v="172"/>
    <s v="CHARGES"/>
    <x v="1"/>
    <s v="3301.001"/>
    <s v="Défalcations, abandons de solde PP et IS"/>
    <n v="94.69"/>
    <n v="0"/>
    <n v="3301"/>
  </r>
  <r>
    <x v="2"/>
    <x v="3"/>
    <x v="3"/>
    <x v="205"/>
    <x v="172"/>
    <x v="172"/>
    <s v="REVENUS"/>
    <x v="14"/>
    <s v="4003.000"/>
    <s v="Impôt à la source"/>
    <n v="0"/>
    <n v="24468.36"/>
    <n v="4003"/>
  </r>
  <r>
    <x v="2"/>
    <x v="3"/>
    <x v="3"/>
    <x v="205"/>
    <x v="172"/>
    <x v="172"/>
    <s v="REVENUS"/>
    <x v="6"/>
    <s v="4211.001"/>
    <s v="Intérêts de retard sur factures"/>
    <n v="0"/>
    <n v="54.03"/>
    <n v="4211"/>
  </r>
  <r>
    <x v="2"/>
    <x v="3"/>
    <x v="3"/>
    <x v="205"/>
    <x v="172"/>
    <x v="172"/>
    <s v="REVENUS"/>
    <x v="6"/>
    <s v="4211.002"/>
    <s v="Intérêts de retard sur acomptes"/>
    <n v="0"/>
    <n v="127.21"/>
    <n v="4211"/>
  </r>
  <r>
    <x v="2"/>
    <x v="3"/>
    <x v="3"/>
    <x v="205"/>
    <x v="172"/>
    <x v="172"/>
    <s v="REVENUS"/>
    <x v="7"/>
    <s v="4184.000"/>
    <s v="Frais de poursuite"/>
    <n v="0"/>
    <n v="8.1"/>
    <n v="4184"/>
  </r>
  <r>
    <x v="2"/>
    <x v="3"/>
    <x v="3"/>
    <x v="205"/>
    <x v="172"/>
    <x v="172"/>
    <s v="REVENUS"/>
    <x v="2"/>
    <s v="4001.010"/>
    <s v="Impôt sourciers mixtes"/>
    <n v="0"/>
    <n v="446.07"/>
    <n v="4001"/>
  </r>
  <r>
    <x v="2"/>
    <x v="3"/>
    <x v="3"/>
    <x v="205"/>
    <x v="172"/>
    <x v="172"/>
    <s v="REVENUS"/>
    <x v="8"/>
    <s v="4091.001"/>
    <s v="Impôt récupéré après défalcations"/>
    <n v="0"/>
    <n v="0"/>
    <n v="4091"/>
  </r>
  <r>
    <x v="2"/>
    <x v="3"/>
    <x v="3"/>
    <x v="205"/>
    <x v="172"/>
    <x v="172"/>
    <s v="REVENUS"/>
    <x v="2"/>
    <s v="4001.005"/>
    <s v="Amende de soustract. Impôt"/>
    <n v="0"/>
    <n v="33"/>
    <n v="4001"/>
  </r>
  <r>
    <x v="2"/>
    <x v="4"/>
    <x v="4"/>
    <x v="206"/>
    <x v="161"/>
    <x v="161"/>
    <s v="CHARGES"/>
    <x v="19"/>
    <s v="3186.002"/>
    <s v="Commission perception IS"/>
    <n v="3217.77"/>
    <n v="0"/>
    <n v="3186"/>
  </r>
  <r>
    <x v="2"/>
    <x v="4"/>
    <x v="4"/>
    <x v="206"/>
    <x v="161"/>
    <x v="161"/>
    <s v="CHARGES"/>
    <x v="1"/>
    <s v="3301.001"/>
    <s v="Défalcations, abandons de solde PP et IS"/>
    <n v="1820.14"/>
    <n v="0"/>
    <n v="3301"/>
  </r>
  <r>
    <x v="2"/>
    <x v="4"/>
    <x v="4"/>
    <x v="206"/>
    <x v="161"/>
    <x v="161"/>
    <s v="REVENUS"/>
    <x v="14"/>
    <s v="4003.000"/>
    <s v="Impôt à la source"/>
    <n v="0"/>
    <n v="72359.86"/>
    <n v="4003"/>
  </r>
  <r>
    <x v="2"/>
    <x v="4"/>
    <x v="4"/>
    <x v="206"/>
    <x v="161"/>
    <x v="161"/>
    <s v="REVENUS"/>
    <x v="2"/>
    <s v="4001.010"/>
    <s v="Impôt sourciers mixtes"/>
    <n v="0"/>
    <n v="25759.95"/>
    <n v="4001"/>
  </r>
  <r>
    <x v="2"/>
    <x v="4"/>
    <x v="4"/>
    <x v="206"/>
    <x v="161"/>
    <x v="161"/>
    <s v="REVENUS"/>
    <x v="6"/>
    <s v="4211.002"/>
    <s v="Intérêts de retard sur acomptes"/>
    <n v="0"/>
    <n v="359.86"/>
    <n v="4211"/>
  </r>
  <r>
    <x v="2"/>
    <x v="4"/>
    <x v="4"/>
    <x v="206"/>
    <x v="161"/>
    <x v="161"/>
    <s v="REVENUS"/>
    <x v="14"/>
    <s v="4003.010"/>
    <s v="IS - Employés et sourciers étrangers"/>
    <n v="0"/>
    <n v="15.62"/>
    <n v="4003"/>
  </r>
  <r>
    <x v="2"/>
    <x v="4"/>
    <x v="4"/>
    <x v="206"/>
    <x v="161"/>
    <x v="161"/>
    <s v="REVENUS"/>
    <x v="6"/>
    <s v="4211.001"/>
    <s v="Intérêts de retard sur factures"/>
    <n v="0"/>
    <n v="299.99"/>
    <n v="4211"/>
  </r>
  <r>
    <x v="2"/>
    <x v="4"/>
    <x v="4"/>
    <x v="206"/>
    <x v="161"/>
    <x v="161"/>
    <s v="REVENUS"/>
    <x v="7"/>
    <s v="4184.000"/>
    <s v="Frais de poursuite"/>
    <n v="0"/>
    <n v="109.5"/>
    <n v="4184"/>
  </r>
  <r>
    <x v="2"/>
    <x v="4"/>
    <x v="4"/>
    <x v="206"/>
    <x v="161"/>
    <x v="161"/>
    <s v="REVENUS"/>
    <x v="2"/>
    <s v="4001.001"/>
    <s v="Impôt revenu"/>
    <n v="0"/>
    <n v="8529.2900000000009"/>
    <n v="4001"/>
  </r>
  <r>
    <x v="2"/>
    <x v="4"/>
    <x v="4"/>
    <x v="206"/>
    <x v="161"/>
    <x v="161"/>
    <s v="REVENUS"/>
    <x v="14"/>
    <s v="4003.070"/>
    <s v="IS - Loi travail au noir"/>
    <n v="0"/>
    <n v="64.900000000000006"/>
    <n v="4003"/>
  </r>
  <r>
    <x v="2"/>
    <x v="4"/>
    <x v="4"/>
    <x v="206"/>
    <x v="161"/>
    <x v="161"/>
    <s v="REVENUS"/>
    <x v="2"/>
    <s v="4001.002"/>
    <s v="Impôt complément s/revenu PP"/>
    <n v="0"/>
    <n v="0"/>
    <n v="4001"/>
  </r>
  <r>
    <x v="2"/>
    <x v="4"/>
    <x v="4"/>
    <x v="206"/>
    <x v="161"/>
    <x v="161"/>
    <s v="REVENUS"/>
    <x v="8"/>
    <s v="4091.001"/>
    <s v="Impôt récupéré après défalcations"/>
    <n v="0"/>
    <n v="1823.48"/>
    <n v="4091"/>
  </r>
  <r>
    <x v="2"/>
    <x v="4"/>
    <x v="4"/>
    <x v="206"/>
    <x v="161"/>
    <x v="161"/>
    <s v="REVENUS"/>
    <x v="2"/>
    <s v="4001.005"/>
    <s v="Amende de soustract. Impôt"/>
    <n v="0"/>
    <n v="0"/>
    <n v="4001"/>
  </r>
  <r>
    <x v="2"/>
    <x v="2"/>
    <x v="2"/>
    <x v="207"/>
    <x v="173"/>
    <x v="173"/>
    <s v="CHARGES"/>
    <x v="19"/>
    <s v="3186.002"/>
    <s v="Commission perception IS"/>
    <n v="477.05"/>
    <n v="0"/>
    <n v="3186"/>
  </r>
  <r>
    <x v="2"/>
    <x v="2"/>
    <x v="2"/>
    <x v="207"/>
    <x v="173"/>
    <x v="173"/>
    <s v="CHARGES"/>
    <x v="1"/>
    <s v="3301.001"/>
    <s v="Défalcations, abandons de solde PP et IS"/>
    <n v="1.05"/>
    <n v="0"/>
    <n v="3301"/>
  </r>
  <r>
    <x v="2"/>
    <x v="2"/>
    <x v="2"/>
    <x v="207"/>
    <x v="173"/>
    <x v="173"/>
    <s v="REVENUS"/>
    <x v="6"/>
    <s v="4211.001"/>
    <s v="Intérêts de retard sur factures"/>
    <n v="0"/>
    <n v="124.7"/>
    <n v="4211"/>
  </r>
  <r>
    <x v="2"/>
    <x v="2"/>
    <x v="2"/>
    <x v="207"/>
    <x v="173"/>
    <x v="173"/>
    <s v="REVENUS"/>
    <x v="14"/>
    <s v="4003.000"/>
    <s v="Impôt à la source"/>
    <n v="0"/>
    <n v="-11789.17"/>
    <n v="4003"/>
  </r>
  <r>
    <x v="2"/>
    <x v="2"/>
    <x v="2"/>
    <x v="207"/>
    <x v="173"/>
    <x v="173"/>
    <s v="REVENUS"/>
    <x v="2"/>
    <s v="4001.010"/>
    <s v="Impôt sourciers mixtes"/>
    <n v="0"/>
    <n v="-2582.9499999999998"/>
    <n v="4001"/>
  </r>
  <r>
    <x v="2"/>
    <x v="2"/>
    <x v="2"/>
    <x v="207"/>
    <x v="173"/>
    <x v="173"/>
    <s v="REVENUS"/>
    <x v="6"/>
    <s v="4211.002"/>
    <s v="Intérêts de retard sur acomptes"/>
    <n v="0"/>
    <n v="102.66"/>
    <n v="4211"/>
  </r>
  <r>
    <x v="2"/>
    <x v="2"/>
    <x v="2"/>
    <x v="207"/>
    <x v="173"/>
    <x v="173"/>
    <s v="REVENUS"/>
    <x v="2"/>
    <s v="4001.001"/>
    <s v="Impôt revenu"/>
    <n v="0"/>
    <n v="5526.2"/>
    <n v="4001"/>
  </r>
  <r>
    <x v="2"/>
    <x v="2"/>
    <x v="2"/>
    <x v="207"/>
    <x v="173"/>
    <x v="173"/>
    <s v="REVENUS"/>
    <x v="7"/>
    <s v="4184.000"/>
    <s v="Frais de poursuite"/>
    <n v="0"/>
    <n v="0.96"/>
    <n v="4184"/>
  </r>
  <r>
    <x v="2"/>
    <x v="2"/>
    <x v="2"/>
    <x v="208"/>
    <x v="174"/>
    <x v="174"/>
    <s v="CHARGES"/>
    <x v="19"/>
    <s v="3186.002"/>
    <s v="Commission perception IS"/>
    <n v="21724.18"/>
    <n v="0"/>
    <n v="3186"/>
  </r>
  <r>
    <x v="2"/>
    <x v="2"/>
    <x v="2"/>
    <x v="208"/>
    <x v="174"/>
    <x v="174"/>
    <s v="CHARGES"/>
    <x v="1"/>
    <s v="3301.001"/>
    <s v="Défalcations, abandons de solde PP et IS"/>
    <n v="43.5"/>
    <n v="0"/>
    <n v="3301"/>
  </r>
  <r>
    <x v="2"/>
    <x v="2"/>
    <x v="2"/>
    <x v="208"/>
    <x v="174"/>
    <x v="174"/>
    <s v="REVENUS"/>
    <x v="2"/>
    <s v="4001.010"/>
    <s v="Impôt sourciers mixtes"/>
    <n v="0"/>
    <n v="206179.01"/>
    <n v="4001"/>
  </r>
  <r>
    <x v="2"/>
    <x v="2"/>
    <x v="2"/>
    <x v="208"/>
    <x v="174"/>
    <x v="174"/>
    <s v="REVENUS"/>
    <x v="14"/>
    <s v="4003.000"/>
    <s v="Impôt à la source"/>
    <n v="0"/>
    <n v="143021.01999999999"/>
    <n v="4003"/>
  </r>
  <r>
    <x v="2"/>
    <x v="2"/>
    <x v="2"/>
    <x v="208"/>
    <x v="174"/>
    <x v="174"/>
    <s v="REVENUS"/>
    <x v="6"/>
    <s v="4211.001"/>
    <s v="Intérêts de retard sur factures"/>
    <n v="0"/>
    <n v="1283"/>
    <n v="4211"/>
  </r>
  <r>
    <x v="2"/>
    <x v="2"/>
    <x v="2"/>
    <x v="208"/>
    <x v="174"/>
    <x v="174"/>
    <s v="REVENUS"/>
    <x v="6"/>
    <s v="4211.002"/>
    <s v="Intérêts de retard sur acomptes"/>
    <n v="0"/>
    <n v="4138.68"/>
    <n v="4211"/>
  </r>
  <r>
    <x v="2"/>
    <x v="2"/>
    <x v="2"/>
    <x v="208"/>
    <x v="174"/>
    <x v="174"/>
    <s v="REVENUS"/>
    <x v="2"/>
    <s v="4001.005"/>
    <s v="Amende de soustract. Impôt"/>
    <n v="0"/>
    <n v="0"/>
    <n v="4001"/>
  </r>
  <r>
    <x v="2"/>
    <x v="2"/>
    <x v="2"/>
    <x v="208"/>
    <x v="174"/>
    <x v="174"/>
    <s v="REVENUS"/>
    <x v="8"/>
    <s v="4091.001"/>
    <s v="Impôt récupéré après défalcations"/>
    <n v="0"/>
    <n v="221.8"/>
    <n v="4091"/>
  </r>
  <r>
    <x v="2"/>
    <x v="2"/>
    <x v="2"/>
    <x v="208"/>
    <x v="174"/>
    <x v="174"/>
    <s v="REVENUS"/>
    <x v="2"/>
    <s v="4001.001"/>
    <s v="Impôt revenu"/>
    <n v="0"/>
    <n v="60253.57"/>
    <n v="4001"/>
  </r>
  <r>
    <x v="2"/>
    <x v="2"/>
    <x v="2"/>
    <x v="208"/>
    <x v="174"/>
    <x v="174"/>
    <s v="REVENUS"/>
    <x v="7"/>
    <s v="4184.000"/>
    <s v="Frais de poursuite"/>
    <n v="0"/>
    <n v="22.64"/>
    <n v="4184"/>
  </r>
  <r>
    <x v="2"/>
    <x v="2"/>
    <x v="2"/>
    <x v="209"/>
    <x v="175"/>
    <x v="175"/>
    <s v="CHARGES"/>
    <x v="19"/>
    <s v="3186.002"/>
    <s v="Commission perception IS"/>
    <n v="5322.02"/>
    <n v="0"/>
    <n v="3186"/>
  </r>
  <r>
    <x v="2"/>
    <x v="2"/>
    <x v="2"/>
    <x v="209"/>
    <x v="175"/>
    <x v="175"/>
    <s v="CHARGES"/>
    <x v="1"/>
    <s v="3301.001"/>
    <s v="Défalcations, abandons de solde PP et IS"/>
    <n v="3682.46"/>
    <n v="0"/>
    <n v="3301"/>
  </r>
  <r>
    <x v="2"/>
    <x v="2"/>
    <x v="2"/>
    <x v="209"/>
    <x v="175"/>
    <x v="175"/>
    <s v="REVENUS"/>
    <x v="14"/>
    <s v="4003.000"/>
    <s v="Impôt à la source"/>
    <n v="0"/>
    <n v="74607.210000000006"/>
    <n v="4003"/>
  </r>
  <r>
    <x v="2"/>
    <x v="2"/>
    <x v="2"/>
    <x v="209"/>
    <x v="175"/>
    <x v="175"/>
    <s v="REVENUS"/>
    <x v="2"/>
    <s v="4001.010"/>
    <s v="Impôt sourciers mixtes"/>
    <n v="0"/>
    <n v="112601.65"/>
    <n v="4001"/>
  </r>
  <r>
    <x v="2"/>
    <x v="2"/>
    <x v="2"/>
    <x v="209"/>
    <x v="175"/>
    <x v="175"/>
    <s v="REVENUS"/>
    <x v="6"/>
    <s v="4211.001"/>
    <s v="Intérêts de retard sur factures"/>
    <n v="0"/>
    <n v="563.91"/>
    <n v="4211"/>
  </r>
  <r>
    <x v="2"/>
    <x v="2"/>
    <x v="2"/>
    <x v="209"/>
    <x v="175"/>
    <x v="175"/>
    <s v="REVENUS"/>
    <x v="14"/>
    <s v="4003.010"/>
    <s v="IS - Employés et sourciers étrangers"/>
    <n v="0"/>
    <n v="615.47"/>
    <n v="4003"/>
  </r>
  <r>
    <x v="2"/>
    <x v="2"/>
    <x v="2"/>
    <x v="209"/>
    <x v="175"/>
    <x v="175"/>
    <s v="REVENUS"/>
    <x v="6"/>
    <s v="4211.002"/>
    <s v="Intérêts de retard sur acomptes"/>
    <n v="0"/>
    <n v="3407.71"/>
    <n v="4211"/>
  </r>
  <r>
    <x v="2"/>
    <x v="2"/>
    <x v="2"/>
    <x v="209"/>
    <x v="175"/>
    <x v="175"/>
    <s v="REVENUS"/>
    <x v="7"/>
    <s v="4184.000"/>
    <s v="Frais de poursuite"/>
    <n v="0"/>
    <n v="22.42"/>
    <n v="4184"/>
  </r>
  <r>
    <x v="2"/>
    <x v="2"/>
    <x v="2"/>
    <x v="209"/>
    <x v="175"/>
    <x v="175"/>
    <s v="REVENUS"/>
    <x v="2"/>
    <s v="4001.001"/>
    <s v="Impôt revenu"/>
    <n v="0"/>
    <n v="5255.45"/>
    <n v="4001"/>
  </r>
  <r>
    <x v="2"/>
    <x v="2"/>
    <x v="2"/>
    <x v="209"/>
    <x v="175"/>
    <x v="175"/>
    <s v="REVENUS"/>
    <x v="2"/>
    <s v="4001.002"/>
    <s v="Impôt complément s/revenu PP"/>
    <n v="0"/>
    <n v="1027.07"/>
    <n v="4001"/>
  </r>
  <r>
    <x v="2"/>
    <x v="2"/>
    <x v="2"/>
    <x v="209"/>
    <x v="175"/>
    <x v="175"/>
    <s v="REVENUS"/>
    <x v="8"/>
    <s v="4091.001"/>
    <s v="Impôt récupéré après défalcations"/>
    <n v="0"/>
    <n v="2744.8"/>
    <n v="4091"/>
  </r>
  <r>
    <x v="2"/>
    <x v="2"/>
    <x v="2"/>
    <x v="210"/>
    <x v="176"/>
    <x v="176"/>
    <s v="CHARGES"/>
    <x v="19"/>
    <s v="3186.002"/>
    <s v="Commission perception IS"/>
    <n v="15154.78"/>
    <n v="0"/>
    <n v="3186"/>
  </r>
  <r>
    <x v="2"/>
    <x v="2"/>
    <x v="2"/>
    <x v="210"/>
    <x v="176"/>
    <x v="176"/>
    <s v="CHARGES"/>
    <x v="1"/>
    <s v="3301.001"/>
    <s v="Défalcations, abandons de solde PP et IS"/>
    <n v="4055.48"/>
    <n v="0"/>
    <n v="3301"/>
  </r>
  <r>
    <x v="2"/>
    <x v="2"/>
    <x v="2"/>
    <x v="210"/>
    <x v="176"/>
    <x v="176"/>
    <s v="REVENUS"/>
    <x v="14"/>
    <s v="4003.000"/>
    <s v="Impôt à la source"/>
    <n v="0"/>
    <n v="84724.22"/>
    <n v="4003"/>
  </r>
  <r>
    <x v="2"/>
    <x v="2"/>
    <x v="2"/>
    <x v="210"/>
    <x v="176"/>
    <x v="176"/>
    <s v="REVENUS"/>
    <x v="2"/>
    <s v="4001.010"/>
    <s v="Impôt sourciers mixtes"/>
    <n v="0"/>
    <n v="-83866.5"/>
    <n v="4001"/>
  </r>
  <r>
    <x v="2"/>
    <x v="2"/>
    <x v="2"/>
    <x v="210"/>
    <x v="176"/>
    <x v="176"/>
    <s v="REVENUS"/>
    <x v="6"/>
    <s v="4211.001"/>
    <s v="Intérêts de retard sur factures"/>
    <n v="0"/>
    <n v="1639.43"/>
    <n v="4211"/>
  </r>
  <r>
    <x v="2"/>
    <x v="2"/>
    <x v="2"/>
    <x v="210"/>
    <x v="176"/>
    <x v="176"/>
    <s v="REVENUS"/>
    <x v="6"/>
    <s v="4211.002"/>
    <s v="Intérêts de retard sur acomptes"/>
    <n v="0"/>
    <n v="4840.08"/>
    <n v="4211"/>
  </r>
  <r>
    <x v="2"/>
    <x v="2"/>
    <x v="2"/>
    <x v="210"/>
    <x v="176"/>
    <x v="176"/>
    <s v="REVENUS"/>
    <x v="7"/>
    <s v="4184.000"/>
    <s v="Frais de poursuite"/>
    <n v="0"/>
    <n v="94.13"/>
    <n v="4184"/>
  </r>
  <r>
    <x v="2"/>
    <x v="2"/>
    <x v="2"/>
    <x v="210"/>
    <x v="176"/>
    <x v="176"/>
    <s v="REVENUS"/>
    <x v="14"/>
    <s v="4003.020"/>
    <s v="IS - Artistes - Conférenciers - Sportifs"/>
    <n v="0"/>
    <n v="340.97"/>
    <n v="4003"/>
  </r>
  <r>
    <x v="2"/>
    <x v="2"/>
    <x v="2"/>
    <x v="210"/>
    <x v="176"/>
    <x v="176"/>
    <s v="REVENUS"/>
    <x v="2"/>
    <s v="4001.001"/>
    <s v="Impôt revenu"/>
    <n v="0"/>
    <n v="55810.22"/>
    <n v="4001"/>
  </r>
  <r>
    <x v="2"/>
    <x v="2"/>
    <x v="2"/>
    <x v="210"/>
    <x v="176"/>
    <x v="176"/>
    <s v="REVENUS"/>
    <x v="2"/>
    <s v="4001.002"/>
    <s v="Impôt complément s/revenu PP"/>
    <n v="0"/>
    <n v="1669.3"/>
    <n v="4001"/>
  </r>
  <r>
    <x v="2"/>
    <x v="2"/>
    <x v="2"/>
    <x v="210"/>
    <x v="176"/>
    <x v="176"/>
    <s v="REVENUS"/>
    <x v="14"/>
    <s v="4003.010"/>
    <s v="IS - Employés et sourciers étrangers"/>
    <n v="0"/>
    <n v="5758.1"/>
    <n v="4003"/>
  </r>
  <r>
    <x v="2"/>
    <x v="2"/>
    <x v="2"/>
    <x v="210"/>
    <x v="176"/>
    <x v="176"/>
    <s v="REVENUS"/>
    <x v="14"/>
    <s v="4003.060"/>
    <s v="IS - Administrateurs"/>
    <n v="0"/>
    <n v="39.57"/>
    <n v="4003"/>
  </r>
  <r>
    <x v="2"/>
    <x v="2"/>
    <x v="2"/>
    <x v="210"/>
    <x v="176"/>
    <x v="176"/>
    <s v="REVENUS"/>
    <x v="8"/>
    <s v="4091.001"/>
    <s v="Impôt récupéré après défalcations"/>
    <n v="0"/>
    <n v="3825.16"/>
    <n v="4091"/>
  </r>
  <r>
    <x v="2"/>
    <x v="2"/>
    <x v="2"/>
    <x v="211"/>
    <x v="177"/>
    <x v="177"/>
    <s v="CHARGES"/>
    <x v="19"/>
    <s v="3186.002"/>
    <s v="Commission perception IS"/>
    <n v="10268.24"/>
    <n v="0"/>
    <n v="3186"/>
  </r>
  <r>
    <x v="2"/>
    <x v="2"/>
    <x v="2"/>
    <x v="211"/>
    <x v="177"/>
    <x v="177"/>
    <s v="CHARGES"/>
    <x v="1"/>
    <s v="3301.001"/>
    <s v="Défalcations, abandons de solde PP et IS"/>
    <n v="3.65"/>
    <n v="0"/>
    <n v="3301"/>
  </r>
  <r>
    <x v="2"/>
    <x v="2"/>
    <x v="2"/>
    <x v="211"/>
    <x v="177"/>
    <x v="177"/>
    <s v="REVENUS"/>
    <x v="2"/>
    <s v="4001.010"/>
    <s v="Impôt sourciers mixtes"/>
    <n v="0"/>
    <n v="164033.45000000001"/>
    <n v="4001"/>
  </r>
  <r>
    <x v="2"/>
    <x v="2"/>
    <x v="2"/>
    <x v="211"/>
    <x v="177"/>
    <x v="177"/>
    <s v="REVENUS"/>
    <x v="14"/>
    <s v="4003.000"/>
    <s v="Impôt à la source"/>
    <n v="0"/>
    <n v="9852.49"/>
    <n v="4003"/>
  </r>
  <r>
    <x v="2"/>
    <x v="2"/>
    <x v="2"/>
    <x v="211"/>
    <x v="177"/>
    <x v="177"/>
    <s v="REVENUS"/>
    <x v="6"/>
    <s v="4211.001"/>
    <s v="Intérêts de retard sur factures"/>
    <n v="0"/>
    <n v="990.76"/>
    <n v="4211"/>
  </r>
  <r>
    <x v="2"/>
    <x v="2"/>
    <x v="2"/>
    <x v="211"/>
    <x v="177"/>
    <x v="177"/>
    <s v="REVENUS"/>
    <x v="6"/>
    <s v="4211.002"/>
    <s v="Intérêts de retard sur acomptes"/>
    <n v="0"/>
    <n v="2067.0300000000002"/>
    <n v="4211"/>
  </r>
  <r>
    <x v="2"/>
    <x v="2"/>
    <x v="2"/>
    <x v="211"/>
    <x v="177"/>
    <x v="177"/>
    <s v="REVENUS"/>
    <x v="2"/>
    <s v="4001.001"/>
    <s v="Impôt revenu"/>
    <n v="0"/>
    <n v="1907.4"/>
    <n v="4001"/>
  </r>
  <r>
    <x v="2"/>
    <x v="2"/>
    <x v="2"/>
    <x v="211"/>
    <x v="177"/>
    <x v="177"/>
    <s v="REVENUS"/>
    <x v="14"/>
    <s v="4003.010"/>
    <s v="IS - Employés et sourciers étrangers"/>
    <n v="0"/>
    <n v="247.36"/>
    <n v="4003"/>
  </r>
  <r>
    <x v="2"/>
    <x v="2"/>
    <x v="2"/>
    <x v="212"/>
    <x v="178"/>
    <x v="178"/>
    <s v="CHARGES"/>
    <x v="19"/>
    <s v="3186.002"/>
    <s v="Commission perception IS"/>
    <n v="6467.41"/>
    <n v="0"/>
    <n v="3186"/>
  </r>
  <r>
    <x v="2"/>
    <x v="2"/>
    <x v="2"/>
    <x v="212"/>
    <x v="178"/>
    <x v="178"/>
    <s v="CHARGES"/>
    <x v="1"/>
    <s v="3301.001"/>
    <s v="Défalcations, abandons de solde PP et IS"/>
    <n v="1.62"/>
    <n v="0"/>
    <n v="3301"/>
  </r>
  <r>
    <x v="2"/>
    <x v="2"/>
    <x v="2"/>
    <x v="212"/>
    <x v="178"/>
    <x v="178"/>
    <s v="REVENUS"/>
    <x v="2"/>
    <s v="4001.010"/>
    <s v="Impôt sourciers mixtes"/>
    <n v="0"/>
    <n v="-93593.05"/>
    <n v="4001"/>
  </r>
  <r>
    <x v="2"/>
    <x v="2"/>
    <x v="2"/>
    <x v="212"/>
    <x v="178"/>
    <x v="178"/>
    <s v="REVENUS"/>
    <x v="14"/>
    <s v="4003.000"/>
    <s v="Impôt à la source"/>
    <n v="0"/>
    <n v="-26932.26"/>
    <n v="4003"/>
  </r>
  <r>
    <x v="2"/>
    <x v="2"/>
    <x v="2"/>
    <x v="212"/>
    <x v="178"/>
    <x v="178"/>
    <s v="REVENUS"/>
    <x v="6"/>
    <s v="4211.001"/>
    <s v="Intérêts de retard sur factures"/>
    <n v="0"/>
    <n v="1756.45"/>
    <n v="4211"/>
  </r>
  <r>
    <x v="2"/>
    <x v="2"/>
    <x v="2"/>
    <x v="212"/>
    <x v="178"/>
    <x v="178"/>
    <s v="REVENUS"/>
    <x v="6"/>
    <s v="4211.002"/>
    <s v="Intérêts de retard sur acomptes"/>
    <n v="0"/>
    <n v="905.93"/>
    <n v="4211"/>
  </r>
  <r>
    <x v="2"/>
    <x v="2"/>
    <x v="2"/>
    <x v="212"/>
    <x v="178"/>
    <x v="178"/>
    <s v="REVENUS"/>
    <x v="7"/>
    <s v="4184.000"/>
    <s v="Frais de poursuite"/>
    <n v="0"/>
    <n v="9.09"/>
    <n v="4184"/>
  </r>
  <r>
    <x v="2"/>
    <x v="2"/>
    <x v="2"/>
    <x v="212"/>
    <x v="178"/>
    <x v="178"/>
    <s v="REVENUS"/>
    <x v="2"/>
    <s v="4001.001"/>
    <s v="Impôt revenu"/>
    <n v="0"/>
    <n v="6951.69"/>
    <n v="4001"/>
  </r>
  <r>
    <x v="2"/>
    <x v="2"/>
    <x v="2"/>
    <x v="212"/>
    <x v="178"/>
    <x v="178"/>
    <s v="REVENUS"/>
    <x v="2"/>
    <s v="4001.002"/>
    <s v="Impôt complément s/revenu PP"/>
    <n v="0"/>
    <n v="2208.31"/>
    <n v="4001"/>
  </r>
  <r>
    <x v="2"/>
    <x v="2"/>
    <x v="2"/>
    <x v="213"/>
    <x v="179"/>
    <x v="179"/>
    <s v="CHARGES"/>
    <x v="19"/>
    <s v="3186.002"/>
    <s v="Commission perception IS"/>
    <n v="15499.99"/>
    <n v="0"/>
    <n v="3186"/>
  </r>
  <r>
    <x v="2"/>
    <x v="2"/>
    <x v="2"/>
    <x v="213"/>
    <x v="179"/>
    <x v="179"/>
    <s v="CHARGES"/>
    <x v="1"/>
    <s v="3301.001"/>
    <s v="Défalcations, abandons de solde PP et IS"/>
    <n v="7700.58"/>
    <n v="0"/>
    <n v="3301"/>
  </r>
  <r>
    <x v="2"/>
    <x v="2"/>
    <x v="2"/>
    <x v="213"/>
    <x v="179"/>
    <x v="179"/>
    <s v="REVENUS"/>
    <x v="14"/>
    <s v="4003.000"/>
    <s v="Impôt à la source"/>
    <n v="0"/>
    <n v="107835.45"/>
    <n v="4003"/>
  </r>
  <r>
    <x v="2"/>
    <x v="2"/>
    <x v="2"/>
    <x v="213"/>
    <x v="179"/>
    <x v="179"/>
    <s v="REVENUS"/>
    <x v="2"/>
    <s v="4001.010"/>
    <s v="Impôt sourciers mixtes"/>
    <n v="0"/>
    <n v="125189.35"/>
    <n v="4001"/>
  </r>
  <r>
    <x v="2"/>
    <x v="2"/>
    <x v="2"/>
    <x v="213"/>
    <x v="179"/>
    <x v="179"/>
    <s v="REVENUS"/>
    <x v="6"/>
    <s v="4211.001"/>
    <s v="Intérêts de retard sur factures"/>
    <n v="0"/>
    <n v="489.65"/>
    <n v="4211"/>
  </r>
  <r>
    <x v="2"/>
    <x v="2"/>
    <x v="2"/>
    <x v="213"/>
    <x v="179"/>
    <x v="179"/>
    <s v="REVENUS"/>
    <x v="7"/>
    <s v="4184.000"/>
    <s v="Frais de poursuite"/>
    <n v="0"/>
    <n v="56.55"/>
    <n v="4184"/>
  </r>
  <r>
    <x v="2"/>
    <x v="2"/>
    <x v="2"/>
    <x v="213"/>
    <x v="179"/>
    <x v="179"/>
    <s v="REVENUS"/>
    <x v="6"/>
    <s v="4211.002"/>
    <s v="Intérêts de retard sur acomptes"/>
    <n v="0"/>
    <n v="3427.84"/>
    <n v="4211"/>
  </r>
  <r>
    <x v="2"/>
    <x v="2"/>
    <x v="2"/>
    <x v="213"/>
    <x v="179"/>
    <x v="179"/>
    <s v="REVENUS"/>
    <x v="2"/>
    <s v="4001.001"/>
    <s v="Impôt revenu"/>
    <n v="0"/>
    <n v="4890.58"/>
    <n v="4001"/>
  </r>
  <r>
    <x v="2"/>
    <x v="2"/>
    <x v="2"/>
    <x v="213"/>
    <x v="179"/>
    <x v="179"/>
    <s v="REVENUS"/>
    <x v="14"/>
    <s v="4003.070"/>
    <s v="IS - Loi travail au noir"/>
    <n v="0"/>
    <n v="263.66000000000003"/>
    <n v="4003"/>
  </r>
  <r>
    <x v="2"/>
    <x v="2"/>
    <x v="2"/>
    <x v="213"/>
    <x v="179"/>
    <x v="179"/>
    <s v="REVENUS"/>
    <x v="14"/>
    <s v="4003.060"/>
    <s v="IS - Administrateurs"/>
    <n v="0"/>
    <n v="791.32"/>
    <n v="4003"/>
  </r>
  <r>
    <x v="2"/>
    <x v="2"/>
    <x v="2"/>
    <x v="214"/>
    <x v="180"/>
    <x v="180"/>
    <s v="CHARGES"/>
    <x v="19"/>
    <s v="3186.002"/>
    <s v="Commission perception IS"/>
    <n v="8886.5"/>
    <n v="0"/>
    <n v="3186"/>
  </r>
  <r>
    <x v="2"/>
    <x v="2"/>
    <x v="2"/>
    <x v="214"/>
    <x v="180"/>
    <x v="180"/>
    <s v="CHARGES"/>
    <x v="1"/>
    <s v="3301.001"/>
    <s v="Défalcations, abandons de solde PP et IS"/>
    <n v="10550.94"/>
    <n v="0"/>
    <n v="3301"/>
  </r>
  <r>
    <x v="2"/>
    <x v="2"/>
    <x v="2"/>
    <x v="214"/>
    <x v="180"/>
    <x v="180"/>
    <s v="REVENUS"/>
    <x v="2"/>
    <s v="4001.010"/>
    <s v="Impôt sourciers mixtes"/>
    <n v="0"/>
    <n v="-90213.440000000002"/>
    <n v="4001"/>
  </r>
  <r>
    <x v="2"/>
    <x v="2"/>
    <x v="2"/>
    <x v="214"/>
    <x v="180"/>
    <x v="180"/>
    <s v="REVENUS"/>
    <x v="14"/>
    <s v="4003.000"/>
    <s v="Impôt à la source"/>
    <n v="0"/>
    <n v="-17158.88"/>
    <n v="4003"/>
  </r>
  <r>
    <x v="2"/>
    <x v="2"/>
    <x v="2"/>
    <x v="214"/>
    <x v="180"/>
    <x v="180"/>
    <s v="REVENUS"/>
    <x v="6"/>
    <s v="4211.001"/>
    <s v="Intérêts de retard sur factures"/>
    <n v="0"/>
    <n v="2735.73"/>
    <n v="4211"/>
  </r>
  <r>
    <x v="2"/>
    <x v="2"/>
    <x v="2"/>
    <x v="214"/>
    <x v="180"/>
    <x v="180"/>
    <s v="REVENUS"/>
    <x v="6"/>
    <s v="4211.002"/>
    <s v="Intérêts de retard sur acomptes"/>
    <n v="0"/>
    <n v="2757.2"/>
    <n v="4211"/>
  </r>
  <r>
    <x v="2"/>
    <x v="2"/>
    <x v="2"/>
    <x v="214"/>
    <x v="180"/>
    <x v="180"/>
    <s v="REVENUS"/>
    <x v="8"/>
    <s v="4091.001"/>
    <s v="Impôt récupéré après défalcations"/>
    <n v="0"/>
    <n v="10546.67"/>
    <n v="4091"/>
  </r>
  <r>
    <x v="2"/>
    <x v="2"/>
    <x v="2"/>
    <x v="215"/>
    <x v="181"/>
    <x v="181"/>
    <s v="CHARGES"/>
    <x v="19"/>
    <s v="3186.002"/>
    <s v="Commission perception IS"/>
    <n v="6213.04"/>
    <n v="0"/>
    <n v="3186"/>
  </r>
  <r>
    <x v="2"/>
    <x v="2"/>
    <x v="2"/>
    <x v="215"/>
    <x v="181"/>
    <x v="181"/>
    <s v="CHARGES"/>
    <x v="1"/>
    <s v="3301.001"/>
    <s v="Défalcations, abandons de solde PP et IS"/>
    <n v="4319.1499999999996"/>
    <n v="0"/>
    <n v="3301"/>
  </r>
  <r>
    <x v="2"/>
    <x v="2"/>
    <x v="2"/>
    <x v="215"/>
    <x v="181"/>
    <x v="181"/>
    <s v="REVENUS"/>
    <x v="2"/>
    <s v="4001.010"/>
    <s v="Impôt sourciers mixtes"/>
    <n v="0"/>
    <n v="-189777.85"/>
    <n v="4001"/>
  </r>
  <r>
    <x v="2"/>
    <x v="2"/>
    <x v="2"/>
    <x v="215"/>
    <x v="181"/>
    <x v="181"/>
    <s v="REVENUS"/>
    <x v="14"/>
    <s v="4003.000"/>
    <s v="Impôt à la source"/>
    <n v="0"/>
    <n v="65878.34"/>
    <n v="4003"/>
  </r>
  <r>
    <x v="2"/>
    <x v="2"/>
    <x v="2"/>
    <x v="215"/>
    <x v="181"/>
    <x v="181"/>
    <s v="REVENUS"/>
    <x v="6"/>
    <s v="4211.001"/>
    <s v="Intérêts de retard sur factures"/>
    <n v="0"/>
    <n v="2176.5500000000002"/>
    <n v="4211"/>
  </r>
  <r>
    <x v="2"/>
    <x v="2"/>
    <x v="2"/>
    <x v="215"/>
    <x v="181"/>
    <x v="181"/>
    <s v="REVENUS"/>
    <x v="6"/>
    <s v="4211.002"/>
    <s v="Intérêts de retard sur acomptes"/>
    <n v="0"/>
    <n v="3660.66"/>
    <n v="4211"/>
  </r>
  <r>
    <x v="2"/>
    <x v="2"/>
    <x v="2"/>
    <x v="215"/>
    <x v="181"/>
    <x v="181"/>
    <s v="REVENUS"/>
    <x v="2"/>
    <s v="4001.001"/>
    <s v="Impôt revenu"/>
    <n v="0"/>
    <n v="42767.05"/>
    <n v="4001"/>
  </r>
  <r>
    <x v="2"/>
    <x v="2"/>
    <x v="2"/>
    <x v="215"/>
    <x v="181"/>
    <x v="181"/>
    <s v="REVENUS"/>
    <x v="8"/>
    <s v="4091.001"/>
    <s v="Impôt récupéré après défalcations"/>
    <n v="0"/>
    <n v="4220.59"/>
    <n v="4091"/>
  </r>
  <r>
    <x v="2"/>
    <x v="2"/>
    <x v="2"/>
    <x v="216"/>
    <x v="182"/>
    <x v="182"/>
    <s v="CHARGES"/>
    <x v="19"/>
    <s v="3186.002"/>
    <s v="Commission perception IS"/>
    <n v="933.2"/>
    <n v="0"/>
    <n v="3186"/>
  </r>
  <r>
    <x v="2"/>
    <x v="2"/>
    <x v="2"/>
    <x v="216"/>
    <x v="182"/>
    <x v="182"/>
    <s v="CHARGES"/>
    <x v="1"/>
    <s v="3301.001"/>
    <s v="Défalcations, abandons de solde PP et IS"/>
    <n v="0.86"/>
    <n v="0"/>
    <n v="3301"/>
  </r>
  <r>
    <x v="2"/>
    <x v="2"/>
    <x v="2"/>
    <x v="216"/>
    <x v="182"/>
    <x v="182"/>
    <s v="REVENUS"/>
    <x v="2"/>
    <s v="4001.010"/>
    <s v="Impôt sourciers mixtes"/>
    <n v="0"/>
    <n v="-26970.12"/>
    <n v="4001"/>
  </r>
  <r>
    <x v="2"/>
    <x v="2"/>
    <x v="2"/>
    <x v="216"/>
    <x v="182"/>
    <x v="182"/>
    <s v="REVENUS"/>
    <x v="6"/>
    <s v="4211.002"/>
    <s v="Intérêts de retard sur acomptes"/>
    <n v="0"/>
    <n v="226.25"/>
    <n v="4211"/>
  </r>
  <r>
    <x v="2"/>
    <x v="2"/>
    <x v="2"/>
    <x v="216"/>
    <x v="182"/>
    <x v="182"/>
    <s v="REVENUS"/>
    <x v="6"/>
    <s v="4211.001"/>
    <s v="Intérêts de retard sur factures"/>
    <n v="0"/>
    <n v="71.92"/>
    <n v="4211"/>
  </r>
  <r>
    <x v="2"/>
    <x v="2"/>
    <x v="2"/>
    <x v="216"/>
    <x v="182"/>
    <x v="182"/>
    <s v="REVENUS"/>
    <x v="14"/>
    <s v="4003.000"/>
    <s v="Impôt à la source"/>
    <n v="0"/>
    <n v="29942.53"/>
    <n v="4003"/>
  </r>
  <r>
    <x v="2"/>
    <x v="2"/>
    <x v="2"/>
    <x v="216"/>
    <x v="182"/>
    <x v="182"/>
    <s v="REVENUS"/>
    <x v="14"/>
    <s v="4003.010"/>
    <s v="IS - Employés et sourciers étrangers"/>
    <n v="0"/>
    <n v="193.17"/>
    <n v="4003"/>
  </r>
  <r>
    <x v="2"/>
    <x v="2"/>
    <x v="2"/>
    <x v="216"/>
    <x v="182"/>
    <x v="182"/>
    <s v="REVENUS"/>
    <x v="7"/>
    <s v="4184.000"/>
    <s v="Frais de poursuite"/>
    <n v="0"/>
    <n v="-0.02"/>
    <n v="4184"/>
  </r>
  <r>
    <x v="2"/>
    <x v="2"/>
    <x v="2"/>
    <x v="216"/>
    <x v="182"/>
    <x v="182"/>
    <s v="REVENUS"/>
    <x v="2"/>
    <s v="4001.005"/>
    <s v="Amende de soustract. Impôt"/>
    <n v="0"/>
    <n v="167"/>
    <n v="4001"/>
  </r>
  <r>
    <x v="2"/>
    <x v="2"/>
    <x v="2"/>
    <x v="217"/>
    <x v="183"/>
    <x v="183"/>
    <s v="CHARGES"/>
    <x v="19"/>
    <s v="3186.002"/>
    <s v="Commission perception IS"/>
    <n v="49706.06"/>
    <n v="0"/>
    <n v="3186"/>
  </r>
  <r>
    <x v="2"/>
    <x v="2"/>
    <x v="2"/>
    <x v="217"/>
    <x v="183"/>
    <x v="183"/>
    <s v="CHARGES"/>
    <x v="1"/>
    <s v="3301.001"/>
    <s v="Défalcations, abandons de solde PP et IS"/>
    <n v="13.4"/>
    <n v="0"/>
    <n v="3301"/>
  </r>
  <r>
    <x v="2"/>
    <x v="2"/>
    <x v="2"/>
    <x v="217"/>
    <x v="183"/>
    <x v="183"/>
    <s v="REVENUS"/>
    <x v="2"/>
    <s v="4001.010"/>
    <s v="Impôt sourciers mixtes"/>
    <n v="0"/>
    <n v="396052.36"/>
    <n v="4001"/>
  </r>
  <r>
    <x v="2"/>
    <x v="2"/>
    <x v="2"/>
    <x v="217"/>
    <x v="183"/>
    <x v="183"/>
    <s v="REVENUS"/>
    <x v="14"/>
    <s v="4003.000"/>
    <s v="Impôt à la source"/>
    <n v="0"/>
    <n v="184128.86"/>
    <n v="4003"/>
  </r>
  <r>
    <x v="2"/>
    <x v="2"/>
    <x v="2"/>
    <x v="217"/>
    <x v="183"/>
    <x v="183"/>
    <s v="REVENUS"/>
    <x v="6"/>
    <s v="4211.001"/>
    <s v="Intérêts de retard sur factures"/>
    <n v="0"/>
    <n v="3315.3"/>
    <n v="4211"/>
  </r>
  <r>
    <x v="2"/>
    <x v="2"/>
    <x v="2"/>
    <x v="217"/>
    <x v="183"/>
    <x v="183"/>
    <s v="REVENUS"/>
    <x v="6"/>
    <s v="4211.002"/>
    <s v="Intérêts de retard sur acomptes"/>
    <n v="0"/>
    <n v="17156.39"/>
    <n v="4211"/>
  </r>
  <r>
    <x v="2"/>
    <x v="2"/>
    <x v="2"/>
    <x v="217"/>
    <x v="183"/>
    <x v="183"/>
    <s v="REVENUS"/>
    <x v="7"/>
    <s v="4184.000"/>
    <s v="Frais de poursuite"/>
    <n v="0"/>
    <n v="83.51"/>
    <n v="4184"/>
  </r>
  <r>
    <x v="2"/>
    <x v="2"/>
    <x v="2"/>
    <x v="217"/>
    <x v="183"/>
    <x v="183"/>
    <s v="REVENUS"/>
    <x v="2"/>
    <s v="4001.001"/>
    <s v="Impôt revenu"/>
    <n v="0"/>
    <n v="20729.25"/>
    <n v="4001"/>
  </r>
  <r>
    <x v="2"/>
    <x v="2"/>
    <x v="2"/>
    <x v="217"/>
    <x v="183"/>
    <x v="183"/>
    <s v="REVENUS"/>
    <x v="2"/>
    <s v="4001.002"/>
    <s v="Impôt complément s/revenu PP"/>
    <n v="0"/>
    <n v="3329.19"/>
    <n v="4001"/>
  </r>
  <r>
    <x v="2"/>
    <x v="2"/>
    <x v="2"/>
    <x v="218"/>
    <x v="184"/>
    <x v="184"/>
    <s v="CHARGES"/>
    <x v="19"/>
    <s v="3186.002"/>
    <s v="Commission perception IS"/>
    <n v="44014.62"/>
    <n v="0"/>
    <n v="3186"/>
  </r>
  <r>
    <x v="2"/>
    <x v="2"/>
    <x v="2"/>
    <x v="218"/>
    <x v="184"/>
    <x v="184"/>
    <s v="CHARGES"/>
    <x v="1"/>
    <s v="3301.001"/>
    <s v="Défalcations, abandons de solde PP et IS"/>
    <n v="752.86"/>
    <n v="0"/>
    <n v="3301"/>
  </r>
  <r>
    <x v="2"/>
    <x v="2"/>
    <x v="2"/>
    <x v="218"/>
    <x v="184"/>
    <x v="184"/>
    <s v="REVENUS"/>
    <x v="14"/>
    <s v="4003.000"/>
    <s v="Impôt à la source"/>
    <n v="0"/>
    <n v="351453.87"/>
    <n v="4003"/>
  </r>
  <r>
    <x v="2"/>
    <x v="2"/>
    <x v="2"/>
    <x v="218"/>
    <x v="184"/>
    <x v="184"/>
    <s v="REVENUS"/>
    <x v="2"/>
    <s v="4001.010"/>
    <s v="Impôt sourciers mixtes"/>
    <n v="0"/>
    <n v="400404.53"/>
    <n v="4001"/>
  </r>
  <r>
    <x v="2"/>
    <x v="2"/>
    <x v="2"/>
    <x v="218"/>
    <x v="184"/>
    <x v="184"/>
    <s v="REVENUS"/>
    <x v="6"/>
    <s v="4211.001"/>
    <s v="Intérêts de retard sur factures"/>
    <n v="0"/>
    <n v="7882.84"/>
    <n v="4211"/>
  </r>
  <r>
    <x v="2"/>
    <x v="2"/>
    <x v="2"/>
    <x v="218"/>
    <x v="184"/>
    <x v="184"/>
    <s v="REVENUS"/>
    <x v="6"/>
    <s v="4211.002"/>
    <s v="Intérêts de retard sur acomptes"/>
    <n v="0"/>
    <n v="19978.87"/>
    <n v="4211"/>
  </r>
  <r>
    <x v="2"/>
    <x v="2"/>
    <x v="2"/>
    <x v="218"/>
    <x v="184"/>
    <x v="184"/>
    <s v="REVENUS"/>
    <x v="7"/>
    <s v="4184.000"/>
    <s v="Frais de poursuite"/>
    <n v="0"/>
    <n v="126.84"/>
    <n v="4184"/>
  </r>
  <r>
    <x v="2"/>
    <x v="2"/>
    <x v="2"/>
    <x v="218"/>
    <x v="184"/>
    <x v="184"/>
    <s v="REVENUS"/>
    <x v="14"/>
    <s v="4003.060"/>
    <s v="IS - Administrateurs"/>
    <n v="0"/>
    <n v="6788.44"/>
    <n v="4003"/>
  </r>
  <r>
    <x v="2"/>
    <x v="2"/>
    <x v="2"/>
    <x v="218"/>
    <x v="184"/>
    <x v="184"/>
    <s v="REVENUS"/>
    <x v="14"/>
    <s v="4003.020"/>
    <s v="IS - Artistes - Conférenciers - Sportifs"/>
    <n v="0"/>
    <n v="559.77"/>
    <n v="4003"/>
  </r>
  <r>
    <x v="2"/>
    <x v="2"/>
    <x v="2"/>
    <x v="218"/>
    <x v="184"/>
    <x v="184"/>
    <s v="REVENUS"/>
    <x v="2"/>
    <s v="4001.001"/>
    <s v="Impôt revenu"/>
    <n v="0"/>
    <n v="17896.650000000001"/>
    <n v="4001"/>
  </r>
  <r>
    <x v="2"/>
    <x v="2"/>
    <x v="2"/>
    <x v="218"/>
    <x v="184"/>
    <x v="184"/>
    <s v="REVENUS"/>
    <x v="2"/>
    <s v="4001.002"/>
    <s v="Impôt complément s/revenu PP"/>
    <n v="0"/>
    <n v="107.51"/>
    <n v="4001"/>
  </r>
  <r>
    <x v="2"/>
    <x v="2"/>
    <x v="2"/>
    <x v="218"/>
    <x v="184"/>
    <x v="184"/>
    <s v="REVENUS"/>
    <x v="8"/>
    <s v="4091.001"/>
    <s v="Impôt récupéré après défalcations"/>
    <n v="0"/>
    <n v="133.72"/>
    <n v="4091"/>
  </r>
  <r>
    <x v="2"/>
    <x v="2"/>
    <x v="2"/>
    <x v="218"/>
    <x v="184"/>
    <x v="184"/>
    <s v="REVENUS"/>
    <x v="2"/>
    <s v="4001.005"/>
    <s v="Amende de soustract. Impôt"/>
    <n v="0"/>
    <n v="167"/>
    <n v="4001"/>
  </r>
  <r>
    <x v="2"/>
    <x v="2"/>
    <x v="2"/>
    <x v="219"/>
    <x v="185"/>
    <x v="185"/>
    <s v="CHARGES"/>
    <x v="19"/>
    <s v="3186.002"/>
    <s v="Commission perception IS"/>
    <n v="35843.5"/>
    <n v="0"/>
    <n v="3186"/>
  </r>
  <r>
    <x v="2"/>
    <x v="2"/>
    <x v="2"/>
    <x v="219"/>
    <x v="185"/>
    <x v="185"/>
    <s v="CHARGES"/>
    <x v="1"/>
    <s v="3301.001"/>
    <s v="Défalcations, abandons de solde PP et IS"/>
    <n v="-12452.39"/>
    <n v="0"/>
    <n v="3301"/>
  </r>
  <r>
    <x v="2"/>
    <x v="2"/>
    <x v="2"/>
    <x v="219"/>
    <x v="185"/>
    <x v="185"/>
    <s v="REVENUS"/>
    <x v="14"/>
    <s v="4003.000"/>
    <s v="Impôt à la source"/>
    <n v="0"/>
    <n v="187191.14"/>
    <n v="4003"/>
  </r>
  <r>
    <x v="2"/>
    <x v="2"/>
    <x v="2"/>
    <x v="219"/>
    <x v="185"/>
    <x v="185"/>
    <s v="REVENUS"/>
    <x v="2"/>
    <s v="4001.005"/>
    <s v="Amende de soustract. Impôt"/>
    <n v="0"/>
    <n v="0"/>
    <n v="4001"/>
  </r>
  <r>
    <x v="2"/>
    <x v="2"/>
    <x v="2"/>
    <x v="219"/>
    <x v="185"/>
    <x v="185"/>
    <s v="REVENUS"/>
    <x v="2"/>
    <s v="4001.010"/>
    <s v="Impôt sourciers mixtes"/>
    <n v="0"/>
    <n v="136421.26999999999"/>
    <n v="4001"/>
  </r>
  <r>
    <x v="2"/>
    <x v="2"/>
    <x v="2"/>
    <x v="219"/>
    <x v="185"/>
    <x v="185"/>
    <s v="REVENUS"/>
    <x v="6"/>
    <s v="4211.001"/>
    <s v="Intérêts de retard sur factures"/>
    <n v="0"/>
    <n v="4077.77"/>
    <n v="4211"/>
  </r>
  <r>
    <x v="2"/>
    <x v="2"/>
    <x v="2"/>
    <x v="219"/>
    <x v="185"/>
    <x v="185"/>
    <s v="REVENUS"/>
    <x v="6"/>
    <s v="4211.002"/>
    <s v="Intérêts de retard sur acomptes"/>
    <n v="0"/>
    <n v="9811.08"/>
    <n v="4211"/>
  </r>
  <r>
    <x v="2"/>
    <x v="2"/>
    <x v="2"/>
    <x v="219"/>
    <x v="185"/>
    <x v="185"/>
    <s v="REVENUS"/>
    <x v="14"/>
    <s v="4003.010"/>
    <s v="IS - Employés et sourciers étrangers"/>
    <n v="0"/>
    <n v="2124.02"/>
    <n v="4003"/>
  </r>
  <r>
    <x v="2"/>
    <x v="2"/>
    <x v="2"/>
    <x v="219"/>
    <x v="185"/>
    <x v="185"/>
    <s v="REVENUS"/>
    <x v="7"/>
    <s v="4184.000"/>
    <s v="Frais de poursuite"/>
    <n v="0"/>
    <n v="276.27999999999997"/>
    <n v="4184"/>
  </r>
  <r>
    <x v="2"/>
    <x v="2"/>
    <x v="2"/>
    <x v="219"/>
    <x v="185"/>
    <x v="185"/>
    <s v="REVENUS"/>
    <x v="2"/>
    <s v="4001.001"/>
    <s v="Impôt revenu"/>
    <n v="0"/>
    <n v="3180.89"/>
    <n v="4001"/>
  </r>
  <r>
    <x v="2"/>
    <x v="2"/>
    <x v="2"/>
    <x v="219"/>
    <x v="185"/>
    <x v="185"/>
    <s v="REVENUS"/>
    <x v="14"/>
    <s v="4003.020"/>
    <s v="IS - Artistes - Conférenciers - Sportifs"/>
    <n v="0"/>
    <n v="15649.9"/>
    <n v="4003"/>
  </r>
  <r>
    <x v="2"/>
    <x v="2"/>
    <x v="2"/>
    <x v="220"/>
    <x v="186"/>
    <x v="186"/>
    <s v="CHARGES"/>
    <x v="19"/>
    <s v="3186.002"/>
    <s v="Commission perception IS"/>
    <n v="2719.19"/>
    <n v="0"/>
    <n v="3186"/>
  </r>
  <r>
    <x v="2"/>
    <x v="2"/>
    <x v="2"/>
    <x v="220"/>
    <x v="186"/>
    <x v="186"/>
    <s v="CHARGES"/>
    <x v="1"/>
    <s v="3301.001"/>
    <s v="Défalcations, abandons de solde PP et IS"/>
    <n v="1662.07"/>
    <n v="0"/>
    <n v="3301"/>
  </r>
  <r>
    <x v="2"/>
    <x v="2"/>
    <x v="2"/>
    <x v="220"/>
    <x v="186"/>
    <x v="186"/>
    <s v="REVENUS"/>
    <x v="2"/>
    <s v="4001.010"/>
    <s v="Impôt sourciers mixtes"/>
    <n v="0"/>
    <n v="-205884.79"/>
    <n v="4001"/>
  </r>
  <r>
    <x v="2"/>
    <x v="2"/>
    <x v="2"/>
    <x v="220"/>
    <x v="186"/>
    <x v="186"/>
    <s v="REVENUS"/>
    <x v="14"/>
    <s v="4003.000"/>
    <s v="Impôt à la source"/>
    <n v="0"/>
    <n v="64775.45"/>
    <n v="4003"/>
  </r>
  <r>
    <x v="2"/>
    <x v="2"/>
    <x v="2"/>
    <x v="220"/>
    <x v="186"/>
    <x v="186"/>
    <s v="REVENUS"/>
    <x v="6"/>
    <s v="4211.001"/>
    <s v="Intérêts de retard sur factures"/>
    <n v="0"/>
    <n v="662.41"/>
    <n v="4211"/>
  </r>
  <r>
    <x v="2"/>
    <x v="2"/>
    <x v="2"/>
    <x v="220"/>
    <x v="186"/>
    <x v="186"/>
    <s v="REVENUS"/>
    <x v="6"/>
    <s v="4211.002"/>
    <s v="Intérêts de retard sur acomptes"/>
    <n v="0"/>
    <n v="668.36"/>
    <n v="4211"/>
  </r>
  <r>
    <x v="2"/>
    <x v="2"/>
    <x v="2"/>
    <x v="220"/>
    <x v="186"/>
    <x v="186"/>
    <s v="REVENUS"/>
    <x v="2"/>
    <s v="4001.001"/>
    <s v="Impôt revenu"/>
    <n v="0"/>
    <n v="4977.88"/>
    <n v="4001"/>
  </r>
  <r>
    <x v="2"/>
    <x v="2"/>
    <x v="2"/>
    <x v="220"/>
    <x v="186"/>
    <x v="186"/>
    <s v="REVENUS"/>
    <x v="7"/>
    <s v="4184.000"/>
    <s v="Frais de poursuite"/>
    <n v="0"/>
    <n v="27.1"/>
    <n v="4184"/>
  </r>
  <r>
    <x v="2"/>
    <x v="2"/>
    <x v="2"/>
    <x v="220"/>
    <x v="186"/>
    <x v="186"/>
    <s v="REVENUS"/>
    <x v="14"/>
    <s v="4003.010"/>
    <s v="IS - Employés et sourciers étrangers"/>
    <n v="0"/>
    <n v="233.05"/>
    <n v="4003"/>
  </r>
  <r>
    <x v="2"/>
    <x v="2"/>
    <x v="2"/>
    <x v="220"/>
    <x v="186"/>
    <x v="186"/>
    <s v="REVENUS"/>
    <x v="2"/>
    <s v="4001.005"/>
    <s v="Amende de soustract. Impôt"/>
    <n v="0"/>
    <n v="233"/>
    <n v="4001"/>
  </r>
  <r>
    <x v="2"/>
    <x v="2"/>
    <x v="2"/>
    <x v="221"/>
    <x v="187"/>
    <x v="187"/>
    <s v="CHARGES"/>
    <x v="19"/>
    <s v="3186.002"/>
    <s v="Commission perception IS"/>
    <n v="4215.2"/>
    <n v="0"/>
    <n v="3186"/>
  </r>
  <r>
    <x v="2"/>
    <x v="2"/>
    <x v="2"/>
    <x v="221"/>
    <x v="187"/>
    <x v="187"/>
    <s v="CHARGES"/>
    <x v="1"/>
    <s v="3301.001"/>
    <s v="Défalcations, abandons de solde PP et IS"/>
    <n v="13177.16"/>
    <n v="0"/>
    <n v="3301"/>
  </r>
  <r>
    <x v="2"/>
    <x v="2"/>
    <x v="2"/>
    <x v="221"/>
    <x v="187"/>
    <x v="187"/>
    <s v="REVENUS"/>
    <x v="14"/>
    <s v="4003.000"/>
    <s v="Impôt à la source"/>
    <n v="0"/>
    <n v="109682.62"/>
    <n v="4003"/>
  </r>
  <r>
    <x v="2"/>
    <x v="2"/>
    <x v="2"/>
    <x v="221"/>
    <x v="187"/>
    <x v="187"/>
    <s v="REVENUS"/>
    <x v="2"/>
    <s v="4001.010"/>
    <s v="Impôt sourciers mixtes"/>
    <n v="0"/>
    <n v="-11946.18"/>
    <n v="4001"/>
  </r>
  <r>
    <x v="2"/>
    <x v="2"/>
    <x v="2"/>
    <x v="221"/>
    <x v="187"/>
    <x v="187"/>
    <s v="REVENUS"/>
    <x v="6"/>
    <s v="4211.001"/>
    <s v="Intérêts de retard sur factures"/>
    <n v="0"/>
    <n v="199.1"/>
    <n v="4211"/>
  </r>
  <r>
    <x v="2"/>
    <x v="2"/>
    <x v="2"/>
    <x v="221"/>
    <x v="187"/>
    <x v="187"/>
    <s v="REVENUS"/>
    <x v="7"/>
    <s v="4184.000"/>
    <s v="Frais de poursuite"/>
    <n v="0"/>
    <n v="12.69"/>
    <n v="4184"/>
  </r>
  <r>
    <x v="2"/>
    <x v="2"/>
    <x v="2"/>
    <x v="221"/>
    <x v="187"/>
    <x v="187"/>
    <s v="REVENUS"/>
    <x v="6"/>
    <s v="4211.002"/>
    <s v="Intérêts de retard sur acomptes"/>
    <n v="0"/>
    <n v="693.79"/>
    <n v="4211"/>
  </r>
  <r>
    <x v="2"/>
    <x v="2"/>
    <x v="2"/>
    <x v="221"/>
    <x v="187"/>
    <x v="187"/>
    <s v="REVENUS"/>
    <x v="14"/>
    <s v="4003.010"/>
    <s v="IS - Employés et sourciers étrangers"/>
    <n v="0"/>
    <n v="1374.7"/>
    <n v="4003"/>
  </r>
  <r>
    <x v="2"/>
    <x v="2"/>
    <x v="2"/>
    <x v="221"/>
    <x v="187"/>
    <x v="187"/>
    <s v="REVENUS"/>
    <x v="8"/>
    <s v="4091.001"/>
    <s v="Impôt récupéré après défalcations"/>
    <n v="0"/>
    <n v="13165.47"/>
    <n v="4091"/>
  </r>
  <r>
    <x v="2"/>
    <x v="2"/>
    <x v="2"/>
    <x v="221"/>
    <x v="187"/>
    <x v="187"/>
    <s v="REVENUS"/>
    <x v="2"/>
    <s v="4001.001"/>
    <s v="Impôt revenu"/>
    <n v="0"/>
    <n v="9581.35"/>
    <n v="4001"/>
  </r>
  <r>
    <x v="2"/>
    <x v="2"/>
    <x v="2"/>
    <x v="221"/>
    <x v="187"/>
    <x v="187"/>
    <s v="REVENUS"/>
    <x v="14"/>
    <s v="4003.070"/>
    <s v="IS - Loi travail au noir"/>
    <n v="0"/>
    <n v="88.23"/>
    <n v="4003"/>
  </r>
  <r>
    <x v="2"/>
    <x v="2"/>
    <x v="2"/>
    <x v="222"/>
    <x v="188"/>
    <x v="188"/>
    <s v="CHARGES"/>
    <x v="19"/>
    <s v="3186.002"/>
    <s v="Commission perception IS"/>
    <n v="21633.16"/>
    <n v="0"/>
    <n v="3186"/>
  </r>
  <r>
    <x v="2"/>
    <x v="2"/>
    <x v="2"/>
    <x v="222"/>
    <x v="188"/>
    <x v="188"/>
    <s v="CHARGES"/>
    <x v="1"/>
    <s v="3301.001"/>
    <s v="Défalcations, abandons de solde PP et IS"/>
    <n v="118.62"/>
    <n v="0"/>
    <n v="3301"/>
  </r>
  <r>
    <x v="2"/>
    <x v="2"/>
    <x v="2"/>
    <x v="222"/>
    <x v="188"/>
    <x v="188"/>
    <s v="REVENUS"/>
    <x v="2"/>
    <s v="4001.010"/>
    <s v="Impôt sourciers mixtes"/>
    <n v="0"/>
    <n v="69980.41"/>
    <n v="4001"/>
  </r>
  <r>
    <x v="2"/>
    <x v="2"/>
    <x v="2"/>
    <x v="222"/>
    <x v="188"/>
    <x v="188"/>
    <s v="REVENUS"/>
    <x v="2"/>
    <s v="4001.001"/>
    <s v="Impôt revenu"/>
    <n v="0"/>
    <n v="42070.09"/>
    <n v="4001"/>
  </r>
  <r>
    <x v="2"/>
    <x v="2"/>
    <x v="2"/>
    <x v="222"/>
    <x v="188"/>
    <x v="188"/>
    <s v="REVENUS"/>
    <x v="14"/>
    <s v="4003.000"/>
    <s v="Impôt à la source"/>
    <n v="0"/>
    <n v="179425.62"/>
    <n v="4003"/>
  </r>
  <r>
    <x v="2"/>
    <x v="2"/>
    <x v="2"/>
    <x v="222"/>
    <x v="188"/>
    <x v="188"/>
    <s v="REVENUS"/>
    <x v="6"/>
    <s v="4211.001"/>
    <s v="Intérêts de retard sur factures"/>
    <n v="0"/>
    <n v="2713.12"/>
    <n v="4211"/>
  </r>
  <r>
    <x v="2"/>
    <x v="2"/>
    <x v="2"/>
    <x v="222"/>
    <x v="188"/>
    <x v="188"/>
    <s v="REVENUS"/>
    <x v="6"/>
    <s v="4211.002"/>
    <s v="Intérêts de retard sur acomptes"/>
    <n v="0"/>
    <n v="3224.08"/>
    <n v="4211"/>
  </r>
  <r>
    <x v="2"/>
    <x v="2"/>
    <x v="2"/>
    <x v="222"/>
    <x v="188"/>
    <x v="188"/>
    <s v="REVENUS"/>
    <x v="14"/>
    <s v="4003.060"/>
    <s v="IS - Administrateurs"/>
    <n v="0"/>
    <n v="14205.51"/>
    <n v="4003"/>
  </r>
  <r>
    <x v="2"/>
    <x v="2"/>
    <x v="2"/>
    <x v="222"/>
    <x v="188"/>
    <x v="188"/>
    <s v="REVENUS"/>
    <x v="7"/>
    <s v="4184.000"/>
    <s v="Frais de poursuite"/>
    <n v="0"/>
    <n v="74.61"/>
    <n v="4184"/>
  </r>
  <r>
    <x v="2"/>
    <x v="2"/>
    <x v="2"/>
    <x v="222"/>
    <x v="188"/>
    <x v="188"/>
    <s v="REVENUS"/>
    <x v="14"/>
    <s v="4003.080"/>
    <s v="IS - Participations Hors Suisse"/>
    <n v="0"/>
    <n v="893117.86"/>
    <n v="4003"/>
  </r>
  <r>
    <x v="2"/>
    <x v="2"/>
    <x v="2"/>
    <x v="222"/>
    <x v="188"/>
    <x v="188"/>
    <s v="REVENUS"/>
    <x v="14"/>
    <s v="4003.010"/>
    <s v="IS - Employés et sourciers étrangers"/>
    <n v="0"/>
    <n v="3579.5"/>
    <n v="4003"/>
  </r>
  <r>
    <x v="2"/>
    <x v="2"/>
    <x v="2"/>
    <x v="222"/>
    <x v="188"/>
    <x v="188"/>
    <s v="REVENUS"/>
    <x v="8"/>
    <s v="4091.001"/>
    <s v="Impôt récupéré après défalcations"/>
    <n v="0"/>
    <n v="106.3"/>
    <n v="4091"/>
  </r>
  <r>
    <x v="2"/>
    <x v="2"/>
    <x v="2"/>
    <x v="222"/>
    <x v="188"/>
    <x v="188"/>
    <s v="REVENUS"/>
    <x v="2"/>
    <s v="4001.002"/>
    <s v="Impôt complément s/revenu PP"/>
    <n v="0"/>
    <n v="1040.1400000000001"/>
    <n v="4001"/>
  </r>
  <r>
    <x v="2"/>
    <x v="2"/>
    <x v="2"/>
    <x v="223"/>
    <x v="189"/>
    <x v="189"/>
    <s v="CHARGES"/>
    <x v="19"/>
    <s v="3186.002"/>
    <s v="Commission perception IS"/>
    <n v="37328.699999999997"/>
    <n v="0"/>
    <n v="3186"/>
  </r>
  <r>
    <x v="2"/>
    <x v="2"/>
    <x v="2"/>
    <x v="223"/>
    <x v="189"/>
    <x v="189"/>
    <s v="CHARGES"/>
    <x v="1"/>
    <s v="3301.001"/>
    <s v="Défalcations, abandons de solde PP et IS"/>
    <n v="2125.63"/>
    <n v="0"/>
    <n v="3301"/>
  </r>
  <r>
    <x v="2"/>
    <x v="2"/>
    <x v="2"/>
    <x v="223"/>
    <x v="189"/>
    <x v="189"/>
    <s v="REVENUS"/>
    <x v="2"/>
    <s v="4001.010"/>
    <s v="Impôt sourciers mixtes"/>
    <n v="0"/>
    <n v="-10985.84"/>
    <n v="4001"/>
  </r>
  <r>
    <x v="2"/>
    <x v="2"/>
    <x v="2"/>
    <x v="223"/>
    <x v="189"/>
    <x v="189"/>
    <s v="REVENUS"/>
    <x v="14"/>
    <s v="4003.000"/>
    <s v="Impôt à la source"/>
    <n v="0"/>
    <n v="-297202.17"/>
    <n v="4003"/>
  </r>
  <r>
    <x v="2"/>
    <x v="2"/>
    <x v="2"/>
    <x v="223"/>
    <x v="189"/>
    <x v="189"/>
    <s v="REVENUS"/>
    <x v="6"/>
    <s v="4211.001"/>
    <s v="Intérêts de retard sur factures"/>
    <n v="0"/>
    <n v="7959.94"/>
    <n v="4211"/>
  </r>
  <r>
    <x v="2"/>
    <x v="2"/>
    <x v="2"/>
    <x v="223"/>
    <x v="189"/>
    <x v="189"/>
    <s v="REVENUS"/>
    <x v="6"/>
    <s v="4211.002"/>
    <s v="Intérêts de retard sur acomptes"/>
    <n v="0"/>
    <n v="15857.31"/>
    <n v="4211"/>
  </r>
  <r>
    <x v="2"/>
    <x v="2"/>
    <x v="2"/>
    <x v="223"/>
    <x v="189"/>
    <x v="189"/>
    <s v="REVENUS"/>
    <x v="14"/>
    <s v="4003.010"/>
    <s v="IS - Employés et sourciers étrangers"/>
    <n v="0"/>
    <n v="9533.19"/>
    <n v="4003"/>
  </r>
  <r>
    <x v="2"/>
    <x v="2"/>
    <x v="2"/>
    <x v="223"/>
    <x v="189"/>
    <x v="189"/>
    <s v="REVENUS"/>
    <x v="7"/>
    <s v="4184.000"/>
    <s v="Frais de poursuite"/>
    <n v="0"/>
    <n v="68.83"/>
    <n v="4184"/>
  </r>
  <r>
    <x v="2"/>
    <x v="2"/>
    <x v="2"/>
    <x v="223"/>
    <x v="189"/>
    <x v="189"/>
    <s v="REVENUS"/>
    <x v="2"/>
    <s v="4001.001"/>
    <s v="Impôt revenu"/>
    <n v="0"/>
    <n v="10872.2"/>
    <n v="4001"/>
  </r>
  <r>
    <x v="2"/>
    <x v="2"/>
    <x v="2"/>
    <x v="223"/>
    <x v="189"/>
    <x v="189"/>
    <s v="REVENUS"/>
    <x v="14"/>
    <s v="4003.070"/>
    <s v="IS - Loi travail au noir"/>
    <n v="0"/>
    <n v="1.66"/>
    <n v="4003"/>
  </r>
  <r>
    <x v="2"/>
    <x v="2"/>
    <x v="2"/>
    <x v="223"/>
    <x v="189"/>
    <x v="189"/>
    <s v="REVENUS"/>
    <x v="2"/>
    <s v="4001.005"/>
    <s v="Amende de soustract. Impôt"/>
    <n v="0"/>
    <n v="83"/>
    <n v="4001"/>
  </r>
  <r>
    <x v="2"/>
    <x v="2"/>
    <x v="2"/>
    <x v="223"/>
    <x v="189"/>
    <x v="189"/>
    <s v="REVENUS"/>
    <x v="8"/>
    <s v="4091.001"/>
    <s v="Impôt récupéré après défalcations"/>
    <n v="0"/>
    <n v="9846.5400000000009"/>
    <n v="4091"/>
  </r>
  <r>
    <x v="2"/>
    <x v="2"/>
    <x v="2"/>
    <x v="224"/>
    <x v="190"/>
    <x v="190"/>
    <s v="CHARGES"/>
    <x v="19"/>
    <s v="3186.002"/>
    <s v="Commission perception IS"/>
    <n v="11181.1"/>
    <n v="0"/>
    <n v="3186"/>
  </r>
  <r>
    <x v="2"/>
    <x v="2"/>
    <x v="2"/>
    <x v="224"/>
    <x v="190"/>
    <x v="190"/>
    <s v="CHARGES"/>
    <x v="1"/>
    <s v="3301.001"/>
    <s v="Défalcations, abandons de solde PP et IS"/>
    <n v="421.42"/>
    <n v="0"/>
    <n v="3301"/>
  </r>
  <r>
    <x v="2"/>
    <x v="2"/>
    <x v="2"/>
    <x v="224"/>
    <x v="190"/>
    <x v="190"/>
    <s v="REVENUS"/>
    <x v="2"/>
    <s v="4001.010"/>
    <s v="Impôt sourciers mixtes"/>
    <n v="0"/>
    <n v="3583.63"/>
    <n v="4001"/>
  </r>
  <r>
    <x v="2"/>
    <x v="2"/>
    <x v="2"/>
    <x v="224"/>
    <x v="190"/>
    <x v="190"/>
    <s v="REVENUS"/>
    <x v="14"/>
    <s v="4003.000"/>
    <s v="Impôt à la source"/>
    <n v="0"/>
    <n v="168504.04"/>
    <n v="4003"/>
  </r>
  <r>
    <x v="2"/>
    <x v="2"/>
    <x v="2"/>
    <x v="224"/>
    <x v="190"/>
    <x v="190"/>
    <s v="REVENUS"/>
    <x v="6"/>
    <s v="4211.001"/>
    <s v="Intérêts de retard sur factures"/>
    <n v="0"/>
    <n v="2354.6799999999998"/>
    <n v="4211"/>
  </r>
  <r>
    <x v="2"/>
    <x v="2"/>
    <x v="2"/>
    <x v="224"/>
    <x v="190"/>
    <x v="190"/>
    <s v="REVENUS"/>
    <x v="6"/>
    <s v="4211.002"/>
    <s v="Intérêts de retard sur acomptes"/>
    <n v="0"/>
    <n v="6313.38"/>
    <n v="4211"/>
  </r>
  <r>
    <x v="2"/>
    <x v="2"/>
    <x v="2"/>
    <x v="224"/>
    <x v="190"/>
    <x v="190"/>
    <s v="REVENUS"/>
    <x v="2"/>
    <s v="4001.001"/>
    <s v="Impôt revenu"/>
    <n v="0"/>
    <n v="41276.550000000003"/>
    <n v="4001"/>
  </r>
  <r>
    <x v="2"/>
    <x v="2"/>
    <x v="2"/>
    <x v="224"/>
    <x v="190"/>
    <x v="190"/>
    <s v="REVENUS"/>
    <x v="7"/>
    <s v="4184.000"/>
    <s v="Frais de poursuite"/>
    <n v="0"/>
    <n v="30.77"/>
    <n v="4184"/>
  </r>
  <r>
    <x v="2"/>
    <x v="2"/>
    <x v="2"/>
    <x v="224"/>
    <x v="190"/>
    <x v="190"/>
    <s v="REVENUS"/>
    <x v="14"/>
    <s v="4003.030"/>
    <s v="IS - Prestations en capital / Prévoyance"/>
    <n v="0"/>
    <n v="14496.18"/>
    <n v="4003"/>
  </r>
  <r>
    <x v="2"/>
    <x v="2"/>
    <x v="2"/>
    <x v="224"/>
    <x v="190"/>
    <x v="190"/>
    <s v="REVENUS"/>
    <x v="14"/>
    <s v="4003.070"/>
    <s v="IS - Loi travail au noir"/>
    <n v="0"/>
    <n v="0.99"/>
    <n v="4003"/>
  </r>
  <r>
    <x v="2"/>
    <x v="2"/>
    <x v="2"/>
    <x v="224"/>
    <x v="190"/>
    <x v="190"/>
    <s v="REVENUS"/>
    <x v="8"/>
    <s v="4091.003"/>
    <s v="Impôt récupéré concordat"/>
    <n v="0"/>
    <n v="230.24"/>
    <n v="4091"/>
  </r>
  <r>
    <x v="2"/>
    <x v="2"/>
    <x v="2"/>
    <x v="224"/>
    <x v="190"/>
    <x v="190"/>
    <s v="REVENUS"/>
    <x v="2"/>
    <s v="4001.005"/>
    <s v="Amende de soustract. Impôt"/>
    <n v="0"/>
    <n v="67"/>
    <n v="4001"/>
  </r>
  <r>
    <x v="2"/>
    <x v="2"/>
    <x v="2"/>
    <x v="225"/>
    <x v="191"/>
    <x v="191"/>
    <s v="CHARGES"/>
    <x v="19"/>
    <s v="3186.002"/>
    <s v="Commission perception IS"/>
    <n v="6365.52"/>
    <n v="0"/>
    <n v="3186"/>
  </r>
  <r>
    <x v="2"/>
    <x v="2"/>
    <x v="2"/>
    <x v="225"/>
    <x v="191"/>
    <x v="191"/>
    <s v="CHARGES"/>
    <x v="1"/>
    <s v="3301.001"/>
    <s v="Défalcations, abandons de solde PP et IS"/>
    <n v="0.43"/>
    <n v="0"/>
    <n v="3301"/>
  </r>
  <r>
    <x v="2"/>
    <x v="2"/>
    <x v="2"/>
    <x v="225"/>
    <x v="191"/>
    <x v="191"/>
    <s v="REVENUS"/>
    <x v="2"/>
    <s v="4001.010"/>
    <s v="Impôt sourciers mixtes"/>
    <n v="0"/>
    <n v="-67938.97"/>
    <n v="4001"/>
  </r>
  <r>
    <x v="2"/>
    <x v="2"/>
    <x v="2"/>
    <x v="225"/>
    <x v="191"/>
    <x v="191"/>
    <s v="REVENUS"/>
    <x v="14"/>
    <s v="4003.000"/>
    <s v="Impôt à la source"/>
    <n v="0"/>
    <n v="49408.41"/>
    <n v="4003"/>
  </r>
  <r>
    <x v="2"/>
    <x v="2"/>
    <x v="2"/>
    <x v="225"/>
    <x v="191"/>
    <x v="191"/>
    <s v="REVENUS"/>
    <x v="6"/>
    <s v="4211.001"/>
    <s v="Intérêts de retard sur factures"/>
    <n v="0"/>
    <n v="671.54"/>
    <n v="4211"/>
  </r>
  <r>
    <x v="2"/>
    <x v="2"/>
    <x v="2"/>
    <x v="225"/>
    <x v="191"/>
    <x v="191"/>
    <s v="REVENUS"/>
    <x v="6"/>
    <s v="4211.002"/>
    <s v="Intérêts de retard sur acomptes"/>
    <n v="0"/>
    <n v="3252.14"/>
    <n v="4211"/>
  </r>
  <r>
    <x v="2"/>
    <x v="2"/>
    <x v="2"/>
    <x v="225"/>
    <x v="191"/>
    <x v="191"/>
    <s v="REVENUS"/>
    <x v="7"/>
    <s v="4184.000"/>
    <s v="Frais de poursuite"/>
    <n v="0"/>
    <n v="11"/>
    <n v="4184"/>
  </r>
  <r>
    <x v="2"/>
    <x v="2"/>
    <x v="2"/>
    <x v="225"/>
    <x v="191"/>
    <x v="191"/>
    <s v="REVENUS"/>
    <x v="2"/>
    <s v="4001.001"/>
    <s v="Impôt revenu"/>
    <n v="0"/>
    <n v="4256.45"/>
    <n v="4001"/>
  </r>
  <r>
    <x v="2"/>
    <x v="2"/>
    <x v="2"/>
    <x v="226"/>
    <x v="192"/>
    <x v="192"/>
    <s v="CHARGES"/>
    <x v="19"/>
    <s v="3186.002"/>
    <s v="Commission perception IS"/>
    <n v="5732.49"/>
    <n v="0"/>
    <n v="3186"/>
  </r>
  <r>
    <x v="2"/>
    <x v="2"/>
    <x v="2"/>
    <x v="226"/>
    <x v="192"/>
    <x v="192"/>
    <s v="CHARGES"/>
    <x v="1"/>
    <s v="3301.001"/>
    <s v="Défalcations, abandons de solde PP et IS"/>
    <n v="0.42"/>
    <n v="0"/>
    <n v="3301"/>
  </r>
  <r>
    <x v="2"/>
    <x v="2"/>
    <x v="2"/>
    <x v="226"/>
    <x v="192"/>
    <x v="192"/>
    <s v="REVENUS"/>
    <x v="14"/>
    <s v="4003.000"/>
    <s v="Impôt à la source"/>
    <n v="0"/>
    <n v="33188.910000000003"/>
    <n v="4003"/>
  </r>
  <r>
    <x v="2"/>
    <x v="2"/>
    <x v="2"/>
    <x v="226"/>
    <x v="192"/>
    <x v="192"/>
    <s v="REVENUS"/>
    <x v="2"/>
    <s v="4001.010"/>
    <s v="Impôt sourciers mixtes"/>
    <n v="0"/>
    <n v="-305806.53000000003"/>
    <n v="4001"/>
  </r>
  <r>
    <x v="2"/>
    <x v="2"/>
    <x v="2"/>
    <x v="226"/>
    <x v="192"/>
    <x v="192"/>
    <s v="REVENUS"/>
    <x v="7"/>
    <s v="4184.000"/>
    <s v="Frais de poursuite"/>
    <n v="0"/>
    <n v="9.93"/>
    <n v="4184"/>
  </r>
  <r>
    <x v="2"/>
    <x v="2"/>
    <x v="2"/>
    <x v="226"/>
    <x v="192"/>
    <x v="192"/>
    <s v="REVENUS"/>
    <x v="6"/>
    <s v="4211.001"/>
    <s v="Intérêts de retard sur factures"/>
    <n v="0"/>
    <n v="411.39"/>
    <n v="4211"/>
  </r>
  <r>
    <x v="2"/>
    <x v="2"/>
    <x v="2"/>
    <x v="226"/>
    <x v="192"/>
    <x v="192"/>
    <s v="REVENUS"/>
    <x v="6"/>
    <s v="4211.002"/>
    <s v="Intérêts de retard sur acomptes"/>
    <n v="0"/>
    <n v="589.38"/>
    <n v="4211"/>
  </r>
  <r>
    <x v="2"/>
    <x v="2"/>
    <x v="2"/>
    <x v="226"/>
    <x v="192"/>
    <x v="192"/>
    <s v="REVENUS"/>
    <x v="2"/>
    <s v="4001.001"/>
    <s v="Impôt revenu"/>
    <n v="0"/>
    <n v="-4495.28"/>
    <n v="4001"/>
  </r>
  <r>
    <x v="2"/>
    <x v="2"/>
    <x v="2"/>
    <x v="226"/>
    <x v="192"/>
    <x v="192"/>
    <s v="REVENUS"/>
    <x v="14"/>
    <s v="4003.010"/>
    <s v="IS - Employés et sourciers étrangers"/>
    <n v="0"/>
    <n v="607.25"/>
    <n v="4003"/>
  </r>
  <r>
    <x v="2"/>
    <x v="2"/>
    <x v="2"/>
    <x v="226"/>
    <x v="192"/>
    <x v="192"/>
    <s v="REVENUS"/>
    <x v="2"/>
    <s v="4001.002"/>
    <s v="Impôt complément s/revenu PP"/>
    <n v="0"/>
    <n v="-4022.32"/>
    <n v="4001"/>
  </r>
  <r>
    <x v="2"/>
    <x v="2"/>
    <x v="2"/>
    <x v="226"/>
    <x v="192"/>
    <x v="192"/>
    <s v="REVENUS"/>
    <x v="14"/>
    <s v="4003.060"/>
    <s v="IS - Administrateurs"/>
    <n v="0"/>
    <n v="2854.04"/>
    <n v="4003"/>
  </r>
  <r>
    <x v="2"/>
    <x v="2"/>
    <x v="2"/>
    <x v="227"/>
    <x v="193"/>
    <x v="193"/>
    <s v="CHARGES"/>
    <x v="19"/>
    <s v="3186.002"/>
    <s v="Commission perception IS"/>
    <n v="59001.77"/>
    <n v="0"/>
    <n v="3186"/>
  </r>
  <r>
    <x v="2"/>
    <x v="2"/>
    <x v="2"/>
    <x v="227"/>
    <x v="193"/>
    <x v="193"/>
    <s v="CHARGES"/>
    <x v="1"/>
    <s v="3301.001"/>
    <s v="Défalcations, abandons de solde PP et IS"/>
    <n v="40242.730000000003"/>
    <n v="0"/>
    <n v="3301"/>
  </r>
  <r>
    <x v="2"/>
    <x v="2"/>
    <x v="2"/>
    <x v="227"/>
    <x v="193"/>
    <x v="193"/>
    <s v="REVENUS"/>
    <x v="2"/>
    <s v="4001.010"/>
    <s v="Impôt sourciers mixtes"/>
    <n v="0"/>
    <n v="-101248.64"/>
    <n v="4001"/>
  </r>
  <r>
    <x v="2"/>
    <x v="2"/>
    <x v="2"/>
    <x v="227"/>
    <x v="193"/>
    <x v="193"/>
    <s v="REVENUS"/>
    <x v="14"/>
    <s v="4003.000"/>
    <s v="Impôt à la source"/>
    <n v="0"/>
    <n v="922653.87"/>
    <n v="4003"/>
  </r>
  <r>
    <x v="2"/>
    <x v="2"/>
    <x v="2"/>
    <x v="227"/>
    <x v="193"/>
    <x v="193"/>
    <s v="REVENUS"/>
    <x v="6"/>
    <s v="4211.001"/>
    <s v="Intérêts de retard sur factures"/>
    <n v="0"/>
    <n v="6581.84"/>
    <n v="4211"/>
  </r>
  <r>
    <x v="2"/>
    <x v="2"/>
    <x v="2"/>
    <x v="227"/>
    <x v="193"/>
    <x v="193"/>
    <s v="REVENUS"/>
    <x v="6"/>
    <s v="4211.002"/>
    <s v="Intérêts de retard sur acomptes"/>
    <n v="0"/>
    <n v="20503.77"/>
    <n v="4211"/>
  </r>
  <r>
    <x v="2"/>
    <x v="2"/>
    <x v="2"/>
    <x v="227"/>
    <x v="193"/>
    <x v="193"/>
    <s v="REVENUS"/>
    <x v="2"/>
    <s v="4001.001"/>
    <s v="Impôt revenu"/>
    <n v="0"/>
    <n v="174125.53"/>
    <n v="4001"/>
  </r>
  <r>
    <x v="2"/>
    <x v="2"/>
    <x v="2"/>
    <x v="227"/>
    <x v="193"/>
    <x v="193"/>
    <s v="REVENUS"/>
    <x v="7"/>
    <s v="4184.000"/>
    <s v="Frais de poursuite"/>
    <n v="0"/>
    <n v="967.26"/>
    <n v="4184"/>
  </r>
  <r>
    <x v="2"/>
    <x v="2"/>
    <x v="2"/>
    <x v="227"/>
    <x v="193"/>
    <x v="193"/>
    <s v="REVENUS"/>
    <x v="14"/>
    <s v="4003.020"/>
    <s v="IS - Artistes - Conférenciers - Sportifs"/>
    <n v="0"/>
    <n v="3049.76"/>
    <n v="4003"/>
  </r>
  <r>
    <x v="2"/>
    <x v="2"/>
    <x v="2"/>
    <x v="227"/>
    <x v="193"/>
    <x v="193"/>
    <s v="REVENUS"/>
    <x v="2"/>
    <s v="4001.005"/>
    <s v="Amende de soustract. Impôt"/>
    <n v="0"/>
    <n v="2048"/>
    <n v="4001"/>
  </r>
  <r>
    <x v="2"/>
    <x v="2"/>
    <x v="2"/>
    <x v="227"/>
    <x v="193"/>
    <x v="193"/>
    <s v="REVENUS"/>
    <x v="14"/>
    <s v="4003.010"/>
    <s v="IS - Employés et sourciers étrangers"/>
    <n v="0"/>
    <n v="3568.33"/>
    <n v="4003"/>
  </r>
  <r>
    <x v="2"/>
    <x v="2"/>
    <x v="2"/>
    <x v="227"/>
    <x v="193"/>
    <x v="193"/>
    <s v="REVENUS"/>
    <x v="8"/>
    <s v="4091.001"/>
    <s v="Impôt récupéré après défalcations"/>
    <n v="0"/>
    <n v="17203.189999999999"/>
    <n v="4091"/>
  </r>
  <r>
    <x v="2"/>
    <x v="2"/>
    <x v="2"/>
    <x v="227"/>
    <x v="193"/>
    <x v="193"/>
    <s v="REVENUS"/>
    <x v="2"/>
    <s v="4001.002"/>
    <s v="Impôt complément s/revenu PP"/>
    <n v="0"/>
    <n v="18293.919999999998"/>
    <n v="4001"/>
  </r>
  <r>
    <x v="2"/>
    <x v="2"/>
    <x v="2"/>
    <x v="227"/>
    <x v="193"/>
    <x v="193"/>
    <s v="REVENUS"/>
    <x v="14"/>
    <s v="4003.070"/>
    <s v="IS - Loi travail au noir"/>
    <n v="0"/>
    <n v="655.34"/>
    <n v="4003"/>
  </r>
  <r>
    <x v="2"/>
    <x v="2"/>
    <x v="2"/>
    <x v="227"/>
    <x v="193"/>
    <x v="193"/>
    <s v="REVENUS"/>
    <x v="14"/>
    <s v="4003.080"/>
    <s v="IS - Participations Hors Suisse"/>
    <n v="0"/>
    <n v="153069.5"/>
    <n v="4003"/>
  </r>
  <r>
    <x v="2"/>
    <x v="2"/>
    <x v="2"/>
    <x v="227"/>
    <x v="193"/>
    <x v="193"/>
    <s v="REVENUS"/>
    <x v="14"/>
    <s v="4003.060"/>
    <s v="IS - Administrateurs"/>
    <n v="0"/>
    <n v="1715.94"/>
    <n v="4003"/>
  </r>
  <r>
    <x v="2"/>
    <x v="2"/>
    <x v="2"/>
    <x v="227"/>
    <x v="193"/>
    <x v="193"/>
    <s v="REVENUS"/>
    <x v="14"/>
    <s v="4003.030"/>
    <s v="IS - Prestations en capital / Prévoyance"/>
    <n v="0"/>
    <n v="1807.89"/>
    <n v="4003"/>
  </r>
  <r>
    <x v="2"/>
    <x v="2"/>
    <x v="2"/>
    <x v="228"/>
    <x v="194"/>
    <x v="194"/>
    <s v="CHARGES"/>
    <x v="19"/>
    <s v="3186.002"/>
    <s v="Commission perception IS"/>
    <n v="-1381.89"/>
    <n v="0"/>
    <n v="3186"/>
  </r>
  <r>
    <x v="2"/>
    <x v="2"/>
    <x v="2"/>
    <x v="228"/>
    <x v="194"/>
    <x v="194"/>
    <s v="CHARGES"/>
    <x v="1"/>
    <s v="3301.001"/>
    <s v="Défalcations, abandons de solde PP et IS"/>
    <n v="2.4900000000000002"/>
    <n v="0"/>
    <n v="3301"/>
  </r>
  <r>
    <x v="2"/>
    <x v="2"/>
    <x v="2"/>
    <x v="228"/>
    <x v="194"/>
    <x v="194"/>
    <s v="REVENUS"/>
    <x v="2"/>
    <s v="4001.010"/>
    <s v="Impôt sourciers mixtes"/>
    <n v="0"/>
    <n v="-75301.2"/>
    <n v="4001"/>
  </r>
  <r>
    <x v="2"/>
    <x v="2"/>
    <x v="2"/>
    <x v="228"/>
    <x v="194"/>
    <x v="194"/>
    <s v="REVENUS"/>
    <x v="14"/>
    <s v="4003.000"/>
    <s v="Impôt à la source"/>
    <n v="0"/>
    <n v="-20080.900000000001"/>
    <n v="4003"/>
  </r>
  <r>
    <x v="2"/>
    <x v="2"/>
    <x v="2"/>
    <x v="228"/>
    <x v="194"/>
    <x v="194"/>
    <s v="REVENUS"/>
    <x v="6"/>
    <s v="4211.001"/>
    <s v="Intérêts de retard sur factures"/>
    <n v="0"/>
    <n v="272.95999999999998"/>
    <n v="4211"/>
  </r>
  <r>
    <x v="2"/>
    <x v="2"/>
    <x v="2"/>
    <x v="228"/>
    <x v="194"/>
    <x v="194"/>
    <s v="REVENUS"/>
    <x v="6"/>
    <s v="4211.002"/>
    <s v="Intérêts de retard sur acomptes"/>
    <n v="0"/>
    <n v="5809.97"/>
    <n v="4211"/>
  </r>
  <r>
    <x v="2"/>
    <x v="2"/>
    <x v="2"/>
    <x v="228"/>
    <x v="194"/>
    <x v="194"/>
    <s v="REVENUS"/>
    <x v="7"/>
    <s v="4184.000"/>
    <s v="Frais de poursuite"/>
    <n v="0"/>
    <n v="0.03"/>
    <n v="4184"/>
  </r>
  <r>
    <x v="2"/>
    <x v="2"/>
    <x v="2"/>
    <x v="228"/>
    <x v="194"/>
    <x v="194"/>
    <s v="REVENUS"/>
    <x v="2"/>
    <s v="4001.001"/>
    <s v="Impôt revenu"/>
    <n v="0"/>
    <n v="5504.75"/>
    <n v="4001"/>
  </r>
  <r>
    <x v="2"/>
    <x v="2"/>
    <x v="2"/>
    <x v="228"/>
    <x v="194"/>
    <x v="194"/>
    <s v="REVENUS"/>
    <x v="14"/>
    <s v="4003.010"/>
    <s v="IS - Employés et sourciers étrangers"/>
    <n v="0"/>
    <n v="1361.44"/>
    <n v="4003"/>
  </r>
  <r>
    <x v="2"/>
    <x v="2"/>
    <x v="2"/>
    <x v="229"/>
    <x v="195"/>
    <x v="195"/>
    <s v="CHARGES"/>
    <x v="19"/>
    <s v="3186.002"/>
    <s v="Commission perception IS"/>
    <n v="29520.03"/>
    <n v="0"/>
    <n v="3186"/>
  </r>
  <r>
    <x v="2"/>
    <x v="2"/>
    <x v="2"/>
    <x v="229"/>
    <x v="195"/>
    <x v="195"/>
    <s v="CHARGES"/>
    <x v="1"/>
    <s v="3301.001"/>
    <s v="Défalcations, abandons de solde PP et IS"/>
    <n v="3225.42"/>
    <n v="0"/>
    <n v="3301"/>
  </r>
  <r>
    <x v="2"/>
    <x v="2"/>
    <x v="2"/>
    <x v="229"/>
    <x v="195"/>
    <x v="195"/>
    <s v="REVENUS"/>
    <x v="2"/>
    <s v="4001.010"/>
    <s v="Impôt sourciers mixtes"/>
    <n v="0"/>
    <n v="-219891.69"/>
    <n v="4001"/>
  </r>
  <r>
    <x v="2"/>
    <x v="2"/>
    <x v="2"/>
    <x v="229"/>
    <x v="195"/>
    <x v="195"/>
    <s v="REVENUS"/>
    <x v="14"/>
    <s v="4003.000"/>
    <s v="Impôt à la source"/>
    <n v="0"/>
    <n v="113420.52"/>
    <n v="4003"/>
  </r>
  <r>
    <x v="2"/>
    <x v="2"/>
    <x v="2"/>
    <x v="229"/>
    <x v="195"/>
    <x v="195"/>
    <s v="REVENUS"/>
    <x v="6"/>
    <s v="4211.002"/>
    <s v="Intérêts de retard sur acomptes"/>
    <n v="0"/>
    <n v="11540.4"/>
    <n v="4211"/>
  </r>
  <r>
    <x v="2"/>
    <x v="2"/>
    <x v="2"/>
    <x v="229"/>
    <x v="195"/>
    <x v="195"/>
    <s v="REVENUS"/>
    <x v="6"/>
    <s v="4211.001"/>
    <s v="Intérêts de retard sur factures"/>
    <n v="0"/>
    <n v="4537.9399999999996"/>
    <n v="4211"/>
  </r>
  <r>
    <x v="2"/>
    <x v="2"/>
    <x v="2"/>
    <x v="229"/>
    <x v="195"/>
    <x v="195"/>
    <s v="REVENUS"/>
    <x v="7"/>
    <s v="4184.000"/>
    <s v="Frais de poursuite"/>
    <n v="0"/>
    <n v="21.73"/>
    <n v="4184"/>
  </r>
  <r>
    <x v="2"/>
    <x v="2"/>
    <x v="2"/>
    <x v="229"/>
    <x v="195"/>
    <x v="195"/>
    <s v="REVENUS"/>
    <x v="14"/>
    <s v="4003.020"/>
    <s v="IS - Artistes - Conférenciers - Sportifs"/>
    <n v="0"/>
    <n v="8.19"/>
    <n v="4003"/>
  </r>
  <r>
    <x v="2"/>
    <x v="2"/>
    <x v="2"/>
    <x v="229"/>
    <x v="195"/>
    <x v="195"/>
    <s v="REVENUS"/>
    <x v="14"/>
    <s v="4003.060"/>
    <s v="IS - Administrateurs"/>
    <n v="0"/>
    <n v="692.82"/>
    <n v="4003"/>
  </r>
  <r>
    <x v="2"/>
    <x v="2"/>
    <x v="2"/>
    <x v="229"/>
    <x v="195"/>
    <x v="195"/>
    <s v="REVENUS"/>
    <x v="2"/>
    <s v="4001.001"/>
    <s v="Impôt revenu"/>
    <n v="0"/>
    <n v="2716.9"/>
    <n v="4001"/>
  </r>
  <r>
    <x v="2"/>
    <x v="2"/>
    <x v="2"/>
    <x v="229"/>
    <x v="195"/>
    <x v="195"/>
    <s v="REVENUS"/>
    <x v="2"/>
    <s v="4001.005"/>
    <s v="Amende de soustract. Impôt"/>
    <n v="0"/>
    <n v="133"/>
    <n v="4001"/>
  </r>
  <r>
    <x v="2"/>
    <x v="2"/>
    <x v="2"/>
    <x v="229"/>
    <x v="195"/>
    <x v="195"/>
    <s v="REVENUS"/>
    <x v="14"/>
    <s v="4003.010"/>
    <s v="IS - Employés et sourciers étrangers"/>
    <n v="0"/>
    <n v="7295.6"/>
    <n v="4003"/>
  </r>
  <r>
    <x v="2"/>
    <x v="2"/>
    <x v="2"/>
    <x v="230"/>
    <x v="196"/>
    <x v="196"/>
    <s v="CHARGES"/>
    <x v="19"/>
    <s v="3186.002"/>
    <s v="Commission perception IS"/>
    <n v="216798.38"/>
    <n v="0"/>
    <n v="3186"/>
  </r>
  <r>
    <x v="2"/>
    <x v="2"/>
    <x v="2"/>
    <x v="230"/>
    <x v="196"/>
    <x v="196"/>
    <s v="CHARGES"/>
    <x v="1"/>
    <s v="3301.001"/>
    <s v="Défalcations, abandons de solde PP et IS"/>
    <n v="39232.959999999999"/>
    <n v="0"/>
    <n v="3301"/>
  </r>
  <r>
    <x v="2"/>
    <x v="2"/>
    <x v="2"/>
    <x v="230"/>
    <x v="196"/>
    <x v="196"/>
    <s v="REVENUS"/>
    <x v="2"/>
    <s v="4001.010"/>
    <s v="Impôt sourciers mixtes"/>
    <n v="0"/>
    <n v="-579750.80000000005"/>
    <n v="4001"/>
  </r>
  <r>
    <x v="2"/>
    <x v="2"/>
    <x v="2"/>
    <x v="230"/>
    <x v="196"/>
    <x v="196"/>
    <s v="REVENUS"/>
    <x v="14"/>
    <s v="4003.000"/>
    <s v="Impôt à la source"/>
    <n v="0"/>
    <n v="2786594.76"/>
    <n v="4003"/>
  </r>
  <r>
    <x v="2"/>
    <x v="2"/>
    <x v="2"/>
    <x v="230"/>
    <x v="196"/>
    <x v="196"/>
    <s v="REVENUS"/>
    <x v="2"/>
    <s v="4001.001"/>
    <s v="Impôt revenu"/>
    <n v="0"/>
    <n v="491408.72"/>
    <n v="4001"/>
  </r>
  <r>
    <x v="2"/>
    <x v="2"/>
    <x v="2"/>
    <x v="230"/>
    <x v="196"/>
    <x v="196"/>
    <s v="REVENUS"/>
    <x v="14"/>
    <s v="4003.030"/>
    <s v="IS - Prestations en capital / Prévoyance"/>
    <n v="0"/>
    <n v="66391.08"/>
    <n v="4003"/>
  </r>
  <r>
    <x v="2"/>
    <x v="2"/>
    <x v="2"/>
    <x v="230"/>
    <x v="196"/>
    <x v="196"/>
    <s v="REVENUS"/>
    <x v="6"/>
    <s v="4211.001"/>
    <s v="Intérêts de retard sur factures"/>
    <n v="0"/>
    <n v="22271.34"/>
    <n v="4211"/>
  </r>
  <r>
    <x v="2"/>
    <x v="2"/>
    <x v="2"/>
    <x v="230"/>
    <x v="196"/>
    <x v="196"/>
    <s v="REVENUS"/>
    <x v="6"/>
    <s v="4211.002"/>
    <s v="Intérêts de retard sur acomptes"/>
    <n v="0"/>
    <n v="73656.34"/>
    <n v="4211"/>
  </r>
  <r>
    <x v="2"/>
    <x v="2"/>
    <x v="2"/>
    <x v="230"/>
    <x v="196"/>
    <x v="196"/>
    <s v="REVENUS"/>
    <x v="7"/>
    <s v="4184.000"/>
    <s v="Frais de poursuite"/>
    <n v="0"/>
    <n v="2131.46"/>
    <n v="4184"/>
  </r>
  <r>
    <x v="2"/>
    <x v="2"/>
    <x v="2"/>
    <x v="230"/>
    <x v="196"/>
    <x v="196"/>
    <s v="REVENUS"/>
    <x v="14"/>
    <s v="4003.020"/>
    <s v="IS - Artistes - Conférenciers - Sportifs"/>
    <n v="0"/>
    <n v="15306.93"/>
    <n v="4003"/>
  </r>
  <r>
    <x v="2"/>
    <x v="2"/>
    <x v="2"/>
    <x v="230"/>
    <x v="196"/>
    <x v="196"/>
    <s v="REVENUS"/>
    <x v="14"/>
    <s v="4003.060"/>
    <s v="IS - Administrateurs"/>
    <n v="0"/>
    <n v="22682.6"/>
    <n v="4003"/>
  </r>
  <r>
    <x v="2"/>
    <x v="2"/>
    <x v="2"/>
    <x v="230"/>
    <x v="196"/>
    <x v="196"/>
    <s v="REVENUS"/>
    <x v="8"/>
    <s v="4091.001"/>
    <s v="Impôt récupéré après défalcations"/>
    <n v="0"/>
    <n v="19126.23"/>
    <n v="4091"/>
  </r>
  <r>
    <x v="2"/>
    <x v="2"/>
    <x v="2"/>
    <x v="230"/>
    <x v="196"/>
    <x v="196"/>
    <s v="REVENUS"/>
    <x v="14"/>
    <s v="4003.010"/>
    <s v="IS - Employés et sourciers étrangers"/>
    <n v="0"/>
    <n v="259061.71"/>
    <n v="4003"/>
  </r>
  <r>
    <x v="2"/>
    <x v="2"/>
    <x v="2"/>
    <x v="230"/>
    <x v="196"/>
    <x v="196"/>
    <s v="REVENUS"/>
    <x v="14"/>
    <s v="4003.080"/>
    <s v="IS - Participations Hors Suisse"/>
    <n v="0"/>
    <n v="270345.51"/>
    <n v="4003"/>
  </r>
  <r>
    <x v="2"/>
    <x v="2"/>
    <x v="2"/>
    <x v="230"/>
    <x v="196"/>
    <x v="196"/>
    <s v="REVENUS"/>
    <x v="2"/>
    <s v="4001.002"/>
    <s v="Impôt complément s/revenu PP"/>
    <n v="0"/>
    <n v="84698.94"/>
    <n v="4001"/>
  </r>
  <r>
    <x v="2"/>
    <x v="2"/>
    <x v="2"/>
    <x v="230"/>
    <x v="196"/>
    <x v="196"/>
    <s v="REVENUS"/>
    <x v="2"/>
    <s v="4001.005"/>
    <s v="Amende de soustract. Impôt"/>
    <n v="0"/>
    <n v="3790.75"/>
    <n v="4001"/>
  </r>
  <r>
    <x v="2"/>
    <x v="2"/>
    <x v="2"/>
    <x v="230"/>
    <x v="196"/>
    <x v="196"/>
    <s v="REVENUS"/>
    <x v="14"/>
    <s v="4003.070"/>
    <s v="IS - Loi travail au noir"/>
    <n v="0"/>
    <n v="6736.51"/>
    <n v="4003"/>
  </r>
  <r>
    <x v="2"/>
    <x v="2"/>
    <x v="2"/>
    <x v="231"/>
    <x v="197"/>
    <x v="197"/>
    <s v="CHARGES"/>
    <x v="19"/>
    <s v="3186.002"/>
    <s v="Commission perception IS"/>
    <n v="13472.48"/>
    <n v="0"/>
    <n v="3186"/>
  </r>
  <r>
    <x v="2"/>
    <x v="2"/>
    <x v="2"/>
    <x v="231"/>
    <x v="197"/>
    <x v="197"/>
    <s v="CHARGES"/>
    <x v="1"/>
    <s v="3301.001"/>
    <s v="Défalcations, abandons de solde PP et IS"/>
    <n v="8799.61"/>
    <n v="0"/>
    <n v="3301"/>
  </r>
  <r>
    <x v="2"/>
    <x v="2"/>
    <x v="2"/>
    <x v="231"/>
    <x v="197"/>
    <x v="197"/>
    <s v="REVENUS"/>
    <x v="2"/>
    <s v="4001.010"/>
    <s v="Impôt sourciers mixtes"/>
    <n v="0"/>
    <n v="-331537.05"/>
    <n v="4001"/>
  </r>
  <r>
    <x v="2"/>
    <x v="2"/>
    <x v="2"/>
    <x v="231"/>
    <x v="197"/>
    <x v="197"/>
    <s v="REVENUS"/>
    <x v="14"/>
    <s v="4003.000"/>
    <s v="Impôt à la source"/>
    <n v="0"/>
    <n v="275304.5"/>
    <n v="4003"/>
  </r>
  <r>
    <x v="2"/>
    <x v="2"/>
    <x v="2"/>
    <x v="231"/>
    <x v="197"/>
    <x v="197"/>
    <s v="REVENUS"/>
    <x v="6"/>
    <s v="4211.001"/>
    <s v="Intérêts de retard sur factures"/>
    <n v="0"/>
    <n v="5891.88"/>
    <n v="4211"/>
  </r>
  <r>
    <x v="2"/>
    <x v="2"/>
    <x v="2"/>
    <x v="231"/>
    <x v="197"/>
    <x v="197"/>
    <s v="REVENUS"/>
    <x v="6"/>
    <s v="4211.002"/>
    <s v="Intérêts de retard sur acomptes"/>
    <n v="0"/>
    <n v="12032.38"/>
    <n v="4211"/>
  </r>
  <r>
    <x v="2"/>
    <x v="2"/>
    <x v="2"/>
    <x v="231"/>
    <x v="197"/>
    <x v="197"/>
    <s v="REVENUS"/>
    <x v="7"/>
    <s v="4184.000"/>
    <s v="Frais de poursuite"/>
    <n v="0"/>
    <n v="301.77999999999997"/>
    <n v="4184"/>
  </r>
  <r>
    <x v="2"/>
    <x v="2"/>
    <x v="2"/>
    <x v="231"/>
    <x v="197"/>
    <x v="197"/>
    <s v="REVENUS"/>
    <x v="2"/>
    <s v="4001.005"/>
    <s v="Amende de soustract. Impôt"/>
    <n v="0"/>
    <n v="501"/>
    <n v="4001"/>
  </r>
  <r>
    <x v="2"/>
    <x v="2"/>
    <x v="2"/>
    <x v="231"/>
    <x v="197"/>
    <x v="197"/>
    <s v="REVENUS"/>
    <x v="8"/>
    <s v="4091.001"/>
    <s v="Impôt récupéré après défalcations"/>
    <n v="0"/>
    <n v="8624.4599999999991"/>
    <n v="4091"/>
  </r>
  <r>
    <x v="2"/>
    <x v="2"/>
    <x v="2"/>
    <x v="231"/>
    <x v="197"/>
    <x v="197"/>
    <s v="REVENUS"/>
    <x v="2"/>
    <s v="4001.001"/>
    <s v="Impôt revenu"/>
    <n v="0"/>
    <n v="47381.599999999999"/>
    <n v="4001"/>
  </r>
  <r>
    <x v="2"/>
    <x v="2"/>
    <x v="2"/>
    <x v="231"/>
    <x v="197"/>
    <x v="197"/>
    <s v="REVENUS"/>
    <x v="14"/>
    <s v="4003.010"/>
    <s v="IS - Employés et sourciers étrangers"/>
    <n v="0"/>
    <n v="1670.32"/>
    <n v="4003"/>
  </r>
  <r>
    <x v="2"/>
    <x v="2"/>
    <x v="2"/>
    <x v="232"/>
    <x v="198"/>
    <x v="198"/>
    <s v="CHARGES"/>
    <x v="19"/>
    <s v="3186.002"/>
    <s v="Commission perception IS"/>
    <n v="4658.22"/>
    <n v="0"/>
    <n v="3186"/>
  </r>
  <r>
    <x v="2"/>
    <x v="2"/>
    <x v="2"/>
    <x v="232"/>
    <x v="198"/>
    <x v="198"/>
    <s v="CHARGES"/>
    <x v="1"/>
    <s v="3301.001"/>
    <s v="Défalcations, abandons de solde PP et IS"/>
    <n v="6360.78"/>
    <n v="0"/>
    <n v="3301"/>
  </r>
  <r>
    <x v="2"/>
    <x v="2"/>
    <x v="2"/>
    <x v="232"/>
    <x v="198"/>
    <x v="198"/>
    <s v="REVENUS"/>
    <x v="2"/>
    <s v="4001.010"/>
    <s v="Impôt sourciers mixtes"/>
    <n v="0"/>
    <n v="1411.65"/>
    <n v="4001"/>
  </r>
  <r>
    <x v="2"/>
    <x v="2"/>
    <x v="2"/>
    <x v="232"/>
    <x v="198"/>
    <x v="198"/>
    <s v="REVENUS"/>
    <x v="14"/>
    <s v="4003.000"/>
    <s v="Impôt à la source"/>
    <n v="0"/>
    <n v="123006.82"/>
    <n v="4003"/>
  </r>
  <r>
    <x v="2"/>
    <x v="2"/>
    <x v="2"/>
    <x v="232"/>
    <x v="198"/>
    <x v="198"/>
    <s v="REVENUS"/>
    <x v="6"/>
    <s v="4211.002"/>
    <s v="Intérêts de retard sur acomptes"/>
    <n v="0"/>
    <n v="1487.92"/>
    <n v="4211"/>
  </r>
  <r>
    <x v="2"/>
    <x v="2"/>
    <x v="2"/>
    <x v="232"/>
    <x v="198"/>
    <x v="198"/>
    <s v="REVENUS"/>
    <x v="6"/>
    <s v="4211.001"/>
    <s v="Intérêts de retard sur factures"/>
    <n v="0"/>
    <n v="878.09"/>
    <n v="4211"/>
  </r>
  <r>
    <x v="2"/>
    <x v="2"/>
    <x v="2"/>
    <x v="232"/>
    <x v="198"/>
    <x v="198"/>
    <s v="REVENUS"/>
    <x v="7"/>
    <s v="4184.000"/>
    <s v="Frais de poursuite"/>
    <n v="0"/>
    <n v="32.42"/>
    <n v="4184"/>
  </r>
  <r>
    <x v="2"/>
    <x v="2"/>
    <x v="2"/>
    <x v="232"/>
    <x v="198"/>
    <x v="198"/>
    <s v="REVENUS"/>
    <x v="2"/>
    <s v="4001.001"/>
    <s v="Impôt revenu"/>
    <n v="0"/>
    <n v="-1977.21"/>
    <n v="4001"/>
  </r>
  <r>
    <x v="2"/>
    <x v="2"/>
    <x v="2"/>
    <x v="232"/>
    <x v="198"/>
    <x v="198"/>
    <s v="REVENUS"/>
    <x v="14"/>
    <s v="4003.020"/>
    <s v="IS - Artistes - Conférenciers - Sportifs"/>
    <n v="0"/>
    <n v="14.86"/>
    <n v="4003"/>
  </r>
  <r>
    <x v="2"/>
    <x v="2"/>
    <x v="2"/>
    <x v="233"/>
    <x v="199"/>
    <x v="199"/>
    <s v="CHARGES"/>
    <x v="19"/>
    <s v="3186.002"/>
    <s v="Commission perception IS"/>
    <n v="9962.25"/>
    <n v="0"/>
    <n v="3186"/>
  </r>
  <r>
    <x v="2"/>
    <x v="2"/>
    <x v="2"/>
    <x v="233"/>
    <x v="199"/>
    <x v="199"/>
    <s v="CHARGES"/>
    <x v="1"/>
    <s v="3301.001"/>
    <s v="Défalcations, abandons de solde PP et IS"/>
    <n v="15014.79"/>
    <n v="0"/>
    <n v="3301"/>
  </r>
  <r>
    <x v="2"/>
    <x v="2"/>
    <x v="2"/>
    <x v="233"/>
    <x v="199"/>
    <x v="199"/>
    <s v="REVENUS"/>
    <x v="14"/>
    <s v="4003.000"/>
    <s v="Impôt à la source"/>
    <n v="0"/>
    <n v="162029.56"/>
    <n v="4003"/>
  </r>
  <r>
    <x v="2"/>
    <x v="2"/>
    <x v="2"/>
    <x v="233"/>
    <x v="199"/>
    <x v="199"/>
    <s v="REVENUS"/>
    <x v="2"/>
    <s v="4001.010"/>
    <s v="Impôt sourciers mixtes"/>
    <n v="0"/>
    <n v="27460.66"/>
    <n v="4001"/>
  </r>
  <r>
    <x v="2"/>
    <x v="2"/>
    <x v="2"/>
    <x v="233"/>
    <x v="199"/>
    <x v="199"/>
    <s v="REVENUS"/>
    <x v="6"/>
    <s v="4211.001"/>
    <s v="Intérêts de retard sur factures"/>
    <n v="0"/>
    <n v="1390.55"/>
    <n v="4211"/>
  </r>
  <r>
    <x v="2"/>
    <x v="2"/>
    <x v="2"/>
    <x v="233"/>
    <x v="199"/>
    <x v="199"/>
    <s v="REVENUS"/>
    <x v="6"/>
    <s v="4211.002"/>
    <s v="Intérêts de retard sur acomptes"/>
    <n v="0"/>
    <n v="3734.29"/>
    <n v="4211"/>
  </r>
  <r>
    <x v="2"/>
    <x v="2"/>
    <x v="2"/>
    <x v="233"/>
    <x v="199"/>
    <x v="199"/>
    <s v="REVENUS"/>
    <x v="2"/>
    <s v="4001.001"/>
    <s v="Impôt revenu"/>
    <n v="0"/>
    <n v="16062.65"/>
    <n v="4001"/>
  </r>
  <r>
    <x v="2"/>
    <x v="2"/>
    <x v="2"/>
    <x v="233"/>
    <x v="199"/>
    <x v="199"/>
    <s v="REVENUS"/>
    <x v="2"/>
    <s v="4001.002"/>
    <s v="Impôt complément s/revenu PP"/>
    <n v="0"/>
    <n v="6082.62"/>
    <n v="4001"/>
  </r>
  <r>
    <x v="2"/>
    <x v="2"/>
    <x v="2"/>
    <x v="233"/>
    <x v="199"/>
    <x v="199"/>
    <s v="REVENUS"/>
    <x v="8"/>
    <s v="4091.001"/>
    <s v="Impôt récupéré après défalcations"/>
    <n v="0"/>
    <n v="0"/>
    <n v="4091"/>
  </r>
  <r>
    <x v="2"/>
    <x v="2"/>
    <x v="2"/>
    <x v="233"/>
    <x v="199"/>
    <x v="199"/>
    <s v="REVENUS"/>
    <x v="7"/>
    <s v="4184.000"/>
    <s v="Frais de poursuite"/>
    <n v="0"/>
    <n v="130.41999999999999"/>
    <n v="4184"/>
  </r>
  <r>
    <x v="2"/>
    <x v="2"/>
    <x v="2"/>
    <x v="233"/>
    <x v="199"/>
    <x v="199"/>
    <s v="REVENUS"/>
    <x v="14"/>
    <s v="4003.070"/>
    <s v="IS - Loi travail au noir"/>
    <n v="0"/>
    <n v="2.67"/>
    <n v="4003"/>
  </r>
  <r>
    <x v="2"/>
    <x v="2"/>
    <x v="2"/>
    <x v="233"/>
    <x v="199"/>
    <x v="199"/>
    <s v="REVENUS"/>
    <x v="2"/>
    <s v="4001.005"/>
    <s v="Amende de soustract. Impôt"/>
    <n v="0"/>
    <n v="99"/>
    <n v="4001"/>
  </r>
  <r>
    <x v="2"/>
    <x v="2"/>
    <x v="2"/>
    <x v="234"/>
    <x v="200"/>
    <x v="200"/>
    <s v="CHARGES"/>
    <x v="19"/>
    <s v="3186.002"/>
    <s v="Commission perception IS"/>
    <n v="5995.73"/>
    <n v="0"/>
    <n v="3186"/>
  </r>
  <r>
    <x v="2"/>
    <x v="2"/>
    <x v="2"/>
    <x v="234"/>
    <x v="200"/>
    <x v="200"/>
    <s v="CHARGES"/>
    <x v="1"/>
    <s v="3301.001"/>
    <s v="Défalcations, abandons de solde PP et IS"/>
    <n v="0.85"/>
    <n v="0"/>
    <n v="3301"/>
  </r>
  <r>
    <x v="2"/>
    <x v="2"/>
    <x v="2"/>
    <x v="234"/>
    <x v="200"/>
    <x v="200"/>
    <s v="REVENUS"/>
    <x v="14"/>
    <s v="4003.000"/>
    <s v="Impôt à la source"/>
    <n v="0"/>
    <n v="-128091.76"/>
    <n v="4003"/>
  </r>
  <r>
    <x v="2"/>
    <x v="2"/>
    <x v="2"/>
    <x v="234"/>
    <x v="200"/>
    <x v="200"/>
    <s v="REVENUS"/>
    <x v="2"/>
    <s v="4001.010"/>
    <s v="Impôt sourciers mixtes"/>
    <n v="0"/>
    <n v="46172.81"/>
    <n v="4001"/>
  </r>
  <r>
    <x v="2"/>
    <x v="2"/>
    <x v="2"/>
    <x v="234"/>
    <x v="200"/>
    <x v="200"/>
    <s v="REVENUS"/>
    <x v="6"/>
    <s v="4211.001"/>
    <s v="Intérêts de retard sur factures"/>
    <n v="0"/>
    <n v="943.14"/>
    <n v="4211"/>
  </r>
  <r>
    <x v="2"/>
    <x v="2"/>
    <x v="2"/>
    <x v="234"/>
    <x v="200"/>
    <x v="200"/>
    <s v="REVENUS"/>
    <x v="6"/>
    <s v="4211.002"/>
    <s v="Intérêts de retard sur acomptes"/>
    <n v="0"/>
    <n v="1313.33"/>
    <n v="4211"/>
  </r>
  <r>
    <x v="2"/>
    <x v="2"/>
    <x v="2"/>
    <x v="234"/>
    <x v="200"/>
    <x v="200"/>
    <s v="REVENUS"/>
    <x v="2"/>
    <s v="4001.005"/>
    <s v="Amende de soustract. Impôt"/>
    <n v="0"/>
    <n v="326"/>
    <n v="4001"/>
  </r>
  <r>
    <x v="2"/>
    <x v="2"/>
    <x v="2"/>
    <x v="234"/>
    <x v="200"/>
    <x v="200"/>
    <s v="REVENUS"/>
    <x v="14"/>
    <s v="4003.010"/>
    <s v="IS - Employés et sourciers étrangers"/>
    <n v="0"/>
    <n v="4095.46"/>
    <n v="4003"/>
  </r>
  <r>
    <x v="2"/>
    <x v="2"/>
    <x v="2"/>
    <x v="234"/>
    <x v="200"/>
    <x v="200"/>
    <s v="REVENUS"/>
    <x v="2"/>
    <s v="4001.001"/>
    <s v="Impôt revenu"/>
    <n v="0"/>
    <n v="2116.06"/>
    <n v="4001"/>
  </r>
  <r>
    <x v="2"/>
    <x v="2"/>
    <x v="2"/>
    <x v="234"/>
    <x v="200"/>
    <x v="200"/>
    <s v="REVENUS"/>
    <x v="7"/>
    <s v="4184.000"/>
    <s v="Frais de poursuite"/>
    <n v="0"/>
    <n v="29.36"/>
    <n v="4184"/>
  </r>
  <r>
    <x v="2"/>
    <x v="2"/>
    <x v="2"/>
    <x v="234"/>
    <x v="200"/>
    <x v="200"/>
    <s v="REVENUS"/>
    <x v="2"/>
    <s v="4001.002"/>
    <s v="Impôt complément s/revenu PP"/>
    <n v="0"/>
    <n v="99883.37"/>
    <n v="4001"/>
  </r>
  <r>
    <x v="2"/>
    <x v="2"/>
    <x v="2"/>
    <x v="235"/>
    <x v="201"/>
    <x v="201"/>
    <s v="CHARGES"/>
    <x v="19"/>
    <s v="3186.002"/>
    <s v="Commission perception IS"/>
    <n v="12787.33"/>
    <n v="0"/>
    <n v="3186"/>
  </r>
  <r>
    <x v="2"/>
    <x v="2"/>
    <x v="2"/>
    <x v="235"/>
    <x v="201"/>
    <x v="201"/>
    <s v="CHARGES"/>
    <x v="1"/>
    <s v="3301.001"/>
    <s v="Défalcations, abandons de solde PP et IS"/>
    <n v="1290.32"/>
    <n v="0"/>
    <n v="3301"/>
  </r>
  <r>
    <x v="2"/>
    <x v="2"/>
    <x v="2"/>
    <x v="235"/>
    <x v="201"/>
    <x v="201"/>
    <s v="REVENUS"/>
    <x v="2"/>
    <s v="4001.010"/>
    <s v="Impôt sourciers mixtes"/>
    <n v="0"/>
    <n v="-932973.35"/>
    <n v="4001"/>
  </r>
  <r>
    <x v="2"/>
    <x v="2"/>
    <x v="2"/>
    <x v="235"/>
    <x v="201"/>
    <x v="201"/>
    <s v="REVENUS"/>
    <x v="14"/>
    <s v="4003.000"/>
    <s v="Impôt à la source"/>
    <n v="0"/>
    <n v="123892.37"/>
    <n v="4003"/>
  </r>
  <r>
    <x v="2"/>
    <x v="2"/>
    <x v="2"/>
    <x v="235"/>
    <x v="201"/>
    <x v="201"/>
    <s v="REVENUS"/>
    <x v="6"/>
    <s v="4211.001"/>
    <s v="Intérêts de retard sur factures"/>
    <n v="0"/>
    <n v="837.23"/>
    <n v="4211"/>
  </r>
  <r>
    <x v="2"/>
    <x v="2"/>
    <x v="2"/>
    <x v="235"/>
    <x v="201"/>
    <x v="201"/>
    <s v="REVENUS"/>
    <x v="6"/>
    <s v="4211.002"/>
    <s v="Intérêts de retard sur acomptes"/>
    <n v="0"/>
    <n v="-9298.82"/>
    <n v="4211"/>
  </r>
  <r>
    <x v="2"/>
    <x v="2"/>
    <x v="2"/>
    <x v="235"/>
    <x v="201"/>
    <x v="201"/>
    <s v="REVENUS"/>
    <x v="14"/>
    <s v="4003.020"/>
    <s v="IS - Artistes - Conférenciers - Sportifs"/>
    <n v="0"/>
    <n v="5719.56"/>
    <n v="4003"/>
  </r>
  <r>
    <x v="2"/>
    <x v="2"/>
    <x v="2"/>
    <x v="235"/>
    <x v="201"/>
    <x v="201"/>
    <s v="REVENUS"/>
    <x v="7"/>
    <s v="4184.000"/>
    <s v="Frais de poursuite"/>
    <n v="0"/>
    <n v="16.2"/>
    <n v="4184"/>
  </r>
  <r>
    <x v="2"/>
    <x v="2"/>
    <x v="2"/>
    <x v="235"/>
    <x v="201"/>
    <x v="201"/>
    <s v="REVENUS"/>
    <x v="8"/>
    <s v="4091.001"/>
    <s v="Impôt récupéré après défalcations"/>
    <n v="0"/>
    <n v="480.11"/>
    <n v="4091"/>
  </r>
  <r>
    <x v="2"/>
    <x v="2"/>
    <x v="2"/>
    <x v="235"/>
    <x v="201"/>
    <x v="201"/>
    <s v="REVENUS"/>
    <x v="2"/>
    <s v="4001.001"/>
    <s v="Impôt revenu"/>
    <n v="0"/>
    <n v="677.19"/>
    <n v="4001"/>
  </r>
  <r>
    <x v="2"/>
    <x v="2"/>
    <x v="2"/>
    <x v="236"/>
    <x v="202"/>
    <x v="202"/>
    <s v="CHARGES"/>
    <x v="19"/>
    <s v="3186.002"/>
    <s v="Commission perception IS"/>
    <n v="7910.08"/>
    <n v="0"/>
    <n v="3186"/>
  </r>
  <r>
    <x v="2"/>
    <x v="2"/>
    <x v="2"/>
    <x v="236"/>
    <x v="202"/>
    <x v="202"/>
    <s v="CHARGES"/>
    <x v="1"/>
    <s v="3301.001"/>
    <s v="Défalcations, abandons de solde PP et IS"/>
    <n v="1417.49"/>
    <n v="0"/>
    <n v="3301"/>
  </r>
  <r>
    <x v="2"/>
    <x v="2"/>
    <x v="2"/>
    <x v="236"/>
    <x v="202"/>
    <x v="202"/>
    <s v="REVENUS"/>
    <x v="2"/>
    <s v="4001.010"/>
    <s v="Impôt sourciers mixtes"/>
    <n v="0"/>
    <n v="-224692.77"/>
    <n v="4001"/>
  </r>
  <r>
    <x v="2"/>
    <x v="2"/>
    <x v="2"/>
    <x v="236"/>
    <x v="202"/>
    <x v="202"/>
    <s v="REVENUS"/>
    <x v="14"/>
    <s v="4003.000"/>
    <s v="Impôt à la source"/>
    <n v="0"/>
    <n v="-1961.09"/>
    <n v="4003"/>
  </r>
  <r>
    <x v="2"/>
    <x v="2"/>
    <x v="2"/>
    <x v="236"/>
    <x v="202"/>
    <x v="202"/>
    <s v="REVENUS"/>
    <x v="7"/>
    <s v="4184.000"/>
    <s v="Frais de poursuite"/>
    <n v="0"/>
    <n v="65.349999999999994"/>
    <n v="4184"/>
  </r>
  <r>
    <x v="2"/>
    <x v="2"/>
    <x v="2"/>
    <x v="236"/>
    <x v="202"/>
    <x v="202"/>
    <s v="REVENUS"/>
    <x v="6"/>
    <s v="4211.001"/>
    <s v="Intérêts de retard sur factures"/>
    <n v="0"/>
    <n v="1877.4"/>
    <n v="4211"/>
  </r>
  <r>
    <x v="2"/>
    <x v="2"/>
    <x v="2"/>
    <x v="236"/>
    <x v="202"/>
    <x v="202"/>
    <s v="REVENUS"/>
    <x v="6"/>
    <s v="4211.002"/>
    <s v="Intérêts de retard sur acomptes"/>
    <n v="0"/>
    <n v="3174.59"/>
    <n v="4211"/>
  </r>
  <r>
    <x v="2"/>
    <x v="2"/>
    <x v="2"/>
    <x v="236"/>
    <x v="202"/>
    <x v="202"/>
    <s v="REVENUS"/>
    <x v="2"/>
    <s v="4001.005"/>
    <s v="Amende de soustract. Impôt"/>
    <n v="0"/>
    <n v="84"/>
    <n v="4001"/>
  </r>
  <r>
    <x v="2"/>
    <x v="2"/>
    <x v="2"/>
    <x v="236"/>
    <x v="202"/>
    <x v="202"/>
    <s v="REVENUS"/>
    <x v="2"/>
    <s v="4001.001"/>
    <s v="Impôt revenu"/>
    <n v="0"/>
    <n v="29690.26"/>
    <n v="4001"/>
  </r>
  <r>
    <x v="2"/>
    <x v="2"/>
    <x v="2"/>
    <x v="236"/>
    <x v="202"/>
    <x v="202"/>
    <s v="REVENUS"/>
    <x v="2"/>
    <s v="4001.002"/>
    <s v="Impôt complément s/revenu PP"/>
    <n v="0"/>
    <n v="14406.45"/>
    <n v="4001"/>
  </r>
  <r>
    <x v="2"/>
    <x v="2"/>
    <x v="2"/>
    <x v="236"/>
    <x v="202"/>
    <x v="202"/>
    <s v="REVENUS"/>
    <x v="14"/>
    <s v="4003.070"/>
    <s v="IS - Loi travail au noir"/>
    <n v="0"/>
    <n v="69.95"/>
    <n v="4003"/>
  </r>
  <r>
    <x v="2"/>
    <x v="2"/>
    <x v="2"/>
    <x v="236"/>
    <x v="202"/>
    <x v="202"/>
    <s v="REVENUS"/>
    <x v="8"/>
    <s v="4091.001"/>
    <s v="Impôt récupéré après défalcations"/>
    <n v="0"/>
    <n v="1165.5"/>
    <n v="4091"/>
  </r>
  <r>
    <x v="2"/>
    <x v="2"/>
    <x v="2"/>
    <x v="237"/>
    <x v="203"/>
    <x v="203"/>
    <s v="CHARGES"/>
    <x v="19"/>
    <s v="3186.002"/>
    <s v="Commission perception IS"/>
    <n v="3880.35"/>
    <n v="0"/>
    <n v="3186"/>
  </r>
  <r>
    <x v="2"/>
    <x v="2"/>
    <x v="2"/>
    <x v="237"/>
    <x v="203"/>
    <x v="203"/>
    <s v="CHARGES"/>
    <x v="1"/>
    <s v="3301.001"/>
    <s v="Défalcations, abandons de solde PP et IS"/>
    <n v="3.5"/>
    <n v="0"/>
    <n v="3301"/>
  </r>
  <r>
    <x v="2"/>
    <x v="2"/>
    <x v="2"/>
    <x v="237"/>
    <x v="203"/>
    <x v="203"/>
    <s v="REVENUS"/>
    <x v="2"/>
    <s v="4001.010"/>
    <s v="Impôt sourciers mixtes"/>
    <n v="0"/>
    <n v="17083.349999999999"/>
    <n v="4001"/>
  </r>
  <r>
    <x v="2"/>
    <x v="2"/>
    <x v="2"/>
    <x v="237"/>
    <x v="203"/>
    <x v="203"/>
    <s v="REVENUS"/>
    <x v="14"/>
    <s v="4003.000"/>
    <s v="Impôt à la source"/>
    <n v="0"/>
    <n v="17549.23"/>
    <n v="4003"/>
  </r>
  <r>
    <x v="2"/>
    <x v="2"/>
    <x v="2"/>
    <x v="237"/>
    <x v="203"/>
    <x v="203"/>
    <s v="REVENUS"/>
    <x v="6"/>
    <s v="4211.002"/>
    <s v="Intérêts de retard sur acomptes"/>
    <n v="0"/>
    <n v="494.5"/>
    <n v="4211"/>
  </r>
  <r>
    <x v="2"/>
    <x v="2"/>
    <x v="2"/>
    <x v="237"/>
    <x v="203"/>
    <x v="203"/>
    <s v="REVENUS"/>
    <x v="6"/>
    <s v="4211.001"/>
    <s v="Intérêts de retard sur factures"/>
    <n v="0"/>
    <n v="272.81"/>
    <n v="4211"/>
  </r>
  <r>
    <x v="2"/>
    <x v="2"/>
    <x v="2"/>
    <x v="237"/>
    <x v="203"/>
    <x v="203"/>
    <s v="REVENUS"/>
    <x v="2"/>
    <s v="4001.001"/>
    <s v="Impôt revenu"/>
    <n v="0"/>
    <n v="1041.0899999999999"/>
    <n v="4001"/>
  </r>
  <r>
    <x v="2"/>
    <x v="2"/>
    <x v="2"/>
    <x v="237"/>
    <x v="203"/>
    <x v="203"/>
    <s v="REVENUS"/>
    <x v="7"/>
    <s v="4184.000"/>
    <s v="Frais de poursuite"/>
    <n v="0"/>
    <n v="25.31"/>
    <n v="4184"/>
  </r>
  <r>
    <x v="2"/>
    <x v="2"/>
    <x v="2"/>
    <x v="237"/>
    <x v="203"/>
    <x v="203"/>
    <s v="REVENUS"/>
    <x v="14"/>
    <s v="4003.010"/>
    <s v="IS - Employés et sourciers étrangers"/>
    <n v="0"/>
    <n v="545.39"/>
    <n v="4003"/>
  </r>
  <r>
    <x v="2"/>
    <x v="2"/>
    <x v="2"/>
    <x v="237"/>
    <x v="203"/>
    <x v="203"/>
    <s v="REVENUS"/>
    <x v="8"/>
    <s v="4091.001"/>
    <s v="Impôt récupéré après défalcations"/>
    <n v="0"/>
    <n v="2928.98"/>
    <n v="4091"/>
  </r>
  <r>
    <x v="2"/>
    <x v="2"/>
    <x v="2"/>
    <x v="238"/>
    <x v="204"/>
    <x v="204"/>
    <s v="CHARGES"/>
    <x v="19"/>
    <s v="3186.002"/>
    <s v="Commission perception IS"/>
    <n v="9348.59"/>
    <n v="0"/>
    <n v="3186"/>
  </r>
  <r>
    <x v="2"/>
    <x v="2"/>
    <x v="2"/>
    <x v="238"/>
    <x v="204"/>
    <x v="204"/>
    <s v="CHARGES"/>
    <x v="1"/>
    <s v="3301.001"/>
    <s v="Défalcations, abandons de solde PP et IS"/>
    <n v="4365.26"/>
    <n v="0"/>
    <n v="3301"/>
  </r>
  <r>
    <x v="2"/>
    <x v="2"/>
    <x v="2"/>
    <x v="238"/>
    <x v="204"/>
    <x v="204"/>
    <s v="REVENUS"/>
    <x v="2"/>
    <s v="4001.010"/>
    <s v="Impôt sourciers mixtes"/>
    <n v="0"/>
    <n v="-189691.19"/>
    <n v="4001"/>
  </r>
  <r>
    <x v="2"/>
    <x v="2"/>
    <x v="2"/>
    <x v="238"/>
    <x v="204"/>
    <x v="204"/>
    <s v="REVENUS"/>
    <x v="14"/>
    <s v="4003.000"/>
    <s v="Impôt à la source"/>
    <n v="0"/>
    <n v="34517.78"/>
    <n v="4003"/>
  </r>
  <r>
    <x v="2"/>
    <x v="2"/>
    <x v="2"/>
    <x v="238"/>
    <x v="204"/>
    <x v="204"/>
    <s v="REVENUS"/>
    <x v="6"/>
    <s v="4211.001"/>
    <s v="Intérêts de retard sur factures"/>
    <n v="0"/>
    <n v="2000.07"/>
    <n v="4211"/>
  </r>
  <r>
    <x v="2"/>
    <x v="2"/>
    <x v="2"/>
    <x v="238"/>
    <x v="204"/>
    <x v="204"/>
    <s v="REVENUS"/>
    <x v="6"/>
    <s v="4211.002"/>
    <s v="Intérêts de retard sur acomptes"/>
    <n v="0"/>
    <n v="1556.45"/>
    <n v="4211"/>
  </r>
  <r>
    <x v="2"/>
    <x v="2"/>
    <x v="2"/>
    <x v="238"/>
    <x v="204"/>
    <x v="204"/>
    <s v="REVENUS"/>
    <x v="14"/>
    <s v="4003.010"/>
    <s v="IS - Employés et sourciers étrangers"/>
    <n v="0"/>
    <n v="5734.05"/>
    <n v="4003"/>
  </r>
  <r>
    <x v="2"/>
    <x v="2"/>
    <x v="2"/>
    <x v="238"/>
    <x v="204"/>
    <x v="204"/>
    <s v="REVENUS"/>
    <x v="7"/>
    <s v="4184.000"/>
    <s v="Frais de poursuite"/>
    <n v="0"/>
    <n v="38.42"/>
    <n v="4184"/>
  </r>
  <r>
    <x v="2"/>
    <x v="2"/>
    <x v="2"/>
    <x v="238"/>
    <x v="204"/>
    <x v="204"/>
    <s v="REVENUS"/>
    <x v="2"/>
    <s v="4001.005"/>
    <s v="Amende de soustract. Impôt"/>
    <n v="0"/>
    <n v="167"/>
    <n v="4001"/>
  </r>
  <r>
    <x v="2"/>
    <x v="2"/>
    <x v="2"/>
    <x v="238"/>
    <x v="204"/>
    <x v="204"/>
    <s v="REVENUS"/>
    <x v="2"/>
    <s v="4001.001"/>
    <s v="Impôt revenu"/>
    <n v="0"/>
    <n v="4163.21"/>
    <n v="4001"/>
  </r>
  <r>
    <x v="2"/>
    <x v="2"/>
    <x v="2"/>
    <x v="238"/>
    <x v="204"/>
    <x v="204"/>
    <s v="REVENUS"/>
    <x v="8"/>
    <s v="4091.001"/>
    <s v="Impôt récupéré après défalcations"/>
    <n v="0"/>
    <n v="0"/>
    <n v="4091"/>
  </r>
  <r>
    <x v="2"/>
    <x v="2"/>
    <x v="2"/>
    <x v="238"/>
    <x v="204"/>
    <x v="204"/>
    <s v="REVENUS"/>
    <x v="14"/>
    <s v="4003.070"/>
    <s v="IS - Loi travail au noir"/>
    <n v="0"/>
    <n v="444.53"/>
    <n v="4003"/>
  </r>
  <r>
    <x v="2"/>
    <x v="2"/>
    <x v="2"/>
    <x v="238"/>
    <x v="204"/>
    <x v="204"/>
    <s v="REVENUS"/>
    <x v="2"/>
    <s v="4001.002"/>
    <s v="Impôt complément s/revenu PP"/>
    <n v="0"/>
    <n v="2725.9"/>
    <n v="4001"/>
  </r>
  <r>
    <x v="2"/>
    <x v="9"/>
    <x v="5"/>
    <x v="239"/>
    <x v="205"/>
    <x v="205"/>
    <s v="CHARGES"/>
    <x v="19"/>
    <s v="3186.002"/>
    <s v="Commission perception IS"/>
    <n v="78.91"/>
    <n v="0"/>
    <n v="3186"/>
  </r>
  <r>
    <x v="2"/>
    <x v="9"/>
    <x v="5"/>
    <x v="239"/>
    <x v="205"/>
    <x v="205"/>
    <s v="CHARGES"/>
    <x v="1"/>
    <s v="3301.001"/>
    <s v="Défalcations, abandons de solde PP et IS"/>
    <n v="565.83000000000004"/>
    <n v="0"/>
    <n v="3301"/>
  </r>
  <r>
    <x v="2"/>
    <x v="9"/>
    <x v="5"/>
    <x v="239"/>
    <x v="205"/>
    <x v="205"/>
    <s v="REVENUS"/>
    <x v="6"/>
    <s v="4211.001"/>
    <s v="Intérêts de retard sur factures"/>
    <n v="0"/>
    <n v="13.4"/>
    <n v="4211"/>
  </r>
  <r>
    <x v="2"/>
    <x v="9"/>
    <x v="5"/>
    <x v="239"/>
    <x v="205"/>
    <x v="205"/>
    <s v="REVENUS"/>
    <x v="6"/>
    <s v="4211.002"/>
    <s v="Intérêts de retard sur acomptes"/>
    <n v="0"/>
    <n v="129.58000000000001"/>
    <n v="4211"/>
  </r>
  <r>
    <x v="2"/>
    <x v="9"/>
    <x v="5"/>
    <x v="239"/>
    <x v="205"/>
    <x v="205"/>
    <s v="REVENUS"/>
    <x v="2"/>
    <s v="4001.010"/>
    <s v="Impôt sourciers mixtes"/>
    <n v="0"/>
    <n v="177.63"/>
    <n v="4001"/>
  </r>
  <r>
    <x v="2"/>
    <x v="9"/>
    <x v="5"/>
    <x v="239"/>
    <x v="205"/>
    <x v="205"/>
    <s v="REVENUS"/>
    <x v="14"/>
    <s v="4003.000"/>
    <s v="Impôt à la source"/>
    <n v="0"/>
    <n v="1112.07"/>
    <n v="4003"/>
  </r>
  <r>
    <x v="2"/>
    <x v="9"/>
    <x v="5"/>
    <x v="239"/>
    <x v="205"/>
    <x v="205"/>
    <s v="REVENUS"/>
    <x v="8"/>
    <s v="4091.001"/>
    <s v="Impôt récupéré après défalcations"/>
    <n v="0"/>
    <n v="565.82000000000005"/>
    <n v="4091"/>
  </r>
  <r>
    <x v="2"/>
    <x v="9"/>
    <x v="5"/>
    <x v="240"/>
    <x v="206"/>
    <x v="206"/>
    <s v="CHARGES"/>
    <x v="19"/>
    <s v="3186.002"/>
    <s v="Commission perception IS"/>
    <n v="528.92999999999995"/>
    <n v="0"/>
    <n v="3186"/>
  </r>
  <r>
    <x v="2"/>
    <x v="9"/>
    <x v="5"/>
    <x v="240"/>
    <x v="206"/>
    <x v="206"/>
    <s v="CHARGES"/>
    <x v="1"/>
    <s v="3301.001"/>
    <s v="Défalcations, abandons de solde PP et IS"/>
    <n v="5994.19"/>
    <n v="0"/>
    <n v="3301"/>
  </r>
  <r>
    <x v="2"/>
    <x v="9"/>
    <x v="5"/>
    <x v="240"/>
    <x v="206"/>
    <x v="206"/>
    <s v="REVENUS"/>
    <x v="14"/>
    <s v="4003.000"/>
    <s v="Impôt à la source"/>
    <n v="0"/>
    <n v="24170.26"/>
    <n v="4003"/>
  </r>
  <r>
    <x v="2"/>
    <x v="9"/>
    <x v="5"/>
    <x v="240"/>
    <x v="206"/>
    <x v="206"/>
    <s v="REVENUS"/>
    <x v="6"/>
    <s v="4211.001"/>
    <s v="Intérêts de retard sur factures"/>
    <n v="0"/>
    <n v="97.71"/>
    <n v="4211"/>
  </r>
  <r>
    <x v="2"/>
    <x v="9"/>
    <x v="5"/>
    <x v="240"/>
    <x v="206"/>
    <x v="206"/>
    <s v="REVENUS"/>
    <x v="2"/>
    <s v="4001.010"/>
    <s v="Impôt sourciers mixtes"/>
    <n v="0"/>
    <n v="-7729.16"/>
    <n v="4001"/>
  </r>
  <r>
    <x v="2"/>
    <x v="9"/>
    <x v="5"/>
    <x v="240"/>
    <x v="206"/>
    <x v="206"/>
    <s v="REVENUS"/>
    <x v="8"/>
    <s v="4091.001"/>
    <s v="Impôt récupéré après défalcations"/>
    <n v="0"/>
    <n v="5903.49"/>
    <n v="4091"/>
  </r>
  <r>
    <x v="2"/>
    <x v="9"/>
    <x v="5"/>
    <x v="240"/>
    <x v="206"/>
    <x v="206"/>
    <s v="REVENUS"/>
    <x v="6"/>
    <s v="4211.002"/>
    <s v="Intérêts de retard sur acomptes"/>
    <n v="0"/>
    <n v="61.89"/>
    <n v="4211"/>
  </r>
  <r>
    <x v="2"/>
    <x v="9"/>
    <x v="5"/>
    <x v="240"/>
    <x v="206"/>
    <x v="206"/>
    <s v="REVENUS"/>
    <x v="2"/>
    <s v="4001.001"/>
    <s v="Impôt revenu"/>
    <n v="0"/>
    <n v="1592.57"/>
    <n v="4001"/>
  </r>
  <r>
    <x v="2"/>
    <x v="9"/>
    <x v="5"/>
    <x v="240"/>
    <x v="206"/>
    <x v="206"/>
    <s v="REVENUS"/>
    <x v="2"/>
    <s v="4001.005"/>
    <s v="Amende de soustract. Impôt"/>
    <n v="0"/>
    <n v="83"/>
    <n v="4001"/>
  </r>
  <r>
    <x v="2"/>
    <x v="9"/>
    <x v="5"/>
    <x v="241"/>
    <x v="207"/>
    <x v="207"/>
    <s v="CHARGES"/>
    <x v="19"/>
    <s v="3186.002"/>
    <s v="Commission perception IS"/>
    <n v="19.07"/>
    <n v="0"/>
    <n v="3186"/>
  </r>
  <r>
    <x v="2"/>
    <x v="9"/>
    <x v="5"/>
    <x v="241"/>
    <x v="207"/>
    <x v="207"/>
    <s v="CHARGES"/>
    <x v="1"/>
    <s v="3301.001"/>
    <s v="Défalcations, abandons de solde PP et IS"/>
    <n v="11.68"/>
    <n v="0"/>
    <n v="3301"/>
  </r>
  <r>
    <x v="2"/>
    <x v="9"/>
    <x v="5"/>
    <x v="241"/>
    <x v="207"/>
    <x v="207"/>
    <s v="REVENUS"/>
    <x v="14"/>
    <s v="4003.000"/>
    <s v="Impôt à la source"/>
    <n v="0"/>
    <n v="-221.89"/>
    <n v="4003"/>
  </r>
  <r>
    <x v="2"/>
    <x v="9"/>
    <x v="5"/>
    <x v="241"/>
    <x v="207"/>
    <x v="207"/>
    <s v="REVENUS"/>
    <x v="6"/>
    <s v="4211.001"/>
    <s v="Intérêts de retard sur factures"/>
    <n v="0"/>
    <n v="35.68"/>
    <n v="4211"/>
  </r>
  <r>
    <x v="2"/>
    <x v="9"/>
    <x v="5"/>
    <x v="241"/>
    <x v="207"/>
    <x v="207"/>
    <s v="REVENUS"/>
    <x v="14"/>
    <s v="4003.010"/>
    <s v="IS - Employés et sourciers étrangers"/>
    <n v="0"/>
    <n v="658.95"/>
    <n v="4003"/>
  </r>
  <r>
    <x v="2"/>
    <x v="9"/>
    <x v="5"/>
    <x v="241"/>
    <x v="207"/>
    <x v="207"/>
    <s v="REVENUS"/>
    <x v="6"/>
    <s v="4211.002"/>
    <s v="Intérêts de retard sur acomptes"/>
    <n v="0"/>
    <n v="185.4"/>
    <n v="4211"/>
  </r>
  <r>
    <x v="2"/>
    <x v="9"/>
    <x v="5"/>
    <x v="241"/>
    <x v="207"/>
    <x v="207"/>
    <s v="REVENUS"/>
    <x v="2"/>
    <s v="4001.010"/>
    <s v="Impôt sourciers mixtes"/>
    <n v="0"/>
    <n v="-313.67"/>
    <n v="4001"/>
  </r>
  <r>
    <x v="2"/>
    <x v="9"/>
    <x v="5"/>
    <x v="241"/>
    <x v="207"/>
    <x v="207"/>
    <s v="REVENUS"/>
    <x v="2"/>
    <s v="4001.001"/>
    <s v="Impôt revenu"/>
    <n v="0"/>
    <n v="5450.59"/>
    <n v="4001"/>
  </r>
  <r>
    <x v="2"/>
    <x v="9"/>
    <x v="5"/>
    <x v="241"/>
    <x v="207"/>
    <x v="207"/>
    <s v="REVENUS"/>
    <x v="2"/>
    <s v="4001.002"/>
    <s v="Impôt complément s/revenu PP"/>
    <n v="0"/>
    <n v="3439.11"/>
    <n v="4001"/>
  </r>
  <r>
    <x v="2"/>
    <x v="9"/>
    <x v="5"/>
    <x v="242"/>
    <x v="208"/>
    <x v="208"/>
    <s v="CHARGES"/>
    <x v="19"/>
    <s v="3186.002"/>
    <s v="Commission perception IS"/>
    <n v="2512.65"/>
    <n v="0"/>
    <n v="3186"/>
  </r>
  <r>
    <x v="2"/>
    <x v="9"/>
    <x v="5"/>
    <x v="242"/>
    <x v="208"/>
    <x v="208"/>
    <s v="CHARGES"/>
    <x v="1"/>
    <s v="3301.001"/>
    <s v="Défalcations, abandons de solde PP et IS"/>
    <n v="1659.88"/>
    <n v="0"/>
    <n v="3301"/>
  </r>
  <r>
    <x v="2"/>
    <x v="9"/>
    <x v="5"/>
    <x v="242"/>
    <x v="208"/>
    <x v="208"/>
    <s v="REVENUS"/>
    <x v="14"/>
    <s v="4003.000"/>
    <s v="Impôt à la source"/>
    <n v="0"/>
    <n v="85241.54"/>
    <n v="4003"/>
  </r>
  <r>
    <x v="2"/>
    <x v="9"/>
    <x v="5"/>
    <x v="242"/>
    <x v="208"/>
    <x v="208"/>
    <s v="REVENUS"/>
    <x v="14"/>
    <s v="4003.030"/>
    <s v="IS - Prestations en capital / Prévoyance"/>
    <n v="0"/>
    <n v="10040.99"/>
    <n v="4003"/>
  </r>
  <r>
    <x v="2"/>
    <x v="9"/>
    <x v="5"/>
    <x v="242"/>
    <x v="208"/>
    <x v="208"/>
    <s v="REVENUS"/>
    <x v="6"/>
    <s v="4211.001"/>
    <s v="Intérêts de retard sur factures"/>
    <n v="0"/>
    <n v="248.71"/>
    <n v="4211"/>
  </r>
  <r>
    <x v="2"/>
    <x v="9"/>
    <x v="5"/>
    <x v="242"/>
    <x v="208"/>
    <x v="208"/>
    <s v="REVENUS"/>
    <x v="6"/>
    <s v="4211.002"/>
    <s v="Intérêts de retard sur acomptes"/>
    <n v="0"/>
    <n v="584.19000000000005"/>
    <n v="4211"/>
  </r>
  <r>
    <x v="2"/>
    <x v="9"/>
    <x v="5"/>
    <x v="242"/>
    <x v="208"/>
    <x v="208"/>
    <s v="REVENUS"/>
    <x v="2"/>
    <s v="4001.010"/>
    <s v="Impôt sourciers mixtes"/>
    <n v="0"/>
    <n v="-16002.15"/>
    <n v="4001"/>
  </r>
  <r>
    <x v="2"/>
    <x v="9"/>
    <x v="5"/>
    <x v="242"/>
    <x v="208"/>
    <x v="208"/>
    <s v="REVENUS"/>
    <x v="7"/>
    <s v="4184.000"/>
    <s v="Frais de poursuite"/>
    <n v="0"/>
    <n v="71.94"/>
    <n v="4184"/>
  </r>
  <r>
    <x v="2"/>
    <x v="9"/>
    <x v="5"/>
    <x v="242"/>
    <x v="208"/>
    <x v="208"/>
    <s v="REVENUS"/>
    <x v="14"/>
    <s v="4003.080"/>
    <s v="IS - Participations Hors Suisse"/>
    <n v="0"/>
    <n v="29999.919999999998"/>
    <n v="4003"/>
  </r>
  <r>
    <x v="2"/>
    <x v="9"/>
    <x v="5"/>
    <x v="242"/>
    <x v="208"/>
    <x v="208"/>
    <s v="REVENUS"/>
    <x v="2"/>
    <s v="4001.001"/>
    <s v="Impôt revenu"/>
    <n v="0"/>
    <n v="7783.77"/>
    <n v="4001"/>
  </r>
  <r>
    <x v="2"/>
    <x v="9"/>
    <x v="5"/>
    <x v="242"/>
    <x v="208"/>
    <x v="208"/>
    <s v="REVENUS"/>
    <x v="8"/>
    <s v="4091.001"/>
    <s v="Impôt récupéré après défalcations"/>
    <n v="0"/>
    <n v="1688.19"/>
    <n v="4091"/>
  </r>
  <r>
    <x v="2"/>
    <x v="9"/>
    <x v="5"/>
    <x v="243"/>
    <x v="209"/>
    <x v="209"/>
    <s v="CHARGES"/>
    <x v="19"/>
    <s v="3186.002"/>
    <s v="Commission perception IS"/>
    <n v="1014.07"/>
    <n v="0"/>
    <n v="3186"/>
  </r>
  <r>
    <x v="2"/>
    <x v="9"/>
    <x v="5"/>
    <x v="243"/>
    <x v="209"/>
    <x v="209"/>
    <s v="CHARGES"/>
    <x v="1"/>
    <s v="3301.001"/>
    <s v="Défalcations, abandons de solde PP et IS"/>
    <n v="45.68"/>
    <n v="0"/>
    <n v="3301"/>
  </r>
  <r>
    <x v="2"/>
    <x v="9"/>
    <x v="5"/>
    <x v="243"/>
    <x v="209"/>
    <x v="209"/>
    <s v="REVENUS"/>
    <x v="14"/>
    <s v="4003.000"/>
    <s v="Impôt à la source"/>
    <n v="0"/>
    <n v="29002.38"/>
    <n v="4003"/>
  </r>
  <r>
    <x v="2"/>
    <x v="9"/>
    <x v="5"/>
    <x v="243"/>
    <x v="209"/>
    <x v="209"/>
    <s v="REVENUS"/>
    <x v="6"/>
    <s v="4211.001"/>
    <s v="Intérêts de retard sur factures"/>
    <n v="0"/>
    <n v="4.9000000000000004"/>
    <n v="4211"/>
  </r>
  <r>
    <x v="2"/>
    <x v="9"/>
    <x v="5"/>
    <x v="243"/>
    <x v="209"/>
    <x v="209"/>
    <s v="REVENUS"/>
    <x v="2"/>
    <s v="4001.010"/>
    <s v="Impôt sourciers mixtes"/>
    <n v="0"/>
    <n v="3072.47"/>
    <n v="4001"/>
  </r>
  <r>
    <x v="2"/>
    <x v="9"/>
    <x v="5"/>
    <x v="243"/>
    <x v="209"/>
    <x v="209"/>
    <s v="REVENUS"/>
    <x v="6"/>
    <s v="4211.002"/>
    <s v="Intérêts de retard sur acomptes"/>
    <n v="0"/>
    <n v="32.56"/>
    <n v="4211"/>
  </r>
  <r>
    <x v="2"/>
    <x v="9"/>
    <x v="5"/>
    <x v="243"/>
    <x v="209"/>
    <x v="209"/>
    <s v="REVENUS"/>
    <x v="8"/>
    <s v="4091.001"/>
    <s v="Impôt récupéré après défalcations"/>
    <n v="0"/>
    <n v="40.33"/>
    <n v="4091"/>
  </r>
  <r>
    <x v="2"/>
    <x v="9"/>
    <x v="5"/>
    <x v="243"/>
    <x v="209"/>
    <x v="209"/>
    <s v="REVENUS"/>
    <x v="2"/>
    <s v="4001.001"/>
    <s v="Impôt revenu"/>
    <n v="0"/>
    <n v="5058.7299999999996"/>
    <n v="4001"/>
  </r>
  <r>
    <x v="2"/>
    <x v="9"/>
    <x v="5"/>
    <x v="243"/>
    <x v="209"/>
    <x v="209"/>
    <s v="REVENUS"/>
    <x v="2"/>
    <s v="4001.005"/>
    <s v="Amende de soustract. Impôt"/>
    <n v="0"/>
    <n v="167"/>
    <n v="4001"/>
  </r>
  <r>
    <x v="2"/>
    <x v="9"/>
    <x v="5"/>
    <x v="244"/>
    <x v="210"/>
    <x v="210"/>
    <s v="CHARGES"/>
    <x v="1"/>
    <s v="3301.001"/>
    <s v="Défalcations, abandons de solde PP et IS"/>
    <n v="143.58000000000001"/>
    <n v="0"/>
    <n v="3301"/>
  </r>
  <r>
    <x v="2"/>
    <x v="9"/>
    <x v="5"/>
    <x v="244"/>
    <x v="210"/>
    <x v="210"/>
    <s v="CHARGES"/>
    <x v="19"/>
    <s v="3186.002"/>
    <s v="Commission perception IS"/>
    <n v="747.79"/>
    <n v="0"/>
    <n v="3186"/>
  </r>
  <r>
    <x v="2"/>
    <x v="9"/>
    <x v="5"/>
    <x v="244"/>
    <x v="210"/>
    <x v="210"/>
    <s v="REVENUS"/>
    <x v="14"/>
    <s v="4003.000"/>
    <s v="Impôt à la source"/>
    <n v="0"/>
    <n v="15676.82"/>
    <n v="4003"/>
  </r>
  <r>
    <x v="2"/>
    <x v="9"/>
    <x v="5"/>
    <x v="244"/>
    <x v="210"/>
    <x v="210"/>
    <s v="REVENUS"/>
    <x v="2"/>
    <s v="4001.010"/>
    <s v="Impôt sourciers mixtes"/>
    <n v="0"/>
    <n v="4958.7700000000004"/>
    <n v="4001"/>
  </r>
  <r>
    <x v="2"/>
    <x v="9"/>
    <x v="5"/>
    <x v="244"/>
    <x v="210"/>
    <x v="210"/>
    <s v="REVENUS"/>
    <x v="6"/>
    <s v="4211.001"/>
    <s v="Intérêts de retard sur factures"/>
    <n v="0"/>
    <n v="77.17"/>
    <n v="4211"/>
  </r>
  <r>
    <x v="2"/>
    <x v="9"/>
    <x v="5"/>
    <x v="244"/>
    <x v="210"/>
    <x v="210"/>
    <s v="REVENUS"/>
    <x v="6"/>
    <s v="4211.002"/>
    <s v="Intérêts de retard sur acomptes"/>
    <n v="0"/>
    <n v="149.63"/>
    <n v="4211"/>
  </r>
  <r>
    <x v="2"/>
    <x v="9"/>
    <x v="5"/>
    <x v="244"/>
    <x v="210"/>
    <x v="210"/>
    <s v="REVENUS"/>
    <x v="8"/>
    <s v="4091.001"/>
    <s v="Impôt récupéré après défalcations"/>
    <n v="0"/>
    <n v="0"/>
    <n v="4091"/>
  </r>
  <r>
    <x v="2"/>
    <x v="9"/>
    <x v="5"/>
    <x v="244"/>
    <x v="210"/>
    <x v="210"/>
    <s v="REVENUS"/>
    <x v="14"/>
    <s v="4003.010"/>
    <s v="IS - Employés et sourciers étrangers"/>
    <n v="0"/>
    <n v="124.32"/>
    <n v="4003"/>
  </r>
  <r>
    <x v="2"/>
    <x v="9"/>
    <x v="5"/>
    <x v="245"/>
    <x v="211"/>
    <x v="211"/>
    <s v="CHARGES"/>
    <x v="19"/>
    <s v="3186.002"/>
    <s v="Commission perception IS"/>
    <n v="209.09"/>
    <n v="0"/>
    <n v="3186"/>
  </r>
  <r>
    <x v="2"/>
    <x v="9"/>
    <x v="5"/>
    <x v="245"/>
    <x v="211"/>
    <x v="211"/>
    <s v="REVENUS"/>
    <x v="14"/>
    <s v="4003.000"/>
    <s v="Impôt à la source"/>
    <n v="0"/>
    <n v="11774.59"/>
    <n v="4003"/>
  </r>
  <r>
    <x v="2"/>
    <x v="9"/>
    <x v="5"/>
    <x v="245"/>
    <x v="211"/>
    <x v="211"/>
    <s v="REVENUS"/>
    <x v="6"/>
    <s v="4211.002"/>
    <s v="Intérêts de retard sur acomptes"/>
    <n v="0"/>
    <n v="26.64"/>
    <n v="4211"/>
  </r>
  <r>
    <x v="2"/>
    <x v="9"/>
    <x v="5"/>
    <x v="245"/>
    <x v="211"/>
    <x v="211"/>
    <s v="REVENUS"/>
    <x v="7"/>
    <s v="4184.000"/>
    <s v="Frais de poursuite"/>
    <n v="0"/>
    <n v="50.43"/>
    <n v="4184"/>
  </r>
  <r>
    <x v="2"/>
    <x v="9"/>
    <x v="5"/>
    <x v="245"/>
    <x v="211"/>
    <x v="211"/>
    <s v="REVENUS"/>
    <x v="6"/>
    <s v="4211.001"/>
    <s v="Intérêts de retard sur factures"/>
    <n v="0"/>
    <n v="7.3"/>
    <n v="4211"/>
  </r>
  <r>
    <x v="2"/>
    <x v="9"/>
    <x v="5"/>
    <x v="246"/>
    <x v="212"/>
    <x v="212"/>
    <s v="CHARGES"/>
    <x v="19"/>
    <s v="3186.002"/>
    <s v="Commission perception IS"/>
    <n v="3.97"/>
    <n v="0"/>
    <n v="3186"/>
  </r>
  <r>
    <x v="2"/>
    <x v="9"/>
    <x v="5"/>
    <x v="246"/>
    <x v="212"/>
    <x v="212"/>
    <s v="CHARGES"/>
    <x v="1"/>
    <s v="3301.001"/>
    <s v="Défalcations, abandons de solde PP et IS"/>
    <n v="0.85"/>
    <n v="0"/>
    <n v="3301"/>
  </r>
  <r>
    <x v="2"/>
    <x v="9"/>
    <x v="5"/>
    <x v="246"/>
    <x v="212"/>
    <x v="212"/>
    <s v="REVENUS"/>
    <x v="6"/>
    <s v="4211.001"/>
    <s v="Intérêts de retard sur factures"/>
    <n v="0"/>
    <n v="4.82"/>
    <n v="4211"/>
  </r>
  <r>
    <x v="2"/>
    <x v="9"/>
    <x v="5"/>
    <x v="246"/>
    <x v="212"/>
    <x v="212"/>
    <s v="REVENUS"/>
    <x v="14"/>
    <s v="4003.000"/>
    <s v="Impôt à la source"/>
    <n v="0"/>
    <n v="193.7"/>
    <n v="4003"/>
  </r>
  <r>
    <x v="2"/>
    <x v="9"/>
    <x v="5"/>
    <x v="246"/>
    <x v="212"/>
    <x v="212"/>
    <s v="REVENUS"/>
    <x v="2"/>
    <s v="4001.010"/>
    <s v="Impôt sourciers mixtes"/>
    <n v="0"/>
    <n v="76.489999999999995"/>
    <n v="4001"/>
  </r>
  <r>
    <x v="2"/>
    <x v="9"/>
    <x v="5"/>
    <x v="246"/>
    <x v="212"/>
    <x v="212"/>
    <s v="REVENUS"/>
    <x v="6"/>
    <s v="4211.002"/>
    <s v="Intérêts de retard sur acomptes"/>
    <n v="0"/>
    <n v="1.28"/>
    <n v="4211"/>
  </r>
  <r>
    <x v="2"/>
    <x v="9"/>
    <x v="5"/>
    <x v="247"/>
    <x v="213"/>
    <x v="213"/>
    <s v="CHARGES"/>
    <x v="19"/>
    <s v="3186.002"/>
    <s v="Commission perception IS"/>
    <n v="8891.7199999999993"/>
    <n v="0"/>
    <n v="3186"/>
  </r>
  <r>
    <x v="2"/>
    <x v="9"/>
    <x v="5"/>
    <x v="247"/>
    <x v="213"/>
    <x v="213"/>
    <s v="CHARGES"/>
    <x v="1"/>
    <s v="3301.001"/>
    <s v="Défalcations, abandons de solde PP et IS"/>
    <n v="4658.63"/>
    <n v="0"/>
    <n v="3301"/>
  </r>
  <r>
    <x v="2"/>
    <x v="9"/>
    <x v="5"/>
    <x v="247"/>
    <x v="213"/>
    <x v="213"/>
    <s v="REVENUS"/>
    <x v="2"/>
    <s v="4001.010"/>
    <s v="Impôt sourciers mixtes"/>
    <n v="0"/>
    <n v="-13826.29"/>
    <n v="4001"/>
  </r>
  <r>
    <x v="2"/>
    <x v="9"/>
    <x v="5"/>
    <x v="247"/>
    <x v="213"/>
    <x v="213"/>
    <s v="REVENUS"/>
    <x v="14"/>
    <s v="4003.000"/>
    <s v="Impôt à la source"/>
    <n v="0"/>
    <n v="209646.15"/>
    <n v="4003"/>
  </r>
  <r>
    <x v="2"/>
    <x v="9"/>
    <x v="5"/>
    <x v="247"/>
    <x v="213"/>
    <x v="213"/>
    <s v="REVENUS"/>
    <x v="6"/>
    <s v="4211.001"/>
    <s v="Intérêts de retard sur factures"/>
    <n v="0"/>
    <n v="996.1"/>
    <n v="4211"/>
  </r>
  <r>
    <x v="2"/>
    <x v="9"/>
    <x v="5"/>
    <x v="247"/>
    <x v="213"/>
    <x v="213"/>
    <s v="REVENUS"/>
    <x v="6"/>
    <s v="4211.002"/>
    <s v="Intérêts de retard sur acomptes"/>
    <n v="0"/>
    <n v="1627.15"/>
    <n v="4211"/>
  </r>
  <r>
    <x v="2"/>
    <x v="9"/>
    <x v="5"/>
    <x v="247"/>
    <x v="213"/>
    <x v="213"/>
    <s v="REVENUS"/>
    <x v="14"/>
    <s v="4003.010"/>
    <s v="IS - Employés et sourciers étrangers"/>
    <n v="0"/>
    <n v="430"/>
    <n v="4003"/>
  </r>
  <r>
    <x v="2"/>
    <x v="9"/>
    <x v="5"/>
    <x v="247"/>
    <x v="213"/>
    <x v="213"/>
    <s v="REVENUS"/>
    <x v="8"/>
    <s v="4091.001"/>
    <s v="Impôt récupéré après défalcations"/>
    <n v="0"/>
    <n v="11.17"/>
    <n v="4091"/>
  </r>
  <r>
    <x v="2"/>
    <x v="9"/>
    <x v="5"/>
    <x v="247"/>
    <x v="213"/>
    <x v="213"/>
    <s v="REVENUS"/>
    <x v="7"/>
    <s v="4184.000"/>
    <s v="Frais de poursuite"/>
    <n v="0"/>
    <n v="372.45"/>
    <n v="4184"/>
  </r>
  <r>
    <x v="2"/>
    <x v="9"/>
    <x v="5"/>
    <x v="247"/>
    <x v="213"/>
    <x v="213"/>
    <s v="REVENUS"/>
    <x v="2"/>
    <s v="4001.001"/>
    <s v="Impôt revenu"/>
    <n v="0"/>
    <n v="57027.93"/>
    <n v="4001"/>
  </r>
  <r>
    <x v="2"/>
    <x v="9"/>
    <x v="5"/>
    <x v="247"/>
    <x v="213"/>
    <x v="213"/>
    <s v="REVENUS"/>
    <x v="2"/>
    <s v="4001.002"/>
    <s v="Impôt complément s/revenu PP"/>
    <n v="0"/>
    <n v="2458.19"/>
    <n v="4001"/>
  </r>
  <r>
    <x v="2"/>
    <x v="9"/>
    <x v="5"/>
    <x v="247"/>
    <x v="213"/>
    <x v="213"/>
    <s v="REVENUS"/>
    <x v="14"/>
    <s v="4003.070"/>
    <s v="IS - Loi travail au noir"/>
    <n v="0"/>
    <n v="8.93"/>
    <n v="4003"/>
  </r>
  <r>
    <x v="2"/>
    <x v="9"/>
    <x v="5"/>
    <x v="248"/>
    <x v="214"/>
    <x v="214"/>
    <s v="CHARGES"/>
    <x v="19"/>
    <s v="3186.002"/>
    <s v="Commission perception IS"/>
    <n v="203.72"/>
    <n v="0"/>
    <n v="3186"/>
  </r>
  <r>
    <x v="2"/>
    <x v="9"/>
    <x v="5"/>
    <x v="248"/>
    <x v="214"/>
    <x v="214"/>
    <s v="CHARGES"/>
    <x v="1"/>
    <s v="3301.001"/>
    <s v="Défalcations, abandons de solde PP et IS"/>
    <n v="0.35"/>
    <n v="0"/>
    <n v="3301"/>
  </r>
  <r>
    <x v="2"/>
    <x v="9"/>
    <x v="5"/>
    <x v="248"/>
    <x v="214"/>
    <x v="214"/>
    <s v="REVENUS"/>
    <x v="14"/>
    <s v="4003.000"/>
    <s v="Impôt à la source"/>
    <n v="0"/>
    <n v="-3129.71"/>
    <n v="4003"/>
  </r>
  <r>
    <x v="2"/>
    <x v="9"/>
    <x v="5"/>
    <x v="248"/>
    <x v="214"/>
    <x v="214"/>
    <s v="REVENUS"/>
    <x v="6"/>
    <s v="4211.002"/>
    <s v="Intérêts de retard sur acomptes"/>
    <n v="0"/>
    <n v="7.14"/>
    <n v="4211"/>
  </r>
  <r>
    <x v="2"/>
    <x v="9"/>
    <x v="5"/>
    <x v="248"/>
    <x v="214"/>
    <x v="214"/>
    <s v="REVENUS"/>
    <x v="6"/>
    <s v="4211.001"/>
    <s v="Intérêts de retard sur factures"/>
    <n v="0"/>
    <n v="0.4"/>
    <n v="4211"/>
  </r>
  <r>
    <x v="2"/>
    <x v="9"/>
    <x v="5"/>
    <x v="248"/>
    <x v="214"/>
    <x v="214"/>
    <s v="REVENUS"/>
    <x v="2"/>
    <s v="4001.001"/>
    <s v="Impôt revenu"/>
    <n v="0"/>
    <n v="4581.79"/>
    <n v="4001"/>
  </r>
  <r>
    <x v="2"/>
    <x v="9"/>
    <x v="5"/>
    <x v="248"/>
    <x v="214"/>
    <x v="214"/>
    <s v="REVENUS"/>
    <x v="2"/>
    <s v="4001.010"/>
    <s v="Impôt sourciers mixtes"/>
    <n v="0"/>
    <n v="1883.78"/>
    <n v="4001"/>
  </r>
  <r>
    <x v="2"/>
    <x v="9"/>
    <x v="5"/>
    <x v="249"/>
    <x v="213"/>
    <x v="213"/>
    <s v="CHARGES"/>
    <x v="1"/>
    <s v="3301.001"/>
    <s v="Défalcations, abandons de solde PP et IS"/>
    <n v="1471.1"/>
    <n v="0"/>
    <n v="3301"/>
  </r>
  <r>
    <x v="2"/>
    <x v="9"/>
    <x v="5"/>
    <x v="249"/>
    <x v="213"/>
    <x v="213"/>
    <s v="CHARGES"/>
    <x v="19"/>
    <s v="3186.002"/>
    <s v="Commission perception IS"/>
    <n v="-14.19"/>
    <n v="0"/>
    <n v="3186"/>
  </r>
  <r>
    <x v="2"/>
    <x v="9"/>
    <x v="5"/>
    <x v="249"/>
    <x v="213"/>
    <x v="213"/>
    <s v="REVENUS"/>
    <x v="6"/>
    <s v="4211.002"/>
    <s v="Intérêts de retard sur acomptes"/>
    <n v="0"/>
    <n v="12.69"/>
    <n v="4211"/>
  </r>
  <r>
    <x v="2"/>
    <x v="9"/>
    <x v="5"/>
    <x v="249"/>
    <x v="213"/>
    <x v="213"/>
    <s v="REVENUS"/>
    <x v="6"/>
    <s v="4211.001"/>
    <s v="Intérêts de retard sur factures"/>
    <n v="0"/>
    <n v="37.520000000000003"/>
    <n v="4211"/>
  </r>
  <r>
    <x v="2"/>
    <x v="9"/>
    <x v="5"/>
    <x v="249"/>
    <x v="213"/>
    <x v="213"/>
    <s v="REVENUS"/>
    <x v="7"/>
    <s v="4184.000"/>
    <s v="Frais de poursuite"/>
    <n v="0"/>
    <n v="38.79"/>
    <n v="4184"/>
  </r>
  <r>
    <x v="2"/>
    <x v="9"/>
    <x v="5"/>
    <x v="249"/>
    <x v="213"/>
    <x v="213"/>
    <s v="REVENUS"/>
    <x v="8"/>
    <s v="4091.001"/>
    <s v="Impôt récupéré après défalcations"/>
    <n v="0"/>
    <n v="1400.78"/>
    <n v="4091"/>
  </r>
  <r>
    <x v="2"/>
    <x v="9"/>
    <x v="5"/>
    <x v="250"/>
    <x v="215"/>
    <x v="215"/>
    <s v="CHARGES"/>
    <x v="19"/>
    <s v="3186.002"/>
    <s v="Commission perception IS"/>
    <n v="217.76"/>
    <n v="0"/>
    <n v="3186"/>
  </r>
  <r>
    <x v="2"/>
    <x v="9"/>
    <x v="5"/>
    <x v="250"/>
    <x v="215"/>
    <x v="215"/>
    <s v="CHARGES"/>
    <x v="1"/>
    <s v="3301.001"/>
    <s v="Défalcations, abandons de solde PP et IS"/>
    <n v="-0.02"/>
    <n v="0"/>
    <n v="3301"/>
  </r>
  <r>
    <x v="2"/>
    <x v="9"/>
    <x v="5"/>
    <x v="250"/>
    <x v="215"/>
    <x v="215"/>
    <s v="REVENUS"/>
    <x v="14"/>
    <s v="4003.000"/>
    <s v="Impôt à la source"/>
    <n v="0"/>
    <n v="10649.79"/>
    <n v="4003"/>
  </r>
  <r>
    <x v="2"/>
    <x v="9"/>
    <x v="5"/>
    <x v="250"/>
    <x v="215"/>
    <x v="215"/>
    <s v="REVENUS"/>
    <x v="7"/>
    <s v="4184.000"/>
    <s v="Frais de poursuite"/>
    <n v="0"/>
    <n v="0.18"/>
    <n v="4184"/>
  </r>
  <r>
    <x v="2"/>
    <x v="9"/>
    <x v="5"/>
    <x v="250"/>
    <x v="215"/>
    <x v="215"/>
    <s v="REVENUS"/>
    <x v="6"/>
    <s v="4211.002"/>
    <s v="Intérêts de retard sur acomptes"/>
    <n v="0"/>
    <n v="34.909999999999997"/>
    <n v="4211"/>
  </r>
  <r>
    <x v="2"/>
    <x v="9"/>
    <x v="5"/>
    <x v="250"/>
    <x v="215"/>
    <x v="215"/>
    <s v="REVENUS"/>
    <x v="6"/>
    <s v="4211.001"/>
    <s v="Intérêts de retard sur factures"/>
    <n v="0"/>
    <n v="14.51"/>
    <n v="4211"/>
  </r>
  <r>
    <x v="2"/>
    <x v="9"/>
    <x v="5"/>
    <x v="250"/>
    <x v="215"/>
    <x v="215"/>
    <s v="REVENUS"/>
    <x v="2"/>
    <s v="4001.010"/>
    <s v="Impôt sourciers mixtes"/>
    <n v="0"/>
    <n v="-12.21"/>
    <n v="4001"/>
  </r>
  <r>
    <x v="2"/>
    <x v="9"/>
    <x v="5"/>
    <x v="251"/>
    <x v="216"/>
    <x v="216"/>
    <s v="CHARGES"/>
    <x v="19"/>
    <s v="3186.002"/>
    <s v="Commission perception IS"/>
    <n v="181.84"/>
    <n v="0"/>
    <n v="3186"/>
  </r>
  <r>
    <x v="2"/>
    <x v="9"/>
    <x v="5"/>
    <x v="251"/>
    <x v="216"/>
    <x v="216"/>
    <s v="CHARGES"/>
    <x v="1"/>
    <s v="3301.001"/>
    <s v="Défalcations, abandons de solde PP et IS"/>
    <n v="0.32"/>
    <n v="0"/>
    <n v="3301"/>
  </r>
  <r>
    <x v="2"/>
    <x v="9"/>
    <x v="5"/>
    <x v="251"/>
    <x v="216"/>
    <x v="216"/>
    <s v="REVENUS"/>
    <x v="14"/>
    <s v="4003.000"/>
    <s v="Impôt à la source"/>
    <n v="0"/>
    <n v="2830.32"/>
    <n v="4003"/>
  </r>
  <r>
    <x v="2"/>
    <x v="9"/>
    <x v="5"/>
    <x v="251"/>
    <x v="216"/>
    <x v="216"/>
    <s v="REVENUS"/>
    <x v="6"/>
    <s v="4211.001"/>
    <s v="Intérêts de retard sur factures"/>
    <n v="0"/>
    <n v="1.77"/>
    <n v="4211"/>
  </r>
  <r>
    <x v="2"/>
    <x v="9"/>
    <x v="5"/>
    <x v="251"/>
    <x v="216"/>
    <x v="216"/>
    <s v="REVENUS"/>
    <x v="2"/>
    <s v="4001.001"/>
    <s v="Impôt revenu"/>
    <n v="0"/>
    <n v="6163.44"/>
    <n v="4001"/>
  </r>
  <r>
    <x v="2"/>
    <x v="9"/>
    <x v="5"/>
    <x v="251"/>
    <x v="216"/>
    <x v="216"/>
    <s v="REVENUS"/>
    <x v="6"/>
    <s v="4211.002"/>
    <s v="Intérêts de retard sur acomptes"/>
    <n v="0"/>
    <n v="18.91"/>
    <n v="4211"/>
  </r>
  <r>
    <x v="2"/>
    <x v="9"/>
    <x v="5"/>
    <x v="251"/>
    <x v="216"/>
    <x v="216"/>
    <s v="REVENUS"/>
    <x v="2"/>
    <s v="4001.010"/>
    <s v="Impôt sourciers mixtes"/>
    <n v="0"/>
    <n v="143.55000000000001"/>
    <n v="4001"/>
  </r>
  <r>
    <x v="2"/>
    <x v="9"/>
    <x v="5"/>
    <x v="252"/>
    <x v="217"/>
    <x v="217"/>
    <s v="CHARGES"/>
    <x v="19"/>
    <s v="3186.002"/>
    <s v="Commission perception IS"/>
    <n v="136.1"/>
    <n v="0"/>
    <n v="3186"/>
  </r>
  <r>
    <x v="2"/>
    <x v="9"/>
    <x v="5"/>
    <x v="252"/>
    <x v="217"/>
    <x v="217"/>
    <s v="CHARGES"/>
    <x v="1"/>
    <s v="3301.001"/>
    <s v="Défalcations, abandons de solde PP et IS"/>
    <n v="47.68"/>
    <n v="0"/>
    <n v="3301"/>
  </r>
  <r>
    <x v="2"/>
    <x v="9"/>
    <x v="5"/>
    <x v="252"/>
    <x v="217"/>
    <x v="217"/>
    <s v="REVENUS"/>
    <x v="14"/>
    <s v="4003.000"/>
    <s v="Impôt à la source"/>
    <n v="0"/>
    <n v="2001.7"/>
    <n v="4003"/>
  </r>
  <r>
    <x v="2"/>
    <x v="9"/>
    <x v="5"/>
    <x v="252"/>
    <x v="217"/>
    <x v="217"/>
    <s v="REVENUS"/>
    <x v="2"/>
    <s v="4001.010"/>
    <s v="Impôt sourciers mixtes"/>
    <n v="0"/>
    <n v="2758.68"/>
    <n v="4001"/>
  </r>
  <r>
    <x v="2"/>
    <x v="9"/>
    <x v="5"/>
    <x v="252"/>
    <x v="217"/>
    <x v="217"/>
    <s v="REVENUS"/>
    <x v="6"/>
    <s v="4211.001"/>
    <s v="Intérêts de retard sur factures"/>
    <n v="0"/>
    <n v="102.15"/>
    <n v="4211"/>
  </r>
  <r>
    <x v="2"/>
    <x v="9"/>
    <x v="5"/>
    <x v="252"/>
    <x v="217"/>
    <x v="217"/>
    <s v="REVENUS"/>
    <x v="6"/>
    <s v="4211.002"/>
    <s v="Intérêts de retard sur acomptes"/>
    <n v="0"/>
    <n v="74.87"/>
    <n v="4211"/>
  </r>
  <r>
    <x v="2"/>
    <x v="9"/>
    <x v="5"/>
    <x v="252"/>
    <x v="217"/>
    <x v="217"/>
    <s v="REVENUS"/>
    <x v="7"/>
    <s v="4184.000"/>
    <s v="Frais de poursuite"/>
    <n v="0"/>
    <n v="54.91"/>
    <n v="4184"/>
  </r>
  <r>
    <x v="2"/>
    <x v="9"/>
    <x v="5"/>
    <x v="252"/>
    <x v="217"/>
    <x v="217"/>
    <s v="REVENUS"/>
    <x v="8"/>
    <s v="4091.001"/>
    <s v="Impôt récupéré après défalcations"/>
    <n v="0"/>
    <n v="0"/>
    <n v="4091"/>
  </r>
  <r>
    <x v="2"/>
    <x v="9"/>
    <x v="5"/>
    <x v="253"/>
    <x v="218"/>
    <x v="218"/>
    <s v="CHARGES"/>
    <x v="19"/>
    <s v="3186.002"/>
    <s v="Commission perception IS"/>
    <n v="140.80000000000001"/>
    <n v="0"/>
    <n v="3186"/>
  </r>
  <r>
    <x v="2"/>
    <x v="9"/>
    <x v="5"/>
    <x v="253"/>
    <x v="218"/>
    <x v="218"/>
    <s v="CHARGES"/>
    <x v="1"/>
    <s v="3301.001"/>
    <s v="Défalcations, abandons de solde PP et IS"/>
    <n v="-0.37"/>
    <n v="0"/>
    <n v="3301"/>
  </r>
  <r>
    <x v="2"/>
    <x v="9"/>
    <x v="5"/>
    <x v="253"/>
    <x v="218"/>
    <x v="218"/>
    <s v="REVENUS"/>
    <x v="14"/>
    <s v="4003.000"/>
    <s v="Impôt à la source"/>
    <n v="0"/>
    <n v="7332.29"/>
    <n v="4003"/>
  </r>
  <r>
    <x v="2"/>
    <x v="9"/>
    <x v="5"/>
    <x v="253"/>
    <x v="218"/>
    <x v="218"/>
    <s v="REVENUS"/>
    <x v="6"/>
    <s v="4211.001"/>
    <s v="Intérêts de retard sur factures"/>
    <n v="0"/>
    <n v="1.91"/>
    <n v="4211"/>
  </r>
  <r>
    <x v="2"/>
    <x v="9"/>
    <x v="5"/>
    <x v="253"/>
    <x v="218"/>
    <x v="218"/>
    <s v="REVENUS"/>
    <x v="6"/>
    <s v="4211.002"/>
    <s v="Intérêts de retard sur acomptes"/>
    <n v="0"/>
    <n v="37.619999999999997"/>
    <n v="4211"/>
  </r>
  <r>
    <x v="2"/>
    <x v="9"/>
    <x v="5"/>
    <x v="253"/>
    <x v="218"/>
    <x v="218"/>
    <s v="REVENUS"/>
    <x v="14"/>
    <s v="4003.070"/>
    <s v="IS - Loi travail au noir"/>
    <n v="0"/>
    <n v="174.49"/>
    <n v="4003"/>
  </r>
  <r>
    <x v="2"/>
    <x v="9"/>
    <x v="5"/>
    <x v="253"/>
    <x v="218"/>
    <x v="218"/>
    <s v="REVENUS"/>
    <x v="14"/>
    <s v="4003.020"/>
    <s v="IS - Artistes - Conférenciers - Sportifs"/>
    <n v="0"/>
    <n v="11.92"/>
    <n v="4003"/>
  </r>
  <r>
    <x v="2"/>
    <x v="9"/>
    <x v="5"/>
    <x v="253"/>
    <x v="218"/>
    <x v="218"/>
    <s v="REVENUS"/>
    <x v="7"/>
    <s v="4184.000"/>
    <s v="Frais de poursuite"/>
    <n v="0"/>
    <n v="65.069999999999993"/>
    <n v="4184"/>
  </r>
  <r>
    <x v="2"/>
    <x v="9"/>
    <x v="5"/>
    <x v="253"/>
    <x v="218"/>
    <x v="218"/>
    <s v="REVENUS"/>
    <x v="2"/>
    <s v="4001.010"/>
    <s v="Impôt sourciers mixtes"/>
    <n v="0"/>
    <n v="-11029.38"/>
    <n v="4001"/>
  </r>
  <r>
    <x v="2"/>
    <x v="9"/>
    <x v="5"/>
    <x v="254"/>
    <x v="219"/>
    <x v="219"/>
    <s v="CHARGES"/>
    <x v="19"/>
    <s v="3186.002"/>
    <s v="Commission perception IS"/>
    <n v="19284.37"/>
    <n v="0"/>
    <n v="3186"/>
  </r>
  <r>
    <x v="2"/>
    <x v="9"/>
    <x v="5"/>
    <x v="254"/>
    <x v="219"/>
    <x v="219"/>
    <s v="CHARGES"/>
    <x v="1"/>
    <s v="3301.001"/>
    <s v="Défalcations, abandons de solde PP et IS"/>
    <n v="20807.77"/>
    <n v="0"/>
    <n v="3301"/>
  </r>
  <r>
    <x v="2"/>
    <x v="9"/>
    <x v="5"/>
    <x v="254"/>
    <x v="219"/>
    <x v="219"/>
    <s v="REVENUS"/>
    <x v="14"/>
    <s v="4003.000"/>
    <s v="Impôt à la source"/>
    <n v="0"/>
    <n v="425893.32"/>
    <n v="4003"/>
  </r>
  <r>
    <x v="2"/>
    <x v="9"/>
    <x v="5"/>
    <x v="254"/>
    <x v="219"/>
    <x v="219"/>
    <s v="REVENUS"/>
    <x v="2"/>
    <s v="4001.010"/>
    <s v="Impôt sourciers mixtes"/>
    <n v="0"/>
    <n v="70172.09"/>
    <n v="4001"/>
  </r>
  <r>
    <x v="2"/>
    <x v="9"/>
    <x v="5"/>
    <x v="254"/>
    <x v="219"/>
    <x v="219"/>
    <s v="REVENUS"/>
    <x v="6"/>
    <s v="4211.002"/>
    <s v="Intérêts de retard sur acomptes"/>
    <n v="0"/>
    <n v="2331.96"/>
    <n v="4211"/>
  </r>
  <r>
    <x v="2"/>
    <x v="9"/>
    <x v="5"/>
    <x v="254"/>
    <x v="219"/>
    <x v="219"/>
    <s v="REVENUS"/>
    <x v="6"/>
    <s v="4211.001"/>
    <s v="Intérêts de retard sur factures"/>
    <n v="0"/>
    <n v="1774.41"/>
    <n v="4211"/>
  </r>
  <r>
    <x v="2"/>
    <x v="9"/>
    <x v="5"/>
    <x v="254"/>
    <x v="219"/>
    <x v="219"/>
    <s v="REVENUS"/>
    <x v="2"/>
    <s v="4001.001"/>
    <s v="Impôt revenu"/>
    <n v="0"/>
    <n v="130705.34"/>
    <n v="4001"/>
  </r>
  <r>
    <x v="2"/>
    <x v="9"/>
    <x v="5"/>
    <x v="254"/>
    <x v="219"/>
    <x v="219"/>
    <s v="REVENUS"/>
    <x v="8"/>
    <s v="4091.001"/>
    <s v="Impôt récupéré après défalcations"/>
    <n v="0"/>
    <n v="-41.29"/>
    <n v="4091"/>
  </r>
  <r>
    <x v="2"/>
    <x v="9"/>
    <x v="5"/>
    <x v="254"/>
    <x v="219"/>
    <x v="219"/>
    <s v="REVENUS"/>
    <x v="7"/>
    <s v="4184.000"/>
    <s v="Frais de poursuite"/>
    <n v="0"/>
    <n v="474.31"/>
    <n v="4184"/>
  </r>
  <r>
    <x v="2"/>
    <x v="9"/>
    <x v="5"/>
    <x v="254"/>
    <x v="219"/>
    <x v="219"/>
    <s v="REVENUS"/>
    <x v="2"/>
    <s v="4001.005"/>
    <s v="Amende de soustract. Impôt"/>
    <n v="0"/>
    <n v="796.68"/>
    <n v="4001"/>
  </r>
  <r>
    <x v="2"/>
    <x v="9"/>
    <x v="5"/>
    <x v="254"/>
    <x v="219"/>
    <x v="219"/>
    <s v="REVENUS"/>
    <x v="14"/>
    <s v="4003.060"/>
    <s v="IS - Administrateurs"/>
    <n v="0"/>
    <n v="10550.97"/>
    <n v="4003"/>
  </r>
  <r>
    <x v="2"/>
    <x v="9"/>
    <x v="5"/>
    <x v="254"/>
    <x v="219"/>
    <x v="219"/>
    <s v="REVENUS"/>
    <x v="2"/>
    <s v="4001.002"/>
    <s v="Impôt complément s/revenu PP"/>
    <n v="0"/>
    <n v="5923.21"/>
    <n v="4001"/>
  </r>
  <r>
    <x v="2"/>
    <x v="9"/>
    <x v="5"/>
    <x v="254"/>
    <x v="219"/>
    <x v="219"/>
    <s v="REVENUS"/>
    <x v="14"/>
    <s v="4003.070"/>
    <s v="IS - Loi travail au noir"/>
    <n v="0"/>
    <n v="1002.45"/>
    <n v="4003"/>
  </r>
  <r>
    <x v="2"/>
    <x v="9"/>
    <x v="5"/>
    <x v="254"/>
    <x v="219"/>
    <x v="219"/>
    <s v="REVENUS"/>
    <x v="14"/>
    <s v="4003.020"/>
    <s v="IS - Artistes - Conférenciers - Sportifs"/>
    <n v="0"/>
    <n v="11.87"/>
    <n v="4003"/>
  </r>
  <r>
    <x v="2"/>
    <x v="9"/>
    <x v="5"/>
    <x v="255"/>
    <x v="220"/>
    <x v="220"/>
    <s v="CHARGES"/>
    <x v="19"/>
    <s v="3186.002"/>
    <s v="Commission perception IS"/>
    <n v="102.42"/>
    <n v="0"/>
    <n v="3186"/>
  </r>
  <r>
    <x v="2"/>
    <x v="9"/>
    <x v="5"/>
    <x v="255"/>
    <x v="220"/>
    <x v="220"/>
    <s v="CHARGES"/>
    <x v="1"/>
    <s v="3301.001"/>
    <s v="Défalcations, abandons de solde PP et IS"/>
    <n v="2.21"/>
    <n v="0"/>
    <n v="3301"/>
  </r>
  <r>
    <x v="2"/>
    <x v="9"/>
    <x v="5"/>
    <x v="255"/>
    <x v="220"/>
    <x v="220"/>
    <s v="REVENUS"/>
    <x v="14"/>
    <s v="4003.000"/>
    <s v="Impôt à la source"/>
    <n v="0"/>
    <n v="3129.12"/>
    <n v="4003"/>
  </r>
  <r>
    <x v="2"/>
    <x v="9"/>
    <x v="5"/>
    <x v="255"/>
    <x v="220"/>
    <x v="220"/>
    <s v="REVENUS"/>
    <x v="6"/>
    <s v="4211.001"/>
    <s v="Intérêts de retard sur factures"/>
    <n v="0"/>
    <n v="8.09"/>
    <n v="4211"/>
  </r>
  <r>
    <x v="2"/>
    <x v="9"/>
    <x v="5"/>
    <x v="255"/>
    <x v="220"/>
    <x v="220"/>
    <s v="REVENUS"/>
    <x v="6"/>
    <s v="4211.002"/>
    <s v="Intérêts de retard sur acomptes"/>
    <n v="0"/>
    <n v="2.75"/>
    <n v="4211"/>
  </r>
  <r>
    <x v="2"/>
    <x v="9"/>
    <x v="5"/>
    <x v="255"/>
    <x v="220"/>
    <x v="220"/>
    <s v="REVENUS"/>
    <x v="2"/>
    <s v="4001.001"/>
    <s v="Impôt revenu"/>
    <n v="0"/>
    <n v="598.78"/>
    <n v="4001"/>
  </r>
  <r>
    <x v="2"/>
    <x v="9"/>
    <x v="5"/>
    <x v="256"/>
    <x v="221"/>
    <x v="221"/>
    <s v="CHARGES"/>
    <x v="19"/>
    <s v="3186.002"/>
    <s v="Commission perception IS"/>
    <n v="199.08"/>
    <n v="0"/>
    <n v="3186"/>
  </r>
  <r>
    <x v="2"/>
    <x v="9"/>
    <x v="5"/>
    <x v="256"/>
    <x v="221"/>
    <x v="221"/>
    <s v="CHARGES"/>
    <x v="1"/>
    <s v="3301.001"/>
    <s v="Défalcations, abandons de solde PP et IS"/>
    <n v="0.02"/>
    <n v="0"/>
    <n v="3301"/>
  </r>
  <r>
    <x v="2"/>
    <x v="9"/>
    <x v="5"/>
    <x v="256"/>
    <x v="221"/>
    <x v="221"/>
    <s v="REVENUS"/>
    <x v="14"/>
    <s v="4003.000"/>
    <s v="Impôt à la source"/>
    <n v="0"/>
    <n v="2926.91"/>
    <n v="4003"/>
  </r>
  <r>
    <x v="2"/>
    <x v="9"/>
    <x v="5"/>
    <x v="256"/>
    <x v="221"/>
    <x v="221"/>
    <s v="REVENUS"/>
    <x v="2"/>
    <s v="4001.010"/>
    <s v="Impôt sourciers mixtes"/>
    <n v="0"/>
    <n v="1425.85"/>
    <n v="4001"/>
  </r>
  <r>
    <x v="2"/>
    <x v="9"/>
    <x v="5"/>
    <x v="256"/>
    <x v="221"/>
    <x v="221"/>
    <s v="REVENUS"/>
    <x v="6"/>
    <s v="4211.001"/>
    <s v="Intérêts de retard sur factures"/>
    <n v="0"/>
    <n v="-0.02"/>
    <n v="4211"/>
  </r>
  <r>
    <x v="2"/>
    <x v="9"/>
    <x v="5"/>
    <x v="256"/>
    <x v="221"/>
    <x v="221"/>
    <s v="REVENUS"/>
    <x v="6"/>
    <s v="4211.002"/>
    <s v="Intérêts de retard sur acomptes"/>
    <n v="0"/>
    <n v="0.46"/>
    <n v="4211"/>
  </r>
  <r>
    <x v="2"/>
    <x v="9"/>
    <x v="5"/>
    <x v="256"/>
    <x v="221"/>
    <x v="221"/>
    <s v="REVENUS"/>
    <x v="2"/>
    <s v="4001.005"/>
    <s v="Amende de soustract. Impôt"/>
    <n v="0"/>
    <n v="33"/>
    <n v="4001"/>
  </r>
  <r>
    <x v="2"/>
    <x v="9"/>
    <x v="5"/>
    <x v="257"/>
    <x v="222"/>
    <x v="222"/>
    <s v="CHARGES"/>
    <x v="19"/>
    <s v="3186.002"/>
    <s v="Commission perception IS"/>
    <n v="209.89"/>
    <n v="0"/>
    <n v="3186"/>
  </r>
  <r>
    <x v="2"/>
    <x v="9"/>
    <x v="5"/>
    <x v="257"/>
    <x v="222"/>
    <x v="222"/>
    <s v="CHARGES"/>
    <x v="1"/>
    <s v="3301.001"/>
    <s v="Défalcations, abandons de solde PP et IS"/>
    <n v="3.03"/>
    <n v="0"/>
    <n v="3301"/>
  </r>
  <r>
    <x v="2"/>
    <x v="9"/>
    <x v="5"/>
    <x v="257"/>
    <x v="222"/>
    <x v="222"/>
    <s v="REVENUS"/>
    <x v="14"/>
    <s v="4003.000"/>
    <s v="Impôt à la source"/>
    <n v="0"/>
    <n v="813.03"/>
    <n v="4003"/>
  </r>
  <r>
    <x v="2"/>
    <x v="9"/>
    <x v="5"/>
    <x v="257"/>
    <x v="222"/>
    <x v="222"/>
    <s v="REVENUS"/>
    <x v="2"/>
    <s v="4001.001"/>
    <s v="Impôt revenu"/>
    <n v="0"/>
    <n v="3211.33"/>
    <n v="4001"/>
  </r>
  <r>
    <x v="2"/>
    <x v="9"/>
    <x v="5"/>
    <x v="257"/>
    <x v="222"/>
    <x v="222"/>
    <s v="REVENUS"/>
    <x v="6"/>
    <s v="4211.001"/>
    <s v="Intérêts de retard sur factures"/>
    <n v="0"/>
    <n v="25.38"/>
    <n v="4211"/>
  </r>
  <r>
    <x v="2"/>
    <x v="9"/>
    <x v="5"/>
    <x v="257"/>
    <x v="222"/>
    <x v="222"/>
    <s v="REVENUS"/>
    <x v="6"/>
    <s v="4211.002"/>
    <s v="Intérêts de retard sur acomptes"/>
    <n v="0"/>
    <n v="12.62"/>
    <n v="4211"/>
  </r>
  <r>
    <x v="2"/>
    <x v="9"/>
    <x v="5"/>
    <x v="257"/>
    <x v="222"/>
    <x v="222"/>
    <s v="REVENUS"/>
    <x v="2"/>
    <s v="4001.010"/>
    <s v="Impôt sourciers mixtes"/>
    <n v="0"/>
    <n v="1079.6199999999999"/>
    <n v="4001"/>
  </r>
  <r>
    <x v="2"/>
    <x v="9"/>
    <x v="5"/>
    <x v="257"/>
    <x v="222"/>
    <x v="222"/>
    <s v="REVENUS"/>
    <x v="14"/>
    <s v="4003.070"/>
    <s v="IS - Loi travail au noir"/>
    <n v="0"/>
    <n v="19.29"/>
    <n v="4003"/>
  </r>
  <r>
    <x v="2"/>
    <x v="9"/>
    <x v="5"/>
    <x v="258"/>
    <x v="223"/>
    <x v="223"/>
    <s v="CHARGES"/>
    <x v="19"/>
    <s v="3186.002"/>
    <s v="Commission perception IS"/>
    <n v="412.44"/>
    <n v="0"/>
    <n v="3186"/>
  </r>
  <r>
    <x v="2"/>
    <x v="9"/>
    <x v="5"/>
    <x v="258"/>
    <x v="223"/>
    <x v="223"/>
    <s v="CHARGES"/>
    <x v="1"/>
    <s v="3301.001"/>
    <s v="Défalcations, abandons de solde PP et IS"/>
    <n v="1.1599999999999999"/>
    <n v="0"/>
    <n v="3301"/>
  </r>
  <r>
    <x v="2"/>
    <x v="9"/>
    <x v="5"/>
    <x v="258"/>
    <x v="223"/>
    <x v="223"/>
    <s v="REVENUS"/>
    <x v="14"/>
    <s v="4003.000"/>
    <s v="Impôt à la source"/>
    <n v="0"/>
    <n v="11547.56"/>
    <n v="4003"/>
  </r>
  <r>
    <x v="2"/>
    <x v="9"/>
    <x v="5"/>
    <x v="258"/>
    <x v="223"/>
    <x v="223"/>
    <s v="REVENUS"/>
    <x v="6"/>
    <s v="4211.001"/>
    <s v="Intérêts de retard sur factures"/>
    <n v="0"/>
    <n v="34.83"/>
    <n v="4211"/>
  </r>
  <r>
    <x v="2"/>
    <x v="9"/>
    <x v="5"/>
    <x v="258"/>
    <x v="223"/>
    <x v="223"/>
    <s v="REVENUS"/>
    <x v="6"/>
    <s v="4211.002"/>
    <s v="Intérêts de retard sur acomptes"/>
    <n v="0"/>
    <n v="21.8"/>
    <n v="4211"/>
  </r>
  <r>
    <x v="2"/>
    <x v="9"/>
    <x v="5"/>
    <x v="258"/>
    <x v="223"/>
    <x v="223"/>
    <s v="REVENUS"/>
    <x v="2"/>
    <s v="4001.010"/>
    <s v="Impôt sourciers mixtes"/>
    <n v="0"/>
    <n v="2455.15"/>
    <n v="4001"/>
  </r>
  <r>
    <x v="2"/>
    <x v="9"/>
    <x v="5"/>
    <x v="258"/>
    <x v="223"/>
    <x v="223"/>
    <s v="REVENUS"/>
    <x v="2"/>
    <s v="4001.001"/>
    <s v="Impôt revenu"/>
    <n v="0"/>
    <n v="3136.82"/>
    <n v="4001"/>
  </r>
  <r>
    <x v="2"/>
    <x v="9"/>
    <x v="5"/>
    <x v="259"/>
    <x v="224"/>
    <x v="224"/>
    <s v="CHARGES"/>
    <x v="19"/>
    <s v="3186.002"/>
    <s v="Commission perception IS"/>
    <n v="-24.34"/>
    <n v="0"/>
    <n v="3186"/>
  </r>
  <r>
    <x v="2"/>
    <x v="9"/>
    <x v="5"/>
    <x v="259"/>
    <x v="224"/>
    <x v="224"/>
    <s v="REVENUS"/>
    <x v="14"/>
    <s v="4003.000"/>
    <s v="Impôt à la source"/>
    <n v="0"/>
    <n v="-1087.5"/>
    <n v="4003"/>
  </r>
  <r>
    <x v="2"/>
    <x v="9"/>
    <x v="5"/>
    <x v="259"/>
    <x v="224"/>
    <x v="224"/>
    <s v="REVENUS"/>
    <x v="7"/>
    <s v="4184.000"/>
    <s v="Frais de poursuite"/>
    <n v="0"/>
    <n v="2.44"/>
    <n v="4184"/>
  </r>
  <r>
    <x v="2"/>
    <x v="9"/>
    <x v="5"/>
    <x v="259"/>
    <x v="224"/>
    <x v="224"/>
    <s v="REVENUS"/>
    <x v="6"/>
    <s v="4211.001"/>
    <s v="Intérêts de retard sur factures"/>
    <n v="0"/>
    <n v="23.73"/>
    <n v="4211"/>
  </r>
  <r>
    <x v="2"/>
    <x v="9"/>
    <x v="5"/>
    <x v="259"/>
    <x v="224"/>
    <x v="224"/>
    <s v="REVENUS"/>
    <x v="2"/>
    <s v="4001.010"/>
    <s v="Impôt sourciers mixtes"/>
    <n v="0"/>
    <n v="813.19"/>
    <n v="4001"/>
  </r>
  <r>
    <x v="2"/>
    <x v="9"/>
    <x v="5"/>
    <x v="259"/>
    <x v="224"/>
    <x v="224"/>
    <s v="REVENUS"/>
    <x v="6"/>
    <s v="4211.002"/>
    <s v="Intérêts de retard sur acomptes"/>
    <n v="0"/>
    <n v="54.32"/>
    <n v="4211"/>
  </r>
  <r>
    <x v="2"/>
    <x v="9"/>
    <x v="5"/>
    <x v="260"/>
    <x v="225"/>
    <x v="225"/>
    <s v="CHARGES"/>
    <x v="19"/>
    <s v="3186.002"/>
    <s v="Commission perception IS"/>
    <n v="1254.1300000000001"/>
    <n v="0"/>
    <n v="3186"/>
  </r>
  <r>
    <x v="2"/>
    <x v="9"/>
    <x v="5"/>
    <x v="260"/>
    <x v="225"/>
    <x v="225"/>
    <s v="CHARGES"/>
    <x v="1"/>
    <s v="3301.001"/>
    <s v="Défalcations, abandons de solde PP et IS"/>
    <n v="232.56"/>
    <n v="0"/>
    <n v="3301"/>
  </r>
  <r>
    <x v="2"/>
    <x v="9"/>
    <x v="5"/>
    <x v="260"/>
    <x v="225"/>
    <x v="225"/>
    <s v="REVENUS"/>
    <x v="14"/>
    <s v="4003.000"/>
    <s v="Impôt à la source"/>
    <n v="0"/>
    <n v="27278.89"/>
    <n v="4003"/>
  </r>
  <r>
    <x v="2"/>
    <x v="9"/>
    <x v="5"/>
    <x v="260"/>
    <x v="225"/>
    <x v="225"/>
    <s v="REVENUS"/>
    <x v="2"/>
    <s v="4001.010"/>
    <s v="Impôt sourciers mixtes"/>
    <n v="0"/>
    <n v="-1246.19"/>
    <n v="4001"/>
  </r>
  <r>
    <x v="2"/>
    <x v="9"/>
    <x v="5"/>
    <x v="260"/>
    <x v="225"/>
    <x v="225"/>
    <s v="REVENUS"/>
    <x v="6"/>
    <s v="4211.002"/>
    <s v="Intérêts de retard sur acomptes"/>
    <n v="0"/>
    <n v="198.21"/>
    <n v="4211"/>
  </r>
  <r>
    <x v="2"/>
    <x v="9"/>
    <x v="5"/>
    <x v="260"/>
    <x v="225"/>
    <x v="225"/>
    <s v="REVENUS"/>
    <x v="6"/>
    <s v="4211.001"/>
    <s v="Intérêts de retard sur factures"/>
    <n v="0"/>
    <n v="79.569999999999993"/>
    <n v="4211"/>
  </r>
  <r>
    <x v="2"/>
    <x v="9"/>
    <x v="5"/>
    <x v="260"/>
    <x v="225"/>
    <x v="225"/>
    <s v="REVENUS"/>
    <x v="7"/>
    <s v="4184.000"/>
    <s v="Frais de poursuite"/>
    <n v="0"/>
    <n v="2.57"/>
    <n v="4184"/>
  </r>
  <r>
    <x v="2"/>
    <x v="9"/>
    <x v="5"/>
    <x v="260"/>
    <x v="225"/>
    <x v="225"/>
    <s v="REVENUS"/>
    <x v="2"/>
    <s v="4001.001"/>
    <s v="Impôt revenu"/>
    <n v="0"/>
    <n v="6211.58"/>
    <n v="4001"/>
  </r>
  <r>
    <x v="2"/>
    <x v="9"/>
    <x v="5"/>
    <x v="261"/>
    <x v="226"/>
    <x v="226"/>
    <s v="CHARGES"/>
    <x v="19"/>
    <s v="3186.002"/>
    <s v="Commission perception IS"/>
    <n v="7278.6"/>
    <n v="0"/>
    <n v="3186"/>
  </r>
  <r>
    <x v="2"/>
    <x v="9"/>
    <x v="5"/>
    <x v="261"/>
    <x v="226"/>
    <x v="226"/>
    <s v="CHARGES"/>
    <x v="1"/>
    <s v="3301.001"/>
    <s v="Défalcations, abandons de solde PP et IS"/>
    <n v="4330.04"/>
    <n v="0"/>
    <n v="3301"/>
  </r>
  <r>
    <x v="2"/>
    <x v="9"/>
    <x v="5"/>
    <x v="261"/>
    <x v="226"/>
    <x v="226"/>
    <s v="CHARGES"/>
    <x v="1"/>
    <s v="3301.001"/>
    <s v="Défalcations, abandons de solde PP et IS"/>
    <n v="-73.989999999999995"/>
    <n v="0"/>
    <n v="3301"/>
  </r>
  <r>
    <x v="2"/>
    <x v="9"/>
    <x v="5"/>
    <x v="261"/>
    <x v="226"/>
    <x v="226"/>
    <s v="REVENUS"/>
    <x v="2"/>
    <s v="4001.010"/>
    <s v="Impôt sourciers mixtes"/>
    <n v="0"/>
    <n v="-6608.57"/>
    <n v="4001"/>
  </r>
  <r>
    <x v="2"/>
    <x v="9"/>
    <x v="5"/>
    <x v="261"/>
    <x v="226"/>
    <x v="226"/>
    <s v="REVENUS"/>
    <x v="14"/>
    <s v="4003.000"/>
    <s v="Impôt à la source"/>
    <n v="0"/>
    <n v="205766.79"/>
    <n v="4003"/>
  </r>
  <r>
    <x v="2"/>
    <x v="9"/>
    <x v="5"/>
    <x v="261"/>
    <x v="226"/>
    <x v="226"/>
    <s v="REVENUS"/>
    <x v="2"/>
    <s v="4001.001"/>
    <s v="Impôt revenu"/>
    <n v="0"/>
    <n v="45099.32"/>
    <n v="4001"/>
  </r>
  <r>
    <x v="2"/>
    <x v="9"/>
    <x v="5"/>
    <x v="261"/>
    <x v="226"/>
    <x v="226"/>
    <s v="REVENUS"/>
    <x v="6"/>
    <s v="4211.002"/>
    <s v="Intérêts de retard sur acomptes"/>
    <n v="0"/>
    <n v="472.97"/>
    <n v="4211"/>
  </r>
  <r>
    <x v="2"/>
    <x v="9"/>
    <x v="5"/>
    <x v="261"/>
    <x v="226"/>
    <x v="226"/>
    <s v="REVENUS"/>
    <x v="6"/>
    <s v="4211.001"/>
    <s v="Intérêts de retard sur factures"/>
    <n v="0"/>
    <n v="881.8"/>
    <n v="4211"/>
  </r>
  <r>
    <x v="2"/>
    <x v="9"/>
    <x v="5"/>
    <x v="261"/>
    <x v="226"/>
    <x v="226"/>
    <s v="REVENUS"/>
    <x v="7"/>
    <s v="4184.000"/>
    <s v="Frais de poursuite"/>
    <n v="0"/>
    <n v="245.4"/>
    <n v="4184"/>
  </r>
  <r>
    <x v="2"/>
    <x v="9"/>
    <x v="5"/>
    <x v="261"/>
    <x v="226"/>
    <x v="226"/>
    <s v="REVENUS"/>
    <x v="14"/>
    <s v="4003.030"/>
    <s v="IS - Prestations en capital / Prévoyance"/>
    <n v="0"/>
    <n v="4568.8599999999997"/>
    <n v="4003"/>
  </r>
  <r>
    <x v="2"/>
    <x v="9"/>
    <x v="5"/>
    <x v="261"/>
    <x v="226"/>
    <x v="226"/>
    <s v="REVENUS"/>
    <x v="8"/>
    <s v="4091.001"/>
    <s v="Impôt récupéré après défalcations"/>
    <n v="0"/>
    <n v="1833.2"/>
    <n v="4091"/>
  </r>
  <r>
    <x v="2"/>
    <x v="9"/>
    <x v="5"/>
    <x v="261"/>
    <x v="226"/>
    <x v="226"/>
    <s v="REVENUS"/>
    <x v="14"/>
    <s v="4003.020"/>
    <s v="IS - Artistes - Conférenciers - Sportifs"/>
    <n v="0"/>
    <n v="18.2"/>
    <n v="4003"/>
  </r>
  <r>
    <x v="2"/>
    <x v="9"/>
    <x v="5"/>
    <x v="261"/>
    <x v="226"/>
    <x v="226"/>
    <s v="REVENUS"/>
    <x v="2"/>
    <s v="4001.005"/>
    <s v="Amende de soustract. Impôt"/>
    <n v="0"/>
    <n v="1193.3499999999999"/>
    <n v="4001"/>
  </r>
  <r>
    <x v="2"/>
    <x v="9"/>
    <x v="5"/>
    <x v="261"/>
    <x v="226"/>
    <x v="226"/>
    <s v="REVENUS"/>
    <x v="14"/>
    <s v="4003.060"/>
    <s v="IS - Administrateurs"/>
    <n v="0"/>
    <n v="5087.18"/>
    <n v="4003"/>
  </r>
  <r>
    <x v="2"/>
    <x v="9"/>
    <x v="5"/>
    <x v="261"/>
    <x v="226"/>
    <x v="226"/>
    <s v="REVENUS"/>
    <x v="14"/>
    <s v="4003.070"/>
    <s v="IS - Loi travail au noir"/>
    <n v="0"/>
    <n v="20.07"/>
    <n v="4003"/>
  </r>
  <r>
    <x v="2"/>
    <x v="9"/>
    <x v="5"/>
    <x v="261"/>
    <x v="226"/>
    <x v="226"/>
    <s v="REVENUS"/>
    <x v="2"/>
    <s v="4001.002"/>
    <s v="Impôt complément s/revenu PP"/>
    <n v="0"/>
    <n v="5827.95"/>
    <n v="4001"/>
  </r>
  <r>
    <x v="2"/>
    <x v="9"/>
    <x v="5"/>
    <x v="262"/>
    <x v="227"/>
    <x v="227"/>
    <s v="CHARGES"/>
    <x v="19"/>
    <s v="3186.002"/>
    <s v="Commission perception IS"/>
    <n v="406.23"/>
    <n v="0"/>
    <n v="3186"/>
  </r>
  <r>
    <x v="2"/>
    <x v="9"/>
    <x v="5"/>
    <x v="262"/>
    <x v="227"/>
    <x v="227"/>
    <s v="CHARGES"/>
    <x v="1"/>
    <s v="3301.001"/>
    <s v="Défalcations, abandons de solde PP et IS"/>
    <n v="22.92"/>
    <n v="0"/>
    <n v="3301"/>
  </r>
  <r>
    <x v="2"/>
    <x v="9"/>
    <x v="5"/>
    <x v="262"/>
    <x v="227"/>
    <x v="227"/>
    <s v="REVENUS"/>
    <x v="14"/>
    <s v="4003.000"/>
    <s v="Impôt à la source"/>
    <n v="0"/>
    <n v="12677.3"/>
    <n v="4003"/>
  </r>
  <r>
    <x v="2"/>
    <x v="9"/>
    <x v="5"/>
    <x v="262"/>
    <x v="227"/>
    <x v="227"/>
    <s v="REVENUS"/>
    <x v="8"/>
    <s v="4091.001"/>
    <s v="Impôt récupéré après défalcations"/>
    <n v="0"/>
    <n v="-3.47"/>
    <n v="4091"/>
  </r>
  <r>
    <x v="2"/>
    <x v="9"/>
    <x v="5"/>
    <x v="262"/>
    <x v="227"/>
    <x v="227"/>
    <s v="REVENUS"/>
    <x v="6"/>
    <s v="4211.002"/>
    <s v="Intérêts de retard sur acomptes"/>
    <n v="0"/>
    <n v="24.5"/>
    <n v="4211"/>
  </r>
  <r>
    <x v="2"/>
    <x v="9"/>
    <x v="5"/>
    <x v="262"/>
    <x v="227"/>
    <x v="227"/>
    <s v="REVENUS"/>
    <x v="2"/>
    <s v="4001.005"/>
    <s v="Amende de soustract. Impôt"/>
    <n v="0"/>
    <n v="0"/>
    <n v="4001"/>
  </r>
  <r>
    <x v="2"/>
    <x v="9"/>
    <x v="5"/>
    <x v="262"/>
    <x v="227"/>
    <x v="227"/>
    <s v="REVENUS"/>
    <x v="6"/>
    <s v="4211.001"/>
    <s v="Intérêts de retard sur factures"/>
    <n v="0"/>
    <n v="95.96"/>
    <n v="4211"/>
  </r>
  <r>
    <x v="2"/>
    <x v="9"/>
    <x v="5"/>
    <x v="262"/>
    <x v="227"/>
    <x v="227"/>
    <s v="REVENUS"/>
    <x v="2"/>
    <s v="4001.010"/>
    <s v="Impôt sourciers mixtes"/>
    <n v="0"/>
    <n v="-431.67"/>
    <n v="4001"/>
  </r>
  <r>
    <x v="2"/>
    <x v="9"/>
    <x v="5"/>
    <x v="262"/>
    <x v="227"/>
    <x v="227"/>
    <s v="REVENUS"/>
    <x v="2"/>
    <s v="4001.001"/>
    <s v="Impôt revenu"/>
    <n v="0"/>
    <n v="3701.65"/>
    <n v="4001"/>
  </r>
  <r>
    <x v="2"/>
    <x v="9"/>
    <x v="5"/>
    <x v="262"/>
    <x v="227"/>
    <x v="227"/>
    <s v="REVENUS"/>
    <x v="7"/>
    <s v="4184.000"/>
    <s v="Frais de poursuite"/>
    <n v="0"/>
    <n v="5.0599999999999996"/>
    <n v="4184"/>
  </r>
  <r>
    <x v="2"/>
    <x v="9"/>
    <x v="5"/>
    <x v="263"/>
    <x v="228"/>
    <x v="228"/>
    <s v="CHARGES"/>
    <x v="19"/>
    <s v="3186.002"/>
    <s v="Commission perception IS"/>
    <n v="948"/>
    <n v="0"/>
    <n v="3186"/>
  </r>
  <r>
    <x v="2"/>
    <x v="9"/>
    <x v="5"/>
    <x v="263"/>
    <x v="228"/>
    <x v="228"/>
    <s v="CHARGES"/>
    <x v="1"/>
    <s v="3301.001"/>
    <s v="Défalcations, abandons de solde PP et IS"/>
    <n v="-0.88"/>
    <n v="0"/>
    <n v="3301"/>
  </r>
  <r>
    <x v="2"/>
    <x v="9"/>
    <x v="5"/>
    <x v="263"/>
    <x v="228"/>
    <x v="228"/>
    <s v="REVENUS"/>
    <x v="14"/>
    <s v="4003.000"/>
    <s v="Impôt à la source"/>
    <n v="0"/>
    <n v="30624.49"/>
    <n v="4003"/>
  </r>
  <r>
    <x v="2"/>
    <x v="9"/>
    <x v="5"/>
    <x v="263"/>
    <x v="228"/>
    <x v="228"/>
    <s v="REVENUS"/>
    <x v="6"/>
    <s v="4211.001"/>
    <s v="Intérêts de retard sur factures"/>
    <n v="0"/>
    <n v="12.01"/>
    <n v="4211"/>
  </r>
  <r>
    <x v="2"/>
    <x v="9"/>
    <x v="5"/>
    <x v="263"/>
    <x v="228"/>
    <x v="228"/>
    <s v="REVENUS"/>
    <x v="2"/>
    <s v="4001.010"/>
    <s v="Impôt sourciers mixtes"/>
    <n v="0"/>
    <n v="-2121.62"/>
    <n v="4001"/>
  </r>
  <r>
    <x v="2"/>
    <x v="9"/>
    <x v="5"/>
    <x v="263"/>
    <x v="228"/>
    <x v="228"/>
    <s v="REVENUS"/>
    <x v="7"/>
    <s v="4184.000"/>
    <s v="Frais de poursuite"/>
    <n v="0"/>
    <n v="14.21"/>
    <n v="4184"/>
  </r>
  <r>
    <x v="2"/>
    <x v="9"/>
    <x v="5"/>
    <x v="263"/>
    <x v="228"/>
    <x v="228"/>
    <s v="REVENUS"/>
    <x v="2"/>
    <s v="4001.001"/>
    <s v="Impôt revenu"/>
    <n v="0"/>
    <n v="6867.33"/>
    <n v="4001"/>
  </r>
  <r>
    <x v="2"/>
    <x v="9"/>
    <x v="5"/>
    <x v="263"/>
    <x v="228"/>
    <x v="228"/>
    <s v="REVENUS"/>
    <x v="6"/>
    <s v="4211.002"/>
    <s v="Intérêts de retard sur acomptes"/>
    <n v="0"/>
    <n v="40.98"/>
    <n v="4211"/>
  </r>
  <r>
    <x v="2"/>
    <x v="3"/>
    <x v="6"/>
    <x v="264"/>
    <x v="229"/>
    <x v="229"/>
    <s v="CHARGES"/>
    <x v="19"/>
    <s v="3186.002"/>
    <s v="Commission perception IS"/>
    <n v="-39.200000000000003"/>
    <n v="0"/>
    <n v="3186"/>
  </r>
  <r>
    <x v="2"/>
    <x v="3"/>
    <x v="6"/>
    <x v="264"/>
    <x v="229"/>
    <x v="229"/>
    <s v="CHARGES"/>
    <x v="1"/>
    <s v="3301.001"/>
    <s v="Défalcations, abandons de solde PP et IS"/>
    <n v="2232.09"/>
    <n v="0"/>
    <n v="3301"/>
  </r>
  <r>
    <x v="2"/>
    <x v="3"/>
    <x v="6"/>
    <x v="264"/>
    <x v="229"/>
    <x v="229"/>
    <s v="REVENUS"/>
    <x v="6"/>
    <s v="4211.002"/>
    <s v="Intérêts de retard sur acomptes"/>
    <n v="0"/>
    <n v="32.01"/>
    <n v="4211"/>
  </r>
  <r>
    <x v="2"/>
    <x v="3"/>
    <x v="6"/>
    <x v="264"/>
    <x v="229"/>
    <x v="229"/>
    <s v="REVENUS"/>
    <x v="6"/>
    <s v="4211.001"/>
    <s v="Intérêts de retard sur factures"/>
    <n v="0"/>
    <n v="137.22999999999999"/>
    <n v="4211"/>
  </r>
  <r>
    <x v="2"/>
    <x v="3"/>
    <x v="6"/>
    <x v="264"/>
    <x v="229"/>
    <x v="229"/>
    <s v="REVENUS"/>
    <x v="7"/>
    <s v="4184.000"/>
    <s v="Frais de poursuite"/>
    <n v="0"/>
    <n v="0.01"/>
    <n v="4184"/>
  </r>
  <r>
    <x v="2"/>
    <x v="7"/>
    <x v="6"/>
    <x v="265"/>
    <x v="230"/>
    <x v="230"/>
    <s v="CHARGES"/>
    <x v="19"/>
    <s v="3186.002"/>
    <s v="Commission perception IS"/>
    <n v="0.17"/>
    <n v="0"/>
    <n v="3186"/>
  </r>
  <r>
    <x v="2"/>
    <x v="7"/>
    <x v="6"/>
    <x v="265"/>
    <x v="230"/>
    <x v="230"/>
    <s v="REVENUS"/>
    <x v="6"/>
    <s v="4211.001"/>
    <s v="Intérêts de retard sur factures"/>
    <n v="0"/>
    <n v="0.36"/>
    <n v="4211"/>
  </r>
  <r>
    <x v="2"/>
    <x v="7"/>
    <x v="6"/>
    <x v="265"/>
    <x v="230"/>
    <x v="230"/>
    <s v="REVENUS"/>
    <x v="6"/>
    <s v="4211.002"/>
    <s v="Intérêts de retard sur acomptes"/>
    <n v="0"/>
    <n v="0.05"/>
    <n v="4211"/>
  </r>
  <r>
    <x v="2"/>
    <x v="3"/>
    <x v="3"/>
    <x v="266"/>
    <x v="231"/>
    <x v="231"/>
    <s v="CHARGES"/>
    <x v="19"/>
    <s v="3186.002"/>
    <s v="Commission perception IS"/>
    <n v="1257.27"/>
    <n v="0"/>
    <n v="3186"/>
  </r>
  <r>
    <x v="2"/>
    <x v="3"/>
    <x v="3"/>
    <x v="266"/>
    <x v="231"/>
    <x v="231"/>
    <s v="CHARGES"/>
    <x v="1"/>
    <s v="3301.001"/>
    <s v="Défalcations, abandons de solde PP et IS"/>
    <n v="1.36"/>
    <n v="0"/>
    <n v="3301"/>
  </r>
  <r>
    <x v="2"/>
    <x v="3"/>
    <x v="3"/>
    <x v="266"/>
    <x v="231"/>
    <x v="231"/>
    <s v="REVENUS"/>
    <x v="14"/>
    <s v="4003.000"/>
    <s v="Impôt à la source"/>
    <n v="0"/>
    <n v="19635.68"/>
    <n v="4003"/>
  </r>
  <r>
    <x v="2"/>
    <x v="3"/>
    <x v="3"/>
    <x v="266"/>
    <x v="231"/>
    <x v="231"/>
    <s v="REVENUS"/>
    <x v="2"/>
    <s v="4001.010"/>
    <s v="Impôt sourciers mixtes"/>
    <n v="0"/>
    <n v="-42521.07"/>
    <n v="4001"/>
  </r>
  <r>
    <x v="2"/>
    <x v="3"/>
    <x v="3"/>
    <x v="266"/>
    <x v="231"/>
    <x v="231"/>
    <s v="REVENUS"/>
    <x v="6"/>
    <s v="4211.001"/>
    <s v="Intérêts de retard sur factures"/>
    <n v="0"/>
    <n v="10.52"/>
    <n v="4211"/>
  </r>
  <r>
    <x v="2"/>
    <x v="3"/>
    <x v="3"/>
    <x v="266"/>
    <x v="231"/>
    <x v="231"/>
    <s v="REVENUS"/>
    <x v="6"/>
    <s v="4211.002"/>
    <s v="Intérêts de retard sur acomptes"/>
    <n v="0"/>
    <n v="62.31"/>
    <n v="4211"/>
  </r>
  <r>
    <x v="2"/>
    <x v="3"/>
    <x v="3"/>
    <x v="266"/>
    <x v="231"/>
    <x v="231"/>
    <s v="REVENUS"/>
    <x v="2"/>
    <s v="4001.001"/>
    <s v="Impôt revenu"/>
    <n v="0"/>
    <n v="5700.15"/>
    <n v="4001"/>
  </r>
  <r>
    <x v="2"/>
    <x v="3"/>
    <x v="3"/>
    <x v="266"/>
    <x v="231"/>
    <x v="231"/>
    <s v="REVENUS"/>
    <x v="14"/>
    <s v="4003.070"/>
    <s v="IS - Loi travail au noir"/>
    <n v="0"/>
    <n v="8.2100000000000009"/>
    <n v="4003"/>
  </r>
  <r>
    <x v="2"/>
    <x v="3"/>
    <x v="3"/>
    <x v="266"/>
    <x v="231"/>
    <x v="231"/>
    <s v="REVENUS"/>
    <x v="7"/>
    <s v="4184.000"/>
    <s v="Frais de poursuite"/>
    <n v="0"/>
    <n v="0.24"/>
    <n v="4184"/>
  </r>
  <r>
    <x v="2"/>
    <x v="7"/>
    <x v="6"/>
    <x v="267"/>
    <x v="232"/>
    <x v="232"/>
    <s v="CHARGES"/>
    <x v="19"/>
    <s v="3186.002"/>
    <s v="Commission perception IS"/>
    <n v="0.17"/>
    <n v="0"/>
    <n v="3186"/>
  </r>
  <r>
    <x v="2"/>
    <x v="7"/>
    <x v="6"/>
    <x v="267"/>
    <x v="232"/>
    <x v="232"/>
    <s v="REVENUS"/>
    <x v="6"/>
    <s v="4211.001"/>
    <s v="Intérêts de retard sur factures"/>
    <n v="0"/>
    <n v="-0.01"/>
    <n v="4211"/>
  </r>
  <r>
    <x v="2"/>
    <x v="7"/>
    <x v="6"/>
    <x v="267"/>
    <x v="232"/>
    <x v="232"/>
    <s v="REVENUS"/>
    <x v="6"/>
    <s v="4211.002"/>
    <s v="Intérêts de retard sur acomptes"/>
    <n v="0"/>
    <n v="0.04"/>
    <n v="4211"/>
  </r>
  <r>
    <x v="2"/>
    <x v="7"/>
    <x v="6"/>
    <x v="269"/>
    <x v="233"/>
    <x v="233"/>
    <s v="CHARGES"/>
    <x v="19"/>
    <s v="3186.002"/>
    <s v="Commission perception IS"/>
    <n v="863.6"/>
    <n v="0"/>
    <n v="3186"/>
  </r>
  <r>
    <x v="2"/>
    <x v="7"/>
    <x v="6"/>
    <x v="269"/>
    <x v="233"/>
    <x v="233"/>
    <s v="CHARGES"/>
    <x v="1"/>
    <s v="3301.001"/>
    <s v="Défalcations, abandons de solde PP et IS"/>
    <n v="537.52"/>
    <n v="0"/>
    <n v="3301"/>
  </r>
  <r>
    <x v="2"/>
    <x v="7"/>
    <x v="6"/>
    <x v="269"/>
    <x v="233"/>
    <x v="233"/>
    <s v="REVENUS"/>
    <x v="2"/>
    <s v="4001.010"/>
    <s v="Impôt sourciers mixtes"/>
    <n v="0"/>
    <n v="-1687.69"/>
    <n v="4001"/>
  </r>
  <r>
    <x v="2"/>
    <x v="7"/>
    <x v="6"/>
    <x v="269"/>
    <x v="233"/>
    <x v="233"/>
    <s v="REVENUS"/>
    <x v="14"/>
    <s v="4003.000"/>
    <s v="Impôt à la source"/>
    <n v="0"/>
    <n v="21398.39"/>
    <n v="4003"/>
  </r>
  <r>
    <x v="2"/>
    <x v="7"/>
    <x v="6"/>
    <x v="269"/>
    <x v="233"/>
    <x v="233"/>
    <s v="REVENUS"/>
    <x v="6"/>
    <s v="4211.001"/>
    <s v="Intérêts de retard sur factures"/>
    <n v="0"/>
    <n v="8.0500000000000007"/>
    <n v="4211"/>
  </r>
  <r>
    <x v="2"/>
    <x v="7"/>
    <x v="6"/>
    <x v="269"/>
    <x v="233"/>
    <x v="233"/>
    <s v="REVENUS"/>
    <x v="6"/>
    <s v="4211.002"/>
    <s v="Intérêts de retard sur acomptes"/>
    <n v="0"/>
    <n v="219.71"/>
    <n v="4211"/>
  </r>
  <r>
    <x v="2"/>
    <x v="7"/>
    <x v="6"/>
    <x v="269"/>
    <x v="233"/>
    <x v="233"/>
    <s v="REVENUS"/>
    <x v="7"/>
    <s v="4184.000"/>
    <s v="Frais de poursuite"/>
    <n v="0"/>
    <n v="11.58"/>
    <n v="4184"/>
  </r>
  <r>
    <x v="2"/>
    <x v="7"/>
    <x v="6"/>
    <x v="269"/>
    <x v="233"/>
    <x v="233"/>
    <s v="REVENUS"/>
    <x v="2"/>
    <s v="4001.001"/>
    <s v="Impôt revenu"/>
    <n v="0"/>
    <n v="4531.3"/>
    <n v="4001"/>
  </r>
  <r>
    <x v="2"/>
    <x v="7"/>
    <x v="6"/>
    <x v="269"/>
    <x v="233"/>
    <x v="233"/>
    <s v="REVENUS"/>
    <x v="14"/>
    <s v="4003.070"/>
    <s v="IS - Loi travail au noir"/>
    <n v="0"/>
    <n v="18.2"/>
    <n v="4003"/>
  </r>
  <r>
    <x v="2"/>
    <x v="7"/>
    <x v="6"/>
    <x v="269"/>
    <x v="233"/>
    <x v="233"/>
    <s v="REVENUS"/>
    <x v="14"/>
    <s v="4003.010"/>
    <s v="IS - Employés et sourciers étrangers"/>
    <n v="0"/>
    <n v="48.84"/>
    <n v="4003"/>
  </r>
  <r>
    <x v="2"/>
    <x v="7"/>
    <x v="6"/>
    <x v="270"/>
    <x v="229"/>
    <x v="229"/>
    <s v="REVENUS"/>
    <x v="6"/>
    <s v="4211.001"/>
    <s v="Intérêts de retard sur factures"/>
    <n v="0"/>
    <n v="0.06"/>
    <n v="4211"/>
  </r>
  <r>
    <x v="2"/>
    <x v="7"/>
    <x v="6"/>
    <x v="270"/>
    <x v="229"/>
    <x v="229"/>
    <s v="REVENUS"/>
    <x v="6"/>
    <s v="4211.002"/>
    <s v="Intérêts de retard sur acomptes"/>
    <n v="0"/>
    <n v="0"/>
    <n v="4211"/>
  </r>
  <r>
    <x v="2"/>
    <x v="7"/>
    <x v="6"/>
    <x v="271"/>
    <x v="234"/>
    <x v="234"/>
    <s v="CHARGES"/>
    <x v="19"/>
    <s v="3186.002"/>
    <s v="Commission perception IS"/>
    <n v="500.32"/>
    <n v="0"/>
    <n v="3186"/>
  </r>
  <r>
    <x v="2"/>
    <x v="7"/>
    <x v="6"/>
    <x v="271"/>
    <x v="234"/>
    <x v="234"/>
    <s v="CHARGES"/>
    <x v="1"/>
    <s v="3301.001"/>
    <s v="Défalcations, abandons de solde PP et IS"/>
    <n v="4.12"/>
    <n v="0"/>
    <n v="3301"/>
  </r>
  <r>
    <x v="2"/>
    <x v="7"/>
    <x v="6"/>
    <x v="271"/>
    <x v="234"/>
    <x v="234"/>
    <s v="REVENUS"/>
    <x v="14"/>
    <s v="4003.000"/>
    <s v="Impôt à la source"/>
    <n v="0"/>
    <n v="23539.63"/>
    <n v="4003"/>
  </r>
  <r>
    <x v="2"/>
    <x v="7"/>
    <x v="6"/>
    <x v="271"/>
    <x v="234"/>
    <x v="234"/>
    <s v="REVENUS"/>
    <x v="6"/>
    <s v="4211.001"/>
    <s v="Intérêts de retard sur factures"/>
    <n v="0"/>
    <n v="74.48"/>
    <n v="4211"/>
  </r>
  <r>
    <x v="2"/>
    <x v="7"/>
    <x v="6"/>
    <x v="271"/>
    <x v="234"/>
    <x v="234"/>
    <s v="REVENUS"/>
    <x v="6"/>
    <s v="4211.002"/>
    <s v="Intérêts de retard sur acomptes"/>
    <n v="0"/>
    <n v="168.98"/>
    <n v="4211"/>
  </r>
  <r>
    <x v="2"/>
    <x v="7"/>
    <x v="6"/>
    <x v="271"/>
    <x v="234"/>
    <x v="234"/>
    <s v="REVENUS"/>
    <x v="2"/>
    <s v="4001.001"/>
    <s v="Impôt revenu"/>
    <n v="0"/>
    <n v="6082.46"/>
    <n v="4001"/>
  </r>
  <r>
    <x v="2"/>
    <x v="7"/>
    <x v="6"/>
    <x v="271"/>
    <x v="234"/>
    <x v="234"/>
    <s v="REVENUS"/>
    <x v="2"/>
    <s v="4001.010"/>
    <s v="Impôt sourciers mixtes"/>
    <n v="0"/>
    <n v="-4051.57"/>
    <n v="4001"/>
  </r>
  <r>
    <x v="2"/>
    <x v="7"/>
    <x v="6"/>
    <x v="271"/>
    <x v="234"/>
    <x v="234"/>
    <s v="REVENUS"/>
    <x v="7"/>
    <s v="4184.000"/>
    <s v="Frais de poursuite"/>
    <n v="0"/>
    <n v="0.43"/>
    <n v="4184"/>
  </r>
  <r>
    <x v="2"/>
    <x v="7"/>
    <x v="6"/>
    <x v="272"/>
    <x v="229"/>
    <x v="229"/>
    <s v="CHARGES"/>
    <x v="1"/>
    <s v="3301.001"/>
    <s v="Défalcations, abandons de solde PP et IS"/>
    <n v="0.03"/>
    <n v="0"/>
    <n v="3301"/>
  </r>
  <r>
    <x v="2"/>
    <x v="7"/>
    <x v="6"/>
    <x v="272"/>
    <x v="229"/>
    <x v="229"/>
    <s v="CHARGES"/>
    <x v="19"/>
    <s v="3186.002"/>
    <s v="Commission perception IS"/>
    <n v="43.23"/>
    <n v="0"/>
    <n v="3186"/>
  </r>
  <r>
    <x v="2"/>
    <x v="7"/>
    <x v="6"/>
    <x v="272"/>
    <x v="229"/>
    <x v="229"/>
    <s v="REVENUS"/>
    <x v="6"/>
    <s v="4211.001"/>
    <s v="Intérêts de retard sur factures"/>
    <n v="0"/>
    <n v="34.4"/>
    <n v="4211"/>
  </r>
  <r>
    <x v="2"/>
    <x v="7"/>
    <x v="6"/>
    <x v="272"/>
    <x v="229"/>
    <x v="229"/>
    <s v="REVENUS"/>
    <x v="6"/>
    <s v="4211.002"/>
    <s v="Intérêts de retard sur acomptes"/>
    <n v="0"/>
    <n v="23.94"/>
    <n v="4211"/>
  </r>
  <r>
    <x v="2"/>
    <x v="7"/>
    <x v="6"/>
    <x v="272"/>
    <x v="229"/>
    <x v="229"/>
    <s v="REVENUS"/>
    <x v="14"/>
    <s v="4003.000"/>
    <s v="Impôt à la source"/>
    <n v="0"/>
    <n v="2098.96"/>
    <n v="4003"/>
  </r>
  <r>
    <x v="2"/>
    <x v="7"/>
    <x v="6"/>
    <x v="273"/>
    <x v="235"/>
    <x v="235"/>
    <s v="CHARGES"/>
    <x v="19"/>
    <s v="3186.002"/>
    <s v="Commission perception IS"/>
    <n v="937"/>
    <n v="0"/>
    <n v="3186"/>
  </r>
  <r>
    <x v="2"/>
    <x v="7"/>
    <x v="6"/>
    <x v="273"/>
    <x v="235"/>
    <x v="235"/>
    <s v="CHARGES"/>
    <x v="1"/>
    <s v="3301.001"/>
    <s v="Défalcations, abandons de solde PP et IS"/>
    <n v="3.93"/>
    <n v="0"/>
    <n v="3301"/>
  </r>
  <r>
    <x v="2"/>
    <x v="7"/>
    <x v="6"/>
    <x v="273"/>
    <x v="235"/>
    <x v="235"/>
    <s v="REVENUS"/>
    <x v="14"/>
    <s v="4003.000"/>
    <s v="Impôt à la source"/>
    <n v="0"/>
    <n v="18837.82"/>
    <n v="4003"/>
  </r>
  <r>
    <x v="2"/>
    <x v="7"/>
    <x v="6"/>
    <x v="273"/>
    <x v="235"/>
    <x v="235"/>
    <s v="REVENUS"/>
    <x v="2"/>
    <s v="4001.010"/>
    <s v="Impôt sourciers mixtes"/>
    <n v="0"/>
    <n v="8945.89"/>
    <n v="4001"/>
  </r>
  <r>
    <x v="2"/>
    <x v="7"/>
    <x v="6"/>
    <x v="273"/>
    <x v="235"/>
    <x v="235"/>
    <s v="REVENUS"/>
    <x v="2"/>
    <s v="4001.001"/>
    <s v="Impôt revenu"/>
    <n v="0"/>
    <n v="5051.1099999999997"/>
    <n v="4001"/>
  </r>
  <r>
    <x v="2"/>
    <x v="7"/>
    <x v="6"/>
    <x v="273"/>
    <x v="235"/>
    <x v="235"/>
    <s v="REVENUS"/>
    <x v="6"/>
    <s v="4211.002"/>
    <s v="Intérêts de retard sur acomptes"/>
    <n v="0"/>
    <n v="21.49"/>
    <n v="4211"/>
  </r>
  <r>
    <x v="2"/>
    <x v="7"/>
    <x v="6"/>
    <x v="273"/>
    <x v="235"/>
    <x v="235"/>
    <s v="REVENUS"/>
    <x v="6"/>
    <s v="4211.001"/>
    <s v="Intérêts de retard sur factures"/>
    <n v="0"/>
    <n v="25.24"/>
    <n v="4211"/>
  </r>
  <r>
    <x v="2"/>
    <x v="7"/>
    <x v="6"/>
    <x v="273"/>
    <x v="235"/>
    <x v="235"/>
    <s v="REVENUS"/>
    <x v="7"/>
    <s v="4184.000"/>
    <s v="Frais de poursuite"/>
    <n v="0"/>
    <n v="2.33"/>
    <n v="4184"/>
  </r>
  <r>
    <x v="2"/>
    <x v="7"/>
    <x v="6"/>
    <x v="273"/>
    <x v="235"/>
    <x v="235"/>
    <s v="REVENUS"/>
    <x v="14"/>
    <s v="4003.070"/>
    <s v="IS - Loi travail au noir"/>
    <n v="0"/>
    <n v="3.29"/>
    <n v="4003"/>
  </r>
  <r>
    <x v="2"/>
    <x v="7"/>
    <x v="6"/>
    <x v="274"/>
    <x v="230"/>
    <x v="230"/>
    <s v="CHARGES"/>
    <x v="19"/>
    <s v="3186.002"/>
    <s v="Commission perception IS"/>
    <n v="-0.02"/>
    <n v="0"/>
    <n v="3186"/>
  </r>
  <r>
    <x v="2"/>
    <x v="7"/>
    <x v="6"/>
    <x v="274"/>
    <x v="230"/>
    <x v="230"/>
    <s v="REVENUS"/>
    <x v="6"/>
    <s v="4211.001"/>
    <s v="Intérêts de retard sur factures"/>
    <n v="0"/>
    <n v="19.260000000000002"/>
    <n v="4211"/>
  </r>
  <r>
    <x v="2"/>
    <x v="7"/>
    <x v="6"/>
    <x v="274"/>
    <x v="230"/>
    <x v="230"/>
    <s v="REVENUS"/>
    <x v="6"/>
    <s v="4211.002"/>
    <s v="Intérêts de retard sur acomptes"/>
    <n v="0"/>
    <n v="0.13"/>
    <n v="4211"/>
  </r>
  <r>
    <x v="2"/>
    <x v="7"/>
    <x v="6"/>
    <x v="275"/>
    <x v="230"/>
    <x v="230"/>
    <s v="CHARGES"/>
    <x v="19"/>
    <s v="3186.002"/>
    <s v="Commission perception IS"/>
    <n v="0.11"/>
    <n v="0"/>
    <n v="3186"/>
  </r>
  <r>
    <x v="2"/>
    <x v="7"/>
    <x v="6"/>
    <x v="275"/>
    <x v="230"/>
    <x v="230"/>
    <s v="REVENUS"/>
    <x v="6"/>
    <s v="4211.002"/>
    <s v="Intérêts de retard sur acomptes"/>
    <n v="0"/>
    <n v="0.02"/>
    <n v="4211"/>
  </r>
  <r>
    <x v="2"/>
    <x v="7"/>
    <x v="6"/>
    <x v="276"/>
    <x v="230"/>
    <x v="230"/>
    <s v="CHARGES"/>
    <x v="19"/>
    <s v="3186.002"/>
    <s v="Commission perception IS"/>
    <n v="0.08"/>
    <n v="0"/>
    <n v="3186"/>
  </r>
  <r>
    <x v="2"/>
    <x v="7"/>
    <x v="6"/>
    <x v="276"/>
    <x v="230"/>
    <x v="230"/>
    <s v="REVENUS"/>
    <x v="6"/>
    <s v="4211.001"/>
    <s v="Intérêts de retard sur factures"/>
    <n v="0"/>
    <n v="22.34"/>
    <n v="4211"/>
  </r>
  <r>
    <x v="2"/>
    <x v="7"/>
    <x v="6"/>
    <x v="276"/>
    <x v="230"/>
    <x v="230"/>
    <s v="REVENUS"/>
    <x v="6"/>
    <s v="4211.002"/>
    <s v="Intérêts de retard sur acomptes"/>
    <n v="0"/>
    <n v="0.18"/>
    <n v="4211"/>
  </r>
  <r>
    <x v="2"/>
    <x v="3"/>
    <x v="3"/>
    <x v="278"/>
    <x v="236"/>
    <x v="236"/>
    <s v="CHARGES"/>
    <x v="19"/>
    <s v="3186.002"/>
    <s v="Commission perception IS"/>
    <n v="1664.28"/>
    <n v="0"/>
    <n v="3186"/>
  </r>
  <r>
    <x v="2"/>
    <x v="3"/>
    <x v="3"/>
    <x v="278"/>
    <x v="236"/>
    <x v="236"/>
    <s v="CHARGES"/>
    <x v="1"/>
    <s v="3301.001"/>
    <s v="Défalcations, abandons de solde PP et IS"/>
    <n v="580.67999999999995"/>
    <n v="0"/>
    <n v="3301"/>
  </r>
  <r>
    <x v="2"/>
    <x v="3"/>
    <x v="3"/>
    <x v="278"/>
    <x v="236"/>
    <x v="236"/>
    <s v="REVENUS"/>
    <x v="2"/>
    <s v="4001.010"/>
    <s v="Impôt sourciers mixtes"/>
    <n v="0"/>
    <n v="-2487.19"/>
    <n v="4001"/>
  </r>
  <r>
    <x v="2"/>
    <x v="3"/>
    <x v="3"/>
    <x v="278"/>
    <x v="236"/>
    <x v="236"/>
    <s v="REVENUS"/>
    <x v="6"/>
    <s v="4211.001"/>
    <s v="Intérêts de retard sur factures"/>
    <n v="0"/>
    <n v="34.590000000000003"/>
    <n v="4211"/>
  </r>
  <r>
    <x v="2"/>
    <x v="3"/>
    <x v="3"/>
    <x v="278"/>
    <x v="236"/>
    <x v="236"/>
    <s v="REVENUS"/>
    <x v="14"/>
    <s v="4003.000"/>
    <s v="Impôt à la source"/>
    <n v="0"/>
    <n v="21074.09"/>
    <n v="4003"/>
  </r>
  <r>
    <x v="2"/>
    <x v="3"/>
    <x v="3"/>
    <x v="278"/>
    <x v="236"/>
    <x v="236"/>
    <s v="REVENUS"/>
    <x v="6"/>
    <s v="4211.002"/>
    <s v="Intérêts de retard sur acomptes"/>
    <n v="0"/>
    <n v="141.82"/>
    <n v="4211"/>
  </r>
  <r>
    <x v="2"/>
    <x v="3"/>
    <x v="3"/>
    <x v="278"/>
    <x v="236"/>
    <x v="236"/>
    <s v="REVENUS"/>
    <x v="7"/>
    <s v="4184.000"/>
    <s v="Frais de poursuite"/>
    <n v="0"/>
    <n v="1.73"/>
    <n v="4184"/>
  </r>
  <r>
    <x v="2"/>
    <x v="3"/>
    <x v="3"/>
    <x v="278"/>
    <x v="236"/>
    <x v="236"/>
    <s v="REVENUS"/>
    <x v="2"/>
    <s v="4001.001"/>
    <s v="Impôt revenu"/>
    <n v="0"/>
    <n v="9816.2000000000007"/>
    <n v="4001"/>
  </r>
  <r>
    <x v="2"/>
    <x v="3"/>
    <x v="3"/>
    <x v="278"/>
    <x v="236"/>
    <x v="236"/>
    <s v="REVENUS"/>
    <x v="2"/>
    <s v="4001.002"/>
    <s v="Impôt complément s/revenu PP"/>
    <n v="0"/>
    <n v="1851.09"/>
    <n v="4001"/>
  </r>
  <r>
    <x v="2"/>
    <x v="3"/>
    <x v="3"/>
    <x v="278"/>
    <x v="236"/>
    <x v="236"/>
    <s v="REVENUS"/>
    <x v="8"/>
    <s v="4091.001"/>
    <s v="Impôt récupéré après défalcations"/>
    <n v="0"/>
    <n v="580.16999999999996"/>
    <n v="4091"/>
  </r>
  <r>
    <x v="2"/>
    <x v="3"/>
    <x v="3"/>
    <x v="278"/>
    <x v="236"/>
    <x v="236"/>
    <s v="REVENUS"/>
    <x v="14"/>
    <s v="4003.070"/>
    <s v="IS - Loi travail au noir"/>
    <n v="0"/>
    <n v="2.34"/>
    <n v="4003"/>
  </r>
  <r>
    <x v="2"/>
    <x v="7"/>
    <x v="6"/>
    <x v="279"/>
    <x v="232"/>
    <x v="232"/>
    <s v="CHARGES"/>
    <x v="19"/>
    <s v="3186.002"/>
    <s v="Commission perception IS"/>
    <n v="1988.33"/>
    <n v="0"/>
    <n v="3186"/>
  </r>
  <r>
    <x v="2"/>
    <x v="7"/>
    <x v="6"/>
    <x v="279"/>
    <x v="232"/>
    <x v="232"/>
    <s v="CHARGES"/>
    <x v="1"/>
    <s v="3301.001"/>
    <s v="Défalcations, abandons de solde PP et IS"/>
    <n v="357.95"/>
    <n v="0"/>
    <n v="3301"/>
  </r>
  <r>
    <x v="2"/>
    <x v="7"/>
    <x v="6"/>
    <x v="279"/>
    <x v="232"/>
    <x v="232"/>
    <s v="REVENUS"/>
    <x v="14"/>
    <s v="4003.000"/>
    <s v="Impôt à la source"/>
    <n v="0"/>
    <n v="60563.360000000001"/>
    <n v="4003"/>
  </r>
  <r>
    <x v="2"/>
    <x v="7"/>
    <x v="6"/>
    <x v="279"/>
    <x v="232"/>
    <x v="232"/>
    <s v="REVENUS"/>
    <x v="14"/>
    <s v="4003.020"/>
    <s v="IS - Artistes - Conférenciers - Sportifs"/>
    <n v="0"/>
    <n v="458.61"/>
    <n v="4003"/>
  </r>
  <r>
    <x v="2"/>
    <x v="7"/>
    <x v="6"/>
    <x v="279"/>
    <x v="232"/>
    <x v="232"/>
    <s v="REVENUS"/>
    <x v="6"/>
    <s v="4211.001"/>
    <s v="Intérêts de retard sur factures"/>
    <n v="0"/>
    <n v="47.38"/>
    <n v="4211"/>
  </r>
  <r>
    <x v="2"/>
    <x v="7"/>
    <x v="6"/>
    <x v="279"/>
    <x v="232"/>
    <x v="232"/>
    <s v="REVENUS"/>
    <x v="6"/>
    <s v="4211.002"/>
    <s v="Intérêts de retard sur acomptes"/>
    <n v="0"/>
    <n v="382.93"/>
    <n v="4211"/>
  </r>
  <r>
    <x v="2"/>
    <x v="7"/>
    <x v="6"/>
    <x v="279"/>
    <x v="232"/>
    <x v="232"/>
    <s v="REVENUS"/>
    <x v="2"/>
    <s v="4001.010"/>
    <s v="Impôt sourciers mixtes"/>
    <n v="0"/>
    <n v="1665.97"/>
    <n v="4001"/>
  </r>
  <r>
    <x v="2"/>
    <x v="7"/>
    <x v="6"/>
    <x v="279"/>
    <x v="232"/>
    <x v="232"/>
    <s v="REVENUS"/>
    <x v="2"/>
    <s v="4001.001"/>
    <s v="Impôt revenu"/>
    <n v="0"/>
    <n v="3995.84"/>
    <n v="4001"/>
  </r>
  <r>
    <x v="2"/>
    <x v="7"/>
    <x v="6"/>
    <x v="279"/>
    <x v="232"/>
    <x v="232"/>
    <s v="REVENUS"/>
    <x v="7"/>
    <s v="4184.000"/>
    <s v="Frais de poursuite"/>
    <n v="0"/>
    <n v="17.04"/>
    <n v="4184"/>
  </r>
  <r>
    <x v="2"/>
    <x v="7"/>
    <x v="6"/>
    <x v="279"/>
    <x v="232"/>
    <x v="232"/>
    <s v="REVENUS"/>
    <x v="2"/>
    <s v="4001.005"/>
    <s v="Amende de soustract. Impôt"/>
    <n v="0"/>
    <n v="1447"/>
    <n v="4001"/>
  </r>
  <r>
    <x v="2"/>
    <x v="7"/>
    <x v="6"/>
    <x v="281"/>
    <x v="230"/>
    <x v="230"/>
    <s v="CHARGES"/>
    <x v="19"/>
    <s v="3186.002"/>
    <s v="Commission perception IS"/>
    <n v="0.15"/>
    <n v="0"/>
    <n v="3186"/>
  </r>
  <r>
    <x v="2"/>
    <x v="7"/>
    <x v="6"/>
    <x v="281"/>
    <x v="230"/>
    <x v="230"/>
    <s v="REVENUS"/>
    <x v="6"/>
    <s v="4211.001"/>
    <s v="Intérêts de retard sur factures"/>
    <n v="0"/>
    <n v="-0.01"/>
    <n v="4211"/>
  </r>
  <r>
    <x v="2"/>
    <x v="7"/>
    <x v="6"/>
    <x v="281"/>
    <x v="230"/>
    <x v="230"/>
    <s v="REVENUS"/>
    <x v="6"/>
    <s v="4211.002"/>
    <s v="Intérêts de retard sur acomptes"/>
    <n v="0"/>
    <n v="0.03"/>
    <n v="4211"/>
  </r>
  <r>
    <x v="2"/>
    <x v="3"/>
    <x v="3"/>
    <x v="282"/>
    <x v="237"/>
    <x v="237"/>
    <s v="CHARGES"/>
    <x v="19"/>
    <s v="3186.002"/>
    <s v="Commission perception IS"/>
    <n v="1101.1300000000001"/>
    <n v="0"/>
    <n v="3186"/>
  </r>
  <r>
    <x v="2"/>
    <x v="3"/>
    <x v="3"/>
    <x v="282"/>
    <x v="237"/>
    <x v="237"/>
    <s v="CHARGES"/>
    <x v="1"/>
    <s v="3301.001"/>
    <s v="Défalcations, abandons de solde PP et IS"/>
    <n v="6.44"/>
    <n v="0"/>
    <n v="3301"/>
  </r>
  <r>
    <x v="2"/>
    <x v="3"/>
    <x v="3"/>
    <x v="282"/>
    <x v="237"/>
    <x v="237"/>
    <s v="REVENUS"/>
    <x v="2"/>
    <s v="4001.010"/>
    <s v="Impôt sourciers mixtes"/>
    <n v="0"/>
    <n v="3203.35"/>
    <n v="4001"/>
  </r>
  <r>
    <x v="2"/>
    <x v="3"/>
    <x v="3"/>
    <x v="282"/>
    <x v="237"/>
    <x v="237"/>
    <s v="REVENUS"/>
    <x v="14"/>
    <s v="4003.000"/>
    <s v="Impôt à la source"/>
    <n v="0"/>
    <n v="26442.34"/>
    <n v="4003"/>
  </r>
  <r>
    <x v="2"/>
    <x v="3"/>
    <x v="3"/>
    <x v="282"/>
    <x v="237"/>
    <x v="237"/>
    <s v="REVENUS"/>
    <x v="6"/>
    <s v="4211.001"/>
    <s v="Intérêts de retard sur factures"/>
    <n v="0"/>
    <n v="29.08"/>
    <n v="4211"/>
  </r>
  <r>
    <x v="2"/>
    <x v="3"/>
    <x v="3"/>
    <x v="282"/>
    <x v="237"/>
    <x v="237"/>
    <s v="REVENUS"/>
    <x v="6"/>
    <s v="4211.002"/>
    <s v="Intérêts de retard sur acomptes"/>
    <n v="0"/>
    <n v="109.63"/>
    <n v="4211"/>
  </r>
  <r>
    <x v="2"/>
    <x v="3"/>
    <x v="3"/>
    <x v="282"/>
    <x v="237"/>
    <x v="237"/>
    <s v="REVENUS"/>
    <x v="7"/>
    <s v="4184.000"/>
    <s v="Frais de poursuite"/>
    <n v="0"/>
    <n v="12.6"/>
    <n v="4184"/>
  </r>
  <r>
    <x v="2"/>
    <x v="3"/>
    <x v="3"/>
    <x v="282"/>
    <x v="237"/>
    <x v="237"/>
    <s v="REVENUS"/>
    <x v="2"/>
    <s v="4001.001"/>
    <s v="Impôt revenu"/>
    <n v="0"/>
    <n v="990.34"/>
    <n v="4001"/>
  </r>
  <r>
    <x v="2"/>
    <x v="4"/>
    <x v="4"/>
    <x v="283"/>
    <x v="88"/>
    <x v="88"/>
    <s v="CHARGES"/>
    <x v="19"/>
    <s v="3186.002"/>
    <s v="Commission perception IS"/>
    <n v="1836.65"/>
    <n v="0"/>
    <n v="3186"/>
  </r>
  <r>
    <x v="2"/>
    <x v="4"/>
    <x v="4"/>
    <x v="283"/>
    <x v="88"/>
    <x v="88"/>
    <s v="CHARGES"/>
    <x v="1"/>
    <s v="3301.001"/>
    <s v="Défalcations, abandons de solde PP et IS"/>
    <n v="14.24"/>
    <n v="0"/>
    <n v="3301"/>
  </r>
  <r>
    <x v="2"/>
    <x v="4"/>
    <x v="4"/>
    <x v="283"/>
    <x v="88"/>
    <x v="88"/>
    <s v="REVENUS"/>
    <x v="14"/>
    <s v="4003.000"/>
    <s v="Impôt à la source"/>
    <n v="0"/>
    <n v="17046.580000000002"/>
    <n v="4003"/>
  </r>
  <r>
    <x v="2"/>
    <x v="4"/>
    <x v="4"/>
    <x v="283"/>
    <x v="88"/>
    <x v="88"/>
    <s v="REVENUS"/>
    <x v="6"/>
    <s v="4211.002"/>
    <s v="Intérêts de retard sur acomptes"/>
    <n v="0"/>
    <n v="244.42"/>
    <n v="4211"/>
  </r>
  <r>
    <x v="2"/>
    <x v="4"/>
    <x v="4"/>
    <x v="283"/>
    <x v="88"/>
    <x v="88"/>
    <s v="REVENUS"/>
    <x v="6"/>
    <s v="4211.001"/>
    <s v="Intérêts de retard sur factures"/>
    <n v="0"/>
    <n v="131.56"/>
    <n v="4211"/>
  </r>
  <r>
    <x v="2"/>
    <x v="4"/>
    <x v="4"/>
    <x v="283"/>
    <x v="88"/>
    <x v="88"/>
    <s v="REVENUS"/>
    <x v="2"/>
    <s v="4001.010"/>
    <s v="Impôt sourciers mixtes"/>
    <n v="0"/>
    <n v="-13324.14"/>
    <n v="4001"/>
  </r>
  <r>
    <x v="2"/>
    <x v="4"/>
    <x v="4"/>
    <x v="283"/>
    <x v="88"/>
    <x v="88"/>
    <s v="REVENUS"/>
    <x v="7"/>
    <s v="4184.000"/>
    <s v="Frais de poursuite"/>
    <n v="0"/>
    <n v="45.09"/>
    <n v="4184"/>
  </r>
  <r>
    <x v="2"/>
    <x v="4"/>
    <x v="4"/>
    <x v="283"/>
    <x v="88"/>
    <x v="88"/>
    <s v="REVENUS"/>
    <x v="2"/>
    <s v="4001.001"/>
    <s v="Impôt revenu"/>
    <n v="0"/>
    <n v="10193.41"/>
    <n v="4001"/>
  </r>
  <r>
    <x v="2"/>
    <x v="7"/>
    <x v="6"/>
    <x v="284"/>
    <x v="230"/>
    <x v="230"/>
    <s v="CHARGES"/>
    <x v="19"/>
    <s v="3186.002"/>
    <s v="Commission perception IS"/>
    <n v="7526.13"/>
    <n v="0"/>
    <n v="3186"/>
  </r>
  <r>
    <x v="2"/>
    <x v="7"/>
    <x v="6"/>
    <x v="284"/>
    <x v="230"/>
    <x v="230"/>
    <s v="CHARGES"/>
    <x v="1"/>
    <s v="3301.001"/>
    <s v="Défalcations, abandons de solde PP et IS"/>
    <n v="3201.25"/>
    <n v="0"/>
    <n v="3301"/>
  </r>
  <r>
    <x v="2"/>
    <x v="7"/>
    <x v="6"/>
    <x v="284"/>
    <x v="230"/>
    <x v="230"/>
    <s v="REVENUS"/>
    <x v="14"/>
    <s v="4003.000"/>
    <s v="Impôt à la source"/>
    <n v="0"/>
    <n v="171095.19"/>
    <n v="4003"/>
  </r>
  <r>
    <x v="2"/>
    <x v="7"/>
    <x v="6"/>
    <x v="284"/>
    <x v="230"/>
    <x v="230"/>
    <s v="REVENUS"/>
    <x v="2"/>
    <s v="4001.010"/>
    <s v="Impôt sourciers mixtes"/>
    <n v="0"/>
    <n v="11605.87"/>
    <n v="4001"/>
  </r>
  <r>
    <x v="2"/>
    <x v="7"/>
    <x v="6"/>
    <x v="284"/>
    <x v="230"/>
    <x v="230"/>
    <s v="REVENUS"/>
    <x v="6"/>
    <s v="4211.002"/>
    <s v="Intérêts de retard sur acomptes"/>
    <n v="0"/>
    <n v="1318.83"/>
    <n v="4211"/>
  </r>
  <r>
    <x v="2"/>
    <x v="7"/>
    <x v="6"/>
    <x v="284"/>
    <x v="230"/>
    <x v="230"/>
    <s v="REVENUS"/>
    <x v="2"/>
    <s v="4001.001"/>
    <s v="Impôt revenu"/>
    <n v="0"/>
    <n v="38630.07"/>
    <n v="4001"/>
  </r>
  <r>
    <x v="2"/>
    <x v="7"/>
    <x v="6"/>
    <x v="284"/>
    <x v="230"/>
    <x v="230"/>
    <s v="REVENUS"/>
    <x v="7"/>
    <s v="4184.000"/>
    <s v="Frais de poursuite"/>
    <n v="0"/>
    <n v="93.16"/>
    <n v="4184"/>
  </r>
  <r>
    <x v="2"/>
    <x v="7"/>
    <x v="6"/>
    <x v="284"/>
    <x v="230"/>
    <x v="230"/>
    <s v="REVENUS"/>
    <x v="6"/>
    <s v="4211.001"/>
    <s v="Intérêts de retard sur factures"/>
    <n v="0"/>
    <n v="506.99"/>
    <n v="4211"/>
  </r>
  <r>
    <x v="2"/>
    <x v="7"/>
    <x v="6"/>
    <x v="284"/>
    <x v="230"/>
    <x v="230"/>
    <s v="REVENUS"/>
    <x v="8"/>
    <s v="4091.001"/>
    <s v="Impôt récupéré après défalcations"/>
    <n v="0"/>
    <n v="878.81"/>
    <n v="4091"/>
  </r>
  <r>
    <x v="2"/>
    <x v="7"/>
    <x v="6"/>
    <x v="284"/>
    <x v="230"/>
    <x v="230"/>
    <s v="REVENUS"/>
    <x v="14"/>
    <s v="4003.020"/>
    <s v="IS - Artistes - Conférenciers - Sportifs"/>
    <n v="0"/>
    <n v="1685.55"/>
    <n v="4003"/>
  </r>
  <r>
    <x v="2"/>
    <x v="7"/>
    <x v="6"/>
    <x v="284"/>
    <x v="230"/>
    <x v="230"/>
    <s v="REVENUS"/>
    <x v="2"/>
    <s v="4001.005"/>
    <s v="Amende de soustract. Impôt"/>
    <n v="0"/>
    <n v="166.66"/>
    <n v="4001"/>
  </r>
  <r>
    <x v="2"/>
    <x v="7"/>
    <x v="6"/>
    <x v="284"/>
    <x v="230"/>
    <x v="230"/>
    <s v="REVENUS"/>
    <x v="14"/>
    <s v="4003.070"/>
    <s v="IS - Loi travail au noir"/>
    <n v="0"/>
    <n v="44"/>
    <n v="4003"/>
  </r>
  <r>
    <x v="2"/>
    <x v="7"/>
    <x v="6"/>
    <x v="284"/>
    <x v="230"/>
    <x v="230"/>
    <s v="REVENUS"/>
    <x v="14"/>
    <s v="4003.010"/>
    <s v="IS - Employés et sourciers étrangers"/>
    <n v="0"/>
    <n v="164.8"/>
    <n v="4003"/>
  </r>
  <r>
    <x v="2"/>
    <x v="7"/>
    <x v="6"/>
    <x v="285"/>
    <x v="229"/>
    <x v="229"/>
    <s v="CHARGES"/>
    <x v="19"/>
    <s v="3186.002"/>
    <s v="Commission perception IS"/>
    <n v="5291.72"/>
    <n v="0"/>
    <n v="3186"/>
  </r>
  <r>
    <x v="2"/>
    <x v="7"/>
    <x v="6"/>
    <x v="285"/>
    <x v="229"/>
    <x v="229"/>
    <s v="CHARGES"/>
    <x v="1"/>
    <s v="3301.001"/>
    <s v="Défalcations, abandons de solde PP et IS"/>
    <n v="2.42"/>
    <n v="0"/>
    <n v="3301"/>
  </r>
  <r>
    <x v="2"/>
    <x v="7"/>
    <x v="6"/>
    <x v="285"/>
    <x v="229"/>
    <x v="229"/>
    <s v="REVENUS"/>
    <x v="14"/>
    <s v="4003.000"/>
    <s v="Impôt à la source"/>
    <n v="0"/>
    <n v="59052.89"/>
    <n v="4003"/>
  </r>
  <r>
    <x v="2"/>
    <x v="7"/>
    <x v="6"/>
    <x v="285"/>
    <x v="229"/>
    <x v="229"/>
    <s v="REVENUS"/>
    <x v="2"/>
    <s v="4001.010"/>
    <s v="Impôt sourciers mixtes"/>
    <n v="0"/>
    <n v="43043.21"/>
    <n v="4001"/>
  </r>
  <r>
    <x v="2"/>
    <x v="7"/>
    <x v="6"/>
    <x v="285"/>
    <x v="229"/>
    <x v="229"/>
    <s v="REVENUS"/>
    <x v="6"/>
    <s v="4211.002"/>
    <s v="Intérêts de retard sur acomptes"/>
    <n v="0"/>
    <n v="213.15"/>
    <n v="4211"/>
  </r>
  <r>
    <x v="2"/>
    <x v="7"/>
    <x v="6"/>
    <x v="285"/>
    <x v="229"/>
    <x v="229"/>
    <s v="REVENUS"/>
    <x v="7"/>
    <s v="4184.000"/>
    <s v="Frais de poursuite"/>
    <n v="0"/>
    <n v="18.170000000000002"/>
    <n v="4184"/>
  </r>
  <r>
    <x v="2"/>
    <x v="7"/>
    <x v="6"/>
    <x v="285"/>
    <x v="229"/>
    <x v="229"/>
    <s v="REVENUS"/>
    <x v="6"/>
    <s v="4211.001"/>
    <s v="Intérêts de retard sur factures"/>
    <n v="0"/>
    <n v="137.06"/>
    <n v="4211"/>
  </r>
  <r>
    <x v="2"/>
    <x v="7"/>
    <x v="6"/>
    <x v="285"/>
    <x v="229"/>
    <x v="229"/>
    <s v="REVENUS"/>
    <x v="2"/>
    <s v="4001.001"/>
    <s v="Impôt revenu"/>
    <n v="0"/>
    <n v="14682.11"/>
    <n v="4001"/>
  </r>
  <r>
    <x v="2"/>
    <x v="7"/>
    <x v="6"/>
    <x v="285"/>
    <x v="229"/>
    <x v="229"/>
    <s v="REVENUS"/>
    <x v="14"/>
    <s v="4003.070"/>
    <s v="IS - Loi travail au noir"/>
    <n v="0"/>
    <n v="125.42"/>
    <n v="4003"/>
  </r>
  <r>
    <x v="2"/>
    <x v="7"/>
    <x v="6"/>
    <x v="285"/>
    <x v="229"/>
    <x v="229"/>
    <s v="REVENUS"/>
    <x v="14"/>
    <s v="4003.020"/>
    <s v="IS - Artistes - Conférenciers - Sportifs"/>
    <n v="0"/>
    <n v="-166.85"/>
    <n v="4003"/>
  </r>
  <r>
    <x v="2"/>
    <x v="3"/>
    <x v="3"/>
    <x v="286"/>
    <x v="238"/>
    <x v="238"/>
    <s v="CHARGES"/>
    <x v="19"/>
    <s v="3186.002"/>
    <s v="Commission perception IS"/>
    <n v="46.06"/>
    <n v="0"/>
    <n v="3186"/>
  </r>
  <r>
    <x v="2"/>
    <x v="3"/>
    <x v="3"/>
    <x v="286"/>
    <x v="238"/>
    <x v="238"/>
    <s v="CHARGES"/>
    <x v="1"/>
    <s v="3301.001"/>
    <s v="Défalcations, abandons de solde PP et IS"/>
    <n v="188.72"/>
    <n v="0"/>
    <n v="3301"/>
  </r>
  <r>
    <x v="2"/>
    <x v="3"/>
    <x v="3"/>
    <x v="286"/>
    <x v="238"/>
    <x v="238"/>
    <s v="REVENUS"/>
    <x v="2"/>
    <s v="4001.010"/>
    <s v="Impôt sourciers mixtes"/>
    <n v="0"/>
    <n v="-1439.43"/>
    <n v="4001"/>
  </r>
  <r>
    <x v="2"/>
    <x v="3"/>
    <x v="3"/>
    <x v="286"/>
    <x v="238"/>
    <x v="238"/>
    <s v="REVENUS"/>
    <x v="7"/>
    <s v="4184.000"/>
    <s v="Frais de poursuite"/>
    <n v="0"/>
    <n v="0.9"/>
    <n v="4184"/>
  </r>
  <r>
    <x v="2"/>
    <x v="3"/>
    <x v="3"/>
    <x v="286"/>
    <x v="238"/>
    <x v="238"/>
    <s v="REVENUS"/>
    <x v="6"/>
    <s v="4211.002"/>
    <s v="Intérêts de retard sur acomptes"/>
    <n v="0"/>
    <n v="24.01"/>
    <n v="4211"/>
  </r>
  <r>
    <x v="2"/>
    <x v="3"/>
    <x v="3"/>
    <x v="287"/>
    <x v="239"/>
    <x v="239"/>
    <s v="CHARGES"/>
    <x v="19"/>
    <s v="3186.002"/>
    <s v="Commission perception IS"/>
    <n v="352.78"/>
    <n v="0"/>
    <n v="3186"/>
  </r>
  <r>
    <x v="2"/>
    <x v="3"/>
    <x v="3"/>
    <x v="287"/>
    <x v="239"/>
    <x v="239"/>
    <s v="CHARGES"/>
    <x v="1"/>
    <s v="3301.001"/>
    <s v="Défalcations, abandons de solde PP et IS"/>
    <n v="540.79999999999995"/>
    <n v="0"/>
    <n v="3301"/>
  </r>
  <r>
    <x v="2"/>
    <x v="3"/>
    <x v="3"/>
    <x v="287"/>
    <x v="239"/>
    <x v="239"/>
    <s v="REVENUS"/>
    <x v="14"/>
    <s v="4003.000"/>
    <s v="Impôt à la source"/>
    <n v="0"/>
    <n v="19860.71"/>
    <n v="4003"/>
  </r>
  <r>
    <x v="2"/>
    <x v="3"/>
    <x v="3"/>
    <x v="287"/>
    <x v="239"/>
    <x v="239"/>
    <s v="REVENUS"/>
    <x v="6"/>
    <s v="4211.001"/>
    <s v="Intérêts de retard sur factures"/>
    <n v="0"/>
    <n v="24.78"/>
    <n v="4211"/>
  </r>
  <r>
    <x v="2"/>
    <x v="3"/>
    <x v="3"/>
    <x v="287"/>
    <x v="239"/>
    <x v="239"/>
    <s v="REVENUS"/>
    <x v="6"/>
    <s v="4211.002"/>
    <s v="Intérêts de retard sur acomptes"/>
    <n v="0"/>
    <n v="74.66"/>
    <n v="4211"/>
  </r>
  <r>
    <x v="2"/>
    <x v="3"/>
    <x v="3"/>
    <x v="287"/>
    <x v="239"/>
    <x v="239"/>
    <s v="REVENUS"/>
    <x v="2"/>
    <s v="4001.010"/>
    <s v="Impôt sourciers mixtes"/>
    <n v="0"/>
    <n v="224.97"/>
    <n v="4001"/>
  </r>
  <r>
    <x v="2"/>
    <x v="3"/>
    <x v="3"/>
    <x v="287"/>
    <x v="239"/>
    <x v="239"/>
    <s v="REVENUS"/>
    <x v="14"/>
    <s v="4003.010"/>
    <s v="IS - Employés et sourciers étrangers"/>
    <n v="0"/>
    <n v="26.8"/>
    <n v="4003"/>
  </r>
  <r>
    <x v="2"/>
    <x v="3"/>
    <x v="3"/>
    <x v="375"/>
    <x v="240"/>
    <x v="240"/>
    <s v="REVENUS"/>
    <x v="6"/>
    <s v="4211.001"/>
    <s v="Intérêts de retard sur factures"/>
    <n v="0"/>
    <n v="1.65"/>
    <n v="4211"/>
  </r>
  <r>
    <x v="2"/>
    <x v="3"/>
    <x v="3"/>
    <x v="375"/>
    <x v="240"/>
    <x v="240"/>
    <s v="REVENUS"/>
    <x v="6"/>
    <s v="4211.002"/>
    <s v="Intérêts de retard sur acomptes"/>
    <n v="0"/>
    <n v="0.02"/>
    <n v="4211"/>
  </r>
  <r>
    <x v="2"/>
    <x v="3"/>
    <x v="3"/>
    <x v="288"/>
    <x v="240"/>
    <x v="240"/>
    <s v="REVENUS"/>
    <x v="6"/>
    <s v="4211.001"/>
    <s v="Intérêts de retard sur factures"/>
    <n v="0"/>
    <n v="0.49"/>
    <n v="4211"/>
  </r>
  <r>
    <x v="2"/>
    <x v="3"/>
    <x v="3"/>
    <x v="289"/>
    <x v="241"/>
    <x v="241"/>
    <s v="CHARGES"/>
    <x v="19"/>
    <s v="3186.002"/>
    <s v="Commission perception IS"/>
    <n v="4216.29"/>
    <n v="0"/>
    <n v="3186"/>
  </r>
  <r>
    <x v="2"/>
    <x v="3"/>
    <x v="3"/>
    <x v="289"/>
    <x v="241"/>
    <x v="241"/>
    <s v="CHARGES"/>
    <x v="1"/>
    <s v="3301.001"/>
    <s v="Défalcations, abandons de solde PP et IS"/>
    <n v="9412.1299999999992"/>
    <n v="0"/>
    <n v="3301"/>
  </r>
  <r>
    <x v="2"/>
    <x v="3"/>
    <x v="3"/>
    <x v="289"/>
    <x v="241"/>
    <x v="241"/>
    <s v="REVENUS"/>
    <x v="14"/>
    <s v="4003.000"/>
    <s v="Impôt à la source"/>
    <n v="0"/>
    <n v="136789.48000000001"/>
    <n v="4003"/>
  </r>
  <r>
    <x v="2"/>
    <x v="3"/>
    <x v="3"/>
    <x v="289"/>
    <x v="241"/>
    <x v="241"/>
    <s v="REVENUS"/>
    <x v="14"/>
    <s v="4003.010"/>
    <s v="IS - Employés et sourciers étrangers"/>
    <n v="0"/>
    <n v="4520.8"/>
    <n v="4003"/>
  </r>
  <r>
    <x v="2"/>
    <x v="3"/>
    <x v="3"/>
    <x v="289"/>
    <x v="241"/>
    <x v="241"/>
    <s v="REVENUS"/>
    <x v="6"/>
    <s v="4211.001"/>
    <s v="Intérêts de retard sur factures"/>
    <n v="0"/>
    <n v="876.5"/>
    <n v="4211"/>
  </r>
  <r>
    <x v="2"/>
    <x v="3"/>
    <x v="3"/>
    <x v="289"/>
    <x v="241"/>
    <x v="241"/>
    <s v="REVENUS"/>
    <x v="6"/>
    <s v="4211.002"/>
    <s v="Intérêts de retard sur acomptes"/>
    <n v="0"/>
    <n v="1042.1400000000001"/>
    <n v="4211"/>
  </r>
  <r>
    <x v="2"/>
    <x v="3"/>
    <x v="3"/>
    <x v="289"/>
    <x v="241"/>
    <x v="241"/>
    <s v="REVENUS"/>
    <x v="2"/>
    <s v="4001.010"/>
    <s v="Impôt sourciers mixtes"/>
    <n v="0"/>
    <n v="-19306.009999999998"/>
    <n v="4001"/>
  </r>
  <r>
    <x v="2"/>
    <x v="3"/>
    <x v="3"/>
    <x v="289"/>
    <x v="241"/>
    <x v="241"/>
    <s v="REVENUS"/>
    <x v="2"/>
    <s v="4001.001"/>
    <s v="Impôt revenu"/>
    <n v="0"/>
    <n v="18808.560000000001"/>
    <n v="4001"/>
  </r>
  <r>
    <x v="2"/>
    <x v="3"/>
    <x v="3"/>
    <x v="289"/>
    <x v="241"/>
    <x v="241"/>
    <s v="REVENUS"/>
    <x v="14"/>
    <s v="4003.030"/>
    <s v="IS - Prestations en capital / Prévoyance"/>
    <n v="0"/>
    <n v="587.01"/>
    <n v="4003"/>
  </r>
  <r>
    <x v="2"/>
    <x v="3"/>
    <x v="3"/>
    <x v="289"/>
    <x v="241"/>
    <x v="241"/>
    <s v="REVENUS"/>
    <x v="8"/>
    <s v="4091.001"/>
    <s v="Impôt récupéré après défalcations"/>
    <n v="0"/>
    <n v="6145.9"/>
    <n v="4091"/>
  </r>
  <r>
    <x v="2"/>
    <x v="3"/>
    <x v="3"/>
    <x v="289"/>
    <x v="241"/>
    <x v="241"/>
    <s v="REVENUS"/>
    <x v="7"/>
    <s v="4184.000"/>
    <s v="Frais de poursuite"/>
    <n v="0"/>
    <n v="123.19"/>
    <n v="4184"/>
  </r>
  <r>
    <x v="2"/>
    <x v="3"/>
    <x v="3"/>
    <x v="289"/>
    <x v="241"/>
    <x v="241"/>
    <s v="REVENUS"/>
    <x v="14"/>
    <s v="4003.020"/>
    <s v="IS - Artistes - Conférenciers - Sportifs"/>
    <n v="0"/>
    <n v="-132.62"/>
    <n v="4003"/>
  </r>
  <r>
    <x v="2"/>
    <x v="3"/>
    <x v="3"/>
    <x v="289"/>
    <x v="241"/>
    <x v="241"/>
    <s v="REVENUS"/>
    <x v="14"/>
    <s v="4003.070"/>
    <s v="IS - Loi travail au noir"/>
    <n v="0"/>
    <n v="75.83"/>
    <n v="4003"/>
  </r>
  <r>
    <x v="2"/>
    <x v="3"/>
    <x v="3"/>
    <x v="290"/>
    <x v="242"/>
    <x v="242"/>
    <s v="CHARGES"/>
    <x v="19"/>
    <s v="3186.002"/>
    <s v="Commission perception IS"/>
    <n v="679.31"/>
    <n v="0"/>
    <n v="3186"/>
  </r>
  <r>
    <x v="2"/>
    <x v="3"/>
    <x v="3"/>
    <x v="290"/>
    <x v="242"/>
    <x v="242"/>
    <s v="CHARGES"/>
    <x v="1"/>
    <s v="3301.001"/>
    <s v="Défalcations, abandons de solde PP et IS"/>
    <n v="761.54"/>
    <n v="0"/>
    <n v="3301"/>
  </r>
  <r>
    <x v="2"/>
    <x v="3"/>
    <x v="3"/>
    <x v="290"/>
    <x v="242"/>
    <x v="242"/>
    <s v="REVENUS"/>
    <x v="2"/>
    <s v="4001.010"/>
    <s v="Impôt sourciers mixtes"/>
    <n v="0"/>
    <n v="4746.01"/>
    <n v="4001"/>
  </r>
  <r>
    <x v="2"/>
    <x v="3"/>
    <x v="3"/>
    <x v="290"/>
    <x v="242"/>
    <x v="242"/>
    <s v="REVENUS"/>
    <x v="14"/>
    <s v="4003.000"/>
    <s v="Impôt à la source"/>
    <n v="0"/>
    <n v="27093.37"/>
    <n v="4003"/>
  </r>
  <r>
    <x v="2"/>
    <x v="3"/>
    <x v="3"/>
    <x v="290"/>
    <x v="242"/>
    <x v="242"/>
    <s v="REVENUS"/>
    <x v="6"/>
    <s v="4211.001"/>
    <s v="Intérêts de retard sur factures"/>
    <n v="0"/>
    <n v="132.44"/>
    <n v="4211"/>
  </r>
  <r>
    <x v="2"/>
    <x v="3"/>
    <x v="3"/>
    <x v="290"/>
    <x v="242"/>
    <x v="242"/>
    <s v="REVENUS"/>
    <x v="6"/>
    <s v="4211.002"/>
    <s v="Intérêts de retard sur acomptes"/>
    <n v="0"/>
    <n v="265.37"/>
    <n v="4211"/>
  </r>
  <r>
    <x v="2"/>
    <x v="3"/>
    <x v="3"/>
    <x v="290"/>
    <x v="242"/>
    <x v="242"/>
    <s v="REVENUS"/>
    <x v="2"/>
    <s v="4001.001"/>
    <s v="Impôt revenu"/>
    <n v="0"/>
    <n v="3198.71"/>
    <n v="4001"/>
  </r>
  <r>
    <x v="2"/>
    <x v="3"/>
    <x v="3"/>
    <x v="290"/>
    <x v="242"/>
    <x v="242"/>
    <s v="REVENUS"/>
    <x v="14"/>
    <s v="4003.010"/>
    <s v="IS - Employés et sourciers étrangers"/>
    <n v="0"/>
    <n v="1379.48"/>
    <n v="4003"/>
  </r>
  <r>
    <x v="2"/>
    <x v="3"/>
    <x v="3"/>
    <x v="290"/>
    <x v="242"/>
    <x v="242"/>
    <s v="REVENUS"/>
    <x v="7"/>
    <s v="4184.000"/>
    <s v="Frais de poursuite"/>
    <n v="0"/>
    <n v="137.12"/>
    <n v="4184"/>
  </r>
  <r>
    <x v="2"/>
    <x v="3"/>
    <x v="3"/>
    <x v="290"/>
    <x v="242"/>
    <x v="242"/>
    <s v="REVENUS"/>
    <x v="2"/>
    <s v="4001.002"/>
    <s v="Impôt complément s/revenu PP"/>
    <n v="0"/>
    <n v="1169.56"/>
    <n v="4001"/>
  </r>
  <r>
    <x v="2"/>
    <x v="3"/>
    <x v="3"/>
    <x v="290"/>
    <x v="242"/>
    <x v="242"/>
    <s v="REVENUS"/>
    <x v="14"/>
    <s v="4003.070"/>
    <s v="IS - Loi travail au noir"/>
    <n v="0"/>
    <n v="20.56"/>
    <n v="4003"/>
  </r>
  <r>
    <x v="2"/>
    <x v="3"/>
    <x v="3"/>
    <x v="291"/>
    <x v="240"/>
    <x v="240"/>
    <s v="REVENUS"/>
    <x v="6"/>
    <s v="4211.001"/>
    <s v="Intérêts de retard sur factures"/>
    <n v="0"/>
    <n v="36.9"/>
    <n v="4211"/>
  </r>
  <r>
    <x v="2"/>
    <x v="3"/>
    <x v="3"/>
    <x v="291"/>
    <x v="240"/>
    <x v="240"/>
    <s v="REVENUS"/>
    <x v="6"/>
    <s v="4211.002"/>
    <s v="Intérêts de retard sur acomptes"/>
    <n v="0"/>
    <n v="0.26"/>
    <n v="4211"/>
  </r>
  <r>
    <x v="2"/>
    <x v="3"/>
    <x v="3"/>
    <x v="292"/>
    <x v="243"/>
    <x v="243"/>
    <s v="CHARGES"/>
    <x v="19"/>
    <s v="3186.002"/>
    <s v="Commission perception IS"/>
    <n v="347.78"/>
    <n v="0"/>
    <n v="3186"/>
  </r>
  <r>
    <x v="2"/>
    <x v="3"/>
    <x v="3"/>
    <x v="292"/>
    <x v="243"/>
    <x v="243"/>
    <s v="CHARGES"/>
    <x v="1"/>
    <s v="3301.001"/>
    <s v="Défalcations, abandons de solde PP et IS"/>
    <n v="3929.73"/>
    <n v="0"/>
    <n v="3301"/>
  </r>
  <r>
    <x v="2"/>
    <x v="3"/>
    <x v="3"/>
    <x v="292"/>
    <x v="243"/>
    <x v="243"/>
    <s v="REVENUS"/>
    <x v="6"/>
    <s v="4211.001"/>
    <s v="Intérêts de retard sur factures"/>
    <n v="0"/>
    <n v="175.48"/>
    <n v="4211"/>
  </r>
  <r>
    <x v="2"/>
    <x v="3"/>
    <x v="3"/>
    <x v="292"/>
    <x v="243"/>
    <x v="243"/>
    <s v="REVENUS"/>
    <x v="6"/>
    <s v="4211.002"/>
    <s v="Intérêts de retard sur acomptes"/>
    <n v="0"/>
    <n v="69.72"/>
    <n v="4211"/>
  </r>
  <r>
    <x v="2"/>
    <x v="3"/>
    <x v="3"/>
    <x v="292"/>
    <x v="243"/>
    <x v="243"/>
    <s v="REVENUS"/>
    <x v="14"/>
    <s v="4003.000"/>
    <s v="Impôt à la source"/>
    <n v="0"/>
    <n v="11763.45"/>
    <n v="4003"/>
  </r>
  <r>
    <x v="2"/>
    <x v="3"/>
    <x v="3"/>
    <x v="292"/>
    <x v="243"/>
    <x v="243"/>
    <s v="REVENUS"/>
    <x v="2"/>
    <s v="4001.010"/>
    <s v="Impôt sourciers mixtes"/>
    <n v="0"/>
    <n v="-5031.5200000000004"/>
    <n v="4001"/>
  </r>
  <r>
    <x v="2"/>
    <x v="3"/>
    <x v="3"/>
    <x v="292"/>
    <x v="243"/>
    <x v="243"/>
    <s v="REVENUS"/>
    <x v="7"/>
    <s v="4184.000"/>
    <s v="Frais de poursuite"/>
    <n v="0"/>
    <n v="127.22"/>
    <n v="4184"/>
  </r>
  <r>
    <x v="2"/>
    <x v="3"/>
    <x v="3"/>
    <x v="292"/>
    <x v="243"/>
    <x v="243"/>
    <s v="REVENUS"/>
    <x v="8"/>
    <s v="4091.001"/>
    <s v="Impôt récupéré après défalcations"/>
    <n v="0"/>
    <n v="483.7"/>
    <n v="4091"/>
  </r>
  <r>
    <x v="2"/>
    <x v="3"/>
    <x v="3"/>
    <x v="292"/>
    <x v="243"/>
    <x v="243"/>
    <s v="REVENUS"/>
    <x v="2"/>
    <s v="4001.001"/>
    <s v="Impôt revenu"/>
    <n v="0"/>
    <n v="821.06"/>
    <n v="4001"/>
  </r>
  <r>
    <x v="2"/>
    <x v="3"/>
    <x v="3"/>
    <x v="292"/>
    <x v="243"/>
    <x v="243"/>
    <s v="REVENUS"/>
    <x v="14"/>
    <s v="4003.070"/>
    <s v="IS - Loi travail au noir"/>
    <n v="0"/>
    <n v="0.98"/>
    <n v="4003"/>
  </r>
  <r>
    <x v="2"/>
    <x v="3"/>
    <x v="3"/>
    <x v="294"/>
    <x v="244"/>
    <x v="244"/>
    <s v="CHARGES"/>
    <x v="19"/>
    <s v="3186.002"/>
    <s v="Commission perception IS"/>
    <n v="529.24"/>
    <n v="0"/>
    <n v="3186"/>
  </r>
  <r>
    <x v="2"/>
    <x v="3"/>
    <x v="3"/>
    <x v="294"/>
    <x v="244"/>
    <x v="244"/>
    <s v="CHARGES"/>
    <x v="1"/>
    <s v="3301.001"/>
    <s v="Défalcations, abandons de solde PP et IS"/>
    <n v="3.73"/>
    <n v="0"/>
    <n v="3301"/>
  </r>
  <r>
    <x v="2"/>
    <x v="3"/>
    <x v="3"/>
    <x v="294"/>
    <x v="244"/>
    <x v="244"/>
    <s v="REVENUS"/>
    <x v="2"/>
    <s v="4001.010"/>
    <s v="Impôt sourciers mixtes"/>
    <n v="0"/>
    <n v="-13391.69"/>
    <n v="4001"/>
  </r>
  <r>
    <x v="2"/>
    <x v="3"/>
    <x v="3"/>
    <x v="294"/>
    <x v="244"/>
    <x v="244"/>
    <s v="REVENUS"/>
    <x v="14"/>
    <s v="4003.000"/>
    <s v="Impôt à la source"/>
    <n v="0"/>
    <n v="13281.92"/>
    <n v="4003"/>
  </r>
  <r>
    <x v="2"/>
    <x v="3"/>
    <x v="3"/>
    <x v="294"/>
    <x v="244"/>
    <x v="244"/>
    <s v="REVENUS"/>
    <x v="14"/>
    <s v="4003.010"/>
    <s v="IS - Employés et sourciers étrangers"/>
    <n v="0"/>
    <n v="805.67"/>
    <n v="4003"/>
  </r>
  <r>
    <x v="2"/>
    <x v="3"/>
    <x v="3"/>
    <x v="294"/>
    <x v="244"/>
    <x v="244"/>
    <s v="REVENUS"/>
    <x v="6"/>
    <s v="4211.001"/>
    <s v="Intérêts de retard sur factures"/>
    <n v="0"/>
    <n v="16.79"/>
    <n v="4211"/>
  </r>
  <r>
    <x v="2"/>
    <x v="3"/>
    <x v="3"/>
    <x v="294"/>
    <x v="244"/>
    <x v="244"/>
    <s v="REVENUS"/>
    <x v="6"/>
    <s v="4211.002"/>
    <s v="Intérêts de retard sur acomptes"/>
    <n v="0"/>
    <n v="265.24"/>
    <n v="4211"/>
  </r>
  <r>
    <x v="2"/>
    <x v="3"/>
    <x v="3"/>
    <x v="294"/>
    <x v="244"/>
    <x v="244"/>
    <s v="REVENUS"/>
    <x v="2"/>
    <s v="4001.001"/>
    <s v="Impôt revenu"/>
    <n v="0"/>
    <n v="2762.57"/>
    <n v="4001"/>
  </r>
  <r>
    <x v="2"/>
    <x v="3"/>
    <x v="3"/>
    <x v="295"/>
    <x v="245"/>
    <x v="245"/>
    <s v="CHARGES"/>
    <x v="19"/>
    <s v="3186.002"/>
    <s v="Commission perception IS"/>
    <n v="17268.68"/>
    <n v="0"/>
    <n v="3186"/>
  </r>
  <r>
    <x v="2"/>
    <x v="3"/>
    <x v="3"/>
    <x v="295"/>
    <x v="245"/>
    <x v="245"/>
    <s v="CHARGES"/>
    <x v="1"/>
    <s v="3301.001"/>
    <s v="Défalcations, abandons de solde PP et IS"/>
    <n v="21772.51"/>
    <n v="0"/>
    <n v="3301"/>
  </r>
  <r>
    <x v="2"/>
    <x v="3"/>
    <x v="3"/>
    <x v="295"/>
    <x v="245"/>
    <x v="245"/>
    <s v="REVENUS"/>
    <x v="2"/>
    <s v="4001.010"/>
    <s v="Impôt sourciers mixtes"/>
    <n v="0"/>
    <n v="-12221.93"/>
    <n v="4001"/>
  </r>
  <r>
    <x v="2"/>
    <x v="3"/>
    <x v="3"/>
    <x v="295"/>
    <x v="245"/>
    <x v="245"/>
    <s v="REVENUS"/>
    <x v="2"/>
    <s v="4001.001"/>
    <s v="Impôt revenu"/>
    <n v="0"/>
    <n v="112831.48"/>
    <n v="4001"/>
  </r>
  <r>
    <x v="2"/>
    <x v="3"/>
    <x v="3"/>
    <x v="295"/>
    <x v="245"/>
    <x v="245"/>
    <s v="REVENUS"/>
    <x v="14"/>
    <s v="4003.000"/>
    <s v="Impôt à la source"/>
    <n v="0"/>
    <n v="596712.91"/>
    <n v="4003"/>
  </r>
  <r>
    <x v="2"/>
    <x v="3"/>
    <x v="3"/>
    <x v="295"/>
    <x v="245"/>
    <x v="245"/>
    <s v="REVENUS"/>
    <x v="6"/>
    <s v="4211.002"/>
    <s v="Intérêts de retard sur acomptes"/>
    <n v="0"/>
    <n v="5657.01"/>
    <n v="4211"/>
  </r>
  <r>
    <x v="2"/>
    <x v="3"/>
    <x v="3"/>
    <x v="295"/>
    <x v="245"/>
    <x v="245"/>
    <s v="REVENUS"/>
    <x v="14"/>
    <s v="4003.010"/>
    <s v="IS - Employés et sourciers étrangers"/>
    <n v="0"/>
    <n v="622.30999999999995"/>
    <n v="4003"/>
  </r>
  <r>
    <x v="2"/>
    <x v="3"/>
    <x v="3"/>
    <x v="295"/>
    <x v="245"/>
    <x v="245"/>
    <s v="REVENUS"/>
    <x v="6"/>
    <s v="4211.001"/>
    <s v="Intérêts de retard sur factures"/>
    <n v="0"/>
    <n v="1970.17"/>
    <n v="4211"/>
  </r>
  <r>
    <x v="2"/>
    <x v="3"/>
    <x v="3"/>
    <x v="295"/>
    <x v="245"/>
    <x v="245"/>
    <s v="REVENUS"/>
    <x v="8"/>
    <s v="4091.001"/>
    <s v="Impôt récupéré après défalcations"/>
    <n v="0"/>
    <n v="331.14"/>
    <n v="4091"/>
  </r>
  <r>
    <x v="2"/>
    <x v="3"/>
    <x v="3"/>
    <x v="295"/>
    <x v="245"/>
    <x v="245"/>
    <s v="REVENUS"/>
    <x v="7"/>
    <s v="4184.000"/>
    <s v="Frais de poursuite"/>
    <n v="0"/>
    <n v="989.3"/>
    <n v="4184"/>
  </r>
  <r>
    <x v="2"/>
    <x v="3"/>
    <x v="3"/>
    <x v="295"/>
    <x v="245"/>
    <x v="245"/>
    <s v="REVENUS"/>
    <x v="2"/>
    <s v="4001.002"/>
    <s v="Impôt complément s/revenu PP"/>
    <n v="0"/>
    <n v="9361.99"/>
    <n v="4001"/>
  </r>
  <r>
    <x v="2"/>
    <x v="3"/>
    <x v="3"/>
    <x v="295"/>
    <x v="245"/>
    <x v="245"/>
    <s v="REVENUS"/>
    <x v="14"/>
    <s v="4003.060"/>
    <s v="IS - Administrateurs"/>
    <n v="0"/>
    <n v="4336.26"/>
    <n v="4003"/>
  </r>
  <r>
    <x v="2"/>
    <x v="3"/>
    <x v="3"/>
    <x v="295"/>
    <x v="245"/>
    <x v="245"/>
    <s v="REVENUS"/>
    <x v="14"/>
    <s v="4003.020"/>
    <s v="IS - Artistes - Conférenciers - Sportifs"/>
    <n v="0"/>
    <n v="2011.77"/>
    <n v="4003"/>
  </r>
  <r>
    <x v="2"/>
    <x v="3"/>
    <x v="3"/>
    <x v="295"/>
    <x v="245"/>
    <x v="245"/>
    <s v="REVENUS"/>
    <x v="2"/>
    <s v="4001.005"/>
    <s v="Amende de soustract. Impôt"/>
    <n v="0"/>
    <n v="1363"/>
    <n v="4001"/>
  </r>
  <r>
    <x v="2"/>
    <x v="3"/>
    <x v="3"/>
    <x v="295"/>
    <x v="245"/>
    <x v="245"/>
    <s v="REVENUS"/>
    <x v="14"/>
    <s v="4003.070"/>
    <s v="IS - Loi travail au noir"/>
    <n v="0"/>
    <n v="1258.33"/>
    <n v="4003"/>
  </r>
  <r>
    <x v="2"/>
    <x v="3"/>
    <x v="3"/>
    <x v="298"/>
    <x v="246"/>
    <x v="246"/>
    <s v="CHARGES"/>
    <x v="19"/>
    <s v="3186.002"/>
    <s v="Commission perception IS"/>
    <n v="74.61"/>
    <n v="0"/>
    <n v="3186"/>
  </r>
  <r>
    <x v="2"/>
    <x v="3"/>
    <x v="3"/>
    <x v="298"/>
    <x v="246"/>
    <x v="246"/>
    <s v="CHARGES"/>
    <x v="1"/>
    <s v="3301.001"/>
    <s v="Défalcations, abandons de solde PP et IS"/>
    <n v="53.54"/>
    <n v="0"/>
    <n v="3301"/>
  </r>
  <r>
    <x v="2"/>
    <x v="3"/>
    <x v="3"/>
    <x v="298"/>
    <x v="246"/>
    <x v="246"/>
    <s v="REVENUS"/>
    <x v="14"/>
    <s v="4003.000"/>
    <s v="Impôt à la source"/>
    <n v="0"/>
    <n v="5002.04"/>
    <n v="4003"/>
  </r>
  <r>
    <x v="2"/>
    <x v="3"/>
    <x v="3"/>
    <x v="298"/>
    <x v="246"/>
    <x v="246"/>
    <s v="REVENUS"/>
    <x v="2"/>
    <s v="4001.010"/>
    <s v="Impôt sourciers mixtes"/>
    <n v="0"/>
    <n v="224.18"/>
    <n v="4001"/>
  </r>
  <r>
    <x v="2"/>
    <x v="3"/>
    <x v="3"/>
    <x v="298"/>
    <x v="246"/>
    <x v="246"/>
    <s v="REVENUS"/>
    <x v="14"/>
    <s v="4003.010"/>
    <s v="IS - Employés et sourciers étrangers"/>
    <n v="0"/>
    <n v="1015.22"/>
    <n v="4003"/>
  </r>
  <r>
    <x v="2"/>
    <x v="3"/>
    <x v="3"/>
    <x v="298"/>
    <x v="246"/>
    <x v="246"/>
    <s v="REVENUS"/>
    <x v="6"/>
    <s v="4211.002"/>
    <s v="Intérêts de retard sur acomptes"/>
    <n v="0"/>
    <n v="92.42"/>
    <n v="4211"/>
  </r>
  <r>
    <x v="2"/>
    <x v="3"/>
    <x v="3"/>
    <x v="298"/>
    <x v="246"/>
    <x v="246"/>
    <s v="REVENUS"/>
    <x v="6"/>
    <s v="4211.001"/>
    <s v="Intérêts de retard sur factures"/>
    <n v="0"/>
    <n v="-0.28000000000000003"/>
    <n v="4211"/>
  </r>
  <r>
    <x v="2"/>
    <x v="3"/>
    <x v="3"/>
    <x v="299"/>
    <x v="247"/>
    <x v="247"/>
    <s v="CHARGES"/>
    <x v="19"/>
    <s v="3186.002"/>
    <s v="Commission perception IS"/>
    <n v="-42.57"/>
    <n v="0"/>
    <n v="3186"/>
  </r>
  <r>
    <x v="2"/>
    <x v="3"/>
    <x v="3"/>
    <x v="299"/>
    <x v="247"/>
    <x v="247"/>
    <s v="REVENUS"/>
    <x v="14"/>
    <s v="4003.000"/>
    <s v="Impôt à la source"/>
    <n v="0"/>
    <n v="275.24"/>
    <n v="4003"/>
  </r>
  <r>
    <x v="2"/>
    <x v="3"/>
    <x v="3"/>
    <x v="299"/>
    <x v="247"/>
    <x v="247"/>
    <s v="REVENUS"/>
    <x v="6"/>
    <s v="4211.002"/>
    <s v="Intérêts de retard sur acomptes"/>
    <n v="0"/>
    <n v="44.92"/>
    <n v="4211"/>
  </r>
  <r>
    <x v="2"/>
    <x v="3"/>
    <x v="3"/>
    <x v="300"/>
    <x v="248"/>
    <x v="248"/>
    <s v="CHARGES"/>
    <x v="19"/>
    <s v="3186.002"/>
    <s v="Commission perception IS"/>
    <n v="353.47"/>
    <n v="0"/>
    <n v="3186"/>
  </r>
  <r>
    <x v="2"/>
    <x v="3"/>
    <x v="3"/>
    <x v="300"/>
    <x v="248"/>
    <x v="248"/>
    <s v="CHARGES"/>
    <x v="1"/>
    <s v="3301.001"/>
    <s v="Défalcations, abandons de solde PP et IS"/>
    <n v="1.1200000000000001"/>
    <n v="0"/>
    <n v="3301"/>
  </r>
  <r>
    <x v="2"/>
    <x v="3"/>
    <x v="3"/>
    <x v="300"/>
    <x v="248"/>
    <x v="248"/>
    <s v="REVENUS"/>
    <x v="6"/>
    <s v="4211.001"/>
    <s v="Intérêts de retard sur factures"/>
    <n v="0"/>
    <n v="22.67"/>
    <n v="4211"/>
  </r>
  <r>
    <x v="2"/>
    <x v="3"/>
    <x v="3"/>
    <x v="300"/>
    <x v="248"/>
    <x v="248"/>
    <s v="REVENUS"/>
    <x v="6"/>
    <s v="4211.002"/>
    <s v="Intérêts de retard sur acomptes"/>
    <n v="0"/>
    <n v="48.8"/>
    <n v="4211"/>
  </r>
  <r>
    <x v="2"/>
    <x v="3"/>
    <x v="3"/>
    <x v="300"/>
    <x v="248"/>
    <x v="248"/>
    <s v="REVENUS"/>
    <x v="14"/>
    <s v="4003.000"/>
    <s v="Impôt à la source"/>
    <n v="0"/>
    <n v="10831.82"/>
    <n v="4003"/>
  </r>
  <r>
    <x v="2"/>
    <x v="3"/>
    <x v="3"/>
    <x v="300"/>
    <x v="248"/>
    <x v="248"/>
    <s v="REVENUS"/>
    <x v="2"/>
    <s v="4001.010"/>
    <s v="Impôt sourciers mixtes"/>
    <n v="0"/>
    <n v="0"/>
    <n v="4001"/>
  </r>
  <r>
    <x v="2"/>
    <x v="3"/>
    <x v="3"/>
    <x v="300"/>
    <x v="248"/>
    <x v="248"/>
    <s v="REVENUS"/>
    <x v="2"/>
    <s v="4001.001"/>
    <s v="Impôt revenu"/>
    <n v="0"/>
    <n v="3088.9"/>
    <n v="4001"/>
  </r>
  <r>
    <x v="2"/>
    <x v="3"/>
    <x v="3"/>
    <x v="300"/>
    <x v="248"/>
    <x v="248"/>
    <s v="REVENUS"/>
    <x v="14"/>
    <s v="4003.070"/>
    <s v="IS - Loi travail au noir"/>
    <n v="0"/>
    <n v="17.22"/>
    <n v="4003"/>
  </r>
  <r>
    <x v="2"/>
    <x v="3"/>
    <x v="3"/>
    <x v="301"/>
    <x v="240"/>
    <x v="240"/>
    <s v="CHARGES"/>
    <x v="19"/>
    <s v="3186.002"/>
    <s v="Commission perception IS"/>
    <n v="5253.52"/>
    <n v="0"/>
    <n v="3186"/>
  </r>
  <r>
    <x v="2"/>
    <x v="3"/>
    <x v="3"/>
    <x v="301"/>
    <x v="240"/>
    <x v="240"/>
    <s v="CHARGES"/>
    <x v="1"/>
    <s v="3301.001"/>
    <s v="Défalcations, abandons de solde PP et IS"/>
    <n v="9033.41"/>
    <n v="0"/>
    <n v="3301"/>
  </r>
  <r>
    <x v="2"/>
    <x v="3"/>
    <x v="3"/>
    <x v="301"/>
    <x v="240"/>
    <x v="240"/>
    <s v="REVENUS"/>
    <x v="14"/>
    <s v="4003.000"/>
    <s v="Impôt à la source"/>
    <n v="0"/>
    <n v="158951.81"/>
    <n v="4003"/>
  </r>
  <r>
    <x v="2"/>
    <x v="3"/>
    <x v="3"/>
    <x v="301"/>
    <x v="240"/>
    <x v="240"/>
    <s v="REVENUS"/>
    <x v="6"/>
    <s v="4211.002"/>
    <s v="Intérêts de retard sur acomptes"/>
    <n v="0"/>
    <n v="913.7"/>
    <n v="4211"/>
  </r>
  <r>
    <x v="2"/>
    <x v="3"/>
    <x v="3"/>
    <x v="301"/>
    <x v="240"/>
    <x v="240"/>
    <s v="REVENUS"/>
    <x v="2"/>
    <s v="4001.010"/>
    <s v="Impôt sourciers mixtes"/>
    <n v="0"/>
    <n v="710.49"/>
    <n v="4001"/>
  </r>
  <r>
    <x v="2"/>
    <x v="3"/>
    <x v="3"/>
    <x v="301"/>
    <x v="240"/>
    <x v="240"/>
    <s v="REVENUS"/>
    <x v="14"/>
    <s v="4003.030"/>
    <s v="IS - Prestations en capital / Prévoyance"/>
    <n v="0"/>
    <n v="499.75"/>
    <n v="4003"/>
  </r>
  <r>
    <x v="2"/>
    <x v="3"/>
    <x v="3"/>
    <x v="301"/>
    <x v="240"/>
    <x v="240"/>
    <s v="REVENUS"/>
    <x v="6"/>
    <s v="4211.001"/>
    <s v="Intérêts de retard sur factures"/>
    <n v="0"/>
    <n v="269.45999999999998"/>
    <n v="4211"/>
  </r>
  <r>
    <x v="2"/>
    <x v="3"/>
    <x v="3"/>
    <x v="301"/>
    <x v="240"/>
    <x v="240"/>
    <s v="REVENUS"/>
    <x v="2"/>
    <s v="4001.005"/>
    <s v="Amende de soustract. Impôt"/>
    <n v="0"/>
    <n v="167"/>
    <n v="4001"/>
  </r>
  <r>
    <x v="2"/>
    <x v="3"/>
    <x v="3"/>
    <x v="301"/>
    <x v="240"/>
    <x v="240"/>
    <s v="REVENUS"/>
    <x v="14"/>
    <s v="4003.060"/>
    <s v="IS - Administrateurs"/>
    <n v="0"/>
    <n v="5588.85"/>
    <n v="4003"/>
  </r>
  <r>
    <x v="2"/>
    <x v="3"/>
    <x v="3"/>
    <x v="301"/>
    <x v="240"/>
    <x v="240"/>
    <s v="REVENUS"/>
    <x v="14"/>
    <s v="4003.010"/>
    <s v="IS - Employés et sourciers étrangers"/>
    <n v="0"/>
    <n v="5681.52"/>
    <n v="4003"/>
  </r>
  <r>
    <x v="2"/>
    <x v="3"/>
    <x v="3"/>
    <x v="301"/>
    <x v="240"/>
    <x v="240"/>
    <s v="REVENUS"/>
    <x v="2"/>
    <s v="4001.001"/>
    <s v="Impôt revenu"/>
    <n v="0"/>
    <n v="19201.599999999999"/>
    <n v="4001"/>
  </r>
  <r>
    <x v="2"/>
    <x v="3"/>
    <x v="3"/>
    <x v="301"/>
    <x v="240"/>
    <x v="240"/>
    <s v="REVENUS"/>
    <x v="2"/>
    <s v="4001.002"/>
    <s v="Impôt complément s/revenu PP"/>
    <n v="0"/>
    <n v="1086.6300000000001"/>
    <n v="4001"/>
  </r>
  <r>
    <x v="2"/>
    <x v="3"/>
    <x v="3"/>
    <x v="301"/>
    <x v="240"/>
    <x v="240"/>
    <s v="REVENUS"/>
    <x v="7"/>
    <s v="4184.000"/>
    <s v="Frais de poursuite"/>
    <n v="0"/>
    <n v="23.56"/>
    <n v="4184"/>
  </r>
  <r>
    <x v="2"/>
    <x v="3"/>
    <x v="3"/>
    <x v="301"/>
    <x v="240"/>
    <x v="240"/>
    <s v="REVENUS"/>
    <x v="14"/>
    <s v="4003.070"/>
    <s v="IS - Loi travail au noir"/>
    <n v="0"/>
    <n v="138.35"/>
    <n v="4003"/>
  </r>
  <r>
    <x v="2"/>
    <x v="3"/>
    <x v="3"/>
    <x v="301"/>
    <x v="240"/>
    <x v="240"/>
    <s v="REVENUS"/>
    <x v="8"/>
    <s v="4091.001"/>
    <s v="Impôt récupéré après défalcations"/>
    <n v="0"/>
    <n v="1072.95"/>
    <n v="4091"/>
  </r>
  <r>
    <x v="2"/>
    <x v="10"/>
    <x v="9"/>
    <x v="302"/>
    <x v="249"/>
    <x v="249"/>
    <s v="CHARGES"/>
    <x v="19"/>
    <s v="3186.002"/>
    <s v="Commission perception IS"/>
    <n v="6051"/>
    <n v="0"/>
    <n v="3186"/>
  </r>
  <r>
    <x v="2"/>
    <x v="10"/>
    <x v="9"/>
    <x v="302"/>
    <x v="249"/>
    <x v="249"/>
    <s v="CHARGES"/>
    <x v="1"/>
    <s v="3301.001"/>
    <s v="Défalcations, abandons de solde PP et IS"/>
    <n v="417.53"/>
    <n v="0"/>
    <n v="3301"/>
  </r>
  <r>
    <x v="2"/>
    <x v="10"/>
    <x v="9"/>
    <x v="302"/>
    <x v="249"/>
    <x v="249"/>
    <s v="REVENUS"/>
    <x v="2"/>
    <s v="4001.010"/>
    <s v="Impôt sourciers mixtes"/>
    <n v="0"/>
    <n v="-16614.64"/>
    <n v="4001"/>
  </r>
  <r>
    <x v="2"/>
    <x v="10"/>
    <x v="9"/>
    <x v="302"/>
    <x v="249"/>
    <x v="249"/>
    <s v="REVENUS"/>
    <x v="14"/>
    <s v="4003.000"/>
    <s v="Impôt à la source"/>
    <n v="0"/>
    <n v="282448.03000000003"/>
    <n v="4003"/>
  </r>
  <r>
    <x v="2"/>
    <x v="10"/>
    <x v="9"/>
    <x v="302"/>
    <x v="249"/>
    <x v="249"/>
    <s v="REVENUS"/>
    <x v="6"/>
    <s v="4211.001"/>
    <s v="Intérêts de retard sur factures"/>
    <n v="0"/>
    <n v="864.29"/>
    <n v="4211"/>
  </r>
  <r>
    <x v="2"/>
    <x v="10"/>
    <x v="9"/>
    <x v="302"/>
    <x v="249"/>
    <x v="249"/>
    <s v="REVENUS"/>
    <x v="6"/>
    <s v="4211.002"/>
    <s v="Intérêts de retard sur acomptes"/>
    <n v="0"/>
    <n v="2581.2199999999998"/>
    <n v="4211"/>
  </r>
  <r>
    <x v="2"/>
    <x v="10"/>
    <x v="9"/>
    <x v="302"/>
    <x v="249"/>
    <x v="249"/>
    <s v="REVENUS"/>
    <x v="7"/>
    <s v="4184.000"/>
    <s v="Frais de poursuite"/>
    <n v="0"/>
    <n v="286.93"/>
    <n v="4184"/>
  </r>
  <r>
    <x v="2"/>
    <x v="10"/>
    <x v="9"/>
    <x v="302"/>
    <x v="249"/>
    <x v="249"/>
    <s v="REVENUS"/>
    <x v="2"/>
    <s v="4001.001"/>
    <s v="Impôt revenu"/>
    <n v="0"/>
    <n v="18840.490000000002"/>
    <n v="4001"/>
  </r>
  <r>
    <x v="2"/>
    <x v="10"/>
    <x v="9"/>
    <x v="302"/>
    <x v="249"/>
    <x v="249"/>
    <s v="REVENUS"/>
    <x v="14"/>
    <s v="4003.020"/>
    <s v="IS - Artistes - Conférenciers - Sportifs"/>
    <n v="0"/>
    <n v="17.760000000000002"/>
    <n v="4003"/>
  </r>
  <r>
    <x v="2"/>
    <x v="10"/>
    <x v="9"/>
    <x v="302"/>
    <x v="249"/>
    <x v="249"/>
    <s v="REVENUS"/>
    <x v="14"/>
    <s v="4003.070"/>
    <s v="IS - Loi travail au noir"/>
    <n v="0"/>
    <n v="22.26"/>
    <n v="4003"/>
  </r>
  <r>
    <x v="2"/>
    <x v="10"/>
    <x v="9"/>
    <x v="303"/>
    <x v="250"/>
    <x v="250"/>
    <s v="CHARGES"/>
    <x v="19"/>
    <s v="3186.002"/>
    <s v="Commission perception IS"/>
    <n v="386.29"/>
    <n v="0"/>
    <n v="3186"/>
  </r>
  <r>
    <x v="2"/>
    <x v="10"/>
    <x v="9"/>
    <x v="303"/>
    <x v="250"/>
    <x v="250"/>
    <s v="CHARGES"/>
    <x v="1"/>
    <s v="3301.001"/>
    <s v="Défalcations, abandons de solde PP et IS"/>
    <n v="1.45"/>
    <n v="0"/>
    <n v="3301"/>
  </r>
  <r>
    <x v="2"/>
    <x v="10"/>
    <x v="9"/>
    <x v="303"/>
    <x v="250"/>
    <x v="250"/>
    <s v="REVENUS"/>
    <x v="14"/>
    <s v="4003.000"/>
    <s v="Impôt à la source"/>
    <n v="0"/>
    <n v="21749.64"/>
    <n v="4003"/>
  </r>
  <r>
    <x v="2"/>
    <x v="10"/>
    <x v="9"/>
    <x v="303"/>
    <x v="250"/>
    <x v="250"/>
    <s v="REVENUS"/>
    <x v="6"/>
    <s v="4211.001"/>
    <s v="Intérêts de retard sur factures"/>
    <n v="0"/>
    <n v="56.32"/>
    <n v="4211"/>
  </r>
  <r>
    <x v="2"/>
    <x v="10"/>
    <x v="9"/>
    <x v="303"/>
    <x v="250"/>
    <x v="250"/>
    <s v="REVENUS"/>
    <x v="6"/>
    <s v="4211.002"/>
    <s v="Intérêts de retard sur acomptes"/>
    <n v="0"/>
    <n v="71.14"/>
    <n v="4211"/>
  </r>
  <r>
    <x v="2"/>
    <x v="10"/>
    <x v="9"/>
    <x v="303"/>
    <x v="250"/>
    <x v="250"/>
    <s v="REVENUS"/>
    <x v="2"/>
    <s v="4001.010"/>
    <s v="Impôt sourciers mixtes"/>
    <n v="0"/>
    <n v="-4200.62"/>
    <n v="4001"/>
  </r>
  <r>
    <x v="2"/>
    <x v="10"/>
    <x v="9"/>
    <x v="303"/>
    <x v="250"/>
    <x v="250"/>
    <s v="REVENUS"/>
    <x v="14"/>
    <s v="4003.010"/>
    <s v="IS - Employés et sourciers étrangers"/>
    <n v="0"/>
    <n v="686.09"/>
    <n v="4003"/>
  </r>
  <r>
    <x v="2"/>
    <x v="10"/>
    <x v="9"/>
    <x v="304"/>
    <x v="251"/>
    <x v="251"/>
    <s v="CHARGES"/>
    <x v="19"/>
    <s v="3186.002"/>
    <s v="Commission perception IS"/>
    <n v="1580.8"/>
    <n v="0"/>
    <n v="3186"/>
  </r>
  <r>
    <x v="2"/>
    <x v="10"/>
    <x v="9"/>
    <x v="304"/>
    <x v="251"/>
    <x v="251"/>
    <s v="CHARGES"/>
    <x v="1"/>
    <s v="3301.001"/>
    <s v="Défalcations, abandons de solde PP et IS"/>
    <n v="15.48"/>
    <n v="0"/>
    <n v="3301"/>
  </r>
  <r>
    <x v="2"/>
    <x v="10"/>
    <x v="9"/>
    <x v="304"/>
    <x v="251"/>
    <x v="251"/>
    <s v="REVENUS"/>
    <x v="2"/>
    <s v="4001.010"/>
    <s v="Impôt sourciers mixtes"/>
    <n v="0"/>
    <n v="-1504.97"/>
    <n v="4001"/>
  </r>
  <r>
    <x v="2"/>
    <x v="10"/>
    <x v="9"/>
    <x v="304"/>
    <x v="251"/>
    <x v="251"/>
    <s v="REVENUS"/>
    <x v="14"/>
    <s v="4003.000"/>
    <s v="Impôt à la source"/>
    <n v="0"/>
    <n v="90486.29"/>
    <n v="4003"/>
  </r>
  <r>
    <x v="2"/>
    <x v="10"/>
    <x v="9"/>
    <x v="304"/>
    <x v="251"/>
    <x v="251"/>
    <s v="REVENUS"/>
    <x v="6"/>
    <s v="4211.001"/>
    <s v="Intérêts de retard sur factures"/>
    <n v="0"/>
    <n v="235.85"/>
    <n v="4211"/>
  </r>
  <r>
    <x v="2"/>
    <x v="10"/>
    <x v="9"/>
    <x v="304"/>
    <x v="251"/>
    <x v="251"/>
    <s v="REVENUS"/>
    <x v="6"/>
    <s v="4211.002"/>
    <s v="Intérêts de retard sur acomptes"/>
    <n v="0"/>
    <n v="1088.8499999999999"/>
    <n v="4211"/>
  </r>
  <r>
    <x v="2"/>
    <x v="10"/>
    <x v="9"/>
    <x v="304"/>
    <x v="251"/>
    <x v="251"/>
    <s v="REVENUS"/>
    <x v="14"/>
    <s v="4003.020"/>
    <s v="IS - Artistes - Conférenciers - Sportifs"/>
    <n v="0"/>
    <n v="4731.41"/>
    <n v="4003"/>
  </r>
  <r>
    <x v="2"/>
    <x v="10"/>
    <x v="9"/>
    <x v="304"/>
    <x v="251"/>
    <x v="251"/>
    <s v="REVENUS"/>
    <x v="2"/>
    <s v="4001.005"/>
    <s v="Amende de soustract. Impôt"/>
    <n v="0"/>
    <n v="84"/>
    <n v="4001"/>
  </r>
  <r>
    <x v="2"/>
    <x v="10"/>
    <x v="9"/>
    <x v="304"/>
    <x v="251"/>
    <x v="251"/>
    <s v="REVENUS"/>
    <x v="2"/>
    <s v="4001.001"/>
    <s v="Impôt revenu"/>
    <n v="0"/>
    <n v="2480.79"/>
    <n v="4001"/>
  </r>
  <r>
    <x v="2"/>
    <x v="10"/>
    <x v="9"/>
    <x v="304"/>
    <x v="251"/>
    <x v="251"/>
    <s v="REVENUS"/>
    <x v="7"/>
    <s v="4184.000"/>
    <s v="Frais de poursuite"/>
    <n v="0"/>
    <n v="89.69"/>
    <n v="4184"/>
  </r>
  <r>
    <x v="2"/>
    <x v="10"/>
    <x v="9"/>
    <x v="304"/>
    <x v="251"/>
    <x v="251"/>
    <s v="REVENUS"/>
    <x v="14"/>
    <s v="4003.070"/>
    <s v="IS - Loi travail au noir"/>
    <n v="0"/>
    <n v="182.53"/>
    <n v="4003"/>
  </r>
  <r>
    <x v="2"/>
    <x v="5"/>
    <x v="1"/>
    <x v="305"/>
    <x v="252"/>
    <x v="252"/>
    <s v="CHARGES"/>
    <x v="19"/>
    <s v="3186.002"/>
    <s v="Commission perception IS"/>
    <n v="2894.6"/>
    <n v="0"/>
    <n v="3186"/>
  </r>
  <r>
    <x v="2"/>
    <x v="5"/>
    <x v="1"/>
    <x v="305"/>
    <x v="252"/>
    <x v="252"/>
    <s v="CHARGES"/>
    <x v="1"/>
    <s v="3301.001"/>
    <s v="Défalcations, abandons de solde PP et IS"/>
    <n v="2034.26"/>
    <n v="0"/>
    <n v="3301"/>
  </r>
  <r>
    <x v="2"/>
    <x v="5"/>
    <x v="1"/>
    <x v="305"/>
    <x v="252"/>
    <x v="252"/>
    <s v="REVENUS"/>
    <x v="2"/>
    <s v="4001.010"/>
    <s v="Impôt sourciers mixtes"/>
    <n v="0"/>
    <n v="-33821.699999999997"/>
    <n v="4001"/>
  </r>
  <r>
    <x v="2"/>
    <x v="5"/>
    <x v="1"/>
    <x v="305"/>
    <x v="252"/>
    <x v="252"/>
    <s v="REVENUS"/>
    <x v="14"/>
    <s v="4003.000"/>
    <s v="Impôt à la source"/>
    <n v="0"/>
    <n v="18958.349999999999"/>
    <n v="4003"/>
  </r>
  <r>
    <x v="2"/>
    <x v="5"/>
    <x v="1"/>
    <x v="305"/>
    <x v="252"/>
    <x v="252"/>
    <s v="REVENUS"/>
    <x v="6"/>
    <s v="4211.001"/>
    <s v="Intérêts de retard sur factures"/>
    <n v="0"/>
    <n v="201.51"/>
    <n v="4211"/>
  </r>
  <r>
    <x v="2"/>
    <x v="5"/>
    <x v="1"/>
    <x v="305"/>
    <x v="252"/>
    <x v="252"/>
    <s v="REVENUS"/>
    <x v="7"/>
    <s v="4184.000"/>
    <s v="Frais de poursuite"/>
    <n v="0"/>
    <n v="4.3899999999999997"/>
    <n v="4184"/>
  </r>
  <r>
    <x v="2"/>
    <x v="5"/>
    <x v="1"/>
    <x v="305"/>
    <x v="252"/>
    <x v="252"/>
    <s v="REVENUS"/>
    <x v="6"/>
    <s v="4211.002"/>
    <s v="Intérêts de retard sur acomptes"/>
    <n v="0"/>
    <n v="729.25"/>
    <n v="4211"/>
  </r>
  <r>
    <x v="2"/>
    <x v="5"/>
    <x v="1"/>
    <x v="305"/>
    <x v="252"/>
    <x v="252"/>
    <s v="REVENUS"/>
    <x v="14"/>
    <s v="4003.010"/>
    <s v="IS - Employés et sourciers étrangers"/>
    <n v="0"/>
    <n v="10602.28"/>
    <n v="4003"/>
  </r>
  <r>
    <x v="2"/>
    <x v="1"/>
    <x v="2"/>
    <x v="306"/>
    <x v="253"/>
    <x v="253"/>
    <s v="CHARGES"/>
    <x v="19"/>
    <s v="3186.002"/>
    <s v="Commission perception IS"/>
    <n v="-1990.84"/>
    <n v="0"/>
    <n v="3186"/>
  </r>
  <r>
    <x v="2"/>
    <x v="1"/>
    <x v="2"/>
    <x v="306"/>
    <x v="253"/>
    <x v="253"/>
    <s v="CHARGES"/>
    <x v="1"/>
    <s v="3301.001"/>
    <s v="Défalcations, abandons de solde PP et IS"/>
    <n v="8.66"/>
    <n v="0"/>
    <n v="3301"/>
  </r>
  <r>
    <x v="2"/>
    <x v="1"/>
    <x v="2"/>
    <x v="306"/>
    <x v="253"/>
    <x v="253"/>
    <s v="REVENUS"/>
    <x v="2"/>
    <s v="4001.010"/>
    <s v="Impôt sourciers mixtes"/>
    <n v="0"/>
    <n v="-73191.87"/>
    <n v="4001"/>
  </r>
  <r>
    <x v="2"/>
    <x v="1"/>
    <x v="2"/>
    <x v="306"/>
    <x v="253"/>
    <x v="253"/>
    <s v="REVENUS"/>
    <x v="14"/>
    <s v="4003.000"/>
    <s v="Impôt à la source"/>
    <n v="0"/>
    <n v="-68113.59"/>
    <n v="4003"/>
  </r>
  <r>
    <x v="2"/>
    <x v="1"/>
    <x v="2"/>
    <x v="306"/>
    <x v="253"/>
    <x v="253"/>
    <s v="REVENUS"/>
    <x v="6"/>
    <s v="4211.001"/>
    <s v="Intérêts de retard sur factures"/>
    <n v="0"/>
    <n v="417.35"/>
    <n v="4211"/>
  </r>
  <r>
    <x v="2"/>
    <x v="1"/>
    <x v="2"/>
    <x v="306"/>
    <x v="253"/>
    <x v="253"/>
    <s v="REVENUS"/>
    <x v="14"/>
    <s v="4003.010"/>
    <s v="IS - Employés et sourciers étrangers"/>
    <n v="0"/>
    <n v="3318.88"/>
    <n v="4003"/>
  </r>
  <r>
    <x v="2"/>
    <x v="1"/>
    <x v="2"/>
    <x v="306"/>
    <x v="253"/>
    <x v="253"/>
    <s v="REVENUS"/>
    <x v="7"/>
    <s v="4184.000"/>
    <s v="Frais de poursuite"/>
    <n v="0"/>
    <n v="149.97999999999999"/>
    <n v="4184"/>
  </r>
  <r>
    <x v="2"/>
    <x v="1"/>
    <x v="2"/>
    <x v="306"/>
    <x v="253"/>
    <x v="253"/>
    <s v="REVENUS"/>
    <x v="6"/>
    <s v="4211.002"/>
    <s v="Intérêts de retard sur acomptes"/>
    <n v="0"/>
    <n v="3206.92"/>
    <n v="4211"/>
  </r>
  <r>
    <x v="2"/>
    <x v="1"/>
    <x v="2"/>
    <x v="306"/>
    <x v="253"/>
    <x v="253"/>
    <s v="REVENUS"/>
    <x v="2"/>
    <s v="4001.005"/>
    <s v="Amende de soustract. Impôt"/>
    <n v="0"/>
    <n v="334"/>
    <n v="4001"/>
  </r>
  <r>
    <x v="2"/>
    <x v="1"/>
    <x v="2"/>
    <x v="306"/>
    <x v="253"/>
    <x v="253"/>
    <s v="REVENUS"/>
    <x v="2"/>
    <s v="4001.001"/>
    <s v="Impôt revenu"/>
    <n v="0"/>
    <n v="52117.59"/>
    <n v="4001"/>
  </r>
  <r>
    <x v="2"/>
    <x v="1"/>
    <x v="2"/>
    <x v="306"/>
    <x v="253"/>
    <x v="253"/>
    <s v="REVENUS"/>
    <x v="2"/>
    <s v="4001.002"/>
    <s v="Impôt complément s/revenu PP"/>
    <n v="0"/>
    <n v="39541.879999999997"/>
    <n v="4001"/>
  </r>
  <r>
    <x v="2"/>
    <x v="1"/>
    <x v="2"/>
    <x v="307"/>
    <x v="254"/>
    <x v="254"/>
    <s v="CHARGES"/>
    <x v="19"/>
    <s v="3186.002"/>
    <s v="Commission perception IS"/>
    <n v="3868.29"/>
    <n v="0"/>
    <n v="3186"/>
  </r>
  <r>
    <x v="2"/>
    <x v="1"/>
    <x v="2"/>
    <x v="307"/>
    <x v="254"/>
    <x v="254"/>
    <s v="CHARGES"/>
    <x v="1"/>
    <s v="3301.001"/>
    <s v="Défalcations, abandons de solde PP et IS"/>
    <n v="0.38"/>
    <n v="0"/>
    <n v="3301"/>
  </r>
  <r>
    <x v="2"/>
    <x v="1"/>
    <x v="2"/>
    <x v="307"/>
    <x v="254"/>
    <x v="254"/>
    <s v="REVENUS"/>
    <x v="14"/>
    <s v="4003.000"/>
    <s v="Impôt à la source"/>
    <n v="0"/>
    <n v="82482.41"/>
    <n v="4003"/>
  </r>
  <r>
    <x v="2"/>
    <x v="1"/>
    <x v="2"/>
    <x v="307"/>
    <x v="254"/>
    <x v="254"/>
    <s v="REVENUS"/>
    <x v="14"/>
    <s v="4003.010"/>
    <s v="IS - Employés et sourciers étrangers"/>
    <n v="0"/>
    <n v="2313.59"/>
    <n v="4003"/>
  </r>
  <r>
    <x v="2"/>
    <x v="1"/>
    <x v="2"/>
    <x v="307"/>
    <x v="254"/>
    <x v="254"/>
    <s v="REVENUS"/>
    <x v="2"/>
    <s v="4001.010"/>
    <s v="Impôt sourciers mixtes"/>
    <n v="0"/>
    <n v="-172665.75"/>
    <n v="4001"/>
  </r>
  <r>
    <x v="2"/>
    <x v="1"/>
    <x v="2"/>
    <x v="307"/>
    <x v="254"/>
    <x v="254"/>
    <s v="REVENUS"/>
    <x v="6"/>
    <s v="4211.001"/>
    <s v="Intérêts de retard sur factures"/>
    <n v="0"/>
    <n v="92.4"/>
    <n v="4211"/>
  </r>
  <r>
    <x v="2"/>
    <x v="1"/>
    <x v="2"/>
    <x v="307"/>
    <x v="254"/>
    <x v="254"/>
    <s v="REVENUS"/>
    <x v="6"/>
    <s v="4211.002"/>
    <s v="Intérêts de retard sur acomptes"/>
    <n v="0"/>
    <n v="670.74"/>
    <n v="4211"/>
  </r>
  <r>
    <x v="2"/>
    <x v="1"/>
    <x v="2"/>
    <x v="307"/>
    <x v="254"/>
    <x v="254"/>
    <s v="REVENUS"/>
    <x v="2"/>
    <s v="4001.001"/>
    <s v="Impôt revenu"/>
    <n v="0"/>
    <n v="1901.32"/>
    <n v="4001"/>
  </r>
  <r>
    <x v="2"/>
    <x v="1"/>
    <x v="2"/>
    <x v="307"/>
    <x v="254"/>
    <x v="254"/>
    <s v="REVENUS"/>
    <x v="7"/>
    <s v="4184.000"/>
    <s v="Frais de poursuite"/>
    <n v="0"/>
    <n v="7.22"/>
    <n v="4184"/>
  </r>
  <r>
    <x v="2"/>
    <x v="1"/>
    <x v="2"/>
    <x v="307"/>
    <x v="254"/>
    <x v="254"/>
    <s v="REVENUS"/>
    <x v="2"/>
    <s v="4001.005"/>
    <s v="Amende de soustract. Impôt"/>
    <n v="0"/>
    <n v="134"/>
    <n v="4001"/>
  </r>
  <r>
    <x v="2"/>
    <x v="1"/>
    <x v="2"/>
    <x v="308"/>
    <x v="255"/>
    <x v="255"/>
    <s v="CHARGES"/>
    <x v="19"/>
    <s v="3186.002"/>
    <s v="Commission perception IS"/>
    <n v="871.01"/>
    <n v="0"/>
    <n v="3186"/>
  </r>
  <r>
    <x v="2"/>
    <x v="1"/>
    <x v="2"/>
    <x v="308"/>
    <x v="255"/>
    <x v="255"/>
    <s v="CHARGES"/>
    <x v="1"/>
    <s v="3301.001"/>
    <s v="Défalcations, abandons de solde PP et IS"/>
    <n v="624.72"/>
    <n v="0"/>
    <n v="3301"/>
  </r>
  <r>
    <x v="2"/>
    <x v="1"/>
    <x v="2"/>
    <x v="308"/>
    <x v="255"/>
    <x v="255"/>
    <s v="REVENUS"/>
    <x v="14"/>
    <s v="4003.000"/>
    <s v="Impôt à la source"/>
    <n v="0"/>
    <n v="4608.1000000000004"/>
    <n v="4003"/>
  </r>
  <r>
    <x v="2"/>
    <x v="1"/>
    <x v="2"/>
    <x v="308"/>
    <x v="255"/>
    <x v="255"/>
    <s v="REVENUS"/>
    <x v="6"/>
    <s v="4211.001"/>
    <s v="Intérêts de retard sur factures"/>
    <n v="0"/>
    <n v="37.22"/>
    <n v="4211"/>
  </r>
  <r>
    <x v="2"/>
    <x v="1"/>
    <x v="2"/>
    <x v="308"/>
    <x v="255"/>
    <x v="255"/>
    <s v="REVENUS"/>
    <x v="6"/>
    <s v="4211.002"/>
    <s v="Intérêts de retard sur acomptes"/>
    <n v="0"/>
    <n v="264.14"/>
    <n v="4211"/>
  </r>
  <r>
    <x v="2"/>
    <x v="1"/>
    <x v="2"/>
    <x v="308"/>
    <x v="255"/>
    <x v="255"/>
    <s v="REVENUS"/>
    <x v="7"/>
    <s v="4184.000"/>
    <s v="Frais de poursuite"/>
    <n v="0"/>
    <n v="29.11"/>
    <n v="4184"/>
  </r>
  <r>
    <x v="2"/>
    <x v="1"/>
    <x v="2"/>
    <x v="308"/>
    <x v="255"/>
    <x v="255"/>
    <s v="REVENUS"/>
    <x v="2"/>
    <s v="4001.010"/>
    <s v="Impôt sourciers mixtes"/>
    <n v="0"/>
    <n v="9210.42"/>
    <n v="4001"/>
  </r>
  <r>
    <x v="2"/>
    <x v="1"/>
    <x v="2"/>
    <x v="308"/>
    <x v="255"/>
    <x v="255"/>
    <s v="REVENUS"/>
    <x v="2"/>
    <s v="4001.001"/>
    <s v="Impôt revenu"/>
    <n v="0"/>
    <n v="11305.77"/>
    <n v="4001"/>
  </r>
  <r>
    <x v="2"/>
    <x v="1"/>
    <x v="2"/>
    <x v="308"/>
    <x v="255"/>
    <x v="255"/>
    <s v="REVENUS"/>
    <x v="8"/>
    <s v="4091.001"/>
    <s v="Impôt récupéré après défalcations"/>
    <n v="0"/>
    <n v="623.78"/>
    <n v="4091"/>
  </r>
  <r>
    <x v="2"/>
    <x v="1"/>
    <x v="2"/>
    <x v="309"/>
    <x v="256"/>
    <x v="256"/>
    <s v="CHARGES"/>
    <x v="19"/>
    <s v="3186.002"/>
    <s v="Commission perception IS"/>
    <n v="5687.89"/>
    <n v="0"/>
    <n v="3186"/>
  </r>
  <r>
    <x v="2"/>
    <x v="1"/>
    <x v="2"/>
    <x v="309"/>
    <x v="256"/>
    <x v="256"/>
    <s v="CHARGES"/>
    <x v="1"/>
    <s v="3301.001"/>
    <s v="Défalcations, abandons de solde PP et IS"/>
    <n v="3902.08"/>
    <n v="0"/>
    <n v="3301"/>
  </r>
  <r>
    <x v="2"/>
    <x v="1"/>
    <x v="2"/>
    <x v="309"/>
    <x v="256"/>
    <x v="256"/>
    <s v="REVENUS"/>
    <x v="2"/>
    <s v="4001.010"/>
    <s v="Impôt sourciers mixtes"/>
    <n v="0"/>
    <n v="22847.35"/>
    <n v="4001"/>
  </r>
  <r>
    <x v="2"/>
    <x v="1"/>
    <x v="2"/>
    <x v="309"/>
    <x v="256"/>
    <x v="256"/>
    <s v="REVENUS"/>
    <x v="14"/>
    <s v="4003.000"/>
    <s v="Impôt à la source"/>
    <n v="0"/>
    <n v="18423.2"/>
    <n v="4003"/>
  </r>
  <r>
    <x v="2"/>
    <x v="1"/>
    <x v="2"/>
    <x v="309"/>
    <x v="256"/>
    <x v="256"/>
    <s v="REVENUS"/>
    <x v="6"/>
    <s v="4211.001"/>
    <s v="Intérêts de retard sur factures"/>
    <n v="0"/>
    <n v="436.79"/>
    <n v="4211"/>
  </r>
  <r>
    <x v="2"/>
    <x v="1"/>
    <x v="2"/>
    <x v="309"/>
    <x v="256"/>
    <x v="256"/>
    <s v="REVENUS"/>
    <x v="14"/>
    <s v="4003.010"/>
    <s v="IS - Employés et sourciers étrangers"/>
    <n v="0"/>
    <n v="1876.67"/>
    <n v="4003"/>
  </r>
  <r>
    <x v="2"/>
    <x v="1"/>
    <x v="2"/>
    <x v="309"/>
    <x v="256"/>
    <x v="256"/>
    <s v="REVENUS"/>
    <x v="6"/>
    <s v="4211.002"/>
    <s v="Intérêts de retard sur acomptes"/>
    <n v="0"/>
    <n v="1239.5999999999999"/>
    <n v="4211"/>
  </r>
  <r>
    <x v="2"/>
    <x v="1"/>
    <x v="2"/>
    <x v="309"/>
    <x v="256"/>
    <x v="256"/>
    <s v="REVENUS"/>
    <x v="7"/>
    <s v="4184.000"/>
    <s v="Frais de poursuite"/>
    <n v="0"/>
    <n v="8.07"/>
    <n v="4184"/>
  </r>
  <r>
    <x v="2"/>
    <x v="1"/>
    <x v="2"/>
    <x v="309"/>
    <x v="256"/>
    <x v="256"/>
    <s v="REVENUS"/>
    <x v="2"/>
    <s v="4001.001"/>
    <s v="Impôt revenu"/>
    <n v="0"/>
    <n v="4913.88"/>
    <n v="4001"/>
  </r>
  <r>
    <x v="2"/>
    <x v="1"/>
    <x v="2"/>
    <x v="309"/>
    <x v="256"/>
    <x v="256"/>
    <s v="REVENUS"/>
    <x v="8"/>
    <s v="4091.001"/>
    <s v="Impôt récupéré après défalcations"/>
    <n v="0"/>
    <n v="3743.18"/>
    <n v="4091"/>
  </r>
  <r>
    <x v="2"/>
    <x v="1"/>
    <x v="2"/>
    <x v="310"/>
    <x v="257"/>
    <x v="257"/>
    <s v="CHARGES"/>
    <x v="19"/>
    <s v="3186.002"/>
    <s v="Commission perception IS"/>
    <n v="272.81"/>
    <n v="0"/>
    <n v="3186"/>
  </r>
  <r>
    <x v="2"/>
    <x v="1"/>
    <x v="2"/>
    <x v="310"/>
    <x v="257"/>
    <x v="257"/>
    <s v="CHARGES"/>
    <x v="1"/>
    <s v="3301.001"/>
    <s v="Défalcations, abandons de solde PP et IS"/>
    <n v="-0.65"/>
    <n v="0"/>
    <n v="3301"/>
  </r>
  <r>
    <x v="2"/>
    <x v="1"/>
    <x v="2"/>
    <x v="310"/>
    <x v="257"/>
    <x v="257"/>
    <s v="REVENUS"/>
    <x v="14"/>
    <s v="4003.000"/>
    <s v="Impôt à la source"/>
    <n v="0"/>
    <n v="18154.57"/>
    <n v="4003"/>
  </r>
  <r>
    <x v="2"/>
    <x v="1"/>
    <x v="2"/>
    <x v="310"/>
    <x v="257"/>
    <x v="257"/>
    <s v="REVENUS"/>
    <x v="6"/>
    <s v="4211.002"/>
    <s v="Intérêts de retard sur acomptes"/>
    <n v="0"/>
    <n v="1651.25"/>
    <n v="4211"/>
  </r>
  <r>
    <x v="2"/>
    <x v="1"/>
    <x v="2"/>
    <x v="310"/>
    <x v="257"/>
    <x v="257"/>
    <s v="REVENUS"/>
    <x v="2"/>
    <s v="4001.010"/>
    <s v="Impôt sourciers mixtes"/>
    <n v="0"/>
    <n v="-81115.399999999994"/>
    <n v="4001"/>
  </r>
  <r>
    <x v="2"/>
    <x v="1"/>
    <x v="2"/>
    <x v="310"/>
    <x v="257"/>
    <x v="257"/>
    <s v="REVENUS"/>
    <x v="6"/>
    <s v="4211.001"/>
    <s v="Intérêts de retard sur factures"/>
    <n v="0"/>
    <n v="381.57"/>
    <n v="4211"/>
  </r>
  <r>
    <x v="2"/>
    <x v="1"/>
    <x v="2"/>
    <x v="310"/>
    <x v="257"/>
    <x v="257"/>
    <s v="REVENUS"/>
    <x v="14"/>
    <s v="4003.010"/>
    <s v="IS - Employés et sourciers étrangers"/>
    <n v="0"/>
    <n v="1142.51"/>
    <n v="4003"/>
  </r>
  <r>
    <x v="2"/>
    <x v="1"/>
    <x v="2"/>
    <x v="310"/>
    <x v="257"/>
    <x v="257"/>
    <s v="REVENUS"/>
    <x v="2"/>
    <s v="4001.001"/>
    <s v="Impôt revenu"/>
    <n v="0"/>
    <n v="-903.11"/>
    <n v="4001"/>
  </r>
  <r>
    <x v="2"/>
    <x v="1"/>
    <x v="2"/>
    <x v="310"/>
    <x v="257"/>
    <x v="257"/>
    <s v="REVENUS"/>
    <x v="2"/>
    <s v="4001.002"/>
    <s v="Impôt complément s/revenu PP"/>
    <n v="0"/>
    <n v="2749.58"/>
    <n v="4001"/>
  </r>
  <r>
    <x v="2"/>
    <x v="1"/>
    <x v="2"/>
    <x v="311"/>
    <x v="258"/>
    <x v="258"/>
    <s v="CHARGES"/>
    <x v="19"/>
    <s v="3186.002"/>
    <s v="Commission perception IS"/>
    <n v="13426.05"/>
    <n v="0"/>
    <n v="3186"/>
  </r>
  <r>
    <x v="2"/>
    <x v="1"/>
    <x v="2"/>
    <x v="311"/>
    <x v="258"/>
    <x v="258"/>
    <s v="CHARGES"/>
    <x v="1"/>
    <s v="3301.001"/>
    <s v="Défalcations, abandons de solde PP et IS"/>
    <n v="627.5"/>
    <n v="0"/>
    <n v="3301"/>
  </r>
  <r>
    <x v="2"/>
    <x v="1"/>
    <x v="2"/>
    <x v="311"/>
    <x v="258"/>
    <x v="258"/>
    <s v="REVENUS"/>
    <x v="2"/>
    <s v="4001.010"/>
    <s v="Impôt sourciers mixtes"/>
    <n v="0"/>
    <n v="-36454.19"/>
    <n v="4001"/>
  </r>
  <r>
    <x v="2"/>
    <x v="1"/>
    <x v="2"/>
    <x v="311"/>
    <x v="258"/>
    <x v="258"/>
    <s v="REVENUS"/>
    <x v="14"/>
    <s v="4003.000"/>
    <s v="Impôt à la source"/>
    <n v="0"/>
    <n v="41287.57"/>
    <n v="4003"/>
  </r>
  <r>
    <x v="2"/>
    <x v="1"/>
    <x v="2"/>
    <x v="311"/>
    <x v="258"/>
    <x v="258"/>
    <s v="REVENUS"/>
    <x v="6"/>
    <s v="4211.001"/>
    <s v="Intérêts de retard sur factures"/>
    <n v="0"/>
    <n v="677.14"/>
    <n v="4211"/>
  </r>
  <r>
    <x v="2"/>
    <x v="1"/>
    <x v="2"/>
    <x v="311"/>
    <x v="258"/>
    <x v="258"/>
    <s v="REVENUS"/>
    <x v="6"/>
    <s v="4211.002"/>
    <s v="Intérêts de retard sur acomptes"/>
    <n v="0"/>
    <n v="2996.76"/>
    <n v="4211"/>
  </r>
  <r>
    <x v="2"/>
    <x v="1"/>
    <x v="2"/>
    <x v="311"/>
    <x v="258"/>
    <x v="258"/>
    <s v="REVENUS"/>
    <x v="14"/>
    <s v="4003.010"/>
    <s v="IS - Employés et sourciers étrangers"/>
    <n v="0"/>
    <n v="3554.46"/>
    <n v="4003"/>
  </r>
  <r>
    <x v="2"/>
    <x v="1"/>
    <x v="2"/>
    <x v="311"/>
    <x v="258"/>
    <x v="258"/>
    <s v="REVENUS"/>
    <x v="2"/>
    <s v="4001.001"/>
    <s v="Impôt revenu"/>
    <n v="0"/>
    <n v="14705"/>
    <n v="4001"/>
  </r>
  <r>
    <x v="2"/>
    <x v="1"/>
    <x v="2"/>
    <x v="311"/>
    <x v="258"/>
    <x v="258"/>
    <s v="REVENUS"/>
    <x v="7"/>
    <s v="4184.000"/>
    <s v="Frais de poursuite"/>
    <n v="0"/>
    <n v="68.180000000000007"/>
    <n v="4184"/>
  </r>
  <r>
    <x v="2"/>
    <x v="1"/>
    <x v="2"/>
    <x v="311"/>
    <x v="258"/>
    <x v="258"/>
    <s v="REVENUS"/>
    <x v="8"/>
    <s v="4091.001"/>
    <s v="Impôt récupéré après défalcations"/>
    <n v="0"/>
    <n v="1.81"/>
    <n v="4091"/>
  </r>
  <r>
    <x v="2"/>
    <x v="1"/>
    <x v="2"/>
    <x v="312"/>
    <x v="259"/>
    <x v="259"/>
    <s v="CHARGES"/>
    <x v="19"/>
    <s v="3186.002"/>
    <s v="Commission perception IS"/>
    <n v="2910.78"/>
    <n v="0"/>
    <n v="3186"/>
  </r>
  <r>
    <x v="2"/>
    <x v="1"/>
    <x v="2"/>
    <x v="312"/>
    <x v="259"/>
    <x v="259"/>
    <s v="CHARGES"/>
    <x v="1"/>
    <s v="3301.001"/>
    <s v="Défalcations, abandons de solde PP et IS"/>
    <n v="9.09"/>
    <n v="0"/>
    <n v="3301"/>
  </r>
  <r>
    <x v="2"/>
    <x v="1"/>
    <x v="2"/>
    <x v="312"/>
    <x v="259"/>
    <x v="259"/>
    <s v="REVENUS"/>
    <x v="2"/>
    <s v="4001.010"/>
    <s v="Impôt sourciers mixtes"/>
    <n v="0"/>
    <n v="-43810.52"/>
    <n v="4001"/>
  </r>
  <r>
    <x v="2"/>
    <x v="1"/>
    <x v="2"/>
    <x v="312"/>
    <x v="259"/>
    <x v="259"/>
    <s v="REVENUS"/>
    <x v="14"/>
    <s v="4003.000"/>
    <s v="Impôt à la source"/>
    <n v="0"/>
    <n v="26826.59"/>
    <n v="4003"/>
  </r>
  <r>
    <x v="2"/>
    <x v="1"/>
    <x v="2"/>
    <x v="312"/>
    <x v="259"/>
    <x v="259"/>
    <s v="REVENUS"/>
    <x v="14"/>
    <s v="4003.010"/>
    <s v="IS - Employés et sourciers étrangers"/>
    <n v="0"/>
    <n v="7625.75"/>
    <n v="4003"/>
  </r>
  <r>
    <x v="2"/>
    <x v="1"/>
    <x v="2"/>
    <x v="312"/>
    <x v="259"/>
    <x v="259"/>
    <s v="REVENUS"/>
    <x v="6"/>
    <s v="4211.002"/>
    <s v="Intérêts de retard sur acomptes"/>
    <n v="0"/>
    <n v="703.74"/>
    <n v="4211"/>
  </r>
  <r>
    <x v="2"/>
    <x v="1"/>
    <x v="2"/>
    <x v="312"/>
    <x v="259"/>
    <x v="259"/>
    <s v="REVENUS"/>
    <x v="6"/>
    <s v="4211.001"/>
    <s v="Intérêts de retard sur factures"/>
    <n v="0"/>
    <n v="549.1"/>
    <n v="4211"/>
  </r>
  <r>
    <x v="2"/>
    <x v="1"/>
    <x v="2"/>
    <x v="312"/>
    <x v="259"/>
    <x v="259"/>
    <s v="REVENUS"/>
    <x v="2"/>
    <s v="4001.001"/>
    <s v="Impôt revenu"/>
    <n v="0"/>
    <n v="2741.49"/>
    <n v="4001"/>
  </r>
  <r>
    <x v="2"/>
    <x v="1"/>
    <x v="2"/>
    <x v="312"/>
    <x v="259"/>
    <x v="259"/>
    <s v="REVENUS"/>
    <x v="8"/>
    <s v="4091.001"/>
    <s v="Impôt récupéré après défalcations"/>
    <n v="0"/>
    <n v="-4.7300000000000004"/>
    <n v="4091"/>
  </r>
  <r>
    <x v="2"/>
    <x v="1"/>
    <x v="2"/>
    <x v="312"/>
    <x v="259"/>
    <x v="259"/>
    <s v="REVENUS"/>
    <x v="7"/>
    <s v="4184.000"/>
    <s v="Frais de poursuite"/>
    <n v="0"/>
    <n v="64.87"/>
    <n v="4184"/>
  </r>
  <r>
    <x v="2"/>
    <x v="1"/>
    <x v="2"/>
    <x v="312"/>
    <x v="259"/>
    <x v="259"/>
    <s v="REVENUS"/>
    <x v="2"/>
    <s v="4001.005"/>
    <s v="Amende de soustract. Impôt"/>
    <n v="0"/>
    <n v="667"/>
    <n v="4001"/>
  </r>
  <r>
    <x v="2"/>
    <x v="1"/>
    <x v="2"/>
    <x v="313"/>
    <x v="260"/>
    <x v="260"/>
    <s v="CHARGES"/>
    <x v="19"/>
    <s v="3186.002"/>
    <s v="Commission perception IS"/>
    <n v="18328.61"/>
    <n v="0"/>
    <n v="3186"/>
  </r>
  <r>
    <x v="2"/>
    <x v="1"/>
    <x v="2"/>
    <x v="313"/>
    <x v="260"/>
    <x v="260"/>
    <s v="CHARGES"/>
    <x v="1"/>
    <s v="3301.001"/>
    <s v="Défalcations, abandons de solde PP et IS"/>
    <n v="1905.81"/>
    <n v="0"/>
    <n v="3301"/>
  </r>
  <r>
    <x v="2"/>
    <x v="1"/>
    <x v="2"/>
    <x v="313"/>
    <x v="260"/>
    <x v="260"/>
    <s v="REVENUS"/>
    <x v="2"/>
    <s v="4001.010"/>
    <s v="Impôt sourciers mixtes"/>
    <n v="0"/>
    <n v="118071.87"/>
    <n v="4001"/>
  </r>
  <r>
    <x v="2"/>
    <x v="1"/>
    <x v="2"/>
    <x v="313"/>
    <x v="260"/>
    <x v="260"/>
    <s v="REVENUS"/>
    <x v="14"/>
    <s v="4003.000"/>
    <s v="Impôt à la source"/>
    <n v="0"/>
    <n v="105302.14"/>
    <n v="4003"/>
  </r>
  <r>
    <x v="2"/>
    <x v="1"/>
    <x v="2"/>
    <x v="313"/>
    <x v="260"/>
    <x v="260"/>
    <s v="REVENUS"/>
    <x v="6"/>
    <s v="4211.001"/>
    <s v="Intérêts de retard sur factures"/>
    <n v="0"/>
    <n v="1325.55"/>
    <n v="4211"/>
  </r>
  <r>
    <x v="2"/>
    <x v="1"/>
    <x v="2"/>
    <x v="313"/>
    <x v="260"/>
    <x v="260"/>
    <s v="REVENUS"/>
    <x v="6"/>
    <s v="4211.002"/>
    <s v="Intérêts de retard sur acomptes"/>
    <n v="0"/>
    <n v="2622.91"/>
    <n v="4211"/>
  </r>
  <r>
    <x v="2"/>
    <x v="1"/>
    <x v="2"/>
    <x v="313"/>
    <x v="260"/>
    <x v="260"/>
    <s v="REVENUS"/>
    <x v="14"/>
    <s v="4003.010"/>
    <s v="IS - Employés et sourciers étrangers"/>
    <n v="0"/>
    <n v="10944.34"/>
    <n v="4003"/>
  </r>
  <r>
    <x v="2"/>
    <x v="1"/>
    <x v="2"/>
    <x v="313"/>
    <x v="260"/>
    <x v="260"/>
    <s v="REVENUS"/>
    <x v="7"/>
    <s v="4184.000"/>
    <s v="Frais de poursuite"/>
    <n v="0"/>
    <n v="66.099999999999994"/>
    <n v="4184"/>
  </r>
  <r>
    <x v="2"/>
    <x v="1"/>
    <x v="2"/>
    <x v="313"/>
    <x v="260"/>
    <x v="260"/>
    <s v="REVENUS"/>
    <x v="2"/>
    <s v="4001.001"/>
    <s v="Impôt revenu"/>
    <n v="0"/>
    <n v="11392.95"/>
    <n v="4001"/>
  </r>
  <r>
    <x v="2"/>
    <x v="1"/>
    <x v="2"/>
    <x v="313"/>
    <x v="260"/>
    <x v="260"/>
    <s v="REVENUS"/>
    <x v="14"/>
    <s v="4003.070"/>
    <s v="IS - Loi travail au noir"/>
    <n v="0"/>
    <n v="237.79"/>
    <n v="4003"/>
  </r>
  <r>
    <x v="2"/>
    <x v="1"/>
    <x v="2"/>
    <x v="313"/>
    <x v="260"/>
    <x v="260"/>
    <s v="REVENUS"/>
    <x v="2"/>
    <s v="4001.005"/>
    <s v="Amende de soustract. Impôt"/>
    <n v="0"/>
    <n v="67"/>
    <n v="4001"/>
  </r>
  <r>
    <x v="2"/>
    <x v="1"/>
    <x v="2"/>
    <x v="314"/>
    <x v="261"/>
    <x v="261"/>
    <s v="CHARGES"/>
    <x v="19"/>
    <s v="3186.002"/>
    <s v="Commission perception IS"/>
    <n v="5947.49"/>
    <n v="0"/>
    <n v="3186"/>
  </r>
  <r>
    <x v="2"/>
    <x v="1"/>
    <x v="2"/>
    <x v="314"/>
    <x v="261"/>
    <x v="261"/>
    <s v="CHARGES"/>
    <x v="1"/>
    <s v="3301.001"/>
    <s v="Défalcations, abandons de solde PP et IS"/>
    <n v="20.88"/>
    <n v="0"/>
    <n v="3301"/>
  </r>
  <r>
    <x v="2"/>
    <x v="1"/>
    <x v="2"/>
    <x v="314"/>
    <x v="261"/>
    <x v="261"/>
    <s v="REVENUS"/>
    <x v="2"/>
    <s v="4001.010"/>
    <s v="Impôt sourciers mixtes"/>
    <n v="0"/>
    <n v="-57285.23"/>
    <n v="4001"/>
  </r>
  <r>
    <x v="2"/>
    <x v="1"/>
    <x v="2"/>
    <x v="314"/>
    <x v="261"/>
    <x v="261"/>
    <s v="REVENUS"/>
    <x v="14"/>
    <s v="4003.000"/>
    <s v="Impôt à la source"/>
    <n v="0"/>
    <n v="63435.95"/>
    <n v="4003"/>
  </r>
  <r>
    <x v="2"/>
    <x v="1"/>
    <x v="2"/>
    <x v="314"/>
    <x v="261"/>
    <x v="261"/>
    <s v="REVENUS"/>
    <x v="6"/>
    <s v="4211.001"/>
    <s v="Intérêts de retard sur factures"/>
    <n v="0"/>
    <n v="1034.99"/>
    <n v="4211"/>
  </r>
  <r>
    <x v="2"/>
    <x v="1"/>
    <x v="2"/>
    <x v="314"/>
    <x v="261"/>
    <x v="261"/>
    <s v="REVENUS"/>
    <x v="6"/>
    <s v="4211.002"/>
    <s v="Intérêts de retard sur acomptes"/>
    <n v="0"/>
    <n v="8574.33"/>
    <n v="4211"/>
  </r>
  <r>
    <x v="2"/>
    <x v="1"/>
    <x v="2"/>
    <x v="314"/>
    <x v="261"/>
    <x v="261"/>
    <s v="REVENUS"/>
    <x v="14"/>
    <s v="4003.010"/>
    <s v="IS - Employés et sourciers étrangers"/>
    <n v="0"/>
    <n v="3531.26"/>
    <n v="4003"/>
  </r>
  <r>
    <x v="2"/>
    <x v="1"/>
    <x v="2"/>
    <x v="314"/>
    <x v="261"/>
    <x v="261"/>
    <s v="REVENUS"/>
    <x v="2"/>
    <s v="4001.001"/>
    <s v="Impôt revenu"/>
    <n v="0"/>
    <n v="30313.46"/>
    <n v="4001"/>
  </r>
  <r>
    <x v="2"/>
    <x v="1"/>
    <x v="2"/>
    <x v="314"/>
    <x v="261"/>
    <x v="261"/>
    <s v="REVENUS"/>
    <x v="7"/>
    <s v="4184.000"/>
    <s v="Frais de poursuite"/>
    <n v="0"/>
    <n v="47.78"/>
    <n v="4184"/>
  </r>
  <r>
    <x v="2"/>
    <x v="1"/>
    <x v="2"/>
    <x v="314"/>
    <x v="261"/>
    <x v="261"/>
    <s v="REVENUS"/>
    <x v="2"/>
    <s v="4001.002"/>
    <s v="Impôt complément s/revenu PP"/>
    <n v="0"/>
    <n v="1910.62"/>
    <n v="4001"/>
  </r>
  <r>
    <x v="2"/>
    <x v="1"/>
    <x v="2"/>
    <x v="315"/>
    <x v="262"/>
    <x v="262"/>
    <s v="CHARGES"/>
    <x v="19"/>
    <s v="3186.002"/>
    <s v="Commission perception IS"/>
    <n v="104738.39"/>
    <n v="0"/>
    <n v="3186"/>
  </r>
  <r>
    <x v="2"/>
    <x v="1"/>
    <x v="2"/>
    <x v="315"/>
    <x v="262"/>
    <x v="262"/>
    <s v="CHARGES"/>
    <x v="1"/>
    <s v="3301.001"/>
    <s v="Défalcations, abandons de solde PP et IS"/>
    <n v="15839.01"/>
    <n v="0"/>
    <n v="3301"/>
  </r>
  <r>
    <x v="2"/>
    <x v="1"/>
    <x v="2"/>
    <x v="315"/>
    <x v="262"/>
    <x v="262"/>
    <s v="REVENUS"/>
    <x v="2"/>
    <s v="4001.010"/>
    <s v="Impôt sourciers mixtes"/>
    <n v="0"/>
    <n v="29232.52"/>
    <n v="4001"/>
  </r>
  <r>
    <x v="2"/>
    <x v="1"/>
    <x v="2"/>
    <x v="315"/>
    <x v="262"/>
    <x v="262"/>
    <s v="REVENUS"/>
    <x v="2"/>
    <s v="4001.001"/>
    <s v="Impôt revenu"/>
    <n v="0"/>
    <n v="245277.57"/>
    <n v="4001"/>
  </r>
  <r>
    <x v="2"/>
    <x v="1"/>
    <x v="2"/>
    <x v="315"/>
    <x v="262"/>
    <x v="262"/>
    <s v="REVENUS"/>
    <x v="14"/>
    <s v="4003.000"/>
    <s v="Impôt à la source"/>
    <n v="0"/>
    <n v="1042803.5"/>
    <n v="4003"/>
  </r>
  <r>
    <x v="2"/>
    <x v="1"/>
    <x v="2"/>
    <x v="315"/>
    <x v="262"/>
    <x v="262"/>
    <s v="REVENUS"/>
    <x v="14"/>
    <s v="4003.010"/>
    <s v="IS - Employés et sourciers étrangers"/>
    <n v="0"/>
    <n v="17284.3"/>
    <n v="4003"/>
  </r>
  <r>
    <x v="2"/>
    <x v="1"/>
    <x v="2"/>
    <x v="315"/>
    <x v="262"/>
    <x v="262"/>
    <s v="REVENUS"/>
    <x v="6"/>
    <s v="4211.001"/>
    <s v="Intérêts de retard sur factures"/>
    <n v="0"/>
    <n v="6452.91"/>
    <n v="4211"/>
  </r>
  <r>
    <x v="2"/>
    <x v="1"/>
    <x v="2"/>
    <x v="315"/>
    <x v="262"/>
    <x v="262"/>
    <s v="REVENUS"/>
    <x v="6"/>
    <s v="4211.002"/>
    <s v="Intérêts de retard sur acomptes"/>
    <n v="0"/>
    <n v="8537.01"/>
    <n v="4211"/>
  </r>
  <r>
    <x v="2"/>
    <x v="1"/>
    <x v="2"/>
    <x v="315"/>
    <x v="262"/>
    <x v="262"/>
    <s v="REVENUS"/>
    <x v="7"/>
    <s v="4184.000"/>
    <s v="Frais de poursuite"/>
    <n v="0"/>
    <n v="80.040000000000006"/>
    <n v="4184"/>
  </r>
  <r>
    <x v="2"/>
    <x v="1"/>
    <x v="2"/>
    <x v="315"/>
    <x v="262"/>
    <x v="262"/>
    <s v="REVENUS"/>
    <x v="8"/>
    <s v="4091.001"/>
    <s v="Impôt récupéré après défalcations"/>
    <n v="0"/>
    <n v="1239.81"/>
    <n v="4091"/>
  </r>
  <r>
    <x v="2"/>
    <x v="1"/>
    <x v="2"/>
    <x v="315"/>
    <x v="262"/>
    <x v="262"/>
    <s v="REVENUS"/>
    <x v="14"/>
    <s v="4003.080"/>
    <s v="IS - Participations Hors Suisse"/>
    <n v="0"/>
    <n v="991629.07"/>
    <n v="4003"/>
  </r>
  <r>
    <x v="2"/>
    <x v="1"/>
    <x v="2"/>
    <x v="315"/>
    <x v="262"/>
    <x v="262"/>
    <s v="REVENUS"/>
    <x v="14"/>
    <s v="4003.030"/>
    <s v="IS - Prestations en capital / Prévoyance"/>
    <n v="0"/>
    <n v="7239.12"/>
    <n v="4003"/>
  </r>
  <r>
    <x v="2"/>
    <x v="1"/>
    <x v="2"/>
    <x v="315"/>
    <x v="262"/>
    <x v="262"/>
    <s v="REVENUS"/>
    <x v="2"/>
    <s v="4001.005"/>
    <s v="Amende de soustract. Impôt"/>
    <n v="0"/>
    <n v="333"/>
    <n v="4001"/>
  </r>
  <r>
    <x v="2"/>
    <x v="1"/>
    <x v="2"/>
    <x v="315"/>
    <x v="262"/>
    <x v="262"/>
    <s v="REVENUS"/>
    <x v="14"/>
    <s v="4003.060"/>
    <s v="IS - Administrateurs"/>
    <n v="0"/>
    <n v="7870.41"/>
    <n v="4003"/>
  </r>
  <r>
    <x v="2"/>
    <x v="1"/>
    <x v="2"/>
    <x v="315"/>
    <x v="262"/>
    <x v="262"/>
    <s v="REVENUS"/>
    <x v="2"/>
    <s v="4001.002"/>
    <s v="Impôt complément s/revenu PP"/>
    <n v="0"/>
    <n v="34535.839999999997"/>
    <n v="4001"/>
  </r>
  <r>
    <x v="2"/>
    <x v="1"/>
    <x v="2"/>
    <x v="315"/>
    <x v="262"/>
    <x v="262"/>
    <s v="REVENUS"/>
    <x v="14"/>
    <s v="4003.070"/>
    <s v="IS - Loi travail au noir"/>
    <n v="0"/>
    <n v="821.58"/>
    <n v="4003"/>
  </r>
  <r>
    <x v="2"/>
    <x v="1"/>
    <x v="2"/>
    <x v="315"/>
    <x v="262"/>
    <x v="262"/>
    <s v="REVENUS"/>
    <x v="14"/>
    <s v="4003.020"/>
    <s v="IS - Artistes - Conférenciers - Sportifs"/>
    <n v="0"/>
    <n v="2.96"/>
    <n v="4003"/>
  </r>
  <r>
    <x v="2"/>
    <x v="1"/>
    <x v="2"/>
    <x v="316"/>
    <x v="263"/>
    <x v="263"/>
    <s v="CHARGES"/>
    <x v="19"/>
    <s v="3186.002"/>
    <s v="Commission perception IS"/>
    <n v="892.88"/>
    <n v="0"/>
    <n v="3186"/>
  </r>
  <r>
    <x v="2"/>
    <x v="1"/>
    <x v="2"/>
    <x v="316"/>
    <x v="263"/>
    <x v="263"/>
    <s v="CHARGES"/>
    <x v="1"/>
    <s v="3301.001"/>
    <s v="Défalcations, abandons de solde PP et IS"/>
    <n v="4.7699999999999996"/>
    <n v="0"/>
    <n v="3301"/>
  </r>
  <r>
    <x v="2"/>
    <x v="1"/>
    <x v="2"/>
    <x v="316"/>
    <x v="263"/>
    <x v="263"/>
    <s v="REVENUS"/>
    <x v="14"/>
    <s v="4003.000"/>
    <s v="Impôt à la source"/>
    <n v="0"/>
    <n v="-3624.28"/>
    <n v="4003"/>
  </r>
  <r>
    <x v="2"/>
    <x v="1"/>
    <x v="2"/>
    <x v="316"/>
    <x v="263"/>
    <x v="263"/>
    <s v="REVENUS"/>
    <x v="6"/>
    <s v="4211.001"/>
    <s v="Intérêts de retard sur factures"/>
    <n v="0"/>
    <n v="167.5"/>
    <n v="4211"/>
  </r>
  <r>
    <x v="2"/>
    <x v="1"/>
    <x v="2"/>
    <x v="316"/>
    <x v="263"/>
    <x v="263"/>
    <s v="REVENUS"/>
    <x v="14"/>
    <s v="4003.010"/>
    <s v="IS - Employés et sourciers étrangers"/>
    <n v="0"/>
    <n v="3088.92"/>
    <n v="4003"/>
  </r>
  <r>
    <x v="2"/>
    <x v="1"/>
    <x v="2"/>
    <x v="316"/>
    <x v="263"/>
    <x v="263"/>
    <s v="REVENUS"/>
    <x v="6"/>
    <s v="4211.002"/>
    <s v="Intérêts de retard sur acomptes"/>
    <n v="0"/>
    <n v="156.56"/>
    <n v="4211"/>
  </r>
  <r>
    <x v="2"/>
    <x v="1"/>
    <x v="2"/>
    <x v="316"/>
    <x v="263"/>
    <x v="263"/>
    <s v="REVENUS"/>
    <x v="2"/>
    <s v="4001.010"/>
    <s v="Impôt sourciers mixtes"/>
    <n v="0"/>
    <n v="-62089.25"/>
    <n v="4001"/>
  </r>
  <r>
    <x v="2"/>
    <x v="1"/>
    <x v="2"/>
    <x v="316"/>
    <x v="263"/>
    <x v="263"/>
    <s v="REVENUS"/>
    <x v="2"/>
    <s v="4001.001"/>
    <s v="Impôt revenu"/>
    <n v="0"/>
    <n v="499.54"/>
    <n v="4001"/>
  </r>
  <r>
    <x v="2"/>
    <x v="1"/>
    <x v="2"/>
    <x v="316"/>
    <x v="263"/>
    <x v="263"/>
    <s v="REVENUS"/>
    <x v="8"/>
    <s v="4091.001"/>
    <s v="Impôt récupéré après défalcations"/>
    <n v="0"/>
    <n v="0.49"/>
    <n v="4091"/>
  </r>
  <r>
    <x v="2"/>
    <x v="1"/>
    <x v="2"/>
    <x v="316"/>
    <x v="263"/>
    <x v="263"/>
    <s v="REVENUS"/>
    <x v="2"/>
    <s v="4001.002"/>
    <s v="Impôt complément s/revenu PP"/>
    <n v="0"/>
    <n v="570.65"/>
    <n v="4001"/>
  </r>
  <r>
    <x v="2"/>
    <x v="1"/>
    <x v="2"/>
    <x v="316"/>
    <x v="263"/>
    <x v="263"/>
    <s v="REVENUS"/>
    <x v="7"/>
    <s v="4184.000"/>
    <s v="Frais de poursuite"/>
    <n v="0"/>
    <n v="44.85"/>
    <n v="4184"/>
  </r>
  <r>
    <x v="2"/>
    <x v="1"/>
    <x v="2"/>
    <x v="317"/>
    <x v="264"/>
    <x v="264"/>
    <s v="CHARGES"/>
    <x v="19"/>
    <s v="3186.002"/>
    <s v="Commission perception IS"/>
    <n v="3128.68"/>
    <n v="0"/>
    <n v="3186"/>
  </r>
  <r>
    <x v="2"/>
    <x v="1"/>
    <x v="2"/>
    <x v="317"/>
    <x v="264"/>
    <x v="264"/>
    <s v="CHARGES"/>
    <x v="1"/>
    <s v="3301.001"/>
    <s v="Défalcations, abandons de solde PP et IS"/>
    <n v="-0.26"/>
    <n v="0"/>
    <n v="3301"/>
  </r>
  <r>
    <x v="2"/>
    <x v="1"/>
    <x v="2"/>
    <x v="317"/>
    <x v="264"/>
    <x v="264"/>
    <s v="REVENUS"/>
    <x v="14"/>
    <s v="4003.000"/>
    <s v="Impôt à la source"/>
    <n v="0"/>
    <n v="52214.57"/>
    <n v="4003"/>
  </r>
  <r>
    <x v="2"/>
    <x v="1"/>
    <x v="2"/>
    <x v="317"/>
    <x v="264"/>
    <x v="264"/>
    <s v="REVENUS"/>
    <x v="6"/>
    <s v="4211.001"/>
    <s v="Intérêts de retard sur factures"/>
    <n v="0"/>
    <n v="89.45"/>
    <n v="4211"/>
  </r>
  <r>
    <x v="2"/>
    <x v="1"/>
    <x v="2"/>
    <x v="317"/>
    <x v="264"/>
    <x v="264"/>
    <s v="REVENUS"/>
    <x v="6"/>
    <s v="4211.002"/>
    <s v="Intérêts de retard sur acomptes"/>
    <n v="0"/>
    <n v="129.94999999999999"/>
    <n v="4211"/>
  </r>
  <r>
    <x v="2"/>
    <x v="1"/>
    <x v="2"/>
    <x v="317"/>
    <x v="264"/>
    <x v="264"/>
    <s v="REVENUS"/>
    <x v="14"/>
    <s v="4003.010"/>
    <s v="IS - Employés et sourciers étrangers"/>
    <n v="0"/>
    <n v="3158.75"/>
    <n v="4003"/>
  </r>
  <r>
    <x v="2"/>
    <x v="1"/>
    <x v="2"/>
    <x v="317"/>
    <x v="264"/>
    <x v="264"/>
    <s v="REVENUS"/>
    <x v="2"/>
    <s v="4001.010"/>
    <s v="Impôt sourciers mixtes"/>
    <n v="0"/>
    <n v="-112253.25"/>
    <n v="4001"/>
  </r>
  <r>
    <x v="2"/>
    <x v="11"/>
    <x v="9"/>
    <x v="318"/>
    <x v="265"/>
    <x v="265"/>
    <s v="CHARGES"/>
    <x v="19"/>
    <s v="3186.002"/>
    <s v="Commission perception IS"/>
    <n v="30018.66"/>
    <n v="0"/>
    <n v="3186"/>
  </r>
  <r>
    <x v="2"/>
    <x v="11"/>
    <x v="9"/>
    <x v="318"/>
    <x v="265"/>
    <x v="265"/>
    <s v="CHARGES"/>
    <x v="1"/>
    <s v="3301.001"/>
    <s v="Défalcations, abandons de solde PP et IS"/>
    <n v="3278.77"/>
    <n v="0"/>
    <n v="3301"/>
  </r>
  <r>
    <x v="2"/>
    <x v="11"/>
    <x v="9"/>
    <x v="318"/>
    <x v="265"/>
    <x v="265"/>
    <s v="CHARGES"/>
    <x v="1"/>
    <s v="3301.001"/>
    <s v="Défalcations, abandons de solde PP et IS"/>
    <n v="-85.51"/>
    <n v="0"/>
    <n v="3301"/>
  </r>
  <r>
    <x v="2"/>
    <x v="11"/>
    <x v="9"/>
    <x v="318"/>
    <x v="265"/>
    <x v="265"/>
    <s v="REVENUS"/>
    <x v="2"/>
    <s v="4001.001"/>
    <s v="Impôt revenu"/>
    <n v="0"/>
    <n v="41922.18"/>
    <n v="4001"/>
  </r>
  <r>
    <x v="2"/>
    <x v="11"/>
    <x v="9"/>
    <x v="318"/>
    <x v="265"/>
    <x v="265"/>
    <s v="REVENUS"/>
    <x v="2"/>
    <s v="4001.010"/>
    <s v="Impôt sourciers mixtes"/>
    <n v="0"/>
    <n v="27648.13"/>
    <n v="4001"/>
  </r>
  <r>
    <x v="2"/>
    <x v="11"/>
    <x v="9"/>
    <x v="318"/>
    <x v="265"/>
    <x v="265"/>
    <s v="REVENUS"/>
    <x v="14"/>
    <s v="4003.000"/>
    <s v="Impôt à la source"/>
    <n v="0"/>
    <n v="355240.9"/>
    <n v="4003"/>
  </r>
  <r>
    <x v="2"/>
    <x v="11"/>
    <x v="9"/>
    <x v="318"/>
    <x v="265"/>
    <x v="265"/>
    <s v="REVENUS"/>
    <x v="6"/>
    <s v="4211.001"/>
    <s v="Intérêts de retard sur factures"/>
    <n v="0"/>
    <n v="767.25"/>
    <n v="4211"/>
  </r>
  <r>
    <x v="2"/>
    <x v="11"/>
    <x v="9"/>
    <x v="318"/>
    <x v="265"/>
    <x v="265"/>
    <s v="REVENUS"/>
    <x v="6"/>
    <s v="4211.002"/>
    <s v="Intérêts de retard sur acomptes"/>
    <n v="0"/>
    <n v="5020.08"/>
    <n v="4211"/>
  </r>
  <r>
    <x v="2"/>
    <x v="11"/>
    <x v="9"/>
    <x v="318"/>
    <x v="265"/>
    <x v="265"/>
    <s v="REVENUS"/>
    <x v="14"/>
    <s v="4003.010"/>
    <s v="IS - Employés et sourciers étrangers"/>
    <n v="0"/>
    <n v="1860.89"/>
    <n v="4003"/>
  </r>
  <r>
    <x v="2"/>
    <x v="11"/>
    <x v="9"/>
    <x v="318"/>
    <x v="265"/>
    <x v="265"/>
    <s v="REVENUS"/>
    <x v="14"/>
    <s v="4003.020"/>
    <s v="IS - Artistes - Conférenciers - Sportifs"/>
    <n v="0"/>
    <n v="59.35"/>
    <n v="4003"/>
  </r>
  <r>
    <x v="2"/>
    <x v="11"/>
    <x v="9"/>
    <x v="318"/>
    <x v="265"/>
    <x v="265"/>
    <s v="REVENUS"/>
    <x v="7"/>
    <s v="4184.000"/>
    <s v="Frais de poursuite"/>
    <n v="0"/>
    <n v="83.88"/>
    <n v="4184"/>
  </r>
  <r>
    <x v="2"/>
    <x v="11"/>
    <x v="9"/>
    <x v="318"/>
    <x v="265"/>
    <x v="265"/>
    <s v="REVENUS"/>
    <x v="2"/>
    <s v="4001.002"/>
    <s v="Impôt complément s/revenu PP"/>
    <n v="0"/>
    <n v="7106.41"/>
    <n v="4001"/>
  </r>
  <r>
    <x v="2"/>
    <x v="11"/>
    <x v="9"/>
    <x v="318"/>
    <x v="265"/>
    <x v="265"/>
    <s v="REVENUS"/>
    <x v="14"/>
    <s v="4003.070"/>
    <s v="IS - Loi travail au noir"/>
    <n v="0"/>
    <n v="298.11"/>
    <n v="4003"/>
  </r>
  <r>
    <x v="2"/>
    <x v="11"/>
    <x v="9"/>
    <x v="318"/>
    <x v="265"/>
    <x v="265"/>
    <s v="REVENUS"/>
    <x v="14"/>
    <s v="4003.060"/>
    <s v="IS - Administrateurs"/>
    <n v="0"/>
    <n v="5759.12"/>
    <n v="4003"/>
  </r>
  <r>
    <x v="2"/>
    <x v="11"/>
    <x v="9"/>
    <x v="318"/>
    <x v="265"/>
    <x v="265"/>
    <s v="REVENUS"/>
    <x v="2"/>
    <s v="4001.005"/>
    <s v="Amende de soustract. Impôt"/>
    <n v="0"/>
    <n v="2086.1999999999998"/>
    <n v="4001"/>
  </r>
  <r>
    <x v="2"/>
    <x v="11"/>
    <x v="9"/>
    <x v="318"/>
    <x v="265"/>
    <x v="265"/>
    <s v="REVENUS"/>
    <x v="8"/>
    <s v="4091.001"/>
    <s v="Impôt récupéré après défalcations"/>
    <n v="0"/>
    <n v="620.57000000000005"/>
    <n v="4091"/>
  </r>
  <r>
    <x v="2"/>
    <x v="11"/>
    <x v="9"/>
    <x v="319"/>
    <x v="266"/>
    <x v="266"/>
    <s v="CHARGES"/>
    <x v="19"/>
    <s v="3186.002"/>
    <s v="Commission perception IS"/>
    <n v="20748.82"/>
    <n v="0"/>
    <n v="3186"/>
  </r>
  <r>
    <x v="2"/>
    <x v="11"/>
    <x v="9"/>
    <x v="319"/>
    <x v="266"/>
    <x v="266"/>
    <s v="CHARGES"/>
    <x v="1"/>
    <s v="3301.001"/>
    <s v="Défalcations, abandons de solde PP et IS"/>
    <n v="3650.11"/>
    <n v="0"/>
    <n v="3301"/>
  </r>
  <r>
    <x v="2"/>
    <x v="11"/>
    <x v="9"/>
    <x v="319"/>
    <x v="266"/>
    <x v="266"/>
    <s v="REVENUS"/>
    <x v="2"/>
    <s v="4001.010"/>
    <s v="Impôt sourciers mixtes"/>
    <n v="0"/>
    <n v="95963.73"/>
    <n v="4001"/>
  </r>
  <r>
    <x v="2"/>
    <x v="11"/>
    <x v="9"/>
    <x v="319"/>
    <x v="266"/>
    <x v="266"/>
    <s v="REVENUS"/>
    <x v="14"/>
    <s v="4003.000"/>
    <s v="Impôt à la source"/>
    <n v="0"/>
    <n v="235453.25"/>
    <n v="4003"/>
  </r>
  <r>
    <x v="2"/>
    <x v="11"/>
    <x v="9"/>
    <x v="319"/>
    <x v="266"/>
    <x v="266"/>
    <s v="REVENUS"/>
    <x v="6"/>
    <s v="4211.001"/>
    <s v="Intérêts de retard sur factures"/>
    <n v="0"/>
    <n v="304.51"/>
    <n v="4211"/>
  </r>
  <r>
    <x v="2"/>
    <x v="11"/>
    <x v="9"/>
    <x v="319"/>
    <x v="266"/>
    <x v="266"/>
    <s v="REVENUS"/>
    <x v="6"/>
    <s v="4211.002"/>
    <s v="Intérêts de retard sur acomptes"/>
    <n v="0"/>
    <n v="1632.42"/>
    <n v="4211"/>
  </r>
  <r>
    <x v="2"/>
    <x v="11"/>
    <x v="9"/>
    <x v="319"/>
    <x v="266"/>
    <x v="266"/>
    <s v="REVENUS"/>
    <x v="14"/>
    <s v="4003.010"/>
    <s v="IS - Employés et sourciers étrangers"/>
    <n v="0"/>
    <n v="3799.35"/>
    <n v="4003"/>
  </r>
  <r>
    <x v="2"/>
    <x v="11"/>
    <x v="9"/>
    <x v="319"/>
    <x v="266"/>
    <x v="266"/>
    <s v="REVENUS"/>
    <x v="2"/>
    <s v="4001.001"/>
    <s v="Impôt revenu"/>
    <n v="0"/>
    <n v="40736.39"/>
    <n v="4001"/>
  </r>
  <r>
    <x v="2"/>
    <x v="11"/>
    <x v="9"/>
    <x v="319"/>
    <x v="266"/>
    <x v="266"/>
    <s v="REVENUS"/>
    <x v="7"/>
    <s v="4184.000"/>
    <s v="Frais de poursuite"/>
    <n v="0"/>
    <n v="36.07"/>
    <n v="4184"/>
  </r>
  <r>
    <x v="2"/>
    <x v="11"/>
    <x v="9"/>
    <x v="319"/>
    <x v="266"/>
    <x v="266"/>
    <s v="REVENUS"/>
    <x v="2"/>
    <s v="4001.002"/>
    <s v="Impôt complément s/revenu PP"/>
    <n v="0"/>
    <n v="2647.2"/>
    <n v="4001"/>
  </r>
  <r>
    <x v="2"/>
    <x v="11"/>
    <x v="9"/>
    <x v="320"/>
    <x v="267"/>
    <x v="267"/>
    <s v="CHARGES"/>
    <x v="19"/>
    <s v="3186.002"/>
    <s v="Commission perception IS"/>
    <n v="17200.32"/>
    <n v="0"/>
    <n v="3186"/>
  </r>
  <r>
    <x v="2"/>
    <x v="11"/>
    <x v="9"/>
    <x v="320"/>
    <x v="267"/>
    <x v="267"/>
    <s v="CHARGES"/>
    <x v="1"/>
    <s v="3301.001"/>
    <s v="Défalcations, abandons de solde PP et IS"/>
    <n v="611.54"/>
    <n v="0"/>
    <n v="3301"/>
  </r>
  <r>
    <x v="2"/>
    <x v="11"/>
    <x v="9"/>
    <x v="320"/>
    <x v="267"/>
    <x v="267"/>
    <s v="REVENUS"/>
    <x v="2"/>
    <s v="4001.010"/>
    <s v="Impôt sourciers mixtes"/>
    <n v="0"/>
    <n v="35648.35"/>
    <n v="4001"/>
  </r>
  <r>
    <x v="2"/>
    <x v="11"/>
    <x v="9"/>
    <x v="320"/>
    <x v="267"/>
    <x v="267"/>
    <s v="REVENUS"/>
    <x v="14"/>
    <s v="4003.000"/>
    <s v="Impôt à la source"/>
    <n v="0"/>
    <n v="194451.12"/>
    <n v="4003"/>
  </r>
  <r>
    <x v="2"/>
    <x v="11"/>
    <x v="9"/>
    <x v="320"/>
    <x v="267"/>
    <x v="267"/>
    <s v="REVENUS"/>
    <x v="6"/>
    <s v="4211.001"/>
    <s v="Intérêts de retard sur factures"/>
    <n v="0"/>
    <n v="458.54"/>
    <n v="4211"/>
  </r>
  <r>
    <x v="2"/>
    <x v="11"/>
    <x v="9"/>
    <x v="320"/>
    <x v="267"/>
    <x v="267"/>
    <s v="REVENUS"/>
    <x v="6"/>
    <s v="4211.002"/>
    <s v="Intérêts de retard sur acomptes"/>
    <n v="0"/>
    <n v="2812.2"/>
    <n v="4211"/>
  </r>
  <r>
    <x v="2"/>
    <x v="11"/>
    <x v="9"/>
    <x v="320"/>
    <x v="267"/>
    <x v="267"/>
    <s v="REVENUS"/>
    <x v="2"/>
    <s v="4001.001"/>
    <s v="Impôt revenu"/>
    <n v="0"/>
    <n v="40865.57"/>
    <n v="4001"/>
  </r>
  <r>
    <x v="2"/>
    <x v="11"/>
    <x v="9"/>
    <x v="320"/>
    <x v="267"/>
    <x v="267"/>
    <s v="REVENUS"/>
    <x v="2"/>
    <s v="4001.002"/>
    <s v="Impôt complément s/revenu PP"/>
    <n v="0"/>
    <n v="-859.67"/>
    <n v="4001"/>
  </r>
  <r>
    <x v="2"/>
    <x v="11"/>
    <x v="9"/>
    <x v="320"/>
    <x v="267"/>
    <x v="267"/>
    <s v="REVENUS"/>
    <x v="8"/>
    <s v="4091.001"/>
    <s v="Impôt récupéré après défalcations"/>
    <n v="0"/>
    <n v="574.52"/>
    <n v="4091"/>
  </r>
  <r>
    <x v="2"/>
    <x v="11"/>
    <x v="9"/>
    <x v="320"/>
    <x v="267"/>
    <x v="267"/>
    <s v="REVENUS"/>
    <x v="14"/>
    <s v="4003.060"/>
    <s v="IS - Administrateurs"/>
    <n v="0"/>
    <n v="7166.03"/>
    <n v="4003"/>
  </r>
  <r>
    <x v="2"/>
    <x v="11"/>
    <x v="9"/>
    <x v="320"/>
    <x v="267"/>
    <x v="267"/>
    <s v="REVENUS"/>
    <x v="7"/>
    <s v="4184.000"/>
    <s v="Frais de poursuite"/>
    <n v="0"/>
    <n v="106.26"/>
    <n v="4184"/>
  </r>
  <r>
    <x v="2"/>
    <x v="11"/>
    <x v="9"/>
    <x v="320"/>
    <x v="267"/>
    <x v="267"/>
    <s v="REVENUS"/>
    <x v="14"/>
    <s v="4003.070"/>
    <s v="IS - Loi travail au noir"/>
    <n v="0"/>
    <n v="193.86"/>
    <n v="4003"/>
  </r>
  <r>
    <x v="2"/>
    <x v="11"/>
    <x v="9"/>
    <x v="320"/>
    <x v="267"/>
    <x v="267"/>
    <s v="REVENUS"/>
    <x v="14"/>
    <s v="4003.010"/>
    <s v="IS - Employés et sourciers étrangers"/>
    <n v="0"/>
    <n v="1612.9"/>
    <n v="4003"/>
  </r>
  <r>
    <x v="2"/>
    <x v="11"/>
    <x v="9"/>
    <x v="321"/>
    <x v="268"/>
    <x v="268"/>
    <s v="CHARGES"/>
    <x v="19"/>
    <s v="3186.002"/>
    <s v="Commission perception IS"/>
    <n v="9179.7900000000009"/>
    <n v="0"/>
    <n v="3186"/>
  </r>
  <r>
    <x v="2"/>
    <x v="11"/>
    <x v="9"/>
    <x v="321"/>
    <x v="268"/>
    <x v="268"/>
    <s v="CHARGES"/>
    <x v="1"/>
    <s v="3301.001"/>
    <s v="Défalcations, abandons de solde PP et IS"/>
    <n v="692.59"/>
    <n v="0"/>
    <n v="3301"/>
  </r>
  <r>
    <x v="2"/>
    <x v="11"/>
    <x v="9"/>
    <x v="321"/>
    <x v="268"/>
    <x v="268"/>
    <s v="REVENUS"/>
    <x v="2"/>
    <s v="4001.010"/>
    <s v="Impôt sourciers mixtes"/>
    <n v="0"/>
    <n v="-48963.12"/>
    <n v="4001"/>
  </r>
  <r>
    <x v="2"/>
    <x v="11"/>
    <x v="9"/>
    <x v="321"/>
    <x v="268"/>
    <x v="268"/>
    <s v="REVENUS"/>
    <x v="14"/>
    <s v="4003.000"/>
    <s v="Impôt à la source"/>
    <n v="0"/>
    <n v="128102.73"/>
    <n v="4003"/>
  </r>
  <r>
    <x v="2"/>
    <x v="11"/>
    <x v="9"/>
    <x v="321"/>
    <x v="268"/>
    <x v="268"/>
    <s v="REVENUS"/>
    <x v="6"/>
    <s v="4211.001"/>
    <s v="Intérêts de retard sur factures"/>
    <n v="0"/>
    <n v="347.74"/>
    <n v="4211"/>
  </r>
  <r>
    <x v="2"/>
    <x v="11"/>
    <x v="9"/>
    <x v="321"/>
    <x v="268"/>
    <x v="268"/>
    <s v="REVENUS"/>
    <x v="6"/>
    <s v="4211.002"/>
    <s v="Intérêts de retard sur acomptes"/>
    <n v="0"/>
    <n v="1175.31"/>
    <n v="4211"/>
  </r>
  <r>
    <x v="2"/>
    <x v="11"/>
    <x v="9"/>
    <x v="321"/>
    <x v="268"/>
    <x v="268"/>
    <s v="REVENUS"/>
    <x v="7"/>
    <s v="4184.000"/>
    <s v="Frais de poursuite"/>
    <n v="0"/>
    <n v="301.38"/>
    <n v="4184"/>
  </r>
  <r>
    <x v="2"/>
    <x v="11"/>
    <x v="9"/>
    <x v="321"/>
    <x v="268"/>
    <x v="268"/>
    <s v="REVENUS"/>
    <x v="14"/>
    <s v="4003.050"/>
    <s v="IS - intérêts hypothécaires"/>
    <n v="0"/>
    <n v="450.74"/>
    <n v="4003"/>
  </r>
  <r>
    <x v="2"/>
    <x v="11"/>
    <x v="9"/>
    <x v="321"/>
    <x v="268"/>
    <x v="268"/>
    <s v="REVENUS"/>
    <x v="2"/>
    <s v="4001.001"/>
    <s v="Impôt revenu"/>
    <n v="0"/>
    <n v="44346.16"/>
    <n v="4001"/>
  </r>
  <r>
    <x v="2"/>
    <x v="11"/>
    <x v="9"/>
    <x v="321"/>
    <x v="268"/>
    <x v="268"/>
    <s v="REVENUS"/>
    <x v="14"/>
    <s v="4003.020"/>
    <s v="IS - Artistes - Conférenciers - Sportifs"/>
    <n v="0"/>
    <n v="146.19999999999999"/>
    <n v="4003"/>
  </r>
  <r>
    <x v="2"/>
    <x v="11"/>
    <x v="9"/>
    <x v="321"/>
    <x v="268"/>
    <x v="268"/>
    <s v="REVENUS"/>
    <x v="14"/>
    <s v="4003.070"/>
    <s v="IS - Loi travail au noir"/>
    <n v="0"/>
    <n v="445.81"/>
    <n v="4003"/>
  </r>
  <r>
    <x v="2"/>
    <x v="11"/>
    <x v="9"/>
    <x v="321"/>
    <x v="268"/>
    <x v="268"/>
    <s v="REVENUS"/>
    <x v="2"/>
    <s v="4001.002"/>
    <s v="Impôt complément s/revenu PP"/>
    <n v="0"/>
    <n v="914.09"/>
    <n v="4001"/>
  </r>
  <r>
    <x v="2"/>
    <x v="11"/>
    <x v="9"/>
    <x v="321"/>
    <x v="268"/>
    <x v="268"/>
    <s v="REVENUS"/>
    <x v="2"/>
    <s v="4001.005"/>
    <s v="Amende de soustract. Impôt"/>
    <n v="0"/>
    <n v="83"/>
    <n v="4001"/>
  </r>
  <r>
    <x v="2"/>
    <x v="11"/>
    <x v="9"/>
    <x v="321"/>
    <x v="268"/>
    <x v="268"/>
    <s v="REVENUS"/>
    <x v="14"/>
    <s v="4003.010"/>
    <s v="IS - Employés et sourciers étrangers"/>
    <n v="0"/>
    <n v="47.15"/>
    <n v="4003"/>
  </r>
  <r>
    <x v="2"/>
    <x v="11"/>
    <x v="9"/>
    <x v="322"/>
    <x v="269"/>
    <x v="269"/>
    <s v="CHARGES"/>
    <x v="19"/>
    <s v="3186.002"/>
    <s v="Commission perception IS"/>
    <n v="6349.69"/>
    <n v="0"/>
    <n v="3186"/>
  </r>
  <r>
    <x v="2"/>
    <x v="11"/>
    <x v="9"/>
    <x v="322"/>
    <x v="269"/>
    <x v="269"/>
    <s v="CHARGES"/>
    <x v="1"/>
    <s v="3301.001"/>
    <s v="Défalcations, abandons de solde PP et IS"/>
    <n v="5.18"/>
    <n v="0"/>
    <n v="3301"/>
  </r>
  <r>
    <x v="2"/>
    <x v="11"/>
    <x v="9"/>
    <x v="322"/>
    <x v="269"/>
    <x v="269"/>
    <s v="REVENUS"/>
    <x v="2"/>
    <s v="4001.010"/>
    <s v="Impôt sourciers mixtes"/>
    <n v="0"/>
    <n v="-167184.25"/>
    <n v="4001"/>
  </r>
  <r>
    <x v="2"/>
    <x v="11"/>
    <x v="9"/>
    <x v="322"/>
    <x v="269"/>
    <x v="269"/>
    <s v="REVENUS"/>
    <x v="14"/>
    <s v="4003.000"/>
    <s v="Impôt à la source"/>
    <n v="0"/>
    <n v="105212.06"/>
    <n v="4003"/>
  </r>
  <r>
    <x v="2"/>
    <x v="11"/>
    <x v="9"/>
    <x v="322"/>
    <x v="269"/>
    <x v="269"/>
    <s v="REVENUS"/>
    <x v="6"/>
    <s v="4211.001"/>
    <s v="Intérêts de retard sur factures"/>
    <n v="0"/>
    <n v="195.03"/>
    <n v="4211"/>
  </r>
  <r>
    <x v="2"/>
    <x v="11"/>
    <x v="9"/>
    <x v="322"/>
    <x v="269"/>
    <x v="269"/>
    <s v="REVENUS"/>
    <x v="6"/>
    <s v="4211.002"/>
    <s v="Intérêts de retard sur acomptes"/>
    <n v="0"/>
    <n v="1394.87"/>
    <n v="4211"/>
  </r>
  <r>
    <x v="2"/>
    <x v="11"/>
    <x v="9"/>
    <x v="322"/>
    <x v="269"/>
    <x v="269"/>
    <s v="REVENUS"/>
    <x v="2"/>
    <s v="4001.001"/>
    <s v="Impôt revenu"/>
    <n v="0"/>
    <n v="29650.400000000001"/>
    <n v="4001"/>
  </r>
  <r>
    <x v="2"/>
    <x v="11"/>
    <x v="9"/>
    <x v="322"/>
    <x v="269"/>
    <x v="269"/>
    <s v="REVENUS"/>
    <x v="7"/>
    <s v="4184.000"/>
    <s v="Frais de poursuite"/>
    <n v="0"/>
    <n v="58.91"/>
    <n v="4184"/>
  </r>
  <r>
    <x v="2"/>
    <x v="11"/>
    <x v="9"/>
    <x v="323"/>
    <x v="270"/>
    <x v="270"/>
    <s v="CHARGES"/>
    <x v="19"/>
    <s v="3186.002"/>
    <s v="Commission perception IS"/>
    <n v="101516.08"/>
    <n v="0"/>
    <n v="3186"/>
  </r>
  <r>
    <x v="2"/>
    <x v="11"/>
    <x v="9"/>
    <x v="323"/>
    <x v="270"/>
    <x v="270"/>
    <s v="CHARGES"/>
    <x v="1"/>
    <s v="3301.001"/>
    <s v="Défalcations, abandons de solde PP et IS"/>
    <n v="55332.800000000003"/>
    <n v="0"/>
    <n v="3301"/>
  </r>
  <r>
    <x v="2"/>
    <x v="11"/>
    <x v="9"/>
    <x v="323"/>
    <x v="270"/>
    <x v="270"/>
    <s v="REVENUS"/>
    <x v="2"/>
    <s v="4001.010"/>
    <s v="Impôt sourciers mixtes"/>
    <n v="0"/>
    <n v="200437.65"/>
    <n v="4001"/>
  </r>
  <r>
    <x v="2"/>
    <x v="11"/>
    <x v="9"/>
    <x v="323"/>
    <x v="270"/>
    <x v="270"/>
    <s v="REVENUS"/>
    <x v="2"/>
    <s v="4001.001"/>
    <s v="Impôt revenu"/>
    <n v="0"/>
    <n v="363563.01"/>
    <n v="4001"/>
  </r>
  <r>
    <x v="2"/>
    <x v="11"/>
    <x v="9"/>
    <x v="323"/>
    <x v="270"/>
    <x v="270"/>
    <s v="REVENUS"/>
    <x v="2"/>
    <s v="4001.005"/>
    <s v="Amende de soustract. Impôt"/>
    <n v="0"/>
    <n v="4814.8500000000004"/>
    <n v="4001"/>
  </r>
  <r>
    <x v="2"/>
    <x v="11"/>
    <x v="9"/>
    <x v="323"/>
    <x v="270"/>
    <x v="270"/>
    <s v="REVENUS"/>
    <x v="14"/>
    <s v="4003.000"/>
    <s v="Impôt à la source"/>
    <n v="0"/>
    <n v="1784308.58"/>
    <n v="4003"/>
  </r>
  <r>
    <x v="2"/>
    <x v="11"/>
    <x v="9"/>
    <x v="323"/>
    <x v="270"/>
    <x v="270"/>
    <s v="REVENUS"/>
    <x v="14"/>
    <s v="4003.030"/>
    <s v="IS - Prestations en capital / Prévoyance"/>
    <n v="0"/>
    <n v="196049.11"/>
    <n v="4003"/>
  </r>
  <r>
    <x v="2"/>
    <x v="11"/>
    <x v="9"/>
    <x v="323"/>
    <x v="270"/>
    <x v="270"/>
    <s v="REVENUS"/>
    <x v="6"/>
    <s v="4211.002"/>
    <s v="Intérêts de retard sur acomptes"/>
    <n v="0"/>
    <n v="23840.74"/>
    <n v="4211"/>
  </r>
  <r>
    <x v="2"/>
    <x v="11"/>
    <x v="9"/>
    <x v="323"/>
    <x v="270"/>
    <x v="270"/>
    <s v="REVENUS"/>
    <x v="8"/>
    <s v="4091.001"/>
    <s v="Impôt récupéré après défalcations"/>
    <n v="0"/>
    <n v="28006.959999999999"/>
    <n v="4091"/>
  </r>
  <r>
    <x v="2"/>
    <x v="11"/>
    <x v="9"/>
    <x v="323"/>
    <x v="270"/>
    <x v="270"/>
    <s v="REVENUS"/>
    <x v="7"/>
    <s v="4184.000"/>
    <s v="Frais de poursuite"/>
    <n v="0"/>
    <n v="3016.06"/>
    <n v="4184"/>
  </r>
  <r>
    <x v="2"/>
    <x v="11"/>
    <x v="9"/>
    <x v="323"/>
    <x v="270"/>
    <x v="270"/>
    <s v="REVENUS"/>
    <x v="6"/>
    <s v="4211.001"/>
    <s v="Intérêts de retard sur factures"/>
    <n v="0"/>
    <n v="7549.82"/>
    <n v="4211"/>
  </r>
  <r>
    <x v="2"/>
    <x v="11"/>
    <x v="9"/>
    <x v="323"/>
    <x v="270"/>
    <x v="270"/>
    <s v="REVENUS"/>
    <x v="14"/>
    <s v="4003.050"/>
    <s v="IS - intérêts hypothécaires"/>
    <n v="0"/>
    <n v="1174.19"/>
    <n v="4003"/>
  </r>
  <r>
    <x v="2"/>
    <x v="11"/>
    <x v="9"/>
    <x v="323"/>
    <x v="270"/>
    <x v="270"/>
    <s v="REVENUS"/>
    <x v="14"/>
    <s v="4003.010"/>
    <s v="IS - Employés et sourciers étrangers"/>
    <n v="0"/>
    <n v="288.52999999999997"/>
    <n v="4003"/>
  </r>
  <r>
    <x v="2"/>
    <x v="11"/>
    <x v="9"/>
    <x v="323"/>
    <x v="270"/>
    <x v="270"/>
    <s v="REVENUS"/>
    <x v="14"/>
    <s v="4003.060"/>
    <s v="IS - Administrateurs"/>
    <n v="0"/>
    <n v="37694.54"/>
    <n v="4003"/>
  </r>
  <r>
    <x v="2"/>
    <x v="11"/>
    <x v="9"/>
    <x v="323"/>
    <x v="270"/>
    <x v="270"/>
    <s v="REVENUS"/>
    <x v="14"/>
    <s v="4003.020"/>
    <s v="IS - Artistes - Conférenciers - Sportifs"/>
    <n v="0"/>
    <n v="218561.18"/>
    <n v="4003"/>
  </r>
  <r>
    <x v="2"/>
    <x v="11"/>
    <x v="9"/>
    <x v="323"/>
    <x v="270"/>
    <x v="270"/>
    <s v="REVENUS"/>
    <x v="14"/>
    <s v="4003.080"/>
    <s v="IS - Participations Hors Suisse"/>
    <n v="0"/>
    <n v="28602.25"/>
    <n v="4003"/>
  </r>
  <r>
    <x v="2"/>
    <x v="11"/>
    <x v="9"/>
    <x v="323"/>
    <x v="270"/>
    <x v="270"/>
    <s v="REVENUS"/>
    <x v="14"/>
    <s v="4003.070"/>
    <s v="IS - Loi travail au noir"/>
    <n v="0"/>
    <n v="7214.6"/>
    <n v="4003"/>
  </r>
  <r>
    <x v="2"/>
    <x v="11"/>
    <x v="9"/>
    <x v="323"/>
    <x v="270"/>
    <x v="270"/>
    <s v="REVENUS"/>
    <x v="2"/>
    <s v="4001.002"/>
    <s v="Impôt complément s/revenu PP"/>
    <n v="0"/>
    <n v="10506.1"/>
    <n v="4001"/>
  </r>
  <r>
    <x v="2"/>
    <x v="11"/>
    <x v="9"/>
    <x v="324"/>
    <x v="271"/>
    <x v="271"/>
    <s v="CHARGES"/>
    <x v="19"/>
    <s v="3186.002"/>
    <s v="Commission perception IS"/>
    <n v="33759.120000000003"/>
    <n v="0"/>
    <n v="3186"/>
  </r>
  <r>
    <x v="2"/>
    <x v="11"/>
    <x v="9"/>
    <x v="324"/>
    <x v="271"/>
    <x v="271"/>
    <s v="CHARGES"/>
    <x v="1"/>
    <s v="3301.001"/>
    <s v="Défalcations, abandons de solde PP et IS"/>
    <n v="159.6"/>
    <n v="0"/>
    <n v="3301"/>
  </r>
  <r>
    <x v="2"/>
    <x v="11"/>
    <x v="9"/>
    <x v="324"/>
    <x v="271"/>
    <x v="271"/>
    <s v="REVENUS"/>
    <x v="2"/>
    <s v="4001.010"/>
    <s v="Impôt sourciers mixtes"/>
    <n v="0"/>
    <n v="-393852.44"/>
    <n v="4001"/>
  </r>
  <r>
    <x v="2"/>
    <x v="11"/>
    <x v="9"/>
    <x v="324"/>
    <x v="271"/>
    <x v="271"/>
    <s v="REVENUS"/>
    <x v="14"/>
    <s v="4003.000"/>
    <s v="Impôt à la source"/>
    <n v="0"/>
    <n v="305778.86"/>
    <n v="4003"/>
  </r>
  <r>
    <x v="2"/>
    <x v="11"/>
    <x v="9"/>
    <x v="324"/>
    <x v="271"/>
    <x v="271"/>
    <s v="REVENUS"/>
    <x v="6"/>
    <s v="4211.001"/>
    <s v="Intérêts de retard sur factures"/>
    <n v="0"/>
    <n v="1102.92"/>
    <n v="4211"/>
  </r>
  <r>
    <x v="2"/>
    <x v="11"/>
    <x v="9"/>
    <x v="324"/>
    <x v="271"/>
    <x v="271"/>
    <s v="REVENUS"/>
    <x v="6"/>
    <s v="4211.002"/>
    <s v="Intérêts de retard sur acomptes"/>
    <n v="0"/>
    <n v="4379.3900000000003"/>
    <n v="4211"/>
  </r>
  <r>
    <x v="2"/>
    <x v="11"/>
    <x v="9"/>
    <x v="324"/>
    <x v="271"/>
    <x v="271"/>
    <s v="REVENUS"/>
    <x v="7"/>
    <s v="4184.000"/>
    <s v="Frais de poursuite"/>
    <n v="0"/>
    <n v="140.71"/>
    <n v="4184"/>
  </r>
  <r>
    <x v="2"/>
    <x v="11"/>
    <x v="9"/>
    <x v="324"/>
    <x v="271"/>
    <x v="271"/>
    <s v="REVENUS"/>
    <x v="14"/>
    <s v="4003.010"/>
    <s v="IS - Employés et sourciers étrangers"/>
    <n v="0"/>
    <n v="1357.94"/>
    <n v="4003"/>
  </r>
  <r>
    <x v="2"/>
    <x v="11"/>
    <x v="9"/>
    <x v="324"/>
    <x v="271"/>
    <x v="271"/>
    <s v="REVENUS"/>
    <x v="2"/>
    <s v="4001.001"/>
    <s v="Impôt revenu"/>
    <n v="0"/>
    <n v="42389.34"/>
    <n v="4001"/>
  </r>
  <r>
    <x v="2"/>
    <x v="11"/>
    <x v="9"/>
    <x v="324"/>
    <x v="271"/>
    <x v="271"/>
    <s v="REVENUS"/>
    <x v="2"/>
    <s v="4001.002"/>
    <s v="Impôt complément s/revenu PP"/>
    <n v="0"/>
    <n v="2180.89"/>
    <n v="4001"/>
  </r>
  <r>
    <x v="2"/>
    <x v="11"/>
    <x v="9"/>
    <x v="324"/>
    <x v="271"/>
    <x v="271"/>
    <s v="REVENUS"/>
    <x v="2"/>
    <s v="4001.005"/>
    <s v="Amende de soustract. Impôt"/>
    <n v="0"/>
    <n v="184"/>
    <n v="4001"/>
  </r>
  <r>
    <x v="2"/>
    <x v="11"/>
    <x v="9"/>
    <x v="325"/>
    <x v="272"/>
    <x v="272"/>
    <s v="CHARGES"/>
    <x v="19"/>
    <s v="3186.002"/>
    <s v="Commission perception IS"/>
    <n v="65614.94"/>
    <n v="0"/>
    <n v="3186"/>
  </r>
  <r>
    <x v="2"/>
    <x v="11"/>
    <x v="9"/>
    <x v="325"/>
    <x v="272"/>
    <x v="272"/>
    <s v="CHARGES"/>
    <x v="1"/>
    <s v="3301.001"/>
    <s v="Défalcations, abandons de solde PP et IS"/>
    <n v="6729.89"/>
    <n v="0"/>
    <n v="3301"/>
  </r>
  <r>
    <x v="2"/>
    <x v="11"/>
    <x v="9"/>
    <x v="325"/>
    <x v="272"/>
    <x v="272"/>
    <s v="REVENUS"/>
    <x v="2"/>
    <s v="4001.010"/>
    <s v="Impôt sourciers mixtes"/>
    <n v="0"/>
    <n v="-166582.13"/>
    <n v="4001"/>
  </r>
  <r>
    <x v="2"/>
    <x v="11"/>
    <x v="9"/>
    <x v="325"/>
    <x v="272"/>
    <x v="272"/>
    <s v="REVENUS"/>
    <x v="14"/>
    <s v="4003.000"/>
    <s v="Impôt à la source"/>
    <n v="0"/>
    <n v="565704.86"/>
    <n v="4003"/>
  </r>
  <r>
    <x v="2"/>
    <x v="11"/>
    <x v="9"/>
    <x v="325"/>
    <x v="272"/>
    <x v="272"/>
    <s v="REVENUS"/>
    <x v="6"/>
    <s v="4211.002"/>
    <s v="Intérêts de retard sur acomptes"/>
    <n v="0"/>
    <n v="9580.2800000000007"/>
    <n v="4211"/>
  </r>
  <r>
    <x v="2"/>
    <x v="11"/>
    <x v="9"/>
    <x v="325"/>
    <x v="272"/>
    <x v="272"/>
    <s v="REVENUS"/>
    <x v="2"/>
    <s v="4001.001"/>
    <s v="Impôt revenu"/>
    <n v="0"/>
    <n v="192916.93"/>
    <n v="4001"/>
  </r>
  <r>
    <x v="2"/>
    <x v="11"/>
    <x v="9"/>
    <x v="325"/>
    <x v="272"/>
    <x v="272"/>
    <s v="REVENUS"/>
    <x v="6"/>
    <s v="4211.001"/>
    <s v="Intérêts de retard sur factures"/>
    <n v="0"/>
    <n v="2263.06"/>
    <n v="4211"/>
  </r>
  <r>
    <x v="2"/>
    <x v="11"/>
    <x v="9"/>
    <x v="325"/>
    <x v="272"/>
    <x v="272"/>
    <s v="REVENUS"/>
    <x v="7"/>
    <s v="4184.000"/>
    <s v="Frais de poursuite"/>
    <n v="0"/>
    <n v="474.79"/>
    <n v="4184"/>
  </r>
  <r>
    <x v="2"/>
    <x v="11"/>
    <x v="9"/>
    <x v="325"/>
    <x v="272"/>
    <x v="272"/>
    <s v="REVENUS"/>
    <x v="14"/>
    <s v="4003.010"/>
    <s v="IS - Employés et sourciers étrangers"/>
    <n v="0"/>
    <n v="395.31"/>
    <n v="4003"/>
  </r>
  <r>
    <x v="2"/>
    <x v="11"/>
    <x v="9"/>
    <x v="325"/>
    <x v="272"/>
    <x v="272"/>
    <s v="REVENUS"/>
    <x v="8"/>
    <s v="4091.001"/>
    <s v="Impôt récupéré après défalcations"/>
    <n v="0"/>
    <n v="2320.77"/>
    <n v="4091"/>
  </r>
  <r>
    <x v="2"/>
    <x v="11"/>
    <x v="9"/>
    <x v="325"/>
    <x v="272"/>
    <x v="272"/>
    <s v="REVENUS"/>
    <x v="2"/>
    <s v="4001.002"/>
    <s v="Impôt complément s/revenu PP"/>
    <n v="0"/>
    <n v="7952.57"/>
    <n v="4001"/>
  </r>
  <r>
    <x v="2"/>
    <x v="11"/>
    <x v="9"/>
    <x v="325"/>
    <x v="272"/>
    <x v="272"/>
    <s v="REVENUS"/>
    <x v="2"/>
    <s v="4001.005"/>
    <s v="Amende de soustract. Impôt"/>
    <n v="0"/>
    <n v="167"/>
    <n v="4001"/>
  </r>
  <r>
    <x v="2"/>
    <x v="11"/>
    <x v="9"/>
    <x v="325"/>
    <x v="272"/>
    <x v="272"/>
    <s v="REVENUS"/>
    <x v="14"/>
    <s v="4003.020"/>
    <s v="IS - Artistes - Conférenciers - Sportifs"/>
    <n v="0"/>
    <n v="664.39"/>
    <n v="4003"/>
  </r>
  <r>
    <x v="2"/>
    <x v="11"/>
    <x v="9"/>
    <x v="325"/>
    <x v="272"/>
    <x v="272"/>
    <s v="REVENUS"/>
    <x v="14"/>
    <s v="4003.070"/>
    <s v="IS - Loi travail au noir"/>
    <n v="0"/>
    <n v="565.29"/>
    <n v="4003"/>
  </r>
  <r>
    <x v="2"/>
    <x v="11"/>
    <x v="9"/>
    <x v="326"/>
    <x v="273"/>
    <x v="273"/>
    <s v="CHARGES"/>
    <x v="19"/>
    <s v="3186.002"/>
    <s v="Commission perception IS"/>
    <n v="173087.14"/>
    <n v="0"/>
    <n v="3186"/>
  </r>
  <r>
    <x v="2"/>
    <x v="11"/>
    <x v="9"/>
    <x v="326"/>
    <x v="273"/>
    <x v="273"/>
    <s v="CHARGES"/>
    <x v="1"/>
    <s v="3301.001"/>
    <s v="Défalcations, abandons de solde PP et IS"/>
    <n v="21378.080000000002"/>
    <n v="0"/>
    <n v="3301"/>
  </r>
  <r>
    <x v="2"/>
    <x v="11"/>
    <x v="9"/>
    <x v="326"/>
    <x v="273"/>
    <x v="273"/>
    <s v="REVENUS"/>
    <x v="2"/>
    <s v="4001.010"/>
    <s v="Impôt sourciers mixtes"/>
    <n v="0"/>
    <n v="-126318.47"/>
    <n v="4001"/>
  </r>
  <r>
    <x v="2"/>
    <x v="11"/>
    <x v="9"/>
    <x v="326"/>
    <x v="273"/>
    <x v="273"/>
    <s v="REVENUS"/>
    <x v="2"/>
    <s v="4001.001"/>
    <s v="Impôt revenu"/>
    <n v="0"/>
    <n v="536561.42000000004"/>
    <n v="4001"/>
  </r>
  <r>
    <x v="2"/>
    <x v="11"/>
    <x v="9"/>
    <x v="326"/>
    <x v="273"/>
    <x v="273"/>
    <s v="REVENUS"/>
    <x v="14"/>
    <s v="4003.000"/>
    <s v="Impôt à la source"/>
    <n v="0"/>
    <n v="2148025.0099999998"/>
    <n v="4003"/>
  </r>
  <r>
    <x v="2"/>
    <x v="11"/>
    <x v="9"/>
    <x v="326"/>
    <x v="273"/>
    <x v="273"/>
    <s v="REVENUS"/>
    <x v="14"/>
    <s v="4003.030"/>
    <s v="IS - Prestations en capital / Prévoyance"/>
    <n v="0"/>
    <n v="1197608.3400000001"/>
    <n v="4003"/>
  </r>
  <r>
    <x v="2"/>
    <x v="11"/>
    <x v="9"/>
    <x v="326"/>
    <x v="273"/>
    <x v="273"/>
    <s v="REVENUS"/>
    <x v="6"/>
    <s v="4211.001"/>
    <s v="Intérêts de retard sur factures"/>
    <n v="0"/>
    <n v="3127.5"/>
    <n v="4211"/>
  </r>
  <r>
    <x v="2"/>
    <x v="11"/>
    <x v="9"/>
    <x v="326"/>
    <x v="273"/>
    <x v="273"/>
    <s v="REVENUS"/>
    <x v="6"/>
    <s v="4211.002"/>
    <s v="Intérêts de retard sur acomptes"/>
    <n v="0"/>
    <n v="19319.05"/>
    <n v="4211"/>
  </r>
  <r>
    <x v="2"/>
    <x v="11"/>
    <x v="9"/>
    <x v="326"/>
    <x v="273"/>
    <x v="273"/>
    <s v="REVENUS"/>
    <x v="14"/>
    <s v="4003.020"/>
    <s v="IS - Artistes - Conférenciers - Sportifs"/>
    <n v="0"/>
    <n v="10480.74"/>
    <n v="4003"/>
  </r>
  <r>
    <x v="2"/>
    <x v="11"/>
    <x v="9"/>
    <x v="326"/>
    <x v="273"/>
    <x v="273"/>
    <s v="REVENUS"/>
    <x v="7"/>
    <s v="4184.000"/>
    <s v="Frais de poursuite"/>
    <n v="0"/>
    <n v="1529.59"/>
    <n v="4184"/>
  </r>
  <r>
    <x v="2"/>
    <x v="11"/>
    <x v="9"/>
    <x v="326"/>
    <x v="273"/>
    <x v="273"/>
    <s v="REVENUS"/>
    <x v="14"/>
    <s v="4003.080"/>
    <s v="IS - Participations Hors Suisse"/>
    <n v="0"/>
    <n v="535004.69999999995"/>
    <n v="4003"/>
  </r>
  <r>
    <x v="2"/>
    <x v="11"/>
    <x v="9"/>
    <x v="326"/>
    <x v="273"/>
    <x v="273"/>
    <s v="REVENUS"/>
    <x v="2"/>
    <s v="4001.005"/>
    <s v="Amende de soustract. Impôt"/>
    <n v="0"/>
    <n v="4066.66"/>
    <n v="4001"/>
  </r>
  <r>
    <x v="2"/>
    <x v="11"/>
    <x v="9"/>
    <x v="326"/>
    <x v="273"/>
    <x v="273"/>
    <s v="REVENUS"/>
    <x v="14"/>
    <s v="4003.060"/>
    <s v="IS - Administrateurs"/>
    <n v="0"/>
    <n v="66414.23"/>
    <n v="4003"/>
  </r>
  <r>
    <x v="2"/>
    <x v="11"/>
    <x v="9"/>
    <x v="326"/>
    <x v="273"/>
    <x v="273"/>
    <s v="REVENUS"/>
    <x v="8"/>
    <s v="4091.001"/>
    <s v="Impôt récupéré après défalcations"/>
    <n v="0"/>
    <n v="5246.33"/>
    <n v="4091"/>
  </r>
  <r>
    <x v="2"/>
    <x v="11"/>
    <x v="9"/>
    <x v="326"/>
    <x v="273"/>
    <x v="273"/>
    <s v="REVENUS"/>
    <x v="14"/>
    <s v="4003.070"/>
    <s v="IS - Loi travail au noir"/>
    <n v="0"/>
    <n v="5015.37"/>
    <n v="4003"/>
  </r>
  <r>
    <x v="2"/>
    <x v="11"/>
    <x v="9"/>
    <x v="326"/>
    <x v="273"/>
    <x v="273"/>
    <s v="REVENUS"/>
    <x v="2"/>
    <s v="4001.002"/>
    <s v="Impôt complément s/revenu PP"/>
    <n v="0"/>
    <n v="80572.98"/>
    <n v="4001"/>
  </r>
  <r>
    <x v="2"/>
    <x v="11"/>
    <x v="9"/>
    <x v="327"/>
    <x v="274"/>
    <x v="274"/>
    <s v="CHARGES"/>
    <x v="19"/>
    <s v="3186.002"/>
    <s v="Commission perception IS"/>
    <n v="3948.78"/>
    <n v="0"/>
    <n v="3186"/>
  </r>
  <r>
    <x v="2"/>
    <x v="11"/>
    <x v="9"/>
    <x v="327"/>
    <x v="274"/>
    <x v="274"/>
    <s v="CHARGES"/>
    <x v="1"/>
    <s v="3301.001"/>
    <s v="Défalcations, abandons de solde PP et IS"/>
    <n v="-94.58"/>
    <n v="0"/>
    <n v="3301"/>
  </r>
  <r>
    <x v="2"/>
    <x v="11"/>
    <x v="9"/>
    <x v="327"/>
    <x v="274"/>
    <x v="274"/>
    <s v="REVENUS"/>
    <x v="2"/>
    <s v="4001.001"/>
    <s v="Impôt revenu"/>
    <n v="0"/>
    <n v="33646.83"/>
    <n v="4001"/>
  </r>
  <r>
    <x v="2"/>
    <x v="11"/>
    <x v="9"/>
    <x v="327"/>
    <x v="274"/>
    <x v="274"/>
    <s v="REVENUS"/>
    <x v="14"/>
    <s v="4003.000"/>
    <s v="Impôt à la source"/>
    <n v="0"/>
    <n v="59043.37"/>
    <n v="4003"/>
  </r>
  <r>
    <x v="2"/>
    <x v="11"/>
    <x v="9"/>
    <x v="327"/>
    <x v="274"/>
    <x v="274"/>
    <s v="REVENUS"/>
    <x v="6"/>
    <s v="4211.001"/>
    <s v="Intérêts de retard sur factures"/>
    <n v="0"/>
    <n v="127.47"/>
    <n v="4211"/>
  </r>
  <r>
    <x v="2"/>
    <x v="11"/>
    <x v="9"/>
    <x v="327"/>
    <x v="274"/>
    <x v="274"/>
    <s v="REVENUS"/>
    <x v="6"/>
    <s v="4211.002"/>
    <s v="Intérêts de retard sur acomptes"/>
    <n v="0"/>
    <n v="930.5"/>
    <n v="4211"/>
  </r>
  <r>
    <x v="2"/>
    <x v="11"/>
    <x v="9"/>
    <x v="327"/>
    <x v="274"/>
    <x v="274"/>
    <s v="REVENUS"/>
    <x v="2"/>
    <s v="4001.010"/>
    <s v="Impôt sourciers mixtes"/>
    <n v="0"/>
    <n v="3619.28"/>
    <n v="4001"/>
  </r>
  <r>
    <x v="2"/>
    <x v="11"/>
    <x v="9"/>
    <x v="327"/>
    <x v="274"/>
    <x v="274"/>
    <s v="REVENUS"/>
    <x v="14"/>
    <s v="4003.020"/>
    <s v="IS - Artistes - Conférenciers - Sportifs"/>
    <n v="0"/>
    <n v="1217.99"/>
    <n v="4003"/>
  </r>
  <r>
    <x v="2"/>
    <x v="11"/>
    <x v="9"/>
    <x v="327"/>
    <x v="274"/>
    <x v="274"/>
    <s v="REVENUS"/>
    <x v="7"/>
    <s v="4184.000"/>
    <s v="Frais de poursuite"/>
    <n v="0"/>
    <n v="36.119999999999997"/>
    <n v="4184"/>
  </r>
  <r>
    <x v="2"/>
    <x v="11"/>
    <x v="9"/>
    <x v="327"/>
    <x v="274"/>
    <x v="274"/>
    <s v="REVENUS"/>
    <x v="8"/>
    <s v="4091.001"/>
    <s v="Impôt récupéré après défalcations"/>
    <n v="0"/>
    <n v="-100.31"/>
    <n v="4091"/>
  </r>
  <r>
    <x v="2"/>
    <x v="12"/>
    <x v="5"/>
    <x v="328"/>
    <x v="275"/>
    <x v="275"/>
    <s v="CHARGES"/>
    <x v="19"/>
    <s v="3186.002"/>
    <s v="Commission perception IS"/>
    <n v="637.01"/>
    <n v="0"/>
    <n v="3186"/>
  </r>
  <r>
    <x v="2"/>
    <x v="12"/>
    <x v="5"/>
    <x v="328"/>
    <x v="275"/>
    <x v="275"/>
    <s v="CHARGES"/>
    <x v="1"/>
    <s v="3301.001"/>
    <s v="Défalcations, abandons de solde PP et IS"/>
    <n v="0.44"/>
    <n v="0"/>
    <n v="3301"/>
  </r>
  <r>
    <x v="2"/>
    <x v="12"/>
    <x v="5"/>
    <x v="328"/>
    <x v="275"/>
    <x v="275"/>
    <s v="REVENUS"/>
    <x v="14"/>
    <s v="4003.000"/>
    <s v="Impôt à la source"/>
    <n v="0"/>
    <n v="2866.92"/>
    <n v="4003"/>
  </r>
  <r>
    <x v="2"/>
    <x v="12"/>
    <x v="5"/>
    <x v="328"/>
    <x v="275"/>
    <x v="275"/>
    <s v="REVENUS"/>
    <x v="6"/>
    <s v="4211.001"/>
    <s v="Intérêts de retard sur factures"/>
    <n v="0"/>
    <n v="28.8"/>
    <n v="4211"/>
  </r>
  <r>
    <x v="2"/>
    <x v="12"/>
    <x v="5"/>
    <x v="328"/>
    <x v="275"/>
    <x v="275"/>
    <s v="REVENUS"/>
    <x v="6"/>
    <s v="4211.002"/>
    <s v="Intérêts de retard sur acomptes"/>
    <n v="0"/>
    <n v="19.27"/>
    <n v="4211"/>
  </r>
  <r>
    <x v="2"/>
    <x v="12"/>
    <x v="5"/>
    <x v="328"/>
    <x v="275"/>
    <x v="275"/>
    <s v="REVENUS"/>
    <x v="2"/>
    <s v="4001.010"/>
    <s v="Impôt sourciers mixtes"/>
    <n v="0"/>
    <n v="354.75"/>
    <n v="4001"/>
  </r>
  <r>
    <x v="2"/>
    <x v="12"/>
    <x v="5"/>
    <x v="328"/>
    <x v="275"/>
    <x v="275"/>
    <s v="REVENUS"/>
    <x v="7"/>
    <s v="4184.000"/>
    <s v="Frais de poursuite"/>
    <n v="0"/>
    <n v="0"/>
    <n v="4184"/>
  </r>
  <r>
    <x v="2"/>
    <x v="12"/>
    <x v="5"/>
    <x v="329"/>
    <x v="276"/>
    <x v="276"/>
    <s v="CHARGES"/>
    <x v="19"/>
    <s v="3186.002"/>
    <s v="Commission perception IS"/>
    <n v="110.52"/>
    <n v="0"/>
    <n v="3186"/>
  </r>
  <r>
    <x v="2"/>
    <x v="12"/>
    <x v="5"/>
    <x v="329"/>
    <x v="276"/>
    <x v="276"/>
    <s v="CHARGES"/>
    <x v="1"/>
    <s v="3301.001"/>
    <s v="Défalcations, abandons de solde PP et IS"/>
    <n v="0.86"/>
    <n v="0"/>
    <n v="3301"/>
  </r>
  <r>
    <x v="2"/>
    <x v="12"/>
    <x v="5"/>
    <x v="329"/>
    <x v="276"/>
    <x v="276"/>
    <s v="REVENUS"/>
    <x v="14"/>
    <s v="4003.000"/>
    <s v="Impôt à la source"/>
    <n v="0"/>
    <n v="4873.83"/>
    <n v="4003"/>
  </r>
  <r>
    <x v="2"/>
    <x v="12"/>
    <x v="5"/>
    <x v="329"/>
    <x v="276"/>
    <x v="276"/>
    <s v="REVENUS"/>
    <x v="6"/>
    <s v="4211.002"/>
    <s v="Intérêts de retard sur acomptes"/>
    <n v="0"/>
    <n v="5.88"/>
    <n v="4211"/>
  </r>
  <r>
    <x v="2"/>
    <x v="12"/>
    <x v="5"/>
    <x v="329"/>
    <x v="276"/>
    <x v="276"/>
    <s v="REVENUS"/>
    <x v="6"/>
    <s v="4211.001"/>
    <s v="Intérêts de retard sur factures"/>
    <n v="0"/>
    <n v="0.91"/>
    <n v="4211"/>
  </r>
  <r>
    <x v="2"/>
    <x v="12"/>
    <x v="5"/>
    <x v="330"/>
    <x v="277"/>
    <x v="277"/>
    <s v="CHARGES"/>
    <x v="19"/>
    <s v="3186.002"/>
    <s v="Commission perception IS"/>
    <n v="825.42"/>
    <n v="0"/>
    <n v="3186"/>
  </r>
  <r>
    <x v="2"/>
    <x v="12"/>
    <x v="5"/>
    <x v="330"/>
    <x v="277"/>
    <x v="277"/>
    <s v="CHARGES"/>
    <x v="1"/>
    <s v="3301.001"/>
    <s v="Défalcations, abandons de solde PP et IS"/>
    <n v="0.03"/>
    <n v="0"/>
    <n v="3301"/>
  </r>
  <r>
    <x v="2"/>
    <x v="12"/>
    <x v="5"/>
    <x v="330"/>
    <x v="277"/>
    <x v="277"/>
    <s v="REVENUS"/>
    <x v="2"/>
    <s v="4001.001"/>
    <s v="Impôt revenu"/>
    <n v="0"/>
    <n v="1631.9"/>
    <n v="4001"/>
  </r>
  <r>
    <x v="2"/>
    <x v="12"/>
    <x v="5"/>
    <x v="330"/>
    <x v="277"/>
    <x v="277"/>
    <s v="REVENUS"/>
    <x v="14"/>
    <s v="4003.000"/>
    <s v="Impôt à la source"/>
    <n v="0"/>
    <n v="17456.939999999999"/>
    <n v="4003"/>
  </r>
  <r>
    <x v="2"/>
    <x v="12"/>
    <x v="5"/>
    <x v="330"/>
    <x v="277"/>
    <x v="277"/>
    <s v="REVENUS"/>
    <x v="6"/>
    <s v="4211.001"/>
    <s v="Intérêts de retard sur factures"/>
    <n v="0"/>
    <n v="22.7"/>
    <n v="4211"/>
  </r>
  <r>
    <x v="2"/>
    <x v="12"/>
    <x v="5"/>
    <x v="330"/>
    <x v="277"/>
    <x v="277"/>
    <s v="REVENUS"/>
    <x v="6"/>
    <s v="4211.002"/>
    <s v="Intérêts de retard sur acomptes"/>
    <n v="0"/>
    <n v="-13.19"/>
    <n v="4211"/>
  </r>
  <r>
    <x v="2"/>
    <x v="12"/>
    <x v="5"/>
    <x v="330"/>
    <x v="277"/>
    <x v="277"/>
    <s v="REVENUS"/>
    <x v="2"/>
    <s v="4001.010"/>
    <s v="Impôt sourciers mixtes"/>
    <n v="0"/>
    <n v="89.14"/>
    <n v="4001"/>
  </r>
  <r>
    <x v="2"/>
    <x v="12"/>
    <x v="5"/>
    <x v="330"/>
    <x v="277"/>
    <x v="277"/>
    <s v="REVENUS"/>
    <x v="7"/>
    <s v="4184.000"/>
    <s v="Frais de poursuite"/>
    <n v="0"/>
    <n v="0.68"/>
    <n v="4184"/>
  </r>
  <r>
    <x v="2"/>
    <x v="12"/>
    <x v="5"/>
    <x v="331"/>
    <x v="278"/>
    <x v="278"/>
    <s v="CHARGES"/>
    <x v="19"/>
    <s v="3186.002"/>
    <s v="Commission perception IS"/>
    <n v="1130.01"/>
    <n v="0"/>
    <n v="3186"/>
  </r>
  <r>
    <x v="2"/>
    <x v="12"/>
    <x v="5"/>
    <x v="331"/>
    <x v="278"/>
    <x v="278"/>
    <s v="CHARGES"/>
    <x v="1"/>
    <s v="3301.001"/>
    <s v="Défalcations, abandons de solde PP et IS"/>
    <n v="1.05"/>
    <n v="0"/>
    <n v="3301"/>
  </r>
  <r>
    <x v="2"/>
    <x v="12"/>
    <x v="5"/>
    <x v="331"/>
    <x v="278"/>
    <x v="278"/>
    <s v="REVENUS"/>
    <x v="14"/>
    <s v="4003.000"/>
    <s v="Impôt à la source"/>
    <n v="0"/>
    <n v="31182.99"/>
    <n v="4003"/>
  </r>
  <r>
    <x v="2"/>
    <x v="12"/>
    <x v="5"/>
    <x v="331"/>
    <x v="278"/>
    <x v="278"/>
    <s v="REVENUS"/>
    <x v="2"/>
    <s v="4001.010"/>
    <s v="Impôt sourciers mixtes"/>
    <n v="0"/>
    <n v="3466.96"/>
    <n v="4001"/>
  </r>
  <r>
    <x v="2"/>
    <x v="12"/>
    <x v="5"/>
    <x v="331"/>
    <x v="278"/>
    <x v="278"/>
    <s v="REVENUS"/>
    <x v="6"/>
    <s v="4211.001"/>
    <s v="Intérêts de retard sur factures"/>
    <n v="0"/>
    <n v="1.93"/>
    <n v="4211"/>
  </r>
  <r>
    <x v="2"/>
    <x v="12"/>
    <x v="5"/>
    <x v="331"/>
    <x v="278"/>
    <x v="278"/>
    <s v="REVENUS"/>
    <x v="2"/>
    <s v="4001.005"/>
    <s v="Amende de soustract. Impôt"/>
    <n v="0"/>
    <n v="800"/>
    <n v="4001"/>
  </r>
  <r>
    <x v="2"/>
    <x v="12"/>
    <x v="5"/>
    <x v="331"/>
    <x v="278"/>
    <x v="278"/>
    <s v="REVENUS"/>
    <x v="6"/>
    <s v="4211.002"/>
    <s v="Intérêts de retard sur acomptes"/>
    <n v="0"/>
    <n v="30.73"/>
    <n v="4211"/>
  </r>
  <r>
    <x v="2"/>
    <x v="12"/>
    <x v="5"/>
    <x v="331"/>
    <x v="278"/>
    <x v="278"/>
    <s v="REVENUS"/>
    <x v="2"/>
    <s v="4001.001"/>
    <s v="Impôt revenu"/>
    <n v="0"/>
    <n v="4383.08"/>
    <n v="4001"/>
  </r>
  <r>
    <x v="2"/>
    <x v="12"/>
    <x v="5"/>
    <x v="333"/>
    <x v="279"/>
    <x v="279"/>
    <s v="CHARGES"/>
    <x v="19"/>
    <s v="3186.002"/>
    <s v="Commission perception IS"/>
    <n v="283.58"/>
    <n v="0"/>
    <n v="3186"/>
  </r>
  <r>
    <x v="2"/>
    <x v="12"/>
    <x v="5"/>
    <x v="333"/>
    <x v="279"/>
    <x v="279"/>
    <s v="CHARGES"/>
    <x v="1"/>
    <s v="3301.001"/>
    <s v="Défalcations, abandons de solde PP et IS"/>
    <n v="0.16"/>
    <n v="0"/>
    <n v="3301"/>
  </r>
  <r>
    <x v="2"/>
    <x v="12"/>
    <x v="5"/>
    <x v="333"/>
    <x v="279"/>
    <x v="279"/>
    <s v="REVENUS"/>
    <x v="14"/>
    <s v="4003.000"/>
    <s v="Impôt à la source"/>
    <n v="0"/>
    <n v="-1252.1099999999999"/>
    <n v="4003"/>
  </r>
  <r>
    <x v="2"/>
    <x v="12"/>
    <x v="5"/>
    <x v="333"/>
    <x v="279"/>
    <x v="279"/>
    <s v="REVENUS"/>
    <x v="6"/>
    <s v="4211.001"/>
    <s v="Intérêts de retard sur factures"/>
    <n v="0"/>
    <n v="0.2"/>
    <n v="4211"/>
  </r>
  <r>
    <x v="2"/>
    <x v="12"/>
    <x v="5"/>
    <x v="333"/>
    <x v="279"/>
    <x v="279"/>
    <s v="REVENUS"/>
    <x v="6"/>
    <s v="4211.002"/>
    <s v="Intérêts de retard sur acomptes"/>
    <n v="0"/>
    <n v="25.31"/>
    <n v="4211"/>
  </r>
  <r>
    <x v="2"/>
    <x v="12"/>
    <x v="5"/>
    <x v="333"/>
    <x v="279"/>
    <x v="279"/>
    <s v="REVENUS"/>
    <x v="2"/>
    <s v="4001.010"/>
    <s v="Impôt sourciers mixtes"/>
    <n v="0"/>
    <n v="9324.5300000000007"/>
    <n v="4001"/>
  </r>
  <r>
    <x v="2"/>
    <x v="12"/>
    <x v="5"/>
    <x v="333"/>
    <x v="279"/>
    <x v="279"/>
    <s v="REVENUS"/>
    <x v="14"/>
    <s v="4003.070"/>
    <s v="IS - Loi travail au noir"/>
    <n v="0"/>
    <n v="1.34"/>
    <n v="4003"/>
  </r>
  <r>
    <x v="2"/>
    <x v="12"/>
    <x v="5"/>
    <x v="334"/>
    <x v="280"/>
    <x v="280"/>
    <s v="CHARGES"/>
    <x v="19"/>
    <s v="3186.002"/>
    <s v="Commission perception IS"/>
    <n v="942.34"/>
    <n v="0"/>
    <n v="3186"/>
  </r>
  <r>
    <x v="2"/>
    <x v="12"/>
    <x v="5"/>
    <x v="334"/>
    <x v="280"/>
    <x v="280"/>
    <s v="REVENUS"/>
    <x v="2"/>
    <s v="4001.010"/>
    <s v="Impôt sourciers mixtes"/>
    <n v="0"/>
    <n v="2431.08"/>
    <n v="4001"/>
  </r>
  <r>
    <x v="2"/>
    <x v="12"/>
    <x v="5"/>
    <x v="334"/>
    <x v="280"/>
    <x v="280"/>
    <s v="REVENUS"/>
    <x v="14"/>
    <s v="4003.000"/>
    <s v="Impôt à la source"/>
    <n v="0"/>
    <n v="12982.5"/>
    <n v="4003"/>
  </r>
  <r>
    <x v="2"/>
    <x v="12"/>
    <x v="5"/>
    <x v="334"/>
    <x v="280"/>
    <x v="280"/>
    <s v="REVENUS"/>
    <x v="6"/>
    <s v="4211.001"/>
    <s v="Intérêts de retard sur factures"/>
    <n v="0"/>
    <n v="0.03"/>
    <n v="4211"/>
  </r>
  <r>
    <x v="2"/>
    <x v="12"/>
    <x v="5"/>
    <x v="334"/>
    <x v="280"/>
    <x v="280"/>
    <s v="REVENUS"/>
    <x v="2"/>
    <s v="4001.001"/>
    <s v="Impôt revenu"/>
    <n v="0"/>
    <n v="4170.3"/>
    <n v="4001"/>
  </r>
  <r>
    <x v="2"/>
    <x v="12"/>
    <x v="5"/>
    <x v="335"/>
    <x v="281"/>
    <x v="281"/>
    <s v="CHARGES"/>
    <x v="19"/>
    <s v="3186.002"/>
    <s v="Commission perception IS"/>
    <n v="1816.02"/>
    <n v="0"/>
    <n v="3186"/>
  </r>
  <r>
    <x v="2"/>
    <x v="12"/>
    <x v="5"/>
    <x v="335"/>
    <x v="281"/>
    <x v="281"/>
    <s v="CHARGES"/>
    <x v="1"/>
    <s v="3301.001"/>
    <s v="Défalcations, abandons de solde PP et IS"/>
    <n v="1.65"/>
    <n v="0"/>
    <n v="3301"/>
  </r>
  <r>
    <x v="2"/>
    <x v="12"/>
    <x v="5"/>
    <x v="335"/>
    <x v="281"/>
    <x v="281"/>
    <s v="REVENUS"/>
    <x v="14"/>
    <s v="4003.000"/>
    <s v="Impôt à la source"/>
    <n v="0"/>
    <n v="25616.45"/>
    <n v="4003"/>
  </r>
  <r>
    <x v="2"/>
    <x v="12"/>
    <x v="5"/>
    <x v="335"/>
    <x v="281"/>
    <x v="281"/>
    <s v="REVENUS"/>
    <x v="6"/>
    <s v="4211.001"/>
    <s v="Intérêts de retard sur factures"/>
    <n v="0"/>
    <n v="4.8099999999999996"/>
    <n v="4211"/>
  </r>
  <r>
    <x v="2"/>
    <x v="12"/>
    <x v="5"/>
    <x v="335"/>
    <x v="281"/>
    <x v="281"/>
    <s v="REVENUS"/>
    <x v="6"/>
    <s v="4211.002"/>
    <s v="Intérêts de retard sur acomptes"/>
    <n v="0"/>
    <n v="18.68"/>
    <n v="4211"/>
  </r>
  <r>
    <x v="2"/>
    <x v="12"/>
    <x v="5"/>
    <x v="335"/>
    <x v="281"/>
    <x v="281"/>
    <s v="REVENUS"/>
    <x v="2"/>
    <s v="4001.010"/>
    <s v="Impôt sourciers mixtes"/>
    <n v="0"/>
    <n v="7418"/>
    <n v="4001"/>
  </r>
  <r>
    <x v="2"/>
    <x v="12"/>
    <x v="5"/>
    <x v="336"/>
    <x v="282"/>
    <x v="282"/>
    <s v="CHARGES"/>
    <x v="19"/>
    <s v="3186.002"/>
    <s v="Commission perception IS"/>
    <n v="291.75"/>
    <n v="0"/>
    <n v="3186"/>
  </r>
  <r>
    <x v="2"/>
    <x v="12"/>
    <x v="5"/>
    <x v="336"/>
    <x v="282"/>
    <x v="282"/>
    <s v="CHARGES"/>
    <x v="1"/>
    <s v="3301.001"/>
    <s v="Défalcations, abandons de solde PP et IS"/>
    <n v="181.65"/>
    <n v="0"/>
    <n v="3301"/>
  </r>
  <r>
    <x v="2"/>
    <x v="12"/>
    <x v="5"/>
    <x v="336"/>
    <x v="282"/>
    <x v="282"/>
    <s v="REVENUS"/>
    <x v="14"/>
    <s v="4003.000"/>
    <s v="Impôt à la source"/>
    <n v="0"/>
    <n v="7060.54"/>
    <n v="4003"/>
  </r>
  <r>
    <x v="2"/>
    <x v="12"/>
    <x v="5"/>
    <x v="336"/>
    <x v="282"/>
    <x v="282"/>
    <s v="REVENUS"/>
    <x v="6"/>
    <s v="4211.001"/>
    <s v="Intérêts de retard sur factures"/>
    <n v="0"/>
    <n v="1.25"/>
    <n v="4211"/>
  </r>
  <r>
    <x v="2"/>
    <x v="12"/>
    <x v="5"/>
    <x v="336"/>
    <x v="282"/>
    <x v="282"/>
    <s v="REVENUS"/>
    <x v="2"/>
    <s v="4001.010"/>
    <s v="Impôt sourciers mixtes"/>
    <n v="0"/>
    <n v="4503.92"/>
    <n v="4001"/>
  </r>
  <r>
    <x v="2"/>
    <x v="12"/>
    <x v="5"/>
    <x v="336"/>
    <x v="282"/>
    <x v="282"/>
    <s v="REVENUS"/>
    <x v="6"/>
    <s v="4211.002"/>
    <s v="Intérêts de retard sur acomptes"/>
    <n v="0"/>
    <n v="4.92"/>
    <n v="4211"/>
  </r>
  <r>
    <x v="2"/>
    <x v="12"/>
    <x v="5"/>
    <x v="336"/>
    <x v="282"/>
    <x v="282"/>
    <s v="REVENUS"/>
    <x v="14"/>
    <s v="4003.010"/>
    <s v="IS - Employés et sourciers étrangers"/>
    <n v="0"/>
    <n v="674.71"/>
    <n v="4003"/>
  </r>
  <r>
    <x v="2"/>
    <x v="12"/>
    <x v="5"/>
    <x v="336"/>
    <x v="282"/>
    <x v="282"/>
    <s v="REVENUS"/>
    <x v="7"/>
    <s v="4184.000"/>
    <s v="Frais de poursuite"/>
    <n v="0"/>
    <n v="4.01"/>
    <n v="4184"/>
  </r>
  <r>
    <x v="2"/>
    <x v="12"/>
    <x v="5"/>
    <x v="336"/>
    <x v="282"/>
    <x v="282"/>
    <s v="REVENUS"/>
    <x v="14"/>
    <s v="4003.070"/>
    <s v="IS - Loi travail au noir"/>
    <n v="0"/>
    <n v="22.07"/>
    <n v="4003"/>
  </r>
  <r>
    <x v="2"/>
    <x v="12"/>
    <x v="5"/>
    <x v="337"/>
    <x v="283"/>
    <x v="283"/>
    <s v="CHARGES"/>
    <x v="19"/>
    <s v="3186.002"/>
    <s v="Commission perception IS"/>
    <n v="9"/>
    <n v="0"/>
    <n v="3186"/>
  </r>
  <r>
    <x v="2"/>
    <x v="12"/>
    <x v="5"/>
    <x v="337"/>
    <x v="283"/>
    <x v="283"/>
    <s v="CHARGES"/>
    <x v="1"/>
    <s v="3301.001"/>
    <s v="Défalcations, abandons de solde PP et IS"/>
    <n v="0.09"/>
    <n v="0"/>
    <n v="3301"/>
  </r>
  <r>
    <x v="2"/>
    <x v="12"/>
    <x v="5"/>
    <x v="337"/>
    <x v="283"/>
    <x v="283"/>
    <s v="REVENUS"/>
    <x v="14"/>
    <s v="4003.000"/>
    <s v="Impôt à la source"/>
    <n v="0"/>
    <n v="954.78"/>
    <n v="4003"/>
  </r>
  <r>
    <x v="2"/>
    <x v="12"/>
    <x v="5"/>
    <x v="337"/>
    <x v="283"/>
    <x v="283"/>
    <s v="REVENUS"/>
    <x v="6"/>
    <s v="4211.002"/>
    <s v="Intérêts de retard sur acomptes"/>
    <n v="0"/>
    <n v="51.62"/>
    <n v="4211"/>
  </r>
  <r>
    <x v="2"/>
    <x v="12"/>
    <x v="5"/>
    <x v="337"/>
    <x v="283"/>
    <x v="283"/>
    <s v="REVENUS"/>
    <x v="2"/>
    <s v="4001.010"/>
    <s v="Impôt sourciers mixtes"/>
    <n v="0"/>
    <n v="-1534.71"/>
    <n v="4001"/>
  </r>
  <r>
    <x v="2"/>
    <x v="12"/>
    <x v="5"/>
    <x v="337"/>
    <x v="283"/>
    <x v="283"/>
    <s v="REVENUS"/>
    <x v="6"/>
    <s v="4211.001"/>
    <s v="Intérêts de retard sur factures"/>
    <n v="0"/>
    <n v="4.51"/>
    <n v="4211"/>
  </r>
  <r>
    <x v="2"/>
    <x v="12"/>
    <x v="5"/>
    <x v="337"/>
    <x v="283"/>
    <x v="283"/>
    <s v="REVENUS"/>
    <x v="14"/>
    <s v="4003.010"/>
    <s v="IS - Employés et sourciers étrangers"/>
    <n v="0"/>
    <n v="182.84"/>
    <n v="4003"/>
  </r>
  <r>
    <x v="2"/>
    <x v="12"/>
    <x v="5"/>
    <x v="338"/>
    <x v="284"/>
    <x v="284"/>
    <s v="CHARGES"/>
    <x v="19"/>
    <s v="3186.002"/>
    <s v="Commission perception IS"/>
    <n v="282.5"/>
    <n v="0"/>
    <n v="3186"/>
  </r>
  <r>
    <x v="2"/>
    <x v="12"/>
    <x v="5"/>
    <x v="338"/>
    <x v="284"/>
    <x v="284"/>
    <s v="CHARGES"/>
    <x v="1"/>
    <s v="3301.001"/>
    <s v="Défalcations, abandons de solde PP et IS"/>
    <n v="0.27"/>
    <n v="0"/>
    <n v="3301"/>
  </r>
  <r>
    <x v="2"/>
    <x v="12"/>
    <x v="5"/>
    <x v="338"/>
    <x v="284"/>
    <x v="284"/>
    <s v="REVENUS"/>
    <x v="14"/>
    <s v="4003.000"/>
    <s v="Impôt à la source"/>
    <n v="0"/>
    <n v="9417.1"/>
    <n v="4003"/>
  </r>
  <r>
    <x v="2"/>
    <x v="12"/>
    <x v="5"/>
    <x v="339"/>
    <x v="285"/>
    <x v="285"/>
    <s v="CHARGES"/>
    <x v="19"/>
    <s v="3186.002"/>
    <s v="Commission perception IS"/>
    <n v="472.18"/>
    <n v="0"/>
    <n v="3186"/>
  </r>
  <r>
    <x v="2"/>
    <x v="12"/>
    <x v="5"/>
    <x v="339"/>
    <x v="285"/>
    <x v="285"/>
    <s v="CHARGES"/>
    <x v="1"/>
    <s v="3301.001"/>
    <s v="Défalcations, abandons de solde PP et IS"/>
    <n v="1.93"/>
    <n v="0"/>
    <n v="3301"/>
  </r>
  <r>
    <x v="2"/>
    <x v="12"/>
    <x v="5"/>
    <x v="339"/>
    <x v="285"/>
    <x v="285"/>
    <s v="REVENUS"/>
    <x v="14"/>
    <s v="4003.000"/>
    <s v="Impôt à la source"/>
    <n v="0"/>
    <n v="12628.82"/>
    <n v="4003"/>
  </r>
  <r>
    <x v="2"/>
    <x v="12"/>
    <x v="5"/>
    <x v="339"/>
    <x v="285"/>
    <x v="285"/>
    <s v="REVENUS"/>
    <x v="6"/>
    <s v="4211.001"/>
    <s v="Intérêts de retard sur factures"/>
    <n v="0"/>
    <n v="38.520000000000003"/>
    <n v="4211"/>
  </r>
  <r>
    <x v="2"/>
    <x v="12"/>
    <x v="5"/>
    <x v="339"/>
    <x v="285"/>
    <x v="285"/>
    <s v="REVENUS"/>
    <x v="6"/>
    <s v="4211.002"/>
    <s v="Intérêts de retard sur acomptes"/>
    <n v="0"/>
    <n v="4.6900000000000004"/>
    <n v="4211"/>
  </r>
  <r>
    <x v="2"/>
    <x v="12"/>
    <x v="5"/>
    <x v="339"/>
    <x v="285"/>
    <x v="285"/>
    <s v="REVENUS"/>
    <x v="2"/>
    <s v="4001.010"/>
    <s v="Impôt sourciers mixtes"/>
    <n v="0"/>
    <n v="8820.41"/>
    <n v="4001"/>
  </r>
  <r>
    <x v="2"/>
    <x v="12"/>
    <x v="5"/>
    <x v="339"/>
    <x v="285"/>
    <x v="285"/>
    <s v="REVENUS"/>
    <x v="14"/>
    <s v="4003.010"/>
    <s v="IS - Employés et sourciers étrangers"/>
    <n v="0"/>
    <n v="227.38"/>
    <n v="4003"/>
  </r>
  <r>
    <x v="2"/>
    <x v="12"/>
    <x v="5"/>
    <x v="339"/>
    <x v="285"/>
    <x v="285"/>
    <s v="REVENUS"/>
    <x v="7"/>
    <s v="4184.000"/>
    <s v="Frais de poursuite"/>
    <n v="0"/>
    <n v="2.19"/>
    <n v="4184"/>
  </r>
  <r>
    <x v="2"/>
    <x v="12"/>
    <x v="5"/>
    <x v="339"/>
    <x v="285"/>
    <x v="285"/>
    <s v="REVENUS"/>
    <x v="2"/>
    <s v="4001.001"/>
    <s v="Impôt revenu"/>
    <n v="0"/>
    <n v="1132.19"/>
    <n v="4001"/>
  </r>
  <r>
    <x v="2"/>
    <x v="12"/>
    <x v="5"/>
    <x v="340"/>
    <x v="286"/>
    <x v="286"/>
    <s v="CHARGES"/>
    <x v="19"/>
    <s v="3186.002"/>
    <s v="Commission perception IS"/>
    <n v="270.97000000000003"/>
    <n v="0"/>
    <n v="3186"/>
  </r>
  <r>
    <x v="2"/>
    <x v="12"/>
    <x v="5"/>
    <x v="340"/>
    <x v="286"/>
    <x v="286"/>
    <s v="CHARGES"/>
    <x v="1"/>
    <s v="3301.001"/>
    <s v="Défalcations, abandons de solde PP et IS"/>
    <n v="0.03"/>
    <n v="0"/>
    <n v="3301"/>
  </r>
  <r>
    <x v="2"/>
    <x v="12"/>
    <x v="5"/>
    <x v="340"/>
    <x v="286"/>
    <x v="286"/>
    <s v="REVENUS"/>
    <x v="14"/>
    <s v="4003.000"/>
    <s v="Impôt à la source"/>
    <n v="0"/>
    <n v="9723.82"/>
    <n v="4003"/>
  </r>
  <r>
    <x v="2"/>
    <x v="12"/>
    <x v="5"/>
    <x v="340"/>
    <x v="286"/>
    <x v="286"/>
    <s v="REVENUS"/>
    <x v="6"/>
    <s v="4211.002"/>
    <s v="Intérêts de retard sur acomptes"/>
    <n v="0"/>
    <n v="0.28999999999999998"/>
    <n v="4211"/>
  </r>
  <r>
    <x v="2"/>
    <x v="12"/>
    <x v="5"/>
    <x v="340"/>
    <x v="286"/>
    <x v="286"/>
    <s v="REVENUS"/>
    <x v="2"/>
    <s v="4001.010"/>
    <s v="Impôt sourciers mixtes"/>
    <n v="0"/>
    <n v="-894.21"/>
    <n v="4001"/>
  </r>
  <r>
    <x v="2"/>
    <x v="12"/>
    <x v="5"/>
    <x v="340"/>
    <x v="286"/>
    <x v="286"/>
    <s v="REVENUS"/>
    <x v="6"/>
    <s v="4211.001"/>
    <s v="Intérêts de retard sur factures"/>
    <n v="0"/>
    <n v="3.25"/>
    <n v="4211"/>
  </r>
  <r>
    <x v="2"/>
    <x v="12"/>
    <x v="5"/>
    <x v="340"/>
    <x v="286"/>
    <x v="286"/>
    <s v="REVENUS"/>
    <x v="7"/>
    <s v="4184.000"/>
    <s v="Frais de poursuite"/>
    <n v="0"/>
    <n v="17.57"/>
    <n v="4184"/>
  </r>
  <r>
    <x v="2"/>
    <x v="12"/>
    <x v="5"/>
    <x v="341"/>
    <x v="213"/>
    <x v="213"/>
    <s v="CHARGES"/>
    <x v="1"/>
    <s v="3301.001"/>
    <s v="Défalcations, abandons de solde PP et IS"/>
    <n v="25.17"/>
    <n v="0"/>
    <n v="3301"/>
  </r>
  <r>
    <x v="2"/>
    <x v="12"/>
    <x v="5"/>
    <x v="341"/>
    <x v="213"/>
    <x v="213"/>
    <s v="CHARGES"/>
    <x v="19"/>
    <s v="3186.002"/>
    <s v="Commission perception IS"/>
    <n v="4.4400000000000004"/>
    <n v="0"/>
    <n v="3186"/>
  </r>
  <r>
    <x v="2"/>
    <x v="12"/>
    <x v="5"/>
    <x v="341"/>
    <x v="213"/>
    <x v="213"/>
    <s v="REVENUS"/>
    <x v="8"/>
    <s v="4091.001"/>
    <s v="Impôt récupéré après défalcations"/>
    <n v="0"/>
    <n v="0"/>
    <n v="4091"/>
  </r>
  <r>
    <x v="2"/>
    <x v="12"/>
    <x v="5"/>
    <x v="341"/>
    <x v="213"/>
    <x v="213"/>
    <s v="REVENUS"/>
    <x v="6"/>
    <s v="4211.001"/>
    <s v="Intérêts de retard sur factures"/>
    <n v="0"/>
    <n v="34.75"/>
    <n v="4211"/>
  </r>
  <r>
    <x v="2"/>
    <x v="12"/>
    <x v="5"/>
    <x v="341"/>
    <x v="213"/>
    <x v="213"/>
    <s v="REVENUS"/>
    <x v="6"/>
    <s v="4211.002"/>
    <s v="Intérêts de retard sur acomptes"/>
    <n v="0"/>
    <n v="13.59"/>
    <n v="4211"/>
  </r>
  <r>
    <x v="2"/>
    <x v="12"/>
    <x v="5"/>
    <x v="343"/>
    <x v="287"/>
    <x v="287"/>
    <s v="CHARGES"/>
    <x v="19"/>
    <s v="3186.002"/>
    <s v="Commission perception IS"/>
    <n v="489.58"/>
    <n v="0"/>
    <n v="3186"/>
  </r>
  <r>
    <x v="2"/>
    <x v="12"/>
    <x v="5"/>
    <x v="343"/>
    <x v="287"/>
    <x v="287"/>
    <s v="CHARGES"/>
    <x v="1"/>
    <s v="3301.001"/>
    <s v="Défalcations, abandons de solde PP et IS"/>
    <n v="0.83"/>
    <n v="0"/>
    <n v="3301"/>
  </r>
  <r>
    <x v="2"/>
    <x v="12"/>
    <x v="5"/>
    <x v="343"/>
    <x v="287"/>
    <x v="287"/>
    <s v="REVENUS"/>
    <x v="2"/>
    <s v="4001.010"/>
    <s v="Impôt sourciers mixtes"/>
    <n v="0"/>
    <n v="-8255.07"/>
    <n v="4001"/>
  </r>
  <r>
    <x v="2"/>
    <x v="12"/>
    <x v="5"/>
    <x v="343"/>
    <x v="287"/>
    <x v="287"/>
    <s v="REVENUS"/>
    <x v="14"/>
    <s v="4003.000"/>
    <s v="Impôt à la source"/>
    <n v="0"/>
    <n v="20594.46"/>
    <n v="4003"/>
  </r>
  <r>
    <x v="2"/>
    <x v="12"/>
    <x v="5"/>
    <x v="343"/>
    <x v="287"/>
    <x v="287"/>
    <s v="REVENUS"/>
    <x v="6"/>
    <s v="4211.001"/>
    <s v="Intérêts de retard sur factures"/>
    <n v="0"/>
    <n v="17.36"/>
    <n v="4211"/>
  </r>
  <r>
    <x v="2"/>
    <x v="12"/>
    <x v="5"/>
    <x v="343"/>
    <x v="287"/>
    <x v="287"/>
    <s v="REVENUS"/>
    <x v="14"/>
    <s v="4003.010"/>
    <s v="IS - Employés et sourciers étrangers"/>
    <n v="0"/>
    <n v="969.05"/>
    <n v="4003"/>
  </r>
  <r>
    <x v="2"/>
    <x v="12"/>
    <x v="5"/>
    <x v="343"/>
    <x v="287"/>
    <x v="287"/>
    <s v="REVENUS"/>
    <x v="6"/>
    <s v="4211.002"/>
    <s v="Intérêts de retard sur acomptes"/>
    <n v="0"/>
    <n v="112.16"/>
    <n v="4211"/>
  </r>
  <r>
    <x v="2"/>
    <x v="12"/>
    <x v="5"/>
    <x v="343"/>
    <x v="287"/>
    <x v="287"/>
    <s v="REVENUS"/>
    <x v="7"/>
    <s v="4184.000"/>
    <s v="Frais de poursuite"/>
    <n v="0"/>
    <n v="53.43"/>
    <n v="4184"/>
  </r>
  <r>
    <x v="2"/>
    <x v="12"/>
    <x v="5"/>
    <x v="343"/>
    <x v="287"/>
    <x v="287"/>
    <s v="REVENUS"/>
    <x v="2"/>
    <s v="4001.005"/>
    <s v="Amende de soustract. Impôt"/>
    <n v="0"/>
    <n v="0"/>
    <n v="4001"/>
  </r>
  <r>
    <x v="2"/>
    <x v="12"/>
    <x v="5"/>
    <x v="344"/>
    <x v="288"/>
    <x v="288"/>
    <s v="CHARGES"/>
    <x v="19"/>
    <s v="3186.002"/>
    <s v="Commission perception IS"/>
    <n v="372.47"/>
    <n v="0"/>
    <n v="3186"/>
  </r>
  <r>
    <x v="2"/>
    <x v="12"/>
    <x v="5"/>
    <x v="344"/>
    <x v="288"/>
    <x v="288"/>
    <s v="CHARGES"/>
    <x v="1"/>
    <s v="3301.001"/>
    <s v="Défalcations, abandons de solde PP et IS"/>
    <n v="-0.76"/>
    <n v="0"/>
    <n v="3301"/>
  </r>
  <r>
    <x v="2"/>
    <x v="12"/>
    <x v="5"/>
    <x v="344"/>
    <x v="288"/>
    <x v="288"/>
    <s v="REVENUS"/>
    <x v="14"/>
    <s v="4003.000"/>
    <s v="Impôt à la source"/>
    <n v="0"/>
    <n v="7159.54"/>
    <n v="4003"/>
  </r>
  <r>
    <x v="2"/>
    <x v="12"/>
    <x v="5"/>
    <x v="344"/>
    <x v="288"/>
    <x v="288"/>
    <s v="REVENUS"/>
    <x v="6"/>
    <s v="4211.001"/>
    <s v="Intérêts de retard sur factures"/>
    <n v="0"/>
    <n v="3.46"/>
    <n v="4211"/>
  </r>
  <r>
    <x v="2"/>
    <x v="12"/>
    <x v="5"/>
    <x v="344"/>
    <x v="288"/>
    <x v="288"/>
    <s v="REVENUS"/>
    <x v="6"/>
    <s v="4211.002"/>
    <s v="Intérêts de retard sur acomptes"/>
    <n v="0"/>
    <n v="117.35"/>
    <n v="4211"/>
  </r>
  <r>
    <x v="2"/>
    <x v="12"/>
    <x v="5"/>
    <x v="344"/>
    <x v="288"/>
    <x v="288"/>
    <s v="REVENUS"/>
    <x v="2"/>
    <s v="4001.010"/>
    <s v="Impôt sourciers mixtes"/>
    <n v="0"/>
    <n v="2686.67"/>
    <n v="4001"/>
  </r>
  <r>
    <x v="2"/>
    <x v="12"/>
    <x v="5"/>
    <x v="344"/>
    <x v="288"/>
    <x v="288"/>
    <s v="REVENUS"/>
    <x v="2"/>
    <s v="4001.001"/>
    <s v="Impôt revenu"/>
    <n v="0"/>
    <n v="7984.72"/>
    <n v="4001"/>
  </r>
  <r>
    <x v="2"/>
    <x v="12"/>
    <x v="5"/>
    <x v="344"/>
    <x v="288"/>
    <x v="288"/>
    <s v="REVENUS"/>
    <x v="14"/>
    <s v="4003.070"/>
    <s v="IS - Loi travail au noir"/>
    <n v="0"/>
    <n v="84.07"/>
    <n v="4003"/>
  </r>
  <r>
    <x v="2"/>
    <x v="12"/>
    <x v="5"/>
    <x v="345"/>
    <x v="289"/>
    <x v="289"/>
    <s v="CHARGES"/>
    <x v="19"/>
    <s v="3186.002"/>
    <s v="Commission perception IS"/>
    <n v="1650.72"/>
    <n v="0"/>
    <n v="3186"/>
  </r>
  <r>
    <x v="2"/>
    <x v="12"/>
    <x v="5"/>
    <x v="345"/>
    <x v="289"/>
    <x v="289"/>
    <s v="CHARGES"/>
    <x v="1"/>
    <s v="3301.001"/>
    <s v="Défalcations, abandons de solde PP et IS"/>
    <n v="2.25"/>
    <n v="0"/>
    <n v="3301"/>
  </r>
  <r>
    <x v="2"/>
    <x v="12"/>
    <x v="5"/>
    <x v="345"/>
    <x v="289"/>
    <x v="289"/>
    <s v="REVENUS"/>
    <x v="2"/>
    <s v="4001.010"/>
    <s v="Impôt sourciers mixtes"/>
    <n v="0"/>
    <n v="1592.71"/>
    <n v="4001"/>
  </r>
  <r>
    <x v="2"/>
    <x v="12"/>
    <x v="5"/>
    <x v="345"/>
    <x v="289"/>
    <x v="289"/>
    <s v="REVENUS"/>
    <x v="14"/>
    <s v="4003.000"/>
    <s v="Impôt à la source"/>
    <n v="0"/>
    <n v="57547.38"/>
    <n v="4003"/>
  </r>
  <r>
    <x v="2"/>
    <x v="12"/>
    <x v="5"/>
    <x v="345"/>
    <x v="289"/>
    <x v="289"/>
    <s v="REVENUS"/>
    <x v="6"/>
    <s v="4211.001"/>
    <s v="Intérêts de retard sur factures"/>
    <n v="0"/>
    <n v="123.01"/>
    <n v="4211"/>
  </r>
  <r>
    <x v="2"/>
    <x v="12"/>
    <x v="5"/>
    <x v="345"/>
    <x v="289"/>
    <x v="289"/>
    <s v="REVENUS"/>
    <x v="6"/>
    <s v="4211.002"/>
    <s v="Intérêts de retard sur acomptes"/>
    <n v="0"/>
    <n v="155.4"/>
    <n v="4211"/>
  </r>
  <r>
    <x v="2"/>
    <x v="12"/>
    <x v="5"/>
    <x v="345"/>
    <x v="289"/>
    <x v="289"/>
    <s v="REVENUS"/>
    <x v="2"/>
    <s v="4001.005"/>
    <s v="Amende de soustract. Impôt"/>
    <n v="0"/>
    <n v="177.3"/>
    <n v="4001"/>
  </r>
  <r>
    <x v="2"/>
    <x v="12"/>
    <x v="5"/>
    <x v="345"/>
    <x v="289"/>
    <x v="289"/>
    <s v="REVENUS"/>
    <x v="7"/>
    <s v="4184.000"/>
    <s v="Frais de poursuite"/>
    <n v="0"/>
    <n v="0.45"/>
    <n v="4184"/>
  </r>
  <r>
    <x v="2"/>
    <x v="12"/>
    <x v="5"/>
    <x v="345"/>
    <x v="289"/>
    <x v="289"/>
    <s v="REVENUS"/>
    <x v="14"/>
    <s v="4003.010"/>
    <s v="IS - Employés et sourciers étrangers"/>
    <n v="0"/>
    <n v="493"/>
    <n v="4003"/>
  </r>
  <r>
    <x v="2"/>
    <x v="4"/>
    <x v="4"/>
    <x v="346"/>
    <x v="290"/>
    <x v="290"/>
    <s v="CHARGES"/>
    <x v="19"/>
    <s v="3186.002"/>
    <s v="Commission perception IS"/>
    <n v="596.87"/>
    <n v="0"/>
    <n v="3186"/>
  </r>
  <r>
    <x v="2"/>
    <x v="4"/>
    <x v="4"/>
    <x v="346"/>
    <x v="290"/>
    <x v="290"/>
    <s v="CHARGES"/>
    <x v="1"/>
    <s v="3301.001"/>
    <s v="Défalcations, abandons de solde PP et IS"/>
    <n v="-0.01"/>
    <n v="0"/>
    <n v="3301"/>
  </r>
  <r>
    <x v="2"/>
    <x v="4"/>
    <x v="4"/>
    <x v="346"/>
    <x v="290"/>
    <x v="290"/>
    <s v="REVENUS"/>
    <x v="14"/>
    <s v="4003.000"/>
    <s v="Impôt à la source"/>
    <n v="0"/>
    <n v="26053.56"/>
    <n v="4003"/>
  </r>
  <r>
    <x v="2"/>
    <x v="4"/>
    <x v="4"/>
    <x v="346"/>
    <x v="290"/>
    <x v="290"/>
    <s v="REVENUS"/>
    <x v="14"/>
    <s v="4003.010"/>
    <s v="IS - Employés et sourciers étrangers"/>
    <n v="0"/>
    <n v="170.77"/>
    <n v="4003"/>
  </r>
  <r>
    <x v="2"/>
    <x v="4"/>
    <x v="4"/>
    <x v="346"/>
    <x v="290"/>
    <x v="290"/>
    <s v="REVENUS"/>
    <x v="6"/>
    <s v="4211.002"/>
    <s v="Intérêts de retard sur acomptes"/>
    <n v="0"/>
    <n v="18.45"/>
    <n v="4211"/>
  </r>
  <r>
    <x v="2"/>
    <x v="4"/>
    <x v="4"/>
    <x v="346"/>
    <x v="290"/>
    <x v="290"/>
    <s v="REVENUS"/>
    <x v="6"/>
    <s v="4211.001"/>
    <s v="Intérêts de retard sur factures"/>
    <n v="0"/>
    <n v="0.24"/>
    <n v="4211"/>
  </r>
  <r>
    <x v="2"/>
    <x v="4"/>
    <x v="4"/>
    <x v="346"/>
    <x v="290"/>
    <x v="290"/>
    <s v="REVENUS"/>
    <x v="2"/>
    <s v="4001.010"/>
    <s v="Impôt sourciers mixtes"/>
    <n v="0"/>
    <n v="43.3"/>
    <n v="4001"/>
  </r>
  <r>
    <x v="2"/>
    <x v="12"/>
    <x v="5"/>
    <x v="347"/>
    <x v="291"/>
    <x v="291"/>
    <s v="CHARGES"/>
    <x v="19"/>
    <s v="3186.002"/>
    <s v="Commission perception IS"/>
    <n v="767.99"/>
    <n v="0"/>
    <n v="3186"/>
  </r>
  <r>
    <x v="2"/>
    <x v="12"/>
    <x v="5"/>
    <x v="347"/>
    <x v="291"/>
    <x v="291"/>
    <s v="CHARGES"/>
    <x v="1"/>
    <s v="3301.001"/>
    <s v="Défalcations, abandons de solde PP et IS"/>
    <n v="-0.13"/>
    <n v="0"/>
    <n v="3301"/>
  </r>
  <r>
    <x v="2"/>
    <x v="12"/>
    <x v="5"/>
    <x v="347"/>
    <x v="291"/>
    <x v="291"/>
    <s v="REVENUS"/>
    <x v="14"/>
    <s v="4003.000"/>
    <s v="Impôt à la source"/>
    <n v="0"/>
    <n v="2476.14"/>
    <n v="4003"/>
  </r>
  <r>
    <x v="2"/>
    <x v="12"/>
    <x v="5"/>
    <x v="347"/>
    <x v="291"/>
    <x v="291"/>
    <s v="REVENUS"/>
    <x v="2"/>
    <s v="4001.010"/>
    <s v="Impôt sourciers mixtes"/>
    <n v="0"/>
    <n v="9971.44"/>
    <n v="4001"/>
  </r>
  <r>
    <x v="2"/>
    <x v="12"/>
    <x v="5"/>
    <x v="347"/>
    <x v="291"/>
    <x v="291"/>
    <s v="REVENUS"/>
    <x v="6"/>
    <s v="4211.001"/>
    <s v="Intérêts de retard sur factures"/>
    <n v="0"/>
    <n v="1.17"/>
    <n v="4211"/>
  </r>
  <r>
    <x v="2"/>
    <x v="12"/>
    <x v="5"/>
    <x v="347"/>
    <x v="291"/>
    <x v="291"/>
    <s v="REVENUS"/>
    <x v="6"/>
    <s v="4211.002"/>
    <s v="Intérêts de retard sur acomptes"/>
    <n v="0"/>
    <n v="1.1499999999999999"/>
    <n v="4211"/>
  </r>
  <r>
    <x v="2"/>
    <x v="12"/>
    <x v="5"/>
    <x v="347"/>
    <x v="291"/>
    <x v="291"/>
    <s v="REVENUS"/>
    <x v="2"/>
    <s v="4001.001"/>
    <s v="Impôt revenu"/>
    <n v="0"/>
    <n v="5598.44"/>
    <n v="4001"/>
  </r>
  <r>
    <x v="2"/>
    <x v="12"/>
    <x v="5"/>
    <x v="347"/>
    <x v="291"/>
    <x v="291"/>
    <s v="REVENUS"/>
    <x v="14"/>
    <s v="4003.020"/>
    <s v="IS - Artistes - Conférenciers - Sportifs"/>
    <n v="0"/>
    <n v="7.58"/>
    <n v="4003"/>
  </r>
  <r>
    <x v="2"/>
    <x v="12"/>
    <x v="5"/>
    <x v="348"/>
    <x v="292"/>
    <x v="292"/>
    <s v="CHARGES"/>
    <x v="19"/>
    <s v="3186.002"/>
    <s v="Commission perception IS"/>
    <n v="242.45"/>
    <n v="0"/>
    <n v="3186"/>
  </r>
  <r>
    <x v="2"/>
    <x v="12"/>
    <x v="5"/>
    <x v="348"/>
    <x v="292"/>
    <x v="292"/>
    <s v="CHARGES"/>
    <x v="1"/>
    <s v="3301.001"/>
    <s v="Défalcations, abandons de solde PP et IS"/>
    <n v="312.89"/>
    <n v="0"/>
    <n v="3301"/>
  </r>
  <r>
    <x v="2"/>
    <x v="12"/>
    <x v="5"/>
    <x v="348"/>
    <x v="292"/>
    <x v="292"/>
    <s v="REVENUS"/>
    <x v="14"/>
    <s v="4003.000"/>
    <s v="Impôt à la source"/>
    <n v="0"/>
    <n v="10449.290000000001"/>
    <n v="4003"/>
  </r>
  <r>
    <x v="2"/>
    <x v="12"/>
    <x v="5"/>
    <x v="348"/>
    <x v="292"/>
    <x v="292"/>
    <s v="REVENUS"/>
    <x v="6"/>
    <s v="4211.001"/>
    <s v="Intérêts de retard sur factures"/>
    <n v="0"/>
    <n v="2.44"/>
    <n v="4211"/>
  </r>
  <r>
    <x v="2"/>
    <x v="12"/>
    <x v="5"/>
    <x v="348"/>
    <x v="292"/>
    <x v="292"/>
    <s v="REVENUS"/>
    <x v="6"/>
    <s v="4211.002"/>
    <s v="Intérêts de retard sur acomptes"/>
    <n v="0"/>
    <n v="14.87"/>
    <n v="4211"/>
  </r>
  <r>
    <x v="2"/>
    <x v="12"/>
    <x v="5"/>
    <x v="348"/>
    <x v="292"/>
    <x v="292"/>
    <s v="REVENUS"/>
    <x v="2"/>
    <s v="4001.010"/>
    <s v="Impôt sourciers mixtes"/>
    <n v="0"/>
    <n v="-3240.61"/>
    <n v="4001"/>
  </r>
  <r>
    <x v="2"/>
    <x v="12"/>
    <x v="5"/>
    <x v="348"/>
    <x v="292"/>
    <x v="292"/>
    <s v="REVENUS"/>
    <x v="7"/>
    <s v="4184.000"/>
    <s v="Frais de poursuite"/>
    <n v="0"/>
    <n v="0.17"/>
    <n v="4184"/>
  </r>
  <r>
    <x v="2"/>
    <x v="12"/>
    <x v="5"/>
    <x v="348"/>
    <x v="292"/>
    <x v="292"/>
    <s v="REVENUS"/>
    <x v="2"/>
    <s v="4001.001"/>
    <s v="Impôt revenu"/>
    <n v="0"/>
    <n v="1854.55"/>
    <n v="4001"/>
  </r>
  <r>
    <x v="2"/>
    <x v="12"/>
    <x v="5"/>
    <x v="349"/>
    <x v="293"/>
    <x v="293"/>
    <s v="CHARGES"/>
    <x v="19"/>
    <s v="3186.002"/>
    <s v="Commission perception IS"/>
    <n v="751.7"/>
    <n v="0"/>
    <n v="3186"/>
  </r>
  <r>
    <x v="2"/>
    <x v="12"/>
    <x v="5"/>
    <x v="349"/>
    <x v="293"/>
    <x v="293"/>
    <s v="CHARGES"/>
    <x v="1"/>
    <s v="3301.001"/>
    <s v="Défalcations, abandons de solde PP et IS"/>
    <n v="6755.49"/>
    <n v="0"/>
    <n v="3301"/>
  </r>
  <r>
    <x v="2"/>
    <x v="12"/>
    <x v="5"/>
    <x v="349"/>
    <x v="293"/>
    <x v="293"/>
    <s v="REVENUS"/>
    <x v="14"/>
    <s v="4003.000"/>
    <s v="Impôt à la source"/>
    <n v="0"/>
    <n v="22070.09"/>
    <n v="4003"/>
  </r>
  <r>
    <x v="2"/>
    <x v="12"/>
    <x v="5"/>
    <x v="349"/>
    <x v="293"/>
    <x v="293"/>
    <s v="REVENUS"/>
    <x v="6"/>
    <s v="4211.001"/>
    <s v="Intérêts de retard sur factures"/>
    <n v="0"/>
    <n v="27.79"/>
    <n v="4211"/>
  </r>
  <r>
    <x v="2"/>
    <x v="12"/>
    <x v="5"/>
    <x v="349"/>
    <x v="293"/>
    <x v="293"/>
    <s v="REVENUS"/>
    <x v="6"/>
    <s v="4211.002"/>
    <s v="Intérêts de retard sur acomptes"/>
    <n v="0"/>
    <n v="29.5"/>
    <n v="4211"/>
  </r>
  <r>
    <x v="2"/>
    <x v="12"/>
    <x v="5"/>
    <x v="349"/>
    <x v="293"/>
    <x v="293"/>
    <s v="REVENUS"/>
    <x v="2"/>
    <s v="4001.010"/>
    <s v="Impôt sourciers mixtes"/>
    <n v="0"/>
    <n v="-10143.870000000001"/>
    <n v="4001"/>
  </r>
  <r>
    <x v="2"/>
    <x v="12"/>
    <x v="5"/>
    <x v="349"/>
    <x v="293"/>
    <x v="293"/>
    <s v="REVENUS"/>
    <x v="2"/>
    <s v="4001.001"/>
    <s v="Impôt revenu"/>
    <n v="0"/>
    <n v="5460.04"/>
    <n v="4001"/>
  </r>
  <r>
    <x v="2"/>
    <x v="12"/>
    <x v="5"/>
    <x v="349"/>
    <x v="293"/>
    <x v="293"/>
    <s v="REVENUS"/>
    <x v="7"/>
    <s v="4184.000"/>
    <s v="Frais de poursuite"/>
    <n v="0"/>
    <n v="13.24"/>
    <n v="4184"/>
  </r>
  <r>
    <x v="2"/>
    <x v="12"/>
    <x v="5"/>
    <x v="349"/>
    <x v="293"/>
    <x v="293"/>
    <s v="REVENUS"/>
    <x v="2"/>
    <s v="4001.002"/>
    <s v="Impôt complément s/revenu PP"/>
    <n v="0"/>
    <n v="2959.57"/>
    <n v="4001"/>
  </r>
  <r>
    <x v="2"/>
    <x v="12"/>
    <x v="5"/>
    <x v="350"/>
    <x v="294"/>
    <x v="294"/>
    <s v="CHARGES"/>
    <x v="19"/>
    <s v="3186.002"/>
    <s v="Commission perception IS"/>
    <n v="429.05"/>
    <n v="0"/>
    <n v="3186"/>
  </r>
  <r>
    <x v="2"/>
    <x v="12"/>
    <x v="5"/>
    <x v="350"/>
    <x v="294"/>
    <x v="294"/>
    <s v="CHARGES"/>
    <x v="1"/>
    <s v="3301.001"/>
    <s v="Défalcations, abandons de solde PP et IS"/>
    <n v="96.2"/>
    <n v="0"/>
    <n v="3301"/>
  </r>
  <r>
    <x v="2"/>
    <x v="12"/>
    <x v="5"/>
    <x v="350"/>
    <x v="294"/>
    <x v="294"/>
    <s v="REVENUS"/>
    <x v="6"/>
    <s v="4211.002"/>
    <s v="Intérêts de retard sur acomptes"/>
    <n v="0"/>
    <n v="1.55"/>
    <n v="4211"/>
  </r>
  <r>
    <x v="2"/>
    <x v="12"/>
    <x v="5"/>
    <x v="350"/>
    <x v="294"/>
    <x v="294"/>
    <s v="REVENUS"/>
    <x v="14"/>
    <s v="4003.000"/>
    <s v="Impôt à la source"/>
    <n v="0"/>
    <n v="25596.57"/>
    <n v="4003"/>
  </r>
  <r>
    <x v="2"/>
    <x v="12"/>
    <x v="5"/>
    <x v="350"/>
    <x v="294"/>
    <x v="294"/>
    <s v="REVENUS"/>
    <x v="6"/>
    <s v="4211.001"/>
    <s v="Intérêts de retard sur factures"/>
    <n v="0"/>
    <n v="0.31"/>
    <n v="4211"/>
  </r>
  <r>
    <x v="2"/>
    <x v="12"/>
    <x v="5"/>
    <x v="350"/>
    <x v="294"/>
    <x v="294"/>
    <s v="REVENUS"/>
    <x v="2"/>
    <s v="4001.001"/>
    <s v="Impôt revenu"/>
    <n v="0"/>
    <n v="5400.12"/>
    <n v="4001"/>
  </r>
  <r>
    <x v="2"/>
    <x v="12"/>
    <x v="5"/>
    <x v="350"/>
    <x v="294"/>
    <x v="294"/>
    <s v="REVENUS"/>
    <x v="7"/>
    <s v="4184.000"/>
    <s v="Frais de poursuite"/>
    <n v="0"/>
    <n v="9.3000000000000007"/>
    <n v="4184"/>
  </r>
  <r>
    <x v="2"/>
    <x v="12"/>
    <x v="5"/>
    <x v="350"/>
    <x v="294"/>
    <x v="294"/>
    <s v="REVENUS"/>
    <x v="2"/>
    <s v="4001.010"/>
    <s v="Impôt sourciers mixtes"/>
    <n v="0"/>
    <n v="-6777.68"/>
    <n v="4001"/>
  </r>
  <r>
    <x v="2"/>
    <x v="12"/>
    <x v="5"/>
    <x v="350"/>
    <x v="294"/>
    <x v="294"/>
    <s v="REVENUS"/>
    <x v="8"/>
    <s v="4091.001"/>
    <s v="Impôt récupéré après défalcations"/>
    <n v="0"/>
    <n v="-1.82"/>
    <n v="4091"/>
  </r>
  <r>
    <x v="2"/>
    <x v="12"/>
    <x v="5"/>
    <x v="351"/>
    <x v="295"/>
    <x v="295"/>
    <s v="CHARGES"/>
    <x v="19"/>
    <s v="3186.002"/>
    <s v="Commission perception IS"/>
    <n v="1799.52"/>
    <n v="0"/>
    <n v="3186"/>
  </r>
  <r>
    <x v="2"/>
    <x v="12"/>
    <x v="5"/>
    <x v="351"/>
    <x v="295"/>
    <x v="295"/>
    <s v="CHARGES"/>
    <x v="1"/>
    <s v="3301.001"/>
    <s v="Défalcations, abandons de solde PP et IS"/>
    <n v="-2.4700000000000002"/>
    <n v="0"/>
    <n v="3301"/>
  </r>
  <r>
    <x v="2"/>
    <x v="12"/>
    <x v="5"/>
    <x v="351"/>
    <x v="295"/>
    <x v="295"/>
    <s v="REVENUS"/>
    <x v="14"/>
    <s v="4003.000"/>
    <s v="Impôt à la source"/>
    <n v="0"/>
    <n v="14288.28"/>
    <n v="4003"/>
  </r>
  <r>
    <x v="2"/>
    <x v="12"/>
    <x v="5"/>
    <x v="351"/>
    <x v="295"/>
    <x v="295"/>
    <s v="REVENUS"/>
    <x v="2"/>
    <s v="4001.010"/>
    <s v="Impôt sourciers mixtes"/>
    <n v="0"/>
    <n v="26001.63"/>
    <n v="4001"/>
  </r>
  <r>
    <x v="2"/>
    <x v="12"/>
    <x v="5"/>
    <x v="351"/>
    <x v="295"/>
    <x v="295"/>
    <s v="REVENUS"/>
    <x v="6"/>
    <s v="4211.001"/>
    <s v="Intérêts de retard sur factures"/>
    <n v="0"/>
    <n v="68.22"/>
    <n v="4211"/>
  </r>
  <r>
    <x v="2"/>
    <x v="12"/>
    <x v="5"/>
    <x v="351"/>
    <x v="295"/>
    <x v="295"/>
    <s v="REVENUS"/>
    <x v="6"/>
    <s v="4211.002"/>
    <s v="Intérêts de retard sur acomptes"/>
    <n v="0"/>
    <n v="57.07"/>
    <n v="4211"/>
  </r>
  <r>
    <x v="2"/>
    <x v="12"/>
    <x v="5"/>
    <x v="351"/>
    <x v="295"/>
    <x v="295"/>
    <s v="REVENUS"/>
    <x v="7"/>
    <s v="4184.000"/>
    <s v="Frais de poursuite"/>
    <n v="0"/>
    <n v="9.5299999999999994"/>
    <n v="4184"/>
  </r>
  <r>
    <x v="2"/>
    <x v="12"/>
    <x v="5"/>
    <x v="351"/>
    <x v="295"/>
    <x v="295"/>
    <s v="REVENUS"/>
    <x v="2"/>
    <s v="4001.001"/>
    <s v="Impôt revenu"/>
    <n v="0"/>
    <n v="6590.29"/>
    <n v="4001"/>
  </r>
  <r>
    <x v="2"/>
    <x v="12"/>
    <x v="5"/>
    <x v="352"/>
    <x v="296"/>
    <x v="296"/>
    <s v="CHARGES"/>
    <x v="19"/>
    <s v="3186.002"/>
    <s v="Commission perception IS"/>
    <n v="254.87"/>
    <n v="0"/>
    <n v="3186"/>
  </r>
  <r>
    <x v="2"/>
    <x v="12"/>
    <x v="5"/>
    <x v="352"/>
    <x v="296"/>
    <x v="296"/>
    <s v="REVENUS"/>
    <x v="14"/>
    <s v="4003.000"/>
    <s v="Impôt à la source"/>
    <n v="0"/>
    <n v="9254.5"/>
    <n v="4003"/>
  </r>
  <r>
    <x v="2"/>
    <x v="12"/>
    <x v="5"/>
    <x v="352"/>
    <x v="296"/>
    <x v="296"/>
    <s v="REVENUS"/>
    <x v="2"/>
    <s v="4001.001"/>
    <s v="Impôt revenu"/>
    <n v="0"/>
    <n v="0"/>
    <n v="4001"/>
  </r>
  <r>
    <x v="2"/>
    <x v="12"/>
    <x v="5"/>
    <x v="352"/>
    <x v="296"/>
    <x v="296"/>
    <s v="REVENUS"/>
    <x v="6"/>
    <s v="4211.001"/>
    <s v="Intérêts de retard sur factures"/>
    <n v="0"/>
    <n v="0.81"/>
    <n v="4211"/>
  </r>
  <r>
    <x v="2"/>
    <x v="12"/>
    <x v="5"/>
    <x v="352"/>
    <x v="296"/>
    <x v="296"/>
    <s v="REVENUS"/>
    <x v="6"/>
    <s v="4211.002"/>
    <s v="Intérêts de retard sur acomptes"/>
    <n v="0"/>
    <n v="-0.63"/>
    <n v="4211"/>
  </r>
  <r>
    <x v="2"/>
    <x v="12"/>
    <x v="5"/>
    <x v="352"/>
    <x v="296"/>
    <x v="296"/>
    <s v="REVENUS"/>
    <x v="2"/>
    <s v="4001.010"/>
    <s v="Impôt sourciers mixtes"/>
    <n v="0"/>
    <n v="0"/>
    <n v="4001"/>
  </r>
  <r>
    <x v="2"/>
    <x v="12"/>
    <x v="5"/>
    <x v="353"/>
    <x v="297"/>
    <x v="297"/>
    <s v="CHARGES"/>
    <x v="19"/>
    <s v="3186.002"/>
    <s v="Commission perception IS"/>
    <n v="561.47"/>
    <n v="0"/>
    <n v="3186"/>
  </r>
  <r>
    <x v="2"/>
    <x v="12"/>
    <x v="5"/>
    <x v="353"/>
    <x v="297"/>
    <x v="297"/>
    <s v="CHARGES"/>
    <x v="1"/>
    <s v="3301.001"/>
    <s v="Défalcations, abandons de solde PP et IS"/>
    <n v="31.57"/>
    <n v="0"/>
    <n v="3301"/>
  </r>
  <r>
    <x v="2"/>
    <x v="12"/>
    <x v="5"/>
    <x v="353"/>
    <x v="297"/>
    <x v="297"/>
    <s v="REVENUS"/>
    <x v="2"/>
    <s v="4001.010"/>
    <s v="Impôt sourciers mixtes"/>
    <n v="0"/>
    <n v="2368.4899999999998"/>
    <n v="4001"/>
  </r>
  <r>
    <x v="2"/>
    <x v="12"/>
    <x v="5"/>
    <x v="353"/>
    <x v="297"/>
    <x v="297"/>
    <s v="REVENUS"/>
    <x v="14"/>
    <s v="4003.000"/>
    <s v="Impôt à la source"/>
    <n v="0"/>
    <n v="19888.89"/>
    <n v="4003"/>
  </r>
  <r>
    <x v="2"/>
    <x v="12"/>
    <x v="5"/>
    <x v="353"/>
    <x v="297"/>
    <x v="297"/>
    <s v="REVENUS"/>
    <x v="6"/>
    <s v="4211.001"/>
    <s v="Intérêts de retard sur factures"/>
    <n v="0"/>
    <n v="85.62"/>
    <n v="4211"/>
  </r>
  <r>
    <x v="2"/>
    <x v="12"/>
    <x v="5"/>
    <x v="353"/>
    <x v="297"/>
    <x v="297"/>
    <s v="REVENUS"/>
    <x v="6"/>
    <s v="4211.002"/>
    <s v="Intérêts de retard sur acomptes"/>
    <n v="0"/>
    <n v="120.57"/>
    <n v="4211"/>
  </r>
  <r>
    <x v="2"/>
    <x v="12"/>
    <x v="5"/>
    <x v="353"/>
    <x v="297"/>
    <x v="297"/>
    <s v="REVENUS"/>
    <x v="2"/>
    <s v="4001.001"/>
    <s v="Impôt revenu"/>
    <n v="0"/>
    <n v="1520.55"/>
    <n v="4001"/>
  </r>
  <r>
    <x v="2"/>
    <x v="12"/>
    <x v="5"/>
    <x v="353"/>
    <x v="297"/>
    <x v="297"/>
    <s v="REVENUS"/>
    <x v="8"/>
    <s v="4091.001"/>
    <s v="Impôt récupéré après défalcations"/>
    <n v="0"/>
    <n v="0"/>
    <n v="4091"/>
  </r>
  <r>
    <x v="2"/>
    <x v="12"/>
    <x v="5"/>
    <x v="353"/>
    <x v="297"/>
    <x v="297"/>
    <s v="REVENUS"/>
    <x v="7"/>
    <s v="4184.000"/>
    <s v="Frais de poursuite"/>
    <n v="0"/>
    <n v="4.3499999999999996"/>
    <n v="4184"/>
  </r>
  <r>
    <x v="2"/>
    <x v="12"/>
    <x v="5"/>
    <x v="353"/>
    <x v="297"/>
    <x v="297"/>
    <s v="REVENUS"/>
    <x v="2"/>
    <s v="4001.002"/>
    <s v="Impôt complément s/revenu PP"/>
    <n v="0"/>
    <n v="1437.08"/>
    <n v="4001"/>
  </r>
  <r>
    <x v="2"/>
    <x v="12"/>
    <x v="5"/>
    <x v="354"/>
    <x v="298"/>
    <x v="298"/>
    <s v="CHARGES"/>
    <x v="19"/>
    <s v="3186.002"/>
    <s v="Commission perception IS"/>
    <n v="68.33"/>
    <n v="0"/>
    <n v="3186"/>
  </r>
  <r>
    <x v="2"/>
    <x v="12"/>
    <x v="5"/>
    <x v="354"/>
    <x v="298"/>
    <x v="298"/>
    <s v="CHARGES"/>
    <x v="1"/>
    <s v="3301.001"/>
    <s v="Défalcations, abandons de solde PP et IS"/>
    <n v="0"/>
    <n v="0"/>
    <n v="3301"/>
  </r>
  <r>
    <x v="2"/>
    <x v="12"/>
    <x v="5"/>
    <x v="354"/>
    <x v="298"/>
    <x v="298"/>
    <s v="REVENUS"/>
    <x v="14"/>
    <s v="4003.000"/>
    <s v="Impôt à la source"/>
    <n v="0"/>
    <n v="907.44"/>
    <n v="4003"/>
  </r>
  <r>
    <x v="2"/>
    <x v="12"/>
    <x v="5"/>
    <x v="354"/>
    <x v="298"/>
    <x v="298"/>
    <s v="REVENUS"/>
    <x v="2"/>
    <s v="4001.001"/>
    <s v="Impôt revenu"/>
    <n v="0"/>
    <n v="2920.59"/>
    <n v="4001"/>
  </r>
  <r>
    <x v="2"/>
    <x v="12"/>
    <x v="5"/>
    <x v="354"/>
    <x v="298"/>
    <x v="298"/>
    <s v="REVENUS"/>
    <x v="6"/>
    <s v="4211.002"/>
    <s v="Intérêts de retard sur acomptes"/>
    <n v="0"/>
    <n v="2.35"/>
    <n v="4211"/>
  </r>
  <r>
    <x v="2"/>
    <x v="12"/>
    <x v="5"/>
    <x v="355"/>
    <x v="299"/>
    <x v="299"/>
    <s v="CHARGES"/>
    <x v="19"/>
    <s v="3186.002"/>
    <s v="Commission perception IS"/>
    <n v="647.13"/>
    <n v="0"/>
    <n v="3186"/>
  </r>
  <r>
    <x v="2"/>
    <x v="12"/>
    <x v="5"/>
    <x v="355"/>
    <x v="299"/>
    <x v="299"/>
    <s v="CHARGES"/>
    <x v="1"/>
    <s v="3301.001"/>
    <s v="Défalcations, abandons de solde PP et IS"/>
    <n v="0.56999999999999995"/>
    <n v="0"/>
    <n v="3301"/>
  </r>
  <r>
    <x v="2"/>
    <x v="12"/>
    <x v="5"/>
    <x v="355"/>
    <x v="299"/>
    <x v="299"/>
    <s v="REVENUS"/>
    <x v="14"/>
    <s v="4003.000"/>
    <s v="Impôt à la source"/>
    <n v="0"/>
    <n v="15382.71"/>
    <n v="4003"/>
  </r>
  <r>
    <x v="2"/>
    <x v="12"/>
    <x v="5"/>
    <x v="355"/>
    <x v="299"/>
    <x v="299"/>
    <s v="REVENUS"/>
    <x v="6"/>
    <s v="4211.001"/>
    <s v="Intérêts de retard sur factures"/>
    <n v="0"/>
    <n v="7.4"/>
    <n v="4211"/>
  </r>
  <r>
    <x v="2"/>
    <x v="12"/>
    <x v="5"/>
    <x v="355"/>
    <x v="299"/>
    <x v="299"/>
    <s v="REVENUS"/>
    <x v="2"/>
    <s v="4001.010"/>
    <s v="Impôt sourciers mixtes"/>
    <n v="0"/>
    <n v="-740.98"/>
    <n v="4001"/>
  </r>
  <r>
    <x v="2"/>
    <x v="12"/>
    <x v="5"/>
    <x v="355"/>
    <x v="299"/>
    <x v="299"/>
    <s v="REVENUS"/>
    <x v="6"/>
    <s v="4211.002"/>
    <s v="Intérêts de retard sur acomptes"/>
    <n v="0"/>
    <n v="11.91"/>
    <n v="4211"/>
  </r>
  <r>
    <x v="2"/>
    <x v="12"/>
    <x v="5"/>
    <x v="355"/>
    <x v="299"/>
    <x v="299"/>
    <s v="REVENUS"/>
    <x v="2"/>
    <s v="4001.001"/>
    <s v="Impôt revenu"/>
    <n v="0"/>
    <n v="6895.49"/>
    <n v="4001"/>
  </r>
  <r>
    <x v="2"/>
    <x v="12"/>
    <x v="5"/>
    <x v="355"/>
    <x v="299"/>
    <x v="299"/>
    <s v="REVENUS"/>
    <x v="14"/>
    <s v="4003.010"/>
    <s v="IS - Employés et sourciers étrangers"/>
    <n v="0"/>
    <n v="134.66999999999999"/>
    <n v="4003"/>
  </r>
  <r>
    <x v="2"/>
    <x v="12"/>
    <x v="5"/>
    <x v="356"/>
    <x v="300"/>
    <x v="300"/>
    <s v="CHARGES"/>
    <x v="19"/>
    <s v="3186.002"/>
    <s v="Commission perception IS"/>
    <n v="309.27999999999997"/>
    <n v="0"/>
    <n v="3186"/>
  </r>
  <r>
    <x v="2"/>
    <x v="12"/>
    <x v="5"/>
    <x v="356"/>
    <x v="300"/>
    <x v="300"/>
    <s v="CHARGES"/>
    <x v="1"/>
    <s v="3301.001"/>
    <s v="Défalcations, abandons de solde PP et IS"/>
    <n v="0.91"/>
    <n v="0"/>
    <n v="3301"/>
  </r>
  <r>
    <x v="2"/>
    <x v="12"/>
    <x v="5"/>
    <x v="356"/>
    <x v="300"/>
    <x v="300"/>
    <s v="REVENUS"/>
    <x v="14"/>
    <s v="4003.000"/>
    <s v="Impôt à la source"/>
    <n v="0"/>
    <n v="13513.16"/>
    <n v="4003"/>
  </r>
  <r>
    <x v="2"/>
    <x v="12"/>
    <x v="5"/>
    <x v="356"/>
    <x v="300"/>
    <x v="300"/>
    <s v="REVENUS"/>
    <x v="2"/>
    <s v="4001.010"/>
    <s v="Impôt sourciers mixtes"/>
    <n v="0"/>
    <n v="0"/>
    <n v="4001"/>
  </r>
  <r>
    <x v="2"/>
    <x v="12"/>
    <x v="5"/>
    <x v="356"/>
    <x v="300"/>
    <x v="300"/>
    <s v="REVENUS"/>
    <x v="6"/>
    <s v="4211.002"/>
    <s v="Intérêts de retard sur acomptes"/>
    <n v="0"/>
    <n v="39.700000000000003"/>
    <n v="4211"/>
  </r>
  <r>
    <x v="2"/>
    <x v="12"/>
    <x v="5"/>
    <x v="356"/>
    <x v="300"/>
    <x v="300"/>
    <s v="REVENUS"/>
    <x v="6"/>
    <s v="4211.001"/>
    <s v="Intérêts de retard sur factures"/>
    <n v="0"/>
    <n v="0.13"/>
    <n v="4211"/>
  </r>
  <r>
    <x v="2"/>
    <x v="12"/>
    <x v="5"/>
    <x v="357"/>
    <x v="301"/>
    <x v="301"/>
    <s v="CHARGES"/>
    <x v="19"/>
    <s v="3186.002"/>
    <s v="Commission perception IS"/>
    <n v="4.47"/>
    <n v="0"/>
    <n v="3186"/>
  </r>
  <r>
    <x v="2"/>
    <x v="12"/>
    <x v="5"/>
    <x v="357"/>
    <x v="301"/>
    <x v="301"/>
    <s v="CHARGES"/>
    <x v="1"/>
    <s v="3301.001"/>
    <s v="Défalcations, abandons de solde PP et IS"/>
    <n v="0.01"/>
    <n v="0"/>
    <n v="3301"/>
  </r>
  <r>
    <x v="2"/>
    <x v="12"/>
    <x v="5"/>
    <x v="357"/>
    <x v="301"/>
    <x v="301"/>
    <s v="REVENUS"/>
    <x v="6"/>
    <s v="4211.002"/>
    <s v="Intérêts de retard sur acomptes"/>
    <n v="0"/>
    <n v="1.25"/>
    <n v="4211"/>
  </r>
  <r>
    <x v="2"/>
    <x v="12"/>
    <x v="5"/>
    <x v="357"/>
    <x v="301"/>
    <x v="301"/>
    <s v="REVENUS"/>
    <x v="6"/>
    <s v="4211.001"/>
    <s v="Intérêts de retard sur factures"/>
    <n v="0"/>
    <n v="0.04"/>
    <n v="4211"/>
  </r>
  <r>
    <x v="2"/>
    <x v="12"/>
    <x v="5"/>
    <x v="357"/>
    <x v="301"/>
    <x v="301"/>
    <s v="REVENUS"/>
    <x v="14"/>
    <s v="4003.000"/>
    <s v="Impôt à la source"/>
    <n v="0"/>
    <n v="1705.98"/>
    <n v="4003"/>
  </r>
  <r>
    <x v="2"/>
    <x v="12"/>
    <x v="5"/>
    <x v="358"/>
    <x v="302"/>
    <x v="302"/>
    <s v="CHARGES"/>
    <x v="19"/>
    <s v="3186.002"/>
    <s v="Commission perception IS"/>
    <n v="27.5"/>
    <n v="0"/>
    <n v="3186"/>
  </r>
  <r>
    <x v="2"/>
    <x v="12"/>
    <x v="5"/>
    <x v="358"/>
    <x v="302"/>
    <x v="302"/>
    <s v="REVENUS"/>
    <x v="14"/>
    <s v="4003.000"/>
    <s v="Impôt à la source"/>
    <n v="0"/>
    <n v="1313.24"/>
    <n v="4003"/>
  </r>
  <r>
    <x v="2"/>
    <x v="12"/>
    <x v="5"/>
    <x v="358"/>
    <x v="302"/>
    <x v="302"/>
    <s v="REVENUS"/>
    <x v="6"/>
    <s v="4211.002"/>
    <s v="Intérêts de retard sur acomptes"/>
    <n v="0"/>
    <n v="31.06"/>
    <n v="4211"/>
  </r>
  <r>
    <x v="2"/>
    <x v="12"/>
    <x v="5"/>
    <x v="358"/>
    <x v="302"/>
    <x v="302"/>
    <s v="REVENUS"/>
    <x v="6"/>
    <s v="4211.001"/>
    <s v="Intérêts de retard sur factures"/>
    <n v="0"/>
    <n v="3.91"/>
    <n v="4211"/>
  </r>
  <r>
    <x v="2"/>
    <x v="12"/>
    <x v="5"/>
    <x v="358"/>
    <x v="302"/>
    <x v="302"/>
    <s v="REVENUS"/>
    <x v="2"/>
    <s v="4001.001"/>
    <s v="Impôt revenu"/>
    <n v="0"/>
    <n v="570.61"/>
    <n v="4001"/>
  </r>
  <r>
    <x v="2"/>
    <x v="12"/>
    <x v="5"/>
    <x v="359"/>
    <x v="303"/>
    <x v="303"/>
    <s v="CHARGES"/>
    <x v="19"/>
    <s v="3186.002"/>
    <s v="Commission perception IS"/>
    <n v="66568.570000000007"/>
    <n v="0"/>
    <n v="3186"/>
  </r>
  <r>
    <x v="2"/>
    <x v="12"/>
    <x v="5"/>
    <x v="359"/>
    <x v="303"/>
    <x v="303"/>
    <s v="CHARGES"/>
    <x v="1"/>
    <s v="3301.001"/>
    <s v="Défalcations, abandons de solde PP et IS"/>
    <n v="64296"/>
    <n v="0"/>
    <n v="3301"/>
  </r>
  <r>
    <x v="2"/>
    <x v="12"/>
    <x v="5"/>
    <x v="359"/>
    <x v="303"/>
    <x v="303"/>
    <s v="REVENUS"/>
    <x v="2"/>
    <s v="4001.010"/>
    <s v="Impôt sourciers mixtes"/>
    <n v="0"/>
    <n v="-65139.95"/>
    <n v="4001"/>
  </r>
  <r>
    <x v="2"/>
    <x v="12"/>
    <x v="5"/>
    <x v="359"/>
    <x v="303"/>
    <x v="303"/>
    <s v="REVENUS"/>
    <x v="2"/>
    <s v="4001.001"/>
    <s v="Impôt revenu"/>
    <n v="0"/>
    <n v="496913.36"/>
    <n v="4001"/>
  </r>
  <r>
    <x v="2"/>
    <x v="12"/>
    <x v="5"/>
    <x v="359"/>
    <x v="303"/>
    <x v="303"/>
    <s v="REVENUS"/>
    <x v="14"/>
    <s v="4003.000"/>
    <s v="Impôt à la source"/>
    <n v="0"/>
    <n v="1569916.37"/>
    <n v="4003"/>
  </r>
  <r>
    <x v="2"/>
    <x v="12"/>
    <x v="5"/>
    <x v="359"/>
    <x v="303"/>
    <x v="303"/>
    <s v="REVENUS"/>
    <x v="6"/>
    <s v="4211.001"/>
    <s v="Intérêts de retard sur factures"/>
    <n v="0"/>
    <n v="6470.37"/>
    <n v="4211"/>
  </r>
  <r>
    <x v="2"/>
    <x v="12"/>
    <x v="5"/>
    <x v="359"/>
    <x v="303"/>
    <x v="303"/>
    <s v="REVENUS"/>
    <x v="6"/>
    <s v="4211.002"/>
    <s v="Intérêts de retard sur acomptes"/>
    <n v="0"/>
    <n v="10687.25"/>
    <n v="4211"/>
  </r>
  <r>
    <x v="2"/>
    <x v="12"/>
    <x v="5"/>
    <x v="359"/>
    <x v="303"/>
    <x v="303"/>
    <s v="REVENUS"/>
    <x v="7"/>
    <s v="4184.000"/>
    <s v="Frais de poursuite"/>
    <n v="0"/>
    <n v="1981.92"/>
    <n v="4184"/>
  </r>
  <r>
    <x v="2"/>
    <x v="12"/>
    <x v="5"/>
    <x v="359"/>
    <x v="303"/>
    <x v="303"/>
    <s v="REVENUS"/>
    <x v="2"/>
    <s v="4001.005"/>
    <s v="Amende de soustract. Impôt"/>
    <n v="0"/>
    <n v="5180.59"/>
    <n v="4001"/>
  </r>
  <r>
    <x v="2"/>
    <x v="12"/>
    <x v="5"/>
    <x v="359"/>
    <x v="303"/>
    <x v="303"/>
    <s v="REVENUS"/>
    <x v="14"/>
    <s v="4003.020"/>
    <s v="IS - Artistes - Conférenciers - Sportifs"/>
    <n v="0"/>
    <n v="4698.04"/>
    <n v="4003"/>
  </r>
  <r>
    <x v="2"/>
    <x v="12"/>
    <x v="5"/>
    <x v="359"/>
    <x v="303"/>
    <x v="303"/>
    <s v="REVENUS"/>
    <x v="14"/>
    <s v="4003.010"/>
    <s v="IS - Employés et sourciers étrangers"/>
    <n v="0"/>
    <n v="661.35"/>
    <n v="4003"/>
  </r>
  <r>
    <x v="2"/>
    <x v="12"/>
    <x v="5"/>
    <x v="359"/>
    <x v="303"/>
    <x v="303"/>
    <s v="REVENUS"/>
    <x v="14"/>
    <s v="4003.060"/>
    <s v="IS - Administrateurs"/>
    <n v="0"/>
    <n v="31506.63"/>
    <n v="4003"/>
  </r>
  <r>
    <x v="2"/>
    <x v="12"/>
    <x v="5"/>
    <x v="359"/>
    <x v="303"/>
    <x v="303"/>
    <s v="REVENUS"/>
    <x v="8"/>
    <s v="4091.001"/>
    <s v="Impôt récupéré après défalcations"/>
    <n v="0"/>
    <n v="38648.68"/>
    <n v="4091"/>
  </r>
  <r>
    <x v="2"/>
    <x v="12"/>
    <x v="5"/>
    <x v="359"/>
    <x v="303"/>
    <x v="303"/>
    <s v="REVENUS"/>
    <x v="2"/>
    <s v="4001.002"/>
    <s v="Impôt complément s/revenu PP"/>
    <n v="0"/>
    <n v="35661.07"/>
    <n v="4001"/>
  </r>
  <r>
    <x v="2"/>
    <x v="12"/>
    <x v="5"/>
    <x v="359"/>
    <x v="303"/>
    <x v="303"/>
    <s v="REVENUS"/>
    <x v="14"/>
    <s v="4003.070"/>
    <s v="IS - Loi travail au noir"/>
    <n v="0"/>
    <n v="2801.52"/>
    <n v="4003"/>
  </r>
  <r>
    <x v="2"/>
    <x v="12"/>
    <x v="5"/>
    <x v="360"/>
    <x v="304"/>
    <x v="304"/>
    <s v="CHARGES"/>
    <x v="19"/>
    <s v="3186.002"/>
    <s v="Commission perception IS"/>
    <n v="3542.33"/>
    <n v="0"/>
    <n v="3186"/>
  </r>
  <r>
    <x v="2"/>
    <x v="12"/>
    <x v="5"/>
    <x v="360"/>
    <x v="304"/>
    <x v="304"/>
    <s v="CHARGES"/>
    <x v="1"/>
    <s v="3301.001"/>
    <s v="Défalcations, abandons de solde PP et IS"/>
    <n v="2000.21"/>
    <n v="0"/>
    <n v="3301"/>
  </r>
  <r>
    <x v="2"/>
    <x v="12"/>
    <x v="5"/>
    <x v="360"/>
    <x v="304"/>
    <x v="304"/>
    <s v="REVENUS"/>
    <x v="14"/>
    <s v="4003.000"/>
    <s v="Impôt à la source"/>
    <n v="0"/>
    <n v="104268.26"/>
    <n v="4003"/>
  </r>
  <r>
    <x v="2"/>
    <x v="12"/>
    <x v="5"/>
    <x v="360"/>
    <x v="304"/>
    <x v="304"/>
    <s v="REVENUS"/>
    <x v="2"/>
    <s v="4001.010"/>
    <s v="Impôt sourciers mixtes"/>
    <n v="0"/>
    <n v="7331.5"/>
    <n v="4001"/>
  </r>
  <r>
    <x v="2"/>
    <x v="12"/>
    <x v="5"/>
    <x v="360"/>
    <x v="304"/>
    <x v="304"/>
    <s v="REVENUS"/>
    <x v="6"/>
    <s v="4211.001"/>
    <s v="Intérêts de retard sur factures"/>
    <n v="0"/>
    <n v="141.19999999999999"/>
    <n v="4211"/>
  </r>
  <r>
    <x v="2"/>
    <x v="12"/>
    <x v="5"/>
    <x v="360"/>
    <x v="304"/>
    <x v="304"/>
    <s v="REVENUS"/>
    <x v="6"/>
    <s v="4211.002"/>
    <s v="Intérêts de retard sur acomptes"/>
    <n v="0"/>
    <n v="886.45"/>
    <n v="4211"/>
  </r>
  <r>
    <x v="2"/>
    <x v="12"/>
    <x v="5"/>
    <x v="360"/>
    <x v="304"/>
    <x v="304"/>
    <s v="REVENUS"/>
    <x v="7"/>
    <s v="4184.000"/>
    <s v="Frais de poursuite"/>
    <n v="0"/>
    <n v="44.1"/>
    <n v="4184"/>
  </r>
  <r>
    <x v="2"/>
    <x v="12"/>
    <x v="5"/>
    <x v="360"/>
    <x v="304"/>
    <x v="304"/>
    <s v="REVENUS"/>
    <x v="2"/>
    <s v="4001.001"/>
    <s v="Impôt revenu"/>
    <n v="0"/>
    <n v="28135.15"/>
    <n v="4001"/>
  </r>
  <r>
    <x v="2"/>
    <x v="12"/>
    <x v="5"/>
    <x v="360"/>
    <x v="304"/>
    <x v="304"/>
    <s v="REVENUS"/>
    <x v="8"/>
    <s v="4091.001"/>
    <s v="Impôt récupéré après défalcations"/>
    <n v="0"/>
    <n v="369.4"/>
    <n v="4091"/>
  </r>
  <r>
    <x v="2"/>
    <x v="12"/>
    <x v="5"/>
    <x v="360"/>
    <x v="304"/>
    <x v="304"/>
    <s v="REVENUS"/>
    <x v="14"/>
    <s v="4003.070"/>
    <s v="IS - Loi travail au noir"/>
    <n v="0"/>
    <n v="113.34"/>
    <n v="4003"/>
  </r>
  <r>
    <x v="2"/>
    <x v="13"/>
    <x v="5"/>
    <x v="361"/>
    <x v="305"/>
    <x v="305"/>
    <s v="CHARGES"/>
    <x v="19"/>
    <s v="3186.002"/>
    <s v="Commission perception IS"/>
    <n v="8262.18"/>
    <n v="0"/>
    <n v="3186"/>
  </r>
  <r>
    <x v="2"/>
    <x v="13"/>
    <x v="5"/>
    <x v="361"/>
    <x v="305"/>
    <x v="305"/>
    <s v="CHARGES"/>
    <x v="1"/>
    <s v="3301.001"/>
    <s v="Défalcations, abandons de solde PP et IS"/>
    <n v="86.14"/>
    <n v="0"/>
    <n v="3301"/>
  </r>
  <r>
    <x v="2"/>
    <x v="13"/>
    <x v="5"/>
    <x v="361"/>
    <x v="305"/>
    <x v="305"/>
    <s v="REVENUS"/>
    <x v="2"/>
    <s v="4001.010"/>
    <s v="Impôt sourciers mixtes"/>
    <n v="0"/>
    <n v="-40642.379999999997"/>
    <n v="4001"/>
  </r>
  <r>
    <x v="2"/>
    <x v="13"/>
    <x v="5"/>
    <x v="361"/>
    <x v="305"/>
    <x v="305"/>
    <s v="REVENUS"/>
    <x v="14"/>
    <s v="4003.000"/>
    <s v="Impôt à la source"/>
    <n v="0"/>
    <n v="218167.09"/>
    <n v="4003"/>
  </r>
  <r>
    <x v="2"/>
    <x v="13"/>
    <x v="5"/>
    <x v="361"/>
    <x v="305"/>
    <x v="305"/>
    <s v="REVENUS"/>
    <x v="6"/>
    <s v="4211.002"/>
    <s v="Intérêts de retard sur acomptes"/>
    <n v="0"/>
    <n v="668.53"/>
    <n v="4211"/>
  </r>
  <r>
    <x v="2"/>
    <x v="13"/>
    <x v="5"/>
    <x v="361"/>
    <x v="305"/>
    <x v="305"/>
    <s v="REVENUS"/>
    <x v="7"/>
    <s v="4184.000"/>
    <s v="Frais de poursuite"/>
    <n v="0"/>
    <n v="82.77"/>
    <n v="4184"/>
  </r>
  <r>
    <x v="2"/>
    <x v="13"/>
    <x v="5"/>
    <x v="361"/>
    <x v="305"/>
    <x v="305"/>
    <s v="REVENUS"/>
    <x v="6"/>
    <s v="4211.001"/>
    <s v="Intérêts de retard sur factures"/>
    <n v="0"/>
    <n v="588.16"/>
    <n v="4211"/>
  </r>
  <r>
    <x v="2"/>
    <x v="13"/>
    <x v="5"/>
    <x v="361"/>
    <x v="305"/>
    <x v="305"/>
    <s v="REVENUS"/>
    <x v="14"/>
    <s v="4003.030"/>
    <s v="IS - Prestations en capital / Prévoyance"/>
    <n v="0"/>
    <n v="2174.5700000000002"/>
    <n v="4003"/>
  </r>
  <r>
    <x v="2"/>
    <x v="13"/>
    <x v="5"/>
    <x v="361"/>
    <x v="305"/>
    <x v="305"/>
    <s v="REVENUS"/>
    <x v="2"/>
    <s v="4001.001"/>
    <s v="Impôt revenu"/>
    <n v="0"/>
    <n v="21877.74"/>
    <n v="4001"/>
  </r>
  <r>
    <x v="2"/>
    <x v="13"/>
    <x v="5"/>
    <x v="361"/>
    <x v="305"/>
    <x v="305"/>
    <s v="REVENUS"/>
    <x v="2"/>
    <s v="4001.002"/>
    <s v="Impôt complément s/revenu PP"/>
    <n v="0"/>
    <n v="1864.75"/>
    <n v="4001"/>
  </r>
  <r>
    <x v="2"/>
    <x v="13"/>
    <x v="5"/>
    <x v="361"/>
    <x v="305"/>
    <x v="305"/>
    <s v="REVENUS"/>
    <x v="2"/>
    <s v="4001.005"/>
    <s v="Amende de soustract. Impôt"/>
    <n v="0"/>
    <n v="5483.1"/>
    <n v="4001"/>
  </r>
  <r>
    <x v="2"/>
    <x v="13"/>
    <x v="5"/>
    <x v="361"/>
    <x v="305"/>
    <x v="305"/>
    <s v="REVENUS"/>
    <x v="14"/>
    <s v="4003.020"/>
    <s v="IS - Artistes - Conférenciers - Sportifs"/>
    <n v="0"/>
    <n v="87.36"/>
    <n v="4003"/>
  </r>
  <r>
    <x v="2"/>
    <x v="13"/>
    <x v="5"/>
    <x v="361"/>
    <x v="305"/>
    <x v="305"/>
    <s v="REVENUS"/>
    <x v="8"/>
    <s v="4091.001"/>
    <s v="Impôt récupéré après défalcations"/>
    <n v="0"/>
    <n v="48.49"/>
    <n v="4091"/>
  </r>
  <r>
    <x v="2"/>
    <x v="13"/>
    <x v="5"/>
    <x v="362"/>
    <x v="306"/>
    <x v="306"/>
    <s v="CHARGES"/>
    <x v="19"/>
    <s v="3186.002"/>
    <s v="Commission perception IS"/>
    <n v="4857.3900000000003"/>
    <n v="0"/>
    <n v="3186"/>
  </r>
  <r>
    <x v="2"/>
    <x v="13"/>
    <x v="5"/>
    <x v="362"/>
    <x v="306"/>
    <x v="306"/>
    <s v="CHARGES"/>
    <x v="1"/>
    <s v="3301.001"/>
    <s v="Défalcations, abandons de solde PP et IS"/>
    <n v="-18.77"/>
    <n v="0"/>
    <n v="3301"/>
  </r>
  <r>
    <x v="2"/>
    <x v="13"/>
    <x v="5"/>
    <x v="362"/>
    <x v="306"/>
    <x v="306"/>
    <s v="REVENUS"/>
    <x v="14"/>
    <s v="4003.000"/>
    <s v="Impôt à la source"/>
    <n v="0"/>
    <n v="18887.21"/>
    <n v="4003"/>
  </r>
  <r>
    <x v="2"/>
    <x v="13"/>
    <x v="5"/>
    <x v="362"/>
    <x v="306"/>
    <x v="306"/>
    <s v="REVENUS"/>
    <x v="2"/>
    <s v="4001.010"/>
    <s v="Impôt sourciers mixtes"/>
    <n v="0"/>
    <n v="-10447.879999999999"/>
    <n v="4001"/>
  </r>
  <r>
    <x v="2"/>
    <x v="13"/>
    <x v="5"/>
    <x v="362"/>
    <x v="306"/>
    <x v="306"/>
    <s v="REVENUS"/>
    <x v="14"/>
    <s v="4003.030"/>
    <s v="IS - Prestations en capital / Prévoyance"/>
    <n v="0"/>
    <n v="15553.66"/>
    <n v="4003"/>
  </r>
  <r>
    <x v="2"/>
    <x v="13"/>
    <x v="5"/>
    <x v="362"/>
    <x v="306"/>
    <x v="306"/>
    <s v="REVENUS"/>
    <x v="7"/>
    <s v="4184.000"/>
    <s v="Frais de poursuite"/>
    <n v="0"/>
    <n v="3.31"/>
    <n v="4184"/>
  </r>
  <r>
    <x v="2"/>
    <x v="13"/>
    <x v="5"/>
    <x v="362"/>
    <x v="306"/>
    <x v="306"/>
    <s v="REVENUS"/>
    <x v="6"/>
    <s v="4211.001"/>
    <s v="Intérêts de retard sur factures"/>
    <n v="0"/>
    <n v="-958.02"/>
    <n v="4211"/>
  </r>
  <r>
    <x v="2"/>
    <x v="13"/>
    <x v="5"/>
    <x v="362"/>
    <x v="306"/>
    <x v="306"/>
    <s v="REVENUS"/>
    <x v="6"/>
    <s v="4211.002"/>
    <s v="Intérêts de retard sur acomptes"/>
    <n v="0"/>
    <n v="1350.25"/>
    <n v="4211"/>
  </r>
  <r>
    <x v="2"/>
    <x v="13"/>
    <x v="5"/>
    <x v="362"/>
    <x v="306"/>
    <x v="306"/>
    <s v="REVENUS"/>
    <x v="2"/>
    <s v="4001.001"/>
    <s v="Impôt revenu"/>
    <n v="0"/>
    <n v="12087.42"/>
    <n v="4001"/>
  </r>
  <r>
    <x v="2"/>
    <x v="13"/>
    <x v="5"/>
    <x v="362"/>
    <x v="306"/>
    <x v="306"/>
    <s v="REVENUS"/>
    <x v="2"/>
    <s v="4001.002"/>
    <s v="Impôt complément s/revenu PP"/>
    <n v="0"/>
    <n v="2651.72"/>
    <n v="4001"/>
  </r>
  <r>
    <x v="2"/>
    <x v="13"/>
    <x v="5"/>
    <x v="362"/>
    <x v="306"/>
    <x v="306"/>
    <s v="REVENUS"/>
    <x v="14"/>
    <s v="4003.020"/>
    <s v="IS - Artistes - Conférenciers - Sportifs"/>
    <n v="0"/>
    <n v="29.08"/>
    <n v="4003"/>
  </r>
  <r>
    <x v="2"/>
    <x v="13"/>
    <x v="5"/>
    <x v="362"/>
    <x v="306"/>
    <x v="306"/>
    <s v="REVENUS"/>
    <x v="14"/>
    <s v="4003.060"/>
    <s v="IS - Administrateurs"/>
    <n v="0"/>
    <n v="64600.45"/>
    <n v="4003"/>
  </r>
  <r>
    <x v="2"/>
    <x v="13"/>
    <x v="5"/>
    <x v="362"/>
    <x v="306"/>
    <x v="306"/>
    <s v="REVENUS"/>
    <x v="8"/>
    <s v="4091.001"/>
    <s v="Impôt récupéré après défalcations"/>
    <n v="0"/>
    <n v="-48.48"/>
    <n v="4091"/>
  </r>
  <r>
    <x v="2"/>
    <x v="13"/>
    <x v="5"/>
    <x v="362"/>
    <x v="306"/>
    <x v="306"/>
    <s v="REVENUS"/>
    <x v="2"/>
    <s v="4001.005"/>
    <s v="Amende de soustract. Impôt"/>
    <n v="0"/>
    <n v="33"/>
    <n v="4001"/>
  </r>
  <r>
    <x v="2"/>
    <x v="13"/>
    <x v="5"/>
    <x v="363"/>
    <x v="307"/>
    <x v="307"/>
    <s v="CHARGES"/>
    <x v="19"/>
    <s v="3186.002"/>
    <s v="Commission perception IS"/>
    <n v="1661.72"/>
    <n v="0"/>
    <n v="3186"/>
  </r>
  <r>
    <x v="2"/>
    <x v="13"/>
    <x v="5"/>
    <x v="363"/>
    <x v="307"/>
    <x v="307"/>
    <s v="CHARGES"/>
    <x v="1"/>
    <s v="3301.001"/>
    <s v="Défalcations, abandons de solde PP et IS"/>
    <n v="3939.76"/>
    <n v="0"/>
    <n v="3301"/>
  </r>
  <r>
    <x v="2"/>
    <x v="13"/>
    <x v="5"/>
    <x v="363"/>
    <x v="307"/>
    <x v="307"/>
    <s v="REVENUS"/>
    <x v="2"/>
    <s v="4001.010"/>
    <s v="Impôt sourciers mixtes"/>
    <n v="0"/>
    <n v="-7463.05"/>
    <n v="4001"/>
  </r>
  <r>
    <x v="2"/>
    <x v="13"/>
    <x v="5"/>
    <x v="363"/>
    <x v="307"/>
    <x v="307"/>
    <s v="REVENUS"/>
    <x v="14"/>
    <s v="4003.000"/>
    <s v="Impôt à la source"/>
    <n v="0"/>
    <n v="33248.980000000003"/>
    <n v="4003"/>
  </r>
  <r>
    <x v="2"/>
    <x v="13"/>
    <x v="5"/>
    <x v="363"/>
    <x v="307"/>
    <x v="307"/>
    <s v="REVENUS"/>
    <x v="7"/>
    <s v="4184.000"/>
    <s v="Frais de poursuite"/>
    <n v="0"/>
    <n v="22.88"/>
    <n v="4184"/>
  </r>
  <r>
    <x v="2"/>
    <x v="13"/>
    <x v="5"/>
    <x v="363"/>
    <x v="307"/>
    <x v="307"/>
    <s v="REVENUS"/>
    <x v="6"/>
    <s v="4211.001"/>
    <s v="Intérêts de retard sur factures"/>
    <n v="0"/>
    <n v="287.91000000000003"/>
    <n v="4211"/>
  </r>
  <r>
    <x v="2"/>
    <x v="13"/>
    <x v="5"/>
    <x v="363"/>
    <x v="307"/>
    <x v="307"/>
    <s v="REVENUS"/>
    <x v="6"/>
    <s v="4211.002"/>
    <s v="Intérêts de retard sur acomptes"/>
    <n v="0"/>
    <n v="247.62"/>
    <n v="4211"/>
  </r>
  <r>
    <x v="2"/>
    <x v="13"/>
    <x v="5"/>
    <x v="363"/>
    <x v="307"/>
    <x v="307"/>
    <s v="REVENUS"/>
    <x v="2"/>
    <s v="4001.001"/>
    <s v="Impôt revenu"/>
    <n v="0"/>
    <n v="9733.4699999999993"/>
    <n v="4001"/>
  </r>
  <r>
    <x v="2"/>
    <x v="13"/>
    <x v="5"/>
    <x v="363"/>
    <x v="307"/>
    <x v="307"/>
    <s v="REVENUS"/>
    <x v="8"/>
    <s v="4091.001"/>
    <s v="Impôt récupéré après défalcations"/>
    <n v="0"/>
    <n v="0"/>
    <n v="4091"/>
  </r>
  <r>
    <x v="2"/>
    <x v="13"/>
    <x v="5"/>
    <x v="363"/>
    <x v="307"/>
    <x v="307"/>
    <s v="REVENUS"/>
    <x v="2"/>
    <s v="4001.002"/>
    <s v="Impôt complément s/revenu PP"/>
    <n v="0"/>
    <n v="1250.2"/>
    <n v="4001"/>
  </r>
  <r>
    <x v="2"/>
    <x v="13"/>
    <x v="5"/>
    <x v="364"/>
    <x v="308"/>
    <x v="308"/>
    <s v="CHARGES"/>
    <x v="19"/>
    <s v="3186.002"/>
    <s v="Commission perception IS"/>
    <n v="421.74"/>
    <n v="0"/>
    <n v="3186"/>
  </r>
  <r>
    <x v="2"/>
    <x v="13"/>
    <x v="5"/>
    <x v="364"/>
    <x v="308"/>
    <x v="308"/>
    <s v="CHARGES"/>
    <x v="1"/>
    <s v="3301.001"/>
    <s v="Défalcations, abandons de solde PP et IS"/>
    <n v="0.74"/>
    <n v="0"/>
    <n v="3301"/>
  </r>
  <r>
    <x v="2"/>
    <x v="13"/>
    <x v="5"/>
    <x v="364"/>
    <x v="308"/>
    <x v="308"/>
    <s v="REVENUS"/>
    <x v="2"/>
    <s v="4001.010"/>
    <s v="Impôt sourciers mixtes"/>
    <n v="0"/>
    <n v="-170.89"/>
    <n v="4001"/>
  </r>
  <r>
    <x v="2"/>
    <x v="13"/>
    <x v="5"/>
    <x v="364"/>
    <x v="308"/>
    <x v="308"/>
    <s v="REVENUS"/>
    <x v="14"/>
    <s v="4003.000"/>
    <s v="Impôt à la source"/>
    <n v="0"/>
    <n v="20845.66"/>
    <n v="4003"/>
  </r>
  <r>
    <x v="2"/>
    <x v="13"/>
    <x v="5"/>
    <x v="364"/>
    <x v="308"/>
    <x v="308"/>
    <s v="REVENUS"/>
    <x v="6"/>
    <s v="4211.001"/>
    <s v="Intérêts de retard sur factures"/>
    <n v="0"/>
    <n v="16.260000000000002"/>
    <n v="4211"/>
  </r>
  <r>
    <x v="2"/>
    <x v="13"/>
    <x v="5"/>
    <x v="364"/>
    <x v="308"/>
    <x v="308"/>
    <s v="REVENUS"/>
    <x v="6"/>
    <s v="4211.002"/>
    <s v="Intérêts de retard sur acomptes"/>
    <n v="0"/>
    <n v="172.35"/>
    <n v="4211"/>
  </r>
  <r>
    <x v="2"/>
    <x v="13"/>
    <x v="5"/>
    <x v="364"/>
    <x v="308"/>
    <x v="308"/>
    <s v="REVENUS"/>
    <x v="7"/>
    <s v="4184.000"/>
    <s v="Frais de poursuite"/>
    <n v="0"/>
    <n v="0.32"/>
    <n v="4184"/>
  </r>
  <r>
    <x v="2"/>
    <x v="13"/>
    <x v="5"/>
    <x v="365"/>
    <x v="309"/>
    <x v="309"/>
    <s v="CHARGES"/>
    <x v="19"/>
    <s v="3186.002"/>
    <s v="Commission perception IS"/>
    <n v="2249.11"/>
    <n v="0"/>
    <n v="3186"/>
  </r>
  <r>
    <x v="2"/>
    <x v="13"/>
    <x v="5"/>
    <x v="365"/>
    <x v="309"/>
    <x v="309"/>
    <s v="CHARGES"/>
    <x v="1"/>
    <s v="3301.001"/>
    <s v="Défalcations, abandons de solde PP et IS"/>
    <n v="0.77"/>
    <n v="0"/>
    <n v="3301"/>
  </r>
  <r>
    <x v="2"/>
    <x v="13"/>
    <x v="5"/>
    <x v="365"/>
    <x v="309"/>
    <x v="309"/>
    <s v="REVENUS"/>
    <x v="14"/>
    <s v="4003.000"/>
    <s v="Impôt à la source"/>
    <n v="0"/>
    <n v="37775.42"/>
    <n v="4003"/>
  </r>
  <r>
    <x v="2"/>
    <x v="13"/>
    <x v="5"/>
    <x v="365"/>
    <x v="309"/>
    <x v="309"/>
    <s v="REVENUS"/>
    <x v="2"/>
    <s v="4001.010"/>
    <s v="Impôt sourciers mixtes"/>
    <n v="0"/>
    <n v="21899.8"/>
    <n v="4001"/>
  </r>
  <r>
    <x v="2"/>
    <x v="13"/>
    <x v="5"/>
    <x v="365"/>
    <x v="309"/>
    <x v="309"/>
    <s v="REVENUS"/>
    <x v="6"/>
    <s v="4211.001"/>
    <s v="Intérêts de retard sur factures"/>
    <n v="0"/>
    <n v="28"/>
    <n v="4211"/>
  </r>
  <r>
    <x v="2"/>
    <x v="13"/>
    <x v="5"/>
    <x v="365"/>
    <x v="309"/>
    <x v="309"/>
    <s v="REVENUS"/>
    <x v="6"/>
    <s v="4211.002"/>
    <s v="Intérêts de retard sur acomptes"/>
    <n v="0"/>
    <n v="33.35"/>
    <n v="4211"/>
  </r>
  <r>
    <x v="2"/>
    <x v="13"/>
    <x v="5"/>
    <x v="365"/>
    <x v="309"/>
    <x v="309"/>
    <s v="REVENUS"/>
    <x v="14"/>
    <s v="4003.060"/>
    <s v="IS - Administrateurs"/>
    <n v="0"/>
    <n v="989.16"/>
    <n v="4003"/>
  </r>
  <r>
    <x v="2"/>
    <x v="13"/>
    <x v="5"/>
    <x v="365"/>
    <x v="309"/>
    <x v="309"/>
    <s v="REVENUS"/>
    <x v="14"/>
    <s v="4003.020"/>
    <s v="IS - Artistes - Conférenciers - Sportifs"/>
    <n v="0"/>
    <n v="66.47"/>
    <n v="4003"/>
  </r>
  <r>
    <x v="2"/>
    <x v="13"/>
    <x v="5"/>
    <x v="365"/>
    <x v="309"/>
    <x v="309"/>
    <s v="REVENUS"/>
    <x v="7"/>
    <s v="4184.000"/>
    <s v="Frais de poursuite"/>
    <n v="0"/>
    <n v="54.68"/>
    <n v="4184"/>
  </r>
  <r>
    <x v="2"/>
    <x v="13"/>
    <x v="5"/>
    <x v="366"/>
    <x v="310"/>
    <x v="310"/>
    <s v="CHARGES"/>
    <x v="19"/>
    <s v="3186.002"/>
    <s v="Commission perception IS"/>
    <n v="214.08"/>
    <n v="0"/>
    <n v="3186"/>
  </r>
  <r>
    <x v="2"/>
    <x v="13"/>
    <x v="5"/>
    <x v="366"/>
    <x v="310"/>
    <x v="310"/>
    <s v="CHARGES"/>
    <x v="1"/>
    <s v="3301.001"/>
    <s v="Défalcations, abandons de solde PP et IS"/>
    <n v="-3.44"/>
    <n v="0"/>
    <n v="3301"/>
  </r>
  <r>
    <x v="2"/>
    <x v="13"/>
    <x v="5"/>
    <x v="366"/>
    <x v="310"/>
    <x v="310"/>
    <s v="REVENUS"/>
    <x v="14"/>
    <s v="4003.000"/>
    <s v="Impôt à la source"/>
    <n v="0"/>
    <n v="15027.96"/>
    <n v="4003"/>
  </r>
  <r>
    <x v="2"/>
    <x v="13"/>
    <x v="5"/>
    <x v="366"/>
    <x v="310"/>
    <x v="310"/>
    <s v="REVENUS"/>
    <x v="7"/>
    <s v="4184.000"/>
    <s v="Frais de poursuite"/>
    <n v="0"/>
    <n v="1.06"/>
    <n v="4184"/>
  </r>
  <r>
    <x v="2"/>
    <x v="13"/>
    <x v="5"/>
    <x v="366"/>
    <x v="310"/>
    <x v="310"/>
    <s v="REVENUS"/>
    <x v="6"/>
    <s v="4211.001"/>
    <s v="Intérêts de retard sur factures"/>
    <n v="0"/>
    <n v="324.89999999999998"/>
    <n v="4211"/>
  </r>
  <r>
    <x v="2"/>
    <x v="13"/>
    <x v="5"/>
    <x v="366"/>
    <x v="310"/>
    <x v="310"/>
    <s v="REVENUS"/>
    <x v="6"/>
    <s v="4211.002"/>
    <s v="Intérêts de retard sur acomptes"/>
    <n v="0"/>
    <n v="136.22999999999999"/>
    <n v="4211"/>
  </r>
  <r>
    <x v="2"/>
    <x v="13"/>
    <x v="5"/>
    <x v="366"/>
    <x v="310"/>
    <x v="310"/>
    <s v="REVENUS"/>
    <x v="2"/>
    <s v="4001.005"/>
    <s v="Amende de soustract. Impôt"/>
    <n v="0"/>
    <n v="167"/>
    <n v="4001"/>
  </r>
  <r>
    <x v="2"/>
    <x v="13"/>
    <x v="5"/>
    <x v="366"/>
    <x v="310"/>
    <x v="310"/>
    <s v="REVENUS"/>
    <x v="2"/>
    <s v="4001.010"/>
    <s v="Impôt sourciers mixtes"/>
    <n v="0"/>
    <n v="-3430.04"/>
    <n v="4001"/>
  </r>
  <r>
    <x v="2"/>
    <x v="13"/>
    <x v="5"/>
    <x v="366"/>
    <x v="310"/>
    <x v="310"/>
    <s v="REVENUS"/>
    <x v="14"/>
    <s v="4003.080"/>
    <s v="IS - Participations Hors Suisse"/>
    <n v="0"/>
    <n v="174.09"/>
    <n v="4003"/>
  </r>
  <r>
    <x v="2"/>
    <x v="13"/>
    <x v="5"/>
    <x v="366"/>
    <x v="310"/>
    <x v="310"/>
    <s v="REVENUS"/>
    <x v="2"/>
    <s v="4001.001"/>
    <s v="Impôt revenu"/>
    <n v="0"/>
    <n v="778.54"/>
    <n v="4001"/>
  </r>
  <r>
    <x v="2"/>
    <x v="13"/>
    <x v="5"/>
    <x v="367"/>
    <x v="311"/>
    <x v="311"/>
    <s v="CHARGES"/>
    <x v="19"/>
    <s v="3186.002"/>
    <s v="Commission perception IS"/>
    <n v="778.93"/>
    <n v="0"/>
    <n v="3186"/>
  </r>
  <r>
    <x v="2"/>
    <x v="13"/>
    <x v="5"/>
    <x v="367"/>
    <x v="311"/>
    <x v="311"/>
    <s v="CHARGES"/>
    <x v="1"/>
    <s v="3301.001"/>
    <s v="Défalcations, abandons de solde PP et IS"/>
    <n v="0.26"/>
    <n v="0"/>
    <n v="3301"/>
  </r>
  <r>
    <x v="2"/>
    <x v="13"/>
    <x v="5"/>
    <x v="367"/>
    <x v="311"/>
    <x v="311"/>
    <s v="REVENUS"/>
    <x v="14"/>
    <s v="4003.000"/>
    <s v="Impôt à la source"/>
    <n v="0"/>
    <n v="26591.38"/>
    <n v="4003"/>
  </r>
  <r>
    <x v="2"/>
    <x v="13"/>
    <x v="5"/>
    <x v="367"/>
    <x v="311"/>
    <x v="311"/>
    <s v="REVENUS"/>
    <x v="2"/>
    <s v="4001.005"/>
    <s v="Amende de soustract. Impôt"/>
    <n v="0"/>
    <n v="337"/>
    <n v="4001"/>
  </r>
  <r>
    <x v="2"/>
    <x v="13"/>
    <x v="5"/>
    <x v="367"/>
    <x v="311"/>
    <x v="311"/>
    <s v="REVENUS"/>
    <x v="7"/>
    <s v="4184.000"/>
    <s v="Frais de poursuite"/>
    <n v="0"/>
    <n v="26.34"/>
    <n v="4184"/>
  </r>
  <r>
    <x v="2"/>
    <x v="13"/>
    <x v="5"/>
    <x v="367"/>
    <x v="311"/>
    <x v="311"/>
    <s v="REVENUS"/>
    <x v="6"/>
    <s v="4211.001"/>
    <s v="Intérêts de retard sur factures"/>
    <n v="0"/>
    <n v="67.75"/>
    <n v="4211"/>
  </r>
  <r>
    <x v="2"/>
    <x v="13"/>
    <x v="5"/>
    <x v="367"/>
    <x v="311"/>
    <x v="311"/>
    <s v="REVENUS"/>
    <x v="6"/>
    <s v="4211.002"/>
    <s v="Intérêts de retard sur acomptes"/>
    <n v="0"/>
    <n v="117.68"/>
    <n v="4211"/>
  </r>
  <r>
    <x v="2"/>
    <x v="13"/>
    <x v="5"/>
    <x v="367"/>
    <x v="311"/>
    <x v="311"/>
    <s v="REVENUS"/>
    <x v="2"/>
    <s v="4001.010"/>
    <s v="Impôt sourciers mixtes"/>
    <n v="0"/>
    <n v="-8202.77"/>
    <n v="4001"/>
  </r>
  <r>
    <x v="2"/>
    <x v="13"/>
    <x v="5"/>
    <x v="367"/>
    <x v="311"/>
    <x v="311"/>
    <s v="REVENUS"/>
    <x v="2"/>
    <s v="4001.001"/>
    <s v="Impôt revenu"/>
    <n v="0"/>
    <n v="5490.2"/>
    <n v="4001"/>
  </r>
  <r>
    <x v="2"/>
    <x v="13"/>
    <x v="5"/>
    <x v="367"/>
    <x v="311"/>
    <x v="311"/>
    <s v="REVENUS"/>
    <x v="2"/>
    <s v="4001.002"/>
    <s v="Impôt complément s/revenu PP"/>
    <n v="0"/>
    <n v="1307"/>
    <n v="4001"/>
  </r>
  <r>
    <x v="2"/>
    <x v="13"/>
    <x v="5"/>
    <x v="367"/>
    <x v="311"/>
    <x v="311"/>
    <s v="REVENUS"/>
    <x v="14"/>
    <s v="4003.020"/>
    <s v="IS - Artistes - Conférenciers - Sportifs"/>
    <n v="0"/>
    <n v="23.84"/>
    <n v="4003"/>
  </r>
  <r>
    <x v="2"/>
    <x v="13"/>
    <x v="5"/>
    <x v="368"/>
    <x v="312"/>
    <x v="312"/>
    <s v="CHARGES"/>
    <x v="19"/>
    <s v="3186.002"/>
    <s v="Commission perception IS"/>
    <n v="1270.8900000000001"/>
    <n v="0"/>
    <n v="3186"/>
  </r>
  <r>
    <x v="2"/>
    <x v="13"/>
    <x v="5"/>
    <x v="368"/>
    <x v="312"/>
    <x v="312"/>
    <s v="CHARGES"/>
    <x v="1"/>
    <s v="3301.001"/>
    <s v="Défalcations, abandons de solde PP et IS"/>
    <n v="5.92"/>
    <n v="0"/>
    <n v="3301"/>
  </r>
  <r>
    <x v="2"/>
    <x v="13"/>
    <x v="5"/>
    <x v="368"/>
    <x v="312"/>
    <x v="312"/>
    <s v="REVENUS"/>
    <x v="14"/>
    <s v="4003.000"/>
    <s v="Impôt à la source"/>
    <n v="0"/>
    <n v="26456.3"/>
    <n v="4003"/>
  </r>
  <r>
    <x v="2"/>
    <x v="13"/>
    <x v="5"/>
    <x v="368"/>
    <x v="312"/>
    <x v="312"/>
    <s v="REVENUS"/>
    <x v="2"/>
    <s v="4001.010"/>
    <s v="Impôt sourciers mixtes"/>
    <n v="0"/>
    <n v="2192.9499999999998"/>
    <n v="4001"/>
  </r>
  <r>
    <x v="2"/>
    <x v="13"/>
    <x v="5"/>
    <x v="368"/>
    <x v="312"/>
    <x v="312"/>
    <s v="REVENUS"/>
    <x v="6"/>
    <s v="4211.001"/>
    <s v="Intérêts de retard sur factures"/>
    <n v="0"/>
    <n v="100.03"/>
    <n v="4211"/>
  </r>
  <r>
    <x v="2"/>
    <x v="13"/>
    <x v="5"/>
    <x v="368"/>
    <x v="312"/>
    <x v="312"/>
    <s v="REVENUS"/>
    <x v="6"/>
    <s v="4211.002"/>
    <s v="Intérêts de retard sur acomptes"/>
    <n v="0"/>
    <n v="63.36"/>
    <n v="4211"/>
  </r>
  <r>
    <x v="2"/>
    <x v="13"/>
    <x v="5"/>
    <x v="368"/>
    <x v="312"/>
    <x v="312"/>
    <s v="REVENUS"/>
    <x v="14"/>
    <s v="4003.030"/>
    <s v="IS - Prestations en capital / Prévoyance"/>
    <n v="0"/>
    <n v="1866.06"/>
    <n v="4003"/>
  </r>
  <r>
    <x v="2"/>
    <x v="13"/>
    <x v="5"/>
    <x v="368"/>
    <x v="312"/>
    <x v="312"/>
    <s v="REVENUS"/>
    <x v="7"/>
    <s v="4184.000"/>
    <s v="Frais de poursuite"/>
    <n v="0"/>
    <n v="29.47"/>
    <n v="4184"/>
  </r>
  <r>
    <x v="2"/>
    <x v="13"/>
    <x v="5"/>
    <x v="368"/>
    <x v="312"/>
    <x v="312"/>
    <s v="REVENUS"/>
    <x v="14"/>
    <s v="4003.020"/>
    <s v="IS - Artistes - Conférenciers - Sportifs"/>
    <n v="0"/>
    <n v="30.6"/>
    <n v="4003"/>
  </r>
  <r>
    <x v="2"/>
    <x v="13"/>
    <x v="5"/>
    <x v="368"/>
    <x v="312"/>
    <x v="312"/>
    <s v="REVENUS"/>
    <x v="2"/>
    <s v="4001.001"/>
    <s v="Impôt revenu"/>
    <n v="0"/>
    <n v="1625.64"/>
    <n v="4001"/>
  </r>
  <r>
    <x v="2"/>
    <x v="13"/>
    <x v="5"/>
    <x v="368"/>
    <x v="312"/>
    <x v="312"/>
    <s v="REVENUS"/>
    <x v="2"/>
    <s v="4001.005"/>
    <s v="Amende de soustract. Impôt"/>
    <n v="0"/>
    <n v="33"/>
    <n v="4001"/>
  </r>
  <r>
    <x v="2"/>
    <x v="13"/>
    <x v="5"/>
    <x v="369"/>
    <x v="312"/>
    <x v="312"/>
    <s v="CHARGES"/>
    <x v="19"/>
    <s v="3186.002"/>
    <s v="Commission perception IS"/>
    <n v="31.48"/>
    <n v="0"/>
    <n v="3186"/>
  </r>
  <r>
    <x v="2"/>
    <x v="13"/>
    <x v="5"/>
    <x v="369"/>
    <x v="312"/>
    <x v="312"/>
    <s v="CHARGES"/>
    <x v="1"/>
    <s v="3301.001"/>
    <s v="Défalcations, abandons de solde PP et IS"/>
    <n v="-7.0000000000000007E-2"/>
    <n v="0"/>
    <n v="3301"/>
  </r>
  <r>
    <x v="2"/>
    <x v="13"/>
    <x v="5"/>
    <x v="369"/>
    <x v="312"/>
    <x v="312"/>
    <s v="REVENUS"/>
    <x v="14"/>
    <s v="4003.000"/>
    <s v="Impôt à la source"/>
    <n v="0"/>
    <n v="-1939.6"/>
    <n v="4003"/>
  </r>
  <r>
    <x v="2"/>
    <x v="13"/>
    <x v="5"/>
    <x v="369"/>
    <x v="312"/>
    <x v="312"/>
    <s v="REVENUS"/>
    <x v="6"/>
    <s v="4211.001"/>
    <s v="Intérêts de retard sur factures"/>
    <n v="0"/>
    <n v="1.33"/>
    <n v="4211"/>
  </r>
  <r>
    <x v="2"/>
    <x v="13"/>
    <x v="5"/>
    <x v="369"/>
    <x v="312"/>
    <x v="312"/>
    <s v="REVENUS"/>
    <x v="6"/>
    <s v="4211.002"/>
    <s v="Intérêts de retard sur acomptes"/>
    <n v="0"/>
    <n v="-0.11"/>
    <n v="4211"/>
  </r>
  <r>
    <x v="2"/>
    <x v="13"/>
    <x v="5"/>
    <x v="369"/>
    <x v="312"/>
    <x v="312"/>
    <s v="REVENUS"/>
    <x v="2"/>
    <s v="4001.010"/>
    <s v="Impôt sourciers mixtes"/>
    <n v="0"/>
    <n v="-1154.56"/>
    <n v="4001"/>
  </r>
  <r>
    <x v="2"/>
    <x v="13"/>
    <x v="5"/>
    <x v="369"/>
    <x v="312"/>
    <x v="312"/>
    <s v="REVENUS"/>
    <x v="2"/>
    <s v="4001.001"/>
    <s v="Impôt revenu"/>
    <n v="0"/>
    <n v="0"/>
    <n v="4001"/>
  </r>
  <r>
    <x v="2"/>
    <x v="13"/>
    <x v="5"/>
    <x v="369"/>
    <x v="312"/>
    <x v="312"/>
    <s v="REVENUS"/>
    <x v="2"/>
    <s v="4001.002"/>
    <s v="Impôt complément s/revenu PP"/>
    <n v="0"/>
    <n v="1796.54"/>
    <n v="4001"/>
  </r>
  <r>
    <x v="2"/>
    <x v="0"/>
    <x v="0"/>
    <x v="0"/>
    <x v="0"/>
    <x v="0"/>
    <s v="REVENUS"/>
    <x v="20"/>
    <m/>
    <s v="Frontaliers 2019"/>
    <m/>
    <n v="1288148.8"/>
    <s v="4411 (a)"/>
  </r>
  <r>
    <x v="2"/>
    <x v="0"/>
    <x v="0"/>
    <x v="1"/>
    <x v="1"/>
    <x v="1"/>
    <s v="REVENUS"/>
    <x v="20"/>
    <m/>
    <s v="Frontaliers 2019"/>
    <m/>
    <n v="273206.65000000002"/>
    <s v="4411 (a)"/>
  </r>
  <r>
    <x v="2"/>
    <x v="0"/>
    <x v="0"/>
    <x v="2"/>
    <x v="2"/>
    <x v="2"/>
    <s v="REVENUS"/>
    <x v="20"/>
    <m/>
    <s v="Frontaliers 2019"/>
    <m/>
    <n v="8460.15"/>
    <s v="4411 (a)"/>
  </r>
  <r>
    <x v="2"/>
    <x v="0"/>
    <x v="0"/>
    <x v="3"/>
    <x v="3"/>
    <x v="3"/>
    <s v="REVENUS"/>
    <x v="20"/>
    <m/>
    <s v="Frontaliers 2019"/>
    <m/>
    <n v="16587"/>
    <s v="4411 (a)"/>
  </r>
  <r>
    <x v="2"/>
    <x v="0"/>
    <x v="0"/>
    <x v="4"/>
    <x v="4"/>
    <x v="4"/>
    <s v="REVENUS"/>
    <x v="20"/>
    <m/>
    <s v="Frontaliers 2019"/>
    <m/>
    <n v="463.15"/>
    <s v="4411 (a)"/>
  </r>
  <r>
    <x v="2"/>
    <x v="0"/>
    <x v="0"/>
    <x v="5"/>
    <x v="5"/>
    <x v="5"/>
    <s v="REVENUS"/>
    <x v="20"/>
    <m/>
    <s v="Frontaliers 2019"/>
    <m/>
    <n v="1891.95"/>
    <s v="4411 (a)"/>
  </r>
  <r>
    <x v="2"/>
    <x v="0"/>
    <x v="0"/>
    <x v="6"/>
    <x v="6"/>
    <x v="6"/>
    <s v="REVENUS"/>
    <x v="20"/>
    <m/>
    <s v="Frontaliers 2019"/>
    <m/>
    <n v="64008.35"/>
    <s v="4411 (a)"/>
  </r>
  <r>
    <x v="2"/>
    <x v="0"/>
    <x v="0"/>
    <x v="7"/>
    <x v="7"/>
    <x v="7"/>
    <s v="REVENUS"/>
    <x v="20"/>
    <m/>
    <s v="Frontaliers 2019"/>
    <m/>
    <n v="204831.45"/>
    <s v="4411 (a)"/>
  </r>
  <r>
    <x v="2"/>
    <x v="0"/>
    <x v="0"/>
    <x v="8"/>
    <x v="8"/>
    <x v="8"/>
    <s v="REVENUS"/>
    <x v="20"/>
    <m/>
    <s v="Frontaliers 2019"/>
    <m/>
    <n v="75640.75"/>
    <s v="4411 (a)"/>
  </r>
  <r>
    <x v="2"/>
    <x v="0"/>
    <x v="0"/>
    <x v="9"/>
    <x v="9"/>
    <x v="9"/>
    <s v="REVENUS"/>
    <x v="20"/>
    <m/>
    <s v="Frontaliers 2019"/>
    <m/>
    <n v="6858.4"/>
    <s v="4411 (a)"/>
  </r>
  <r>
    <x v="2"/>
    <x v="0"/>
    <x v="0"/>
    <x v="10"/>
    <x v="10"/>
    <x v="10"/>
    <s v="REVENUS"/>
    <x v="20"/>
    <m/>
    <s v="Frontaliers 2019"/>
    <m/>
    <n v="22248.05"/>
    <s v="4411 (a)"/>
  </r>
  <r>
    <x v="2"/>
    <x v="0"/>
    <x v="0"/>
    <x v="11"/>
    <x v="11"/>
    <x v="11"/>
    <s v="REVENUS"/>
    <x v="20"/>
    <m/>
    <s v="Frontaliers 2019"/>
    <m/>
    <n v="257000.25"/>
    <s v="4411 (a)"/>
  </r>
  <r>
    <x v="2"/>
    <x v="0"/>
    <x v="0"/>
    <x v="12"/>
    <x v="12"/>
    <x v="12"/>
    <s v="REVENUS"/>
    <x v="20"/>
    <m/>
    <s v="Frontaliers 2019"/>
    <m/>
    <n v="275376.59999999998"/>
    <s v="4411 (a)"/>
  </r>
  <r>
    <x v="2"/>
    <x v="0"/>
    <x v="0"/>
    <x v="13"/>
    <x v="13"/>
    <x v="13"/>
    <s v="REVENUS"/>
    <x v="20"/>
    <m/>
    <s v="Frontaliers 2019"/>
    <m/>
    <n v="1579016.8"/>
    <s v="4411 (a)"/>
  </r>
  <r>
    <x v="2"/>
    <x v="0"/>
    <x v="0"/>
    <x v="14"/>
    <x v="14"/>
    <x v="14"/>
    <s v="REVENUS"/>
    <x v="20"/>
    <m/>
    <s v="Frontaliers 2019"/>
    <m/>
    <n v="40570.300000000003"/>
    <s v="4411 (a)"/>
  </r>
  <r>
    <x v="2"/>
    <x v="1"/>
    <x v="1"/>
    <x v="15"/>
    <x v="15"/>
    <x v="15"/>
    <s v="REVENUS"/>
    <x v="20"/>
    <m/>
    <s v="Frontaliers 2019"/>
    <m/>
    <n v="37966.6"/>
    <s v="4411 (a)"/>
  </r>
  <r>
    <x v="2"/>
    <x v="1"/>
    <x v="1"/>
    <x v="16"/>
    <x v="16"/>
    <x v="16"/>
    <s v="REVENUS"/>
    <x v="20"/>
    <m/>
    <s v="Frontaliers 2019"/>
    <m/>
    <n v="1045403.05"/>
    <s v="4411 (a)"/>
  </r>
  <r>
    <x v="2"/>
    <x v="1"/>
    <x v="1"/>
    <x v="17"/>
    <x v="17"/>
    <x v="17"/>
    <s v="REVENUS"/>
    <x v="20"/>
    <m/>
    <s v="Frontaliers 2019"/>
    <m/>
    <n v="23095.75"/>
    <s v="4411 (a)"/>
  </r>
  <r>
    <x v="2"/>
    <x v="1"/>
    <x v="1"/>
    <x v="19"/>
    <x v="19"/>
    <x v="19"/>
    <s v="REVENUS"/>
    <x v="20"/>
    <m/>
    <s v="Frontaliers 2019"/>
    <m/>
    <n v="61405.1"/>
    <s v="4411 (a)"/>
  </r>
  <r>
    <x v="2"/>
    <x v="1"/>
    <x v="1"/>
    <x v="20"/>
    <x v="20"/>
    <x v="20"/>
    <s v="REVENUS"/>
    <x v="20"/>
    <m/>
    <s v="Frontaliers 2019"/>
    <m/>
    <n v="12909.65"/>
    <s v="4411 (a)"/>
  </r>
  <r>
    <x v="2"/>
    <x v="1"/>
    <x v="1"/>
    <x v="21"/>
    <x v="21"/>
    <x v="21"/>
    <s v="REVENUS"/>
    <x v="20"/>
    <m/>
    <s v="Frontaliers 2019"/>
    <m/>
    <n v="11820.25"/>
    <s v="4411 (a)"/>
  </r>
  <r>
    <x v="2"/>
    <x v="1"/>
    <x v="1"/>
    <x v="22"/>
    <x v="22"/>
    <x v="22"/>
    <s v="REVENUS"/>
    <x v="20"/>
    <m/>
    <s v="Frontaliers 2019"/>
    <m/>
    <n v="249456.7"/>
    <s v="4411 (a)"/>
  </r>
  <r>
    <x v="2"/>
    <x v="2"/>
    <x v="2"/>
    <x v="24"/>
    <x v="24"/>
    <x v="24"/>
    <s v="REVENUS"/>
    <x v="20"/>
    <m/>
    <s v="Frontaliers 2019"/>
    <m/>
    <n v="6870.3"/>
    <s v="4411 (a)"/>
  </r>
  <r>
    <x v="2"/>
    <x v="1"/>
    <x v="1"/>
    <x v="25"/>
    <x v="25"/>
    <x v="25"/>
    <s v="REVENUS"/>
    <x v="20"/>
    <m/>
    <s v="Frontaliers 2019"/>
    <m/>
    <n v="178.1"/>
    <s v="4411 (a)"/>
  </r>
  <r>
    <x v="2"/>
    <x v="1"/>
    <x v="1"/>
    <x v="26"/>
    <x v="26"/>
    <x v="26"/>
    <s v="REVENUS"/>
    <x v="20"/>
    <m/>
    <s v="Frontaliers 2019"/>
    <m/>
    <n v="17115.900000000001"/>
    <s v="4411 (a)"/>
  </r>
  <r>
    <x v="2"/>
    <x v="2"/>
    <x v="2"/>
    <x v="27"/>
    <x v="27"/>
    <x v="27"/>
    <s v="REVENUS"/>
    <x v="20"/>
    <m/>
    <s v="Frontaliers 2019"/>
    <m/>
    <n v="27638.1"/>
    <s v="4411 (a)"/>
  </r>
  <r>
    <x v="2"/>
    <x v="1"/>
    <x v="1"/>
    <x v="28"/>
    <x v="28"/>
    <x v="28"/>
    <s v="REVENUS"/>
    <x v="20"/>
    <m/>
    <s v="Frontaliers 2019"/>
    <m/>
    <n v="18525.05"/>
    <s v="4411 (a)"/>
  </r>
  <r>
    <x v="2"/>
    <x v="1"/>
    <x v="1"/>
    <x v="29"/>
    <x v="29"/>
    <x v="29"/>
    <s v="REVENUS"/>
    <x v="20"/>
    <m/>
    <s v="Frontaliers 2019"/>
    <m/>
    <n v="171.1"/>
    <s v="4411 (a)"/>
  </r>
  <r>
    <x v="2"/>
    <x v="3"/>
    <x v="3"/>
    <x v="31"/>
    <x v="31"/>
    <x v="31"/>
    <s v="REVENUS"/>
    <x v="20"/>
    <m/>
    <s v="Frontaliers 2019"/>
    <m/>
    <n v="537089.1"/>
    <s v="4411 (a)"/>
  </r>
  <r>
    <x v="2"/>
    <x v="3"/>
    <x v="3"/>
    <x v="35"/>
    <x v="33"/>
    <x v="33"/>
    <s v="REVENUS"/>
    <x v="20"/>
    <m/>
    <s v="Frontaliers 2019"/>
    <m/>
    <n v="5787.35"/>
    <s v="4411 (a)"/>
  </r>
  <r>
    <x v="2"/>
    <x v="3"/>
    <x v="3"/>
    <x v="36"/>
    <x v="34"/>
    <x v="34"/>
    <s v="REVENUS"/>
    <x v="20"/>
    <m/>
    <s v="Frontaliers 2019"/>
    <m/>
    <n v="3878.8"/>
    <s v="4411 (a)"/>
  </r>
  <r>
    <x v="2"/>
    <x v="3"/>
    <x v="3"/>
    <x v="41"/>
    <x v="32"/>
    <x v="32"/>
    <s v="REVENUS"/>
    <x v="20"/>
    <m/>
    <s v="Frontaliers 2019"/>
    <m/>
    <n v="1564.15"/>
    <s v="4411 (a)"/>
  </r>
  <r>
    <x v="2"/>
    <x v="4"/>
    <x v="4"/>
    <x v="42"/>
    <x v="35"/>
    <x v="35"/>
    <s v="REVENUS"/>
    <x v="20"/>
    <m/>
    <s v="Frontaliers 2019"/>
    <m/>
    <n v="24383.75"/>
    <s v="4411 (a)"/>
  </r>
  <r>
    <x v="2"/>
    <x v="4"/>
    <x v="4"/>
    <x v="44"/>
    <x v="37"/>
    <x v="37"/>
    <s v="REVENUS"/>
    <x v="20"/>
    <m/>
    <s v="Frontaliers 2019"/>
    <m/>
    <n v="5808.45"/>
    <s v="4411 (a)"/>
  </r>
  <r>
    <x v="2"/>
    <x v="5"/>
    <x v="1"/>
    <x v="48"/>
    <x v="41"/>
    <x v="41"/>
    <s v="REVENUS"/>
    <x v="20"/>
    <m/>
    <s v="Frontaliers 2019"/>
    <m/>
    <n v="78423.75"/>
    <s v="4411 (a)"/>
  </r>
  <r>
    <x v="2"/>
    <x v="5"/>
    <x v="1"/>
    <x v="50"/>
    <x v="43"/>
    <x v="43"/>
    <s v="REVENUS"/>
    <x v="20"/>
    <m/>
    <s v="Frontaliers 2019"/>
    <m/>
    <n v="8570.9500000000007"/>
    <s v="4411 (a)"/>
  </r>
  <r>
    <x v="2"/>
    <x v="4"/>
    <x v="4"/>
    <x v="51"/>
    <x v="44"/>
    <x v="44"/>
    <s v="REVENUS"/>
    <x v="20"/>
    <m/>
    <s v="Frontaliers 2019"/>
    <m/>
    <n v="204900.85"/>
    <s v="4411 (a)"/>
  </r>
  <r>
    <x v="2"/>
    <x v="5"/>
    <x v="1"/>
    <x v="53"/>
    <x v="46"/>
    <x v="46"/>
    <s v="REVENUS"/>
    <x v="20"/>
    <m/>
    <s v="Frontaliers 2019"/>
    <m/>
    <n v="338711.25"/>
    <s v="4411 (a)"/>
  </r>
  <r>
    <x v="2"/>
    <x v="5"/>
    <x v="1"/>
    <x v="55"/>
    <x v="48"/>
    <x v="48"/>
    <s v="REVENUS"/>
    <x v="20"/>
    <m/>
    <s v="Frontaliers 2019"/>
    <m/>
    <n v="25418.75"/>
    <s v="4411 (a)"/>
  </r>
  <r>
    <x v="2"/>
    <x v="5"/>
    <x v="1"/>
    <x v="56"/>
    <x v="49"/>
    <x v="49"/>
    <s v="REVENUS"/>
    <x v="20"/>
    <m/>
    <s v="Frontaliers 2019"/>
    <m/>
    <n v="13845.05"/>
    <s v="4411 (a)"/>
  </r>
  <r>
    <x v="2"/>
    <x v="5"/>
    <x v="1"/>
    <x v="45"/>
    <x v="38"/>
    <x v="38"/>
    <s v="REVENUS"/>
    <x v="20"/>
    <m/>
    <s v="Frontaliers 2019"/>
    <m/>
    <n v="2422.9499999999998"/>
    <s v="4411 (a)"/>
  </r>
  <r>
    <x v="2"/>
    <x v="5"/>
    <x v="1"/>
    <x v="69"/>
    <x v="62"/>
    <x v="62"/>
    <s v="REVENUS"/>
    <x v="20"/>
    <m/>
    <s v="Frontaliers 2019"/>
    <m/>
    <n v="80908.7"/>
    <s v="4411 (a)"/>
  </r>
  <r>
    <x v="2"/>
    <x v="5"/>
    <x v="1"/>
    <x v="57"/>
    <x v="50"/>
    <x v="50"/>
    <s v="REVENUS"/>
    <x v="20"/>
    <m/>
    <s v="Frontaliers 2019"/>
    <m/>
    <n v="54932.45"/>
    <s v="4411 (a)"/>
  </r>
  <r>
    <x v="2"/>
    <x v="4"/>
    <x v="4"/>
    <x v="60"/>
    <x v="53"/>
    <x v="53"/>
    <s v="REVENUS"/>
    <x v="20"/>
    <m/>
    <s v="Frontaliers 2019"/>
    <m/>
    <n v="199343.7"/>
    <s v="4411 (a)"/>
  </r>
  <r>
    <x v="2"/>
    <x v="5"/>
    <x v="1"/>
    <x v="62"/>
    <x v="55"/>
    <x v="55"/>
    <s v="REVENUS"/>
    <x v="20"/>
    <m/>
    <s v="Frontaliers 2019"/>
    <m/>
    <n v="1976.15"/>
    <s v="4411 (a)"/>
  </r>
  <r>
    <x v="2"/>
    <x v="5"/>
    <x v="1"/>
    <x v="63"/>
    <x v="56"/>
    <x v="56"/>
    <s v="REVENUS"/>
    <x v="20"/>
    <m/>
    <s v="Frontaliers 2019"/>
    <m/>
    <n v="6535.1"/>
    <s v="4411 (a)"/>
  </r>
  <r>
    <x v="2"/>
    <x v="5"/>
    <x v="1"/>
    <x v="64"/>
    <x v="57"/>
    <x v="57"/>
    <s v="REVENUS"/>
    <x v="20"/>
    <m/>
    <s v="Frontaliers 2019"/>
    <m/>
    <n v="72407.399999999994"/>
    <s v="4411 (a)"/>
  </r>
  <r>
    <x v="2"/>
    <x v="5"/>
    <x v="1"/>
    <x v="65"/>
    <x v="58"/>
    <x v="58"/>
    <s v="REVENUS"/>
    <x v="20"/>
    <m/>
    <s v="Frontaliers 2019"/>
    <m/>
    <n v="25200.400000000001"/>
    <s v="4411 (a)"/>
  </r>
  <r>
    <x v="2"/>
    <x v="4"/>
    <x v="4"/>
    <x v="66"/>
    <x v="59"/>
    <x v="59"/>
    <s v="REVENUS"/>
    <x v="20"/>
    <m/>
    <s v="Frontaliers 2019"/>
    <m/>
    <n v="253218.8"/>
    <s v="4411 (a)"/>
  </r>
  <r>
    <x v="2"/>
    <x v="4"/>
    <x v="4"/>
    <x v="67"/>
    <x v="60"/>
    <x v="60"/>
    <s v="REVENUS"/>
    <x v="20"/>
    <m/>
    <s v="Frontaliers 2019"/>
    <m/>
    <n v="84746.65"/>
    <s v="4411 (a)"/>
  </r>
  <r>
    <x v="2"/>
    <x v="5"/>
    <x v="1"/>
    <x v="68"/>
    <x v="61"/>
    <x v="61"/>
    <s v="REVENUS"/>
    <x v="20"/>
    <m/>
    <s v="Frontaliers 2019"/>
    <m/>
    <n v="213258.85"/>
    <s v="4411 (a)"/>
  </r>
  <r>
    <x v="2"/>
    <x v="5"/>
    <x v="1"/>
    <x v="70"/>
    <x v="63"/>
    <x v="63"/>
    <s v="REVENUS"/>
    <x v="20"/>
    <m/>
    <s v="Frontaliers 2019"/>
    <m/>
    <n v="15029.85"/>
    <s v="4411 (a)"/>
  </r>
  <r>
    <x v="2"/>
    <x v="4"/>
    <x v="4"/>
    <x v="72"/>
    <x v="65"/>
    <x v="65"/>
    <s v="REVENUS"/>
    <x v="20"/>
    <m/>
    <s v="Frontaliers 2019"/>
    <m/>
    <n v="6179.4"/>
    <s v="4411 (a)"/>
  </r>
  <r>
    <x v="2"/>
    <x v="4"/>
    <x v="4"/>
    <x v="73"/>
    <x v="66"/>
    <x v="66"/>
    <s v="REVENUS"/>
    <x v="20"/>
    <m/>
    <s v="Frontaliers 2019"/>
    <m/>
    <n v="85743"/>
    <s v="4411 (a)"/>
  </r>
  <r>
    <x v="2"/>
    <x v="4"/>
    <x v="4"/>
    <x v="74"/>
    <x v="67"/>
    <x v="67"/>
    <s v="REVENUS"/>
    <x v="20"/>
    <m/>
    <s v="Frontaliers 2019"/>
    <m/>
    <n v="19141.8"/>
    <s v="4411 (a)"/>
  </r>
  <r>
    <x v="2"/>
    <x v="4"/>
    <x v="4"/>
    <x v="75"/>
    <x v="68"/>
    <x v="68"/>
    <s v="REVENUS"/>
    <x v="20"/>
    <m/>
    <s v="Frontaliers 2019"/>
    <m/>
    <n v="67506.7"/>
    <s v="4411 (a)"/>
  </r>
  <r>
    <x v="2"/>
    <x v="4"/>
    <x v="4"/>
    <x v="76"/>
    <x v="69"/>
    <x v="69"/>
    <s v="REVENUS"/>
    <x v="20"/>
    <m/>
    <s v="Frontaliers 2019"/>
    <m/>
    <n v="308830.75"/>
    <s v="4411 (a)"/>
  </r>
  <r>
    <x v="2"/>
    <x v="4"/>
    <x v="4"/>
    <x v="77"/>
    <x v="70"/>
    <x v="70"/>
    <s v="REVENUS"/>
    <x v="20"/>
    <m/>
    <s v="Frontaliers 2019"/>
    <m/>
    <n v="8976.5499999999993"/>
    <s v="4411 (a)"/>
  </r>
  <r>
    <x v="2"/>
    <x v="4"/>
    <x v="4"/>
    <x v="78"/>
    <x v="71"/>
    <x v="71"/>
    <s v="REVENUS"/>
    <x v="20"/>
    <m/>
    <s v="Frontaliers 2019"/>
    <m/>
    <n v="3757.1"/>
    <s v="4411 (a)"/>
  </r>
  <r>
    <x v="2"/>
    <x v="4"/>
    <x v="4"/>
    <x v="79"/>
    <x v="72"/>
    <x v="72"/>
    <s v="REVENUS"/>
    <x v="20"/>
    <m/>
    <s v="Frontaliers 2019"/>
    <m/>
    <n v="99596.35"/>
    <s v="4411 (a)"/>
  </r>
  <r>
    <x v="2"/>
    <x v="4"/>
    <x v="4"/>
    <x v="81"/>
    <x v="74"/>
    <x v="74"/>
    <s v="REVENUS"/>
    <x v="20"/>
    <m/>
    <s v="Frontaliers 2019"/>
    <m/>
    <n v="164060.75"/>
    <s v="4411 (a)"/>
  </r>
  <r>
    <x v="2"/>
    <x v="4"/>
    <x v="4"/>
    <x v="82"/>
    <x v="75"/>
    <x v="75"/>
    <s v="REVENUS"/>
    <x v="20"/>
    <m/>
    <s v="Frontaliers 2019"/>
    <m/>
    <n v="5690.95"/>
    <s v="4411 (a)"/>
  </r>
  <r>
    <x v="2"/>
    <x v="4"/>
    <x v="4"/>
    <x v="83"/>
    <x v="76"/>
    <x v="76"/>
    <s v="REVENUS"/>
    <x v="20"/>
    <m/>
    <s v="Frontaliers 2019"/>
    <m/>
    <n v="27188"/>
    <s v="4411 (a)"/>
  </r>
  <r>
    <x v="2"/>
    <x v="4"/>
    <x v="4"/>
    <x v="84"/>
    <x v="77"/>
    <x v="77"/>
    <s v="REVENUS"/>
    <x v="20"/>
    <m/>
    <s v="Frontaliers 2019"/>
    <m/>
    <n v="15179"/>
    <s v="4411 (a)"/>
  </r>
  <r>
    <x v="2"/>
    <x v="4"/>
    <x v="4"/>
    <x v="85"/>
    <x v="78"/>
    <x v="78"/>
    <s v="REVENUS"/>
    <x v="20"/>
    <m/>
    <s v="Frontaliers 2019"/>
    <m/>
    <n v="10619.3"/>
    <s v="4411 (a)"/>
  </r>
  <r>
    <x v="2"/>
    <x v="4"/>
    <x v="4"/>
    <x v="102"/>
    <x v="79"/>
    <x v="79"/>
    <s v="REVENUS"/>
    <x v="20"/>
    <m/>
    <s v="Frontaliers 2019"/>
    <m/>
    <n v="9196.2999999999993"/>
    <s v="4411 (a)"/>
  </r>
  <r>
    <x v="2"/>
    <x v="4"/>
    <x v="4"/>
    <x v="88"/>
    <x v="80"/>
    <x v="80"/>
    <s v="REVENUS"/>
    <x v="20"/>
    <m/>
    <s v="Frontaliers 2019"/>
    <m/>
    <n v="9803.75"/>
    <s v="4411 (a)"/>
  </r>
  <r>
    <x v="2"/>
    <x v="4"/>
    <x v="4"/>
    <x v="90"/>
    <x v="81"/>
    <x v="81"/>
    <s v="REVENUS"/>
    <x v="20"/>
    <m/>
    <s v="Frontaliers 2019"/>
    <m/>
    <n v="1847.9"/>
    <s v="4411 (a)"/>
  </r>
  <r>
    <x v="2"/>
    <x v="4"/>
    <x v="4"/>
    <x v="91"/>
    <x v="82"/>
    <x v="82"/>
    <s v="REVENUS"/>
    <x v="20"/>
    <m/>
    <s v="Frontaliers 2019"/>
    <m/>
    <n v="18495.150000000001"/>
    <s v="4411 (a)"/>
  </r>
  <r>
    <x v="2"/>
    <x v="4"/>
    <x v="4"/>
    <x v="92"/>
    <x v="83"/>
    <x v="83"/>
    <s v="REVENUS"/>
    <x v="20"/>
    <m/>
    <s v="Frontaliers 2019"/>
    <m/>
    <n v="19757.3"/>
    <s v="4411 (a)"/>
  </r>
  <r>
    <x v="2"/>
    <x v="4"/>
    <x v="4"/>
    <x v="94"/>
    <x v="84"/>
    <x v="84"/>
    <s v="REVENUS"/>
    <x v="20"/>
    <m/>
    <s v="Frontaliers 2019"/>
    <m/>
    <n v="752.3"/>
    <s v="4411 (a)"/>
  </r>
  <r>
    <x v="2"/>
    <x v="4"/>
    <x v="4"/>
    <x v="95"/>
    <x v="85"/>
    <x v="85"/>
    <s v="REVENUS"/>
    <x v="20"/>
    <m/>
    <s v="Frontaliers 2019"/>
    <m/>
    <n v="27496.9"/>
    <s v="4411 (a)"/>
  </r>
  <r>
    <x v="2"/>
    <x v="4"/>
    <x v="4"/>
    <x v="96"/>
    <x v="86"/>
    <x v="86"/>
    <s v="REVENUS"/>
    <x v="20"/>
    <m/>
    <s v="Frontaliers 2019"/>
    <m/>
    <n v="44895"/>
    <s v="4411 (a)"/>
  </r>
  <r>
    <x v="2"/>
    <x v="4"/>
    <x v="4"/>
    <x v="101"/>
    <x v="73"/>
    <x v="73"/>
    <s v="REVENUS"/>
    <x v="20"/>
    <m/>
    <s v="Frontaliers 2019"/>
    <m/>
    <n v="1260.8499999999999"/>
    <s v="4411 (a)"/>
  </r>
  <r>
    <x v="2"/>
    <x v="4"/>
    <x v="4"/>
    <x v="100"/>
    <x v="89"/>
    <x v="89"/>
    <s v="REVENUS"/>
    <x v="20"/>
    <m/>
    <s v="Frontaliers 2019"/>
    <m/>
    <n v="19878.05"/>
    <s v="4411 (a)"/>
  </r>
  <r>
    <x v="2"/>
    <x v="6"/>
    <x v="5"/>
    <x v="103"/>
    <x v="90"/>
    <x v="90"/>
    <s v="REVENUS"/>
    <x v="20"/>
    <m/>
    <s v="Frontaliers 2019"/>
    <m/>
    <n v="30909.3"/>
    <s v="4411 (a)"/>
  </r>
  <r>
    <x v="2"/>
    <x v="6"/>
    <x v="5"/>
    <x v="104"/>
    <x v="91"/>
    <x v="91"/>
    <s v="REVENUS"/>
    <x v="20"/>
    <m/>
    <s v="Frontaliers 2019"/>
    <m/>
    <n v="65482.45"/>
    <s v="4411 (a)"/>
  </r>
  <r>
    <x v="2"/>
    <x v="6"/>
    <x v="5"/>
    <x v="105"/>
    <x v="92"/>
    <x v="92"/>
    <s v="REVENUS"/>
    <x v="20"/>
    <m/>
    <s v="Frontaliers 2019"/>
    <m/>
    <n v="172905.8"/>
    <s v="4411 (a)"/>
  </r>
  <r>
    <x v="2"/>
    <x v="6"/>
    <x v="5"/>
    <x v="106"/>
    <x v="93"/>
    <x v="93"/>
    <s v="REVENUS"/>
    <x v="20"/>
    <m/>
    <s v="Frontaliers 2019"/>
    <m/>
    <n v="2598.0500000000002"/>
    <s v="4411 (a)"/>
  </r>
  <r>
    <x v="2"/>
    <x v="6"/>
    <x v="5"/>
    <x v="107"/>
    <x v="94"/>
    <x v="94"/>
    <s v="REVENUS"/>
    <x v="20"/>
    <m/>
    <s v="Frontaliers 2019"/>
    <m/>
    <n v="8366.85"/>
    <s v="4411 (a)"/>
  </r>
  <r>
    <x v="2"/>
    <x v="6"/>
    <x v="5"/>
    <x v="110"/>
    <x v="97"/>
    <x v="97"/>
    <s v="REVENUS"/>
    <x v="20"/>
    <m/>
    <s v="Frontaliers 2019"/>
    <m/>
    <n v="15752.1"/>
    <s v="4411 (a)"/>
  </r>
  <r>
    <x v="2"/>
    <x v="6"/>
    <x v="5"/>
    <x v="112"/>
    <x v="99"/>
    <x v="99"/>
    <s v="REVENUS"/>
    <x v="20"/>
    <m/>
    <s v="Frontaliers 2019"/>
    <m/>
    <n v="401465.1"/>
    <s v="4411 (a)"/>
  </r>
  <r>
    <x v="2"/>
    <x v="6"/>
    <x v="5"/>
    <x v="116"/>
    <x v="103"/>
    <x v="103"/>
    <s v="REVENUS"/>
    <x v="20"/>
    <m/>
    <s v="Frontaliers 2019"/>
    <m/>
    <n v="40728.550000000003"/>
    <s v="4411 (a)"/>
  </r>
  <r>
    <x v="2"/>
    <x v="6"/>
    <x v="5"/>
    <x v="117"/>
    <x v="104"/>
    <x v="104"/>
    <s v="REVENUS"/>
    <x v="20"/>
    <m/>
    <s v="Frontaliers 2019"/>
    <m/>
    <n v="28034.799999999999"/>
    <s v="4411 (a)"/>
  </r>
  <r>
    <x v="2"/>
    <x v="6"/>
    <x v="5"/>
    <x v="119"/>
    <x v="106"/>
    <x v="106"/>
    <s v="REVENUS"/>
    <x v="20"/>
    <m/>
    <s v="Frontaliers 2019"/>
    <m/>
    <n v="1941083.25"/>
    <s v="4411 (a)"/>
  </r>
  <r>
    <x v="2"/>
    <x v="6"/>
    <x v="5"/>
    <x v="121"/>
    <x v="105"/>
    <x v="105"/>
    <s v="REVENUS"/>
    <x v="20"/>
    <m/>
    <s v="Frontaliers 2019"/>
    <m/>
    <n v="43934.400000000001"/>
    <s v="4411 (a)"/>
  </r>
  <r>
    <x v="2"/>
    <x v="7"/>
    <x v="6"/>
    <x v="122"/>
    <x v="107"/>
    <x v="107"/>
    <s v="REVENUS"/>
    <x v="20"/>
    <m/>
    <s v="Frontaliers 2019"/>
    <m/>
    <n v="6504.65"/>
    <s v="4411 (a)"/>
  </r>
  <r>
    <x v="2"/>
    <x v="8"/>
    <x v="7"/>
    <x v="123"/>
    <x v="108"/>
    <x v="108"/>
    <s v="REVENUS"/>
    <x v="20"/>
    <m/>
    <s v="Frontaliers 2019"/>
    <m/>
    <n v="472098.15"/>
    <s v="4411 (a)"/>
  </r>
  <r>
    <x v="2"/>
    <x v="8"/>
    <x v="8"/>
    <x v="124"/>
    <x v="109"/>
    <x v="109"/>
    <s v="REVENUS"/>
    <x v="20"/>
    <m/>
    <s v="Frontaliers 2019"/>
    <m/>
    <n v="2295455.25"/>
    <s v="4411 (a)"/>
  </r>
  <r>
    <x v="2"/>
    <x v="8"/>
    <x v="7"/>
    <x v="125"/>
    <x v="110"/>
    <x v="110"/>
    <s v="REVENUS"/>
    <x v="20"/>
    <m/>
    <s v="Frontaliers 2019"/>
    <m/>
    <n v="308569.90000000002"/>
    <s v="4411 (a)"/>
  </r>
  <r>
    <x v="2"/>
    <x v="8"/>
    <x v="7"/>
    <x v="126"/>
    <x v="111"/>
    <x v="111"/>
    <s v="REVENUS"/>
    <x v="20"/>
    <m/>
    <s v="Frontaliers 2019"/>
    <m/>
    <n v="1302.3"/>
    <s v="4411 (a)"/>
  </r>
  <r>
    <x v="2"/>
    <x v="8"/>
    <x v="7"/>
    <x v="128"/>
    <x v="113"/>
    <x v="113"/>
    <s v="REVENUS"/>
    <x v="20"/>
    <m/>
    <s v="Frontaliers 2019"/>
    <m/>
    <n v="522589.6"/>
    <s v="4411 (a)"/>
  </r>
  <r>
    <x v="2"/>
    <x v="7"/>
    <x v="6"/>
    <x v="129"/>
    <x v="114"/>
    <x v="114"/>
    <s v="REVENUS"/>
    <x v="20"/>
    <m/>
    <s v="Frontaliers 2019"/>
    <m/>
    <n v="18272.150000000001"/>
    <s v="4411 (a)"/>
  </r>
  <r>
    <x v="2"/>
    <x v="8"/>
    <x v="8"/>
    <x v="130"/>
    <x v="115"/>
    <x v="115"/>
    <s v="REVENUS"/>
    <x v="20"/>
    <m/>
    <s v="Frontaliers 2019"/>
    <m/>
    <n v="1167452.6499999999"/>
    <s v="4411 (a)"/>
  </r>
  <r>
    <x v="2"/>
    <x v="7"/>
    <x v="6"/>
    <x v="131"/>
    <x v="116"/>
    <x v="116"/>
    <s v="REVENUS"/>
    <x v="20"/>
    <m/>
    <s v="Frontaliers 2019"/>
    <m/>
    <n v="153086.15"/>
    <s v="4411 (a)"/>
  </r>
  <r>
    <x v="2"/>
    <x v="8"/>
    <x v="8"/>
    <x v="132"/>
    <x v="117"/>
    <x v="117"/>
    <s v="REVENUS"/>
    <x v="20"/>
    <m/>
    <s v="Frontaliers 2019"/>
    <m/>
    <n v="2364789"/>
    <s v="4411 (a)"/>
  </r>
  <r>
    <x v="2"/>
    <x v="8"/>
    <x v="7"/>
    <x v="133"/>
    <x v="118"/>
    <x v="118"/>
    <s v="REVENUS"/>
    <x v="20"/>
    <m/>
    <s v="Frontaliers 2019"/>
    <m/>
    <n v="220475.4"/>
    <s v="4411 (a)"/>
  </r>
  <r>
    <x v="2"/>
    <x v="13"/>
    <x v="5"/>
    <x v="366"/>
    <x v="310"/>
    <x v="310"/>
    <s v="REVENUS"/>
    <x v="20"/>
    <m/>
    <s v="Frontaliers 2019"/>
    <m/>
    <n v="757257.95"/>
    <s v="4411 (a)"/>
  </r>
  <r>
    <x v="2"/>
    <x v="13"/>
    <x v="5"/>
    <x v="368"/>
    <x v="312"/>
    <x v="312"/>
    <s v="REVENUS"/>
    <x v="20"/>
    <m/>
    <s v="Frontaliers 2019"/>
    <m/>
    <n v="1061298.2"/>
    <s v="4411 (a)"/>
  </r>
  <r>
    <x v="2"/>
    <x v="13"/>
    <x v="5"/>
    <x v="361"/>
    <x v="305"/>
    <x v="305"/>
    <s v="REVENUS"/>
    <x v="20"/>
    <m/>
    <s v="Frontaliers 2019"/>
    <m/>
    <n v="6124106.2999999998"/>
    <s v="4411 (a)"/>
  </r>
  <r>
    <x v="2"/>
    <x v="7"/>
    <x v="6"/>
    <x v="134"/>
    <x v="119"/>
    <x v="119"/>
    <s v="REVENUS"/>
    <x v="20"/>
    <m/>
    <s v="Frontaliers 2019"/>
    <m/>
    <n v="47732.35"/>
    <s v="4411 (a)"/>
  </r>
  <r>
    <x v="2"/>
    <x v="7"/>
    <x v="6"/>
    <x v="137"/>
    <x v="121"/>
    <x v="121"/>
    <s v="REVENUS"/>
    <x v="20"/>
    <m/>
    <s v="Frontaliers 2019"/>
    <m/>
    <n v="105948.3"/>
    <s v="4411 (a)"/>
  </r>
  <r>
    <x v="2"/>
    <x v="7"/>
    <x v="6"/>
    <x v="139"/>
    <x v="122"/>
    <x v="122"/>
    <s v="REVENUS"/>
    <x v="20"/>
    <m/>
    <s v="Frontaliers 2019"/>
    <m/>
    <n v="149368.25"/>
    <s v="4411 (a)"/>
  </r>
  <r>
    <x v="2"/>
    <x v="7"/>
    <x v="6"/>
    <x v="140"/>
    <x v="123"/>
    <x v="123"/>
    <s v="REVENUS"/>
    <x v="20"/>
    <m/>
    <s v="Frontaliers 2019"/>
    <m/>
    <n v="241469.15"/>
    <s v="4411 (a)"/>
  </r>
  <r>
    <x v="2"/>
    <x v="7"/>
    <x v="6"/>
    <x v="143"/>
    <x v="125"/>
    <x v="125"/>
    <s v="REVENUS"/>
    <x v="20"/>
    <m/>
    <s v="Frontaliers 2019"/>
    <m/>
    <n v="1817.85"/>
    <s v="4411 (a)"/>
  </r>
  <r>
    <x v="2"/>
    <x v="7"/>
    <x v="6"/>
    <x v="144"/>
    <x v="126"/>
    <x v="126"/>
    <s v="REVENUS"/>
    <x v="20"/>
    <m/>
    <s v="Frontaliers 2019"/>
    <m/>
    <n v="108590.3"/>
    <s v="4411 (a)"/>
  </r>
  <r>
    <x v="2"/>
    <x v="7"/>
    <x v="6"/>
    <x v="146"/>
    <x v="120"/>
    <x v="120"/>
    <s v="REVENUS"/>
    <x v="20"/>
    <m/>
    <s v="Frontaliers 2019"/>
    <m/>
    <n v="31370.7"/>
    <s v="4411 (a)"/>
  </r>
  <r>
    <x v="2"/>
    <x v="5"/>
    <x v="1"/>
    <x v="147"/>
    <x v="127"/>
    <x v="127"/>
    <s v="REVENUS"/>
    <x v="20"/>
    <m/>
    <s v="Frontaliers 2019"/>
    <m/>
    <n v="292461.5"/>
    <s v="4411 (a)"/>
  </r>
  <r>
    <x v="2"/>
    <x v="5"/>
    <x v="1"/>
    <x v="148"/>
    <x v="128"/>
    <x v="128"/>
    <s v="REVENUS"/>
    <x v="20"/>
    <m/>
    <s v="Frontaliers 2019"/>
    <m/>
    <n v="26810.25"/>
    <s v="4411 (a)"/>
  </r>
  <r>
    <x v="2"/>
    <x v="5"/>
    <x v="1"/>
    <x v="149"/>
    <x v="129"/>
    <x v="129"/>
    <s v="REVENUS"/>
    <x v="20"/>
    <m/>
    <s v="Frontaliers 2019"/>
    <m/>
    <n v="2588.25"/>
    <s v="4411 (a)"/>
  </r>
  <r>
    <x v="2"/>
    <x v="8"/>
    <x v="8"/>
    <x v="150"/>
    <x v="130"/>
    <x v="130"/>
    <s v="REVENUS"/>
    <x v="20"/>
    <m/>
    <s v="Frontaliers 2019"/>
    <m/>
    <n v="1067420.95"/>
    <s v="4411 (a)"/>
  </r>
  <r>
    <x v="2"/>
    <x v="8"/>
    <x v="8"/>
    <x v="152"/>
    <x v="132"/>
    <x v="132"/>
    <s v="REVENUS"/>
    <x v="20"/>
    <m/>
    <s v="Frontaliers 2019"/>
    <m/>
    <n v="351553.85"/>
    <s v="4411 (a)"/>
  </r>
  <r>
    <x v="2"/>
    <x v="5"/>
    <x v="1"/>
    <x v="153"/>
    <x v="133"/>
    <x v="133"/>
    <s v="REVENUS"/>
    <x v="20"/>
    <m/>
    <s v="Frontaliers 2019"/>
    <m/>
    <n v="9088.4500000000007"/>
    <s v="4411 (a)"/>
  </r>
  <r>
    <x v="2"/>
    <x v="5"/>
    <x v="1"/>
    <x v="156"/>
    <x v="136"/>
    <x v="136"/>
    <s v="REVENUS"/>
    <x v="20"/>
    <m/>
    <s v="Frontaliers 2019"/>
    <m/>
    <n v="1561.75"/>
    <s v="4411 (a)"/>
  </r>
  <r>
    <x v="2"/>
    <x v="5"/>
    <x v="1"/>
    <x v="157"/>
    <x v="137"/>
    <x v="137"/>
    <s v="REVENUS"/>
    <x v="20"/>
    <m/>
    <s v="Frontaliers 2019"/>
    <m/>
    <n v="74620.800000000003"/>
    <s v="4411 (a)"/>
  </r>
  <r>
    <x v="2"/>
    <x v="5"/>
    <x v="1"/>
    <x v="158"/>
    <x v="138"/>
    <x v="138"/>
    <s v="REVENUS"/>
    <x v="20"/>
    <m/>
    <s v="Frontaliers 2019"/>
    <m/>
    <n v="197742.25"/>
    <s v="4411 (a)"/>
  </r>
  <r>
    <x v="2"/>
    <x v="5"/>
    <x v="1"/>
    <x v="159"/>
    <x v="135"/>
    <x v="135"/>
    <s v="REVENUS"/>
    <x v="20"/>
    <m/>
    <s v="Frontaliers 2019"/>
    <m/>
    <n v="34427.1"/>
    <s v="4411 (a)"/>
  </r>
  <r>
    <x v="2"/>
    <x v="8"/>
    <x v="8"/>
    <x v="160"/>
    <x v="139"/>
    <x v="139"/>
    <s v="REVENUS"/>
    <x v="20"/>
    <m/>
    <s v="Frontaliers 2019"/>
    <m/>
    <n v="2487367.85"/>
    <s v="4411 (a)"/>
  </r>
  <r>
    <x v="2"/>
    <x v="5"/>
    <x v="1"/>
    <x v="161"/>
    <x v="140"/>
    <x v="140"/>
    <s v="REVENUS"/>
    <x v="20"/>
    <m/>
    <s v="Frontaliers 2019"/>
    <m/>
    <n v="619311.94999999995"/>
    <s v="4411 (a)"/>
  </r>
  <r>
    <x v="2"/>
    <x v="5"/>
    <x v="1"/>
    <x v="162"/>
    <x v="141"/>
    <x v="141"/>
    <s v="REVENUS"/>
    <x v="20"/>
    <m/>
    <s v="Frontaliers 2019"/>
    <m/>
    <n v="222888.05"/>
    <s v="4411 (a)"/>
  </r>
  <r>
    <x v="2"/>
    <x v="5"/>
    <x v="1"/>
    <x v="163"/>
    <x v="142"/>
    <x v="142"/>
    <s v="REVENUS"/>
    <x v="20"/>
    <m/>
    <s v="Frontaliers 2019"/>
    <m/>
    <n v="290954.15000000002"/>
    <s v="4411 (a)"/>
  </r>
  <r>
    <x v="2"/>
    <x v="5"/>
    <x v="1"/>
    <x v="164"/>
    <x v="143"/>
    <x v="143"/>
    <s v="REVENUS"/>
    <x v="20"/>
    <m/>
    <s v="Frontaliers 2019"/>
    <m/>
    <n v="15484.7"/>
    <s v="4411 (a)"/>
  </r>
  <r>
    <x v="2"/>
    <x v="5"/>
    <x v="1"/>
    <x v="165"/>
    <x v="144"/>
    <x v="144"/>
    <s v="REVENUS"/>
    <x v="20"/>
    <m/>
    <s v="Frontaliers 2019"/>
    <m/>
    <n v="14468.85"/>
    <s v="4411 (a)"/>
  </r>
  <r>
    <x v="2"/>
    <x v="5"/>
    <x v="1"/>
    <x v="167"/>
    <x v="145"/>
    <x v="145"/>
    <s v="REVENUS"/>
    <x v="20"/>
    <m/>
    <s v="Frontaliers 2019"/>
    <m/>
    <n v="1316828.75"/>
    <s v="4411 (a)"/>
  </r>
  <r>
    <x v="2"/>
    <x v="5"/>
    <x v="1"/>
    <x v="168"/>
    <x v="146"/>
    <x v="146"/>
    <s v="REVENUS"/>
    <x v="20"/>
    <m/>
    <s v="Frontaliers 2019"/>
    <m/>
    <n v="212698.65"/>
    <s v="4411 (a)"/>
  </r>
  <r>
    <x v="2"/>
    <x v="5"/>
    <x v="1"/>
    <x v="169"/>
    <x v="147"/>
    <x v="147"/>
    <s v="REVENUS"/>
    <x v="20"/>
    <m/>
    <s v="Frontaliers 2019"/>
    <m/>
    <n v="4509.8999999999996"/>
    <s v="4411 (a)"/>
  </r>
  <r>
    <x v="2"/>
    <x v="5"/>
    <x v="1"/>
    <x v="170"/>
    <x v="148"/>
    <x v="148"/>
    <s v="REVENUS"/>
    <x v="20"/>
    <m/>
    <s v="Frontaliers 2019"/>
    <m/>
    <n v="37607.800000000003"/>
    <s v="4411 (a)"/>
  </r>
  <r>
    <x v="2"/>
    <x v="5"/>
    <x v="1"/>
    <x v="171"/>
    <x v="149"/>
    <x v="149"/>
    <s v="REVENUS"/>
    <x v="20"/>
    <m/>
    <s v="Frontaliers 2019"/>
    <m/>
    <n v="1057317.55"/>
    <s v="4411 (a)"/>
  </r>
  <r>
    <x v="2"/>
    <x v="8"/>
    <x v="8"/>
    <x v="173"/>
    <x v="150"/>
    <x v="150"/>
    <s v="REVENUS"/>
    <x v="20"/>
    <m/>
    <s v="Frontaliers 2019"/>
    <m/>
    <n v="85040.6"/>
    <s v="4411 (a)"/>
  </r>
  <r>
    <x v="2"/>
    <x v="5"/>
    <x v="1"/>
    <x v="174"/>
    <x v="151"/>
    <x v="151"/>
    <s v="REVENUS"/>
    <x v="20"/>
    <m/>
    <s v="Frontaliers 2019"/>
    <m/>
    <n v="588474.4"/>
    <s v="4411 (a)"/>
  </r>
  <r>
    <x v="2"/>
    <x v="5"/>
    <x v="1"/>
    <x v="175"/>
    <x v="152"/>
    <x v="152"/>
    <s v="REVENUS"/>
    <x v="20"/>
    <m/>
    <s v="Frontaliers 2019"/>
    <m/>
    <n v="46.25"/>
    <s v="4411 (a)"/>
  </r>
  <r>
    <x v="2"/>
    <x v="8"/>
    <x v="8"/>
    <x v="176"/>
    <x v="153"/>
    <x v="153"/>
    <s v="REVENUS"/>
    <x v="20"/>
    <m/>
    <s v="Frontaliers 2019"/>
    <m/>
    <n v="126090.95"/>
    <s v="4411 (a)"/>
  </r>
  <r>
    <x v="2"/>
    <x v="5"/>
    <x v="1"/>
    <x v="177"/>
    <x v="154"/>
    <x v="154"/>
    <s v="REVENUS"/>
    <x v="20"/>
    <m/>
    <s v="Frontaliers 2019"/>
    <m/>
    <n v="3228.45"/>
    <s v="4411 (a)"/>
  </r>
  <r>
    <x v="2"/>
    <x v="5"/>
    <x v="1"/>
    <x v="178"/>
    <x v="155"/>
    <x v="155"/>
    <s v="REVENUS"/>
    <x v="20"/>
    <m/>
    <s v="Frontaliers 2019"/>
    <m/>
    <n v="6135.7"/>
    <s v="4411 (a)"/>
  </r>
  <r>
    <x v="2"/>
    <x v="5"/>
    <x v="1"/>
    <x v="179"/>
    <x v="156"/>
    <x v="156"/>
    <s v="REVENUS"/>
    <x v="20"/>
    <m/>
    <s v="Frontaliers 2019"/>
    <m/>
    <n v="6506.75"/>
    <s v="4411 (a)"/>
  </r>
  <r>
    <x v="2"/>
    <x v="5"/>
    <x v="1"/>
    <x v="180"/>
    <x v="157"/>
    <x v="157"/>
    <s v="REVENUS"/>
    <x v="20"/>
    <m/>
    <s v="Frontaliers 2019"/>
    <m/>
    <n v="104127.75"/>
    <s v="4411 (a)"/>
  </r>
  <r>
    <x v="2"/>
    <x v="4"/>
    <x v="4"/>
    <x v="181"/>
    <x v="158"/>
    <x v="158"/>
    <s v="REVENUS"/>
    <x v="20"/>
    <m/>
    <s v="Frontaliers 2019"/>
    <m/>
    <n v="18651.95"/>
    <s v="4411 (a)"/>
  </r>
  <r>
    <x v="2"/>
    <x v="3"/>
    <x v="3"/>
    <x v="192"/>
    <x v="165"/>
    <x v="165"/>
    <s v="REVENUS"/>
    <x v="20"/>
    <m/>
    <s v="Frontaliers 2019"/>
    <m/>
    <n v="14893.5"/>
    <s v="4411 (a)"/>
  </r>
  <r>
    <x v="2"/>
    <x v="3"/>
    <x v="3"/>
    <x v="194"/>
    <x v="159"/>
    <x v="159"/>
    <s v="REVENUS"/>
    <x v="20"/>
    <m/>
    <s v="Frontaliers 2019"/>
    <m/>
    <n v="47289.1"/>
    <s v="4411 (a)"/>
  </r>
  <r>
    <x v="2"/>
    <x v="3"/>
    <x v="3"/>
    <x v="197"/>
    <x v="167"/>
    <x v="167"/>
    <s v="REVENUS"/>
    <x v="20"/>
    <m/>
    <s v="Frontaliers 2019"/>
    <m/>
    <n v="194976.2"/>
    <s v="4411 (a)"/>
  </r>
  <r>
    <x v="2"/>
    <x v="3"/>
    <x v="3"/>
    <x v="205"/>
    <x v="172"/>
    <x v="172"/>
    <s v="REVENUS"/>
    <x v="20"/>
    <m/>
    <s v="Frontaliers 2019"/>
    <m/>
    <n v="13335.05"/>
    <s v="4411 (a)"/>
  </r>
  <r>
    <x v="2"/>
    <x v="4"/>
    <x v="4"/>
    <x v="206"/>
    <x v="161"/>
    <x v="161"/>
    <s v="REVENUS"/>
    <x v="20"/>
    <m/>
    <s v="Frontaliers 2019"/>
    <m/>
    <n v="48251.05"/>
    <s v="4411 (a)"/>
  </r>
  <r>
    <x v="2"/>
    <x v="2"/>
    <x v="2"/>
    <x v="208"/>
    <x v="174"/>
    <x v="174"/>
    <s v="REVENUS"/>
    <x v="20"/>
    <m/>
    <s v="Frontaliers 2019"/>
    <m/>
    <n v="74885.100000000006"/>
    <s v="4411 (a)"/>
  </r>
  <r>
    <x v="2"/>
    <x v="2"/>
    <x v="2"/>
    <x v="209"/>
    <x v="175"/>
    <x v="175"/>
    <s v="REVENUS"/>
    <x v="20"/>
    <m/>
    <s v="Frontaliers 2019"/>
    <m/>
    <n v="30174.35"/>
    <s v="4411 (a)"/>
  </r>
  <r>
    <x v="2"/>
    <x v="2"/>
    <x v="2"/>
    <x v="210"/>
    <x v="176"/>
    <x v="176"/>
    <s v="REVENUS"/>
    <x v="20"/>
    <m/>
    <s v="Frontaliers 2019"/>
    <m/>
    <n v="30752.45"/>
    <s v="4411 (a)"/>
  </r>
  <r>
    <x v="2"/>
    <x v="2"/>
    <x v="2"/>
    <x v="211"/>
    <x v="177"/>
    <x v="177"/>
    <s v="REVENUS"/>
    <x v="20"/>
    <m/>
    <s v="Frontaliers 2019"/>
    <m/>
    <n v="37516"/>
    <s v="4411 (a)"/>
  </r>
  <r>
    <x v="2"/>
    <x v="2"/>
    <x v="2"/>
    <x v="212"/>
    <x v="178"/>
    <x v="178"/>
    <s v="REVENUS"/>
    <x v="20"/>
    <m/>
    <s v="Frontaliers 2019"/>
    <m/>
    <n v="15345.4"/>
    <s v="4411 (a)"/>
  </r>
  <r>
    <x v="2"/>
    <x v="2"/>
    <x v="2"/>
    <x v="213"/>
    <x v="179"/>
    <x v="179"/>
    <s v="REVENUS"/>
    <x v="20"/>
    <m/>
    <s v="Frontaliers 2019"/>
    <m/>
    <n v="787653.25"/>
    <s v="4411 (a)"/>
  </r>
  <r>
    <x v="2"/>
    <x v="2"/>
    <x v="2"/>
    <x v="214"/>
    <x v="180"/>
    <x v="180"/>
    <s v="REVENUS"/>
    <x v="20"/>
    <m/>
    <s v="Frontaliers 2019"/>
    <m/>
    <n v="8131.3"/>
    <s v="4411 (a)"/>
  </r>
  <r>
    <x v="2"/>
    <x v="2"/>
    <x v="2"/>
    <x v="215"/>
    <x v="181"/>
    <x v="181"/>
    <s v="REVENUS"/>
    <x v="20"/>
    <m/>
    <s v="Frontaliers 2019"/>
    <m/>
    <n v="40941"/>
    <s v="4411 (a)"/>
  </r>
  <r>
    <x v="2"/>
    <x v="2"/>
    <x v="2"/>
    <x v="216"/>
    <x v="182"/>
    <x v="182"/>
    <s v="REVENUS"/>
    <x v="20"/>
    <m/>
    <s v="Frontaliers 2019"/>
    <m/>
    <n v="29012.95"/>
    <s v="4411 (a)"/>
  </r>
  <r>
    <x v="2"/>
    <x v="2"/>
    <x v="2"/>
    <x v="217"/>
    <x v="183"/>
    <x v="183"/>
    <s v="REVENUS"/>
    <x v="20"/>
    <m/>
    <s v="Frontaliers 2019"/>
    <m/>
    <n v="40394.75"/>
    <s v="4411 (a)"/>
  </r>
  <r>
    <x v="2"/>
    <x v="2"/>
    <x v="2"/>
    <x v="218"/>
    <x v="184"/>
    <x v="184"/>
    <s v="REVENUS"/>
    <x v="20"/>
    <m/>
    <s v="Frontaliers 2019"/>
    <m/>
    <n v="122896.1"/>
    <s v="4411 (a)"/>
  </r>
  <r>
    <x v="2"/>
    <x v="2"/>
    <x v="2"/>
    <x v="219"/>
    <x v="185"/>
    <x v="185"/>
    <s v="REVENUS"/>
    <x v="20"/>
    <m/>
    <s v="Frontaliers 2019"/>
    <m/>
    <n v="47661.35"/>
    <s v="4411 (a)"/>
  </r>
  <r>
    <x v="2"/>
    <x v="2"/>
    <x v="2"/>
    <x v="220"/>
    <x v="186"/>
    <x v="186"/>
    <s v="REVENUS"/>
    <x v="20"/>
    <m/>
    <s v="Frontaliers 2019"/>
    <m/>
    <n v="130763.45"/>
    <s v="4411 (a)"/>
  </r>
  <r>
    <x v="2"/>
    <x v="2"/>
    <x v="2"/>
    <x v="221"/>
    <x v="187"/>
    <x v="187"/>
    <s v="REVENUS"/>
    <x v="20"/>
    <m/>
    <s v="Frontaliers 2019"/>
    <m/>
    <n v="89546.35"/>
    <s v="4411 (a)"/>
  </r>
  <r>
    <x v="2"/>
    <x v="2"/>
    <x v="2"/>
    <x v="222"/>
    <x v="188"/>
    <x v="188"/>
    <s v="REVENUS"/>
    <x v="20"/>
    <m/>
    <s v="Frontaliers 2019"/>
    <m/>
    <n v="574592.4"/>
    <s v="4411 (a)"/>
  </r>
  <r>
    <x v="2"/>
    <x v="2"/>
    <x v="2"/>
    <x v="223"/>
    <x v="189"/>
    <x v="189"/>
    <s v="REVENUS"/>
    <x v="20"/>
    <m/>
    <s v="Frontaliers 2019"/>
    <m/>
    <n v="222193.9"/>
    <s v="4411 (a)"/>
  </r>
  <r>
    <x v="2"/>
    <x v="2"/>
    <x v="2"/>
    <x v="224"/>
    <x v="190"/>
    <x v="190"/>
    <s v="REVENUS"/>
    <x v="20"/>
    <m/>
    <s v="Frontaliers 2019"/>
    <m/>
    <n v="269907.05"/>
    <s v="4411 (a)"/>
  </r>
  <r>
    <x v="2"/>
    <x v="2"/>
    <x v="2"/>
    <x v="225"/>
    <x v="191"/>
    <x v="191"/>
    <s v="REVENUS"/>
    <x v="20"/>
    <m/>
    <s v="Frontaliers 2019"/>
    <m/>
    <n v="52212.85"/>
    <s v="4411 (a)"/>
  </r>
  <r>
    <x v="2"/>
    <x v="2"/>
    <x v="2"/>
    <x v="226"/>
    <x v="192"/>
    <x v="192"/>
    <s v="REVENUS"/>
    <x v="20"/>
    <m/>
    <s v="Frontaliers 2019"/>
    <m/>
    <n v="9872.7000000000007"/>
    <s v="4411 (a)"/>
  </r>
  <r>
    <x v="2"/>
    <x v="2"/>
    <x v="2"/>
    <x v="227"/>
    <x v="193"/>
    <x v="193"/>
    <s v="REVENUS"/>
    <x v="20"/>
    <m/>
    <s v="Frontaliers 2019"/>
    <m/>
    <n v="2223465.7000000002"/>
    <s v="4411 (a)"/>
  </r>
  <r>
    <x v="2"/>
    <x v="2"/>
    <x v="2"/>
    <x v="228"/>
    <x v="194"/>
    <x v="194"/>
    <s v="REVENUS"/>
    <x v="20"/>
    <m/>
    <s v="Frontaliers 2019"/>
    <m/>
    <n v="22755.3"/>
    <s v="4411 (a)"/>
  </r>
  <r>
    <x v="2"/>
    <x v="2"/>
    <x v="2"/>
    <x v="232"/>
    <x v="198"/>
    <x v="198"/>
    <s v="REVENUS"/>
    <x v="20"/>
    <m/>
    <s v="Frontaliers 2019"/>
    <m/>
    <n v="38077.35"/>
    <s v="4411 (a)"/>
  </r>
  <r>
    <x v="2"/>
    <x v="2"/>
    <x v="2"/>
    <x v="237"/>
    <x v="203"/>
    <x v="203"/>
    <s v="REVENUS"/>
    <x v="20"/>
    <m/>
    <s v="Frontaliers 2019"/>
    <m/>
    <n v="25723.95"/>
    <s v="4411 (a)"/>
  </r>
  <r>
    <x v="2"/>
    <x v="2"/>
    <x v="2"/>
    <x v="229"/>
    <x v="195"/>
    <x v="195"/>
    <s v="REVENUS"/>
    <x v="20"/>
    <m/>
    <s v="Frontaliers 2019"/>
    <m/>
    <n v="92665.45"/>
    <s v="4411 (a)"/>
  </r>
  <r>
    <x v="2"/>
    <x v="2"/>
    <x v="2"/>
    <x v="230"/>
    <x v="196"/>
    <x v="196"/>
    <s v="REVENUS"/>
    <x v="20"/>
    <m/>
    <s v="Frontaliers 2019"/>
    <m/>
    <n v="4660553.0999999996"/>
    <s v="4411 (a)"/>
  </r>
  <r>
    <x v="2"/>
    <x v="2"/>
    <x v="2"/>
    <x v="231"/>
    <x v="197"/>
    <x v="197"/>
    <s v="REVENUS"/>
    <x v="20"/>
    <m/>
    <s v="Frontaliers 2019"/>
    <m/>
    <n v="1101910.6000000001"/>
    <s v="4411 (a)"/>
  </r>
  <r>
    <x v="2"/>
    <x v="2"/>
    <x v="2"/>
    <x v="233"/>
    <x v="199"/>
    <x v="199"/>
    <s v="REVENUS"/>
    <x v="20"/>
    <m/>
    <s v="Frontaliers 2019"/>
    <m/>
    <n v="191922.4"/>
    <s v="4411 (a)"/>
  </r>
  <r>
    <x v="2"/>
    <x v="2"/>
    <x v="2"/>
    <x v="234"/>
    <x v="200"/>
    <x v="200"/>
    <s v="REVENUS"/>
    <x v="20"/>
    <m/>
    <s v="Frontaliers 2019"/>
    <m/>
    <n v="219621.1"/>
    <s v="4411 (a)"/>
  </r>
  <r>
    <x v="2"/>
    <x v="2"/>
    <x v="2"/>
    <x v="235"/>
    <x v="201"/>
    <x v="201"/>
    <s v="REVENUS"/>
    <x v="20"/>
    <m/>
    <s v="Frontaliers 2019"/>
    <m/>
    <n v="15293.7"/>
    <s v="4411 (a)"/>
  </r>
  <r>
    <x v="2"/>
    <x v="2"/>
    <x v="2"/>
    <x v="236"/>
    <x v="202"/>
    <x v="202"/>
    <s v="REVENUS"/>
    <x v="20"/>
    <m/>
    <s v="Frontaliers 2019"/>
    <m/>
    <n v="7297.75"/>
    <s v="4411 (a)"/>
  </r>
  <r>
    <x v="2"/>
    <x v="2"/>
    <x v="2"/>
    <x v="238"/>
    <x v="204"/>
    <x v="204"/>
    <s v="REVENUS"/>
    <x v="20"/>
    <m/>
    <s v="Frontaliers 2019"/>
    <m/>
    <n v="118685.7"/>
    <s v="4411 (a)"/>
  </r>
  <r>
    <x v="2"/>
    <x v="9"/>
    <x v="5"/>
    <x v="241"/>
    <x v="207"/>
    <x v="207"/>
    <s v="REVENUS"/>
    <x v="20"/>
    <m/>
    <s v="Frontaliers 2019"/>
    <m/>
    <n v="24432.05"/>
    <s v="4411 (a)"/>
  </r>
  <r>
    <x v="2"/>
    <x v="9"/>
    <x v="5"/>
    <x v="242"/>
    <x v="208"/>
    <x v="208"/>
    <s v="REVENUS"/>
    <x v="20"/>
    <m/>
    <s v="Frontaliers 2019"/>
    <m/>
    <n v="1275736.1499999999"/>
    <s v="4411 (a)"/>
  </r>
  <r>
    <x v="2"/>
    <x v="9"/>
    <x v="5"/>
    <x v="243"/>
    <x v="209"/>
    <x v="209"/>
    <s v="REVENUS"/>
    <x v="20"/>
    <m/>
    <s v="Frontaliers 2019"/>
    <m/>
    <n v="205276.15"/>
    <s v="4411 (a)"/>
  </r>
  <r>
    <x v="2"/>
    <x v="9"/>
    <x v="5"/>
    <x v="244"/>
    <x v="210"/>
    <x v="210"/>
    <s v="REVENUS"/>
    <x v="20"/>
    <m/>
    <s v="Frontaliers 2019"/>
    <m/>
    <n v="22104.3"/>
    <s v="4411 (a)"/>
  </r>
  <r>
    <x v="2"/>
    <x v="9"/>
    <x v="5"/>
    <x v="247"/>
    <x v="213"/>
    <x v="213"/>
    <s v="REVENUS"/>
    <x v="20"/>
    <m/>
    <s v="Frontaliers 2019"/>
    <m/>
    <n v="712723.2"/>
    <s v="4411 (a)"/>
  </r>
  <r>
    <x v="2"/>
    <x v="9"/>
    <x v="5"/>
    <x v="250"/>
    <x v="215"/>
    <x v="215"/>
    <s v="REVENUS"/>
    <x v="20"/>
    <m/>
    <s v="Frontaliers 2019"/>
    <m/>
    <n v="34854.65"/>
    <s v="4411 (a)"/>
  </r>
  <r>
    <x v="2"/>
    <x v="9"/>
    <x v="5"/>
    <x v="239"/>
    <x v="205"/>
    <x v="205"/>
    <s v="REVENUS"/>
    <x v="20"/>
    <m/>
    <s v="Frontaliers 2019"/>
    <m/>
    <n v="10634.3"/>
    <s v="4411 (a)"/>
  </r>
  <r>
    <x v="2"/>
    <x v="9"/>
    <x v="5"/>
    <x v="255"/>
    <x v="220"/>
    <x v="220"/>
    <s v="REVENUS"/>
    <x v="20"/>
    <m/>
    <s v="Frontaliers 2019"/>
    <m/>
    <n v="6425.4"/>
    <s v="4411 (a)"/>
  </r>
  <r>
    <x v="2"/>
    <x v="9"/>
    <x v="5"/>
    <x v="248"/>
    <x v="214"/>
    <x v="214"/>
    <s v="REVENUS"/>
    <x v="20"/>
    <m/>
    <s v="Frontaliers 2019"/>
    <m/>
    <n v="7784.9"/>
    <s v="4411 (a)"/>
  </r>
  <r>
    <x v="2"/>
    <x v="9"/>
    <x v="5"/>
    <x v="252"/>
    <x v="217"/>
    <x v="217"/>
    <s v="REVENUS"/>
    <x v="20"/>
    <m/>
    <s v="Frontaliers 2019"/>
    <m/>
    <n v="23527.15"/>
    <s v="4411 (a)"/>
  </r>
  <r>
    <x v="2"/>
    <x v="9"/>
    <x v="5"/>
    <x v="253"/>
    <x v="218"/>
    <x v="218"/>
    <s v="REVENUS"/>
    <x v="20"/>
    <m/>
    <s v="Frontaliers 2019"/>
    <m/>
    <n v="34587.5"/>
    <s v="4411 (a)"/>
  </r>
  <r>
    <x v="2"/>
    <x v="9"/>
    <x v="5"/>
    <x v="254"/>
    <x v="219"/>
    <x v="219"/>
    <s v="REVENUS"/>
    <x v="20"/>
    <m/>
    <s v="Frontaliers 2019"/>
    <m/>
    <n v="2913726.35"/>
    <s v="4411 (a)"/>
  </r>
  <r>
    <x v="2"/>
    <x v="9"/>
    <x v="5"/>
    <x v="256"/>
    <x v="221"/>
    <x v="221"/>
    <s v="REVENUS"/>
    <x v="20"/>
    <m/>
    <s v="Frontaliers 2019"/>
    <m/>
    <n v="1530.1"/>
    <s v="4411 (a)"/>
  </r>
  <r>
    <x v="2"/>
    <x v="9"/>
    <x v="5"/>
    <x v="257"/>
    <x v="222"/>
    <x v="222"/>
    <s v="REVENUS"/>
    <x v="20"/>
    <m/>
    <s v="Frontaliers 2019"/>
    <m/>
    <n v="22152.05"/>
    <s v="4411 (a)"/>
  </r>
  <r>
    <x v="2"/>
    <x v="9"/>
    <x v="5"/>
    <x v="258"/>
    <x v="223"/>
    <x v="223"/>
    <s v="REVENUS"/>
    <x v="20"/>
    <m/>
    <s v="Frontaliers 2019"/>
    <m/>
    <n v="62764.25"/>
    <s v="4411 (a)"/>
  </r>
  <r>
    <x v="2"/>
    <x v="9"/>
    <x v="5"/>
    <x v="260"/>
    <x v="225"/>
    <x v="225"/>
    <s v="REVENUS"/>
    <x v="20"/>
    <m/>
    <s v="Frontaliers 2019"/>
    <m/>
    <n v="40842.1"/>
    <s v="4411 (a)"/>
  </r>
  <r>
    <x v="2"/>
    <x v="9"/>
    <x v="5"/>
    <x v="261"/>
    <x v="226"/>
    <x v="226"/>
    <s v="REVENUS"/>
    <x v="20"/>
    <m/>
    <s v="Frontaliers 2019"/>
    <m/>
    <n v="2315164.4"/>
    <s v="4411 (a)"/>
  </r>
  <r>
    <x v="2"/>
    <x v="9"/>
    <x v="5"/>
    <x v="262"/>
    <x v="227"/>
    <x v="227"/>
    <s v="REVENUS"/>
    <x v="20"/>
    <m/>
    <s v="Frontaliers 2019"/>
    <m/>
    <n v="53317.25"/>
    <s v="4411 (a)"/>
  </r>
  <r>
    <x v="2"/>
    <x v="9"/>
    <x v="5"/>
    <x v="263"/>
    <x v="228"/>
    <x v="228"/>
    <s v="REVENUS"/>
    <x v="20"/>
    <m/>
    <s v="Frontaliers 2019"/>
    <m/>
    <n v="27786"/>
    <s v="4411 (a)"/>
  </r>
  <r>
    <x v="2"/>
    <x v="7"/>
    <x v="6"/>
    <x v="269"/>
    <x v="233"/>
    <x v="233"/>
    <s v="REVENUS"/>
    <x v="20"/>
    <m/>
    <s v="Frontaliers 2019"/>
    <m/>
    <n v="445.1"/>
    <s v="4411 (a)"/>
  </r>
  <r>
    <x v="2"/>
    <x v="7"/>
    <x v="6"/>
    <x v="271"/>
    <x v="234"/>
    <x v="234"/>
    <s v="REVENUS"/>
    <x v="20"/>
    <m/>
    <s v="Frontaliers 2019"/>
    <m/>
    <n v="8885.9"/>
    <s v="4411 (a)"/>
  </r>
  <r>
    <x v="2"/>
    <x v="7"/>
    <x v="6"/>
    <x v="273"/>
    <x v="235"/>
    <x v="235"/>
    <s v="REVENUS"/>
    <x v="20"/>
    <m/>
    <s v="Frontaliers 2019"/>
    <m/>
    <n v="116.15"/>
    <s v="4411 (a)"/>
  </r>
  <r>
    <x v="2"/>
    <x v="3"/>
    <x v="3"/>
    <x v="278"/>
    <x v="236"/>
    <x v="236"/>
    <s v="REVENUS"/>
    <x v="20"/>
    <m/>
    <s v="Frontaliers 2019"/>
    <m/>
    <n v="21843.25"/>
    <s v="4411 (a)"/>
  </r>
  <r>
    <x v="2"/>
    <x v="7"/>
    <x v="6"/>
    <x v="279"/>
    <x v="232"/>
    <x v="232"/>
    <s v="REVENUS"/>
    <x v="20"/>
    <m/>
    <s v="Frontaliers 2019"/>
    <m/>
    <n v="26847.85"/>
    <s v="4411 (a)"/>
  </r>
  <r>
    <x v="2"/>
    <x v="7"/>
    <x v="6"/>
    <x v="284"/>
    <x v="230"/>
    <x v="230"/>
    <s v="REVENUS"/>
    <x v="20"/>
    <m/>
    <s v="Frontaliers 2019"/>
    <m/>
    <n v="124255.6"/>
    <s v="4411 (a)"/>
  </r>
  <r>
    <x v="2"/>
    <x v="3"/>
    <x v="3"/>
    <x v="282"/>
    <x v="237"/>
    <x v="237"/>
    <s v="REVENUS"/>
    <x v="20"/>
    <m/>
    <s v="Frontaliers 2019"/>
    <m/>
    <n v="959.9"/>
    <s v="4411 (a)"/>
  </r>
  <r>
    <x v="2"/>
    <x v="4"/>
    <x v="4"/>
    <x v="283"/>
    <x v="88"/>
    <x v="88"/>
    <s v="REVENUS"/>
    <x v="20"/>
    <m/>
    <s v="Frontaliers 2019"/>
    <m/>
    <n v="8222.75"/>
    <s v="4411 (a)"/>
  </r>
  <r>
    <x v="2"/>
    <x v="7"/>
    <x v="6"/>
    <x v="285"/>
    <x v="229"/>
    <x v="229"/>
    <s v="REVENUS"/>
    <x v="20"/>
    <m/>
    <s v="Frontaliers 2019"/>
    <m/>
    <n v="30186.6"/>
    <s v="4411 (a)"/>
  </r>
  <r>
    <x v="2"/>
    <x v="3"/>
    <x v="3"/>
    <x v="289"/>
    <x v="241"/>
    <x v="241"/>
    <s v="REVENUS"/>
    <x v="20"/>
    <m/>
    <s v="Frontaliers 2019"/>
    <m/>
    <n v="21017.599999999999"/>
    <s v="4411 (a)"/>
  </r>
  <r>
    <x v="2"/>
    <x v="3"/>
    <x v="3"/>
    <x v="290"/>
    <x v="242"/>
    <x v="242"/>
    <s v="REVENUS"/>
    <x v="20"/>
    <m/>
    <s v="Frontaliers 2019"/>
    <m/>
    <n v="597.70000000000005"/>
    <s v="4411 (a)"/>
  </r>
  <r>
    <x v="2"/>
    <x v="3"/>
    <x v="3"/>
    <x v="292"/>
    <x v="243"/>
    <x v="243"/>
    <s v="REVENUS"/>
    <x v="20"/>
    <m/>
    <s v="Frontaliers 2019"/>
    <m/>
    <n v="4251.7"/>
    <s v="4411 (a)"/>
  </r>
  <r>
    <x v="2"/>
    <x v="3"/>
    <x v="3"/>
    <x v="295"/>
    <x v="245"/>
    <x v="245"/>
    <s v="REVENUS"/>
    <x v="20"/>
    <m/>
    <s v="Frontaliers 2019"/>
    <m/>
    <n v="57956.25"/>
    <s v="4411 (a)"/>
  </r>
  <r>
    <x v="2"/>
    <x v="3"/>
    <x v="3"/>
    <x v="300"/>
    <x v="248"/>
    <x v="248"/>
    <s v="REVENUS"/>
    <x v="20"/>
    <m/>
    <s v="Frontaliers 2019"/>
    <m/>
    <n v="6516"/>
    <s v="4411 (a)"/>
  </r>
  <r>
    <x v="2"/>
    <x v="3"/>
    <x v="3"/>
    <x v="301"/>
    <x v="240"/>
    <x v="240"/>
    <s v="REVENUS"/>
    <x v="20"/>
    <m/>
    <s v="Frontaliers 2019"/>
    <m/>
    <n v="22474.9"/>
    <s v="4411 (a)"/>
  </r>
  <r>
    <x v="2"/>
    <x v="10"/>
    <x v="9"/>
    <x v="302"/>
    <x v="249"/>
    <x v="249"/>
    <s v="REVENUS"/>
    <x v="20"/>
    <m/>
    <s v="Frontaliers 2019"/>
    <m/>
    <n v="7425.55"/>
    <s v="4411 (a)"/>
  </r>
  <r>
    <x v="2"/>
    <x v="5"/>
    <x v="1"/>
    <x v="305"/>
    <x v="252"/>
    <x v="252"/>
    <s v="REVENUS"/>
    <x v="20"/>
    <m/>
    <s v="Frontaliers 2019"/>
    <m/>
    <n v="73719.45"/>
    <s v="4411 (a)"/>
  </r>
  <r>
    <x v="2"/>
    <x v="1"/>
    <x v="2"/>
    <x v="306"/>
    <x v="253"/>
    <x v="253"/>
    <s v="REVENUS"/>
    <x v="20"/>
    <m/>
    <s v="Frontaliers 2019"/>
    <m/>
    <n v="8183.75"/>
    <s v="4411 (a)"/>
  </r>
  <r>
    <x v="2"/>
    <x v="1"/>
    <x v="2"/>
    <x v="307"/>
    <x v="254"/>
    <x v="254"/>
    <s v="REVENUS"/>
    <x v="20"/>
    <m/>
    <s v="Frontaliers 2019"/>
    <m/>
    <n v="65850.05"/>
    <s v="4411 (a)"/>
  </r>
  <r>
    <x v="2"/>
    <x v="1"/>
    <x v="2"/>
    <x v="308"/>
    <x v="255"/>
    <x v="255"/>
    <s v="REVENUS"/>
    <x v="20"/>
    <m/>
    <s v="Frontaliers 2019"/>
    <m/>
    <n v="24487.9"/>
    <s v="4411 (a)"/>
  </r>
  <r>
    <x v="2"/>
    <x v="1"/>
    <x v="2"/>
    <x v="309"/>
    <x v="256"/>
    <x v="256"/>
    <s v="REVENUS"/>
    <x v="20"/>
    <m/>
    <s v="Frontaliers 2019"/>
    <m/>
    <n v="1221.55"/>
    <s v="4411 (a)"/>
  </r>
  <r>
    <x v="2"/>
    <x v="1"/>
    <x v="2"/>
    <x v="310"/>
    <x v="257"/>
    <x v="257"/>
    <s v="REVENUS"/>
    <x v="20"/>
    <m/>
    <s v="Frontaliers 2019"/>
    <m/>
    <n v="7661.75"/>
    <s v="4411 (a)"/>
  </r>
  <r>
    <x v="2"/>
    <x v="1"/>
    <x v="2"/>
    <x v="311"/>
    <x v="258"/>
    <x v="258"/>
    <s v="REVENUS"/>
    <x v="20"/>
    <m/>
    <s v="Frontaliers 2019"/>
    <m/>
    <n v="83818.8"/>
    <s v="4411 (a)"/>
  </r>
  <r>
    <x v="2"/>
    <x v="1"/>
    <x v="2"/>
    <x v="312"/>
    <x v="259"/>
    <x v="259"/>
    <s v="REVENUS"/>
    <x v="20"/>
    <m/>
    <s v="Frontaliers 2019"/>
    <m/>
    <n v="4072.3"/>
    <s v="4411 (a)"/>
  </r>
  <r>
    <x v="2"/>
    <x v="1"/>
    <x v="2"/>
    <x v="313"/>
    <x v="260"/>
    <x v="260"/>
    <s v="REVENUS"/>
    <x v="20"/>
    <m/>
    <s v="Frontaliers 2019"/>
    <m/>
    <n v="117869.3"/>
    <s v="4411 (a)"/>
  </r>
  <r>
    <x v="2"/>
    <x v="1"/>
    <x v="2"/>
    <x v="314"/>
    <x v="261"/>
    <x v="261"/>
    <s v="REVENUS"/>
    <x v="20"/>
    <m/>
    <s v="Frontaliers 2019"/>
    <m/>
    <n v="22451.35"/>
    <s v="4411 (a)"/>
  </r>
  <r>
    <x v="2"/>
    <x v="1"/>
    <x v="2"/>
    <x v="315"/>
    <x v="262"/>
    <x v="262"/>
    <s v="REVENUS"/>
    <x v="20"/>
    <m/>
    <s v="Frontaliers 2019"/>
    <m/>
    <n v="582066.6"/>
    <s v="4411 (a)"/>
  </r>
  <r>
    <x v="2"/>
    <x v="1"/>
    <x v="2"/>
    <x v="316"/>
    <x v="263"/>
    <x v="263"/>
    <s v="REVENUS"/>
    <x v="20"/>
    <m/>
    <s v="Frontaliers 2019"/>
    <m/>
    <n v="11024.15"/>
    <s v="4411 (a)"/>
  </r>
  <r>
    <x v="2"/>
    <x v="1"/>
    <x v="2"/>
    <x v="317"/>
    <x v="264"/>
    <x v="264"/>
    <s v="REVENUS"/>
    <x v="20"/>
    <m/>
    <s v="Frontaliers 2019"/>
    <m/>
    <n v="23922.95"/>
    <s v="4411 (a)"/>
  </r>
  <r>
    <x v="2"/>
    <x v="11"/>
    <x v="9"/>
    <x v="318"/>
    <x v="265"/>
    <x v="265"/>
    <s v="REVENUS"/>
    <x v="20"/>
    <m/>
    <s v="Frontaliers 2019"/>
    <m/>
    <n v="98862.75"/>
    <s v="4411 (a)"/>
  </r>
  <r>
    <x v="2"/>
    <x v="11"/>
    <x v="9"/>
    <x v="319"/>
    <x v="266"/>
    <x v="266"/>
    <s v="REVENUS"/>
    <x v="20"/>
    <m/>
    <s v="Frontaliers 2019"/>
    <m/>
    <n v="11194.95"/>
    <s v="4411 (a)"/>
  </r>
  <r>
    <x v="2"/>
    <x v="11"/>
    <x v="9"/>
    <x v="321"/>
    <x v="268"/>
    <x v="268"/>
    <s v="REVENUS"/>
    <x v="20"/>
    <m/>
    <s v="Frontaliers 2019"/>
    <m/>
    <n v="471954.75"/>
    <s v="4411 (a)"/>
  </r>
  <r>
    <x v="2"/>
    <x v="11"/>
    <x v="9"/>
    <x v="322"/>
    <x v="269"/>
    <x v="269"/>
    <s v="REVENUS"/>
    <x v="20"/>
    <m/>
    <s v="Frontaliers 2019"/>
    <m/>
    <n v="2144.65"/>
    <s v="4411 (a)"/>
  </r>
  <r>
    <x v="2"/>
    <x v="11"/>
    <x v="9"/>
    <x v="325"/>
    <x v="272"/>
    <x v="272"/>
    <s v="REVENUS"/>
    <x v="20"/>
    <m/>
    <s v="Frontaliers 2019"/>
    <m/>
    <n v="213995.45"/>
    <s v="4411 (a)"/>
  </r>
  <r>
    <x v="2"/>
    <x v="11"/>
    <x v="9"/>
    <x v="323"/>
    <x v="270"/>
    <x v="270"/>
    <s v="REVENUS"/>
    <x v="20"/>
    <m/>
    <s v="Frontaliers 2019"/>
    <m/>
    <n v="1113954.95"/>
    <s v="4411 (a)"/>
  </r>
  <r>
    <x v="2"/>
    <x v="11"/>
    <x v="9"/>
    <x v="324"/>
    <x v="271"/>
    <x v="271"/>
    <s v="REVENUS"/>
    <x v="20"/>
    <m/>
    <s v="Frontaliers 2019"/>
    <m/>
    <n v="190374.5"/>
    <s v="4411 (a)"/>
  </r>
  <r>
    <x v="2"/>
    <x v="11"/>
    <x v="9"/>
    <x v="326"/>
    <x v="273"/>
    <x v="273"/>
    <s v="REVENUS"/>
    <x v="20"/>
    <m/>
    <s v="Frontaliers 2019"/>
    <m/>
    <n v="928887.1"/>
    <s v="4411 (a)"/>
  </r>
  <r>
    <x v="2"/>
    <x v="11"/>
    <x v="9"/>
    <x v="327"/>
    <x v="274"/>
    <x v="274"/>
    <s v="REVENUS"/>
    <x v="20"/>
    <m/>
    <s v="Frontaliers 2019"/>
    <m/>
    <n v="413.25"/>
    <s v="4411 (a)"/>
  </r>
  <r>
    <x v="2"/>
    <x v="12"/>
    <x v="5"/>
    <x v="329"/>
    <x v="276"/>
    <x v="276"/>
    <s v="REVENUS"/>
    <x v="20"/>
    <m/>
    <s v="Frontaliers 2019"/>
    <m/>
    <n v="24639.1"/>
    <s v="4411 (a)"/>
  </r>
  <r>
    <x v="2"/>
    <x v="12"/>
    <x v="5"/>
    <x v="330"/>
    <x v="277"/>
    <x v="277"/>
    <s v="REVENUS"/>
    <x v="20"/>
    <m/>
    <s v="Frontaliers 2019"/>
    <m/>
    <n v="34103.599999999999"/>
    <s v="4411 (a)"/>
  </r>
  <r>
    <x v="2"/>
    <x v="12"/>
    <x v="5"/>
    <x v="331"/>
    <x v="278"/>
    <x v="278"/>
    <s v="REVENUS"/>
    <x v="20"/>
    <m/>
    <s v="Frontaliers 2019"/>
    <m/>
    <n v="1903.55"/>
    <s v="4411 (a)"/>
  </r>
  <r>
    <x v="2"/>
    <x v="12"/>
    <x v="5"/>
    <x v="333"/>
    <x v="279"/>
    <x v="279"/>
    <s v="REVENUS"/>
    <x v="20"/>
    <m/>
    <s v="Frontaliers 2019"/>
    <m/>
    <n v="7607.85"/>
    <s v="4411 (a)"/>
  </r>
  <r>
    <x v="2"/>
    <x v="12"/>
    <x v="5"/>
    <x v="334"/>
    <x v="280"/>
    <x v="280"/>
    <s v="REVENUS"/>
    <x v="20"/>
    <m/>
    <s v="Frontaliers 2019"/>
    <m/>
    <n v="4476.1000000000004"/>
    <s v="4411 (a)"/>
  </r>
  <r>
    <x v="2"/>
    <x v="12"/>
    <x v="5"/>
    <x v="335"/>
    <x v="281"/>
    <x v="281"/>
    <s v="REVENUS"/>
    <x v="20"/>
    <m/>
    <s v="Frontaliers 2019"/>
    <m/>
    <n v="8854.75"/>
    <s v="4411 (a)"/>
  </r>
  <r>
    <x v="2"/>
    <x v="12"/>
    <x v="5"/>
    <x v="337"/>
    <x v="283"/>
    <x v="283"/>
    <s v="REVENUS"/>
    <x v="20"/>
    <m/>
    <s v="Frontaliers 2019"/>
    <m/>
    <n v="1274"/>
    <s v="4411 (a)"/>
  </r>
  <r>
    <x v="2"/>
    <x v="12"/>
    <x v="5"/>
    <x v="338"/>
    <x v="284"/>
    <x v="284"/>
    <s v="REVENUS"/>
    <x v="20"/>
    <m/>
    <s v="Frontaliers 2019"/>
    <m/>
    <n v="2837.6"/>
    <s v="4411 (a)"/>
  </r>
  <r>
    <x v="2"/>
    <x v="12"/>
    <x v="5"/>
    <x v="339"/>
    <x v="285"/>
    <x v="285"/>
    <s v="REVENUS"/>
    <x v="20"/>
    <m/>
    <s v="Frontaliers 2019"/>
    <m/>
    <n v="30586.9"/>
    <s v="4411 (a)"/>
  </r>
  <r>
    <x v="2"/>
    <x v="12"/>
    <x v="5"/>
    <x v="340"/>
    <x v="286"/>
    <x v="286"/>
    <s v="REVENUS"/>
    <x v="20"/>
    <m/>
    <s v="Frontaliers 2019"/>
    <m/>
    <n v="4770.75"/>
    <s v="4411 (a)"/>
  </r>
  <r>
    <x v="2"/>
    <x v="12"/>
    <x v="5"/>
    <x v="343"/>
    <x v="287"/>
    <x v="287"/>
    <s v="REVENUS"/>
    <x v="20"/>
    <m/>
    <s v="Frontaliers 2019"/>
    <m/>
    <n v="11500.6"/>
    <s v="4411 (a)"/>
  </r>
  <r>
    <x v="2"/>
    <x v="12"/>
    <x v="5"/>
    <x v="344"/>
    <x v="288"/>
    <x v="288"/>
    <s v="REVENUS"/>
    <x v="20"/>
    <m/>
    <s v="Frontaliers 2019"/>
    <m/>
    <n v="1548.45"/>
    <s v="4411 (a)"/>
  </r>
  <r>
    <x v="2"/>
    <x v="12"/>
    <x v="5"/>
    <x v="345"/>
    <x v="289"/>
    <x v="289"/>
    <s v="REVENUS"/>
    <x v="20"/>
    <m/>
    <s v="Frontaliers 2019"/>
    <m/>
    <n v="275454.95"/>
    <s v="4411 (a)"/>
  </r>
  <r>
    <x v="2"/>
    <x v="4"/>
    <x v="4"/>
    <x v="346"/>
    <x v="290"/>
    <x v="290"/>
    <s v="REVENUS"/>
    <x v="20"/>
    <m/>
    <s v="Frontaliers 2019"/>
    <m/>
    <n v="19955.7"/>
    <s v="4411 (a)"/>
  </r>
  <r>
    <x v="2"/>
    <x v="12"/>
    <x v="5"/>
    <x v="347"/>
    <x v="291"/>
    <x v="291"/>
    <s v="REVENUS"/>
    <x v="20"/>
    <m/>
    <s v="Frontaliers 2019"/>
    <m/>
    <n v="16319.85"/>
    <s v="4411 (a)"/>
  </r>
  <r>
    <x v="2"/>
    <x v="12"/>
    <x v="5"/>
    <x v="348"/>
    <x v="292"/>
    <x v="292"/>
    <s v="REVENUS"/>
    <x v="20"/>
    <m/>
    <s v="Frontaliers 2019"/>
    <m/>
    <n v="7684.4"/>
    <s v="4411 (a)"/>
  </r>
  <r>
    <x v="2"/>
    <x v="12"/>
    <x v="5"/>
    <x v="349"/>
    <x v="293"/>
    <x v="293"/>
    <s v="REVENUS"/>
    <x v="20"/>
    <m/>
    <s v="Frontaliers 2019"/>
    <m/>
    <n v="11494.6"/>
    <s v="4411 (a)"/>
  </r>
  <r>
    <x v="2"/>
    <x v="12"/>
    <x v="5"/>
    <x v="350"/>
    <x v="294"/>
    <x v="294"/>
    <s v="REVENUS"/>
    <x v="20"/>
    <m/>
    <s v="Frontaliers 2019"/>
    <m/>
    <n v="5029.1499999999996"/>
    <s v="4411 (a)"/>
  </r>
  <r>
    <x v="2"/>
    <x v="12"/>
    <x v="5"/>
    <x v="351"/>
    <x v="295"/>
    <x v="295"/>
    <s v="REVENUS"/>
    <x v="20"/>
    <m/>
    <s v="Frontaliers 2019"/>
    <m/>
    <n v="10330.75"/>
    <s v="4411 (a)"/>
  </r>
  <r>
    <x v="2"/>
    <x v="12"/>
    <x v="5"/>
    <x v="352"/>
    <x v="296"/>
    <x v="296"/>
    <s v="REVENUS"/>
    <x v="20"/>
    <m/>
    <s v="Frontaliers 2019"/>
    <m/>
    <n v="3787.4"/>
    <s v="4411 (a)"/>
  </r>
  <r>
    <x v="2"/>
    <x v="12"/>
    <x v="5"/>
    <x v="353"/>
    <x v="297"/>
    <x v="297"/>
    <s v="REVENUS"/>
    <x v="20"/>
    <m/>
    <s v="Frontaliers 2019"/>
    <m/>
    <n v="24166.85"/>
    <s v="4411 (a)"/>
  </r>
  <r>
    <x v="2"/>
    <x v="12"/>
    <x v="5"/>
    <x v="355"/>
    <x v="299"/>
    <x v="299"/>
    <s v="REVENUS"/>
    <x v="20"/>
    <m/>
    <s v="Frontaliers 2019"/>
    <m/>
    <n v="17913.95"/>
    <s v="4411 (a)"/>
  </r>
  <r>
    <x v="2"/>
    <x v="12"/>
    <x v="5"/>
    <x v="356"/>
    <x v="300"/>
    <x v="300"/>
    <s v="REVENUS"/>
    <x v="20"/>
    <m/>
    <s v="Frontaliers 2019"/>
    <m/>
    <n v="5644.55"/>
    <s v="4411 (a)"/>
  </r>
  <r>
    <x v="2"/>
    <x v="12"/>
    <x v="5"/>
    <x v="359"/>
    <x v="303"/>
    <x v="303"/>
    <s v="REVENUS"/>
    <x v="20"/>
    <m/>
    <s v="Frontaliers 2019"/>
    <m/>
    <n v="4750911.95"/>
    <s v="4411 (a)"/>
  </r>
  <r>
    <x v="2"/>
    <x v="12"/>
    <x v="5"/>
    <x v="360"/>
    <x v="304"/>
    <x v="304"/>
    <s v="REVENUS"/>
    <x v="20"/>
    <m/>
    <s v="Frontaliers 2019"/>
    <m/>
    <n v="170935.7"/>
    <s v="4411 (a)"/>
  </r>
  <r>
    <x v="2"/>
    <x v="8"/>
    <x v="7"/>
    <x v="127"/>
    <x v="112"/>
    <x v="112"/>
    <s v="REVENUS"/>
    <x v="20"/>
    <m/>
    <s v="Frontaliers 2019"/>
    <m/>
    <n v="13812872.5"/>
    <s v="4411 (a)"/>
  </r>
  <r>
    <x v="0"/>
    <x v="0"/>
    <x v="0"/>
    <x v="0"/>
    <x v="0"/>
    <x v="0"/>
    <s v="REVENUS"/>
    <x v="21"/>
    <m/>
    <s v="Imputation Forfaitaire"/>
    <m/>
    <n v="20400.3"/>
    <s v="4001 (b)"/>
  </r>
  <r>
    <x v="0"/>
    <x v="0"/>
    <x v="0"/>
    <x v="1"/>
    <x v="1"/>
    <x v="1"/>
    <s v="REVENUS"/>
    <x v="21"/>
    <m/>
    <s v="Imputation Forfaitaire"/>
    <m/>
    <n v="2713.5"/>
    <s v="4001 (b)"/>
  </r>
  <r>
    <x v="0"/>
    <x v="0"/>
    <x v="0"/>
    <x v="3"/>
    <x v="3"/>
    <x v="3"/>
    <s v="REVENUS"/>
    <x v="21"/>
    <m/>
    <s v="Imputation Forfaitaire"/>
    <m/>
    <n v="183.3"/>
    <s v="4001 (b)"/>
  </r>
  <r>
    <x v="0"/>
    <x v="0"/>
    <x v="0"/>
    <x v="4"/>
    <x v="4"/>
    <x v="4"/>
    <s v="REVENUS"/>
    <x v="21"/>
    <m/>
    <s v="Imputation Forfaitaire"/>
    <m/>
    <n v="1860.82"/>
    <s v="4001 (b)"/>
  </r>
  <r>
    <x v="0"/>
    <x v="0"/>
    <x v="0"/>
    <x v="5"/>
    <x v="5"/>
    <x v="5"/>
    <s v="REVENUS"/>
    <x v="21"/>
    <m/>
    <s v="Imputation Forfaitaire"/>
    <m/>
    <n v="592.92999999999995"/>
    <s v="4001 (b)"/>
  </r>
  <r>
    <x v="0"/>
    <x v="0"/>
    <x v="0"/>
    <x v="6"/>
    <x v="6"/>
    <x v="6"/>
    <s v="REVENUS"/>
    <x v="21"/>
    <m/>
    <s v="Imputation Forfaitaire"/>
    <m/>
    <n v="6701.08"/>
    <s v="4001 (b)"/>
  </r>
  <r>
    <x v="0"/>
    <x v="0"/>
    <x v="0"/>
    <x v="7"/>
    <x v="7"/>
    <x v="7"/>
    <s v="REVENUS"/>
    <x v="21"/>
    <m/>
    <s v="Imputation Forfaitaire"/>
    <m/>
    <n v="384.63"/>
    <s v="4001 (b)"/>
  </r>
  <r>
    <x v="0"/>
    <x v="0"/>
    <x v="0"/>
    <x v="8"/>
    <x v="8"/>
    <x v="8"/>
    <s v="REVENUS"/>
    <x v="21"/>
    <m/>
    <s v="Imputation Forfaitaire"/>
    <m/>
    <n v="50041.19"/>
    <s v="4001 (b)"/>
  </r>
  <r>
    <x v="0"/>
    <x v="0"/>
    <x v="0"/>
    <x v="9"/>
    <x v="9"/>
    <x v="9"/>
    <s v="REVENUS"/>
    <x v="21"/>
    <m/>
    <s v="Imputation Forfaitaire"/>
    <m/>
    <n v="397.44"/>
    <s v="4001 (b)"/>
  </r>
  <r>
    <x v="0"/>
    <x v="0"/>
    <x v="0"/>
    <x v="10"/>
    <x v="10"/>
    <x v="10"/>
    <s v="REVENUS"/>
    <x v="21"/>
    <m/>
    <s v="Imputation Forfaitaire"/>
    <m/>
    <n v="2357.0100000000002"/>
    <s v="4001 (b)"/>
  </r>
  <r>
    <x v="0"/>
    <x v="0"/>
    <x v="0"/>
    <x v="11"/>
    <x v="11"/>
    <x v="11"/>
    <s v="REVENUS"/>
    <x v="21"/>
    <m/>
    <s v="Imputation Forfaitaire"/>
    <m/>
    <n v="120.95"/>
    <s v="4001 (b)"/>
  </r>
  <r>
    <x v="0"/>
    <x v="0"/>
    <x v="0"/>
    <x v="12"/>
    <x v="12"/>
    <x v="12"/>
    <s v="REVENUS"/>
    <x v="21"/>
    <m/>
    <s v="Imputation Forfaitaire"/>
    <m/>
    <n v="322.97000000000003"/>
    <s v="4001 (b)"/>
  </r>
  <r>
    <x v="0"/>
    <x v="0"/>
    <x v="0"/>
    <x v="13"/>
    <x v="13"/>
    <x v="13"/>
    <s v="REVENUS"/>
    <x v="21"/>
    <m/>
    <s v="Imputation Forfaitaire"/>
    <m/>
    <n v="5477.89"/>
    <s v="4001 (b)"/>
  </r>
  <r>
    <x v="0"/>
    <x v="0"/>
    <x v="0"/>
    <x v="14"/>
    <x v="14"/>
    <x v="14"/>
    <s v="REVENUS"/>
    <x v="21"/>
    <m/>
    <s v="Imputation Forfaitaire"/>
    <m/>
    <n v="798.47"/>
    <s v="4001 (b)"/>
  </r>
  <r>
    <x v="0"/>
    <x v="1"/>
    <x v="1"/>
    <x v="15"/>
    <x v="15"/>
    <x v="15"/>
    <s v="REVENUS"/>
    <x v="21"/>
    <m/>
    <s v="Imputation Forfaitaire"/>
    <m/>
    <n v="5260.21"/>
    <s v="4001 (b)"/>
  </r>
  <r>
    <x v="0"/>
    <x v="1"/>
    <x v="1"/>
    <x v="16"/>
    <x v="16"/>
    <x v="16"/>
    <s v="REVENUS"/>
    <x v="21"/>
    <m/>
    <s v="Imputation Forfaitaire"/>
    <m/>
    <n v="6465.77"/>
    <s v="4001 (b)"/>
  </r>
  <r>
    <x v="0"/>
    <x v="1"/>
    <x v="1"/>
    <x v="17"/>
    <x v="17"/>
    <x v="17"/>
    <s v="REVENUS"/>
    <x v="21"/>
    <m/>
    <s v="Imputation Forfaitaire"/>
    <m/>
    <n v="28.57"/>
    <s v="4001 (b)"/>
  </r>
  <r>
    <x v="0"/>
    <x v="1"/>
    <x v="1"/>
    <x v="19"/>
    <x v="19"/>
    <x v="19"/>
    <s v="REVENUS"/>
    <x v="21"/>
    <m/>
    <s v="Imputation Forfaitaire"/>
    <m/>
    <n v="27.35"/>
    <s v="4001 (b)"/>
  </r>
  <r>
    <x v="0"/>
    <x v="1"/>
    <x v="1"/>
    <x v="20"/>
    <x v="20"/>
    <x v="20"/>
    <s v="REVENUS"/>
    <x v="21"/>
    <m/>
    <s v="Imputation Forfaitaire"/>
    <m/>
    <n v="4586.82"/>
    <s v="4001 (b)"/>
  </r>
  <r>
    <x v="0"/>
    <x v="1"/>
    <x v="1"/>
    <x v="22"/>
    <x v="22"/>
    <x v="22"/>
    <s v="REVENUS"/>
    <x v="21"/>
    <m/>
    <s v="Imputation Forfaitaire"/>
    <m/>
    <n v="212.36"/>
    <s v="4001 (b)"/>
  </r>
  <r>
    <x v="0"/>
    <x v="2"/>
    <x v="2"/>
    <x v="23"/>
    <x v="23"/>
    <x v="23"/>
    <s v="REVENUS"/>
    <x v="21"/>
    <m/>
    <s v="Imputation Forfaitaire"/>
    <m/>
    <n v="38.01"/>
    <s v="4001 (b)"/>
  </r>
  <r>
    <x v="0"/>
    <x v="2"/>
    <x v="2"/>
    <x v="24"/>
    <x v="24"/>
    <x v="24"/>
    <s v="REVENUS"/>
    <x v="21"/>
    <m/>
    <s v="Imputation Forfaitaire"/>
    <m/>
    <n v="108.97"/>
    <s v="4001 (b)"/>
  </r>
  <r>
    <x v="0"/>
    <x v="1"/>
    <x v="1"/>
    <x v="25"/>
    <x v="25"/>
    <x v="25"/>
    <s v="REVENUS"/>
    <x v="21"/>
    <m/>
    <s v="Imputation Forfaitaire"/>
    <m/>
    <n v="2388.17"/>
    <s v="4001 (b)"/>
  </r>
  <r>
    <x v="0"/>
    <x v="1"/>
    <x v="1"/>
    <x v="28"/>
    <x v="28"/>
    <x v="28"/>
    <s v="REVENUS"/>
    <x v="21"/>
    <m/>
    <s v="Imputation Forfaitaire"/>
    <m/>
    <n v="280.23"/>
    <s v="4001 (b)"/>
  </r>
  <r>
    <x v="0"/>
    <x v="1"/>
    <x v="1"/>
    <x v="29"/>
    <x v="29"/>
    <x v="29"/>
    <s v="REVENUS"/>
    <x v="21"/>
    <m/>
    <s v="Imputation Forfaitaire"/>
    <m/>
    <n v="758.29"/>
    <s v="4001 (b)"/>
  </r>
  <r>
    <x v="0"/>
    <x v="1"/>
    <x v="1"/>
    <x v="30"/>
    <x v="30"/>
    <x v="30"/>
    <s v="REVENUS"/>
    <x v="21"/>
    <m/>
    <s v="Imputation Forfaitaire"/>
    <m/>
    <n v="411.53"/>
    <s v="4001 (b)"/>
  </r>
  <r>
    <x v="0"/>
    <x v="3"/>
    <x v="3"/>
    <x v="31"/>
    <x v="31"/>
    <x v="31"/>
    <s v="REVENUS"/>
    <x v="21"/>
    <m/>
    <s v="Imputation Forfaitaire"/>
    <m/>
    <n v="1157.72"/>
    <s v="4001 (b)"/>
  </r>
  <r>
    <x v="0"/>
    <x v="3"/>
    <x v="3"/>
    <x v="35"/>
    <x v="33"/>
    <x v="33"/>
    <s v="REVENUS"/>
    <x v="21"/>
    <m/>
    <s v="Imputation Forfaitaire"/>
    <m/>
    <n v="409.07"/>
    <s v="4001 (b)"/>
  </r>
  <r>
    <x v="0"/>
    <x v="3"/>
    <x v="3"/>
    <x v="36"/>
    <x v="34"/>
    <x v="34"/>
    <s v="REVENUS"/>
    <x v="21"/>
    <m/>
    <s v="Imputation Forfaitaire"/>
    <m/>
    <n v="535"/>
    <s v="4001 (b)"/>
  </r>
  <r>
    <x v="0"/>
    <x v="3"/>
    <x v="3"/>
    <x v="41"/>
    <x v="32"/>
    <x v="32"/>
    <s v="REVENUS"/>
    <x v="21"/>
    <m/>
    <s v="Imputation Forfaitaire"/>
    <m/>
    <n v="2639.33"/>
    <s v="4001 (b)"/>
  </r>
  <r>
    <x v="0"/>
    <x v="4"/>
    <x v="4"/>
    <x v="42"/>
    <x v="35"/>
    <x v="35"/>
    <s v="REVENUS"/>
    <x v="21"/>
    <m/>
    <s v="Imputation Forfaitaire"/>
    <m/>
    <n v="435.55"/>
    <s v="4001 (b)"/>
  </r>
  <r>
    <x v="0"/>
    <x v="4"/>
    <x v="4"/>
    <x v="43"/>
    <x v="36"/>
    <x v="36"/>
    <s v="REVENUS"/>
    <x v="21"/>
    <m/>
    <s v="Imputation Forfaitaire"/>
    <m/>
    <n v="2314.36"/>
    <s v="4001 (b)"/>
  </r>
  <r>
    <x v="0"/>
    <x v="4"/>
    <x v="4"/>
    <x v="44"/>
    <x v="37"/>
    <x v="37"/>
    <s v="REVENUS"/>
    <x v="21"/>
    <m/>
    <s v="Imputation Forfaitaire"/>
    <m/>
    <n v="291.43"/>
    <s v="4001 (b)"/>
  </r>
  <r>
    <x v="0"/>
    <x v="5"/>
    <x v="1"/>
    <x v="45"/>
    <x v="38"/>
    <x v="38"/>
    <s v="REVENUS"/>
    <x v="21"/>
    <m/>
    <s v="Imputation Forfaitaire"/>
    <m/>
    <n v="63.88"/>
    <s v="4001 (b)"/>
  </r>
  <r>
    <x v="0"/>
    <x v="5"/>
    <x v="1"/>
    <x v="47"/>
    <x v="40"/>
    <x v="40"/>
    <s v="REVENUS"/>
    <x v="21"/>
    <m/>
    <s v="Imputation Forfaitaire"/>
    <m/>
    <n v="1180.55"/>
    <s v="4001 (b)"/>
  </r>
  <r>
    <x v="0"/>
    <x v="5"/>
    <x v="1"/>
    <x v="48"/>
    <x v="41"/>
    <x v="41"/>
    <s v="REVENUS"/>
    <x v="21"/>
    <m/>
    <s v="Imputation Forfaitaire"/>
    <m/>
    <n v="3034.85"/>
    <s v="4001 (b)"/>
  </r>
  <r>
    <x v="0"/>
    <x v="5"/>
    <x v="1"/>
    <x v="49"/>
    <x v="42"/>
    <x v="42"/>
    <s v="REVENUS"/>
    <x v="21"/>
    <m/>
    <s v="Imputation Forfaitaire"/>
    <m/>
    <n v="1.49"/>
    <s v="4001 (b)"/>
  </r>
  <r>
    <x v="0"/>
    <x v="4"/>
    <x v="4"/>
    <x v="51"/>
    <x v="44"/>
    <x v="44"/>
    <s v="REVENUS"/>
    <x v="21"/>
    <m/>
    <s v="Imputation Forfaitaire"/>
    <m/>
    <n v="758.12"/>
    <s v="4001 (b)"/>
  </r>
  <r>
    <x v="0"/>
    <x v="5"/>
    <x v="1"/>
    <x v="53"/>
    <x v="46"/>
    <x v="46"/>
    <s v="REVENUS"/>
    <x v="21"/>
    <m/>
    <s v="Imputation Forfaitaire"/>
    <m/>
    <n v="652.01"/>
    <s v="4001 (b)"/>
  </r>
  <r>
    <x v="0"/>
    <x v="5"/>
    <x v="1"/>
    <x v="54"/>
    <x v="47"/>
    <x v="47"/>
    <s v="REVENUS"/>
    <x v="21"/>
    <m/>
    <s v="Imputation Forfaitaire"/>
    <m/>
    <n v="1695.75"/>
    <s v="4001 (b)"/>
  </r>
  <r>
    <x v="0"/>
    <x v="5"/>
    <x v="1"/>
    <x v="55"/>
    <x v="48"/>
    <x v="48"/>
    <s v="REVENUS"/>
    <x v="21"/>
    <m/>
    <s v="Imputation Forfaitaire"/>
    <m/>
    <n v="257.26"/>
    <s v="4001 (b)"/>
  </r>
  <r>
    <x v="0"/>
    <x v="5"/>
    <x v="1"/>
    <x v="56"/>
    <x v="49"/>
    <x v="49"/>
    <s v="REVENUS"/>
    <x v="21"/>
    <m/>
    <s v="Imputation Forfaitaire"/>
    <m/>
    <n v="241.55"/>
    <s v="4001 (b)"/>
  </r>
  <r>
    <x v="0"/>
    <x v="5"/>
    <x v="1"/>
    <x v="57"/>
    <x v="50"/>
    <x v="50"/>
    <s v="REVENUS"/>
    <x v="21"/>
    <m/>
    <s v="Imputation Forfaitaire"/>
    <m/>
    <n v="0.52"/>
    <s v="4001 (b)"/>
  </r>
  <r>
    <x v="0"/>
    <x v="4"/>
    <x v="4"/>
    <x v="58"/>
    <x v="51"/>
    <x v="51"/>
    <s v="REVENUS"/>
    <x v="21"/>
    <m/>
    <s v="Imputation Forfaitaire"/>
    <m/>
    <n v="332.3"/>
    <s v="4001 (b)"/>
  </r>
  <r>
    <x v="0"/>
    <x v="5"/>
    <x v="1"/>
    <x v="59"/>
    <x v="52"/>
    <x v="52"/>
    <s v="REVENUS"/>
    <x v="21"/>
    <m/>
    <s v="Imputation Forfaitaire"/>
    <m/>
    <n v="16.309999999999999"/>
    <s v="4001 (b)"/>
  </r>
  <r>
    <x v="0"/>
    <x v="4"/>
    <x v="4"/>
    <x v="60"/>
    <x v="53"/>
    <x v="53"/>
    <s v="REVENUS"/>
    <x v="21"/>
    <m/>
    <s v="Imputation Forfaitaire"/>
    <m/>
    <n v="846.97"/>
    <s v="4001 (b)"/>
  </r>
  <r>
    <x v="0"/>
    <x v="5"/>
    <x v="1"/>
    <x v="61"/>
    <x v="54"/>
    <x v="54"/>
    <s v="REVENUS"/>
    <x v="21"/>
    <m/>
    <s v="Imputation Forfaitaire"/>
    <m/>
    <n v="718.97"/>
    <s v="4001 (b)"/>
  </r>
  <r>
    <x v="0"/>
    <x v="5"/>
    <x v="1"/>
    <x v="63"/>
    <x v="56"/>
    <x v="56"/>
    <s v="REVENUS"/>
    <x v="21"/>
    <m/>
    <s v="Imputation Forfaitaire"/>
    <m/>
    <n v="6306.83"/>
    <s v="4001 (b)"/>
  </r>
  <r>
    <x v="0"/>
    <x v="5"/>
    <x v="1"/>
    <x v="64"/>
    <x v="57"/>
    <x v="57"/>
    <s v="REVENUS"/>
    <x v="21"/>
    <m/>
    <s v="Imputation Forfaitaire"/>
    <m/>
    <n v="12.43"/>
    <s v="4001 (b)"/>
  </r>
  <r>
    <x v="0"/>
    <x v="5"/>
    <x v="1"/>
    <x v="65"/>
    <x v="58"/>
    <x v="58"/>
    <s v="REVENUS"/>
    <x v="21"/>
    <m/>
    <s v="Imputation Forfaitaire"/>
    <m/>
    <n v="386.89"/>
    <s v="4001 (b)"/>
  </r>
  <r>
    <x v="0"/>
    <x v="4"/>
    <x v="4"/>
    <x v="66"/>
    <x v="59"/>
    <x v="59"/>
    <s v="REVENUS"/>
    <x v="21"/>
    <m/>
    <s v="Imputation Forfaitaire"/>
    <m/>
    <n v="2432.35"/>
    <s v="4001 (b)"/>
  </r>
  <r>
    <x v="0"/>
    <x v="4"/>
    <x v="4"/>
    <x v="67"/>
    <x v="60"/>
    <x v="60"/>
    <s v="REVENUS"/>
    <x v="21"/>
    <m/>
    <s v="Imputation Forfaitaire"/>
    <m/>
    <n v="239.67"/>
    <s v="4001 (b)"/>
  </r>
  <r>
    <x v="0"/>
    <x v="5"/>
    <x v="1"/>
    <x v="68"/>
    <x v="61"/>
    <x v="61"/>
    <s v="REVENUS"/>
    <x v="21"/>
    <m/>
    <s v="Imputation Forfaitaire"/>
    <m/>
    <n v="141.41"/>
    <s v="4001 (b)"/>
  </r>
  <r>
    <x v="0"/>
    <x v="5"/>
    <x v="1"/>
    <x v="69"/>
    <x v="62"/>
    <x v="62"/>
    <s v="REVENUS"/>
    <x v="21"/>
    <m/>
    <s v="Imputation Forfaitaire"/>
    <m/>
    <n v="356.31"/>
    <s v="4001 (b)"/>
  </r>
  <r>
    <x v="0"/>
    <x v="5"/>
    <x v="1"/>
    <x v="70"/>
    <x v="63"/>
    <x v="63"/>
    <s v="REVENUS"/>
    <x v="21"/>
    <m/>
    <s v="Imputation Forfaitaire"/>
    <m/>
    <n v="328.18"/>
    <s v="4001 (b)"/>
  </r>
  <r>
    <x v="0"/>
    <x v="5"/>
    <x v="1"/>
    <x v="71"/>
    <x v="64"/>
    <x v="64"/>
    <s v="REVENUS"/>
    <x v="21"/>
    <m/>
    <s v="Imputation Forfaitaire"/>
    <m/>
    <n v="24.95"/>
    <s v="4001 (b)"/>
  </r>
  <r>
    <x v="0"/>
    <x v="4"/>
    <x v="4"/>
    <x v="72"/>
    <x v="65"/>
    <x v="65"/>
    <s v="REVENUS"/>
    <x v="21"/>
    <m/>
    <s v="Imputation Forfaitaire"/>
    <m/>
    <n v="851.87"/>
    <s v="4001 (b)"/>
  </r>
  <r>
    <x v="0"/>
    <x v="4"/>
    <x v="4"/>
    <x v="73"/>
    <x v="66"/>
    <x v="66"/>
    <s v="REVENUS"/>
    <x v="21"/>
    <m/>
    <s v="Imputation Forfaitaire"/>
    <m/>
    <n v="1085.33"/>
    <s v="4001 (b)"/>
  </r>
  <r>
    <x v="0"/>
    <x v="4"/>
    <x v="4"/>
    <x v="74"/>
    <x v="67"/>
    <x v="67"/>
    <s v="REVENUS"/>
    <x v="21"/>
    <m/>
    <s v="Imputation Forfaitaire"/>
    <m/>
    <n v="333.34"/>
    <s v="4001 (b)"/>
  </r>
  <r>
    <x v="0"/>
    <x v="4"/>
    <x v="4"/>
    <x v="75"/>
    <x v="68"/>
    <x v="68"/>
    <s v="REVENUS"/>
    <x v="21"/>
    <m/>
    <s v="Imputation Forfaitaire"/>
    <m/>
    <n v="1623.65"/>
    <s v="4001 (b)"/>
  </r>
  <r>
    <x v="0"/>
    <x v="4"/>
    <x v="4"/>
    <x v="77"/>
    <x v="70"/>
    <x v="70"/>
    <s v="REVENUS"/>
    <x v="21"/>
    <m/>
    <s v="Imputation Forfaitaire"/>
    <m/>
    <n v="217.11"/>
    <s v="4001 (b)"/>
  </r>
  <r>
    <x v="0"/>
    <x v="4"/>
    <x v="4"/>
    <x v="78"/>
    <x v="71"/>
    <x v="71"/>
    <s v="REVENUS"/>
    <x v="21"/>
    <m/>
    <s v="Imputation Forfaitaire"/>
    <m/>
    <n v="101.26"/>
    <s v="4001 (b)"/>
  </r>
  <r>
    <x v="0"/>
    <x v="4"/>
    <x v="4"/>
    <x v="79"/>
    <x v="72"/>
    <x v="72"/>
    <s v="REVENUS"/>
    <x v="21"/>
    <m/>
    <s v="Imputation Forfaitaire"/>
    <m/>
    <n v="3540.71"/>
    <s v="4001 (b)"/>
  </r>
  <r>
    <x v="0"/>
    <x v="4"/>
    <x v="4"/>
    <x v="81"/>
    <x v="74"/>
    <x v="74"/>
    <s v="REVENUS"/>
    <x v="21"/>
    <m/>
    <s v="Imputation Forfaitaire"/>
    <m/>
    <n v="4213.5200000000004"/>
    <s v="4001 (b)"/>
  </r>
  <r>
    <x v="0"/>
    <x v="4"/>
    <x v="4"/>
    <x v="82"/>
    <x v="75"/>
    <x v="75"/>
    <s v="REVENUS"/>
    <x v="21"/>
    <m/>
    <s v="Imputation Forfaitaire"/>
    <m/>
    <n v="470.39"/>
    <s v="4001 (b)"/>
  </r>
  <r>
    <x v="0"/>
    <x v="4"/>
    <x v="4"/>
    <x v="83"/>
    <x v="76"/>
    <x v="76"/>
    <s v="REVENUS"/>
    <x v="21"/>
    <m/>
    <s v="Imputation Forfaitaire"/>
    <m/>
    <n v="1055.0899999999999"/>
    <s v="4001 (b)"/>
  </r>
  <r>
    <x v="0"/>
    <x v="4"/>
    <x v="4"/>
    <x v="84"/>
    <x v="77"/>
    <x v="77"/>
    <s v="REVENUS"/>
    <x v="21"/>
    <m/>
    <s v="Imputation Forfaitaire"/>
    <m/>
    <n v="99.51"/>
    <s v="4001 (b)"/>
  </r>
  <r>
    <x v="0"/>
    <x v="4"/>
    <x v="4"/>
    <x v="85"/>
    <x v="78"/>
    <x v="78"/>
    <s v="REVENUS"/>
    <x v="21"/>
    <m/>
    <s v="Imputation Forfaitaire"/>
    <m/>
    <n v="970.39"/>
    <s v="4001 (b)"/>
  </r>
  <r>
    <x v="0"/>
    <x v="4"/>
    <x v="4"/>
    <x v="88"/>
    <x v="80"/>
    <x v="80"/>
    <s v="REVENUS"/>
    <x v="21"/>
    <m/>
    <s v="Imputation Forfaitaire"/>
    <m/>
    <n v="82.51"/>
    <s v="4001 (b)"/>
  </r>
  <r>
    <x v="0"/>
    <x v="4"/>
    <x v="4"/>
    <x v="90"/>
    <x v="81"/>
    <x v="81"/>
    <s v="REVENUS"/>
    <x v="21"/>
    <m/>
    <s v="Imputation Forfaitaire"/>
    <m/>
    <n v="150.33000000000001"/>
    <s v="4001 (b)"/>
  </r>
  <r>
    <x v="0"/>
    <x v="4"/>
    <x v="4"/>
    <x v="91"/>
    <x v="82"/>
    <x v="82"/>
    <s v="REVENUS"/>
    <x v="21"/>
    <m/>
    <s v="Imputation Forfaitaire"/>
    <m/>
    <n v="3.85"/>
    <s v="4001 (b)"/>
  </r>
  <r>
    <x v="0"/>
    <x v="4"/>
    <x v="4"/>
    <x v="92"/>
    <x v="83"/>
    <x v="83"/>
    <s v="REVENUS"/>
    <x v="21"/>
    <m/>
    <s v="Imputation Forfaitaire"/>
    <m/>
    <n v="107.79"/>
    <s v="4001 (b)"/>
  </r>
  <r>
    <x v="0"/>
    <x v="4"/>
    <x v="4"/>
    <x v="94"/>
    <x v="84"/>
    <x v="84"/>
    <s v="REVENUS"/>
    <x v="21"/>
    <m/>
    <s v="Imputation Forfaitaire"/>
    <m/>
    <n v="199.23"/>
    <s v="4001 (b)"/>
  </r>
  <r>
    <x v="0"/>
    <x v="4"/>
    <x v="4"/>
    <x v="96"/>
    <x v="86"/>
    <x v="86"/>
    <s v="REVENUS"/>
    <x v="21"/>
    <m/>
    <s v="Imputation Forfaitaire"/>
    <m/>
    <n v="59.19"/>
    <s v="4001 (b)"/>
  </r>
  <r>
    <x v="0"/>
    <x v="4"/>
    <x v="4"/>
    <x v="98"/>
    <x v="87"/>
    <x v="87"/>
    <s v="REVENUS"/>
    <x v="21"/>
    <m/>
    <s v="Imputation Forfaitaire"/>
    <m/>
    <n v="158.81"/>
    <s v="4001 (b)"/>
  </r>
  <r>
    <x v="0"/>
    <x v="4"/>
    <x v="4"/>
    <x v="100"/>
    <x v="89"/>
    <x v="89"/>
    <s v="REVENUS"/>
    <x v="21"/>
    <m/>
    <s v="Imputation Forfaitaire"/>
    <m/>
    <n v="212.45"/>
    <s v="4001 (b)"/>
  </r>
  <r>
    <x v="0"/>
    <x v="4"/>
    <x v="4"/>
    <x v="101"/>
    <x v="73"/>
    <x v="73"/>
    <s v="REVENUS"/>
    <x v="21"/>
    <m/>
    <s v="Imputation Forfaitaire"/>
    <m/>
    <n v="751.17"/>
    <s v="4001 (b)"/>
  </r>
  <r>
    <x v="0"/>
    <x v="4"/>
    <x v="4"/>
    <x v="102"/>
    <x v="79"/>
    <x v="79"/>
    <s v="REVENUS"/>
    <x v="21"/>
    <m/>
    <s v="Imputation Forfaitaire"/>
    <m/>
    <n v="27.51"/>
    <s v="4001 (b)"/>
  </r>
  <r>
    <x v="0"/>
    <x v="6"/>
    <x v="5"/>
    <x v="103"/>
    <x v="90"/>
    <x v="90"/>
    <s v="REVENUS"/>
    <x v="21"/>
    <m/>
    <s v="Imputation Forfaitaire"/>
    <m/>
    <n v="1849.91"/>
    <s v="4001 (b)"/>
  </r>
  <r>
    <x v="0"/>
    <x v="6"/>
    <x v="5"/>
    <x v="104"/>
    <x v="91"/>
    <x v="91"/>
    <s v="REVENUS"/>
    <x v="21"/>
    <m/>
    <s v="Imputation Forfaitaire"/>
    <m/>
    <n v="365.96"/>
    <s v="4001 (b)"/>
  </r>
  <r>
    <x v="0"/>
    <x v="6"/>
    <x v="5"/>
    <x v="105"/>
    <x v="92"/>
    <x v="92"/>
    <s v="REVENUS"/>
    <x v="21"/>
    <m/>
    <s v="Imputation Forfaitaire"/>
    <m/>
    <n v="569.12"/>
    <s v="4001 (b)"/>
  </r>
  <r>
    <x v="0"/>
    <x v="6"/>
    <x v="5"/>
    <x v="106"/>
    <x v="93"/>
    <x v="93"/>
    <s v="REVENUS"/>
    <x v="21"/>
    <m/>
    <s v="Imputation Forfaitaire"/>
    <m/>
    <n v="5552"/>
    <s v="4001 (b)"/>
  </r>
  <r>
    <x v="0"/>
    <x v="6"/>
    <x v="5"/>
    <x v="107"/>
    <x v="94"/>
    <x v="94"/>
    <s v="REVENUS"/>
    <x v="21"/>
    <m/>
    <s v="Imputation Forfaitaire"/>
    <m/>
    <n v="252.22"/>
    <s v="4001 (b)"/>
  </r>
  <r>
    <x v="0"/>
    <x v="6"/>
    <x v="5"/>
    <x v="109"/>
    <x v="96"/>
    <x v="96"/>
    <s v="REVENUS"/>
    <x v="21"/>
    <m/>
    <s v="Imputation Forfaitaire"/>
    <m/>
    <n v="0.03"/>
    <s v="4001 (b)"/>
  </r>
  <r>
    <x v="0"/>
    <x v="6"/>
    <x v="5"/>
    <x v="110"/>
    <x v="97"/>
    <x v="97"/>
    <s v="REVENUS"/>
    <x v="21"/>
    <m/>
    <s v="Imputation Forfaitaire"/>
    <m/>
    <n v="197.15"/>
    <s v="4001 (b)"/>
  </r>
  <r>
    <x v="0"/>
    <x v="6"/>
    <x v="5"/>
    <x v="112"/>
    <x v="99"/>
    <x v="99"/>
    <s v="REVENUS"/>
    <x v="21"/>
    <m/>
    <s v="Imputation Forfaitaire"/>
    <m/>
    <n v="2215.56"/>
    <s v="4001 (b)"/>
  </r>
  <r>
    <x v="0"/>
    <x v="6"/>
    <x v="5"/>
    <x v="113"/>
    <x v="100"/>
    <x v="100"/>
    <s v="REVENUS"/>
    <x v="21"/>
    <m/>
    <s v="Imputation Forfaitaire"/>
    <m/>
    <n v="13.26"/>
    <s v="4001 (b)"/>
  </r>
  <r>
    <x v="0"/>
    <x v="6"/>
    <x v="5"/>
    <x v="114"/>
    <x v="101"/>
    <x v="101"/>
    <s v="REVENUS"/>
    <x v="21"/>
    <m/>
    <s v="Imputation Forfaitaire"/>
    <m/>
    <n v="0.95"/>
    <s v="4001 (b)"/>
  </r>
  <r>
    <x v="0"/>
    <x v="6"/>
    <x v="5"/>
    <x v="116"/>
    <x v="103"/>
    <x v="103"/>
    <s v="REVENUS"/>
    <x v="21"/>
    <m/>
    <s v="Imputation Forfaitaire"/>
    <m/>
    <n v="11.29"/>
    <s v="4001 (b)"/>
  </r>
  <r>
    <x v="0"/>
    <x v="6"/>
    <x v="5"/>
    <x v="119"/>
    <x v="106"/>
    <x v="106"/>
    <s v="REVENUS"/>
    <x v="21"/>
    <m/>
    <s v="Imputation Forfaitaire"/>
    <m/>
    <n v="7531.87"/>
    <s v="4001 (b)"/>
  </r>
  <r>
    <x v="0"/>
    <x v="6"/>
    <x v="5"/>
    <x v="121"/>
    <x v="105"/>
    <x v="105"/>
    <s v="REVENUS"/>
    <x v="21"/>
    <m/>
    <s v="Imputation Forfaitaire"/>
    <m/>
    <n v="0.11"/>
    <s v="4001 (b)"/>
  </r>
  <r>
    <x v="0"/>
    <x v="7"/>
    <x v="6"/>
    <x v="122"/>
    <x v="107"/>
    <x v="107"/>
    <s v="REVENUS"/>
    <x v="21"/>
    <m/>
    <s v="Imputation Forfaitaire"/>
    <m/>
    <n v="13459.88"/>
    <s v="4001 (b)"/>
  </r>
  <r>
    <x v="0"/>
    <x v="8"/>
    <x v="7"/>
    <x v="123"/>
    <x v="108"/>
    <x v="108"/>
    <s v="REVENUS"/>
    <x v="21"/>
    <m/>
    <s v="Imputation Forfaitaire"/>
    <m/>
    <n v="2152.39"/>
    <s v="4001 (b)"/>
  </r>
  <r>
    <x v="0"/>
    <x v="8"/>
    <x v="8"/>
    <x v="124"/>
    <x v="109"/>
    <x v="109"/>
    <s v="REVENUS"/>
    <x v="21"/>
    <m/>
    <s v="Imputation Forfaitaire"/>
    <m/>
    <n v="4299.21"/>
    <s v="4001 (b)"/>
  </r>
  <r>
    <x v="0"/>
    <x v="8"/>
    <x v="7"/>
    <x v="125"/>
    <x v="110"/>
    <x v="110"/>
    <s v="REVENUS"/>
    <x v="21"/>
    <m/>
    <s v="Imputation Forfaitaire"/>
    <m/>
    <n v="81514.34"/>
    <s v="4001 (b)"/>
  </r>
  <r>
    <x v="0"/>
    <x v="8"/>
    <x v="7"/>
    <x v="126"/>
    <x v="111"/>
    <x v="111"/>
    <s v="REVENUS"/>
    <x v="21"/>
    <m/>
    <s v="Imputation Forfaitaire"/>
    <m/>
    <n v="15778.42"/>
    <s v="4001 (b)"/>
  </r>
  <r>
    <x v="0"/>
    <x v="8"/>
    <x v="7"/>
    <x v="127"/>
    <x v="112"/>
    <x v="112"/>
    <s v="REVENUS"/>
    <x v="21"/>
    <m/>
    <s v="Imputation Forfaitaire"/>
    <m/>
    <n v="740552.9"/>
    <s v="4001 (b)"/>
  </r>
  <r>
    <x v="0"/>
    <x v="8"/>
    <x v="7"/>
    <x v="128"/>
    <x v="113"/>
    <x v="113"/>
    <s v="REVENUS"/>
    <x v="21"/>
    <m/>
    <s v="Imputation Forfaitaire"/>
    <m/>
    <n v="42495.95"/>
    <s v="4001 (b)"/>
  </r>
  <r>
    <x v="0"/>
    <x v="7"/>
    <x v="6"/>
    <x v="129"/>
    <x v="114"/>
    <x v="114"/>
    <s v="REVENUS"/>
    <x v="21"/>
    <m/>
    <s v="Imputation Forfaitaire"/>
    <m/>
    <n v="53249.09"/>
    <s v="4001 (b)"/>
  </r>
  <r>
    <x v="0"/>
    <x v="8"/>
    <x v="8"/>
    <x v="130"/>
    <x v="115"/>
    <x v="115"/>
    <s v="REVENUS"/>
    <x v="21"/>
    <m/>
    <s v="Imputation Forfaitaire"/>
    <m/>
    <n v="18843.54"/>
    <s v="4001 (b)"/>
  </r>
  <r>
    <x v="0"/>
    <x v="7"/>
    <x v="6"/>
    <x v="131"/>
    <x v="116"/>
    <x v="116"/>
    <s v="REVENUS"/>
    <x v="21"/>
    <m/>
    <s v="Imputation Forfaitaire"/>
    <m/>
    <n v="766422.94"/>
    <s v="4001 (b)"/>
  </r>
  <r>
    <x v="0"/>
    <x v="8"/>
    <x v="8"/>
    <x v="132"/>
    <x v="117"/>
    <x v="117"/>
    <s v="REVENUS"/>
    <x v="21"/>
    <m/>
    <s v="Imputation Forfaitaire"/>
    <m/>
    <n v="8754.91"/>
    <s v="4001 (b)"/>
  </r>
  <r>
    <x v="0"/>
    <x v="8"/>
    <x v="7"/>
    <x v="133"/>
    <x v="118"/>
    <x v="118"/>
    <s v="REVENUS"/>
    <x v="21"/>
    <m/>
    <s v="Imputation Forfaitaire"/>
    <m/>
    <n v="12135.29"/>
    <s v="4001 (b)"/>
  </r>
  <r>
    <x v="0"/>
    <x v="7"/>
    <x v="6"/>
    <x v="134"/>
    <x v="119"/>
    <x v="119"/>
    <s v="REVENUS"/>
    <x v="21"/>
    <m/>
    <s v="Imputation Forfaitaire"/>
    <m/>
    <n v="7708.02"/>
    <s v="4001 (b)"/>
  </r>
  <r>
    <x v="0"/>
    <x v="7"/>
    <x v="6"/>
    <x v="137"/>
    <x v="121"/>
    <x v="121"/>
    <s v="REVENUS"/>
    <x v="21"/>
    <m/>
    <s v="Imputation Forfaitaire"/>
    <m/>
    <n v="1455.11"/>
    <s v="4001 (b)"/>
  </r>
  <r>
    <x v="0"/>
    <x v="7"/>
    <x v="6"/>
    <x v="139"/>
    <x v="122"/>
    <x v="122"/>
    <s v="REVENUS"/>
    <x v="21"/>
    <m/>
    <s v="Imputation Forfaitaire"/>
    <m/>
    <n v="111574.46"/>
    <s v="4001 (b)"/>
  </r>
  <r>
    <x v="0"/>
    <x v="7"/>
    <x v="6"/>
    <x v="140"/>
    <x v="123"/>
    <x v="123"/>
    <s v="REVENUS"/>
    <x v="21"/>
    <m/>
    <s v="Imputation Forfaitaire"/>
    <m/>
    <n v="3269.53"/>
    <s v="4001 (b)"/>
  </r>
  <r>
    <x v="0"/>
    <x v="7"/>
    <x v="6"/>
    <x v="142"/>
    <x v="124"/>
    <x v="124"/>
    <s v="REVENUS"/>
    <x v="21"/>
    <m/>
    <s v="Imputation Forfaitaire"/>
    <m/>
    <n v="460.48"/>
    <s v="4001 (b)"/>
  </r>
  <r>
    <x v="0"/>
    <x v="7"/>
    <x v="6"/>
    <x v="143"/>
    <x v="125"/>
    <x v="125"/>
    <s v="REVENUS"/>
    <x v="21"/>
    <m/>
    <s v="Imputation Forfaitaire"/>
    <m/>
    <n v="5216.2700000000004"/>
    <s v="4001 (b)"/>
  </r>
  <r>
    <x v="0"/>
    <x v="7"/>
    <x v="6"/>
    <x v="144"/>
    <x v="126"/>
    <x v="126"/>
    <s v="REVENUS"/>
    <x v="21"/>
    <m/>
    <s v="Imputation Forfaitaire"/>
    <m/>
    <n v="6573"/>
    <s v="4001 (b)"/>
  </r>
  <r>
    <x v="0"/>
    <x v="7"/>
    <x v="6"/>
    <x v="146"/>
    <x v="120"/>
    <x v="120"/>
    <s v="REVENUS"/>
    <x v="21"/>
    <m/>
    <s v="Imputation Forfaitaire"/>
    <m/>
    <n v="36921.5"/>
    <s v="4001 (b)"/>
  </r>
  <r>
    <x v="0"/>
    <x v="5"/>
    <x v="1"/>
    <x v="147"/>
    <x v="127"/>
    <x v="127"/>
    <s v="REVENUS"/>
    <x v="21"/>
    <m/>
    <s v="Imputation Forfaitaire"/>
    <m/>
    <n v="204.26"/>
    <s v="4001 (b)"/>
  </r>
  <r>
    <x v="0"/>
    <x v="5"/>
    <x v="1"/>
    <x v="148"/>
    <x v="128"/>
    <x v="128"/>
    <s v="REVENUS"/>
    <x v="21"/>
    <m/>
    <s v="Imputation Forfaitaire"/>
    <m/>
    <n v="332.81"/>
    <s v="4001 (b)"/>
  </r>
  <r>
    <x v="0"/>
    <x v="5"/>
    <x v="1"/>
    <x v="149"/>
    <x v="129"/>
    <x v="129"/>
    <s v="REVENUS"/>
    <x v="21"/>
    <m/>
    <s v="Imputation Forfaitaire"/>
    <m/>
    <n v="63718.03"/>
    <s v="4001 (b)"/>
  </r>
  <r>
    <x v="0"/>
    <x v="8"/>
    <x v="8"/>
    <x v="150"/>
    <x v="130"/>
    <x v="130"/>
    <s v="REVENUS"/>
    <x v="21"/>
    <m/>
    <s v="Imputation Forfaitaire"/>
    <m/>
    <n v="199.73"/>
    <s v="4001 (b)"/>
  </r>
  <r>
    <x v="0"/>
    <x v="8"/>
    <x v="8"/>
    <x v="152"/>
    <x v="132"/>
    <x v="132"/>
    <s v="REVENUS"/>
    <x v="21"/>
    <m/>
    <s v="Imputation Forfaitaire"/>
    <m/>
    <n v="1921.6"/>
    <s v="4001 (b)"/>
  </r>
  <r>
    <x v="0"/>
    <x v="5"/>
    <x v="1"/>
    <x v="156"/>
    <x v="136"/>
    <x v="136"/>
    <s v="REVENUS"/>
    <x v="21"/>
    <m/>
    <s v="Imputation Forfaitaire"/>
    <m/>
    <n v="11006.35"/>
    <s v="4001 (b)"/>
  </r>
  <r>
    <x v="0"/>
    <x v="5"/>
    <x v="1"/>
    <x v="157"/>
    <x v="137"/>
    <x v="137"/>
    <s v="REVENUS"/>
    <x v="21"/>
    <m/>
    <s v="Imputation Forfaitaire"/>
    <m/>
    <n v="1532.09"/>
    <s v="4001 (b)"/>
  </r>
  <r>
    <x v="0"/>
    <x v="5"/>
    <x v="1"/>
    <x v="159"/>
    <x v="135"/>
    <x v="135"/>
    <s v="REVENUS"/>
    <x v="21"/>
    <m/>
    <s v="Imputation Forfaitaire"/>
    <m/>
    <n v="16430.84"/>
    <s v="4001 (b)"/>
  </r>
  <r>
    <x v="0"/>
    <x v="8"/>
    <x v="8"/>
    <x v="160"/>
    <x v="139"/>
    <x v="139"/>
    <s v="REVENUS"/>
    <x v="21"/>
    <m/>
    <s v="Imputation Forfaitaire"/>
    <m/>
    <n v="25901.47"/>
    <s v="4001 (b)"/>
  </r>
  <r>
    <x v="0"/>
    <x v="5"/>
    <x v="1"/>
    <x v="161"/>
    <x v="140"/>
    <x v="140"/>
    <s v="REVENUS"/>
    <x v="21"/>
    <m/>
    <s v="Imputation Forfaitaire"/>
    <m/>
    <n v="3378.24"/>
    <s v="4001 (b)"/>
  </r>
  <r>
    <x v="0"/>
    <x v="5"/>
    <x v="1"/>
    <x v="162"/>
    <x v="141"/>
    <x v="141"/>
    <s v="REVENUS"/>
    <x v="21"/>
    <m/>
    <s v="Imputation Forfaitaire"/>
    <m/>
    <n v="1637.58"/>
    <s v="4001 (b)"/>
  </r>
  <r>
    <x v="0"/>
    <x v="5"/>
    <x v="1"/>
    <x v="163"/>
    <x v="142"/>
    <x v="142"/>
    <s v="REVENUS"/>
    <x v="21"/>
    <m/>
    <s v="Imputation Forfaitaire"/>
    <m/>
    <n v="14646.69"/>
    <s v="4001 (b)"/>
  </r>
  <r>
    <x v="0"/>
    <x v="5"/>
    <x v="1"/>
    <x v="165"/>
    <x v="144"/>
    <x v="144"/>
    <s v="REVENUS"/>
    <x v="21"/>
    <m/>
    <s v="Imputation Forfaitaire"/>
    <m/>
    <n v="2209.71"/>
    <s v="4001 (b)"/>
  </r>
  <r>
    <x v="0"/>
    <x v="5"/>
    <x v="1"/>
    <x v="167"/>
    <x v="145"/>
    <x v="145"/>
    <s v="REVENUS"/>
    <x v="21"/>
    <m/>
    <s v="Imputation Forfaitaire"/>
    <m/>
    <n v="65343.82"/>
    <s v="4001 (b)"/>
  </r>
  <r>
    <x v="0"/>
    <x v="5"/>
    <x v="1"/>
    <x v="168"/>
    <x v="146"/>
    <x v="146"/>
    <s v="REVENUS"/>
    <x v="21"/>
    <m/>
    <s v="Imputation Forfaitaire"/>
    <m/>
    <n v="37519.589999999997"/>
    <s v="4001 (b)"/>
  </r>
  <r>
    <x v="0"/>
    <x v="5"/>
    <x v="1"/>
    <x v="169"/>
    <x v="147"/>
    <x v="147"/>
    <s v="REVENUS"/>
    <x v="21"/>
    <m/>
    <s v="Imputation Forfaitaire"/>
    <m/>
    <n v="392.34"/>
    <s v="4001 (b)"/>
  </r>
  <r>
    <x v="0"/>
    <x v="5"/>
    <x v="1"/>
    <x v="170"/>
    <x v="148"/>
    <x v="148"/>
    <s v="REVENUS"/>
    <x v="21"/>
    <m/>
    <s v="Imputation Forfaitaire"/>
    <m/>
    <n v="1656.45"/>
    <s v="4001 (b)"/>
  </r>
  <r>
    <x v="0"/>
    <x v="5"/>
    <x v="1"/>
    <x v="171"/>
    <x v="149"/>
    <x v="149"/>
    <s v="REVENUS"/>
    <x v="21"/>
    <m/>
    <s v="Imputation Forfaitaire"/>
    <m/>
    <n v="34323.89"/>
    <s v="4001 (b)"/>
  </r>
  <r>
    <x v="0"/>
    <x v="8"/>
    <x v="8"/>
    <x v="173"/>
    <x v="150"/>
    <x v="150"/>
    <s v="REVENUS"/>
    <x v="21"/>
    <m/>
    <s v="Imputation Forfaitaire"/>
    <m/>
    <n v="115155.93"/>
    <s v="4001 (b)"/>
  </r>
  <r>
    <x v="0"/>
    <x v="5"/>
    <x v="1"/>
    <x v="174"/>
    <x v="151"/>
    <x v="151"/>
    <s v="REVENUS"/>
    <x v="21"/>
    <m/>
    <s v="Imputation Forfaitaire"/>
    <m/>
    <n v="3405.73"/>
    <s v="4001 (b)"/>
  </r>
  <r>
    <x v="0"/>
    <x v="8"/>
    <x v="8"/>
    <x v="176"/>
    <x v="153"/>
    <x v="153"/>
    <s v="REVENUS"/>
    <x v="21"/>
    <m/>
    <s v="Imputation Forfaitaire"/>
    <m/>
    <n v="576.03"/>
    <s v="4001 (b)"/>
  </r>
  <r>
    <x v="0"/>
    <x v="5"/>
    <x v="1"/>
    <x v="177"/>
    <x v="154"/>
    <x v="154"/>
    <s v="REVENUS"/>
    <x v="21"/>
    <m/>
    <s v="Imputation Forfaitaire"/>
    <m/>
    <n v="480.35"/>
    <s v="4001 (b)"/>
  </r>
  <r>
    <x v="0"/>
    <x v="5"/>
    <x v="1"/>
    <x v="178"/>
    <x v="155"/>
    <x v="155"/>
    <s v="REVENUS"/>
    <x v="21"/>
    <m/>
    <s v="Imputation Forfaitaire"/>
    <m/>
    <n v="13811.53"/>
    <s v="4001 (b)"/>
  </r>
  <r>
    <x v="0"/>
    <x v="5"/>
    <x v="1"/>
    <x v="179"/>
    <x v="156"/>
    <x v="156"/>
    <s v="REVENUS"/>
    <x v="21"/>
    <m/>
    <s v="Imputation Forfaitaire"/>
    <m/>
    <n v="161.51"/>
    <s v="4001 (b)"/>
  </r>
  <r>
    <x v="0"/>
    <x v="5"/>
    <x v="1"/>
    <x v="180"/>
    <x v="157"/>
    <x v="157"/>
    <s v="REVENUS"/>
    <x v="21"/>
    <m/>
    <s v="Imputation Forfaitaire"/>
    <m/>
    <n v="2589.31"/>
    <s v="4001 (b)"/>
  </r>
  <r>
    <x v="0"/>
    <x v="3"/>
    <x v="3"/>
    <x v="188"/>
    <x v="163"/>
    <x v="163"/>
    <s v="REVENUS"/>
    <x v="21"/>
    <m/>
    <s v="Imputation Forfaitaire"/>
    <m/>
    <n v="116.59"/>
    <s v="4001 (b)"/>
  </r>
  <r>
    <x v="0"/>
    <x v="3"/>
    <x v="3"/>
    <x v="192"/>
    <x v="165"/>
    <x v="165"/>
    <s v="REVENUS"/>
    <x v="21"/>
    <m/>
    <s v="Imputation Forfaitaire"/>
    <m/>
    <n v="51.43"/>
    <s v="4001 (b)"/>
  </r>
  <r>
    <x v="0"/>
    <x v="3"/>
    <x v="3"/>
    <x v="193"/>
    <x v="166"/>
    <x v="166"/>
    <s v="REVENUS"/>
    <x v="21"/>
    <m/>
    <s v="Imputation Forfaitaire"/>
    <m/>
    <n v="49.05"/>
    <s v="4001 (b)"/>
  </r>
  <r>
    <x v="0"/>
    <x v="3"/>
    <x v="3"/>
    <x v="194"/>
    <x v="159"/>
    <x v="159"/>
    <s v="REVENUS"/>
    <x v="21"/>
    <m/>
    <s v="Imputation Forfaitaire"/>
    <m/>
    <n v="2257.4899999999998"/>
    <s v="4001 (b)"/>
  </r>
  <r>
    <x v="0"/>
    <x v="3"/>
    <x v="3"/>
    <x v="197"/>
    <x v="167"/>
    <x v="167"/>
    <s v="REVENUS"/>
    <x v="21"/>
    <m/>
    <s v="Imputation Forfaitaire"/>
    <m/>
    <n v="3702.04"/>
    <s v="4001 (b)"/>
  </r>
  <r>
    <x v="0"/>
    <x v="4"/>
    <x v="4"/>
    <x v="198"/>
    <x v="168"/>
    <x v="168"/>
    <s v="REVENUS"/>
    <x v="21"/>
    <m/>
    <s v="Imputation Forfaitaire"/>
    <m/>
    <n v="40.29"/>
    <s v="4001 (b)"/>
  </r>
  <r>
    <x v="0"/>
    <x v="3"/>
    <x v="3"/>
    <x v="201"/>
    <x v="170"/>
    <x v="170"/>
    <s v="REVENUS"/>
    <x v="21"/>
    <m/>
    <s v="Imputation Forfaitaire"/>
    <m/>
    <n v="22.35"/>
    <s v="4001 (b)"/>
  </r>
  <r>
    <x v="0"/>
    <x v="3"/>
    <x v="3"/>
    <x v="205"/>
    <x v="172"/>
    <x v="172"/>
    <s v="REVENUS"/>
    <x v="21"/>
    <m/>
    <s v="Imputation Forfaitaire"/>
    <m/>
    <n v="0.46"/>
    <s v="4001 (b)"/>
  </r>
  <r>
    <x v="0"/>
    <x v="4"/>
    <x v="4"/>
    <x v="206"/>
    <x v="161"/>
    <x v="161"/>
    <s v="REVENUS"/>
    <x v="21"/>
    <m/>
    <s v="Imputation Forfaitaire"/>
    <m/>
    <n v="290.72000000000003"/>
    <s v="4001 (b)"/>
  </r>
  <r>
    <x v="0"/>
    <x v="2"/>
    <x v="2"/>
    <x v="207"/>
    <x v="173"/>
    <x v="173"/>
    <s v="REVENUS"/>
    <x v="21"/>
    <m/>
    <s v="Imputation Forfaitaire"/>
    <m/>
    <n v="204.29"/>
    <s v="4001 (b)"/>
  </r>
  <r>
    <x v="0"/>
    <x v="2"/>
    <x v="2"/>
    <x v="208"/>
    <x v="174"/>
    <x v="174"/>
    <s v="REVENUS"/>
    <x v="21"/>
    <m/>
    <s v="Imputation Forfaitaire"/>
    <m/>
    <n v="34129.629999999997"/>
    <s v="4001 (b)"/>
  </r>
  <r>
    <x v="0"/>
    <x v="2"/>
    <x v="2"/>
    <x v="209"/>
    <x v="175"/>
    <x v="175"/>
    <s v="REVENUS"/>
    <x v="21"/>
    <m/>
    <s v="Imputation Forfaitaire"/>
    <m/>
    <n v="2461.21"/>
    <s v="4001 (b)"/>
  </r>
  <r>
    <x v="0"/>
    <x v="2"/>
    <x v="2"/>
    <x v="210"/>
    <x v="176"/>
    <x v="176"/>
    <s v="REVENUS"/>
    <x v="21"/>
    <m/>
    <s v="Imputation Forfaitaire"/>
    <m/>
    <n v="83814.63"/>
    <s v="4001 (b)"/>
  </r>
  <r>
    <x v="0"/>
    <x v="2"/>
    <x v="2"/>
    <x v="211"/>
    <x v="177"/>
    <x v="177"/>
    <s v="REVENUS"/>
    <x v="21"/>
    <m/>
    <s v="Imputation Forfaitaire"/>
    <m/>
    <n v="116438.39"/>
    <s v="4001 (b)"/>
  </r>
  <r>
    <x v="0"/>
    <x v="2"/>
    <x v="2"/>
    <x v="212"/>
    <x v="178"/>
    <x v="178"/>
    <s v="REVENUS"/>
    <x v="21"/>
    <m/>
    <s v="Imputation Forfaitaire"/>
    <m/>
    <n v="11373.69"/>
    <s v="4001 (b)"/>
  </r>
  <r>
    <x v="0"/>
    <x v="2"/>
    <x v="2"/>
    <x v="213"/>
    <x v="179"/>
    <x v="179"/>
    <s v="REVENUS"/>
    <x v="21"/>
    <m/>
    <s v="Imputation Forfaitaire"/>
    <m/>
    <n v="7228.29"/>
    <s v="4001 (b)"/>
  </r>
  <r>
    <x v="0"/>
    <x v="2"/>
    <x v="2"/>
    <x v="214"/>
    <x v="180"/>
    <x v="180"/>
    <s v="REVENUS"/>
    <x v="21"/>
    <m/>
    <s v="Imputation Forfaitaire"/>
    <m/>
    <n v="1350.03"/>
    <s v="4001 (b)"/>
  </r>
  <r>
    <x v="0"/>
    <x v="2"/>
    <x v="2"/>
    <x v="215"/>
    <x v="181"/>
    <x v="181"/>
    <s v="REVENUS"/>
    <x v="21"/>
    <m/>
    <s v="Imputation Forfaitaire"/>
    <m/>
    <n v="9724.3799999999992"/>
    <s v="4001 (b)"/>
  </r>
  <r>
    <x v="0"/>
    <x v="2"/>
    <x v="2"/>
    <x v="216"/>
    <x v="182"/>
    <x v="182"/>
    <s v="REVENUS"/>
    <x v="21"/>
    <m/>
    <s v="Imputation Forfaitaire"/>
    <m/>
    <n v="13971.31"/>
    <s v="4001 (b)"/>
  </r>
  <r>
    <x v="0"/>
    <x v="2"/>
    <x v="2"/>
    <x v="217"/>
    <x v="183"/>
    <x v="183"/>
    <s v="REVENUS"/>
    <x v="21"/>
    <m/>
    <s v="Imputation Forfaitaire"/>
    <m/>
    <n v="140964.12"/>
    <s v="4001 (b)"/>
  </r>
  <r>
    <x v="0"/>
    <x v="2"/>
    <x v="2"/>
    <x v="218"/>
    <x v="184"/>
    <x v="184"/>
    <s v="REVENUS"/>
    <x v="21"/>
    <m/>
    <s v="Imputation Forfaitaire"/>
    <m/>
    <n v="48473.31"/>
    <s v="4001 (b)"/>
  </r>
  <r>
    <x v="0"/>
    <x v="2"/>
    <x v="2"/>
    <x v="219"/>
    <x v="185"/>
    <x v="185"/>
    <s v="REVENUS"/>
    <x v="21"/>
    <m/>
    <s v="Imputation Forfaitaire"/>
    <m/>
    <n v="29766.61"/>
    <s v="4001 (b)"/>
  </r>
  <r>
    <x v="0"/>
    <x v="2"/>
    <x v="2"/>
    <x v="220"/>
    <x v="186"/>
    <x v="186"/>
    <s v="REVENUS"/>
    <x v="21"/>
    <m/>
    <s v="Imputation Forfaitaire"/>
    <m/>
    <n v="35557.89"/>
    <s v="4001 (b)"/>
  </r>
  <r>
    <x v="0"/>
    <x v="2"/>
    <x v="2"/>
    <x v="221"/>
    <x v="187"/>
    <x v="187"/>
    <s v="REVENUS"/>
    <x v="21"/>
    <m/>
    <s v="Imputation Forfaitaire"/>
    <m/>
    <n v="4776.46"/>
    <s v="4001 (b)"/>
  </r>
  <r>
    <x v="0"/>
    <x v="2"/>
    <x v="2"/>
    <x v="222"/>
    <x v="188"/>
    <x v="188"/>
    <s v="REVENUS"/>
    <x v="21"/>
    <m/>
    <s v="Imputation Forfaitaire"/>
    <m/>
    <n v="1488.32"/>
    <s v="4001 (b)"/>
  </r>
  <r>
    <x v="0"/>
    <x v="2"/>
    <x v="2"/>
    <x v="223"/>
    <x v="189"/>
    <x v="189"/>
    <s v="REVENUS"/>
    <x v="21"/>
    <m/>
    <s v="Imputation Forfaitaire"/>
    <m/>
    <n v="102206.5"/>
    <s v="4001 (b)"/>
  </r>
  <r>
    <x v="0"/>
    <x v="2"/>
    <x v="2"/>
    <x v="224"/>
    <x v="190"/>
    <x v="190"/>
    <s v="REVENUS"/>
    <x v="21"/>
    <m/>
    <s v="Imputation Forfaitaire"/>
    <m/>
    <n v="12535.27"/>
    <s v="4001 (b)"/>
  </r>
  <r>
    <x v="0"/>
    <x v="2"/>
    <x v="2"/>
    <x v="225"/>
    <x v="191"/>
    <x v="191"/>
    <s v="REVENUS"/>
    <x v="21"/>
    <m/>
    <s v="Imputation Forfaitaire"/>
    <m/>
    <n v="12758.73"/>
    <s v="4001 (b)"/>
  </r>
  <r>
    <x v="0"/>
    <x v="2"/>
    <x v="2"/>
    <x v="226"/>
    <x v="192"/>
    <x v="192"/>
    <s v="REVENUS"/>
    <x v="21"/>
    <m/>
    <s v="Imputation Forfaitaire"/>
    <m/>
    <n v="13000.22"/>
    <s v="4001 (b)"/>
  </r>
  <r>
    <x v="0"/>
    <x v="2"/>
    <x v="2"/>
    <x v="227"/>
    <x v="193"/>
    <x v="193"/>
    <s v="REVENUS"/>
    <x v="21"/>
    <m/>
    <s v="Imputation Forfaitaire"/>
    <m/>
    <n v="40976.54"/>
    <s v="4001 (b)"/>
  </r>
  <r>
    <x v="0"/>
    <x v="2"/>
    <x v="2"/>
    <x v="228"/>
    <x v="194"/>
    <x v="194"/>
    <s v="REVENUS"/>
    <x v="21"/>
    <m/>
    <s v="Imputation Forfaitaire"/>
    <m/>
    <n v="1403.84"/>
    <s v="4001 (b)"/>
  </r>
  <r>
    <x v="0"/>
    <x v="2"/>
    <x v="2"/>
    <x v="229"/>
    <x v="195"/>
    <x v="195"/>
    <s v="REVENUS"/>
    <x v="21"/>
    <m/>
    <s v="Imputation Forfaitaire"/>
    <m/>
    <n v="104426.37"/>
    <s v="4001 (b)"/>
  </r>
  <r>
    <x v="0"/>
    <x v="2"/>
    <x v="2"/>
    <x v="230"/>
    <x v="196"/>
    <x v="196"/>
    <s v="REVENUS"/>
    <x v="21"/>
    <m/>
    <s v="Imputation Forfaitaire"/>
    <m/>
    <n v="119872.56"/>
    <s v="4001 (b)"/>
  </r>
  <r>
    <x v="0"/>
    <x v="2"/>
    <x v="2"/>
    <x v="231"/>
    <x v="197"/>
    <x v="197"/>
    <s v="REVENUS"/>
    <x v="21"/>
    <m/>
    <s v="Imputation Forfaitaire"/>
    <m/>
    <n v="112665.15"/>
    <s v="4001 (b)"/>
  </r>
  <r>
    <x v="0"/>
    <x v="2"/>
    <x v="2"/>
    <x v="232"/>
    <x v="198"/>
    <x v="198"/>
    <s v="REVENUS"/>
    <x v="21"/>
    <m/>
    <s v="Imputation Forfaitaire"/>
    <m/>
    <n v="6701.86"/>
    <s v="4001 (b)"/>
  </r>
  <r>
    <x v="0"/>
    <x v="2"/>
    <x v="2"/>
    <x v="233"/>
    <x v="199"/>
    <x v="199"/>
    <s v="REVENUS"/>
    <x v="21"/>
    <m/>
    <s v="Imputation Forfaitaire"/>
    <m/>
    <n v="1787.6"/>
    <s v="4001 (b)"/>
  </r>
  <r>
    <x v="0"/>
    <x v="2"/>
    <x v="2"/>
    <x v="234"/>
    <x v="200"/>
    <x v="200"/>
    <s v="REVENUS"/>
    <x v="21"/>
    <m/>
    <s v="Imputation Forfaitaire"/>
    <m/>
    <n v="972.86"/>
    <s v="4001 (b)"/>
  </r>
  <r>
    <x v="0"/>
    <x v="2"/>
    <x v="2"/>
    <x v="235"/>
    <x v="201"/>
    <x v="201"/>
    <s v="REVENUS"/>
    <x v="21"/>
    <m/>
    <s v="Imputation Forfaitaire"/>
    <m/>
    <n v="15827.25"/>
    <s v="4001 (b)"/>
  </r>
  <r>
    <x v="0"/>
    <x v="2"/>
    <x v="2"/>
    <x v="236"/>
    <x v="202"/>
    <x v="202"/>
    <s v="REVENUS"/>
    <x v="21"/>
    <m/>
    <s v="Imputation Forfaitaire"/>
    <m/>
    <n v="73593.2"/>
    <s v="4001 (b)"/>
  </r>
  <r>
    <x v="0"/>
    <x v="2"/>
    <x v="2"/>
    <x v="237"/>
    <x v="203"/>
    <x v="203"/>
    <s v="REVENUS"/>
    <x v="21"/>
    <m/>
    <s v="Imputation Forfaitaire"/>
    <m/>
    <n v="1476.19"/>
    <s v="4001 (b)"/>
  </r>
  <r>
    <x v="0"/>
    <x v="2"/>
    <x v="2"/>
    <x v="238"/>
    <x v="204"/>
    <x v="204"/>
    <s v="REVENUS"/>
    <x v="21"/>
    <m/>
    <s v="Imputation Forfaitaire"/>
    <m/>
    <n v="6869.3"/>
    <s v="4001 (b)"/>
  </r>
  <r>
    <x v="0"/>
    <x v="9"/>
    <x v="5"/>
    <x v="239"/>
    <x v="205"/>
    <x v="205"/>
    <s v="REVENUS"/>
    <x v="21"/>
    <m/>
    <s v="Imputation Forfaitaire"/>
    <m/>
    <n v="0.06"/>
    <s v="4001 (b)"/>
  </r>
  <r>
    <x v="0"/>
    <x v="9"/>
    <x v="5"/>
    <x v="240"/>
    <x v="206"/>
    <x v="206"/>
    <s v="REVENUS"/>
    <x v="21"/>
    <m/>
    <s v="Imputation Forfaitaire"/>
    <m/>
    <n v="62.6"/>
    <s v="4001 (b)"/>
  </r>
  <r>
    <x v="0"/>
    <x v="9"/>
    <x v="5"/>
    <x v="241"/>
    <x v="207"/>
    <x v="207"/>
    <s v="REVENUS"/>
    <x v="21"/>
    <m/>
    <s v="Imputation Forfaitaire"/>
    <m/>
    <n v="639.04999999999995"/>
    <s v="4001 (b)"/>
  </r>
  <r>
    <x v="0"/>
    <x v="9"/>
    <x v="5"/>
    <x v="242"/>
    <x v="208"/>
    <x v="208"/>
    <s v="REVENUS"/>
    <x v="21"/>
    <m/>
    <s v="Imputation Forfaitaire"/>
    <m/>
    <n v="1693.86"/>
    <s v="4001 (b)"/>
  </r>
  <r>
    <x v="0"/>
    <x v="9"/>
    <x v="5"/>
    <x v="243"/>
    <x v="209"/>
    <x v="209"/>
    <s v="REVENUS"/>
    <x v="21"/>
    <m/>
    <s v="Imputation Forfaitaire"/>
    <m/>
    <n v="64.849999999999994"/>
    <s v="4001 (b)"/>
  </r>
  <r>
    <x v="0"/>
    <x v="9"/>
    <x v="5"/>
    <x v="244"/>
    <x v="210"/>
    <x v="210"/>
    <s v="REVENUS"/>
    <x v="21"/>
    <m/>
    <s v="Imputation Forfaitaire"/>
    <m/>
    <n v="57.41"/>
    <s v="4001 (b)"/>
  </r>
  <r>
    <x v="0"/>
    <x v="9"/>
    <x v="5"/>
    <x v="247"/>
    <x v="213"/>
    <x v="213"/>
    <s v="REVENUS"/>
    <x v="21"/>
    <m/>
    <s v="Imputation Forfaitaire"/>
    <m/>
    <n v="3645.56"/>
    <s v="4001 (b)"/>
  </r>
  <r>
    <x v="0"/>
    <x v="9"/>
    <x v="5"/>
    <x v="248"/>
    <x v="214"/>
    <x v="214"/>
    <s v="REVENUS"/>
    <x v="21"/>
    <m/>
    <s v="Imputation Forfaitaire"/>
    <m/>
    <n v="1085.29"/>
    <s v="4001 (b)"/>
  </r>
  <r>
    <x v="0"/>
    <x v="9"/>
    <x v="5"/>
    <x v="250"/>
    <x v="215"/>
    <x v="215"/>
    <s v="REVENUS"/>
    <x v="21"/>
    <m/>
    <s v="Imputation Forfaitaire"/>
    <m/>
    <n v="67.73"/>
    <s v="4001 (b)"/>
  </r>
  <r>
    <x v="0"/>
    <x v="9"/>
    <x v="5"/>
    <x v="251"/>
    <x v="216"/>
    <x v="216"/>
    <s v="REVENUS"/>
    <x v="21"/>
    <m/>
    <s v="Imputation Forfaitaire"/>
    <m/>
    <n v="85.63"/>
    <s v="4001 (b)"/>
  </r>
  <r>
    <x v="0"/>
    <x v="9"/>
    <x v="5"/>
    <x v="253"/>
    <x v="218"/>
    <x v="218"/>
    <s v="REVENUS"/>
    <x v="21"/>
    <m/>
    <s v="Imputation Forfaitaire"/>
    <m/>
    <n v="1791.32"/>
    <s v="4001 (b)"/>
  </r>
  <r>
    <x v="0"/>
    <x v="9"/>
    <x v="5"/>
    <x v="254"/>
    <x v="219"/>
    <x v="219"/>
    <s v="REVENUS"/>
    <x v="21"/>
    <m/>
    <s v="Imputation Forfaitaire"/>
    <m/>
    <n v="2912.13"/>
    <s v="4001 (b)"/>
  </r>
  <r>
    <x v="0"/>
    <x v="9"/>
    <x v="5"/>
    <x v="256"/>
    <x v="221"/>
    <x v="221"/>
    <s v="REVENUS"/>
    <x v="21"/>
    <m/>
    <s v="Imputation Forfaitaire"/>
    <m/>
    <n v="543.04"/>
    <s v="4001 (b)"/>
  </r>
  <r>
    <x v="0"/>
    <x v="9"/>
    <x v="5"/>
    <x v="257"/>
    <x v="222"/>
    <x v="222"/>
    <s v="REVENUS"/>
    <x v="21"/>
    <m/>
    <s v="Imputation Forfaitaire"/>
    <m/>
    <n v="1893.53"/>
    <s v="4001 (b)"/>
  </r>
  <r>
    <x v="0"/>
    <x v="9"/>
    <x v="5"/>
    <x v="260"/>
    <x v="225"/>
    <x v="225"/>
    <s v="REVENUS"/>
    <x v="21"/>
    <m/>
    <s v="Imputation Forfaitaire"/>
    <m/>
    <n v="752.01"/>
    <s v="4001 (b)"/>
  </r>
  <r>
    <x v="0"/>
    <x v="9"/>
    <x v="5"/>
    <x v="261"/>
    <x v="226"/>
    <x v="226"/>
    <s v="REVENUS"/>
    <x v="21"/>
    <m/>
    <s v="Imputation Forfaitaire"/>
    <m/>
    <n v="3532.07"/>
    <s v="4001 (b)"/>
  </r>
  <r>
    <x v="0"/>
    <x v="9"/>
    <x v="5"/>
    <x v="262"/>
    <x v="227"/>
    <x v="227"/>
    <s v="REVENUS"/>
    <x v="21"/>
    <m/>
    <s v="Imputation Forfaitaire"/>
    <m/>
    <n v="18.149999999999999"/>
    <s v="4001 (b)"/>
  </r>
  <r>
    <x v="0"/>
    <x v="9"/>
    <x v="5"/>
    <x v="263"/>
    <x v="228"/>
    <x v="228"/>
    <s v="REVENUS"/>
    <x v="21"/>
    <m/>
    <s v="Imputation Forfaitaire"/>
    <m/>
    <n v="86.19"/>
    <s v="4001 (b)"/>
  </r>
  <r>
    <x v="0"/>
    <x v="3"/>
    <x v="3"/>
    <x v="266"/>
    <x v="231"/>
    <x v="231"/>
    <s v="REVENUS"/>
    <x v="21"/>
    <m/>
    <s v="Imputation Forfaitaire"/>
    <m/>
    <n v="1741.16"/>
    <s v="4001 (b)"/>
  </r>
  <r>
    <x v="0"/>
    <x v="7"/>
    <x v="6"/>
    <x v="269"/>
    <x v="233"/>
    <x v="233"/>
    <s v="REVENUS"/>
    <x v="21"/>
    <m/>
    <s v="Imputation Forfaitaire"/>
    <m/>
    <n v="69.650000000000006"/>
    <s v="4001 (b)"/>
  </r>
  <r>
    <x v="0"/>
    <x v="7"/>
    <x v="6"/>
    <x v="271"/>
    <x v="234"/>
    <x v="234"/>
    <s v="REVENUS"/>
    <x v="21"/>
    <m/>
    <s v="Imputation Forfaitaire"/>
    <m/>
    <n v="394.87"/>
    <s v="4001 (b)"/>
  </r>
  <r>
    <x v="0"/>
    <x v="7"/>
    <x v="6"/>
    <x v="273"/>
    <x v="235"/>
    <x v="235"/>
    <s v="REVENUS"/>
    <x v="21"/>
    <m/>
    <s v="Imputation Forfaitaire"/>
    <m/>
    <n v="4.33"/>
    <s v="4001 (b)"/>
  </r>
  <r>
    <x v="0"/>
    <x v="3"/>
    <x v="3"/>
    <x v="278"/>
    <x v="236"/>
    <x v="236"/>
    <s v="REVENUS"/>
    <x v="21"/>
    <m/>
    <s v="Imputation Forfaitaire"/>
    <m/>
    <n v="77.489999999999995"/>
    <s v="4001 (b)"/>
  </r>
  <r>
    <x v="0"/>
    <x v="7"/>
    <x v="6"/>
    <x v="279"/>
    <x v="232"/>
    <x v="232"/>
    <s v="REVENUS"/>
    <x v="21"/>
    <m/>
    <s v="Imputation Forfaitaire"/>
    <m/>
    <n v="571.88"/>
    <s v="4001 (b)"/>
  </r>
  <r>
    <x v="0"/>
    <x v="3"/>
    <x v="3"/>
    <x v="282"/>
    <x v="237"/>
    <x v="237"/>
    <s v="REVENUS"/>
    <x v="21"/>
    <m/>
    <s v="Imputation Forfaitaire"/>
    <m/>
    <n v="335.67"/>
    <s v="4001 (b)"/>
  </r>
  <r>
    <x v="0"/>
    <x v="4"/>
    <x v="4"/>
    <x v="283"/>
    <x v="88"/>
    <x v="88"/>
    <s v="REVENUS"/>
    <x v="21"/>
    <m/>
    <s v="Imputation Forfaitaire"/>
    <m/>
    <n v="60.84"/>
    <s v="4001 (b)"/>
  </r>
  <r>
    <x v="0"/>
    <x v="7"/>
    <x v="6"/>
    <x v="284"/>
    <x v="230"/>
    <x v="230"/>
    <s v="REVENUS"/>
    <x v="21"/>
    <m/>
    <s v="Imputation Forfaitaire"/>
    <m/>
    <n v="10693.07"/>
    <s v="4001 (b)"/>
  </r>
  <r>
    <x v="0"/>
    <x v="7"/>
    <x v="6"/>
    <x v="285"/>
    <x v="229"/>
    <x v="229"/>
    <s v="REVENUS"/>
    <x v="21"/>
    <m/>
    <s v="Imputation Forfaitaire"/>
    <m/>
    <n v="2223.91"/>
    <s v="4001 (b)"/>
  </r>
  <r>
    <x v="0"/>
    <x v="3"/>
    <x v="3"/>
    <x v="286"/>
    <x v="238"/>
    <x v="238"/>
    <s v="REVENUS"/>
    <x v="21"/>
    <m/>
    <s v="Imputation Forfaitaire"/>
    <m/>
    <n v="82.27"/>
    <s v="4001 (b)"/>
  </r>
  <r>
    <x v="0"/>
    <x v="3"/>
    <x v="3"/>
    <x v="287"/>
    <x v="239"/>
    <x v="239"/>
    <s v="REVENUS"/>
    <x v="21"/>
    <m/>
    <s v="Imputation Forfaitaire"/>
    <m/>
    <n v="32.130000000000003"/>
    <s v="4001 (b)"/>
  </r>
  <r>
    <x v="0"/>
    <x v="3"/>
    <x v="3"/>
    <x v="289"/>
    <x v="241"/>
    <x v="241"/>
    <s v="REVENUS"/>
    <x v="21"/>
    <m/>
    <s v="Imputation Forfaitaire"/>
    <m/>
    <n v="109.39"/>
    <s v="4001 (b)"/>
  </r>
  <r>
    <x v="0"/>
    <x v="3"/>
    <x v="3"/>
    <x v="290"/>
    <x v="242"/>
    <x v="242"/>
    <s v="REVENUS"/>
    <x v="21"/>
    <m/>
    <s v="Imputation Forfaitaire"/>
    <m/>
    <n v="58.94"/>
    <s v="4001 (b)"/>
  </r>
  <r>
    <x v="0"/>
    <x v="3"/>
    <x v="3"/>
    <x v="292"/>
    <x v="243"/>
    <x v="243"/>
    <s v="REVENUS"/>
    <x v="21"/>
    <m/>
    <s v="Imputation Forfaitaire"/>
    <m/>
    <n v="141.16999999999999"/>
    <s v="4001 (b)"/>
  </r>
  <r>
    <x v="0"/>
    <x v="3"/>
    <x v="3"/>
    <x v="294"/>
    <x v="244"/>
    <x v="244"/>
    <s v="REVENUS"/>
    <x v="21"/>
    <m/>
    <s v="Imputation Forfaitaire"/>
    <m/>
    <n v="15.82"/>
    <s v="4001 (b)"/>
  </r>
  <r>
    <x v="0"/>
    <x v="3"/>
    <x v="3"/>
    <x v="295"/>
    <x v="245"/>
    <x v="245"/>
    <s v="REVENUS"/>
    <x v="21"/>
    <m/>
    <s v="Imputation Forfaitaire"/>
    <m/>
    <n v="3101.92"/>
    <s v="4001 (b)"/>
  </r>
  <r>
    <x v="0"/>
    <x v="3"/>
    <x v="3"/>
    <x v="300"/>
    <x v="248"/>
    <x v="248"/>
    <s v="REVENUS"/>
    <x v="21"/>
    <m/>
    <s v="Imputation Forfaitaire"/>
    <m/>
    <n v="182.73"/>
    <s v="4001 (b)"/>
  </r>
  <r>
    <x v="0"/>
    <x v="3"/>
    <x v="3"/>
    <x v="301"/>
    <x v="240"/>
    <x v="240"/>
    <s v="REVENUS"/>
    <x v="21"/>
    <m/>
    <s v="Imputation Forfaitaire"/>
    <m/>
    <n v="1227.58"/>
    <s v="4001 (b)"/>
  </r>
  <r>
    <x v="0"/>
    <x v="10"/>
    <x v="9"/>
    <x v="302"/>
    <x v="249"/>
    <x v="249"/>
    <s v="REVENUS"/>
    <x v="21"/>
    <m/>
    <s v="Imputation Forfaitaire"/>
    <m/>
    <n v="14091.22"/>
    <s v="4001 (b)"/>
  </r>
  <r>
    <x v="0"/>
    <x v="10"/>
    <x v="9"/>
    <x v="303"/>
    <x v="250"/>
    <x v="250"/>
    <s v="REVENUS"/>
    <x v="21"/>
    <m/>
    <s v="Imputation Forfaitaire"/>
    <m/>
    <n v="1530.31"/>
    <s v="4001 (b)"/>
  </r>
  <r>
    <x v="0"/>
    <x v="10"/>
    <x v="9"/>
    <x v="304"/>
    <x v="251"/>
    <x v="251"/>
    <s v="REVENUS"/>
    <x v="21"/>
    <m/>
    <s v="Imputation Forfaitaire"/>
    <m/>
    <n v="29770.84"/>
    <s v="4001 (b)"/>
  </r>
  <r>
    <x v="0"/>
    <x v="5"/>
    <x v="1"/>
    <x v="305"/>
    <x v="252"/>
    <x v="252"/>
    <s v="REVENUS"/>
    <x v="21"/>
    <m/>
    <s v="Imputation Forfaitaire"/>
    <m/>
    <n v="498.12"/>
    <s v="4001 (b)"/>
  </r>
  <r>
    <x v="0"/>
    <x v="1"/>
    <x v="2"/>
    <x v="306"/>
    <x v="253"/>
    <x v="253"/>
    <s v="REVENUS"/>
    <x v="21"/>
    <m/>
    <s v="Imputation Forfaitaire"/>
    <m/>
    <n v="2256.67"/>
    <s v="4001 (b)"/>
  </r>
  <r>
    <x v="0"/>
    <x v="1"/>
    <x v="2"/>
    <x v="307"/>
    <x v="254"/>
    <x v="254"/>
    <s v="REVENUS"/>
    <x v="21"/>
    <m/>
    <s v="Imputation Forfaitaire"/>
    <m/>
    <n v="1408.33"/>
    <s v="4001 (b)"/>
  </r>
  <r>
    <x v="0"/>
    <x v="1"/>
    <x v="2"/>
    <x v="308"/>
    <x v="255"/>
    <x v="255"/>
    <s v="REVENUS"/>
    <x v="21"/>
    <m/>
    <s v="Imputation Forfaitaire"/>
    <m/>
    <n v="393.73"/>
    <s v="4001 (b)"/>
  </r>
  <r>
    <x v="0"/>
    <x v="1"/>
    <x v="2"/>
    <x v="309"/>
    <x v="256"/>
    <x v="256"/>
    <s v="REVENUS"/>
    <x v="21"/>
    <m/>
    <s v="Imputation Forfaitaire"/>
    <m/>
    <n v="19267.39"/>
    <s v="4001 (b)"/>
  </r>
  <r>
    <x v="0"/>
    <x v="1"/>
    <x v="2"/>
    <x v="310"/>
    <x v="257"/>
    <x v="257"/>
    <s v="REVENUS"/>
    <x v="21"/>
    <m/>
    <s v="Imputation Forfaitaire"/>
    <m/>
    <n v="1487.96"/>
    <s v="4001 (b)"/>
  </r>
  <r>
    <x v="0"/>
    <x v="1"/>
    <x v="2"/>
    <x v="311"/>
    <x v="258"/>
    <x v="258"/>
    <s v="REVENUS"/>
    <x v="21"/>
    <m/>
    <s v="Imputation Forfaitaire"/>
    <m/>
    <n v="1154.3499999999999"/>
    <s v="4001 (b)"/>
  </r>
  <r>
    <x v="0"/>
    <x v="1"/>
    <x v="2"/>
    <x v="312"/>
    <x v="259"/>
    <x v="259"/>
    <s v="REVENUS"/>
    <x v="21"/>
    <m/>
    <s v="Imputation Forfaitaire"/>
    <m/>
    <n v="4349.6899999999996"/>
    <s v="4001 (b)"/>
  </r>
  <r>
    <x v="0"/>
    <x v="1"/>
    <x v="2"/>
    <x v="313"/>
    <x v="260"/>
    <x v="260"/>
    <s v="REVENUS"/>
    <x v="21"/>
    <m/>
    <s v="Imputation Forfaitaire"/>
    <m/>
    <n v="20714.57"/>
    <s v="4001 (b)"/>
  </r>
  <r>
    <x v="0"/>
    <x v="1"/>
    <x v="2"/>
    <x v="314"/>
    <x v="261"/>
    <x v="261"/>
    <s v="REVENUS"/>
    <x v="21"/>
    <m/>
    <s v="Imputation Forfaitaire"/>
    <m/>
    <n v="17501.400000000001"/>
    <s v="4001 (b)"/>
  </r>
  <r>
    <x v="0"/>
    <x v="1"/>
    <x v="2"/>
    <x v="315"/>
    <x v="262"/>
    <x v="262"/>
    <s v="REVENUS"/>
    <x v="21"/>
    <m/>
    <s v="Imputation Forfaitaire"/>
    <m/>
    <n v="134280.85"/>
    <s v="4001 (b)"/>
  </r>
  <r>
    <x v="0"/>
    <x v="1"/>
    <x v="2"/>
    <x v="316"/>
    <x v="263"/>
    <x v="263"/>
    <s v="REVENUS"/>
    <x v="21"/>
    <m/>
    <s v="Imputation Forfaitaire"/>
    <m/>
    <n v="43.81"/>
    <s v="4001 (b)"/>
  </r>
  <r>
    <x v="0"/>
    <x v="1"/>
    <x v="2"/>
    <x v="317"/>
    <x v="264"/>
    <x v="264"/>
    <s v="REVENUS"/>
    <x v="21"/>
    <m/>
    <s v="Imputation Forfaitaire"/>
    <m/>
    <n v="2163.7399999999998"/>
    <s v="4001 (b)"/>
  </r>
  <r>
    <x v="0"/>
    <x v="11"/>
    <x v="9"/>
    <x v="318"/>
    <x v="265"/>
    <x v="265"/>
    <s v="REVENUS"/>
    <x v="21"/>
    <m/>
    <s v="Imputation Forfaitaire"/>
    <m/>
    <n v="57917.68"/>
    <s v="4001 (b)"/>
  </r>
  <r>
    <x v="0"/>
    <x v="11"/>
    <x v="9"/>
    <x v="319"/>
    <x v="266"/>
    <x v="266"/>
    <s v="REVENUS"/>
    <x v="21"/>
    <m/>
    <s v="Imputation Forfaitaire"/>
    <m/>
    <n v="12147.19"/>
    <s v="4001 (b)"/>
  </r>
  <r>
    <x v="0"/>
    <x v="11"/>
    <x v="9"/>
    <x v="320"/>
    <x v="267"/>
    <x v="267"/>
    <s v="REVENUS"/>
    <x v="21"/>
    <m/>
    <s v="Imputation Forfaitaire"/>
    <m/>
    <n v="13760.55"/>
    <s v="4001 (b)"/>
  </r>
  <r>
    <x v="0"/>
    <x v="11"/>
    <x v="9"/>
    <x v="321"/>
    <x v="268"/>
    <x v="268"/>
    <s v="REVENUS"/>
    <x v="21"/>
    <m/>
    <s v="Imputation Forfaitaire"/>
    <m/>
    <n v="4466.72"/>
    <s v="4001 (b)"/>
  </r>
  <r>
    <x v="0"/>
    <x v="11"/>
    <x v="9"/>
    <x v="322"/>
    <x v="269"/>
    <x v="269"/>
    <s v="REVENUS"/>
    <x v="21"/>
    <m/>
    <s v="Imputation Forfaitaire"/>
    <m/>
    <n v="3916.17"/>
    <s v="4001 (b)"/>
  </r>
  <r>
    <x v="0"/>
    <x v="11"/>
    <x v="9"/>
    <x v="323"/>
    <x v="270"/>
    <x v="270"/>
    <s v="REVENUS"/>
    <x v="21"/>
    <m/>
    <s v="Imputation Forfaitaire"/>
    <m/>
    <n v="118292.14"/>
    <s v="4001 (b)"/>
  </r>
  <r>
    <x v="0"/>
    <x v="11"/>
    <x v="9"/>
    <x v="324"/>
    <x v="271"/>
    <x v="271"/>
    <s v="REVENUS"/>
    <x v="21"/>
    <m/>
    <s v="Imputation Forfaitaire"/>
    <m/>
    <n v="29801"/>
    <s v="4001 (b)"/>
  </r>
  <r>
    <x v="0"/>
    <x v="11"/>
    <x v="9"/>
    <x v="325"/>
    <x v="272"/>
    <x v="272"/>
    <s v="REVENUS"/>
    <x v="21"/>
    <m/>
    <s v="Imputation Forfaitaire"/>
    <m/>
    <n v="87734.82"/>
    <s v="4001 (b)"/>
  </r>
  <r>
    <x v="0"/>
    <x v="11"/>
    <x v="9"/>
    <x v="326"/>
    <x v="273"/>
    <x v="273"/>
    <s v="REVENUS"/>
    <x v="21"/>
    <m/>
    <s v="Imputation Forfaitaire"/>
    <m/>
    <n v="34364.050000000003"/>
    <s v="4001 (b)"/>
  </r>
  <r>
    <x v="0"/>
    <x v="11"/>
    <x v="9"/>
    <x v="327"/>
    <x v="274"/>
    <x v="274"/>
    <s v="REVENUS"/>
    <x v="21"/>
    <m/>
    <s v="Imputation Forfaitaire"/>
    <m/>
    <n v="3587.09"/>
    <s v="4001 (b)"/>
  </r>
  <r>
    <x v="0"/>
    <x v="12"/>
    <x v="5"/>
    <x v="329"/>
    <x v="276"/>
    <x v="276"/>
    <s v="REVENUS"/>
    <x v="21"/>
    <m/>
    <s v="Imputation Forfaitaire"/>
    <m/>
    <n v="4.63"/>
    <s v="4001 (b)"/>
  </r>
  <r>
    <x v="0"/>
    <x v="12"/>
    <x v="5"/>
    <x v="330"/>
    <x v="277"/>
    <x v="277"/>
    <s v="REVENUS"/>
    <x v="21"/>
    <m/>
    <s v="Imputation Forfaitaire"/>
    <m/>
    <n v="253.12"/>
    <s v="4001 (b)"/>
  </r>
  <r>
    <x v="0"/>
    <x v="12"/>
    <x v="5"/>
    <x v="331"/>
    <x v="278"/>
    <x v="278"/>
    <s v="REVENUS"/>
    <x v="21"/>
    <m/>
    <s v="Imputation Forfaitaire"/>
    <m/>
    <n v="24.88"/>
    <s v="4001 (b)"/>
  </r>
  <r>
    <x v="0"/>
    <x v="12"/>
    <x v="5"/>
    <x v="333"/>
    <x v="279"/>
    <x v="279"/>
    <s v="REVENUS"/>
    <x v="21"/>
    <m/>
    <s v="Imputation Forfaitaire"/>
    <m/>
    <n v="13.33"/>
    <s v="4001 (b)"/>
  </r>
  <r>
    <x v="0"/>
    <x v="12"/>
    <x v="5"/>
    <x v="334"/>
    <x v="280"/>
    <x v="280"/>
    <s v="REVENUS"/>
    <x v="21"/>
    <m/>
    <s v="Imputation Forfaitaire"/>
    <m/>
    <n v="103.75"/>
    <s v="4001 (b)"/>
  </r>
  <r>
    <x v="0"/>
    <x v="12"/>
    <x v="5"/>
    <x v="335"/>
    <x v="281"/>
    <x v="281"/>
    <s v="REVENUS"/>
    <x v="21"/>
    <m/>
    <s v="Imputation Forfaitaire"/>
    <m/>
    <n v="606.21"/>
    <s v="4001 (b)"/>
  </r>
  <r>
    <x v="0"/>
    <x v="12"/>
    <x v="5"/>
    <x v="336"/>
    <x v="282"/>
    <x v="282"/>
    <s v="REVENUS"/>
    <x v="21"/>
    <m/>
    <s v="Imputation Forfaitaire"/>
    <m/>
    <n v="15.01"/>
    <s v="4001 (b)"/>
  </r>
  <r>
    <x v="0"/>
    <x v="12"/>
    <x v="5"/>
    <x v="337"/>
    <x v="283"/>
    <x v="283"/>
    <s v="REVENUS"/>
    <x v="21"/>
    <m/>
    <s v="Imputation Forfaitaire"/>
    <m/>
    <n v="1865.97"/>
    <s v="4001 (b)"/>
  </r>
  <r>
    <x v="0"/>
    <x v="12"/>
    <x v="5"/>
    <x v="339"/>
    <x v="285"/>
    <x v="285"/>
    <s v="REVENUS"/>
    <x v="21"/>
    <m/>
    <s v="Imputation Forfaitaire"/>
    <m/>
    <n v="977.98"/>
    <s v="4001 (b)"/>
  </r>
  <r>
    <x v="0"/>
    <x v="12"/>
    <x v="5"/>
    <x v="340"/>
    <x v="286"/>
    <x v="286"/>
    <s v="REVENUS"/>
    <x v="21"/>
    <m/>
    <s v="Imputation Forfaitaire"/>
    <m/>
    <n v="0.59"/>
    <s v="4001 (b)"/>
  </r>
  <r>
    <x v="0"/>
    <x v="12"/>
    <x v="5"/>
    <x v="343"/>
    <x v="287"/>
    <x v="287"/>
    <s v="REVENUS"/>
    <x v="21"/>
    <m/>
    <s v="Imputation Forfaitaire"/>
    <m/>
    <n v="56.05"/>
    <s v="4001 (b)"/>
  </r>
  <r>
    <x v="0"/>
    <x v="12"/>
    <x v="5"/>
    <x v="344"/>
    <x v="288"/>
    <x v="288"/>
    <s v="REVENUS"/>
    <x v="21"/>
    <m/>
    <s v="Imputation Forfaitaire"/>
    <m/>
    <n v="29.05"/>
    <s v="4001 (b)"/>
  </r>
  <r>
    <x v="0"/>
    <x v="12"/>
    <x v="5"/>
    <x v="345"/>
    <x v="289"/>
    <x v="289"/>
    <s v="REVENUS"/>
    <x v="21"/>
    <m/>
    <s v="Imputation Forfaitaire"/>
    <m/>
    <n v="506.68"/>
    <s v="4001 (b)"/>
  </r>
  <r>
    <x v="0"/>
    <x v="12"/>
    <x v="5"/>
    <x v="347"/>
    <x v="291"/>
    <x v="291"/>
    <s v="REVENUS"/>
    <x v="21"/>
    <m/>
    <s v="Imputation Forfaitaire"/>
    <m/>
    <n v="74.400000000000006"/>
    <s v="4001 (b)"/>
  </r>
  <r>
    <x v="0"/>
    <x v="12"/>
    <x v="5"/>
    <x v="349"/>
    <x v="293"/>
    <x v="293"/>
    <s v="REVENUS"/>
    <x v="21"/>
    <m/>
    <s v="Imputation Forfaitaire"/>
    <m/>
    <n v="90.08"/>
    <s v="4001 (b)"/>
  </r>
  <r>
    <x v="0"/>
    <x v="12"/>
    <x v="5"/>
    <x v="350"/>
    <x v="294"/>
    <x v="294"/>
    <s v="REVENUS"/>
    <x v="21"/>
    <m/>
    <s v="Imputation Forfaitaire"/>
    <m/>
    <n v="21.61"/>
    <s v="4001 (b)"/>
  </r>
  <r>
    <x v="0"/>
    <x v="12"/>
    <x v="5"/>
    <x v="351"/>
    <x v="295"/>
    <x v="295"/>
    <s v="REVENUS"/>
    <x v="21"/>
    <m/>
    <s v="Imputation Forfaitaire"/>
    <m/>
    <n v="14.49"/>
    <s v="4001 (b)"/>
  </r>
  <r>
    <x v="0"/>
    <x v="12"/>
    <x v="5"/>
    <x v="353"/>
    <x v="297"/>
    <x v="297"/>
    <s v="REVENUS"/>
    <x v="21"/>
    <m/>
    <s v="Imputation Forfaitaire"/>
    <m/>
    <n v="53.69"/>
    <s v="4001 (b)"/>
  </r>
  <r>
    <x v="0"/>
    <x v="12"/>
    <x v="5"/>
    <x v="355"/>
    <x v="299"/>
    <x v="299"/>
    <s v="REVENUS"/>
    <x v="21"/>
    <m/>
    <s v="Imputation Forfaitaire"/>
    <m/>
    <n v="4324.91"/>
    <s v="4001 (b)"/>
  </r>
  <r>
    <x v="0"/>
    <x v="12"/>
    <x v="5"/>
    <x v="357"/>
    <x v="301"/>
    <x v="301"/>
    <s v="REVENUS"/>
    <x v="21"/>
    <m/>
    <s v="Imputation Forfaitaire"/>
    <m/>
    <n v="889.13"/>
    <s v="4001 (b)"/>
  </r>
  <r>
    <x v="0"/>
    <x v="12"/>
    <x v="5"/>
    <x v="358"/>
    <x v="302"/>
    <x v="302"/>
    <s v="REVENUS"/>
    <x v="21"/>
    <m/>
    <s v="Imputation Forfaitaire"/>
    <m/>
    <n v="36.61"/>
    <s v="4001 (b)"/>
  </r>
  <r>
    <x v="0"/>
    <x v="12"/>
    <x v="5"/>
    <x v="359"/>
    <x v="303"/>
    <x v="303"/>
    <s v="REVENUS"/>
    <x v="21"/>
    <m/>
    <s v="Imputation Forfaitaire"/>
    <m/>
    <n v="43494.7"/>
    <s v="4001 (b)"/>
  </r>
  <r>
    <x v="0"/>
    <x v="12"/>
    <x v="5"/>
    <x v="360"/>
    <x v="304"/>
    <x v="304"/>
    <s v="REVENUS"/>
    <x v="21"/>
    <m/>
    <s v="Imputation Forfaitaire"/>
    <m/>
    <n v="910.88"/>
    <s v="4001 (b)"/>
  </r>
  <r>
    <x v="0"/>
    <x v="13"/>
    <x v="5"/>
    <x v="361"/>
    <x v="305"/>
    <x v="305"/>
    <s v="REVENUS"/>
    <x v="21"/>
    <m/>
    <s v="Imputation Forfaitaire"/>
    <m/>
    <n v="16106.52"/>
    <s v="4001 (b)"/>
  </r>
  <r>
    <x v="0"/>
    <x v="13"/>
    <x v="5"/>
    <x v="362"/>
    <x v="306"/>
    <x v="306"/>
    <s v="REVENUS"/>
    <x v="21"/>
    <m/>
    <s v="Imputation Forfaitaire"/>
    <m/>
    <n v="6367.66"/>
    <s v="4001 (b)"/>
  </r>
  <r>
    <x v="0"/>
    <x v="13"/>
    <x v="5"/>
    <x v="363"/>
    <x v="307"/>
    <x v="307"/>
    <s v="REVENUS"/>
    <x v="21"/>
    <m/>
    <s v="Imputation Forfaitaire"/>
    <m/>
    <n v="83.08"/>
    <s v="4001 (b)"/>
  </r>
  <r>
    <x v="0"/>
    <x v="13"/>
    <x v="5"/>
    <x v="364"/>
    <x v="308"/>
    <x v="308"/>
    <s v="REVENUS"/>
    <x v="21"/>
    <m/>
    <s v="Imputation Forfaitaire"/>
    <m/>
    <n v="1.1399999999999999"/>
    <s v="4001 (b)"/>
  </r>
  <r>
    <x v="0"/>
    <x v="13"/>
    <x v="5"/>
    <x v="366"/>
    <x v="310"/>
    <x v="310"/>
    <s v="REVENUS"/>
    <x v="21"/>
    <m/>
    <s v="Imputation Forfaitaire"/>
    <m/>
    <n v="437.59"/>
    <s v="4001 (b)"/>
  </r>
  <r>
    <x v="0"/>
    <x v="13"/>
    <x v="5"/>
    <x v="368"/>
    <x v="312"/>
    <x v="312"/>
    <s v="REVENUS"/>
    <x v="21"/>
    <m/>
    <s v="Imputation Forfaitaire"/>
    <m/>
    <n v="662.44"/>
    <s v="4001 (b)"/>
  </r>
  <r>
    <x v="1"/>
    <x v="0"/>
    <x v="0"/>
    <x v="0"/>
    <x v="0"/>
    <x v="0"/>
    <s v="REVENUS"/>
    <x v="22"/>
    <m/>
    <s v="RFFA Décompte final"/>
    <m/>
    <n v="277770.93"/>
    <n v="451"/>
  </r>
  <r>
    <x v="1"/>
    <x v="0"/>
    <x v="0"/>
    <x v="1"/>
    <x v="1"/>
    <x v="1"/>
    <s v="REVENUS"/>
    <x v="22"/>
    <m/>
    <s v="RFFA Décompte final"/>
    <m/>
    <n v="123529.06"/>
    <n v="451"/>
  </r>
  <r>
    <x v="1"/>
    <x v="0"/>
    <x v="0"/>
    <x v="2"/>
    <x v="2"/>
    <x v="2"/>
    <s v="REVENUS"/>
    <x v="22"/>
    <m/>
    <s v="RFFA Décompte final"/>
    <m/>
    <n v="607.05999999999995"/>
    <n v="451"/>
  </r>
  <r>
    <x v="1"/>
    <x v="0"/>
    <x v="0"/>
    <x v="3"/>
    <x v="3"/>
    <x v="3"/>
    <s v="REVENUS"/>
    <x v="22"/>
    <m/>
    <s v="RFFA Décompte final"/>
    <m/>
    <n v="578.47"/>
    <n v="451"/>
  </r>
  <r>
    <x v="1"/>
    <x v="0"/>
    <x v="0"/>
    <x v="4"/>
    <x v="4"/>
    <x v="4"/>
    <s v="REVENUS"/>
    <x v="22"/>
    <m/>
    <s v="RFFA Décompte final"/>
    <m/>
    <n v="3913.71"/>
    <n v="451"/>
  </r>
  <r>
    <x v="1"/>
    <x v="0"/>
    <x v="0"/>
    <x v="5"/>
    <x v="5"/>
    <x v="5"/>
    <s v="REVENUS"/>
    <x v="22"/>
    <m/>
    <s v="RFFA Décompte final"/>
    <m/>
    <n v="6972.45"/>
    <n v="451"/>
  </r>
  <r>
    <x v="1"/>
    <x v="0"/>
    <x v="0"/>
    <x v="6"/>
    <x v="6"/>
    <x v="6"/>
    <s v="REVENUS"/>
    <x v="22"/>
    <m/>
    <s v="RFFA Décompte final"/>
    <m/>
    <n v="31741.45"/>
    <n v="451"/>
  </r>
  <r>
    <x v="1"/>
    <x v="0"/>
    <x v="0"/>
    <x v="7"/>
    <x v="7"/>
    <x v="7"/>
    <s v="REVENUS"/>
    <x v="22"/>
    <m/>
    <s v="RFFA Décompte final"/>
    <m/>
    <n v="74767.759999999995"/>
    <n v="451"/>
  </r>
  <r>
    <x v="1"/>
    <x v="0"/>
    <x v="0"/>
    <x v="8"/>
    <x v="8"/>
    <x v="8"/>
    <s v="REVENUS"/>
    <x v="22"/>
    <m/>
    <s v="RFFA Décompte final"/>
    <m/>
    <n v="74800.479999999996"/>
    <n v="451"/>
  </r>
  <r>
    <x v="1"/>
    <x v="0"/>
    <x v="0"/>
    <x v="9"/>
    <x v="9"/>
    <x v="9"/>
    <s v="REVENUS"/>
    <x v="22"/>
    <m/>
    <s v="RFFA Décompte final"/>
    <m/>
    <n v="2706.11"/>
    <n v="451"/>
  </r>
  <r>
    <x v="1"/>
    <x v="0"/>
    <x v="0"/>
    <x v="10"/>
    <x v="10"/>
    <x v="10"/>
    <s v="REVENUS"/>
    <x v="22"/>
    <m/>
    <s v="RFFA Décompte final"/>
    <m/>
    <n v="12030.32"/>
    <n v="451"/>
  </r>
  <r>
    <x v="1"/>
    <x v="0"/>
    <x v="0"/>
    <x v="11"/>
    <x v="11"/>
    <x v="11"/>
    <s v="REVENUS"/>
    <x v="22"/>
    <m/>
    <s v="RFFA Décompte final"/>
    <m/>
    <n v="8172.14"/>
    <n v="451"/>
  </r>
  <r>
    <x v="1"/>
    <x v="0"/>
    <x v="0"/>
    <x v="12"/>
    <x v="12"/>
    <x v="12"/>
    <s v="REVENUS"/>
    <x v="22"/>
    <m/>
    <s v="RFFA Décompte final"/>
    <m/>
    <n v="20856.650000000001"/>
    <n v="451"/>
  </r>
  <r>
    <x v="1"/>
    <x v="0"/>
    <x v="0"/>
    <x v="13"/>
    <x v="13"/>
    <x v="13"/>
    <s v="REVENUS"/>
    <x v="22"/>
    <m/>
    <s v="RFFA Décompte final"/>
    <m/>
    <n v="59073.45"/>
    <n v="451"/>
  </r>
  <r>
    <x v="1"/>
    <x v="0"/>
    <x v="0"/>
    <x v="14"/>
    <x v="14"/>
    <x v="14"/>
    <s v="REVENUS"/>
    <x v="22"/>
    <m/>
    <s v="RFFA Décompte final"/>
    <m/>
    <n v="5470.09"/>
    <n v="451"/>
  </r>
  <r>
    <x v="1"/>
    <x v="1"/>
    <x v="1"/>
    <x v="15"/>
    <x v="15"/>
    <x v="15"/>
    <s v="REVENUS"/>
    <x v="22"/>
    <m/>
    <s v="RFFA Décompte final"/>
    <m/>
    <n v="7520.19"/>
    <n v="451"/>
  </r>
  <r>
    <x v="1"/>
    <x v="1"/>
    <x v="1"/>
    <x v="16"/>
    <x v="16"/>
    <x v="16"/>
    <s v="REVENUS"/>
    <x v="22"/>
    <m/>
    <s v="RFFA Décompte final"/>
    <m/>
    <n v="624398.88"/>
    <n v="451"/>
  </r>
  <r>
    <x v="1"/>
    <x v="1"/>
    <x v="1"/>
    <x v="17"/>
    <x v="17"/>
    <x v="17"/>
    <s v="REVENUS"/>
    <x v="22"/>
    <m/>
    <s v="RFFA Décompte final"/>
    <m/>
    <n v="471.79"/>
    <n v="451"/>
  </r>
  <r>
    <x v="1"/>
    <x v="1"/>
    <x v="1"/>
    <x v="18"/>
    <x v="18"/>
    <x v="18"/>
    <s v="REVENUS"/>
    <x v="22"/>
    <m/>
    <s v="RFFA Décompte final"/>
    <m/>
    <n v="134.44999999999999"/>
    <n v="451"/>
  </r>
  <r>
    <x v="1"/>
    <x v="1"/>
    <x v="1"/>
    <x v="19"/>
    <x v="19"/>
    <x v="19"/>
    <s v="REVENUS"/>
    <x v="22"/>
    <m/>
    <s v="RFFA Décompte final"/>
    <m/>
    <n v="23435.08"/>
    <n v="451"/>
  </r>
  <r>
    <x v="1"/>
    <x v="1"/>
    <x v="1"/>
    <x v="20"/>
    <x v="20"/>
    <x v="20"/>
    <s v="REVENUS"/>
    <x v="22"/>
    <m/>
    <s v="RFFA Décompte final"/>
    <m/>
    <n v="204.83"/>
    <n v="451"/>
  </r>
  <r>
    <x v="1"/>
    <x v="1"/>
    <x v="1"/>
    <x v="21"/>
    <x v="21"/>
    <x v="21"/>
    <s v="REVENUS"/>
    <x v="22"/>
    <m/>
    <s v="RFFA Décompte final"/>
    <m/>
    <n v="5106.34"/>
    <n v="451"/>
  </r>
  <r>
    <x v="1"/>
    <x v="1"/>
    <x v="1"/>
    <x v="22"/>
    <x v="22"/>
    <x v="22"/>
    <s v="REVENUS"/>
    <x v="22"/>
    <m/>
    <s v="RFFA Décompte final"/>
    <m/>
    <n v="13587.8"/>
    <n v="451"/>
  </r>
  <r>
    <x v="1"/>
    <x v="2"/>
    <x v="2"/>
    <x v="23"/>
    <x v="23"/>
    <x v="23"/>
    <s v="REVENUS"/>
    <x v="22"/>
    <m/>
    <s v="RFFA Décompte final"/>
    <m/>
    <n v="1990.5"/>
    <n v="451"/>
  </r>
  <r>
    <x v="1"/>
    <x v="2"/>
    <x v="2"/>
    <x v="24"/>
    <x v="24"/>
    <x v="24"/>
    <s v="REVENUS"/>
    <x v="22"/>
    <m/>
    <s v="RFFA Décompte final"/>
    <m/>
    <n v="-12.87"/>
    <n v="451"/>
  </r>
  <r>
    <x v="1"/>
    <x v="1"/>
    <x v="1"/>
    <x v="25"/>
    <x v="25"/>
    <x v="25"/>
    <s v="REVENUS"/>
    <x v="22"/>
    <m/>
    <s v="RFFA Décompte final"/>
    <m/>
    <n v="132.47999999999999"/>
    <n v="451"/>
  </r>
  <r>
    <x v="1"/>
    <x v="1"/>
    <x v="1"/>
    <x v="26"/>
    <x v="26"/>
    <x v="26"/>
    <s v="REVENUS"/>
    <x v="22"/>
    <m/>
    <s v="RFFA Décompte final"/>
    <m/>
    <n v="348.55"/>
    <n v="451"/>
  </r>
  <r>
    <x v="1"/>
    <x v="2"/>
    <x v="2"/>
    <x v="27"/>
    <x v="27"/>
    <x v="27"/>
    <s v="REVENUS"/>
    <x v="22"/>
    <m/>
    <s v="RFFA Décompte final"/>
    <m/>
    <n v="2007.32"/>
    <n v="451"/>
  </r>
  <r>
    <x v="1"/>
    <x v="1"/>
    <x v="1"/>
    <x v="28"/>
    <x v="28"/>
    <x v="28"/>
    <s v="REVENUS"/>
    <x v="22"/>
    <m/>
    <s v="RFFA Décompte final"/>
    <m/>
    <n v="3230.79"/>
    <n v="451"/>
  </r>
  <r>
    <x v="1"/>
    <x v="1"/>
    <x v="1"/>
    <x v="29"/>
    <x v="29"/>
    <x v="29"/>
    <s v="REVENUS"/>
    <x v="22"/>
    <m/>
    <s v="RFFA Décompte final"/>
    <m/>
    <n v="868.48"/>
    <n v="451"/>
  </r>
  <r>
    <x v="1"/>
    <x v="1"/>
    <x v="1"/>
    <x v="30"/>
    <x v="30"/>
    <x v="30"/>
    <s v="REVENUS"/>
    <x v="22"/>
    <m/>
    <s v="RFFA Décompte final"/>
    <m/>
    <n v="5922.85"/>
    <n v="451"/>
  </r>
  <r>
    <x v="1"/>
    <x v="3"/>
    <x v="3"/>
    <x v="31"/>
    <x v="31"/>
    <x v="31"/>
    <s v="REVENUS"/>
    <x v="22"/>
    <m/>
    <s v="RFFA Décompte final"/>
    <m/>
    <n v="185817.96"/>
    <n v="451"/>
  </r>
  <r>
    <x v="1"/>
    <x v="3"/>
    <x v="3"/>
    <x v="35"/>
    <x v="33"/>
    <x v="33"/>
    <s v="REVENUS"/>
    <x v="22"/>
    <m/>
    <s v="RFFA Décompte final"/>
    <m/>
    <n v="4738.2"/>
    <n v="451"/>
  </r>
  <r>
    <x v="1"/>
    <x v="3"/>
    <x v="3"/>
    <x v="36"/>
    <x v="34"/>
    <x v="34"/>
    <s v="REVENUS"/>
    <x v="22"/>
    <m/>
    <s v="RFFA Décompte final"/>
    <m/>
    <n v="1750.88"/>
    <n v="451"/>
  </r>
  <r>
    <x v="1"/>
    <x v="3"/>
    <x v="3"/>
    <x v="41"/>
    <x v="32"/>
    <x v="32"/>
    <s v="REVENUS"/>
    <x v="22"/>
    <m/>
    <s v="RFFA Décompte final"/>
    <m/>
    <n v="5448.52"/>
    <n v="451"/>
  </r>
  <r>
    <x v="1"/>
    <x v="4"/>
    <x v="4"/>
    <x v="42"/>
    <x v="35"/>
    <x v="35"/>
    <s v="REVENUS"/>
    <x v="22"/>
    <m/>
    <s v="RFFA Décompte final"/>
    <m/>
    <n v="1964.56"/>
    <n v="451"/>
  </r>
  <r>
    <x v="1"/>
    <x v="4"/>
    <x v="4"/>
    <x v="43"/>
    <x v="36"/>
    <x v="36"/>
    <s v="REVENUS"/>
    <x v="22"/>
    <m/>
    <s v="RFFA Décompte final"/>
    <m/>
    <n v="1730.93"/>
    <n v="451"/>
  </r>
  <r>
    <x v="1"/>
    <x v="4"/>
    <x v="4"/>
    <x v="44"/>
    <x v="37"/>
    <x v="37"/>
    <s v="REVENUS"/>
    <x v="22"/>
    <m/>
    <s v="RFFA Décompte final"/>
    <m/>
    <n v="3167.22"/>
    <n v="451"/>
  </r>
  <r>
    <x v="1"/>
    <x v="5"/>
    <x v="1"/>
    <x v="45"/>
    <x v="38"/>
    <x v="38"/>
    <s v="REVENUS"/>
    <x v="22"/>
    <m/>
    <s v="RFFA Décompte final"/>
    <m/>
    <n v="367.06"/>
    <n v="451"/>
  </r>
  <r>
    <x v="1"/>
    <x v="5"/>
    <x v="1"/>
    <x v="46"/>
    <x v="39"/>
    <x v="39"/>
    <s v="REVENUS"/>
    <x v="22"/>
    <m/>
    <s v="RFFA Décompte final"/>
    <m/>
    <n v="51.46"/>
    <n v="451"/>
  </r>
  <r>
    <x v="1"/>
    <x v="5"/>
    <x v="1"/>
    <x v="47"/>
    <x v="40"/>
    <x v="40"/>
    <s v="REVENUS"/>
    <x v="22"/>
    <m/>
    <s v="RFFA Décompte final"/>
    <m/>
    <n v="-181.65"/>
    <n v="451"/>
  </r>
  <r>
    <x v="1"/>
    <x v="5"/>
    <x v="1"/>
    <x v="48"/>
    <x v="41"/>
    <x v="41"/>
    <s v="REVENUS"/>
    <x v="22"/>
    <m/>
    <s v="RFFA Décompte final"/>
    <m/>
    <n v="41859.449999999997"/>
    <n v="451"/>
  </r>
  <r>
    <x v="1"/>
    <x v="5"/>
    <x v="1"/>
    <x v="49"/>
    <x v="42"/>
    <x v="42"/>
    <s v="REVENUS"/>
    <x v="22"/>
    <m/>
    <s v="RFFA Décompte final"/>
    <m/>
    <n v="-1529.14"/>
    <n v="451"/>
  </r>
  <r>
    <x v="1"/>
    <x v="5"/>
    <x v="1"/>
    <x v="50"/>
    <x v="43"/>
    <x v="43"/>
    <s v="REVENUS"/>
    <x v="22"/>
    <m/>
    <s v="RFFA Décompte final"/>
    <m/>
    <n v="1859.82"/>
    <n v="451"/>
  </r>
  <r>
    <x v="1"/>
    <x v="4"/>
    <x v="4"/>
    <x v="51"/>
    <x v="44"/>
    <x v="44"/>
    <s v="REVENUS"/>
    <x v="22"/>
    <m/>
    <s v="RFFA Décompte final"/>
    <m/>
    <n v="3518.25"/>
    <n v="451"/>
  </r>
  <r>
    <x v="1"/>
    <x v="5"/>
    <x v="1"/>
    <x v="52"/>
    <x v="45"/>
    <x v="45"/>
    <s v="REVENUS"/>
    <x v="22"/>
    <m/>
    <s v="RFFA Décompte final"/>
    <m/>
    <n v="7265.11"/>
    <n v="451"/>
  </r>
  <r>
    <x v="1"/>
    <x v="5"/>
    <x v="1"/>
    <x v="53"/>
    <x v="46"/>
    <x v="46"/>
    <s v="REVENUS"/>
    <x v="22"/>
    <m/>
    <s v="RFFA Décompte final"/>
    <m/>
    <n v="120391.2"/>
    <n v="451"/>
  </r>
  <r>
    <x v="1"/>
    <x v="5"/>
    <x v="1"/>
    <x v="54"/>
    <x v="47"/>
    <x v="47"/>
    <s v="REVENUS"/>
    <x v="22"/>
    <m/>
    <s v="RFFA Décompte final"/>
    <m/>
    <n v="1100.73"/>
    <n v="451"/>
  </r>
  <r>
    <x v="1"/>
    <x v="5"/>
    <x v="1"/>
    <x v="55"/>
    <x v="48"/>
    <x v="48"/>
    <s v="REVENUS"/>
    <x v="22"/>
    <m/>
    <s v="RFFA Décompte final"/>
    <m/>
    <n v="11542.05"/>
    <n v="451"/>
  </r>
  <r>
    <x v="1"/>
    <x v="5"/>
    <x v="1"/>
    <x v="56"/>
    <x v="49"/>
    <x v="49"/>
    <s v="REVENUS"/>
    <x v="22"/>
    <m/>
    <s v="RFFA Décompte final"/>
    <m/>
    <n v="1540.18"/>
    <n v="451"/>
  </r>
  <r>
    <x v="1"/>
    <x v="5"/>
    <x v="1"/>
    <x v="57"/>
    <x v="50"/>
    <x v="50"/>
    <s v="REVENUS"/>
    <x v="22"/>
    <m/>
    <s v="RFFA Décompte final"/>
    <m/>
    <n v="2375.4499999999998"/>
    <n v="451"/>
  </r>
  <r>
    <x v="1"/>
    <x v="4"/>
    <x v="4"/>
    <x v="58"/>
    <x v="51"/>
    <x v="51"/>
    <s v="REVENUS"/>
    <x v="22"/>
    <m/>
    <s v="RFFA Décompte final"/>
    <m/>
    <n v="-49.77"/>
    <n v="451"/>
  </r>
  <r>
    <x v="1"/>
    <x v="5"/>
    <x v="1"/>
    <x v="59"/>
    <x v="52"/>
    <x v="52"/>
    <s v="REVENUS"/>
    <x v="22"/>
    <m/>
    <s v="RFFA Décompte final"/>
    <m/>
    <n v="109.97"/>
    <n v="451"/>
  </r>
  <r>
    <x v="1"/>
    <x v="4"/>
    <x v="4"/>
    <x v="60"/>
    <x v="53"/>
    <x v="53"/>
    <s v="REVENUS"/>
    <x v="22"/>
    <m/>
    <s v="RFFA Décompte final"/>
    <m/>
    <n v="8301.94"/>
    <n v="451"/>
  </r>
  <r>
    <x v="1"/>
    <x v="5"/>
    <x v="1"/>
    <x v="61"/>
    <x v="54"/>
    <x v="54"/>
    <s v="REVENUS"/>
    <x v="22"/>
    <m/>
    <s v="RFFA Décompte final"/>
    <m/>
    <n v="90.62"/>
    <n v="451"/>
  </r>
  <r>
    <x v="1"/>
    <x v="5"/>
    <x v="1"/>
    <x v="62"/>
    <x v="55"/>
    <x v="55"/>
    <s v="REVENUS"/>
    <x v="22"/>
    <m/>
    <s v="RFFA Décompte final"/>
    <m/>
    <n v="1955.63"/>
    <n v="451"/>
  </r>
  <r>
    <x v="1"/>
    <x v="5"/>
    <x v="1"/>
    <x v="63"/>
    <x v="56"/>
    <x v="56"/>
    <s v="REVENUS"/>
    <x v="22"/>
    <m/>
    <s v="RFFA Décompte final"/>
    <m/>
    <n v="4503.71"/>
    <n v="451"/>
  </r>
  <r>
    <x v="1"/>
    <x v="5"/>
    <x v="1"/>
    <x v="64"/>
    <x v="57"/>
    <x v="57"/>
    <s v="REVENUS"/>
    <x v="22"/>
    <m/>
    <s v="RFFA Décompte final"/>
    <m/>
    <n v="3273.4"/>
    <n v="451"/>
  </r>
  <r>
    <x v="1"/>
    <x v="5"/>
    <x v="1"/>
    <x v="65"/>
    <x v="58"/>
    <x v="58"/>
    <s v="REVENUS"/>
    <x v="22"/>
    <m/>
    <s v="RFFA Décompte final"/>
    <m/>
    <n v="511.19"/>
    <n v="451"/>
  </r>
  <r>
    <x v="1"/>
    <x v="4"/>
    <x v="4"/>
    <x v="66"/>
    <x v="59"/>
    <x v="59"/>
    <s v="REVENUS"/>
    <x v="22"/>
    <m/>
    <s v="RFFA Décompte final"/>
    <m/>
    <n v="7489.08"/>
    <n v="451"/>
  </r>
  <r>
    <x v="1"/>
    <x v="4"/>
    <x v="4"/>
    <x v="67"/>
    <x v="60"/>
    <x v="60"/>
    <s v="REVENUS"/>
    <x v="22"/>
    <m/>
    <s v="RFFA Décompte final"/>
    <m/>
    <n v="7462.5"/>
    <n v="451"/>
  </r>
  <r>
    <x v="1"/>
    <x v="5"/>
    <x v="1"/>
    <x v="68"/>
    <x v="61"/>
    <x v="61"/>
    <s v="REVENUS"/>
    <x v="22"/>
    <m/>
    <s v="RFFA Décompte final"/>
    <m/>
    <n v="-1212.44"/>
    <n v="451"/>
  </r>
  <r>
    <x v="1"/>
    <x v="5"/>
    <x v="1"/>
    <x v="69"/>
    <x v="62"/>
    <x v="62"/>
    <s v="REVENUS"/>
    <x v="22"/>
    <m/>
    <s v="RFFA Décompte final"/>
    <m/>
    <n v="6705.83"/>
    <n v="451"/>
  </r>
  <r>
    <x v="1"/>
    <x v="5"/>
    <x v="1"/>
    <x v="70"/>
    <x v="63"/>
    <x v="63"/>
    <s v="REVENUS"/>
    <x v="22"/>
    <m/>
    <s v="RFFA Décompte final"/>
    <m/>
    <n v="3509.39"/>
    <n v="451"/>
  </r>
  <r>
    <x v="1"/>
    <x v="5"/>
    <x v="1"/>
    <x v="71"/>
    <x v="64"/>
    <x v="64"/>
    <s v="REVENUS"/>
    <x v="22"/>
    <m/>
    <s v="RFFA Décompte final"/>
    <m/>
    <n v="756.95"/>
    <n v="451"/>
  </r>
  <r>
    <x v="1"/>
    <x v="4"/>
    <x v="4"/>
    <x v="72"/>
    <x v="65"/>
    <x v="65"/>
    <s v="REVENUS"/>
    <x v="22"/>
    <m/>
    <s v="RFFA Décompte final"/>
    <m/>
    <n v="4285.16"/>
    <n v="451"/>
  </r>
  <r>
    <x v="1"/>
    <x v="4"/>
    <x v="4"/>
    <x v="73"/>
    <x v="66"/>
    <x v="66"/>
    <s v="REVENUS"/>
    <x v="22"/>
    <m/>
    <s v="RFFA Décompte final"/>
    <m/>
    <n v="143046.97"/>
    <n v="451"/>
  </r>
  <r>
    <x v="1"/>
    <x v="4"/>
    <x v="4"/>
    <x v="74"/>
    <x v="67"/>
    <x v="67"/>
    <s v="REVENUS"/>
    <x v="22"/>
    <m/>
    <s v="RFFA Décompte final"/>
    <m/>
    <n v="23279.41"/>
    <n v="451"/>
  </r>
  <r>
    <x v="1"/>
    <x v="4"/>
    <x v="4"/>
    <x v="75"/>
    <x v="68"/>
    <x v="68"/>
    <s v="REVENUS"/>
    <x v="22"/>
    <m/>
    <s v="RFFA Décompte final"/>
    <m/>
    <n v="4233.41"/>
    <n v="451"/>
  </r>
  <r>
    <x v="1"/>
    <x v="4"/>
    <x v="4"/>
    <x v="76"/>
    <x v="69"/>
    <x v="69"/>
    <s v="REVENUS"/>
    <x v="22"/>
    <m/>
    <s v="RFFA Décompte final"/>
    <m/>
    <n v="34834.17"/>
    <n v="451"/>
  </r>
  <r>
    <x v="1"/>
    <x v="4"/>
    <x v="4"/>
    <x v="77"/>
    <x v="70"/>
    <x v="70"/>
    <s v="REVENUS"/>
    <x v="22"/>
    <m/>
    <s v="RFFA Décompte final"/>
    <m/>
    <n v="733.25"/>
    <n v="451"/>
  </r>
  <r>
    <x v="1"/>
    <x v="4"/>
    <x v="4"/>
    <x v="78"/>
    <x v="71"/>
    <x v="71"/>
    <s v="REVENUS"/>
    <x v="22"/>
    <m/>
    <s v="RFFA Décompte final"/>
    <m/>
    <n v="2302.0100000000002"/>
    <n v="451"/>
  </r>
  <r>
    <x v="1"/>
    <x v="4"/>
    <x v="4"/>
    <x v="79"/>
    <x v="72"/>
    <x v="72"/>
    <s v="REVENUS"/>
    <x v="22"/>
    <m/>
    <s v="RFFA Décompte final"/>
    <m/>
    <n v="18890.79"/>
    <n v="451"/>
  </r>
  <r>
    <x v="1"/>
    <x v="4"/>
    <x v="4"/>
    <x v="81"/>
    <x v="74"/>
    <x v="74"/>
    <s v="REVENUS"/>
    <x v="22"/>
    <m/>
    <s v="RFFA Décompte final"/>
    <m/>
    <n v="61806.68"/>
    <n v="451"/>
  </r>
  <r>
    <x v="1"/>
    <x v="4"/>
    <x v="4"/>
    <x v="82"/>
    <x v="75"/>
    <x v="75"/>
    <s v="REVENUS"/>
    <x v="22"/>
    <m/>
    <s v="RFFA Décompte final"/>
    <m/>
    <n v="6521.87"/>
    <n v="451"/>
  </r>
  <r>
    <x v="1"/>
    <x v="4"/>
    <x v="4"/>
    <x v="83"/>
    <x v="76"/>
    <x v="76"/>
    <s v="REVENUS"/>
    <x v="22"/>
    <m/>
    <s v="RFFA Décompte final"/>
    <m/>
    <n v="27518.25"/>
    <n v="451"/>
  </r>
  <r>
    <x v="1"/>
    <x v="4"/>
    <x v="4"/>
    <x v="84"/>
    <x v="77"/>
    <x v="77"/>
    <s v="REVENUS"/>
    <x v="22"/>
    <m/>
    <s v="RFFA Décompte final"/>
    <m/>
    <n v="574.34"/>
    <n v="451"/>
  </r>
  <r>
    <x v="1"/>
    <x v="4"/>
    <x v="4"/>
    <x v="85"/>
    <x v="78"/>
    <x v="78"/>
    <s v="REVENUS"/>
    <x v="22"/>
    <m/>
    <s v="RFFA Décompte final"/>
    <m/>
    <n v="4363.8100000000004"/>
    <n v="451"/>
  </r>
  <r>
    <x v="1"/>
    <x v="4"/>
    <x v="4"/>
    <x v="88"/>
    <x v="80"/>
    <x v="80"/>
    <s v="REVENUS"/>
    <x v="22"/>
    <m/>
    <s v="RFFA Décompte final"/>
    <m/>
    <n v="823.54"/>
    <n v="451"/>
  </r>
  <r>
    <x v="1"/>
    <x v="4"/>
    <x v="4"/>
    <x v="90"/>
    <x v="81"/>
    <x v="81"/>
    <s v="REVENUS"/>
    <x v="22"/>
    <m/>
    <s v="RFFA Décompte final"/>
    <m/>
    <n v="1447.43"/>
    <n v="451"/>
  </r>
  <r>
    <x v="1"/>
    <x v="4"/>
    <x v="4"/>
    <x v="91"/>
    <x v="82"/>
    <x v="82"/>
    <s v="REVENUS"/>
    <x v="22"/>
    <m/>
    <s v="RFFA Décompte final"/>
    <m/>
    <n v="3433.5"/>
    <n v="451"/>
  </r>
  <r>
    <x v="1"/>
    <x v="4"/>
    <x v="4"/>
    <x v="92"/>
    <x v="83"/>
    <x v="83"/>
    <s v="REVENUS"/>
    <x v="22"/>
    <m/>
    <s v="RFFA Décompte final"/>
    <m/>
    <n v="1105.57"/>
    <n v="451"/>
  </r>
  <r>
    <x v="1"/>
    <x v="4"/>
    <x v="4"/>
    <x v="94"/>
    <x v="84"/>
    <x v="84"/>
    <s v="REVENUS"/>
    <x v="22"/>
    <m/>
    <s v="RFFA Décompte final"/>
    <m/>
    <n v="7396.57"/>
    <n v="451"/>
  </r>
  <r>
    <x v="1"/>
    <x v="4"/>
    <x v="4"/>
    <x v="95"/>
    <x v="85"/>
    <x v="85"/>
    <s v="REVENUS"/>
    <x v="22"/>
    <m/>
    <s v="RFFA Décompte final"/>
    <m/>
    <n v="5647.51"/>
    <n v="451"/>
  </r>
  <r>
    <x v="1"/>
    <x v="4"/>
    <x v="4"/>
    <x v="96"/>
    <x v="86"/>
    <x v="86"/>
    <s v="REVENUS"/>
    <x v="22"/>
    <m/>
    <s v="RFFA Décompte final"/>
    <m/>
    <n v="-735.77"/>
    <n v="451"/>
  </r>
  <r>
    <x v="1"/>
    <x v="4"/>
    <x v="4"/>
    <x v="98"/>
    <x v="87"/>
    <x v="87"/>
    <s v="REVENUS"/>
    <x v="22"/>
    <m/>
    <s v="RFFA Décompte final"/>
    <m/>
    <n v="2133.91"/>
    <n v="451"/>
  </r>
  <r>
    <x v="1"/>
    <x v="4"/>
    <x v="4"/>
    <x v="100"/>
    <x v="89"/>
    <x v="89"/>
    <s v="REVENUS"/>
    <x v="22"/>
    <m/>
    <s v="RFFA Décompte final"/>
    <m/>
    <n v="2653.11"/>
    <n v="451"/>
  </r>
  <r>
    <x v="1"/>
    <x v="4"/>
    <x v="4"/>
    <x v="101"/>
    <x v="73"/>
    <x v="73"/>
    <s v="REVENUS"/>
    <x v="22"/>
    <m/>
    <s v="RFFA Décompte final"/>
    <m/>
    <n v="16001.68"/>
    <n v="451"/>
  </r>
  <r>
    <x v="1"/>
    <x v="4"/>
    <x v="4"/>
    <x v="102"/>
    <x v="79"/>
    <x v="79"/>
    <s v="REVENUS"/>
    <x v="22"/>
    <m/>
    <s v="RFFA Décompte final"/>
    <m/>
    <n v="9855.26"/>
    <n v="451"/>
  </r>
  <r>
    <x v="1"/>
    <x v="6"/>
    <x v="5"/>
    <x v="103"/>
    <x v="90"/>
    <x v="90"/>
    <s v="REVENUS"/>
    <x v="22"/>
    <m/>
    <s v="RFFA Décompte final"/>
    <m/>
    <n v="1312.93"/>
    <n v="451"/>
  </r>
  <r>
    <x v="1"/>
    <x v="6"/>
    <x v="5"/>
    <x v="104"/>
    <x v="91"/>
    <x v="91"/>
    <s v="REVENUS"/>
    <x v="22"/>
    <m/>
    <s v="RFFA Décompte final"/>
    <m/>
    <n v="-431.53"/>
    <n v="451"/>
  </r>
  <r>
    <x v="1"/>
    <x v="6"/>
    <x v="5"/>
    <x v="105"/>
    <x v="92"/>
    <x v="92"/>
    <s v="REVENUS"/>
    <x v="22"/>
    <m/>
    <s v="RFFA Décompte final"/>
    <m/>
    <n v="21220.69"/>
    <n v="451"/>
  </r>
  <r>
    <x v="1"/>
    <x v="6"/>
    <x v="5"/>
    <x v="106"/>
    <x v="93"/>
    <x v="93"/>
    <s v="REVENUS"/>
    <x v="22"/>
    <m/>
    <s v="RFFA Décompte final"/>
    <m/>
    <n v="2744.73"/>
    <n v="451"/>
  </r>
  <r>
    <x v="1"/>
    <x v="6"/>
    <x v="5"/>
    <x v="107"/>
    <x v="94"/>
    <x v="94"/>
    <s v="REVENUS"/>
    <x v="22"/>
    <m/>
    <s v="RFFA Décompte final"/>
    <m/>
    <n v="3239.26"/>
    <n v="451"/>
  </r>
  <r>
    <x v="1"/>
    <x v="6"/>
    <x v="5"/>
    <x v="108"/>
    <x v="95"/>
    <x v="95"/>
    <s v="REVENUS"/>
    <x v="22"/>
    <m/>
    <s v="RFFA Décompte final"/>
    <m/>
    <n v="1916.52"/>
    <n v="451"/>
  </r>
  <r>
    <x v="1"/>
    <x v="6"/>
    <x v="5"/>
    <x v="109"/>
    <x v="96"/>
    <x v="96"/>
    <s v="REVENUS"/>
    <x v="22"/>
    <m/>
    <s v="RFFA Décompte final"/>
    <m/>
    <n v="-1250.26"/>
    <n v="451"/>
  </r>
  <r>
    <x v="1"/>
    <x v="6"/>
    <x v="5"/>
    <x v="110"/>
    <x v="97"/>
    <x v="97"/>
    <s v="REVENUS"/>
    <x v="22"/>
    <m/>
    <s v="RFFA Décompte final"/>
    <m/>
    <n v="-13914.23"/>
    <n v="451"/>
  </r>
  <r>
    <x v="1"/>
    <x v="6"/>
    <x v="5"/>
    <x v="111"/>
    <x v="98"/>
    <x v="98"/>
    <s v="REVENUS"/>
    <x v="22"/>
    <m/>
    <s v="RFFA Décompte final"/>
    <m/>
    <n v="134.55000000000001"/>
    <n v="451"/>
  </r>
  <r>
    <x v="1"/>
    <x v="6"/>
    <x v="5"/>
    <x v="112"/>
    <x v="99"/>
    <x v="99"/>
    <s v="REVENUS"/>
    <x v="22"/>
    <m/>
    <s v="RFFA Décompte final"/>
    <m/>
    <n v="20582.89"/>
    <n v="451"/>
  </r>
  <r>
    <x v="1"/>
    <x v="6"/>
    <x v="5"/>
    <x v="113"/>
    <x v="100"/>
    <x v="100"/>
    <s v="REVENUS"/>
    <x v="22"/>
    <m/>
    <s v="RFFA Décompte final"/>
    <m/>
    <n v="273.75"/>
    <n v="451"/>
  </r>
  <r>
    <x v="1"/>
    <x v="6"/>
    <x v="5"/>
    <x v="114"/>
    <x v="101"/>
    <x v="101"/>
    <s v="REVENUS"/>
    <x v="22"/>
    <m/>
    <s v="RFFA Décompte final"/>
    <m/>
    <n v="54.56"/>
    <n v="451"/>
  </r>
  <r>
    <x v="1"/>
    <x v="6"/>
    <x v="5"/>
    <x v="115"/>
    <x v="102"/>
    <x v="102"/>
    <s v="REVENUS"/>
    <x v="22"/>
    <m/>
    <s v="RFFA Décompte final"/>
    <m/>
    <n v="-1.78"/>
    <n v="451"/>
  </r>
  <r>
    <x v="1"/>
    <x v="6"/>
    <x v="5"/>
    <x v="116"/>
    <x v="103"/>
    <x v="103"/>
    <s v="REVENUS"/>
    <x v="22"/>
    <m/>
    <s v="RFFA Décompte final"/>
    <m/>
    <n v="26439.38"/>
    <n v="451"/>
  </r>
  <r>
    <x v="1"/>
    <x v="6"/>
    <x v="5"/>
    <x v="117"/>
    <x v="104"/>
    <x v="104"/>
    <s v="REVENUS"/>
    <x v="22"/>
    <m/>
    <s v="RFFA Décompte final"/>
    <m/>
    <n v="2841.21"/>
    <n v="451"/>
  </r>
  <r>
    <x v="1"/>
    <x v="6"/>
    <x v="5"/>
    <x v="119"/>
    <x v="106"/>
    <x v="106"/>
    <s v="REVENUS"/>
    <x v="22"/>
    <m/>
    <s v="RFFA Décompte final"/>
    <m/>
    <n v="41296.639999999999"/>
    <n v="451"/>
  </r>
  <r>
    <x v="1"/>
    <x v="6"/>
    <x v="5"/>
    <x v="121"/>
    <x v="105"/>
    <x v="105"/>
    <s v="REVENUS"/>
    <x v="22"/>
    <m/>
    <s v="RFFA Décompte final"/>
    <m/>
    <n v="1762.66"/>
    <n v="451"/>
  </r>
  <r>
    <x v="1"/>
    <x v="7"/>
    <x v="6"/>
    <x v="122"/>
    <x v="107"/>
    <x v="107"/>
    <s v="REVENUS"/>
    <x v="22"/>
    <m/>
    <s v="RFFA Décompte final"/>
    <m/>
    <n v="18441.29"/>
    <n v="451"/>
  </r>
  <r>
    <x v="1"/>
    <x v="8"/>
    <x v="7"/>
    <x v="123"/>
    <x v="108"/>
    <x v="108"/>
    <s v="REVENUS"/>
    <x v="22"/>
    <m/>
    <s v="RFFA Décompte final"/>
    <m/>
    <n v="47506.01"/>
    <n v="451"/>
  </r>
  <r>
    <x v="1"/>
    <x v="8"/>
    <x v="8"/>
    <x v="124"/>
    <x v="109"/>
    <x v="109"/>
    <s v="REVENUS"/>
    <x v="22"/>
    <m/>
    <s v="RFFA Décompte final"/>
    <m/>
    <n v="577565.11"/>
    <n v="451"/>
  </r>
  <r>
    <x v="1"/>
    <x v="8"/>
    <x v="7"/>
    <x v="125"/>
    <x v="110"/>
    <x v="110"/>
    <s v="REVENUS"/>
    <x v="22"/>
    <m/>
    <s v="RFFA Décompte final"/>
    <m/>
    <n v="101983.15"/>
    <n v="451"/>
  </r>
  <r>
    <x v="1"/>
    <x v="8"/>
    <x v="7"/>
    <x v="126"/>
    <x v="111"/>
    <x v="111"/>
    <s v="REVENUS"/>
    <x v="22"/>
    <m/>
    <s v="RFFA Décompte final"/>
    <m/>
    <n v="10097.76"/>
    <n v="451"/>
  </r>
  <r>
    <x v="1"/>
    <x v="8"/>
    <x v="7"/>
    <x v="128"/>
    <x v="113"/>
    <x v="113"/>
    <s v="REVENUS"/>
    <x v="22"/>
    <m/>
    <s v="RFFA Décompte final"/>
    <m/>
    <n v="233027.94"/>
    <n v="451"/>
  </r>
  <r>
    <x v="1"/>
    <x v="7"/>
    <x v="6"/>
    <x v="129"/>
    <x v="114"/>
    <x v="114"/>
    <s v="REVENUS"/>
    <x v="22"/>
    <m/>
    <s v="RFFA Décompte final"/>
    <m/>
    <n v="44989.41"/>
    <n v="451"/>
  </r>
  <r>
    <x v="1"/>
    <x v="8"/>
    <x v="8"/>
    <x v="130"/>
    <x v="115"/>
    <x v="115"/>
    <s v="REVENUS"/>
    <x v="22"/>
    <m/>
    <s v="RFFA Décompte final"/>
    <m/>
    <n v="739791.92"/>
    <n v="451"/>
  </r>
  <r>
    <x v="1"/>
    <x v="7"/>
    <x v="6"/>
    <x v="131"/>
    <x v="116"/>
    <x v="116"/>
    <s v="REVENUS"/>
    <x v="22"/>
    <m/>
    <s v="RFFA Décompte final"/>
    <m/>
    <n v="920515.62"/>
    <n v="451"/>
  </r>
  <r>
    <x v="1"/>
    <x v="8"/>
    <x v="8"/>
    <x v="132"/>
    <x v="117"/>
    <x v="117"/>
    <s v="REVENUS"/>
    <x v="22"/>
    <m/>
    <s v="RFFA Décompte final"/>
    <m/>
    <n v="791088.1"/>
    <n v="451"/>
  </r>
  <r>
    <x v="1"/>
    <x v="8"/>
    <x v="7"/>
    <x v="133"/>
    <x v="118"/>
    <x v="118"/>
    <s v="REVENUS"/>
    <x v="22"/>
    <m/>
    <s v="RFFA Décompte final"/>
    <m/>
    <n v="71494.2"/>
    <n v="451"/>
  </r>
  <r>
    <x v="1"/>
    <x v="7"/>
    <x v="6"/>
    <x v="134"/>
    <x v="119"/>
    <x v="119"/>
    <s v="REVENUS"/>
    <x v="22"/>
    <m/>
    <s v="RFFA Décompte final"/>
    <m/>
    <n v="7188.82"/>
    <n v="451"/>
  </r>
  <r>
    <x v="1"/>
    <x v="7"/>
    <x v="6"/>
    <x v="137"/>
    <x v="121"/>
    <x v="121"/>
    <s v="REVENUS"/>
    <x v="22"/>
    <m/>
    <s v="RFFA Décompte final"/>
    <m/>
    <n v="16578.91"/>
    <n v="451"/>
  </r>
  <r>
    <x v="1"/>
    <x v="7"/>
    <x v="6"/>
    <x v="139"/>
    <x v="122"/>
    <x v="122"/>
    <s v="REVENUS"/>
    <x v="22"/>
    <m/>
    <s v="RFFA Décompte final"/>
    <m/>
    <n v="307729.27"/>
    <n v="451"/>
  </r>
  <r>
    <x v="1"/>
    <x v="7"/>
    <x v="6"/>
    <x v="140"/>
    <x v="123"/>
    <x v="123"/>
    <s v="REVENUS"/>
    <x v="22"/>
    <m/>
    <s v="RFFA Décompte final"/>
    <m/>
    <n v="74006.38"/>
    <n v="451"/>
  </r>
  <r>
    <x v="1"/>
    <x v="7"/>
    <x v="6"/>
    <x v="142"/>
    <x v="124"/>
    <x v="124"/>
    <s v="REVENUS"/>
    <x v="22"/>
    <m/>
    <s v="RFFA Décompte final"/>
    <m/>
    <n v="1076.1500000000001"/>
    <n v="451"/>
  </r>
  <r>
    <x v="1"/>
    <x v="7"/>
    <x v="6"/>
    <x v="143"/>
    <x v="125"/>
    <x v="125"/>
    <s v="REVENUS"/>
    <x v="22"/>
    <m/>
    <s v="RFFA Décompte final"/>
    <m/>
    <n v="655.42"/>
    <n v="451"/>
  </r>
  <r>
    <x v="1"/>
    <x v="7"/>
    <x v="6"/>
    <x v="144"/>
    <x v="126"/>
    <x v="126"/>
    <s v="REVENUS"/>
    <x v="22"/>
    <m/>
    <s v="RFFA Décompte final"/>
    <m/>
    <n v="43258.41"/>
    <n v="451"/>
  </r>
  <r>
    <x v="1"/>
    <x v="7"/>
    <x v="6"/>
    <x v="146"/>
    <x v="120"/>
    <x v="120"/>
    <s v="REVENUS"/>
    <x v="22"/>
    <m/>
    <s v="RFFA Décompte final"/>
    <m/>
    <n v="28940.6"/>
    <n v="451"/>
  </r>
  <r>
    <x v="1"/>
    <x v="5"/>
    <x v="1"/>
    <x v="147"/>
    <x v="127"/>
    <x v="127"/>
    <s v="REVENUS"/>
    <x v="22"/>
    <m/>
    <s v="RFFA Décompte final"/>
    <m/>
    <n v="50640.04"/>
    <n v="451"/>
  </r>
  <r>
    <x v="1"/>
    <x v="5"/>
    <x v="1"/>
    <x v="148"/>
    <x v="128"/>
    <x v="128"/>
    <s v="REVENUS"/>
    <x v="22"/>
    <m/>
    <s v="RFFA Décompte final"/>
    <m/>
    <n v="1627.78"/>
    <n v="451"/>
  </r>
  <r>
    <x v="1"/>
    <x v="5"/>
    <x v="1"/>
    <x v="149"/>
    <x v="129"/>
    <x v="129"/>
    <s v="REVENUS"/>
    <x v="22"/>
    <m/>
    <s v="RFFA Décompte final"/>
    <m/>
    <n v="-5783.41"/>
    <n v="451"/>
  </r>
  <r>
    <x v="1"/>
    <x v="8"/>
    <x v="8"/>
    <x v="150"/>
    <x v="130"/>
    <x v="130"/>
    <s v="REVENUS"/>
    <x v="22"/>
    <m/>
    <s v="RFFA Décompte final"/>
    <m/>
    <n v="329781.56"/>
    <n v="451"/>
  </r>
  <r>
    <x v="1"/>
    <x v="5"/>
    <x v="1"/>
    <x v="151"/>
    <x v="131"/>
    <x v="131"/>
    <s v="REVENUS"/>
    <x v="22"/>
    <m/>
    <s v="RFFA Décompte final"/>
    <m/>
    <n v="2171.9699999999998"/>
    <n v="451"/>
  </r>
  <r>
    <x v="1"/>
    <x v="8"/>
    <x v="8"/>
    <x v="152"/>
    <x v="132"/>
    <x v="132"/>
    <s v="REVENUS"/>
    <x v="22"/>
    <m/>
    <s v="RFFA Décompte final"/>
    <m/>
    <n v="-40640.870000000003"/>
    <n v="451"/>
  </r>
  <r>
    <x v="1"/>
    <x v="5"/>
    <x v="1"/>
    <x v="153"/>
    <x v="133"/>
    <x v="133"/>
    <s v="REVENUS"/>
    <x v="22"/>
    <m/>
    <s v="RFFA Décompte final"/>
    <m/>
    <n v="688.72"/>
    <n v="451"/>
  </r>
  <r>
    <x v="1"/>
    <x v="5"/>
    <x v="1"/>
    <x v="154"/>
    <x v="134"/>
    <x v="134"/>
    <s v="REVENUS"/>
    <x v="22"/>
    <m/>
    <s v="RFFA Décompte final"/>
    <m/>
    <n v="256.64"/>
    <n v="451"/>
  </r>
  <r>
    <x v="1"/>
    <x v="5"/>
    <x v="1"/>
    <x v="156"/>
    <x v="136"/>
    <x v="136"/>
    <s v="REVENUS"/>
    <x v="22"/>
    <m/>
    <s v="RFFA Décompte final"/>
    <m/>
    <n v="4257.96"/>
    <n v="451"/>
  </r>
  <r>
    <x v="1"/>
    <x v="5"/>
    <x v="1"/>
    <x v="157"/>
    <x v="137"/>
    <x v="137"/>
    <s v="REVENUS"/>
    <x v="22"/>
    <m/>
    <s v="RFFA Décompte final"/>
    <m/>
    <n v="26804.28"/>
    <n v="451"/>
  </r>
  <r>
    <x v="1"/>
    <x v="5"/>
    <x v="1"/>
    <x v="158"/>
    <x v="138"/>
    <x v="138"/>
    <s v="REVENUS"/>
    <x v="22"/>
    <m/>
    <s v="RFFA Décompte final"/>
    <m/>
    <n v="58393.11"/>
    <n v="451"/>
  </r>
  <r>
    <x v="1"/>
    <x v="5"/>
    <x v="1"/>
    <x v="159"/>
    <x v="135"/>
    <x v="135"/>
    <s v="REVENUS"/>
    <x v="22"/>
    <m/>
    <s v="RFFA Décompte final"/>
    <m/>
    <n v="41857.550000000003"/>
    <n v="451"/>
  </r>
  <r>
    <x v="1"/>
    <x v="8"/>
    <x v="8"/>
    <x v="160"/>
    <x v="139"/>
    <x v="139"/>
    <s v="REVENUS"/>
    <x v="22"/>
    <m/>
    <s v="RFFA Décompte final"/>
    <m/>
    <n v="1776637.74"/>
    <n v="451"/>
  </r>
  <r>
    <x v="1"/>
    <x v="5"/>
    <x v="1"/>
    <x v="161"/>
    <x v="140"/>
    <x v="140"/>
    <s v="REVENUS"/>
    <x v="22"/>
    <m/>
    <s v="RFFA Décompte final"/>
    <m/>
    <n v="175111.21"/>
    <n v="451"/>
  </r>
  <r>
    <x v="1"/>
    <x v="5"/>
    <x v="1"/>
    <x v="162"/>
    <x v="141"/>
    <x v="141"/>
    <s v="REVENUS"/>
    <x v="22"/>
    <m/>
    <s v="RFFA Décompte final"/>
    <m/>
    <n v="1445.74"/>
    <n v="451"/>
  </r>
  <r>
    <x v="1"/>
    <x v="5"/>
    <x v="1"/>
    <x v="163"/>
    <x v="142"/>
    <x v="142"/>
    <s v="REVENUS"/>
    <x v="22"/>
    <m/>
    <s v="RFFA Décompte final"/>
    <m/>
    <n v="5502.22"/>
    <n v="451"/>
  </r>
  <r>
    <x v="1"/>
    <x v="5"/>
    <x v="1"/>
    <x v="164"/>
    <x v="143"/>
    <x v="143"/>
    <s v="REVENUS"/>
    <x v="22"/>
    <m/>
    <s v="RFFA Décompte final"/>
    <m/>
    <n v="-6955.42"/>
    <n v="451"/>
  </r>
  <r>
    <x v="1"/>
    <x v="5"/>
    <x v="1"/>
    <x v="165"/>
    <x v="144"/>
    <x v="144"/>
    <s v="REVENUS"/>
    <x v="22"/>
    <m/>
    <s v="RFFA Décompte final"/>
    <m/>
    <n v="3161.76"/>
    <n v="451"/>
  </r>
  <r>
    <x v="1"/>
    <x v="5"/>
    <x v="1"/>
    <x v="167"/>
    <x v="145"/>
    <x v="145"/>
    <s v="REVENUS"/>
    <x v="22"/>
    <m/>
    <s v="RFFA Décompte final"/>
    <m/>
    <n v="570927.19999999995"/>
    <n v="451"/>
  </r>
  <r>
    <x v="1"/>
    <x v="5"/>
    <x v="1"/>
    <x v="168"/>
    <x v="146"/>
    <x v="146"/>
    <s v="REVENUS"/>
    <x v="22"/>
    <m/>
    <s v="RFFA Décompte final"/>
    <m/>
    <n v="54273.01"/>
    <n v="451"/>
  </r>
  <r>
    <x v="1"/>
    <x v="5"/>
    <x v="1"/>
    <x v="169"/>
    <x v="147"/>
    <x v="147"/>
    <s v="REVENUS"/>
    <x v="22"/>
    <m/>
    <s v="RFFA Décompte final"/>
    <m/>
    <n v="3113.41"/>
    <n v="451"/>
  </r>
  <r>
    <x v="1"/>
    <x v="5"/>
    <x v="1"/>
    <x v="170"/>
    <x v="148"/>
    <x v="148"/>
    <s v="REVENUS"/>
    <x v="22"/>
    <m/>
    <s v="RFFA Décompte final"/>
    <m/>
    <n v="16501.27"/>
    <n v="451"/>
  </r>
  <r>
    <x v="1"/>
    <x v="5"/>
    <x v="1"/>
    <x v="171"/>
    <x v="149"/>
    <x v="149"/>
    <s v="REVENUS"/>
    <x v="22"/>
    <m/>
    <s v="RFFA Décompte final"/>
    <m/>
    <n v="1280206.22"/>
    <n v="451"/>
  </r>
  <r>
    <x v="1"/>
    <x v="8"/>
    <x v="8"/>
    <x v="173"/>
    <x v="150"/>
    <x v="150"/>
    <s v="REVENUS"/>
    <x v="22"/>
    <m/>
    <s v="RFFA Décompte final"/>
    <m/>
    <n v="165674.60999999999"/>
    <n v="451"/>
  </r>
  <r>
    <x v="1"/>
    <x v="5"/>
    <x v="1"/>
    <x v="174"/>
    <x v="151"/>
    <x v="151"/>
    <s v="REVENUS"/>
    <x v="22"/>
    <m/>
    <s v="RFFA Décompte final"/>
    <m/>
    <n v="915433.7"/>
    <n v="451"/>
  </r>
  <r>
    <x v="1"/>
    <x v="5"/>
    <x v="1"/>
    <x v="175"/>
    <x v="152"/>
    <x v="152"/>
    <s v="REVENUS"/>
    <x v="22"/>
    <m/>
    <s v="RFFA Décompte final"/>
    <m/>
    <n v="655.26"/>
    <n v="451"/>
  </r>
  <r>
    <x v="1"/>
    <x v="8"/>
    <x v="8"/>
    <x v="176"/>
    <x v="153"/>
    <x v="153"/>
    <s v="REVENUS"/>
    <x v="22"/>
    <m/>
    <s v="RFFA Décompte final"/>
    <m/>
    <n v="42555.69"/>
    <n v="451"/>
  </r>
  <r>
    <x v="1"/>
    <x v="5"/>
    <x v="1"/>
    <x v="177"/>
    <x v="154"/>
    <x v="154"/>
    <s v="REVENUS"/>
    <x v="22"/>
    <m/>
    <s v="RFFA Décompte final"/>
    <m/>
    <n v="2978.98"/>
    <n v="451"/>
  </r>
  <r>
    <x v="1"/>
    <x v="5"/>
    <x v="1"/>
    <x v="178"/>
    <x v="155"/>
    <x v="155"/>
    <s v="REVENUS"/>
    <x v="22"/>
    <m/>
    <s v="RFFA Décompte final"/>
    <m/>
    <n v="6135.74"/>
    <n v="451"/>
  </r>
  <r>
    <x v="1"/>
    <x v="5"/>
    <x v="1"/>
    <x v="179"/>
    <x v="156"/>
    <x v="156"/>
    <s v="REVENUS"/>
    <x v="22"/>
    <m/>
    <s v="RFFA Décompte final"/>
    <m/>
    <n v="247.69"/>
    <n v="451"/>
  </r>
  <r>
    <x v="1"/>
    <x v="5"/>
    <x v="1"/>
    <x v="180"/>
    <x v="157"/>
    <x v="157"/>
    <s v="REVENUS"/>
    <x v="22"/>
    <m/>
    <s v="RFFA Décompte final"/>
    <m/>
    <n v="33267.79"/>
    <n v="451"/>
  </r>
  <r>
    <x v="1"/>
    <x v="4"/>
    <x v="4"/>
    <x v="181"/>
    <x v="158"/>
    <x v="158"/>
    <s v="REVENUS"/>
    <x v="22"/>
    <m/>
    <s v="RFFA Décompte final"/>
    <m/>
    <n v="1581.39"/>
    <n v="451"/>
  </r>
  <r>
    <x v="1"/>
    <x v="3"/>
    <x v="3"/>
    <x v="183"/>
    <x v="160"/>
    <x v="160"/>
    <s v="REVENUS"/>
    <x v="22"/>
    <m/>
    <s v="RFFA Décompte final"/>
    <m/>
    <n v="594.36"/>
    <n v="451"/>
  </r>
  <r>
    <x v="1"/>
    <x v="3"/>
    <x v="3"/>
    <x v="185"/>
    <x v="162"/>
    <x v="162"/>
    <s v="REVENUS"/>
    <x v="22"/>
    <m/>
    <s v="RFFA Décompte final"/>
    <m/>
    <n v="23.29"/>
    <n v="451"/>
  </r>
  <r>
    <x v="1"/>
    <x v="3"/>
    <x v="3"/>
    <x v="188"/>
    <x v="163"/>
    <x v="163"/>
    <s v="REVENUS"/>
    <x v="22"/>
    <m/>
    <s v="RFFA Décompte final"/>
    <m/>
    <n v="745.89"/>
    <n v="451"/>
  </r>
  <r>
    <x v="1"/>
    <x v="3"/>
    <x v="3"/>
    <x v="190"/>
    <x v="164"/>
    <x v="164"/>
    <s v="REVENUS"/>
    <x v="22"/>
    <m/>
    <s v="RFFA Décompte final"/>
    <m/>
    <n v="417.08"/>
    <n v="451"/>
  </r>
  <r>
    <x v="1"/>
    <x v="3"/>
    <x v="3"/>
    <x v="192"/>
    <x v="165"/>
    <x v="165"/>
    <s v="REVENUS"/>
    <x v="22"/>
    <m/>
    <s v="RFFA Décompte final"/>
    <m/>
    <n v="292.17"/>
    <n v="451"/>
  </r>
  <r>
    <x v="1"/>
    <x v="3"/>
    <x v="3"/>
    <x v="193"/>
    <x v="166"/>
    <x v="166"/>
    <s v="REVENUS"/>
    <x v="22"/>
    <m/>
    <s v="RFFA Décompte final"/>
    <m/>
    <n v="30.85"/>
    <n v="451"/>
  </r>
  <r>
    <x v="1"/>
    <x v="3"/>
    <x v="3"/>
    <x v="194"/>
    <x v="159"/>
    <x v="159"/>
    <s v="REVENUS"/>
    <x v="22"/>
    <m/>
    <s v="RFFA Décompte final"/>
    <m/>
    <n v="74950.55"/>
    <n v="451"/>
  </r>
  <r>
    <x v="1"/>
    <x v="3"/>
    <x v="3"/>
    <x v="197"/>
    <x v="167"/>
    <x v="167"/>
    <s v="REVENUS"/>
    <x v="22"/>
    <m/>
    <s v="RFFA Décompte final"/>
    <m/>
    <n v="41298.800000000003"/>
    <n v="451"/>
  </r>
  <r>
    <x v="1"/>
    <x v="4"/>
    <x v="4"/>
    <x v="198"/>
    <x v="168"/>
    <x v="168"/>
    <s v="REVENUS"/>
    <x v="22"/>
    <m/>
    <s v="RFFA Décompte final"/>
    <m/>
    <n v="385.8"/>
    <n v="451"/>
  </r>
  <r>
    <x v="1"/>
    <x v="3"/>
    <x v="3"/>
    <x v="200"/>
    <x v="169"/>
    <x v="169"/>
    <s v="REVENUS"/>
    <x v="22"/>
    <m/>
    <s v="RFFA Décompte final"/>
    <m/>
    <n v="-335.27"/>
    <n v="451"/>
  </r>
  <r>
    <x v="1"/>
    <x v="3"/>
    <x v="3"/>
    <x v="201"/>
    <x v="170"/>
    <x v="170"/>
    <s v="REVENUS"/>
    <x v="22"/>
    <m/>
    <s v="RFFA Décompte final"/>
    <m/>
    <n v="-3.51"/>
    <n v="451"/>
  </r>
  <r>
    <x v="1"/>
    <x v="3"/>
    <x v="3"/>
    <x v="373"/>
    <x v="313"/>
    <x v="313"/>
    <s v="REVENUS"/>
    <x v="22"/>
    <m/>
    <s v="RFFA Décompte final"/>
    <m/>
    <n v="1299.3"/>
    <n v="451"/>
  </r>
  <r>
    <x v="1"/>
    <x v="3"/>
    <x v="3"/>
    <x v="204"/>
    <x v="171"/>
    <x v="171"/>
    <s v="REVENUS"/>
    <x v="22"/>
    <m/>
    <s v="RFFA Décompte final"/>
    <m/>
    <n v="47.41"/>
    <n v="451"/>
  </r>
  <r>
    <x v="1"/>
    <x v="3"/>
    <x v="3"/>
    <x v="205"/>
    <x v="172"/>
    <x v="172"/>
    <s v="REVENUS"/>
    <x v="22"/>
    <m/>
    <s v="RFFA Décompte final"/>
    <m/>
    <n v="1603.33"/>
    <n v="451"/>
  </r>
  <r>
    <x v="1"/>
    <x v="4"/>
    <x v="4"/>
    <x v="206"/>
    <x v="161"/>
    <x v="161"/>
    <s v="REVENUS"/>
    <x v="22"/>
    <m/>
    <s v="RFFA Décompte final"/>
    <m/>
    <n v="4453.33"/>
    <n v="451"/>
  </r>
  <r>
    <x v="1"/>
    <x v="2"/>
    <x v="2"/>
    <x v="207"/>
    <x v="173"/>
    <x v="173"/>
    <s v="REVENUS"/>
    <x v="22"/>
    <m/>
    <s v="RFFA Décompte final"/>
    <m/>
    <n v="653.4"/>
    <n v="451"/>
  </r>
  <r>
    <x v="1"/>
    <x v="2"/>
    <x v="2"/>
    <x v="208"/>
    <x v="174"/>
    <x v="174"/>
    <s v="REVENUS"/>
    <x v="22"/>
    <m/>
    <s v="RFFA Décompte final"/>
    <m/>
    <n v="11528.22"/>
    <n v="451"/>
  </r>
  <r>
    <x v="1"/>
    <x v="2"/>
    <x v="2"/>
    <x v="209"/>
    <x v="175"/>
    <x v="175"/>
    <s v="REVENUS"/>
    <x v="22"/>
    <m/>
    <s v="RFFA Décompte final"/>
    <m/>
    <n v="6921.91"/>
    <n v="451"/>
  </r>
  <r>
    <x v="1"/>
    <x v="2"/>
    <x v="2"/>
    <x v="210"/>
    <x v="176"/>
    <x v="176"/>
    <s v="REVENUS"/>
    <x v="22"/>
    <m/>
    <s v="RFFA Décompte final"/>
    <m/>
    <n v="3010.09"/>
    <n v="451"/>
  </r>
  <r>
    <x v="1"/>
    <x v="2"/>
    <x v="2"/>
    <x v="211"/>
    <x v="177"/>
    <x v="177"/>
    <s v="REVENUS"/>
    <x v="22"/>
    <m/>
    <s v="RFFA Décompte final"/>
    <m/>
    <n v="2281.1"/>
    <n v="451"/>
  </r>
  <r>
    <x v="1"/>
    <x v="2"/>
    <x v="2"/>
    <x v="212"/>
    <x v="178"/>
    <x v="178"/>
    <s v="REVENUS"/>
    <x v="22"/>
    <m/>
    <s v="RFFA Décompte final"/>
    <m/>
    <n v="-218.12"/>
    <n v="451"/>
  </r>
  <r>
    <x v="1"/>
    <x v="2"/>
    <x v="2"/>
    <x v="213"/>
    <x v="179"/>
    <x v="179"/>
    <s v="REVENUS"/>
    <x v="22"/>
    <m/>
    <s v="RFFA Décompte final"/>
    <m/>
    <n v="30159.4"/>
    <n v="451"/>
  </r>
  <r>
    <x v="1"/>
    <x v="2"/>
    <x v="2"/>
    <x v="214"/>
    <x v="180"/>
    <x v="180"/>
    <s v="REVENUS"/>
    <x v="22"/>
    <m/>
    <s v="RFFA Décompte final"/>
    <m/>
    <n v="3705.6"/>
    <n v="451"/>
  </r>
  <r>
    <x v="1"/>
    <x v="2"/>
    <x v="2"/>
    <x v="215"/>
    <x v="181"/>
    <x v="181"/>
    <s v="REVENUS"/>
    <x v="22"/>
    <m/>
    <s v="RFFA Décompte final"/>
    <m/>
    <n v="1416.13"/>
    <n v="451"/>
  </r>
  <r>
    <x v="1"/>
    <x v="2"/>
    <x v="2"/>
    <x v="216"/>
    <x v="182"/>
    <x v="182"/>
    <s v="REVENUS"/>
    <x v="22"/>
    <m/>
    <s v="RFFA Décompte final"/>
    <m/>
    <n v="5360.98"/>
    <n v="451"/>
  </r>
  <r>
    <x v="1"/>
    <x v="2"/>
    <x v="2"/>
    <x v="217"/>
    <x v="183"/>
    <x v="183"/>
    <s v="REVENUS"/>
    <x v="22"/>
    <m/>
    <s v="RFFA Décompte final"/>
    <m/>
    <n v="6520.54"/>
    <n v="451"/>
  </r>
  <r>
    <x v="1"/>
    <x v="2"/>
    <x v="2"/>
    <x v="218"/>
    <x v="184"/>
    <x v="184"/>
    <s v="REVENUS"/>
    <x v="22"/>
    <m/>
    <s v="RFFA Décompte final"/>
    <m/>
    <n v="19565.330000000002"/>
    <n v="451"/>
  </r>
  <r>
    <x v="1"/>
    <x v="2"/>
    <x v="2"/>
    <x v="219"/>
    <x v="185"/>
    <x v="185"/>
    <s v="REVENUS"/>
    <x v="22"/>
    <m/>
    <s v="RFFA Décompte final"/>
    <m/>
    <n v="4037"/>
    <n v="451"/>
  </r>
  <r>
    <x v="1"/>
    <x v="2"/>
    <x v="2"/>
    <x v="220"/>
    <x v="186"/>
    <x v="186"/>
    <s v="REVENUS"/>
    <x v="22"/>
    <m/>
    <s v="RFFA Décompte final"/>
    <m/>
    <n v="-9243.5"/>
    <n v="451"/>
  </r>
  <r>
    <x v="1"/>
    <x v="2"/>
    <x v="2"/>
    <x v="221"/>
    <x v="187"/>
    <x v="187"/>
    <s v="REVENUS"/>
    <x v="22"/>
    <m/>
    <s v="RFFA Décompte final"/>
    <m/>
    <n v="4196.33"/>
    <n v="451"/>
  </r>
  <r>
    <x v="1"/>
    <x v="2"/>
    <x v="2"/>
    <x v="222"/>
    <x v="188"/>
    <x v="188"/>
    <s v="REVENUS"/>
    <x v="22"/>
    <m/>
    <s v="RFFA Décompte final"/>
    <m/>
    <n v="1290946.78"/>
    <n v="451"/>
  </r>
  <r>
    <x v="1"/>
    <x v="2"/>
    <x v="2"/>
    <x v="223"/>
    <x v="189"/>
    <x v="189"/>
    <s v="REVENUS"/>
    <x v="22"/>
    <m/>
    <s v="RFFA Décompte final"/>
    <m/>
    <n v="12908.62"/>
    <n v="451"/>
  </r>
  <r>
    <x v="1"/>
    <x v="2"/>
    <x v="2"/>
    <x v="224"/>
    <x v="190"/>
    <x v="190"/>
    <s v="REVENUS"/>
    <x v="22"/>
    <m/>
    <s v="RFFA Décompte final"/>
    <m/>
    <n v="38373.019999999997"/>
    <n v="451"/>
  </r>
  <r>
    <x v="1"/>
    <x v="2"/>
    <x v="2"/>
    <x v="225"/>
    <x v="191"/>
    <x v="191"/>
    <s v="REVENUS"/>
    <x v="22"/>
    <m/>
    <s v="RFFA Décompte final"/>
    <m/>
    <n v="56482.06"/>
    <n v="451"/>
  </r>
  <r>
    <x v="1"/>
    <x v="2"/>
    <x v="2"/>
    <x v="226"/>
    <x v="192"/>
    <x v="192"/>
    <s v="REVENUS"/>
    <x v="22"/>
    <m/>
    <s v="RFFA Décompte final"/>
    <m/>
    <n v="5436.52"/>
    <n v="451"/>
  </r>
  <r>
    <x v="1"/>
    <x v="2"/>
    <x v="2"/>
    <x v="227"/>
    <x v="193"/>
    <x v="193"/>
    <s v="REVENUS"/>
    <x v="22"/>
    <m/>
    <s v="RFFA Décompte final"/>
    <m/>
    <n v="453213.95"/>
    <n v="451"/>
  </r>
  <r>
    <x v="1"/>
    <x v="2"/>
    <x v="2"/>
    <x v="228"/>
    <x v="194"/>
    <x v="194"/>
    <s v="REVENUS"/>
    <x v="22"/>
    <m/>
    <s v="RFFA Décompte final"/>
    <m/>
    <n v="1217.0899999999999"/>
    <n v="451"/>
  </r>
  <r>
    <x v="1"/>
    <x v="2"/>
    <x v="2"/>
    <x v="229"/>
    <x v="195"/>
    <x v="195"/>
    <s v="REVENUS"/>
    <x v="22"/>
    <m/>
    <s v="RFFA Décompte final"/>
    <m/>
    <n v="38310.11"/>
    <n v="451"/>
  </r>
  <r>
    <x v="1"/>
    <x v="2"/>
    <x v="2"/>
    <x v="230"/>
    <x v="196"/>
    <x v="196"/>
    <s v="REVENUS"/>
    <x v="22"/>
    <m/>
    <s v="RFFA Décompte final"/>
    <m/>
    <n v="960622.88"/>
    <n v="451"/>
  </r>
  <r>
    <x v="1"/>
    <x v="2"/>
    <x v="2"/>
    <x v="231"/>
    <x v="197"/>
    <x v="197"/>
    <s v="REVENUS"/>
    <x v="22"/>
    <m/>
    <s v="RFFA Décompte final"/>
    <m/>
    <n v="114349.82"/>
    <n v="451"/>
  </r>
  <r>
    <x v="1"/>
    <x v="2"/>
    <x v="2"/>
    <x v="232"/>
    <x v="198"/>
    <x v="198"/>
    <s v="REVENUS"/>
    <x v="22"/>
    <m/>
    <s v="RFFA Décompte final"/>
    <m/>
    <n v="3502.4"/>
    <n v="451"/>
  </r>
  <r>
    <x v="1"/>
    <x v="2"/>
    <x v="2"/>
    <x v="233"/>
    <x v="199"/>
    <x v="199"/>
    <s v="REVENUS"/>
    <x v="22"/>
    <m/>
    <s v="RFFA Décompte final"/>
    <m/>
    <n v="5832.26"/>
    <n v="451"/>
  </r>
  <r>
    <x v="1"/>
    <x v="2"/>
    <x v="2"/>
    <x v="234"/>
    <x v="200"/>
    <x v="200"/>
    <s v="REVENUS"/>
    <x v="22"/>
    <m/>
    <s v="RFFA Décompte final"/>
    <m/>
    <n v="81970.929999999993"/>
    <n v="451"/>
  </r>
  <r>
    <x v="1"/>
    <x v="2"/>
    <x v="2"/>
    <x v="235"/>
    <x v="201"/>
    <x v="201"/>
    <s v="REVENUS"/>
    <x v="22"/>
    <m/>
    <s v="RFFA Décompte final"/>
    <m/>
    <n v="40128.19"/>
    <n v="451"/>
  </r>
  <r>
    <x v="1"/>
    <x v="2"/>
    <x v="2"/>
    <x v="236"/>
    <x v="202"/>
    <x v="202"/>
    <s v="REVENUS"/>
    <x v="22"/>
    <m/>
    <s v="RFFA Décompte final"/>
    <m/>
    <n v="-544.04"/>
    <n v="451"/>
  </r>
  <r>
    <x v="1"/>
    <x v="2"/>
    <x v="2"/>
    <x v="237"/>
    <x v="203"/>
    <x v="203"/>
    <s v="REVENUS"/>
    <x v="22"/>
    <m/>
    <s v="RFFA Décompte final"/>
    <m/>
    <n v="1184.25"/>
    <n v="451"/>
  </r>
  <r>
    <x v="1"/>
    <x v="2"/>
    <x v="2"/>
    <x v="238"/>
    <x v="204"/>
    <x v="204"/>
    <s v="REVENUS"/>
    <x v="22"/>
    <m/>
    <s v="RFFA Décompte final"/>
    <m/>
    <n v="3319.93"/>
    <n v="451"/>
  </r>
  <r>
    <x v="1"/>
    <x v="9"/>
    <x v="5"/>
    <x v="239"/>
    <x v="205"/>
    <x v="205"/>
    <s v="REVENUS"/>
    <x v="22"/>
    <m/>
    <s v="RFFA Décompte final"/>
    <m/>
    <n v="654.89"/>
    <n v="451"/>
  </r>
  <r>
    <x v="1"/>
    <x v="9"/>
    <x v="5"/>
    <x v="240"/>
    <x v="206"/>
    <x v="206"/>
    <s v="REVENUS"/>
    <x v="22"/>
    <m/>
    <s v="RFFA Décompte final"/>
    <m/>
    <n v="375.9"/>
    <n v="451"/>
  </r>
  <r>
    <x v="1"/>
    <x v="9"/>
    <x v="5"/>
    <x v="241"/>
    <x v="207"/>
    <x v="207"/>
    <s v="REVENUS"/>
    <x v="22"/>
    <m/>
    <s v="RFFA Décompte final"/>
    <m/>
    <n v="1400.44"/>
    <n v="451"/>
  </r>
  <r>
    <x v="1"/>
    <x v="9"/>
    <x v="5"/>
    <x v="242"/>
    <x v="208"/>
    <x v="208"/>
    <s v="REVENUS"/>
    <x v="22"/>
    <m/>
    <s v="RFFA Décompte final"/>
    <m/>
    <n v="93050.62"/>
    <n v="451"/>
  </r>
  <r>
    <x v="1"/>
    <x v="9"/>
    <x v="5"/>
    <x v="243"/>
    <x v="209"/>
    <x v="209"/>
    <s v="REVENUS"/>
    <x v="22"/>
    <m/>
    <s v="RFFA Décompte final"/>
    <m/>
    <n v="1672.77"/>
    <n v="451"/>
  </r>
  <r>
    <x v="1"/>
    <x v="9"/>
    <x v="5"/>
    <x v="244"/>
    <x v="210"/>
    <x v="210"/>
    <s v="REVENUS"/>
    <x v="22"/>
    <m/>
    <s v="RFFA Décompte final"/>
    <m/>
    <n v="816.98"/>
    <n v="451"/>
  </r>
  <r>
    <x v="1"/>
    <x v="9"/>
    <x v="5"/>
    <x v="245"/>
    <x v="211"/>
    <x v="211"/>
    <s v="REVENUS"/>
    <x v="22"/>
    <m/>
    <s v="RFFA Décompte final"/>
    <m/>
    <n v="2473.83"/>
    <n v="451"/>
  </r>
  <r>
    <x v="1"/>
    <x v="9"/>
    <x v="5"/>
    <x v="246"/>
    <x v="212"/>
    <x v="212"/>
    <s v="REVENUS"/>
    <x v="22"/>
    <m/>
    <s v="RFFA Décompte final"/>
    <m/>
    <n v="427.76"/>
    <n v="451"/>
  </r>
  <r>
    <x v="1"/>
    <x v="9"/>
    <x v="5"/>
    <x v="247"/>
    <x v="213"/>
    <x v="213"/>
    <s v="REVENUS"/>
    <x v="22"/>
    <m/>
    <s v="RFFA Décompte final"/>
    <m/>
    <n v="15746.86"/>
    <n v="451"/>
  </r>
  <r>
    <x v="1"/>
    <x v="9"/>
    <x v="5"/>
    <x v="248"/>
    <x v="214"/>
    <x v="214"/>
    <s v="REVENUS"/>
    <x v="22"/>
    <m/>
    <s v="RFFA Décompte final"/>
    <m/>
    <n v="-8.25"/>
    <n v="451"/>
  </r>
  <r>
    <x v="1"/>
    <x v="9"/>
    <x v="5"/>
    <x v="250"/>
    <x v="215"/>
    <x v="215"/>
    <s v="REVENUS"/>
    <x v="22"/>
    <m/>
    <s v="RFFA Décompte final"/>
    <m/>
    <n v="1344.99"/>
    <n v="451"/>
  </r>
  <r>
    <x v="1"/>
    <x v="9"/>
    <x v="5"/>
    <x v="251"/>
    <x v="216"/>
    <x v="216"/>
    <s v="REVENUS"/>
    <x v="22"/>
    <m/>
    <s v="RFFA Décompte final"/>
    <m/>
    <n v="229.43"/>
    <n v="451"/>
  </r>
  <r>
    <x v="1"/>
    <x v="9"/>
    <x v="5"/>
    <x v="252"/>
    <x v="217"/>
    <x v="217"/>
    <s v="REVENUS"/>
    <x v="22"/>
    <m/>
    <s v="RFFA Décompte final"/>
    <m/>
    <n v="909.11"/>
    <n v="451"/>
  </r>
  <r>
    <x v="1"/>
    <x v="9"/>
    <x v="5"/>
    <x v="253"/>
    <x v="218"/>
    <x v="218"/>
    <s v="REVENUS"/>
    <x v="22"/>
    <m/>
    <s v="RFFA Décompte final"/>
    <m/>
    <n v="2082.3000000000002"/>
    <n v="451"/>
  </r>
  <r>
    <x v="1"/>
    <x v="9"/>
    <x v="5"/>
    <x v="254"/>
    <x v="219"/>
    <x v="219"/>
    <s v="REVENUS"/>
    <x v="22"/>
    <m/>
    <s v="RFFA Décompte final"/>
    <m/>
    <n v="126988.73"/>
    <n v="451"/>
  </r>
  <r>
    <x v="1"/>
    <x v="9"/>
    <x v="5"/>
    <x v="255"/>
    <x v="220"/>
    <x v="220"/>
    <s v="REVENUS"/>
    <x v="22"/>
    <m/>
    <s v="RFFA Décompte final"/>
    <m/>
    <n v="752.65"/>
    <n v="451"/>
  </r>
  <r>
    <x v="1"/>
    <x v="9"/>
    <x v="5"/>
    <x v="256"/>
    <x v="221"/>
    <x v="221"/>
    <s v="REVENUS"/>
    <x v="22"/>
    <m/>
    <s v="RFFA Décompte final"/>
    <m/>
    <n v="104.99"/>
    <n v="451"/>
  </r>
  <r>
    <x v="1"/>
    <x v="9"/>
    <x v="5"/>
    <x v="257"/>
    <x v="222"/>
    <x v="222"/>
    <s v="REVENUS"/>
    <x v="22"/>
    <m/>
    <s v="RFFA Décompte final"/>
    <m/>
    <n v="341.5"/>
    <n v="451"/>
  </r>
  <r>
    <x v="1"/>
    <x v="9"/>
    <x v="5"/>
    <x v="258"/>
    <x v="223"/>
    <x v="223"/>
    <s v="REVENUS"/>
    <x v="22"/>
    <m/>
    <s v="RFFA Décompte final"/>
    <m/>
    <n v="548.79"/>
    <n v="451"/>
  </r>
  <r>
    <x v="1"/>
    <x v="9"/>
    <x v="5"/>
    <x v="259"/>
    <x v="224"/>
    <x v="224"/>
    <s v="REVENUS"/>
    <x v="22"/>
    <m/>
    <s v="RFFA Décompte final"/>
    <m/>
    <n v="451.8"/>
    <n v="451"/>
  </r>
  <r>
    <x v="1"/>
    <x v="9"/>
    <x v="5"/>
    <x v="260"/>
    <x v="225"/>
    <x v="225"/>
    <s v="REVENUS"/>
    <x v="22"/>
    <m/>
    <s v="RFFA Décompte final"/>
    <m/>
    <n v="2056.65"/>
    <n v="451"/>
  </r>
  <r>
    <x v="1"/>
    <x v="9"/>
    <x v="5"/>
    <x v="261"/>
    <x v="226"/>
    <x v="226"/>
    <s v="REVENUS"/>
    <x v="22"/>
    <m/>
    <s v="RFFA Décompte final"/>
    <m/>
    <n v="40037.17"/>
    <n v="451"/>
  </r>
  <r>
    <x v="1"/>
    <x v="9"/>
    <x v="5"/>
    <x v="262"/>
    <x v="227"/>
    <x v="227"/>
    <s v="REVENUS"/>
    <x v="22"/>
    <m/>
    <s v="RFFA Décompte final"/>
    <m/>
    <n v="224.05"/>
    <n v="451"/>
  </r>
  <r>
    <x v="1"/>
    <x v="9"/>
    <x v="5"/>
    <x v="263"/>
    <x v="228"/>
    <x v="228"/>
    <s v="REVENUS"/>
    <x v="22"/>
    <m/>
    <s v="RFFA Décompte final"/>
    <m/>
    <n v="1332.02"/>
    <n v="451"/>
  </r>
  <r>
    <x v="1"/>
    <x v="3"/>
    <x v="3"/>
    <x v="266"/>
    <x v="231"/>
    <x v="231"/>
    <s v="REVENUS"/>
    <x v="22"/>
    <m/>
    <s v="RFFA Décompte final"/>
    <m/>
    <n v="287.07"/>
    <n v="451"/>
  </r>
  <r>
    <x v="1"/>
    <x v="7"/>
    <x v="6"/>
    <x v="269"/>
    <x v="233"/>
    <x v="233"/>
    <s v="REVENUS"/>
    <x v="22"/>
    <m/>
    <s v="RFFA Décompte final"/>
    <m/>
    <n v="303.48"/>
    <n v="451"/>
  </r>
  <r>
    <x v="1"/>
    <x v="7"/>
    <x v="6"/>
    <x v="271"/>
    <x v="234"/>
    <x v="234"/>
    <s v="REVENUS"/>
    <x v="22"/>
    <m/>
    <s v="RFFA Décompte final"/>
    <m/>
    <n v="968.15"/>
    <n v="451"/>
  </r>
  <r>
    <x v="1"/>
    <x v="7"/>
    <x v="6"/>
    <x v="273"/>
    <x v="235"/>
    <x v="235"/>
    <s v="REVENUS"/>
    <x v="22"/>
    <m/>
    <s v="RFFA Décompte final"/>
    <m/>
    <n v="356.03"/>
    <n v="451"/>
  </r>
  <r>
    <x v="1"/>
    <x v="3"/>
    <x v="3"/>
    <x v="278"/>
    <x v="236"/>
    <x v="236"/>
    <s v="REVENUS"/>
    <x v="22"/>
    <m/>
    <s v="RFFA Décompte final"/>
    <m/>
    <n v="1323.52"/>
    <n v="451"/>
  </r>
  <r>
    <x v="1"/>
    <x v="7"/>
    <x v="6"/>
    <x v="279"/>
    <x v="232"/>
    <x v="232"/>
    <s v="REVENUS"/>
    <x v="22"/>
    <m/>
    <s v="RFFA Décompte final"/>
    <m/>
    <n v="3077"/>
    <n v="451"/>
  </r>
  <r>
    <x v="1"/>
    <x v="3"/>
    <x v="3"/>
    <x v="282"/>
    <x v="237"/>
    <x v="237"/>
    <s v="REVENUS"/>
    <x v="22"/>
    <m/>
    <s v="RFFA Décompte final"/>
    <m/>
    <n v="-178.44"/>
    <n v="451"/>
  </r>
  <r>
    <x v="1"/>
    <x v="4"/>
    <x v="4"/>
    <x v="283"/>
    <x v="88"/>
    <x v="88"/>
    <s v="REVENUS"/>
    <x v="22"/>
    <m/>
    <s v="RFFA Décompte final"/>
    <m/>
    <n v="6746.62"/>
    <n v="451"/>
  </r>
  <r>
    <x v="1"/>
    <x v="7"/>
    <x v="6"/>
    <x v="284"/>
    <x v="230"/>
    <x v="230"/>
    <s v="REVENUS"/>
    <x v="22"/>
    <m/>
    <s v="RFFA Décompte final"/>
    <m/>
    <n v="73317.84"/>
    <n v="451"/>
  </r>
  <r>
    <x v="1"/>
    <x v="7"/>
    <x v="6"/>
    <x v="285"/>
    <x v="229"/>
    <x v="229"/>
    <s v="REVENUS"/>
    <x v="22"/>
    <m/>
    <s v="RFFA Décompte final"/>
    <m/>
    <n v="11999.04"/>
    <n v="451"/>
  </r>
  <r>
    <x v="1"/>
    <x v="3"/>
    <x v="3"/>
    <x v="286"/>
    <x v="238"/>
    <x v="238"/>
    <s v="REVENUS"/>
    <x v="22"/>
    <m/>
    <s v="RFFA Décompte final"/>
    <m/>
    <n v="-460.09"/>
    <n v="451"/>
  </r>
  <r>
    <x v="1"/>
    <x v="3"/>
    <x v="3"/>
    <x v="287"/>
    <x v="239"/>
    <x v="239"/>
    <s v="REVENUS"/>
    <x v="22"/>
    <m/>
    <s v="RFFA Décompte final"/>
    <m/>
    <n v="2479.1799999999998"/>
    <n v="451"/>
  </r>
  <r>
    <x v="1"/>
    <x v="3"/>
    <x v="3"/>
    <x v="289"/>
    <x v="241"/>
    <x v="241"/>
    <s v="REVENUS"/>
    <x v="22"/>
    <m/>
    <s v="RFFA Décompte final"/>
    <m/>
    <n v="13054.08"/>
    <n v="451"/>
  </r>
  <r>
    <x v="1"/>
    <x v="3"/>
    <x v="3"/>
    <x v="290"/>
    <x v="242"/>
    <x v="242"/>
    <s v="REVENUS"/>
    <x v="22"/>
    <m/>
    <s v="RFFA Décompte final"/>
    <m/>
    <n v="1015.77"/>
    <n v="451"/>
  </r>
  <r>
    <x v="1"/>
    <x v="3"/>
    <x v="3"/>
    <x v="292"/>
    <x v="243"/>
    <x v="243"/>
    <s v="REVENUS"/>
    <x v="22"/>
    <m/>
    <s v="RFFA Décompte final"/>
    <m/>
    <n v="9744.01"/>
    <n v="451"/>
  </r>
  <r>
    <x v="1"/>
    <x v="3"/>
    <x v="3"/>
    <x v="294"/>
    <x v="244"/>
    <x v="244"/>
    <s v="REVENUS"/>
    <x v="22"/>
    <m/>
    <s v="RFFA Décompte final"/>
    <m/>
    <n v="468.06"/>
    <n v="451"/>
  </r>
  <r>
    <x v="1"/>
    <x v="3"/>
    <x v="3"/>
    <x v="295"/>
    <x v="245"/>
    <x v="245"/>
    <s v="REVENUS"/>
    <x v="22"/>
    <m/>
    <s v="RFFA Décompte final"/>
    <m/>
    <n v="128981.7"/>
    <n v="451"/>
  </r>
  <r>
    <x v="1"/>
    <x v="3"/>
    <x v="3"/>
    <x v="298"/>
    <x v="246"/>
    <x v="246"/>
    <s v="REVENUS"/>
    <x v="22"/>
    <m/>
    <s v="RFFA Décompte final"/>
    <m/>
    <n v="2281.38"/>
    <n v="451"/>
  </r>
  <r>
    <x v="1"/>
    <x v="3"/>
    <x v="3"/>
    <x v="299"/>
    <x v="247"/>
    <x v="247"/>
    <s v="REVENUS"/>
    <x v="22"/>
    <m/>
    <s v="RFFA Décompte final"/>
    <m/>
    <n v="-7.42"/>
    <n v="451"/>
  </r>
  <r>
    <x v="1"/>
    <x v="3"/>
    <x v="3"/>
    <x v="300"/>
    <x v="248"/>
    <x v="248"/>
    <s v="REVENUS"/>
    <x v="22"/>
    <m/>
    <s v="RFFA Décompte final"/>
    <m/>
    <n v="652.54"/>
    <n v="451"/>
  </r>
  <r>
    <x v="1"/>
    <x v="3"/>
    <x v="3"/>
    <x v="301"/>
    <x v="240"/>
    <x v="240"/>
    <s v="REVENUS"/>
    <x v="22"/>
    <m/>
    <s v="RFFA Décompte final"/>
    <m/>
    <n v="7539.45"/>
    <n v="451"/>
  </r>
  <r>
    <x v="1"/>
    <x v="10"/>
    <x v="9"/>
    <x v="302"/>
    <x v="249"/>
    <x v="249"/>
    <s v="REVENUS"/>
    <x v="22"/>
    <m/>
    <s v="RFFA Décompte final"/>
    <m/>
    <n v="13788.05"/>
    <n v="451"/>
  </r>
  <r>
    <x v="1"/>
    <x v="10"/>
    <x v="9"/>
    <x v="303"/>
    <x v="250"/>
    <x v="250"/>
    <s v="REVENUS"/>
    <x v="22"/>
    <m/>
    <s v="RFFA Décompte final"/>
    <m/>
    <n v="2296.9899999999998"/>
    <n v="451"/>
  </r>
  <r>
    <x v="1"/>
    <x v="10"/>
    <x v="9"/>
    <x v="304"/>
    <x v="251"/>
    <x v="251"/>
    <s v="REVENUS"/>
    <x v="22"/>
    <m/>
    <s v="RFFA Décompte final"/>
    <m/>
    <n v="6481.56"/>
    <n v="451"/>
  </r>
  <r>
    <x v="1"/>
    <x v="5"/>
    <x v="1"/>
    <x v="305"/>
    <x v="252"/>
    <x v="252"/>
    <s v="REVENUS"/>
    <x v="22"/>
    <m/>
    <s v="RFFA Décompte final"/>
    <m/>
    <n v="11336.5"/>
    <n v="451"/>
  </r>
  <r>
    <x v="1"/>
    <x v="1"/>
    <x v="2"/>
    <x v="306"/>
    <x v="253"/>
    <x v="253"/>
    <s v="REVENUS"/>
    <x v="22"/>
    <m/>
    <s v="RFFA Décompte final"/>
    <m/>
    <n v="1627.9"/>
    <n v="451"/>
  </r>
  <r>
    <x v="1"/>
    <x v="1"/>
    <x v="2"/>
    <x v="307"/>
    <x v="254"/>
    <x v="254"/>
    <s v="REVENUS"/>
    <x v="22"/>
    <m/>
    <s v="RFFA Décompte final"/>
    <m/>
    <n v="7281.8"/>
    <n v="451"/>
  </r>
  <r>
    <x v="1"/>
    <x v="1"/>
    <x v="2"/>
    <x v="308"/>
    <x v="255"/>
    <x v="255"/>
    <s v="REVENUS"/>
    <x v="22"/>
    <m/>
    <s v="RFFA Décompte final"/>
    <m/>
    <n v="0.8"/>
    <n v="451"/>
  </r>
  <r>
    <x v="1"/>
    <x v="1"/>
    <x v="2"/>
    <x v="309"/>
    <x v="256"/>
    <x v="256"/>
    <s v="REVENUS"/>
    <x v="22"/>
    <m/>
    <s v="RFFA Décompte final"/>
    <m/>
    <n v="7463.56"/>
    <n v="451"/>
  </r>
  <r>
    <x v="1"/>
    <x v="1"/>
    <x v="2"/>
    <x v="310"/>
    <x v="257"/>
    <x v="257"/>
    <s v="REVENUS"/>
    <x v="22"/>
    <m/>
    <s v="RFFA Décompte final"/>
    <m/>
    <n v="171.66"/>
    <n v="451"/>
  </r>
  <r>
    <x v="1"/>
    <x v="1"/>
    <x v="2"/>
    <x v="311"/>
    <x v="258"/>
    <x v="258"/>
    <s v="REVENUS"/>
    <x v="22"/>
    <m/>
    <s v="RFFA Décompte final"/>
    <m/>
    <n v="-654.37"/>
    <n v="451"/>
  </r>
  <r>
    <x v="1"/>
    <x v="1"/>
    <x v="2"/>
    <x v="312"/>
    <x v="259"/>
    <x v="259"/>
    <s v="REVENUS"/>
    <x v="22"/>
    <m/>
    <s v="RFFA Décompte final"/>
    <m/>
    <n v="4253.3900000000003"/>
    <n v="451"/>
  </r>
  <r>
    <x v="1"/>
    <x v="1"/>
    <x v="2"/>
    <x v="313"/>
    <x v="260"/>
    <x v="260"/>
    <s v="REVENUS"/>
    <x v="22"/>
    <m/>
    <s v="RFFA Décompte final"/>
    <m/>
    <n v="8761.77"/>
    <n v="451"/>
  </r>
  <r>
    <x v="1"/>
    <x v="1"/>
    <x v="2"/>
    <x v="314"/>
    <x v="261"/>
    <x v="261"/>
    <s v="REVENUS"/>
    <x v="22"/>
    <m/>
    <s v="RFFA Décompte final"/>
    <m/>
    <n v="18694.939999999999"/>
    <n v="451"/>
  </r>
  <r>
    <x v="1"/>
    <x v="1"/>
    <x v="2"/>
    <x v="315"/>
    <x v="262"/>
    <x v="262"/>
    <s v="REVENUS"/>
    <x v="22"/>
    <m/>
    <s v="RFFA Décompte final"/>
    <m/>
    <n v="10070150.960000001"/>
    <n v="451"/>
  </r>
  <r>
    <x v="1"/>
    <x v="1"/>
    <x v="2"/>
    <x v="316"/>
    <x v="263"/>
    <x v="263"/>
    <s v="REVENUS"/>
    <x v="22"/>
    <m/>
    <s v="RFFA Décompte final"/>
    <m/>
    <n v="1070.57"/>
    <n v="451"/>
  </r>
  <r>
    <x v="1"/>
    <x v="1"/>
    <x v="2"/>
    <x v="317"/>
    <x v="264"/>
    <x v="264"/>
    <s v="REVENUS"/>
    <x v="22"/>
    <m/>
    <s v="RFFA Décompte final"/>
    <m/>
    <n v="4222.21"/>
    <n v="451"/>
  </r>
  <r>
    <x v="1"/>
    <x v="11"/>
    <x v="9"/>
    <x v="318"/>
    <x v="265"/>
    <x v="265"/>
    <s v="REVENUS"/>
    <x v="22"/>
    <m/>
    <s v="RFFA Décompte final"/>
    <m/>
    <n v="13138.62"/>
    <n v="451"/>
  </r>
  <r>
    <x v="1"/>
    <x v="11"/>
    <x v="9"/>
    <x v="319"/>
    <x v="266"/>
    <x v="266"/>
    <s v="REVENUS"/>
    <x v="22"/>
    <m/>
    <s v="RFFA Décompte final"/>
    <m/>
    <n v="15731.47"/>
    <n v="451"/>
  </r>
  <r>
    <x v="1"/>
    <x v="11"/>
    <x v="9"/>
    <x v="320"/>
    <x v="267"/>
    <x v="267"/>
    <s v="REVENUS"/>
    <x v="22"/>
    <m/>
    <s v="RFFA Décompte final"/>
    <m/>
    <n v="21670.95"/>
    <n v="451"/>
  </r>
  <r>
    <x v="1"/>
    <x v="11"/>
    <x v="9"/>
    <x v="321"/>
    <x v="268"/>
    <x v="268"/>
    <s v="REVENUS"/>
    <x v="22"/>
    <m/>
    <s v="RFFA Décompte final"/>
    <m/>
    <n v="39862.83"/>
    <n v="451"/>
  </r>
  <r>
    <x v="1"/>
    <x v="11"/>
    <x v="9"/>
    <x v="322"/>
    <x v="269"/>
    <x v="269"/>
    <s v="REVENUS"/>
    <x v="22"/>
    <m/>
    <s v="RFFA Décompte final"/>
    <m/>
    <n v="25.2"/>
    <n v="451"/>
  </r>
  <r>
    <x v="1"/>
    <x v="11"/>
    <x v="9"/>
    <x v="323"/>
    <x v="270"/>
    <x v="270"/>
    <s v="REVENUS"/>
    <x v="22"/>
    <m/>
    <s v="RFFA Décompte final"/>
    <m/>
    <n v="366216.66"/>
    <n v="451"/>
  </r>
  <r>
    <x v="1"/>
    <x v="11"/>
    <x v="9"/>
    <x v="324"/>
    <x v="271"/>
    <x v="271"/>
    <s v="REVENUS"/>
    <x v="22"/>
    <m/>
    <s v="RFFA Décompte final"/>
    <m/>
    <n v="50411.69"/>
    <n v="451"/>
  </r>
  <r>
    <x v="1"/>
    <x v="11"/>
    <x v="9"/>
    <x v="325"/>
    <x v="272"/>
    <x v="272"/>
    <s v="REVENUS"/>
    <x v="22"/>
    <m/>
    <s v="RFFA Décompte final"/>
    <m/>
    <n v="526836.32999999996"/>
    <n v="451"/>
  </r>
  <r>
    <x v="1"/>
    <x v="11"/>
    <x v="9"/>
    <x v="326"/>
    <x v="273"/>
    <x v="273"/>
    <s v="REVENUS"/>
    <x v="22"/>
    <m/>
    <s v="RFFA Décompte final"/>
    <m/>
    <n v="1535089.19"/>
    <n v="451"/>
  </r>
  <r>
    <x v="1"/>
    <x v="11"/>
    <x v="9"/>
    <x v="327"/>
    <x v="274"/>
    <x v="274"/>
    <s v="REVENUS"/>
    <x v="22"/>
    <m/>
    <s v="RFFA Décompte final"/>
    <m/>
    <n v="3805.13"/>
    <n v="451"/>
  </r>
  <r>
    <x v="1"/>
    <x v="12"/>
    <x v="5"/>
    <x v="328"/>
    <x v="275"/>
    <x v="275"/>
    <s v="REVENUS"/>
    <x v="22"/>
    <m/>
    <s v="RFFA Décompte final"/>
    <m/>
    <n v="476.12"/>
    <n v="451"/>
  </r>
  <r>
    <x v="1"/>
    <x v="12"/>
    <x v="5"/>
    <x v="329"/>
    <x v="276"/>
    <x v="276"/>
    <s v="REVENUS"/>
    <x v="22"/>
    <m/>
    <s v="RFFA Décompte final"/>
    <m/>
    <n v="-473.12"/>
    <n v="451"/>
  </r>
  <r>
    <x v="1"/>
    <x v="12"/>
    <x v="5"/>
    <x v="330"/>
    <x v="277"/>
    <x v="277"/>
    <s v="REVENUS"/>
    <x v="22"/>
    <m/>
    <s v="RFFA Décompte final"/>
    <m/>
    <n v="420.94"/>
    <n v="451"/>
  </r>
  <r>
    <x v="1"/>
    <x v="12"/>
    <x v="5"/>
    <x v="331"/>
    <x v="278"/>
    <x v="278"/>
    <s v="REVENUS"/>
    <x v="22"/>
    <m/>
    <s v="RFFA Décompte final"/>
    <m/>
    <n v="15445.28"/>
    <n v="451"/>
  </r>
  <r>
    <x v="1"/>
    <x v="12"/>
    <x v="5"/>
    <x v="333"/>
    <x v="279"/>
    <x v="279"/>
    <s v="REVENUS"/>
    <x v="22"/>
    <m/>
    <s v="RFFA Décompte final"/>
    <m/>
    <n v="64.14"/>
    <n v="451"/>
  </r>
  <r>
    <x v="1"/>
    <x v="12"/>
    <x v="5"/>
    <x v="334"/>
    <x v="280"/>
    <x v="280"/>
    <s v="REVENUS"/>
    <x v="22"/>
    <m/>
    <s v="RFFA Décompte final"/>
    <m/>
    <n v="60.84"/>
    <n v="451"/>
  </r>
  <r>
    <x v="1"/>
    <x v="12"/>
    <x v="5"/>
    <x v="335"/>
    <x v="281"/>
    <x v="281"/>
    <s v="REVENUS"/>
    <x v="22"/>
    <m/>
    <s v="RFFA Décompte final"/>
    <m/>
    <n v="2308.62"/>
    <n v="451"/>
  </r>
  <r>
    <x v="1"/>
    <x v="12"/>
    <x v="5"/>
    <x v="336"/>
    <x v="282"/>
    <x v="282"/>
    <s v="REVENUS"/>
    <x v="22"/>
    <m/>
    <s v="RFFA Décompte final"/>
    <m/>
    <n v="555.79"/>
    <n v="451"/>
  </r>
  <r>
    <x v="1"/>
    <x v="12"/>
    <x v="5"/>
    <x v="337"/>
    <x v="283"/>
    <x v="283"/>
    <s v="REVENUS"/>
    <x v="22"/>
    <m/>
    <s v="RFFA Décompte final"/>
    <m/>
    <n v="204.74"/>
    <n v="451"/>
  </r>
  <r>
    <x v="1"/>
    <x v="12"/>
    <x v="5"/>
    <x v="338"/>
    <x v="284"/>
    <x v="284"/>
    <s v="REVENUS"/>
    <x v="22"/>
    <m/>
    <s v="RFFA Décompte final"/>
    <m/>
    <n v="1124.8900000000001"/>
    <n v="451"/>
  </r>
  <r>
    <x v="1"/>
    <x v="12"/>
    <x v="5"/>
    <x v="339"/>
    <x v="285"/>
    <x v="285"/>
    <s v="REVENUS"/>
    <x v="22"/>
    <m/>
    <s v="RFFA Décompte final"/>
    <m/>
    <n v="1375.73"/>
    <n v="451"/>
  </r>
  <r>
    <x v="1"/>
    <x v="12"/>
    <x v="5"/>
    <x v="340"/>
    <x v="286"/>
    <x v="286"/>
    <s v="REVENUS"/>
    <x v="22"/>
    <m/>
    <s v="RFFA Décompte final"/>
    <m/>
    <n v="3063.84"/>
    <n v="451"/>
  </r>
  <r>
    <x v="1"/>
    <x v="12"/>
    <x v="5"/>
    <x v="343"/>
    <x v="287"/>
    <x v="287"/>
    <s v="REVENUS"/>
    <x v="22"/>
    <m/>
    <s v="RFFA Décompte final"/>
    <m/>
    <n v="6841.58"/>
    <n v="451"/>
  </r>
  <r>
    <x v="1"/>
    <x v="12"/>
    <x v="5"/>
    <x v="344"/>
    <x v="288"/>
    <x v="288"/>
    <s v="REVENUS"/>
    <x v="22"/>
    <m/>
    <s v="RFFA Décompte final"/>
    <m/>
    <n v="-404.06"/>
    <n v="451"/>
  </r>
  <r>
    <x v="1"/>
    <x v="12"/>
    <x v="5"/>
    <x v="345"/>
    <x v="289"/>
    <x v="289"/>
    <s v="REVENUS"/>
    <x v="22"/>
    <m/>
    <s v="RFFA Décompte final"/>
    <m/>
    <n v="48721.32"/>
    <n v="451"/>
  </r>
  <r>
    <x v="1"/>
    <x v="4"/>
    <x v="4"/>
    <x v="346"/>
    <x v="290"/>
    <x v="290"/>
    <s v="REVENUS"/>
    <x v="22"/>
    <m/>
    <s v="RFFA Décompte final"/>
    <m/>
    <n v="386.62"/>
    <n v="451"/>
  </r>
  <r>
    <x v="1"/>
    <x v="12"/>
    <x v="5"/>
    <x v="347"/>
    <x v="291"/>
    <x v="291"/>
    <s v="REVENUS"/>
    <x v="22"/>
    <m/>
    <s v="RFFA Décompte final"/>
    <m/>
    <n v="3935.84"/>
    <n v="451"/>
  </r>
  <r>
    <x v="1"/>
    <x v="12"/>
    <x v="5"/>
    <x v="348"/>
    <x v="292"/>
    <x v="292"/>
    <s v="REVENUS"/>
    <x v="22"/>
    <m/>
    <s v="RFFA Décompte final"/>
    <m/>
    <n v="-451.58"/>
    <n v="451"/>
  </r>
  <r>
    <x v="1"/>
    <x v="12"/>
    <x v="5"/>
    <x v="349"/>
    <x v="293"/>
    <x v="293"/>
    <s v="REVENUS"/>
    <x v="22"/>
    <m/>
    <s v="RFFA Décompte final"/>
    <m/>
    <n v="633.48"/>
    <n v="451"/>
  </r>
  <r>
    <x v="1"/>
    <x v="12"/>
    <x v="5"/>
    <x v="350"/>
    <x v="294"/>
    <x v="294"/>
    <s v="REVENUS"/>
    <x v="22"/>
    <m/>
    <s v="RFFA Décompte final"/>
    <m/>
    <n v="387.21"/>
    <n v="451"/>
  </r>
  <r>
    <x v="1"/>
    <x v="12"/>
    <x v="5"/>
    <x v="351"/>
    <x v="295"/>
    <x v="295"/>
    <s v="REVENUS"/>
    <x v="22"/>
    <m/>
    <s v="RFFA Décompte final"/>
    <m/>
    <n v="3642.99"/>
    <n v="451"/>
  </r>
  <r>
    <x v="1"/>
    <x v="12"/>
    <x v="5"/>
    <x v="352"/>
    <x v="296"/>
    <x v="296"/>
    <s v="REVENUS"/>
    <x v="22"/>
    <m/>
    <s v="RFFA Décompte final"/>
    <m/>
    <n v="548.13"/>
    <n v="451"/>
  </r>
  <r>
    <x v="1"/>
    <x v="12"/>
    <x v="5"/>
    <x v="353"/>
    <x v="297"/>
    <x v="297"/>
    <s v="REVENUS"/>
    <x v="22"/>
    <m/>
    <s v="RFFA Décompte final"/>
    <m/>
    <n v="2121.84"/>
    <n v="451"/>
  </r>
  <r>
    <x v="1"/>
    <x v="12"/>
    <x v="5"/>
    <x v="354"/>
    <x v="298"/>
    <x v="298"/>
    <s v="REVENUS"/>
    <x v="22"/>
    <m/>
    <s v="RFFA Décompte final"/>
    <m/>
    <n v="52.92"/>
    <n v="451"/>
  </r>
  <r>
    <x v="1"/>
    <x v="12"/>
    <x v="5"/>
    <x v="355"/>
    <x v="299"/>
    <x v="299"/>
    <s v="REVENUS"/>
    <x v="22"/>
    <m/>
    <s v="RFFA Décompte final"/>
    <m/>
    <n v="3474.37"/>
    <n v="451"/>
  </r>
  <r>
    <x v="1"/>
    <x v="12"/>
    <x v="5"/>
    <x v="356"/>
    <x v="300"/>
    <x v="300"/>
    <s v="REVENUS"/>
    <x v="22"/>
    <m/>
    <s v="RFFA Décompte final"/>
    <m/>
    <n v="-20.49"/>
    <n v="451"/>
  </r>
  <r>
    <x v="1"/>
    <x v="12"/>
    <x v="5"/>
    <x v="357"/>
    <x v="301"/>
    <x v="301"/>
    <s v="REVENUS"/>
    <x v="22"/>
    <m/>
    <s v="RFFA Décompte final"/>
    <m/>
    <n v="52.25"/>
    <n v="451"/>
  </r>
  <r>
    <x v="1"/>
    <x v="12"/>
    <x v="5"/>
    <x v="358"/>
    <x v="302"/>
    <x v="302"/>
    <s v="REVENUS"/>
    <x v="22"/>
    <m/>
    <s v="RFFA Décompte final"/>
    <m/>
    <n v="675.3"/>
    <n v="451"/>
  </r>
  <r>
    <x v="1"/>
    <x v="12"/>
    <x v="5"/>
    <x v="359"/>
    <x v="303"/>
    <x v="303"/>
    <s v="REVENUS"/>
    <x v="22"/>
    <m/>
    <s v="RFFA Décompte final"/>
    <m/>
    <n v="683845.51"/>
    <n v="451"/>
  </r>
  <r>
    <x v="1"/>
    <x v="12"/>
    <x v="5"/>
    <x v="360"/>
    <x v="304"/>
    <x v="304"/>
    <s v="REVENUS"/>
    <x v="22"/>
    <m/>
    <s v="RFFA Décompte final"/>
    <m/>
    <n v="24112.44"/>
    <n v="451"/>
  </r>
  <r>
    <x v="1"/>
    <x v="13"/>
    <x v="5"/>
    <x v="361"/>
    <x v="305"/>
    <x v="305"/>
    <s v="REVENUS"/>
    <x v="22"/>
    <m/>
    <s v="RFFA Décompte final"/>
    <m/>
    <n v="714858.46"/>
    <n v="451"/>
  </r>
  <r>
    <x v="1"/>
    <x v="13"/>
    <x v="5"/>
    <x v="366"/>
    <x v="310"/>
    <x v="310"/>
    <s v="REVENUS"/>
    <x v="22"/>
    <m/>
    <s v="RFFA Décompte final"/>
    <m/>
    <n v="12455.09"/>
    <n v="451"/>
  </r>
  <r>
    <x v="1"/>
    <x v="13"/>
    <x v="5"/>
    <x v="368"/>
    <x v="312"/>
    <x v="312"/>
    <s v="REVENUS"/>
    <x v="22"/>
    <m/>
    <s v="RFFA Décompte final"/>
    <m/>
    <n v="10676.7"/>
    <n v="451"/>
  </r>
  <r>
    <x v="1"/>
    <x v="8"/>
    <x v="7"/>
    <x v="127"/>
    <x v="112"/>
    <x v="112"/>
    <s v="REVENUS"/>
    <x v="22"/>
    <m/>
    <s v="RFFA Décompte final"/>
    <m/>
    <n v="9739038.2200000007"/>
    <n v="45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Tableau croisé dynamique1" cacheId="0" autoFormatId="4099" applyNumberFormats="1" applyBorderFormats="1" applyFontFormats="1" applyPatternFormats="1" applyAlignmentFormats="1" applyWidthHeightFormats="1" dataCaption="Données" updatedVersion="4" asteriskTotals="1" showMemberPropertyTips="0" useAutoFormatting="1" colGrandTotals="0" itemPrintTitles="1" createdVersion="1" indent="0" compact="0" compactData="0" gridDropZones="1">
  <location ref="A6:AS323" firstHeaderRow="1" firstDataRow="3" firstDataCol="1"/>
  <pivotFields count="13">
    <pivotField compact="0" subtotalTop="0" showAll="0" includeNewItemsInFilter="1">
      <items count="4">
        <item x="1"/>
        <item x="2"/>
        <item x="0"/>
        <item t="default"/>
      </items>
    </pivotField>
    <pivotField compact="0" numFmtId="180" subtotalTop="0" showAll="0" includeNewItemsInFilter="1">
      <items count="15">
        <item x="4"/>
        <item x="6"/>
        <item x="8"/>
        <item x="13"/>
        <item x="7"/>
        <item x="5"/>
        <item x="2"/>
        <item x="9"/>
        <item x="3"/>
        <item x="10"/>
        <item x="11"/>
        <item x="12"/>
        <item x="0"/>
        <item x="1"/>
        <item t="default"/>
      </items>
    </pivotField>
    <pivotField compact="0" subtotalTop="0" showAll="0" includeNewItemsInFilter="1">
      <items count="11">
        <item x="0"/>
        <item x="7"/>
        <item x="1"/>
        <item x="2"/>
        <item x="3"/>
        <item x="4"/>
        <item x="5"/>
        <item x="6"/>
        <item x="8"/>
        <item x="9"/>
        <item t="default"/>
      </items>
    </pivotField>
    <pivotField compact="0" subtotalTop="0" showAll="0" includeNewItemsInFilter="1">
      <items count="395">
        <item x="0"/>
        <item x="1"/>
        <item x="3"/>
        <item x="2"/>
        <item x="4"/>
        <item x="5"/>
        <item x="6"/>
        <item x="7"/>
        <item x="8"/>
        <item x="9"/>
        <item x="10"/>
        <item x="11"/>
        <item x="12"/>
        <item x="13"/>
        <item x="14"/>
        <item x="15"/>
        <item x="16"/>
        <item x="17"/>
        <item x="18"/>
        <item x="19"/>
        <item x="20"/>
        <item x="21"/>
        <item x="22"/>
        <item x="23"/>
        <item x="24"/>
        <item x="25"/>
        <item x="26"/>
        <item m="1" x="381"/>
        <item x="27"/>
        <item x="28"/>
        <item x="29"/>
        <item x="30"/>
        <item x="31"/>
        <item x="32"/>
        <item x="33"/>
        <item x="34"/>
        <item x="35"/>
        <item x="36"/>
        <item x="37"/>
        <item m="1" x="385"/>
        <item x="38"/>
        <item x="39"/>
        <item x="40"/>
        <item x="42"/>
        <item x="43"/>
        <item x="44"/>
        <item x="45"/>
        <item x="46"/>
        <item x="47"/>
        <item x="48"/>
        <item x="49"/>
        <item x="50"/>
        <item x="51"/>
        <item x="52"/>
        <item x="53"/>
        <item x="54"/>
        <item x="55"/>
        <item x="56"/>
        <item x="57"/>
        <item x="59"/>
        <item x="60"/>
        <item x="61"/>
        <item x="62"/>
        <item x="63"/>
        <item x="64"/>
        <item x="65"/>
        <item x="66"/>
        <item x="67"/>
        <item x="68"/>
        <item x="69"/>
        <item x="70"/>
        <item x="71"/>
        <item x="72"/>
        <item x="73"/>
        <item x="74"/>
        <item x="75"/>
        <item x="76"/>
        <item x="77"/>
        <item x="78"/>
        <item x="79"/>
        <item x="80"/>
        <item x="81"/>
        <item m="1" x="380"/>
        <item x="82"/>
        <item x="83"/>
        <item x="84"/>
        <item x="85"/>
        <item x="86"/>
        <item x="88"/>
        <item x="89"/>
        <item x="90"/>
        <item x="91"/>
        <item x="92"/>
        <item x="93"/>
        <item x="94"/>
        <item x="95"/>
        <item x="96"/>
        <item x="97"/>
        <item x="98"/>
        <item x="99"/>
        <item x="100"/>
        <item x="103"/>
        <item x="104"/>
        <item x="105"/>
        <item x="106"/>
        <item x="107"/>
        <item x="108"/>
        <item x="109"/>
        <item m="1" x="379"/>
        <item x="110"/>
        <item x="111"/>
        <item x="112"/>
        <item x="113"/>
        <item x="114"/>
        <item x="115"/>
        <item x="116"/>
        <item x="117"/>
        <item x="118"/>
        <item x="119"/>
        <item x="120"/>
        <item x="122"/>
        <item x="123"/>
        <item x="124"/>
        <item x="125"/>
        <item x="126"/>
        <item x="128"/>
        <item x="129"/>
        <item x="130"/>
        <item x="131"/>
        <item x="132"/>
        <item x="133"/>
        <item m="1" x="393"/>
        <item m="1" x="378"/>
        <item x="361"/>
        <item x="362"/>
        <item x="363"/>
        <item x="364"/>
        <item x="365"/>
        <item x="366"/>
        <item x="367"/>
        <item x="368"/>
        <item x="369"/>
        <item x="370"/>
        <item x="134"/>
        <item x="135"/>
        <item x="136"/>
        <item x="137"/>
        <item x="138"/>
        <item x="139"/>
        <item x="140"/>
        <item x="141"/>
        <item x="142"/>
        <item x="143"/>
        <item x="144"/>
        <item x="145"/>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6"/>
        <item x="177"/>
        <item x="178"/>
        <item x="179"/>
        <item x="180"/>
        <item x="181"/>
        <item x="182"/>
        <item x="183"/>
        <item x="184"/>
        <item x="185"/>
        <item x="186"/>
        <item m="1" x="392"/>
        <item x="187"/>
        <item x="188"/>
        <item x="189"/>
        <item x="190"/>
        <item x="191"/>
        <item x="192"/>
        <item x="193"/>
        <item x="194"/>
        <item x="195"/>
        <item x="196"/>
        <item x="197"/>
        <item m="1" x="384"/>
        <item x="198"/>
        <item m="1" x="387"/>
        <item x="199"/>
        <item x="200"/>
        <item x="201"/>
        <item x="202"/>
        <item x="203"/>
        <item x="204"/>
        <item x="374"/>
        <item x="205"/>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40"/>
        <item x="241"/>
        <item x="242"/>
        <item x="243"/>
        <item x="244"/>
        <item x="245"/>
        <item x="246"/>
        <item x="247"/>
        <item x="248"/>
        <item x="249"/>
        <item x="250"/>
        <item x="251"/>
        <item x="252"/>
        <item x="253"/>
        <item x="254"/>
        <item x="255"/>
        <item x="256"/>
        <item x="257"/>
        <item x="258"/>
        <item x="259"/>
        <item x="260"/>
        <item x="261"/>
        <item x="262"/>
        <item x="263"/>
        <item m="1" x="383"/>
        <item x="264"/>
        <item x="265"/>
        <item m="1" x="388"/>
        <item x="266"/>
        <item x="267"/>
        <item x="268"/>
        <item x="269"/>
        <item x="270"/>
        <item x="271"/>
        <item x="272"/>
        <item x="273"/>
        <item x="274"/>
        <item x="275"/>
        <item x="276"/>
        <item x="277"/>
        <item x="278"/>
        <item x="279"/>
        <item x="282"/>
        <item x="286"/>
        <item x="287"/>
        <item x="375"/>
        <item x="288"/>
        <item x="289"/>
        <item x="290"/>
        <item x="291"/>
        <item x="292"/>
        <item x="293"/>
        <item x="294"/>
        <item x="295"/>
        <item x="296"/>
        <item x="297"/>
        <item x="298"/>
        <item x="299"/>
        <item x="300"/>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m="1" x="389"/>
        <item x="343"/>
        <item x="344"/>
        <item x="345"/>
        <item x="346"/>
        <item x="347"/>
        <item x="348"/>
        <item x="349"/>
        <item x="350"/>
        <item x="351"/>
        <item x="352"/>
        <item x="353"/>
        <item x="354"/>
        <item x="355"/>
        <item x="356"/>
        <item x="357"/>
        <item m="1" x="377"/>
        <item x="358"/>
        <item x="359"/>
        <item x="360"/>
        <item x="127"/>
        <item x="58"/>
        <item x="175"/>
        <item x="373"/>
        <item x="239"/>
        <item x="41"/>
        <item x="146"/>
        <item x="283"/>
        <item x="301"/>
        <item x="101"/>
        <item x="102"/>
        <item x="121"/>
        <item x="284"/>
        <item x="206"/>
        <item m="1" x="386"/>
        <item x="285"/>
        <item m="1" x="382"/>
        <item m="1" x="391"/>
        <item x="87"/>
        <item x="372"/>
        <item m="1" x="390"/>
        <item x="280"/>
        <item x="281"/>
        <item x="376"/>
        <item x="371"/>
        <item t="default"/>
      </items>
    </pivotField>
    <pivotField axis="axisRow" compact="0" subtotalTop="0" showAll="0" includeNewItemsInFilter="1" defaultSubtotal="0">
      <items count="31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3"/>
        <item x="34"/>
        <item x="32"/>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4"/>
        <item x="75"/>
        <item x="76"/>
        <item x="77"/>
        <item x="78"/>
        <item x="80"/>
        <item x="81"/>
        <item x="82"/>
        <item x="83"/>
        <item x="84"/>
        <item x="85"/>
        <item x="86"/>
        <item x="87"/>
        <item x="89"/>
        <item x="73"/>
        <item x="79"/>
        <item x="90"/>
        <item x="91"/>
        <item x="92"/>
        <item x="93"/>
        <item x="94"/>
        <item x="95"/>
        <item x="96"/>
        <item x="97"/>
        <item x="98"/>
        <item x="99"/>
        <item x="100"/>
        <item x="101"/>
        <item x="102"/>
        <item x="103"/>
        <item x="104"/>
        <item x="106"/>
        <item x="105"/>
        <item x="107"/>
        <item x="108"/>
        <item x="109"/>
        <item x="110"/>
        <item x="111"/>
        <item x="112"/>
        <item x="113"/>
        <item x="114"/>
        <item x="115"/>
        <item x="116"/>
        <item x="117"/>
        <item x="118"/>
        <item x="119"/>
        <item x="121"/>
        <item x="122"/>
        <item x="123"/>
        <item x="124"/>
        <item x="125"/>
        <item x="126"/>
        <item x="120"/>
        <item x="127"/>
        <item x="128"/>
        <item x="129"/>
        <item x="130"/>
        <item x="131"/>
        <item x="132"/>
        <item x="133"/>
        <item x="134"/>
        <item x="136"/>
        <item x="137"/>
        <item x="138"/>
        <item x="135"/>
        <item x="139"/>
        <item x="140"/>
        <item x="141"/>
        <item x="142"/>
        <item x="143"/>
        <item x="144"/>
        <item x="145"/>
        <item x="146"/>
        <item x="147"/>
        <item x="148"/>
        <item x="149"/>
        <item x="150"/>
        <item x="151"/>
        <item x="152"/>
        <item x="153"/>
        <item x="154"/>
        <item x="155"/>
        <item x="156"/>
        <item x="157"/>
        <item x="158"/>
        <item x="160"/>
        <item x="162"/>
        <item x="163"/>
        <item x="164"/>
        <item x="165"/>
        <item x="166"/>
        <item x="159"/>
        <item x="167"/>
        <item x="168"/>
        <item x="169"/>
        <item x="170"/>
        <item x="313"/>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31"/>
        <item x="233"/>
        <item x="234"/>
        <item x="235"/>
        <item x="236"/>
        <item x="232"/>
        <item x="237"/>
        <item x="88"/>
        <item x="230"/>
        <item x="238"/>
        <item x="239"/>
        <item x="241"/>
        <item x="242"/>
        <item x="243"/>
        <item x="244"/>
        <item x="245"/>
        <item x="246"/>
        <item x="247"/>
        <item x="248"/>
        <item x="240"/>
        <item x="249"/>
        <item x="250"/>
        <item x="251"/>
        <item x="252"/>
        <item x="253"/>
        <item x="254"/>
        <item x="255"/>
        <item x="256"/>
        <item x="257"/>
        <item x="258"/>
        <item x="259"/>
        <item x="260"/>
        <item x="261"/>
        <item x="262"/>
        <item x="263"/>
        <item x="264"/>
        <item m="1" x="31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161"/>
        <item x="229"/>
        <item x="312"/>
      </items>
    </pivotField>
    <pivotField compact="0" subtotalTop="0" showAll="0" insertBlankRow="1" includeNewItemsInFilter="1" sortType="ascending" rankBy="0" defaultSubtotal="0">
      <items count="315">
        <item x="127"/>
        <item x="206"/>
        <item x="0"/>
        <item x="252"/>
        <item x="15"/>
        <item x="173"/>
        <item x="207"/>
        <item x="174"/>
        <item x="67"/>
        <item x="16"/>
        <item x="31"/>
        <item x="208"/>
        <item x="17"/>
        <item x="175"/>
        <item x="209"/>
        <item x="210"/>
        <item x="176"/>
        <item x="107"/>
        <item x="275"/>
        <item x="68"/>
        <item x="18"/>
        <item x="35"/>
        <item x="1"/>
        <item x="19"/>
        <item x="276"/>
        <item x="69"/>
        <item x="265"/>
        <item x="211"/>
        <item x="177"/>
        <item x="90"/>
        <item x="178"/>
        <item x="70"/>
        <item x="20"/>
        <item x="158"/>
        <item x="120"/>
        <item x="36"/>
        <item x="37"/>
        <item x="128"/>
        <item x="71"/>
        <item x="212"/>
        <item x="129"/>
        <item x="91"/>
        <item x="253"/>
        <item x="254"/>
        <item x="255"/>
        <item x="130"/>
        <item x="131"/>
        <item x="160"/>
        <item x="277"/>
        <item x="92"/>
        <item x="238"/>
        <item x="278"/>
        <item x="266"/>
        <item x="249"/>
        <item x="179"/>
        <item x="180"/>
        <item x="279"/>
        <item x="39"/>
        <item x="132"/>
        <item x="162"/>
        <item x="213"/>
        <item x="280"/>
        <item x="281"/>
        <item x="108"/>
        <item x="181"/>
        <item x="2"/>
        <item x="40"/>
        <item x="239"/>
        <item x="119"/>
        <item x="133"/>
        <item x="134"/>
        <item x="182"/>
        <item x="183"/>
        <item x="93"/>
        <item x="184"/>
        <item x="3"/>
        <item x="231"/>
        <item x="94"/>
        <item x="241"/>
        <item x="267"/>
        <item x="268"/>
        <item x="41"/>
        <item x="42"/>
        <item x="185"/>
        <item x="186"/>
        <item x="109"/>
        <item x="282"/>
        <item x="215"/>
        <item x="43"/>
        <item x="283"/>
        <item x="33"/>
        <item x="72"/>
        <item x="163"/>
        <item x="44"/>
        <item x="284"/>
        <item x="136"/>
        <item x="137"/>
        <item x="45"/>
        <item x="164"/>
        <item x="285"/>
        <item x="187"/>
        <item x="256"/>
        <item x="74"/>
        <item x="138"/>
        <item x="135"/>
        <item x="46"/>
        <item x="139"/>
        <item x="110"/>
        <item x="286"/>
        <item x="233"/>
        <item x="257"/>
        <item x="75"/>
        <item x="76"/>
        <item x="140"/>
        <item x="188"/>
        <item x="34"/>
        <item x="21"/>
        <item x="47"/>
        <item x="77"/>
        <item x="95"/>
        <item x="96"/>
        <item x="121"/>
        <item x="189"/>
        <item x="78"/>
        <item x="190"/>
        <item x="97"/>
        <item x="258"/>
        <item x="22"/>
        <item x="191"/>
        <item x="192"/>
        <item x="193"/>
        <item x="48"/>
        <item x="79"/>
        <item x="49"/>
        <item x="242"/>
        <item x="98"/>
        <item x="99"/>
        <item x="194"/>
        <item x="4"/>
        <item x="243"/>
        <item x="165"/>
        <item x="269"/>
        <item x="88"/>
        <item x="229"/>
        <item x="111"/>
        <item x="216"/>
        <item x="38"/>
        <item x="220"/>
        <item x="198"/>
        <item x="62"/>
        <item x="272"/>
        <item x="310"/>
        <item x="309"/>
        <item x="311"/>
        <item x="205"/>
        <item x="112"/>
        <item x="5"/>
        <item x="141"/>
        <item m="1" x="314"/>
        <item x="306"/>
        <item x="305"/>
        <item x="308"/>
        <item x="307"/>
        <item x="312"/>
        <item x="113"/>
        <item x="203"/>
        <item x="214"/>
        <item x="6"/>
        <item x="217"/>
        <item x="50"/>
        <item x="142"/>
        <item x="23"/>
        <item x="166"/>
        <item x="159"/>
        <item x="259"/>
        <item x="143"/>
        <item x="51"/>
        <item x="144"/>
        <item x="122"/>
        <item x="234"/>
        <item x="24"/>
        <item x="287"/>
        <item x="100"/>
        <item x="52"/>
        <item x="53"/>
        <item x="195"/>
        <item x="244"/>
        <item x="54"/>
        <item x="25"/>
        <item x="288"/>
        <item x="289"/>
        <item x="161"/>
        <item x="218"/>
        <item x="26"/>
        <item x="73"/>
        <item x="55"/>
        <item x="235"/>
        <item x="270"/>
        <item x="56"/>
        <item x="260"/>
        <item x="145"/>
        <item x="80"/>
        <item x="167"/>
        <item x="101"/>
        <item x="102"/>
        <item x="7"/>
        <item x="196"/>
        <item x="168"/>
        <item x="8"/>
        <item x="103"/>
        <item x="290"/>
        <item x="219"/>
        <item x="291"/>
        <item x="9"/>
        <item x="10"/>
        <item x="57"/>
        <item x="230"/>
        <item x="292"/>
        <item x="81"/>
        <item x="82"/>
        <item x="58"/>
        <item x="114"/>
        <item x="245"/>
        <item x="59"/>
        <item x="60"/>
        <item x="83"/>
        <item x="261"/>
        <item x="84"/>
        <item x="61"/>
        <item x="293"/>
        <item x="197"/>
        <item x="221"/>
        <item x="146"/>
        <item x="169"/>
        <item x="115"/>
        <item x="104"/>
        <item x="123"/>
        <item x="116"/>
        <item x="222"/>
        <item x="117"/>
        <item x="11"/>
        <item x="147"/>
        <item x="124"/>
        <item x="12"/>
        <item x="262"/>
        <item x="223"/>
        <item x="118"/>
        <item x="148"/>
        <item x="236"/>
        <item x="170"/>
        <item x="250"/>
        <item x="251"/>
        <item x="294"/>
        <item x="85"/>
        <item x="86"/>
        <item x="199"/>
        <item x="106"/>
        <item x="27"/>
        <item x="271"/>
        <item x="28"/>
        <item x="29"/>
        <item x="149"/>
        <item x="125"/>
        <item x="150"/>
        <item x="30"/>
        <item x="126"/>
        <item x="63"/>
        <item x="224"/>
        <item x="232"/>
        <item x="64"/>
        <item x="200"/>
        <item x="295"/>
        <item x="65"/>
        <item x="296"/>
        <item x="313"/>
        <item x="201"/>
        <item x="263"/>
        <item x="105"/>
        <item x="151"/>
        <item x="202"/>
        <item x="246"/>
        <item x="297"/>
        <item x="247"/>
        <item x="298"/>
        <item x="240"/>
        <item x="299"/>
        <item x="225"/>
        <item x="300"/>
        <item x="226"/>
        <item x="227"/>
        <item x="152"/>
        <item x="273"/>
        <item x="274"/>
        <item x="204"/>
        <item x="301"/>
        <item x="171"/>
        <item x="87"/>
        <item x="153"/>
        <item x="154"/>
        <item x="248"/>
        <item x="13"/>
        <item x="264"/>
        <item x="89"/>
        <item x="172"/>
        <item x="66"/>
        <item x="155"/>
        <item x="302"/>
        <item x="228"/>
        <item x="237"/>
        <item x="156"/>
        <item x="32"/>
        <item x="157"/>
        <item x="303"/>
        <item x="304"/>
        <item x="14"/>
      </items>
    </pivotField>
    <pivotField compact="0" subtotalTop="0" showAll="0" includeNewItemsInFilter="1"/>
    <pivotField axis="axisCol" compact="0" subtotalTop="0" showAll="0" insertBlankRow="1" includeNewItemsInFilter="1" sortType="ascending" rankBy="0" defaultSubtotal="0">
      <items count="23">
        <item x="22"/>
        <item x="19"/>
        <item x="0"/>
        <item x="1"/>
        <item x="2"/>
        <item x="3"/>
        <item x="14"/>
        <item x="12"/>
        <item x="15"/>
        <item x="17"/>
        <item x="16"/>
        <item x="18"/>
        <item x="11"/>
        <item x="10"/>
        <item x="4"/>
        <item x="5"/>
        <item x="8"/>
        <item x="6"/>
        <item x="13"/>
        <item x="9"/>
        <item x="21"/>
        <item x="20"/>
        <item h="1" x="7"/>
      </items>
    </pivotField>
    <pivotField compact="0" subtotalTop="0" showAll="0" includeNewItemsInFilter="1"/>
    <pivotField compact="0" subtotalTop="0" showAll="0" includeNewItemsInFilter="1" defaultSubtotal="0"/>
    <pivotField dataField="1" compact="0" numFmtId="4" subtotalTop="0" showAll="0" includeNewItemsInFilter="1"/>
    <pivotField dataField="1" compact="0" subtotalTop="0" showAll="0" includeNewItemsInFilter="1"/>
    <pivotField compact="0" subtotalTop="0" showAll="0" includeNewItemsInFilter="1"/>
  </pivotFields>
  <rowFields count="1">
    <field x="4"/>
  </rowFields>
  <rowItems count="31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t="grand">
      <x/>
    </i>
  </rowItems>
  <colFields count="2">
    <field x="-2"/>
    <field x="7"/>
  </colFields>
  <colItems count="44">
    <i>
      <x/>
      <x/>
    </i>
    <i r="1">
      <x v="1"/>
    </i>
    <i r="1">
      <x v="2"/>
    </i>
    <i r="1">
      <x v="3"/>
    </i>
    <i r="1">
      <x v="4"/>
    </i>
    <i r="1">
      <x v="5"/>
    </i>
    <i r="1">
      <x v="6"/>
    </i>
    <i r="1">
      <x v="7"/>
    </i>
    <i r="1">
      <x v="8"/>
    </i>
    <i r="1">
      <x v="9"/>
    </i>
    <i r="1">
      <x v="10"/>
    </i>
    <i r="1">
      <x v="11"/>
    </i>
    <i r="1">
      <x v="12"/>
    </i>
    <i r="1">
      <x v="13"/>
    </i>
    <i r="1">
      <x v="14"/>
    </i>
    <i r="1">
      <x v="15"/>
    </i>
    <i r="1">
      <x v="16"/>
    </i>
    <i r="1">
      <x v="17"/>
    </i>
    <i r="1">
      <x v="18"/>
    </i>
    <i r="1">
      <x v="19"/>
    </i>
    <i r="1">
      <x v="20"/>
    </i>
    <i r="1">
      <x v="21"/>
    </i>
    <i i="1">
      <x v="1"/>
      <x/>
    </i>
    <i r="1" i="1">
      <x v="1"/>
    </i>
    <i r="1" i="1">
      <x v="2"/>
    </i>
    <i r="1" i="1">
      <x v="3"/>
    </i>
    <i r="1" i="1">
      <x v="4"/>
    </i>
    <i r="1" i="1">
      <x v="5"/>
    </i>
    <i r="1" i="1">
      <x v="6"/>
    </i>
    <i r="1" i="1">
      <x v="7"/>
    </i>
    <i r="1" i="1">
      <x v="8"/>
    </i>
    <i r="1" i="1">
      <x v="9"/>
    </i>
    <i r="1" i="1">
      <x v="10"/>
    </i>
    <i r="1" i="1">
      <x v="11"/>
    </i>
    <i r="1" i="1">
      <x v="12"/>
    </i>
    <i r="1" i="1">
      <x v="13"/>
    </i>
    <i r="1" i="1">
      <x v="14"/>
    </i>
    <i r="1" i="1">
      <x v="15"/>
    </i>
    <i r="1" i="1">
      <x v="16"/>
    </i>
    <i r="1" i="1">
      <x v="17"/>
    </i>
    <i r="1" i="1">
      <x v="18"/>
    </i>
    <i r="1" i="1">
      <x v="19"/>
    </i>
    <i r="1" i="1">
      <x v="20"/>
    </i>
    <i r="1" i="1">
      <x v="21"/>
    </i>
  </colItems>
  <dataFields count="2">
    <dataField name="Somme de charges " fld="10" baseField="0" baseItem="0" numFmtId="4"/>
    <dataField name="Somme de Revenus" fld="11" baseField="0" baseItem="0" numFmtId="4"/>
  </dataFields>
  <formats count="8">
    <format dxfId="9">
      <pivotArea outline="0" fieldPosition="0">
        <references count="1">
          <reference field="4294967294" count="1">
            <x v="0"/>
          </reference>
        </references>
      </pivotArea>
    </format>
    <format dxfId="8">
      <pivotArea field="5" type="button" dataOnly="0" labelOnly="1" outline="0"/>
    </format>
    <format dxfId="7">
      <pivotArea type="all" dataOnly="0" outline="0" fieldPosition="0"/>
    </format>
    <format dxfId="6">
      <pivotArea outline="0" fieldPosition="0"/>
    </format>
    <format dxfId="5">
      <pivotArea field="0" type="button" dataOnly="0" labelOnly="1" outline="0"/>
    </format>
    <format dxfId="4">
      <pivotArea field="1" type="button" dataOnly="0" labelOnly="1" outline="0"/>
    </format>
    <format dxfId="3">
      <pivotArea field="3" type="button" dataOnly="0" labelOnly="1" outline="0"/>
    </format>
    <format dxfId="2">
      <pivotArea outline="0" fieldPosition="0">
        <references count="1">
          <reference field="4294967294" count="1">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rgb="FF00B0F0"/>
  </sheetPr>
  <dimension ref="A1:L545"/>
  <sheetViews>
    <sheetView zoomScaleNormal="100" workbookViewId="0">
      <selection activeCell="F1" sqref="F1"/>
    </sheetView>
  </sheetViews>
  <sheetFormatPr baseColWidth="10" defaultColWidth="10.75" defaultRowHeight="15" x14ac:dyDescent="0.25"/>
  <cols>
    <col min="1" max="1" width="48" style="158" bestFit="1" customWidth="1"/>
    <col min="2" max="2" width="13.75" style="158" customWidth="1"/>
    <col min="3" max="3" width="16.625" style="158" customWidth="1"/>
    <col min="4" max="4" width="12.25" style="158" customWidth="1"/>
    <col min="5" max="5" width="11" style="158" bestFit="1" customWidth="1"/>
    <col min="6" max="6" width="12.125" style="158" bestFit="1" customWidth="1"/>
    <col min="7" max="7" width="12.5" style="158" bestFit="1" customWidth="1"/>
    <col min="8" max="8" width="12" style="158" bestFit="1" customWidth="1"/>
    <col min="9" max="10" width="12.125" style="158" bestFit="1" customWidth="1"/>
    <col min="11" max="11" width="14.375" style="158" bestFit="1" customWidth="1"/>
    <col min="12" max="16384" width="10.75" style="158"/>
  </cols>
  <sheetData>
    <row r="1" spans="1:11" ht="31.5" x14ac:dyDescent="0.5">
      <c r="A1" s="198" t="s">
        <v>378</v>
      </c>
      <c r="D1" s="158" t="s">
        <v>633</v>
      </c>
      <c r="F1" s="158" t="s">
        <v>632</v>
      </c>
    </row>
    <row r="4" spans="1:11" ht="21" x14ac:dyDescent="0.35">
      <c r="A4" s="177" t="s">
        <v>459</v>
      </c>
    </row>
    <row r="5" spans="1:11" x14ac:dyDescent="0.25">
      <c r="A5" s="158" t="s">
        <v>451</v>
      </c>
      <c r="B5" s="349" t="s">
        <v>630</v>
      </c>
    </row>
    <row r="6" spans="1:11" x14ac:dyDescent="0.25">
      <c r="A6" s="158" t="s">
        <v>501</v>
      </c>
      <c r="B6" s="349" t="s">
        <v>554</v>
      </c>
    </row>
    <row r="7" spans="1:11" x14ac:dyDescent="0.25">
      <c r="A7" s="158" t="s">
        <v>497</v>
      </c>
      <c r="B7" s="178">
        <v>42734</v>
      </c>
    </row>
    <row r="8" spans="1:11" x14ac:dyDescent="0.25">
      <c r="A8" s="158" t="s">
        <v>498</v>
      </c>
      <c r="B8" s="240">
        <v>2020</v>
      </c>
    </row>
    <row r="10" spans="1:11" ht="21" x14ac:dyDescent="0.35">
      <c r="A10" s="177" t="s">
        <v>460</v>
      </c>
      <c r="C10" s="160"/>
      <c r="D10" s="160"/>
    </row>
    <row r="11" spans="1:11" x14ac:dyDescent="0.25">
      <c r="A11" s="158" t="s">
        <v>445</v>
      </c>
      <c r="B11" s="179">
        <v>0.5</v>
      </c>
      <c r="C11" s="168"/>
      <c r="D11" s="168"/>
    </row>
    <row r="12" spans="1:11" x14ac:dyDescent="0.25">
      <c r="A12" s="158" t="s">
        <v>506</v>
      </c>
      <c r="B12" s="179">
        <v>0.3</v>
      </c>
      <c r="C12" s="169"/>
      <c r="D12" s="169"/>
      <c r="F12" s="165"/>
    </row>
    <row r="14" spans="1:11" ht="21" x14ac:dyDescent="0.35">
      <c r="A14" s="177" t="s">
        <v>461</v>
      </c>
      <c r="H14" s="421"/>
      <c r="I14" s="421"/>
      <c r="J14" s="421"/>
      <c r="K14" s="421"/>
    </row>
    <row r="15" spans="1:11" x14ac:dyDescent="0.25">
      <c r="B15" s="170" t="s">
        <v>292</v>
      </c>
      <c r="C15" s="170" t="s">
        <v>293</v>
      </c>
      <c r="D15" s="170" t="s">
        <v>410</v>
      </c>
      <c r="E15" s="170" t="s">
        <v>536</v>
      </c>
      <c r="F15" s="170" t="s">
        <v>537</v>
      </c>
      <c r="H15" s="421"/>
      <c r="I15" s="421"/>
      <c r="J15" s="421"/>
      <c r="K15" s="421"/>
    </row>
    <row r="16" spans="1:11" x14ac:dyDescent="0.25">
      <c r="A16" s="158" t="s">
        <v>505</v>
      </c>
      <c r="B16" s="180">
        <v>0.2</v>
      </c>
      <c r="C16" s="180">
        <v>0.3</v>
      </c>
      <c r="D16" s="180">
        <v>0.4</v>
      </c>
      <c r="E16" s="180">
        <v>0.5</v>
      </c>
      <c r="F16" s="180">
        <v>0.6</v>
      </c>
      <c r="G16" s="367"/>
      <c r="H16" s="421"/>
      <c r="I16" s="421"/>
      <c r="J16" s="421"/>
      <c r="K16" s="421"/>
    </row>
    <row r="17" spans="1:12" x14ac:dyDescent="0.25">
      <c r="A17" s="158" t="s">
        <v>462</v>
      </c>
      <c r="B17" s="180">
        <v>1</v>
      </c>
      <c r="C17" s="180">
        <v>1.2</v>
      </c>
      <c r="D17" s="180">
        <v>1.5</v>
      </c>
      <c r="E17" s="271">
        <v>2</v>
      </c>
      <c r="F17" s="423">
        <v>3</v>
      </c>
      <c r="G17" s="367"/>
      <c r="H17" s="421"/>
      <c r="I17" s="421"/>
      <c r="J17" s="421"/>
      <c r="K17" s="421"/>
    </row>
    <row r="18" spans="1:12" x14ac:dyDescent="0.25">
      <c r="F18" s="160"/>
      <c r="I18" s="160"/>
      <c r="J18" s="160"/>
      <c r="K18" s="160"/>
      <c r="L18" s="160"/>
    </row>
    <row r="19" spans="1:12" x14ac:dyDescent="0.25">
      <c r="B19" s="170" t="s">
        <v>549</v>
      </c>
      <c r="D19" s="170" t="s">
        <v>519</v>
      </c>
      <c r="E19" s="170" t="s">
        <v>521</v>
      </c>
      <c r="F19" s="272"/>
      <c r="I19" s="160"/>
      <c r="J19" s="160"/>
      <c r="K19" s="160"/>
      <c r="L19" s="160"/>
    </row>
    <row r="20" spans="1:12" x14ac:dyDescent="0.25">
      <c r="A20" s="158" t="s">
        <v>520</v>
      </c>
      <c r="B20" s="180">
        <v>0</v>
      </c>
      <c r="D20" s="180">
        <v>0.5</v>
      </c>
      <c r="E20" s="180">
        <v>0</v>
      </c>
      <c r="I20" s="160"/>
      <c r="J20" s="160"/>
      <c r="K20" s="160"/>
      <c r="L20" s="160"/>
    </row>
    <row r="21" spans="1:12" x14ac:dyDescent="0.25">
      <c r="E21" s="158" t="s">
        <v>522</v>
      </c>
      <c r="F21" s="160"/>
      <c r="I21" s="160"/>
      <c r="J21" s="160"/>
      <c r="K21" s="160"/>
      <c r="L21" s="160"/>
    </row>
    <row r="22" spans="1:12" x14ac:dyDescent="0.25">
      <c r="F22" s="160"/>
      <c r="I22" s="160"/>
      <c r="J22" s="160"/>
      <c r="K22" s="160"/>
      <c r="L22" s="160"/>
    </row>
    <row r="23" spans="1:12" ht="21" x14ac:dyDescent="0.35">
      <c r="A23" s="177" t="s">
        <v>463</v>
      </c>
      <c r="B23" s="160"/>
      <c r="C23" s="160"/>
      <c r="D23" s="160"/>
      <c r="E23" s="171"/>
      <c r="F23" s="161"/>
      <c r="I23" s="160"/>
      <c r="J23" s="422"/>
      <c r="K23" s="422"/>
      <c r="L23" s="162"/>
    </row>
    <row r="24" spans="1:12" x14ac:dyDescent="0.25">
      <c r="A24" s="182" t="s">
        <v>502</v>
      </c>
      <c r="B24" s="186">
        <v>0</v>
      </c>
      <c r="C24" s="186">
        <v>1000</v>
      </c>
      <c r="D24" s="186">
        <v>3000</v>
      </c>
      <c r="E24" s="186">
        <v>5000</v>
      </c>
      <c r="F24" s="186">
        <v>9000</v>
      </c>
      <c r="G24" s="186">
        <v>12000</v>
      </c>
      <c r="H24" s="186">
        <v>15000</v>
      </c>
      <c r="I24" s="172"/>
      <c r="J24" s="422"/>
      <c r="K24" s="422"/>
      <c r="L24" s="160"/>
    </row>
    <row r="25" spans="1:12" ht="15" customHeight="1" x14ac:dyDescent="0.25">
      <c r="A25" s="182"/>
      <c r="B25" s="186">
        <v>1000</v>
      </c>
      <c r="C25" s="186">
        <v>3000</v>
      </c>
      <c r="D25" s="186">
        <v>5000</v>
      </c>
      <c r="E25" s="186">
        <v>9000</v>
      </c>
      <c r="F25" s="186">
        <v>12000</v>
      </c>
      <c r="G25" s="186">
        <v>15000</v>
      </c>
      <c r="H25" s="186"/>
      <c r="I25" s="172"/>
      <c r="J25" s="422"/>
      <c r="K25" s="422"/>
      <c r="L25" s="160"/>
    </row>
    <row r="26" spans="1:12" x14ac:dyDescent="0.25">
      <c r="A26" s="183" t="s">
        <v>464</v>
      </c>
      <c r="B26" s="247">
        <v>125</v>
      </c>
      <c r="C26" s="247">
        <v>350</v>
      </c>
      <c r="D26" s="247">
        <v>500</v>
      </c>
      <c r="E26" s="247">
        <v>600</v>
      </c>
      <c r="F26" s="247">
        <v>850</v>
      </c>
      <c r="G26" s="247">
        <v>1000</v>
      </c>
      <c r="H26" s="247">
        <v>1050</v>
      </c>
      <c r="I26" s="173"/>
      <c r="J26" s="422"/>
      <c r="K26" s="422"/>
      <c r="L26" s="160"/>
    </row>
    <row r="27" spans="1:12" x14ac:dyDescent="0.25">
      <c r="A27" s="160" t="s">
        <v>446</v>
      </c>
      <c r="B27" s="263">
        <v>99.4</v>
      </c>
      <c r="C27" s="181"/>
      <c r="D27" s="181"/>
      <c r="E27" s="181"/>
      <c r="F27" s="181"/>
      <c r="G27" s="181"/>
      <c r="H27" s="181"/>
      <c r="I27" s="160"/>
      <c r="J27" s="422"/>
      <c r="K27" s="422"/>
      <c r="L27" s="160"/>
    </row>
    <row r="28" spans="1:12" x14ac:dyDescent="0.25">
      <c r="A28" s="160" t="s">
        <v>447</v>
      </c>
      <c r="B28" s="264">
        <v>98.6</v>
      </c>
      <c r="C28" s="181"/>
      <c r="D28" s="181"/>
      <c r="E28" s="181"/>
      <c r="F28" s="181"/>
      <c r="G28" s="181"/>
      <c r="H28" s="181"/>
      <c r="I28" s="160"/>
      <c r="J28" s="160"/>
      <c r="K28" s="160"/>
      <c r="L28" s="160"/>
    </row>
    <row r="29" spans="1:12" x14ac:dyDescent="0.25">
      <c r="A29" s="160" t="s">
        <v>448</v>
      </c>
      <c r="B29" s="265">
        <f>+B26/$B$27*$B$28</f>
        <v>123.99396378269616</v>
      </c>
      <c r="C29" s="175">
        <f t="shared" ref="C29:H29" si="0">+C26/$B$27*$B$28</f>
        <v>347.18309859154925</v>
      </c>
      <c r="D29" s="175">
        <f t="shared" si="0"/>
        <v>495.97585513078462</v>
      </c>
      <c r="E29" s="175">
        <f t="shared" si="0"/>
        <v>595.17102615694159</v>
      </c>
      <c r="F29" s="175">
        <f t="shared" si="0"/>
        <v>843.15895372233388</v>
      </c>
      <c r="G29" s="175">
        <f t="shared" si="0"/>
        <v>991.95171026156925</v>
      </c>
      <c r="H29" s="175">
        <f t="shared" si="0"/>
        <v>1041.5492957746478</v>
      </c>
      <c r="I29" s="160"/>
      <c r="J29" s="160"/>
      <c r="K29" s="160"/>
      <c r="L29" s="160"/>
    </row>
    <row r="31" spans="1:12" ht="21" x14ac:dyDescent="0.35">
      <c r="A31" s="177" t="s">
        <v>465</v>
      </c>
    </row>
    <row r="32" spans="1:12" x14ac:dyDescent="0.25">
      <c r="A32" s="158" t="s">
        <v>503</v>
      </c>
      <c r="B32" s="187">
        <v>0.27</v>
      </c>
    </row>
    <row r="34" spans="1:12" ht="21" x14ac:dyDescent="0.35">
      <c r="A34" s="177" t="s">
        <v>466</v>
      </c>
    </row>
    <row r="35" spans="1:12" x14ac:dyDescent="0.25">
      <c r="A35" s="158" t="s">
        <v>380</v>
      </c>
      <c r="C35" s="163"/>
    </row>
    <row r="36" spans="1:12" x14ac:dyDescent="0.25">
      <c r="A36" s="158" t="s">
        <v>421</v>
      </c>
      <c r="B36" s="239">
        <v>-16661831.883193349</v>
      </c>
      <c r="C36" s="99">
        <f>Synthèse!L315-Synthèse!F315</f>
        <v>449999.99999928474</v>
      </c>
      <c r="D36" s="185">
        <f>+'J) Plafonnement effort'!J314+'K) Plafonnement aide'!J314+'L) Plafonnement taux'!Q315</f>
        <v>-16661831.883194691</v>
      </c>
      <c r="L36" s="165"/>
    </row>
    <row r="37" spans="1:12" x14ac:dyDescent="0.25">
      <c r="A37" s="158" t="s">
        <v>504</v>
      </c>
      <c r="B37" s="239">
        <v>-450000</v>
      </c>
      <c r="C37" s="164"/>
      <c r="D37" s="165"/>
      <c r="L37" s="165"/>
    </row>
    <row r="38" spans="1:12" x14ac:dyDescent="0.25">
      <c r="G38" s="165"/>
      <c r="H38" s="166"/>
      <c r="L38" s="165"/>
    </row>
    <row r="39" spans="1:12" ht="21" x14ac:dyDescent="0.35">
      <c r="A39" s="177" t="s">
        <v>467</v>
      </c>
      <c r="G39" s="165"/>
      <c r="H39" s="166"/>
      <c r="L39" s="165"/>
    </row>
    <row r="40" spans="1:12" x14ac:dyDescent="0.25">
      <c r="A40" s="176"/>
      <c r="B40" s="189" t="s">
        <v>381</v>
      </c>
      <c r="C40" s="189" t="s">
        <v>379</v>
      </c>
      <c r="E40" s="174" t="s">
        <v>539</v>
      </c>
      <c r="F40" s="174"/>
      <c r="G40" s="191">
        <f>+'D) Ecrêtage'!C314</f>
        <v>39275450.163217418</v>
      </c>
      <c r="H40" s="193"/>
      <c r="I40" s="192" t="s">
        <v>444</v>
      </c>
      <c r="J40" s="174"/>
      <c r="K40" s="99">
        <f>+'I) Dépenses thématiques'!I314</f>
        <v>0</v>
      </c>
    </row>
    <row r="41" spans="1:12" x14ac:dyDescent="0.25">
      <c r="A41" s="158" t="s">
        <v>468</v>
      </c>
      <c r="B41" s="188">
        <v>8</v>
      </c>
      <c r="C41" s="170" t="e">
        <f>+H42</f>
        <v>#DIV/0!</v>
      </c>
      <c r="E41" s="174" t="s">
        <v>523</v>
      </c>
      <c r="F41" s="174"/>
      <c r="G41" s="321">
        <v>4.5</v>
      </c>
      <c r="H41" s="291">
        <v>0.75</v>
      </c>
      <c r="I41" s="192" t="s">
        <v>215</v>
      </c>
      <c r="J41" s="174"/>
      <c r="K41" s="99">
        <f>+'I) Dépenses thématiques'!M314</f>
        <v>0</v>
      </c>
    </row>
    <row r="42" spans="1:12" x14ac:dyDescent="0.25">
      <c r="A42" s="158" t="s">
        <v>507</v>
      </c>
      <c r="B42" s="188">
        <v>1</v>
      </c>
      <c r="C42" s="170" t="e">
        <f>+H42</f>
        <v>#DIV/0!</v>
      </c>
      <c r="E42" s="174" t="s">
        <v>469</v>
      </c>
      <c r="F42" s="174"/>
      <c r="G42" s="190">
        <f>+G40*G41</f>
        <v>176739525.73447838</v>
      </c>
      <c r="H42" s="262" t="e">
        <f>IF((G42/K42)&gt;H41,H41,(G42/K42))</f>
        <v>#DIV/0!</v>
      </c>
      <c r="I42" s="174" t="s">
        <v>138</v>
      </c>
      <c r="J42" s="174"/>
      <c r="K42" s="99">
        <f>SUM(K40:K41)</f>
        <v>0</v>
      </c>
    </row>
    <row r="43" spans="1:12" x14ac:dyDescent="0.25">
      <c r="E43" s="158" t="s">
        <v>548</v>
      </c>
    </row>
    <row r="44" spans="1:12" ht="21" x14ac:dyDescent="0.35">
      <c r="A44" s="177" t="s">
        <v>471</v>
      </c>
      <c r="H44" s="292"/>
      <c r="K44" s="384"/>
    </row>
    <row r="46" spans="1:12" x14ac:dyDescent="0.25">
      <c r="A46" s="158" t="s">
        <v>529</v>
      </c>
      <c r="B46" s="531">
        <v>58.410298004613836</v>
      </c>
      <c r="H46" s="361"/>
    </row>
    <row r="47" spans="1:12" x14ac:dyDescent="0.25">
      <c r="A47" s="158" t="s">
        <v>508</v>
      </c>
      <c r="B47" s="409">
        <v>48</v>
      </c>
      <c r="C47" s="273" t="s">
        <v>525</v>
      </c>
      <c r="D47" s="322">
        <v>45</v>
      </c>
      <c r="E47" s="273" t="s">
        <v>528</v>
      </c>
      <c r="F47" s="322">
        <v>45</v>
      </c>
      <c r="G47" s="273" t="s">
        <v>549</v>
      </c>
      <c r="H47" s="322">
        <v>48</v>
      </c>
    </row>
    <row r="48" spans="1:12" x14ac:dyDescent="0.25">
      <c r="A48" s="158" t="s">
        <v>509</v>
      </c>
      <c r="B48" s="410">
        <v>-8</v>
      </c>
      <c r="C48" s="273" t="s">
        <v>525</v>
      </c>
      <c r="D48" s="322">
        <v>-6.5</v>
      </c>
      <c r="E48" s="273" t="s">
        <v>526</v>
      </c>
      <c r="F48" s="322">
        <v>8</v>
      </c>
      <c r="G48" s="273" t="s">
        <v>550</v>
      </c>
      <c r="H48" s="322">
        <v>8</v>
      </c>
    </row>
    <row r="49" spans="1:9" x14ac:dyDescent="0.25">
      <c r="A49" s="158" t="s">
        <v>530</v>
      </c>
      <c r="B49" s="532">
        <v>93.407859588714757</v>
      </c>
      <c r="C49" s="389"/>
      <c r="E49" s="319"/>
    </row>
    <row r="50" spans="1:9" x14ac:dyDescent="0.25">
      <c r="A50" s="158" t="s">
        <v>535</v>
      </c>
      <c r="B50" s="270">
        <f>+B49+B63</f>
        <v>93.900382014800556</v>
      </c>
    </row>
    <row r="51" spans="1:9" x14ac:dyDescent="0.25">
      <c r="A51" s="158" t="s">
        <v>517</v>
      </c>
      <c r="B51" s="269">
        <v>48</v>
      </c>
      <c r="I51" s="164"/>
    </row>
    <row r="52" spans="1:9" x14ac:dyDescent="0.25">
      <c r="A52" s="158" t="s">
        <v>518</v>
      </c>
      <c r="B52" s="269">
        <v>85</v>
      </c>
    </row>
    <row r="54" spans="1:9" x14ac:dyDescent="0.25">
      <c r="A54" s="167"/>
      <c r="B54" s="159"/>
    </row>
    <row r="55" spans="1:9" ht="21" x14ac:dyDescent="0.35">
      <c r="A55" s="199" t="s">
        <v>470</v>
      </c>
      <c r="B55" s="160"/>
      <c r="E55" s="388"/>
    </row>
    <row r="56" spans="1:9" ht="30" x14ac:dyDescent="0.25">
      <c r="B56" s="197" t="s">
        <v>547</v>
      </c>
      <c r="C56" s="160"/>
      <c r="D56" s="160"/>
      <c r="E56" s="160"/>
    </row>
    <row r="57" spans="1:9" x14ac:dyDescent="0.25">
      <c r="A57" s="160" t="s">
        <v>555</v>
      </c>
      <c r="B57" s="184">
        <v>825655960</v>
      </c>
      <c r="C57" s="160"/>
      <c r="D57" s="160"/>
      <c r="E57" s="160"/>
    </row>
    <row r="58" spans="1:9" x14ac:dyDescent="0.25">
      <c r="A58" s="160" t="s">
        <v>556</v>
      </c>
      <c r="B58" s="530">
        <v>845000000</v>
      </c>
      <c r="C58" s="172"/>
      <c r="D58" s="160"/>
      <c r="E58" s="160"/>
    </row>
    <row r="59" spans="1:9" x14ac:dyDescent="0.25">
      <c r="A59" s="160" t="s">
        <v>557</v>
      </c>
      <c r="B59" s="184">
        <f>'L) Plafonnement taux'!I315</f>
        <v>37986675.400474928</v>
      </c>
      <c r="C59" s="421"/>
      <c r="D59" s="421"/>
      <c r="E59" s="160"/>
    </row>
    <row r="60" spans="1:9" x14ac:dyDescent="0.25">
      <c r="A60" s="160" t="s">
        <v>558</v>
      </c>
      <c r="B60" s="184">
        <f>'D) Ecrêtage'!C314</f>
        <v>39275450.163217418</v>
      </c>
      <c r="C60" s="421"/>
      <c r="D60" s="421"/>
      <c r="E60" s="160"/>
    </row>
    <row r="61" spans="1:9" x14ac:dyDescent="0.25">
      <c r="A61" s="160" t="s">
        <v>437</v>
      </c>
      <c r="B61" s="195">
        <f>(B58-B57)*100/B57</f>
        <v>2.3428692987330946</v>
      </c>
      <c r="C61" s="160"/>
      <c r="D61" s="160"/>
      <c r="E61" s="160"/>
    </row>
    <row r="62" spans="1:9" x14ac:dyDescent="0.25">
      <c r="A62" s="160" t="s">
        <v>438</v>
      </c>
      <c r="B62" s="195">
        <f>(B60-B59)*100/B59</f>
        <v>3.3927021755801685</v>
      </c>
      <c r="C62" s="172"/>
      <c r="D62" s="160"/>
      <c r="E62" s="160"/>
    </row>
    <row r="63" spans="1:9" x14ac:dyDescent="0.25">
      <c r="A63" s="160" t="s">
        <v>439</v>
      </c>
      <c r="B63" s="196">
        <f>(B58-B57)/B60</f>
        <v>0.49252242608580582</v>
      </c>
      <c r="C63" s="194"/>
      <c r="D63" s="160"/>
      <c r="E63" s="160"/>
    </row>
    <row r="64" spans="1:9" x14ac:dyDescent="0.25">
      <c r="A64" s="160"/>
      <c r="B64" s="160"/>
      <c r="C64" s="160"/>
      <c r="D64" s="160"/>
      <c r="E64" s="160"/>
    </row>
    <row r="65" spans="1:8" ht="21" x14ac:dyDescent="0.35">
      <c r="A65" s="199" t="s">
        <v>492</v>
      </c>
      <c r="B65" s="160"/>
      <c r="C65" s="160"/>
      <c r="D65" s="160"/>
      <c r="E65" s="160"/>
    </row>
    <row r="66" spans="1:8" x14ac:dyDescent="0.25">
      <c r="A66" s="160" t="s">
        <v>493</v>
      </c>
      <c r="B66" s="230">
        <v>2</v>
      </c>
      <c r="C66" s="160">
        <v>2013</v>
      </c>
      <c r="D66" s="246">
        <v>62118300</v>
      </c>
      <c r="E66" s="158">
        <v>2016</v>
      </c>
      <c r="F66" s="246">
        <f>D68*101.5%</f>
        <v>64955763.00176248</v>
      </c>
      <c r="G66" s="383" t="s">
        <v>538</v>
      </c>
      <c r="H66" s="203">
        <f>+F68*101.5/100</f>
        <v>67922836.702568099</v>
      </c>
    </row>
    <row r="67" spans="1:8" x14ac:dyDescent="0.25">
      <c r="A67" s="160" t="s">
        <v>496</v>
      </c>
      <c r="B67" s="239">
        <f>+H67</f>
        <v>68941679.253106624</v>
      </c>
      <c r="C67" s="160">
        <v>2014</v>
      </c>
      <c r="D67" s="246">
        <f>D66*101.5%</f>
        <v>63050074.499999993</v>
      </c>
      <c r="E67" s="160">
        <v>2017</v>
      </c>
      <c r="F67" s="203">
        <f>+F66*1.015</f>
        <v>65930099.446788907</v>
      </c>
      <c r="G67" s="383" t="s">
        <v>553</v>
      </c>
      <c r="H67" s="203">
        <f>+H66*101.5/100</f>
        <v>68941679.253106624</v>
      </c>
    </row>
    <row r="68" spans="1:8" x14ac:dyDescent="0.25">
      <c r="A68" s="160"/>
      <c r="B68" s="160"/>
      <c r="C68" s="160">
        <v>2015</v>
      </c>
      <c r="D68" s="246">
        <f>D67*101.5%</f>
        <v>63995825.617499985</v>
      </c>
      <c r="E68" s="160">
        <v>2018</v>
      </c>
      <c r="F68" s="203">
        <f>+F67*101.5/100</f>
        <v>66919050.938490741</v>
      </c>
    </row>
    <row r="69" spans="1:8" ht="21" x14ac:dyDescent="0.35">
      <c r="A69" s="199" t="s">
        <v>475</v>
      </c>
    </row>
    <row r="70" spans="1:8" x14ac:dyDescent="0.25">
      <c r="A70" s="158" t="s">
        <v>405</v>
      </c>
      <c r="B70" s="158">
        <v>5621</v>
      </c>
    </row>
    <row r="71" spans="1:8" x14ac:dyDescent="0.25">
      <c r="A71" s="158" t="s">
        <v>327</v>
      </c>
      <c r="B71" s="158">
        <v>5742</v>
      </c>
    </row>
    <row r="72" spans="1:8" x14ac:dyDescent="0.25">
      <c r="A72" s="158" t="s">
        <v>261</v>
      </c>
      <c r="B72" s="158">
        <v>5401</v>
      </c>
    </row>
    <row r="73" spans="1:8" x14ac:dyDescent="0.25">
      <c r="A73" s="158" t="s">
        <v>16</v>
      </c>
      <c r="B73" s="158">
        <v>5851</v>
      </c>
    </row>
    <row r="74" spans="1:8" x14ac:dyDescent="0.25">
      <c r="A74" s="158" t="s">
        <v>73</v>
      </c>
      <c r="B74" s="158">
        <v>5421</v>
      </c>
    </row>
    <row r="75" spans="1:8" x14ac:dyDescent="0.25">
      <c r="A75" s="158" t="s">
        <v>110</v>
      </c>
      <c r="B75" s="158">
        <v>5701</v>
      </c>
    </row>
    <row r="76" spans="1:8" x14ac:dyDescent="0.25">
      <c r="A76" s="158" t="s">
        <v>265</v>
      </c>
      <c r="B76" s="158">
        <v>5743</v>
      </c>
    </row>
    <row r="77" spans="1:8" x14ac:dyDescent="0.25">
      <c r="A77" s="158" t="s">
        <v>442</v>
      </c>
      <c r="B77" s="158">
        <v>5702</v>
      </c>
    </row>
    <row r="78" spans="1:8" x14ac:dyDescent="0.25">
      <c r="A78" s="158" t="s">
        <v>176</v>
      </c>
      <c r="B78" s="158">
        <v>5511</v>
      </c>
    </row>
    <row r="79" spans="1:8" x14ac:dyDescent="0.25">
      <c r="A79" s="158" t="s">
        <v>74</v>
      </c>
      <c r="B79" s="158">
        <v>5422</v>
      </c>
    </row>
    <row r="80" spans="1:8" x14ac:dyDescent="0.25">
      <c r="A80" s="158" t="s">
        <v>347</v>
      </c>
      <c r="B80" s="158">
        <v>5451</v>
      </c>
    </row>
    <row r="81" spans="1:2" x14ac:dyDescent="0.25">
      <c r="A81" s="158" t="s">
        <v>266</v>
      </c>
      <c r="B81" s="158">
        <v>5744</v>
      </c>
    </row>
    <row r="82" spans="1:2" x14ac:dyDescent="0.25">
      <c r="A82" s="158" t="s">
        <v>75</v>
      </c>
      <c r="B82" s="158">
        <v>5423</v>
      </c>
    </row>
    <row r="83" spans="1:2" x14ac:dyDescent="0.25">
      <c r="A83" s="158" t="s">
        <v>111</v>
      </c>
      <c r="B83" s="158">
        <v>5703</v>
      </c>
    </row>
    <row r="84" spans="1:2" x14ac:dyDescent="0.25">
      <c r="A84" s="158" t="s">
        <v>267</v>
      </c>
      <c r="B84" s="158">
        <v>5745</v>
      </c>
    </row>
    <row r="85" spans="1:2" x14ac:dyDescent="0.25">
      <c r="A85" s="158" t="s">
        <v>268</v>
      </c>
      <c r="B85" s="158">
        <v>5746</v>
      </c>
    </row>
    <row r="86" spans="1:2" x14ac:dyDescent="0.25">
      <c r="A86" s="158" t="s">
        <v>221</v>
      </c>
      <c r="B86" s="158">
        <v>5704</v>
      </c>
    </row>
    <row r="87" spans="1:2" x14ac:dyDescent="0.25">
      <c r="A87" s="158" t="s">
        <v>389</v>
      </c>
      <c r="B87" s="158">
        <v>5581</v>
      </c>
    </row>
    <row r="88" spans="1:2" x14ac:dyDescent="0.25">
      <c r="A88" s="158" t="s">
        <v>55</v>
      </c>
      <c r="B88" s="158">
        <v>5902</v>
      </c>
    </row>
    <row r="89" spans="1:2" x14ac:dyDescent="0.25">
      <c r="A89" s="158" t="s">
        <v>177</v>
      </c>
      <c r="B89" s="158">
        <v>5512</v>
      </c>
    </row>
    <row r="90" spans="1:2" x14ac:dyDescent="0.25">
      <c r="A90" s="158" t="s">
        <v>76</v>
      </c>
      <c r="B90" s="158">
        <v>5424</v>
      </c>
    </row>
    <row r="91" spans="1:2" x14ac:dyDescent="0.25">
      <c r="A91" s="158" t="s">
        <v>350</v>
      </c>
      <c r="B91" s="158">
        <v>5471</v>
      </c>
    </row>
    <row r="92" spans="1:2" x14ac:dyDescent="0.25">
      <c r="A92" s="158" t="s">
        <v>262</v>
      </c>
      <c r="B92" s="158">
        <v>5402</v>
      </c>
    </row>
    <row r="93" spans="1:2" x14ac:dyDescent="0.25">
      <c r="A93" s="158" t="s">
        <v>77</v>
      </c>
      <c r="B93" s="158">
        <v>5425</v>
      </c>
    </row>
    <row r="94" spans="1:2" x14ac:dyDescent="0.25">
      <c r="A94" s="158" t="s">
        <v>56</v>
      </c>
      <c r="B94" s="158">
        <v>5903</v>
      </c>
    </row>
    <row r="95" spans="1:2" x14ac:dyDescent="0.25">
      <c r="A95" s="158" t="s">
        <v>178</v>
      </c>
      <c r="B95" s="158">
        <v>5513</v>
      </c>
    </row>
    <row r="96" spans="1:2" x14ac:dyDescent="0.25">
      <c r="A96" s="158" t="s">
        <v>206</v>
      </c>
      <c r="B96" s="158">
        <v>5881</v>
      </c>
    </row>
    <row r="97" spans="1:2" x14ac:dyDescent="0.25">
      <c r="A97" s="158" t="s">
        <v>269</v>
      </c>
      <c r="B97" s="158">
        <v>5747</v>
      </c>
    </row>
    <row r="98" spans="1:2" x14ac:dyDescent="0.25">
      <c r="A98" s="158" t="s">
        <v>222</v>
      </c>
      <c r="B98" s="158">
        <v>5705</v>
      </c>
    </row>
    <row r="99" spans="1:2" x14ac:dyDescent="0.25">
      <c r="A99" s="158" t="s">
        <v>33</v>
      </c>
      <c r="B99" s="158">
        <v>5551</v>
      </c>
    </row>
    <row r="100" spans="1:2" x14ac:dyDescent="0.25">
      <c r="A100" s="158" t="s">
        <v>223</v>
      </c>
      <c r="B100" s="158">
        <v>5706</v>
      </c>
    </row>
    <row r="101" spans="1:2" x14ac:dyDescent="0.25">
      <c r="A101" s="158" t="s">
        <v>179</v>
      </c>
      <c r="B101" s="158">
        <v>5514</v>
      </c>
    </row>
    <row r="102" spans="1:2" x14ac:dyDescent="0.25">
      <c r="A102" s="158" t="s">
        <v>71</v>
      </c>
      <c r="B102" s="158">
        <v>5426</v>
      </c>
    </row>
    <row r="103" spans="1:2" x14ac:dyDescent="0.25">
      <c r="A103" s="158" t="s">
        <v>202</v>
      </c>
      <c r="B103" s="158">
        <v>5661</v>
      </c>
    </row>
    <row r="104" spans="1:2" x14ac:dyDescent="0.25">
      <c r="A104" s="158" t="s">
        <v>428</v>
      </c>
      <c r="B104" s="158">
        <v>5613</v>
      </c>
    </row>
    <row r="105" spans="1:2" x14ac:dyDescent="0.25">
      <c r="A105" s="158" t="s">
        <v>351</v>
      </c>
      <c r="B105" s="158">
        <v>5472</v>
      </c>
    </row>
    <row r="106" spans="1:2" x14ac:dyDescent="0.25">
      <c r="A106" s="158" t="s">
        <v>209</v>
      </c>
      <c r="B106" s="158">
        <v>5473</v>
      </c>
    </row>
    <row r="107" spans="1:2" x14ac:dyDescent="0.25">
      <c r="A107" s="158" t="s">
        <v>147</v>
      </c>
      <c r="B107" s="158">
        <v>5622</v>
      </c>
    </row>
    <row r="108" spans="1:2" x14ac:dyDescent="0.25">
      <c r="A108" s="158" t="s">
        <v>180</v>
      </c>
      <c r="B108" s="158">
        <v>5515</v>
      </c>
    </row>
    <row r="109" spans="1:2" x14ac:dyDescent="0.25">
      <c r="A109" s="158" t="s">
        <v>270</v>
      </c>
      <c r="B109" s="158">
        <v>5748</v>
      </c>
    </row>
    <row r="110" spans="1:2" x14ac:dyDescent="0.25">
      <c r="A110" s="158" t="s">
        <v>148</v>
      </c>
      <c r="B110" s="158">
        <v>5623</v>
      </c>
    </row>
    <row r="111" spans="1:2" x14ac:dyDescent="0.25">
      <c r="A111" s="158" t="s">
        <v>34</v>
      </c>
      <c r="B111" s="158">
        <v>5552</v>
      </c>
    </row>
    <row r="112" spans="1:2" x14ac:dyDescent="0.25">
      <c r="A112" s="158" t="s">
        <v>17</v>
      </c>
      <c r="B112" s="158">
        <v>5852</v>
      </c>
    </row>
    <row r="113" spans="1:2" x14ac:dyDescent="0.25">
      <c r="A113" s="158" t="s">
        <v>18</v>
      </c>
      <c r="B113" s="158">
        <v>5853</v>
      </c>
    </row>
    <row r="114" spans="1:2" x14ac:dyDescent="0.25">
      <c r="A114" s="158" t="s">
        <v>19</v>
      </c>
      <c r="B114" s="158">
        <v>5854</v>
      </c>
    </row>
    <row r="115" spans="1:2" x14ac:dyDescent="0.25">
      <c r="A115" s="158" t="s">
        <v>441</v>
      </c>
      <c r="B115" s="158">
        <v>5624</v>
      </c>
    </row>
    <row r="116" spans="1:2" x14ac:dyDescent="0.25">
      <c r="A116" s="158" t="s">
        <v>301</v>
      </c>
      <c r="B116" s="158">
        <v>5625</v>
      </c>
    </row>
    <row r="117" spans="1:2" x14ac:dyDescent="0.25">
      <c r="A117" s="158" t="s">
        <v>203</v>
      </c>
      <c r="B117" s="158">
        <v>5663</v>
      </c>
    </row>
    <row r="118" spans="1:2" x14ac:dyDescent="0.25">
      <c r="A118" s="158" t="s">
        <v>57</v>
      </c>
      <c r="B118" s="158">
        <v>5904</v>
      </c>
    </row>
    <row r="119" spans="1:2" x14ac:dyDescent="0.25">
      <c r="A119" s="158" t="s">
        <v>35</v>
      </c>
      <c r="B119" s="158">
        <v>5553</v>
      </c>
    </row>
    <row r="120" spans="1:2" x14ac:dyDescent="0.25">
      <c r="A120" s="158" t="s">
        <v>387</v>
      </c>
      <c r="B120" s="158">
        <v>5812</v>
      </c>
    </row>
    <row r="121" spans="1:2" x14ac:dyDescent="0.25">
      <c r="A121" s="158" t="s">
        <v>58</v>
      </c>
      <c r="B121" s="158">
        <v>5905</v>
      </c>
    </row>
    <row r="122" spans="1:2" x14ac:dyDescent="0.25">
      <c r="A122" s="158" t="s">
        <v>207</v>
      </c>
      <c r="B122" s="158">
        <v>5882</v>
      </c>
    </row>
    <row r="123" spans="1:2" x14ac:dyDescent="0.25">
      <c r="A123" s="158" t="s">
        <v>13</v>
      </c>
      <c r="B123" s="158">
        <v>5841</v>
      </c>
    </row>
    <row r="124" spans="1:2" x14ac:dyDescent="0.25">
      <c r="A124" s="158" t="s">
        <v>224</v>
      </c>
      <c r="B124" s="158">
        <v>5707</v>
      </c>
    </row>
    <row r="125" spans="1:2" x14ac:dyDescent="0.25">
      <c r="A125" s="158" t="s">
        <v>225</v>
      </c>
      <c r="B125" s="158">
        <v>5708</v>
      </c>
    </row>
    <row r="126" spans="1:2" x14ac:dyDescent="0.25">
      <c r="A126" s="158" t="s">
        <v>59</v>
      </c>
      <c r="B126" s="158">
        <v>5907</v>
      </c>
    </row>
    <row r="127" spans="1:2" x14ac:dyDescent="0.25">
      <c r="A127" s="158" t="s">
        <v>373</v>
      </c>
      <c r="B127" s="158">
        <v>5475</v>
      </c>
    </row>
    <row r="128" spans="1:2" x14ac:dyDescent="0.25">
      <c r="A128" s="158" t="s">
        <v>255</v>
      </c>
      <c r="B128" s="158">
        <v>5627</v>
      </c>
    </row>
    <row r="129" spans="1:2" x14ac:dyDescent="0.25">
      <c r="A129" s="158" t="s">
        <v>97</v>
      </c>
      <c r="B129" s="158">
        <v>5665</v>
      </c>
    </row>
    <row r="130" spans="1:2" x14ac:dyDescent="0.25">
      <c r="A130" s="158" t="s">
        <v>271</v>
      </c>
      <c r="B130" s="158">
        <v>5749</v>
      </c>
    </row>
    <row r="131" spans="1:2" x14ac:dyDescent="0.25">
      <c r="A131" s="158" t="s">
        <v>60</v>
      </c>
      <c r="B131" s="158">
        <v>5908</v>
      </c>
    </row>
    <row r="132" spans="1:2" x14ac:dyDescent="0.25">
      <c r="A132" s="158" t="s">
        <v>61</v>
      </c>
      <c r="B132" s="158">
        <v>5909</v>
      </c>
    </row>
    <row r="133" spans="1:2" x14ac:dyDescent="0.25">
      <c r="A133" s="158" t="s">
        <v>390</v>
      </c>
      <c r="B133" s="158">
        <v>5582</v>
      </c>
    </row>
    <row r="134" spans="1:2" x14ac:dyDescent="0.25">
      <c r="A134" s="158" t="s">
        <v>226</v>
      </c>
      <c r="B134" s="158">
        <v>5709</v>
      </c>
    </row>
    <row r="135" spans="1:2" x14ac:dyDescent="0.25">
      <c r="A135" s="158" t="s">
        <v>112</v>
      </c>
      <c r="B135" s="158">
        <v>5403</v>
      </c>
    </row>
    <row r="136" spans="1:2" x14ac:dyDescent="0.25">
      <c r="A136" s="158" t="s">
        <v>374</v>
      </c>
      <c r="B136" s="158">
        <v>5476</v>
      </c>
    </row>
    <row r="137" spans="1:2" x14ac:dyDescent="0.25">
      <c r="A137" s="158" t="s">
        <v>388</v>
      </c>
      <c r="B137" s="158">
        <v>5813</v>
      </c>
    </row>
    <row r="138" spans="1:2" x14ac:dyDescent="0.25">
      <c r="A138" s="158" t="s">
        <v>298</v>
      </c>
      <c r="B138" s="158">
        <v>5601</v>
      </c>
    </row>
    <row r="139" spans="1:2" x14ac:dyDescent="0.25">
      <c r="A139" s="158" t="s">
        <v>256</v>
      </c>
      <c r="B139" s="158">
        <v>5628</v>
      </c>
    </row>
    <row r="140" spans="1:2" x14ac:dyDescent="0.25">
      <c r="A140" s="158" t="s">
        <v>151</v>
      </c>
      <c r="B140" s="158">
        <v>5629</v>
      </c>
    </row>
    <row r="141" spans="1:2" x14ac:dyDescent="0.25">
      <c r="A141" s="158" t="s">
        <v>227</v>
      </c>
      <c r="B141" s="158">
        <v>5710</v>
      </c>
    </row>
    <row r="142" spans="1:2" x14ac:dyDescent="0.25">
      <c r="A142" s="158" t="s">
        <v>228</v>
      </c>
      <c r="B142" s="158">
        <v>5711</v>
      </c>
    </row>
    <row r="143" spans="1:2" x14ac:dyDescent="0.25">
      <c r="A143" s="158" t="s">
        <v>36</v>
      </c>
      <c r="B143" s="158">
        <v>5554</v>
      </c>
    </row>
    <row r="144" spans="1:2" x14ac:dyDescent="0.25">
      <c r="A144" s="158" t="s">
        <v>229</v>
      </c>
      <c r="B144" s="158">
        <v>5712</v>
      </c>
    </row>
    <row r="145" spans="1:2" x14ac:dyDescent="0.25">
      <c r="A145" s="158" t="s">
        <v>113</v>
      </c>
      <c r="B145" s="158">
        <v>5404</v>
      </c>
    </row>
    <row r="146" spans="1:2" x14ac:dyDescent="0.25">
      <c r="A146" s="158" t="s">
        <v>279</v>
      </c>
      <c r="B146" s="158">
        <v>5785</v>
      </c>
    </row>
    <row r="147" spans="1:2" x14ac:dyDescent="0.25">
      <c r="A147" s="158" t="s">
        <v>37</v>
      </c>
      <c r="B147" s="158">
        <v>5555</v>
      </c>
    </row>
    <row r="148" spans="1:2" x14ac:dyDescent="0.25">
      <c r="A148" s="158" t="s">
        <v>6</v>
      </c>
      <c r="B148" s="158">
        <v>5816</v>
      </c>
    </row>
    <row r="149" spans="1:2" x14ac:dyDescent="0.25">
      <c r="A149" s="158" t="s">
        <v>208</v>
      </c>
      <c r="B149" s="158">
        <v>5883</v>
      </c>
    </row>
    <row r="150" spans="1:2" x14ac:dyDescent="0.25">
      <c r="A150" s="158" t="s">
        <v>49</v>
      </c>
      <c r="B150" s="158">
        <v>5884</v>
      </c>
    </row>
    <row r="151" spans="1:2" x14ac:dyDescent="0.25">
      <c r="A151" s="158" t="s">
        <v>375</v>
      </c>
      <c r="B151" s="158">
        <v>5477</v>
      </c>
    </row>
    <row r="152" spans="1:2" x14ac:dyDescent="0.25">
      <c r="A152" s="158" t="s">
        <v>241</v>
      </c>
      <c r="B152" s="158">
        <v>5478</v>
      </c>
    </row>
    <row r="153" spans="1:2" x14ac:dyDescent="0.25">
      <c r="A153" s="158" t="s">
        <v>230</v>
      </c>
      <c r="B153" s="158">
        <v>5713</v>
      </c>
    </row>
    <row r="154" spans="1:2" x14ac:dyDescent="0.25">
      <c r="A154" s="158" t="s">
        <v>231</v>
      </c>
      <c r="B154" s="158">
        <v>5714</v>
      </c>
    </row>
    <row r="155" spans="1:2" x14ac:dyDescent="0.25">
      <c r="A155" s="158" t="s">
        <v>391</v>
      </c>
      <c r="B155" s="158">
        <v>5583</v>
      </c>
    </row>
    <row r="156" spans="1:2" x14ac:dyDescent="0.25">
      <c r="A156" s="158" t="s">
        <v>62</v>
      </c>
      <c r="B156" s="158">
        <v>5910</v>
      </c>
    </row>
    <row r="157" spans="1:2" x14ac:dyDescent="0.25">
      <c r="A157" s="158" t="s">
        <v>332</v>
      </c>
      <c r="B157" s="158">
        <v>5752</v>
      </c>
    </row>
    <row r="158" spans="1:2" x14ac:dyDescent="0.25">
      <c r="A158" s="158" t="s">
        <v>242</v>
      </c>
      <c r="B158" s="158">
        <v>5479</v>
      </c>
    </row>
    <row r="159" spans="1:2" x14ac:dyDescent="0.25">
      <c r="A159" s="158" t="s">
        <v>63</v>
      </c>
      <c r="B159" s="158">
        <v>5911</v>
      </c>
    </row>
    <row r="160" spans="1:2" x14ac:dyDescent="0.25">
      <c r="A160" s="158" t="s">
        <v>348</v>
      </c>
      <c r="B160" s="158">
        <v>5456</v>
      </c>
    </row>
    <row r="161" spans="1:2" x14ac:dyDescent="0.25">
      <c r="A161" s="158" t="s">
        <v>181</v>
      </c>
      <c r="B161" s="158">
        <v>5516</v>
      </c>
    </row>
    <row r="162" spans="1:2" x14ac:dyDescent="0.25">
      <c r="A162" s="158" t="s">
        <v>98</v>
      </c>
      <c r="B162" s="158">
        <v>5669</v>
      </c>
    </row>
    <row r="163" spans="1:2" x14ac:dyDescent="0.25">
      <c r="A163" s="158" t="s">
        <v>243</v>
      </c>
      <c r="B163" s="158">
        <v>5480</v>
      </c>
    </row>
    <row r="164" spans="1:2" x14ac:dyDescent="0.25">
      <c r="A164" s="158" t="s">
        <v>64</v>
      </c>
      <c r="B164" s="158">
        <v>5912</v>
      </c>
    </row>
    <row r="165" spans="1:2" x14ac:dyDescent="0.25">
      <c r="A165" s="158" t="s">
        <v>152</v>
      </c>
      <c r="B165" s="158">
        <v>5631</v>
      </c>
    </row>
    <row r="166" spans="1:2" x14ac:dyDescent="0.25">
      <c r="A166" s="158" t="s">
        <v>153</v>
      </c>
      <c r="B166" s="158">
        <v>5632</v>
      </c>
    </row>
    <row r="167" spans="1:2" x14ac:dyDescent="0.25">
      <c r="A167" s="158" t="s">
        <v>244</v>
      </c>
      <c r="B167" s="158">
        <v>5481</v>
      </c>
    </row>
    <row r="168" spans="1:2" x14ac:dyDescent="0.25">
      <c r="A168" s="158" t="s">
        <v>99</v>
      </c>
      <c r="B168" s="158">
        <v>5671</v>
      </c>
    </row>
    <row r="169" spans="1:2" x14ac:dyDescent="0.25">
      <c r="A169" s="158" t="s">
        <v>65</v>
      </c>
      <c r="B169" s="158">
        <v>5913</v>
      </c>
    </row>
    <row r="170" spans="1:2" x14ac:dyDescent="0.25">
      <c r="A170" s="158" t="s">
        <v>232</v>
      </c>
      <c r="B170" s="158">
        <v>5715</v>
      </c>
    </row>
    <row r="171" spans="1:2" x14ac:dyDescent="0.25">
      <c r="A171" s="158" t="s">
        <v>20</v>
      </c>
      <c r="B171" s="158">
        <v>5855</v>
      </c>
    </row>
    <row r="172" spans="1:2" x14ac:dyDescent="0.25">
      <c r="A172" s="158" t="s">
        <v>182</v>
      </c>
      <c r="B172" s="158">
        <v>5518</v>
      </c>
    </row>
    <row r="173" spans="1:2" x14ac:dyDescent="0.25">
      <c r="A173" s="158" t="s">
        <v>154</v>
      </c>
      <c r="B173" s="158">
        <v>5633</v>
      </c>
    </row>
    <row r="174" spans="1:2" x14ac:dyDescent="0.25">
      <c r="A174" s="158" t="s">
        <v>155</v>
      </c>
      <c r="B174" s="158">
        <v>5634</v>
      </c>
    </row>
    <row r="175" spans="1:2" x14ac:dyDescent="0.25">
      <c r="A175" s="158" t="s">
        <v>245</v>
      </c>
      <c r="B175" s="158">
        <v>5482</v>
      </c>
    </row>
    <row r="176" spans="1:2" x14ac:dyDescent="0.25">
      <c r="A176" s="158" t="s">
        <v>156</v>
      </c>
      <c r="B176" s="158">
        <v>5635</v>
      </c>
    </row>
    <row r="177" spans="1:2" x14ac:dyDescent="0.25">
      <c r="A177" s="158" t="s">
        <v>392</v>
      </c>
      <c r="B177" s="158">
        <v>5584</v>
      </c>
    </row>
    <row r="178" spans="1:2" x14ac:dyDescent="0.25">
      <c r="A178" s="158" t="s">
        <v>66</v>
      </c>
      <c r="B178" s="158">
        <v>5914</v>
      </c>
    </row>
    <row r="179" spans="1:2" x14ac:dyDescent="0.25">
      <c r="A179" s="158" t="s">
        <v>280</v>
      </c>
      <c r="B179" s="158">
        <v>5788</v>
      </c>
    </row>
    <row r="180" spans="1:2" x14ac:dyDescent="0.25">
      <c r="A180" s="158" t="s">
        <v>21</v>
      </c>
      <c r="B180" s="158">
        <v>5856</v>
      </c>
    </row>
    <row r="181" spans="1:2" x14ac:dyDescent="0.25">
      <c r="A181" s="158" t="s">
        <v>183</v>
      </c>
      <c r="B181" s="158">
        <v>5520</v>
      </c>
    </row>
    <row r="182" spans="1:2" x14ac:dyDescent="0.25">
      <c r="A182" s="158" t="s">
        <v>184</v>
      </c>
      <c r="B182" s="158">
        <v>5521</v>
      </c>
    </row>
    <row r="183" spans="1:2" x14ac:dyDescent="0.25">
      <c r="A183" s="158" t="s">
        <v>157</v>
      </c>
      <c r="B183" s="158">
        <v>5636</v>
      </c>
    </row>
    <row r="184" spans="1:2" x14ac:dyDescent="0.25">
      <c r="A184" s="158" t="s">
        <v>233</v>
      </c>
      <c r="B184" s="158">
        <v>5716</v>
      </c>
    </row>
    <row r="185" spans="1:2" x14ac:dyDescent="0.25">
      <c r="A185" s="158" t="s">
        <v>349</v>
      </c>
      <c r="B185" s="158">
        <v>5458</v>
      </c>
    </row>
    <row r="186" spans="1:2" x14ac:dyDescent="0.25">
      <c r="A186" s="158" t="s">
        <v>342</v>
      </c>
      <c r="B186" s="158">
        <v>5427</v>
      </c>
    </row>
    <row r="187" spans="1:2" x14ac:dyDescent="0.25">
      <c r="A187" s="158" t="s">
        <v>140</v>
      </c>
      <c r="B187" s="158">
        <v>5483</v>
      </c>
    </row>
    <row r="188" spans="1:2" x14ac:dyDescent="0.25">
      <c r="A188" s="158" t="s">
        <v>185</v>
      </c>
      <c r="B188" s="158">
        <v>5522</v>
      </c>
    </row>
    <row r="189" spans="1:2" x14ac:dyDescent="0.25">
      <c r="A189" s="158" t="s">
        <v>38</v>
      </c>
      <c r="B189" s="158">
        <v>5556</v>
      </c>
    </row>
    <row r="190" spans="1:2" x14ac:dyDescent="0.25">
      <c r="A190" s="158" t="s">
        <v>39</v>
      </c>
      <c r="B190" s="158">
        <v>5557</v>
      </c>
    </row>
    <row r="191" spans="1:2" x14ac:dyDescent="0.25">
      <c r="A191" s="158" t="s">
        <v>143</v>
      </c>
      <c r="B191" s="158">
        <v>5604</v>
      </c>
    </row>
    <row r="192" spans="1:2" x14ac:dyDescent="0.25">
      <c r="A192" s="158" t="s">
        <v>234</v>
      </c>
      <c r="B192" s="158">
        <v>5717</v>
      </c>
    </row>
    <row r="193" spans="1:2" x14ac:dyDescent="0.25">
      <c r="A193" s="158" t="s">
        <v>186</v>
      </c>
      <c r="B193" s="158">
        <v>5523</v>
      </c>
    </row>
    <row r="194" spans="1:2" x14ac:dyDescent="0.25">
      <c r="A194" s="158" t="s">
        <v>235</v>
      </c>
      <c r="B194" s="158">
        <v>5718</v>
      </c>
    </row>
    <row r="195" spans="1:2" x14ac:dyDescent="0.25">
      <c r="A195" s="158" t="s">
        <v>40</v>
      </c>
      <c r="B195" s="158">
        <v>5559</v>
      </c>
    </row>
    <row r="196" spans="1:2" x14ac:dyDescent="0.25">
      <c r="A196" s="158" t="s">
        <v>22</v>
      </c>
      <c r="B196" s="158">
        <v>5857</v>
      </c>
    </row>
    <row r="197" spans="1:2" x14ac:dyDescent="0.25">
      <c r="A197" s="158" t="s">
        <v>343</v>
      </c>
      <c r="B197" s="158">
        <v>5428</v>
      </c>
    </row>
    <row r="198" spans="1:2" x14ac:dyDescent="0.25">
      <c r="A198" s="158" t="s">
        <v>236</v>
      </c>
      <c r="B198" s="158">
        <v>5719</v>
      </c>
    </row>
    <row r="199" spans="1:2" x14ac:dyDescent="0.25">
      <c r="A199" s="158" t="s">
        <v>237</v>
      </c>
      <c r="B199" s="158">
        <v>5720</v>
      </c>
    </row>
    <row r="200" spans="1:2" x14ac:dyDescent="0.25">
      <c r="A200" s="158" t="s">
        <v>238</v>
      </c>
      <c r="B200" s="158">
        <v>5721</v>
      </c>
    </row>
    <row r="201" spans="1:2" x14ac:dyDescent="0.25">
      <c r="A201" s="158" t="s">
        <v>141</v>
      </c>
      <c r="B201" s="158">
        <v>5484</v>
      </c>
    </row>
    <row r="202" spans="1:2" x14ac:dyDescent="0.25">
      <c r="A202" s="158" t="s">
        <v>431</v>
      </c>
      <c r="B202" s="158">
        <v>5541</v>
      </c>
    </row>
    <row r="203" spans="1:2" x14ac:dyDescent="0.25">
      <c r="A203" s="158" t="s">
        <v>142</v>
      </c>
      <c r="B203" s="158">
        <v>5485</v>
      </c>
    </row>
    <row r="204" spans="1:2" x14ac:dyDescent="0.25">
      <c r="A204" s="158" t="s">
        <v>7</v>
      </c>
      <c r="B204" s="158">
        <v>5817</v>
      </c>
    </row>
    <row r="205" spans="1:2" x14ac:dyDescent="0.25">
      <c r="A205" s="158" t="s">
        <v>41</v>
      </c>
      <c r="B205" s="158">
        <v>5560</v>
      </c>
    </row>
    <row r="206" spans="1:2" x14ac:dyDescent="0.25">
      <c r="A206" s="158" t="s">
        <v>42</v>
      </c>
      <c r="B206" s="158">
        <v>5561</v>
      </c>
    </row>
    <row r="207" spans="1:2" x14ac:dyDescent="0.25">
      <c r="A207" s="158" t="s">
        <v>239</v>
      </c>
      <c r="B207" s="158">
        <v>5722</v>
      </c>
    </row>
    <row r="208" spans="1:2" x14ac:dyDescent="0.25">
      <c r="A208" s="158" t="s">
        <v>114</v>
      </c>
      <c r="B208" s="158">
        <v>5405</v>
      </c>
    </row>
    <row r="209" spans="1:2" x14ac:dyDescent="0.25">
      <c r="A209" s="158" t="s">
        <v>8</v>
      </c>
      <c r="B209" s="158">
        <v>5819</v>
      </c>
    </row>
    <row r="210" spans="1:2" x14ac:dyDescent="0.25">
      <c r="A210" s="158" t="s">
        <v>100</v>
      </c>
      <c r="B210" s="158">
        <v>5673</v>
      </c>
    </row>
    <row r="211" spans="1:2" x14ac:dyDescent="0.25">
      <c r="A211" s="158" t="s">
        <v>50</v>
      </c>
      <c r="B211" s="158">
        <v>5885</v>
      </c>
    </row>
    <row r="212" spans="1:2" x14ac:dyDescent="0.25">
      <c r="A212" s="158" t="s">
        <v>433</v>
      </c>
      <c r="B212" s="158">
        <v>5804</v>
      </c>
    </row>
    <row r="213" spans="1:2" x14ac:dyDescent="0.25">
      <c r="A213" s="158" t="s">
        <v>524</v>
      </c>
      <c r="B213" s="158">
        <v>5806</v>
      </c>
    </row>
    <row r="214" spans="1:2" x14ac:dyDescent="0.25">
      <c r="A214" s="158" t="s">
        <v>393</v>
      </c>
      <c r="B214" s="158">
        <v>5585</v>
      </c>
    </row>
    <row r="215" spans="1:2" x14ac:dyDescent="0.25">
      <c r="A215" s="158" t="s">
        <v>333</v>
      </c>
      <c r="B215" s="158">
        <v>5754</v>
      </c>
    </row>
    <row r="216" spans="1:2" x14ac:dyDescent="0.25">
      <c r="A216" s="158" t="s">
        <v>210</v>
      </c>
      <c r="B216" s="158">
        <v>5474</v>
      </c>
    </row>
    <row r="217" spans="1:2" x14ac:dyDescent="0.25">
      <c r="A217" s="158" t="s">
        <v>217</v>
      </c>
      <c r="B217" s="158">
        <v>5758</v>
      </c>
    </row>
    <row r="218" spans="1:2" x14ac:dyDescent="0.25">
      <c r="A218" s="158" t="s">
        <v>319</v>
      </c>
      <c r="B218" s="158">
        <v>5726</v>
      </c>
    </row>
    <row r="219" spans="1:2" x14ac:dyDescent="0.25">
      <c r="A219" s="158" t="s">
        <v>171</v>
      </c>
      <c r="B219" s="158">
        <v>5498</v>
      </c>
    </row>
    <row r="220" spans="1:2" x14ac:dyDescent="0.25">
      <c r="A220" s="158" t="s">
        <v>52</v>
      </c>
      <c r="B220" s="158">
        <v>5889</v>
      </c>
    </row>
    <row r="221" spans="1:2" x14ac:dyDescent="0.25">
      <c r="A221" s="158" t="s">
        <v>29</v>
      </c>
      <c r="B221" s="158">
        <v>5871</v>
      </c>
    </row>
    <row r="222" spans="1:2" x14ac:dyDescent="0.25">
      <c r="A222" s="158" t="s">
        <v>326</v>
      </c>
      <c r="B222" s="158">
        <v>5741</v>
      </c>
    </row>
    <row r="223" spans="1:2" x14ac:dyDescent="0.25">
      <c r="A223" s="158" t="s">
        <v>120</v>
      </c>
      <c r="B223" s="158">
        <v>5586</v>
      </c>
    </row>
    <row r="224" spans="1:2" x14ac:dyDescent="0.25">
      <c r="A224" s="158" t="s">
        <v>115</v>
      </c>
      <c r="B224" s="158">
        <v>5406</v>
      </c>
    </row>
    <row r="225" spans="1:2" x14ac:dyDescent="0.25">
      <c r="A225" s="158" t="s">
        <v>158</v>
      </c>
      <c r="B225" s="158">
        <v>5637</v>
      </c>
    </row>
    <row r="226" spans="1:2" x14ac:dyDescent="0.25">
      <c r="A226" s="158" t="s">
        <v>204</v>
      </c>
      <c r="B226" s="158">
        <v>5872</v>
      </c>
    </row>
    <row r="227" spans="1:2" x14ac:dyDescent="0.25">
      <c r="A227" s="158" t="s">
        <v>205</v>
      </c>
      <c r="B227" s="158">
        <v>5873</v>
      </c>
    </row>
    <row r="228" spans="1:2" x14ac:dyDescent="0.25">
      <c r="A228" s="158" t="s">
        <v>121</v>
      </c>
      <c r="B228" s="158">
        <v>5587</v>
      </c>
    </row>
    <row r="229" spans="1:2" x14ac:dyDescent="0.25">
      <c r="A229" s="158" t="s">
        <v>324</v>
      </c>
      <c r="B229" s="158">
        <v>5731</v>
      </c>
    </row>
    <row r="230" spans="1:2" x14ac:dyDescent="0.25">
      <c r="A230" s="158" t="s">
        <v>272</v>
      </c>
      <c r="B230" s="158">
        <v>5750</v>
      </c>
    </row>
    <row r="231" spans="1:2" x14ac:dyDescent="0.25">
      <c r="A231" s="158" t="s">
        <v>116</v>
      </c>
      <c r="B231" s="158">
        <v>5407</v>
      </c>
    </row>
    <row r="232" spans="1:2" x14ac:dyDescent="0.25">
      <c r="A232" s="158" t="s">
        <v>334</v>
      </c>
      <c r="B232" s="158">
        <v>5755</v>
      </c>
    </row>
    <row r="233" spans="1:2" x14ac:dyDescent="0.25">
      <c r="A233" s="158" t="s">
        <v>1</v>
      </c>
      <c r="B233" s="158">
        <v>5486</v>
      </c>
    </row>
    <row r="234" spans="1:2" x14ac:dyDescent="0.25">
      <c r="A234" s="158" t="s">
        <v>159</v>
      </c>
      <c r="B234" s="158">
        <v>5638</v>
      </c>
    </row>
    <row r="235" spans="1:2" x14ac:dyDescent="0.25">
      <c r="A235" s="158" t="s">
        <v>363</v>
      </c>
      <c r="B235" s="158">
        <v>5429</v>
      </c>
    </row>
    <row r="236" spans="1:2" x14ac:dyDescent="0.25">
      <c r="A236" s="158" t="s">
        <v>101</v>
      </c>
      <c r="B236" s="158">
        <v>5674</v>
      </c>
    </row>
    <row r="237" spans="1:2" x14ac:dyDescent="0.25">
      <c r="A237" s="158" t="s">
        <v>102</v>
      </c>
      <c r="B237" s="158">
        <v>5675</v>
      </c>
    </row>
    <row r="238" spans="1:2" x14ac:dyDescent="0.25">
      <c r="A238" s="158" t="s">
        <v>23</v>
      </c>
      <c r="B238" s="158">
        <v>5858</v>
      </c>
    </row>
    <row r="239" spans="1:2" x14ac:dyDescent="0.25">
      <c r="A239" s="158" t="s">
        <v>160</v>
      </c>
      <c r="B239" s="158">
        <v>5639</v>
      </c>
    </row>
    <row r="240" spans="1:2" x14ac:dyDescent="0.25">
      <c r="A240" s="158" t="s">
        <v>2</v>
      </c>
      <c r="B240" s="158">
        <v>5487</v>
      </c>
    </row>
    <row r="241" spans="1:2" x14ac:dyDescent="0.25">
      <c r="A241" s="158" t="s">
        <v>161</v>
      </c>
      <c r="B241" s="158">
        <v>5640</v>
      </c>
    </row>
    <row r="242" spans="1:2" x14ac:dyDescent="0.25">
      <c r="A242" s="158" t="s">
        <v>144</v>
      </c>
      <c r="B242" s="158">
        <v>5606</v>
      </c>
    </row>
    <row r="243" spans="1:2" x14ac:dyDescent="0.25">
      <c r="A243" s="158" t="s">
        <v>281</v>
      </c>
      <c r="B243" s="158">
        <v>5790</v>
      </c>
    </row>
    <row r="244" spans="1:2" x14ac:dyDescent="0.25">
      <c r="A244" s="158" t="s">
        <v>364</v>
      </c>
      <c r="B244" s="158">
        <v>5430</v>
      </c>
    </row>
    <row r="245" spans="1:2" x14ac:dyDescent="0.25">
      <c r="A245" s="158" t="s">
        <v>394</v>
      </c>
      <c r="B245" s="158">
        <v>5919</v>
      </c>
    </row>
    <row r="246" spans="1:2" x14ac:dyDescent="0.25">
      <c r="A246" s="158" t="s">
        <v>43</v>
      </c>
      <c r="B246" s="158">
        <v>5562</v>
      </c>
    </row>
    <row r="247" spans="1:2" x14ac:dyDescent="0.25">
      <c r="A247" s="158" t="s">
        <v>3</v>
      </c>
      <c r="B247" s="158">
        <v>5488</v>
      </c>
    </row>
    <row r="248" spans="1:2" x14ac:dyDescent="0.25">
      <c r="A248" s="158" t="s">
        <v>4</v>
      </c>
      <c r="B248" s="158">
        <v>5489</v>
      </c>
    </row>
    <row r="249" spans="1:2" x14ac:dyDescent="0.25">
      <c r="A249" s="158" t="s">
        <v>240</v>
      </c>
      <c r="B249" s="158">
        <v>5723</v>
      </c>
    </row>
    <row r="250" spans="1:2" x14ac:dyDescent="0.25">
      <c r="A250" s="158" t="s">
        <v>9</v>
      </c>
      <c r="B250" s="158">
        <v>5821</v>
      </c>
    </row>
    <row r="251" spans="1:2" x14ac:dyDescent="0.25">
      <c r="A251" s="158" t="s">
        <v>5</v>
      </c>
      <c r="B251" s="158">
        <v>5490</v>
      </c>
    </row>
    <row r="252" spans="1:2" x14ac:dyDescent="0.25">
      <c r="A252" s="158" t="s">
        <v>365</v>
      </c>
      <c r="B252" s="158">
        <v>5431</v>
      </c>
    </row>
    <row r="253" spans="1:2" x14ac:dyDescent="0.25">
      <c r="A253" s="158" t="s">
        <v>395</v>
      </c>
      <c r="B253" s="158">
        <v>5921</v>
      </c>
    </row>
    <row r="254" spans="1:2" x14ac:dyDescent="0.25">
      <c r="A254" s="158" t="s">
        <v>273</v>
      </c>
      <c r="B254" s="158">
        <v>5922</v>
      </c>
    </row>
    <row r="255" spans="1:2" x14ac:dyDescent="0.25">
      <c r="A255" s="158" t="s">
        <v>443</v>
      </c>
      <c r="B255" s="158">
        <v>5693</v>
      </c>
    </row>
    <row r="256" spans="1:2" x14ac:dyDescent="0.25">
      <c r="A256" s="158" t="s">
        <v>335</v>
      </c>
      <c r="B256" s="158">
        <v>5756</v>
      </c>
    </row>
    <row r="257" spans="1:2" x14ac:dyDescent="0.25">
      <c r="A257" s="158" t="s">
        <v>366</v>
      </c>
      <c r="B257" s="158">
        <v>5432</v>
      </c>
    </row>
    <row r="258" spans="1:2" x14ac:dyDescent="0.25">
      <c r="A258" s="158" t="s">
        <v>432</v>
      </c>
      <c r="B258" s="158">
        <v>5540</v>
      </c>
    </row>
    <row r="259" spans="1:2" x14ac:dyDescent="0.25">
      <c r="A259" s="158" t="s">
        <v>164</v>
      </c>
      <c r="B259" s="158">
        <v>5491</v>
      </c>
    </row>
    <row r="260" spans="1:2" x14ac:dyDescent="0.25">
      <c r="A260" s="158" t="s">
        <v>282</v>
      </c>
      <c r="B260" s="158">
        <v>5792</v>
      </c>
    </row>
    <row r="261" spans="1:2" x14ac:dyDescent="0.25">
      <c r="A261" s="158" t="s">
        <v>51</v>
      </c>
      <c r="B261" s="158">
        <v>5886</v>
      </c>
    </row>
    <row r="262" spans="1:2" x14ac:dyDescent="0.25">
      <c r="A262" s="158" t="s">
        <v>165</v>
      </c>
      <c r="B262" s="158">
        <v>5492</v>
      </c>
    </row>
    <row r="263" spans="1:2" x14ac:dyDescent="0.25">
      <c r="A263" s="158" t="s">
        <v>24</v>
      </c>
      <c r="B263" s="158">
        <v>5859</v>
      </c>
    </row>
    <row r="264" spans="1:2" x14ac:dyDescent="0.25">
      <c r="A264" s="158" t="s">
        <v>162</v>
      </c>
      <c r="B264" s="158">
        <v>5642</v>
      </c>
    </row>
    <row r="265" spans="1:2" x14ac:dyDescent="0.25">
      <c r="A265" s="158" t="s">
        <v>187</v>
      </c>
      <c r="B265" s="158">
        <v>5527</v>
      </c>
    </row>
    <row r="266" spans="1:2" x14ac:dyDescent="0.25">
      <c r="A266" s="158" t="s">
        <v>103</v>
      </c>
      <c r="B266" s="158">
        <v>5678</v>
      </c>
    </row>
    <row r="267" spans="1:2" x14ac:dyDescent="0.25">
      <c r="A267" s="158" t="s">
        <v>285</v>
      </c>
      <c r="B267" s="158">
        <v>5563</v>
      </c>
    </row>
    <row r="268" spans="1:2" x14ac:dyDescent="0.25">
      <c r="A268" s="158" t="s">
        <v>286</v>
      </c>
      <c r="B268" s="158">
        <v>5564</v>
      </c>
    </row>
    <row r="269" spans="1:2" x14ac:dyDescent="0.25">
      <c r="A269" s="158" t="s">
        <v>117</v>
      </c>
      <c r="B269" s="158">
        <v>5408</v>
      </c>
    </row>
    <row r="270" spans="1:2" x14ac:dyDescent="0.25">
      <c r="A270" s="158" t="s">
        <v>69</v>
      </c>
      <c r="B270" s="158">
        <v>5724</v>
      </c>
    </row>
    <row r="271" spans="1:2" x14ac:dyDescent="0.25">
      <c r="A271" s="158" t="s">
        <v>104</v>
      </c>
      <c r="B271" s="158">
        <v>5680</v>
      </c>
    </row>
    <row r="272" spans="1:2" x14ac:dyDescent="0.25">
      <c r="A272" s="158" t="s">
        <v>118</v>
      </c>
      <c r="B272" s="158">
        <v>5409</v>
      </c>
    </row>
    <row r="273" spans="1:2" x14ac:dyDescent="0.25">
      <c r="A273" s="158" t="s">
        <v>287</v>
      </c>
      <c r="B273" s="158">
        <v>5565</v>
      </c>
    </row>
    <row r="274" spans="1:2" x14ac:dyDescent="0.25">
      <c r="A274" s="158" t="s">
        <v>274</v>
      </c>
      <c r="B274" s="158">
        <v>5923</v>
      </c>
    </row>
    <row r="275" spans="1:2" x14ac:dyDescent="0.25">
      <c r="A275" s="158" t="s">
        <v>336</v>
      </c>
      <c r="B275" s="158">
        <v>5757</v>
      </c>
    </row>
    <row r="276" spans="1:2" x14ac:dyDescent="0.25">
      <c r="A276" s="158" t="s">
        <v>275</v>
      </c>
      <c r="B276" s="158">
        <v>5924</v>
      </c>
    </row>
    <row r="277" spans="1:2" x14ac:dyDescent="0.25">
      <c r="A277" s="158" t="s">
        <v>130</v>
      </c>
      <c r="B277" s="158">
        <v>5410</v>
      </c>
    </row>
    <row r="278" spans="1:2" x14ac:dyDescent="0.25">
      <c r="A278" s="158" t="s">
        <v>131</v>
      </c>
      <c r="B278" s="158">
        <v>5411</v>
      </c>
    </row>
    <row r="279" spans="1:2" x14ac:dyDescent="0.25">
      <c r="A279" s="158" t="s">
        <v>166</v>
      </c>
      <c r="B279" s="158">
        <v>5493</v>
      </c>
    </row>
    <row r="280" spans="1:2" x14ac:dyDescent="0.25">
      <c r="A280" s="158" t="s">
        <v>435</v>
      </c>
      <c r="B280" s="158">
        <v>5805</v>
      </c>
    </row>
    <row r="281" spans="1:2" x14ac:dyDescent="0.25">
      <c r="A281" s="158" t="s">
        <v>399</v>
      </c>
      <c r="B281" s="158">
        <v>5925</v>
      </c>
    </row>
    <row r="282" spans="1:2" x14ac:dyDescent="0.25">
      <c r="A282" s="158" t="s">
        <v>188</v>
      </c>
      <c r="B282" s="158">
        <v>5529</v>
      </c>
    </row>
    <row r="283" spans="1:2" x14ac:dyDescent="0.25">
      <c r="A283" s="158" t="s">
        <v>189</v>
      </c>
      <c r="B283" s="158">
        <v>5530</v>
      </c>
    </row>
    <row r="284" spans="1:2" x14ac:dyDescent="0.25">
      <c r="A284" s="158" t="s">
        <v>167</v>
      </c>
      <c r="B284" s="158">
        <v>5494</v>
      </c>
    </row>
    <row r="285" spans="1:2" x14ac:dyDescent="0.25">
      <c r="A285" s="158" t="s">
        <v>122</v>
      </c>
      <c r="B285" s="158">
        <v>5588</v>
      </c>
    </row>
    <row r="286" spans="1:2" x14ac:dyDescent="0.25">
      <c r="A286" s="158" t="s">
        <v>10</v>
      </c>
      <c r="B286" s="158">
        <v>5822</v>
      </c>
    </row>
    <row r="287" spans="1:2" x14ac:dyDescent="0.25">
      <c r="A287" s="158" t="s">
        <v>168</v>
      </c>
      <c r="B287" s="158">
        <v>5495</v>
      </c>
    </row>
    <row r="288" spans="1:2" x14ac:dyDescent="0.25">
      <c r="A288" s="158" t="s">
        <v>169</v>
      </c>
      <c r="B288" s="158">
        <v>5496</v>
      </c>
    </row>
    <row r="289" spans="1:2" x14ac:dyDescent="0.25">
      <c r="A289" s="158" t="s">
        <v>190</v>
      </c>
      <c r="B289" s="158">
        <v>5531</v>
      </c>
    </row>
    <row r="290" spans="1:2" x14ac:dyDescent="0.25">
      <c r="A290" s="158" t="s">
        <v>25</v>
      </c>
      <c r="B290" s="158">
        <v>5860</v>
      </c>
    </row>
    <row r="291" spans="1:2" x14ac:dyDescent="0.25">
      <c r="A291" s="158" t="s">
        <v>191</v>
      </c>
      <c r="B291" s="158">
        <v>5533</v>
      </c>
    </row>
    <row r="292" spans="1:2" x14ac:dyDescent="0.25">
      <c r="A292" s="158" t="s">
        <v>170</v>
      </c>
      <c r="B292" s="158">
        <v>5497</v>
      </c>
    </row>
    <row r="293" spans="1:2" x14ac:dyDescent="0.25">
      <c r="A293" s="158" t="s">
        <v>400</v>
      </c>
      <c r="B293" s="158">
        <v>5926</v>
      </c>
    </row>
    <row r="294" spans="1:2" x14ac:dyDescent="0.25">
      <c r="A294" s="158" t="s">
        <v>70</v>
      </c>
      <c r="B294" s="158">
        <v>5725</v>
      </c>
    </row>
    <row r="295" spans="1:2" x14ac:dyDescent="0.25">
      <c r="A295" s="158" t="s">
        <v>218</v>
      </c>
      <c r="B295" s="158">
        <v>5759</v>
      </c>
    </row>
    <row r="296" spans="1:2" x14ac:dyDescent="0.25">
      <c r="A296" s="158" t="s">
        <v>163</v>
      </c>
      <c r="B296" s="158">
        <v>5643</v>
      </c>
    </row>
    <row r="297" spans="1:2" x14ac:dyDescent="0.25">
      <c r="A297" s="158" t="s">
        <v>105</v>
      </c>
      <c r="B297" s="158">
        <v>5683</v>
      </c>
    </row>
    <row r="298" spans="1:2" x14ac:dyDescent="0.25">
      <c r="A298" s="158" t="s">
        <v>123</v>
      </c>
      <c r="B298" s="158">
        <v>5589</v>
      </c>
    </row>
    <row r="299" spans="1:2" x14ac:dyDescent="0.25">
      <c r="A299" s="158" t="s">
        <v>288</v>
      </c>
      <c r="B299" s="158">
        <v>5566</v>
      </c>
    </row>
    <row r="300" spans="1:2" x14ac:dyDescent="0.25">
      <c r="A300" s="158" t="s">
        <v>300</v>
      </c>
      <c r="B300" s="158">
        <v>5607</v>
      </c>
    </row>
    <row r="301" spans="1:2" x14ac:dyDescent="0.25">
      <c r="A301" s="158" t="s">
        <v>124</v>
      </c>
      <c r="B301" s="158">
        <v>5590</v>
      </c>
    </row>
    <row r="302" spans="1:2" x14ac:dyDescent="0.25">
      <c r="A302" s="158" t="s">
        <v>219</v>
      </c>
      <c r="B302" s="158">
        <v>5760</v>
      </c>
    </row>
    <row r="303" spans="1:2" x14ac:dyDescent="0.25">
      <c r="A303" s="158" t="s">
        <v>396</v>
      </c>
      <c r="B303" s="158">
        <v>5591</v>
      </c>
    </row>
    <row r="304" spans="1:2" x14ac:dyDescent="0.25">
      <c r="A304" s="158" t="s">
        <v>132</v>
      </c>
      <c r="B304" s="158">
        <v>5412</v>
      </c>
    </row>
    <row r="305" spans="1:2" x14ac:dyDescent="0.25">
      <c r="A305" s="158" t="s">
        <v>312</v>
      </c>
      <c r="B305" s="158">
        <v>5644</v>
      </c>
    </row>
    <row r="306" spans="1:2" x14ac:dyDescent="0.25">
      <c r="A306" s="158" t="s">
        <v>128</v>
      </c>
      <c r="B306" s="158">
        <v>5609</v>
      </c>
    </row>
    <row r="307" spans="1:2" x14ac:dyDescent="0.25">
      <c r="A307" s="158" t="s">
        <v>133</v>
      </c>
      <c r="B307" s="158">
        <v>5413</v>
      </c>
    </row>
    <row r="308" spans="1:2" x14ac:dyDescent="0.25">
      <c r="A308" s="158" t="s">
        <v>26</v>
      </c>
      <c r="B308" s="158">
        <v>5861</v>
      </c>
    </row>
    <row r="309" spans="1:2" x14ac:dyDescent="0.25">
      <c r="A309" s="158" t="s">
        <v>135</v>
      </c>
      <c r="B309" s="158">
        <v>5761</v>
      </c>
    </row>
    <row r="310" spans="1:2" x14ac:dyDescent="0.25">
      <c r="A310" s="158" t="s">
        <v>216</v>
      </c>
      <c r="B310" s="158">
        <v>5592</v>
      </c>
    </row>
    <row r="311" spans="1:2" x14ac:dyDescent="0.25">
      <c r="A311" s="158" t="s">
        <v>313</v>
      </c>
      <c r="B311" s="158">
        <v>5645</v>
      </c>
    </row>
    <row r="312" spans="1:2" x14ac:dyDescent="0.25">
      <c r="A312" s="158" t="s">
        <v>283</v>
      </c>
      <c r="B312" s="158">
        <v>5798</v>
      </c>
    </row>
    <row r="313" spans="1:2" x14ac:dyDescent="0.25">
      <c r="A313" s="158" t="s">
        <v>106</v>
      </c>
      <c r="B313" s="158">
        <v>5684</v>
      </c>
    </row>
    <row r="314" spans="1:2" x14ac:dyDescent="0.25">
      <c r="A314" s="158" t="s">
        <v>14</v>
      </c>
      <c r="B314" s="158">
        <v>5842</v>
      </c>
    </row>
    <row r="315" spans="1:2" x14ac:dyDescent="0.25">
      <c r="A315" s="158" t="s">
        <v>15</v>
      </c>
      <c r="B315" s="158">
        <v>5843</v>
      </c>
    </row>
    <row r="316" spans="1:2" x14ac:dyDescent="0.25">
      <c r="A316" s="158" t="s">
        <v>401</v>
      </c>
      <c r="B316" s="158">
        <v>5928</v>
      </c>
    </row>
    <row r="317" spans="1:2" x14ac:dyDescent="0.25">
      <c r="A317" s="158" t="s">
        <v>192</v>
      </c>
      <c r="B317" s="158">
        <v>5534</v>
      </c>
    </row>
    <row r="318" spans="1:2" x14ac:dyDescent="0.25">
      <c r="A318" s="158" t="s">
        <v>30</v>
      </c>
      <c r="B318" s="158">
        <v>5535</v>
      </c>
    </row>
    <row r="319" spans="1:2" x14ac:dyDescent="0.25">
      <c r="A319" s="158" t="s">
        <v>320</v>
      </c>
      <c r="B319" s="158">
        <v>5727</v>
      </c>
    </row>
    <row r="320" spans="1:2" x14ac:dyDescent="0.25">
      <c r="A320" s="158" t="s">
        <v>119</v>
      </c>
      <c r="B320" s="158">
        <v>5568</v>
      </c>
    </row>
    <row r="321" spans="1:2" x14ac:dyDescent="0.25">
      <c r="A321" s="158" t="s">
        <v>367</v>
      </c>
      <c r="B321" s="158">
        <v>5434</v>
      </c>
    </row>
    <row r="322" spans="1:2" x14ac:dyDescent="0.25">
      <c r="A322" s="158" t="s">
        <v>515</v>
      </c>
      <c r="B322" s="158">
        <v>5888</v>
      </c>
    </row>
    <row r="323" spans="1:2" x14ac:dyDescent="0.25">
      <c r="A323" s="158" t="s">
        <v>344</v>
      </c>
      <c r="B323" s="158">
        <v>5435</v>
      </c>
    </row>
    <row r="324" spans="1:2" x14ac:dyDescent="0.25">
      <c r="A324" s="158" t="s">
        <v>345</v>
      </c>
      <c r="B324" s="158">
        <v>5436</v>
      </c>
    </row>
    <row r="325" spans="1:2" x14ac:dyDescent="0.25">
      <c r="A325" s="158" t="s">
        <v>314</v>
      </c>
      <c r="B325" s="158">
        <v>5646</v>
      </c>
    </row>
    <row r="326" spans="1:2" x14ac:dyDescent="0.25">
      <c r="A326" s="158" t="s">
        <v>315</v>
      </c>
      <c r="B326" s="158">
        <v>5648</v>
      </c>
    </row>
    <row r="327" spans="1:2" x14ac:dyDescent="0.25">
      <c r="A327" s="158" t="s">
        <v>346</v>
      </c>
      <c r="B327" s="158">
        <v>5437</v>
      </c>
    </row>
    <row r="328" spans="1:2" x14ac:dyDescent="0.25">
      <c r="A328" s="158" t="s">
        <v>297</v>
      </c>
      <c r="B328" s="158">
        <v>5611</v>
      </c>
    </row>
    <row r="329" spans="1:2" x14ac:dyDescent="0.25">
      <c r="A329" s="158" t="s">
        <v>172</v>
      </c>
      <c r="B329" s="158">
        <v>5499</v>
      </c>
    </row>
    <row r="330" spans="1:2" x14ac:dyDescent="0.25">
      <c r="A330" s="158" t="s">
        <v>136</v>
      </c>
      <c r="B330" s="158">
        <v>5762</v>
      </c>
    </row>
    <row r="331" spans="1:2" x14ac:dyDescent="0.25">
      <c r="A331" s="158" t="s">
        <v>284</v>
      </c>
      <c r="B331" s="158">
        <v>5799</v>
      </c>
    </row>
    <row r="332" spans="1:2" x14ac:dyDescent="0.25">
      <c r="A332" s="158" t="s">
        <v>173</v>
      </c>
      <c r="B332" s="158">
        <v>5500</v>
      </c>
    </row>
    <row r="333" spans="1:2" x14ac:dyDescent="0.25">
      <c r="A333" s="158" t="s">
        <v>321</v>
      </c>
      <c r="B333" s="158">
        <v>5728</v>
      </c>
    </row>
    <row r="334" spans="1:2" x14ac:dyDescent="0.25">
      <c r="A334" s="158" t="s">
        <v>129</v>
      </c>
      <c r="B334" s="158">
        <v>5610</v>
      </c>
    </row>
    <row r="335" spans="1:2" x14ac:dyDescent="0.25">
      <c r="A335" s="158" t="s">
        <v>402</v>
      </c>
      <c r="B335" s="158">
        <v>5929</v>
      </c>
    </row>
    <row r="336" spans="1:2" x14ac:dyDescent="0.25">
      <c r="A336" s="158" t="s">
        <v>174</v>
      </c>
      <c r="B336" s="158">
        <v>5501</v>
      </c>
    </row>
    <row r="337" spans="1:2" x14ac:dyDescent="0.25">
      <c r="A337" s="158" t="s">
        <v>403</v>
      </c>
      <c r="B337" s="158">
        <v>5930</v>
      </c>
    </row>
    <row r="338" spans="1:2" x14ac:dyDescent="0.25">
      <c r="A338" s="158" t="s">
        <v>107</v>
      </c>
      <c r="B338" s="158">
        <v>5688</v>
      </c>
    </row>
    <row r="339" spans="1:2" x14ac:dyDescent="0.25">
      <c r="A339" s="158" t="s">
        <v>322</v>
      </c>
      <c r="B339" s="158">
        <v>5729</v>
      </c>
    </row>
    <row r="340" spans="1:2" x14ac:dyDescent="0.25">
      <c r="A340" s="158" t="s">
        <v>27</v>
      </c>
      <c r="B340" s="158">
        <v>5862</v>
      </c>
    </row>
    <row r="341" spans="1:2" x14ac:dyDescent="0.25">
      <c r="A341" s="158" t="s">
        <v>429</v>
      </c>
      <c r="B341" s="158">
        <v>5571</v>
      </c>
    </row>
    <row r="342" spans="1:2" x14ac:dyDescent="0.25">
      <c r="A342" s="158" t="s">
        <v>316</v>
      </c>
      <c r="B342" s="158">
        <v>5649</v>
      </c>
    </row>
    <row r="343" spans="1:2" x14ac:dyDescent="0.25">
      <c r="A343" s="158" t="s">
        <v>323</v>
      </c>
      <c r="B343" s="158">
        <v>5730</v>
      </c>
    </row>
    <row r="344" spans="1:2" x14ac:dyDescent="0.25">
      <c r="A344" s="158" t="s">
        <v>11</v>
      </c>
      <c r="B344" s="158">
        <v>5827</v>
      </c>
    </row>
    <row r="345" spans="1:2" x14ac:dyDescent="0.25">
      <c r="A345" s="158" t="s">
        <v>404</v>
      </c>
      <c r="B345" s="158">
        <v>5931</v>
      </c>
    </row>
    <row r="346" spans="1:2" x14ac:dyDescent="0.25">
      <c r="A346" s="158" t="s">
        <v>514</v>
      </c>
      <c r="B346" s="158">
        <v>5828</v>
      </c>
    </row>
    <row r="347" spans="1:2" x14ac:dyDescent="0.25">
      <c r="A347" s="158" t="s">
        <v>276</v>
      </c>
      <c r="B347" s="158">
        <v>5932</v>
      </c>
    </row>
    <row r="348" spans="1:2" x14ac:dyDescent="0.25">
      <c r="A348" s="158" t="s">
        <v>434</v>
      </c>
      <c r="B348" s="158">
        <v>5831</v>
      </c>
    </row>
    <row r="349" spans="1:2" x14ac:dyDescent="0.25">
      <c r="A349" s="158" t="s">
        <v>397</v>
      </c>
      <c r="B349" s="158">
        <v>5933</v>
      </c>
    </row>
    <row r="350" spans="1:2" x14ac:dyDescent="0.25">
      <c r="A350" s="158" t="s">
        <v>137</v>
      </c>
      <c r="B350" s="158">
        <v>5763</v>
      </c>
    </row>
    <row r="351" spans="1:2" x14ac:dyDescent="0.25">
      <c r="A351" s="158" t="s">
        <v>398</v>
      </c>
      <c r="B351" s="158">
        <v>5934</v>
      </c>
    </row>
    <row r="352" spans="1:2" x14ac:dyDescent="0.25">
      <c r="A352" s="158" t="s">
        <v>337</v>
      </c>
      <c r="B352" s="158">
        <v>5764</v>
      </c>
    </row>
    <row r="353" spans="1:2" x14ac:dyDescent="0.25">
      <c r="A353" s="158" t="s">
        <v>338</v>
      </c>
      <c r="B353" s="158">
        <v>5765</v>
      </c>
    </row>
    <row r="354" spans="1:2" x14ac:dyDescent="0.25">
      <c r="A354" s="158" t="s">
        <v>317</v>
      </c>
      <c r="B354" s="158">
        <v>5650</v>
      </c>
    </row>
    <row r="355" spans="1:2" x14ac:dyDescent="0.25">
      <c r="A355" s="158" t="s">
        <v>53</v>
      </c>
      <c r="B355" s="158">
        <v>5890</v>
      </c>
    </row>
    <row r="356" spans="1:2" x14ac:dyDescent="0.25">
      <c r="A356" s="158" t="s">
        <v>54</v>
      </c>
      <c r="B356" s="158">
        <v>5891</v>
      </c>
    </row>
    <row r="357" spans="1:2" x14ac:dyDescent="0.25">
      <c r="A357" s="158" t="s">
        <v>325</v>
      </c>
      <c r="B357" s="158">
        <v>5732</v>
      </c>
    </row>
    <row r="358" spans="1:2" x14ac:dyDescent="0.25">
      <c r="A358" s="158" t="s">
        <v>299</v>
      </c>
      <c r="B358" s="158">
        <v>5935</v>
      </c>
    </row>
    <row r="359" spans="1:2" x14ac:dyDescent="0.25">
      <c r="A359" s="158" t="s">
        <v>108</v>
      </c>
      <c r="B359" s="158">
        <v>5690</v>
      </c>
    </row>
    <row r="360" spans="1:2" x14ac:dyDescent="0.25">
      <c r="A360" s="158" t="s">
        <v>31</v>
      </c>
      <c r="B360" s="158">
        <v>5537</v>
      </c>
    </row>
    <row r="361" spans="1:2" x14ac:dyDescent="0.25">
      <c r="A361" s="158" t="s">
        <v>318</v>
      </c>
      <c r="B361" s="158">
        <v>5651</v>
      </c>
    </row>
    <row r="362" spans="1:2" x14ac:dyDescent="0.25">
      <c r="A362" s="158" t="s">
        <v>198</v>
      </c>
      <c r="B362" s="158">
        <v>5652</v>
      </c>
    </row>
    <row r="363" spans="1:2" x14ac:dyDescent="0.25">
      <c r="A363" s="158" t="s">
        <v>12</v>
      </c>
      <c r="B363" s="158">
        <v>5830</v>
      </c>
    </row>
    <row r="364" spans="1:2" x14ac:dyDescent="0.25">
      <c r="A364" s="158" t="s">
        <v>134</v>
      </c>
      <c r="B364" s="158">
        <v>5414</v>
      </c>
    </row>
    <row r="365" spans="1:2" x14ac:dyDescent="0.25">
      <c r="A365" s="158" t="s">
        <v>28</v>
      </c>
      <c r="B365" s="158">
        <v>5863</v>
      </c>
    </row>
    <row r="366" spans="1:2" x14ac:dyDescent="0.25">
      <c r="A366" s="158" t="s">
        <v>32</v>
      </c>
      <c r="B366" s="158">
        <v>5539</v>
      </c>
    </row>
    <row r="367" spans="1:2" x14ac:dyDescent="0.25">
      <c r="A367" s="158" t="s">
        <v>109</v>
      </c>
      <c r="B367" s="158">
        <v>5692</v>
      </c>
    </row>
    <row r="368" spans="1:2" x14ac:dyDescent="0.25">
      <c r="A368" s="158" t="s">
        <v>175</v>
      </c>
      <c r="B368" s="158">
        <v>5503</v>
      </c>
    </row>
    <row r="369" spans="1:2" x14ac:dyDescent="0.25">
      <c r="A369" s="158" t="s">
        <v>199</v>
      </c>
      <c r="B369" s="158">
        <v>5653</v>
      </c>
    </row>
    <row r="370" spans="1:2" x14ac:dyDescent="0.25">
      <c r="A370" s="158" t="s">
        <v>277</v>
      </c>
      <c r="B370" s="158">
        <v>5937</v>
      </c>
    </row>
    <row r="371" spans="1:2" x14ac:dyDescent="0.25">
      <c r="A371" s="158" t="s">
        <v>339</v>
      </c>
      <c r="B371" s="158">
        <v>5766</v>
      </c>
    </row>
    <row r="372" spans="1:2" x14ac:dyDescent="0.25">
      <c r="A372" s="158" t="s">
        <v>386</v>
      </c>
      <c r="B372" s="158">
        <v>5803</v>
      </c>
    </row>
    <row r="373" spans="1:2" x14ac:dyDescent="0.25">
      <c r="A373" s="158" t="s">
        <v>200</v>
      </c>
      <c r="B373" s="158">
        <v>5654</v>
      </c>
    </row>
    <row r="374" spans="1:2" x14ac:dyDescent="0.25">
      <c r="A374" s="158" t="s">
        <v>430</v>
      </c>
      <c r="B374" s="158">
        <v>5464</v>
      </c>
    </row>
    <row r="375" spans="1:2" x14ac:dyDescent="0.25">
      <c r="A375" s="158" t="s">
        <v>201</v>
      </c>
      <c r="B375" s="158">
        <v>5655</v>
      </c>
    </row>
    <row r="376" spans="1:2" x14ac:dyDescent="0.25">
      <c r="A376" s="158" t="s">
        <v>150</v>
      </c>
      <c r="B376" s="158">
        <v>5938</v>
      </c>
    </row>
    <row r="377" spans="1:2" x14ac:dyDescent="0.25">
      <c r="A377" s="158" t="s">
        <v>149</v>
      </c>
      <c r="B377" s="158">
        <v>5939</v>
      </c>
    </row>
    <row r="378" spans="1:2" x14ac:dyDescent="0.25">
      <c r="A378" s="158" t="s">
        <v>72</v>
      </c>
      <c r="B378" s="158">
        <v>5415</v>
      </c>
    </row>
    <row r="379" spans="1:2" x14ac:dyDescent="0.25">
      <c r="B379" s="160"/>
    </row>
    <row r="380" spans="1:2" x14ac:dyDescent="0.25">
      <c r="B380" s="160"/>
    </row>
    <row r="381" spans="1:2" x14ac:dyDescent="0.25">
      <c r="B381" s="160"/>
    </row>
    <row r="382" spans="1:2" x14ac:dyDescent="0.25">
      <c r="B382" s="160"/>
    </row>
    <row r="383" spans="1:2" x14ac:dyDescent="0.25">
      <c r="B383" s="160"/>
    </row>
    <row r="384" spans="1:2" x14ac:dyDescent="0.25">
      <c r="B384" s="160"/>
    </row>
    <row r="385" spans="2:2" x14ac:dyDescent="0.25">
      <c r="B385" s="160"/>
    </row>
    <row r="386" spans="2:2" x14ac:dyDescent="0.25">
      <c r="B386" s="160"/>
    </row>
    <row r="387" spans="2:2" x14ac:dyDescent="0.25">
      <c r="B387" s="160"/>
    </row>
    <row r="388" spans="2:2" x14ac:dyDescent="0.25">
      <c r="B388" s="160"/>
    </row>
    <row r="389" spans="2:2" x14ac:dyDescent="0.25">
      <c r="B389" s="160"/>
    </row>
    <row r="390" spans="2:2" x14ac:dyDescent="0.25">
      <c r="B390" s="160"/>
    </row>
    <row r="391" spans="2:2" x14ac:dyDescent="0.25">
      <c r="B391" s="160"/>
    </row>
    <row r="392" spans="2:2" x14ac:dyDescent="0.25">
      <c r="B392" s="160"/>
    </row>
    <row r="393" spans="2:2" x14ac:dyDescent="0.25">
      <c r="B393" s="160"/>
    </row>
    <row r="394" spans="2:2" x14ac:dyDescent="0.25">
      <c r="B394" s="160"/>
    </row>
    <row r="395" spans="2:2" x14ac:dyDescent="0.25">
      <c r="B395" s="160"/>
    </row>
    <row r="396" spans="2:2" x14ac:dyDescent="0.25">
      <c r="B396" s="160"/>
    </row>
    <row r="397" spans="2:2" x14ac:dyDescent="0.25">
      <c r="B397" s="160"/>
    </row>
    <row r="398" spans="2:2" x14ac:dyDescent="0.25">
      <c r="B398" s="160"/>
    </row>
    <row r="399" spans="2:2" x14ac:dyDescent="0.25">
      <c r="B399" s="160"/>
    </row>
    <row r="400" spans="2:2" x14ac:dyDescent="0.25">
      <c r="B400" s="160"/>
    </row>
    <row r="401" spans="2:2" x14ac:dyDescent="0.25">
      <c r="B401" s="160"/>
    </row>
    <row r="402" spans="2:2" x14ac:dyDescent="0.25">
      <c r="B402" s="160"/>
    </row>
    <row r="403" spans="2:2" x14ac:dyDescent="0.25">
      <c r="B403" s="160"/>
    </row>
    <row r="404" spans="2:2" x14ac:dyDescent="0.25">
      <c r="B404" s="160"/>
    </row>
    <row r="405" spans="2:2" x14ac:dyDescent="0.25">
      <c r="B405" s="160"/>
    </row>
    <row r="406" spans="2:2" x14ac:dyDescent="0.25">
      <c r="B406" s="160"/>
    </row>
    <row r="407" spans="2:2" x14ac:dyDescent="0.25">
      <c r="B407" s="160"/>
    </row>
    <row r="408" spans="2:2" x14ac:dyDescent="0.25">
      <c r="B408" s="160"/>
    </row>
    <row r="409" spans="2:2" x14ac:dyDescent="0.25">
      <c r="B409" s="160"/>
    </row>
    <row r="410" spans="2:2" x14ac:dyDescent="0.25">
      <c r="B410" s="160"/>
    </row>
    <row r="411" spans="2:2" x14ac:dyDescent="0.25">
      <c r="B411" s="160"/>
    </row>
    <row r="412" spans="2:2" x14ac:dyDescent="0.25">
      <c r="B412" s="160"/>
    </row>
    <row r="413" spans="2:2" x14ac:dyDescent="0.25">
      <c r="B413" s="160"/>
    </row>
    <row r="414" spans="2:2" x14ac:dyDescent="0.25">
      <c r="B414" s="160"/>
    </row>
    <row r="415" spans="2:2" x14ac:dyDescent="0.25">
      <c r="B415" s="160"/>
    </row>
    <row r="416" spans="2:2" x14ac:dyDescent="0.25">
      <c r="B416" s="160"/>
    </row>
    <row r="417" spans="2:2" x14ac:dyDescent="0.25">
      <c r="B417" s="160"/>
    </row>
    <row r="418" spans="2:2" x14ac:dyDescent="0.25">
      <c r="B418" s="160"/>
    </row>
    <row r="419" spans="2:2" x14ac:dyDescent="0.25">
      <c r="B419" s="160"/>
    </row>
    <row r="420" spans="2:2" x14ac:dyDescent="0.25">
      <c r="B420" s="160"/>
    </row>
    <row r="421" spans="2:2" x14ac:dyDescent="0.25">
      <c r="B421" s="160"/>
    </row>
    <row r="422" spans="2:2" x14ac:dyDescent="0.25">
      <c r="B422" s="160"/>
    </row>
    <row r="423" spans="2:2" x14ac:dyDescent="0.25">
      <c r="B423" s="160"/>
    </row>
    <row r="424" spans="2:2" x14ac:dyDescent="0.25">
      <c r="B424" s="160"/>
    </row>
    <row r="425" spans="2:2" x14ac:dyDescent="0.25">
      <c r="B425" s="160"/>
    </row>
    <row r="426" spans="2:2" x14ac:dyDescent="0.25">
      <c r="B426" s="160"/>
    </row>
    <row r="427" spans="2:2" x14ac:dyDescent="0.25">
      <c r="B427" s="160"/>
    </row>
    <row r="428" spans="2:2" x14ac:dyDescent="0.25">
      <c r="B428" s="160"/>
    </row>
    <row r="429" spans="2:2" x14ac:dyDescent="0.25">
      <c r="B429" s="160"/>
    </row>
    <row r="430" spans="2:2" x14ac:dyDescent="0.25">
      <c r="B430" s="160"/>
    </row>
    <row r="431" spans="2:2" x14ac:dyDescent="0.25">
      <c r="B431" s="160"/>
    </row>
    <row r="432" spans="2:2" x14ac:dyDescent="0.25">
      <c r="B432" s="160"/>
    </row>
    <row r="433" spans="2:2" x14ac:dyDescent="0.25">
      <c r="B433" s="160"/>
    </row>
    <row r="434" spans="2:2" x14ac:dyDescent="0.25">
      <c r="B434" s="160"/>
    </row>
    <row r="435" spans="2:2" x14ac:dyDescent="0.25">
      <c r="B435" s="160"/>
    </row>
    <row r="436" spans="2:2" x14ac:dyDescent="0.25">
      <c r="B436" s="160"/>
    </row>
    <row r="437" spans="2:2" x14ac:dyDescent="0.25">
      <c r="B437" s="160"/>
    </row>
    <row r="438" spans="2:2" x14ac:dyDescent="0.25">
      <c r="B438" s="160"/>
    </row>
    <row r="439" spans="2:2" x14ac:dyDescent="0.25">
      <c r="B439" s="160"/>
    </row>
    <row r="440" spans="2:2" x14ac:dyDescent="0.25">
      <c r="B440" s="160"/>
    </row>
    <row r="441" spans="2:2" x14ac:dyDescent="0.25">
      <c r="B441" s="160"/>
    </row>
    <row r="442" spans="2:2" x14ac:dyDescent="0.25">
      <c r="B442" s="160"/>
    </row>
    <row r="443" spans="2:2" x14ac:dyDescent="0.25">
      <c r="B443" s="160"/>
    </row>
    <row r="444" spans="2:2" x14ac:dyDescent="0.25">
      <c r="B444" s="160"/>
    </row>
    <row r="445" spans="2:2" x14ac:dyDescent="0.25">
      <c r="B445" s="160"/>
    </row>
    <row r="446" spans="2:2" x14ac:dyDescent="0.25">
      <c r="B446" s="160"/>
    </row>
    <row r="447" spans="2:2" x14ac:dyDescent="0.25">
      <c r="B447" s="160"/>
    </row>
    <row r="448" spans="2:2" x14ac:dyDescent="0.25">
      <c r="B448" s="160"/>
    </row>
    <row r="449" spans="2:2" x14ac:dyDescent="0.25">
      <c r="B449" s="160"/>
    </row>
    <row r="450" spans="2:2" x14ac:dyDescent="0.25">
      <c r="B450" s="160"/>
    </row>
    <row r="451" spans="2:2" x14ac:dyDescent="0.25">
      <c r="B451" s="160"/>
    </row>
    <row r="452" spans="2:2" x14ac:dyDescent="0.25">
      <c r="B452" s="160"/>
    </row>
    <row r="453" spans="2:2" x14ac:dyDescent="0.25">
      <c r="B453" s="160"/>
    </row>
    <row r="454" spans="2:2" x14ac:dyDescent="0.25">
      <c r="B454" s="160"/>
    </row>
    <row r="455" spans="2:2" x14ac:dyDescent="0.25">
      <c r="B455" s="160"/>
    </row>
    <row r="456" spans="2:2" x14ac:dyDescent="0.25">
      <c r="B456" s="160"/>
    </row>
    <row r="457" spans="2:2" x14ac:dyDescent="0.25">
      <c r="B457" s="160"/>
    </row>
    <row r="458" spans="2:2" x14ac:dyDescent="0.25">
      <c r="B458" s="160"/>
    </row>
    <row r="459" spans="2:2" x14ac:dyDescent="0.25">
      <c r="B459" s="160"/>
    </row>
    <row r="460" spans="2:2" x14ac:dyDescent="0.25">
      <c r="B460" s="160"/>
    </row>
    <row r="461" spans="2:2" x14ac:dyDescent="0.25">
      <c r="B461" s="160"/>
    </row>
    <row r="462" spans="2:2" x14ac:dyDescent="0.25">
      <c r="B462" s="160"/>
    </row>
    <row r="463" spans="2:2" x14ac:dyDescent="0.25">
      <c r="B463" s="160"/>
    </row>
    <row r="464" spans="2:2" x14ac:dyDescent="0.25">
      <c r="B464" s="160"/>
    </row>
    <row r="465" spans="2:2" x14ac:dyDescent="0.25">
      <c r="B465" s="160"/>
    </row>
    <row r="466" spans="2:2" x14ac:dyDescent="0.25">
      <c r="B466" s="160"/>
    </row>
    <row r="467" spans="2:2" x14ac:dyDescent="0.25">
      <c r="B467" s="160"/>
    </row>
    <row r="468" spans="2:2" x14ac:dyDescent="0.25">
      <c r="B468" s="160"/>
    </row>
    <row r="469" spans="2:2" x14ac:dyDescent="0.25">
      <c r="B469" s="160"/>
    </row>
    <row r="470" spans="2:2" x14ac:dyDescent="0.25">
      <c r="B470" s="160"/>
    </row>
    <row r="471" spans="2:2" x14ac:dyDescent="0.25">
      <c r="B471" s="160"/>
    </row>
    <row r="472" spans="2:2" x14ac:dyDescent="0.25">
      <c r="B472" s="160"/>
    </row>
    <row r="473" spans="2:2" x14ac:dyDescent="0.25">
      <c r="B473" s="160"/>
    </row>
    <row r="474" spans="2:2" x14ac:dyDescent="0.25">
      <c r="B474" s="160"/>
    </row>
    <row r="475" spans="2:2" x14ac:dyDescent="0.25">
      <c r="B475" s="160"/>
    </row>
    <row r="476" spans="2:2" x14ac:dyDescent="0.25">
      <c r="B476" s="160"/>
    </row>
    <row r="477" spans="2:2" x14ac:dyDescent="0.25">
      <c r="B477" s="160"/>
    </row>
    <row r="478" spans="2:2" x14ac:dyDescent="0.25">
      <c r="B478" s="160"/>
    </row>
    <row r="479" spans="2:2" x14ac:dyDescent="0.25">
      <c r="B479" s="160"/>
    </row>
    <row r="480" spans="2:2" x14ac:dyDescent="0.25">
      <c r="B480" s="160"/>
    </row>
    <row r="481" spans="2:2" x14ac:dyDescent="0.25">
      <c r="B481" s="160"/>
    </row>
    <row r="482" spans="2:2" x14ac:dyDescent="0.25">
      <c r="B482" s="160"/>
    </row>
    <row r="483" spans="2:2" x14ac:dyDescent="0.25">
      <c r="B483" s="160"/>
    </row>
    <row r="484" spans="2:2" x14ac:dyDescent="0.25">
      <c r="B484" s="160"/>
    </row>
    <row r="485" spans="2:2" x14ac:dyDescent="0.25">
      <c r="B485" s="160"/>
    </row>
    <row r="486" spans="2:2" x14ac:dyDescent="0.25">
      <c r="B486" s="160"/>
    </row>
    <row r="487" spans="2:2" x14ac:dyDescent="0.25">
      <c r="B487" s="160"/>
    </row>
    <row r="488" spans="2:2" x14ac:dyDescent="0.25">
      <c r="B488" s="160"/>
    </row>
    <row r="489" spans="2:2" x14ac:dyDescent="0.25">
      <c r="B489" s="160"/>
    </row>
    <row r="490" spans="2:2" x14ac:dyDescent="0.25">
      <c r="B490" s="160"/>
    </row>
    <row r="491" spans="2:2" x14ac:dyDescent="0.25">
      <c r="B491" s="160"/>
    </row>
    <row r="492" spans="2:2" x14ac:dyDescent="0.25">
      <c r="B492" s="160"/>
    </row>
    <row r="493" spans="2:2" x14ac:dyDescent="0.25">
      <c r="B493" s="160"/>
    </row>
    <row r="494" spans="2:2" x14ac:dyDescent="0.25">
      <c r="B494" s="160"/>
    </row>
    <row r="495" spans="2:2" x14ac:dyDescent="0.25">
      <c r="B495" s="160"/>
    </row>
    <row r="496" spans="2:2" x14ac:dyDescent="0.25">
      <c r="B496" s="160"/>
    </row>
    <row r="497" spans="2:2" x14ac:dyDescent="0.25">
      <c r="B497" s="160"/>
    </row>
    <row r="498" spans="2:2" x14ac:dyDescent="0.25">
      <c r="B498" s="160"/>
    </row>
    <row r="499" spans="2:2" x14ac:dyDescent="0.25">
      <c r="B499" s="160"/>
    </row>
    <row r="500" spans="2:2" x14ac:dyDescent="0.25">
      <c r="B500" s="160"/>
    </row>
    <row r="501" spans="2:2" x14ac:dyDescent="0.25">
      <c r="B501" s="160"/>
    </row>
    <row r="502" spans="2:2" x14ac:dyDescent="0.25">
      <c r="B502" s="160"/>
    </row>
    <row r="503" spans="2:2" x14ac:dyDescent="0.25">
      <c r="B503" s="160"/>
    </row>
    <row r="504" spans="2:2" x14ac:dyDescent="0.25">
      <c r="B504" s="160"/>
    </row>
    <row r="505" spans="2:2" x14ac:dyDescent="0.25">
      <c r="B505" s="160"/>
    </row>
    <row r="506" spans="2:2" x14ac:dyDescent="0.25">
      <c r="B506" s="160"/>
    </row>
    <row r="507" spans="2:2" x14ac:dyDescent="0.25">
      <c r="B507" s="160"/>
    </row>
    <row r="508" spans="2:2" x14ac:dyDescent="0.25">
      <c r="B508" s="160"/>
    </row>
    <row r="509" spans="2:2" x14ac:dyDescent="0.25">
      <c r="B509" s="160"/>
    </row>
    <row r="510" spans="2:2" x14ac:dyDescent="0.25">
      <c r="B510" s="160"/>
    </row>
    <row r="511" spans="2:2" x14ac:dyDescent="0.25">
      <c r="B511" s="160"/>
    </row>
    <row r="512" spans="2:2" x14ac:dyDescent="0.25">
      <c r="B512" s="160"/>
    </row>
    <row r="513" spans="2:2" x14ac:dyDescent="0.25">
      <c r="B513" s="160"/>
    </row>
    <row r="514" spans="2:2" x14ac:dyDescent="0.25">
      <c r="B514" s="160"/>
    </row>
    <row r="515" spans="2:2" x14ac:dyDescent="0.25">
      <c r="B515" s="160"/>
    </row>
    <row r="516" spans="2:2" x14ac:dyDescent="0.25">
      <c r="B516" s="160"/>
    </row>
    <row r="517" spans="2:2" x14ac:dyDescent="0.25">
      <c r="B517" s="160"/>
    </row>
    <row r="518" spans="2:2" x14ac:dyDescent="0.25">
      <c r="B518" s="160"/>
    </row>
    <row r="519" spans="2:2" x14ac:dyDescent="0.25">
      <c r="B519" s="160"/>
    </row>
    <row r="520" spans="2:2" x14ac:dyDescent="0.25">
      <c r="B520" s="160"/>
    </row>
    <row r="521" spans="2:2" x14ac:dyDescent="0.25">
      <c r="B521" s="160"/>
    </row>
    <row r="522" spans="2:2" x14ac:dyDescent="0.25">
      <c r="B522" s="160"/>
    </row>
    <row r="523" spans="2:2" x14ac:dyDescent="0.25">
      <c r="B523" s="160"/>
    </row>
    <row r="524" spans="2:2" x14ac:dyDescent="0.25">
      <c r="B524" s="160"/>
    </row>
    <row r="525" spans="2:2" x14ac:dyDescent="0.25">
      <c r="B525" s="160"/>
    </row>
    <row r="526" spans="2:2" x14ac:dyDescent="0.25">
      <c r="B526" s="160"/>
    </row>
    <row r="527" spans="2:2" x14ac:dyDescent="0.25">
      <c r="B527" s="160"/>
    </row>
    <row r="528" spans="2:2" x14ac:dyDescent="0.25">
      <c r="B528" s="160"/>
    </row>
    <row r="529" spans="2:2" x14ac:dyDescent="0.25">
      <c r="B529" s="160"/>
    </row>
    <row r="530" spans="2:2" x14ac:dyDescent="0.25">
      <c r="B530" s="160"/>
    </row>
    <row r="531" spans="2:2" x14ac:dyDescent="0.25">
      <c r="B531" s="160"/>
    </row>
    <row r="532" spans="2:2" x14ac:dyDescent="0.25">
      <c r="B532" s="160"/>
    </row>
    <row r="533" spans="2:2" x14ac:dyDescent="0.25">
      <c r="B533" s="160"/>
    </row>
    <row r="534" spans="2:2" x14ac:dyDescent="0.25">
      <c r="B534" s="160"/>
    </row>
    <row r="535" spans="2:2" x14ac:dyDescent="0.25">
      <c r="B535" s="160"/>
    </row>
    <row r="536" spans="2:2" x14ac:dyDescent="0.25">
      <c r="B536" s="160"/>
    </row>
    <row r="537" spans="2:2" x14ac:dyDescent="0.25">
      <c r="B537" s="160"/>
    </row>
    <row r="538" spans="2:2" x14ac:dyDescent="0.25">
      <c r="B538" s="160"/>
    </row>
    <row r="539" spans="2:2" x14ac:dyDescent="0.25">
      <c r="B539" s="160"/>
    </row>
    <row r="540" spans="2:2" x14ac:dyDescent="0.25">
      <c r="B540" s="160"/>
    </row>
    <row r="541" spans="2:2" x14ac:dyDescent="0.25">
      <c r="B541" s="160"/>
    </row>
    <row r="542" spans="2:2" x14ac:dyDescent="0.25">
      <c r="B542" s="160"/>
    </row>
    <row r="543" spans="2:2" x14ac:dyDescent="0.25">
      <c r="B543" s="160"/>
    </row>
    <row r="544" spans="2:2" x14ac:dyDescent="0.25">
      <c r="B544" s="160"/>
    </row>
    <row r="545" spans="2:2" x14ac:dyDescent="0.25">
      <c r="B545" s="160"/>
    </row>
  </sheetData>
  <protectedRanges>
    <protectedRange sqref="B26:H26" name="Plage2"/>
    <protectedRange sqref="A379:A408 B11:B12 B28 B32 B36:B37 B41:B42 G41 B66:B67 B20:B21 D20:F20 B47:F49 B16:F17 B46 G47:H48" name="Plage1"/>
    <protectedRange sqref="A70:A378" name="Plage1_3"/>
    <protectedRange sqref="B70:B378" name="Plage1_4"/>
    <protectedRange sqref="B5:B8" name="Plage1_1"/>
    <protectedRange sqref="B57:B58" name="Plage1_2"/>
    <protectedRange sqref="B59" name="Plage1_5"/>
  </protectedRanges>
  <sortState xmlns:xlrd2="http://schemas.microsoft.com/office/spreadsheetml/2017/richdata2" ref="A70:B378">
    <sortCondition ref="A70:A378"/>
  </sortState>
  <phoneticPr fontId="21" type="noConversion"/>
  <printOptions horizontalCentered="1"/>
  <pageMargins left="0" right="0" top="0" bottom="0" header="0.51181102362204722" footer="0.51181102362204722"/>
  <pageSetup paperSize="9" orientation="landscape" horizontalDpi="1200" verticalDpi="12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9">
    <tabColor rgb="FF00B050"/>
  </sheetPr>
  <dimension ref="A1:L328"/>
  <sheetViews>
    <sheetView topLeftCell="A62" workbookViewId="0">
      <selection activeCell="J81" sqref="J81"/>
    </sheetView>
  </sheetViews>
  <sheetFormatPr baseColWidth="10" defaultColWidth="11" defaultRowHeight="15" x14ac:dyDescent="0.25"/>
  <cols>
    <col min="1" max="1" width="7.25" style="13" customWidth="1"/>
    <col min="2" max="2" width="17.375" style="13" bestFit="1" customWidth="1"/>
    <col min="3" max="3" width="11.875" style="13" customWidth="1"/>
    <col min="4" max="9" width="11" style="13"/>
    <col min="10" max="10" width="8.25" style="13" bestFit="1" customWidth="1"/>
    <col min="11" max="11" width="10.75" style="13" bestFit="1" customWidth="1"/>
    <col min="12" max="16384" width="11" style="13"/>
  </cols>
  <sheetData>
    <row r="1" spans="1:12" ht="21" x14ac:dyDescent="0.25">
      <c r="A1" s="51" t="s">
        <v>453</v>
      </c>
      <c r="B1" s="42"/>
      <c r="C1" s="68"/>
    </row>
    <row r="2" spans="1:12" x14ac:dyDescent="0.25">
      <c r="A2" s="27"/>
      <c r="B2" s="53"/>
    </row>
    <row r="3" spans="1:12" x14ac:dyDescent="0.25">
      <c r="A3" s="27"/>
      <c r="B3" s="53"/>
      <c r="C3" s="611" t="s">
        <v>308</v>
      </c>
      <c r="D3" s="612"/>
      <c r="E3" s="612"/>
      <c r="F3" s="612"/>
      <c r="G3" s="612"/>
      <c r="H3" s="612"/>
      <c r="I3" s="612"/>
      <c r="J3" s="613"/>
    </row>
    <row r="4" spans="1:12" x14ac:dyDescent="0.25">
      <c r="C4" s="122" t="s">
        <v>307</v>
      </c>
      <c r="D4" s="102">
        <f>Paramètres!B24</f>
        <v>0</v>
      </c>
      <c r="E4" s="102">
        <f>Paramètres!C24</f>
        <v>1000</v>
      </c>
      <c r="F4" s="102">
        <f>Paramètres!D24</f>
        <v>3000</v>
      </c>
      <c r="G4" s="102">
        <f>Paramètres!E24</f>
        <v>5000</v>
      </c>
      <c r="H4" s="102">
        <f>Paramètres!F24</f>
        <v>9000</v>
      </c>
      <c r="I4" s="102">
        <f>Paramètres!G24</f>
        <v>12000</v>
      </c>
      <c r="J4" s="102">
        <f>Paramètres!H24</f>
        <v>15000</v>
      </c>
    </row>
    <row r="5" spans="1:12" x14ac:dyDescent="0.25">
      <c r="C5" s="105" t="s">
        <v>309</v>
      </c>
      <c r="D5" s="102">
        <f>Paramètres!B25</f>
        <v>1000</v>
      </c>
      <c r="E5" s="102">
        <f>Paramètres!C25</f>
        <v>3000</v>
      </c>
      <c r="F5" s="102">
        <f>Paramètres!D25</f>
        <v>5000</v>
      </c>
      <c r="G5" s="102">
        <f>Paramètres!E25</f>
        <v>9000</v>
      </c>
      <c r="H5" s="102">
        <f>Paramètres!F25</f>
        <v>12000</v>
      </c>
      <c r="I5" s="102">
        <f>Paramètres!G25</f>
        <v>15000</v>
      </c>
      <c r="J5" s="102"/>
    </row>
    <row r="6" spans="1:12" ht="30" customHeight="1" x14ac:dyDescent="0.25">
      <c r="A6" s="582" t="s">
        <v>46</v>
      </c>
      <c r="B6" s="582" t="s">
        <v>96</v>
      </c>
      <c r="C6" s="582" t="s">
        <v>304</v>
      </c>
      <c r="D6" s="600" t="s">
        <v>310</v>
      </c>
      <c r="E6" s="601"/>
      <c r="F6" s="601"/>
      <c r="G6" s="601"/>
      <c r="H6" s="601"/>
      <c r="I6" s="601"/>
      <c r="J6" s="602"/>
      <c r="K6" s="582" t="s">
        <v>295</v>
      </c>
    </row>
    <row r="7" spans="1:12" x14ac:dyDescent="0.25">
      <c r="A7" s="584"/>
      <c r="B7" s="583"/>
      <c r="C7" s="583"/>
      <c r="D7" s="275">
        <f>Paramètres!B29</f>
        <v>123.99396378269616</v>
      </c>
      <c r="E7" s="275">
        <f>Paramètres!C29</f>
        <v>347.18309859154925</v>
      </c>
      <c r="F7" s="275">
        <f>Paramètres!D29</f>
        <v>495.97585513078462</v>
      </c>
      <c r="G7" s="275">
        <f>Paramètres!E29</f>
        <v>595.17102615694159</v>
      </c>
      <c r="H7" s="275">
        <f>Paramètres!F29</f>
        <v>843.15895372233388</v>
      </c>
      <c r="I7" s="275">
        <f>Paramètres!G29</f>
        <v>991.95171026156925</v>
      </c>
      <c r="J7" s="275">
        <f>Paramètres!H29</f>
        <v>1041.5492957746478</v>
      </c>
      <c r="K7" s="584"/>
    </row>
    <row r="8" spans="1:12" x14ac:dyDescent="0.25">
      <c r="A8" s="46">
        <f>'A) Base RI'!A7</f>
        <v>5401</v>
      </c>
      <c r="B8" s="295" t="str">
        <f>'A) Base RI'!B7</f>
        <v>Aigle</v>
      </c>
      <c r="C8" s="54">
        <f>'A) Base RI'!AO7</f>
        <v>10518</v>
      </c>
      <c r="D8" s="10">
        <f>IF($C8&gt;D$4,IF($C8&lt;D$5,$C8-D$4,D$5-D$4),0)</f>
        <v>1000</v>
      </c>
      <c r="E8" s="14">
        <f t="shared" ref="E8:I23" si="0">IF($C8&gt;E$4,IF($C8&lt;E$5,$C8-E$4,E$5-E$4),0)</f>
        <v>2000</v>
      </c>
      <c r="F8" s="10">
        <f t="shared" si="0"/>
        <v>2000</v>
      </c>
      <c r="G8" s="14">
        <f t="shared" si="0"/>
        <v>4000</v>
      </c>
      <c r="H8" s="41">
        <f t="shared" si="0"/>
        <v>1518</v>
      </c>
      <c r="I8" s="10">
        <f t="shared" si="0"/>
        <v>0</v>
      </c>
      <c r="J8" s="10">
        <f>IF(C8&gt;$J$4,C8-$J$4,0)</f>
        <v>0</v>
      </c>
      <c r="K8" s="113">
        <f>(D8*D$7)+(E8*E$7)+(F8*F$7)+(G8*G$7)+(H8*H$7)+(I8*I$7)+(J8*J$7)</f>
        <v>5470911.2676056325</v>
      </c>
    </row>
    <row r="9" spans="1:12" x14ac:dyDescent="0.25">
      <c r="A9" s="49">
        <f>'A) Base RI'!A8</f>
        <v>5402</v>
      </c>
      <c r="B9" s="295" t="str">
        <f>'A) Base RI'!B8</f>
        <v>Bex</v>
      </c>
      <c r="C9" s="10">
        <f>'A) Base RI'!AO8</f>
        <v>7828</v>
      </c>
      <c r="D9" s="10">
        <f t="shared" ref="D9:I63" si="1">IF($C9&gt;D$4,IF($C9&lt;D$5,$C9-D$4,D$5-D$4),0)</f>
        <v>1000</v>
      </c>
      <c r="E9" s="425">
        <f t="shared" si="0"/>
        <v>2000</v>
      </c>
      <c r="F9" s="10">
        <f t="shared" si="0"/>
        <v>2000</v>
      </c>
      <c r="G9" s="425">
        <f t="shared" si="0"/>
        <v>2828</v>
      </c>
      <c r="H9" s="41">
        <f t="shared" si="0"/>
        <v>0</v>
      </c>
      <c r="I9" s="10">
        <f t="shared" si="0"/>
        <v>0</v>
      </c>
      <c r="J9" s="10">
        <f t="shared" ref="J9:J72" si="2">IF(C9&gt;$J$4,C9-$J$4,0)</f>
        <v>0</v>
      </c>
      <c r="K9" s="113">
        <f t="shared" ref="K9:K72" si="3">(D9*D$7)+(E9*E$7)+(F9*F$7)+(G9*G$7)+(H9*H$7)+(I9*I$7)+(J9*J$7)</f>
        <v>3493455.5331991948</v>
      </c>
    </row>
    <row r="10" spans="1:12" x14ac:dyDescent="0.25">
      <c r="A10" s="49">
        <f>'A) Base RI'!A9</f>
        <v>5403</v>
      </c>
      <c r="B10" s="295" t="str">
        <f>'A) Base RI'!B9</f>
        <v>Chessel</v>
      </c>
      <c r="C10" s="10">
        <f>'A) Base RI'!AO9</f>
        <v>444</v>
      </c>
      <c r="D10" s="10">
        <f t="shared" si="1"/>
        <v>444</v>
      </c>
      <c r="E10" s="425">
        <f t="shared" si="0"/>
        <v>0</v>
      </c>
      <c r="F10" s="10">
        <f t="shared" si="0"/>
        <v>0</v>
      </c>
      <c r="G10" s="425">
        <f t="shared" si="0"/>
        <v>0</v>
      </c>
      <c r="H10" s="41">
        <f t="shared" si="0"/>
        <v>0</v>
      </c>
      <c r="I10" s="10">
        <f t="shared" si="0"/>
        <v>0</v>
      </c>
      <c r="J10" s="10">
        <f t="shared" si="2"/>
        <v>0</v>
      </c>
      <c r="K10" s="113">
        <f t="shared" si="3"/>
        <v>55053.319919517096</v>
      </c>
    </row>
    <row r="11" spans="1:12" x14ac:dyDescent="0.25">
      <c r="A11" s="49">
        <f>'A) Base RI'!A10</f>
        <v>5404</v>
      </c>
      <c r="B11" s="295" t="str">
        <f>'A) Base RI'!B10</f>
        <v>Corbeyrier</v>
      </c>
      <c r="C11" s="10">
        <f>'A) Base RI'!AO10</f>
        <v>445</v>
      </c>
      <c r="D11" s="10">
        <f t="shared" si="1"/>
        <v>445</v>
      </c>
      <c r="E11" s="425">
        <f t="shared" si="0"/>
        <v>0</v>
      </c>
      <c r="F11" s="10">
        <f t="shared" si="0"/>
        <v>0</v>
      </c>
      <c r="G11" s="425">
        <f t="shared" si="0"/>
        <v>0</v>
      </c>
      <c r="H11" s="41">
        <f t="shared" si="0"/>
        <v>0</v>
      </c>
      <c r="I11" s="10">
        <f t="shared" si="0"/>
        <v>0</v>
      </c>
      <c r="J11" s="10">
        <f t="shared" si="2"/>
        <v>0</v>
      </c>
      <c r="K11" s="113">
        <f t="shared" si="3"/>
        <v>55177.313883299787</v>
      </c>
    </row>
    <row r="12" spans="1:12" x14ac:dyDescent="0.25">
      <c r="A12" s="49">
        <f>'A) Base RI'!A11</f>
        <v>5405</v>
      </c>
      <c r="B12" s="295" t="str">
        <f>'A) Base RI'!B11</f>
        <v>Gryon</v>
      </c>
      <c r="C12" s="10">
        <f>'A) Base RI'!AO11</f>
        <v>1378</v>
      </c>
      <c r="D12" s="10">
        <f t="shared" si="1"/>
        <v>1000</v>
      </c>
      <c r="E12" s="425">
        <f t="shared" si="0"/>
        <v>378</v>
      </c>
      <c r="F12" s="10">
        <f t="shared" si="0"/>
        <v>0</v>
      </c>
      <c r="G12" s="425">
        <f t="shared" si="0"/>
        <v>0</v>
      </c>
      <c r="H12" s="41">
        <f t="shared" si="0"/>
        <v>0</v>
      </c>
      <c r="I12" s="10">
        <f t="shared" si="0"/>
        <v>0</v>
      </c>
      <c r="J12" s="10">
        <f t="shared" si="2"/>
        <v>0</v>
      </c>
      <c r="K12" s="113">
        <f t="shared" si="3"/>
        <v>255229.17505030177</v>
      </c>
    </row>
    <row r="13" spans="1:12" x14ac:dyDescent="0.25">
      <c r="A13" s="49">
        <f>'A) Base RI'!A12</f>
        <v>5406</v>
      </c>
      <c r="B13" s="295" t="str">
        <f>'A) Base RI'!B12</f>
        <v>Lavey-Morcles</v>
      </c>
      <c r="C13" s="10">
        <f>'A) Base RI'!AO12</f>
        <v>944</v>
      </c>
      <c r="D13" s="10">
        <f t="shared" si="1"/>
        <v>944</v>
      </c>
      <c r="E13" s="425">
        <f t="shared" si="0"/>
        <v>0</v>
      </c>
      <c r="F13" s="10">
        <f t="shared" si="0"/>
        <v>0</v>
      </c>
      <c r="G13" s="425">
        <f t="shared" si="0"/>
        <v>0</v>
      </c>
      <c r="H13" s="41">
        <f t="shared" si="0"/>
        <v>0</v>
      </c>
      <c r="I13" s="10">
        <f t="shared" si="0"/>
        <v>0</v>
      </c>
      <c r="J13" s="10">
        <f t="shared" si="2"/>
        <v>0</v>
      </c>
      <c r="K13" s="113">
        <f t="shared" si="3"/>
        <v>117050.30181086517</v>
      </c>
    </row>
    <row r="14" spans="1:12" x14ac:dyDescent="0.25">
      <c r="A14" s="49">
        <f>'A) Base RI'!A13</f>
        <v>5407</v>
      </c>
      <c r="B14" s="295" t="str">
        <f>'A) Base RI'!B13</f>
        <v>Leysin</v>
      </c>
      <c r="C14" s="10">
        <f>'A) Base RI'!AO13</f>
        <v>3645</v>
      </c>
      <c r="D14" s="10">
        <f t="shared" si="1"/>
        <v>1000</v>
      </c>
      <c r="E14" s="425">
        <f t="shared" si="0"/>
        <v>2000</v>
      </c>
      <c r="F14" s="10">
        <f t="shared" si="0"/>
        <v>645</v>
      </c>
      <c r="G14" s="425">
        <f t="shared" si="0"/>
        <v>0</v>
      </c>
      <c r="H14" s="41">
        <f t="shared" si="0"/>
        <v>0</v>
      </c>
      <c r="I14" s="10">
        <f t="shared" si="0"/>
        <v>0</v>
      </c>
      <c r="J14" s="10">
        <f t="shared" si="2"/>
        <v>0</v>
      </c>
      <c r="K14" s="113">
        <f t="shared" si="3"/>
        <v>1138264.5875251507</v>
      </c>
      <c r="L14" s="12"/>
    </row>
    <row r="15" spans="1:12" x14ac:dyDescent="0.25">
      <c r="A15" s="49">
        <f>'A) Base RI'!A14</f>
        <v>5408</v>
      </c>
      <c r="B15" s="295" t="str">
        <f>'A) Base RI'!B14</f>
        <v>Noville</v>
      </c>
      <c r="C15" s="10">
        <f>'A) Base RI'!AO14</f>
        <v>1170</v>
      </c>
      <c r="D15" s="10">
        <f t="shared" si="1"/>
        <v>1000</v>
      </c>
      <c r="E15" s="425">
        <f t="shared" si="0"/>
        <v>170</v>
      </c>
      <c r="F15" s="10">
        <f t="shared" si="0"/>
        <v>0</v>
      </c>
      <c r="G15" s="425">
        <f t="shared" si="0"/>
        <v>0</v>
      </c>
      <c r="H15" s="41">
        <f t="shared" si="0"/>
        <v>0</v>
      </c>
      <c r="I15" s="10">
        <f t="shared" si="0"/>
        <v>0</v>
      </c>
      <c r="J15" s="10">
        <f t="shared" si="2"/>
        <v>0</v>
      </c>
      <c r="K15" s="113">
        <f t="shared" si="3"/>
        <v>183015.09054325952</v>
      </c>
    </row>
    <row r="16" spans="1:12" x14ac:dyDescent="0.25">
      <c r="A16" s="49">
        <f>'A) Base RI'!A15</f>
        <v>5409</v>
      </c>
      <c r="B16" s="295" t="str">
        <f>'A) Base RI'!B15</f>
        <v>Ollon</v>
      </c>
      <c r="C16" s="10">
        <f>'A) Base RI'!AO15</f>
        <v>7634</v>
      </c>
      <c r="D16" s="10">
        <f t="shared" si="1"/>
        <v>1000</v>
      </c>
      <c r="E16" s="425">
        <f t="shared" si="0"/>
        <v>2000</v>
      </c>
      <c r="F16" s="10">
        <f t="shared" si="0"/>
        <v>2000</v>
      </c>
      <c r="G16" s="425">
        <f t="shared" si="0"/>
        <v>2634</v>
      </c>
      <c r="H16" s="41">
        <f t="shared" si="0"/>
        <v>0</v>
      </c>
      <c r="I16" s="10">
        <f t="shared" si="0"/>
        <v>0</v>
      </c>
      <c r="J16" s="10">
        <f t="shared" si="2"/>
        <v>0</v>
      </c>
      <c r="K16" s="113">
        <f t="shared" si="3"/>
        <v>3377992.3541247481</v>
      </c>
    </row>
    <row r="17" spans="1:11" x14ac:dyDescent="0.25">
      <c r="A17" s="49">
        <f>'A) Base RI'!A16</f>
        <v>5410</v>
      </c>
      <c r="B17" s="295" t="str">
        <f>'A) Base RI'!B16</f>
        <v>Ormont-Dessous</v>
      </c>
      <c r="C17" s="10">
        <f>'A) Base RI'!AO16</f>
        <v>1180</v>
      </c>
      <c r="D17" s="10">
        <f t="shared" si="1"/>
        <v>1000</v>
      </c>
      <c r="E17" s="425">
        <f t="shared" si="0"/>
        <v>180</v>
      </c>
      <c r="F17" s="10">
        <f t="shared" si="0"/>
        <v>0</v>
      </c>
      <c r="G17" s="425">
        <f t="shared" si="0"/>
        <v>0</v>
      </c>
      <c r="H17" s="41">
        <f t="shared" si="0"/>
        <v>0</v>
      </c>
      <c r="I17" s="10">
        <f t="shared" si="0"/>
        <v>0</v>
      </c>
      <c r="J17" s="10">
        <f t="shared" si="2"/>
        <v>0</v>
      </c>
      <c r="K17" s="113">
        <f t="shared" si="3"/>
        <v>186486.92152917502</v>
      </c>
    </row>
    <row r="18" spans="1:11" x14ac:dyDescent="0.25">
      <c r="A18" s="49">
        <f>'A) Base RI'!A17</f>
        <v>5411</v>
      </c>
      <c r="B18" s="295" t="str">
        <f>'A) Base RI'!B17</f>
        <v>Ormont-Dessus</v>
      </c>
      <c r="C18" s="10">
        <f>'A) Base RI'!AO17</f>
        <v>1466</v>
      </c>
      <c r="D18" s="10">
        <f t="shared" si="1"/>
        <v>1000</v>
      </c>
      <c r="E18" s="425">
        <f t="shared" si="0"/>
        <v>466</v>
      </c>
      <c r="F18" s="10">
        <f t="shared" si="0"/>
        <v>0</v>
      </c>
      <c r="G18" s="425">
        <f t="shared" si="0"/>
        <v>0</v>
      </c>
      <c r="H18" s="41">
        <f t="shared" si="0"/>
        <v>0</v>
      </c>
      <c r="I18" s="10">
        <f t="shared" si="0"/>
        <v>0</v>
      </c>
      <c r="J18" s="10">
        <f t="shared" si="2"/>
        <v>0</v>
      </c>
      <c r="K18" s="113">
        <f t="shared" si="3"/>
        <v>285781.2877263581</v>
      </c>
    </row>
    <row r="19" spans="1:11" x14ac:dyDescent="0.25">
      <c r="A19" s="49">
        <f>'A) Base RI'!A18</f>
        <v>5412</v>
      </c>
      <c r="B19" s="295" t="str">
        <f>'A) Base RI'!B18</f>
        <v>Rennaz</v>
      </c>
      <c r="C19" s="10">
        <f>'A) Base RI'!AO18</f>
        <v>889</v>
      </c>
      <c r="D19" s="10">
        <f t="shared" si="1"/>
        <v>889</v>
      </c>
      <c r="E19" s="425">
        <f t="shared" si="0"/>
        <v>0</v>
      </c>
      <c r="F19" s="10">
        <f t="shared" si="0"/>
        <v>0</v>
      </c>
      <c r="G19" s="425">
        <f t="shared" si="0"/>
        <v>0</v>
      </c>
      <c r="H19" s="41">
        <f t="shared" si="0"/>
        <v>0</v>
      </c>
      <c r="I19" s="10">
        <f t="shared" si="0"/>
        <v>0</v>
      </c>
      <c r="J19" s="10">
        <f t="shared" si="2"/>
        <v>0</v>
      </c>
      <c r="K19" s="113">
        <f t="shared" si="3"/>
        <v>110230.63380281688</v>
      </c>
    </row>
    <row r="20" spans="1:11" x14ac:dyDescent="0.25">
      <c r="A20" s="49">
        <f>'A) Base RI'!A19</f>
        <v>5413</v>
      </c>
      <c r="B20" s="295" t="str">
        <f>'A) Base RI'!B19</f>
        <v>Roche</v>
      </c>
      <c r="C20" s="10">
        <f>'A) Base RI'!AO19</f>
        <v>1868</v>
      </c>
      <c r="D20" s="10">
        <f t="shared" si="1"/>
        <v>1000</v>
      </c>
      <c r="E20" s="425">
        <f t="shared" si="0"/>
        <v>868</v>
      </c>
      <c r="F20" s="10">
        <f t="shared" si="0"/>
        <v>0</v>
      </c>
      <c r="G20" s="425">
        <f t="shared" si="0"/>
        <v>0</v>
      </c>
      <c r="H20" s="41">
        <f t="shared" si="0"/>
        <v>0</v>
      </c>
      <c r="I20" s="10">
        <f t="shared" si="0"/>
        <v>0</v>
      </c>
      <c r="J20" s="10">
        <f t="shared" si="2"/>
        <v>0</v>
      </c>
      <c r="K20" s="113">
        <f t="shared" si="3"/>
        <v>425348.89336016093</v>
      </c>
    </row>
    <row r="21" spans="1:11" x14ac:dyDescent="0.25">
      <c r="A21" s="49">
        <f>'A) Base RI'!A20</f>
        <v>5414</v>
      </c>
      <c r="B21" s="295" t="str">
        <f>'A) Base RI'!B20</f>
        <v>Villeneuve</v>
      </c>
      <c r="C21" s="10">
        <f>'A) Base RI'!AO20</f>
        <v>5837</v>
      </c>
      <c r="D21" s="10">
        <f t="shared" si="1"/>
        <v>1000</v>
      </c>
      <c r="E21" s="425">
        <f t="shared" si="0"/>
        <v>2000</v>
      </c>
      <c r="F21" s="10">
        <f t="shared" si="0"/>
        <v>2000</v>
      </c>
      <c r="G21" s="425">
        <f t="shared" si="0"/>
        <v>837</v>
      </c>
      <c r="H21" s="41">
        <f t="shared" si="0"/>
        <v>0</v>
      </c>
      <c r="I21" s="10">
        <f t="shared" si="0"/>
        <v>0</v>
      </c>
      <c r="J21" s="10">
        <f t="shared" si="2"/>
        <v>0</v>
      </c>
      <c r="K21" s="113">
        <f t="shared" si="3"/>
        <v>2308470.0201207241</v>
      </c>
    </row>
    <row r="22" spans="1:11" x14ac:dyDescent="0.25">
      <c r="A22" s="49">
        <f>'A) Base RI'!A21</f>
        <v>5415</v>
      </c>
      <c r="B22" s="295" t="str">
        <f>'A) Base RI'!B21</f>
        <v>Yvorne</v>
      </c>
      <c r="C22" s="10">
        <f>'A) Base RI'!AO21</f>
        <v>1070</v>
      </c>
      <c r="D22" s="10">
        <f t="shared" si="1"/>
        <v>1000</v>
      </c>
      <c r="E22" s="425">
        <f t="shared" si="0"/>
        <v>70</v>
      </c>
      <c r="F22" s="10">
        <f t="shared" si="0"/>
        <v>0</v>
      </c>
      <c r="G22" s="425">
        <f t="shared" si="0"/>
        <v>0</v>
      </c>
      <c r="H22" s="41">
        <f t="shared" si="0"/>
        <v>0</v>
      </c>
      <c r="I22" s="10">
        <f t="shared" si="0"/>
        <v>0</v>
      </c>
      <c r="J22" s="10">
        <f t="shared" si="2"/>
        <v>0</v>
      </c>
      <c r="K22" s="113">
        <f t="shared" si="3"/>
        <v>148296.7806841046</v>
      </c>
    </row>
    <row r="23" spans="1:11" x14ac:dyDescent="0.25">
      <c r="A23" s="49">
        <f>'A) Base RI'!A22</f>
        <v>5421</v>
      </c>
      <c r="B23" s="295" t="str">
        <f>'A) Base RI'!B22</f>
        <v>Apples</v>
      </c>
      <c r="C23" s="10">
        <f>'A) Base RI'!AO22</f>
        <v>1457</v>
      </c>
      <c r="D23" s="10">
        <f t="shared" si="1"/>
        <v>1000</v>
      </c>
      <c r="E23" s="425">
        <f t="shared" si="0"/>
        <v>457</v>
      </c>
      <c r="F23" s="10">
        <f t="shared" si="0"/>
        <v>0</v>
      </c>
      <c r="G23" s="425">
        <f t="shared" si="0"/>
        <v>0</v>
      </c>
      <c r="H23" s="41">
        <f t="shared" si="0"/>
        <v>0</v>
      </c>
      <c r="I23" s="10">
        <f t="shared" si="0"/>
        <v>0</v>
      </c>
      <c r="J23" s="10">
        <f t="shared" si="2"/>
        <v>0</v>
      </c>
      <c r="K23" s="113">
        <f t="shared" si="3"/>
        <v>282656.63983903418</v>
      </c>
    </row>
    <row r="24" spans="1:11" x14ac:dyDescent="0.25">
      <c r="A24" s="49">
        <f>'A) Base RI'!A23</f>
        <v>5422</v>
      </c>
      <c r="B24" s="295" t="str">
        <f>'A) Base RI'!B23</f>
        <v>Aubonne</v>
      </c>
      <c r="C24" s="10">
        <f>'A) Base RI'!AO23</f>
        <v>3241</v>
      </c>
      <c r="D24" s="10">
        <f t="shared" si="1"/>
        <v>1000</v>
      </c>
      <c r="E24" s="425">
        <f t="shared" si="1"/>
        <v>2000</v>
      </c>
      <c r="F24" s="10">
        <f t="shared" si="1"/>
        <v>241</v>
      </c>
      <c r="G24" s="425">
        <f t="shared" si="1"/>
        <v>0</v>
      </c>
      <c r="H24" s="41">
        <f t="shared" si="1"/>
        <v>0</v>
      </c>
      <c r="I24" s="10">
        <f t="shared" si="1"/>
        <v>0</v>
      </c>
      <c r="J24" s="10">
        <f t="shared" si="2"/>
        <v>0</v>
      </c>
      <c r="K24" s="113">
        <f t="shared" si="3"/>
        <v>937890.34205231373</v>
      </c>
    </row>
    <row r="25" spans="1:11" x14ac:dyDescent="0.25">
      <c r="A25" s="49">
        <f>'A) Base RI'!A24</f>
        <v>5423</v>
      </c>
      <c r="B25" s="295" t="str">
        <f>'A) Base RI'!B24</f>
        <v>Ballens</v>
      </c>
      <c r="C25" s="10">
        <f>'A) Base RI'!AO24</f>
        <v>562</v>
      </c>
      <c r="D25" s="10">
        <f t="shared" si="1"/>
        <v>562</v>
      </c>
      <c r="E25" s="425">
        <f t="shared" si="1"/>
        <v>0</v>
      </c>
      <c r="F25" s="10">
        <f t="shared" si="1"/>
        <v>0</v>
      </c>
      <c r="G25" s="425">
        <f t="shared" si="1"/>
        <v>0</v>
      </c>
      <c r="H25" s="41">
        <f t="shared" si="1"/>
        <v>0</v>
      </c>
      <c r="I25" s="10">
        <f t="shared" si="1"/>
        <v>0</v>
      </c>
      <c r="J25" s="10">
        <f t="shared" si="2"/>
        <v>0</v>
      </c>
      <c r="K25" s="113">
        <f t="shared" si="3"/>
        <v>69684.607645875236</v>
      </c>
    </row>
    <row r="26" spans="1:11" x14ac:dyDescent="0.25">
      <c r="A26" s="49">
        <f>'A) Base RI'!A25</f>
        <v>5424</v>
      </c>
      <c r="B26" s="295" t="str">
        <f>'A) Base RI'!B25</f>
        <v>Berolle</v>
      </c>
      <c r="C26" s="10">
        <f>'A) Base RI'!AO25</f>
        <v>313</v>
      </c>
      <c r="D26" s="10">
        <f t="shared" si="1"/>
        <v>313</v>
      </c>
      <c r="E26" s="425">
        <f t="shared" si="1"/>
        <v>0</v>
      </c>
      <c r="F26" s="10">
        <f t="shared" si="1"/>
        <v>0</v>
      </c>
      <c r="G26" s="425">
        <f t="shared" si="1"/>
        <v>0</v>
      </c>
      <c r="H26" s="41">
        <f t="shared" si="1"/>
        <v>0</v>
      </c>
      <c r="I26" s="10">
        <f t="shared" si="1"/>
        <v>0</v>
      </c>
      <c r="J26" s="10">
        <f t="shared" si="2"/>
        <v>0</v>
      </c>
      <c r="K26" s="113">
        <f t="shared" si="3"/>
        <v>38810.110663983898</v>
      </c>
    </row>
    <row r="27" spans="1:11" x14ac:dyDescent="0.25">
      <c r="A27" s="49">
        <f>'A) Base RI'!A26</f>
        <v>5425</v>
      </c>
      <c r="B27" s="295" t="str">
        <f>'A) Base RI'!B26</f>
        <v>Bière</v>
      </c>
      <c r="C27" s="10">
        <f>'A) Base RI'!AO26</f>
        <v>1627</v>
      </c>
      <c r="D27" s="10">
        <f t="shared" si="1"/>
        <v>1000</v>
      </c>
      <c r="E27" s="425">
        <f t="shared" si="1"/>
        <v>627</v>
      </c>
      <c r="F27" s="10">
        <f t="shared" si="1"/>
        <v>0</v>
      </c>
      <c r="G27" s="425">
        <f t="shared" si="1"/>
        <v>0</v>
      </c>
      <c r="H27" s="41">
        <f t="shared" si="1"/>
        <v>0</v>
      </c>
      <c r="I27" s="10">
        <f t="shared" si="1"/>
        <v>0</v>
      </c>
      <c r="J27" s="10">
        <f t="shared" si="2"/>
        <v>0</v>
      </c>
      <c r="K27" s="113">
        <f t="shared" si="3"/>
        <v>341677.76659959753</v>
      </c>
    </row>
    <row r="28" spans="1:11" x14ac:dyDescent="0.25">
      <c r="A28" s="49">
        <f>'A) Base RI'!A27</f>
        <v>5426</v>
      </c>
      <c r="B28" s="295" t="str">
        <f>'A) Base RI'!B27</f>
        <v>Bougy-Villars</v>
      </c>
      <c r="C28" s="10">
        <f>'A) Base RI'!AO27</f>
        <v>477</v>
      </c>
      <c r="D28" s="10">
        <f t="shared" si="1"/>
        <v>477</v>
      </c>
      <c r="E28" s="425">
        <f t="shared" si="1"/>
        <v>0</v>
      </c>
      <c r="F28" s="10">
        <f t="shared" si="1"/>
        <v>0</v>
      </c>
      <c r="G28" s="425">
        <f t="shared" si="1"/>
        <v>0</v>
      </c>
      <c r="H28" s="41">
        <f t="shared" si="1"/>
        <v>0</v>
      </c>
      <c r="I28" s="10">
        <f t="shared" si="1"/>
        <v>0</v>
      </c>
      <c r="J28" s="10">
        <f t="shared" si="2"/>
        <v>0</v>
      </c>
      <c r="K28" s="113">
        <f t="shared" si="3"/>
        <v>59145.120724346067</v>
      </c>
    </row>
    <row r="29" spans="1:11" x14ac:dyDescent="0.25">
      <c r="A29" s="49">
        <f>'A) Base RI'!A28</f>
        <v>5427</v>
      </c>
      <c r="B29" s="295" t="str">
        <f>'A) Base RI'!B28</f>
        <v>Féchy</v>
      </c>
      <c r="C29" s="10">
        <f>'A) Base RI'!AO28</f>
        <v>869</v>
      </c>
      <c r="D29" s="10">
        <f t="shared" si="1"/>
        <v>869</v>
      </c>
      <c r="E29" s="425">
        <f t="shared" si="1"/>
        <v>0</v>
      </c>
      <c r="F29" s="10">
        <f t="shared" si="1"/>
        <v>0</v>
      </c>
      <c r="G29" s="425">
        <f t="shared" si="1"/>
        <v>0</v>
      </c>
      <c r="H29" s="41">
        <f t="shared" si="1"/>
        <v>0</v>
      </c>
      <c r="I29" s="10">
        <f t="shared" si="1"/>
        <v>0</v>
      </c>
      <c r="J29" s="10">
        <f t="shared" si="2"/>
        <v>0</v>
      </c>
      <c r="K29" s="113">
        <f t="shared" si="3"/>
        <v>107750.75452716296</v>
      </c>
    </row>
    <row r="30" spans="1:11" x14ac:dyDescent="0.25">
      <c r="A30" s="49">
        <f>'A) Base RI'!A29</f>
        <v>5428</v>
      </c>
      <c r="B30" s="295" t="str">
        <f>'A) Base RI'!B29</f>
        <v>Gimel</v>
      </c>
      <c r="C30" s="10">
        <f>'A) Base RI'!AO29</f>
        <v>2307</v>
      </c>
      <c r="D30" s="10">
        <f t="shared" si="1"/>
        <v>1000</v>
      </c>
      <c r="E30" s="425">
        <f t="shared" si="1"/>
        <v>1307</v>
      </c>
      <c r="F30" s="10">
        <f t="shared" si="1"/>
        <v>0</v>
      </c>
      <c r="G30" s="425">
        <f t="shared" si="1"/>
        <v>0</v>
      </c>
      <c r="H30" s="41">
        <f t="shared" si="1"/>
        <v>0</v>
      </c>
      <c r="I30" s="10">
        <f t="shared" si="1"/>
        <v>0</v>
      </c>
      <c r="J30" s="10">
        <f t="shared" si="2"/>
        <v>0</v>
      </c>
      <c r="K30" s="113">
        <f t="shared" si="3"/>
        <v>577762.27364185103</v>
      </c>
    </row>
    <row r="31" spans="1:11" x14ac:dyDescent="0.25">
      <c r="A31" s="49">
        <f>'A) Base RI'!A30</f>
        <v>5429</v>
      </c>
      <c r="B31" s="295" t="str">
        <f>'A) Base RI'!B30</f>
        <v>Longirod</v>
      </c>
      <c r="C31" s="10">
        <f>'A) Base RI'!AO30</f>
        <v>494</v>
      </c>
      <c r="D31" s="10">
        <f t="shared" si="1"/>
        <v>494</v>
      </c>
      <c r="E31" s="425">
        <f t="shared" si="1"/>
        <v>0</v>
      </c>
      <c r="F31" s="10">
        <f t="shared" si="1"/>
        <v>0</v>
      </c>
      <c r="G31" s="425">
        <f t="shared" si="1"/>
        <v>0</v>
      </c>
      <c r="H31" s="41">
        <f t="shared" si="1"/>
        <v>0</v>
      </c>
      <c r="I31" s="10">
        <f t="shared" si="1"/>
        <v>0</v>
      </c>
      <c r="J31" s="10">
        <f t="shared" si="2"/>
        <v>0</v>
      </c>
      <c r="K31" s="113">
        <f t="shared" si="3"/>
        <v>61253.018108651901</v>
      </c>
    </row>
    <row r="32" spans="1:11" x14ac:dyDescent="0.25">
      <c r="A32" s="49">
        <f>'A) Base RI'!A31</f>
        <v>5430</v>
      </c>
      <c r="B32" s="295" t="str">
        <f>'A) Base RI'!B31</f>
        <v>Marchissy</v>
      </c>
      <c r="C32" s="10">
        <f>'A) Base RI'!AO31</f>
        <v>481</v>
      </c>
      <c r="D32" s="10">
        <f t="shared" si="1"/>
        <v>481</v>
      </c>
      <c r="E32" s="425">
        <f t="shared" si="1"/>
        <v>0</v>
      </c>
      <c r="F32" s="10">
        <f t="shared" si="1"/>
        <v>0</v>
      </c>
      <c r="G32" s="425">
        <f t="shared" si="1"/>
        <v>0</v>
      </c>
      <c r="H32" s="41">
        <f t="shared" si="1"/>
        <v>0</v>
      </c>
      <c r="I32" s="10">
        <f t="shared" si="1"/>
        <v>0</v>
      </c>
      <c r="J32" s="10">
        <f t="shared" si="2"/>
        <v>0</v>
      </c>
      <c r="K32" s="113">
        <f t="shared" si="3"/>
        <v>59641.096579476849</v>
      </c>
    </row>
    <row r="33" spans="1:11" x14ac:dyDescent="0.25">
      <c r="A33" s="49">
        <f>'A) Base RI'!A32</f>
        <v>5431</v>
      </c>
      <c r="B33" s="295" t="str">
        <f>'A) Base RI'!B32</f>
        <v>Mollens</v>
      </c>
      <c r="C33" s="10">
        <f>'A) Base RI'!AO32</f>
        <v>330</v>
      </c>
      <c r="D33" s="10">
        <f t="shared" si="1"/>
        <v>330</v>
      </c>
      <c r="E33" s="425">
        <f t="shared" si="1"/>
        <v>0</v>
      </c>
      <c r="F33" s="10">
        <f t="shared" si="1"/>
        <v>0</v>
      </c>
      <c r="G33" s="425">
        <f t="shared" si="1"/>
        <v>0</v>
      </c>
      <c r="H33" s="41">
        <f t="shared" si="1"/>
        <v>0</v>
      </c>
      <c r="I33" s="10">
        <f t="shared" si="1"/>
        <v>0</v>
      </c>
      <c r="J33" s="10">
        <f t="shared" si="2"/>
        <v>0</v>
      </c>
      <c r="K33" s="113">
        <f t="shared" si="3"/>
        <v>40918.008048289732</v>
      </c>
    </row>
    <row r="34" spans="1:11" x14ac:dyDescent="0.25">
      <c r="A34" s="49">
        <f>'A) Base RI'!A33</f>
        <v>5432</v>
      </c>
      <c r="B34" s="295" t="str">
        <f>'A) Base RI'!B33</f>
        <v>Montherod</v>
      </c>
      <c r="C34" s="10">
        <f>'A) Base RI'!AO33</f>
        <v>523</v>
      </c>
      <c r="D34" s="10">
        <f t="shared" si="1"/>
        <v>523</v>
      </c>
      <c r="E34" s="425">
        <f t="shared" si="1"/>
        <v>0</v>
      </c>
      <c r="F34" s="10">
        <f t="shared" si="1"/>
        <v>0</v>
      </c>
      <c r="G34" s="425">
        <f t="shared" si="1"/>
        <v>0</v>
      </c>
      <c r="H34" s="41">
        <f t="shared" si="1"/>
        <v>0</v>
      </c>
      <c r="I34" s="10">
        <f t="shared" si="1"/>
        <v>0</v>
      </c>
      <c r="J34" s="10">
        <f t="shared" si="2"/>
        <v>0</v>
      </c>
      <c r="K34" s="113">
        <f t="shared" si="3"/>
        <v>64848.843058350089</v>
      </c>
    </row>
    <row r="35" spans="1:11" x14ac:dyDescent="0.25">
      <c r="A35" s="49">
        <f>'A) Base RI'!A34</f>
        <v>5434</v>
      </c>
      <c r="B35" s="295" t="str">
        <f>'A) Base RI'!B34</f>
        <v>Saint-George</v>
      </c>
      <c r="C35" s="10">
        <f>'A) Base RI'!AO34</f>
        <v>1074</v>
      </c>
      <c r="D35" s="10">
        <f t="shared" si="1"/>
        <v>1000</v>
      </c>
      <c r="E35" s="425">
        <f t="shared" si="1"/>
        <v>74</v>
      </c>
      <c r="F35" s="10">
        <f t="shared" si="1"/>
        <v>0</v>
      </c>
      <c r="G35" s="425">
        <f t="shared" si="1"/>
        <v>0</v>
      </c>
      <c r="H35" s="41">
        <f t="shared" si="1"/>
        <v>0</v>
      </c>
      <c r="I35" s="10">
        <f t="shared" si="1"/>
        <v>0</v>
      </c>
      <c r="J35" s="10">
        <f t="shared" si="2"/>
        <v>0</v>
      </c>
      <c r="K35" s="113">
        <f t="shared" si="3"/>
        <v>149685.5130784708</v>
      </c>
    </row>
    <row r="36" spans="1:11" x14ac:dyDescent="0.25">
      <c r="A36" s="49">
        <f>'A) Base RI'!A35</f>
        <v>5435</v>
      </c>
      <c r="B36" s="295" t="str">
        <f>'A) Base RI'!B35</f>
        <v>Saint-Livres</v>
      </c>
      <c r="C36" s="10">
        <f>'A) Base RI'!AO35</f>
        <v>683</v>
      </c>
      <c r="D36" s="10">
        <f t="shared" si="1"/>
        <v>683</v>
      </c>
      <c r="E36" s="425">
        <f t="shared" si="1"/>
        <v>0</v>
      </c>
      <c r="F36" s="10">
        <f t="shared" si="1"/>
        <v>0</v>
      </c>
      <c r="G36" s="425">
        <f t="shared" si="1"/>
        <v>0</v>
      </c>
      <c r="H36" s="41">
        <f t="shared" si="1"/>
        <v>0</v>
      </c>
      <c r="I36" s="10">
        <f t="shared" si="1"/>
        <v>0</v>
      </c>
      <c r="J36" s="10">
        <f t="shared" si="2"/>
        <v>0</v>
      </c>
      <c r="K36" s="113">
        <f t="shared" si="3"/>
        <v>84687.877263581468</v>
      </c>
    </row>
    <row r="37" spans="1:11" x14ac:dyDescent="0.25">
      <c r="A37" s="49">
        <f>'A) Base RI'!A36</f>
        <v>5436</v>
      </c>
      <c r="B37" s="295" t="str">
        <f>'A) Base RI'!B36</f>
        <v>Saint-Oyens</v>
      </c>
      <c r="C37" s="10">
        <f>'A) Base RI'!AO36</f>
        <v>461</v>
      </c>
      <c r="D37" s="10">
        <f t="shared" si="1"/>
        <v>461</v>
      </c>
      <c r="E37" s="425">
        <f t="shared" si="1"/>
        <v>0</v>
      </c>
      <c r="F37" s="10">
        <f t="shared" si="1"/>
        <v>0</v>
      </c>
      <c r="G37" s="425">
        <f t="shared" si="1"/>
        <v>0</v>
      </c>
      <c r="H37" s="41">
        <f t="shared" si="1"/>
        <v>0</v>
      </c>
      <c r="I37" s="10">
        <f t="shared" si="1"/>
        <v>0</v>
      </c>
      <c r="J37" s="10">
        <f t="shared" si="2"/>
        <v>0</v>
      </c>
      <c r="K37" s="113">
        <f t="shared" si="3"/>
        <v>57161.21730382293</v>
      </c>
    </row>
    <row r="38" spans="1:11" x14ac:dyDescent="0.25">
      <c r="A38" s="49">
        <f>'A) Base RI'!A37</f>
        <v>5437</v>
      </c>
      <c r="B38" s="295" t="str">
        <f>'A) Base RI'!B37</f>
        <v>Saubraz</v>
      </c>
      <c r="C38" s="10">
        <f>'A) Base RI'!AO37</f>
        <v>423</v>
      </c>
      <c r="D38" s="10">
        <f t="shared" si="1"/>
        <v>423</v>
      </c>
      <c r="E38" s="425">
        <f t="shared" si="1"/>
        <v>0</v>
      </c>
      <c r="F38" s="10">
        <f t="shared" si="1"/>
        <v>0</v>
      </c>
      <c r="G38" s="425">
        <f t="shared" si="1"/>
        <v>0</v>
      </c>
      <c r="H38" s="41">
        <f t="shared" si="1"/>
        <v>0</v>
      </c>
      <c r="I38" s="10">
        <f t="shared" si="1"/>
        <v>0</v>
      </c>
      <c r="J38" s="10">
        <f t="shared" si="2"/>
        <v>0</v>
      </c>
      <c r="K38" s="113">
        <f t="shared" si="3"/>
        <v>52449.446680080473</v>
      </c>
    </row>
    <row r="39" spans="1:11" x14ac:dyDescent="0.25">
      <c r="A39" s="49">
        <f>'A) Base RI'!A38</f>
        <v>5451</v>
      </c>
      <c r="B39" s="295" t="str">
        <f>'A) Base RI'!B38</f>
        <v>Avenches</v>
      </c>
      <c r="C39" s="10">
        <f>'A) Base RI'!AO38</f>
        <v>4482</v>
      </c>
      <c r="D39" s="10">
        <f t="shared" si="1"/>
        <v>1000</v>
      </c>
      <c r="E39" s="425">
        <f t="shared" si="1"/>
        <v>2000</v>
      </c>
      <c r="F39" s="10">
        <f t="shared" si="1"/>
        <v>1482</v>
      </c>
      <c r="G39" s="425">
        <f t="shared" si="1"/>
        <v>0</v>
      </c>
      <c r="H39" s="41">
        <f t="shared" si="1"/>
        <v>0</v>
      </c>
      <c r="I39" s="10">
        <f t="shared" si="1"/>
        <v>0</v>
      </c>
      <c r="J39" s="10">
        <f t="shared" si="2"/>
        <v>0</v>
      </c>
      <c r="K39" s="113">
        <f t="shared" si="3"/>
        <v>1553396.3782696174</v>
      </c>
    </row>
    <row r="40" spans="1:11" x14ac:dyDescent="0.25">
      <c r="A40" s="49">
        <f>'A) Base RI'!A39</f>
        <v>5456</v>
      </c>
      <c r="B40" s="295" t="str">
        <f>'A) Base RI'!B39</f>
        <v>Cudrefin</v>
      </c>
      <c r="C40" s="10">
        <f>'A) Base RI'!AO39</f>
        <v>1780</v>
      </c>
      <c r="D40" s="10">
        <f t="shared" si="1"/>
        <v>1000</v>
      </c>
      <c r="E40" s="425">
        <f t="shared" si="1"/>
        <v>780</v>
      </c>
      <c r="F40" s="10">
        <f t="shared" si="1"/>
        <v>0</v>
      </c>
      <c r="G40" s="425">
        <f t="shared" si="1"/>
        <v>0</v>
      </c>
      <c r="H40" s="41">
        <f t="shared" si="1"/>
        <v>0</v>
      </c>
      <c r="I40" s="10">
        <f t="shared" si="1"/>
        <v>0</v>
      </c>
      <c r="J40" s="10">
        <f t="shared" si="2"/>
        <v>0</v>
      </c>
      <c r="K40" s="113">
        <f t="shared" si="3"/>
        <v>394796.7806841046</v>
      </c>
    </row>
    <row r="41" spans="1:11" x14ac:dyDescent="0.25">
      <c r="A41" s="49">
        <f>'A) Base RI'!A40</f>
        <v>5458</v>
      </c>
      <c r="B41" s="295" t="str">
        <f>'A) Base RI'!B40</f>
        <v>Faoug</v>
      </c>
      <c r="C41" s="10">
        <f>'A) Base RI'!AO40</f>
        <v>881</v>
      </c>
      <c r="D41" s="10">
        <f t="shared" si="1"/>
        <v>881</v>
      </c>
      <c r="E41" s="425">
        <f t="shared" si="1"/>
        <v>0</v>
      </c>
      <c r="F41" s="10">
        <f t="shared" si="1"/>
        <v>0</v>
      </c>
      <c r="G41" s="425">
        <f t="shared" si="1"/>
        <v>0</v>
      </c>
      <c r="H41" s="41">
        <f t="shared" si="1"/>
        <v>0</v>
      </c>
      <c r="I41" s="10">
        <f t="shared" si="1"/>
        <v>0</v>
      </c>
      <c r="J41" s="10">
        <f t="shared" si="2"/>
        <v>0</v>
      </c>
      <c r="K41" s="113">
        <f t="shared" si="3"/>
        <v>109238.68209255532</v>
      </c>
    </row>
    <row r="42" spans="1:11" x14ac:dyDescent="0.25">
      <c r="A42" s="49">
        <f>'A) Base RI'!A41</f>
        <v>5464</v>
      </c>
      <c r="B42" s="295" t="str">
        <f>'A) Base RI'!B41</f>
        <v>Vully-les-Lacs</v>
      </c>
      <c r="C42" s="10">
        <f>'A) Base RI'!AO41</f>
        <v>3360</v>
      </c>
      <c r="D42" s="10">
        <f t="shared" si="1"/>
        <v>1000</v>
      </c>
      <c r="E42" s="425">
        <f t="shared" si="1"/>
        <v>2000</v>
      </c>
      <c r="F42" s="10">
        <f t="shared" si="1"/>
        <v>360</v>
      </c>
      <c r="G42" s="425">
        <f t="shared" si="1"/>
        <v>0</v>
      </c>
      <c r="H42" s="41">
        <f t="shared" si="1"/>
        <v>0</v>
      </c>
      <c r="I42" s="10">
        <f t="shared" si="1"/>
        <v>0</v>
      </c>
      <c r="J42" s="10">
        <f t="shared" si="2"/>
        <v>0</v>
      </c>
      <c r="K42" s="113">
        <f t="shared" si="3"/>
        <v>996911.4688128772</v>
      </c>
    </row>
    <row r="43" spans="1:11" x14ac:dyDescent="0.25">
      <c r="A43" s="49">
        <f>'A) Base RI'!A42</f>
        <v>5471</v>
      </c>
      <c r="B43" s="295" t="str">
        <f>'A) Base RI'!B42</f>
        <v>Bettens</v>
      </c>
      <c r="C43" s="10">
        <f>'A) Base RI'!AO42</f>
        <v>636</v>
      </c>
      <c r="D43" s="10">
        <f t="shared" si="1"/>
        <v>636</v>
      </c>
      <c r="E43" s="425">
        <f t="shared" si="1"/>
        <v>0</v>
      </c>
      <c r="F43" s="10">
        <f t="shared" si="1"/>
        <v>0</v>
      </c>
      <c r="G43" s="425">
        <f t="shared" si="1"/>
        <v>0</v>
      </c>
      <c r="H43" s="41">
        <f t="shared" si="1"/>
        <v>0</v>
      </c>
      <c r="I43" s="10">
        <f t="shared" si="1"/>
        <v>0</v>
      </c>
      <c r="J43" s="10">
        <f t="shared" si="2"/>
        <v>0</v>
      </c>
      <c r="K43" s="113">
        <f t="shared" si="3"/>
        <v>78860.160965794756</v>
      </c>
    </row>
    <row r="44" spans="1:11" x14ac:dyDescent="0.25">
      <c r="A44" s="49">
        <f>'A) Base RI'!A43</f>
        <v>5472</v>
      </c>
      <c r="B44" s="295" t="str">
        <f>'A) Base RI'!B43</f>
        <v>Bournens</v>
      </c>
      <c r="C44" s="10">
        <f>'A) Base RI'!AO43</f>
        <v>490</v>
      </c>
      <c r="D44" s="10">
        <f t="shared" si="1"/>
        <v>490</v>
      </c>
      <c r="E44" s="425">
        <f t="shared" si="1"/>
        <v>0</v>
      </c>
      <c r="F44" s="10">
        <f t="shared" si="1"/>
        <v>0</v>
      </c>
      <c r="G44" s="425">
        <f t="shared" si="1"/>
        <v>0</v>
      </c>
      <c r="H44" s="41">
        <f t="shared" si="1"/>
        <v>0</v>
      </c>
      <c r="I44" s="10">
        <f t="shared" si="1"/>
        <v>0</v>
      </c>
      <c r="J44" s="10">
        <f t="shared" si="2"/>
        <v>0</v>
      </c>
      <c r="K44" s="113">
        <f t="shared" si="3"/>
        <v>60757.042253521118</v>
      </c>
    </row>
    <row r="45" spans="1:11" x14ac:dyDescent="0.25">
      <c r="A45" s="49">
        <f>'A) Base RI'!A44</f>
        <v>5473</v>
      </c>
      <c r="B45" s="295" t="str">
        <f>'A) Base RI'!B44</f>
        <v>Boussens</v>
      </c>
      <c r="C45" s="10">
        <f>'A) Base RI'!AO44</f>
        <v>999</v>
      </c>
      <c r="D45" s="10">
        <f t="shared" si="1"/>
        <v>999</v>
      </c>
      <c r="E45" s="425">
        <f t="shared" si="1"/>
        <v>0</v>
      </c>
      <c r="F45" s="10">
        <f t="shared" si="1"/>
        <v>0</v>
      </c>
      <c r="G45" s="425">
        <f t="shared" si="1"/>
        <v>0</v>
      </c>
      <c r="H45" s="41">
        <f t="shared" si="1"/>
        <v>0</v>
      </c>
      <c r="I45" s="10">
        <f t="shared" si="1"/>
        <v>0</v>
      </c>
      <c r="J45" s="10">
        <f t="shared" si="2"/>
        <v>0</v>
      </c>
      <c r="K45" s="113">
        <f t="shared" si="3"/>
        <v>123869.96981891347</v>
      </c>
    </row>
    <row r="46" spans="1:11" x14ac:dyDescent="0.25">
      <c r="A46" s="49">
        <f>'A) Base RI'!A45</f>
        <v>5474</v>
      </c>
      <c r="B46" s="295" t="str">
        <f>'A) Base RI'!B45</f>
        <v>La Chaux (Cossonay)</v>
      </c>
      <c r="C46" s="10">
        <f>'A) Base RI'!AO45</f>
        <v>391</v>
      </c>
      <c r="D46" s="10">
        <f t="shared" si="1"/>
        <v>391</v>
      </c>
      <c r="E46" s="425">
        <f t="shared" si="1"/>
        <v>0</v>
      </c>
      <c r="F46" s="10">
        <f t="shared" si="1"/>
        <v>0</v>
      </c>
      <c r="G46" s="425">
        <f t="shared" si="1"/>
        <v>0</v>
      </c>
      <c r="H46" s="41">
        <f t="shared" si="1"/>
        <v>0</v>
      </c>
      <c r="I46" s="10">
        <f t="shared" si="1"/>
        <v>0</v>
      </c>
      <c r="J46" s="10">
        <f t="shared" si="2"/>
        <v>0</v>
      </c>
      <c r="K46" s="113">
        <f t="shared" si="3"/>
        <v>48481.6398390342</v>
      </c>
    </row>
    <row r="47" spans="1:11" x14ac:dyDescent="0.25">
      <c r="A47" s="49">
        <f>'A) Base RI'!A46</f>
        <v>5475</v>
      </c>
      <c r="B47" s="295" t="str">
        <f>'A) Base RI'!B46</f>
        <v>Chavannes-le-Veyron</v>
      </c>
      <c r="C47" s="10">
        <f>'A) Base RI'!AO46</f>
        <v>152</v>
      </c>
      <c r="D47" s="10">
        <f t="shared" si="1"/>
        <v>152</v>
      </c>
      <c r="E47" s="425">
        <f t="shared" si="1"/>
        <v>0</v>
      </c>
      <c r="F47" s="10">
        <f t="shared" si="1"/>
        <v>0</v>
      </c>
      <c r="G47" s="425">
        <f t="shared" si="1"/>
        <v>0</v>
      </c>
      <c r="H47" s="41">
        <f t="shared" si="1"/>
        <v>0</v>
      </c>
      <c r="I47" s="10">
        <f t="shared" si="1"/>
        <v>0</v>
      </c>
      <c r="J47" s="10">
        <f t="shared" si="2"/>
        <v>0</v>
      </c>
      <c r="K47" s="113">
        <f t="shared" si="3"/>
        <v>18847.082494969814</v>
      </c>
    </row>
    <row r="48" spans="1:11" x14ac:dyDescent="0.25">
      <c r="A48" s="49">
        <f>'A) Base RI'!A47</f>
        <v>5476</v>
      </c>
      <c r="B48" s="295" t="str">
        <f>'A) Base RI'!B47</f>
        <v>Chevilly</v>
      </c>
      <c r="C48" s="10">
        <f>'A) Base RI'!AO47</f>
        <v>317</v>
      </c>
      <c r="D48" s="10">
        <f t="shared" si="1"/>
        <v>317</v>
      </c>
      <c r="E48" s="425">
        <f t="shared" si="1"/>
        <v>0</v>
      </c>
      <c r="F48" s="10">
        <f t="shared" si="1"/>
        <v>0</v>
      </c>
      <c r="G48" s="425">
        <f t="shared" si="1"/>
        <v>0</v>
      </c>
      <c r="H48" s="41">
        <f t="shared" si="1"/>
        <v>0</v>
      </c>
      <c r="I48" s="10">
        <f t="shared" si="1"/>
        <v>0</v>
      </c>
      <c r="J48" s="10">
        <f t="shared" si="2"/>
        <v>0</v>
      </c>
      <c r="K48" s="113">
        <f t="shared" si="3"/>
        <v>39306.08651911468</v>
      </c>
    </row>
    <row r="49" spans="1:11" x14ac:dyDescent="0.25">
      <c r="A49" s="49">
        <f>'A) Base RI'!A48</f>
        <v>5477</v>
      </c>
      <c r="B49" s="295" t="str">
        <f>'A) Base RI'!B48</f>
        <v>Cossonay</v>
      </c>
      <c r="C49" s="10">
        <f>'A) Base RI'!AO48</f>
        <v>4222</v>
      </c>
      <c r="D49" s="10">
        <f t="shared" si="1"/>
        <v>1000</v>
      </c>
      <c r="E49" s="425">
        <f t="shared" si="1"/>
        <v>2000</v>
      </c>
      <c r="F49" s="10">
        <f t="shared" si="1"/>
        <v>1222</v>
      </c>
      <c r="G49" s="425">
        <f t="shared" si="1"/>
        <v>0</v>
      </c>
      <c r="H49" s="41">
        <f t="shared" si="1"/>
        <v>0</v>
      </c>
      <c r="I49" s="10">
        <f t="shared" si="1"/>
        <v>0</v>
      </c>
      <c r="J49" s="10">
        <f t="shared" si="2"/>
        <v>0</v>
      </c>
      <c r="K49" s="113">
        <f t="shared" si="3"/>
        <v>1424442.6559356134</v>
      </c>
    </row>
    <row r="50" spans="1:11" x14ac:dyDescent="0.25">
      <c r="A50" s="49">
        <f>'A) Base RI'!A49</f>
        <v>5478</v>
      </c>
      <c r="B50" s="295" t="str">
        <f>'A) Base RI'!B49</f>
        <v>Cottens</v>
      </c>
      <c r="C50" s="10">
        <f>'A) Base RI'!AO49</f>
        <v>491</v>
      </c>
      <c r="D50" s="10">
        <f t="shared" si="1"/>
        <v>491</v>
      </c>
      <c r="E50" s="425">
        <f t="shared" si="1"/>
        <v>0</v>
      </c>
      <c r="F50" s="10">
        <f t="shared" si="1"/>
        <v>0</v>
      </c>
      <c r="G50" s="425">
        <f t="shared" si="1"/>
        <v>0</v>
      </c>
      <c r="H50" s="41">
        <f t="shared" si="1"/>
        <v>0</v>
      </c>
      <c r="I50" s="10">
        <f t="shared" si="1"/>
        <v>0</v>
      </c>
      <c r="J50" s="10">
        <f t="shared" si="2"/>
        <v>0</v>
      </c>
      <c r="K50" s="113">
        <f t="shared" si="3"/>
        <v>60881.036217303816</v>
      </c>
    </row>
    <row r="51" spans="1:11" x14ac:dyDescent="0.25">
      <c r="A51" s="49">
        <f>'A) Base RI'!A50</f>
        <v>5479</v>
      </c>
      <c r="B51" s="295" t="str">
        <f>'A) Base RI'!B50</f>
        <v>Cuarnens</v>
      </c>
      <c r="C51" s="10">
        <f>'A) Base RI'!AO50</f>
        <v>527</v>
      </c>
      <c r="D51" s="10">
        <f t="shared" si="1"/>
        <v>527</v>
      </c>
      <c r="E51" s="425">
        <f t="shared" si="1"/>
        <v>0</v>
      </c>
      <c r="F51" s="10">
        <f t="shared" si="1"/>
        <v>0</v>
      </c>
      <c r="G51" s="425">
        <f t="shared" si="1"/>
        <v>0</v>
      </c>
      <c r="H51" s="41">
        <f t="shared" si="1"/>
        <v>0</v>
      </c>
      <c r="I51" s="10">
        <f t="shared" si="1"/>
        <v>0</v>
      </c>
      <c r="J51" s="10">
        <f t="shared" si="2"/>
        <v>0</v>
      </c>
      <c r="K51" s="113">
        <f t="shared" si="3"/>
        <v>65344.818913480871</v>
      </c>
    </row>
    <row r="52" spans="1:11" x14ac:dyDescent="0.25">
      <c r="A52" s="49">
        <f>'A) Base RI'!A51</f>
        <v>5480</v>
      </c>
      <c r="B52" s="295" t="str">
        <f>'A) Base RI'!B51</f>
        <v>Daillens</v>
      </c>
      <c r="C52" s="10">
        <f>'A) Base RI'!AO51</f>
        <v>1048</v>
      </c>
      <c r="D52" s="10">
        <f t="shared" si="1"/>
        <v>1000</v>
      </c>
      <c r="E52" s="425">
        <f t="shared" si="1"/>
        <v>48</v>
      </c>
      <c r="F52" s="10">
        <f t="shared" si="1"/>
        <v>0</v>
      </c>
      <c r="G52" s="425">
        <f t="shared" si="1"/>
        <v>0</v>
      </c>
      <c r="H52" s="41">
        <f t="shared" si="1"/>
        <v>0</v>
      </c>
      <c r="I52" s="10">
        <f t="shared" si="1"/>
        <v>0</v>
      </c>
      <c r="J52" s="10">
        <f t="shared" si="2"/>
        <v>0</v>
      </c>
      <c r="K52" s="113">
        <f t="shared" si="3"/>
        <v>140658.75251509051</v>
      </c>
    </row>
    <row r="53" spans="1:11" x14ac:dyDescent="0.25">
      <c r="A53" s="49">
        <f>'A) Base RI'!A52</f>
        <v>5481</v>
      </c>
      <c r="B53" s="295" t="str">
        <f>'A) Base RI'!B52</f>
        <v>Dizy</v>
      </c>
      <c r="C53" s="10">
        <f>'A) Base RI'!AO52</f>
        <v>224</v>
      </c>
      <c r="D53" s="10">
        <f t="shared" si="1"/>
        <v>224</v>
      </c>
      <c r="E53" s="425">
        <f t="shared" si="1"/>
        <v>0</v>
      </c>
      <c r="F53" s="10">
        <f t="shared" si="1"/>
        <v>0</v>
      </c>
      <c r="G53" s="425">
        <f t="shared" si="1"/>
        <v>0</v>
      </c>
      <c r="H53" s="41">
        <f t="shared" si="1"/>
        <v>0</v>
      </c>
      <c r="I53" s="10">
        <f t="shared" si="1"/>
        <v>0</v>
      </c>
      <c r="J53" s="10">
        <f t="shared" si="2"/>
        <v>0</v>
      </c>
      <c r="K53" s="113">
        <f t="shared" si="3"/>
        <v>27774.647887323939</v>
      </c>
    </row>
    <row r="54" spans="1:11" x14ac:dyDescent="0.25">
      <c r="A54" s="49">
        <f>'A) Base RI'!A53</f>
        <v>5482</v>
      </c>
      <c r="B54" s="295" t="str">
        <f>'A) Base RI'!B53</f>
        <v>Eclépens</v>
      </c>
      <c r="C54" s="10">
        <f>'A) Base RI'!AO53</f>
        <v>1220</v>
      </c>
      <c r="D54" s="10">
        <f t="shared" si="1"/>
        <v>1000</v>
      </c>
      <c r="E54" s="425">
        <f t="shared" si="1"/>
        <v>220</v>
      </c>
      <c r="F54" s="10">
        <f t="shared" si="1"/>
        <v>0</v>
      </c>
      <c r="G54" s="425">
        <f t="shared" si="1"/>
        <v>0</v>
      </c>
      <c r="H54" s="41">
        <f t="shared" si="1"/>
        <v>0</v>
      </c>
      <c r="I54" s="10">
        <f t="shared" si="1"/>
        <v>0</v>
      </c>
      <c r="J54" s="10">
        <f t="shared" si="2"/>
        <v>0</v>
      </c>
      <c r="K54" s="113">
        <f t="shared" si="3"/>
        <v>200374.24547283701</v>
      </c>
    </row>
    <row r="55" spans="1:11" x14ac:dyDescent="0.25">
      <c r="A55" s="49">
        <f>'A) Base RI'!A54</f>
        <v>5483</v>
      </c>
      <c r="B55" s="295" t="str">
        <f>'A) Base RI'!B54</f>
        <v>Ferreyres</v>
      </c>
      <c r="C55" s="10">
        <f>'A) Base RI'!AO54</f>
        <v>319</v>
      </c>
      <c r="D55" s="10">
        <f t="shared" si="1"/>
        <v>319</v>
      </c>
      <c r="E55" s="425">
        <f t="shared" si="1"/>
        <v>0</v>
      </c>
      <c r="F55" s="10">
        <f t="shared" si="1"/>
        <v>0</v>
      </c>
      <c r="G55" s="425">
        <f t="shared" si="1"/>
        <v>0</v>
      </c>
      <c r="H55" s="41">
        <f t="shared" si="1"/>
        <v>0</v>
      </c>
      <c r="I55" s="10">
        <f t="shared" si="1"/>
        <v>0</v>
      </c>
      <c r="J55" s="10">
        <f t="shared" si="2"/>
        <v>0</v>
      </c>
      <c r="K55" s="113">
        <f t="shared" si="3"/>
        <v>39554.074446680075</v>
      </c>
    </row>
    <row r="56" spans="1:11" x14ac:dyDescent="0.25">
      <c r="A56" s="49">
        <f>'A) Base RI'!A55</f>
        <v>5484</v>
      </c>
      <c r="B56" s="295" t="str">
        <f>'A) Base RI'!B55</f>
        <v>Gollion</v>
      </c>
      <c r="C56" s="10">
        <f>'A) Base RI'!AO55</f>
        <v>996</v>
      </c>
      <c r="D56" s="10">
        <f t="shared" si="1"/>
        <v>996</v>
      </c>
      <c r="E56" s="425">
        <f t="shared" si="1"/>
        <v>0</v>
      </c>
      <c r="F56" s="10">
        <f t="shared" si="1"/>
        <v>0</v>
      </c>
      <c r="G56" s="425">
        <f t="shared" si="1"/>
        <v>0</v>
      </c>
      <c r="H56" s="41">
        <f t="shared" si="1"/>
        <v>0</v>
      </c>
      <c r="I56" s="10">
        <f t="shared" si="1"/>
        <v>0</v>
      </c>
      <c r="J56" s="10">
        <f t="shared" si="2"/>
        <v>0</v>
      </c>
      <c r="K56" s="113">
        <f t="shared" si="3"/>
        <v>123497.98792756537</v>
      </c>
    </row>
    <row r="57" spans="1:11" x14ac:dyDescent="0.25">
      <c r="A57" s="49">
        <f>'A) Base RI'!A56</f>
        <v>5485</v>
      </c>
      <c r="B57" s="295" t="str">
        <f>'A) Base RI'!B56</f>
        <v>Grancy</v>
      </c>
      <c r="C57" s="10">
        <f>'A) Base RI'!AO56</f>
        <v>406</v>
      </c>
      <c r="D57" s="10">
        <f t="shared" si="1"/>
        <v>406</v>
      </c>
      <c r="E57" s="425">
        <f t="shared" si="1"/>
        <v>0</v>
      </c>
      <c r="F57" s="10">
        <f t="shared" si="1"/>
        <v>0</v>
      </c>
      <c r="G57" s="425">
        <f t="shared" si="1"/>
        <v>0</v>
      </c>
      <c r="H57" s="41">
        <f t="shared" si="1"/>
        <v>0</v>
      </c>
      <c r="I57" s="10">
        <f t="shared" si="1"/>
        <v>0</v>
      </c>
      <c r="J57" s="10">
        <f t="shared" si="2"/>
        <v>0</v>
      </c>
      <c r="K57" s="113">
        <f t="shared" si="3"/>
        <v>50341.549295774639</v>
      </c>
    </row>
    <row r="58" spans="1:11" x14ac:dyDescent="0.25">
      <c r="A58" s="49">
        <f>'A) Base RI'!A57</f>
        <v>5486</v>
      </c>
      <c r="B58" s="295" t="str">
        <f>'A) Base RI'!B57</f>
        <v>L'Isle</v>
      </c>
      <c r="C58" s="10">
        <f>'A) Base RI'!AO57</f>
        <v>1065</v>
      </c>
      <c r="D58" s="10">
        <f t="shared" si="1"/>
        <v>1000</v>
      </c>
      <c r="E58" s="425">
        <f t="shared" si="1"/>
        <v>65</v>
      </c>
      <c r="F58" s="10">
        <f t="shared" si="1"/>
        <v>0</v>
      </c>
      <c r="G58" s="425">
        <f t="shared" si="1"/>
        <v>0</v>
      </c>
      <c r="H58" s="41">
        <f t="shared" si="1"/>
        <v>0</v>
      </c>
      <c r="I58" s="10">
        <f t="shared" si="1"/>
        <v>0</v>
      </c>
      <c r="J58" s="10">
        <f t="shared" si="2"/>
        <v>0</v>
      </c>
      <c r="K58" s="113">
        <f t="shared" si="3"/>
        <v>146560.86519114685</v>
      </c>
    </row>
    <row r="59" spans="1:11" x14ac:dyDescent="0.25">
      <c r="A59" s="49">
        <f>'A) Base RI'!A58</f>
        <v>5487</v>
      </c>
      <c r="B59" s="295" t="str">
        <f>'A) Base RI'!B58</f>
        <v>Lussery-Villars</v>
      </c>
      <c r="C59" s="10">
        <f>'A) Base RI'!AO58</f>
        <v>459</v>
      </c>
      <c r="D59" s="10">
        <f t="shared" si="1"/>
        <v>459</v>
      </c>
      <c r="E59" s="425">
        <f t="shared" si="1"/>
        <v>0</v>
      </c>
      <c r="F59" s="10">
        <f t="shared" si="1"/>
        <v>0</v>
      </c>
      <c r="G59" s="425">
        <f t="shared" si="1"/>
        <v>0</v>
      </c>
      <c r="H59" s="41">
        <f t="shared" si="1"/>
        <v>0</v>
      </c>
      <c r="I59" s="10">
        <f t="shared" si="1"/>
        <v>0</v>
      </c>
      <c r="J59" s="10">
        <f t="shared" si="2"/>
        <v>0</v>
      </c>
      <c r="K59" s="113">
        <f t="shared" si="3"/>
        <v>56913.229376257535</v>
      </c>
    </row>
    <row r="60" spans="1:11" x14ac:dyDescent="0.25">
      <c r="A60" s="49">
        <f>'A) Base RI'!A59</f>
        <v>5488</v>
      </c>
      <c r="B60" s="295" t="str">
        <f>'A) Base RI'!B59</f>
        <v>Mauraz</v>
      </c>
      <c r="C60" s="10">
        <f>'A) Base RI'!AO59</f>
        <v>58</v>
      </c>
      <c r="D60" s="10">
        <f t="shared" si="1"/>
        <v>58</v>
      </c>
      <c r="E60" s="425">
        <f t="shared" si="1"/>
        <v>0</v>
      </c>
      <c r="F60" s="10">
        <f t="shared" si="1"/>
        <v>0</v>
      </c>
      <c r="G60" s="425">
        <f t="shared" si="1"/>
        <v>0</v>
      </c>
      <c r="H60" s="41">
        <f t="shared" si="1"/>
        <v>0</v>
      </c>
      <c r="I60" s="10">
        <f t="shared" si="1"/>
        <v>0</v>
      </c>
      <c r="J60" s="10">
        <f t="shared" si="2"/>
        <v>0</v>
      </c>
      <c r="K60" s="113">
        <f t="shared" si="3"/>
        <v>7191.6498993963769</v>
      </c>
    </row>
    <row r="61" spans="1:11" x14ac:dyDescent="0.25">
      <c r="A61" s="49">
        <f>'A) Base RI'!A60</f>
        <v>5489</v>
      </c>
      <c r="B61" s="295" t="str">
        <f>'A) Base RI'!B60</f>
        <v>Mex</v>
      </c>
      <c r="C61" s="10">
        <f>'A) Base RI'!AO60</f>
        <v>791</v>
      </c>
      <c r="D61" s="10">
        <f t="shared" si="1"/>
        <v>791</v>
      </c>
      <c r="E61" s="425">
        <f t="shared" si="1"/>
        <v>0</v>
      </c>
      <c r="F61" s="10">
        <f t="shared" si="1"/>
        <v>0</v>
      </c>
      <c r="G61" s="425">
        <f t="shared" si="1"/>
        <v>0</v>
      </c>
      <c r="H61" s="41">
        <f t="shared" si="1"/>
        <v>0</v>
      </c>
      <c r="I61" s="10">
        <f t="shared" si="1"/>
        <v>0</v>
      </c>
      <c r="J61" s="10">
        <f t="shared" si="2"/>
        <v>0</v>
      </c>
      <c r="K61" s="113">
        <f t="shared" si="3"/>
        <v>98079.225352112655</v>
      </c>
    </row>
    <row r="62" spans="1:11" x14ac:dyDescent="0.25">
      <c r="A62" s="49">
        <f>'A) Base RI'!A61</f>
        <v>5490</v>
      </c>
      <c r="B62" s="295" t="str">
        <f>'A) Base RI'!B61</f>
        <v>Moiry</v>
      </c>
      <c r="C62" s="10">
        <f>'A) Base RI'!AO61</f>
        <v>311</v>
      </c>
      <c r="D62" s="10">
        <f t="shared" si="1"/>
        <v>311</v>
      </c>
      <c r="E62" s="425">
        <f t="shared" si="1"/>
        <v>0</v>
      </c>
      <c r="F62" s="10">
        <f t="shared" si="1"/>
        <v>0</v>
      </c>
      <c r="G62" s="425">
        <f t="shared" si="1"/>
        <v>0</v>
      </c>
      <c r="H62" s="41">
        <f t="shared" si="1"/>
        <v>0</v>
      </c>
      <c r="I62" s="10">
        <f t="shared" si="1"/>
        <v>0</v>
      </c>
      <c r="J62" s="10">
        <f t="shared" si="2"/>
        <v>0</v>
      </c>
      <c r="K62" s="113">
        <f t="shared" si="3"/>
        <v>38562.122736418503</v>
      </c>
    </row>
    <row r="63" spans="1:11" x14ac:dyDescent="0.25">
      <c r="A63" s="49">
        <f>'A) Base RI'!A62</f>
        <v>5491</v>
      </c>
      <c r="B63" s="295" t="str">
        <f>'A) Base RI'!B62</f>
        <v>Mont-la-Ville</v>
      </c>
      <c r="C63" s="10">
        <f>'A) Base RI'!AO62</f>
        <v>490</v>
      </c>
      <c r="D63" s="10">
        <f t="shared" si="1"/>
        <v>490</v>
      </c>
      <c r="E63" s="425">
        <f t="shared" si="1"/>
        <v>0</v>
      </c>
      <c r="F63" s="10">
        <f t="shared" si="1"/>
        <v>0</v>
      </c>
      <c r="G63" s="425">
        <f t="shared" si="1"/>
        <v>0</v>
      </c>
      <c r="H63" s="41">
        <f t="shared" si="1"/>
        <v>0</v>
      </c>
      <c r="I63" s="10">
        <f t="shared" si="1"/>
        <v>0</v>
      </c>
      <c r="J63" s="10">
        <f t="shared" si="2"/>
        <v>0</v>
      </c>
      <c r="K63" s="113">
        <f t="shared" si="3"/>
        <v>60757.042253521118</v>
      </c>
    </row>
    <row r="64" spans="1:11" x14ac:dyDescent="0.25">
      <c r="A64" s="49">
        <f>'A) Base RI'!A63</f>
        <v>5492</v>
      </c>
      <c r="B64" s="295" t="str">
        <f>'A) Base RI'!B63</f>
        <v>Montricher</v>
      </c>
      <c r="C64" s="10">
        <f>'A) Base RI'!AO63</f>
        <v>964</v>
      </c>
      <c r="D64" s="10">
        <f t="shared" ref="D64:I106" si="4">IF($C64&gt;D$4,IF($C64&lt;D$5,$C64-D$4,D$5-D$4),0)</f>
        <v>964</v>
      </c>
      <c r="E64" s="425">
        <f t="shared" si="4"/>
        <v>0</v>
      </c>
      <c r="F64" s="10">
        <f t="shared" si="4"/>
        <v>0</v>
      </c>
      <c r="G64" s="425">
        <f t="shared" si="4"/>
        <v>0</v>
      </c>
      <c r="H64" s="41">
        <f t="shared" si="4"/>
        <v>0</v>
      </c>
      <c r="I64" s="10">
        <f t="shared" si="4"/>
        <v>0</v>
      </c>
      <c r="J64" s="10">
        <f t="shared" si="2"/>
        <v>0</v>
      </c>
      <c r="K64" s="113">
        <f t="shared" si="3"/>
        <v>119530.18108651909</v>
      </c>
    </row>
    <row r="65" spans="1:11" x14ac:dyDescent="0.25">
      <c r="A65" s="49">
        <f>'A) Base RI'!A64</f>
        <v>5493</v>
      </c>
      <c r="B65" s="295" t="str">
        <f>'A) Base RI'!B64</f>
        <v>Orny</v>
      </c>
      <c r="C65" s="10">
        <f>'A) Base RI'!AO64</f>
        <v>462</v>
      </c>
      <c r="D65" s="10">
        <f t="shared" si="4"/>
        <v>462</v>
      </c>
      <c r="E65" s="425">
        <f t="shared" si="4"/>
        <v>0</v>
      </c>
      <c r="F65" s="10">
        <f t="shared" si="4"/>
        <v>0</v>
      </c>
      <c r="G65" s="425">
        <f t="shared" si="4"/>
        <v>0</v>
      </c>
      <c r="H65" s="41">
        <f t="shared" si="4"/>
        <v>0</v>
      </c>
      <c r="I65" s="10">
        <f t="shared" si="4"/>
        <v>0</v>
      </c>
      <c r="J65" s="10">
        <f t="shared" si="2"/>
        <v>0</v>
      </c>
      <c r="K65" s="113">
        <f t="shared" si="3"/>
        <v>57285.21126760562</v>
      </c>
    </row>
    <row r="66" spans="1:11" x14ac:dyDescent="0.25">
      <c r="A66" s="49">
        <f>'A) Base RI'!A65</f>
        <v>5494</v>
      </c>
      <c r="B66" s="295" t="str">
        <f>'A) Base RI'!B65</f>
        <v>Pampigny</v>
      </c>
      <c r="C66" s="10">
        <f>'A) Base RI'!AO65</f>
        <v>1128</v>
      </c>
      <c r="D66" s="10">
        <f t="shared" si="4"/>
        <v>1000</v>
      </c>
      <c r="E66" s="425">
        <f t="shared" si="4"/>
        <v>128</v>
      </c>
      <c r="F66" s="10">
        <f t="shared" si="4"/>
        <v>0</v>
      </c>
      <c r="G66" s="425">
        <f t="shared" si="4"/>
        <v>0</v>
      </c>
      <c r="H66" s="41">
        <f t="shared" si="4"/>
        <v>0</v>
      </c>
      <c r="I66" s="10">
        <f t="shared" si="4"/>
        <v>0</v>
      </c>
      <c r="J66" s="10">
        <f t="shared" si="2"/>
        <v>0</v>
      </c>
      <c r="K66" s="113">
        <f t="shared" si="3"/>
        <v>168433.40040241447</v>
      </c>
    </row>
    <row r="67" spans="1:11" x14ac:dyDescent="0.25">
      <c r="A67" s="49">
        <f>'A) Base RI'!A66</f>
        <v>5495</v>
      </c>
      <c r="B67" s="295" t="str">
        <f>'A) Base RI'!B66</f>
        <v>Penthalaz</v>
      </c>
      <c r="C67" s="10">
        <f>'A) Base RI'!AO66</f>
        <v>3207</v>
      </c>
      <c r="D67" s="10">
        <f t="shared" si="4"/>
        <v>1000</v>
      </c>
      <c r="E67" s="425">
        <f t="shared" si="4"/>
        <v>2000</v>
      </c>
      <c r="F67" s="10">
        <f t="shared" si="4"/>
        <v>207</v>
      </c>
      <c r="G67" s="425">
        <f t="shared" si="4"/>
        <v>0</v>
      </c>
      <c r="H67" s="41">
        <f t="shared" si="4"/>
        <v>0</v>
      </c>
      <c r="I67" s="10">
        <f t="shared" si="4"/>
        <v>0</v>
      </c>
      <c r="J67" s="10">
        <f t="shared" si="2"/>
        <v>0</v>
      </c>
      <c r="K67" s="113">
        <f t="shared" si="3"/>
        <v>921027.16297786706</v>
      </c>
    </row>
    <row r="68" spans="1:11" x14ac:dyDescent="0.25">
      <c r="A68" s="49">
        <f>'A) Base RI'!A67</f>
        <v>5496</v>
      </c>
      <c r="B68" s="295" t="str">
        <f>'A) Base RI'!B67</f>
        <v>Penthaz</v>
      </c>
      <c r="C68" s="10">
        <f>'A) Base RI'!AO67</f>
        <v>1855</v>
      </c>
      <c r="D68" s="10">
        <f t="shared" si="4"/>
        <v>1000</v>
      </c>
      <c r="E68" s="425">
        <f t="shared" si="4"/>
        <v>855</v>
      </c>
      <c r="F68" s="10">
        <f t="shared" si="4"/>
        <v>0</v>
      </c>
      <c r="G68" s="425">
        <f t="shared" si="4"/>
        <v>0</v>
      </c>
      <c r="H68" s="41">
        <f t="shared" si="4"/>
        <v>0</v>
      </c>
      <c r="I68" s="10">
        <f t="shared" si="4"/>
        <v>0</v>
      </c>
      <c r="J68" s="10">
        <f t="shared" si="2"/>
        <v>0</v>
      </c>
      <c r="K68" s="113">
        <f t="shared" si="3"/>
        <v>420835.51307847077</v>
      </c>
    </row>
    <row r="69" spans="1:11" x14ac:dyDescent="0.25">
      <c r="A69" s="49">
        <f>'A) Base RI'!A68</f>
        <v>5497</v>
      </c>
      <c r="B69" s="295" t="str">
        <f>'A) Base RI'!B68</f>
        <v>Pompaples</v>
      </c>
      <c r="C69" s="10">
        <f>'A) Base RI'!AO68</f>
        <v>847</v>
      </c>
      <c r="D69" s="10">
        <f t="shared" si="4"/>
        <v>847</v>
      </c>
      <c r="E69" s="425">
        <f t="shared" si="4"/>
        <v>0</v>
      </c>
      <c r="F69" s="10">
        <f t="shared" si="4"/>
        <v>0</v>
      </c>
      <c r="G69" s="425">
        <f t="shared" si="4"/>
        <v>0</v>
      </c>
      <c r="H69" s="41">
        <f t="shared" si="4"/>
        <v>0</v>
      </c>
      <c r="I69" s="10">
        <f t="shared" si="4"/>
        <v>0</v>
      </c>
      <c r="J69" s="10">
        <f t="shared" si="2"/>
        <v>0</v>
      </c>
      <c r="K69" s="113">
        <f t="shared" si="3"/>
        <v>105022.88732394365</v>
      </c>
    </row>
    <row r="70" spans="1:11" x14ac:dyDescent="0.25">
      <c r="A70" s="49">
        <f>'A) Base RI'!A69</f>
        <v>5498</v>
      </c>
      <c r="B70" s="295" t="str">
        <f>'A) Base RI'!B69</f>
        <v>La Sarraz</v>
      </c>
      <c r="C70" s="10">
        <f>'A) Base RI'!AO69</f>
        <v>2598</v>
      </c>
      <c r="D70" s="10">
        <f t="shared" si="4"/>
        <v>1000</v>
      </c>
      <c r="E70" s="425">
        <f t="shared" si="4"/>
        <v>1598</v>
      </c>
      <c r="F70" s="10">
        <f t="shared" si="4"/>
        <v>0</v>
      </c>
      <c r="G70" s="425">
        <f t="shared" si="4"/>
        <v>0</v>
      </c>
      <c r="H70" s="41">
        <f t="shared" si="4"/>
        <v>0</v>
      </c>
      <c r="I70" s="10">
        <f t="shared" si="4"/>
        <v>0</v>
      </c>
      <c r="J70" s="10">
        <f t="shared" si="2"/>
        <v>0</v>
      </c>
      <c r="K70" s="113">
        <f t="shared" si="3"/>
        <v>678792.55533199187</v>
      </c>
    </row>
    <row r="71" spans="1:11" x14ac:dyDescent="0.25">
      <c r="A71" s="49">
        <f>'A) Base RI'!A70</f>
        <v>5499</v>
      </c>
      <c r="B71" s="295" t="str">
        <f>'A) Base RI'!B70</f>
        <v>Senarclens</v>
      </c>
      <c r="C71" s="10">
        <f>'A) Base RI'!AO70</f>
        <v>496</v>
      </c>
      <c r="D71" s="10">
        <f t="shared" si="4"/>
        <v>496</v>
      </c>
      <c r="E71" s="425">
        <f t="shared" si="4"/>
        <v>0</v>
      </c>
      <c r="F71" s="10">
        <f t="shared" si="4"/>
        <v>0</v>
      </c>
      <c r="G71" s="425">
        <f t="shared" si="4"/>
        <v>0</v>
      </c>
      <c r="H71" s="41">
        <f t="shared" si="4"/>
        <v>0</v>
      </c>
      <c r="I71" s="10">
        <f t="shared" si="4"/>
        <v>0</v>
      </c>
      <c r="J71" s="10">
        <f t="shared" si="2"/>
        <v>0</v>
      </c>
      <c r="K71" s="113">
        <f t="shared" si="3"/>
        <v>61501.006036217295</v>
      </c>
    </row>
    <row r="72" spans="1:11" x14ac:dyDescent="0.25">
      <c r="A72" s="49">
        <f>'A) Base RI'!A71</f>
        <v>5500</v>
      </c>
      <c r="B72" s="295" t="str">
        <f>'A) Base RI'!B71</f>
        <v>Sévery</v>
      </c>
      <c r="C72" s="10">
        <f>'A) Base RI'!AO71</f>
        <v>214</v>
      </c>
      <c r="D72" s="10">
        <f t="shared" si="4"/>
        <v>214</v>
      </c>
      <c r="E72" s="425">
        <f t="shared" si="4"/>
        <v>0</v>
      </c>
      <c r="F72" s="10">
        <f t="shared" si="4"/>
        <v>0</v>
      </c>
      <c r="G72" s="425">
        <f t="shared" si="4"/>
        <v>0</v>
      </c>
      <c r="H72" s="41">
        <f t="shared" si="4"/>
        <v>0</v>
      </c>
      <c r="I72" s="10">
        <f t="shared" si="4"/>
        <v>0</v>
      </c>
      <c r="J72" s="10">
        <f t="shared" si="2"/>
        <v>0</v>
      </c>
      <c r="K72" s="113">
        <f t="shared" si="3"/>
        <v>26534.708249496976</v>
      </c>
    </row>
    <row r="73" spans="1:11" x14ac:dyDescent="0.25">
      <c r="A73" s="49">
        <f>'A) Base RI'!A72</f>
        <v>5501</v>
      </c>
      <c r="B73" s="295" t="str">
        <f>'A) Base RI'!B72</f>
        <v>Sullens</v>
      </c>
      <c r="C73" s="10">
        <f>'A) Base RI'!AO72</f>
        <v>1041</v>
      </c>
      <c r="D73" s="10">
        <f t="shared" si="4"/>
        <v>1000</v>
      </c>
      <c r="E73" s="425">
        <f t="shared" si="4"/>
        <v>41</v>
      </c>
      <c r="F73" s="10">
        <f t="shared" si="4"/>
        <v>0</v>
      </c>
      <c r="G73" s="425">
        <f t="shared" si="4"/>
        <v>0</v>
      </c>
      <c r="H73" s="41">
        <f t="shared" si="4"/>
        <v>0</v>
      </c>
      <c r="I73" s="10">
        <f t="shared" si="4"/>
        <v>0</v>
      </c>
      <c r="J73" s="10">
        <f t="shared" ref="J73:J136" si="5">IF(C73&gt;$J$4,C73-$J$4,0)</f>
        <v>0</v>
      </c>
      <c r="K73" s="113">
        <f t="shared" ref="K73:K136" si="6">(D73*D$7)+(E73*E$7)+(F73*F$7)+(G73*G$7)+(H73*H$7)+(I73*I$7)+(J73*J$7)</f>
        <v>138228.47082494968</v>
      </c>
    </row>
    <row r="74" spans="1:11" x14ac:dyDescent="0.25">
      <c r="A74" s="49">
        <f>'A) Base RI'!A73</f>
        <v>5503</v>
      </c>
      <c r="B74" s="295" t="str">
        <f>'A) Base RI'!B73</f>
        <v>Vufflens-la-Ville</v>
      </c>
      <c r="C74" s="10">
        <f>'A) Base RI'!AO73</f>
        <v>1349</v>
      </c>
      <c r="D74" s="10">
        <f t="shared" si="4"/>
        <v>1000</v>
      </c>
      <c r="E74" s="425">
        <f t="shared" si="4"/>
        <v>349</v>
      </c>
      <c r="F74" s="10">
        <f t="shared" si="4"/>
        <v>0</v>
      </c>
      <c r="G74" s="425">
        <f t="shared" si="4"/>
        <v>0</v>
      </c>
      <c r="H74" s="41">
        <f t="shared" si="4"/>
        <v>0</v>
      </c>
      <c r="I74" s="10">
        <f t="shared" si="4"/>
        <v>0</v>
      </c>
      <c r="J74" s="10">
        <f t="shared" si="5"/>
        <v>0</v>
      </c>
      <c r="K74" s="113">
        <f t="shared" si="6"/>
        <v>245160.86519114685</v>
      </c>
    </row>
    <row r="75" spans="1:11" x14ac:dyDescent="0.25">
      <c r="A75" s="49">
        <f>'A) Base RI'!A74</f>
        <v>5511</v>
      </c>
      <c r="B75" s="295" t="str">
        <f>'A) Base RI'!B74</f>
        <v>Assens</v>
      </c>
      <c r="C75" s="10">
        <f>'A) Base RI'!AO74</f>
        <v>1141</v>
      </c>
      <c r="D75" s="10">
        <f t="shared" si="4"/>
        <v>1000</v>
      </c>
      <c r="E75" s="425">
        <f t="shared" si="4"/>
        <v>141</v>
      </c>
      <c r="F75" s="10">
        <f t="shared" si="4"/>
        <v>0</v>
      </c>
      <c r="G75" s="425">
        <f t="shared" si="4"/>
        <v>0</v>
      </c>
      <c r="H75" s="41">
        <f t="shared" si="4"/>
        <v>0</v>
      </c>
      <c r="I75" s="10">
        <f t="shared" si="4"/>
        <v>0</v>
      </c>
      <c r="J75" s="10">
        <f t="shared" si="5"/>
        <v>0</v>
      </c>
      <c r="K75" s="113">
        <f t="shared" si="6"/>
        <v>172946.7806841046</v>
      </c>
    </row>
    <row r="76" spans="1:11" x14ac:dyDescent="0.25">
      <c r="A76" s="49">
        <f>'A) Base RI'!A75</f>
        <v>5512</v>
      </c>
      <c r="B76" s="295" t="str">
        <f>'A) Base RI'!B75</f>
        <v>Bercher</v>
      </c>
      <c r="C76" s="10">
        <f>'A) Base RI'!AO75</f>
        <v>1323</v>
      </c>
      <c r="D76" s="10">
        <f t="shared" si="4"/>
        <v>1000</v>
      </c>
      <c r="E76" s="425">
        <f t="shared" si="4"/>
        <v>323</v>
      </c>
      <c r="F76" s="10">
        <f t="shared" si="4"/>
        <v>0</v>
      </c>
      <c r="G76" s="425">
        <f t="shared" si="4"/>
        <v>0</v>
      </c>
      <c r="H76" s="41">
        <f t="shared" si="4"/>
        <v>0</v>
      </c>
      <c r="I76" s="10">
        <f t="shared" si="4"/>
        <v>0</v>
      </c>
      <c r="J76" s="10">
        <f t="shared" si="5"/>
        <v>0</v>
      </c>
      <c r="K76" s="113">
        <f t="shared" si="6"/>
        <v>236134.10462776656</v>
      </c>
    </row>
    <row r="77" spans="1:11" x14ac:dyDescent="0.25">
      <c r="A77" s="49">
        <f>'A) Base RI'!A76</f>
        <v>5513</v>
      </c>
      <c r="B77" s="295" t="str">
        <f>'A) Base RI'!B76</f>
        <v>Bioley-Orjulaz</v>
      </c>
      <c r="C77" s="10">
        <f>'A) Base RI'!AO76</f>
        <v>525</v>
      </c>
      <c r="D77" s="10">
        <f t="shared" si="4"/>
        <v>525</v>
      </c>
      <c r="E77" s="425">
        <f t="shared" si="4"/>
        <v>0</v>
      </c>
      <c r="F77" s="10">
        <f t="shared" si="4"/>
        <v>0</v>
      </c>
      <c r="G77" s="425">
        <f t="shared" si="4"/>
        <v>0</v>
      </c>
      <c r="H77" s="41">
        <f t="shared" si="4"/>
        <v>0</v>
      </c>
      <c r="I77" s="10">
        <f t="shared" si="4"/>
        <v>0</v>
      </c>
      <c r="J77" s="10">
        <f t="shared" si="5"/>
        <v>0</v>
      </c>
      <c r="K77" s="113">
        <f t="shared" si="6"/>
        <v>65096.830985915483</v>
      </c>
    </row>
    <row r="78" spans="1:11" x14ac:dyDescent="0.25">
      <c r="A78" s="49">
        <f>'A) Base RI'!A77</f>
        <v>5514</v>
      </c>
      <c r="B78" s="295" t="str">
        <f>'A) Base RI'!B77</f>
        <v>Bottens</v>
      </c>
      <c r="C78" s="10">
        <f>'A) Base RI'!AO77</f>
        <v>1330</v>
      </c>
      <c r="D78" s="10">
        <f t="shared" si="4"/>
        <v>1000</v>
      </c>
      <c r="E78" s="425">
        <f t="shared" si="4"/>
        <v>330</v>
      </c>
      <c r="F78" s="10">
        <f t="shared" si="4"/>
        <v>0</v>
      </c>
      <c r="G78" s="425">
        <f t="shared" si="4"/>
        <v>0</v>
      </c>
      <c r="H78" s="41">
        <f t="shared" si="4"/>
        <v>0</v>
      </c>
      <c r="I78" s="10">
        <f t="shared" si="4"/>
        <v>0</v>
      </c>
      <c r="J78" s="10">
        <f t="shared" si="5"/>
        <v>0</v>
      </c>
      <c r="K78" s="113">
        <f t="shared" si="6"/>
        <v>238564.38631790743</v>
      </c>
    </row>
    <row r="79" spans="1:11" x14ac:dyDescent="0.25">
      <c r="A79" s="49">
        <f>'A) Base RI'!A78</f>
        <v>5515</v>
      </c>
      <c r="B79" s="295" t="str">
        <f>'A) Base RI'!B78</f>
        <v>Bretigny-sur-Morrens</v>
      </c>
      <c r="C79" s="10">
        <f>'A) Base RI'!AO78</f>
        <v>859</v>
      </c>
      <c r="D79" s="10">
        <f t="shared" si="4"/>
        <v>859</v>
      </c>
      <c r="E79" s="425">
        <f t="shared" si="4"/>
        <v>0</v>
      </c>
      <c r="F79" s="10">
        <f t="shared" si="4"/>
        <v>0</v>
      </c>
      <c r="G79" s="425">
        <f t="shared" si="4"/>
        <v>0</v>
      </c>
      <c r="H79" s="41">
        <f t="shared" si="4"/>
        <v>0</v>
      </c>
      <c r="I79" s="10">
        <f t="shared" si="4"/>
        <v>0</v>
      </c>
      <c r="J79" s="10">
        <f t="shared" si="5"/>
        <v>0</v>
      </c>
      <c r="K79" s="113">
        <f t="shared" si="6"/>
        <v>106510.814889336</v>
      </c>
    </row>
    <row r="80" spans="1:11" x14ac:dyDescent="0.25">
      <c r="A80" s="49">
        <f>'A) Base RI'!A79</f>
        <v>5516</v>
      </c>
      <c r="B80" s="295" t="str">
        <f>'A) Base RI'!B79</f>
        <v>Cugy</v>
      </c>
      <c r="C80" s="10">
        <f>'A) Base RI'!AO79</f>
        <v>2760</v>
      </c>
      <c r="D80" s="10">
        <f t="shared" si="4"/>
        <v>1000</v>
      </c>
      <c r="E80" s="425">
        <f t="shared" si="4"/>
        <v>1760</v>
      </c>
      <c r="F80" s="10">
        <f t="shared" si="4"/>
        <v>0</v>
      </c>
      <c r="G80" s="425">
        <f t="shared" si="4"/>
        <v>0</v>
      </c>
      <c r="H80" s="41">
        <f t="shared" si="4"/>
        <v>0</v>
      </c>
      <c r="I80" s="10">
        <f t="shared" si="4"/>
        <v>0</v>
      </c>
      <c r="J80" s="10">
        <f t="shared" si="5"/>
        <v>0</v>
      </c>
      <c r="K80" s="113">
        <f t="shared" si="6"/>
        <v>735036.21730382286</v>
      </c>
    </row>
    <row r="81" spans="1:11" x14ac:dyDescent="0.25">
      <c r="A81" s="49">
        <f>'A) Base RI'!A80</f>
        <v>5518</v>
      </c>
      <c r="B81" s="295" t="str">
        <f>'A) Base RI'!B80</f>
        <v>Echallens</v>
      </c>
      <c r="C81" s="10">
        <f>'A) Base RI'!AO80</f>
        <v>5731</v>
      </c>
      <c r="D81" s="10">
        <f t="shared" si="4"/>
        <v>1000</v>
      </c>
      <c r="E81" s="425">
        <f t="shared" si="4"/>
        <v>2000</v>
      </c>
      <c r="F81" s="10">
        <f t="shared" si="4"/>
        <v>2000</v>
      </c>
      <c r="G81" s="425">
        <f t="shared" si="4"/>
        <v>731</v>
      </c>
      <c r="H81" s="41">
        <f t="shared" si="4"/>
        <v>0</v>
      </c>
      <c r="I81" s="10">
        <f t="shared" si="4"/>
        <v>0</v>
      </c>
      <c r="J81" s="10">
        <f t="shared" si="5"/>
        <v>0</v>
      </c>
      <c r="K81" s="113">
        <f t="shared" si="6"/>
        <v>2245381.8913480882</v>
      </c>
    </row>
    <row r="82" spans="1:11" x14ac:dyDescent="0.25">
      <c r="A82" s="49">
        <f>'A) Base RI'!A81</f>
        <v>5520</v>
      </c>
      <c r="B82" s="295" t="str">
        <f>'A) Base RI'!B81</f>
        <v>Essertines-sur-Yverdon</v>
      </c>
      <c r="C82" s="10">
        <f>'A) Base RI'!AO81</f>
        <v>1036</v>
      </c>
      <c r="D82" s="10">
        <f t="shared" si="4"/>
        <v>1000</v>
      </c>
      <c r="E82" s="425">
        <f t="shared" si="4"/>
        <v>36</v>
      </c>
      <c r="F82" s="10">
        <f t="shared" si="4"/>
        <v>0</v>
      </c>
      <c r="G82" s="425">
        <f t="shared" si="4"/>
        <v>0</v>
      </c>
      <c r="H82" s="41">
        <f t="shared" si="4"/>
        <v>0</v>
      </c>
      <c r="I82" s="10">
        <f t="shared" si="4"/>
        <v>0</v>
      </c>
      <c r="J82" s="10">
        <f t="shared" si="5"/>
        <v>0</v>
      </c>
      <c r="K82" s="113">
        <f t="shared" si="6"/>
        <v>136492.55533199193</v>
      </c>
    </row>
    <row r="83" spans="1:11" x14ac:dyDescent="0.25">
      <c r="A83" s="49">
        <f>'A) Base RI'!A82</f>
        <v>5521</v>
      </c>
      <c r="B83" s="295" t="str">
        <f>'A) Base RI'!B82</f>
        <v>Etagnières</v>
      </c>
      <c r="C83" s="10">
        <f>'A) Base RI'!AO82</f>
        <v>1148</v>
      </c>
      <c r="D83" s="10">
        <f t="shared" si="4"/>
        <v>1000</v>
      </c>
      <c r="E83" s="425">
        <f t="shared" si="4"/>
        <v>148</v>
      </c>
      <c r="F83" s="10">
        <f t="shared" si="4"/>
        <v>0</v>
      </c>
      <c r="G83" s="425">
        <f t="shared" si="4"/>
        <v>0</v>
      </c>
      <c r="H83" s="41">
        <f t="shared" si="4"/>
        <v>0</v>
      </c>
      <c r="I83" s="10">
        <f t="shared" si="4"/>
        <v>0</v>
      </c>
      <c r="J83" s="10">
        <f t="shared" si="5"/>
        <v>0</v>
      </c>
      <c r="K83" s="113">
        <f t="shared" si="6"/>
        <v>175377.06237424543</v>
      </c>
    </row>
    <row r="84" spans="1:11" x14ac:dyDescent="0.25">
      <c r="A84" s="49">
        <f>'A) Base RI'!A83</f>
        <v>5522</v>
      </c>
      <c r="B84" s="295" t="str">
        <f>'A) Base RI'!B83</f>
        <v>Fey</v>
      </c>
      <c r="C84" s="10">
        <f>'A) Base RI'!AO83</f>
        <v>749</v>
      </c>
      <c r="D84" s="10">
        <f t="shared" si="4"/>
        <v>749</v>
      </c>
      <c r="E84" s="425">
        <f t="shared" si="4"/>
        <v>0</v>
      </c>
      <c r="F84" s="10">
        <f t="shared" si="4"/>
        <v>0</v>
      </c>
      <c r="G84" s="425">
        <f t="shared" si="4"/>
        <v>0</v>
      </c>
      <c r="H84" s="41">
        <f t="shared" si="4"/>
        <v>0</v>
      </c>
      <c r="I84" s="10">
        <f t="shared" si="4"/>
        <v>0</v>
      </c>
      <c r="J84" s="10">
        <f t="shared" si="5"/>
        <v>0</v>
      </c>
      <c r="K84" s="113">
        <f t="shared" si="6"/>
        <v>92871.478873239423</v>
      </c>
    </row>
    <row r="85" spans="1:11" x14ac:dyDescent="0.25">
      <c r="A85" s="49">
        <f>'A) Base RI'!A84</f>
        <v>5523</v>
      </c>
      <c r="B85" s="295" t="str">
        <f>'A) Base RI'!B84</f>
        <v>Froideville</v>
      </c>
      <c r="C85" s="10">
        <f>'A) Base RI'!AO84</f>
        <v>2694</v>
      </c>
      <c r="D85" s="10">
        <f t="shared" si="4"/>
        <v>1000</v>
      </c>
      <c r="E85" s="425">
        <f t="shared" si="4"/>
        <v>1694</v>
      </c>
      <c r="F85" s="10">
        <f t="shared" si="4"/>
        <v>0</v>
      </c>
      <c r="G85" s="425">
        <f t="shared" si="4"/>
        <v>0</v>
      </c>
      <c r="H85" s="41">
        <f t="shared" si="4"/>
        <v>0</v>
      </c>
      <c r="I85" s="10">
        <f t="shared" si="4"/>
        <v>0</v>
      </c>
      <c r="J85" s="10">
        <f t="shared" si="5"/>
        <v>0</v>
      </c>
      <c r="K85" s="113">
        <f t="shared" si="6"/>
        <v>712122.13279678056</v>
      </c>
    </row>
    <row r="86" spans="1:11" x14ac:dyDescent="0.25">
      <c r="A86" s="49">
        <f>'A) Base RI'!A85</f>
        <v>5527</v>
      </c>
      <c r="B86" s="295" t="str">
        <f>'A) Base RI'!B85</f>
        <v>Morrens</v>
      </c>
      <c r="C86" s="10">
        <f>'A) Base RI'!AO85</f>
        <v>1153</v>
      </c>
      <c r="D86" s="10">
        <f t="shared" si="4"/>
        <v>1000</v>
      </c>
      <c r="E86" s="425">
        <f t="shared" si="4"/>
        <v>153</v>
      </c>
      <c r="F86" s="10">
        <f t="shared" si="4"/>
        <v>0</v>
      </c>
      <c r="G86" s="425">
        <f t="shared" si="4"/>
        <v>0</v>
      </c>
      <c r="H86" s="41">
        <f t="shared" si="4"/>
        <v>0</v>
      </c>
      <c r="I86" s="10">
        <f t="shared" si="4"/>
        <v>0</v>
      </c>
      <c r="J86" s="10">
        <f t="shared" si="5"/>
        <v>0</v>
      </c>
      <c r="K86" s="113">
        <f t="shared" si="6"/>
        <v>177112.97786720318</v>
      </c>
    </row>
    <row r="87" spans="1:11" x14ac:dyDescent="0.25">
      <c r="A87" s="49">
        <f>'A) Base RI'!A86</f>
        <v>5529</v>
      </c>
      <c r="B87" s="295" t="str">
        <f>'A) Base RI'!B86</f>
        <v>Oulens-sous-Echallens</v>
      </c>
      <c r="C87" s="10">
        <f>'A) Base RI'!AO86</f>
        <v>618</v>
      </c>
      <c r="D87" s="10">
        <f t="shared" si="4"/>
        <v>618</v>
      </c>
      <c r="E87" s="425">
        <f t="shared" si="4"/>
        <v>0</v>
      </c>
      <c r="F87" s="10">
        <f t="shared" si="4"/>
        <v>0</v>
      </c>
      <c r="G87" s="425">
        <f t="shared" si="4"/>
        <v>0</v>
      </c>
      <c r="H87" s="41">
        <f t="shared" si="4"/>
        <v>0</v>
      </c>
      <c r="I87" s="10">
        <f t="shared" si="4"/>
        <v>0</v>
      </c>
      <c r="J87" s="10">
        <f t="shared" si="5"/>
        <v>0</v>
      </c>
      <c r="K87" s="113">
        <f t="shared" si="6"/>
        <v>76628.269617706217</v>
      </c>
    </row>
    <row r="88" spans="1:11" x14ac:dyDescent="0.25">
      <c r="A88" s="49">
        <f>'A) Base RI'!A87</f>
        <v>5530</v>
      </c>
      <c r="B88" s="295" t="str">
        <f>'A) Base RI'!B87</f>
        <v>Pailly</v>
      </c>
      <c r="C88" s="10">
        <f>'A) Base RI'!AO87</f>
        <v>567</v>
      </c>
      <c r="D88" s="10">
        <f t="shared" si="4"/>
        <v>567</v>
      </c>
      <c r="E88" s="425">
        <f t="shared" si="4"/>
        <v>0</v>
      </c>
      <c r="F88" s="10">
        <f t="shared" si="4"/>
        <v>0</v>
      </c>
      <c r="G88" s="425">
        <f t="shared" si="4"/>
        <v>0</v>
      </c>
      <c r="H88" s="41">
        <f t="shared" si="4"/>
        <v>0</v>
      </c>
      <c r="I88" s="10">
        <f t="shared" si="4"/>
        <v>0</v>
      </c>
      <c r="J88" s="10">
        <f t="shared" si="5"/>
        <v>0</v>
      </c>
      <c r="K88" s="113">
        <f t="shared" si="6"/>
        <v>70304.577464788716</v>
      </c>
    </row>
    <row r="89" spans="1:11" x14ac:dyDescent="0.25">
      <c r="A89" s="49">
        <f>'A) Base RI'!A88</f>
        <v>5531</v>
      </c>
      <c r="B89" s="295" t="str">
        <f>'A) Base RI'!B88</f>
        <v>Penthéréaz</v>
      </c>
      <c r="C89" s="10">
        <f>'A) Base RI'!AO88</f>
        <v>419</v>
      </c>
      <c r="D89" s="10">
        <f t="shared" si="4"/>
        <v>419</v>
      </c>
      <c r="E89" s="425">
        <f t="shared" si="4"/>
        <v>0</v>
      </c>
      <c r="F89" s="10">
        <f t="shared" si="4"/>
        <v>0</v>
      </c>
      <c r="G89" s="425">
        <f t="shared" si="4"/>
        <v>0</v>
      </c>
      <c r="H89" s="41">
        <f t="shared" si="4"/>
        <v>0</v>
      </c>
      <c r="I89" s="10">
        <f t="shared" si="4"/>
        <v>0</v>
      </c>
      <c r="J89" s="10">
        <f t="shared" si="5"/>
        <v>0</v>
      </c>
      <c r="K89" s="113">
        <f t="shared" si="6"/>
        <v>51953.470824949691</v>
      </c>
    </row>
    <row r="90" spans="1:11" x14ac:dyDescent="0.25">
      <c r="A90" s="49">
        <f>'A) Base RI'!A89</f>
        <v>5533</v>
      </c>
      <c r="B90" s="295" t="str">
        <f>'A) Base RI'!B89</f>
        <v>Poliez-Pittet</v>
      </c>
      <c r="C90" s="10">
        <f>'A) Base RI'!AO89</f>
        <v>829</v>
      </c>
      <c r="D90" s="10">
        <f t="shared" si="4"/>
        <v>829</v>
      </c>
      <c r="E90" s="425">
        <f t="shared" si="4"/>
        <v>0</v>
      </c>
      <c r="F90" s="10">
        <f t="shared" si="4"/>
        <v>0</v>
      </c>
      <c r="G90" s="425">
        <f t="shared" si="4"/>
        <v>0</v>
      </c>
      <c r="H90" s="41">
        <f t="shared" si="4"/>
        <v>0</v>
      </c>
      <c r="I90" s="10">
        <f t="shared" si="4"/>
        <v>0</v>
      </c>
      <c r="J90" s="10">
        <f t="shared" si="5"/>
        <v>0</v>
      </c>
      <c r="K90" s="113">
        <f t="shared" si="6"/>
        <v>102790.99597585511</v>
      </c>
    </row>
    <row r="91" spans="1:11" x14ac:dyDescent="0.25">
      <c r="A91" s="49">
        <f>'A) Base RI'!A90</f>
        <v>5534</v>
      </c>
      <c r="B91" s="295" t="str">
        <f>'A) Base RI'!B90</f>
        <v>Rueyres</v>
      </c>
      <c r="C91" s="10">
        <f>'A) Base RI'!AO90</f>
        <v>266</v>
      </c>
      <c r="D91" s="10">
        <f t="shared" si="4"/>
        <v>266</v>
      </c>
      <c r="E91" s="425">
        <f t="shared" si="4"/>
        <v>0</v>
      </c>
      <c r="F91" s="10">
        <f t="shared" si="4"/>
        <v>0</v>
      </c>
      <c r="G91" s="425">
        <f t="shared" si="4"/>
        <v>0</v>
      </c>
      <c r="H91" s="41">
        <f t="shared" si="4"/>
        <v>0</v>
      </c>
      <c r="I91" s="10">
        <f t="shared" si="4"/>
        <v>0</v>
      </c>
      <c r="J91" s="10">
        <f t="shared" si="5"/>
        <v>0</v>
      </c>
      <c r="K91" s="113">
        <f t="shared" si="6"/>
        <v>32982.394366197179</v>
      </c>
    </row>
    <row r="92" spans="1:11" x14ac:dyDescent="0.25">
      <c r="A92" s="49">
        <f>'A) Base RI'!A91</f>
        <v>5535</v>
      </c>
      <c r="B92" s="295" t="str">
        <f>'A) Base RI'!B91</f>
        <v>Saint-Barthélemy</v>
      </c>
      <c r="C92" s="10">
        <f>'A) Base RI'!AO91</f>
        <v>784</v>
      </c>
      <c r="D92" s="10">
        <f t="shared" si="4"/>
        <v>784</v>
      </c>
      <c r="E92" s="425">
        <f t="shared" si="4"/>
        <v>0</v>
      </c>
      <c r="F92" s="10">
        <f t="shared" si="4"/>
        <v>0</v>
      </c>
      <c r="G92" s="425">
        <f t="shared" si="4"/>
        <v>0</v>
      </c>
      <c r="H92" s="41">
        <f t="shared" si="4"/>
        <v>0</v>
      </c>
      <c r="I92" s="10">
        <f t="shared" si="4"/>
        <v>0</v>
      </c>
      <c r="J92" s="10">
        <f t="shared" si="5"/>
        <v>0</v>
      </c>
      <c r="K92" s="113">
        <f t="shared" si="6"/>
        <v>97211.26760563378</v>
      </c>
    </row>
    <row r="93" spans="1:11" x14ac:dyDescent="0.25">
      <c r="A93" s="49">
        <f>'A) Base RI'!A92</f>
        <v>5537</v>
      </c>
      <c r="B93" s="295" t="str">
        <f>'A) Base RI'!B92</f>
        <v>Villars-le-Terroir</v>
      </c>
      <c r="C93" s="10">
        <f>'A) Base RI'!AO92</f>
        <v>1281</v>
      </c>
      <c r="D93" s="10">
        <f t="shared" si="4"/>
        <v>1000</v>
      </c>
      <c r="E93" s="425">
        <f t="shared" si="4"/>
        <v>281</v>
      </c>
      <c r="F93" s="10">
        <f t="shared" si="4"/>
        <v>0</v>
      </c>
      <c r="G93" s="425">
        <f t="shared" si="4"/>
        <v>0</v>
      </c>
      <c r="H93" s="41">
        <f t="shared" si="4"/>
        <v>0</v>
      </c>
      <c r="I93" s="10">
        <f t="shared" si="4"/>
        <v>0</v>
      </c>
      <c r="J93" s="10">
        <f t="shared" si="5"/>
        <v>0</v>
      </c>
      <c r="K93" s="113">
        <f t="shared" si="6"/>
        <v>221552.41448692151</v>
      </c>
    </row>
    <row r="94" spans="1:11" x14ac:dyDescent="0.25">
      <c r="A94" s="49">
        <f>'A) Base RI'!A93</f>
        <v>5539</v>
      </c>
      <c r="B94" s="295" t="str">
        <f>'A) Base RI'!B93</f>
        <v>Vuarrens</v>
      </c>
      <c r="C94" s="10">
        <f>'A) Base RI'!AO93</f>
        <v>1060</v>
      </c>
      <c r="D94" s="10">
        <f t="shared" si="4"/>
        <v>1000</v>
      </c>
      <c r="E94" s="425">
        <f t="shared" si="4"/>
        <v>60</v>
      </c>
      <c r="F94" s="10">
        <f t="shared" si="4"/>
        <v>0</v>
      </c>
      <c r="G94" s="425">
        <f t="shared" si="4"/>
        <v>0</v>
      </c>
      <c r="H94" s="41">
        <f t="shared" si="4"/>
        <v>0</v>
      </c>
      <c r="I94" s="10">
        <f t="shared" si="4"/>
        <v>0</v>
      </c>
      <c r="J94" s="10">
        <f t="shared" si="5"/>
        <v>0</v>
      </c>
      <c r="K94" s="113">
        <f t="shared" si="6"/>
        <v>144824.9496981891</v>
      </c>
    </row>
    <row r="95" spans="1:11" x14ac:dyDescent="0.25">
      <c r="A95" s="49">
        <f>'A) Base RI'!A94</f>
        <v>5540</v>
      </c>
      <c r="B95" s="295" t="str">
        <f>'A) Base RI'!B94</f>
        <v>Montilliez</v>
      </c>
      <c r="C95" s="10">
        <f>'A) Base RI'!AO94</f>
        <v>1857</v>
      </c>
      <c r="D95" s="10">
        <f t="shared" si="4"/>
        <v>1000</v>
      </c>
      <c r="E95" s="425">
        <f t="shared" si="4"/>
        <v>857</v>
      </c>
      <c r="F95" s="10">
        <f t="shared" si="4"/>
        <v>0</v>
      </c>
      <c r="G95" s="425">
        <f t="shared" si="4"/>
        <v>0</v>
      </c>
      <c r="H95" s="41">
        <f t="shared" si="4"/>
        <v>0</v>
      </c>
      <c r="I95" s="10">
        <f t="shared" si="4"/>
        <v>0</v>
      </c>
      <c r="J95" s="10">
        <f t="shared" si="5"/>
        <v>0</v>
      </c>
      <c r="K95" s="113">
        <f t="shared" si="6"/>
        <v>421529.87927565386</v>
      </c>
    </row>
    <row r="96" spans="1:11" x14ac:dyDescent="0.25">
      <c r="A96" s="49">
        <f>'A) Base RI'!A95</f>
        <v>5541</v>
      </c>
      <c r="B96" s="295" t="str">
        <f>'A) Base RI'!B95</f>
        <v>Goumoëns</v>
      </c>
      <c r="C96" s="10">
        <f>'A) Base RI'!AO95</f>
        <v>1153</v>
      </c>
      <c r="D96" s="10">
        <f t="shared" si="4"/>
        <v>1000</v>
      </c>
      <c r="E96" s="425">
        <f t="shared" si="4"/>
        <v>153</v>
      </c>
      <c r="F96" s="10">
        <f t="shared" si="4"/>
        <v>0</v>
      </c>
      <c r="G96" s="425">
        <f t="shared" si="4"/>
        <v>0</v>
      </c>
      <c r="H96" s="41">
        <f t="shared" si="4"/>
        <v>0</v>
      </c>
      <c r="I96" s="10">
        <f t="shared" si="4"/>
        <v>0</v>
      </c>
      <c r="J96" s="10">
        <f t="shared" si="5"/>
        <v>0</v>
      </c>
      <c r="K96" s="113">
        <f t="shared" si="6"/>
        <v>177112.97786720318</v>
      </c>
    </row>
    <row r="97" spans="1:11" x14ac:dyDescent="0.25">
      <c r="A97" s="49">
        <f>'A) Base RI'!A96</f>
        <v>5551</v>
      </c>
      <c r="B97" s="295" t="str">
        <f>'A) Base RI'!B96</f>
        <v>Bonvillars</v>
      </c>
      <c r="C97" s="10">
        <f>'A) Base RI'!AO96</f>
        <v>489</v>
      </c>
      <c r="D97" s="10">
        <f t="shared" si="4"/>
        <v>489</v>
      </c>
      <c r="E97" s="425">
        <f t="shared" si="4"/>
        <v>0</v>
      </c>
      <c r="F97" s="10">
        <f t="shared" si="4"/>
        <v>0</v>
      </c>
      <c r="G97" s="425">
        <f t="shared" si="4"/>
        <v>0</v>
      </c>
      <c r="H97" s="41">
        <f t="shared" si="4"/>
        <v>0</v>
      </c>
      <c r="I97" s="10">
        <f t="shared" si="4"/>
        <v>0</v>
      </c>
      <c r="J97" s="10">
        <f t="shared" si="5"/>
        <v>0</v>
      </c>
      <c r="K97" s="113">
        <f t="shared" si="6"/>
        <v>60633.048289738421</v>
      </c>
    </row>
    <row r="98" spans="1:11" x14ac:dyDescent="0.25">
      <c r="A98" s="49">
        <f>'A) Base RI'!A97</f>
        <v>5552</v>
      </c>
      <c r="B98" s="295" t="str">
        <f>'A) Base RI'!B97</f>
        <v>Bullet</v>
      </c>
      <c r="C98" s="10">
        <f>'A) Base RI'!AO97</f>
        <v>657</v>
      </c>
      <c r="D98" s="10">
        <f t="shared" si="4"/>
        <v>657</v>
      </c>
      <c r="E98" s="425">
        <f t="shared" si="4"/>
        <v>0</v>
      </c>
      <c r="F98" s="10">
        <f t="shared" si="4"/>
        <v>0</v>
      </c>
      <c r="G98" s="425">
        <f t="shared" si="4"/>
        <v>0</v>
      </c>
      <c r="H98" s="41">
        <f t="shared" si="4"/>
        <v>0</v>
      </c>
      <c r="I98" s="10">
        <f t="shared" si="4"/>
        <v>0</v>
      </c>
      <c r="J98" s="10">
        <f t="shared" si="5"/>
        <v>0</v>
      </c>
      <c r="K98" s="113">
        <f t="shared" si="6"/>
        <v>81464.034205231379</v>
      </c>
    </row>
    <row r="99" spans="1:11" x14ac:dyDescent="0.25">
      <c r="A99" s="49">
        <f>'A) Base RI'!A98</f>
        <v>5553</v>
      </c>
      <c r="B99" s="295" t="str">
        <f>'A) Base RI'!B98</f>
        <v>Champagne</v>
      </c>
      <c r="C99" s="10">
        <f>'A) Base RI'!AO98</f>
        <v>1061</v>
      </c>
      <c r="D99" s="10">
        <f t="shared" si="4"/>
        <v>1000</v>
      </c>
      <c r="E99" s="425">
        <f t="shared" si="4"/>
        <v>61</v>
      </c>
      <c r="F99" s="10">
        <f t="shared" si="4"/>
        <v>0</v>
      </c>
      <c r="G99" s="425">
        <f t="shared" si="4"/>
        <v>0</v>
      </c>
      <c r="H99" s="41">
        <f t="shared" si="4"/>
        <v>0</v>
      </c>
      <c r="I99" s="10">
        <f t="shared" si="4"/>
        <v>0</v>
      </c>
      <c r="J99" s="10">
        <f t="shared" si="5"/>
        <v>0</v>
      </c>
      <c r="K99" s="113">
        <f t="shared" si="6"/>
        <v>145172.13279678067</v>
      </c>
    </row>
    <row r="100" spans="1:11" x14ac:dyDescent="0.25">
      <c r="A100" s="49">
        <f>'A) Base RI'!A99</f>
        <v>5554</v>
      </c>
      <c r="B100" s="295" t="str">
        <f>'A) Base RI'!B99</f>
        <v>Concise</v>
      </c>
      <c r="C100" s="10">
        <f>'A) Base RI'!AO99</f>
        <v>1001</v>
      </c>
      <c r="D100" s="10">
        <f t="shared" si="4"/>
        <v>1000</v>
      </c>
      <c r="E100" s="425">
        <f t="shared" si="4"/>
        <v>1</v>
      </c>
      <c r="F100" s="10">
        <f t="shared" si="4"/>
        <v>0</v>
      </c>
      <c r="G100" s="425">
        <f t="shared" si="4"/>
        <v>0</v>
      </c>
      <c r="H100" s="41">
        <f t="shared" si="4"/>
        <v>0</v>
      </c>
      <c r="I100" s="10">
        <f t="shared" si="4"/>
        <v>0</v>
      </c>
      <c r="J100" s="10">
        <f t="shared" si="5"/>
        <v>0</v>
      </c>
      <c r="K100" s="113">
        <f t="shared" si="6"/>
        <v>124341.1468812877</v>
      </c>
    </row>
    <row r="101" spans="1:11" x14ac:dyDescent="0.25">
      <c r="A101" s="49">
        <f>'A) Base RI'!A100</f>
        <v>5555</v>
      </c>
      <c r="B101" s="295" t="str">
        <f>'A) Base RI'!B100</f>
        <v>Corcelles-près-Concise</v>
      </c>
      <c r="C101" s="10">
        <f>'A) Base RI'!AO100</f>
        <v>419</v>
      </c>
      <c r="D101" s="10">
        <f t="shared" si="4"/>
        <v>419</v>
      </c>
      <c r="E101" s="425">
        <f t="shared" si="4"/>
        <v>0</v>
      </c>
      <c r="F101" s="10">
        <f t="shared" si="4"/>
        <v>0</v>
      </c>
      <c r="G101" s="425">
        <f t="shared" si="4"/>
        <v>0</v>
      </c>
      <c r="H101" s="41">
        <f t="shared" si="4"/>
        <v>0</v>
      </c>
      <c r="I101" s="10">
        <f t="shared" si="4"/>
        <v>0</v>
      </c>
      <c r="J101" s="10">
        <f t="shared" si="5"/>
        <v>0</v>
      </c>
      <c r="K101" s="113">
        <f t="shared" si="6"/>
        <v>51953.470824949691</v>
      </c>
    </row>
    <row r="102" spans="1:11" x14ac:dyDescent="0.25">
      <c r="A102" s="49">
        <f>'A) Base RI'!A101</f>
        <v>5556</v>
      </c>
      <c r="B102" s="295" t="str">
        <f>'A) Base RI'!B101</f>
        <v>Fiez</v>
      </c>
      <c r="C102" s="10">
        <f>'A) Base RI'!AO101</f>
        <v>451</v>
      </c>
      <c r="D102" s="10">
        <f t="shared" si="4"/>
        <v>451</v>
      </c>
      <c r="E102" s="425">
        <f t="shared" si="4"/>
        <v>0</v>
      </c>
      <c r="F102" s="10">
        <f t="shared" si="4"/>
        <v>0</v>
      </c>
      <c r="G102" s="425">
        <f t="shared" si="4"/>
        <v>0</v>
      </c>
      <c r="H102" s="41">
        <f t="shared" si="4"/>
        <v>0</v>
      </c>
      <c r="I102" s="10">
        <f t="shared" si="4"/>
        <v>0</v>
      </c>
      <c r="J102" s="10">
        <f t="shared" si="5"/>
        <v>0</v>
      </c>
      <c r="K102" s="113">
        <f t="shared" si="6"/>
        <v>55921.277665995964</v>
      </c>
    </row>
    <row r="103" spans="1:11" x14ac:dyDescent="0.25">
      <c r="A103" s="49">
        <f>'A) Base RI'!A102</f>
        <v>5557</v>
      </c>
      <c r="B103" s="295" t="str">
        <f>'A) Base RI'!B102</f>
        <v>Fontaines-sur-Grandson</v>
      </c>
      <c r="C103" s="10">
        <f>'A) Base RI'!AO102</f>
        <v>219</v>
      </c>
      <c r="D103" s="10">
        <f t="shared" si="4"/>
        <v>219</v>
      </c>
      <c r="E103" s="425">
        <f t="shared" si="4"/>
        <v>0</v>
      </c>
      <c r="F103" s="10">
        <f t="shared" si="4"/>
        <v>0</v>
      </c>
      <c r="G103" s="425">
        <f t="shared" si="4"/>
        <v>0</v>
      </c>
      <c r="H103" s="41">
        <f t="shared" si="4"/>
        <v>0</v>
      </c>
      <c r="I103" s="10">
        <f t="shared" si="4"/>
        <v>0</v>
      </c>
      <c r="J103" s="10">
        <f t="shared" si="5"/>
        <v>0</v>
      </c>
      <c r="K103" s="113">
        <f t="shared" si="6"/>
        <v>27154.67806841046</v>
      </c>
    </row>
    <row r="104" spans="1:11" x14ac:dyDescent="0.25">
      <c r="A104" s="49">
        <f>'A) Base RI'!A103</f>
        <v>5559</v>
      </c>
      <c r="B104" s="295" t="str">
        <f>'A) Base RI'!B103</f>
        <v>Giez</v>
      </c>
      <c r="C104" s="10">
        <f>'A) Base RI'!AO103</f>
        <v>414</v>
      </c>
      <c r="D104" s="10">
        <f t="shared" si="4"/>
        <v>414</v>
      </c>
      <c r="E104" s="425">
        <f t="shared" si="4"/>
        <v>0</v>
      </c>
      <c r="F104" s="10">
        <f t="shared" si="4"/>
        <v>0</v>
      </c>
      <c r="G104" s="425">
        <f t="shared" si="4"/>
        <v>0</v>
      </c>
      <c r="H104" s="41">
        <f t="shared" si="4"/>
        <v>0</v>
      </c>
      <c r="I104" s="10">
        <f t="shared" si="4"/>
        <v>0</v>
      </c>
      <c r="J104" s="10">
        <f t="shared" si="5"/>
        <v>0</v>
      </c>
      <c r="K104" s="113">
        <f t="shared" si="6"/>
        <v>51333.501006036211</v>
      </c>
    </row>
    <row r="105" spans="1:11" x14ac:dyDescent="0.25">
      <c r="A105" s="49">
        <f>'A) Base RI'!A104</f>
        <v>5560</v>
      </c>
      <c r="B105" s="295" t="str">
        <f>'A) Base RI'!B104</f>
        <v>Grandevent</v>
      </c>
      <c r="C105" s="10">
        <f>'A) Base RI'!AO104</f>
        <v>226</v>
      </c>
      <c r="D105" s="10">
        <f t="shared" si="4"/>
        <v>226</v>
      </c>
      <c r="E105" s="425">
        <f t="shared" si="4"/>
        <v>0</v>
      </c>
      <c r="F105" s="10">
        <f t="shared" si="4"/>
        <v>0</v>
      </c>
      <c r="G105" s="425">
        <f t="shared" si="4"/>
        <v>0</v>
      </c>
      <c r="H105" s="41">
        <f t="shared" si="4"/>
        <v>0</v>
      </c>
      <c r="I105" s="10">
        <f t="shared" si="4"/>
        <v>0</v>
      </c>
      <c r="J105" s="10">
        <f t="shared" si="5"/>
        <v>0</v>
      </c>
      <c r="K105" s="113">
        <f t="shared" si="6"/>
        <v>28022.635814889331</v>
      </c>
    </row>
    <row r="106" spans="1:11" x14ac:dyDescent="0.25">
      <c r="A106" s="49">
        <f>'A) Base RI'!A105</f>
        <v>5561</v>
      </c>
      <c r="B106" s="295" t="str">
        <f>'A) Base RI'!B105</f>
        <v>Grandson</v>
      </c>
      <c r="C106" s="10">
        <f>'A) Base RI'!AO105</f>
        <v>3356</v>
      </c>
      <c r="D106" s="10">
        <f t="shared" si="4"/>
        <v>1000</v>
      </c>
      <c r="E106" s="425">
        <f t="shared" si="4"/>
        <v>2000</v>
      </c>
      <c r="F106" s="10">
        <f t="shared" si="4"/>
        <v>356</v>
      </c>
      <c r="G106" s="425">
        <f t="shared" ref="E106:I157" si="7">IF($C106&gt;G$4,IF($C106&lt;G$5,$C106-G$4,G$5-G$4),0)</f>
        <v>0</v>
      </c>
      <c r="H106" s="41">
        <f t="shared" si="7"/>
        <v>0</v>
      </c>
      <c r="I106" s="10">
        <f t="shared" si="7"/>
        <v>0</v>
      </c>
      <c r="J106" s="10">
        <f t="shared" si="5"/>
        <v>0</v>
      </c>
      <c r="K106" s="113">
        <f t="shared" si="6"/>
        <v>994927.56539235404</v>
      </c>
    </row>
    <row r="107" spans="1:11" x14ac:dyDescent="0.25">
      <c r="A107" s="49">
        <f>'A) Base RI'!A106</f>
        <v>5562</v>
      </c>
      <c r="B107" s="295" t="str">
        <f>'A) Base RI'!B106</f>
        <v>Mauborget</v>
      </c>
      <c r="C107" s="10">
        <f>'A) Base RI'!AO106</f>
        <v>128</v>
      </c>
      <c r="D107" s="10">
        <f t="shared" ref="D107:D170" si="8">IF($C107&gt;D$4,IF($C107&lt;D$5,$C107-D$4,D$5-D$4),0)</f>
        <v>128</v>
      </c>
      <c r="E107" s="425">
        <f t="shared" si="7"/>
        <v>0</v>
      </c>
      <c r="F107" s="10">
        <f t="shared" si="7"/>
        <v>0</v>
      </c>
      <c r="G107" s="425">
        <f t="shared" si="7"/>
        <v>0</v>
      </c>
      <c r="H107" s="41">
        <f t="shared" si="7"/>
        <v>0</v>
      </c>
      <c r="I107" s="10">
        <f t="shared" si="7"/>
        <v>0</v>
      </c>
      <c r="J107" s="10">
        <f t="shared" si="5"/>
        <v>0</v>
      </c>
      <c r="K107" s="113">
        <f t="shared" si="6"/>
        <v>15871.227364185108</v>
      </c>
    </row>
    <row r="108" spans="1:11" x14ac:dyDescent="0.25">
      <c r="A108" s="49">
        <f>'A) Base RI'!A107</f>
        <v>5563</v>
      </c>
      <c r="B108" s="295" t="str">
        <f>'A) Base RI'!B107</f>
        <v>Mutrux</v>
      </c>
      <c r="C108" s="10">
        <f>'A) Base RI'!AO107</f>
        <v>149</v>
      </c>
      <c r="D108" s="10">
        <f t="shared" si="8"/>
        <v>149</v>
      </c>
      <c r="E108" s="425">
        <f t="shared" si="7"/>
        <v>0</v>
      </c>
      <c r="F108" s="10">
        <f t="shared" si="7"/>
        <v>0</v>
      </c>
      <c r="G108" s="425">
        <f t="shared" si="7"/>
        <v>0</v>
      </c>
      <c r="H108" s="41">
        <f t="shared" si="7"/>
        <v>0</v>
      </c>
      <c r="I108" s="10">
        <f t="shared" si="7"/>
        <v>0</v>
      </c>
      <c r="J108" s="10">
        <f t="shared" si="5"/>
        <v>0</v>
      </c>
      <c r="K108" s="113">
        <f t="shared" si="6"/>
        <v>18475.100603621726</v>
      </c>
    </row>
    <row r="109" spans="1:11" x14ac:dyDescent="0.25">
      <c r="A109" s="49">
        <f>'A) Base RI'!A108</f>
        <v>5564</v>
      </c>
      <c r="B109" s="295" t="str">
        <f>'A) Base RI'!B108</f>
        <v>Novalles</v>
      </c>
      <c r="C109" s="10">
        <f>'A) Base RI'!AO108</f>
        <v>99</v>
      </c>
      <c r="D109" s="10">
        <f t="shared" si="8"/>
        <v>99</v>
      </c>
      <c r="E109" s="425">
        <f t="shared" si="7"/>
        <v>0</v>
      </c>
      <c r="F109" s="10">
        <f t="shared" si="7"/>
        <v>0</v>
      </c>
      <c r="G109" s="425">
        <f t="shared" si="7"/>
        <v>0</v>
      </c>
      <c r="H109" s="41">
        <f t="shared" si="7"/>
        <v>0</v>
      </c>
      <c r="I109" s="10">
        <f t="shared" si="7"/>
        <v>0</v>
      </c>
      <c r="J109" s="10">
        <f t="shared" si="5"/>
        <v>0</v>
      </c>
      <c r="K109" s="113">
        <f t="shared" si="6"/>
        <v>12275.40241448692</v>
      </c>
    </row>
    <row r="110" spans="1:11" x14ac:dyDescent="0.25">
      <c r="A110" s="49">
        <f>'A) Base RI'!A109</f>
        <v>5565</v>
      </c>
      <c r="B110" s="295" t="str">
        <f>'A) Base RI'!B109</f>
        <v>Onnens</v>
      </c>
      <c r="C110" s="10">
        <f>'A) Base RI'!AO109</f>
        <v>505</v>
      </c>
      <c r="D110" s="10">
        <f t="shared" si="8"/>
        <v>505</v>
      </c>
      <c r="E110" s="425">
        <f t="shared" si="7"/>
        <v>0</v>
      </c>
      <c r="F110" s="10">
        <f t="shared" si="7"/>
        <v>0</v>
      </c>
      <c r="G110" s="425">
        <f t="shared" si="7"/>
        <v>0</v>
      </c>
      <c r="H110" s="41">
        <f t="shared" si="7"/>
        <v>0</v>
      </c>
      <c r="I110" s="10">
        <f t="shared" si="7"/>
        <v>0</v>
      </c>
      <c r="J110" s="10">
        <f t="shared" si="5"/>
        <v>0</v>
      </c>
      <c r="K110" s="113">
        <f t="shared" si="6"/>
        <v>62616.951710261557</v>
      </c>
    </row>
    <row r="111" spans="1:11" x14ac:dyDescent="0.25">
      <c r="A111" s="49">
        <f>'A) Base RI'!A110</f>
        <v>5566</v>
      </c>
      <c r="B111" s="295" t="str">
        <f>'A) Base RI'!B110</f>
        <v>Provence</v>
      </c>
      <c r="C111" s="10">
        <f>'A) Base RI'!AO110</f>
        <v>392</v>
      </c>
      <c r="D111" s="10">
        <f t="shared" si="8"/>
        <v>392</v>
      </c>
      <c r="E111" s="425">
        <f t="shared" si="7"/>
        <v>0</v>
      </c>
      <c r="F111" s="10">
        <f t="shared" si="7"/>
        <v>0</v>
      </c>
      <c r="G111" s="425">
        <f t="shared" si="7"/>
        <v>0</v>
      </c>
      <c r="H111" s="41">
        <f t="shared" si="7"/>
        <v>0</v>
      </c>
      <c r="I111" s="10">
        <f t="shared" si="7"/>
        <v>0</v>
      </c>
      <c r="J111" s="10">
        <f t="shared" si="5"/>
        <v>0</v>
      </c>
      <c r="K111" s="113">
        <f t="shared" si="6"/>
        <v>48605.63380281689</v>
      </c>
    </row>
    <row r="112" spans="1:11" x14ac:dyDescent="0.25">
      <c r="A112" s="49">
        <f>'A) Base RI'!A111</f>
        <v>5568</v>
      </c>
      <c r="B112" s="295" t="str">
        <f>'A) Base RI'!B111</f>
        <v>Sainte-Croix</v>
      </c>
      <c r="C112" s="10">
        <f>'A) Base RI'!AO111</f>
        <v>4917</v>
      </c>
      <c r="D112" s="10">
        <f t="shared" si="8"/>
        <v>1000</v>
      </c>
      <c r="E112" s="425">
        <f t="shared" si="7"/>
        <v>2000</v>
      </c>
      <c r="F112" s="10">
        <f t="shared" si="7"/>
        <v>1917</v>
      </c>
      <c r="G112" s="425">
        <f t="shared" si="7"/>
        <v>0</v>
      </c>
      <c r="H112" s="41">
        <f t="shared" si="7"/>
        <v>0</v>
      </c>
      <c r="I112" s="10">
        <f t="shared" si="7"/>
        <v>0</v>
      </c>
      <c r="J112" s="10">
        <f t="shared" si="5"/>
        <v>0</v>
      </c>
      <c r="K112" s="113">
        <f t="shared" si="6"/>
        <v>1769145.8752515088</v>
      </c>
    </row>
    <row r="113" spans="1:11" x14ac:dyDescent="0.25">
      <c r="A113" s="49">
        <f>'A) Base RI'!A112</f>
        <v>5571</v>
      </c>
      <c r="B113" s="295" t="str">
        <f>'A) Base RI'!B112</f>
        <v>Tévenon</v>
      </c>
      <c r="C113" s="10">
        <f>'A) Base RI'!AO112</f>
        <v>894</v>
      </c>
      <c r="D113" s="10">
        <f t="shared" si="8"/>
        <v>894</v>
      </c>
      <c r="E113" s="425">
        <f t="shared" si="7"/>
        <v>0</v>
      </c>
      <c r="F113" s="10">
        <f t="shared" si="7"/>
        <v>0</v>
      </c>
      <c r="G113" s="425">
        <f t="shared" si="7"/>
        <v>0</v>
      </c>
      <c r="H113" s="41">
        <f t="shared" si="7"/>
        <v>0</v>
      </c>
      <c r="I113" s="10">
        <f t="shared" si="7"/>
        <v>0</v>
      </c>
      <c r="J113" s="10">
        <f t="shared" si="5"/>
        <v>0</v>
      </c>
      <c r="K113" s="113">
        <f t="shared" si="6"/>
        <v>110850.60362173036</v>
      </c>
    </row>
    <row r="114" spans="1:11" x14ac:dyDescent="0.25">
      <c r="A114" s="49">
        <f>'A) Base RI'!A113</f>
        <v>5581</v>
      </c>
      <c r="B114" s="295" t="str">
        <f>'A) Base RI'!B113</f>
        <v>Belmont-sur-Lausanne</v>
      </c>
      <c r="C114" s="10">
        <f>'A) Base RI'!AO113</f>
        <v>3756</v>
      </c>
      <c r="D114" s="10">
        <f t="shared" si="8"/>
        <v>1000</v>
      </c>
      <c r="E114" s="425">
        <f t="shared" si="7"/>
        <v>2000</v>
      </c>
      <c r="F114" s="10">
        <f t="shared" si="7"/>
        <v>756</v>
      </c>
      <c r="G114" s="425">
        <f t="shared" si="7"/>
        <v>0</v>
      </c>
      <c r="H114" s="41">
        <f t="shared" si="7"/>
        <v>0</v>
      </c>
      <c r="I114" s="10">
        <f t="shared" si="7"/>
        <v>0</v>
      </c>
      <c r="J114" s="10">
        <f t="shared" si="5"/>
        <v>0</v>
      </c>
      <c r="K114" s="113">
        <f t="shared" si="6"/>
        <v>1193317.907444668</v>
      </c>
    </row>
    <row r="115" spans="1:11" x14ac:dyDescent="0.25">
      <c r="A115" s="49">
        <f>'A) Base RI'!A114</f>
        <v>5582</v>
      </c>
      <c r="B115" s="295" t="str">
        <f>'A) Base RI'!B114</f>
        <v>Cheseaux-sur-Lausanne</v>
      </c>
      <c r="C115" s="10">
        <f>'A) Base RI'!AO114</f>
        <v>4367</v>
      </c>
      <c r="D115" s="10">
        <f t="shared" si="8"/>
        <v>1000</v>
      </c>
      <c r="E115" s="425">
        <f t="shared" si="7"/>
        <v>2000</v>
      </c>
      <c r="F115" s="10">
        <f t="shared" si="7"/>
        <v>1367</v>
      </c>
      <c r="G115" s="425">
        <f t="shared" si="7"/>
        <v>0</v>
      </c>
      <c r="H115" s="41">
        <f t="shared" si="7"/>
        <v>0</v>
      </c>
      <c r="I115" s="10">
        <f t="shared" si="7"/>
        <v>0</v>
      </c>
      <c r="J115" s="10">
        <f t="shared" si="5"/>
        <v>0</v>
      </c>
      <c r="K115" s="113">
        <f t="shared" si="6"/>
        <v>1496359.1549295774</v>
      </c>
    </row>
    <row r="116" spans="1:11" x14ac:dyDescent="0.25">
      <c r="A116" s="49">
        <f>'A) Base RI'!A115</f>
        <v>5583</v>
      </c>
      <c r="B116" s="295" t="str">
        <f>'A) Base RI'!B115</f>
        <v>Crissier</v>
      </c>
      <c r="C116" s="10">
        <f>'A) Base RI'!AO115</f>
        <v>8700</v>
      </c>
      <c r="D116" s="10">
        <f t="shared" si="8"/>
        <v>1000</v>
      </c>
      <c r="E116" s="425">
        <f t="shared" si="7"/>
        <v>2000</v>
      </c>
      <c r="F116" s="10">
        <f t="shared" si="7"/>
        <v>2000</v>
      </c>
      <c r="G116" s="425">
        <f t="shared" si="7"/>
        <v>3700</v>
      </c>
      <c r="H116" s="41">
        <f t="shared" si="7"/>
        <v>0</v>
      </c>
      <c r="I116" s="10">
        <f t="shared" si="7"/>
        <v>0</v>
      </c>
      <c r="J116" s="10">
        <f t="shared" si="5"/>
        <v>0</v>
      </c>
      <c r="K116" s="113">
        <f t="shared" si="6"/>
        <v>4012444.6680080481</v>
      </c>
    </row>
    <row r="117" spans="1:11" x14ac:dyDescent="0.25">
      <c r="A117" s="49">
        <f>'A) Base RI'!A116</f>
        <v>5584</v>
      </c>
      <c r="B117" s="295" t="str">
        <f>'A) Base RI'!B116</f>
        <v>Epalinges</v>
      </c>
      <c r="C117" s="10">
        <f>'A) Base RI'!AO116</f>
        <v>9755</v>
      </c>
      <c r="D117" s="10">
        <f t="shared" si="8"/>
        <v>1000</v>
      </c>
      <c r="E117" s="425">
        <f t="shared" si="7"/>
        <v>2000</v>
      </c>
      <c r="F117" s="10">
        <f t="shared" si="7"/>
        <v>2000</v>
      </c>
      <c r="G117" s="425">
        <f t="shared" si="7"/>
        <v>4000</v>
      </c>
      <c r="H117" s="41">
        <f t="shared" si="7"/>
        <v>755</v>
      </c>
      <c r="I117" s="10">
        <f t="shared" si="7"/>
        <v>0</v>
      </c>
      <c r="J117" s="10">
        <f t="shared" si="5"/>
        <v>0</v>
      </c>
      <c r="K117" s="113">
        <f t="shared" si="6"/>
        <v>4827580.9859154923</v>
      </c>
    </row>
    <row r="118" spans="1:11" x14ac:dyDescent="0.25">
      <c r="A118" s="49">
        <f>'A) Base RI'!A117</f>
        <v>5585</v>
      </c>
      <c r="B118" s="295" t="str">
        <f>'A) Base RI'!B117</f>
        <v>Jouxtens-Mézery</v>
      </c>
      <c r="C118" s="10">
        <f>'A) Base RI'!AO117</f>
        <v>1411</v>
      </c>
      <c r="D118" s="10">
        <f t="shared" si="8"/>
        <v>1000</v>
      </c>
      <c r="E118" s="425">
        <f t="shared" si="7"/>
        <v>411</v>
      </c>
      <c r="F118" s="10">
        <f t="shared" si="7"/>
        <v>0</v>
      </c>
      <c r="G118" s="425">
        <f t="shared" si="7"/>
        <v>0</v>
      </c>
      <c r="H118" s="41">
        <f t="shared" si="7"/>
        <v>0</v>
      </c>
      <c r="I118" s="10">
        <f t="shared" si="7"/>
        <v>0</v>
      </c>
      <c r="J118" s="10">
        <f t="shared" si="5"/>
        <v>0</v>
      </c>
      <c r="K118" s="113">
        <f t="shared" si="6"/>
        <v>266686.21730382292</v>
      </c>
    </row>
    <row r="119" spans="1:11" x14ac:dyDescent="0.25">
      <c r="A119" s="49">
        <f>'A) Base RI'!A118</f>
        <v>5586</v>
      </c>
      <c r="B119" s="295" t="str">
        <f>'A) Base RI'!B118</f>
        <v>Lausanne</v>
      </c>
      <c r="C119" s="10">
        <f>'A) Base RI'!AO118</f>
        <v>140430</v>
      </c>
      <c r="D119" s="10">
        <f t="shared" si="8"/>
        <v>1000</v>
      </c>
      <c r="E119" s="425">
        <f t="shared" si="7"/>
        <v>2000</v>
      </c>
      <c r="F119" s="10">
        <f t="shared" si="7"/>
        <v>2000</v>
      </c>
      <c r="G119" s="425">
        <f t="shared" si="7"/>
        <v>4000</v>
      </c>
      <c r="H119" s="41">
        <f t="shared" si="7"/>
        <v>3000</v>
      </c>
      <c r="I119" s="10">
        <f t="shared" si="7"/>
        <v>3000</v>
      </c>
      <c r="J119" s="10">
        <f t="shared" si="5"/>
        <v>125430</v>
      </c>
      <c r="K119" s="113">
        <f t="shared" si="6"/>
        <v>140337856.13682091</v>
      </c>
    </row>
    <row r="120" spans="1:11" x14ac:dyDescent="0.25">
      <c r="A120" s="49">
        <f>'A) Base RI'!A119</f>
        <v>5587</v>
      </c>
      <c r="B120" s="295" t="str">
        <f>'A) Base RI'!B119</f>
        <v>Le Mont-sur-Lausanne</v>
      </c>
      <c r="C120" s="10">
        <f>'A) Base RI'!AO119</f>
        <v>9136</v>
      </c>
      <c r="D120" s="10">
        <f t="shared" si="8"/>
        <v>1000</v>
      </c>
      <c r="E120" s="425">
        <f t="shared" si="7"/>
        <v>2000</v>
      </c>
      <c r="F120" s="10">
        <f t="shared" si="7"/>
        <v>2000</v>
      </c>
      <c r="G120" s="425">
        <f t="shared" si="7"/>
        <v>4000</v>
      </c>
      <c r="H120" s="41">
        <f t="shared" si="7"/>
        <v>136</v>
      </c>
      <c r="I120" s="10">
        <f t="shared" si="7"/>
        <v>0</v>
      </c>
      <c r="J120" s="10">
        <f t="shared" si="5"/>
        <v>0</v>
      </c>
      <c r="K120" s="113">
        <f t="shared" si="6"/>
        <v>4305665.5935613681</v>
      </c>
    </row>
    <row r="121" spans="1:11" x14ac:dyDescent="0.25">
      <c r="A121" s="49">
        <f>'A) Base RI'!A120</f>
        <v>5588</v>
      </c>
      <c r="B121" s="295" t="str">
        <f>'A) Base RI'!B120</f>
        <v>Paudex</v>
      </c>
      <c r="C121" s="10">
        <f>'A) Base RI'!AO120</f>
        <v>1538</v>
      </c>
      <c r="D121" s="10">
        <f t="shared" si="8"/>
        <v>1000</v>
      </c>
      <c r="E121" s="425">
        <f t="shared" si="7"/>
        <v>538</v>
      </c>
      <c r="F121" s="10">
        <f t="shared" si="7"/>
        <v>0</v>
      </c>
      <c r="G121" s="425">
        <f t="shared" si="7"/>
        <v>0</v>
      </c>
      <c r="H121" s="41">
        <f t="shared" si="7"/>
        <v>0</v>
      </c>
      <c r="I121" s="10">
        <f t="shared" si="7"/>
        <v>0</v>
      </c>
      <c r="J121" s="10">
        <f t="shared" si="5"/>
        <v>0</v>
      </c>
      <c r="K121" s="113">
        <f t="shared" si="6"/>
        <v>310778.47082494968</v>
      </c>
    </row>
    <row r="122" spans="1:11" x14ac:dyDescent="0.25">
      <c r="A122" s="49">
        <f>'A) Base RI'!A121</f>
        <v>5589</v>
      </c>
      <c r="B122" s="295" t="str">
        <f>'A) Base RI'!B121</f>
        <v>Prilly</v>
      </c>
      <c r="C122" s="10">
        <f>'A) Base RI'!AO121</f>
        <v>12383</v>
      </c>
      <c r="D122" s="10">
        <f t="shared" si="8"/>
        <v>1000</v>
      </c>
      <c r="E122" s="425">
        <f t="shared" si="7"/>
        <v>2000</v>
      </c>
      <c r="F122" s="10">
        <f t="shared" si="7"/>
        <v>2000</v>
      </c>
      <c r="G122" s="425">
        <f t="shared" si="7"/>
        <v>4000</v>
      </c>
      <c r="H122" s="41">
        <f t="shared" si="7"/>
        <v>3000</v>
      </c>
      <c r="I122" s="10">
        <f t="shared" si="7"/>
        <v>383</v>
      </c>
      <c r="J122" s="10">
        <f t="shared" si="5"/>
        <v>0</v>
      </c>
      <c r="K122" s="113">
        <f t="shared" si="6"/>
        <v>7100390.3420523126</v>
      </c>
    </row>
    <row r="123" spans="1:11" x14ac:dyDescent="0.25">
      <c r="A123" s="49">
        <f>'A) Base RI'!A122</f>
        <v>5590</v>
      </c>
      <c r="B123" s="295" t="str">
        <f>'A) Base RI'!B122</f>
        <v>Pully</v>
      </c>
      <c r="C123" s="10">
        <f>'A) Base RI'!AO122</f>
        <v>18688</v>
      </c>
      <c r="D123" s="10">
        <f t="shared" si="8"/>
        <v>1000</v>
      </c>
      <c r="E123" s="425">
        <f t="shared" si="7"/>
        <v>2000</v>
      </c>
      <c r="F123" s="10">
        <f t="shared" si="7"/>
        <v>2000</v>
      </c>
      <c r="G123" s="425">
        <f t="shared" si="7"/>
        <v>4000</v>
      </c>
      <c r="H123" s="41">
        <f t="shared" si="7"/>
        <v>3000</v>
      </c>
      <c r="I123" s="10">
        <f t="shared" si="7"/>
        <v>3000</v>
      </c>
      <c r="J123" s="10">
        <f t="shared" si="5"/>
        <v>3688</v>
      </c>
      <c r="K123" s="113">
        <f t="shared" si="6"/>
        <v>13537561.77062374</v>
      </c>
    </row>
    <row r="124" spans="1:11" x14ac:dyDescent="0.25">
      <c r="A124" s="49">
        <f>'A) Base RI'!A123</f>
        <v>5591</v>
      </c>
      <c r="B124" s="295" t="str">
        <f>'A) Base RI'!B123</f>
        <v>Renens</v>
      </c>
      <c r="C124" s="10">
        <f>'A) Base RI'!AO123</f>
        <v>20863</v>
      </c>
      <c r="D124" s="10">
        <f t="shared" si="8"/>
        <v>1000</v>
      </c>
      <c r="E124" s="425">
        <f t="shared" si="7"/>
        <v>2000</v>
      </c>
      <c r="F124" s="10">
        <f t="shared" si="7"/>
        <v>2000</v>
      </c>
      <c r="G124" s="425">
        <f t="shared" si="7"/>
        <v>4000</v>
      </c>
      <c r="H124" s="41">
        <f t="shared" si="7"/>
        <v>3000</v>
      </c>
      <c r="I124" s="10">
        <f t="shared" si="7"/>
        <v>3000</v>
      </c>
      <c r="J124" s="10">
        <f t="shared" si="5"/>
        <v>5863</v>
      </c>
      <c r="K124" s="113">
        <f t="shared" si="6"/>
        <v>15802931.488933599</v>
      </c>
    </row>
    <row r="125" spans="1:11" x14ac:dyDescent="0.25">
      <c r="A125" s="49">
        <f>'A) Base RI'!A124</f>
        <v>5592</v>
      </c>
      <c r="B125" s="295" t="str">
        <f>'A) Base RI'!B124</f>
        <v>Romanel-sur-Lausanne</v>
      </c>
      <c r="C125" s="10">
        <f>'A) Base RI'!AO124</f>
        <v>3247</v>
      </c>
      <c r="D125" s="10">
        <f t="shared" si="8"/>
        <v>1000</v>
      </c>
      <c r="E125" s="425">
        <f t="shared" si="7"/>
        <v>2000</v>
      </c>
      <c r="F125" s="10">
        <f t="shared" si="7"/>
        <v>247</v>
      </c>
      <c r="G125" s="425">
        <f t="shared" si="7"/>
        <v>0</v>
      </c>
      <c r="H125" s="41">
        <f t="shared" si="7"/>
        <v>0</v>
      </c>
      <c r="I125" s="10">
        <f t="shared" si="7"/>
        <v>0</v>
      </c>
      <c r="J125" s="10">
        <f t="shared" si="5"/>
        <v>0</v>
      </c>
      <c r="K125" s="113">
        <f t="shared" si="6"/>
        <v>940866.19718309853</v>
      </c>
    </row>
    <row r="126" spans="1:11" x14ac:dyDescent="0.25">
      <c r="A126" s="49">
        <f>'A) Base RI'!A125</f>
        <v>5601</v>
      </c>
      <c r="B126" s="295" t="str">
        <f>'A) Base RI'!B125</f>
        <v>Chexbres</v>
      </c>
      <c r="C126" s="10">
        <f>'A) Base RI'!AO125</f>
        <v>2251</v>
      </c>
      <c r="D126" s="10">
        <f t="shared" si="8"/>
        <v>1000</v>
      </c>
      <c r="E126" s="425">
        <f t="shared" si="7"/>
        <v>1251</v>
      </c>
      <c r="F126" s="10">
        <f t="shared" si="7"/>
        <v>0</v>
      </c>
      <c r="G126" s="425">
        <f t="shared" si="7"/>
        <v>0</v>
      </c>
      <c r="H126" s="41">
        <f t="shared" si="7"/>
        <v>0</v>
      </c>
      <c r="I126" s="10">
        <f t="shared" si="7"/>
        <v>0</v>
      </c>
      <c r="J126" s="10">
        <f t="shared" si="5"/>
        <v>0</v>
      </c>
      <c r="K126" s="113">
        <f t="shared" si="6"/>
        <v>558320.02012072422</v>
      </c>
    </row>
    <row r="127" spans="1:11" x14ac:dyDescent="0.25">
      <c r="A127" s="49">
        <f>'A) Base RI'!A126</f>
        <v>5604</v>
      </c>
      <c r="B127" s="295" t="str">
        <f>'A) Base RI'!B126</f>
        <v>Forel (Lavaux)</v>
      </c>
      <c r="C127" s="10">
        <f>'A) Base RI'!AO126</f>
        <v>2105</v>
      </c>
      <c r="D127" s="10">
        <f t="shared" si="8"/>
        <v>1000</v>
      </c>
      <c r="E127" s="425">
        <f t="shared" si="7"/>
        <v>1105</v>
      </c>
      <c r="F127" s="10">
        <f t="shared" si="7"/>
        <v>0</v>
      </c>
      <c r="G127" s="425">
        <f t="shared" si="7"/>
        <v>0</v>
      </c>
      <c r="H127" s="41">
        <f t="shared" si="7"/>
        <v>0</v>
      </c>
      <c r="I127" s="10">
        <f t="shared" si="7"/>
        <v>0</v>
      </c>
      <c r="J127" s="10">
        <f t="shared" si="5"/>
        <v>0</v>
      </c>
      <c r="K127" s="113">
        <f t="shared" si="6"/>
        <v>507631.2877263581</v>
      </c>
    </row>
    <row r="128" spans="1:11" x14ac:dyDescent="0.25">
      <c r="A128" s="49">
        <f>'A) Base RI'!A127</f>
        <v>5606</v>
      </c>
      <c r="B128" s="295" t="str">
        <f>'A) Base RI'!B127</f>
        <v>Lutry</v>
      </c>
      <c r="C128" s="10">
        <f>'A) Base RI'!AO127</f>
        <v>10455</v>
      </c>
      <c r="D128" s="10">
        <f t="shared" si="8"/>
        <v>1000</v>
      </c>
      <c r="E128" s="425">
        <f t="shared" si="7"/>
        <v>2000</v>
      </c>
      <c r="F128" s="10">
        <f t="shared" si="7"/>
        <v>2000</v>
      </c>
      <c r="G128" s="425">
        <f t="shared" si="7"/>
        <v>4000</v>
      </c>
      <c r="H128" s="41">
        <f t="shared" si="7"/>
        <v>1455</v>
      </c>
      <c r="I128" s="10">
        <f t="shared" si="7"/>
        <v>0</v>
      </c>
      <c r="J128" s="10">
        <f t="shared" si="5"/>
        <v>0</v>
      </c>
      <c r="K128" s="113">
        <f t="shared" si="6"/>
        <v>5417792.2535211258</v>
      </c>
    </row>
    <row r="129" spans="1:11" x14ac:dyDescent="0.25">
      <c r="A129" s="49">
        <f>'A) Base RI'!A128</f>
        <v>5607</v>
      </c>
      <c r="B129" s="295" t="str">
        <f>'A) Base RI'!B128</f>
        <v>Puidoux</v>
      </c>
      <c r="C129" s="10">
        <f>'A) Base RI'!AO128</f>
        <v>2894</v>
      </c>
      <c r="D129" s="10">
        <f t="shared" si="8"/>
        <v>1000</v>
      </c>
      <c r="E129" s="425">
        <f t="shared" si="7"/>
        <v>1894</v>
      </c>
      <c r="F129" s="10">
        <f t="shared" si="7"/>
        <v>0</v>
      </c>
      <c r="G129" s="425">
        <f t="shared" si="7"/>
        <v>0</v>
      </c>
      <c r="H129" s="41">
        <f t="shared" si="7"/>
        <v>0</v>
      </c>
      <c r="I129" s="10">
        <f t="shared" si="7"/>
        <v>0</v>
      </c>
      <c r="J129" s="10">
        <f t="shared" si="5"/>
        <v>0</v>
      </c>
      <c r="K129" s="113">
        <f t="shared" si="6"/>
        <v>781558.75251509051</v>
      </c>
    </row>
    <row r="130" spans="1:11" x14ac:dyDescent="0.25">
      <c r="A130" s="49">
        <f>'A) Base RI'!A129</f>
        <v>5609</v>
      </c>
      <c r="B130" s="295" t="str">
        <f>'A) Base RI'!B129</f>
        <v>Rivaz</v>
      </c>
      <c r="C130" s="10">
        <f>'A) Base RI'!AO129</f>
        <v>337</v>
      </c>
      <c r="D130" s="10">
        <f t="shared" si="8"/>
        <v>337</v>
      </c>
      <c r="E130" s="425">
        <f t="shared" si="7"/>
        <v>0</v>
      </c>
      <c r="F130" s="10">
        <f t="shared" si="7"/>
        <v>0</v>
      </c>
      <c r="G130" s="425">
        <f t="shared" si="7"/>
        <v>0</v>
      </c>
      <c r="H130" s="41">
        <f t="shared" si="7"/>
        <v>0</v>
      </c>
      <c r="I130" s="10">
        <f t="shared" si="7"/>
        <v>0</v>
      </c>
      <c r="J130" s="10">
        <f t="shared" si="5"/>
        <v>0</v>
      </c>
      <c r="K130" s="113">
        <f t="shared" si="6"/>
        <v>41785.965794768606</v>
      </c>
    </row>
    <row r="131" spans="1:11" x14ac:dyDescent="0.25">
      <c r="A131" s="49">
        <f>'A) Base RI'!A130</f>
        <v>5610</v>
      </c>
      <c r="B131" s="295" t="str">
        <f>'A) Base RI'!B130</f>
        <v>St-Saphorin (Lavaux)</v>
      </c>
      <c r="C131" s="10">
        <f>'A) Base RI'!AO130</f>
        <v>388</v>
      </c>
      <c r="D131" s="10">
        <f t="shared" si="8"/>
        <v>388</v>
      </c>
      <c r="E131" s="425">
        <f t="shared" si="7"/>
        <v>0</v>
      </c>
      <c r="F131" s="10">
        <f t="shared" si="7"/>
        <v>0</v>
      </c>
      <c r="G131" s="425">
        <f t="shared" si="7"/>
        <v>0</v>
      </c>
      <c r="H131" s="41">
        <f t="shared" si="7"/>
        <v>0</v>
      </c>
      <c r="I131" s="10">
        <f t="shared" si="7"/>
        <v>0</v>
      </c>
      <c r="J131" s="10">
        <f t="shared" si="5"/>
        <v>0</v>
      </c>
      <c r="K131" s="113">
        <f t="shared" si="6"/>
        <v>48109.657947686108</v>
      </c>
    </row>
    <row r="132" spans="1:11" x14ac:dyDescent="0.25">
      <c r="A132" s="49">
        <f>'A) Base RI'!A131</f>
        <v>5611</v>
      </c>
      <c r="B132" s="295" t="str">
        <f>'A) Base RI'!B131</f>
        <v>Savigny</v>
      </c>
      <c r="C132" s="10">
        <f>'A) Base RI'!AO131</f>
        <v>3348</v>
      </c>
      <c r="D132" s="10">
        <f t="shared" si="8"/>
        <v>1000</v>
      </c>
      <c r="E132" s="425">
        <f t="shared" si="7"/>
        <v>2000</v>
      </c>
      <c r="F132" s="10">
        <f t="shared" si="7"/>
        <v>348</v>
      </c>
      <c r="G132" s="425">
        <f t="shared" si="7"/>
        <v>0</v>
      </c>
      <c r="H132" s="41">
        <f t="shared" si="7"/>
        <v>0</v>
      </c>
      <c r="I132" s="10">
        <f t="shared" si="7"/>
        <v>0</v>
      </c>
      <c r="J132" s="10">
        <f t="shared" si="5"/>
        <v>0</v>
      </c>
      <c r="K132" s="113">
        <f t="shared" si="6"/>
        <v>990959.75855130772</v>
      </c>
    </row>
    <row r="133" spans="1:11" x14ac:dyDescent="0.25">
      <c r="A133" s="49">
        <f>'A) Base RI'!A132</f>
        <v>5613</v>
      </c>
      <c r="B133" s="295" t="str">
        <f>'A) Base RI'!B132</f>
        <v>Bourg-en-Lavaux</v>
      </c>
      <c r="C133" s="10">
        <f>'A) Base RI'!AO132</f>
        <v>5389</v>
      </c>
      <c r="D133" s="10">
        <f t="shared" si="8"/>
        <v>1000</v>
      </c>
      <c r="E133" s="425">
        <f t="shared" si="7"/>
        <v>2000</v>
      </c>
      <c r="F133" s="10">
        <f t="shared" si="7"/>
        <v>2000</v>
      </c>
      <c r="G133" s="425">
        <f t="shared" si="7"/>
        <v>389</v>
      </c>
      <c r="H133" s="41">
        <f t="shared" si="7"/>
        <v>0</v>
      </c>
      <c r="I133" s="10">
        <f t="shared" si="7"/>
        <v>0</v>
      </c>
      <c r="J133" s="10">
        <f t="shared" si="5"/>
        <v>0</v>
      </c>
      <c r="K133" s="113">
        <f t="shared" si="6"/>
        <v>2041833.4004024144</v>
      </c>
    </row>
    <row r="134" spans="1:11" x14ac:dyDescent="0.25">
      <c r="A134" s="49">
        <f>'A) Base RI'!A133</f>
        <v>5621</v>
      </c>
      <c r="B134" s="295" t="str">
        <f>'A) Base RI'!B133</f>
        <v>Aclens</v>
      </c>
      <c r="C134" s="10">
        <f>'A) Base RI'!AO133</f>
        <v>528</v>
      </c>
      <c r="D134" s="10">
        <f t="shared" si="8"/>
        <v>528</v>
      </c>
      <c r="E134" s="425">
        <f t="shared" si="7"/>
        <v>0</v>
      </c>
      <c r="F134" s="10">
        <f t="shared" si="7"/>
        <v>0</v>
      </c>
      <c r="G134" s="425">
        <f t="shared" si="7"/>
        <v>0</v>
      </c>
      <c r="H134" s="41">
        <f t="shared" si="7"/>
        <v>0</v>
      </c>
      <c r="I134" s="10">
        <f t="shared" si="7"/>
        <v>0</v>
      </c>
      <c r="J134" s="10">
        <f t="shared" si="5"/>
        <v>0</v>
      </c>
      <c r="K134" s="113">
        <f t="shared" si="6"/>
        <v>65468.812877263568</v>
      </c>
    </row>
    <row r="135" spans="1:11" x14ac:dyDescent="0.25">
      <c r="A135" s="49">
        <f>'A) Base RI'!A134</f>
        <v>5622</v>
      </c>
      <c r="B135" s="295" t="str">
        <f>'A) Base RI'!B134</f>
        <v>Bremblens</v>
      </c>
      <c r="C135" s="10">
        <f>'A) Base RI'!AO134</f>
        <v>583</v>
      </c>
      <c r="D135" s="10">
        <f t="shared" si="8"/>
        <v>583</v>
      </c>
      <c r="E135" s="425">
        <f t="shared" si="7"/>
        <v>0</v>
      </c>
      <c r="F135" s="10">
        <f t="shared" si="7"/>
        <v>0</v>
      </c>
      <c r="G135" s="425">
        <f t="shared" si="7"/>
        <v>0</v>
      </c>
      <c r="H135" s="41">
        <f t="shared" si="7"/>
        <v>0</v>
      </c>
      <c r="I135" s="10">
        <f t="shared" si="7"/>
        <v>0</v>
      </c>
      <c r="J135" s="10">
        <f t="shared" si="5"/>
        <v>0</v>
      </c>
      <c r="K135" s="113">
        <f t="shared" si="6"/>
        <v>72288.480885311859</v>
      </c>
    </row>
    <row r="136" spans="1:11" x14ac:dyDescent="0.25">
      <c r="A136" s="49">
        <f>'A) Base RI'!A135</f>
        <v>5623</v>
      </c>
      <c r="B136" s="295" t="str">
        <f>'A) Base RI'!B135</f>
        <v>Buchillon</v>
      </c>
      <c r="C136" s="10">
        <f>'A) Base RI'!AO135</f>
        <v>686</v>
      </c>
      <c r="D136" s="10">
        <f t="shared" si="8"/>
        <v>686</v>
      </c>
      <c r="E136" s="425">
        <f t="shared" si="7"/>
        <v>0</v>
      </c>
      <c r="F136" s="10">
        <f t="shared" si="7"/>
        <v>0</v>
      </c>
      <c r="G136" s="425">
        <f t="shared" si="7"/>
        <v>0</v>
      </c>
      <c r="H136" s="41">
        <f t="shared" si="7"/>
        <v>0</v>
      </c>
      <c r="I136" s="10">
        <f t="shared" si="7"/>
        <v>0</v>
      </c>
      <c r="J136" s="10">
        <f t="shared" si="5"/>
        <v>0</v>
      </c>
      <c r="K136" s="113">
        <f t="shared" si="6"/>
        <v>85059.859154929567</v>
      </c>
    </row>
    <row r="137" spans="1:11" x14ac:dyDescent="0.25">
      <c r="A137" s="49">
        <f>'A) Base RI'!A136</f>
        <v>5624</v>
      </c>
      <c r="B137" s="295" t="str">
        <f>'A) Base RI'!B136</f>
        <v>Bussigny</v>
      </c>
      <c r="C137" s="10">
        <f>'A) Base RI'!AO136</f>
        <v>9614</v>
      </c>
      <c r="D137" s="10">
        <f t="shared" si="8"/>
        <v>1000</v>
      </c>
      <c r="E137" s="425">
        <f t="shared" si="7"/>
        <v>2000</v>
      </c>
      <c r="F137" s="10">
        <f t="shared" si="7"/>
        <v>2000</v>
      </c>
      <c r="G137" s="425">
        <f t="shared" si="7"/>
        <v>4000</v>
      </c>
      <c r="H137" s="41">
        <f t="shared" si="7"/>
        <v>614</v>
      </c>
      <c r="I137" s="10">
        <f t="shared" si="7"/>
        <v>0</v>
      </c>
      <c r="J137" s="10">
        <f t="shared" ref="J137:J200" si="9">IF(C137&gt;$J$4,C137-$J$4,0)</f>
        <v>0</v>
      </c>
      <c r="K137" s="113">
        <f t="shared" ref="K137:K200" si="10">(D137*D$7)+(E137*E$7)+(F137*F$7)+(G137*G$7)+(H137*H$7)+(I137*I$7)+(J137*J$7)</f>
        <v>4708695.573440643</v>
      </c>
    </row>
    <row r="138" spans="1:11" x14ac:dyDescent="0.25">
      <c r="A138" s="49">
        <f>'A) Base RI'!A137</f>
        <v>5625</v>
      </c>
      <c r="B138" s="295" t="str">
        <f>'A) Base RI'!B137</f>
        <v>Bussy-Chardonney</v>
      </c>
      <c r="C138" s="10">
        <f>'A) Base RI'!AO137</f>
        <v>404</v>
      </c>
      <c r="D138" s="10">
        <f t="shared" si="8"/>
        <v>404</v>
      </c>
      <c r="E138" s="425">
        <f t="shared" si="7"/>
        <v>0</v>
      </c>
      <c r="F138" s="10">
        <f t="shared" si="7"/>
        <v>0</v>
      </c>
      <c r="G138" s="425">
        <f t="shared" si="7"/>
        <v>0</v>
      </c>
      <c r="H138" s="41">
        <f t="shared" si="7"/>
        <v>0</v>
      </c>
      <c r="I138" s="10">
        <f t="shared" si="7"/>
        <v>0</v>
      </c>
      <c r="J138" s="10">
        <f t="shared" si="9"/>
        <v>0</v>
      </c>
      <c r="K138" s="113">
        <f t="shared" si="10"/>
        <v>50093.561368209244</v>
      </c>
    </row>
    <row r="139" spans="1:11" x14ac:dyDescent="0.25">
      <c r="A139" s="49">
        <f>'A) Base RI'!A138</f>
        <v>5627</v>
      </c>
      <c r="B139" s="295" t="str">
        <f>'A) Base RI'!B138</f>
        <v>Chavannes-près-Renens</v>
      </c>
      <c r="C139" s="10">
        <f>'A) Base RI'!AO138</f>
        <v>8487</v>
      </c>
      <c r="D139" s="10">
        <f t="shared" si="8"/>
        <v>1000</v>
      </c>
      <c r="E139" s="425">
        <f t="shared" si="7"/>
        <v>2000</v>
      </c>
      <c r="F139" s="10">
        <f t="shared" si="7"/>
        <v>2000</v>
      </c>
      <c r="G139" s="425">
        <f t="shared" si="7"/>
        <v>3487</v>
      </c>
      <c r="H139" s="41">
        <f t="shared" si="7"/>
        <v>0</v>
      </c>
      <c r="I139" s="10">
        <f t="shared" si="7"/>
        <v>0</v>
      </c>
      <c r="J139" s="10">
        <f t="shared" si="9"/>
        <v>0</v>
      </c>
      <c r="K139" s="113">
        <f t="shared" si="10"/>
        <v>3885673.2394366194</v>
      </c>
    </row>
    <row r="140" spans="1:11" x14ac:dyDescent="0.25">
      <c r="A140" s="49">
        <f>'A) Base RI'!A139</f>
        <v>5628</v>
      </c>
      <c r="B140" s="295" t="str">
        <f>'A) Base RI'!B139</f>
        <v>Chigny</v>
      </c>
      <c r="C140" s="10">
        <f>'A) Base RI'!AO139</f>
        <v>396</v>
      </c>
      <c r="D140" s="10">
        <f t="shared" si="8"/>
        <v>396</v>
      </c>
      <c r="E140" s="425">
        <f t="shared" si="7"/>
        <v>0</v>
      </c>
      <c r="F140" s="10">
        <f t="shared" si="7"/>
        <v>0</v>
      </c>
      <c r="G140" s="425">
        <f t="shared" si="7"/>
        <v>0</v>
      </c>
      <c r="H140" s="41">
        <f t="shared" si="7"/>
        <v>0</v>
      </c>
      <c r="I140" s="10">
        <f t="shared" si="7"/>
        <v>0</v>
      </c>
      <c r="J140" s="10">
        <f t="shared" si="9"/>
        <v>0</v>
      </c>
      <c r="K140" s="113">
        <f t="shared" si="10"/>
        <v>49101.60965794768</v>
      </c>
    </row>
    <row r="141" spans="1:11" x14ac:dyDescent="0.25">
      <c r="A141" s="49">
        <f>'A) Base RI'!A140</f>
        <v>5629</v>
      </c>
      <c r="B141" s="295" t="str">
        <f>'A) Base RI'!B140</f>
        <v>Clarmont</v>
      </c>
      <c r="C141" s="10">
        <f>'A) Base RI'!AO140</f>
        <v>201</v>
      </c>
      <c r="D141" s="10">
        <f t="shared" si="8"/>
        <v>201</v>
      </c>
      <c r="E141" s="425">
        <f t="shared" si="7"/>
        <v>0</v>
      </c>
      <c r="F141" s="10">
        <f t="shared" si="7"/>
        <v>0</v>
      </c>
      <c r="G141" s="425">
        <f t="shared" si="7"/>
        <v>0</v>
      </c>
      <c r="H141" s="41">
        <f t="shared" si="7"/>
        <v>0</v>
      </c>
      <c r="I141" s="10">
        <f t="shared" si="7"/>
        <v>0</v>
      </c>
      <c r="J141" s="10">
        <f t="shared" si="9"/>
        <v>0</v>
      </c>
      <c r="K141" s="113">
        <f t="shared" si="10"/>
        <v>24922.786720321928</v>
      </c>
    </row>
    <row r="142" spans="1:11" x14ac:dyDescent="0.25">
      <c r="A142" s="49">
        <f>'A) Base RI'!A141</f>
        <v>5631</v>
      </c>
      <c r="B142" s="295" t="str">
        <f>'A) Base RI'!B141</f>
        <v>Denens</v>
      </c>
      <c r="C142" s="10">
        <f>'A) Base RI'!AO141</f>
        <v>742</v>
      </c>
      <c r="D142" s="10">
        <f t="shared" si="8"/>
        <v>742</v>
      </c>
      <c r="E142" s="425">
        <f t="shared" si="7"/>
        <v>0</v>
      </c>
      <c r="F142" s="10">
        <f t="shared" si="7"/>
        <v>0</v>
      </c>
      <c r="G142" s="425">
        <f t="shared" si="7"/>
        <v>0</v>
      </c>
      <c r="H142" s="41">
        <f t="shared" si="7"/>
        <v>0</v>
      </c>
      <c r="I142" s="10">
        <f t="shared" si="7"/>
        <v>0</v>
      </c>
      <c r="J142" s="10">
        <f t="shared" si="9"/>
        <v>0</v>
      </c>
      <c r="K142" s="113">
        <f t="shared" si="10"/>
        <v>92003.521126760548</v>
      </c>
    </row>
    <row r="143" spans="1:11" x14ac:dyDescent="0.25">
      <c r="A143" s="49">
        <f>'A) Base RI'!A142</f>
        <v>5632</v>
      </c>
      <c r="B143" s="295" t="str">
        <f>'A) Base RI'!B142</f>
        <v>Denges</v>
      </c>
      <c r="C143" s="10">
        <f>'A) Base RI'!AO142</f>
        <v>1730</v>
      </c>
      <c r="D143" s="10">
        <f t="shared" si="8"/>
        <v>1000</v>
      </c>
      <c r="E143" s="425">
        <f t="shared" si="7"/>
        <v>730</v>
      </c>
      <c r="F143" s="10">
        <f t="shared" si="7"/>
        <v>0</v>
      </c>
      <c r="G143" s="425">
        <f t="shared" si="7"/>
        <v>0</v>
      </c>
      <c r="H143" s="41">
        <f t="shared" si="7"/>
        <v>0</v>
      </c>
      <c r="I143" s="10">
        <f t="shared" si="7"/>
        <v>0</v>
      </c>
      <c r="J143" s="10">
        <f t="shared" si="9"/>
        <v>0</v>
      </c>
      <c r="K143" s="113">
        <f t="shared" si="10"/>
        <v>377437.62575452711</v>
      </c>
    </row>
    <row r="144" spans="1:11" x14ac:dyDescent="0.25">
      <c r="A144" s="49">
        <f>'A) Base RI'!A143</f>
        <v>5633</v>
      </c>
      <c r="B144" s="295" t="str">
        <f>'A) Base RI'!B143</f>
        <v>Echandens</v>
      </c>
      <c r="C144" s="10">
        <f>'A) Base RI'!AO143</f>
        <v>2743</v>
      </c>
      <c r="D144" s="10">
        <f t="shared" si="8"/>
        <v>1000</v>
      </c>
      <c r="E144" s="425">
        <f t="shared" si="7"/>
        <v>1743</v>
      </c>
      <c r="F144" s="10">
        <f t="shared" si="7"/>
        <v>0</v>
      </c>
      <c r="G144" s="425">
        <f t="shared" si="7"/>
        <v>0</v>
      </c>
      <c r="H144" s="41">
        <f t="shared" si="7"/>
        <v>0</v>
      </c>
      <c r="I144" s="10">
        <f t="shared" si="7"/>
        <v>0</v>
      </c>
      <c r="J144" s="10">
        <f t="shared" si="9"/>
        <v>0</v>
      </c>
      <c r="K144" s="113">
        <f t="shared" si="10"/>
        <v>729134.10462776653</v>
      </c>
    </row>
    <row r="145" spans="1:11" x14ac:dyDescent="0.25">
      <c r="A145" s="49">
        <f>'A) Base RI'!A144</f>
        <v>5634</v>
      </c>
      <c r="B145" s="295" t="str">
        <f>'A) Base RI'!B144</f>
        <v>Echichens</v>
      </c>
      <c r="C145" s="10">
        <f>'A) Base RI'!AO144</f>
        <v>3127</v>
      </c>
      <c r="D145" s="10">
        <f t="shared" si="8"/>
        <v>1000</v>
      </c>
      <c r="E145" s="425">
        <f t="shared" si="7"/>
        <v>2000</v>
      </c>
      <c r="F145" s="10">
        <f t="shared" si="7"/>
        <v>127</v>
      </c>
      <c r="G145" s="425">
        <f t="shared" si="7"/>
        <v>0</v>
      </c>
      <c r="H145" s="41">
        <f t="shared" si="7"/>
        <v>0</v>
      </c>
      <c r="I145" s="10">
        <f t="shared" si="7"/>
        <v>0</v>
      </c>
      <c r="J145" s="10">
        <f t="shared" si="9"/>
        <v>0</v>
      </c>
      <c r="K145" s="113">
        <f t="shared" si="10"/>
        <v>881349.09456740436</v>
      </c>
    </row>
    <row r="146" spans="1:11" x14ac:dyDescent="0.25">
      <c r="A146" s="49">
        <f>'A) Base RI'!A145</f>
        <v>5635</v>
      </c>
      <c r="B146" s="295" t="str">
        <f>'A) Base RI'!B145</f>
        <v>Ecublens</v>
      </c>
      <c r="C146" s="10">
        <f>'A) Base RI'!AO145</f>
        <v>13164</v>
      </c>
      <c r="D146" s="10">
        <f t="shared" si="8"/>
        <v>1000</v>
      </c>
      <c r="E146" s="425">
        <f t="shared" si="7"/>
        <v>2000</v>
      </c>
      <c r="F146" s="10">
        <f t="shared" si="7"/>
        <v>2000</v>
      </c>
      <c r="G146" s="425">
        <f t="shared" si="7"/>
        <v>4000</v>
      </c>
      <c r="H146" s="41">
        <f t="shared" si="7"/>
        <v>3000</v>
      </c>
      <c r="I146" s="10">
        <f t="shared" si="7"/>
        <v>1164</v>
      </c>
      <c r="J146" s="10">
        <f t="shared" si="9"/>
        <v>0</v>
      </c>
      <c r="K146" s="113">
        <f t="shared" si="10"/>
        <v>7875104.627766598</v>
      </c>
    </row>
    <row r="147" spans="1:11" x14ac:dyDescent="0.25">
      <c r="A147" s="49">
        <f>'A) Base RI'!A146</f>
        <v>5636</v>
      </c>
      <c r="B147" s="295" t="str">
        <f>'A) Base RI'!B146</f>
        <v>Etoy</v>
      </c>
      <c r="C147" s="10">
        <f>'A) Base RI'!AO146</f>
        <v>2909</v>
      </c>
      <c r="D147" s="10">
        <f t="shared" si="8"/>
        <v>1000</v>
      </c>
      <c r="E147" s="425">
        <f t="shared" si="7"/>
        <v>1909</v>
      </c>
      <c r="F147" s="10">
        <f t="shared" si="7"/>
        <v>0</v>
      </c>
      <c r="G147" s="425">
        <f t="shared" si="7"/>
        <v>0</v>
      </c>
      <c r="H147" s="41">
        <f t="shared" si="7"/>
        <v>0</v>
      </c>
      <c r="I147" s="10">
        <f t="shared" si="7"/>
        <v>0</v>
      </c>
      <c r="J147" s="10">
        <f t="shared" si="9"/>
        <v>0</v>
      </c>
      <c r="K147" s="113">
        <f t="shared" si="10"/>
        <v>786766.4989939637</v>
      </c>
    </row>
    <row r="148" spans="1:11" x14ac:dyDescent="0.25">
      <c r="A148" s="49">
        <f>'A) Base RI'!A147</f>
        <v>5637</v>
      </c>
      <c r="B148" s="295" t="str">
        <f>'A) Base RI'!B147</f>
        <v>Lavigny</v>
      </c>
      <c r="C148" s="10">
        <f>'A) Base RI'!AO147</f>
        <v>1008</v>
      </c>
      <c r="D148" s="10">
        <f t="shared" si="8"/>
        <v>1000</v>
      </c>
      <c r="E148" s="425">
        <f t="shared" si="7"/>
        <v>8</v>
      </c>
      <c r="F148" s="10">
        <f t="shared" si="7"/>
        <v>0</v>
      </c>
      <c r="G148" s="425">
        <f t="shared" si="7"/>
        <v>0</v>
      </c>
      <c r="H148" s="41">
        <f t="shared" si="7"/>
        <v>0</v>
      </c>
      <c r="I148" s="10">
        <f t="shared" si="7"/>
        <v>0</v>
      </c>
      <c r="J148" s="10">
        <f t="shared" si="9"/>
        <v>0</v>
      </c>
      <c r="K148" s="113">
        <f t="shared" si="10"/>
        <v>126771.42857142855</v>
      </c>
    </row>
    <row r="149" spans="1:11" x14ac:dyDescent="0.25">
      <c r="A149" s="49">
        <f>'A) Base RI'!A148</f>
        <v>5638</v>
      </c>
      <c r="B149" s="295" t="str">
        <f>'A) Base RI'!B148</f>
        <v>Lonay</v>
      </c>
      <c r="C149" s="10">
        <f>'A) Base RI'!AO148</f>
        <v>2679</v>
      </c>
      <c r="D149" s="10">
        <f t="shared" si="8"/>
        <v>1000</v>
      </c>
      <c r="E149" s="425">
        <f t="shared" si="7"/>
        <v>1679</v>
      </c>
      <c r="F149" s="10">
        <f t="shared" si="7"/>
        <v>0</v>
      </c>
      <c r="G149" s="425">
        <f t="shared" si="7"/>
        <v>0</v>
      </c>
      <c r="H149" s="41">
        <f t="shared" si="7"/>
        <v>0</v>
      </c>
      <c r="I149" s="10">
        <f t="shared" si="7"/>
        <v>0</v>
      </c>
      <c r="J149" s="10">
        <f t="shared" si="9"/>
        <v>0</v>
      </c>
      <c r="K149" s="113">
        <f t="shared" si="10"/>
        <v>706914.38631790737</v>
      </c>
    </row>
    <row r="150" spans="1:11" x14ac:dyDescent="0.25">
      <c r="A150" s="49">
        <f>'A) Base RI'!A149</f>
        <v>5639</v>
      </c>
      <c r="B150" s="295" t="str">
        <f>'A) Base RI'!B149</f>
        <v>Lully</v>
      </c>
      <c r="C150" s="10">
        <f>'A) Base RI'!AO149</f>
        <v>825</v>
      </c>
      <c r="D150" s="10">
        <f t="shared" si="8"/>
        <v>825</v>
      </c>
      <c r="E150" s="425">
        <f t="shared" si="7"/>
        <v>0</v>
      </c>
      <c r="F150" s="10">
        <f t="shared" si="7"/>
        <v>0</v>
      </c>
      <c r="G150" s="425">
        <f t="shared" si="7"/>
        <v>0</v>
      </c>
      <c r="H150" s="41">
        <f t="shared" si="7"/>
        <v>0</v>
      </c>
      <c r="I150" s="10">
        <f t="shared" si="7"/>
        <v>0</v>
      </c>
      <c r="J150" s="10">
        <f t="shared" si="9"/>
        <v>0</v>
      </c>
      <c r="K150" s="113">
        <f t="shared" si="10"/>
        <v>102295.02012072432</v>
      </c>
    </row>
    <row r="151" spans="1:11" x14ac:dyDescent="0.25">
      <c r="A151" s="49">
        <f>'A) Base RI'!A150</f>
        <v>5640</v>
      </c>
      <c r="B151" s="295" t="str">
        <f>'A) Base RI'!B150</f>
        <v>Lussy-sur-Morges</v>
      </c>
      <c r="C151" s="10">
        <f>'A) Base RI'!AO150</f>
        <v>722</v>
      </c>
      <c r="D151" s="10">
        <f t="shared" si="8"/>
        <v>722</v>
      </c>
      <c r="E151" s="425">
        <f t="shared" si="7"/>
        <v>0</v>
      </c>
      <c r="F151" s="10">
        <f t="shared" si="7"/>
        <v>0</v>
      </c>
      <c r="G151" s="425">
        <f t="shared" si="7"/>
        <v>0</v>
      </c>
      <c r="H151" s="41">
        <f t="shared" si="7"/>
        <v>0</v>
      </c>
      <c r="I151" s="10">
        <f t="shared" si="7"/>
        <v>0</v>
      </c>
      <c r="J151" s="10">
        <f t="shared" si="9"/>
        <v>0</v>
      </c>
      <c r="K151" s="113">
        <f t="shared" si="10"/>
        <v>89523.641851106629</v>
      </c>
    </row>
    <row r="152" spans="1:11" x14ac:dyDescent="0.25">
      <c r="A152" s="49">
        <f>'A) Base RI'!A151</f>
        <v>5642</v>
      </c>
      <c r="B152" s="295" t="str">
        <f>'A) Base RI'!B151</f>
        <v>Morges</v>
      </c>
      <c r="C152" s="10">
        <f>'A) Base RI'!AO151</f>
        <v>16095</v>
      </c>
      <c r="D152" s="10">
        <f t="shared" si="8"/>
        <v>1000</v>
      </c>
      <c r="E152" s="425">
        <f t="shared" si="7"/>
        <v>2000</v>
      </c>
      <c r="F152" s="10">
        <f t="shared" si="7"/>
        <v>2000</v>
      </c>
      <c r="G152" s="425">
        <f t="shared" si="7"/>
        <v>4000</v>
      </c>
      <c r="H152" s="41">
        <f t="shared" si="7"/>
        <v>3000</v>
      </c>
      <c r="I152" s="10">
        <f t="shared" si="7"/>
        <v>3000</v>
      </c>
      <c r="J152" s="10">
        <f t="shared" si="9"/>
        <v>1095</v>
      </c>
      <c r="K152" s="113">
        <f t="shared" si="10"/>
        <v>10836824.446680078</v>
      </c>
    </row>
    <row r="153" spans="1:11" x14ac:dyDescent="0.25">
      <c r="A153" s="49">
        <f>'A) Base RI'!A152</f>
        <v>5643</v>
      </c>
      <c r="B153" s="295" t="str">
        <f>'A) Base RI'!B152</f>
        <v>Préverenges</v>
      </c>
      <c r="C153" s="10">
        <f>'A) Base RI'!AO152</f>
        <v>5241</v>
      </c>
      <c r="D153" s="10">
        <f t="shared" si="8"/>
        <v>1000</v>
      </c>
      <c r="E153" s="425">
        <f t="shared" si="7"/>
        <v>2000</v>
      </c>
      <c r="F153" s="10">
        <f t="shared" si="7"/>
        <v>2000</v>
      </c>
      <c r="G153" s="425">
        <f t="shared" si="7"/>
        <v>241</v>
      </c>
      <c r="H153" s="41">
        <f t="shared" si="7"/>
        <v>0</v>
      </c>
      <c r="I153" s="10">
        <f t="shared" si="7"/>
        <v>0</v>
      </c>
      <c r="J153" s="10">
        <f t="shared" si="9"/>
        <v>0</v>
      </c>
      <c r="K153" s="113">
        <f t="shared" si="10"/>
        <v>1953748.088531187</v>
      </c>
    </row>
    <row r="154" spans="1:11" x14ac:dyDescent="0.25">
      <c r="A154" s="49">
        <f>'A) Base RI'!A153</f>
        <v>5644</v>
      </c>
      <c r="B154" s="295" t="str">
        <f>'A) Base RI'!B153</f>
        <v>Reverolle</v>
      </c>
      <c r="C154" s="10">
        <f>'A) Base RI'!AO153</f>
        <v>407</v>
      </c>
      <c r="D154" s="10">
        <f t="shared" si="8"/>
        <v>407</v>
      </c>
      <c r="E154" s="425">
        <f t="shared" si="7"/>
        <v>0</v>
      </c>
      <c r="F154" s="10">
        <f t="shared" si="7"/>
        <v>0</v>
      </c>
      <c r="G154" s="425">
        <f t="shared" si="7"/>
        <v>0</v>
      </c>
      <c r="H154" s="41">
        <f t="shared" si="7"/>
        <v>0</v>
      </c>
      <c r="I154" s="10">
        <f t="shared" si="7"/>
        <v>0</v>
      </c>
      <c r="J154" s="10">
        <f t="shared" si="9"/>
        <v>0</v>
      </c>
      <c r="K154" s="113">
        <f t="shared" si="10"/>
        <v>50465.543259557337</v>
      </c>
    </row>
    <row r="155" spans="1:11" x14ac:dyDescent="0.25">
      <c r="A155" s="49">
        <f>'A) Base RI'!A154</f>
        <v>5645</v>
      </c>
      <c r="B155" s="295" t="str">
        <f>'A) Base RI'!B154</f>
        <v>Romanel-sur-Morges</v>
      </c>
      <c r="C155" s="10">
        <f>'A) Base RI'!AO154</f>
        <v>466</v>
      </c>
      <c r="D155" s="10">
        <f t="shared" si="8"/>
        <v>466</v>
      </c>
      <c r="E155" s="425">
        <f t="shared" si="7"/>
        <v>0</v>
      </c>
      <c r="F155" s="10">
        <f t="shared" si="7"/>
        <v>0</v>
      </c>
      <c r="G155" s="425">
        <f t="shared" si="7"/>
        <v>0</v>
      </c>
      <c r="H155" s="41">
        <f t="shared" si="7"/>
        <v>0</v>
      </c>
      <c r="I155" s="10">
        <f t="shared" si="7"/>
        <v>0</v>
      </c>
      <c r="J155" s="10">
        <f t="shared" si="9"/>
        <v>0</v>
      </c>
      <c r="K155" s="113">
        <f t="shared" si="10"/>
        <v>57781.18712273641</v>
      </c>
    </row>
    <row r="156" spans="1:11" x14ac:dyDescent="0.25">
      <c r="A156" s="49">
        <f>'A) Base RI'!A155</f>
        <v>5646</v>
      </c>
      <c r="B156" s="295" t="str">
        <f>'A) Base RI'!B155</f>
        <v>Saint-Prex</v>
      </c>
      <c r="C156" s="10">
        <f>'A) Base RI'!AO155</f>
        <v>5865</v>
      </c>
      <c r="D156" s="10">
        <f t="shared" si="8"/>
        <v>1000</v>
      </c>
      <c r="E156" s="425">
        <f t="shared" si="7"/>
        <v>2000</v>
      </c>
      <c r="F156" s="10">
        <f t="shared" si="7"/>
        <v>2000</v>
      </c>
      <c r="G156" s="425">
        <f t="shared" si="7"/>
        <v>865</v>
      </c>
      <c r="H156" s="41">
        <f t="shared" si="7"/>
        <v>0</v>
      </c>
      <c r="I156" s="10">
        <f t="shared" si="7"/>
        <v>0</v>
      </c>
      <c r="J156" s="10">
        <f t="shared" si="9"/>
        <v>0</v>
      </c>
      <c r="K156" s="113">
        <f t="shared" si="10"/>
        <v>2325134.8088531187</v>
      </c>
    </row>
    <row r="157" spans="1:11" x14ac:dyDescent="0.25">
      <c r="A157" s="49">
        <f>'A) Base RI'!A156</f>
        <v>5648</v>
      </c>
      <c r="B157" s="295" t="str">
        <f>'A) Base RI'!B156</f>
        <v>Saint-Sulpice</v>
      </c>
      <c r="C157" s="10">
        <f>'A) Base RI'!AO156</f>
        <v>4909</v>
      </c>
      <c r="D157" s="10">
        <f t="shared" si="8"/>
        <v>1000</v>
      </c>
      <c r="E157" s="425">
        <f t="shared" si="7"/>
        <v>2000</v>
      </c>
      <c r="F157" s="10">
        <f t="shared" si="7"/>
        <v>1909</v>
      </c>
      <c r="G157" s="425">
        <f t="shared" ref="E157:I208" si="11">IF($C157&gt;G$4,IF($C157&lt;G$5,$C157-G$4,G$5-G$4),0)</f>
        <v>0</v>
      </c>
      <c r="H157" s="41">
        <f t="shared" si="11"/>
        <v>0</v>
      </c>
      <c r="I157" s="10">
        <f t="shared" si="11"/>
        <v>0</v>
      </c>
      <c r="J157" s="10">
        <f t="shared" si="9"/>
        <v>0</v>
      </c>
      <c r="K157" s="113">
        <f t="shared" si="10"/>
        <v>1765178.0684104627</v>
      </c>
    </row>
    <row r="158" spans="1:11" x14ac:dyDescent="0.25">
      <c r="A158" s="49">
        <f>'A) Base RI'!A157</f>
        <v>5649</v>
      </c>
      <c r="B158" s="295" t="str">
        <f>'A) Base RI'!B157</f>
        <v>Tolochenaz</v>
      </c>
      <c r="C158" s="10">
        <f>'A) Base RI'!AO157</f>
        <v>1889</v>
      </c>
      <c r="D158" s="10">
        <f t="shared" si="8"/>
        <v>1000</v>
      </c>
      <c r="E158" s="425">
        <f t="shared" si="11"/>
        <v>889</v>
      </c>
      <c r="F158" s="10">
        <f t="shared" si="11"/>
        <v>0</v>
      </c>
      <c r="G158" s="425">
        <f t="shared" si="11"/>
        <v>0</v>
      </c>
      <c r="H158" s="41">
        <f t="shared" si="11"/>
        <v>0</v>
      </c>
      <c r="I158" s="10">
        <f t="shared" si="11"/>
        <v>0</v>
      </c>
      <c r="J158" s="10">
        <f t="shared" si="9"/>
        <v>0</v>
      </c>
      <c r="K158" s="113">
        <f t="shared" si="10"/>
        <v>432639.73843058344</v>
      </c>
    </row>
    <row r="159" spans="1:11" x14ac:dyDescent="0.25">
      <c r="A159" s="49">
        <f>'A) Base RI'!A158</f>
        <v>5650</v>
      </c>
      <c r="B159" s="295" t="str">
        <f>'A) Base RI'!B158</f>
        <v>Vaux-sur-Morges</v>
      </c>
      <c r="C159" s="10">
        <f>'A) Base RI'!AO158</f>
        <v>194</v>
      </c>
      <c r="D159" s="10">
        <f t="shared" si="8"/>
        <v>194</v>
      </c>
      <c r="E159" s="425">
        <f t="shared" si="11"/>
        <v>0</v>
      </c>
      <c r="F159" s="10">
        <f t="shared" si="11"/>
        <v>0</v>
      </c>
      <c r="G159" s="425">
        <f t="shared" si="11"/>
        <v>0</v>
      </c>
      <c r="H159" s="41">
        <f t="shared" si="11"/>
        <v>0</v>
      </c>
      <c r="I159" s="10">
        <f t="shared" si="11"/>
        <v>0</v>
      </c>
      <c r="J159" s="10">
        <f t="shared" si="9"/>
        <v>0</v>
      </c>
      <c r="K159" s="113">
        <f t="shared" si="10"/>
        <v>24054.828973843054</v>
      </c>
    </row>
    <row r="160" spans="1:11" x14ac:dyDescent="0.25">
      <c r="A160" s="49">
        <f>'A) Base RI'!A159</f>
        <v>5651</v>
      </c>
      <c r="B160" s="295" t="str">
        <f>'A) Base RI'!B159</f>
        <v>Villars-Sainte-Croix</v>
      </c>
      <c r="C160" s="10">
        <f>'A) Base RI'!AO159</f>
        <v>958</v>
      </c>
      <c r="D160" s="10">
        <f t="shared" si="8"/>
        <v>958</v>
      </c>
      <c r="E160" s="425">
        <f t="shared" si="11"/>
        <v>0</v>
      </c>
      <c r="F160" s="10">
        <f t="shared" si="11"/>
        <v>0</v>
      </c>
      <c r="G160" s="425">
        <f t="shared" si="11"/>
        <v>0</v>
      </c>
      <c r="H160" s="41">
        <f t="shared" si="11"/>
        <v>0</v>
      </c>
      <c r="I160" s="10">
        <f t="shared" si="11"/>
        <v>0</v>
      </c>
      <c r="J160" s="10">
        <f t="shared" si="9"/>
        <v>0</v>
      </c>
      <c r="K160" s="113">
        <f t="shared" si="10"/>
        <v>118786.21730382292</v>
      </c>
    </row>
    <row r="161" spans="1:11" x14ac:dyDescent="0.25">
      <c r="A161" s="49">
        <f>'A) Base RI'!A160</f>
        <v>5652</v>
      </c>
      <c r="B161" s="295" t="str">
        <f>'A) Base RI'!B160</f>
        <v>Villars-sous-Yens</v>
      </c>
      <c r="C161" s="10">
        <f>'A) Base RI'!AO160</f>
        <v>615</v>
      </c>
      <c r="D161" s="10">
        <f t="shared" si="8"/>
        <v>615</v>
      </c>
      <c r="E161" s="425">
        <f t="shared" si="11"/>
        <v>0</v>
      </c>
      <c r="F161" s="10">
        <f t="shared" si="11"/>
        <v>0</v>
      </c>
      <c r="G161" s="425">
        <f t="shared" si="11"/>
        <v>0</v>
      </c>
      <c r="H161" s="41">
        <f t="shared" si="11"/>
        <v>0</v>
      </c>
      <c r="I161" s="10">
        <f t="shared" si="11"/>
        <v>0</v>
      </c>
      <c r="J161" s="10">
        <f t="shared" si="9"/>
        <v>0</v>
      </c>
      <c r="K161" s="113">
        <f t="shared" si="10"/>
        <v>76256.287726358132</v>
      </c>
    </row>
    <row r="162" spans="1:11" x14ac:dyDescent="0.25">
      <c r="A162" s="49">
        <f>'A) Base RI'!A161</f>
        <v>5653</v>
      </c>
      <c r="B162" s="295" t="str">
        <f>'A) Base RI'!B161</f>
        <v>Vufflens-le-Château</v>
      </c>
      <c r="C162" s="10">
        <f>'A) Base RI'!AO161</f>
        <v>870</v>
      </c>
      <c r="D162" s="10">
        <f t="shared" si="8"/>
        <v>870</v>
      </c>
      <c r="E162" s="425">
        <f t="shared" si="11"/>
        <v>0</v>
      </c>
      <c r="F162" s="10">
        <f t="shared" si="11"/>
        <v>0</v>
      </c>
      <c r="G162" s="425">
        <f t="shared" si="11"/>
        <v>0</v>
      </c>
      <c r="H162" s="41">
        <f t="shared" si="11"/>
        <v>0</v>
      </c>
      <c r="I162" s="10">
        <f t="shared" si="11"/>
        <v>0</v>
      </c>
      <c r="J162" s="10">
        <f t="shared" si="9"/>
        <v>0</v>
      </c>
      <c r="K162" s="113">
        <f t="shared" si="10"/>
        <v>107874.74849094565</v>
      </c>
    </row>
    <row r="163" spans="1:11" x14ac:dyDescent="0.25">
      <c r="A163" s="49">
        <f>'A) Base RI'!A162</f>
        <v>5654</v>
      </c>
      <c r="B163" s="295" t="str">
        <f>'A) Base RI'!B162</f>
        <v>Vullierens</v>
      </c>
      <c r="C163" s="10">
        <f>'A) Base RI'!AO162</f>
        <v>542</v>
      </c>
      <c r="D163" s="10">
        <f t="shared" si="8"/>
        <v>542</v>
      </c>
      <c r="E163" s="425">
        <f t="shared" si="11"/>
        <v>0</v>
      </c>
      <c r="F163" s="10">
        <f t="shared" si="11"/>
        <v>0</v>
      </c>
      <c r="G163" s="425">
        <f t="shared" si="11"/>
        <v>0</v>
      </c>
      <c r="H163" s="41">
        <f t="shared" si="11"/>
        <v>0</v>
      </c>
      <c r="I163" s="10">
        <f t="shared" si="11"/>
        <v>0</v>
      </c>
      <c r="J163" s="10">
        <f t="shared" si="9"/>
        <v>0</v>
      </c>
      <c r="K163" s="113">
        <f t="shared" si="10"/>
        <v>67204.728370221317</v>
      </c>
    </row>
    <row r="164" spans="1:11" x14ac:dyDescent="0.25">
      <c r="A164" s="49">
        <f>'A) Base RI'!A163</f>
        <v>5655</v>
      </c>
      <c r="B164" s="295" t="str">
        <f>'A) Base RI'!B163</f>
        <v>Yens</v>
      </c>
      <c r="C164" s="10">
        <f>'A) Base RI'!AO163</f>
        <v>1480</v>
      </c>
      <c r="D164" s="10">
        <f t="shared" si="8"/>
        <v>1000</v>
      </c>
      <c r="E164" s="425">
        <f t="shared" si="11"/>
        <v>480</v>
      </c>
      <c r="F164" s="10">
        <f t="shared" si="11"/>
        <v>0</v>
      </c>
      <c r="G164" s="425">
        <f t="shared" si="11"/>
        <v>0</v>
      </c>
      <c r="H164" s="41">
        <f t="shared" si="11"/>
        <v>0</v>
      </c>
      <c r="I164" s="10">
        <f t="shared" si="11"/>
        <v>0</v>
      </c>
      <c r="J164" s="10">
        <f t="shared" si="9"/>
        <v>0</v>
      </c>
      <c r="K164" s="113">
        <f t="shared" si="10"/>
        <v>290641.85110663978</v>
      </c>
    </row>
    <row r="165" spans="1:11" x14ac:dyDescent="0.25">
      <c r="A165" s="49">
        <f>'A) Base RI'!A164</f>
        <v>5661</v>
      </c>
      <c r="B165" s="295" t="str">
        <f>'A) Base RI'!B164</f>
        <v>Boulens</v>
      </c>
      <c r="C165" s="10">
        <f>'A) Base RI'!AO164</f>
        <v>369</v>
      </c>
      <c r="D165" s="10">
        <f t="shared" si="8"/>
        <v>369</v>
      </c>
      <c r="E165" s="425">
        <f t="shared" si="11"/>
        <v>0</v>
      </c>
      <c r="F165" s="10">
        <f t="shared" si="11"/>
        <v>0</v>
      </c>
      <c r="G165" s="425">
        <f t="shared" si="11"/>
        <v>0</v>
      </c>
      <c r="H165" s="41">
        <f t="shared" si="11"/>
        <v>0</v>
      </c>
      <c r="I165" s="10">
        <f t="shared" si="11"/>
        <v>0</v>
      </c>
      <c r="J165" s="10">
        <f t="shared" si="9"/>
        <v>0</v>
      </c>
      <c r="K165" s="113">
        <f t="shared" si="10"/>
        <v>45753.772635814879</v>
      </c>
    </row>
    <row r="166" spans="1:11" x14ac:dyDescent="0.25">
      <c r="A166" s="49">
        <f>'A) Base RI'!A165</f>
        <v>5663</v>
      </c>
      <c r="B166" s="295" t="str">
        <f>'A) Base RI'!B165</f>
        <v>Bussy-sur-Moudon</v>
      </c>
      <c r="C166" s="10">
        <f>'A) Base RI'!AO165</f>
        <v>219</v>
      </c>
      <c r="D166" s="10">
        <f t="shared" si="8"/>
        <v>219</v>
      </c>
      <c r="E166" s="425">
        <f t="shared" si="11"/>
        <v>0</v>
      </c>
      <c r="F166" s="10">
        <f t="shared" si="11"/>
        <v>0</v>
      </c>
      <c r="G166" s="425">
        <f t="shared" si="11"/>
        <v>0</v>
      </c>
      <c r="H166" s="41">
        <f t="shared" si="11"/>
        <v>0</v>
      </c>
      <c r="I166" s="10">
        <f t="shared" si="11"/>
        <v>0</v>
      </c>
      <c r="J166" s="10">
        <f t="shared" si="9"/>
        <v>0</v>
      </c>
      <c r="K166" s="113">
        <f t="shared" si="10"/>
        <v>27154.67806841046</v>
      </c>
    </row>
    <row r="167" spans="1:11" x14ac:dyDescent="0.25">
      <c r="A167" s="49">
        <f>'A) Base RI'!A166</f>
        <v>5665</v>
      </c>
      <c r="B167" s="295" t="str">
        <f>'A) Base RI'!B166</f>
        <v>Chavannes-sur-Moudon</v>
      </c>
      <c r="C167" s="10">
        <f>'A) Base RI'!AO166</f>
        <v>223</v>
      </c>
      <c r="D167" s="10">
        <f t="shared" si="8"/>
        <v>223</v>
      </c>
      <c r="E167" s="425">
        <f t="shared" si="11"/>
        <v>0</v>
      </c>
      <c r="F167" s="10">
        <f t="shared" si="11"/>
        <v>0</v>
      </c>
      <c r="G167" s="425">
        <f t="shared" si="11"/>
        <v>0</v>
      </c>
      <c r="H167" s="41">
        <f t="shared" si="11"/>
        <v>0</v>
      </c>
      <c r="I167" s="10">
        <f t="shared" si="11"/>
        <v>0</v>
      </c>
      <c r="J167" s="10">
        <f t="shared" si="9"/>
        <v>0</v>
      </c>
      <c r="K167" s="113">
        <f t="shared" si="10"/>
        <v>27650.653923541242</v>
      </c>
    </row>
    <row r="168" spans="1:11" x14ac:dyDescent="0.25">
      <c r="A168" s="49">
        <f>'A) Base RI'!A167</f>
        <v>5669</v>
      </c>
      <c r="B168" s="295" t="str">
        <f>'A) Base RI'!B167</f>
        <v>Curtilles</v>
      </c>
      <c r="C168" s="10">
        <f>'A) Base RI'!AO167</f>
        <v>301</v>
      </c>
      <c r="D168" s="10">
        <f t="shared" si="8"/>
        <v>301</v>
      </c>
      <c r="E168" s="425">
        <f t="shared" si="11"/>
        <v>0</v>
      </c>
      <c r="F168" s="10">
        <f t="shared" si="11"/>
        <v>0</v>
      </c>
      <c r="G168" s="425">
        <f t="shared" si="11"/>
        <v>0</v>
      </c>
      <c r="H168" s="41">
        <f t="shared" si="11"/>
        <v>0</v>
      </c>
      <c r="I168" s="10">
        <f t="shared" si="11"/>
        <v>0</v>
      </c>
      <c r="J168" s="10">
        <f t="shared" si="9"/>
        <v>0</v>
      </c>
      <c r="K168" s="113">
        <f t="shared" si="10"/>
        <v>37322.183098591544</v>
      </c>
    </row>
    <row r="169" spans="1:11" x14ac:dyDescent="0.25">
      <c r="A169" s="49">
        <f>'A) Base RI'!A168</f>
        <v>5671</v>
      </c>
      <c r="B169" s="295" t="str">
        <f>'A) Base RI'!B168</f>
        <v>Dompierre</v>
      </c>
      <c r="C169" s="10">
        <f>'A) Base RI'!AO168</f>
        <v>245</v>
      </c>
      <c r="D169" s="10">
        <f t="shared" si="8"/>
        <v>245</v>
      </c>
      <c r="E169" s="425">
        <f t="shared" si="11"/>
        <v>0</v>
      </c>
      <c r="F169" s="10">
        <f t="shared" si="11"/>
        <v>0</v>
      </c>
      <c r="G169" s="425">
        <f t="shared" si="11"/>
        <v>0</v>
      </c>
      <c r="H169" s="41">
        <f t="shared" si="11"/>
        <v>0</v>
      </c>
      <c r="I169" s="10">
        <f t="shared" si="11"/>
        <v>0</v>
      </c>
      <c r="J169" s="10">
        <f t="shared" si="9"/>
        <v>0</v>
      </c>
      <c r="K169" s="113">
        <f t="shared" si="10"/>
        <v>30378.521126760559</v>
      </c>
    </row>
    <row r="170" spans="1:11" x14ac:dyDescent="0.25">
      <c r="A170" s="49">
        <f>'A) Base RI'!A169</f>
        <v>5673</v>
      </c>
      <c r="B170" s="295" t="str">
        <f>'A) Base RI'!B169</f>
        <v>Hermenches</v>
      </c>
      <c r="C170" s="10">
        <f>'A) Base RI'!AO169</f>
        <v>384</v>
      </c>
      <c r="D170" s="10">
        <f t="shared" si="8"/>
        <v>384</v>
      </c>
      <c r="E170" s="425">
        <f t="shared" si="11"/>
        <v>0</v>
      </c>
      <c r="F170" s="10">
        <f t="shared" si="11"/>
        <v>0</v>
      </c>
      <c r="G170" s="425">
        <f t="shared" si="11"/>
        <v>0</v>
      </c>
      <c r="H170" s="41">
        <f t="shared" si="11"/>
        <v>0</v>
      </c>
      <c r="I170" s="10">
        <f t="shared" si="11"/>
        <v>0</v>
      </c>
      <c r="J170" s="10">
        <f t="shared" si="9"/>
        <v>0</v>
      </c>
      <c r="K170" s="113">
        <f t="shared" si="10"/>
        <v>47613.682092555326</v>
      </c>
    </row>
    <row r="171" spans="1:11" x14ac:dyDescent="0.25">
      <c r="A171" s="49">
        <f>'A) Base RI'!A170</f>
        <v>5674</v>
      </c>
      <c r="B171" s="295" t="str">
        <f>'A) Base RI'!B170</f>
        <v>Lovatens</v>
      </c>
      <c r="C171" s="10">
        <f>'A) Base RI'!AO170</f>
        <v>142</v>
      </c>
      <c r="D171" s="10">
        <f t="shared" ref="D171:D234" si="12">IF($C171&gt;D$4,IF($C171&lt;D$5,$C171-D$4,D$5-D$4),0)</f>
        <v>142</v>
      </c>
      <c r="E171" s="425">
        <f t="shared" si="11"/>
        <v>0</v>
      </c>
      <c r="F171" s="10">
        <f t="shared" si="11"/>
        <v>0</v>
      </c>
      <c r="G171" s="425">
        <f t="shared" si="11"/>
        <v>0</v>
      </c>
      <c r="H171" s="41">
        <f t="shared" si="11"/>
        <v>0</v>
      </c>
      <c r="I171" s="10">
        <f t="shared" si="11"/>
        <v>0</v>
      </c>
      <c r="J171" s="10">
        <f t="shared" si="9"/>
        <v>0</v>
      </c>
      <c r="K171" s="113">
        <f t="shared" si="10"/>
        <v>17607.142857142855</v>
      </c>
    </row>
    <row r="172" spans="1:11" x14ac:dyDescent="0.25">
      <c r="A172" s="49">
        <f>'A) Base RI'!A171</f>
        <v>5675</v>
      </c>
      <c r="B172" s="295" t="str">
        <f>'A) Base RI'!B171</f>
        <v>Lucens</v>
      </c>
      <c r="C172" s="10">
        <f>'A) Base RI'!AO171</f>
        <v>4309</v>
      </c>
      <c r="D172" s="10">
        <f t="shared" si="12"/>
        <v>1000</v>
      </c>
      <c r="E172" s="425">
        <f t="shared" si="11"/>
        <v>2000</v>
      </c>
      <c r="F172" s="10">
        <f t="shared" si="11"/>
        <v>1309</v>
      </c>
      <c r="G172" s="425">
        <f t="shared" si="11"/>
        <v>0</v>
      </c>
      <c r="H172" s="41">
        <f t="shared" si="11"/>
        <v>0</v>
      </c>
      <c r="I172" s="10">
        <f t="shared" si="11"/>
        <v>0</v>
      </c>
      <c r="J172" s="10">
        <f t="shared" si="9"/>
        <v>0</v>
      </c>
      <c r="K172" s="113">
        <f t="shared" si="10"/>
        <v>1467592.5553319918</v>
      </c>
    </row>
    <row r="173" spans="1:11" x14ac:dyDescent="0.25">
      <c r="A173" s="49">
        <f>'A) Base RI'!A172</f>
        <v>5678</v>
      </c>
      <c r="B173" s="295" t="str">
        <f>'A) Base RI'!B172</f>
        <v>Moudon</v>
      </c>
      <c r="C173" s="10">
        <f>'A) Base RI'!AO172</f>
        <v>6109</v>
      </c>
      <c r="D173" s="10">
        <f t="shared" si="12"/>
        <v>1000</v>
      </c>
      <c r="E173" s="425">
        <f t="shared" si="11"/>
        <v>2000</v>
      </c>
      <c r="F173" s="10">
        <f t="shared" si="11"/>
        <v>2000</v>
      </c>
      <c r="G173" s="425">
        <f t="shared" si="11"/>
        <v>1109</v>
      </c>
      <c r="H173" s="41">
        <f t="shared" si="11"/>
        <v>0</v>
      </c>
      <c r="I173" s="10">
        <f t="shared" si="11"/>
        <v>0</v>
      </c>
      <c r="J173" s="10">
        <f t="shared" si="9"/>
        <v>0</v>
      </c>
      <c r="K173" s="113">
        <f t="shared" si="10"/>
        <v>2470356.5392354121</v>
      </c>
    </row>
    <row r="174" spans="1:11" x14ac:dyDescent="0.25">
      <c r="A174" s="49">
        <f>'A) Base RI'!A173</f>
        <v>5680</v>
      </c>
      <c r="B174" s="295" t="str">
        <f>'A) Base RI'!B173</f>
        <v>Ogens</v>
      </c>
      <c r="C174" s="10">
        <f>'A) Base RI'!AO173</f>
        <v>301</v>
      </c>
      <c r="D174" s="10">
        <f t="shared" si="12"/>
        <v>301</v>
      </c>
      <c r="E174" s="425">
        <f t="shared" si="11"/>
        <v>0</v>
      </c>
      <c r="F174" s="10">
        <f t="shared" si="11"/>
        <v>0</v>
      </c>
      <c r="G174" s="425">
        <f t="shared" si="11"/>
        <v>0</v>
      </c>
      <c r="H174" s="41">
        <f t="shared" si="11"/>
        <v>0</v>
      </c>
      <c r="I174" s="10">
        <f t="shared" si="11"/>
        <v>0</v>
      </c>
      <c r="J174" s="10">
        <f t="shared" si="9"/>
        <v>0</v>
      </c>
      <c r="K174" s="113">
        <f t="shared" si="10"/>
        <v>37322.183098591544</v>
      </c>
    </row>
    <row r="175" spans="1:11" x14ac:dyDescent="0.25">
      <c r="A175" s="49">
        <f>'A) Base RI'!A174</f>
        <v>5683</v>
      </c>
      <c r="B175" s="295" t="str">
        <f>'A) Base RI'!B174</f>
        <v>Prévonloup</v>
      </c>
      <c r="C175" s="10">
        <f>'A) Base RI'!AO174</f>
        <v>202</v>
      </c>
      <c r="D175" s="10">
        <f t="shared" si="12"/>
        <v>202</v>
      </c>
      <c r="E175" s="425">
        <f t="shared" si="11"/>
        <v>0</v>
      </c>
      <c r="F175" s="10">
        <f t="shared" si="11"/>
        <v>0</v>
      </c>
      <c r="G175" s="425">
        <f t="shared" si="11"/>
        <v>0</v>
      </c>
      <c r="H175" s="41">
        <f t="shared" si="11"/>
        <v>0</v>
      </c>
      <c r="I175" s="10">
        <f t="shared" si="11"/>
        <v>0</v>
      </c>
      <c r="J175" s="10">
        <f t="shared" si="9"/>
        <v>0</v>
      </c>
      <c r="K175" s="113">
        <f t="shared" si="10"/>
        <v>25046.780684104622</v>
      </c>
    </row>
    <row r="176" spans="1:11" x14ac:dyDescent="0.25">
      <c r="A176" s="49">
        <f>'A) Base RI'!A175</f>
        <v>5684</v>
      </c>
      <c r="B176" s="295" t="str">
        <f>'A) Base RI'!B175</f>
        <v>Rossenges</v>
      </c>
      <c r="C176" s="10">
        <f>'A) Base RI'!AO175</f>
        <v>84</v>
      </c>
      <c r="D176" s="10">
        <f t="shared" si="12"/>
        <v>84</v>
      </c>
      <c r="E176" s="425">
        <f t="shared" si="11"/>
        <v>0</v>
      </c>
      <c r="F176" s="10">
        <f t="shared" si="11"/>
        <v>0</v>
      </c>
      <c r="G176" s="425">
        <f t="shared" si="11"/>
        <v>0</v>
      </c>
      <c r="H176" s="41">
        <f t="shared" si="11"/>
        <v>0</v>
      </c>
      <c r="I176" s="10">
        <f t="shared" si="11"/>
        <v>0</v>
      </c>
      <c r="J176" s="10">
        <f t="shared" si="9"/>
        <v>0</v>
      </c>
      <c r="K176" s="113">
        <f t="shared" si="10"/>
        <v>10415.492957746477</v>
      </c>
    </row>
    <row r="177" spans="1:11" x14ac:dyDescent="0.25">
      <c r="A177" s="49">
        <f>'A) Base RI'!A176</f>
        <v>5688</v>
      </c>
      <c r="B177" s="295" t="str">
        <f>'A) Base RI'!B176</f>
        <v>Syens</v>
      </c>
      <c r="C177" s="10">
        <f>'A) Base RI'!AO176</f>
        <v>156</v>
      </c>
      <c r="D177" s="10">
        <f t="shared" si="12"/>
        <v>156</v>
      </c>
      <c r="E177" s="425">
        <f t="shared" si="11"/>
        <v>0</v>
      </c>
      <c r="F177" s="10">
        <f t="shared" si="11"/>
        <v>0</v>
      </c>
      <c r="G177" s="425">
        <f t="shared" si="11"/>
        <v>0</v>
      </c>
      <c r="H177" s="41">
        <f t="shared" si="11"/>
        <v>0</v>
      </c>
      <c r="I177" s="10">
        <f t="shared" si="11"/>
        <v>0</v>
      </c>
      <c r="J177" s="10">
        <f t="shared" si="9"/>
        <v>0</v>
      </c>
      <c r="K177" s="113">
        <f t="shared" si="10"/>
        <v>19343.0583501006</v>
      </c>
    </row>
    <row r="178" spans="1:11" x14ac:dyDescent="0.25">
      <c r="A178" s="49">
        <f>'A) Base RI'!A177</f>
        <v>5690</v>
      </c>
      <c r="B178" s="295" t="str">
        <f>'A) Base RI'!B177</f>
        <v>Villars-le-Comte</v>
      </c>
      <c r="C178" s="10">
        <f>'A) Base RI'!AO177</f>
        <v>120</v>
      </c>
      <c r="D178" s="10">
        <f t="shared" si="12"/>
        <v>120</v>
      </c>
      <c r="E178" s="425">
        <f t="shared" si="11"/>
        <v>0</v>
      </c>
      <c r="F178" s="10">
        <f t="shared" si="11"/>
        <v>0</v>
      </c>
      <c r="G178" s="425">
        <f t="shared" si="11"/>
        <v>0</v>
      </c>
      <c r="H178" s="41">
        <f t="shared" si="11"/>
        <v>0</v>
      </c>
      <c r="I178" s="10">
        <f t="shared" si="11"/>
        <v>0</v>
      </c>
      <c r="J178" s="10">
        <f t="shared" si="9"/>
        <v>0</v>
      </c>
      <c r="K178" s="113">
        <f t="shared" si="10"/>
        <v>14879.275653923538</v>
      </c>
    </row>
    <row r="179" spans="1:11" x14ac:dyDescent="0.25">
      <c r="A179" s="49">
        <f>'A) Base RI'!A178</f>
        <v>5692</v>
      </c>
      <c r="B179" s="295" t="str">
        <f>'A) Base RI'!B178</f>
        <v>Vucherens</v>
      </c>
      <c r="C179" s="10">
        <f>'A) Base RI'!AO178</f>
        <v>617</v>
      </c>
      <c r="D179" s="10">
        <f t="shared" si="12"/>
        <v>617</v>
      </c>
      <c r="E179" s="425">
        <f t="shared" si="11"/>
        <v>0</v>
      </c>
      <c r="F179" s="10">
        <f t="shared" si="11"/>
        <v>0</v>
      </c>
      <c r="G179" s="425">
        <f t="shared" si="11"/>
        <v>0</v>
      </c>
      <c r="H179" s="41">
        <f t="shared" si="11"/>
        <v>0</v>
      </c>
      <c r="I179" s="10">
        <f t="shared" si="11"/>
        <v>0</v>
      </c>
      <c r="J179" s="10">
        <f t="shared" si="9"/>
        <v>0</v>
      </c>
      <c r="K179" s="113">
        <f t="shared" si="10"/>
        <v>76504.275653923527</v>
      </c>
    </row>
    <row r="180" spans="1:11" x14ac:dyDescent="0.25">
      <c r="A180" s="49">
        <f>'A) Base RI'!A179</f>
        <v>5693</v>
      </c>
      <c r="B180" s="295" t="str">
        <f>'A) Base RI'!B179</f>
        <v>Montanaire</v>
      </c>
      <c r="C180" s="10">
        <f>'A) Base RI'!AO179</f>
        <v>2782</v>
      </c>
      <c r="D180" s="10">
        <f t="shared" si="12"/>
        <v>1000</v>
      </c>
      <c r="E180" s="425">
        <f t="shared" si="11"/>
        <v>1782</v>
      </c>
      <c r="F180" s="10">
        <f t="shared" si="11"/>
        <v>0</v>
      </c>
      <c r="G180" s="425">
        <f t="shared" si="11"/>
        <v>0</v>
      </c>
      <c r="H180" s="41">
        <f t="shared" si="11"/>
        <v>0</v>
      </c>
      <c r="I180" s="10">
        <f t="shared" si="11"/>
        <v>0</v>
      </c>
      <c r="J180" s="10">
        <f t="shared" si="9"/>
        <v>0</v>
      </c>
      <c r="K180" s="113">
        <f t="shared" si="10"/>
        <v>742674.24547283689</v>
      </c>
    </row>
    <row r="181" spans="1:11" x14ac:dyDescent="0.25">
      <c r="A181" s="49">
        <f>'A) Base RI'!A180</f>
        <v>5701</v>
      </c>
      <c r="B181" s="295" t="str">
        <f>'A) Base RI'!B180</f>
        <v>Arnex-sur-Nyon</v>
      </c>
      <c r="C181" s="10">
        <f>'A) Base RI'!AO180</f>
        <v>240</v>
      </c>
      <c r="D181" s="10">
        <f t="shared" si="12"/>
        <v>240</v>
      </c>
      <c r="E181" s="425">
        <f t="shared" si="11"/>
        <v>0</v>
      </c>
      <c r="F181" s="10">
        <f t="shared" si="11"/>
        <v>0</v>
      </c>
      <c r="G181" s="425">
        <f t="shared" si="11"/>
        <v>0</v>
      </c>
      <c r="H181" s="41">
        <f t="shared" si="11"/>
        <v>0</v>
      </c>
      <c r="I181" s="10">
        <f t="shared" si="11"/>
        <v>0</v>
      </c>
      <c r="J181" s="10">
        <f t="shared" si="9"/>
        <v>0</v>
      </c>
      <c r="K181" s="113">
        <f t="shared" si="10"/>
        <v>29758.551307847076</v>
      </c>
    </row>
    <row r="182" spans="1:11" x14ac:dyDescent="0.25">
      <c r="A182" s="49">
        <f>'A) Base RI'!A181</f>
        <v>5702</v>
      </c>
      <c r="B182" s="295" t="str">
        <f>'A) Base RI'!B181</f>
        <v>Arzier-Le Muids</v>
      </c>
      <c r="C182" s="10">
        <f>'A) Base RI'!AO181</f>
        <v>2912</v>
      </c>
      <c r="D182" s="10">
        <f t="shared" si="12"/>
        <v>1000</v>
      </c>
      <c r="E182" s="425">
        <f t="shared" si="11"/>
        <v>1912</v>
      </c>
      <c r="F182" s="10">
        <f t="shared" si="11"/>
        <v>0</v>
      </c>
      <c r="G182" s="425">
        <f t="shared" si="11"/>
        <v>0</v>
      </c>
      <c r="H182" s="41">
        <f t="shared" si="11"/>
        <v>0</v>
      </c>
      <c r="I182" s="10">
        <f t="shared" si="11"/>
        <v>0</v>
      </c>
      <c r="J182" s="10">
        <f t="shared" si="9"/>
        <v>0</v>
      </c>
      <c r="K182" s="113">
        <f t="shared" si="10"/>
        <v>787808.04828973836</v>
      </c>
    </row>
    <row r="183" spans="1:11" x14ac:dyDescent="0.25">
      <c r="A183" s="49">
        <f>'A) Base RI'!A182</f>
        <v>5703</v>
      </c>
      <c r="B183" s="295" t="str">
        <f>'A) Base RI'!B182</f>
        <v>Bassins</v>
      </c>
      <c r="C183" s="10">
        <f>'A) Base RI'!AO182</f>
        <v>1475</v>
      </c>
      <c r="D183" s="10">
        <f t="shared" si="12"/>
        <v>1000</v>
      </c>
      <c r="E183" s="425">
        <f t="shared" si="11"/>
        <v>475</v>
      </c>
      <c r="F183" s="10">
        <f t="shared" si="11"/>
        <v>0</v>
      </c>
      <c r="G183" s="425">
        <f t="shared" si="11"/>
        <v>0</v>
      </c>
      <c r="H183" s="41">
        <f t="shared" si="11"/>
        <v>0</v>
      </c>
      <c r="I183" s="10">
        <f t="shared" si="11"/>
        <v>0</v>
      </c>
      <c r="J183" s="10">
        <f t="shared" si="9"/>
        <v>0</v>
      </c>
      <c r="K183" s="113">
        <f t="shared" si="10"/>
        <v>288905.93561368203</v>
      </c>
    </row>
    <row r="184" spans="1:11" x14ac:dyDescent="0.25">
      <c r="A184" s="49">
        <f>'A) Base RI'!A183</f>
        <v>5704</v>
      </c>
      <c r="B184" s="295" t="str">
        <f>'A) Base RI'!B183</f>
        <v>Begnins</v>
      </c>
      <c r="C184" s="10">
        <f>'A) Base RI'!AO183</f>
        <v>1928</v>
      </c>
      <c r="D184" s="10">
        <f t="shared" si="12"/>
        <v>1000</v>
      </c>
      <c r="E184" s="425">
        <f t="shared" si="11"/>
        <v>928</v>
      </c>
      <c r="F184" s="10">
        <f t="shared" si="11"/>
        <v>0</v>
      </c>
      <c r="G184" s="425">
        <f t="shared" si="11"/>
        <v>0</v>
      </c>
      <c r="H184" s="41">
        <f t="shared" si="11"/>
        <v>0</v>
      </c>
      <c r="I184" s="10">
        <f t="shared" si="11"/>
        <v>0</v>
      </c>
      <c r="J184" s="10">
        <f t="shared" si="9"/>
        <v>0</v>
      </c>
      <c r="K184" s="113">
        <f t="shared" si="10"/>
        <v>446179.87927565386</v>
      </c>
    </row>
    <row r="185" spans="1:11" x14ac:dyDescent="0.25">
      <c r="A185" s="49">
        <f>'A) Base RI'!A184</f>
        <v>5705</v>
      </c>
      <c r="B185" s="295" t="str">
        <f>'A) Base RI'!B184</f>
        <v>Bogis-Bossey</v>
      </c>
      <c r="C185" s="10">
        <f>'A) Base RI'!AO184</f>
        <v>835</v>
      </c>
      <c r="D185" s="10">
        <f t="shared" si="12"/>
        <v>835</v>
      </c>
      <c r="E185" s="425">
        <f t="shared" si="11"/>
        <v>0</v>
      </c>
      <c r="F185" s="10">
        <f t="shared" si="11"/>
        <v>0</v>
      </c>
      <c r="G185" s="425">
        <f t="shared" si="11"/>
        <v>0</v>
      </c>
      <c r="H185" s="41">
        <f t="shared" si="11"/>
        <v>0</v>
      </c>
      <c r="I185" s="10">
        <f t="shared" si="11"/>
        <v>0</v>
      </c>
      <c r="J185" s="10">
        <f t="shared" si="9"/>
        <v>0</v>
      </c>
      <c r="K185" s="113">
        <f t="shared" si="10"/>
        <v>103534.9597585513</v>
      </c>
    </row>
    <row r="186" spans="1:11" x14ac:dyDescent="0.25">
      <c r="A186" s="49">
        <f>'A) Base RI'!A185</f>
        <v>5706</v>
      </c>
      <c r="B186" s="295" t="str">
        <f>'A) Base RI'!B185</f>
        <v>Borex</v>
      </c>
      <c r="C186" s="10">
        <f>'A) Base RI'!AO185</f>
        <v>1157</v>
      </c>
      <c r="D186" s="10">
        <f t="shared" si="12"/>
        <v>1000</v>
      </c>
      <c r="E186" s="425">
        <f t="shared" si="11"/>
        <v>157</v>
      </c>
      <c r="F186" s="10">
        <f t="shared" si="11"/>
        <v>0</v>
      </c>
      <c r="G186" s="425">
        <f t="shared" si="11"/>
        <v>0</v>
      </c>
      <c r="H186" s="41">
        <f t="shared" si="11"/>
        <v>0</v>
      </c>
      <c r="I186" s="10">
        <f t="shared" si="11"/>
        <v>0</v>
      </c>
      <c r="J186" s="10">
        <f t="shared" si="9"/>
        <v>0</v>
      </c>
      <c r="K186" s="113">
        <f t="shared" si="10"/>
        <v>178501.71026156939</v>
      </c>
    </row>
    <row r="187" spans="1:11" x14ac:dyDescent="0.25">
      <c r="A187" s="49">
        <f>'A) Base RI'!A186</f>
        <v>5707</v>
      </c>
      <c r="B187" s="295" t="str">
        <f>'A) Base RI'!B186</f>
        <v>Chavannes-de-Bogis</v>
      </c>
      <c r="C187" s="10">
        <f>'A) Base RI'!AO186</f>
        <v>1329</v>
      </c>
      <c r="D187" s="10">
        <f t="shared" si="12"/>
        <v>1000</v>
      </c>
      <c r="E187" s="425">
        <f t="shared" si="11"/>
        <v>329</v>
      </c>
      <c r="F187" s="10">
        <f t="shared" si="11"/>
        <v>0</v>
      </c>
      <c r="G187" s="425">
        <f t="shared" si="11"/>
        <v>0</v>
      </c>
      <c r="H187" s="41">
        <f t="shared" si="11"/>
        <v>0</v>
      </c>
      <c r="I187" s="10">
        <f t="shared" si="11"/>
        <v>0</v>
      </c>
      <c r="J187" s="10">
        <f t="shared" si="9"/>
        <v>0</v>
      </c>
      <c r="K187" s="113">
        <f t="shared" si="10"/>
        <v>238217.20321931585</v>
      </c>
    </row>
    <row r="188" spans="1:11" x14ac:dyDescent="0.25">
      <c r="A188" s="49">
        <f>'A) Base RI'!A187</f>
        <v>5708</v>
      </c>
      <c r="B188" s="295" t="str">
        <f>'A) Base RI'!B187</f>
        <v>Chavannes-des-Bois</v>
      </c>
      <c r="C188" s="10">
        <f>'A) Base RI'!AO187</f>
        <v>1013</v>
      </c>
      <c r="D188" s="10">
        <f t="shared" si="12"/>
        <v>1000</v>
      </c>
      <c r="E188" s="425">
        <f t="shared" si="11"/>
        <v>13</v>
      </c>
      <c r="F188" s="10">
        <f t="shared" si="11"/>
        <v>0</v>
      </c>
      <c r="G188" s="425">
        <f t="shared" si="11"/>
        <v>0</v>
      </c>
      <c r="H188" s="41">
        <f t="shared" si="11"/>
        <v>0</v>
      </c>
      <c r="I188" s="10">
        <f t="shared" si="11"/>
        <v>0</v>
      </c>
      <c r="J188" s="10">
        <f t="shared" si="9"/>
        <v>0</v>
      </c>
      <c r="K188" s="113">
        <f t="shared" si="10"/>
        <v>128507.3440643863</v>
      </c>
    </row>
    <row r="189" spans="1:11" x14ac:dyDescent="0.25">
      <c r="A189" s="49">
        <f>'A) Base RI'!A188</f>
        <v>5709</v>
      </c>
      <c r="B189" s="295" t="str">
        <f>'A) Base RI'!B188</f>
        <v>Chéserex</v>
      </c>
      <c r="C189" s="10">
        <f>'A) Base RI'!AO188</f>
        <v>1248</v>
      </c>
      <c r="D189" s="10">
        <f t="shared" si="12"/>
        <v>1000</v>
      </c>
      <c r="E189" s="425">
        <f t="shared" si="11"/>
        <v>248</v>
      </c>
      <c r="F189" s="10">
        <f t="shared" si="11"/>
        <v>0</v>
      </c>
      <c r="G189" s="425">
        <f t="shared" si="11"/>
        <v>0</v>
      </c>
      <c r="H189" s="41">
        <f t="shared" si="11"/>
        <v>0</v>
      </c>
      <c r="I189" s="10">
        <f t="shared" si="11"/>
        <v>0</v>
      </c>
      <c r="J189" s="10">
        <f t="shared" si="9"/>
        <v>0</v>
      </c>
      <c r="K189" s="113">
        <f t="shared" si="10"/>
        <v>210095.37223340035</v>
      </c>
    </row>
    <row r="190" spans="1:11" x14ac:dyDescent="0.25">
      <c r="A190" s="49">
        <f>'A) Base RI'!A189</f>
        <v>5710</v>
      </c>
      <c r="B190" s="295" t="str">
        <f>'A) Base RI'!B189</f>
        <v>Coinsins</v>
      </c>
      <c r="C190" s="10">
        <f>'A) Base RI'!AO189</f>
        <v>509</v>
      </c>
      <c r="D190" s="10">
        <f t="shared" si="12"/>
        <v>509</v>
      </c>
      <c r="E190" s="425">
        <f t="shared" si="11"/>
        <v>0</v>
      </c>
      <c r="F190" s="10">
        <f t="shared" si="11"/>
        <v>0</v>
      </c>
      <c r="G190" s="425">
        <f t="shared" si="11"/>
        <v>0</v>
      </c>
      <c r="H190" s="41">
        <f t="shared" si="11"/>
        <v>0</v>
      </c>
      <c r="I190" s="10">
        <f t="shared" si="11"/>
        <v>0</v>
      </c>
      <c r="J190" s="10">
        <f t="shared" si="9"/>
        <v>0</v>
      </c>
      <c r="K190" s="113">
        <f t="shared" si="10"/>
        <v>63112.927565392347</v>
      </c>
    </row>
    <row r="191" spans="1:11" x14ac:dyDescent="0.25">
      <c r="A191" s="49">
        <f>'A) Base RI'!A190</f>
        <v>5711</v>
      </c>
      <c r="B191" s="295" t="str">
        <f>'A) Base RI'!B190</f>
        <v>Commugny</v>
      </c>
      <c r="C191" s="10">
        <f>'A) Base RI'!AO190</f>
        <v>2997</v>
      </c>
      <c r="D191" s="10">
        <f t="shared" si="12"/>
        <v>1000</v>
      </c>
      <c r="E191" s="425">
        <f t="shared" si="11"/>
        <v>1997</v>
      </c>
      <c r="F191" s="10">
        <f t="shared" si="11"/>
        <v>0</v>
      </c>
      <c r="G191" s="425">
        <f t="shared" si="11"/>
        <v>0</v>
      </c>
      <c r="H191" s="41">
        <f t="shared" si="11"/>
        <v>0</v>
      </c>
      <c r="I191" s="10">
        <f t="shared" si="11"/>
        <v>0</v>
      </c>
      <c r="J191" s="10">
        <f t="shared" si="9"/>
        <v>0</v>
      </c>
      <c r="K191" s="113">
        <f t="shared" si="10"/>
        <v>817318.61167002004</v>
      </c>
    </row>
    <row r="192" spans="1:11" x14ac:dyDescent="0.25">
      <c r="A192" s="49">
        <f>'A) Base RI'!A191</f>
        <v>5712</v>
      </c>
      <c r="B192" s="295" t="str">
        <f>'A) Base RI'!B191</f>
        <v>Coppet</v>
      </c>
      <c r="C192" s="10">
        <f>'A) Base RI'!AO191</f>
        <v>3247</v>
      </c>
      <c r="D192" s="10">
        <f t="shared" si="12"/>
        <v>1000</v>
      </c>
      <c r="E192" s="425">
        <f t="shared" si="11"/>
        <v>2000</v>
      </c>
      <c r="F192" s="10">
        <f t="shared" si="11"/>
        <v>247</v>
      </c>
      <c r="G192" s="425">
        <f t="shared" si="11"/>
        <v>0</v>
      </c>
      <c r="H192" s="41">
        <f t="shared" si="11"/>
        <v>0</v>
      </c>
      <c r="I192" s="10">
        <f t="shared" si="11"/>
        <v>0</v>
      </c>
      <c r="J192" s="10">
        <f t="shared" si="9"/>
        <v>0</v>
      </c>
      <c r="K192" s="113">
        <f t="shared" si="10"/>
        <v>940866.19718309853</v>
      </c>
    </row>
    <row r="193" spans="1:11" x14ac:dyDescent="0.25">
      <c r="A193" s="49">
        <f>'A) Base RI'!A192</f>
        <v>5713</v>
      </c>
      <c r="B193" s="295" t="str">
        <f>'A) Base RI'!B192</f>
        <v>Crans-près-Céligny</v>
      </c>
      <c r="C193" s="10">
        <f>'A) Base RI'!AO192</f>
        <v>2340</v>
      </c>
      <c r="D193" s="10">
        <f t="shared" si="12"/>
        <v>1000</v>
      </c>
      <c r="E193" s="425">
        <f t="shared" si="11"/>
        <v>1340</v>
      </c>
      <c r="F193" s="10">
        <f t="shared" si="11"/>
        <v>0</v>
      </c>
      <c r="G193" s="425">
        <f t="shared" si="11"/>
        <v>0</v>
      </c>
      <c r="H193" s="41">
        <f t="shared" si="11"/>
        <v>0</v>
      </c>
      <c r="I193" s="10">
        <f t="shared" si="11"/>
        <v>0</v>
      </c>
      <c r="J193" s="10">
        <f t="shared" si="9"/>
        <v>0</v>
      </c>
      <c r="K193" s="113">
        <f t="shared" si="10"/>
        <v>589219.31589537219</v>
      </c>
    </row>
    <row r="194" spans="1:11" x14ac:dyDescent="0.25">
      <c r="A194" s="49">
        <f>'A) Base RI'!A193</f>
        <v>5714</v>
      </c>
      <c r="B194" s="295" t="str">
        <f>'A) Base RI'!B193</f>
        <v>Crassier</v>
      </c>
      <c r="C194" s="10">
        <f>'A) Base RI'!AO193</f>
        <v>1174</v>
      </c>
      <c r="D194" s="10">
        <f t="shared" si="12"/>
        <v>1000</v>
      </c>
      <c r="E194" s="425">
        <f t="shared" si="11"/>
        <v>174</v>
      </c>
      <c r="F194" s="10">
        <f t="shared" si="11"/>
        <v>0</v>
      </c>
      <c r="G194" s="425">
        <f t="shared" si="11"/>
        <v>0</v>
      </c>
      <c r="H194" s="41">
        <f t="shared" si="11"/>
        <v>0</v>
      </c>
      <c r="I194" s="10">
        <f t="shared" si="11"/>
        <v>0</v>
      </c>
      <c r="J194" s="10">
        <f t="shared" si="9"/>
        <v>0</v>
      </c>
      <c r="K194" s="113">
        <f t="shared" si="10"/>
        <v>184403.82293762572</v>
      </c>
    </row>
    <row r="195" spans="1:11" x14ac:dyDescent="0.25">
      <c r="A195" s="49">
        <f>'A) Base RI'!A194</f>
        <v>5715</v>
      </c>
      <c r="B195" s="295" t="str">
        <f>'A) Base RI'!B194</f>
        <v>Duillier</v>
      </c>
      <c r="C195" s="10">
        <f>'A) Base RI'!AO194</f>
        <v>1128</v>
      </c>
      <c r="D195" s="10">
        <f t="shared" si="12"/>
        <v>1000</v>
      </c>
      <c r="E195" s="425">
        <f t="shared" si="11"/>
        <v>128</v>
      </c>
      <c r="F195" s="10">
        <f t="shared" si="11"/>
        <v>0</v>
      </c>
      <c r="G195" s="425">
        <f t="shared" si="11"/>
        <v>0</v>
      </c>
      <c r="H195" s="41">
        <f t="shared" si="11"/>
        <v>0</v>
      </c>
      <c r="I195" s="10">
        <f t="shared" si="11"/>
        <v>0</v>
      </c>
      <c r="J195" s="10">
        <f t="shared" si="9"/>
        <v>0</v>
      </c>
      <c r="K195" s="113">
        <f t="shared" si="10"/>
        <v>168433.40040241447</v>
      </c>
    </row>
    <row r="196" spans="1:11" x14ac:dyDescent="0.25">
      <c r="A196" s="49">
        <f>'A) Base RI'!A195</f>
        <v>5716</v>
      </c>
      <c r="B196" s="295" t="str">
        <f>'A) Base RI'!B195</f>
        <v>Eysins</v>
      </c>
      <c r="C196" s="10">
        <f>'A) Base RI'!AO195</f>
        <v>1740</v>
      </c>
      <c r="D196" s="10">
        <f t="shared" si="12"/>
        <v>1000</v>
      </c>
      <c r="E196" s="425">
        <f t="shared" si="11"/>
        <v>740</v>
      </c>
      <c r="F196" s="10">
        <f t="shared" si="11"/>
        <v>0</v>
      </c>
      <c r="G196" s="425">
        <f t="shared" si="11"/>
        <v>0</v>
      </c>
      <c r="H196" s="41">
        <f t="shared" si="11"/>
        <v>0</v>
      </c>
      <c r="I196" s="10">
        <f t="shared" si="11"/>
        <v>0</v>
      </c>
      <c r="J196" s="10">
        <f t="shared" si="9"/>
        <v>0</v>
      </c>
      <c r="K196" s="113">
        <f t="shared" si="10"/>
        <v>380909.45674044261</v>
      </c>
    </row>
    <row r="197" spans="1:11" x14ac:dyDescent="0.25">
      <c r="A197" s="49">
        <f>'A) Base RI'!A196</f>
        <v>5717</v>
      </c>
      <c r="B197" s="295" t="str">
        <f>'A) Base RI'!B196</f>
        <v>Founex</v>
      </c>
      <c r="C197" s="10">
        <f>'A) Base RI'!AO196</f>
        <v>3834</v>
      </c>
      <c r="D197" s="10">
        <f t="shared" si="12"/>
        <v>1000</v>
      </c>
      <c r="E197" s="425">
        <f t="shared" si="11"/>
        <v>2000</v>
      </c>
      <c r="F197" s="10">
        <f t="shared" si="11"/>
        <v>834</v>
      </c>
      <c r="G197" s="425">
        <f t="shared" si="11"/>
        <v>0</v>
      </c>
      <c r="H197" s="41">
        <f t="shared" si="11"/>
        <v>0</v>
      </c>
      <c r="I197" s="10">
        <f t="shared" si="11"/>
        <v>0</v>
      </c>
      <c r="J197" s="10">
        <f t="shared" si="9"/>
        <v>0</v>
      </c>
      <c r="K197" s="113">
        <f t="shared" si="10"/>
        <v>1232004.0241448691</v>
      </c>
    </row>
    <row r="198" spans="1:11" x14ac:dyDescent="0.25">
      <c r="A198" s="49">
        <f>'A) Base RI'!A197</f>
        <v>5718</v>
      </c>
      <c r="B198" s="295" t="str">
        <f>'A) Base RI'!B197</f>
        <v>Genolier</v>
      </c>
      <c r="C198" s="10">
        <f>'A) Base RI'!AO197</f>
        <v>1996</v>
      </c>
      <c r="D198" s="10">
        <f t="shared" si="12"/>
        <v>1000</v>
      </c>
      <c r="E198" s="425">
        <f t="shared" si="11"/>
        <v>996</v>
      </c>
      <c r="F198" s="10">
        <f t="shared" si="11"/>
        <v>0</v>
      </c>
      <c r="G198" s="425">
        <f t="shared" si="11"/>
        <v>0</v>
      </c>
      <c r="H198" s="41">
        <f t="shared" si="11"/>
        <v>0</v>
      </c>
      <c r="I198" s="10">
        <f t="shared" si="11"/>
        <v>0</v>
      </c>
      <c r="J198" s="10">
        <f t="shared" si="9"/>
        <v>0</v>
      </c>
      <c r="K198" s="113">
        <f t="shared" si="10"/>
        <v>469788.3299798792</v>
      </c>
    </row>
    <row r="199" spans="1:11" x14ac:dyDescent="0.25">
      <c r="A199" s="49">
        <f>'A) Base RI'!A198</f>
        <v>5719</v>
      </c>
      <c r="B199" s="295" t="str">
        <f>'A) Base RI'!B198</f>
        <v>Gingins</v>
      </c>
      <c r="C199" s="10">
        <f>'A) Base RI'!AO198</f>
        <v>1257</v>
      </c>
      <c r="D199" s="10">
        <f t="shared" si="12"/>
        <v>1000</v>
      </c>
      <c r="E199" s="425">
        <f t="shared" si="11"/>
        <v>257</v>
      </c>
      <c r="F199" s="10">
        <f t="shared" si="11"/>
        <v>0</v>
      </c>
      <c r="G199" s="425">
        <f t="shared" si="11"/>
        <v>0</v>
      </c>
      <c r="H199" s="41">
        <f t="shared" si="11"/>
        <v>0</v>
      </c>
      <c r="I199" s="10">
        <f t="shared" si="11"/>
        <v>0</v>
      </c>
      <c r="J199" s="10">
        <f t="shared" si="9"/>
        <v>0</v>
      </c>
      <c r="K199" s="113">
        <f t="shared" si="10"/>
        <v>213220.02012072431</v>
      </c>
    </row>
    <row r="200" spans="1:11" x14ac:dyDescent="0.25">
      <c r="A200" s="49">
        <f>'A) Base RI'!A199</f>
        <v>5720</v>
      </c>
      <c r="B200" s="295" t="str">
        <f>'A) Base RI'!B199</f>
        <v>Givrins</v>
      </c>
      <c r="C200" s="10">
        <f>'A) Base RI'!AO199</f>
        <v>1031</v>
      </c>
      <c r="D200" s="10">
        <f t="shared" si="12"/>
        <v>1000</v>
      </c>
      <c r="E200" s="425">
        <f t="shared" si="11"/>
        <v>31</v>
      </c>
      <c r="F200" s="10">
        <f t="shared" si="11"/>
        <v>0</v>
      </c>
      <c r="G200" s="425">
        <f t="shared" si="11"/>
        <v>0</v>
      </c>
      <c r="H200" s="41">
        <f t="shared" si="11"/>
        <v>0</v>
      </c>
      <c r="I200" s="10">
        <f t="shared" si="11"/>
        <v>0</v>
      </c>
      <c r="J200" s="10">
        <f t="shared" si="9"/>
        <v>0</v>
      </c>
      <c r="K200" s="113">
        <f t="shared" si="10"/>
        <v>134756.63983903418</v>
      </c>
    </row>
    <row r="201" spans="1:11" x14ac:dyDescent="0.25">
      <c r="A201" s="49">
        <f>'A) Base RI'!A200</f>
        <v>5721</v>
      </c>
      <c r="B201" s="295" t="str">
        <f>'A) Base RI'!B200</f>
        <v>Gland</v>
      </c>
      <c r="C201" s="10">
        <f>'A) Base RI'!AO200</f>
        <v>13243</v>
      </c>
      <c r="D201" s="10">
        <f t="shared" si="12"/>
        <v>1000</v>
      </c>
      <c r="E201" s="425">
        <f t="shared" si="11"/>
        <v>2000</v>
      </c>
      <c r="F201" s="10">
        <f t="shared" si="11"/>
        <v>2000</v>
      </c>
      <c r="G201" s="425">
        <f t="shared" si="11"/>
        <v>4000</v>
      </c>
      <c r="H201" s="41">
        <f t="shared" si="11"/>
        <v>3000</v>
      </c>
      <c r="I201" s="10">
        <f t="shared" si="11"/>
        <v>1243</v>
      </c>
      <c r="J201" s="10">
        <f t="shared" ref="J201:J264" si="13">IF(C201&gt;$J$4,C201-$J$4,0)</f>
        <v>0</v>
      </c>
      <c r="K201" s="113">
        <f t="shared" ref="K201:K264" si="14">(D201*D$7)+(E201*E$7)+(F201*F$7)+(G201*G$7)+(H201*H$7)+(I201*I$7)+(J201*J$7)</f>
        <v>7953468.812877262</v>
      </c>
    </row>
    <row r="202" spans="1:11" x14ac:dyDescent="0.25">
      <c r="A202" s="49">
        <f>'A) Base RI'!A201</f>
        <v>5722</v>
      </c>
      <c r="B202" s="295" t="str">
        <f>'A) Base RI'!B201</f>
        <v>Grens</v>
      </c>
      <c r="C202" s="10">
        <f>'A) Base RI'!AO201</f>
        <v>405</v>
      </c>
      <c r="D202" s="10">
        <f t="shared" si="12"/>
        <v>405</v>
      </c>
      <c r="E202" s="425">
        <f t="shared" si="11"/>
        <v>0</v>
      </c>
      <c r="F202" s="10">
        <f t="shared" si="11"/>
        <v>0</v>
      </c>
      <c r="G202" s="425">
        <f t="shared" si="11"/>
        <v>0</v>
      </c>
      <c r="H202" s="41">
        <f t="shared" si="11"/>
        <v>0</v>
      </c>
      <c r="I202" s="10">
        <f t="shared" si="11"/>
        <v>0</v>
      </c>
      <c r="J202" s="10">
        <f t="shared" si="13"/>
        <v>0</v>
      </c>
      <c r="K202" s="113">
        <f t="shared" si="14"/>
        <v>50217.555331991942</v>
      </c>
    </row>
    <row r="203" spans="1:11" x14ac:dyDescent="0.25">
      <c r="A203" s="49">
        <f>'A) Base RI'!A202</f>
        <v>5723</v>
      </c>
      <c r="B203" s="295" t="str">
        <f>'A) Base RI'!B202</f>
        <v>Mies</v>
      </c>
      <c r="C203" s="10">
        <f>'A) Base RI'!AO202</f>
        <v>2172</v>
      </c>
      <c r="D203" s="10">
        <f t="shared" si="12"/>
        <v>1000</v>
      </c>
      <c r="E203" s="425">
        <f t="shared" si="11"/>
        <v>1172</v>
      </c>
      <c r="F203" s="10">
        <f t="shared" si="11"/>
        <v>0</v>
      </c>
      <c r="G203" s="425">
        <f t="shared" si="11"/>
        <v>0</v>
      </c>
      <c r="H203" s="41">
        <f t="shared" si="11"/>
        <v>0</v>
      </c>
      <c r="I203" s="10">
        <f t="shared" si="11"/>
        <v>0</v>
      </c>
      <c r="J203" s="10">
        <f t="shared" si="13"/>
        <v>0</v>
      </c>
      <c r="K203" s="113">
        <f t="shared" si="14"/>
        <v>530892.55533199187</v>
      </c>
    </row>
    <row r="204" spans="1:11" x14ac:dyDescent="0.25">
      <c r="A204" s="49">
        <f>'A) Base RI'!A203</f>
        <v>5724</v>
      </c>
      <c r="B204" s="295" t="str">
        <f>'A) Base RI'!B203</f>
        <v>Nyon</v>
      </c>
      <c r="C204" s="10">
        <f>'A) Base RI'!AO203</f>
        <v>21743</v>
      </c>
      <c r="D204" s="10">
        <f t="shared" si="12"/>
        <v>1000</v>
      </c>
      <c r="E204" s="425">
        <f t="shared" si="11"/>
        <v>2000</v>
      </c>
      <c r="F204" s="10">
        <f t="shared" si="11"/>
        <v>2000</v>
      </c>
      <c r="G204" s="425">
        <f t="shared" si="11"/>
        <v>4000</v>
      </c>
      <c r="H204" s="41">
        <f t="shared" si="11"/>
        <v>3000</v>
      </c>
      <c r="I204" s="10">
        <f t="shared" si="11"/>
        <v>3000</v>
      </c>
      <c r="J204" s="10">
        <f t="shared" si="13"/>
        <v>6743</v>
      </c>
      <c r="K204" s="113">
        <f t="shared" si="14"/>
        <v>16719494.869215289</v>
      </c>
    </row>
    <row r="205" spans="1:11" x14ac:dyDescent="0.25">
      <c r="A205" s="49">
        <f>'A) Base RI'!A204</f>
        <v>5725</v>
      </c>
      <c r="B205" s="295" t="str">
        <f>'A) Base RI'!B204</f>
        <v>Prangins</v>
      </c>
      <c r="C205" s="10">
        <f>'A) Base RI'!AO204</f>
        <v>4101</v>
      </c>
      <c r="D205" s="10">
        <f t="shared" si="12"/>
        <v>1000</v>
      </c>
      <c r="E205" s="425">
        <f t="shared" si="11"/>
        <v>2000</v>
      </c>
      <c r="F205" s="10">
        <f t="shared" si="11"/>
        <v>1101</v>
      </c>
      <c r="G205" s="425">
        <f t="shared" si="11"/>
        <v>0</v>
      </c>
      <c r="H205" s="41">
        <f t="shared" si="11"/>
        <v>0</v>
      </c>
      <c r="I205" s="10">
        <f t="shared" si="11"/>
        <v>0</v>
      </c>
      <c r="J205" s="10">
        <f t="shared" si="13"/>
        <v>0</v>
      </c>
      <c r="K205" s="113">
        <f t="shared" si="14"/>
        <v>1364429.5774647887</v>
      </c>
    </row>
    <row r="206" spans="1:11" x14ac:dyDescent="0.25">
      <c r="A206" s="49">
        <f>'A) Base RI'!A205</f>
        <v>5726</v>
      </c>
      <c r="B206" s="295" t="str">
        <f>'A) Base RI'!B205</f>
        <v>La Rippe</v>
      </c>
      <c r="C206" s="10">
        <f>'A) Base RI'!AO205</f>
        <v>1131</v>
      </c>
      <c r="D206" s="10">
        <f t="shared" si="12"/>
        <v>1000</v>
      </c>
      <c r="E206" s="425">
        <f t="shared" si="11"/>
        <v>131</v>
      </c>
      <c r="F206" s="10">
        <f t="shared" si="11"/>
        <v>0</v>
      </c>
      <c r="G206" s="425">
        <f t="shared" si="11"/>
        <v>0</v>
      </c>
      <c r="H206" s="41">
        <f t="shared" si="11"/>
        <v>0</v>
      </c>
      <c r="I206" s="10">
        <f t="shared" si="11"/>
        <v>0</v>
      </c>
      <c r="J206" s="10">
        <f t="shared" si="13"/>
        <v>0</v>
      </c>
      <c r="K206" s="113">
        <f t="shared" si="14"/>
        <v>169474.9496981891</v>
      </c>
    </row>
    <row r="207" spans="1:11" x14ac:dyDescent="0.25">
      <c r="A207" s="49">
        <f>'A) Base RI'!A206</f>
        <v>5727</v>
      </c>
      <c r="B207" s="295" t="str">
        <f>'A) Base RI'!B206</f>
        <v>Saint-Cergue</v>
      </c>
      <c r="C207" s="10">
        <f>'A) Base RI'!AO206</f>
        <v>2674</v>
      </c>
      <c r="D207" s="10">
        <f t="shared" si="12"/>
        <v>1000</v>
      </c>
      <c r="E207" s="425">
        <f t="shared" si="11"/>
        <v>1674</v>
      </c>
      <c r="F207" s="10">
        <f t="shared" si="11"/>
        <v>0</v>
      </c>
      <c r="G207" s="425">
        <f t="shared" si="11"/>
        <v>0</v>
      </c>
      <c r="H207" s="41">
        <f t="shared" si="11"/>
        <v>0</v>
      </c>
      <c r="I207" s="10">
        <f t="shared" si="11"/>
        <v>0</v>
      </c>
      <c r="J207" s="10">
        <f t="shared" si="13"/>
        <v>0</v>
      </c>
      <c r="K207" s="113">
        <f t="shared" si="14"/>
        <v>705178.47082494968</v>
      </c>
    </row>
    <row r="208" spans="1:11" x14ac:dyDescent="0.25">
      <c r="A208" s="49">
        <f>'A) Base RI'!A207</f>
        <v>5728</v>
      </c>
      <c r="B208" s="295" t="str">
        <f>'A) Base RI'!B207</f>
        <v>Signy-Avenex</v>
      </c>
      <c r="C208" s="10">
        <f>'A) Base RI'!AO207</f>
        <v>581</v>
      </c>
      <c r="D208" s="10">
        <f t="shared" si="12"/>
        <v>581</v>
      </c>
      <c r="E208" s="425">
        <f t="shared" si="11"/>
        <v>0</v>
      </c>
      <c r="F208" s="10">
        <f t="shared" si="11"/>
        <v>0</v>
      </c>
      <c r="G208" s="425">
        <f t="shared" ref="E208:I259" si="15">IF($C208&gt;G$4,IF($C208&lt;G$5,$C208-G$4,G$5-G$4),0)</f>
        <v>0</v>
      </c>
      <c r="H208" s="41">
        <f t="shared" si="15"/>
        <v>0</v>
      </c>
      <c r="I208" s="10">
        <f t="shared" si="15"/>
        <v>0</v>
      </c>
      <c r="J208" s="10">
        <f t="shared" si="13"/>
        <v>0</v>
      </c>
      <c r="K208" s="113">
        <f t="shared" si="14"/>
        <v>72040.492957746465</v>
      </c>
    </row>
    <row r="209" spans="1:11" x14ac:dyDescent="0.25">
      <c r="A209" s="49">
        <f>'A) Base RI'!A208</f>
        <v>5729</v>
      </c>
      <c r="B209" s="295" t="str">
        <f>'A) Base RI'!B208</f>
        <v>Tannay</v>
      </c>
      <c r="C209" s="10">
        <f>'A) Base RI'!AO208</f>
        <v>1636</v>
      </c>
      <c r="D209" s="10">
        <f t="shared" si="12"/>
        <v>1000</v>
      </c>
      <c r="E209" s="425">
        <f t="shared" si="15"/>
        <v>636</v>
      </c>
      <c r="F209" s="10">
        <f t="shared" si="15"/>
        <v>0</v>
      </c>
      <c r="G209" s="425">
        <f t="shared" si="15"/>
        <v>0</v>
      </c>
      <c r="H209" s="41">
        <f t="shared" si="15"/>
        <v>0</v>
      </c>
      <c r="I209" s="10">
        <f t="shared" si="15"/>
        <v>0</v>
      </c>
      <c r="J209" s="10">
        <f t="shared" si="13"/>
        <v>0</v>
      </c>
      <c r="K209" s="113">
        <f t="shared" si="14"/>
        <v>344802.41448692151</v>
      </c>
    </row>
    <row r="210" spans="1:11" x14ac:dyDescent="0.25">
      <c r="A210" s="49">
        <f>'A) Base RI'!A209</f>
        <v>5730</v>
      </c>
      <c r="B210" s="295" t="str">
        <f>'A) Base RI'!B209</f>
        <v>Trélex</v>
      </c>
      <c r="C210" s="10">
        <f>'A) Base RI'!AO209</f>
        <v>1445</v>
      </c>
      <c r="D210" s="10">
        <f t="shared" si="12"/>
        <v>1000</v>
      </c>
      <c r="E210" s="425">
        <f t="shared" si="15"/>
        <v>445</v>
      </c>
      <c r="F210" s="10">
        <f t="shared" si="15"/>
        <v>0</v>
      </c>
      <c r="G210" s="425">
        <f t="shared" si="15"/>
        <v>0</v>
      </c>
      <c r="H210" s="41">
        <f t="shared" si="15"/>
        <v>0</v>
      </c>
      <c r="I210" s="10">
        <f t="shared" si="15"/>
        <v>0</v>
      </c>
      <c r="J210" s="10">
        <f t="shared" si="13"/>
        <v>0</v>
      </c>
      <c r="K210" s="113">
        <f t="shared" si="14"/>
        <v>278490.44265593559</v>
      </c>
    </row>
    <row r="211" spans="1:11" x14ac:dyDescent="0.25">
      <c r="A211" s="49">
        <f>'A) Base RI'!A210</f>
        <v>5731</v>
      </c>
      <c r="B211" s="295" t="str">
        <f>'A) Base RI'!B210</f>
        <v>Le Vaud</v>
      </c>
      <c r="C211" s="10">
        <f>'A) Base RI'!AO210</f>
        <v>1366</v>
      </c>
      <c r="D211" s="10">
        <f t="shared" si="12"/>
        <v>1000</v>
      </c>
      <c r="E211" s="425">
        <f t="shared" si="15"/>
        <v>366</v>
      </c>
      <c r="F211" s="10">
        <f t="shared" si="15"/>
        <v>0</v>
      </c>
      <c r="G211" s="425">
        <f t="shared" si="15"/>
        <v>0</v>
      </c>
      <c r="H211" s="41">
        <f t="shared" si="15"/>
        <v>0</v>
      </c>
      <c r="I211" s="10">
        <f t="shared" si="15"/>
        <v>0</v>
      </c>
      <c r="J211" s="10">
        <f t="shared" si="13"/>
        <v>0</v>
      </c>
      <c r="K211" s="113">
        <f t="shared" si="14"/>
        <v>251062.97786720318</v>
      </c>
    </row>
    <row r="212" spans="1:11" x14ac:dyDescent="0.25">
      <c r="A212" s="49">
        <f>'A) Base RI'!A211</f>
        <v>5732</v>
      </c>
      <c r="B212" s="295" t="str">
        <f>'A) Base RI'!B211</f>
        <v>Vich</v>
      </c>
      <c r="C212" s="10">
        <f>'A) Base RI'!AO211</f>
        <v>1156</v>
      </c>
      <c r="D212" s="10">
        <f t="shared" si="12"/>
        <v>1000</v>
      </c>
      <c r="E212" s="425">
        <f t="shared" si="15"/>
        <v>156</v>
      </c>
      <c r="F212" s="10">
        <f t="shared" si="15"/>
        <v>0</v>
      </c>
      <c r="G212" s="425">
        <f t="shared" si="15"/>
        <v>0</v>
      </c>
      <c r="H212" s="41">
        <f t="shared" si="15"/>
        <v>0</v>
      </c>
      <c r="I212" s="10">
        <f t="shared" si="15"/>
        <v>0</v>
      </c>
      <c r="J212" s="10">
        <f t="shared" si="13"/>
        <v>0</v>
      </c>
      <c r="K212" s="113">
        <f t="shared" si="14"/>
        <v>178154.52716297784</v>
      </c>
    </row>
    <row r="213" spans="1:11" x14ac:dyDescent="0.25">
      <c r="A213" s="49">
        <f>'A) Base RI'!A212</f>
        <v>5741</v>
      </c>
      <c r="B213" s="295" t="str">
        <f>'A) Base RI'!B212</f>
        <v>L'Abergement</v>
      </c>
      <c r="C213" s="10">
        <f>'A) Base RI'!AO212</f>
        <v>256</v>
      </c>
      <c r="D213" s="10">
        <f t="shared" si="12"/>
        <v>256</v>
      </c>
      <c r="E213" s="425">
        <f t="shared" si="15"/>
        <v>0</v>
      </c>
      <c r="F213" s="10">
        <f t="shared" si="15"/>
        <v>0</v>
      </c>
      <c r="G213" s="425">
        <f t="shared" si="15"/>
        <v>0</v>
      </c>
      <c r="H213" s="41">
        <f t="shared" si="15"/>
        <v>0</v>
      </c>
      <c r="I213" s="10">
        <f t="shared" si="15"/>
        <v>0</v>
      </c>
      <c r="J213" s="10">
        <f t="shared" si="13"/>
        <v>0</v>
      </c>
      <c r="K213" s="113">
        <f t="shared" si="14"/>
        <v>31742.454728370216</v>
      </c>
    </row>
    <row r="214" spans="1:11" x14ac:dyDescent="0.25">
      <c r="A214" s="49">
        <f>'A) Base RI'!A213</f>
        <v>5742</v>
      </c>
      <c r="B214" s="295" t="str">
        <f>'A) Base RI'!B213</f>
        <v>Agiez</v>
      </c>
      <c r="C214" s="10">
        <f>'A) Base RI'!AO213</f>
        <v>377</v>
      </c>
      <c r="D214" s="10">
        <f t="shared" si="12"/>
        <v>377</v>
      </c>
      <c r="E214" s="425">
        <f t="shared" si="15"/>
        <v>0</v>
      </c>
      <c r="F214" s="10">
        <f t="shared" si="15"/>
        <v>0</v>
      </c>
      <c r="G214" s="425">
        <f t="shared" si="15"/>
        <v>0</v>
      </c>
      <c r="H214" s="41">
        <f t="shared" si="15"/>
        <v>0</v>
      </c>
      <c r="I214" s="10">
        <f t="shared" si="15"/>
        <v>0</v>
      </c>
      <c r="J214" s="10">
        <f t="shared" si="13"/>
        <v>0</v>
      </c>
      <c r="K214" s="113">
        <f t="shared" si="14"/>
        <v>46745.724346076451</v>
      </c>
    </row>
    <row r="215" spans="1:11" x14ac:dyDescent="0.25">
      <c r="A215" s="49">
        <f>'A) Base RI'!A214</f>
        <v>5743</v>
      </c>
      <c r="B215" s="295" t="str">
        <f>'A) Base RI'!B214</f>
        <v>Arnex-sur-Orbe</v>
      </c>
      <c r="C215" s="10">
        <f>'A) Base RI'!AO214</f>
        <v>637</v>
      </c>
      <c r="D215" s="10">
        <f t="shared" si="12"/>
        <v>637</v>
      </c>
      <c r="E215" s="425">
        <f t="shared" si="15"/>
        <v>0</v>
      </c>
      <c r="F215" s="10">
        <f t="shared" si="15"/>
        <v>0</v>
      </c>
      <c r="G215" s="425">
        <f t="shared" si="15"/>
        <v>0</v>
      </c>
      <c r="H215" s="41">
        <f t="shared" si="15"/>
        <v>0</v>
      </c>
      <c r="I215" s="10">
        <f t="shared" si="15"/>
        <v>0</v>
      </c>
      <c r="J215" s="10">
        <f t="shared" si="13"/>
        <v>0</v>
      </c>
      <c r="K215" s="113">
        <f t="shared" si="14"/>
        <v>78984.154929577446</v>
      </c>
    </row>
    <row r="216" spans="1:11" x14ac:dyDescent="0.25">
      <c r="A216" s="49">
        <f>'A) Base RI'!A215</f>
        <v>5744</v>
      </c>
      <c r="B216" s="295" t="str">
        <f>'A) Base RI'!B215</f>
        <v>Ballaigues</v>
      </c>
      <c r="C216" s="10">
        <f>'A) Base RI'!AO215</f>
        <v>1143</v>
      </c>
      <c r="D216" s="10">
        <f t="shared" si="12"/>
        <v>1000</v>
      </c>
      <c r="E216" s="425">
        <f t="shared" si="15"/>
        <v>143</v>
      </c>
      <c r="F216" s="10">
        <f t="shared" si="15"/>
        <v>0</v>
      </c>
      <c r="G216" s="425">
        <f t="shared" si="15"/>
        <v>0</v>
      </c>
      <c r="H216" s="41">
        <f t="shared" si="15"/>
        <v>0</v>
      </c>
      <c r="I216" s="10">
        <f t="shared" si="15"/>
        <v>0</v>
      </c>
      <c r="J216" s="10">
        <f t="shared" si="13"/>
        <v>0</v>
      </c>
      <c r="K216" s="113">
        <f t="shared" si="14"/>
        <v>173641.14688128768</v>
      </c>
    </row>
    <row r="217" spans="1:11" x14ac:dyDescent="0.25">
      <c r="A217" s="49">
        <f>'A) Base RI'!A216</f>
        <v>5745</v>
      </c>
      <c r="B217" s="295" t="str">
        <f>'A) Base RI'!B216</f>
        <v>Baulmes</v>
      </c>
      <c r="C217" s="10">
        <f>'A) Base RI'!AO216</f>
        <v>1074</v>
      </c>
      <c r="D217" s="10">
        <f t="shared" si="12"/>
        <v>1000</v>
      </c>
      <c r="E217" s="425">
        <f t="shared" si="15"/>
        <v>74</v>
      </c>
      <c r="F217" s="10">
        <f t="shared" si="15"/>
        <v>0</v>
      </c>
      <c r="G217" s="425">
        <f t="shared" si="15"/>
        <v>0</v>
      </c>
      <c r="H217" s="41">
        <f t="shared" si="15"/>
        <v>0</v>
      </c>
      <c r="I217" s="10">
        <f t="shared" si="15"/>
        <v>0</v>
      </c>
      <c r="J217" s="10">
        <f t="shared" si="13"/>
        <v>0</v>
      </c>
      <c r="K217" s="113">
        <f t="shared" si="14"/>
        <v>149685.5130784708</v>
      </c>
    </row>
    <row r="218" spans="1:11" x14ac:dyDescent="0.25">
      <c r="A218" s="49">
        <f>'A) Base RI'!A217</f>
        <v>5746</v>
      </c>
      <c r="B218" s="295" t="str">
        <f>'A) Base RI'!B217</f>
        <v>Bavois</v>
      </c>
      <c r="C218" s="10">
        <f>'A) Base RI'!AO217</f>
        <v>994</v>
      </c>
      <c r="D218" s="10">
        <f t="shared" si="12"/>
        <v>994</v>
      </c>
      <c r="E218" s="425">
        <f t="shared" si="15"/>
        <v>0</v>
      </c>
      <c r="F218" s="10">
        <f t="shared" si="15"/>
        <v>0</v>
      </c>
      <c r="G218" s="425">
        <f t="shared" si="15"/>
        <v>0</v>
      </c>
      <c r="H218" s="41">
        <f t="shared" si="15"/>
        <v>0</v>
      </c>
      <c r="I218" s="10">
        <f t="shared" si="15"/>
        <v>0</v>
      </c>
      <c r="J218" s="10">
        <f t="shared" si="13"/>
        <v>0</v>
      </c>
      <c r="K218" s="113">
        <f t="shared" si="14"/>
        <v>123249.99999999999</v>
      </c>
    </row>
    <row r="219" spans="1:11" x14ac:dyDescent="0.25">
      <c r="A219" s="49">
        <f>'A) Base RI'!A218</f>
        <v>5747</v>
      </c>
      <c r="B219" s="295" t="str">
        <f>'A) Base RI'!B218</f>
        <v>Bofflens</v>
      </c>
      <c r="C219" s="10">
        <f>'A) Base RI'!AO218</f>
        <v>206</v>
      </c>
      <c r="D219" s="10">
        <f t="shared" si="12"/>
        <v>206</v>
      </c>
      <c r="E219" s="425">
        <f t="shared" si="15"/>
        <v>0</v>
      </c>
      <c r="F219" s="10">
        <f t="shared" si="15"/>
        <v>0</v>
      </c>
      <c r="G219" s="425">
        <f t="shared" si="15"/>
        <v>0</v>
      </c>
      <c r="H219" s="41">
        <f t="shared" si="15"/>
        <v>0</v>
      </c>
      <c r="I219" s="10">
        <f t="shared" si="15"/>
        <v>0</v>
      </c>
      <c r="J219" s="10">
        <f t="shared" si="13"/>
        <v>0</v>
      </c>
      <c r="K219" s="113">
        <f t="shared" si="14"/>
        <v>25542.756539235408</v>
      </c>
    </row>
    <row r="220" spans="1:11" x14ac:dyDescent="0.25">
      <c r="A220" s="49">
        <f>'A) Base RI'!A219</f>
        <v>5748</v>
      </c>
      <c r="B220" s="295" t="str">
        <f>'A) Base RI'!B219</f>
        <v>Bretonnières</v>
      </c>
      <c r="C220" s="10">
        <f>'A) Base RI'!AO219</f>
        <v>268</v>
      </c>
      <c r="D220" s="10">
        <f t="shared" si="12"/>
        <v>268</v>
      </c>
      <c r="E220" s="425">
        <f t="shared" si="15"/>
        <v>0</v>
      </c>
      <c r="F220" s="10">
        <f t="shared" si="15"/>
        <v>0</v>
      </c>
      <c r="G220" s="425">
        <f t="shared" si="15"/>
        <v>0</v>
      </c>
      <c r="H220" s="41">
        <f t="shared" si="15"/>
        <v>0</v>
      </c>
      <c r="I220" s="10">
        <f t="shared" si="15"/>
        <v>0</v>
      </c>
      <c r="J220" s="10">
        <f t="shared" si="13"/>
        <v>0</v>
      </c>
      <c r="K220" s="113">
        <f t="shared" si="14"/>
        <v>33230.382293762566</v>
      </c>
    </row>
    <row r="221" spans="1:11" x14ac:dyDescent="0.25">
      <c r="A221" s="49">
        <f>'A) Base RI'!A220</f>
        <v>5749</v>
      </c>
      <c r="B221" s="295" t="str">
        <f>'A) Base RI'!B220</f>
        <v>Chavornay</v>
      </c>
      <c r="C221" s="10">
        <f>'A) Base RI'!AO220</f>
        <v>5227</v>
      </c>
      <c r="D221" s="10">
        <f t="shared" si="12"/>
        <v>1000</v>
      </c>
      <c r="E221" s="425">
        <f t="shared" si="15"/>
        <v>2000</v>
      </c>
      <c r="F221" s="10">
        <f t="shared" si="15"/>
        <v>2000</v>
      </c>
      <c r="G221" s="425">
        <f t="shared" si="15"/>
        <v>227</v>
      </c>
      <c r="H221" s="41">
        <f t="shared" si="15"/>
        <v>0</v>
      </c>
      <c r="I221" s="10">
        <f t="shared" si="15"/>
        <v>0</v>
      </c>
      <c r="J221" s="10">
        <f t="shared" si="13"/>
        <v>0</v>
      </c>
      <c r="K221" s="113">
        <f t="shared" si="14"/>
        <v>1945415.6941649897</v>
      </c>
    </row>
    <row r="222" spans="1:11" x14ac:dyDescent="0.25">
      <c r="A222" s="49">
        <f>'A) Base RI'!A221</f>
        <v>5750</v>
      </c>
      <c r="B222" s="295" t="str">
        <f>'A) Base RI'!B221</f>
        <v>Les Clées</v>
      </c>
      <c r="C222" s="10">
        <f>'A) Base RI'!AO221</f>
        <v>187</v>
      </c>
      <c r="D222" s="10">
        <f t="shared" si="12"/>
        <v>187</v>
      </c>
      <c r="E222" s="425">
        <f t="shared" si="15"/>
        <v>0</v>
      </c>
      <c r="F222" s="10">
        <f t="shared" si="15"/>
        <v>0</v>
      </c>
      <c r="G222" s="425">
        <f t="shared" si="15"/>
        <v>0</v>
      </c>
      <c r="H222" s="41">
        <f t="shared" si="15"/>
        <v>0</v>
      </c>
      <c r="I222" s="10">
        <f t="shared" si="15"/>
        <v>0</v>
      </c>
      <c r="J222" s="10">
        <f t="shared" si="13"/>
        <v>0</v>
      </c>
      <c r="K222" s="113">
        <f t="shared" si="14"/>
        <v>23186.87122736418</v>
      </c>
    </row>
    <row r="223" spans="1:11" x14ac:dyDescent="0.25">
      <c r="A223" s="49">
        <f>'A) Base RI'!A222</f>
        <v>5752</v>
      </c>
      <c r="B223" s="295" t="str">
        <f>'A) Base RI'!B222</f>
        <v>Croy</v>
      </c>
      <c r="C223" s="10">
        <f>'A) Base RI'!AO222</f>
        <v>397</v>
      </c>
      <c r="D223" s="10">
        <f t="shared" si="12"/>
        <v>397</v>
      </c>
      <c r="E223" s="425">
        <f t="shared" si="15"/>
        <v>0</v>
      </c>
      <c r="F223" s="10">
        <f t="shared" si="15"/>
        <v>0</v>
      </c>
      <c r="G223" s="425">
        <f t="shared" si="15"/>
        <v>0</v>
      </c>
      <c r="H223" s="41">
        <f t="shared" si="15"/>
        <v>0</v>
      </c>
      <c r="I223" s="10">
        <f t="shared" si="15"/>
        <v>0</v>
      </c>
      <c r="J223" s="10">
        <f t="shared" si="13"/>
        <v>0</v>
      </c>
      <c r="K223" s="113">
        <f t="shared" si="14"/>
        <v>49225.603621730377</v>
      </c>
    </row>
    <row r="224" spans="1:11" x14ac:dyDescent="0.25">
      <c r="A224" s="49">
        <f>'A) Base RI'!A223</f>
        <v>5754</v>
      </c>
      <c r="B224" s="295" t="str">
        <f>'A) Base RI'!B223</f>
        <v>Juriens</v>
      </c>
      <c r="C224" s="10">
        <f>'A) Base RI'!AO223</f>
        <v>336</v>
      </c>
      <c r="D224" s="10">
        <f t="shared" si="12"/>
        <v>336</v>
      </c>
      <c r="E224" s="425">
        <f t="shared" si="15"/>
        <v>0</v>
      </c>
      <c r="F224" s="10">
        <f t="shared" si="15"/>
        <v>0</v>
      </c>
      <c r="G224" s="425">
        <f t="shared" si="15"/>
        <v>0</v>
      </c>
      <c r="H224" s="41">
        <f t="shared" si="15"/>
        <v>0</v>
      </c>
      <c r="I224" s="10">
        <f t="shared" si="15"/>
        <v>0</v>
      </c>
      <c r="J224" s="10">
        <f t="shared" si="13"/>
        <v>0</v>
      </c>
      <c r="K224" s="113">
        <f t="shared" si="14"/>
        <v>41661.971830985909</v>
      </c>
    </row>
    <row r="225" spans="1:11" x14ac:dyDescent="0.25">
      <c r="A225" s="49">
        <f>'A) Base RI'!A224</f>
        <v>5755</v>
      </c>
      <c r="B225" s="295" t="str">
        <f>'A) Base RI'!B224</f>
        <v>Lignerolle</v>
      </c>
      <c r="C225" s="10">
        <f>'A) Base RI'!AO224</f>
        <v>435</v>
      </c>
      <c r="D225" s="10">
        <f t="shared" si="12"/>
        <v>435</v>
      </c>
      <c r="E225" s="425">
        <f t="shared" si="15"/>
        <v>0</v>
      </c>
      <c r="F225" s="10">
        <f t="shared" si="15"/>
        <v>0</v>
      </c>
      <c r="G225" s="425">
        <f t="shared" si="15"/>
        <v>0</v>
      </c>
      <c r="H225" s="41">
        <f t="shared" si="15"/>
        <v>0</v>
      </c>
      <c r="I225" s="10">
        <f t="shared" si="15"/>
        <v>0</v>
      </c>
      <c r="J225" s="10">
        <f t="shared" si="13"/>
        <v>0</v>
      </c>
      <c r="K225" s="113">
        <f t="shared" si="14"/>
        <v>53937.374245472827</v>
      </c>
    </row>
    <row r="226" spans="1:11" x14ac:dyDescent="0.25">
      <c r="A226" s="49">
        <f>'A) Base RI'!A225</f>
        <v>5756</v>
      </c>
      <c r="B226" s="295" t="str">
        <f>'A) Base RI'!B225</f>
        <v>Montcherand</v>
      </c>
      <c r="C226" s="10">
        <f>'A) Base RI'!AO225</f>
        <v>506</v>
      </c>
      <c r="D226" s="10">
        <f t="shared" si="12"/>
        <v>506</v>
      </c>
      <c r="E226" s="425">
        <f t="shared" si="15"/>
        <v>0</v>
      </c>
      <c r="F226" s="10">
        <f t="shared" si="15"/>
        <v>0</v>
      </c>
      <c r="G226" s="425">
        <f t="shared" si="15"/>
        <v>0</v>
      </c>
      <c r="H226" s="41">
        <f t="shared" si="15"/>
        <v>0</v>
      </c>
      <c r="I226" s="10">
        <f t="shared" si="15"/>
        <v>0</v>
      </c>
      <c r="J226" s="10">
        <f t="shared" si="13"/>
        <v>0</v>
      </c>
      <c r="K226" s="113">
        <f t="shared" si="14"/>
        <v>62740.945674044255</v>
      </c>
    </row>
    <row r="227" spans="1:11" x14ac:dyDescent="0.25">
      <c r="A227" s="49">
        <f>'A) Base RI'!A226</f>
        <v>5757</v>
      </c>
      <c r="B227" s="295" t="str">
        <f>'A) Base RI'!B226</f>
        <v>Orbe</v>
      </c>
      <c r="C227" s="10">
        <f>'A) Base RI'!AO226</f>
        <v>7124</v>
      </c>
      <c r="D227" s="10">
        <f t="shared" si="12"/>
        <v>1000</v>
      </c>
      <c r="E227" s="425">
        <f t="shared" si="15"/>
        <v>2000</v>
      </c>
      <c r="F227" s="10">
        <f t="shared" si="15"/>
        <v>2000</v>
      </c>
      <c r="G227" s="425">
        <f t="shared" si="15"/>
        <v>2124</v>
      </c>
      <c r="H227" s="41">
        <f t="shared" si="15"/>
        <v>0</v>
      </c>
      <c r="I227" s="10">
        <f t="shared" si="15"/>
        <v>0</v>
      </c>
      <c r="J227" s="10">
        <f t="shared" si="13"/>
        <v>0</v>
      </c>
      <c r="K227" s="113">
        <f t="shared" si="14"/>
        <v>3074455.1307847081</v>
      </c>
    </row>
    <row r="228" spans="1:11" x14ac:dyDescent="0.25">
      <c r="A228" s="49">
        <f>'A) Base RI'!A227</f>
        <v>5758</v>
      </c>
      <c r="B228" s="295" t="str">
        <f>'A) Base RI'!B227</f>
        <v>La Praz</v>
      </c>
      <c r="C228" s="10">
        <f>'A) Base RI'!AO227</f>
        <v>175</v>
      </c>
      <c r="D228" s="10">
        <f t="shared" si="12"/>
        <v>175</v>
      </c>
      <c r="E228" s="425">
        <f t="shared" si="15"/>
        <v>0</v>
      </c>
      <c r="F228" s="10">
        <f t="shared" si="15"/>
        <v>0</v>
      </c>
      <c r="G228" s="425">
        <f t="shared" si="15"/>
        <v>0</v>
      </c>
      <c r="H228" s="41">
        <f t="shared" si="15"/>
        <v>0</v>
      </c>
      <c r="I228" s="10">
        <f t="shared" si="15"/>
        <v>0</v>
      </c>
      <c r="J228" s="10">
        <f t="shared" si="13"/>
        <v>0</v>
      </c>
      <c r="K228" s="113">
        <f t="shared" si="14"/>
        <v>21698.943661971829</v>
      </c>
    </row>
    <row r="229" spans="1:11" x14ac:dyDescent="0.25">
      <c r="A229" s="49">
        <f>'A) Base RI'!A228</f>
        <v>5759</v>
      </c>
      <c r="B229" s="295" t="str">
        <f>'A) Base RI'!B228</f>
        <v>Premier</v>
      </c>
      <c r="C229" s="10">
        <f>'A) Base RI'!AO228</f>
        <v>218</v>
      </c>
      <c r="D229" s="10">
        <f t="shared" si="12"/>
        <v>218</v>
      </c>
      <c r="E229" s="425">
        <f t="shared" si="15"/>
        <v>0</v>
      </c>
      <c r="F229" s="10">
        <f t="shared" si="15"/>
        <v>0</v>
      </c>
      <c r="G229" s="425">
        <f t="shared" si="15"/>
        <v>0</v>
      </c>
      <c r="H229" s="41">
        <f t="shared" si="15"/>
        <v>0</v>
      </c>
      <c r="I229" s="10">
        <f t="shared" si="15"/>
        <v>0</v>
      </c>
      <c r="J229" s="10">
        <f t="shared" si="13"/>
        <v>0</v>
      </c>
      <c r="K229" s="113">
        <f t="shared" si="14"/>
        <v>27030.684104627762</v>
      </c>
    </row>
    <row r="230" spans="1:11" x14ac:dyDescent="0.25">
      <c r="A230" s="49">
        <f>'A) Base RI'!A229</f>
        <v>5760</v>
      </c>
      <c r="B230" s="295" t="str">
        <f>'A) Base RI'!B229</f>
        <v>Rances</v>
      </c>
      <c r="C230" s="10">
        <f>'A) Base RI'!AO229</f>
        <v>513</v>
      </c>
      <c r="D230" s="10">
        <f t="shared" si="12"/>
        <v>513</v>
      </c>
      <c r="E230" s="425">
        <f t="shared" si="15"/>
        <v>0</v>
      </c>
      <c r="F230" s="10">
        <f t="shared" si="15"/>
        <v>0</v>
      </c>
      <c r="G230" s="425">
        <f t="shared" si="15"/>
        <v>0</v>
      </c>
      <c r="H230" s="41">
        <f t="shared" si="15"/>
        <v>0</v>
      </c>
      <c r="I230" s="10">
        <f t="shared" si="15"/>
        <v>0</v>
      </c>
      <c r="J230" s="10">
        <f t="shared" si="13"/>
        <v>0</v>
      </c>
      <c r="K230" s="113">
        <f t="shared" si="14"/>
        <v>63608.903420523129</v>
      </c>
    </row>
    <row r="231" spans="1:11" x14ac:dyDescent="0.25">
      <c r="A231" s="49">
        <f>'A) Base RI'!A230</f>
        <v>5761</v>
      </c>
      <c r="B231" s="295" t="str">
        <f>'A) Base RI'!B230</f>
        <v>Romainmôtier-Envy</v>
      </c>
      <c r="C231" s="10">
        <f>'A) Base RI'!AO230</f>
        <v>525</v>
      </c>
      <c r="D231" s="10">
        <f t="shared" si="12"/>
        <v>525</v>
      </c>
      <c r="E231" s="425">
        <f t="shared" si="15"/>
        <v>0</v>
      </c>
      <c r="F231" s="10">
        <f t="shared" si="15"/>
        <v>0</v>
      </c>
      <c r="G231" s="425">
        <f t="shared" si="15"/>
        <v>0</v>
      </c>
      <c r="H231" s="41">
        <f t="shared" si="15"/>
        <v>0</v>
      </c>
      <c r="I231" s="10">
        <f t="shared" si="15"/>
        <v>0</v>
      </c>
      <c r="J231" s="10">
        <f t="shared" si="13"/>
        <v>0</v>
      </c>
      <c r="K231" s="113">
        <f t="shared" si="14"/>
        <v>65096.830985915483</v>
      </c>
    </row>
    <row r="232" spans="1:11" x14ac:dyDescent="0.25">
      <c r="A232" s="49">
        <f>'A) Base RI'!A231</f>
        <v>5762</v>
      </c>
      <c r="B232" s="295" t="str">
        <f>'A) Base RI'!B231</f>
        <v>Sergey</v>
      </c>
      <c r="C232" s="10">
        <f>'A) Base RI'!AO231</f>
        <v>145</v>
      </c>
      <c r="D232" s="10">
        <f t="shared" si="12"/>
        <v>145</v>
      </c>
      <c r="E232" s="425">
        <f t="shared" si="15"/>
        <v>0</v>
      </c>
      <c r="F232" s="10">
        <f t="shared" si="15"/>
        <v>0</v>
      </c>
      <c r="G232" s="425">
        <f t="shared" si="15"/>
        <v>0</v>
      </c>
      <c r="H232" s="41">
        <f t="shared" si="15"/>
        <v>0</v>
      </c>
      <c r="I232" s="10">
        <f t="shared" si="15"/>
        <v>0</v>
      </c>
      <c r="J232" s="10">
        <f t="shared" si="13"/>
        <v>0</v>
      </c>
      <c r="K232" s="113">
        <f t="shared" si="14"/>
        <v>17979.124748490944</v>
      </c>
    </row>
    <row r="233" spans="1:11" x14ac:dyDescent="0.25">
      <c r="A233" s="49">
        <f>'A) Base RI'!A232</f>
        <v>5763</v>
      </c>
      <c r="B233" s="295" t="str">
        <f>'A) Base RI'!B232</f>
        <v>Valeyres-sous-Rances</v>
      </c>
      <c r="C233" s="10">
        <f>'A) Base RI'!AO232</f>
        <v>609</v>
      </c>
      <c r="D233" s="10">
        <f t="shared" si="12"/>
        <v>609</v>
      </c>
      <c r="E233" s="425">
        <f t="shared" si="15"/>
        <v>0</v>
      </c>
      <c r="F233" s="10">
        <f t="shared" si="15"/>
        <v>0</v>
      </c>
      <c r="G233" s="425">
        <f t="shared" si="15"/>
        <v>0</v>
      </c>
      <c r="H233" s="41">
        <f t="shared" si="15"/>
        <v>0</v>
      </c>
      <c r="I233" s="10">
        <f t="shared" si="15"/>
        <v>0</v>
      </c>
      <c r="J233" s="10">
        <f t="shared" si="13"/>
        <v>0</v>
      </c>
      <c r="K233" s="113">
        <f t="shared" si="14"/>
        <v>75512.323943661962</v>
      </c>
    </row>
    <row r="234" spans="1:11" x14ac:dyDescent="0.25">
      <c r="A234" s="49">
        <f>'A) Base RI'!A233</f>
        <v>5764</v>
      </c>
      <c r="B234" s="295" t="str">
        <f>'A) Base RI'!B233</f>
        <v>Vallorbe</v>
      </c>
      <c r="C234" s="10">
        <f>'A) Base RI'!AO233</f>
        <v>3874</v>
      </c>
      <c r="D234" s="10">
        <f t="shared" si="12"/>
        <v>1000</v>
      </c>
      <c r="E234" s="425">
        <f t="shared" si="15"/>
        <v>2000</v>
      </c>
      <c r="F234" s="10">
        <f t="shared" si="15"/>
        <v>874</v>
      </c>
      <c r="G234" s="425">
        <f t="shared" si="15"/>
        <v>0</v>
      </c>
      <c r="H234" s="41">
        <f t="shared" si="15"/>
        <v>0</v>
      </c>
      <c r="I234" s="10">
        <f t="shared" si="15"/>
        <v>0</v>
      </c>
      <c r="J234" s="10">
        <f t="shared" si="13"/>
        <v>0</v>
      </c>
      <c r="K234" s="113">
        <f t="shared" si="14"/>
        <v>1251843.0583501004</v>
      </c>
    </row>
    <row r="235" spans="1:11" x14ac:dyDescent="0.25">
      <c r="A235" s="49">
        <f>'A) Base RI'!A234</f>
        <v>5765</v>
      </c>
      <c r="B235" s="295" t="str">
        <f>'A) Base RI'!B234</f>
        <v>Vaulion</v>
      </c>
      <c r="C235" s="10">
        <f>'A) Base RI'!AO234</f>
        <v>506</v>
      </c>
      <c r="D235" s="10">
        <f t="shared" ref="D235:D298" si="16">IF($C235&gt;D$4,IF($C235&lt;D$5,$C235-D$4,D$5-D$4),0)</f>
        <v>506</v>
      </c>
      <c r="E235" s="425">
        <f t="shared" si="15"/>
        <v>0</v>
      </c>
      <c r="F235" s="10">
        <f t="shared" si="15"/>
        <v>0</v>
      </c>
      <c r="G235" s="425">
        <f t="shared" si="15"/>
        <v>0</v>
      </c>
      <c r="H235" s="41">
        <f t="shared" si="15"/>
        <v>0</v>
      </c>
      <c r="I235" s="10">
        <f t="shared" si="15"/>
        <v>0</v>
      </c>
      <c r="J235" s="10">
        <f t="shared" si="13"/>
        <v>0</v>
      </c>
      <c r="K235" s="113">
        <f t="shared" si="14"/>
        <v>62740.945674044255</v>
      </c>
    </row>
    <row r="236" spans="1:11" x14ac:dyDescent="0.25">
      <c r="A236" s="49">
        <f>'A) Base RI'!A235</f>
        <v>5766</v>
      </c>
      <c r="B236" s="295" t="str">
        <f>'A) Base RI'!B235</f>
        <v>Vuiteboeuf</v>
      </c>
      <c r="C236" s="10">
        <f>'A) Base RI'!AO235</f>
        <v>584</v>
      </c>
      <c r="D236" s="10">
        <f t="shared" si="16"/>
        <v>584</v>
      </c>
      <c r="E236" s="425">
        <f t="shared" si="15"/>
        <v>0</v>
      </c>
      <c r="F236" s="10">
        <f t="shared" si="15"/>
        <v>0</v>
      </c>
      <c r="G236" s="425">
        <f t="shared" si="15"/>
        <v>0</v>
      </c>
      <c r="H236" s="41">
        <f t="shared" si="15"/>
        <v>0</v>
      </c>
      <c r="I236" s="10">
        <f t="shared" si="15"/>
        <v>0</v>
      </c>
      <c r="J236" s="10">
        <f t="shared" si="13"/>
        <v>0</v>
      </c>
      <c r="K236" s="113">
        <f t="shared" si="14"/>
        <v>72412.474849094549</v>
      </c>
    </row>
    <row r="237" spans="1:11" x14ac:dyDescent="0.25">
      <c r="A237" s="49">
        <f>'A) Base RI'!A236</f>
        <v>5785</v>
      </c>
      <c r="B237" s="295" t="str">
        <f>'A) Base RI'!B236</f>
        <v>Corcelles-le-Jorat</v>
      </c>
      <c r="C237" s="10">
        <f>'A) Base RI'!AO236</f>
        <v>451</v>
      </c>
      <c r="D237" s="10">
        <f t="shared" si="16"/>
        <v>451</v>
      </c>
      <c r="E237" s="425">
        <f t="shared" si="15"/>
        <v>0</v>
      </c>
      <c r="F237" s="10">
        <f t="shared" si="15"/>
        <v>0</v>
      </c>
      <c r="G237" s="425">
        <f t="shared" si="15"/>
        <v>0</v>
      </c>
      <c r="H237" s="41">
        <f t="shared" si="15"/>
        <v>0</v>
      </c>
      <c r="I237" s="10">
        <f t="shared" si="15"/>
        <v>0</v>
      </c>
      <c r="J237" s="10">
        <f t="shared" si="13"/>
        <v>0</v>
      </c>
      <c r="K237" s="113">
        <f t="shared" si="14"/>
        <v>55921.277665995964</v>
      </c>
    </row>
    <row r="238" spans="1:11" x14ac:dyDescent="0.25">
      <c r="A238" s="49">
        <f>'A) Base RI'!A237</f>
        <v>5788</v>
      </c>
      <c r="B238" s="295" t="str">
        <f>'A) Base RI'!B237</f>
        <v>Essertes</v>
      </c>
      <c r="C238" s="10">
        <f>'A) Base RI'!AO237</f>
        <v>389</v>
      </c>
      <c r="D238" s="10">
        <f t="shared" si="16"/>
        <v>389</v>
      </c>
      <c r="E238" s="425">
        <f t="shared" si="15"/>
        <v>0</v>
      </c>
      <c r="F238" s="10">
        <f t="shared" si="15"/>
        <v>0</v>
      </c>
      <c r="G238" s="425">
        <f t="shared" si="15"/>
        <v>0</v>
      </c>
      <c r="H238" s="41">
        <f t="shared" si="15"/>
        <v>0</v>
      </c>
      <c r="I238" s="10">
        <f t="shared" si="15"/>
        <v>0</v>
      </c>
      <c r="J238" s="10">
        <f t="shared" si="13"/>
        <v>0</v>
      </c>
      <c r="K238" s="113">
        <f t="shared" si="14"/>
        <v>48233.651911468805</v>
      </c>
    </row>
    <row r="239" spans="1:11" x14ac:dyDescent="0.25">
      <c r="A239" s="49">
        <f>'A) Base RI'!A238</f>
        <v>5790</v>
      </c>
      <c r="B239" s="295" t="str">
        <f>'A) Base RI'!B238</f>
        <v>Maracon</v>
      </c>
      <c r="C239" s="10">
        <f>'A) Base RI'!AO238</f>
        <v>538</v>
      </c>
      <c r="D239" s="10">
        <f t="shared" si="16"/>
        <v>538</v>
      </c>
      <c r="E239" s="425">
        <f t="shared" si="15"/>
        <v>0</v>
      </c>
      <c r="F239" s="10">
        <f t="shared" si="15"/>
        <v>0</v>
      </c>
      <c r="G239" s="425">
        <f t="shared" si="15"/>
        <v>0</v>
      </c>
      <c r="H239" s="41">
        <f t="shared" si="15"/>
        <v>0</v>
      </c>
      <c r="I239" s="10">
        <f t="shared" si="15"/>
        <v>0</v>
      </c>
      <c r="J239" s="10">
        <f t="shared" si="13"/>
        <v>0</v>
      </c>
      <c r="K239" s="113">
        <f t="shared" si="14"/>
        <v>66708.752515090528</v>
      </c>
    </row>
    <row r="240" spans="1:11" x14ac:dyDescent="0.25">
      <c r="A240" s="49">
        <f>'A) Base RI'!A239</f>
        <v>5792</v>
      </c>
      <c r="B240" s="295" t="str">
        <f>'A) Base RI'!B239</f>
        <v>Montpreveyres</v>
      </c>
      <c r="C240" s="10">
        <f>'A) Base RI'!AO239</f>
        <v>653</v>
      </c>
      <c r="D240" s="10">
        <f t="shared" si="16"/>
        <v>653</v>
      </c>
      <c r="E240" s="425">
        <f t="shared" si="15"/>
        <v>0</v>
      </c>
      <c r="F240" s="10">
        <f t="shared" si="15"/>
        <v>0</v>
      </c>
      <c r="G240" s="425">
        <f t="shared" si="15"/>
        <v>0</v>
      </c>
      <c r="H240" s="41">
        <f t="shared" si="15"/>
        <v>0</v>
      </c>
      <c r="I240" s="10">
        <f t="shared" si="15"/>
        <v>0</v>
      </c>
      <c r="J240" s="10">
        <f t="shared" si="13"/>
        <v>0</v>
      </c>
      <c r="K240" s="113">
        <f t="shared" si="14"/>
        <v>80968.058350100589</v>
      </c>
    </row>
    <row r="241" spans="1:11" x14ac:dyDescent="0.25">
      <c r="A241" s="49">
        <f>'A) Base RI'!A240</f>
        <v>5798</v>
      </c>
      <c r="B241" s="295" t="str">
        <f>'A) Base RI'!B240</f>
        <v>Ropraz</v>
      </c>
      <c r="C241" s="10">
        <f>'A) Base RI'!AO240</f>
        <v>528</v>
      </c>
      <c r="D241" s="10">
        <f t="shared" si="16"/>
        <v>528</v>
      </c>
      <c r="E241" s="425">
        <f t="shared" si="15"/>
        <v>0</v>
      </c>
      <c r="F241" s="10">
        <f t="shared" si="15"/>
        <v>0</v>
      </c>
      <c r="G241" s="425">
        <f t="shared" si="15"/>
        <v>0</v>
      </c>
      <c r="H241" s="41">
        <f t="shared" si="15"/>
        <v>0</v>
      </c>
      <c r="I241" s="10">
        <f t="shared" si="15"/>
        <v>0</v>
      </c>
      <c r="J241" s="10">
        <f t="shared" si="13"/>
        <v>0</v>
      </c>
      <c r="K241" s="113">
        <f t="shared" si="14"/>
        <v>65468.812877263568</v>
      </c>
    </row>
    <row r="242" spans="1:11" x14ac:dyDescent="0.25">
      <c r="A242" s="49">
        <f>'A) Base RI'!A241</f>
        <v>5799</v>
      </c>
      <c r="B242" s="295" t="str">
        <f>'A) Base RI'!B241</f>
        <v>Servion</v>
      </c>
      <c r="C242" s="10">
        <f>'A) Base RI'!AO241</f>
        <v>2076</v>
      </c>
      <c r="D242" s="10">
        <f t="shared" si="16"/>
        <v>1000</v>
      </c>
      <c r="E242" s="425">
        <f t="shared" si="15"/>
        <v>1076</v>
      </c>
      <c r="F242" s="10">
        <f t="shared" si="15"/>
        <v>0</v>
      </c>
      <c r="G242" s="425">
        <f t="shared" si="15"/>
        <v>0</v>
      </c>
      <c r="H242" s="41">
        <f t="shared" si="15"/>
        <v>0</v>
      </c>
      <c r="I242" s="10">
        <f t="shared" si="15"/>
        <v>0</v>
      </c>
      <c r="J242" s="10">
        <f t="shared" si="13"/>
        <v>0</v>
      </c>
      <c r="K242" s="113">
        <f t="shared" si="14"/>
        <v>497562.97786720318</v>
      </c>
    </row>
    <row r="243" spans="1:11" x14ac:dyDescent="0.25">
      <c r="A243" s="49">
        <f>'A) Base RI'!A242</f>
        <v>5803</v>
      </c>
      <c r="B243" s="295" t="str">
        <f>'A) Base RI'!B242</f>
        <v>Vulliens</v>
      </c>
      <c r="C243" s="10">
        <f>'A) Base RI'!AO242</f>
        <v>624</v>
      </c>
      <c r="D243" s="10">
        <f t="shared" si="16"/>
        <v>624</v>
      </c>
      <c r="E243" s="425">
        <f t="shared" si="15"/>
        <v>0</v>
      </c>
      <c r="F243" s="10">
        <f t="shared" si="15"/>
        <v>0</v>
      </c>
      <c r="G243" s="425">
        <f t="shared" si="15"/>
        <v>0</v>
      </c>
      <c r="H243" s="41">
        <f t="shared" si="15"/>
        <v>0</v>
      </c>
      <c r="I243" s="10">
        <f t="shared" si="15"/>
        <v>0</v>
      </c>
      <c r="J243" s="10">
        <f t="shared" si="13"/>
        <v>0</v>
      </c>
      <c r="K243" s="113">
        <f t="shared" si="14"/>
        <v>77372.233400402401</v>
      </c>
    </row>
    <row r="244" spans="1:11" x14ac:dyDescent="0.25">
      <c r="A244" s="49">
        <f>'A) Base RI'!A243</f>
        <v>5804</v>
      </c>
      <c r="B244" s="295" t="str">
        <f>'A) Base RI'!B243</f>
        <v>Jorat-Menthue</v>
      </c>
      <c r="C244" s="10">
        <f>'A) Base RI'!AO243</f>
        <v>1602</v>
      </c>
      <c r="D244" s="10">
        <f t="shared" si="16"/>
        <v>1000</v>
      </c>
      <c r="E244" s="425">
        <f t="shared" si="15"/>
        <v>602</v>
      </c>
      <c r="F244" s="10">
        <f t="shared" si="15"/>
        <v>0</v>
      </c>
      <c r="G244" s="425">
        <f t="shared" si="15"/>
        <v>0</v>
      </c>
      <c r="H244" s="41">
        <f t="shared" si="15"/>
        <v>0</v>
      </c>
      <c r="I244" s="10">
        <f t="shared" si="15"/>
        <v>0</v>
      </c>
      <c r="J244" s="10">
        <f t="shared" si="13"/>
        <v>0</v>
      </c>
      <c r="K244" s="113">
        <f t="shared" si="14"/>
        <v>332998.18913480878</v>
      </c>
    </row>
    <row r="245" spans="1:11" x14ac:dyDescent="0.25">
      <c r="A245" s="49">
        <f>'A) Base RI'!A244</f>
        <v>5805</v>
      </c>
      <c r="B245" s="295" t="str">
        <f>'A) Base RI'!B244</f>
        <v>Oron</v>
      </c>
      <c r="C245" s="10">
        <f>'A) Base RI'!AO244</f>
        <v>5663</v>
      </c>
      <c r="D245" s="10">
        <f t="shared" si="16"/>
        <v>1000</v>
      </c>
      <c r="E245" s="425">
        <f t="shared" si="15"/>
        <v>2000</v>
      </c>
      <c r="F245" s="10">
        <f t="shared" si="15"/>
        <v>2000</v>
      </c>
      <c r="G245" s="425">
        <f t="shared" si="15"/>
        <v>663</v>
      </c>
      <c r="H245" s="41">
        <f t="shared" si="15"/>
        <v>0</v>
      </c>
      <c r="I245" s="10">
        <f t="shared" si="15"/>
        <v>0</v>
      </c>
      <c r="J245" s="10">
        <f t="shared" si="13"/>
        <v>0</v>
      </c>
      <c r="K245" s="113">
        <f t="shared" si="14"/>
        <v>2204910.2615694162</v>
      </c>
    </row>
    <row r="246" spans="1:11" x14ac:dyDescent="0.25">
      <c r="A246" s="49">
        <f>'A) Base RI'!A245</f>
        <v>5806</v>
      </c>
      <c r="B246" s="295" t="str">
        <f>'A) Base RI'!B245</f>
        <v>Jorat-Mézières</v>
      </c>
      <c r="C246" s="10">
        <f>'A) Base RI'!AO245</f>
        <v>2966</v>
      </c>
      <c r="D246" s="10">
        <f t="shared" si="16"/>
        <v>1000</v>
      </c>
      <c r="E246" s="425">
        <f t="shared" si="15"/>
        <v>1966</v>
      </c>
      <c r="F246" s="10">
        <f t="shared" si="15"/>
        <v>0</v>
      </c>
      <c r="G246" s="425">
        <f t="shared" si="15"/>
        <v>0</v>
      </c>
      <c r="H246" s="41">
        <f t="shared" si="15"/>
        <v>0</v>
      </c>
      <c r="I246" s="10">
        <f t="shared" si="15"/>
        <v>0</v>
      </c>
      <c r="J246" s="10">
        <f t="shared" si="13"/>
        <v>0</v>
      </c>
      <c r="K246" s="113">
        <f t="shared" si="14"/>
        <v>806555.93561368203</v>
      </c>
    </row>
    <row r="247" spans="1:11" x14ac:dyDescent="0.25">
      <c r="A247" s="49">
        <f>'A) Base RI'!A246</f>
        <v>5812</v>
      </c>
      <c r="B247" s="295" t="str">
        <f>'A) Base RI'!B246</f>
        <v>Champtauroz</v>
      </c>
      <c r="C247" s="10">
        <f>'A) Base RI'!AO246</f>
        <v>144</v>
      </c>
      <c r="D247" s="10">
        <f t="shared" si="16"/>
        <v>144</v>
      </c>
      <c r="E247" s="425">
        <f t="shared" si="15"/>
        <v>0</v>
      </c>
      <c r="F247" s="10">
        <f t="shared" si="15"/>
        <v>0</v>
      </c>
      <c r="G247" s="425">
        <f t="shared" si="15"/>
        <v>0</v>
      </c>
      <c r="H247" s="41">
        <f t="shared" si="15"/>
        <v>0</v>
      </c>
      <c r="I247" s="10">
        <f t="shared" si="15"/>
        <v>0</v>
      </c>
      <c r="J247" s="10">
        <f t="shared" si="13"/>
        <v>0</v>
      </c>
      <c r="K247" s="113">
        <f t="shared" si="14"/>
        <v>17855.130784708246</v>
      </c>
    </row>
    <row r="248" spans="1:11" x14ac:dyDescent="0.25">
      <c r="A248" s="49">
        <f>'A) Base RI'!A247</f>
        <v>5813</v>
      </c>
      <c r="B248" s="295" t="str">
        <f>'A) Base RI'!B247</f>
        <v>Chevroux</v>
      </c>
      <c r="C248" s="10">
        <f>'A) Base RI'!AO247</f>
        <v>495</v>
      </c>
      <c r="D248" s="10">
        <f t="shared" si="16"/>
        <v>495</v>
      </c>
      <c r="E248" s="425">
        <f t="shared" si="15"/>
        <v>0</v>
      </c>
      <c r="F248" s="10">
        <f t="shared" si="15"/>
        <v>0</v>
      </c>
      <c r="G248" s="425">
        <f t="shared" si="15"/>
        <v>0</v>
      </c>
      <c r="H248" s="41">
        <f t="shared" si="15"/>
        <v>0</v>
      </c>
      <c r="I248" s="10">
        <f t="shared" si="15"/>
        <v>0</v>
      </c>
      <c r="J248" s="10">
        <f t="shared" si="13"/>
        <v>0</v>
      </c>
      <c r="K248" s="113">
        <f t="shared" si="14"/>
        <v>61377.012072434598</v>
      </c>
    </row>
    <row r="249" spans="1:11" x14ac:dyDescent="0.25">
      <c r="A249" s="49">
        <f>'A) Base RI'!A248</f>
        <v>5816</v>
      </c>
      <c r="B249" s="295" t="str">
        <f>'A) Base RI'!B248</f>
        <v>Corcelles-près-Payerne</v>
      </c>
      <c r="C249" s="10">
        <f>'A) Base RI'!AO248</f>
        <v>2681</v>
      </c>
      <c r="D249" s="10">
        <f t="shared" si="16"/>
        <v>1000</v>
      </c>
      <c r="E249" s="425">
        <f t="shared" si="15"/>
        <v>1681</v>
      </c>
      <c r="F249" s="10">
        <f t="shared" si="15"/>
        <v>0</v>
      </c>
      <c r="G249" s="425">
        <f t="shared" si="15"/>
        <v>0</v>
      </c>
      <c r="H249" s="41">
        <f t="shared" si="15"/>
        <v>0</v>
      </c>
      <c r="I249" s="10">
        <f t="shared" si="15"/>
        <v>0</v>
      </c>
      <c r="J249" s="10">
        <f t="shared" si="13"/>
        <v>0</v>
      </c>
      <c r="K249" s="113">
        <f t="shared" si="14"/>
        <v>707608.75251509051</v>
      </c>
    </row>
    <row r="250" spans="1:11" x14ac:dyDescent="0.25">
      <c r="A250" s="49">
        <f>'A) Base RI'!A249</f>
        <v>5817</v>
      </c>
      <c r="B250" s="295" t="str">
        <f>'A) Base RI'!B249</f>
        <v>Grandcour</v>
      </c>
      <c r="C250" s="10">
        <f>'A) Base RI'!AO249</f>
        <v>967</v>
      </c>
      <c r="D250" s="10">
        <f t="shared" si="16"/>
        <v>967</v>
      </c>
      <c r="E250" s="425">
        <f t="shared" si="15"/>
        <v>0</v>
      </c>
      <c r="F250" s="10">
        <f t="shared" si="15"/>
        <v>0</v>
      </c>
      <c r="G250" s="425">
        <f t="shared" si="15"/>
        <v>0</v>
      </c>
      <c r="H250" s="41">
        <f t="shared" si="15"/>
        <v>0</v>
      </c>
      <c r="I250" s="10">
        <f t="shared" si="15"/>
        <v>0</v>
      </c>
      <c r="J250" s="10">
        <f t="shared" si="13"/>
        <v>0</v>
      </c>
      <c r="K250" s="113">
        <f t="shared" si="14"/>
        <v>119902.16297786718</v>
      </c>
    </row>
    <row r="251" spans="1:11" x14ac:dyDescent="0.25">
      <c r="A251" s="49">
        <f>'A) Base RI'!A250</f>
        <v>5819</v>
      </c>
      <c r="B251" s="295" t="str">
        <f>'A) Base RI'!B250</f>
        <v>Henniez</v>
      </c>
      <c r="C251" s="10">
        <f>'A) Base RI'!AO250</f>
        <v>396</v>
      </c>
      <c r="D251" s="10">
        <f t="shared" si="16"/>
        <v>396</v>
      </c>
      <c r="E251" s="425">
        <f t="shared" si="15"/>
        <v>0</v>
      </c>
      <c r="F251" s="10">
        <f t="shared" si="15"/>
        <v>0</v>
      </c>
      <c r="G251" s="425">
        <f t="shared" si="15"/>
        <v>0</v>
      </c>
      <c r="H251" s="41">
        <f t="shared" si="15"/>
        <v>0</v>
      </c>
      <c r="I251" s="10">
        <f t="shared" si="15"/>
        <v>0</v>
      </c>
      <c r="J251" s="10">
        <f t="shared" si="13"/>
        <v>0</v>
      </c>
      <c r="K251" s="113">
        <f t="shared" si="14"/>
        <v>49101.60965794768</v>
      </c>
    </row>
    <row r="252" spans="1:11" x14ac:dyDescent="0.25">
      <c r="A252" s="49">
        <f>'A) Base RI'!A251</f>
        <v>5821</v>
      </c>
      <c r="B252" s="295" t="str">
        <f>'A) Base RI'!B251</f>
        <v>Missy</v>
      </c>
      <c r="C252" s="10">
        <f>'A) Base RI'!AO251</f>
        <v>368</v>
      </c>
      <c r="D252" s="10">
        <f t="shared" si="16"/>
        <v>368</v>
      </c>
      <c r="E252" s="425">
        <f t="shared" si="15"/>
        <v>0</v>
      </c>
      <c r="F252" s="10">
        <f t="shared" si="15"/>
        <v>0</v>
      </c>
      <c r="G252" s="425">
        <f t="shared" si="15"/>
        <v>0</v>
      </c>
      <c r="H252" s="41">
        <f t="shared" si="15"/>
        <v>0</v>
      </c>
      <c r="I252" s="10">
        <f t="shared" si="15"/>
        <v>0</v>
      </c>
      <c r="J252" s="10">
        <f t="shared" si="13"/>
        <v>0</v>
      </c>
      <c r="K252" s="113">
        <f t="shared" si="14"/>
        <v>45629.778672032182</v>
      </c>
    </row>
    <row r="253" spans="1:11" x14ac:dyDescent="0.25">
      <c r="A253" s="49">
        <f>'A) Base RI'!A252</f>
        <v>5822</v>
      </c>
      <c r="B253" s="295" t="str">
        <f>'A) Base RI'!B252</f>
        <v>Payerne</v>
      </c>
      <c r="C253" s="10">
        <f>'A) Base RI'!AO252</f>
        <v>10108</v>
      </c>
      <c r="D253" s="10">
        <f t="shared" si="16"/>
        <v>1000</v>
      </c>
      <c r="E253" s="425">
        <f t="shared" si="15"/>
        <v>2000</v>
      </c>
      <c r="F253" s="10">
        <f t="shared" si="15"/>
        <v>2000</v>
      </c>
      <c r="G253" s="425">
        <f t="shared" si="15"/>
        <v>4000</v>
      </c>
      <c r="H253" s="41">
        <f t="shared" si="15"/>
        <v>1108</v>
      </c>
      <c r="I253" s="10">
        <f t="shared" si="15"/>
        <v>0</v>
      </c>
      <c r="J253" s="10">
        <f t="shared" si="13"/>
        <v>0</v>
      </c>
      <c r="K253" s="113">
        <f t="shared" si="14"/>
        <v>5125216.0965794763</v>
      </c>
    </row>
    <row r="254" spans="1:11" x14ac:dyDescent="0.25">
      <c r="A254" s="49">
        <f>'A) Base RI'!A253</f>
        <v>5827</v>
      </c>
      <c r="B254" s="295" t="str">
        <f>'A) Base RI'!B253</f>
        <v>Trey</v>
      </c>
      <c r="C254" s="10">
        <f>'A) Base RI'!AO253</f>
        <v>302</v>
      </c>
      <c r="D254" s="10">
        <f t="shared" si="16"/>
        <v>302</v>
      </c>
      <c r="E254" s="425">
        <f t="shared" si="15"/>
        <v>0</v>
      </c>
      <c r="F254" s="10">
        <f t="shared" si="15"/>
        <v>0</v>
      </c>
      <c r="G254" s="425">
        <f t="shared" si="15"/>
        <v>0</v>
      </c>
      <c r="H254" s="41">
        <f t="shared" si="15"/>
        <v>0</v>
      </c>
      <c r="I254" s="10">
        <f t="shared" si="15"/>
        <v>0</v>
      </c>
      <c r="J254" s="10">
        <f t="shared" si="13"/>
        <v>0</v>
      </c>
      <c r="K254" s="113">
        <f t="shared" si="14"/>
        <v>37446.177062374241</v>
      </c>
    </row>
    <row r="255" spans="1:11" x14ac:dyDescent="0.25">
      <c r="A255" s="49">
        <f>'A) Base RI'!A254</f>
        <v>5828</v>
      </c>
      <c r="B255" s="295" t="str">
        <f>'A) Base RI'!B254</f>
        <v>Treytorrens (Payerne)</v>
      </c>
      <c r="C255" s="10">
        <f>'A) Base RI'!AO254</f>
        <v>114</v>
      </c>
      <c r="D255" s="10">
        <f t="shared" si="16"/>
        <v>114</v>
      </c>
      <c r="E255" s="425">
        <f t="shared" si="15"/>
        <v>0</v>
      </c>
      <c r="F255" s="10">
        <f t="shared" si="15"/>
        <v>0</v>
      </c>
      <c r="G255" s="425">
        <f t="shared" si="15"/>
        <v>0</v>
      </c>
      <c r="H255" s="41">
        <f t="shared" si="15"/>
        <v>0</v>
      </c>
      <c r="I255" s="10">
        <f t="shared" si="15"/>
        <v>0</v>
      </c>
      <c r="J255" s="10">
        <f t="shared" si="13"/>
        <v>0</v>
      </c>
      <c r="K255" s="113">
        <f t="shared" si="14"/>
        <v>14135.311871227363</v>
      </c>
    </row>
    <row r="256" spans="1:11" x14ac:dyDescent="0.25">
      <c r="A256" s="49">
        <f>'A) Base RI'!A255</f>
        <v>5830</v>
      </c>
      <c r="B256" s="295" t="str">
        <f>'A) Base RI'!B255</f>
        <v>Villarzel</v>
      </c>
      <c r="C256" s="10">
        <f>'A) Base RI'!AO255</f>
        <v>477</v>
      </c>
      <c r="D256" s="10">
        <f t="shared" si="16"/>
        <v>477</v>
      </c>
      <c r="E256" s="425">
        <f t="shared" si="15"/>
        <v>0</v>
      </c>
      <c r="F256" s="10">
        <f t="shared" si="15"/>
        <v>0</v>
      </c>
      <c r="G256" s="425">
        <f t="shared" si="15"/>
        <v>0</v>
      </c>
      <c r="H256" s="41">
        <f t="shared" si="15"/>
        <v>0</v>
      </c>
      <c r="I256" s="10">
        <f t="shared" si="15"/>
        <v>0</v>
      </c>
      <c r="J256" s="10">
        <f t="shared" si="13"/>
        <v>0</v>
      </c>
      <c r="K256" s="113">
        <f t="shared" si="14"/>
        <v>59145.120724346067</v>
      </c>
    </row>
    <row r="257" spans="1:11" x14ac:dyDescent="0.25">
      <c r="A257" s="49">
        <f>'A) Base RI'!A256</f>
        <v>5831</v>
      </c>
      <c r="B257" s="295" t="str">
        <f>'A) Base RI'!B256</f>
        <v>Valbroye</v>
      </c>
      <c r="C257" s="10">
        <f>'A) Base RI'!AO256</f>
        <v>3373</v>
      </c>
      <c r="D257" s="10">
        <f t="shared" si="16"/>
        <v>1000</v>
      </c>
      <c r="E257" s="425">
        <f t="shared" si="15"/>
        <v>2000</v>
      </c>
      <c r="F257" s="10">
        <f t="shared" si="15"/>
        <v>373</v>
      </c>
      <c r="G257" s="425">
        <f t="shared" si="15"/>
        <v>0</v>
      </c>
      <c r="H257" s="41">
        <f t="shared" si="15"/>
        <v>0</v>
      </c>
      <c r="I257" s="10">
        <f t="shared" si="15"/>
        <v>0</v>
      </c>
      <c r="J257" s="10">
        <f t="shared" si="13"/>
        <v>0</v>
      </c>
      <c r="K257" s="113">
        <f t="shared" si="14"/>
        <v>1003359.1549295774</v>
      </c>
    </row>
    <row r="258" spans="1:11" x14ac:dyDescent="0.25">
      <c r="A258" s="49">
        <f>'A) Base RI'!A257</f>
        <v>5841</v>
      </c>
      <c r="B258" s="295" t="str">
        <f>'A) Base RI'!B257</f>
        <v>Château-d'Oex</v>
      </c>
      <c r="C258" s="10">
        <f>'A) Base RI'!AO257</f>
        <v>3494</v>
      </c>
      <c r="D258" s="10">
        <f t="shared" si="16"/>
        <v>1000</v>
      </c>
      <c r="E258" s="425">
        <f t="shared" si="15"/>
        <v>2000</v>
      </c>
      <c r="F258" s="10">
        <f t="shared" si="15"/>
        <v>494</v>
      </c>
      <c r="G258" s="425">
        <f t="shared" si="15"/>
        <v>0</v>
      </c>
      <c r="H258" s="41">
        <f t="shared" si="15"/>
        <v>0</v>
      </c>
      <c r="I258" s="10">
        <f t="shared" si="15"/>
        <v>0</v>
      </c>
      <c r="J258" s="10">
        <f t="shared" si="13"/>
        <v>0</v>
      </c>
      <c r="K258" s="113">
        <f t="shared" si="14"/>
        <v>1063372.2334004024</v>
      </c>
    </row>
    <row r="259" spans="1:11" x14ac:dyDescent="0.25">
      <c r="A259" s="49">
        <f>'A) Base RI'!A258</f>
        <v>5842</v>
      </c>
      <c r="B259" s="295" t="str">
        <f>'A) Base RI'!B258</f>
        <v>Rossinière</v>
      </c>
      <c r="C259" s="10">
        <f>'A) Base RI'!AO258</f>
        <v>537</v>
      </c>
      <c r="D259" s="10">
        <f t="shared" si="16"/>
        <v>537</v>
      </c>
      <c r="E259" s="425">
        <f t="shared" si="15"/>
        <v>0</v>
      </c>
      <c r="F259" s="10">
        <f t="shared" si="15"/>
        <v>0</v>
      </c>
      <c r="G259" s="425">
        <f t="shared" ref="E259:I310" si="17">IF($C259&gt;G$4,IF($C259&lt;G$5,$C259-G$4,G$5-G$4),0)</f>
        <v>0</v>
      </c>
      <c r="H259" s="41">
        <f t="shared" si="17"/>
        <v>0</v>
      </c>
      <c r="I259" s="10">
        <f t="shared" si="17"/>
        <v>0</v>
      </c>
      <c r="J259" s="10">
        <f t="shared" si="13"/>
        <v>0</v>
      </c>
      <c r="K259" s="113">
        <f t="shared" si="14"/>
        <v>66584.758551307837</v>
      </c>
    </row>
    <row r="260" spans="1:11" x14ac:dyDescent="0.25">
      <c r="A260" s="49">
        <f>'A) Base RI'!A259</f>
        <v>5843</v>
      </c>
      <c r="B260" s="295" t="str">
        <f>'A) Base RI'!B259</f>
        <v>Rougemont</v>
      </c>
      <c r="C260" s="10">
        <f>'A) Base RI'!AO259</f>
        <v>863</v>
      </c>
      <c r="D260" s="10">
        <f t="shared" si="16"/>
        <v>863</v>
      </c>
      <c r="E260" s="425">
        <f t="shared" si="17"/>
        <v>0</v>
      </c>
      <c r="F260" s="10">
        <f t="shared" si="17"/>
        <v>0</v>
      </c>
      <c r="G260" s="425">
        <f t="shared" si="17"/>
        <v>0</v>
      </c>
      <c r="H260" s="41">
        <f t="shared" si="17"/>
        <v>0</v>
      </c>
      <c r="I260" s="10">
        <f t="shared" si="17"/>
        <v>0</v>
      </c>
      <c r="J260" s="10">
        <f t="shared" si="13"/>
        <v>0</v>
      </c>
      <c r="K260" s="113">
        <f t="shared" si="14"/>
        <v>107006.79074446678</v>
      </c>
    </row>
    <row r="261" spans="1:11" x14ac:dyDescent="0.25">
      <c r="A261" s="49">
        <f>'A) Base RI'!A260</f>
        <v>5851</v>
      </c>
      <c r="B261" s="295" t="str">
        <f>'A) Base RI'!B260</f>
        <v>Allaman</v>
      </c>
      <c r="C261" s="10">
        <f>'A) Base RI'!AO260</f>
        <v>443</v>
      </c>
      <c r="D261" s="10">
        <f t="shared" si="16"/>
        <v>443</v>
      </c>
      <c r="E261" s="425">
        <f t="shared" si="17"/>
        <v>0</v>
      </c>
      <c r="F261" s="10">
        <f t="shared" si="17"/>
        <v>0</v>
      </c>
      <c r="G261" s="425">
        <f t="shared" si="17"/>
        <v>0</v>
      </c>
      <c r="H261" s="41">
        <f t="shared" si="17"/>
        <v>0</v>
      </c>
      <c r="I261" s="10">
        <f t="shared" si="17"/>
        <v>0</v>
      </c>
      <c r="J261" s="10">
        <f t="shared" si="13"/>
        <v>0</v>
      </c>
      <c r="K261" s="113">
        <f t="shared" si="14"/>
        <v>54929.325955734399</v>
      </c>
    </row>
    <row r="262" spans="1:11" x14ac:dyDescent="0.25">
      <c r="A262" s="49">
        <f>'A) Base RI'!A261</f>
        <v>5852</v>
      </c>
      <c r="B262" s="295" t="str">
        <f>'A) Base RI'!B261</f>
        <v>Bursinel</v>
      </c>
      <c r="C262" s="10">
        <f>'A) Base RI'!AO261</f>
        <v>491</v>
      </c>
      <c r="D262" s="10">
        <f t="shared" si="16"/>
        <v>491</v>
      </c>
      <c r="E262" s="425">
        <f t="shared" si="17"/>
        <v>0</v>
      </c>
      <c r="F262" s="10">
        <f t="shared" si="17"/>
        <v>0</v>
      </c>
      <c r="G262" s="425">
        <f t="shared" si="17"/>
        <v>0</v>
      </c>
      <c r="H262" s="41">
        <f t="shared" si="17"/>
        <v>0</v>
      </c>
      <c r="I262" s="10">
        <f t="shared" si="17"/>
        <v>0</v>
      </c>
      <c r="J262" s="10">
        <f t="shared" si="13"/>
        <v>0</v>
      </c>
      <c r="K262" s="113">
        <f t="shared" si="14"/>
        <v>60881.036217303816</v>
      </c>
    </row>
    <row r="263" spans="1:11" x14ac:dyDescent="0.25">
      <c r="A263" s="49">
        <f>'A) Base RI'!A262</f>
        <v>5853</v>
      </c>
      <c r="B263" s="295" t="str">
        <f>'A) Base RI'!B262</f>
        <v>Bursins</v>
      </c>
      <c r="C263" s="10">
        <f>'A) Base RI'!AO262</f>
        <v>773</v>
      </c>
      <c r="D263" s="10">
        <f t="shared" si="16"/>
        <v>773</v>
      </c>
      <c r="E263" s="425">
        <f t="shared" si="17"/>
        <v>0</v>
      </c>
      <c r="F263" s="10">
        <f t="shared" si="17"/>
        <v>0</v>
      </c>
      <c r="G263" s="425">
        <f t="shared" si="17"/>
        <v>0</v>
      </c>
      <c r="H263" s="41">
        <f t="shared" si="17"/>
        <v>0</v>
      </c>
      <c r="I263" s="10">
        <f t="shared" si="17"/>
        <v>0</v>
      </c>
      <c r="J263" s="10">
        <f t="shared" si="13"/>
        <v>0</v>
      </c>
      <c r="K263" s="113">
        <f t="shared" si="14"/>
        <v>95847.334004024131</v>
      </c>
    </row>
    <row r="264" spans="1:11" x14ac:dyDescent="0.25">
      <c r="A264" s="49">
        <f>'A) Base RI'!A263</f>
        <v>5854</v>
      </c>
      <c r="B264" s="295" t="str">
        <f>'A) Base RI'!B263</f>
        <v>Burtigny</v>
      </c>
      <c r="C264" s="10">
        <f>'A) Base RI'!AO263</f>
        <v>404</v>
      </c>
      <c r="D264" s="10">
        <f t="shared" si="16"/>
        <v>404</v>
      </c>
      <c r="E264" s="425">
        <f t="shared" si="17"/>
        <v>0</v>
      </c>
      <c r="F264" s="10">
        <f t="shared" si="17"/>
        <v>0</v>
      </c>
      <c r="G264" s="425">
        <f t="shared" si="17"/>
        <v>0</v>
      </c>
      <c r="H264" s="41">
        <f t="shared" si="17"/>
        <v>0</v>
      </c>
      <c r="I264" s="10">
        <f t="shared" si="17"/>
        <v>0</v>
      </c>
      <c r="J264" s="10">
        <f t="shared" si="13"/>
        <v>0</v>
      </c>
      <c r="K264" s="113">
        <f t="shared" si="14"/>
        <v>50093.561368209244</v>
      </c>
    </row>
    <row r="265" spans="1:11" x14ac:dyDescent="0.25">
      <c r="A265" s="49">
        <f>'A) Base RI'!A264</f>
        <v>5855</v>
      </c>
      <c r="B265" s="295" t="str">
        <f>'A) Base RI'!B264</f>
        <v>Dully</v>
      </c>
      <c r="C265" s="10">
        <f>'A) Base RI'!AO264</f>
        <v>628</v>
      </c>
      <c r="D265" s="10">
        <f t="shared" si="16"/>
        <v>628</v>
      </c>
      <c r="E265" s="425">
        <f t="shared" si="17"/>
        <v>0</v>
      </c>
      <c r="F265" s="10">
        <f t="shared" si="17"/>
        <v>0</v>
      </c>
      <c r="G265" s="425">
        <f t="shared" si="17"/>
        <v>0</v>
      </c>
      <c r="H265" s="41">
        <f t="shared" si="17"/>
        <v>0</v>
      </c>
      <c r="I265" s="10">
        <f t="shared" si="17"/>
        <v>0</v>
      </c>
      <c r="J265" s="10">
        <f t="shared" ref="J265:J316" si="18">IF(C265&gt;$J$4,C265-$J$4,0)</f>
        <v>0</v>
      </c>
      <c r="K265" s="113">
        <f t="shared" ref="K265:K316" si="19">(D265*D$7)+(E265*E$7)+(F265*F$7)+(G265*G$7)+(H265*H$7)+(I265*I$7)+(J265*J$7)</f>
        <v>77868.209255533191</v>
      </c>
    </row>
    <row r="266" spans="1:11" x14ac:dyDescent="0.25">
      <c r="A266" s="49">
        <f>'A) Base RI'!A265</f>
        <v>5856</v>
      </c>
      <c r="B266" s="295" t="str">
        <f>'A) Base RI'!B265</f>
        <v>Essertines-sur-Rolle</v>
      </c>
      <c r="C266" s="10">
        <f>'A) Base RI'!AO265</f>
        <v>740</v>
      </c>
      <c r="D266" s="10">
        <f t="shared" si="16"/>
        <v>740</v>
      </c>
      <c r="E266" s="425">
        <f t="shared" si="17"/>
        <v>0</v>
      </c>
      <c r="F266" s="10">
        <f t="shared" si="17"/>
        <v>0</v>
      </c>
      <c r="G266" s="425">
        <f t="shared" si="17"/>
        <v>0</v>
      </c>
      <c r="H266" s="41">
        <f t="shared" si="17"/>
        <v>0</v>
      </c>
      <c r="I266" s="10">
        <f t="shared" si="17"/>
        <v>0</v>
      </c>
      <c r="J266" s="10">
        <f t="shared" si="18"/>
        <v>0</v>
      </c>
      <c r="K266" s="113">
        <f t="shared" si="19"/>
        <v>91755.533199195153</v>
      </c>
    </row>
    <row r="267" spans="1:11" x14ac:dyDescent="0.25">
      <c r="A267" s="49">
        <f>'A) Base RI'!A266</f>
        <v>5857</v>
      </c>
      <c r="B267" s="295" t="str">
        <f>'A) Base RI'!B266</f>
        <v>Gilly</v>
      </c>
      <c r="C267" s="10">
        <f>'A) Base RI'!AO266</f>
        <v>1428</v>
      </c>
      <c r="D267" s="10">
        <f t="shared" si="16"/>
        <v>1000</v>
      </c>
      <c r="E267" s="425">
        <f t="shared" si="17"/>
        <v>428</v>
      </c>
      <c r="F267" s="10">
        <f t="shared" si="17"/>
        <v>0</v>
      </c>
      <c r="G267" s="425">
        <f t="shared" si="17"/>
        <v>0</v>
      </c>
      <c r="H267" s="41">
        <f t="shared" si="17"/>
        <v>0</v>
      </c>
      <c r="I267" s="10">
        <f t="shared" si="17"/>
        <v>0</v>
      </c>
      <c r="J267" s="10">
        <f t="shared" si="18"/>
        <v>0</v>
      </c>
      <c r="K267" s="113">
        <f t="shared" si="19"/>
        <v>272588.32997987926</v>
      </c>
    </row>
    <row r="268" spans="1:11" x14ac:dyDescent="0.25">
      <c r="A268" s="49">
        <f>'A) Base RI'!A267</f>
        <v>5858</v>
      </c>
      <c r="B268" s="295" t="str">
        <f>'A) Base RI'!B267</f>
        <v>Luins</v>
      </c>
      <c r="C268" s="10">
        <f>'A) Base RI'!AO267</f>
        <v>619</v>
      </c>
      <c r="D268" s="10">
        <f t="shared" si="16"/>
        <v>619</v>
      </c>
      <c r="E268" s="425">
        <f t="shared" si="17"/>
        <v>0</v>
      </c>
      <c r="F268" s="10">
        <f t="shared" si="17"/>
        <v>0</v>
      </c>
      <c r="G268" s="425">
        <f t="shared" si="17"/>
        <v>0</v>
      </c>
      <c r="H268" s="41">
        <f t="shared" si="17"/>
        <v>0</v>
      </c>
      <c r="I268" s="10">
        <f t="shared" si="17"/>
        <v>0</v>
      </c>
      <c r="J268" s="10">
        <f t="shared" si="18"/>
        <v>0</v>
      </c>
      <c r="K268" s="113">
        <f t="shared" si="19"/>
        <v>76752.263581488922</v>
      </c>
    </row>
    <row r="269" spans="1:11" x14ac:dyDescent="0.25">
      <c r="A269" s="49">
        <f>'A) Base RI'!A268</f>
        <v>5859</v>
      </c>
      <c r="B269" s="295" t="str">
        <f>'A) Base RI'!B268</f>
        <v>Mont-sur-Rolle</v>
      </c>
      <c r="C269" s="10">
        <f>'A) Base RI'!AO268</f>
        <v>2646</v>
      </c>
      <c r="D269" s="10">
        <f t="shared" si="16"/>
        <v>1000</v>
      </c>
      <c r="E269" s="425">
        <f t="shared" si="17"/>
        <v>1646</v>
      </c>
      <c r="F269" s="10">
        <f t="shared" si="17"/>
        <v>0</v>
      </c>
      <c r="G269" s="425">
        <f t="shared" si="17"/>
        <v>0</v>
      </c>
      <c r="H269" s="41">
        <f t="shared" si="17"/>
        <v>0</v>
      </c>
      <c r="I269" s="10">
        <f t="shared" si="17"/>
        <v>0</v>
      </c>
      <c r="J269" s="10">
        <f t="shared" si="18"/>
        <v>0</v>
      </c>
      <c r="K269" s="113">
        <f t="shared" si="19"/>
        <v>695457.34406438621</v>
      </c>
    </row>
    <row r="270" spans="1:11" x14ac:dyDescent="0.25">
      <c r="A270" s="49">
        <f>'A) Base RI'!A269</f>
        <v>5860</v>
      </c>
      <c r="B270" s="295" t="str">
        <f>'A) Base RI'!B269</f>
        <v>Perroy</v>
      </c>
      <c r="C270" s="10">
        <f>'A) Base RI'!AO269</f>
        <v>1518</v>
      </c>
      <c r="D270" s="10">
        <f t="shared" si="16"/>
        <v>1000</v>
      </c>
      <c r="E270" s="425">
        <f t="shared" si="17"/>
        <v>518</v>
      </c>
      <c r="F270" s="10">
        <f t="shared" si="17"/>
        <v>0</v>
      </c>
      <c r="G270" s="425">
        <f t="shared" si="17"/>
        <v>0</v>
      </c>
      <c r="H270" s="41">
        <f t="shared" si="17"/>
        <v>0</v>
      </c>
      <c r="I270" s="10">
        <f t="shared" si="17"/>
        <v>0</v>
      </c>
      <c r="J270" s="10">
        <f t="shared" si="18"/>
        <v>0</v>
      </c>
      <c r="K270" s="113">
        <f t="shared" si="19"/>
        <v>303834.80885311868</v>
      </c>
    </row>
    <row r="271" spans="1:11" x14ac:dyDescent="0.25">
      <c r="A271" s="49">
        <f>'A) Base RI'!A270</f>
        <v>5861</v>
      </c>
      <c r="B271" s="295" t="str">
        <f>'A) Base RI'!B270</f>
        <v>Rolle</v>
      </c>
      <c r="C271" s="10">
        <f>'A) Base RI'!AO270</f>
        <v>6259</v>
      </c>
      <c r="D271" s="10">
        <f t="shared" si="16"/>
        <v>1000</v>
      </c>
      <c r="E271" s="425">
        <f t="shared" si="17"/>
        <v>2000</v>
      </c>
      <c r="F271" s="10">
        <f t="shared" si="17"/>
        <v>2000</v>
      </c>
      <c r="G271" s="425">
        <f t="shared" si="17"/>
        <v>1259</v>
      </c>
      <c r="H271" s="41">
        <f t="shared" si="17"/>
        <v>0</v>
      </c>
      <c r="I271" s="10">
        <f t="shared" si="17"/>
        <v>0</v>
      </c>
      <c r="J271" s="10">
        <f t="shared" si="18"/>
        <v>0</v>
      </c>
      <c r="K271" s="113">
        <f t="shared" si="19"/>
        <v>2559632.1931589535</v>
      </c>
    </row>
    <row r="272" spans="1:11" x14ac:dyDescent="0.25">
      <c r="A272" s="49">
        <f>'A) Base RI'!A271</f>
        <v>5862</v>
      </c>
      <c r="B272" s="295" t="str">
        <f>'A) Base RI'!B271</f>
        <v>Tartegnin</v>
      </c>
      <c r="C272" s="10">
        <f>'A) Base RI'!AO271</f>
        <v>236</v>
      </c>
      <c r="D272" s="10">
        <f t="shared" si="16"/>
        <v>236</v>
      </c>
      <c r="E272" s="425">
        <f t="shared" si="17"/>
        <v>0</v>
      </c>
      <c r="F272" s="10">
        <f t="shared" si="17"/>
        <v>0</v>
      </c>
      <c r="G272" s="425">
        <f t="shared" si="17"/>
        <v>0</v>
      </c>
      <c r="H272" s="41">
        <f t="shared" si="17"/>
        <v>0</v>
      </c>
      <c r="I272" s="10">
        <f t="shared" si="17"/>
        <v>0</v>
      </c>
      <c r="J272" s="10">
        <f t="shared" si="18"/>
        <v>0</v>
      </c>
      <c r="K272" s="113">
        <f t="shared" si="19"/>
        <v>29262.575452716294</v>
      </c>
    </row>
    <row r="273" spans="1:11" x14ac:dyDescent="0.25">
      <c r="A273" s="49">
        <f>'A) Base RI'!A272</f>
        <v>5863</v>
      </c>
      <c r="B273" s="295" t="str">
        <f>'A) Base RI'!B272</f>
        <v>Vinzel</v>
      </c>
      <c r="C273" s="10">
        <f>'A) Base RI'!AO272</f>
        <v>385</v>
      </c>
      <c r="D273" s="10">
        <f t="shared" si="16"/>
        <v>385</v>
      </c>
      <c r="E273" s="425">
        <f t="shared" si="17"/>
        <v>0</v>
      </c>
      <c r="F273" s="10">
        <f t="shared" si="17"/>
        <v>0</v>
      </c>
      <c r="G273" s="425">
        <f t="shared" si="17"/>
        <v>0</v>
      </c>
      <c r="H273" s="41">
        <f t="shared" si="17"/>
        <v>0</v>
      </c>
      <c r="I273" s="10">
        <f t="shared" si="17"/>
        <v>0</v>
      </c>
      <c r="J273" s="10">
        <f t="shared" si="18"/>
        <v>0</v>
      </c>
      <c r="K273" s="113">
        <f t="shared" si="19"/>
        <v>47737.676056338023</v>
      </c>
    </row>
    <row r="274" spans="1:11" x14ac:dyDescent="0.25">
      <c r="A274" s="49">
        <f>'A) Base RI'!A273</f>
        <v>5871</v>
      </c>
      <c r="B274" s="295" t="str">
        <f>'A) Base RI'!B273</f>
        <v>L'Abbaye</v>
      </c>
      <c r="C274" s="10">
        <f>'A) Base RI'!AO273</f>
        <v>1473</v>
      </c>
      <c r="D274" s="10">
        <f t="shared" si="16"/>
        <v>1000</v>
      </c>
      <c r="E274" s="425">
        <f t="shared" si="17"/>
        <v>473</v>
      </c>
      <c r="F274" s="10">
        <f t="shared" si="17"/>
        <v>0</v>
      </c>
      <c r="G274" s="425">
        <f t="shared" si="17"/>
        <v>0</v>
      </c>
      <c r="H274" s="41">
        <f t="shared" si="17"/>
        <v>0</v>
      </c>
      <c r="I274" s="10">
        <f t="shared" si="17"/>
        <v>0</v>
      </c>
      <c r="J274" s="10">
        <f t="shared" si="18"/>
        <v>0</v>
      </c>
      <c r="K274" s="113">
        <f t="shared" si="19"/>
        <v>288211.56941649894</v>
      </c>
    </row>
    <row r="275" spans="1:11" x14ac:dyDescent="0.25">
      <c r="A275" s="49">
        <f>'A) Base RI'!A274</f>
        <v>5872</v>
      </c>
      <c r="B275" s="295" t="str">
        <f>'A) Base RI'!B274</f>
        <v>Le Chenit</v>
      </c>
      <c r="C275" s="10">
        <f>'A) Base RI'!AO274</f>
        <v>4600</v>
      </c>
      <c r="D275" s="10">
        <f t="shared" si="16"/>
        <v>1000</v>
      </c>
      <c r="E275" s="425">
        <f t="shared" si="17"/>
        <v>2000</v>
      </c>
      <c r="F275" s="10">
        <f t="shared" si="17"/>
        <v>1600</v>
      </c>
      <c r="G275" s="425">
        <f t="shared" si="17"/>
        <v>0</v>
      </c>
      <c r="H275" s="41">
        <f t="shared" si="17"/>
        <v>0</v>
      </c>
      <c r="I275" s="10">
        <f t="shared" si="17"/>
        <v>0</v>
      </c>
      <c r="J275" s="10">
        <f t="shared" si="18"/>
        <v>0</v>
      </c>
      <c r="K275" s="113">
        <f t="shared" si="19"/>
        <v>1611921.5291750501</v>
      </c>
    </row>
    <row r="276" spans="1:11" x14ac:dyDescent="0.25">
      <c r="A276" s="49">
        <f>'A) Base RI'!A275</f>
        <v>5873</v>
      </c>
      <c r="B276" s="295" t="str">
        <f>'A) Base RI'!B275</f>
        <v>Le Lieu</v>
      </c>
      <c r="C276" s="10">
        <f>'A) Base RI'!AO275</f>
        <v>888</v>
      </c>
      <c r="D276" s="10">
        <f t="shared" si="16"/>
        <v>888</v>
      </c>
      <c r="E276" s="425">
        <f t="shared" si="17"/>
        <v>0</v>
      </c>
      <c r="F276" s="10">
        <f t="shared" si="17"/>
        <v>0</v>
      </c>
      <c r="G276" s="425">
        <f t="shared" si="17"/>
        <v>0</v>
      </c>
      <c r="H276" s="41">
        <f t="shared" si="17"/>
        <v>0</v>
      </c>
      <c r="I276" s="10">
        <f t="shared" si="17"/>
        <v>0</v>
      </c>
      <c r="J276" s="10">
        <f t="shared" si="18"/>
        <v>0</v>
      </c>
      <c r="K276" s="113">
        <f t="shared" si="19"/>
        <v>110106.63983903419</v>
      </c>
    </row>
    <row r="277" spans="1:11" x14ac:dyDescent="0.25">
      <c r="A277" s="49">
        <f>'A) Base RI'!A276</f>
        <v>5881</v>
      </c>
      <c r="B277" s="295" t="str">
        <f>'A) Base RI'!B276</f>
        <v>Blonay</v>
      </c>
      <c r="C277" s="10">
        <f>'A) Base RI'!AO276</f>
        <v>6215</v>
      </c>
      <c r="D277" s="10">
        <f t="shared" si="16"/>
        <v>1000</v>
      </c>
      <c r="E277" s="425">
        <f t="shared" si="17"/>
        <v>2000</v>
      </c>
      <c r="F277" s="10">
        <f t="shared" si="17"/>
        <v>2000</v>
      </c>
      <c r="G277" s="425">
        <f t="shared" si="17"/>
        <v>1215</v>
      </c>
      <c r="H277" s="41">
        <f t="shared" si="17"/>
        <v>0</v>
      </c>
      <c r="I277" s="10">
        <f t="shared" si="17"/>
        <v>0</v>
      </c>
      <c r="J277" s="10">
        <f t="shared" si="18"/>
        <v>0</v>
      </c>
      <c r="K277" s="113">
        <f t="shared" si="19"/>
        <v>2533444.6680080481</v>
      </c>
    </row>
    <row r="278" spans="1:11" x14ac:dyDescent="0.25">
      <c r="A278" s="49">
        <f>'A) Base RI'!A277</f>
        <v>5882</v>
      </c>
      <c r="B278" s="295" t="str">
        <f>'A) Base RI'!B277</f>
        <v>Chardonne</v>
      </c>
      <c r="C278" s="10">
        <f>'A) Base RI'!AO277</f>
        <v>3093</v>
      </c>
      <c r="D278" s="10">
        <f t="shared" si="16"/>
        <v>1000</v>
      </c>
      <c r="E278" s="425">
        <f t="shared" si="17"/>
        <v>2000</v>
      </c>
      <c r="F278" s="10">
        <f t="shared" si="17"/>
        <v>93</v>
      </c>
      <c r="G278" s="425">
        <f t="shared" si="17"/>
        <v>0</v>
      </c>
      <c r="H278" s="41">
        <f t="shared" si="17"/>
        <v>0</v>
      </c>
      <c r="I278" s="10">
        <f t="shared" si="17"/>
        <v>0</v>
      </c>
      <c r="J278" s="10">
        <f t="shared" si="18"/>
        <v>0</v>
      </c>
      <c r="K278" s="113">
        <f t="shared" si="19"/>
        <v>864485.91549295769</v>
      </c>
    </row>
    <row r="279" spans="1:11" x14ac:dyDescent="0.25">
      <c r="A279" s="49">
        <f>'A) Base RI'!A278</f>
        <v>5883</v>
      </c>
      <c r="B279" s="295" t="str">
        <f>'A) Base RI'!B278</f>
        <v>Corseaux</v>
      </c>
      <c r="C279" s="10">
        <f>'A) Base RI'!AO278</f>
        <v>2311</v>
      </c>
      <c r="D279" s="10">
        <f t="shared" si="16"/>
        <v>1000</v>
      </c>
      <c r="E279" s="425">
        <f t="shared" si="17"/>
        <v>1311</v>
      </c>
      <c r="F279" s="10">
        <f t="shared" si="17"/>
        <v>0</v>
      </c>
      <c r="G279" s="425">
        <f t="shared" si="17"/>
        <v>0</v>
      </c>
      <c r="H279" s="41">
        <f t="shared" si="17"/>
        <v>0</v>
      </c>
      <c r="I279" s="10">
        <f t="shared" si="17"/>
        <v>0</v>
      </c>
      <c r="J279" s="10">
        <f t="shared" si="18"/>
        <v>0</v>
      </c>
      <c r="K279" s="113">
        <f t="shared" si="19"/>
        <v>579151.00603621721</v>
      </c>
    </row>
    <row r="280" spans="1:11" x14ac:dyDescent="0.25">
      <c r="A280" s="49">
        <f>'A) Base RI'!A279</f>
        <v>5884</v>
      </c>
      <c r="B280" s="295" t="str">
        <f>'A) Base RI'!B279</f>
        <v>Corsier-sur-Vevey</v>
      </c>
      <c r="C280" s="10">
        <f>'A) Base RI'!AO279</f>
        <v>3420</v>
      </c>
      <c r="D280" s="10">
        <f t="shared" si="16"/>
        <v>1000</v>
      </c>
      <c r="E280" s="425">
        <f t="shared" si="17"/>
        <v>2000</v>
      </c>
      <c r="F280" s="10">
        <f t="shared" si="17"/>
        <v>420</v>
      </c>
      <c r="G280" s="425">
        <f t="shared" si="17"/>
        <v>0</v>
      </c>
      <c r="H280" s="41">
        <f t="shared" si="17"/>
        <v>0</v>
      </c>
      <c r="I280" s="10">
        <f t="shared" si="17"/>
        <v>0</v>
      </c>
      <c r="J280" s="10">
        <f t="shared" si="18"/>
        <v>0</v>
      </c>
      <c r="K280" s="113">
        <f t="shared" si="19"/>
        <v>1026670.0201207242</v>
      </c>
    </row>
    <row r="281" spans="1:11" x14ac:dyDescent="0.25">
      <c r="A281" s="49">
        <f>'A) Base RI'!A280</f>
        <v>5885</v>
      </c>
      <c r="B281" s="295" t="str">
        <f>'A) Base RI'!B280</f>
        <v>Jongny</v>
      </c>
      <c r="C281" s="10">
        <f>'A) Base RI'!AO280</f>
        <v>1670</v>
      </c>
      <c r="D281" s="10">
        <f t="shared" si="16"/>
        <v>1000</v>
      </c>
      <c r="E281" s="425">
        <f t="shared" si="17"/>
        <v>670</v>
      </c>
      <c r="F281" s="10">
        <f t="shared" si="17"/>
        <v>0</v>
      </c>
      <c r="G281" s="425">
        <f t="shared" si="17"/>
        <v>0</v>
      </c>
      <c r="H281" s="41">
        <f t="shared" si="17"/>
        <v>0</v>
      </c>
      <c r="I281" s="10">
        <f t="shared" si="17"/>
        <v>0</v>
      </c>
      <c r="J281" s="10">
        <f t="shared" si="18"/>
        <v>0</v>
      </c>
      <c r="K281" s="113">
        <f t="shared" si="19"/>
        <v>356606.63983903418</v>
      </c>
    </row>
    <row r="282" spans="1:11" x14ac:dyDescent="0.25">
      <c r="A282" s="49">
        <f>'A) Base RI'!A281</f>
        <v>5886</v>
      </c>
      <c r="B282" s="295" t="str">
        <f>'A) Base RI'!B281</f>
        <v>Montreux</v>
      </c>
      <c r="C282" s="10">
        <f>'A) Base RI'!AO281</f>
        <v>26180</v>
      </c>
      <c r="D282" s="10">
        <f t="shared" si="16"/>
        <v>1000</v>
      </c>
      <c r="E282" s="425">
        <f t="shared" si="17"/>
        <v>2000</v>
      </c>
      <c r="F282" s="10">
        <f t="shared" si="17"/>
        <v>2000</v>
      </c>
      <c r="G282" s="425">
        <f t="shared" si="17"/>
        <v>4000</v>
      </c>
      <c r="H282" s="41">
        <f t="shared" si="17"/>
        <v>3000</v>
      </c>
      <c r="I282" s="10">
        <f t="shared" si="17"/>
        <v>3000</v>
      </c>
      <c r="J282" s="10">
        <f t="shared" si="18"/>
        <v>11180</v>
      </c>
      <c r="K282" s="113">
        <f t="shared" si="19"/>
        <v>21340849.094567403</v>
      </c>
    </row>
    <row r="283" spans="1:11" x14ac:dyDescent="0.25">
      <c r="A283" s="49">
        <f>'A) Base RI'!A282</f>
        <v>5888</v>
      </c>
      <c r="B283" s="295" t="str">
        <f>'A) Base RI'!B282</f>
        <v>Saint-Légier-La Chiésaz</v>
      </c>
      <c r="C283" s="10">
        <f>'A) Base RI'!AO282</f>
        <v>5522</v>
      </c>
      <c r="D283" s="10">
        <f t="shared" si="16"/>
        <v>1000</v>
      </c>
      <c r="E283" s="425">
        <f t="shared" si="17"/>
        <v>2000</v>
      </c>
      <c r="F283" s="10">
        <f t="shared" si="17"/>
        <v>2000</v>
      </c>
      <c r="G283" s="425">
        <f t="shared" si="17"/>
        <v>522</v>
      </c>
      <c r="H283" s="41">
        <f t="shared" si="17"/>
        <v>0</v>
      </c>
      <c r="I283" s="10">
        <f t="shared" si="17"/>
        <v>0</v>
      </c>
      <c r="J283" s="10">
        <f t="shared" si="18"/>
        <v>0</v>
      </c>
      <c r="K283" s="113">
        <f t="shared" si="19"/>
        <v>2120991.1468812875</v>
      </c>
    </row>
    <row r="284" spans="1:11" x14ac:dyDescent="0.25">
      <c r="A284" s="49">
        <f>'A) Base RI'!A283</f>
        <v>5889</v>
      </c>
      <c r="B284" s="295" t="str">
        <f>'A) Base RI'!B283</f>
        <v>La Tour-de-Peilz</v>
      </c>
      <c r="C284" s="10">
        <f>'A) Base RI'!AO283</f>
        <v>12088</v>
      </c>
      <c r="D284" s="10">
        <f t="shared" si="16"/>
        <v>1000</v>
      </c>
      <c r="E284" s="425">
        <f t="shared" si="17"/>
        <v>2000</v>
      </c>
      <c r="F284" s="10">
        <f t="shared" si="17"/>
        <v>2000</v>
      </c>
      <c r="G284" s="425">
        <f t="shared" si="17"/>
        <v>4000</v>
      </c>
      <c r="H284" s="41">
        <f t="shared" si="17"/>
        <v>3000</v>
      </c>
      <c r="I284" s="10">
        <f t="shared" si="17"/>
        <v>88</v>
      </c>
      <c r="J284" s="10">
        <f t="shared" si="18"/>
        <v>0</v>
      </c>
      <c r="K284" s="113">
        <f t="shared" si="19"/>
        <v>6807764.5875251498</v>
      </c>
    </row>
    <row r="285" spans="1:11" x14ac:dyDescent="0.25">
      <c r="A285" s="49">
        <f>'A) Base RI'!A284</f>
        <v>5890</v>
      </c>
      <c r="B285" s="295" t="str">
        <f>'A) Base RI'!B284</f>
        <v>Vevey</v>
      </c>
      <c r="C285" s="10">
        <f>'A) Base RI'!AO284</f>
        <v>19780</v>
      </c>
      <c r="D285" s="10">
        <f t="shared" si="16"/>
        <v>1000</v>
      </c>
      <c r="E285" s="425">
        <f t="shared" si="17"/>
        <v>2000</v>
      </c>
      <c r="F285" s="10">
        <f t="shared" si="17"/>
        <v>2000</v>
      </c>
      <c r="G285" s="425">
        <f t="shared" si="17"/>
        <v>4000</v>
      </c>
      <c r="H285" s="41">
        <f t="shared" si="17"/>
        <v>3000</v>
      </c>
      <c r="I285" s="10">
        <f t="shared" si="17"/>
        <v>3000</v>
      </c>
      <c r="J285" s="10">
        <f t="shared" si="18"/>
        <v>4780</v>
      </c>
      <c r="K285" s="113">
        <f t="shared" si="19"/>
        <v>14674933.601609655</v>
      </c>
    </row>
    <row r="286" spans="1:11" x14ac:dyDescent="0.25">
      <c r="A286" s="49">
        <f>'A) Base RI'!A285</f>
        <v>5891</v>
      </c>
      <c r="B286" s="295" t="str">
        <f>'A) Base RI'!B285</f>
        <v>Veytaux</v>
      </c>
      <c r="C286" s="10">
        <f>'A) Base RI'!AO285</f>
        <v>956</v>
      </c>
      <c r="D286" s="10">
        <f t="shared" si="16"/>
        <v>956</v>
      </c>
      <c r="E286" s="425">
        <f t="shared" si="17"/>
        <v>0</v>
      </c>
      <c r="F286" s="10">
        <f t="shared" si="17"/>
        <v>0</v>
      </c>
      <c r="G286" s="425">
        <f t="shared" si="17"/>
        <v>0</v>
      </c>
      <c r="H286" s="41">
        <f t="shared" si="17"/>
        <v>0</v>
      </c>
      <c r="I286" s="10">
        <f t="shared" si="17"/>
        <v>0</v>
      </c>
      <c r="J286" s="10">
        <f t="shared" si="18"/>
        <v>0</v>
      </c>
      <c r="K286" s="113">
        <f t="shared" si="19"/>
        <v>118538.22937625753</v>
      </c>
    </row>
    <row r="287" spans="1:11" x14ac:dyDescent="0.25">
      <c r="A287" s="49">
        <f>'A) Base RI'!A286</f>
        <v>5902</v>
      </c>
      <c r="B287" s="295" t="str">
        <f>'A) Base RI'!B286</f>
        <v>Belmont-sur-Yverdon</v>
      </c>
      <c r="C287" s="10">
        <f>'A) Base RI'!AO286</f>
        <v>396</v>
      </c>
      <c r="D287" s="10">
        <f t="shared" si="16"/>
        <v>396</v>
      </c>
      <c r="E287" s="425">
        <f t="shared" si="17"/>
        <v>0</v>
      </c>
      <c r="F287" s="10">
        <f t="shared" si="17"/>
        <v>0</v>
      </c>
      <c r="G287" s="425">
        <f t="shared" si="17"/>
        <v>0</v>
      </c>
      <c r="H287" s="41">
        <f t="shared" si="17"/>
        <v>0</v>
      </c>
      <c r="I287" s="10">
        <f t="shared" si="17"/>
        <v>0</v>
      </c>
      <c r="J287" s="10">
        <f t="shared" si="18"/>
        <v>0</v>
      </c>
      <c r="K287" s="113">
        <f t="shared" si="19"/>
        <v>49101.60965794768</v>
      </c>
    </row>
    <row r="288" spans="1:11" x14ac:dyDescent="0.25">
      <c r="A288" s="49">
        <f>'A) Base RI'!A287</f>
        <v>5903</v>
      </c>
      <c r="B288" s="295" t="str">
        <f>'A) Base RI'!B287</f>
        <v>Bioley-Magnoux</v>
      </c>
      <c r="C288" s="10">
        <f>'A) Base RI'!AO287</f>
        <v>230</v>
      </c>
      <c r="D288" s="10">
        <f t="shared" si="16"/>
        <v>230</v>
      </c>
      <c r="E288" s="425">
        <f t="shared" si="17"/>
        <v>0</v>
      </c>
      <c r="F288" s="10">
        <f t="shared" si="17"/>
        <v>0</v>
      </c>
      <c r="G288" s="425">
        <f t="shared" si="17"/>
        <v>0</v>
      </c>
      <c r="H288" s="41">
        <f t="shared" si="17"/>
        <v>0</v>
      </c>
      <c r="I288" s="10">
        <f t="shared" si="17"/>
        <v>0</v>
      </c>
      <c r="J288" s="10">
        <f t="shared" si="18"/>
        <v>0</v>
      </c>
      <c r="K288" s="113">
        <f t="shared" si="19"/>
        <v>28518.611670020116</v>
      </c>
    </row>
    <row r="289" spans="1:11" x14ac:dyDescent="0.25">
      <c r="A289" s="49">
        <f>'A) Base RI'!A288</f>
        <v>5904</v>
      </c>
      <c r="B289" s="295" t="str">
        <f>'A) Base RI'!B288</f>
        <v>Chamblon</v>
      </c>
      <c r="C289" s="10">
        <f>'A) Base RI'!AO288</f>
        <v>559</v>
      </c>
      <c r="D289" s="10">
        <f t="shared" si="16"/>
        <v>559</v>
      </c>
      <c r="E289" s="425">
        <f t="shared" si="17"/>
        <v>0</v>
      </c>
      <c r="F289" s="10">
        <f t="shared" si="17"/>
        <v>0</v>
      </c>
      <c r="G289" s="425">
        <f t="shared" si="17"/>
        <v>0</v>
      </c>
      <c r="H289" s="41">
        <f t="shared" si="17"/>
        <v>0</v>
      </c>
      <c r="I289" s="10">
        <f t="shared" si="17"/>
        <v>0</v>
      </c>
      <c r="J289" s="10">
        <f t="shared" si="18"/>
        <v>0</v>
      </c>
      <c r="K289" s="113">
        <f t="shared" si="19"/>
        <v>69312.625754527151</v>
      </c>
    </row>
    <row r="290" spans="1:11" x14ac:dyDescent="0.25">
      <c r="A290" s="49">
        <f>'A) Base RI'!A289</f>
        <v>5905</v>
      </c>
      <c r="B290" s="295" t="str">
        <f>'A) Base RI'!B289</f>
        <v>Champvent</v>
      </c>
      <c r="C290" s="10">
        <f>'A) Base RI'!AO289</f>
        <v>696</v>
      </c>
      <c r="D290" s="10">
        <f t="shared" si="16"/>
        <v>696</v>
      </c>
      <c r="E290" s="425">
        <f t="shared" si="17"/>
        <v>0</v>
      </c>
      <c r="F290" s="10">
        <f t="shared" si="17"/>
        <v>0</v>
      </c>
      <c r="G290" s="425">
        <f t="shared" si="17"/>
        <v>0</v>
      </c>
      <c r="H290" s="41">
        <f t="shared" si="17"/>
        <v>0</v>
      </c>
      <c r="I290" s="10">
        <f t="shared" si="17"/>
        <v>0</v>
      </c>
      <c r="J290" s="10">
        <f t="shared" si="18"/>
        <v>0</v>
      </c>
      <c r="K290" s="113">
        <f t="shared" si="19"/>
        <v>86299.798792756526</v>
      </c>
    </row>
    <row r="291" spans="1:11" x14ac:dyDescent="0.25">
      <c r="A291" s="49">
        <f>'A) Base RI'!A290</f>
        <v>5907</v>
      </c>
      <c r="B291" s="295" t="str">
        <f>'A) Base RI'!B290</f>
        <v>Chavannes-le-Chêne</v>
      </c>
      <c r="C291" s="10">
        <f>'A) Base RI'!AO290</f>
        <v>324</v>
      </c>
      <c r="D291" s="10">
        <f t="shared" si="16"/>
        <v>324</v>
      </c>
      <c r="E291" s="425">
        <f t="shared" si="17"/>
        <v>0</v>
      </c>
      <c r="F291" s="10">
        <f t="shared" si="17"/>
        <v>0</v>
      </c>
      <c r="G291" s="425">
        <f t="shared" si="17"/>
        <v>0</v>
      </c>
      <c r="H291" s="41">
        <f t="shared" si="17"/>
        <v>0</v>
      </c>
      <c r="I291" s="10">
        <f t="shared" si="17"/>
        <v>0</v>
      </c>
      <c r="J291" s="10">
        <f t="shared" si="18"/>
        <v>0</v>
      </c>
      <c r="K291" s="113">
        <f t="shared" si="19"/>
        <v>40174.044265593555</v>
      </c>
    </row>
    <row r="292" spans="1:11" x14ac:dyDescent="0.25">
      <c r="A292" s="49">
        <f>'A) Base RI'!A291</f>
        <v>5908</v>
      </c>
      <c r="B292" s="295" t="str">
        <f>'A) Base RI'!B291</f>
        <v>Chêne-Pâquier</v>
      </c>
      <c r="C292" s="10">
        <f>'A) Base RI'!AO291</f>
        <v>144</v>
      </c>
      <c r="D292" s="10">
        <f t="shared" si="16"/>
        <v>144</v>
      </c>
      <c r="E292" s="425">
        <f t="shared" si="17"/>
        <v>0</v>
      </c>
      <c r="F292" s="10">
        <f t="shared" si="17"/>
        <v>0</v>
      </c>
      <c r="G292" s="425">
        <f t="shared" si="17"/>
        <v>0</v>
      </c>
      <c r="H292" s="41">
        <f t="shared" si="17"/>
        <v>0</v>
      </c>
      <c r="I292" s="10">
        <f t="shared" si="17"/>
        <v>0</v>
      </c>
      <c r="J292" s="10">
        <f t="shared" si="18"/>
        <v>0</v>
      </c>
      <c r="K292" s="113">
        <f t="shared" si="19"/>
        <v>17855.130784708246</v>
      </c>
    </row>
    <row r="293" spans="1:11" x14ac:dyDescent="0.25">
      <c r="A293" s="49">
        <f>'A) Base RI'!A292</f>
        <v>5909</v>
      </c>
      <c r="B293" s="295" t="str">
        <f>'A) Base RI'!B292</f>
        <v>Cheseaux-Noréaz</v>
      </c>
      <c r="C293" s="10">
        <f>'A) Base RI'!AO292</f>
        <v>741</v>
      </c>
      <c r="D293" s="10">
        <f t="shared" si="16"/>
        <v>741</v>
      </c>
      <c r="E293" s="425">
        <f t="shared" si="17"/>
        <v>0</v>
      </c>
      <c r="F293" s="10">
        <f t="shared" si="17"/>
        <v>0</v>
      </c>
      <c r="G293" s="425">
        <f t="shared" si="17"/>
        <v>0</v>
      </c>
      <c r="H293" s="41">
        <f t="shared" si="17"/>
        <v>0</v>
      </c>
      <c r="I293" s="10">
        <f t="shared" si="17"/>
        <v>0</v>
      </c>
      <c r="J293" s="10">
        <f t="shared" si="18"/>
        <v>0</v>
      </c>
      <c r="K293" s="113">
        <f t="shared" si="19"/>
        <v>91879.527162977858</v>
      </c>
    </row>
    <row r="294" spans="1:11" x14ac:dyDescent="0.25">
      <c r="A294" s="49">
        <f>'A) Base RI'!A293</f>
        <v>5910</v>
      </c>
      <c r="B294" s="295" t="str">
        <f>'A) Base RI'!B293</f>
        <v>Cronay</v>
      </c>
      <c r="C294" s="10">
        <f>'A) Base RI'!AO293</f>
        <v>393</v>
      </c>
      <c r="D294" s="10">
        <f t="shared" si="16"/>
        <v>393</v>
      </c>
      <c r="E294" s="425">
        <f t="shared" si="17"/>
        <v>0</v>
      </c>
      <c r="F294" s="10">
        <f t="shared" si="17"/>
        <v>0</v>
      </c>
      <c r="G294" s="425">
        <f t="shared" si="17"/>
        <v>0</v>
      </c>
      <c r="H294" s="41">
        <f t="shared" si="17"/>
        <v>0</v>
      </c>
      <c r="I294" s="10">
        <f t="shared" si="17"/>
        <v>0</v>
      </c>
      <c r="J294" s="10">
        <f t="shared" si="18"/>
        <v>0</v>
      </c>
      <c r="K294" s="113">
        <f t="shared" si="19"/>
        <v>48729.627766599588</v>
      </c>
    </row>
    <row r="295" spans="1:11" x14ac:dyDescent="0.25">
      <c r="A295" s="49">
        <f>'A) Base RI'!A294</f>
        <v>5911</v>
      </c>
      <c r="B295" s="295" t="str">
        <f>'A) Base RI'!B294</f>
        <v>Cuarny</v>
      </c>
      <c r="C295" s="10">
        <f>'A) Base RI'!AO294</f>
        <v>234</v>
      </c>
      <c r="D295" s="10">
        <f t="shared" si="16"/>
        <v>234</v>
      </c>
      <c r="E295" s="425">
        <f t="shared" si="17"/>
        <v>0</v>
      </c>
      <c r="F295" s="10">
        <f t="shared" si="17"/>
        <v>0</v>
      </c>
      <c r="G295" s="425">
        <f t="shared" si="17"/>
        <v>0</v>
      </c>
      <c r="H295" s="41">
        <f t="shared" si="17"/>
        <v>0</v>
      </c>
      <c r="I295" s="10">
        <f t="shared" si="17"/>
        <v>0</v>
      </c>
      <c r="J295" s="10">
        <f t="shared" si="18"/>
        <v>0</v>
      </c>
      <c r="K295" s="113">
        <f t="shared" si="19"/>
        <v>29014.587525150899</v>
      </c>
    </row>
    <row r="296" spans="1:11" x14ac:dyDescent="0.25">
      <c r="A296" s="49">
        <f>'A) Base RI'!A295</f>
        <v>5912</v>
      </c>
      <c r="B296" s="295" t="str">
        <f>'A) Base RI'!B295</f>
        <v>Démoret</v>
      </c>
      <c r="C296" s="10">
        <f>'A) Base RI'!AO295</f>
        <v>158</v>
      </c>
      <c r="D296" s="10">
        <f t="shared" si="16"/>
        <v>158</v>
      </c>
      <c r="E296" s="425">
        <f t="shared" si="17"/>
        <v>0</v>
      </c>
      <c r="F296" s="10">
        <f t="shared" si="17"/>
        <v>0</v>
      </c>
      <c r="G296" s="425">
        <f t="shared" si="17"/>
        <v>0</v>
      </c>
      <c r="H296" s="41">
        <f t="shared" si="17"/>
        <v>0</v>
      </c>
      <c r="I296" s="10">
        <f t="shared" si="17"/>
        <v>0</v>
      </c>
      <c r="J296" s="10">
        <f t="shared" si="18"/>
        <v>0</v>
      </c>
      <c r="K296" s="113">
        <f t="shared" si="19"/>
        <v>19591.046277665992</v>
      </c>
    </row>
    <row r="297" spans="1:11" x14ac:dyDescent="0.25">
      <c r="A297" s="49">
        <f>'A) Base RI'!A296</f>
        <v>5913</v>
      </c>
      <c r="B297" s="295" t="str">
        <f>'A) Base RI'!B296</f>
        <v>Donneloye</v>
      </c>
      <c r="C297" s="10">
        <f>'A) Base RI'!AO296</f>
        <v>829</v>
      </c>
      <c r="D297" s="10">
        <f t="shared" si="16"/>
        <v>829</v>
      </c>
      <c r="E297" s="425">
        <f t="shared" si="17"/>
        <v>0</v>
      </c>
      <c r="F297" s="10">
        <f t="shared" si="17"/>
        <v>0</v>
      </c>
      <c r="G297" s="425">
        <f t="shared" si="17"/>
        <v>0</v>
      </c>
      <c r="H297" s="41">
        <f t="shared" si="17"/>
        <v>0</v>
      </c>
      <c r="I297" s="10">
        <f t="shared" si="17"/>
        <v>0</v>
      </c>
      <c r="J297" s="10">
        <f t="shared" si="18"/>
        <v>0</v>
      </c>
      <c r="K297" s="113">
        <f t="shared" si="19"/>
        <v>102790.99597585511</v>
      </c>
    </row>
    <row r="298" spans="1:11" x14ac:dyDescent="0.25">
      <c r="A298" s="49">
        <f>'A) Base RI'!A297</f>
        <v>5914</v>
      </c>
      <c r="B298" s="295" t="str">
        <f>'A) Base RI'!B297</f>
        <v>Ependes</v>
      </c>
      <c r="C298" s="10">
        <f>'A) Base RI'!AO297</f>
        <v>388</v>
      </c>
      <c r="D298" s="10">
        <f t="shared" si="16"/>
        <v>388</v>
      </c>
      <c r="E298" s="425">
        <f t="shared" si="17"/>
        <v>0</v>
      </c>
      <c r="F298" s="10">
        <f t="shared" si="17"/>
        <v>0</v>
      </c>
      <c r="G298" s="425">
        <f t="shared" si="17"/>
        <v>0</v>
      </c>
      <c r="H298" s="41">
        <f t="shared" si="17"/>
        <v>0</v>
      </c>
      <c r="I298" s="10">
        <f t="shared" si="17"/>
        <v>0</v>
      </c>
      <c r="J298" s="10">
        <f t="shared" si="18"/>
        <v>0</v>
      </c>
      <c r="K298" s="113">
        <f t="shared" si="19"/>
        <v>48109.657947686108</v>
      </c>
    </row>
    <row r="299" spans="1:11" x14ac:dyDescent="0.25">
      <c r="A299" s="49">
        <f>'A) Base RI'!A298</f>
        <v>5919</v>
      </c>
      <c r="B299" s="295" t="str">
        <f>'A) Base RI'!B298</f>
        <v>Mathod</v>
      </c>
      <c r="C299" s="10">
        <f>'A) Base RI'!AO298</f>
        <v>651</v>
      </c>
      <c r="D299" s="10">
        <f t="shared" ref="D299:D316" si="20">IF($C299&gt;D$4,IF($C299&lt;D$5,$C299-D$4,D$5-D$4),0)</f>
        <v>651</v>
      </c>
      <c r="E299" s="425">
        <f t="shared" si="17"/>
        <v>0</v>
      </c>
      <c r="F299" s="10">
        <f t="shared" si="17"/>
        <v>0</v>
      </c>
      <c r="G299" s="425">
        <f t="shared" si="17"/>
        <v>0</v>
      </c>
      <c r="H299" s="41">
        <f t="shared" si="17"/>
        <v>0</v>
      </c>
      <c r="I299" s="10">
        <f t="shared" si="17"/>
        <v>0</v>
      </c>
      <c r="J299" s="10">
        <f t="shared" si="18"/>
        <v>0</v>
      </c>
      <c r="K299" s="113">
        <f t="shared" si="19"/>
        <v>80720.070422535195</v>
      </c>
    </row>
    <row r="300" spans="1:11" x14ac:dyDescent="0.25">
      <c r="A300" s="49">
        <f>'A) Base RI'!A299</f>
        <v>5921</v>
      </c>
      <c r="B300" s="295" t="str">
        <f>'A) Base RI'!B299</f>
        <v>Molondin</v>
      </c>
      <c r="C300" s="10">
        <f>'A) Base RI'!AO299</f>
        <v>252</v>
      </c>
      <c r="D300" s="10">
        <f t="shared" si="20"/>
        <v>252</v>
      </c>
      <c r="E300" s="425">
        <f t="shared" si="17"/>
        <v>0</v>
      </c>
      <c r="F300" s="10">
        <f t="shared" si="17"/>
        <v>0</v>
      </c>
      <c r="G300" s="425">
        <f t="shared" si="17"/>
        <v>0</v>
      </c>
      <c r="H300" s="41">
        <f t="shared" si="17"/>
        <v>0</v>
      </c>
      <c r="I300" s="10">
        <f t="shared" si="17"/>
        <v>0</v>
      </c>
      <c r="J300" s="10">
        <f t="shared" si="18"/>
        <v>0</v>
      </c>
      <c r="K300" s="113">
        <f t="shared" si="19"/>
        <v>31246.47887323943</v>
      </c>
    </row>
    <row r="301" spans="1:11" x14ac:dyDescent="0.25">
      <c r="A301" s="49">
        <f>'A) Base RI'!A300</f>
        <v>5922</v>
      </c>
      <c r="B301" s="295" t="str">
        <f>'A) Base RI'!B300</f>
        <v>Montagny-près-Yverdon</v>
      </c>
      <c r="C301" s="10">
        <f>'A) Base RI'!AO300</f>
        <v>737</v>
      </c>
      <c r="D301" s="10">
        <f t="shared" si="20"/>
        <v>737</v>
      </c>
      <c r="E301" s="425">
        <f t="shared" si="17"/>
        <v>0</v>
      </c>
      <c r="F301" s="10">
        <f t="shared" si="17"/>
        <v>0</v>
      </c>
      <c r="G301" s="425">
        <f t="shared" si="17"/>
        <v>0</v>
      </c>
      <c r="H301" s="41">
        <f t="shared" si="17"/>
        <v>0</v>
      </c>
      <c r="I301" s="10">
        <f t="shared" si="17"/>
        <v>0</v>
      </c>
      <c r="J301" s="10">
        <f t="shared" si="18"/>
        <v>0</v>
      </c>
      <c r="K301" s="113">
        <f t="shared" si="19"/>
        <v>91383.551307847069</v>
      </c>
    </row>
    <row r="302" spans="1:11" x14ac:dyDescent="0.25">
      <c r="A302" s="49">
        <f>'A) Base RI'!A301</f>
        <v>5923</v>
      </c>
      <c r="B302" s="295" t="str">
        <f>'A) Base RI'!B301</f>
        <v>Oppens</v>
      </c>
      <c r="C302" s="10">
        <f>'A) Base RI'!AO301</f>
        <v>201</v>
      </c>
      <c r="D302" s="10">
        <f t="shared" si="20"/>
        <v>201</v>
      </c>
      <c r="E302" s="425">
        <f t="shared" si="17"/>
        <v>0</v>
      </c>
      <c r="F302" s="10">
        <f t="shared" si="17"/>
        <v>0</v>
      </c>
      <c r="G302" s="425">
        <f t="shared" si="17"/>
        <v>0</v>
      </c>
      <c r="H302" s="41">
        <f t="shared" si="17"/>
        <v>0</v>
      </c>
      <c r="I302" s="10">
        <f t="shared" si="17"/>
        <v>0</v>
      </c>
      <c r="J302" s="10">
        <f t="shared" si="18"/>
        <v>0</v>
      </c>
      <c r="K302" s="113">
        <f t="shared" si="19"/>
        <v>24922.786720321928</v>
      </c>
    </row>
    <row r="303" spans="1:11" x14ac:dyDescent="0.25">
      <c r="A303" s="49">
        <f>'A) Base RI'!A302</f>
        <v>5924</v>
      </c>
      <c r="B303" s="295" t="str">
        <f>'A) Base RI'!B302</f>
        <v>Orges</v>
      </c>
      <c r="C303" s="10">
        <f>'A) Base RI'!AO302</f>
        <v>343</v>
      </c>
      <c r="D303" s="10">
        <f t="shared" si="20"/>
        <v>343</v>
      </c>
      <c r="E303" s="425">
        <f t="shared" si="17"/>
        <v>0</v>
      </c>
      <c r="F303" s="10">
        <f t="shared" si="17"/>
        <v>0</v>
      </c>
      <c r="G303" s="425">
        <f t="shared" si="17"/>
        <v>0</v>
      </c>
      <c r="H303" s="41">
        <f t="shared" si="17"/>
        <v>0</v>
      </c>
      <c r="I303" s="10">
        <f t="shared" si="17"/>
        <v>0</v>
      </c>
      <c r="J303" s="10">
        <f t="shared" si="18"/>
        <v>0</v>
      </c>
      <c r="K303" s="113">
        <f t="shared" si="19"/>
        <v>42529.929577464784</v>
      </c>
    </row>
    <row r="304" spans="1:11" x14ac:dyDescent="0.25">
      <c r="A304" s="49">
        <f>'A) Base RI'!A303</f>
        <v>5925</v>
      </c>
      <c r="B304" s="295" t="str">
        <f>'A) Base RI'!B303</f>
        <v>Orzens</v>
      </c>
      <c r="C304" s="10">
        <f>'A) Base RI'!AO303</f>
        <v>201</v>
      </c>
      <c r="D304" s="10">
        <f t="shared" si="20"/>
        <v>201</v>
      </c>
      <c r="E304" s="425">
        <f t="shared" si="17"/>
        <v>0</v>
      </c>
      <c r="F304" s="10">
        <f t="shared" si="17"/>
        <v>0</v>
      </c>
      <c r="G304" s="425">
        <f t="shared" si="17"/>
        <v>0</v>
      </c>
      <c r="H304" s="41">
        <f t="shared" si="17"/>
        <v>0</v>
      </c>
      <c r="I304" s="10">
        <f t="shared" si="17"/>
        <v>0</v>
      </c>
      <c r="J304" s="10">
        <f t="shared" si="18"/>
        <v>0</v>
      </c>
      <c r="K304" s="113">
        <f t="shared" si="19"/>
        <v>24922.786720321928</v>
      </c>
    </row>
    <row r="305" spans="1:11" x14ac:dyDescent="0.25">
      <c r="A305" s="49">
        <f>'A) Base RI'!A304</f>
        <v>5926</v>
      </c>
      <c r="B305" s="295" t="str">
        <f>'A) Base RI'!B304</f>
        <v>Pomy</v>
      </c>
      <c r="C305" s="10">
        <f>'A) Base RI'!AO304</f>
        <v>803</v>
      </c>
      <c r="D305" s="10">
        <f t="shared" si="20"/>
        <v>803</v>
      </c>
      <c r="E305" s="425">
        <f t="shared" si="17"/>
        <v>0</v>
      </c>
      <c r="F305" s="10">
        <f t="shared" si="17"/>
        <v>0</v>
      </c>
      <c r="G305" s="425">
        <f t="shared" si="17"/>
        <v>0</v>
      </c>
      <c r="H305" s="41">
        <f t="shared" si="17"/>
        <v>0</v>
      </c>
      <c r="I305" s="10">
        <f t="shared" si="17"/>
        <v>0</v>
      </c>
      <c r="J305" s="10">
        <f t="shared" si="18"/>
        <v>0</v>
      </c>
      <c r="K305" s="113">
        <f t="shared" si="19"/>
        <v>99567.152917505009</v>
      </c>
    </row>
    <row r="306" spans="1:11" x14ac:dyDescent="0.25">
      <c r="A306" s="49">
        <f>'A) Base RI'!A305</f>
        <v>5928</v>
      </c>
      <c r="B306" s="295" t="str">
        <f>'A) Base RI'!B305</f>
        <v>Rovray</v>
      </c>
      <c r="C306" s="10">
        <f>'A) Base RI'!AO305</f>
        <v>204</v>
      </c>
      <c r="D306" s="10">
        <f t="shared" si="20"/>
        <v>204</v>
      </c>
      <c r="E306" s="425">
        <f t="shared" si="17"/>
        <v>0</v>
      </c>
      <c r="F306" s="10">
        <f t="shared" si="17"/>
        <v>0</v>
      </c>
      <c r="G306" s="425">
        <f t="shared" si="17"/>
        <v>0</v>
      </c>
      <c r="H306" s="41">
        <f t="shared" si="17"/>
        <v>0</v>
      </c>
      <c r="I306" s="10">
        <f t="shared" si="17"/>
        <v>0</v>
      </c>
      <c r="J306" s="10">
        <f t="shared" si="18"/>
        <v>0</v>
      </c>
      <c r="K306" s="113">
        <f t="shared" si="19"/>
        <v>25294.768611670017</v>
      </c>
    </row>
    <row r="307" spans="1:11" x14ac:dyDescent="0.25">
      <c r="A307" s="49">
        <f>'A) Base RI'!A306</f>
        <v>5929</v>
      </c>
      <c r="B307" s="295" t="str">
        <f>'A) Base RI'!B306</f>
        <v>Suchy</v>
      </c>
      <c r="C307" s="10">
        <f>'A) Base RI'!AO306</f>
        <v>656</v>
      </c>
      <c r="D307" s="10">
        <f t="shared" si="20"/>
        <v>656</v>
      </c>
      <c r="E307" s="425">
        <f t="shared" si="17"/>
        <v>0</v>
      </c>
      <c r="F307" s="10">
        <f t="shared" si="17"/>
        <v>0</v>
      </c>
      <c r="G307" s="425">
        <f t="shared" si="17"/>
        <v>0</v>
      </c>
      <c r="H307" s="41">
        <f t="shared" si="17"/>
        <v>0</v>
      </c>
      <c r="I307" s="10">
        <f t="shared" si="17"/>
        <v>0</v>
      </c>
      <c r="J307" s="10">
        <f t="shared" si="18"/>
        <v>0</v>
      </c>
      <c r="K307" s="113">
        <f t="shared" si="19"/>
        <v>81340.040241448674</v>
      </c>
    </row>
    <row r="308" spans="1:11" x14ac:dyDescent="0.25">
      <c r="A308" s="49">
        <f>'A) Base RI'!A307</f>
        <v>5930</v>
      </c>
      <c r="B308" s="295" t="str">
        <f>'A) Base RI'!B307</f>
        <v>Suscévaz</v>
      </c>
      <c r="C308" s="10">
        <f>'A) Base RI'!AO307</f>
        <v>204</v>
      </c>
      <c r="D308" s="10">
        <f t="shared" si="20"/>
        <v>204</v>
      </c>
      <c r="E308" s="425">
        <f t="shared" si="17"/>
        <v>0</v>
      </c>
      <c r="F308" s="10">
        <f t="shared" si="17"/>
        <v>0</v>
      </c>
      <c r="G308" s="425">
        <f t="shared" si="17"/>
        <v>0</v>
      </c>
      <c r="H308" s="41">
        <f t="shared" si="17"/>
        <v>0</v>
      </c>
      <c r="I308" s="10">
        <f t="shared" si="17"/>
        <v>0</v>
      </c>
      <c r="J308" s="10">
        <f t="shared" si="18"/>
        <v>0</v>
      </c>
      <c r="K308" s="113">
        <f t="shared" si="19"/>
        <v>25294.768611670017</v>
      </c>
    </row>
    <row r="309" spans="1:11" x14ac:dyDescent="0.25">
      <c r="A309" s="49">
        <f>'A) Base RI'!A308</f>
        <v>5931</v>
      </c>
      <c r="B309" s="295" t="str">
        <f>'A) Base RI'!B308</f>
        <v>Treycovagnes</v>
      </c>
      <c r="C309" s="10">
        <f>'A) Base RI'!AO308</f>
        <v>485</v>
      </c>
      <c r="D309" s="10">
        <f t="shared" si="20"/>
        <v>485</v>
      </c>
      <c r="E309" s="425">
        <f t="shared" si="17"/>
        <v>0</v>
      </c>
      <c r="F309" s="10">
        <f t="shared" si="17"/>
        <v>0</v>
      </c>
      <c r="G309" s="425">
        <f t="shared" si="17"/>
        <v>0</v>
      </c>
      <c r="H309" s="41">
        <f t="shared" si="17"/>
        <v>0</v>
      </c>
      <c r="I309" s="10">
        <f t="shared" si="17"/>
        <v>0</v>
      </c>
      <c r="J309" s="10">
        <f t="shared" si="18"/>
        <v>0</v>
      </c>
      <c r="K309" s="113">
        <f t="shared" si="19"/>
        <v>60137.072434607639</v>
      </c>
    </row>
    <row r="310" spans="1:11" x14ac:dyDescent="0.25">
      <c r="A310" s="49">
        <f>'A) Base RI'!A309</f>
        <v>5932</v>
      </c>
      <c r="B310" s="295" t="str">
        <f>'A) Base RI'!B309</f>
        <v>Ursins</v>
      </c>
      <c r="C310" s="10">
        <f>'A) Base RI'!AO309</f>
        <v>238</v>
      </c>
      <c r="D310" s="10">
        <f t="shared" si="20"/>
        <v>238</v>
      </c>
      <c r="E310" s="425">
        <f t="shared" si="17"/>
        <v>0</v>
      </c>
      <c r="F310" s="10">
        <f t="shared" si="17"/>
        <v>0</v>
      </c>
      <c r="G310" s="425">
        <f t="shared" ref="E310:I316" si="21">IF($C310&gt;G$4,IF($C310&lt;G$5,$C310-G$4,G$5-G$4),0)</f>
        <v>0</v>
      </c>
      <c r="H310" s="41">
        <f t="shared" si="21"/>
        <v>0</v>
      </c>
      <c r="I310" s="10">
        <f t="shared" si="21"/>
        <v>0</v>
      </c>
      <c r="J310" s="10">
        <f t="shared" si="18"/>
        <v>0</v>
      </c>
      <c r="K310" s="113">
        <f t="shared" si="19"/>
        <v>29510.563380281685</v>
      </c>
    </row>
    <row r="311" spans="1:11" x14ac:dyDescent="0.25">
      <c r="A311" s="49">
        <f>'A) Base RI'!A310</f>
        <v>5933</v>
      </c>
      <c r="B311" s="295" t="str">
        <f>'A) Base RI'!B310</f>
        <v>Valeyres-sous-Montagny</v>
      </c>
      <c r="C311" s="10">
        <f>'A) Base RI'!AO310</f>
        <v>714</v>
      </c>
      <c r="D311" s="10">
        <f t="shared" si="20"/>
        <v>714</v>
      </c>
      <c r="E311" s="425">
        <f t="shared" si="21"/>
        <v>0</v>
      </c>
      <c r="F311" s="10">
        <f t="shared" si="21"/>
        <v>0</v>
      </c>
      <c r="G311" s="425">
        <f t="shared" si="21"/>
        <v>0</v>
      </c>
      <c r="H311" s="41">
        <f t="shared" si="21"/>
        <v>0</v>
      </c>
      <c r="I311" s="10">
        <f t="shared" si="21"/>
        <v>0</v>
      </c>
      <c r="J311" s="10">
        <f t="shared" si="18"/>
        <v>0</v>
      </c>
      <c r="K311" s="113">
        <f t="shared" si="19"/>
        <v>88531.69014084505</v>
      </c>
    </row>
    <row r="312" spans="1:11" x14ac:dyDescent="0.25">
      <c r="A312" s="49">
        <f>'A) Base RI'!A311</f>
        <v>5934</v>
      </c>
      <c r="B312" s="295" t="str">
        <f>'A) Base RI'!B311</f>
        <v>Valeyres-sous-Ursins</v>
      </c>
      <c r="C312" s="10">
        <f>'A) Base RI'!AO311</f>
        <v>241</v>
      </c>
      <c r="D312" s="10">
        <f t="shared" si="20"/>
        <v>241</v>
      </c>
      <c r="E312" s="425">
        <f t="shared" si="21"/>
        <v>0</v>
      </c>
      <c r="F312" s="10">
        <f t="shared" si="21"/>
        <v>0</v>
      </c>
      <c r="G312" s="425">
        <f t="shared" si="21"/>
        <v>0</v>
      </c>
      <c r="H312" s="41">
        <f t="shared" si="21"/>
        <v>0</v>
      </c>
      <c r="I312" s="10">
        <f t="shared" si="21"/>
        <v>0</v>
      </c>
      <c r="J312" s="10">
        <f t="shared" si="18"/>
        <v>0</v>
      </c>
      <c r="K312" s="113">
        <f t="shared" si="19"/>
        <v>29882.545271629773</v>
      </c>
    </row>
    <row r="313" spans="1:11" x14ac:dyDescent="0.25">
      <c r="A313" s="49">
        <f>'A) Base RI'!A312</f>
        <v>5935</v>
      </c>
      <c r="B313" s="295" t="str">
        <f>'A) Base RI'!B312</f>
        <v>Villars-Epeney</v>
      </c>
      <c r="C313" s="10">
        <f>'A) Base RI'!AO312</f>
        <v>101</v>
      </c>
      <c r="D313" s="10">
        <f t="shared" si="20"/>
        <v>101</v>
      </c>
      <c r="E313" s="425">
        <f t="shared" si="21"/>
        <v>0</v>
      </c>
      <c r="F313" s="10">
        <f t="shared" si="21"/>
        <v>0</v>
      </c>
      <c r="G313" s="425">
        <f t="shared" si="21"/>
        <v>0</v>
      </c>
      <c r="H313" s="41">
        <f t="shared" si="21"/>
        <v>0</v>
      </c>
      <c r="I313" s="10">
        <f t="shared" si="21"/>
        <v>0</v>
      </c>
      <c r="J313" s="10">
        <f t="shared" si="18"/>
        <v>0</v>
      </c>
      <c r="K313" s="113">
        <f t="shared" si="19"/>
        <v>12523.390342052311</v>
      </c>
    </row>
    <row r="314" spans="1:11" x14ac:dyDescent="0.25">
      <c r="A314" s="49">
        <f>'A) Base RI'!A313</f>
        <v>5937</v>
      </c>
      <c r="B314" s="295" t="str">
        <f>'A) Base RI'!B313</f>
        <v>Vugelles-La Mothe</v>
      </c>
      <c r="C314" s="10">
        <f>'A) Base RI'!AO313</f>
        <v>138</v>
      </c>
      <c r="D314" s="10">
        <f t="shared" si="20"/>
        <v>138</v>
      </c>
      <c r="E314" s="425">
        <f t="shared" si="21"/>
        <v>0</v>
      </c>
      <c r="F314" s="10">
        <f t="shared" si="21"/>
        <v>0</v>
      </c>
      <c r="G314" s="425">
        <f t="shared" si="21"/>
        <v>0</v>
      </c>
      <c r="H314" s="41">
        <f t="shared" si="21"/>
        <v>0</v>
      </c>
      <c r="I314" s="10">
        <f t="shared" si="21"/>
        <v>0</v>
      </c>
      <c r="J314" s="10">
        <f t="shared" si="18"/>
        <v>0</v>
      </c>
      <c r="K314" s="113">
        <f t="shared" si="19"/>
        <v>17111.167002012069</v>
      </c>
    </row>
    <row r="315" spans="1:11" x14ac:dyDescent="0.25">
      <c r="A315" s="49">
        <f>'A) Base RI'!A314</f>
        <v>5938</v>
      </c>
      <c r="B315" s="295" t="str">
        <f>'A) Base RI'!B314</f>
        <v>Yverdon-les-Bains</v>
      </c>
      <c r="C315" s="10">
        <f>'A) Base RI'!AO314</f>
        <v>29981</v>
      </c>
      <c r="D315" s="10">
        <f t="shared" si="20"/>
        <v>1000</v>
      </c>
      <c r="E315" s="425">
        <f t="shared" si="21"/>
        <v>2000</v>
      </c>
      <c r="F315" s="10">
        <f t="shared" si="21"/>
        <v>2000</v>
      </c>
      <c r="G315" s="425">
        <f t="shared" si="21"/>
        <v>4000</v>
      </c>
      <c r="H315" s="41">
        <f t="shared" si="21"/>
        <v>3000</v>
      </c>
      <c r="I315" s="10">
        <f t="shared" si="21"/>
        <v>3000</v>
      </c>
      <c r="J315" s="10">
        <f t="shared" si="18"/>
        <v>14981</v>
      </c>
      <c r="K315" s="113">
        <f t="shared" si="19"/>
        <v>25299777.967806838</v>
      </c>
    </row>
    <row r="316" spans="1:11" x14ac:dyDescent="0.25">
      <c r="A316" s="49">
        <f>'A) Base RI'!A315</f>
        <v>5939</v>
      </c>
      <c r="B316" s="295" t="str">
        <f>'A) Base RI'!B315</f>
        <v>Yvonand</v>
      </c>
      <c r="C316" s="426">
        <f>'A) Base RI'!AO315</f>
        <v>3467</v>
      </c>
      <c r="D316" s="10">
        <f t="shared" si="20"/>
        <v>1000</v>
      </c>
      <c r="E316" s="425">
        <f t="shared" si="21"/>
        <v>2000</v>
      </c>
      <c r="F316" s="10">
        <f t="shared" si="21"/>
        <v>467</v>
      </c>
      <c r="G316" s="425">
        <f t="shared" si="21"/>
        <v>0</v>
      </c>
      <c r="H316" s="41">
        <f t="shared" si="21"/>
        <v>0</v>
      </c>
      <c r="I316" s="10">
        <f t="shared" si="21"/>
        <v>0</v>
      </c>
      <c r="J316" s="10">
        <f t="shared" si="18"/>
        <v>0</v>
      </c>
      <c r="K316" s="113">
        <f t="shared" si="19"/>
        <v>1049980.8853118711</v>
      </c>
    </row>
    <row r="317" spans="1:11" x14ac:dyDescent="0.25">
      <c r="A317" s="374"/>
      <c r="B317" s="437">
        <f>COUNTA(B8:B316)</f>
        <v>309</v>
      </c>
      <c r="C317" s="11">
        <f>SUM(C8:C316)</f>
        <v>815300</v>
      </c>
      <c r="D317" s="11">
        <f t="shared" ref="D317:J317" si="22">SUM(D8:D316)</f>
        <v>219258</v>
      </c>
      <c r="E317" s="11">
        <f t="shared" si="22"/>
        <v>171991</v>
      </c>
      <c r="F317" s="11">
        <f t="shared" si="22"/>
        <v>86996</v>
      </c>
      <c r="G317" s="11">
        <f t="shared" si="22"/>
        <v>94831</v>
      </c>
      <c r="H317" s="11">
        <f t="shared" si="22"/>
        <v>41586</v>
      </c>
      <c r="I317" s="11">
        <f t="shared" si="22"/>
        <v>26878</v>
      </c>
      <c r="J317" s="11">
        <f t="shared" si="22"/>
        <v>173760</v>
      </c>
      <c r="K317" s="37">
        <f>SUM(K8:K316)</f>
        <v>429192507.8470825</v>
      </c>
    </row>
    <row r="318" spans="1:11" x14ac:dyDescent="0.25">
      <c r="C318" s="71"/>
    </row>
    <row r="328" spans="3:3" x14ac:dyDescent="0.25">
      <c r="C328" s="58"/>
    </row>
  </sheetData>
  <mergeCells count="6">
    <mergeCell ref="K6:K7"/>
    <mergeCell ref="C3:J3"/>
    <mergeCell ref="A6:A7"/>
    <mergeCell ref="B6:B7"/>
    <mergeCell ref="C6:C7"/>
    <mergeCell ref="D6:J6"/>
  </mergeCells>
  <phoneticPr fontId="21" type="noConversion"/>
  <pageMargins left="0.78740157499999996" right="0.78740157499999996" top="0.984251969" bottom="0.984251969" header="0.4921259845" footer="0.4921259845"/>
  <pageSetup paperSize="9" orientation="portrait" horizontalDpi="4294967292" verticalDpi="4294967292"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0">
    <tabColor rgb="FF00B050"/>
  </sheetPr>
  <dimension ref="A1:M314"/>
  <sheetViews>
    <sheetView workbookViewId="0">
      <selection activeCell="N13" sqref="N13"/>
    </sheetView>
  </sheetViews>
  <sheetFormatPr baseColWidth="10" defaultColWidth="11" defaultRowHeight="15" x14ac:dyDescent="0.25"/>
  <cols>
    <col min="1" max="1" width="7.25" style="13" customWidth="1"/>
    <col min="2" max="2" width="25.375" style="13" customWidth="1"/>
    <col min="3" max="3" width="9.25" style="13" customWidth="1"/>
    <col min="4" max="4" width="13.625" style="13" customWidth="1"/>
    <col min="5" max="5" width="10.375" style="13" customWidth="1"/>
    <col min="6" max="6" width="13.25" style="14" customWidth="1"/>
    <col min="7" max="7" width="11" style="15"/>
    <col min="8" max="8" width="11" style="13"/>
    <col min="9" max="9" width="13.375" style="6" customWidth="1"/>
    <col min="10" max="12" width="11" style="13"/>
    <col min="13" max="13" width="11.625" style="15" bestFit="1" customWidth="1"/>
    <col min="14" max="16384" width="11" style="13"/>
  </cols>
  <sheetData>
    <row r="1" spans="1:12" ht="21" x14ac:dyDescent="0.25">
      <c r="A1" s="51" t="s">
        <v>454</v>
      </c>
      <c r="B1" s="42"/>
      <c r="C1" s="93"/>
      <c r="D1" s="93"/>
    </row>
    <row r="3" spans="1:12" ht="30" x14ac:dyDescent="0.25">
      <c r="A3" s="582" t="s">
        <v>46</v>
      </c>
      <c r="B3" s="582" t="s">
        <v>96</v>
      </c>
      <c r="C3" s="582" t="s">
        <v>304</v>
      </c>
      <c r="D3" s="582" t="s">
        <v>543</v>
      </c>
      <c r="E3" s="112" t="s">
        <v>354</v>
      </c>
      <c r="F3" s="585" t="s">
        <v>311</v>
      </c>
      <c r="G3" s="614" t="s">
        <v>78</v>
      </c>
      <c r="H3" s="582" t="s">
        <v>352</v>
      </c>
      <c r="I3" s="585" t="s">
        <v>353</v>
      </c>
    </row>
    <row r="4" spans="1:12" x14ac:dyDescent="0.25">
      <c r="A4" s="584"/>
      <c r="B4" s="584"/>
      <c r="C4" s="584"/>
      <c r="D4" s="583"/>
      <c r="E4" s="547">
        <f>+Paramètres!B32</f>
        <v>0.27</v>
      </c>
      <c r="F4" s="587"/>
      <c r="G4" s="615"/>
      <c r="H4" s="583"/>
      <c r="I4" s="586"/>
    </row>
    <row r="5" spans="1:12" x14ac:dyDescent="0.25">
      <c r="A5" s="46">
        <f>'A) Base RI'!A7</f>
        <v>5401</v>
      </c>
      <c r="B5" s="298" t="str">
        <f>'A) Base RI'!B7</f>
        <v>Aigle</v>
      </c>
      <c r="C5" s="94">
        <f>'A) Base RI'!AO7</f>
        <v>10518</v>
      </c>
      <c r="D5" s="110">
        <f>'D) Ecrêtage'!E5</f>
        <v>27.07014660293753</v>
      </c>
      <c r="E5" s="34">
        <f t="shared" ref="E5" si="0">IF($D$314-D5&lt;0,0,$D$314-D5)</f>
        <v>21.102857399536919</v>
      </c>
      <c r="F5" s="278">
        <f t="shared" ref="F5" si="1">(C5*E5*G5)*$E$4</f>
        <v>3955324.6005668286</v>
      </c>
      <c r="G5" s="33">
        <f>+'A) Base RI'!AN7</f>
        <v>66</v>
      </c>
      <c r="H5" s="279">
        <f t="shared" ref="H5" si="2">G5/$G$314</f>
        <v>0.98072442330157206</v>
      </c>
      <c r="I5" s="55">
        <f>F5*H5</f>
        <v>3879083.4378614239</v>
      </c>
      <c r="J5" s="48"/>
      <c r="K5" s="107"/>
      <c r="L5" s="15"/>
    </row>
    <row r="6" spans="1:12" x14ac:dyDescent="0.25">
      <c r="A6" s="49">
        <f>'A) Base RI'!A8</f>
        <v>5402</v>
      </c>
      <c r="B6" s="32" t="str">
        <f>'A) Base RI'!B8</f>
        <v>Bex</v>
      </c>
      <c r="C6" s="95">
        <f>'A) Base RI'!AO8</f>
        <v>7828</v>
      </c>
      <c r="D6" s="110">
        <f>'D) Ecrêtage'!E6</f>
        <v>22.899744938717639</v>
      </c>
      <c r="E6" s="34">
        <f t="shared" ref="E6:E69" si="3">IF($D$314-D6&lt;0,0,$D$314-D6)</f>
        <v>25.273259063756811</v>
      </c>
      <c r="F6" s="278">
        <f t="shared" ref="F6:F69" si="4">(C6*E6*G6)*$E$4</f>
        <v>3792575.0093023633</v>
      </c>
      <c r="G6" s="33">
        <f>+'A) Base RI'!AN8</f>
        <v>71</v>
      </c>
      <c r="H6" s="279">
        <f t="shared" ref="H6:H69" si="5">G6/$G$314</f>
        <v>1.0550217280971457</v>
      </c>
      <c r="I6" s="55">
        <f t="shared" ref="I6:I69" si="6">F6*H6</f>
        <v>4001249.0402522278</v>
      </c>
      <c r="J6" s="48"/>
      <c r="L6" s="108"/>
    </row>
    <row r="7" spans="1:12" x14ac:dyDescent="0.25">
      <c r="A7" s="49">
        <f>'A) Base RI'!A9</f>
        <v>5403</v>
      </c>
      <c r="B7" s="32" t="str">
        <f>'A) Base RI'!B9</f>
        <v>Chessel</v>
      </c>
      <c r="C7" s="95">
        <f>'A) Base RI'!AO9</f>
        <v>444</v>
      </c>
      <c r="D7" s="110">
        <f>'D) Ecrêtage'!E7</f>
        <v>24.319234842951065</v>
      </c>
      <c r="E7" s="34">
        <f t="shared" si="3"/>
        <v>23.853769159523385</v>
      </c>
      <c r="F7" s="278">
        <f t="shared" si="4"/>
        <v>211609.64866643111</v>
      </c>
      <c r="G7" s="33">
        <f>+'A) Base RI'!AN9</f>
        <v>74</v>
      </c>
      <c r="H7" s="279">
        <f t="shared" si="5"/>
        <v>1.09960011097449</v>
      </c>
      <c r="I7" s="55">
        <f t="shared" si="6"/>
        <v>232685.99315688049</v>
      </c>
      <c r="J7" s="48"/>
      <c r="L7" s="108"/>
    </row>
    <row r="8" spans="1:12" x14ac:dyDescent="0.25">
      <c r="A8" s="49">
        <f>'A) Base RI'!A10</f>
        <v>5404</v>
      </c>
      <c r="B8" s="32" t="str">
        <f>'A) Base RI'!B10</f>
        <v>Corbeyrier</v>
      </c>
      <c r="C8" s="95">
        <f>'A) Base RI'!AO10</f>
        <v>445</v>
      </c>
      <c r="D8" s="110">
        <f>'D) Ecrêtage'!E8</f>
        <v>25.321056787124203</v>
      </c>
      <c r="E8" s="34">
        <f t="shared" si="3"/>
        <v>22.851947215350247</v>
      </c>
      <c r="F8" s="278">
        <f t="shared" si="4"/>
        <v>203178.94788640057</v>
      </c>
      <c r="G8" s="33">
        <f>+'A) Base RI'!AN10</f>
        <v>74</v>
      </c>
      <c r="H8" s="279">
        <f t="shared" si="5"/>
        <v>1.09960011097449</v>
      </c>
      <c r="I8" s="55">
        <f t="shared" si="6"/>
        <v>223415.59364356619</v>
      </c>
    </row>
    <row r="9" spans="1:12" x14ac:dyDescent="0.25">
      <c r="A9" s="49">
        <f>'A) Base RI'!A11</f>
        <v>5405</v>
      </c>
      <c r="B9" s="32" t="str">
        <f>'A) Base RI'!B11</f>
        <v>Gryon</v>
      </c>
      <c r="C9" s="95">
        <f>'A) Base RI'!AO11</f>
        <v>1378</v>
      </c>
      <c r="D9" s="110">
        <f>'D) Ecrêtage'!E9</f>
        <v>49.481708282732548</v>
      </c>
      <c r="E9" s="34">
        <f t="shared" si="3"/>
        <v>0</v>
      </c>
      <c r="F9" s="278">
        <f t="shared" si="4"/>
        <v>0</v>
      </c>
      <c r="G9" s="33">
        <f>+'A) Base RI'!AN11</f>
        <v>73.5</v>
      </c>
      <c r="H9" s="279">
        <f t="shared" si="5"/>
        <v>1.0921703804949325</v>
      </c>
      <c r="I9" s="55">
        <f t="shared" si="6"/>
        <v>0</v>
      </c>
    </row>
    <row r="10" spans="1:12" x14ac:dyDescent="0.25">
      <c r="A10" s="49">
        <f>'A) Base RI'!A12</f>
        <v>5406</v>
      </c>
      <c r="B10" s="32" t="str">
        <f>'A) Base RI'!B12</f>
        <v>Lavey-Morcles</v>
      </c>
      <c r="C10" s="95">
        <f>'A) Base RI'!AO12</f>
        <v>944</v>
      </c>
      <c r="D10" s="110">
        <f>'D) Ecrêtage'!E10</f>
        <v>23.13828926614455</v>
      </c>
      <c r="E10" s="34">
        <f t="shared" si="3"/>
        <v>25.034714736329899</v>
      </c>
      <c r="F10" s="278">
        <f t="shared" si="4"/>
        <v>456230.63857769722</v>
      </c>
      <c r="G10" s="33">
        <f>+'A) Base RI'!AN12</f>
        <v>71.5</v>
      </c>
      <c r="H10" s="279">
        <f t="shared" si="5"/>
        <v>1.0624514585767031</v>
      </c>
      <c r="I10" s="55">
        <f t="shared" si="6"/>
        <v>484722.90740425506</v>
      </c>
    </row>
    <row r="11" spans="1:12" x14ac:dyDescent="0.25">
      <c r="A11" s="49">
        <f>'A) Base RI'!A13</f>
        <v>5407</v>
      </c>
      <c r="B11" s="32" t="str">
        <f>'A) Base RI'!B13</f>
        <v>Leysin</v>
      </c>
      <c r="C11" s="95">
        <f>'A) Base RI'!AO13</f>
        <v>3645</v>
      </c>
      <c r="D11" s="110">
        <f>'D) Ecrêtage'!E11</f>
        <v>24.80319009766335</v>
      </c>
      <c r="E11" s="34">
        <f t="shared" si="3"/>
        <v>23.3698139048111</v>
      </c>
      <c r="F11" s="278">
        <f t="shared" si="4"/>
        <v>1793953.383644748</v>
      </c>
      <c r="G11" s="33">
        <f>+'A) Base RI'!AN13</f>
        <v>78</v>
      </c>
      <c r="H11" s="279">
        <f t="shared" si="5"/>
        <v>1.1590379548109488</v>
      </c>
      <c r="I11" s="55">
        <f t="shared" si="6"/>
        <v>2079260.0608057901</v>
      </c>
    </row>
    <row r="12" spans="1:12" x14ac:dyDescent="0.25">
      <c r="A12" s="49">
        <f>'A) Base RI'!A14</f>
        <v>5408</v>
      </c>
      <c r="B12" s="32" t="str">
        <f>'A) Base RI'!B14</f>
        <v>Noville</v>
      </c>
      <c r="C12" s="95">
        <f>'A) Base RI'!AO14</f>
        <v>1170</v>
      </c>
      <c r="D12" s="110">
        <f>'D) Ecrêtage'!E12</f>
        <v>37.470124376213541</v>
      </c>
      <c r="E12" s="34">
        <f t="shared" si="3"/>
        <v>10.702879626260909</v>
      </c>
      <c r="F12" s="278">
        <f t="shared" si="4"/>
        <v>265411.61440396198</v>
      </c>
      <c r="G12" s="33">
        <f>+'A) Base RI'!AN14</f>
        <v>78.5</v>
      </c>
      <c r="H12" s="279">
        <f t="shared" si="5"/>
        <v>1.1664676852905063</v>
      </c>
      <c r="I12" s="55">
        <f t="shared" si="6"/>
        <v>309594.07150300592</v>
      </c>
    </row>
    <row r="13" spans="1:12" x14ac:dyDescent="0.25">
      <c r="A13" s="49">
        <f>'A) Base RI'!A15</f>
        <v>5409</v>
      </c>
      <c r="B13" s="32" t="str">
        <f>'A) Base RI'!B15</f>
        <v>Ollon</v>
      </c>
      <c r="C13" s="95">
        <f>'A) Base RI'!AO15</f>
        <v>7634</v>
      </c>
      <c r="D13" s="110">
        <f>'D) Ecrêtage'!E13</f>
        <v>50.980716519452727</v>
      </c>
      <c r="E13" s="34">
        <f t="shared" si="3"/>
        <v>0</v>
      </c>
      <c r="F13" s="278">
        <f t="shared" si="4"/>
        <v>0</v>
      </c>
      <c r="G13" s="33">
        <f>+'A) Base RI'!AN15</f>
        <v>68</v>
      </c>
      <c r="H13" s="279">
        <f t="shared" si="5"/>
        <v>1.0104433452198016</v>
      </c>
      <c r="I13" s="55">
        <f t="shared" si="6"/>
        <v>0</v>
      </c>
    </row>
    <row r="14" spans="1:12" x14ac:dyDescent="0.25">
      <c r="A14" s="49">
        <f>'A) Base RI'!A16</f>
        <v>5410</v>
      </c>
      <c r="B14" s="32" t="str">
        <f>'A) Base RI'!B16</f>
        <v>Ormont-Dessous</v>
      </c>
      <c r="C14" s="95">
        <f>'A) Base RI'!AO16</f>
        <v>1180</v>
      </c>
      <c r="D14" s="110">
        <f>'D) Ecrêtage'!E14</f>
        <v>33.493682295106026</v>
      </c>
      <c r="E14" s="34">
        <f t="shared" si="3"/>
        <v>14.679321707368423</v>
      </c>
      <c r="F14" s="278">
        <f t="shared" si="4"/>
        <v>360116.05598950363</v>
      </c>
      <c r="G14" s="33">
        <f>+'A) Base RI'!AN16</f>
        <v>77</v>
      </c>
      <c r="H14" s="279">
        <f t="shared" si="5"/>
        <v>1.144178493851834</v>
      </c>
      <c r="I14" s="55">
        <f t="shared" si="6"/>
        <v>412037.046553933</v>
      </c>
    </row>
    <row r="15" spans="1:12" x14ac:dyDescent="0.25">
      <c r="A15" s="49">
        <f>'A) Base RI'!A17</f>
        <v>5411</v>
      </c>
      <c r="B15" s="32" t="str">
        <f>'A) Base RI'!B17</f>
        <v>Ormont-Dessus</v>
      </c>
      <c r="C15" s="95">
        <f>'A) Base RI'!AO17</f>
        <v>1466</v>
      </c>
      <c r="D15" s="110">
        <f>'D) Ecrêtage'!E15</f>
        <v>46.418407589574215</v>
      </c>
      <c r="E15" s="34">
        <f t="shared" si="3"/>
        <v>1.7545964129002343</v>
      </c>
      <c r="F15" s="278">
        <f t="shared" si="4"/>
        <v>52782.330763716986</v>
      </c>
      <c r="G15" s="33">
        <f>+'A) Base RI'!AN17</f>
        <v>76</v>
      </c>
      <c r="H15" s="279">
        <f t="shared" si="5"/>
        <v>1.1293190328927194</v>
      </c>
      <c r="I15" s="55">
        <f t="shared" si="6"/>
        <v>59608.0907319045</v>
      </c>
    </row>
    <row r="16" spans="1:12" x14ac:dyDescent="0.25">
      <c r="A16" s="49">
        <f>'A) Base RI'!A18</f>
        <v>5412</v>
      </c>
      <c r="B16" s="32" t="str">
        <f>'A) Base RI'!B18</f>
        <v>Rennaz</v>
      </c>
      <c r="C16" s="95">
        <f>'A) Base RI'!AO18</f>
        <v>889</v>
      </c>
      <c r="D16" s="110">
        <f>'D) Ecrêtage'!E16</f>
        <v>27.297817446732203</v>
      </c>
      <c r="E16" s="34">
        <f t="shared" si="3"/>
        <v>20.875186555742246</v>
      </c>
      <c r="F16" s="278">
        <f t="shared" si="4"/>
        <v>345736.30099926202</v>
      </c>
      <c r="G16" s="33">
        <f>+'A) Base RI'!AN18</f>
        <v>69</v>
      </c>
      <c r="H16" s="279">
        <f t="shared" si="5"/>
        <v>1.0253028061789162</v>
      </c>
      <c r="I16" s="55">
        <f t="shared" si="6"/>
        <v>354484.3996124618</v>
      </c>
    </row>
    <row r="17" spans="1:9" x14ac:dyDescent="0.25">
      <c r="A17" s="49">
        <f>'A) Base RI'!A19</f>
        <v>5413</v>
      </c>
      <c r="B17" s="32" t="str">
        <f>'A) Base RI'!B19</f>
        <v>Roche</v>
      </c>
      <c r="C17" s="95">
        <f>'A) Base RI'!AO19</f>
        <v>1868</v>
      </c>
      <c r="D17" s="110">
        <f>'D) Ecrêtage'!E17</f>
        <v>25.69992952775328</v>
      </c>
      <c r="E17" s="34">
        <f t="shared" si="3"/>
        <v>22.473074474721169</v>
      </c>
      <c r="F17" s="278">
        <f t="shared" si="4"/>
        <v>770747.34926078515</v>
      </c>
      <c r="G17" s="33">
        <f>+'A) Base RI'!AN19</f>
        <v>68</v>
      </c>
      <c r="H17" s="279">
        <f t="shared" si="5"/>
        <v>1.0104433452198016</v>
      </c>
      <c r="I17" s="55">
        <f t="shared" si="6"/>
        <v>778796.52990636253</v>
      </c>
    </row>
    <row r="18" spans="1:9" x14ac:dyDescent="0.25">
      <c r="A18" s="49">
        <f>'A) Base RI'!A20</f>
        <v>5414</v>
      </c>
      <c r="B18" s="32" t="str">
        <f>'A) Base RI'!B20</f>
        <v>Villeneuve</v>
      </c>
      <c r="C18" s="95">
        <f>'A) Base RI'!AO20</f>
        <v>5837</v>
      </c>
      <c r="D18" s="110">
        <f>'D) Ecrêtage'!E18</f>
        <v>27.320311651723671</v>
      </c>
      <c r="E18" s="34">
        <f t="shared" si="3"/>
        <v>20.852692350750779</v>
      </c>
      <c r="F18" s="278">
        <f t="shared" si="4"/>
        <v>2218295.336705531</v>
      </c>
      <c r="G18" s="33">
        <f>+'A) Base RI'!AN20</f>
        <v>67.5</v>
      </c>
      <c r="H18" s="279">
        <f t="shared" si="5"/>
        <v>1.0030136147402442</v>
      </c>
      <c r="I18" s="55">
        <f t="shared" si="6"/>
        <v>2224980.4242304419</v>
      </c>
    </row>
    <row r="19" spans="1:9" x14ac:dyDescent="0.25">
      <c r="A19" s="49">
        <f>'A) Base RI'!A21</f>
        <v>5415</v>
      </c>
      <c r="B19" s="32" t="str">
        <f>'A) Base RI'!B21</f>
        <v>Yvorne</v>
      </c>
      <c r="C19" s="95">
        <f>'A) Base RI'!AO21</f>
        <v>1070</v>
      </c>
      <c r="D19" s="110">
        <f>'D) Ecrêtage'!E19</f>
        <v>35.658897283401956</v>
      </c>
      <c r="E19" s="34">
        <f t="shared" si="3"/>
        <v>12.514106719072494</v>
      </c>
      <c r="F19" s="278">
        <f t="shared" si="4"/>
        <v>258495.76832651312</v>
      </c>
      <c r="G19" s="33">
        <f>+'A) Base RI'!AN21</f>
        <v>71.5</v>
      </c>
      <c r="H19" s="279">
        <f t="shared" si="5"/>
        <v>1.0624514585767031</v>
      </c>
      <c r="I19" s="55">
        <f t="shared" si="6"/>
        <v>274639.2060944094</v>
      </c>
    </row>
    <row r="20" spans="1:9" x14ac:dyDescent="0.25">
      <c r="A20" s="49">
        <f>'A) Base RI'!A22</f>
        <v>5421</v>
      </c>
      <c r="B20" s="32" t="str">
        <f>'A) Base RI'!B22</f>
        <v>Apples</v>
      </c>
      <c r="C20" s="95">
        <f>'A) Base RI'!AO22</f>
        <v>1457</v>
      </c>
      <c r="D20" s="110">
        <f>'D) Ecrêtage'!E20</f>
        <v>45.513796583130834</v>
      </c>
      <c r="E20" s="34">
        <f t="shared" si="3"/>
        <v>2.6592074193436162</v>
      </c>
      <c r="F20" s="278">
        <f t="shared" si="4"/>
        <v>77411.814895473304</v>
      </c>
      <c r="G20" s="33">
        <f>+'A) Base RI'!AN22</f>
        <v>74</v>
      </c>
      <c r="H20" s="279">
        <f t="shared" si="5"/>
        <v>1.09960011097449</v>
      </c>
      <c r="I20" s="55">
        <f t="shared" si="6"/>
        <v>85122.040249799116</v>
      </c>
    </row>
    <row r="21" spans="1:9" x14ac:dyDescent="0.25">
      <c r="A21" s="49">
        <f>'A) Base RI'!A23</f>
        <v>5422</v>
      </c>
      <c r="B21" s="32" t="str">
        <f>'A) Base RI'!B23</f>
        <v>Aubonne</v>
      </c>
      <c r="C21" s="95">
        <f>'A) Base RI'!AO23</f>
        <v>3241</v>
      </c>
      <c r="D21" s="110">
        <f>'D) Ecrêtage'!E21</f>
        <v>74.788089915476206</v>
      </c>
      <c r="E21" s="34">
        <f t="shared" si="3"/>
        <v>0</v>
      </c>
      <c r="F21" s="278">
        <f t="shared" si="4"/>
        <v>0</v>
      </c>
      <c r="G21" s="33">
        <f>+'A) Base RI'!AN23</f>
        <v>68.5</v>
      </c>
      <c r="H21" s="279">
        <f t="shared" si="5"/>
        <v>1.0178730756993588</v>
      </c>
      <c r="I21" s="55">
        <f t="shared" si="6"/>
        <v>0</v>
      </c>
    </row>
    <row r="22" spans="1:9" x14ac:dyDescent="0.25">
      <c r="A22" s="49">
        <f>'A) Base RI'!A24</f>
        <v>5423</v>
      </c>
      <c r="B22" s="32" t="str">
        <f>'A) Base RI'!B24</f>
        <v>Ballens</v>
      </c>
      <c r="C22" s="95">
        <f>'A) Base RI'!AO24</f>
        <v>562</v>
      </c>
      <c r="D22" s="110">
        <f>'D) Ecrêtage'!E22</f>
        <v>30.453283771266996</v>
      </c>
      <c r="E22" s="34">
        <f t="shared" si="3"/>
        <v>17.719720231207454</v>
      </c>
      <c r="F22" s="278">
        <f t="shared" si="4"/>
        <v>196281.6953954896</v>
      </c>
      <c r="G22" s="33">
        <f>+'A) Base RI'!AN24</f>
        <v>73</v>
      </c>
      <c r="H22" s="279">
        <f t="shared" si="5"/>
        <v>1.0847406500153751</v>
      </c>
      <c r="I22" s="55">
        <f t="shared" si="6"/>
        <v>212914.73384942324</v>
      </c>
    </row>
    <row r="23" spans="1:9" x14ac:dyDescent="0.25">
      <c r="A23" s="49">
        <f>'A) Base RI'!A25</f>
        <v>5424</v>
      </c>
      <c r="B23" s="32" t="str">
        <f>'A) Base RI'!B25</f>
        <v>Berolle</v>
      </c>
      <c r="C23" s="95">
        <f>'A) Base RI'!AO25</f>
        <v>313</v>
      </c>
      <c r="D23" s="110">
        <f>'D) Ecrêtage'!E23</f>
        <v>29.121332120263208</v>
      </c>
      <c r="E23" s="34">
        <f t="shared" si="3"/>
        <v>19.051671882211242</v>
      </c>
      <c r="F23" s="278">
        <f t="shared" si="4"/>
        <v>121559.28770280824</v>
      </c>
      <c r="G23" s="33">
        <f>+'A) Base RI'!AN25</f>
        <v>75.5</v>
      </c>
      <c r="H23" s="279">
        <f t="shared" si="5"/>
        <v>1.121889302413162</v>
      </c>
      <c r="I23" s="55">
        <f t="shared" si="6"/>
        <v>136376.0644827444</v>
      </c>
    </row>
    <row r="24" spans="1:9" x14ac:dyDescent="0.25">
      <c r="A24" s="49">
        <f>'A) Base RI'!A26</f>
        <v>5425</v>
      </c>
      <c r="B24" s="32" t="str">
        <f>'A) Base RI'!B26</f>
        <v>Bière</v>
      </c>
      <c r="C24" s="95">
        <f>'A) Base RI'!AO26</f>
        <v>1627</v>
      </c>
      <c r="D24" s="110">
        <f>'D) Ecrêtage'!E24</f>
        <v>24.715408196332074</v>
      </c>
      <c r="E24" s="34">
        <f t="shared" si="3"/>
        <v>23.457595806142375</v>
      </c>
      <c r="F24" s="278">
        <f t="shared" si="4"/>
        <v>711023.42105593963</v>
      </c>
      <c r="G24" s="33">
        <f>+'A) Base RI'!AN26</f>
        <v>69</v>
      </c>
      <c r="H24" s="279">
        <f t="shared" si="5"/>
        <v>1.0253028061789162</v>
      </c>
      <c r="I24" s="55">
        <f t="shared" si="6"/>
        <v>729014.30886758806</v>
      </c>
    </row>
    <row r="25" spans="1:9" x14ac:dyDescent="0.25">
      <c r="A25" s="49">
        <f>'A) Base RI'!A27</f>
        <v>5426</v>
      </c>
      <c r="B25" s="32" t="str">
        <f>'A) Base RI'!B27</f>
        <v>Bougy-Villars</v>
      </c>
      <c r="C25" s="95">
        <f>'A) Base RI'!AO27</f>
        <v>477</v>
      </c>
      <c r="D25" s="110">
        <f>'D) Ecrêtage'!E25</f>
        <v>116.64698416567803</v>
      </c>
      <c r="E25" s="34">
        <f t="shared" si="3"/>
        <v>0</v>
      </c>
      <c r="F25" s="278">
        <f t="shared" si="4"/>
        <v>0</v>
      </c>
      <c r="G25" s="33">
        <f>+'A) Base RI'!AN27</f>
        <v>64.5</v>
      </c>
      <c r="H25" s="279">
        <f t="shared" si="5"/>
        <v>0.95843523186289992</v>
      </c>
      <c r="I25" s="55">
        <f t="shared" si="6"/>
        <v>0</v>
      </c>
    </row>
    <row r="26" spans="1:9" x14ac:dyDescent="0.25">
      <c r="A26" s="49">
        <f>'A) Base RI'!A28</f>
        <v>5427</v>
      </c>
      <c r="B26" s="32" t="str">
        <f>'A) Base RI'!B28</f>
        <v>Féchy</v>
      </c>
      <c r="C26" s="95">
        <f>'A) Base RI'!AO28</f>
        <v>869</v>
      </c>
      <c r="D26" s="110">
        <f>'D) Ecrêtage'!E26</f>
        <v>88.63109735991857</v>
      </c>
      <c r="E26" s="34">
        <f t="shared" si="3"/>
        <v>0</v>
      </c>
      <c r="F26" s="278">
        <f t="shared" si="4"/>
        <v>0</v>
      </c>
      <c r="G26" s="33">
        <f>+'A) Base RI'!AN28</f>
        <v>64</v>
      </c>
      <c r="H26" s="279">
        <f t="shared" si="5"/>
        <v>0.95100550138334261</v>
      </c>
      <c r="I26" s="55">
        <f t="shared" si="6"/>
        <v>0</v>
      </c>
    </row>
    <row r="27" spans="1:9" x14ac:dyDescent="0.25">
      <c r="A27" s="49">
        <f>'A) Base RI'!A29</f>
        <v>5428</v>
      </c>
      <c r="B27" s="32" t="str">
        <f>'A) Base RI'!B29</f>
        <v>Gimel</v>
      </c>
      <c r="C27" s="95">
        <f>'A) Base RI'!AO29</f>
        <v>2307</v>
      </c>
      <c r="D27" s="110">
        <f>'D) Ecrêtage'!E27</f>
        <v>30.426191146680321</v>
      </c>
      <c r="E27" s="34">
        <f t="shared" si="3"/>
        <v>17.746812855794129</v>
      </c>
      <c r="F27" s="278">
        <f t="shared" si="4"/>
        <v>823546.26335104764</v>
      </c>
      <c r="G27" s="33">
        <f>+'A) Base RI'!AN29</f>
        <v>74.5</v>
      </c>
      <c r="H27" s="279">
        <f t="shared" si="5"/>
        <v>1.1070298414540471</v>
      </c>
      <c r="I27" s="55">
        <f t="shared" si="6"/>
        <v>911690.2893475832</v>
      </c>
    </row>
    <row r="28" spans="1:9" x14ac:dyDescent="0.25">
      <c r="A28" s="49">
        <f>'A) Base RI'!A30</f>
        <v>5429</v>
      </c>
      <c r="B28" s="32" t="str">
        <f>'A) Base RI'!B30</f>
        <v>Longirod</v>
      </c>
      <c r="C28" s="95">
        <f>'A) Base RI'!AO30</f>
        <v>494</v>
      </c>
      <c r="D28" s="110">
        <f>'D) Ecrêtage'!E28</f>
        <v>32.673631448347919</v>
      </c>
      <c r="E28" s="34">
        <f t="shared" si="3"/>
        <v>15.499372554126531</v>
      </c>
      <c r="F28" s="278">
        <f t="shared" si="4"/>
        <v>160216.23912337824</v>
      </c>
      <c r="G28" s="33">
        <f>+'A) Base RI'!AN30</f>
        <v>77.5</v>
      </c>
      <c r="H28" s="279">
        <f t="shared" si="5"/>
        <v>1.1516082243313914</v>
      </c>
      <c r="I28" s="55">
        <f t="shared" si="6"/>
        <v>184506.33864592723</v>
      </c>
    </row>
    <row r="29" spans="1:9" x14ac:dyDescent="0.25">
      <c r="A29" s="49">
        <f>'A) Base RI'!A31</f>
        <v>5430</v>
      </c>
      <c r="B29" s="32" t="str">
        <f>'A) Base RI'!B31</f>
        <v>Marchissy</v>
      </c>
      <c r="C29" s="95">
        <f>'A) Base RI'!AO31</f>
        <v>481</v>
      </c>
      <c r="D29" s="110">
        <f>'D) Ecrêtage'!E29</f>
        <v>30.869959895379253</v>
      </c>
      <c r="E29" s="34">
        <f t="shared" si="3"/>
        <v>17.303044107095197</v>
      </c>
      <c r="F29" s="278">
        <f t="shared" si="4"/>
        <v>174153.8412096051</v>
      </c>
      <c r="G29" s="33">
        <f>+'A) Base RI'!AN31</f>
        <v>77.5</v>
      </c>
      <c r="H29" s="279">
        <f t="shared" si="5"/>
        <v>1.1516082243313914</v>
      </c>
      <c r="I29" s="55">
        <f t="shared" si="6"/>
        <v>200556.99583588445</v>
      </c>
    </row>
    <row r="30" spans="1:9" x14ac:dyDescent="0.25">
      <c r="A30" s="49">
        <f>'A) Base RI'!A32</f>
        <v>5431</v>
      </c>
      <c r="B30" s="32" t="str">
        <f>'A) Base RI'!B32</f>
        <v>Mollens</v>
      </c>
      <c r="C30" s="95">
        <f>'A) Base RI'!AO32</f>
        <v>330</v>
      </c>
      <c r="D30" s="110">
        <f>'D) Ecrêtage'!E30</f>
        <v>28.28325675675676</v>
      </c>
      <c r="E30" s="34">
        <f t="shared" si="3"/>
        <v>19.88974724571769</v>
      </c>
      <c r="F30" s="278">
        <f t="shared" si="4"/>
        <v>131141.05948991503</v>
      </c>
      <c r="G30" s="33">
        <f>+'A) Base RI'!AN32</f>
        <v>74</v>
      </c>
      <c r="H30" s="279">
        <f t="shared" si="5"/>
        <v>1.09960011097449</v>
      </c>
      <c r="I30" s="55">
        <f t="shared" si="6"/>
        <v>144202.72356842275</v>
      </c>
    </row>
    <row r="31" spans="1:9" x14ac:dyDescent="0.25">
      <c r="A31" s="49">
        <f>'A) Base RI'!A33</f>
        <v>5432</v>
      </c>
      <c r="B31" s="32" t="str">
        <f>'A) Base RI'!B33</f>
        <v>Montherod</v>
      </c>
      <c r="C31" s="95">
        <f>'A) Base RI'!AO33</f>
        <v>523</v>
      </c>
      <c r="D31" s="110">
        <f>'D) Ecrêtage'!E31</f>
        <v>31.413977055449326</v>
      </c>
      <c r="E31" s="34">
        <f t="shared" si="3"/>
        <v>16.759026947025124</v>
      </c>
      <c r="F31" s="278">
        <f t="shared" si="4"/>
        <v>177490.66463920634</v>
      </c>
      <c r="G31" s="33">
        <f>+'A) Base RI'!AN33</f>
        <v>75</v>
      </c>
      <c r="H31" s="279">
        <f t="shared" si="5"/>
        <v>1.1144595719336046</v>
      </c>
      <c r="I31" s="55">
        <f t="shared" si="6"/>
        <v>197806.17013602087</v>
      </c>
    </row>
    <row r="32" spans="1:9" x14ac:dyDescent="0.25">
      <c r="A32" s="49">
        <f>'A) Base RI'!A34</f>
        <v>5434</v>
      </c>
      <c r="B32" s="32" t="str">
        <f>'A) Base RI'!B34</f>
        <v>Saint-George</v>
      </c>
      <c r="C32" s="95">
        <f>'A) Base RI'!AO34</f>
        <v>1074</v>
      </c>
      <c r="D32" s="110">
        <f>'D) Ecrêtage'!E32</f>
        <v>38.579361873629587</v>
      </c>
      <c r="E32" s="34">
        <f t="shared" si="3"/>
        <v>9.5936421288448628</v>
      </c>
      <c r="F32" s="278">
        <f t="shared" si="4"/>
        <v>193346.52194430915</v>
      </c>
      <c r="G32" s="33">
        <f>+'A) Base RI'!AN34</f>
        <v>69.5</v>
      </c>
      <c r="H32" s="279">
        <f t="shared" si="5"/>
        <v>1.0327325366584736</v>
      </c>
      <c r="I32" s="55">
        <f t="shared" si="6"/>
        <v>199675.24406163962</v>
      </c>
    </row>
    <row r="33" spans="1:9" x14ac:dyDescent="0.25">
      <c r="A33" s="49">
        <f>'A) Base RI'!A35</f>
        <v>5435</v>
      </c>
      <c r="B33" s="32" t="str">
        <f>'A) Base RI'!B35</f>
        <v>Saint-Livres</v>
      </c>
      <c r="C33" s="95">
        <f>'A) Base RI'!AO35</f>
        <v>683</v>
      </c>
      <c r="D33" s="110">
        <f>'D) Ecrêtage'!E33</f>
        <v>38.574685424491264</v>
      </c>
      <c r="E33" s="34">
        <f t="shared" si="3"/>
        <v>9.5983185779831857</v>
      </c>
      <c r="F33" s="278">
        <f t="shared" si="4"/>
        <v>122131.78909864568</v>
      </c>
      <c r="G33" s="33">
        <f>+'A) Base RI'!AN35</f>
        <v>69</v>
      </c>
      <c r="H33" s="279">
        <f t="shared" si="5"/>
        <v>1.0253028061789162</v>
      </c>
      <c r="I33" s="55">
        <f t="shared" si="6"/>
        <v>125222.06608649298</v>
      </c>
    </row>
    <row r="34" spans="1:9" x14ac:dyDescent="0.25">
      <c r="A34" s="49">
        <f>'A) Base RI'!A36</f>
        <v>5436</v>
      </c>
      <c r="B34" s="32" t="str">
        <f>'A) Base RI'!B36</f>
        <v>Saint-Oyens</v>
      </c>
      <c r="C34" s="95">
        <f>'A) Base RI'!AO36</f>
        <v>461</v>
      </c>
      <c r="D34" s="110">
        <f>'D) Ecrêtage'!E34</f>
        <v>36.365087102648552</v>
      </c>
      <c r="E34" s="34">
        <f t="shared" si="3"/>
        <v>11.807916899825898</v>
      </c>
      <c r="F34" s="278">
        <f t="shared" si="4"/>
        <v>119048.24473822769</v>
      </c>
      <c r="G34" s="33">
        <f>+'A) Base RI'!AN36</f>
        <v>81</v>
      </c>
      <c r="H34" s="279">
        <f t="shared" si="5"/>
        <v>1.2036163376882929</v>
      </c>
      <c r="I34" s="55">
        <f t="shared" si="6"/>
        <v>143288.41234004521</v>
      </c>
    </row>
    <row r="35" spans="1:9" x14ac:dyDescent="0.25">
      <c r="A35" s="49">
        <f>'A) Base RI'!A37</f>
        <v>5437</v>
      </c>
      <c r="B35" s="32" t="str">
        <f>'A) Base RI'!B37</f>
        <v>Saubraz</v>
      </c>
      <c r="C35" s="95">
        <f>'A) Base RI'!AO37</f>
        <v>423</v>
      </c>
      <c r="D35" s="110">
        <f>'D) Ecrêtage'!E35</f>
        <v>31.659351950354612</v>
      </c>
      <c r="E35" s="34">
        <f t="shared" si="3"/>
        <v>16.513652052119838</v>
      </c>
      <c r="F35" s="278">
        <f t="shared" si="4"/>
        <v>150881.93606980852</v>
      </c>
      <c r="G35" s="33">
        <f>+'A) Base RI'!AN37</f>
        <v>80</v>
      </c>
      <c r="H35" s="279">
        <f t="shared" si="5"/>
        <v>1.1887568767291783</v>
      </c>
      <c r="I35" s="55">
        <f t="shared" si="6"/>
        <v>179361.93907719714</v>
      </c>
    </row>
    <row r="36" spans="1:9" x14ac:dyDescent="0.25">
      <c r="A36" s="49">
        <f>'A) Base RI'!A38</f>
        <v>5451</v>
      </c>
      <c r="B36" s="32" t="str">
        <f>'A) Base RI'!B38</f>
        <v>Avenches</v>
      </c>
      <c r="C36" s="95">
        <f>'A) Base RI'!AO38</f>
        <v>4482</v>
      </c>
      <c r="D36" s="110">
        <f>'D) Ecrêtage'!E36</f>
        <v>28.893532324787873</v>
      </c>
      <c r="E36" s="34">
        <f t="shared" si="3"/>
        <v>19.279471677686576</v>
      </c>
      <c r="F36" s="278">
        <f t="shared" si="4"/>
        <v>1551502.1804263697</v>
      </c>
      <c r="G36" s="33">
        <f>+'A) Base RI'!AN38</f>
        <v>66.5</v>
      </c>
      <c r="H36" s="279">
        <f t="shared" si="5"/>
        <v>0.98815415378112947</v>
      </c>
      <c r="I36" s="55">
        <f t="shared" si="6"/>
        <v>1533123.3241887966</v>
      </c>
    </row>
    <row r="37" spans="1:9" x14ac:dyDescent="0.25">
      <c r="A37" s="49">
        <f>'A) Base RI'!A39</f>
        <v>5456</v>
      </c>
      <c r="B37" s="32" t="str">
        <f>'A) Base RI'!B39</f>
        <v>Cudrefin</v>
      </c>
      <c r="C37" s="95">
        <f>'A) Base RI'!AO39</f>
        <v>1780</v>
      </c>
      <c r="D37" s="110">
        <f>'D) Ecrêtage'!E37</f>
        <v>36.082546784739421</v>
      </c>
      <c r="E37" s="34">
        <f t="shared" si="3"/>
        <v>12.090457217735029</v>
      </c>
      <c r="F37" s="278">
        <f t="shared" si="4"/>
        <v>342829.75059176388</v>
      </c>
      <c r="G37" s="33">
        <f>+'A) Base RI'!AN39</f>
        <v>59</v>
      </c>
      <c r="H37" s="279">
        <f t="shared" si="5"/>
        <v>0.876708196587769</v>
      </c>
      <c r="I37" s="55">
        <f t="shared" si="6"/>
        <v>300561.65237793996</v>
      </c>
    </row>
    <row r="38" spans="1:9" x14ac:dyDescent="0.25">
      <c r="A38" s="49">
        <f>'A) Base RI'!A40</f>
        <v>5458</v>
      </c>
      <c r="B38" s="32" t="str">
        <f>'A) Base RI'!B40</f>
        <v>Faoug</v>
      </c>
      <c r="C38" s="95">
        <f>'A) Base RI'!AO40</f>
        <v>881</v>
      </c>
      <c r="D38" s="110">
        <f>'D) Ecrêtage'!E38</f>
        <v>36.547564234857084</v>
      </c>
      <c r="E38" s="34">
        <f t="shared" si="3"/>
        <v>11.625439767617365</v>
      </c>
      <c r="F38" s="278">
        <f t="shared" si="4"/>
        <v>182512.66159652741</v>
      </c>
      <c r="G38" s="33">
        <f>+'A) Base RI'!AN40</f>
        <v>66</v>
      </c>
      <c r="H38" s="279">
        <f t="shared" si="5"/>
        <v>0.98072442330157206</v>
      </c>
      <c r="I38" s="55">
        <f t="shared" si="6"/>
        <v>178994.62478948932</v>
      </c>
    </row>
    <row r="39" spans="1:9" x14ac:dyDescent="0.25">
      <c r="A39" s="49">
        <f>'A) Base RI'!A41</f>
        <v>5464</v>
      </c>
      <c r="B39" s="32" t="str">
        <f>'A) Base RI'!B41</f>
        <v>Vully-les-Lacs</v>
      </c>
      <c r="C39" s="95">
        <f>'A) Base RI'!AO41</f>
        <v>3360</v>
      </c>
      <c r="D39" s="110">
        <f>'D) Ecrêtage'!E39</f>
        <v>33.213487784292823</v>
      </c>
      <c r="E39" s="34">
        <f t="shared" si="3"/>
        <v>14.959516218181626</v>
      </c>
      <c r="F39" s="278">
        <f t="shared" si="4"/>
        <v>909275.29858000297</v>
      </c>
      <c r="G39" s="33">
        <f>+'A) Base RI'!AN41</f>
        <v>67</v>
      </c>
      <c r="H39" s="279">
        <f t="shared" si="5"/>
        <v>0.99558388426068678</v>
      </c>
      <c r="I39" s="55">
        <f t="shared" si="6"/>
        <v>905259.83362257504</v>
      </c>
    </row>
    <row r="40" spans="1:9" x14ac:dyDescent="0.25">
      <c r="A40" s="49">
        <f>'A) Base RI'!A42</f>
        <v>5471</v>
      </c>
      <c r="B40" s="32" t="str">
        <f>'A) Base RI'!B42</f>
        <v>Bettens</v>
      </c>
      <c r="C40" s="95">
        <f>'A) Base RI'!AO42</f>
        <v>636</v>
      </c>
      <c r="D40" s="110">
        <f>'D) Ecrêtage'!E40</f>
        <v>32.052331336727562</v>
      </c>
      <c r="E40" s="34">
        <f t="shared" si="3"/>
        <v>16.120672665746888</v>
      </c>
      <c r="F40" s="278">
        <f t="shared" si="4"/>
        <v>193776.93371134394</v>
      </c>
      <c r="G40" s="33">
        <f>+'A) Base RI'!AN42</f>
        <v>70</v>
      </c>
      <c r="H40" s="279">
        <f t="shared" si="5"/>
        <v>1.0401622671380311</v>
      </c>
      <c r="I40" s="55">
        <f t="shared" si="6"/>
        <v>201559.45468824747</v>
      </c>
    </row>
    <row r="41" spans="1:9" x14ac:dyDescent="0.25">
      <c r="A41" s="49">
        <f>'A) Base RI'!A43</f>
        <v>5472</v>
      </c>
      <c r="B41" s="32" t="str">
        <f>'A) Base RI'!B43</f>
        <v>Bournens</v>
      </c>
      <c r="C41" s="95">
        <f>'A) Base RI'!AO43</f>
        <v>490</v>
      </c>
      <c r="D41" s="110">
        <f>'D) Ecrêtage'!E41</f>
        <v>41.108492630385484</v>
      </c>
      <c r="E41" s="34">
        <f t="shared" si="3"/>
        <v>7.0645113720889654</v>
      </c>
      <c r="F41" s="278">
        <f t="shared" si="4"/>
        <v>67293.709525970655</v>
      </c>
      <c r="G41" s="33">
        <f>+'A) Base RI'!AN43</f>
        <v>72</v>
      </c>
      <c r="H41" s="279">
        <f t="shared" si="5"/>
        <v>1.0698811890562605</v>
      </c>
      <c r="I41" s="55">
        <f t="shared" si="6"/>
        <v>71996.273963652086</v>
      </c>
    </row>
    <row r="42" spans="1:9" x14ac:dyDescent="0.25">
      <c r="A42" s="49">
        <f>'A) Base RI'!A44</f>
        <v>5473</v>
      </c>
      <c r="B42" s="32" t="str">
        <f>'A) Base RI'!B44</f>
        <v>Boussens</v>
      </c>
      <c r="C42" s="95">
        <f>'A) Base RI'!AO44</f>
        <v>999</v>
      </c>
      <c r="D42" s="110">
        <f>'D) Ecrêtage'!E42</f>
        <v>37.812953546138722</v>
      </c>
      <c r="E42" s="34">
        <f t="shared" si="3"/>
        <v>10.360050456335728</v>
      </c>
      <c r="F42" s="278">
        <f t="shared" si="4"/>
        <v>188623.10764715195</v>
      </c>
      <c r="G42" s="33">
        <f>+'A) Base RI'!AN44</f>
        <v>67.5</v>
      </c>
      <c r="H42" s="279">
        <f t="shared" si="5"/>
        <v>1.0030136147402442</v>
      </c>
      <c r="I42" s="55">
        <f t="shared" si="6"/>
        <v>189191.54502470806</v>
      </c>
    </row>
    <row r="43" spans="1:9" x14ac:dyDescent="0.25">
      <c r="A43" s="49">
        <f>'A) Base RI'!A45</f>
        <v>5474</v>
      </c>
      <c r="B43" s="32" t="str">
        <f>'A) Base RI'!B45</f>
        <v>La Chaux (Cossonay)</v>
      </c>
      <c r="C43" s="95">
        <f>'A) Base RI'!AO45</f>
        <v>391</v>
      </c>
      <c r="D43" s="110">
        <f>'D) Ecrêtage'!E43</f>
        <v>33.714888951628076</v>
      </c>
      <c r="E43" s="34">
        <f t="shared" si="3"/>
        <v>14.458115050846374</v>
      </c>
      <c r="F43" s="278">
        <f t="shared" si="4"/>
        <v>117528.42685567457</v>
      </c>
      <c r="G43" s="33">
        <f>+'A) Base RI'!AN45</f>
        <v>77</v>
      </c>
      <c r="H43" s="279">
        <f t="shared" si="5"/>
        <v>1.144178493851834</v>
      </c>
      <c r="I43" s="55">
        <f t="shared" si="6"/>
        <v>134473.49842450116</v>
      </c>
    </row>
    <row r="44" spans="1:9" x14ac:dyDescent="0.25">
      <c r="A44" s="49">
        <f>'A) Base RI'!A46</f>
        <v>5475</v>
      </c>
      <c r="B44" s="32" t="str">
        <f>'A) Base RI'!B46</f>
        <v>Chavannes-le-Veyron</v>
      </c>
      <c r="C44" s="95">
        <f>'A) Base RI'!AO46</f>
        <v>152</v>
      </c>
      <c r="D44" s="110">
        <f>'D) Ecrêtage'!E44</f>
        <v>25.491214114832534</v>
      </c>
      <c r="E44" s="34">
        <f t="shared" si="3"/>
        <v>22.681789887641916</v>
      </c>
      <c r="F44" s="278">
        <f t="shared" si="4"/>
        <v>71676.270588139465</v>
      </c>
      <c r="G44" s="33">
        <f>+'A) Base RI'!AN46</f>
        <v>77</v>
      </c>
      <c r="H44" s="279">
        <f t="shared" si="5"/>
        <v>1.144178493851834</v>
      </c>
      <c r="I44" s="55">
        <f t="shared" si="6"/>
        <v>82010.447326453927</v>
      </c>
    </row>
    <row r="45" spans="1:9" x14ac:dyDescent="0.25">
      <c r="A45" s="49">
        <f>'A) Base RI'!A47</f>
        <v>5476</v>
      </c>
      <c r="B45" s="32" t="str">
        <f>'A) Base RI'!B47</f>
        <v>Chevilly</v>
      </c>
      <c r="C45" s="95">
        <f>'A) Base RI'!AO47</f>
        <v>317</v>
      </c>
      <c r="D45" s="110">
        <f>'D) Ecrêtage'!E45</f>
        <v>37.348254753175887</v>
      </c>
      <c r="E45" s="34">
        <f t="shared" si="3"/>
        <v>10.824749249298563</v>
      </c>
      <c r="F45" s="278">
        <f t="shared" si="4"/>
        <v>68560.28133031234</v>
      </c>
      <c r="G45" s="33">
        <f>+'A) Base RI'!AN47</f>
        <v>74</v>
      </c>
      <c r="H45" s="279">
        <f t="shared" si="5"/>
        <v>1.09960011097449</v>
      </c>
      <c r="I45" s="55">
        <f t="shared" si="6"/>
        <v>75388.892959253702</v>
      </c>
    </row>
    <row r="46" spans="1:9" x14ac:dyDescent="0.25">
      <c r="A46" s="49">
        <f>'A) Base RI'!A48</f>
        <v>5477</v>
      </c>
      <c r="B46" s="32" t="str">
        <f>'A) Base RI'!B48</f>
        <v>Cossonay</v>
      </c>
      <c r="C46" s="95">
        <f>'A) Base RI'!AO48</f>
        <v>4222</v>
      </c>
      <c r="D46" s="110">
        <f>'D) Ecrêtage'!E46</f>
        <v>28.22217728990659</v>
      </c>
      <c r="E46" s="34">
        <f t="shared" si="3"/>
        <v>19.95082671256786</v>
      </c>
      <c r="F46" s="278">
        <f t="shared" si="4"/>
        <v>1580620.8054893604</v>
      </c>
      <c r="G46" s="33">
        <f>+'A) Base RI'!AN48</f>
        <v>69.5</v>
      </c>
      <c r="H46" s="279">
        <f t="shared" si="5"/>
        <v>1.0327325366584736</v>
      </c>
      <c r="I46" s="55">
        <f t="shared" si="6"/>
        <v>1632358.533948187</v>
      </c>
    </row>
    <row r="47" spans="1:9" x14ac:dyDescent="0.25">
      <c r="A47" s="49">
        <f>'A) Base RI'!A49</f>
        <v>5478</v>
      </c>
      <c r="B47" s="32" t="str">
        <f>'A) Base RI'!B49</f>
        <v>Cottens</v>
      </c>
      <c r="C47" s="95">
        <f>'A) Base RI'!AO49</f>
        <v>491</v>
      </c>
      <c r="D47" s="110">
        <f>'D) Ecrêtage'!E47</f>
        <v>33.180239995596402</v>
      </c>
      <c r="E47" s="34">
        <f t="shared" si="3"/>
        <v>14.992764006878048</v>
      </c>
      <c r="F47" s="278">
        <f t="shared" si="4"/>
        <v>147081.7136049949</v>
      </c>
      <c r="G47" s="33">
        <f>+'A) Base RI'!AN49</f>
        <v>74</v>
      </c>
      <c r="H47" s="279">
        <f t="shared" si="5"/>
        <v>1.09960011097449</v>
      </c>
      <c r="I47" s="55">
        <f t="shared" si="6"/>
        <v>161731.06860237053</v>
      </c>
    </row>
    <row r="48" spans="1:9" x14ac:dyDescent="0.25">
      <c r="A48" s="49">
        <f>'A) Base RI'!A50</f>
        <v>5479</v>
      </c>
      <c r="B48" s="32" t="str">
        <f>'A) Base RI'!B50</f>
        <v>Cuarnens</v>
      </c>
      <c r="C48" s="95">
        <f>'A) Base RI'!AO50</f>
        <v>527</v>
      </c>
      <c r="D48" s="110">
        <f>'D) Ecrêtage'!E48</f>
        <v>34.286486359939865</v>
      </c>
      <c r="E48" s="34">
        <f t="shared" si="3"/>
        <v>13.886517642534585</v>
      </c>
      <c r="F48" s="278">
        <f t="shared" si="4"/>
        <v>152145.26984243095</v>
      </c>
      <c r="G48" s="33">
        <f>+'A) Base RI'!AN50</f>
        <v>77</v>
      </c>
      <c r="H48" s="279">
        <f t="shared" si="5"/>
        <v>1.144178493851834</v>
      </c>
      <c r="I48" s="55">
        <f t="shared" si="6"/>
        <v>174081.34569499351</v>
      </c>
    </row>
    <row r="49" spans="1:12" x14ac:dyDescent="0.25">
      <c r="A49" s="49">
        <f>'A) Base RI'!A51</f>
        <v>5480</v>
      </c>
      <c r="B49" s="32" t="str">
        <f>'A) Base RI'!B51</f>
        <v>Daillens</v>
      </c>
      <c r="C49" s="95">
        <f>'A) Base RI'!AO51</f>
        <v>1048</v>
      </c>
      <c r="D49" s="110">
        <f>'D) Ecrêtage'!E49</f>
        <v>39.100611699051584</v>
      </c>
      <c r="E49" s="34">
        <f t="shared" si="3"/>
        <v>9.0723923034228662</v>
      </c>
      <c r="F49" s="278">
        <f t="shared" si="4"/>
        <v>169430.19232765125</v>
      </c>
      <c r="G49" s="33">
        <f>+'A) Base RI'!AN51</f>
        <v>66</v>
      </c>
      <c r="H49" s="279">
        <f t="shared" si="5"/>
        <v>0.98072442330157206</v>
      </c>
      <c r="I49" s="55">
        <f t="shared" si="6"/>
        <v>166164.32766041023</v>
      </c>
    </row>
    <row r="50" spans="1:12" x14ac:dyDescent="0.25">
      <c r="A50" s="49">
        <f>'A) Base RI'!A52</f>
        <v>5481</v>
      </c>
      <c r="B50" s="32" t="str">
        <f>'A) Base RI'!B52</f>
        <v>Dizy</v>
      </c>
      <c r="C50" s="95">
        <f>'A) Base RI'!AO52</f>
        <v>224</v>
      </c>
      <c r="D50" s="110">
        <f>'D) Ecrêtage'!E50</f>
        <v>36.268603571428578</v>
      </c>
      <c r="E50" s="34">
        <f t="shared" si="3"/>
        <v>11.904400431045872</v>
      </c>
      <c r="F50" s="278">
        <f t="shared" si="4"/>
        <v>53998.360355224075</v>
      </c>
      <c r="G50" s="33">
        <f>+'A) Base RI'!AN52</f>
        <v>75</v>
      </c>
      <c r="H50" s="279">
        <f t="shared" si="5"/>
        <v>1.1144595719336046</v>
      </c>
      <c r="I50" s="55">
        <f t="shared" si="6"/>
        <v>60178.989566599543</v>
      </c>
    </row>
    <row r="51" spans="1:12" x14ac:dyDescent="0.25">
      <c r="A51" s="49">
        <f>'A) Base RI'!A53</f>
        <v>5482</v>
      </c>
      <c r="B51" s="32" t="str">
        <f>'A) Base RI'!B53</f>
        <v>Eclépens</v>
      </c>
      <c r="C51" s="95">
        <f>'A) Base RI'!AO53</f>
        <v>1220</v>
      </c>
      <c r="D51" s="110">
        <f>'D) Ecrêtage'!E51</f>
        <v>58.124532965074835</v>
      </c>
      <c r="E51" s="34">
        <f t="shared" si="3"/>
        <v>0</v>
      </c>
      <c r="F51" s="278">
        <f t="shared" si="4"/>
        <v>0</v>
      </c>
      <c r="G51" s="33">
        <f>+'A) Base RI'!AN53</f>
        <v>46</v>
      </c>
      <c r="H51" s="279">
        <f t="shared" si="5"/>
        <v>0.68353520411927748</v>
      </c>
      <c r="I51" s="55">
        <f t="shared" si="6"/>
        <v>0</v>
      </c>
    </row>
    <row r="52" spans="1:12" x14ac:dyDescent="0.25">
      <c r="A52" s="49">
        <f>'A) Base RI'!A54</f>
        <v>5483</v>
      </c>
      <c r="B52" s="32" t="str">
        <f>'A) Base RI'!B54</f>
        <v>Ferreyres</v>
      </c>
      <c r="C52" s="95">
        <f>'A) Base RI'!AO54</f>
        <v>319</v>
      </c>
      <c r="D52" s="110">
        <f>'D) Ecrêtage'!E52</f>
        <v>33.919482758620688</v>
      </c>
      <c r="E52" s="34">
        <f t="shared" si="3"/>
        <v>14.253521243853761</v>
      </c>
      <c r="F52" s="278">
        <f t="shared" si="4"/>
        <v>93301.839639717451</v>
      </c>
      <c r="G52" s="33">
        <f>+'A) Base RI'!AN54</f>
        <v>76</v>
      </c>
      <c r="H52" s="279">
        <f t="shared" si="5"/>
        <v>1.1293190328927194</v>
      </c>
      <c r="I52" s="55">
        <f t="shared" si="6"/>
        <v>105367.5433090373</v>
      </c>
    </row>
    <row r="53" spans="1:12" x14ac:dyDescent="0.25">
      <c r="A53" s="49">
        <f>'A) Base RI'!A55</f>
        <v>5484</v>
      </c>
      <c r="B53" s="32" t="str">
        <f>'A) Base RI'!B55</f>
        <v>Gollion</v>
      </c>
      <c r="C53" s="95">
        <f>'A) Base RI'!AO55</f>
        <v>996</v>
      </c>
      <c r="D53" s="110">
        <f>'D) Ecrêtage'!E53</f>
        <v>35.137535683273633</v>
      </c>
      <c r="E53" s="34">
        <f t="shared" si="3"/>
        <v>13.035468319200817</v>
      </c>
      <c r="F53" s="278">
        <f t="shared" si="4"/>
        <v>259406.86238956178</v>
      </c>
      <c r="G53" s="33">
        <f>+'A) Base RI'!AN55</f>
        <v>74</v>
      </c>
      <c r="H53" s="279">
        <f t="shared" si="5"/>
        <v>1.09960011097449</v>
      </c>
      <c r="I53" s="55">
        <f t="shared" si="6"/>
        <v>285243.8146711064</v>
      </c>
    </row>
    <row r="54" spans="1:12" x14ac:dyDescent="0.25">
      <c r="A54" s="49">
        <f>'A) Base RI'!A56</f>
        <v>5485</v>
      </c>
      <c r="B54" s="32" t="str">
        <f>'A) Base RI'!B56</f>
        <v>Grancy</v>
      </c>
      <c r="C54" s="95">
        <f>'A) Base RI'!AO56</f>
        <v>406</v>
      </c>
      <c r="D54" s="110">
        <f>'D) Ecrêtage'!E54</f>
        <v>35.818602744546098</v>
      </c>
      <c r="E54" s="34">
        <f t="shared" si="3"/>
        <v>12.354401257928352</v>
      </c>
      <c r="F54" s="278">
        <f t="shared" si="4"/>
        <v>94800.262612587438</v>
      </c>
      <c r="G54" s="33">
        <f>+'A) Base RI'!AN56</f>
        <v>70</v>
      </c>
      <c r="H54" s="279">
        <f t="shared" si="5"/>
        <v>1.0401622671380311</v>
      </c>
      <c r="I54" s="55">
        <f t="shared" si="6"/>
        <v>98607.656084389673</v>
      </c>
    </row>
    <row r="55" spans="1:12" x14ac:dyDescent="0.25">
      <c r="A55" s="49">
        <f>'A) Base RI'!A57</f>
        <v>5486</v>
      </c>
      <c r="B55" s="32" t="str">
        <f>'A) Base RI'!B57</f>
        <v>L'Isle</v>
      </c>
      <c r="C55" s="95">
        <f>'A) Base RI'!AO57</f>
        <v>1065</v>
      </c>
      <c r="D55" s="110">
        <f>'D) Ecrêtage'!E55</f>
        <v>35.173296150234734</v>
      </c>
      <c r="E55" s="34">
        <f t="shared" si="3"/>
        <v>12.999707852239716</v>
      </c>
      <c r="F55" s="278">
        <f t="shared" si="4"/>
        <v>280354.94946836482</v>
      </c>
      <c r="G55" s="33">
        <f>+'A) Base RI'!AN57</f>
        <v>75</v>
      </c>
      <c r="H55" s="279">
        <f t="shared" si="5"/>
        <v>1.1144595719336046</v>
      </c>
      <c r="I55" s="55">
        <f t="shared" si="6"/>
        <v>312444.25697398122</v>
      </c>
    </row>
    <row r="56" spans="1:12" x14ac:dyDescent="0.25">
      <c r="A56" s="49">
        <f>'A) Base RI'!A58</f>
        <v>5487</v>
      </c>
      <c r="B56" s="32" t="str">
        <f>'A) Base RI'!B58</f>
        <v>Lussery-Villars</v>
      </c>
      <c r="C56" s="95">
        <f>'A) Base RI'!AO58</f>
        <v>459</v>
      </c>
      <c r="D56" s="110">
        <f>'D) Ecrêtage'!E56</f>
        <v>28.082495570079885</v>
      </c>
      <c r="E56" s="34">
        <f t="shared" si="3"/>
        <v>20.090508432394564</v>
      </c>
      <c r="F56" s="278">
        <f t="shared" si="4"/>
        <v>186736.25325199938</v>
      </c>
      <c r="G56" s="33">
        <f>+'A) Base RI'!AN58</f>
        <v>75</v>
      </c>
      <c r="H56" s="279">
        <f t="shared" si="5"/>
        <v>1.1144595719336046</v>
      </c>
      <c r="I56" s="55">
        <f t="shared" si="6"/>
        <v>208110.0048637084</v>
      </c>
    </row>
    <row r="57" spans="1:12" x14ac:dyDescent="0.25">
      <c r="A57" s="49">
        <f>'A) Base RI'!A59</f>
        <v>5488</v>
      </c>
      <c r="B57" s="32" t="str">
        <f>'A) Base RI'!B59</f>
        <v>Mauraz</v>
      </c>
      <c r="C57" s="95">
        <f>'A) Base RI'!AO59</f>
        <v>58</v>
      </c>
      <c r="D57" s="110">
        <f>'D) Ecrêtage'!E57</f>
        <v>28.140743394536504</v>
      </c>
      <c r="E57" s="34">
        <f t="shared" si="3"/>
        <v>20.032260607937946</v>
      </c>
      <c r="F57" s="278">
        <f t="shared" si="4"/>
        <v>24155.300486263739</v>
      </c>
      <c r="G57" s="33">
        <f>+'A) Base RI'!AN59</f>
        <v>77</v>
      </c>
      <c r="H57" s="279">
        <f t="shared" si="5"/>
        <v>1.144178493851834</v>
      </c>
      <c r="I57" s="55">
        <f t="shared" si="6"/>
        <v>27637.975328911718</v>
      </c>
    </row>
    <row r="58" spans="1:12" x14ac:dyDescent="0.25">
      <c r="A58" s="49">
        <f>'A) Base RI'!A60</f>
        <v>5489</v>
      </c>
      <c r="B58" s="32" t="str">
        <f>'A) Base RI'!B60</f>
        <v>Mex</v>
      </c>
      <c r="C58" s="95">
        <f>'A) Base RI'!AO60</f>
        <v>791</v>
      </c>
      <c r="D58" s="110">
        <f>'D) Ecrêtage'!E58</f>
        <v>72.687944629179086</v>
      </c>
      <c r="E58" s="34">
        <f t="shared" si="3"/>
        <v>0</v>
      </c>
      <c r="F58" s="278">
        <f t="shared" si="4"/>
        <v>0</v>
      </c>
      <c r="G58" s="33">
        <f>+'A) Base RI'!AN60</f>
        <v>59.5</v>
      </c>
      <c r="H58" s="279">
        <f t="shared" si="5"/>
        <v>0.8841379270673263</v>
      </c>
      <c r="I58" s="55">
        <f t="shared" si="6"/>
        <v>0</v>
      </c>
    </row>
    <row r="59" spans="1:12" x14ac:dyDescent="0.25">
      <c r="A59" s="49">
        <f>'A) Base RI'!A61</f>
        <v>5490</v>
      </c>
      <c r="B59" s="32" t="str">
        <f>'A) Base RI'!B61</f>
        <v>Moiry</v>
      </c>
      <c r="C59" s="95">
        <f>'A) Base RI'!AO61</f>
        <v>311</v>
      </c>
      <c r="D59" s="110">
        <f>'D) Ecrêtage'!E59</f>
        <v>27.832505756664247</v>
      </c>
      <c r="E59" s="34">
        <f t="shared" si="3"/>
        <v>20.340498245810203</v>
      </c>
      <c r="F59" s="278">
        <f t="shared" si="4"/>
        <v>132369.35192180294</v>
      </c>
      <c r="G59" s="33">
        <f>+'A) Base RI'!AN61</f>
        <v>77.5</v>
      </c>
      <c r="H59" s="279">
        <f t="shared" si="5"/>
        <v>1.1516082243313914</v>
      </c>
      <c r="I59" s="55">
        <f t="shared" si="6"/>
        <v>152437.63432256453</v>
      </c>
    </row>
    <row r="60" spans="1:12" x14ac:dyDescent="0.25">
      <c r="A60" s="49">
        <f>'A) Base RI'!A62</f>
        <v>5491</v>
      </c>
      <c r="B60" s="32" t="str">
        <f>'A) Base RI'!B62</f>
        <v>Mont-la-Ville</v>
      </c>
      <c r="C60" s="95">
        <f>'A) Base RI'!AO62</f>
        <v>490</v>
      </c>
      <c r="D60" s="110">
        <f>'D) Ecrêtage'!E60</f>
        <v>29.231193340494091</v>
      </c>
      <c r="E60" s="34">
        <f t="shared" si="3"/>
        <v>18.941810661980359</v>
      </c>
      <c r="F60" s="278">
        <f t="shared" si="4"/>
        <v>190456.11784408012</v>
      </c>
      <c r="G60" s="33">
        <f>+'A) Base RI'!AN62</f>
        <v>76</v>
      </c>
      <c r="H60" s="279">
        <f t="shared" si="5"/>
        <v>1.1293190328927194</v>
      </c>
      <c r="I60" s="55">
        <f t="shared" si="6"/>
        <v>215085.71881217835</v>
      </c>
    </row>
    <row r="61" spans="1:12" x14ac:dyDescent="0.25">
      <c r="A61" s="49">
        <f>'A) Base RI'!A63</f>
        <v>5492</v>
      </c>
      <c r="B61" s="32" t="str">
        <f>'A) Base RI'!B63</f>
        <v>Montricher</v>
      </c>
      <c r="C61" s="95">
        <f>'A) Base RI'!AO63</f>
        <v>964</v>
      </c>
      <c r="D61" s="110">
        <f>'D) Ecrêtage'!E61</f>
        <v>163.02382461315702</v>
      </c>
      <c r="E61" s="34">
        <f t="shared" si="3"/>
        <v>0</v>
      </c>
      <c r="F61" s="278">
        <f t="shared" si="4"/>
        <v>0</v>
      </c>
      <c r="G61" s="33">
        <f>+'A) Base RI'!AN63</f>
        <v>64</v>
      </c>
      <c r="H61" s="279">
        <f t="shared" si="5"/>
        <v>0.95100550138334261</v>
      </c>
      <c r="I61" s="55">
        <f t="shared" si="6"/>
        <v>0</v>
      </c>
    </row>
    <row r="62" spans="1:12" x14ac:dyDescent="0.25">
      <c r="A62" s="49">
        <f>'A) Base RI'!A64</f>
        <v>5493</v>
      </c>
      <c r="B62" s="32" t="str">
        <f>'A) Base RI'!B64</f>
        <v>Orny</v>
      </c>
      <c r="C62" s="95">
        <f>'A) Base RI'!AO64</f>
        <v>462</v>
      </c>
      <c r="D62" s="110">
        <f>'D) Ecrêtage'!E62</f>
        <v>27.889648753073406</v>
      </c>
      <c r="E62" s="34">
        <f t="shared" si="3"/>
        <v>20.283355249401044</v>
      </c>
      <c r="F62" s="278">
        <f t="shared" si="4"/>
        <v>184700.63856815093</v>
      </c>
      <c r="G62" s="33">
        <f>+'A) Base RI'!AN64</f>
        <v>73</v>
      </c>
      <c r="H62" s="279">
        <f t="shared" si="5"/>
        <v>1.0847406500153751</v>
      </c>
      <c r="I62" s="55">
        <f t="shared" si="6"/>
        <v>200352.29073867091</v>
      </c>
    </row>
    <row r="63" spans="1:12" x14ac:dyDescent="0.25">
      <c r="A63" s="49">
        <f>'A) Base RI'!A65</f>
        <v>5494</v>
      </c>
      <c r="B63" s="32" t="str">
        <f>'A) Base RI'!B65</f>
        <v>Pampigny</v>
      </c>
      <c r="C63" s="95">
        <f>'A) Base RI'!AO65</f>
        <v>1128</v>
      </c>
      <c r="D63" s="110">
        <f>'D) Ecrêtage'!E63</f>
        <v>32.453788497036825</v>
      </c>
      <c r="E63" s="34">
        <f t="shared" si="3"/>
        <v>15.719215505437624</v>
      </c>
      <c r="F63" s="278">
        <f t="shared" si="4"/>
        <v>349483.43202653405</v>
      </c>
      <c r="G63" s="33">
        <f>+'A) Base RI'!AN65</f>
        <v>73</v>
      </c>
      <c r="H63" s="279">
        <f t="shared" si="5"/>
        <v>1.0847406500153751</v>
      </c>
      <c r="I63" s="55">
        <f t="shared" si="6"/>
        <v>379098.88522606669</v>
      </c>
    </row>
    <row r="64" spans="1:12" x14ac:dyDescent="0.25">
      <c r="A64" s="49">
        <f>'A) Base RI'!A66</f>
        <v>5495</v>
      </c>
      <c r="B64" s="32" t="str">
        <f>'A) Base RI'!B66</f>
        <v>Penthalaz</v>
      </c>
      <c r="C64" s="95">
        <f>'A) Base RI'!AO66</f>
        <v>3207</v>
      </c>
      <c r="D64" s="110">
        <f>'D) Ecrêtage'!E64</f>
        <v>29.111778204771653</v>
      </c>
      <c r="E64" s="34">
        <f t="shared" si="3"/>
        <v>19.061225797702797</v>
      </c>
      <c r="F64" s="278">
        <f t="shared" si="4"/>
        <v>1221364.4356419928</v>
      </c>
      <c r="G64" s="33">
        <f>+'A) Base RI'!AN66</f>
        <v>74</v>
      </c>
      <c r="H64" s="279">
        <f t="shared" si="5"/>
        <v>1.09960011097449</v>
      </c>
      <c r="I64" s="55">
        <f t="shared" si="6"/>
        <v>1343012.4689722306</v>
      </c>
      <c r="L64" s="28"/>
    </row>
    <row r="65" spans="1:9" x14ac:dyDescent="0.25">
      <c r="A65" s="49">
        <f>'A) Base RI'!A67</f>
        <v>5496</v>
      </c>
      <c r="B65" s="32" t="str">
        <f>'A) Base RI'!B67</f>
        <v>Penthaz</v>
      </c>
      <c r="C65" s="95">
        <f>'A) Base RI'!AO67</f>
        <v>1855</v>
      </c>
      <c r="D65" s="110">
        <f>'D) Ecrêtage'!E65</f>
        <v>32.415697647811669</v>
      </c>
      <c r="E65" s="34">
        <f t="shared" si="3"/>
        <v>15.757306354662781</v>
      </c>
      <c r="F65" s="278">
        <f t="shared" si="4"/>
        <v>548497.2586974334</v>
      </c>
      <c r="G65" s="33">
        <f>+'A) Base RI'!AN67</f>
        <v>69.5</v>
      </c>
      <c r="H65" s="279">
        <f t="shared" si="5"/>
        <v>1.0327325366584736</v>
      </c>
      <c r="I65" s="55">
        <f t="shared" si="6"/>
        <v>566450.96532481944</v>
      </c>
    </row>
    <row r="66" spans="1:9" x14ac:dyDescent="0.25">
      <c r="A66" s="49">
        <f>'A) Base RI'!A68</f>
        <v>5497</v>
      </c>
      <c r="B66" s="32" t="str">
        <f>'A) Base RI'!B68</f>
        <v>Pompaples</v>
      </c>
      <c r="C66" s="95">
        <f>'A) Base RI'!AO68</f>
        <v>847</v>
      </c>
      <c r="D66" s="110">
        <f>'D) Ecrêtage'!E66</f>
        <v>24.08144753318307</v>
      </c>
      <c r="E66" s="34">
        <f t="shared" si="3"/>
        <v>24.09155646929138</v>
      </c>
      <c r="F66" s="278">
        <f t="shared" si="4"/>
        <v>363626.87123150827</v>
      </c>
      <c r="G66" s="33">
        <f>+'A) Base RI'!AN68</f>
        <v>66</v>
      </c>
      <c r="H66" s="279">
        <f t="shared" si="5"/>
        <v>0.98072442330157206</v>
      </c>
      <c r="I66" s="55">
        <f t="shared" si="6"/>
        <v>356617.75358547596</v>
      </c>
    </row>
    <row r="67" spans="1:9" x14ac:dyDescent="0.25">
      <c r="A67" s="49">
        <f>'A) Base RI'!A69</f>
        <v>5498</v>
      </c>
      <c r="B67" s="32" t="str">
        <f>'A) Base RI'!B69</f>
        <v>La Sarraz</v>
      </c>
      <c r="C67" s="95">
        <f>'A) Base RI'!AO69</f>
        <v>2598</v>
      </c>
      <c r="D67" s="110">
        <f>'D) Ecrêtage'!E67</f>
        <v>29.833811381715542</v>
      </c>
      <c r="E67" s="34">
        <f t="shared" si="3"/>
        <v>18.339192620758908</v>
      </c>
      <c r="F67" s="278">
        <f t="shared" si="4"/>
        <v>849037.86367999786</v>
      </c>
      <c r="G67" s="33">
        <f>+'A) Base RI'!AN69</f>
        <v>66</v>
      </c>
      <c r="H67" s="279">
        <f t="shared" si="5"/>
        <v>0.98072442330157206</v>
      </c>
      <c r="I67" s="55">
        <f t="shared" si="6"/>
        <v>832672.16921876464</v>
      </c>
    </row>
    <row r="68" spans="1:9" x14ac:dyDescent="0.25">
      <c r="A68" s="49">
        <f>'A) Base RI'!A70</f>
        <v>5499</v>
      </c>
      <c r="B68" s="32" t="str">
        <f>'A) Base RI'!B70</f>
        <v>Senarclens</v>
      </c>
      <c r="C68" s="95">
        <f>'A) Base RI'!AO70</f>
        <v>496</v>
      </c>
      <c r="D68" s="110">
        <f>'D) Ecrêtage'!E68</f>
        <v>39.62590210736991</v>
      </c>
      <c r="E68" s="34">
        <f t="shared" si="3"/>
        <v>8.5471018951045394</v>
      </c>
      <c r="F68" s="278">
        <f t="shared" si="4"/>
        <v>78407.010176779397</v>
      </c>
      <c r="G68" s="33">
        <f>+'A) Base RI'!AN70</f>
        <v>68.5</v>
      </c>
      <c r="H68" s="279">
        <f t="shared" si="5"/>
        <v>1.0178730756993588</v>
      </c>
      <c r="I68" s="55">
        <f t="shared" si="6"/>
        <v>79808.384605029365</v>
      </c>
    </row>
    <row r="69" spans="1:9" x14ac:dyDescent="0.25">
      <c r="A69" s="49">
        <f>'A) Base RI'!A71</f>
        <v>5500</v>
      </c>
      <c r="B69" s="32" t="str">
        <f>'A) Base RI'!B71</f>
        <v>Sévery</v>
      </c>
      <c r="C69" s="95">
        <f>'A) Base RI'!AO71</f>
        <v>214</v>
      </c>
      <c r="D69" s="110">
        <f>'D) Ecrêtage'!E69</f>
        <v>35.122150172833187</v>
      </c>
      <c r="E69" s="34">
        <f t="shared" si="3"/>
        <v>13.050853829641262</v>
      </c>
      <c r="F69" s="278">
        <f t="shared" si="4"/>
        <v>55047.718402197061</v>
      </c>
      <c r="G69" s="33">
        <f>+'A) Base RI'!AN71</f>
        <v>73</v>
      </c>
      <c r="H69" s="279">
        <f t="shared" si="5"/>
        <v>1.0847406500153751</v>
      </c>
      <c r="I69" s="55">
        <f t="shared" si="6"/>
        <v>59712.497841462566</v>
      </c>
    </row>
    <row r="70" spans="1:9" x14ac:dyDescent="0.25">
      <c r="A70" s="49">
        <f>'A) Base RI'!A72</f>
        <v>5501</v>
      </c>
      <c r="B70" s="32" t="str">
        <f>'A) Base RI'!B72</f>
        <v>Sullens</v>
      </c>
      <c r="C70" s="95">
        <f>'A) Base RI'!AO72</f>
        <v>1041</v>
      </c>
      <c r="D70" s="110">
        <f>'D) Ecrêtage'!E70</f>
        <v>40.270068645392911</v>
      </c>
      <c r="E70" s="34">
        <f t="shared" ref="E70:E133" si="7">IF($D$314-D70&lt;0,0,$D$314-D70)</f>
        <v>7.9029353570815388</v>
      </c>
      <c r="F70" s="278">
        <f t="shared" ref="F70:F133" si="8">(C70*E70*G70)*$E$4</f>
        <v>152157.54579582118</v>
      </c>
      <c r="G70" s="33">
        <f>+'A) Base RI'!AN72</f>
        <v>68.5</v>
      </c>
      <c r="H70" s="279">
        <f t="shared" ref="H70:H133" si="9">G70/$G$314</f>
        <v>1.0178730756993588</v>
      </c>
      <c r="I70" s="55">
        <f t="shared" ref="I70:I133" si="10">F70*H70</f>
        <v>154877.06913005855</v>
      </c>
    </row>
    <row r="71" spans="1:9" x14ac:dyDescent="0.25">
      <c r="A71" s="49">
        <f>'A) Base RI'!A73</f>
        <v>5503</v>
      </c>
      <c r="B71" s="32" t="str">
        <f>'A) Base RI'!B73</f>
        <v>Vufflens-la-Ville</v>
      </c>
      <c r="C71" s="95">
        <f>'A) Base RI'!AO73</f>
        <v>1349</v>
      </c>
      <c r="D71" s="110">
        <f>'D) Ecrêtage'!E71</f>
        <v>50.341738896326376</v>
      </c>
      <c r="E71" s="34">
        <f t="shared" si="7"/>
        <v>0</v>
      </c>
      <c r="F71" s="278">
        <f t="shared" si="8"/>
        <v>0</v>
      </c>
      <c r="G71" s="33">
        <f>+'A) Base RI'!AN73</f>
        <v>67</v>
      </c>
      <c r="H71" s="279">
        <f t="shared" si="9"/>
        <v>0.99558388426068678</v>
      </c>
      <c r="I71" s="55">
        <f t="shared" si="10"/>
        <v>0</v>
      </c>
    </row>
    <row r="72" spans="1:9" x14ac:dyDescent="0.25">
      <c r="A72" s="49">
        <f>'A) Base RI'!A74</f>
        <v>5511</v>
      </c>
      <c r="B72" s="32" t="str">
        <f>'A) Base RI'!B74</f>
        <v>Assens</v>
      </c>
      <c r="C72" s="95">
        <f>'A) Base RI'!AO74</f>
        <v>1141</v>
      </c>
      <c r="D72" s="110">
        <f>'D) Ecrêtage'!E72</f>
        <v>38.978740202829592</v>
      </c>
      <c r="E72" s="34">
        <f t="shared" si="7"/>
        <v>9.1942637996448582</v>
      </c>
      <c r="F72" s="278">
        <f t="shared" si="8"/>
        <v>198273.37941296143</v>
      </c>
      <c r="G72" s="33">
        <f>+'A) Base RI'!AN74</f>
        <v>70</v>
      </c>
      <c r="H72" s="279">
        <f t="shared" si="9"/>
        <v>1.0401622671380311</v>
      </c>
      <c r="I72" s="55">
        <f t="shared" si="10"/>
        <v>206236.48784330496</v>
      </c>
    </row>
    <row r="73" spans="1:9" x14ac:dyDescent="0.25">
      <c r="A73" s="49">
        <f>'A) Base RI'!A75</f>
        <v>5512</v>
      </c>
      <c r="B73" s="32" t="str">
        <f>'A) Base RI'!B75</f>
        <v>Bercher</v>
      </c>
      <c r="C73" s="95">
        <f>'A) Base RI'!AO75</f>
        <v>1323</v>
      </c>
      <c r="D73" s="110">
        <f>'D) Ecrêtage'!E73</f>
        <v>30.471264387611583</v>
      </c>
      <c r="E73" s="34">
        <f t="shared" si="7"/>
        <v>17.701739614862866</v>
      </c>
      <c r="F73" s="278">
        <f t="shared" si="8"/>
        <v>499535.83421818807</v>
      </c>
      <c r="G73" s="33">
        <f>+'A) Base RI'!AN75</f>
        <v>79</v>
      </c>
      <c r="H73" s="279">
        <f t="shared" si="9"/>
        <v>1.1738974157700635</v>
      </c>
      <c r="I73" s="55">
        <f t="shared" si="10"/>
        <v>586403.82487327384</v>
      </c>
    </row>
    <row r="74" spans="1:9" x14ac:dyDescent="0.25">
      <c r="A74" s="49">
        <f>'A) Base RI'!A76</f>
        <v>5513</v>
      </c>
      <c r="B74" s="32" t="str">
        <f>'A) Base RI'!B76</f>
        <v>Bioley-Orjulaz</v>
      </c>
      <c r="C74" s="95">
        <f>'A) Base RI'!AO76</f>
        <v>525</v>
      </c>
      <c r="D74" s="110">
        <f>'D) Ecrêtage'!E74</f>
        <v>43.133261624649862</v>
      </c>
      <c r="E74" s="34">
        <f t="shared" si="7"/>
        <v>5.039742377824588</v>
      </c>
      <c r="F74" s="278">
        <f t="shared" si="8"/>
        <v>48578.07677985121</v>
      </c>
      <c r="G74" s="33">
        <f>+'A) Base RI'!AN76</f>
        <v>68</v>
      </c>
      <c r="H74" s="279">
        <f t="shared" si="9"/>
        <v>1.0104433452198016</v>
      </c>
      <c r="I74" s="55">
        <f t="shared" si="10"/>
        <v>49085.394405777224</v>
      </c>
    </row>
    <row r="75" spans="1:9" x14ac:dyDescent="0.25">
      <c r="A75" s="49">
        <f>'A) Base RI'!A77</f>
        <v>5514</v>
      </c>
      <c r="B75" s="32" t="str">
        <f>'A) Base RI'!B77</f>
        <v>Bottens</v>
      </c>
      <c r="C75" s="95">
        <f>'A) Base RI'!AO77</f>
        <v>1330</v>
      </c>
      <c r="D75" s="110">
        <f>'D) Ecrêtage'!E75</f>
        <v>33.225841223749029</v>
      </c>
      <c r="E75" s="34">
        <f t="shared" si="7"/>
        <v>14.947162778725421</v>
      </c>
      <c r="F75" s="278">
        <f t="shared" si="8"/>
        <v>389145.64615342167</v>
      </c>
      <c r="G75" s="33">
        <f>+'A) Base RI'!AN77</f>
        <v>72.5</v>
      </c>
      <c r="H75" s="279">
        <f t="shared" si="9"/>
        <v>1.0773109195358177</v>
      </c>
      <c r="I75" s="55">
        <f t="shared" si="10"/>
        <v>419230.85389090265</v>
      </c>
    </row>
    <row r="76" spans="1:9" x14ac:dyDescent="0.25">
      <c r="A76" s="49">
        <f>'A) Base RI'!A78</f>
        <v>5515</v>
      </c>
      <c r="B76" s="32" t="str">
        <f>'A) Base RI'!B78</f>
        <v>Bretigny-sur-Morrens</v>
      </c>
      <c r="C76" s="95">
        <f>'A) Base RI'!AO78</f>
        <v>859</v>
      </c>
      <c r="D76" s="110">
        <f>'D) Ecrêtage'!E76</f>
        <v>34.442937236809968</v>
      </c>
      <c r="E76" s="34">
        <f t="shared" si="7"/>
        <v>13.730066765664482</v>
      </c>
      <c r="F76" s="278">
        <f t="shared" si="8"/>
        <v>257937.56518180566</v>
      </c>
      <c r="G76" s="33">
        <f>+'A) Base RI'!AN78</f>
        <v>81</v>
      </c>
      <c r="H76" s="279">
        <f t="shared" si="9"/>
        <v>1.2036163376882929</v>
      </c>
      <c r="I76" s="55">
        <f t="shared" si="10"/>
        <v>310457.86755636026</v>
      </c>
    </row>
    <row r="77" spans="1:9" x14ac:dyDescent="0.25">
      <c r="A77" s="49">
        <f>'A) Base RI'!A79</f>
        <v>5516</v>
      </c>
      <c r="B77" s="32" t="str">
        <f>'A) Base RI'!B79</f>
        <v>Cugy</v>
      </c>
      <c r="C77" s="95">
        <f>'A) Base RI'!AO79</f>
        <v>2760</v>
      </c>
      <c r="D77" s="110">
        <f>'D) Ecrêtage'!E77</f>
        <v>38.790675066579958</v>
      </c>
      <c r="E77" s="34">
        <f t="shared" si="7"/>
        <v>9.3823289358944919</v>
      </c>
      <c r="F77" s="278">
        <f t="shared" si="8"/>
        <v>545353.4987962289</v>
      </c>
      <c r="G77" s="33">
        <f>+'A) Base RI'!AN79</f>
        <v>78</v>
      </c>
      <c r="H77" s="279">
        <f t="shared" si="9"/>
        <v>1.1590379548109488</v>
      </c>
      <c r="I77" s="55">
        <f t="shared" si="10"/>
        <v>632085.40389377635</v>
      </c>
    </row>
    <row r="78" spans="1:9" x14ac:dyDescent="0.25">
      <c r="A78" s="49">
        <f>'A) Base RI'!A80</f>
        <v>5518</v>
      </c>
      <c r="B78" s="32" t="str">
        <f>'A) Base RI'!B80</f>
        <v>Echallens</v>
      </c>
      <c r="C78" s="95">
        <f>'A) Base RI'!AO80</f>
        <v>5731</v>
      </c>
      <c r="D78" s="110">
        <f>'D) Ecrêtage'!E78</f>
        <v>31.191078887357929</v>
      </c>
      <c r="E78" s="34">
        <f t="shared" si="7"/>
        <v>16.981925115116521</v>
      </c>
      <c r="F78" s="278">
        <f t="shared" si="8"/>
        <v>1905105.8062398941</v>
      </c>
      <c r="G78" s="33">
        <f>+'A) Base RI'!AN80</f>
        <v>72.5</v>
      </c>
      <c r="H78" s="279">
        <f t="shared" si="9"/>
        <v>1.0773109195358177</v>
      </c>
      <c r="I78" s="55">
        <f t="shared" si="10"/>
        <v>2052391.2879333256</v>
      </c>
    </row>
    <row r="79" spans="1:9" x14ac:dyDescent="0.25">
      <c r="A79" s="49">
        <f>'A) Base RI'!A81</f>
        <v>5520</v>
      </c>
      <c r="B79" s="32" t="str">
        <f>'A) Base RI'!B81</f>
        <v>Essertines-sur-Yverdon</v>
      </c>
      <c r="C79" s="95">
        <f>'A) Base RI'!AO81</f>
        <v>1036</v>
      </c>
      <c r="D79" s="110">
        <f>'D) Ecrêtage'!E79</f>
        <v>28.700585629660974</v>
      </c>
      <c r="E79" s="34">
        <f t="shared" si="7"/>
        <v>19.472418372813475</v>
      </c>
      <c r="F79" s="278">
        <f t="shared" si="8"/>
        <v>397618.21530876716</v>
      </c>
      <c r="G79" s="33">
        <f>+'A) Base RI'!AN81</f>
        <v>73</v>
      </c>
      <c r="H79" s="279">
        <f t="shared" si="9"/>
        <v>1.0847406500153751</v>
      </c>
      <c r="I79" s="55">
        <f t="shared" si="10"/>
        <v>431312.64133198548</v>
      </c>
    </row>
    <row r="80" spans="1:9" x14ac:dyDescent="0.25">
      <c r="A80" s="49">
        <f>'A) Base RI'!A82</f>
        <v>5521</v>
      </c>
      <c r="B80" s="32" t="str">
        <f>'A) Base RI'!B82</f>
        <v>Etagnières</v>
      </c>
      <c r="C80" s="95">
        <f>'A) Base RI'!AO82</f>
        <v>1148</v>
      </c>
      <c r="D80" s="110">
        <f>'D) Ecrêtage'!E80</f>
        <v>40.764211374158755</v>
      </c>
      <c r="E80" s="34">
        <f t="shared" si="7"/>
        <v>7.4087926283156946</v>
      </c>
      <c r="F80" s="278">
        <f t="shared" si="8"/>
        <v>167639.34350430954</v>
      </c>
      <c r="G80" s="33">
        <f>+'A) Base RI'!AN82</f>
        <v>73</v>
      </c>
      <c r="H80" s="279">
        <f t="shared" si="9"/>
        <v>1.0847406500153751</v>
      </c>
      <c r="I80" s="55">
        <f t="shared" si="10"/>
        <v>181845.21044101549</v>
      </c>
    </row>
    <row r="81" spans="1:9" x14ac:dyDescent="0.25">
      <c r="A81" s="49">
        <f>'A) Base RI'!A83</f>
        <v>5522</v>
      </c>
      <c r="B81" s="32" t="str">
        <f>'A) Base RI'!B83</f>
        <v>Fey</v>
      </c>
      <c r="C81" s="95">
        <f>'A) Base RI'!AO83</f>
        <v>749</v>
      </c>
      <c r="D81" s="110">
        <f>'D) Ecrêtage'!E81</f>
        <v>31.678158789497104</v>
      </c>
      <c r="E81" s="34">
        <f t="shared" si="7"/>
        <v>16.494845212977346</v>
      </c>
      <c r="F81" s="278">
        <f t="shared" si="8"/>
        <v>250181.44105653066</v>
      </c>
      <c r="G81" s="33">
        <f>+'A) Base RI'!AN83</f>
        <v>75</v>
      </c>
      <c r="H81" s="279">
        <f t="shared" si="9"/>
        <v>1.1144595719336046</v>
      </c>
      <c r="I81" s="55">
        <f t="shared" si="10"/>
        <v>278817.10170559346</v>
      </c>
    </row>
    <row r="82" spans="1:9" x14ac:dyDescent="0.25">
      <c r="A82" s="49">
        <f>'A) Base RI'!A84</f>
        <v>5523</v>
      </c>
      <c r="B82" s="32" t="str">
        <f>'A) Base RI'!B84</f>
        <v>Froideville</v>
      </c>
      <c r="C82" s="95">
        <f>'A) Base RI'!AO84</f>
        <v>2694</v>
      </c>
      <c r="D82" s="110">
        <f>'D) Ecrêtage'!E82</f>
        <v>31.874107945640517</v>
      </c>
      <c r="E82" s="34">
        <f t="shared" si="7"/>
        <v>16.298896056833932</v>
      </c>
      <c r="F82" s="278">
        <f t="shared" si="8"/>
        <v>853595.35299503035</v>
      </c>
      <c r="G82" s="33">
        <f>+'A) Base RI'!AN84</f>
        <v>72</v>
      </c>
      <c r="H82" s="279">
        <f t="shared" si="9"/>
        <v>1.0698811890562605</v>
      </c>
      <c r="I82" s="55">
        <f t="shared" si="10"/>
        <v>913245.6112352215</v>
      </c>
    </row>
    <row r="83" spans="1:9" x14ac:dyDescent="0.25">
      <c r="A83" s="49">
        <f>'A) Base RI'!A85</f>
        <v>5527</v>
      </c>
      <c r="B83" s="32" t="str">
        <f>'A) Base RI'!B85</f>
        <v>Morrens</v>
      </c>
      <c r="C83" s="95">
        <f>'A) Base RI'!AO85</f>
        <v>1153</v>
      </c>
      <c r="D83" s="110">
        <f>'D) Ecrêtage'!E83</f>
        <v>35.181443707367386</v>
      </c>
      <c r="E83" s="34">
        <f t="shared" si="7"/>
        <v>12.991560295107064</v>
      </c>
      <c r="F83" s="278">
        <f t="shared" si="8"/>
        <v>299285.79502476379</v>
      </c>
      <c r="G83" s="33">
        <f>+'A) Base RI'!AN85</f>
        <v>74</v>
      </c>
      <c r="H83" s="279">
        <f t="shared" si="9"/>
        <v>1.09960011097449</v>
      </c>
      <c r="I83" s="55">
        <f t="shared" si="10"/>
        <v>329094.69342231873</v>
      </c>
    </row>
    <row r="84" spans="1:9" x14ac:dyDescent="0.25">
      <c r="A84" s="49">
        <f>'A) Base RI'!A86</f>
        <v>5529</v>
      </c>
      <c r="B84" s="32" t="str">
        <f>'A) Base RI'!B86</f>
        <v>Oulens-sous-Echallens</v>
      </c>
      <c r="C84" s="95">
        <f>'A) Base RI'!AO86</f>
        <v>618</v>
      </c>
      <c r="D84" s="110">
        <f>'D) Ecrêtage'!E84</f>
        <v>32.688099398982892</v>
      </c>
      <c r="E84" s="34">
        <f t="shared" si="7"/>
        <v>15.484904603491557</v>
      </c>
      <c r="F84" s="278">
        <f t="shared" si="8"/>
        <v>180866.78274970211</v>
      </c>
      <c r="G84" s="33">
        <f>+'A) Base RI'!AN86</f>
        <v>70</v>
      </c>
      <c r="H84" s="279">
        <f t="shared" si="9"/>
        <v>1.0401622671380311</v>
      </c>
      <c r="I84" s="55">
        <f t="shared" si="10"/>
        <v>188130.80279489188</v>
      </c>
    </row>
    <row r="85" spans="1:9" x14ac:dyDescent="0.25">
      <c r="A85" s="49">
        <f>'A) Base RI'!A87</f>
        <v>5530</v>
      </c>
      <c r="B85" s="32" t="str">
        <f>'A) Base RI'!B87</f>
        <v>Pailly</v>
      </c>
      <c r="C85" s="95">
        <f>'A) Base RI'!AO87</f>
        <v>567</v>
      </c>
      <c r="D85" s="110">
        <f>'D) Ecrêtage'!E85</f>
        <v>32.278676359107635</v>
      </c>
      <c r="E85" s="34">
        <f t="shared" si="7"/>
        <v>15.894327643366815</v>
      </c>
      <c r="F85" s="278">
        <f t="shared" si="8"/>
        <v>184927.95903814997</v>
      </c>
      <c r="G85" s="33">
        <f>+'A) Base RI'!AN87</f>
        <v>76</v>
      </c>
      <c r="H85" s="279">
        <f t="shared" si="9"/>
        <v>1.1293190328927194</v>
      </c>
      <c r="I85" s="55">
        <f t="shared" si="10"/>
        <v>208842.66385578795</v>
      </c>
    </row>
    <row r="86" spans="1:9" x14ac:dyDescent="0.25">
      <c r="A86" s="49">
        <f>'A) Base RI'!A88</f>
        <v>5531</v>
      </c>
      <c r="B86" s="32" t="str">
        <f>'A) Base RI'!B88</f>
        <v>Penthéréaz</v>
      </c>
      <c r="C86" s="95">
        <f>'A) Base RI'!AO88</f>
        <v>419</v>
      </c>
      <c r="D86" s="110">
        <f>'D) Ecrêtage'!E86</f>
        <v>33.038335805973041</v>
      </c>
      <c r="E86" s="34">
        <f t="shared" si="7"/>
        <v>15.134668196501408</v>
      </c>
      <c r="F86" s="278">
        <f t="shared" si="8"/>
        <v>126701.69096719513</v>
      </c>
      <c r="G86" s="33">
        <f>+'A) Base RI'!AN88</f>
        <v>74</v>
      </c>
      <c r="H86" s="279">
        <f t="shared" si="9"/>
        <v>1.09960011097449</v>
      </c>
      <c r="I86" s="55">
        <f t="shared" si="10"/>
        <v>139321.1934481833</v>
      </c>
    </row>
    <row r="87" spans="1:9" x14ac:dyDescent="0.25">
      <c r="A87" s="49">
        <f>'A) Base RI'!A89</f>
        <v>5533</v>
      </c>
      <c r="B87" s="32" t="str">
        <f>'A) Base RI'!B89</f>
        <v>Poliez-Pittet</v>
      </c>
      <c r="C87" s="95">
        <f>'A) Base RI'!AO89</f>
        <v>829</v>
      </c>
      <c r="D87" s="110">
        <f>'D) Ecrêtage'!E87</f>
        <v>32.79875506056149</v>
      </c>
      <c r="E87" s="34">
        <f t="shared" si="7"/>
        <v>15.37424894191296</v>
      </c>
      <c r="F87" s="278">
        <f t="shared" si="8"/>
        <v>251208.9242687916</v>
      </c>
      <c r="G87" s="33">
        <f>+'A) Base RI'!AN89</f>
        <v>73</v>
      </c>
      <c r="H87" s="279">
        <f t="shared" si="9"/>
        <v>1.0847406500153751</v>
      </c>
      <c r="I87" s="55">
        <f t="shared" si="10"/>
        <v>272496.53180099215</v>
      </c>
    </row>
    <row r="88" spans="1:9" x14ac:dyDescent="0.25">
      <c r="A88" s="49">
        <f>'A) Base RI'!A90</f>
        <v>5534</v>
      </c>
      <c r="B88" s="32" t="str">
        <f>'A) Base RI'!B90</f>
        <v>Rueyres</v>
      </c>
      <c r="C88" s="95">
        <f>'A) Base RI'!AO90</f>
        <v>266</v>
      </c>
      <c r="D88" s="110">
        <f>'D) Ecrêtage'!E88</f>
        <v>36.67425266934459</v>
      </c>
      <c r="E88" s="34">
        <f t="shared" si="7"/>
        <v>11.49875133312986</v>
      </c>
      <c r="F88" s="278">
        <f t="shared" si="8"/>
        <v>60286.343414413219</v>
      </c>
      <c r="G88" s="33">
        <f>+'A) Base RI'!AN90</f>
        <v>73</v>
      </c>
      <c r="H88" s="279">
        <f t="shared" si="9"/>
        <v>1.0847406500153751</v>
      </c>
      <c r="I88" s="55">
        <f t="shared" si="10"/>
        <v>65395.047342400721</v>
      </c>
    </row>
    <row r="89" spans="1:9" x14ac:dyDescent="0.25">
      <c r="A89" s="49">
        <f>'A) Base RI'!A91</f>
        <v>5535</v>
      </c>
      <c r="B89" s="32" t="str">
        <f>'A) Base RI'!B91</f>
        <v>Saint-Barthélemy</v>
      </c>
      <c r="C89" s="95">
        <f>'A) Base RI'!AO91</f>
        <v>784</v>
      </c>
      <c r="D89" s="110">
        <f>'D) Ecrêtage'!E89</f>
        <v>28.694961904761911</v>
      </c>
      <c r="E89" s="34">
        <f t="shared" si="7"/>
        <v>19.478042097712539</v>
      </c>
      <c r="F89" s="278">
        <f t="shared" si="8"/>
        <v>309233.39634328434</v>
      </c>
      <c r="G89" s="33">
        <f>+'A) Base RI'!AN91</f>
        <v>75</v>
      </c>
      <c r="H89" s="279">
        <f t="shared" si="9"/>
        <v>1.1144595719336046</v>
      </c>
      <c r="I89" s="55">
        <f t="shared" si="10"/>
        <v>344628.11851631134</v>
      </c>
    </row>
    <row r="90" spans="1:9" x14ac:dyDescent="0.25">
      <c r="A90" s="49">
        <f>'A) Base RI'!A92</f>
        <v>5537</v>
      </c>
      <c r="B90" s="32" t="str">
        <f>'A) Base RI'!B92</f>
        <v>Villars-le-Terroir</v>
      </c>
      <c r="C90" s="95">
        <f>'A) Base RI'!AO92</f>
        <v>1281</v>
      </c>
      <c r="D90" s="110">
        <f>'D) Ecrêtage'!E90</f>
        <v>29.635651834504291</v>
      </c>
      <c r="E90" s="34">
        <f t="shared" si="7"/>
        <v>18.537352167970159</v>
      </c>
      <c r="F90" s="278">
        <f t="shared" si="8"/>
        <v>468040.52158651629</v>
      </c>
      <c r="G90" s="33">
        <f>+'A) Base RI'!AN92</f>
        <v>73</v>
      </c>
      <c r="H90" s="279">
        <f t="shared" si="9"/>
        <v>1.0847406500153751</v>
      </c>
      <c r="I90" s="55">
        <f t="shared" si="10"/>
        <v>507702.57961929287</v>
      </c>
    </row>
    <row r="91" spans="1:9" x14ac:dyDescent="0.25">
      <c r="A91" s="49">
        <f>'A) Base RI'!A93</f>
        <v>5539</v>
      </c>
      <c r="B91" s="32" t="str">
        <f>'A) Base RI'!B93</f>
        <v>Vuarrens</v>
      </c>
      <c r="C91" s="95">
        <f>'A) Base RI'!AO93</f>
        <v>1060</v>
      </c>
      <c r="D91" s="110">
        <f>'D) Ecrêtage'!E91</f>
        <v>33.926052207675518</v>
      </c>
      <c r="E91" s="34">
        <f t="shared" si="7"/>
        <v>14.246951794798932</v>
      </c>
      <c r="F91" s="278">
        <f t="shared" si="8"/>
        <v>299694.60386985191</v>
      </c>
      <c r="G91" s="33">
        <f>+'A) Base RI'!AN93</f>
        <v>73.5</v>
      </c>
      <c r="H91" s="279">
        <f t="shared" si="9"/>
        <v>1.0921703804949325</v>
      </c>
      <c r="I91" s="55">
        <f t="shared" si="10"/>
        <v>327317.56954081426</v>
      </c>
    </row>
    <row r="92" spans="1:9" x14ac:dyDescent="0.25">
      <c r="A92" s="49">
        <f>'A) Base RI'!A94</f>
        <v>5540</v>
      </c>
      <c r="B92" s="32" t="str">
        <f>'A) Base RI'!B94</f>
        <v>Montilliez</v>
      </c>
      <c r="C92" s="95">
        <f>'A) Base RI'!AO94</f>
        <v>1857</v>
      </c>
      <c r="D92" s="110">
        <f>'D) Ecrêtage'!E92</f>
        <v>35.679347631515419</v>
      </c>
      <c r="E92" s="34">
        <f t="shared" si="7"/>
        <v>12.49365637095903</v>
      </c>
      <c r="F92" s="278">
        <f t="shared" si="8"/>
        <v>454154.09166804829</v>
      </c>
      <c r="G92" s="33">
        <f>+'A) Base RI'!AN94</f>
        <v>72.5</v>
      </c>
      <c r="H92" s="279">
        <f t="shared" si="9"/>
        <v>1.0773109195358177</v>
      </c>
      <c r="I92" s="55">
        <f t="shared" si="10"/>
        <v>489265.16210585914</v>
      </c>
    </row>
    <row r="93" spans="1:9" x14ac:dyDescent="0.25">
      <c r="A93" s="49">
        <f>'A) Base RI'!A95</f>
        <v>5541</v>
      </c>
      <c r="B93" s="32" t="str">
        <f>'A) Base RI'!B95</f>
        <v>Goumoëns</v>
      </c>
      <c r="C93" s="95">
        <f>'A) Base RI'!AO95</f>
        <v>1153</v>
      </c>
      <c r="D93" s="110">
        <f>'D) Ecrêtage'!E93</f>
        <v>32.088995020189195</v>
      </c>
      <c r="E93" s="34">
        <f t="shared" si="7"/>
        <v>16.084008982285255</v>
      </c>
      <c r="F93" s="278">
        <f t="shared" si="8"/>
        <v>378037.01913877937</v>
      </c>
      <c r="G93" s="33">
        <f>+'A) Base RI'!AN95</f>
        <v>75.5</v>
      </c>
      <c r="H93" s="279">
        <f t="shared" si="9"/>
        <v>1.121889302413162</v>
      </c>
      <c r="I93" s="55">
        <f t="shared" si="10"/>
        <v>424115.68768795638</v>
      </c>
    </row>
    <row r="94" spans="1:9" x14ac:dyDescent="0.25">
      <c r="A94" s="49">
        <f>'A) Base RI'!A96</f>
        <v>5551</v>
      </c>
      <c r="B94" s="32" t="str">
        <f>'A) Base RI'!B96</f>
        <v>Bonvillars</v>
      </c>
      <c r="C94" s="95">
        <f>'A) Base RI'!AO96</f>
        <v>489</v>
      </c>
      <c r="D94" s="110">
        <f>'D) Ecrêtage'!E94</f>
        <v>39.175122141662015</v>
      </c>
      <c r="E94" s="34">
        <f t="shared" si="7"/>
        <v>8.9978818608124342</v>
      </c>
      <c r="F94" s="278">
        <f t="shared" si="8"/>
        <v>65339.468814568609</v>
      </c>
      <c r="G94" s="33">
        <f>+'A) Base RI'!AN96</f>
        <v>55</v>
      </c>
      <c r="H94" s="279">
        <f t="shared" si="9"/>
        <v>0.8172703527513101</v>
      </c>
      <c r="I94" s="55">
        <f t="shared" si="10"/>
        <v>53400.010726665714</v>
      </c>
    </row>
    <row r="95" spans="1:9" x14ac:dyDescent="0.25">
      <c r="A95" s="49">
        <f>'A) Base RI'!A97</f>
        <v>5552</v>
      </c>
      <c r="B95" s="32" t="str">
        <f>'A) Base RI'!B97</f>
        <v>Bullet</v>
      </c>
      <c r="C95" s="95">
        <f>'A) Base RI'!AO97</f>
        <v>657</v>
      </c>
      <c r="D95" s="110">
        <f>'D) Ecrêtage'!E95</f>
        <v>26.722096624836354</v>
      </c>
      <c r="E95" s="34">
        <f t="shared" si="7"/>
        <v>21.450907377638096</v>
      </c>
      <c r="F95" s="278">
        <f t="shared" si="8"/>
        <v>272070.11686992442</v>
      </c>
      <c r="G95" s="33">
        <f>+'A) Base RI'!AN97</f>
        <v>71.5</v>
      </c>
      <c r="H95" s="279">
        <f t="shared" si="9"/>
        <v>1.0624514585767031</v>
      </c>
      <c r="I95" s="55">
        <f t="shared" si="10"/>
        <v>289061.29250358528</v>
      </c>
    </row>
    <row r="96" spans="1:9" x14ac:dyDescent="0.25">
      <c r="A96" s="49">
        <f>'A) Base RI'!A98</f>
        <v>5553</v>
      </c>
      <c r="B96" s="32" t="str">
        <f>'A) Base RI'!B98</f>
        <v>Champagne</v>
      </c>
      <c r="C96" s="95">
        <f>'A) Base RI'!AO98</f>
        <v>1061</v>
      </c>
      <c r="D96" s="110">
        <f>'D) Ecrêtage'!E96</f>
        <v>36.457472051040376</v>
      </c>
      <c r="E96" s="34">
        <f t="shared" si="7"/>
        <v>11.715531951434073</v>
      </c>
      <c r="F96" s="278">
        <f t="shared" si="8"/>
        <v>218149.64847827575</v>
      </c>
      <c r="G96" s="33">
        <f>+'A) Base RI'!AN98</f>
        <v>65</v>
      </c>
      <c r="H96" s="279">
        <f t="shared" si="9"/>
        <v>0.96586496234245733</v>
      </c>
      <c r="I96" s="55">
        <f t="shared" si="10"/>
        <v>210703.1020124901</v>
      </c>
    </row>
    <row r="97" spans="1:9" x14ac:dyDescent="0.25">
      <c r="A97" s="49">
        <f>'A) Base RI'!A99</f>
        <v>5554</v>
      </c>
      <c r="B97" s="32" t="str">
        <f>'A) Base RI'!B99</f>
        <v>Concise</v>
      </c>
      <c r="C97" s="95">
        <f>'A) Base RI'!AO99</f>
        <v>1001</v>
      </c>
      <c r="D97" s="110">
        <f>'D) Ecrêtage'!E97</f>
        <v>32.295575491175498</v>
      </c>
      <c r="E97" s="34">
        <f t="shared" si="7"/>
        <v>15.877428511298952</v>
      </c>
      <c r="F97" s="278">
        <f t="shared" si="8"/>
        <v>321839.44528115762</v>
      </c>
      <c r="G97" s="33">
        <f>+'A) Base RI'!AN99</f>
        <v>75</v>
      </c>
      <c r="H97" s="279">
        <f t="shared" si="9"/>
        <v>1.1144595719336046</v>
      </c>
      <c r="I97" s="55">
        <f t="shared" si="10"/>
        <v>358677.0504193877</v>
      </c>
    </row>
    <row r="98" spans="1:9" x14ac:dyDescent="0.25">
      <c r="A98" s="49">
        <f>'A) Base RI'!A100</f>
        <v>5555</v>
      </c>
      <c r="B98" s="32" t="str">
        <f>'A) Base RI'!B100</f>
        <v>Corcelles-près-Concise</v>
      </c>
      <c r="C98" s="95">
        <f>'A) Base RI'!AO100</f>
        <v>419</v>
      </c>
      <c r="D98" s="110">
        <f>'D) Ecrêtage'!E98</f>
        <v>32.387933312579996</v>
      </c>
      <c r="E98" s="34">
        <f t="shared" si="7"/>
        <v>15.785070689894454</v>
      </c>
      <c r="F98" s="278">
        <f t="shared" si="8"/>
        <v>123217.78825319542</v>
      </c>
      <c r="G98" s="33">
        <f>+'A) Base RI'!AN100</f>
        <v>69</v>
      </c>
      <c r="H98" s="279">
        <f t="shared" si="9"/>
        <v>1.0253028061789162</v>
      </c>
      <c r="I98" s="55">
        <f t="shared" si="10"/>
        <v>126335.54406716076</v>
      </c>
    </row>
    <row r="99" spans="1:9" x14ac:dyDescent="0.25">
      <c r="A99" s="49">
        <f>'A) Base RI'!A101</f>
        <v>5556</v>
      </c>
      <c r="B99" s="32" t="str">
        <f>'A) Base RI'!B101</f>
        <v>Fiez</v>
      </c>
      <c r="C99" s="95">
        <f>'A) Base RI'!AO101</f>
        <v>451</v>
      </c>
      <c r="D99" s="110">
        <f>'D) Ecrêtage'!E99</f>
        <v>30.635094797390661</v>
      </c>
      <c r="E99" s="34">
        <f t="shared" si="7"/>
        <v>17.537909205083789</v>
      </c>
      <c r="F99" s="278">
        <f t="shared" si="8"/>
        <v>147355.79306931066</v>
      </c>
      <c r="G99" s="33">
        <f>+'A) Base RI'!AN101</f>
        <v>69</v>
      </c>
      <c r="H99" s="279">
        <f t="shared" si="9"/>
        <v>1.0253028061789162</v>
      </c>
      <c r="I99" s="55">
        <f t="shared" si="10"/>
        <v>151084.30814068392</v>
      </c>
    </row>
    <row r="100" spans="1:9" x14ac:dyDescent="0.25">
      <c r="A100" s="49">
        <f>'A) Base RI'!A102</f>
        <v>5557</v>
      </c>
      <c r="B100" s="32" t="str">
        <f>'A) Base RI'!B102</f>
        <v>Fontaines-sur-Grandson</v>
      </c>
      <c r="C100" s="95">
        <f>'A) Base RI'!AO102</f>
        <v>219</v>
      </c>
      <c r="D100" s="110">
        <f>'D) Ecrêtage'!E100</f>
        <v>26.850810667725487</v>
      </c>
      <c r="E100" s="34">
        <f t="shared" si="7"/>
        <v>21.322193334748963</v>
      </c>
      <c r="F100" s="278">
        <f t="shared" si="8"/>
        <v>86993.909139975745</v>
      </c>
      <c r="G100" s="33">
        <f>+'A) Base RI'!AN102</f>
        <v>69</v>
      </c>
      <c r="H100" s="279">
        <f t="shared" si="9"/>
        <v>1.0253028061789162</v>
      </c>
      <c r="I100" s="55">
        <f t="shared" si="10"/>
        <v>89195.0991616908</v>
      </c>
    </row>
    <row r="101" spans="1:9" x14ac:dyDescent="0.25">
      <c r="A101" s="49">
        <f>'A) Base RI'!A103</f>
        <v>5559</v>
      </c>
      <c r="B101" s="32" t="str">
        <f>'A) Base RI'!B103</f>
        <v>Giez</v>
      </c>
      <c r="C101" s="95">
        <f>'A) Base RI'!AO103</f>
        <v>414</v>
      </c>
      <c r="D101" s="110">
        <f>'D) Ecrêtage'!E101</f>
        <v>40.815503952569181</v>
      </c>
      <c r="E101" s="34">
        <f t="shared" si="7"/>
        <v>7.3575000499052692</v>
      </c>
      <c r="F101" s="278">
        <f t="shared" si="8"/>
        <v>54279.809468175132</v>
      </c>
      <c r="G101" s="33">
        <f>+'A) Base RI'!AN103</f>
        <v>66</v>
      </c>
      <c r="H101" s="279">
        <f t="shared" si="9"/>
        <v>0.98072442330157206</v>
      </c>
      <c r="I101" s="55">
        <f t="shared" si="10"/>
        <v>53233.534837595267</v>
      </c>
    </row>
    <row r="102" spans="1:9" x14ac:dyDescent="0.25">
      <c r="A102" s="49">
        <f>'A) Base RI'!A104</f>
        <v>5560</v>
      </c>
      <c r="B102" s="32" t="str">
        <f>'A) Base RI'!B104</f>
        <v>Grandevent</v>
      </c>
      <c r="C102" s="95">
        <f>'A) Base RI'!AO104</f>
        <v>226</v>
      </c>
      <c r="D102" s="110">
        <f>'D) Ecrêtage'!E102</f>
        <v>27.291574049973974</v>
      </c>
      <c r="E102" s="34">
        <f t="shared" si="7"/>
        <v>20.881429952500476</v>
      </c>
      <c r="F102" s="278">
        <f t="shared" si="8"/>
        <v>86644.570187707373</v>
      </c>
      <c r="G102" s="33">
        <f>+'A) Base RI'!AN104</f>
        <v>68</v>
      </c>
      <c r="H102" s="279">
        <f t="shared" si="9"/>
        <v>1.0104433452198016</v>
      </c>
      <c r="I102" s="55">
        <f t="shared" si="10"/>
        <v>87549.429345598939</v>
      </c>
    </row>
    <row r="103" spans="1:9" x14ac:dyDescent="0.25">
      <c r="A103" s="49">
        <f>'A) Base RI'!A105</f>
        <v>5561</v>
      </c>
      <c r="B103" s="32" t="str">
        <f>'A) Base RI'!B105</f>
        <v>Grandson</v>
      </c>
      <c r="C103" s="95">
        <f>'A) Base RI'!AO105</f>
        <v>3356</v>
      </c>
      <c r="D103" s="110">
        <f>'D) Ecrêtage'!E103</f>
        <v>34.262733283239186</v>
      </c>
      <c r="E103" s="34">
        <f t="shared" si="7"/>
        <v>13.910270719235264</v>
      </c>
      <c r="F103" s="278">
        <f t="shared" si="8"/>
        <v>869701.84078382852</v>
      </c>
      <c r="G103" s="33">
        <f>+'A) Base RI'!AN105</f>
        <v>69</v>
      </c>
      <c r="H103" s="279">
        <f t="shared" si="9"/>
        <v>1.0253028061789162</v>
      </c>
      <c r="I103" s="55">
        <f t="shared" si="10"/>
        <v>891707.73789462843</v>
      </c>
    </row>
    <row r="104" spans="1:9" x14ac:dyDescent="0.25">
      <c r="A104" s="49">
        <f>'A) Base RI'!A106</f>
        <v>5562</v>
      </c>
      <c r="B104" s="32" t="str">
        <f>'A) Base RI'!B106</f>
        <v>Mauborget</v>
      </c>
      <c r="C104" s="95">
        <f>'A) Base RI'!AO106</f>
        <v>128</v>
      </c>
      <c r="D104" s="110">
        <f>'D) Ecrêtage'!E104</f>
        <v>47.165292410714287</v>
      </c>
      <c r="E104" s="34">
        <f t="shared" si="7"/>
        <v>1.0077115917601631</v>
      </c>
      <c r="F104" s="278">
        <f t="shared" si="8"/>
        <v>2437.8558827861866</v>
      </c>
      <c r="G104" s="33">
        <f>+'A) Base RI'!AN106</f>
        <v>70</v>
      </c>
      <c r="H104" s="279">
        <f t="shared" si="9"/>
        <v>1.0401622671380311</v>
      </c>
      <c r="I104" s="55">
        <f t="shared" si="10"/>
        <v>2535.765701994666</v>
      </c>
    </row>
    <row r="105" spans="1:9" x14ac:dyDescent="0.25">
      <c r="A105" s="49">
        <f>'A) Base RI'!A107</f>
        <v>5563</v>
      </c>
      <c r="B105" s="32" t="str">
        <f>'A) Base RI'!B107</f>
        <v>Mutrux</v>
      </c>
      <c r="C105" s="95">
        <f>'A) Base RI'!AO107</f>
        <v>149</v>
      </c>
      <c r="D105" s="110">
        <f>'D) Ecrêtage'!E105</f>
        <v>27.339479865771811</v>
      </c>
      <c r="E105" s="34">
        <f t="shared" si="7"/>
        <v>20.833524136702639</v>
      </c>
      <c r="F105" s="278">
        <f t="shared" si="8"/>
        <v>67050.614081563777</v>
      </c>
      <c r="G105" s="33">
        <f>+'A) Base RI'!AN107</f>
        <v>80</v>
      </c>
      <c r="H105" s="279">
        <f t="shared" si="9"/>
        <v>1.1887568767291783</v>
      </c>
      <c r="I105" s="55">
        <f t="shared" si="10"/>
        <v>79706.878578373216</v>
      </c>
    </row>
    <row r="106" spans="1:9" x14ac:dyDescent="0.25">
      <c r="A106" s="49">
        <f>'A) Base RI'!A108</f>
        <v>5564</v>
      </c>
      <c r="B106" s="32" t="str">
        <f>'A) Base RI'!B108</f>
        <v>Novalles</v>
      </c>
      <c r="C106" s="95">
        <f>'A) Base RI'!AO108</f>
        <v>99</v>
      </c>
      <c r="D106" s="110">
        <f>'D) Ecrêtage'!E106</f>
        <v>21.126307482721952</v>
      </c>
      <c r="E106" s="34">
        <f t="shared" si="7"/>
        <v>27.046696519752498</v>
      </c>
      <c r="F106" s="278">
        <f t="shared" si="8"/>
        <v>54944.823045946818</v>
      </c>
      <c r="G106" s="33">
        <f>+'A) Base RI'!AN108</f>
        <v>76</v>
      </c>
      <c r="H106" s="279">
        <f t="shared" si="9"/>
        <v>1.1293190328927194</v>
      </c>
      <c r="I106" s="55">
        <f t="shared" si="10"/>
        <v>62050.234424710259</v>
      </c>
    </row>
    <row r="107" spans="1:9" x14ac:dyDescent="0.25">
      <c r="A107" s="49">
        <f>'A) Base RI'!A109</f>
        <v>5565</v>
      </c>
      <c r="B107" s="32" t="str">
        <f>'A) Base RI'!B109</f>
        <v>Onnens</v>
      </c>
      <c r="C107" s="95">
        <f>'A) Base RI'!AO109</f>
        <v>505</v>
      </c>
      <c r="D107" s="110">
        <f>'D) Ecrêtage'!E107</f>
        <v>38.991251578701181</v>
      </c>
      <c r="E107" s="34">
        <f t="shared" si="7"/>
        <v>9.1817524237732684</v>
      </c>
      <c r="F107" s="278">
        <f t="shared" si="8"/>
        <v>79497.678379324308</v>
      </c>
      <c r="G107" s="33">
        <f>+'A) Base RI'!AN109</f>
        <v>63.5</v>
      </c>
      <c r="H107" s="279">
        <f t="shared" si="9"/>
        <v>0.94357577090378519</v>
      </c>
      <c r="I107" s="55">
        <f t="shared" si="10"/>
        <v>75012.08316183211</v>
      </c>
    </row>
    <row r="108" spans="1:9" x14ac:dyDescent="0.25">
      <c r="A108" s="49">
        <f>'A) Base RI'!A110</f>
        <v>5566</v>
      </c>
      <c r="B108" s="32" t="str">
        <f>'A) Base RI'!B110</f>
        <v>Provence</v>
      </c>
      <c r="C108" s="95">
        <f>'A) Base RI'!AO110</f>
        <v>392</v>
      </c>
      <c r="D108" s="110">
        <f>'D) Ecrêtage'!E108</f>
        <v>19.384528323675145</v>
      </c>
      <c r="E108" s="34">
        <f t="shared" si="7"/>
        <v>28.788475678799305</v>
      </c>
      <c r="F108" s="278">
        <f t="shared" si="8"/>
        <v>246804.75353337359</v>
      </c>
      <c r="G108" s="33">
        <f>+'A) Base RI'!AN110</f>
        <v>81</v>
      </c>
      <c r="H108" s="279">
        <f t="shared" si="9"/>
        <v>1.2036163376882929</v>
      </c>
      <c r="I108" s="55">
        <f t="shared" si="10"/>
        <v>297058.23357190087</v>
      </c>
    </row>
    <row r="109" spans="1:9" x14ac:dyDescent="0.25">
      <c r="A109" s="49">
        <f>'A) Base RI'!A111</f>
        <v>5568</v>
      </c>
      <c r="B109" s="32" t="str">
        <f>'A) Base RI'!B111</f>
        <v>Sainte-Croix</v>
      </c>
      <c r="C109" s="95">
        <f>'A) Base RI'!AO111</f>
        <v>4917</v>
      </c>
      <c r="D109" s="110">
        <f>'D) Ecrêtage'!E109</f>
        <v>21.662696010924197</v>
      </c>
      <c r="E109" s="34">
        <f t="shared" si="7"/>
        <v>26.510307991550253</v>
      </c>
      <c r="F109" s="278">
        <f t="shared" si="8"/>
        <v>2463637.3850551541</v>
      </c>
      <c r="G109" s="33">
        <f>+'A) Base RI'!AN111</f>
        <v>70</v>
      </c>
      <c r="H109" s="279">
        <f t="shared" si="9"/>
        <v>1.0401622671380311</v>
      </c>
      <c r="I109" s="55">
        <f t="shared" si="10"/>
        <v>2562582.6478449795</v>
      </c>
    </row>
    <row r="110" spans="1:9" x14ac:dyDescent="0.25">
      <c r="A110" s="49">
        <f>'A) Base RI'!A112</f>
        <v>5571</v>
      </c>
      <c r="B110" s="32" t="str">
        <f>'A) Base RI'!B112</f>
        <v>Tévenon</v>
      </c>
      <c r="C110" s="95">
        <f>'A) Base RI'!AO112</f>
        <v>894</v>
      </c>
      <c r="D110" s="110">
        <f>'D) Ecrêtage'!E110</f>
        <v>23.915086382670278</v>
      </c>
      <c r="E110" s="34">
        <f t="shared" si="7"/>
        <v>24.257917619804171</v>
      </c>
      <c r="F110" s="278">
        <f t="shared" si="8"/>
        <v>418659.39508738572</v>
      </c>
      <c r="G110" s="33">
        <f>+'A) Base RI'!AN112</f>
        <v>71.5</v>
      </c>
      <c r="H110" s="279">
        <f t="shared" si="9"/>
        <v>1.0624514585767031</v>
      </c>
      <c r="I110" s="55">
        <f t="shared" si="10"/>
        <v>444805.28495743318</v>
      </c>
    </row>
    <row r="111" spans="1:9" x14ac:dyDescent="0.25">
      <c r="A111" s="49">
        <f>'A) Base RI'!A113</f>
        <v>5581</v>
      </c>
      <c r="B111" s="32" t="str">
        <f>'A) Base RI'!B113</f>
        <v>Belmont-sur-Lausanne</v>
      </c>
      <c r="C111" s="95">
        <f>'A) Base RI'!AO113</f>
        <v>3756</v>
      </c>
      <c r="D111" s="110">
        <f>'D) Ecrêtage'!E111</f>
        <v>56.561674838776469</v>
      </c>
      <c r="E111" s="34">
        <f t="shared" si="7"/>
        <v>0</v>
      </c>
      <c r="F111" s="278">
        <f t="shared" si="8"/>
        <v>0</v>
      </c>
      <c r="G111" s="33">
        <f>+'A) Base RI'!AN113</f>
        <v>72</v>
      </c>
      <c r="H111" s="279">
        <f t="shared" si="9"/>
        <v>1.0698811890562605</v>
      </c>
      <c r="I111" s="55">
        <f t="shared" si="10"/>
        <v>0</v>
      </c>
    </row>
    <row r="112" spans="1:9" x14ac:dyDescent="0.25">
      <c r="A112" s="49">
        <f>'A) Base RI'!A114</f>
        <v>5582</v>
      </c>
      <c r="B112" s="32" t="str">
        <f>'A) Base RI'!B114</f>
        <v>Cheseaux-sur-Lausanne</v>
      </c>
      <c r="C112" s="95">
        <f>'A) Base RI'!AO114</f>
        <v>4367</v>
      </c>
      <c r="D112" s="110">
        <f>'D) Ecrêtage'!E112</f>
        <v>37.5040746131478</v>
      </c>
      <c r="E112" s="34">
        <f t="shared" si="7"/>
        <v>10.668929389326649</v>
      </c>
      <c r="F112" s="278">
        <f t="shared" si="8"/>
        <v>918312.84061726474</v>
      </c>
      <c r="G112" s="33">
        <f>+'A) Base RI'!AN114</f>
        <v>73</v>
      </c>
      <c r="H112" s="279">
        <f t="shared" si="9"/>
        <v>1.0847406500153751</v>
      </c>
      <c r="I112" s="55">
        <f t="shared" si="10"/>
        <v>996131.26764863729</v>
      </c>
    </row>
    <row r="113" spans="1:9" x14ac:dyDescent="0.25">
      <c r="A113" s="49">
        <f>'A) Base RI'!A115</f>
        <v>5583</v>
      </c>
      <c r="B113" s="32" t="str">
        <f>'A) Base RI'!B115</f>
        <v>Crissier</v>
      </c>
      <c r="C113" s="95">
        <f>'A) Base RI'!AO115</f>
        <v>8700</v>
      </c>
      <c r="D113" s="110">
        <f>'D) Ecrêtage'!E113</f>
        <v>42.309805719974648</v>
      </c>
      <c r="E113" s="34">
        <f t="shared" si="7"/>
        <v>5.8631982824998019</v>
      </c>
      <c r="F113" s="278">
        <f t="shared" si="8"/>
        <v>874563.45061509416</v>
      </c>
      <c r="G113" s="33">
        <f>+'A) Base RI'!AN115</f>
        <v>63.5</v>
      </c>
      <c r="H113" s="279">
        <f t="shared" si="9"/>
        <v>0.94357577090378519</v>
      </c>
      <c r="I113" s="55">
        <f t="shared" si="10"/>
        <v>825216.88211841194</v>
      </c>
    </row>
    <row r="114" spans="1:9" x14ac:dyDescent="0.25">
      <c r="A114" s="49">
        <f>'A) Base RI'!A116</f>
        <v>5584</v>
      </c>
      <c r="B114" s="32" t="str">
        <f>'A) Base RI'!B116</f>
        <v>Epalinges</v>
      </c>
      <c r="C114" s="95">
        <f>'A) Base RI'!AO116</f>
        <v>9755</v>
      </c>
      <c r="D114" s="110">
        <f>'D) Ecrêtage'!E114</f>
        <v>49.422441570413099</v>
      </c>
      <c r="E114" s="34">
        <f t="shared" si="7"/>
        <v>0</v>
      </c>
      <c r="F114" s="278">
        <f t="shared" si="8"/>
        <v>0</v>
      </c>
      <c r="G114" s="33">
        <f>+'A) Base RI'!AN116</f>
        <v>64.5</v>
      </c>
      <c r="H114" s="279">
        <f t="shared" si="9"/>
        <v>0.95843523186289992</v>
      </c>
      <c r="I114" s="55">
        <f t="shared" si="10"/>
        <v>0</v>
      </c>
    </row>
    <row r="115" spans="1:9" x14ac:dyDescent="0.25">
      <c r="A115" s="49">
        <f>'A) Base RI'!A117</f>
        <v>5585</v>
      </c>
      <c r="B115" s="32" t="str">
        <f>'A) Base RI'!B117</f>
        <v>Jouxtens-Mézery</v>
      </c>
      <c r="C115" s="95">
        <f>'A) Base RI'!AO117</f>
        <v>1411</v>
      </c>
      <c r="D115" s="110">
        <f>'D) Ecrêtage'!E115</f>
        <v>143.50671251306323</v>
      </c>
      <c r="E115" s="34">
        <f t="shared" si="7"/>
        <v>0</v>
      </c>
      <c r="F115" s="278">
        <f t="shared" si="8"/>
        <v>0</v>
      </c>
      <c r="G115" s="33">
        <f>+'A) Base RI'!AN117</f>
        <v>59</v>
      </c>
      <c r="H115" s="279">
        <f t="shared" si="9"/>
        <v>0.876708196587769</v>
      </c>
      <c r="I115" s="55">
        <f t="shared" si="10"/>
        <v>0</v>
      </c>
    </row>
    <row r="116" spans="1:9" x14ac:dyDescent="0.25">
      <c r="A116" s="49">
        <f>'A) Base RI'!A118</f>
        <v>5586</v>
      </c>
      <c r="B116" s="32" t="str">
        <f>'A) Base RI'!B118</f>
        <v>Lausanne</v>
      </c>
      <c r="C116" s="95">
        <f>'A) Base RI'!AO118</f>
        <v>140430</v>
      </c>
      <c r="D116" s="110">
        <f>'D) Ecrêtage'!E116</f>
        <v>44.665415367691558</v>
      </c>
      <c r="E116" s="34">
        <f t="shared" si="7"/>
        <v>3.5075886347828913</v>
      </c>
      <c r="F116" s="278">
        <f t="shared" si="8"/>
        <v>10440035.392670389</v>
      </c>
      <c r="G116" s="33">
        <f>+'A) Base RI'!AN118</f>
        <v>78.5</v>
      </c>
      <c r="H116" s="279">
        <f t="shared" si="9"/>
        <v>1.1664676852905063</v>
      </c>
      <c r="I116" s="55">
        <f t="shared" si="10"/>
        <v>12177963.91883919</v>
      </c>
    </row>
    <row r="117" spans="1:9" x14ac:dyDescent="0.25">
      <c r="A117" s="49">
        <f>'A) Base RI'!A119</f>
        <v>5587</v>
      </c>
      <c r="B117" s="32" t="str">
        <f>'A) Base RI'!B119</f>
        <v>Le Mont-sur-Lausanne</v>
      </c>
      <c r="C117" s="95">
        <f>'A) Base RI'!AO119</f>
        <v>9136</v>
      </c>
      <c r="D117" s="110">
        <f>'D) Ecrêtage'!E117</f>
        <v>48.474249139235383</v>
      </c>
      <c r="E117" s="34">
        <f t="shared" si="7"/>
        <v>0</v>
      </c>
      <c r="F117" s="278">
        <f t="shared" si="8"/>
        <v>0</v>
      </c>
      <c r="G117" s="33">
        <f>+'A) Base RI'!AN119</f>
        <v>73.5</v>
      </c>
      <c r="H117" s="279">
        <f t="shared" si="9"/>
        <v>1.0921703804949325</v>
      </c>
      <c r="I117" s="55">
        <f t="shared" si="10"/>
        <v>0</v>
      </c>
    </row>
    <row r="118" spans="1:9" x14ac:dyDescent="0.25">
      <c r="A118" s="49">
        <f>'A) Base RI'!A120</f>
        <v>5588</v>
      </c>
      <c r="B118" s="32" t="str">
        <f>'A) Base RI'!B120</f>
        <v>Paudex</v>
      </c>
      <c r="C118" s="95">
        <f>'A) Base RI'!AO120</f>
        <v>1538</v>
      </c>
      <c r="D118" s="110">
        <f>'D) Ecrêtage'!E118</f>
        <v>88.068002343775106</v>
      </c>
      <c r="E118" s="34">
        <f t="shared" si="7"/>
        <v>0</v>
      </c>
      <c r="F118" s="278">
        <f t="shared" si="8"/>
        <v>0</v>
      </c>
      <c r="G118" s="33">
        <f>+'A) Base RI'!AN120</f>
        <v>66.5</v>
      </c>
      <c r="H118" s="279">
        <f t="shared" si="9"/>
        <v>0.98815415378112947</v>
      </c>
      <c r="I118" s="55">
        <f t="shared" si="10"/>
        <v>0</v>
      </c>
    </row>
    <row r="119" spans="1:9" x14ac:dyDescent="0.25">
      <c r="A119" s="49">
        <f>'A) Base RI'!A121</f>
        <v>5589</v>
      </c>
      <c r="B119" s="32" t="str">
        <f>'A) Base RI'!B121</f>
        <v>Prilly</v>
      </c>
      <c r="C119" s="95">
        <f>'A) Base RI'!AO121</f>
        <v>12383</v>
      </c>
      <c r="D119" s="110">
        <f>'D) Ecrêtage'!E119</f>
        <v>36.74531411443472</v>
      </c>
      <c r="E119" s="34">
        <f t="shared" si="7"/>
        <v>11.42768988803973</v>
      </c>
      <c r="F119" s="278">
        <f t="shared" si="8"/>
        <v>2770040.3170213914</v>
      </c>
      <c r="G119" s="33">
        <f>+'A) Base RI'!AN121</f>
        <v>72.5</v>
      </c>
      <c r="H119" s="279">
        <f t="shared" si="9"/>
        <v>1.0773109195358177</v>
      </c>
      <c r="I119" s="55">
        <f t="shared" si="10"/>
        <v>2984194.6810816033</v>
      </c>
    </row>
    <row r="120" spans="1:9" x14ac:dyDescent="0.25">
      <c r="A120" s="49">
        <f>'A) Base RI'!A122</f>
        <v>5590</v>
      </c>
      <c r="B120" s="32" t="str">
        <f>'A) Base RI'!B122</f>
        <v>Pully</v>
      </c>
      <c r="C120" s="95">
        <f>'A) Base RI'!AO122</f>
        <v>18688</v>
      </c>
      <c r="D120" s="110">
        <f>'D) Ecrêtage'!E120</f>
        <v>79.140602785090707</v>
      </c>
      <c r="E120" s="34">
        <f t="shared" si="7"/>
        <v>0</v>
      </c>
      <c r="F120" s="278">
        <f t="shared" si="8"/>
        <v>0</v>
      </c>
      <c r="G120" s="33">
        <f>+'A) Base RI'!AN122</f>
        <v>61</v>
      </c>
      <c r="H120" s="279">
        <f t="shared" si="9"/>
        <v>0.90642711850599844</v>
      </c>
      <c r="I120" s="55">
        <f t="shared" si="10"/>
        <v>0</v>
      </c>
    </row>
    <row r="121" spans="1:9" x14ac:dyDescent="0.25">
      <c r="A121" s="49">
        <f>'A) Base RI'!A123</f>
        <v>5591</v>
      </c>
      <c r="B121" s="32" t="str">
        <f>'A) Base RI'!B123</f>
        <v>Renens</v>
      </c>
      <c r="C121" s="95">
        <f>'A) Base RI'!AO123</f>
        <v>20863</v>
      </c>
      <c r="D121" s="110">
        <f>'D) Ecrêtage'!E121</f>
        <v>28.603201976637585</v>
      </c>
      <c r="E121" s="34">
        <f t="shared" si="7"/>
        <v>19.569802025836864</v>
      </c>
      <c r="F121" s="278">
        <f t="shared" si="8"/>
        <v>8488240.5692360681</v>
      </c>
      <c r="G121" s="33">
        <f>+'A) Base RI'!AN123</f>
        <v>77</v>
      </c>
      <c r="H121" s="279">
        <f t="shared" si="9"/>
        <v>1.144178493851834</v>
      </c>
      <c r="I121" s="55">
        <f t="shared" si="10"/>
        <v>9712062.309960559</v>
      </c>
    </row>
    <row r="122" spans="1:9" x14ac:dyDescent="0.25">
      <c r="A122" s="49">
        <f>'A) Base RI'!A124</f>
        <v>5592</v>
      </c>
      <c r="B122" s="32" t="str">
        <f>'A) Base RI'!B124</f>
        <v>Romanel-sur-Lausanne</v>
      </c>
      <c r="C122" s="95">
        <f>'A) Base RI'!AO124</f>
        <v>3247</v>
      </c>
      <c r="D122" s="110">
        <f>'D) Ecrêtage'!E122</f>
        <v>37.35517306755608</v>
      </c>
      <c r="E122" s="34">
        <f t="shared" si="7"/>
        <v>10.817830934918369</v>
      </c>
      <c r="F122" s="278">
        <f t="shared" si="8"/>
        <v>668613.83626451774</v>
      </c>
      <c r="G122" s="33">
        <f>+'A) Base RI'!AN124</f>
        <v>70.5</v>
      </c>
      <c r="H122" s="279">
        <f t="shared" si="9"/>
        <v>1.0475919976175883</v>
      </c>
      <c r="I122" s="55">
        <f t="shared" si="10"/>
        <v>700434.5043671052</v>
      </c>
    </row>
    <row r="123" spans="1:9" x14ac:dyDescent="0.25">
      <c r="A123" s="49">
        <f>'A) Base RI'!A125</f>
        <v>5601</v>
      </c>
      <c r="B123" s="32" t="str">
        <f>'A) Base RI'!B125</f>
        <v>Chexbres</v>
      </c>
      <c r="C123" s="95">
        <f>'A) Base RI'!AO125</f>
        <v>2251</v>
      </c>
      <c r="D123" s="110">
        <f>'D) Ecrêtage'!E123</f>
        <v>43.56820501176432</v>
      </c>
      <c r="E123" s="34">
        <f t="shared" si="7"/>
        <v>4.6047989907101297</v>
      </c>
      <c r="F123" s="278">
        <f t="shared" si="8"/>
        <v>188909.46107441295</v>
      </c>
      <c r="G123" s="33">
        <f>+'A) Base RI'!AN125</f>
        <v>67.5</v>
      </c>
      <c r="H123" s="279">
        <f t="shared" si="9"/>
        <v>1.0030136147402442</v>
      </c>
      <c r="I123" s="55">
        <f t="shared" si="10"/>
        <v>189478.76141087839</v>
      </c>
    </row>
    <row r="124" spans="1:9" x14ac:dyDescent="0.25">
      <c r="A124" s="49">
        <f>'A) Base RI'!A126</f>
        <v>5604</v>
      </c>
      <c r="B124" s="32" t="str">
        <f>'A) Base RI'!B126</f>
        <v>Forel (Lavaux)</v>
      </c>
      <c r="C124" s="95">
        <f>'A) Base RI'!AO126</f>
        <v>2105</v>
      </c>
      <c r="D124" s="110">
        <f>'D) Ecrêtage'!E124</f>
        <v>33.876444077248784</v>
      </c>
      <c r="E124" s="34">
        <f t="shared" si="7"/>
        <v>14.296559925225665</v>
      </c>
      <c r="F124" s="278">
        <f t="shared" si="8"/>
        <v>560656.03851163853</v>
      </c>
      <c r="G124" s="33">
        <f>+'A) Base RI'!AN126</f>
        <v>69</v>
      </c>
      <c r="H124" s="279">
        <f t="shared" si="9"/>
        <v>1.0253028061789162</v>
      </c>
      <c r="I124" s="55">
        <f t="shared" si="10"/>
        <v>574842.20958713756</v>
      </c>
    </row>
    <row r="125" spans="1:9" x14ac:dyDescent="0.25">
      <c r="A125" s="49">
        <f>'A) Base RI'!A127</f>
        <v>5606</v>
      </c>
      <c r="B125" s="32" t="str">
        <f>'A) Base RI'!B127</f>
        <v>Lutry</v>
      </c>
      <c r="C125" s="95">
        <f>'A) Base RI'!AO127</f>
        <v>10455</v>
      </c>
      <c r="D125" s="110">
        <f>'D) Ecrêtage'!E125</f>
        <v>83.714048077044737</v>
      </c>
      <c r="E125" s="34">
        <f t="shared" si="7"/>
        <v>0</v>
      </c>
      <c r="F125" s="278">
        <f t="shared" si="8"/>
        <v>0</v>
      </c>
      <c r="G125" s="33">
        <f>+'A) Base RI'!AN127</f>
        <v>54</v>
      </c>
      <c r="H125" s="279">
        <f t="shared" si="9"/>
        <v>0.80241089179219527</v>
      </c>
      <c r="I125" s="55">
        <f t="shared" si="10"/>
        <v>0</v>
      </c>
    </row>
    <row r="126" spans="1:9" x14ac:dyDescent="0.25">
      <c r="A126" s="49">
        <f>'A) Base RI'!A128</f>
        <v>5607</v>
      </c>
      <c r="B126" s="32" t="str">
        <f>'A) Base RI'!B128</f>
        <v>Puidoux</v>
      </c>
      <c r="C126" s="95">
        <f>'A) Base RI'!AO128</f>
        <v>2894</v>
      </c>
      <c r="D126" s="110">
        <f>'D) Ecrêtage'!E126</f>
        <v>35.571864205634967</v>
      </c>
      <c r="E126" s="34">
        <f t="shared" si="7"/>
        <v>12.601139796839483</v>
      </c>
      <c r="F126" s="278">
        <f t="shared" si="8"/>
        <v>674470.08509012894</v>
      </c>
      <c r="G126" s="33">
        <f>+'A) Base RI'!AN128</f>
        <v>68.5</v>
      </c>
      <c r="H126" s="279">
        <f t="shared" si="9"/>
        <v>1.0178730756993588</v>
      </c>
      <c r="I126" s="55">
        <f t="shared" si="10"/>
        <v>686524.9399778978</v>
      </c>
    </row>
    <row r="127" spans="1:9" x14ac:dyDescent="0.25">
      <c r="A127" s="49">
        <f>'A) Base RI'!A129</f>
        <v>5609</v>
      </c>
      <c r="B127" s="32" t="str">
        <f>'A) Base RI'!B129</f>
        <v>Rivaz</v>
      </c>
      <c r="C127" s="95">
        <f>'A) Base RI'!AO129</f>
        <v>337</v>
      </c>
      <c r="D127" s="110">
        <f>'D) Ecrêtage'!E127</f>
        <v>47.622701732554802</v>
      </c>
      <c r="E127" s="34">
        <f t="shared" si="7"/>
        <v>0.55030226991964781</v>
      </c>
      <c r="F127" s="278">
        <f t="shared" si="8"/>
        <v>3104.4642194793028</v>
      </c>
      <c r="G127" s="33">
        <f>+'A) Base RI'!AN129</f>
        <v>62</v>
      </c>
      <c r="H127" s="279">
        <f t="shared" si="9"/>
        <v>0.92128657946511316</v>
      </c>
      <c r="I127" s="55">
        <f t="shared" si="10"/>
        <v>2860.1012218359192</v>
      </c>
    </row>
    <row r="128" spans="1:9" x14ac:dyDescent="0.25">
      <c r="A128" s="49">
        <f>'A) Base RI'!A130</f>
        <v>5610</v>
      </c>
      <c r="B128" s="32" t="str">
        <f>'A) Base RI'!B130</f>
        <v>St-Saphorin (Lavaux)</v>
      </c>
      <c r="C128" s="95">
        <f>'A) Base RI'!AO130</f>
        <v>388</v>
      </c>
      <c r="D128" s="110">
        <f>'D) Ecrêtage'!E128</f>
        <v>49.519906452844587</v>
      </c>
      <c r="E128" s="34">
        <f t="shared" si="7"/>
        <v>0</v>
      </c>
      <c r="F128" s="278">
        <f t="shared" si="8"/>
        <v>0</v>
      </c>
      <c r="G128" s="33">
        <f>+'A) Base RI'!AN130</f>
        <v>72</v>
      </c>
      <c r="H128" s="279">
        <f t="shared" si="9"/>
        <v>1.0698811890562605</v>
      </c>
      <c r="I128" s="55">
        <f t="shared" si="10"/>
        <v>0</v>
      </c>
    </row>
    <row r="129" spans="1:9" x14ac:dyDescent="0.25">
      <c r="A129" s="49">
        <f>'A) Base RI'!A131</f>
        <v>5611</v>
      </c>
      <c r="B129" s="32" t="str">
        <f>'A) Base RI'!B131</f>
        <v>Savigny</v>
      </c>
      <c r="C129" s="95">
        <f>'A) Base RI'!AO131</f>
        <v>3348</v>
      </c>
      <c r="D129" s="110">
        <f>'D) Ecrêtage'!E129</f>
        <v>40.834927976324465</v>
      </c>
      <c r="E129" s="34">
        <f t="shared" si="7"/>
        <v>7.3380760261499844</v>
      </c>
      <c r="F129" s="278">
        <f t="shared" si="8"/>
        <v>457699.57711729931</v>
      </c>
      <c r="G129" s="33">
        <f>+'A) Base RI'!AN131</f>
        <v>69</v>
      </c>
      <c r="H129" s="279">
        <f t="shared" si="9"/>
        <v>1.0253028061789162</v>
      </c>
      <c r="I129" s="55">
        <f t="shared" si="10"/>
        <v>469280.66080527025</v>
      </c>
    </row>
    <row r="130" spans="1:9" x14ac:dyDescent="0.25">
      <c r="A130" s="49">
        <f>'A) Base RI'!A132</f>
        <v>5613</v>
      </c>
      <c r="B130" s="32" t="str">
        <f>'A) Base RI'!B132</f>
        <v>Bourg-en-Lavaux</v>
      </c>
      <c r="C130" s="95">
        <f>'A) Base RI'!AO132</f>
        <v>5389</v>
      </c>
      <c r="D130" s="110">
        <f>'D) Ecrêtage'!E130</f>
        <v>63.801851237706437</v>
      </c>
      <c r="E130" s="34">
        <f t="shared" si="7"/>
        <v>0</v>
      </c>
      <c r="F130" s="278">
        <f t="shared" si="8"/>
        <v>0</v>
      </c>
      <c r="G130" s="33">
        <f>+'A) Base RI'!AN132</f>
        <v>62.5</v>
      </c>
      <c r="H130" s="279">
        <f t="shared" si="9"/>
        <v>0.92871630994467047</v>
      </c>
      <c r="I130" s="55">
        <f t="shared" si="10"/>
        <v>0</v>
      </c>
    </row>
    <row r="131" spans="1:9" x14ac:dyDescent="0.25">
      <c r="A131" s="49">
        <f>'A) Base RI'!A133</f>
        <v>5621</v>
      </c>
      <c r="B131" s="32" t="str">
        <f>'A) Base RI'!B133</f>
        <v>Aclens</v>
      </c>
      <c r="C131" s="95">
        <f>'A) Base RI'!AO133</f>
        <v>528</v>
      </c>
      <c r="D131" s="110">
        <f>'D) Ecrêtage'!E131</f>
        <v>61.386197958322214</v>
      </c>
      <c r="E131" s="34">
        <f t="shared" si="7"/>
        <v>0</v>
      </c>
      <c r="F131" s="278">
        <f t="shared" si="8"/>
        <v>0</v>
      </c>
      <c r="G131" s="33">
        <f>+'A) Base RI'!AN133</f>
        <v>62</v>
      </c>
      <c r="H131" s="279">
        <f t="shared" si="9"/>
        <v>0.92128657946511316</v>
      </c>
      <c r="I131" s="55">
        <f t="shared" si="10"/>
        <v>0</v>
      </c>
    </row>
    <row r="132" spans="1:9" x14ac:dyDescent="0.25">
      <c r="A132" s="49">
        <f>'A) Base RI'!A134</f>
        <v>5622</v>
      </c>
      <c r="B132" s="32" t="str">
        <f>'A) Base RI'!B134</f>
        <v>Bremblens</v>
      </c>
      <c r="C132" s="95">
        <f>'A) Base RI'!AO134</f>
        <v>583</v>
      </c>
      <c r="D132" s="110">
        <f>'D) Ecrêtage'!E132</f>
        <v>47.689883210574102</v>
      </c>
      <c r="E132" s="34">
        <f t="shared" si="7"/>
        <v>0.48312079190034751</v>
      </c>
      <c r="F132" s="278">
        <f t="shared" si="8"/>
        <v>5171.2669820062929</v>
      </c>
      <c r="G132" s="33">
        <f>+'A) Base RI'!AN134</f>
        <v>68</v>
      </c>
      <c r="H132" s="279">
        <f t="shared" si="9"/>
        <v>1.0104433452198016</v>
      </c>
      <c r="I132" s="55">
        <f t="shared" si="10"/>
        <v>5225.2723083231458</v>
      </c>
    </row>
    <row r="133" spans="1:9" x14ac:dyDescent="0.25">
      <c r="A133" s="49">
        <f>'A) Base RI'!A135</f>
        <v>5623</v>
      </c>
      <c r="B133" s="32" t="str">
        <f>'A) Base RI'!B135</f>
        <v>Buchillon</v>
      </c>
      <c r="C133" s="95">
        <f>'A) Base RI'!AO135</f>
        <v>686</v>
      </c>
      <c r="D133" s="110">
        <f>'D) Ecrêtage'!E133</f>
        <v>137.60060103162144</v>
      </c>
      <c r="E133" s="34">
        <f t="shared" si="7"/>
        <v>0</v>
      </c>
      <c r="F133" s="278">
        <f t="shared" si="8"/>
        <v>0</v>
      </c>
      <c r="G133" s="33">
        <f>+'A) Base RI'!AN135</f>
        <v>52</v>
      </c>
      <c r="H133" s="279">
        <f t="shared" si="9"/>
        <v>0.77269196987396582</v>
      </c>
      <c r="I133" s="55">
        <f t="shared" si="10"/>
        <v>0</v>
      </c>
    </row>
    <row r="134" spans="1:9" x14ac:dyDescent="0.25">
      <c r="A134" s="49">
        <f>'A) Base RI'!A136</f>
        <v>5624</v>
      </c>
      <c r="B134" s="32" t="str">
        <f>'A) Base RI'!B136</f>
        <v>Bussigny</v>
      </c>
      <c r="C134" s="95">
        <f>'A) Base RI'!AO136</f>
        <v>9614</v>
      </c>
      <c r="D134" s="110">
        <f>'D) Ecrêtage'!E134</f>
        <v>36.838234990638647</v>
      </c>
      <c r="E134" s="34">
        <f t="shared" ref="E134:E197" si="11">IF($D$314-D134&lt;0,0,$D$314-D134)</f>
        <v>11.334769011835803</v>
      </c>
      <c r="F134" s="278">
        <f t="shared" ref="F134:F197" si="12">(C134*E134*G134)*$E$4</f>
        <v>1838910.4190964464</v>
      </c>
      <c r="G134" s="33">
        <f>+'A) Base RI'!AN136</f>
        <v>62.5</v>
      </c>
      <c r="H134" s="279">
        <f t="shared" ref="H134:H197" si="13">G134/$G$314</f>
        <v>0.92871630994467047</v>
      </c>
      <c r="I134" s="55">
        <f t="shared" ref="I134:I197" si="14">F134*H134</f>
        <v>1707826.0987420592</v>
      </c>
    </row>
    <row r="135" spans="1:9" x14ac:dyDescent="0.25">
      <c r="A135" s="49">
        <f>'A) Base RI'!A137</f>
        <v>5625</v>
      </c>
      <c r="B135" s="32" t="str">
        <f>'A) Base RI'!B137</f>
        <v>Bussy-Chardonney</v>
      </c>
      <c r="C135" s="95">
        <f>'A) Base RI'!AO137</f>
        <v>404</v>
      </c>
      <c r="D135" s="110">
        <f>'D) Ecrêtage'!E135</f>
        <v>43.91209431657451</v>
      </c>
      <c r="E135" s="34">
        <f t="shared" si="11"/>
        <v>4.2609096858999393</v>
      </c>
      <c r="F135" s="278">
        <f t="shared" si="12"/>
        <v>35788.062197423329</v>
      </c>
      <c r="G135" s="33">
        <f>+'A) Base RI'!AN137</f>
        <v>77</v>
      </c>
      <c r="H135" s="279">
        <f t="shared" si="13"/>
        <v>1.144178493851834</v>
      </c>
      <c r="I135" s="55">
        <f t="shared" si="14"/>
        <v>40947.931102923583</v>
      </c>
    </row>
    <row r="136" spans="1:9" x14ac:dyDescent="0.25">
      <c r="A136" s="49">
        <f>'A) Base RI'!A138</f>
        <v>5627</v>
      </c>
      <c r="B136" s="32" t="str">
        <f>'A) Base RI'!B138</f>
        <v>Chavannes-près-Renens</v>
      </c>
      <c r="C136" s="95">
        <f>'A) Base RI'!AO138</f>
        <v>8487</v>
      </c>
      <c r="D136" s="110">
        <f>'D) Ecrêtage'!E136</f>
        <v>19.076434754735583</v>
      </c>
      <c r="E136" s="34">
        <f t="shared" si="11"/>
        <v>29.096569247738866</v>
      </c>
      <c r="F136" s="278">
        <f t="shared" si="12"/>
        <v>5167273.5535763381</v>
      </c>
      <c r="G136" s="33">
        <f>+'A) Base RI'!AN138</f>
        <v>77.5</v>
      </c>
      <c r="H136" s="279">
        <f t="shared" si="13"/>
        <v>1.1516082243313914</v>
      </c>
      <c r="I136" s="55">
        <f t="shared" si="14"/>
        <v>5950674.7216686057</v>
      </c>
    </row>
    <row r="137" spans="1:9" x14ac:dyDescent="0.25">
      <c r="A137" s="49">
        <f>'A) Base RI'!A139</f>
        <v>5628</v>
      </c>
      <c r="B137" s="32" t="str">
        <f>'A) Base RI'!B139</f>
        <v>Chigny</v>
      </c>
      <c r="C137" s="95">
        <f>'A) Base RI'!AO139</f>
        <v>396</v>
      </c>
      <c r="D137" s="110">
        <f>'D) Ecrêtage'!E137</f>
        <v>62.183156972955366</v>
      </c>
      <c r="E137" s="34">
        <f t="shared" si="11"/>
        <v>0</v>
      </c>
      <c r="F137" s="278">
        <f t="shared" si="12"/>
        <v>0</v>
      </c>
      <c r="G137" s="33">
        <f>+'A) Base RI'!AN139</f>
        <v>62</v>
      </c>
      <c r="H137" s="279">
        <f t="shared" si="13"/>
        <v>0.92128657946511316</v>
      </c>
      <c r="I137" s="55">
        <f t="shared" si="14"/>
        <v>0</v>
      </c>
    </row>
    <row r="138" spans="1:9" x14ac:dyDescent="0.25">
      <c r="A138" s="49">
        <f>'A) Base RI'!A140</f>
        <v>5629</v>
      </c>
      <c r="B138" s="32" t="str">
        <f>'A) Base RI'!B140</f>
        <v>Clarmont</v>
      </c>
      <c r="C138" s="95">
        <f>'A) Base RI'!AO140</f>
        <v>201</v>
      </c>
      <c r="D138" s="110">
        <f>'D) Ecrêtage'!E138</f>
        <v>42.394327681321279</v>
      </c>
      <c r="E138" s="34">
        <f t="shared" si="11"/>
        <v>5.7786763211531706</v>
      </c>
      <c r="F138" s="278">
        <f t="shared" si="12"/>
        <v>23050.244150250219</v>
      </c>
      <c r="G138" s="33">
        <f>+'A) Base RI'!AN140</f>
        <v>73.5</v>
      </c>
      <c r="H138" s="279">
        <f t="shared" si="13"/>
        <v>1.0921703804949325</v>
      </c>
      <c r="I138" s="55">
        <f t="shared" si="14"/>
        <v>25174.793924079873</v>
      </c>
    </row>
    <row r="139" spans="1:9" x14ac:dyDescent="0.25">
      <c r="A139" s="49">
        <f>'A) Base RI'!A141</f>
        <v>5631</v>
      </c>
      <c r="B139" s="32" t="str">
        <f>'A) Base RI'!B141</f>
        <v>Denens</v>
      </c>
      <c r="C139" s="95">
        <f>'A) Base RI'!AO141</f>
        <v>742</v>
      </c>
      <c r="D139" s="110">
        <f>'D) Ecrêtage'!E139</f>
        <v>58.564881877279205</v>
      </c>
      <c r="E139" s="34">
        <f t="shared" si="11"/>
        <v>0</v>
      </c>
      <c r="F139" s="278">
        <f t="shared" si="12"/>
        <v>0</v>
      </c>
      <c r="G139" s="33">
        <f>+'A) Base RI'!AN141</f>
        <v>68</v>
      </c>
      <c r="H139" s="279">
        <f t="shared" si="13"/>
        <v>1.0104433452198016</v>
      </c>
      <c r="I139" s="55">
        <f t="shared" si="14"/>
        <v>0</v>
      </c>
    </row>
    <row r="140" spans="1:9" x14ac:dyDescent="0.25">
      <c r="A140" s="49">
        <f>'A) Base RI'!A142</f>
        <v>5632</v>
      </c>
      <c r="B140" s="32" t="str">
        <f>'A) Base RI'!B142</f>
        <v>Denges</v>
      </c>
      <c r="C140" s="95">
        <f>'A) Base RI'!AO142</f>
        <v>1730</v>
      </c>
      <c r="D140" s="110">
        <f>'D) Ecrêtage'!E140</f>
        <v>44.208073279880658</v>
      </c>
      <c r="E140" s="34">
        <f t="shared" si="11"/>
        <v>3.9649307225937918</v>
      </c>
      <c r="F140" s="278">
        <f t="shared" si="12"/>
        <v>114825.18671246074</v>
      </c>
      <c r="G140" s="33">
        <f>+'A) Base RI'!AN142</f>
        <v>62</v>
      </c>
      <c r="H140" s="279">
        <f t="shared" si="13"/>
        <v>0.92128657946511316</v>
      </c>
      <c r="I140" s="55">
        <f t="shared" si="14"/>
        <v>105786.90350276591</v>
      </c>
    </row>
    <row r="141" spans="1:9" x14ac:dyDescent="0.25">
      <c r="A141" s="49">
        <f>'A) Base RI'!A143</f>
        <v>5633</v>
      </c>
      <c r="B141" s="32" t="str">
        <f>'A) Base RI'!B143</f>
        <v>Echandens</v>
      </c>
      <c r="C141" s="95">
        <f>'A) Base RI'!AO143</f>
        <v>2743</v>
      </c>
      <c r="D141" s="110">
        <f>'D) Ecrêtage'!E141</f>
        <v>54.271042322606313</v>
      </c>
      <c r="E141" s="34">
        <f t="shared" si="11"/>
        <v>0</v>
      </c>
      <c r="F141" s="278">
        <f t="shared" si="12"/>
        <v>0</v>
      </c>
      <c r="G141" s="33">
        <f>+'A) Base RI'!AN143</f>
        <v>60.5</v>
      </c>
      <c r="H141" s="279">
        <f t="shared" si="13"/>
        <v>0.89899738802644102</v>
      </c>
      <c r="I141" s="55">
        <f t="shared" si="14"/>
        <v>0</v>
      </c>
    </row>
    <row r="142" spans="1:9" x14ac:dyDescent="0.25">
      <c r="A142" s="49">
        <f>'A) Base RI'!A144</f>
        <v>5634</v>
      </c>
      <c r="B142" s="32" t="str">
        <f>'A) Base RI'!B144</f>
        <v>Echichens</v>
      </c>
      <c r="C142" s="95">
        <f>'A) Base RI'!AO144</f>
        <v>3127</v>
      </c>
      <c r="D142" s="110">
        <f>'D) Ecrêtage'!E142</f>
        <v>52.503229351396932</v>
      </c>
      <c r="E142" s="34">
        <f t="shared" si="11"/>
        <v>0</v>
      </c>
      <c r="F142" s="278">
        <f t="shared" si="12"/>
        <v>0</v>
      </c>
      <c r="G142" s="33">
        <f>+'A) Base RI'!AN144</f>
        <v>66</v>
      </c>
      <c r="H142" s="279">
        <f t="shared" si="13"/>
        <v>0.98072442330157206</v>
      </c>
      <c r="I142" s="55">
        <f t="shared" si="14"/>
        <v>0</v>
      </c>
    </row>
    <row r="143" spans="1:9" x14ac:dyDescent="0.25">
      <c r="A143" s="49">
        <f>'A) Base RI'!A145</f>
        <v>5635</v>
      </c>
      <c r="B143" s="32" t="str">
        <f>'A) Base RI'!B145</f>
        <v>Ecublens</v>
      </c>
      <c r="C143" s="95">
        <f>'A) Base RI'!AO145</f>
        <v>13164</v>
      </c>
      <c r="D143" s="110">
        <f>'D) Ecrêtage'!E143</f>
        <v>51.788164166919891</v>
      </c>
      <c r="E143" s="34">
        <f t="shared" si="11"/>
        <v>0</v>
      </c>
      <c r="F143" s="278">
        <f t="shared" si="12"/>
        <v>0</v>
      </c>
      <c r="G143" s="33">
        <f>+'A) Base RI'!AN145</f>
        <v>62.5</v>
      </c>
      <c r="H143" s="279">
        <f t="shared" si="13"/>
        <v>0.92871630994467047</v>
      </c>
      <c r="I143" s="55">
        <f t="shared" si="14"/>
        <v>0</v>
      </c>
    </row>
    <row r="144" spans="1:9" x14ac:dyDescent="0.25">
      <c r="A144" s="49">
        <f>'A) Base RI'!A146</f>
        <v>5636</v>
      </c>
      <c r="B144" s="32" t="str">
        <f>'A) Base RI'!B146</f>
        <v>Etoy</v>
      </c>
      <c r="C144" s="95">
        <f>'A) Base RI'!AO146</f>
        <v>2909</v>
      </c>
      <c r="D144" s="110">
        <f>'D) Ecrêtage'!E144</f>
        <v>58.685273633551041</v>
      </c>
      <c r="E144" s="34">
        <f t="shared" si="11"/>
        <v>0</v>
      </c>
      <c r="F144" s="278">
        <f t="shared" si="12"/>
        <v>0</v>
      </c>
      <c r="G144" s="33">
        <f>+'A) Base RI'!AN146</f>
        <v>60</v>
      </c>
      <c r="H144" s="279">
        <f t="shared" si="13"/>
        <v>0.89156765754688372</v>
      </c>
      <c r="I144" s="55">
        <f t="shared" si="14"/>
        <v>0</v>
      </c>
    </row>
    <row r="145" spans="1:9" x14ac:dyDescent="0.25">
      <c r="A145" s="49">
        <f>'A) Base RI'!A147</f>
        <v>5637</v>
      </c>
      <c r="B145" s="32" t="str">
        <f>'A) Base RI'!B147</f>
        <v>Lavigny</v>
      </c>
      <c r="C145" s="95">
        <f>'A) Base RI'!AO147</f>
        <v>1008</v>
      </c>
      <c r="D145" s="110">
        <f>'D) Ecrêtage'!E145</f>
        <v>40.867717574472714</v>
      </c>
      <c r="E145" s="34">
        <f t="shared" si="11"/>
        <v>7.305286428001736</v>
      </c>
      <c r="F145" s="278">
        <f t="shared" si="12"/>
        <v>145139.09305988153</v>
      </c>
      <c r="G145" s="33">
        <f>+'A) Base RI'!AN147</f>
        <v>73</v>
      </c>
      <c r="H145" s="279">
        <f t="shared" si="13"/>
        <v>1.0847406500153751</v>
      </c>
      <c r="I145" s="55">
        <f t="shared" si="14"/>
        <v>157438.2741484179</v>
      </c>
    </row>
    <row r="146" spans="1:9" x14ac:dyDescent="0.25">
      <c r="A146" s="49">
        <f>'A) Base RI'!A148</f>
        <v>5638</v>
      </c>
      <c r="B146" s="32" t="str">
        <f>'A) Base RI'!B148</f>
        <v>Lonay</v>
      </c>
      <c r="C146" s="95">
        <f>'A) Base RI'!AO148</f>
        <v>2679</v>
      </c>
      <c r="D146" s="110">
        <f>'D) Ecrêtage'!E146</f>
        <v>54.307584851878239</v>
      </c>
      <c r="E146" s="34">
        <f t="shared" si="11"/>
        <v>0</v>
      </c>
      <c r="F146" s="278">
        <f t="shared" si="12"/>
        <v>0</v>
      </c>
      <c r="G146" s="33">
        <f>+'A) Base RI'!AN148</f>
        <v>55</v>
      </c>
      <c r="H146" s="279">
        <f t="shared" si="13"/>
        <v>0.8172703527513101</v>
      </c>
      <c r="I146" s="55">
        <f t="shared" si="14"/>
        <v>0</v>
      </c>
    </row>
    <row r="147" spans="1:9" x14ac:dyDescent="0.25">
      <c r="A147" s="49">
        <f>'A) Base RI'!A149</f>
        <v>5639</v>
      </c>
      <c r="B147" s="32" t="str">
        <f>'A) Base RI'!B149</f>
        <v>Lully</v>
      </c>
      <c r="C147" s="95">
        <f>'A) Base RI'!AO149</f>
        <v>825</v>
      </c>
      <c r="D147" s="110">
        <f>'D) Ecrêtage'!E147</f>
        <v>55.300720317933433</v>
      </c>
      <c r="E147" s="34">
        <f t="shared" si="11"/>
        <v>0</v>
      </c>
      <c r="F147" s="278">
        <f t="shared" si="12"/>
        <v>0</v>
      </c>
      <c r="G147" s="33">
        <f>+'A) Base RI'!AN149</f>
        <v>61</v>
      </c>
      <c r="H147" s="279">
        <f t="shared" si="13"/>
        <v>0.90642711850599844</v>
      </c>
      <c r="I147" s="55">
        <f t="shared" si="14"/>
        <v>0</v>
      </c>
    </row>
    <row r="148" spans="1:9" x14ac:dyDescent="0.25">
      <c r="A148" s="49">
        <f>'A) Base RI'!A150</f>
        <v>5640</v>
      </c>
      <c r="B148" s="32" t="str">
        <f>'A) Base RI'!B150</f>
        <v>Lussy-sur-Morges</v>
      </c>
      <c r="C148" s="95">
        <f>'A) Base RI'!AO150</f>
        <v>722</v>
      </c>
      <c r="D148" s="110">
        <f>'D) Ecrêtage'!E148</f>
        <v>78.991042138839916</v>
      </c>
      <c r="E148" s="34">
        <f t="shared" si="11"/>
        <v>0</v>
      </c>
      <c r="F148" s="278">
        <f t="shared" si="12"/>
        <v>0</v>
      </c>
      <c r="G148" s="33">
        <f>+'A) Base RI'!AN150</f>
        <v>66</v>
      </c>
      <c r="H148" s="279">
        <f t="shared" si="13"/>
        <v>0.98072442330157206</v>
      </c>
      <c r="I148" s="55">
        <f t="shared" si="14"/>
        <v>0</v>
      </c>
    </row>
    <row r="149" spans="1:9" x14ac:dyDescent="0.25">
      <c r="A149" s="49">
        <f>'A) Base RI'!A151</f>
        <v>5642</v>
      </c>
      <c r="B149" s="32" t="str">
        <f>'A) Base RI'!B151</f>
        <v>Morges</v>
      </c>
      <c r="C149" s="95">
        <f>'A) Base RI'!AO151</f>
        <v>16095</v>
      </c>
      <c r="D149" s="110">
        <f>'D) Ecrêtage'!E149</f>
        <v>48.929053372466662</v>
      </c>
      <c r="E149" s="34">
        <f t="shared" si="11"/>
        <v>0</v>
      </c>
      <c r="F149" s="278">
        <f t="shared" si="12"/>
        <v>0</v>
      </c>
      <c r="G149" s="33">
        <f>+'A) Base RI'!AN151</f>
        <v>67</v>
      </c>
      <c r="H149" s="279">
        <f t="shared" si="13"/>
        <v>0.99558388426068678</v>
      </c>
      <c r="I149" s="55">
        <f t="shared" si="14"/>
        <v>0</v>
      </c>
    </row>
    <row r="150" spans="1:9" x14ac:dyDescent="0.25">
      <c r="A150" s="49">
        <f>'A) Base RI'!A152</f>
        <v>5643</v>
      </c>
      <c r="B150" s="32" t="str">
        <f>'A) Base RI'!B152</f>
        <v>Préverenges</v>
      </c>
      <c r="C150" s="95">
        <f>'A) Base RI'!AO152</f>
        <v>5241</v>
      </c>
      <c r="D150" s="110">
        <f>'D) Ecrêtage'!E150</f>
        <v>50.054831459645101</v>
      </c>
      <c r="E150" s="34">
        <f t="shared" si="11"/>
        <v>0</v>
      </c>
      <c r="F150" s="278">
        <f t="shared" si="12"/>
        <v>0</v>
      </c>
      <c r="G150" s="33">
        <f>+'A) Base RI'!AN152</f>
        <v>62.5</v>
      </c>
      <c r="H150" s="279">
        <f t="shared" si="13"/>
        <v>0.92871630994467047</v>
      </c>
      <c r="I150" s="55">
        <f t="shared" si="14"/>
        <v>0</v>
      </c>
    </row>
    <row r="151" spans="1:9" x14ac:dyDescent="0.25">
      <c r="A151" s="49">
        <f>'A) Base RI'!A153</f>
        <v>5644</v>
      </c>
      <c r="B151" s="32" t="str">
        <f>'A) Base RI'!B153</f>
        <v>Reverolle</v>
      </c>
      <c r="C151" s="95">
        <f>'A) Base RI'!AO153</f>
        <v>407</v>
      </c>
      <c r="D151" s="110">
        <f>'D) Ecrêtage'!E151</f>
        <v>39.363014808420218</v>
      </c>
      <c r="E151" s="34">
        <f t="shared" si="11"/>
        <v>8.8099891940542321</v>
      </c>
      <c r="F151" s="278">
        <f t="shared" si="12"/>
        <v>71641.598727561854</v>
      </c>
      <c r="G151" s="33">
        <f>+'A) Base RI'!AN153</f>
        <v>74</v>
      </c>
      <c r="H151" s="279">
        <f t="shared" si="13"/>
        <v>1.09960011097449</v>
      </c>
      <c r="I151" s="55">
        <f t="shared" si="14"/>
        <v>78777.109911216889</v>
      </c>
    </row>
    <row r="152" spans="1:9" x14ac:dyDescent="0.25">
      <c r="A152" s="49">
        <f>'A) Base RI'!A154</f>
        <v>5645</v>
      </c>
      <c r="B152" s="32" t="str">
        <f>'A) Base RI'!B154</f>
        <v>Romanel-sur-Morges</v>
      </c>
      <c r="C152" s="95">
        <f>'A) Base RI'!AO154</f>
        <v>466</v>
      </c>
      <c r="D152" s="110">
        <f>'D) Ecrêtage'!E152</f>
        <v>58.723464515634589</v>
      </c>
      <c r="E152" s="34">
        <f t="shared" si="11"/>
        <v>0</v>
      </c>
      <c r="F152" s="278">
        <f t="shared" si="12"/>
        <v>0</v>
      </c>
      <c r="G152" s="33">
        <f>+'A) Base RI'!AN154</f>
        <v>56</v>
      </c>
      <c r="H152" s="279">
        <f t="shared" si="13"/>
        <v>0.83212981371042483</v>
      </c>
      <c r="I152" s="55">
        <f t="shared" si="14"/>
        <v>0</v>
      </c>
    </row>
    <row r="153" spans="1:9" x14ac:dyDescent="0.25">
      <c r="A153" s="49">
        <f>'A) Base RI'!A155</f>
        <v>5646</v>
      </c>
      <c r="B153" s="32" t="str">
        <f>'A) Base RI'!B155</f>
        <v>Saint-Prex</v>
      </c>
      <c r="C153" s="95">
        <f>'A) Base RI'!AO155</f>
        <v>5865</v>
      </c>
      <c r="D153" s="110">
        <f>'D) Ecrêtage'!E153</f>
        <v>92.257916608540654</v>
      </c>
      <c r="E153" s="34">
        <f t="shared" si="11"/>
        <v>0</v>
      </c>
      <c r="F153" s="278">
        <f t="shared" si="12"/>
        <v>0</v>
      </c>
      <c r="G153" s="33">
        <f>+'A) Base RI'!AN155</f>
        <v>55</v>
      </c>
      <c r="H153" s="279">
        <f t="shared" si="13"/>
        <v>0.8172703527513101</v>
      </c>
      <c r="I153" s="55">
        <f t="shared" si="14"/>
        <v>0</v>
      </c>
    </row>
    <row r="154" spans="1:9" x14ac:dyDescent="0.25">
      <c r="A154" s="49">
        <f>'A) Base RI'!A156</f>
        <v>5648</v>
      </c>
      <c r="B154" s="32" t="str">
        <f>'A) Base RI'!B156</f>
        <v>Saint-Sulpice</v>
      </c>
      <c r="C154" s="95">
        <f>'A) Base RI'!AO156</f>
        <v>4909</v>
      </c>
      <c r="D154" s="110">
        <f>'D) Ecrêtage'!E154</f>
        <v>80.761490397970334</v>
      </c>
      <c r="E154" s="34">
        <f t="shared" si="11"/>
        <v>0</v>
      </c>
      <c r="F154" s="278">
        <f t="shared" si="12"/>
        <v>0</v>
      </c>
      <c r="G154" s="33">
        <f>+'A) Base RI'!AN156</f>
        <v>55</v>
      </c>
      <c r="H154" s="279">
        <f t="shared" si="13"/>
        <v>0.8172703527513101</v>
      </c>
      <c r="I154" s="55">
        <f t="shared" si="14"/>
        <v>0</v>
      </c>
    </row>
    <row r="155" spans="1:9" x14ac:dyDescent="0.25">
      <c r="A155" s="49">
        <f>'A) Base RI'!A157</f>
        <v>5649</v>
      </c>
      <c r="B155" s="32" t="str">
        <f>'A) Base RI'!B157</f>
        <v>Tolochenaz</v>
      </c>
      <c r="C155" s="95">
        <f>'A) Base RI'!AO157</f>
        <v>1889</v>
      </c>
      <c r="D155" s="110">
        <f>'D) Ecrêtage'!E155</f>
        <v>114.10711788899293</v>
      </c>
      <c r="E155" s="34">
        <f t="shared" si="11"/>
        <v>0</v>
      </c>
      <c r="F155" s="278">
        <f t="shared" si="12"/>
        <v>0</v>
      </c>
      <c r="G155" s="33">
        <f>+'A) Base RI'!AN157</f>
        <v>65</v>
      </c>
      <c r="H155" s="279">
        <f t="shared" si="13"/>
        <v>0.96586496234245733</v>
      </c>
      <c r="I155" s="55">
        <f t="shared" si="14"/>
        <v>0</v>
      </c>
    </row>
    <row r="156" spans="1:9" x14ac:dyDescent="0.25">
      <c r="A156" s="49">
        <f>'A) Base RI'!A158</f>
        <v>5650</v>
      </c>
      <c r="B156" s="32" t="str">
        <f>'A) Base RI'!B158</f>
        <v>Vaux-sur-Morges</v>
      </c>
      <c r="C156" s="95">
        <f>'A) Base RI'!AO158</f>
        <v>194</v>
      </c>
      <c r="D156" s="110">
        <f>'D) Ecrêtage'!E156</f>
        <v>324.7547901325479</v>
      </c>
      <c r="E156" s="34">
        <f t="shared" si="11"/>
        <v>0</v>
      </c>
      <c r="F156" s="278">
        <f t="shared" si="12"/>
        <v>0</v>
      </c>
      <c r="G156" s="33">
        <f>+'A) Base RI'!AN158</f>
        <v>56</v>
      </c>
      <c r="H156" s="279">
        <f t="shared" si="13"/>
        <v>0.83212981371042483</v>
      </c>
      <c r="I156" s="55">
        <f t="shared" si="14"/>
        <v>0</v>
      </c>
    </row>
    <row r="157" spans="1:9" x14ac:dyDescent="0.25">
      <c r="A157" s="49">
        <f>'A) Base RI'!A159</f>
        <v>5651</v>
      </c>
      <c r="B157" s="32" t="str">
        <f>'A) Base RI'!B159</f>
        <v>Villars-Sainte-Croix</v>
      </c>
      <c r="C157" s="95">
        <f>'A) Base RI'!AO159</f>
        <v>958</v>
      </c>
      <c r="D157" s="110">
        <f>'D) Ecrêtage'!E157</f>
        <v>58.181610621301274</v>
      </c>
      <c r="E157" s="34">
        <f t="shared" si="11"/>
        <v>0</v>
      </c>
      <c r="F157" s="278">
        <f t="shared" si="12"/>
        <v>0</v>
      </c>
      <c r="G157" s="33">
        <f>+'A) Base RI'!AN159</f>
        <v>60.5</v>
      </c>
      <c r="H157" s="279">
        <f t="shared" si="13"/>
        <v>0.89899738802644102</v>
      </c>
      <c r="I157" s="55">
        <f t="shared" si="14"/>
        <v>0</v>
      </c>
    </row>
    <row r="158" spans="1:9" x14ac:dyDescent="0.25">
      <c r="A158" s="49">
        <f>'A) Base RI'!A160</f>
        <v>5652</v>
      </c>
      <c r="B158" s="32" t="str">
        <f>'A) Base RI'!B160</f>
        <v>Villars-sous-Yens</v>
      </c>
      <c r="C158" s="95">
        <f>'A) Base RI'!AO160</f>
        <v>615</v>
      </c>
      <c r="D158" s="110">
        <f>'D) Ecrêtage'!E158</f>
        <v>41.727287797746399</v>
      </c>
      <c r="E158" s="34">
        <f t="shared" si="11"/>
        <v>6.4457162047280505</v>
      </c>
      <c r="F158" s="278">
        <f t="shared" si="12"/>
        <v>81343.649360427051</v>
      </c>
      <c r="G158" s="33">
        <f>+'A) Base RI'!AN160</f>
        <v>76</v>
      </c>
      <c r="H158" s="279">
        <f t="shared" si="13"/>
        <v>1.1293190328927194</v>
      </c>
      <c r="I158" s="55">
        <f t="shared" si="14"/>
        <v>91862.93142768195</v>
      </c>
    </row>
    <row r="159" spans="1:9" x14ac:dyDescent="0.25">
      <c r="A159" s="49">
        <f>'A) Base RI'!A161</f>
        <v>5653</v>
      </c>
      <c r="B159" s="32" t="str">
        <f>'A) Base RI'!B161</f>
        <v>Vufflens-le-Château</v>
      </c>
      <c r="C159" s="95">
        <f>'A) Base RI'!AO161</f>
        <v>870</v>
      </c>
      <c r="D159" s="110">
        <f>'D) Ecrêtage'!E159</f>
        <v>79.064407505648887</v>
      </c>
      <c r="E159" s="34">
        <f t="shared" si="11"/>
        <v>0</v>
      </c>
      <c r="F159" s="278">
        <f t="shared" si="12"/>
        <v>0</v>
      </c>
      <c r="G159" s="33">
        <f>+'A) Base RI'!AN161</f>
        <v>58.5</v>
      </c>
      <c r="H159" s="279">
        <f t="shared" si="13"/>
        <v>0.86927846610821158</v>
      </c>
      <c r="I159" s="55">
        <f t="shared" si="14"/>
        <v>0</v>
      </c>
    </row>
    <row r="160" spans="1:9" x14ac:dyDescent="0.25">
      <c r="A160" s="49">
        <f>'A) Base RI'!A162</f>
        <v>5654</v>
      </c>
      <c r="B160" s="32" t="str">
        <f>'A) Base RI'!B162</f>
        <v>Vullierens</v>
      </c>
      <c r="C160" s="95">
        <f>'A) Base RI'!AO162</f>
        <v>542</v>
      </c>
      <c r="D160" s="110">
        <f>'D) Ecrêtage'!E160</f>
        <v>35.545939745581663</v>
      </c>
      <c r="E160" s="34">
        <f t="shared" si="11"/>
        <v>12.627064256892787</v>
      </c>
      <c r="F160" s="278">
        <f t="shared" si="12"/>
        <v>140436.18833488048</v>
      </c>
      <c r="G160" s="33">
        <f>+'A) Base RI'!AN162</f>
        <v>76</v>
      </c>
      <c r="H160" s="279">
        <f t="shared" si="13"/>
        <v>1.1293190328927194</v>
      </c>
      <c r="I160" s="55">
        <f t="shared" si="14"/>
        <v>158597.26039348703</v>
      </c>
    </row>
    <row r="161" spans="1:9" x14ac:dyDescent="0.25">
      <c r="A161" s="49">
        <f>'A) Base RI'!A163</f>
        <v>5655</v>
      </c>
      <c r="B161" s="32" t="str">
        <f>'A) Base RI'!B163</f>
        <v>Yens</v>
      </c>
      <c r="C161" s="95">
        <f>'A) Base RI'!AO163</f>
        <v>1480</v>
      </c>
      <c r="D161" s="110">
        <f>'D) Ecrêtage'!E161</f>
        <v>61.44265006615008</v>
      </c>
      <c r="E161" s="34">
        <f t="shared" si="11"/>
        <v>0</v>
      </c>
      <c r="F161" s="278">
        <f t="shared" si="12"/>
        <v>0</v>
      </c>
      <c r="G161" s="33">
        <f>+'A) Base RI'!AN163</f>
        <v>71.5</v>
      </c>
      <c r="H161" s="279">
        <f t="shared" si="13"/>
        <v>1.0624514585767031</v>
      </c>
      <c r="I161" s="55">
        <f t="shared" si="14"/>
        <v>0</v>
      </c>
    </row>
    <row r="162" spans="1:9" x14ac:dyDescent="0.25">
      <c r="A162" s="49">
        <f>'A) Base RI'!A164</f>
        <v>5661</v>
      </c>
      <c r="B162" s="32" t="str">
        <f>'A) Base RI'!B164</f>
        <v>Boulens</v>
      </c>
      <c r="C162" s="95">
        <f>'A) Base RI'!AO164</f>
        <v>369</v>
      </c>
      <c r="D162" s="110">
        <f>'D) Ecrêtage'!E162</f>
        <v>27.555155684423973</v>
      </c>
      <c r="E162" s="34">
        <f t="shared" si="11"/>
        <v>20.617848318050477</v>
      </c>
      <c r="F162" s="278">
        <f t="shared" si="12"/>
        <v>146872.1702968069</v>
      </c>
      <c r="G162" s="33">
        <f>+'A) Base RI'!AN164</f>
        <v>71.5</v>
      </c>
      <c r="H162" s="279">
        <f t="shared" si="13"/>
        <v>1.0624514585767031</v>
      </c>
      <c r="I162" s="55">
        <f t="shared" si="14"/>
        <v>156044.55155616842</v>
      </c>
    </row>
    <row r="163" spans="1:9" x14ac:dyDescent="0.25">
      <c r="A163" s="49">
        <f>'A) Base RI'!A165</f>
        <v>5663</v>
      </c>
      <c r="B163" s="32" t="str">
        <f>'A) Base RI'!B165</f>
        <v>Bussy-sur-Moudon</v>
      </c>
      <c r="C163" s="95">
        <f>'A) Base RI'!AO165</f>
        <v>219</v>
      </c>
      <c r="D163" s="110">
        <f>'D) Ecrêtage'!E163</f>
        <v>24.694650684931506</v>
      </c>
      <c r="E163" s="34">
        <f t="shared" si="11"/>
        <v>23.478353317542943</v>
      </c>
      <c r="F163" s="278">
        <f t="shared" si="12"/>
        <v>111062.00253330515</v>
      </c>
      <c r="G163" s="33">
        <f>+'A) Base RI'!AN165</f>
        <v>80</v>
      </c>
      <c r="H163" s="279">
        <f t="shared" si="13"/>
        <v>1.1887568767291783</v>
      </c>
      <c r="I163" s="55">
        <f t="shared" si="14"/>
        <v>132025.71925477992</v>
      </c>
    </row>
    <row r="164" spans="1:9" x14ac:dyDescent="0.25">
      <c r="A164" s="49">
        <f>'A) Base RI'!A166</f>
        <v>5665</v>
      </c>
      <c r="B164" s="32" t="str">
        <f>'A) Base RI'!B166</f>
        <v>Chavannes-sur-Moudon</v>
      </c>
      <c r="C164" s="95">
        <f>'A) Base RI'!AO166</f>
        <v>223</v>
      </c>
      <c r="D164" s="110">
        <f>'D) Ecrêtage'!E164</f>
        <v>30.649426868972299</v>
      </c>
      <c r="E164" s="34">
        <f t="shared" si="11"/>
        <v>17.523577133502151</v>
      </c>
      <c r="F164" s="278">
        <f t="shared" si="12"/>
        <v>77021.904282196003</v>
      </c>
      <c r="G164" s="33">
        <f>+'A) Base RI'!AN166</f>
        <v>73</v>
      </c>
      <c r="H164" s="279">
        <f t="shared" si="13"/>
        <v>1.0847406500153751</v>
      </c>
      <c r="I164" s="55">
        <f t="shared" si="14"/>
        <v>83548.790516491295</v>
      </c>
    </row>
    <row r="165" spans="1:9" x14ac:dyDescent="0.25">
      <c r="A165" s="49">
        <f>'A) Base RI'!A167</f>
        <v>5669</v>
      </c>
      <c r="B165" s="32" t="str">
        <f>'A) Base RI'!B167</f>
        <v>Curtilles</v>
      </c>
      <c r="C165" s="95">
        <f>'A) Base RI'!AO167</f>
        <v>301</v>
      </c>
      <c r="D165" s="110">
        <f>'D) Ecrêtage'!E165</f>
        <v>34.175594593364579</v>
      </c>
      <c r="E165" s="34">
        <f t="shared" si="11"/>
        <v>13.997409409109871</v>
      </c>
      <c r="F165" s="278">
        <f t="shared" si="12"/>
        <v>83042.570775520217</v>
      </c>
      <c r="G165" s="33">
        <f>+'A) Base RI'!AN167</f>
        <v>73</v>
      </c>
      <c r="H165" s="279">
        <f t="shared" si="13"/>
        <v>1.0847406500153751</v>
      </c>
      <c r="I165" s="55">
        <f t="shared" si="14"/>
        <v>90079.652201985591</v>
      </c>
    </row>
    <row r="166" spans="1:9" x14ac:dyDescent="0.25">
      <c r="A166" s="49">
        <f>'A) Base RI'!A168</f>
        <v>5671</v>
      </c>
      <c r="B166" s="32" t="str">
        <f>'A) Base RI'!B168</f>
        <v>Dompierre</v>
      </c>
      <c r="C166" s="95">
        <f>'A) Base RI'!AO168</f>
        <v>245</v>
      </c>
      <c r="D166" s="110">
        <f>'D) Ecrêtage'!E166</f>
        <v>24.628839874411305</v>
      </c>
      <c r="E166" s="34">
        <f t="shared" si="11"/>
        <v>23.544164128063144</v>
      </c>
      <c r="F166" s="278">
        <f t="shared" si="12"/>
        <v>121480.82365156741</v>
      </c>
      <c r="G166" s="33">
        <f>+'A) Base RI'!AN168</f>
        <v>78</v>
      </c>
      <c r="H166" s="279">
        <f t="shared" si="13"/>
        <v>1.1590379548109488</v>
      </c>
      <c r="I166" s="55">
        <f t="shared" si="14"/>
        <v>140800.88539386223</v>
      </c>
    </row>
    <row r="167" spans="1:9" x14ac:dyDescent="0.25">
      <c r="A167" s="49">
        <f>'A) Base RI'!A169</f>
        <v>5673</v>
      </c>
      <c r="B167" s="32" t="str">
        <f>'A) Base RI'!B169</f>
        <v>Hermenches</v>
      </c>
      <c r="C167" s="95">
        <f>'A) Base RI'!AO169</f>
        <v>384</v>
      </c>
      <c r="D167" s="110">
        <f>'D) Ecrêtage'!E167</f>
        <v>27.705021967120185</v>
      </c>
      <c r="E167" s="34">
        <f t="shared" si="11"/>
        <v>20.467982035354265</v>
      </c>
      <c r="F167" s="278">
        <f t="shared" si="12"/>
        <v>155975.84774077646</v>
      </c>
      <c r="G167" s="33">
        <f>+'A) Base RI'!AN169</f>
        <v>73.5</v>
      </c>
      <c r="H167" s="279">
        <f t="shared" si="13"/>
        <v>1.0921703804949325</v>
      </c>
      <c r="I167" s="55">
        <f t="shared" si="14"/>
        <v>170352.20097506349</v>
      </c>
    </row>
    <row r="168" spans="1:9" x14ac:dyDescent="0.25">
      <c r="A168" s="49">
        <f>'A) Base RI'!A170</f>
        <v>5674</v>
      </c>
      <c r="B168" s="32" t="str">
        <f>'A) Base RI'!B170</f>
        <v>Lovatens</v>
      </c>
      <c r="C168" s="95">
        <f>'A) Base RI'!AO170</f>
        <v>142</v>
      </c>
      <c r="D168" s="110">
        <f>'D) Ecrêtage'!E168</f>
        <v>24.160155197853797</v>
      </c>
      <c r="E168" s="34">
        <f t="shared" si="11"/>
        <v>24.012848804620653</v>
      </c>
      <c r="F168" s="278">
        <f t="shared" si="12"/>
        <v>69048.946737686681</v>
      </c>
      <c r="G168" s="33">
        <f>+'A) Base RI'!AN170</f>
        <v>75</v>
      </c>
      <c r="H168" s="279">
        <f t="shared" si="13"/>
        <v>1.1144595719336046</v>
      </c>
      <c r="I168" s="55">
        <f t="shared" si="14"/>
        <v>76952.259623748556</v>
      </c>
    </row>
    <row r="169" spans="1:9" x14ac:dyDescent="0.25">
      <c r="A169" s="49">
        <f>'A) Base RI'!A171</f>
        <v>5675</v>
      </c>
      <c r="B169" s="32" t="str">
        <f>'A) Base RI'!B171</f>
        <v>Lucens</v>
      </c>
      <c r="C169" s="95">
        <f>'A) Base RI'!AO171</f>
        <v>4309</v>
      </c>
      <c r="D169" s="110">
        <f>'D) Ecrêtage'!E169</f>
        <v>22.546813580220864</v>
      </c>
      <c r="E169" s="34">
        <f t="shared" si="11"/>
        <v>25.626190422253586</v>
      </c>
      <c r="F169" s="278">
        <f t="shared" si="12"/>
        <v>2012463.8137999682</v>
      </c>
      <c r="G169" s="33">
        <f>+'A) Base RI'!AN171</f>
        <v>67.5</v>
      </c>
      <c r="H169" s="279">
        <f t="shared" si="13"/>
        <v>1.0030136147402442</v>
      </c>
      <c r="I169" s="55">
        <f t="shared" si="14"/>
        <v>2018528.6044134439</v>
      </c>
    </row>
    <row r="170" spans="1:9" x14ac:dyDescent="0.25">
      <c r="A170" s="49">
        <f>'A) Base RI'!A172</f>
        <v>5678</v>
      </c>
      <c r="B170" s="32" t="str">
        <f>'A) Base RI'!B172</f>
        <v>Moudon</v>
      </c>
      <c r="C170" s="95">
        <f>'A) Base RI'!AO172</f>
        <v>6109</v>
      </c>
      <c r="D170" s="110">
        <f>'D) Ecrêtage'!E170</f>
        <v>20.455953285429636</v>
      </c>
      <c r="E170" s="34">
        <f t="shared" si="11"/>
        <v>27.717050717044813</v>
      </c>
      <c r="F170" s="278">
        <f t="shared" si="12"/>
        <v>3314506.7849056036</v>
      </c>
      <c r="G170" s="33">
        <f>+'A) Base RI'!AN172</f>
        <v>72.5</v>
      </c>
      <c r="H170" s="279">
        <f t="shared" si="13"/>
        <v>1.0773109195358177</v>
      </c>
      <c r="I170" s="55">
        <f t="shared" si="14"/>
        <v>3570754.3522543628</v>
      </c>
    </row>
    <row r="171" spans="1:9" x14ac:dyDescent="0.25">
      <c r="A171" s="49">
        <f>'A) Base RI'!A173</f>
        <v>5680</v>
      </c>
      <c r="B171" s="32" t="str">
        <f>'A) Base RI'!B173</f>
        <v>Ogens</v>
      </c>
      <c r="C171" s="95">
        <f>'A) Base RI'!AO173</f>
        <v>301</v>
      </c>
      <c r="D171" s="110">
        <f>'D) Ecrêtage'!E171</f>
        <v>28.820814663372804</v>
      </c>
      <c r="E171" s="34">
        <f t="shared" si="11"/>
        <v>19.352189339101646</v>
      </c>
      <c r="F171" s="278">
        <f t="shared" si="12"/>
        <v>122674.68935192568</v>
      </c>
      <c r="G171" s="33">
        <f>+'A) Base RI'!AN173</f>
        <v>78</v>
      </c>
      <c r="H171" s="279">
        <f t="shared" si="13"/>
        <v>1.1590379548109488</v>
      </c>
      <c r="I171" s="55">
        <f t="shared" si="14"/>
        <v>142184.62105352443</v>
      </c>
    </row>
    <row r="172" spans="1:9" x14ac:dyDescent="0.25">
      <c r="A172" s="49">
        <f>'A) Base RI'!A174</f>
        <v>5683</v>
      </c>
      <c r="B172" s="32" t="str">
        <f>'A) Base RI'!B174</f>
        <v>Prévonloup</v>
      </c>
      <c r="C172" s="95">
        <f>'A) Base RI'!AO174</f>
        <v>202</v>
      </c>
      <c r="D172" s="110">
        <f>'D) Ecrêtage'!E172</f>
        <v>24.782318197336977</v>
      </c>
      <c r="E172" s="34">
        <f t="shared" si="11"/>
        <v>23.390685805137473</v>
      </c>
      <c r="F172" s="278">
        <f t="shared" si="12"/>
        <v>92490.280276384336</v>
      </c>
      <c r="G172" s="33">
        <f>+'A) Base RI'!AN174</f>
        <v>72.5</v>
      </c>
      <c r="H172" s="279">
        <f t="shared" si="13"/>
        <v>1.0773109195358177</v>
      </c>
      <c r="I172" s="55">
        <f t="shared" si="14"/>
        <v>99640.788892677112</v>
      </c>
    </row>
    <row r="173" spans="1:9" x14ac:dyDescent="0.25">
      <c r="A173" s="49">
        <f>'A) Base RI'!A175</f>
        <v>5684</v>
      </c>
      <c r="B173" s="32" t="str">
        <f>'A) Base RI'!B175</f>
        <v>Rossenges</v>
      </c>
      <c r="C173" s="95">
        <f>'A) Base RI'!AO175</f>
        <v>84</v>
      </c>
      <c r="D173" s="110">
        <f>'D) Ecrêtage'!E173</f>
        <v>51.610992857142868</v>
      </c>
      <c r="E173" s="34">
        <f t="shared" si="11"/>
        <v>0</v>
      </c>
      <c r="F173" s="278">
        <f t="shared" si="12"/>
        <v>0</v>
      </c>
      <c r="G173" s="33">
        <f>+'A) Base RI'!AN175</f>
        <v>75</v>
      </c>
      <c r="H173" s="279">
        <f t="shared" si="13"/>
        <v>1.1144595719336046</v>
      </c>
      <c r="I173" s="55">
        <f t="shared" si="14"/>
        <v>0</v>
      </c>
    </row>
    <row r="174" spans="1:9" x14ac:dyDescent="0.25">
      <c r="A174" s="49">
        <f>'A) Base RI'!A176</f>
        <v>5688</v>
      </c>
      <c r="B174" s="32" t="str">
        <f>'A) Base RI'!B176</f>
        <v>Syens</v>
      </c>
      <c r="C174" s="95">
        <f>'A) Base RI'!AO176</f>
        <v>156</v>
      </c>
      <c r="D174" s="110">
        <f>'D) Ecrêtage'!E174</f>
        <v>32.654336250169585</v>
      </c>
      <c r="E174" s="34">
        <f t="shared" si="11"/>
        <v>15.518667752304864</v>
      </c>
      <c r="F174" s="278">
        <f t="shared" si="12"/>
        <v>49415.659200967319</v>
      </c>
      <c r="G174" s="33">
        <f>+'A) Base RI'!AN176</f>
        <v>75.599999999999994</v>
      </c>
      <c r="H174" s="279">
        <f t="shared" si="13"/>
        <v>1.1233752485090733</v>
      </c>
      <c r="I174" s="55">
        <f t="shared" si="14"/>
        <v>55512.328435126336</v>
      </c>
    </row>
    <row r="175" spans="1:9" x14ac:dyDescent="0.25">
      <c r="A175" s="49">
        <f>'A) Base RI'!A177</f>
        <v>5690</v>
      </c>
      <c r="B175" s="32" t="str">
        <f>'A) Base RI'!B177</f>
        <v>Villars-le-Comte</v>
      </c>
      <c r="C175" s="95">
        <f>'A) Base RI'!AO177</f>
        <v>120</v>
      </c>
      <c r="D175" s="110">
        <f>'D) Ecrêtage'!E175</f>
        <v>29.031490476190477</v>
      </c>
      <c r="E175" s="34">
        <f t="shared" si="11"/>
        <v>19.141513526283973</v>
      </c>
      <c r="F175" s="278">
        <f t="shared" si="12"/>
        <v>43412.952677612047</v>
      </c>
      <c r="G175" s="33">
        <f>+'A) Base RI'!AN177</f>
        <v>70</v>
      </c>
      <c r="H175" s="279">
        <f t="shared" si="13"/>
        <v>1.0401622671380311</v>
      </c>
      <c r="I175" s="55">
        <f t="shared" si="14"/>
        <v>45156.515280301006</v>
      </c>
    </row>
    <row r="176" spans="1:9" x14ac:dyDescent="0.25">
      <c r="A176" s="49">
        <f>'A) Base RI'!A178</f>
        <v>5692</v>
      </c>
      <c r="B176" s="32" t="str">
        <f>'A) Base RI'!B178</f>
        <v>Vucherens</v>
      </c>
      <c r="C176" s="95">
        <f>'A) Base RI'!AO178</f>
        <v>617</v>
      </c>
      <c r="D176" s="110">
        <f>'D) Ecrêtage'!E176</f>
        <v>29.310464122587309</v>
      </c>
      <c r="E176" s="34">
        <f t="shared" si="11"/>
        <v>18.862539879887141</v>
      </c>
      <c r="F176" s="278">
        <f t="shared" si="12"/>
        <v>241957.90993146072</v>
      </c>
      <c r="G176" s="33">
        <f>+'A) Base RI'!AN178</f>
        <v>77</v>
      </c>
      <c r="H176" s="279">
        <f t="shared" si="13"/>
        <v>1.144178493851834</v>
      </c>
      <c r="I176" s="55">
        <f t="shared" si="14"/>
        <v>276843.03696091642</v>
      </c>
    </row>
    <row r="177" spans="1:9" x14ac:dyDescent="0.25">
      <c r="A177" s="49">
        <f>'A) Base RI'!A179</f>
        <v>5693</v>
      </c>
      <c r="B177" s="32" t="str">
        <f>'A) Base RI'!B179</f>
        <v>Montanaire</v>
      </c>
      <c r="C177" s="95">
        <f>'A) Base RI'!AO179</f>
        <v>2782</v>
      </c>
      <c r="D177" s="110">
        <f>'D) Ecrêtage'!E177</f>
        <v>25.564534557472641</v>
      </c>
      <c r="E177" s="34">
        <f t="shared" si="11"/>
        <v>22.608469445001809</v>
      </c>
      <c r="F177" s="278">
        <f t="shared" si="12"/>
        <v>1222713.0532021434</v>
      </c>
      <c r="G177" s="33">
        <f>+'A) Base RI'!AN179</f>
        <v>72</v>
      </c>
      <c r="H177" s="279">
        <f t="shared" si="13"/>
        <v>1.0698811890562605</v>
      </c>
      <c r="I177" s="55">
        <f t="shared" si="14"/>
        <v>1308157.6952345199</v>
      </c>
    </row>
    <row r="178" spans="1:9" x14ac:dyDescent="0.25">
      <c r="A178" s="49">
        <f>'A) Base RI'!A180</f>
        <v>5701</v>
      </c>
      <c r="B178" s="32" t="str">
        <f>'A) Base RI'!B180</f>
        <v>Arnex-sur-Nyon</v>
      </c>
      <c r="C178" s="95">
        <f>'A) Base RI'!AO180</f>
        <v>240</v>
      </c>
      <c r="D178" s="110">
        <f>'D) Ecrêtage'!E178</f>
        <v>52.414132142857149</v>
      </c>
      <c r="E178" s="34">
        <f t="shared" si="11"/>
        <v>0</v>
      </c>
      <c r="F178" s="278">
        <f t="shared" si="12"/>
        <v>0</v>
      </c>
      <c r="G178" s="33">
        <f>+'A) Base RI'!AN180</f>
        <v>70</v>
      </c>
      <c r="H178" s="279">
        <f t="shared" si="13"/>
        <v>1.0401622671380311</v>
      </c>
      <c r="I178" s="55">
        <f t="shared" si="14"/>
        <v>0</v>
      </c>
    </row>
    <row r="179" spans="1:9" x14ac:dyDescent="0.25">
      <c r="A179" s="49">
        <f>'A) Base RI'!A181</f>
        <v>5702</v>
      </c>
      <c r="B179" s="32" t="str">
        <f>'A) Base RI'!B181</f>
        <v>Arzier-Le Muids</v>
      </c>
      <c r="C179" s="95">
        <f>'A) Base RI'!AO181</f>
        <v>2912</v>
      </c>
      <c r="D179" s="110">
        <f>'D) Ecrêtage'!E179</f>
        <v>57.606839675623853</v>
      </c>
      <c r="E179" s="34">
        <f t="shared" si="11"/>
        <v>0</v>
      </c>
      <c r="F179" s="278">
        <f t="shared" si="12"/>
        <v>0</v>
      </c>
      <c r="G179" s="33">
        <f>+'A) Base RI'!AN181</f>
        <v>64</v>
      </c>
      <c r="H179" s="279">
        <f t="shared" si="13"/>
        <v>0.95100550138334261</v>
      </c>
      <c r="I179" s="55">
        <f t="shared" si="14"/>
        <v>0</v>
      </c>
    </row>
    <row r="180" spans="1:9" x14ac:dyDescent="0.25">
      <c r="A180" s="49">
        <f>'A) Base RI'!A182</f>
        <v>5703</v>
      </c>
      <c r="B180" s="32" t="str">
        <f>'A) Base RI'!B182</f>
        <v>Bassins</v>
      </c>
      <c r="C180" s="95">
        <f>'A) Base RI'!AO182</f>
        <v>1475</v>
      </c>
      <c r="D180" s="110">
        <f>'D) Ecrêtage'!E180</f>
        <v>45.358890820739752</v>
      </c>
      <c r="E180" s="34">
        <f t="shared" si="11"/>
        <v>2.8141131817346974</v>
      </c>
      <c r="F180" s="278">
        <f t="shared" si="12"/>
        <v>81252.241660373635</v>
      </c>
      <c r="G180" s="33">
        <f>+'A) Base RI'!AN182</f>
        <v>72.5</v>
      </c>
      <c r="H180" s="279">
        <f t="shared" si="13"/>
        <v>1.0773109195358177</v>
      </c>
      <c r="I180" s="55">
        <f t="shared" si="14"/>
        <v>87533.927177483594</v>
      </c>
    </row>
    <row r="181" spans="1:9" x14ac:dyDescent="0.25">
      <c r="A181" s="49">
        <f>'A) Base RI'!A183</f>
        <v>5704</v>
      </c>
      <c r="B181" s="32" t="str">
        <f>'A) Base RI'!B183</f>
        <v>Begnins</v>
      </c>
      <c r="C181" s="95">
        <f>'A) Base RI'!AO183</f>
        <v>1928</v>
      </c>
      <c r="D181" s="110">
        <f>'D) Ecrêtage'!E181</f>
        <v>73.412237952973712</v>
      </c>
      <c r="E181" s="34">
        <f t="shared" si="11"/>
        <v>0</v>
      </c>
      <c r="F181" s="278">
        <f t="shared" si="12"/>
        <v>0</v>
      </c>
      <c r="G181" s="33">
        <f>+'A) Base RI'!AN183</f>
        <v>62.5</v>
      </c>
      <c r="H181" s="279">
        <f t="shared" si="13"/>
        <v>0.92871630994467047</v>
      </c>
      <c r="I181" s="55">
        <f t="shared" si="14"/>
        <v>0</v>
      </c>
    </row>
    <row r="182" spans="1:9" x14ac:dyDescent="0.25">
      <c r="A182" s="49">
        <f>'A) Base RI'!A184</f>
        <v>5705</v>
      </c>
      <c r="B182" s="32" t="str">
        <f>'A) Base RI'!B184</f>
        <v>Bogis-Bossey</v>
      </c>
      <c r="C182" s="95">
        <f>'A) Base RI'!AO184</f>
        <v>835</v>
      </c>
      <c r="D182" s="110">
        <f>'D) Ecrêtage'!E182</f>
        <v>67.244249166097333</v>
      </c>
      <c r="E182" s="34">
        <f t="shared" si="11"/>
        <v>0</v>
      </c>
      <c r="F182" s="278">
        <f t="shared" si="12"/>
        <v>0</v>
      </c>
      <c r="G182" s="33">
        <f>+'A) Base RI'!AN184</f>
        <v>74.5</v>
      </c>
      <c r="H182" s="279">
        <f t="shared" si="13"/>
        <v>1.1070298414540471</v>
      </c>
      <c r="I182" s="55">
        <f t="shared" si="14"/>
        <v>0</v>
      </c>
    </row>
    <row r="183" spans="1:9" x14ac:dyDescent="0.25">
      <c r="A183" s="49">
        <f>'A) Base RI'!A185</f>
        <v>5706</v>
      </c>
      <c r="B183" s="32" t="str">
        <f>'A) Base RI'!B185</f>
        <v>Borex</v>
      </c>
      <c r="C183" s="95">
        <f>'A) Base RI'!AO185</f>
        <v>1157</v>
      </c>
      <c r="D183" s="110">
        <f>'D) Ecrêtage'!E183</f>
        <v>72.651432015648453</v>
      </c>
      <c r="E183" s="34">
        <f t="shared" si="11"/>
        <v>0</v>
      </c>
      <c r="F183" s="278">
        <f t="shared" si="12"/>
        <v>0</v>
      </c>
      <c r="G183" s="33">
        <f>+'A) Base RI'!AN185</f>
        <v>57</v>
      </c>
      <c r="H183" s="279">
        <f t="shared" si="13"/>
        <v>0.84698927466953955</v>
      </c>
      <c r="I183" s="55">
        <f t="shared" si="14"/>
        <v>0</v>
      </c>
    </row>
    <row r="184" spans="1:9" x14ac:dyDescent="0.25">
      <c r="A184" s="49">
        <f>'A) Base RI'!A186</f>
        <v>5707</v>
      </c>
      <c r="B184" s="32" t="str">
        <f>'A) Base RI'!B186</f>
        <v>Chavannes-de-Bogis</v>
      </c>
      <c r="C184" s="95">
        <f>'A) Base RI'!AO186</f>
        <v>1329</v>
      </c>
      <c r="D184" s="110">
        <f>'D) Ecrêtage'!E184</f>
        <v>61.576614341437242</v>
      </c>
      <c r="E184" s="34">
        <f t="shared" si="11"/>
        <v>0</v>
      </c>
      <c r="F184" s="278">
        <f t="shared" si="12"/>
        <v>0</v>
      </c>
      <c r="G184" s="33">
        <f>+'A) Base RI'!AN186</f>
        <v>58</v>
      </c>
      <c r="H184" s="279">
        <f t="shared" si="13"/>
        <v>0.86184873562865427</v>
      </c>
      <c r="I184" s="55">
        <f t="shared" si="14"/>
        <v>0</v>
      </c>
    </row>
    <row r="185" spans="1:9" x14ac:dyDescent="0.25">
      <c r="A185" s="49">
        <f>'A) Base RI'!A187</f>
        <v>5708</v>
      </c>
      <c r="B185" s="32" t="str">
        <f>'A) Base RI'!B187</f>
        <v>Chavannes-des-Bois</v>
      </c>
      <c r="C185" s="95">
        <f>'A) Base RI'!AO187</f>
        <v>1013</v>
      </c>
      <c r="D185" s="110">
        <f>'D) Ecrêtage'!E185</f>
        <v>66.393003745427094</v>
      </c>
      <c r="E185" s="34">
        <f t="shared" si="11"/>
        <v>0</v>
      </c>
      <c r="F185" s="278">
        <f t="shared" si="12"/>
        <v>0</v>
      </c>
      <c r="G185" s="33">
        <f>+'A) Base RI'!AN187</f>
        <v>68</v>
      </c>
      <c r="H185" s="279">
        <f t="shared" si="13"/>
        <v>1.0104433452198016</v>
      </c>
      <c r="I185" s="55">
        <f t="shared" si="14"/>
        <v>0</v>
      </c>
    </row>
    <row r="186" spans="1:9" x14ac:dyDescent="0.25">
      <c r="A186" s="49">
        <f>'A) Base RI'!A188</f>
        <v>5709</v>
      </c>
      <c r="B186" s="32" t="str">
        <f>'A) Base RI'!B188</f>
        <v>Chéserex</v>
      </c>
      <c r="C186" s="95">
        <f>'A) Base RI'!AO188</f>
        <v>1248</v>
      </c>
      <c r="D186" s="110">
        <f>'D) Ecrêtage'!E186</f>
        <v>78.019283906882578</v>
      </c>
      <c r="E186" s="34">
        <f t="shared" si="11"/>
        <v>0</v>
      </c>
      <c r="F186" s="278">
        <f t="shared" si="12"/>
        <v>0</v>
      </c>
      <c r="G186" s="33">
        <f>+'A) Base RI'!AN188</f>
        <v>57</v>
      </c>
      <c r="H186" s="279">
        <f t="shared" si="13"/>
        <v>0.84698927466953955</v>
      </c>
      <c r="I186" s="55">
        <f t="shared" si="14"/>
        <v>0</v>
      </c>
    </row>
    <row r="187" spans="1:9" x14ac:dyDescent="0.25">
      <c r="A187" s="49">
        <f>'A) Base RI'!A189</f>
        <v>5710</v>
      </c>
      <c r="B187" s="32" t="str">
        <f>'A) Base RI'!B189</f>
        <v>Coinsins</v>
      </c>
      <c r="C187" s="95">
        <f>'A) Base RI'!AO189</f>
        <v>509</v>
      </c>
      <c r="D187" s="110">
        <f>'D) Ecrêtage'!E187</f>
        <v>80.764175430486532</v>
      </c>
      <c r="E187" s="34">
        <f t="shared" si="11"/>
        <v>0</v>
      </c>
      <c r="F187" s="278">
        <f t="shared" si="12"/>
        <v>0</v>
      </c>
      <c r="G187" s="33">
        <f>+'A) Base RI'!AN189</f>
        <v>51</v>
      </c>
      <c r="H187" s="279">
        <f t="shared" si="13"/>
        <v>0.7578325089148511</v>
      </c>
      <c r="I187" s="55">
        <f t="shared" si="14"/>
        <v>0</v>
      </c>
    </row>
    <row r="188" spans="1:9" x14ac:dyDescent="0.25">
      <c r="A188" s="49">
        <f>'A) Base RI'!A190</f>
        <v>5711</v>
      </c>
      <c r="B188" s="32" t="str">
        <f>'A) Base RI'!B190</f>
        <v>Commugny</v>
      </c>
      <c r="C188" s="95">
        <f>'A) Base RI'!AO190</f>
        <v>2997</v>
      </c>
      <c r="D188" s="110">
        <f>'D) Ecrêtage'!E188</f>
        <v>84.341899552590249</v>
      </c>
      <c r="E188" s="34">
        <f t="shared" si="11"/>
        <v>0</v>
      </c>
      <c r="F188" s="278">
        <f t="shared" si="12"/>
        <v>0</v>
      </c>
      <c r="G188" s="33">
        <f>+'A) Base RI'!AN190</f>
        <v>55.5</v>
      </c>
      <c r="H188" s="279">
        <f t="shared" si="13"/>
        <v>0.82470008323086741</v>
      </c>
      <c r="I188" s="55">
        <f t="shared" si="14"/>
        <v>0</v>
      </c>
    </row>
    <row r="189" spans="1:9" x14ac:dyDescent="0.25">
      <c r="A189" s="49">
        <f>'A) Base RI'!A191</f>
        <v>5712</v>
      </c>
      <c r="B189" s="32" t="str">
        <f>'A) Base RI'!B191</f>
        <v>Coppet</v>
      </c>
      <c r="C189" s="95">
        <f>'A) Base RI'!AO191</f>
        <v>3247</v>
      </c>
      <c r="D189" s="110">
        <f>'D) Ecrêtage'!E189</f>
        <v>117.64831643335988</v>
      </c>
      <c r="E189" s="34">
        <f t="shared" si="11"/>
        <v>0</v>
      </c>
      <c r="F189" s="278">
        <f t="shared" si="12"/>
        <v>0</v>
      </c>
      <c r="G189" s="33">
        <f>+'A) Base RI'!AN191</f>
        <v>53</v>
      </c>
      <c r="H189" s="279">
        <f t="shared" si="13"/>
        <v>0.78755143083308055</v>
      </c>
      <c r="I189" s="55">
        <f t="shared" si="14"/>
        <v>0</v>
      </c>
    </row>
    <row r="190" spans="1:9" x14ac:dyDescent="0.25">
      <c r="A190" s="49">
        <f>'A) Base RI'!A192</f>
        <v>5713</v>
      </c>
      <c r="B190" s="32" t="str">
        <f>'A) Base RI'!B192</f>
        <v>Crans-près-Céligny</v>
      </c>
      <c r="C190" s="95">
        <f>'A) Base RI'!AO192</f>
        <v>2340</v>
      </c>
      <c r="D190" s="110">
        <f>'D) Ecrêtage'!E190</f>
        <v>131.90975648656897</v>
      </c>
      <c r="E190" s="34">
        <f t="shared" si="11"/>
        <v>0</v>
      </c>
      <c r="F190" s="278">
        <f t="shared" si="12"/>
        <v>0</v>
      </c>
      <c r="G190" s="33">
        <f>+'A) Base RI'!AN192</f>
        <v>56</v>
      </c>
      <c r="H190" s="279">
        <f t="shared" si="13"/>
        <v>0.83212981371042483</v>
      </c>
      <c r="I190" s="55">
        <f t="shared" si="14"/>
        <v>0</v>
      </c>
    </row>
    <row r="191" spans="1:9" x14ac:dyDescent="0.25">
      <c r="A191" s="49">
        <f>'A) Base RI'!A193</f>
        <v>5714</v>
      </c>
      <c r="B191" s="32" t="str">
        <f>'A) Base RI'!B193</f>
        <v>Crassier</v>
      </c>
      <c r="C191" s="95">
        <f>'A) Base RI'!AO193</f>
        <v>1174</v>
      </c>
      <c r="D191" s="110">
        <f>'D) Ecrêtage'!E191</f>
        <v>45.510810577212141</v>
      </c>
      <c r="E191" s="34">
        <f t="shared" si="11"/>
        <v>2.6621934252623092</v>
      </c>
      <c r="F191" s="278">
        <f t="shared" si="12"/>
        <v>57382.620891895989</v>
      </c>
      <c r="G191" s="33">
        <f>+'A) Base RI'!AN193</f>
        <v>68</v>
      </c>
      <c r="H191" s="279">
        <f t="shared" si="13"/>
        <v>1.0104433452198016</v>
      </c>
      <c r="I191" s="55">
        <f t="shared" si="14"/>
        <v>57981.887411487056</v>
      </c>
    </row>
    <row r="192" spans="1:9" x14ac:dyDescent="0.25">
      <c r="A192" s="49">
        <f>'A) Base RI'!A194</f>
        <v>5715</v>
      </c>
      <c r="B192" s="32" t="str">
        <f>'A) Base RI'!B194</f>
        <v>Duillier</v>
      </c>
      <c r="C192" s="95">
        <f>'A) Base RI'!AO194</f>
        <v>1128</v>
      </c>
      <c r="D192" s="110">
        <f>'D) Ecrêtage'!E192</f>
        <v>54.586626101439926</v>
      </c>
      <c r="E192" s="34">
        <f t="shared" si="11"/>
        <v>0</v>
      </c>
      <c r="F192" s="278">
        <f t="shared" si="12"/>
        <v>0</v>
      </c>
      <c r="G192" s="33">
        <f>+'A) Base RI'!AN194</f>
        <v>66</v>
      </c>
      <c r="H192" s="279">
        <f t="shared" si="13"/>
        <v>0.98072442330157206</v>
      </c>
      <c r="I192" s="55">
        <f t="shared" si="14"/>
        <v>0</v>
      </c>
    </row>
    <row r="193" spans="1:9" x14ac:dyDescent="0.25">
      <c r="A193" s="49">
        <f>'A) Base RI'!A195</f>
        <v>5716</v>
      </c>
      <c r="B193" s="32" t="str">
        <f>'A) Base RI'!B195</f>
        <v>Eysins</v>
      </c>
      <c r="C193" s="95">
        <f>'A) Base RI'!AO195</f>
        <v>1740</v>
      </c>
      <c r="D193" s="110">
        <f>'D) Ecrêtage'!E193</f>
        <v>179.02265488264274</v>
      </c>
      <c r="E193" s="34">
        <f t="shared" si="11"/>
        <v>0</v>
      </c>
      <c r="F193" s="278">
        <f t="shared" si="12"/>
        <v>0</v>
      </c>
      <c r="G193" s="33">
        <f>+'A) Base RI'!AN195</f>
        <v>59.5</v>
      </c>
      <c r="H193" s="279">
        <f t="shared" si="13"/>
        <v>0.8841379270673263</v>
      </c>
      <c r="I193" s="55">
        <f t="shared" si="14"/>
        <v>0</v>
      </c>
    </row>
    <row r="194" spans="1:9" x14ac:dyDescent="0.25">
      <c r="A194" s="49">
        <f>'A) Base RI'!A196</f>
        <v>5717</v>
      </c>
      <c r="B194" s="32" t="str">
        <f>'A) Base RI'!B196</f>
        <v>Founex</v>
      </c>
      <c r="C194" s="95">
        <f>'A) Base RI'!AO196</f>
        <v>3834</v>
      </c>
      <c r="D194" s="110">
        <f>'D) Ecrêtage'!E194</f>
        <v>100.88722020884239</v>
      </c>
      <c r="E194" s="34">
        <f t="shared" si="11"/>
        <v>0</v>
      </c>
      <c r="F194" s="278">
        <f t="shared" si="12"/>
        <v>0</v>
      </c>
      <c r="G194" s="33">
        <f>+'A) Base RI'!AN196</f>
        <v>57</v>
      </c>
      <c r="H194" s="279">
        <f t="shared" si="13"/>
        <v>0.84698927466953955</v>
      </c>
      <c r="I194" s="55">
        <f t="shared" si="14"/>
        <v>0</v>
      </c>
    </row>
    <row r="195" spans="1:9" x14ac:dyDescent="0.25">
      <c r="A195" s="49">
        <f>'A) Base RI'!A197</f>
        <v>5718</v>
      </c>
      <c r="B195" s="32" t="str">
        <f>'A) Base RI'!B197</f>
        <v>Genolier</v>
      </c>
      <c r="C195" s="95">
        <f>'A) Base RI'!AO197</f>
        <v>1996</v>
      </c>
      <c r="D195" s="110">
        <f>'D) Ecrêtage'!E195</f>
        <v>122.78671306248862</v>
      </c>
      <c r="E195" s="34">
        <f t="shared" si="11"/>
        <v>0</v>
      </c>
      <c r="F195" s="278">
        <f t="shared" si="12"/>
        <v>0</v>
      </c>
      <c r="G195" s="33">
        <f>+'A) Base RI'!AN197</f>
        <v>55</v>
      </c>
      <c r="H195" s="279">
        <f t="shared" si="13"/>
        <v>0.8172703527513101</v>
      </c>
      <c r="I195" s="55">
        <f t="shared" si="14"/>
        <v>0</v>
      </c>
    </row>
    <row r="196" spans="1:9" x14ac:dyDescent="0.25">
      <c r="A196" s="49">
        <f>'A) Base RI'!A198</f>
        <v>5719</v>
      </c>
      <c r="B196" s="32" t="str">
        <f>'A) Base RI'!B198</f>
        <v>Gingins</v>
      </c>
      <c r="C196" s="95">
        <f>'A) Base RI'!AO198</f>
        <v>1257</v>
      </c>
      <c r="D196" s="110">
        <f>'D) Ecrêtage'!E196</f>
        <v>115.95976445356297</v>
      </c>
      <c r="E196" s="34">
        <f t="shared" si="11"/>
        <v>0</v>
      </c>
      <c r="F196" s="278">
        <f t="shared" si="12"/>
        <v>0</v>
      </c>
      <c r="G196" s="33">
        <f>+'A) Base RI'!AN198</f>
        <v>57</v>
      </c>
      <c r="H196" s="279">
        <f t="shared" si="13"/>
        <v>0.84698927466953955</v>
      </c>
      <c r="I196" s="55">
        <f t="shared" si="14"/>
        <v>0</v>
      </c>
    </row>
    <row r="197" spans="1:9" x14ac:dyDescent="0.25">
      <c r="A197" s="49">
        <f>'A) Base RI'!A199</f>
        <v>5720</v>
      </c>
      <c r="B197" s="32" t="str">
        <f>'A) Base RI'!B199</f>
        <v>Givrins</v>
      </c>
      <c r="C197" s="95">
        <f>'A) Base RI'!AO199</f>
        <v>1031</v>
      </c>
      <c r="D197" s="110">
        <f>'D) Ecrêtage'!E197</f>
        <v>81.641372011587706</v>
      </c>
      <c r="E197" s="34">
        <f t="shared" si="11"/>
        <v>0</v>
      </c>
      <c r="F197" s="278">
        <f t="shared" si="12"/>
        <v>0</v>
      </c>
      <c r="G197" s="33">
        <f>+'A) Base RI'!AN199</f>
        <v>67</v>
      </c>
      <c r="H197" s="279">
        <f t="shared" si="13"/>
        <v>0.99558388426068678</v>
      </c>
      <c r="I197" s="55">
        <f t="shared" si="14"/>
        <v>0</v>
      </c>
    </row>
    <row r="198" spans="1:9" x14ac:dyDescent="0.25">
      <c r="A198" s="49">
        <f>'A) Base RI'!A200</f>
        <v>5721</v>
      </c>
      <c r="B198" s="32" t="str">
        <f>'A) Base RI'!B200</f>
        <v>Gland</v>
      </c>
      <c r="C198" s="95">
        <f>'A) Base RI'!AO200</f>
        <v>13243</v>
      </c>
      <c r="D198" s="110">
        <f>'D) Ecrêtage'!E198</f>
        <v>49.166128557864795</v>
      </c>
      <c r="E198" s="34">
        <f t="shared" ref="E198:E261" si="15">IF($D$314-D198&lt;0,0,$D$314-D198)</f>
        <v>0</v>
      </c>
      <c r="F198" s="278">
        <f t="shared" ref="F198:F261" si="16">(C198*E198*G198)*$E$4</f>
        <v>0</v>
      </c>
      <c r="G198" s="33">
        <f>+'A) Base RI'!AN200</f>
        <v>61</v>
      </c>
      <c r="H198" s="279">
        <f t="shared" ref="H198:H261" si="17">G198/$G$314</f>
        <v>0.90642711850599844</v>
      </c>
      <c r="I198" s="55">
        <f t="shared" ref="I198:I261" si="18">F198*H198</f>
        <v>0</v>
      </c>
    </row>
    <row r="199" spans="1:9" x14ac:dyDescent="0.25">
      <c r="A199" s="49">
        <f>'A) Base RI'!A201</f>
        <v>5722</v>
      </c>
      <c r="B199" s="32" t="str">
        <f>'A) Base RI'!B201</f>
        <v>Grens</v>
      </c>
      <c r="C199" s="95">
        <f>'A) Base RI'!AO201</f>
        <v>405</v>
      </c>
      <c r="D199" s="110">
        <f>'D) Ecrêtage'!E199</f>
        <v>63.026177618478698</v>
      </c>
      <c r="E199" s="34">
        <f t="shared" si="15"/>
        <v>0</v>
      </c>
      <c r="F199" s="278">
        <f t="shared" si="16"/>
        <v>0</v>
      </c>
      <c r="G199" s="33">
        <f>+'A) Base RI'!AN201</f>
        <v>62</v>
      </c>
      <c r="H199" s="279">
        <f t="shared" si="17"/>
        <v>0.92128657946511316</v>
      </c>
      <c r="I199" s="55">
        <f t="shared" si="18"/>
        <v>0</v>
      </c>
    </row>
    <row r="200" spans="1:9" x14ac:dyDescent="0.25">
      <c r="A200" s="49">
        <f>'A) Base RI'!A202</f>
        <v>5723</v>
      </c>
      <c r="B200" s="32" t="str">
        <f>'A) Base RI'!B202</f>
        <v>Mies</v>
      </c>
      <c r="C200" s="95">
        <f>'A) Base RI'!AO202</f>
        <v>2172</v>
      </c>
      <c r="D200" s="110">
        <f>'D) Ecrêtage'!E200</f>
        <v>91.070522648392142</v>
      </c>
      <c r="E200" s="34">
        <f t="shared" si="15"/>
        <v>0</v>
      </c>
      <c r="F200" s="278">
        <f t="shared" si="16"/>
        <v>0</v>
      </c>
      <c r="G200" s="33">
        <f>+'A) Base RI'!AN202</f>
        <v>52</v>
      </c>
      <c r="H200" s="279">
        <f t="shared" si="17"/>
        <v>0.77269196987396582</v>
      </c>
      <c r="I200" s="55">
        <f t="shared" si="18"/>
        <v>0</v>
      </c>
    </row>
    <row r="201" spans="1:9" x14ac:dyDescent="0.25">
      <c r="A201" s="49">
        <f>'A) Base RI'!A203</f>
        <v>5724</v>
      </c>
      <c r="B201" s="32" t="str">
        <f>'A) Base RI'!B203</f>
        <v>Nyon</v>
      </c>
      <c r="C201" s="95">
        <f>'A) Base RI'!AO203</f>
        <v>21743</v>
      </c>
      <c r="D201" s="110">
        <f>'D) Ecrêtage'!E201</f>
        <v>65.112021161763252</v>
      </c>
      <c r="E201" s="34">
        <f t="shared" si="15"/>
        <v>0</v>
      </c>
      <c r="F201" s="278">
        <f t="shared" si="16"/>
        <v>0</v>
      </c>
      <c r="G201" s="33">
        <f>+'A) Base RI'!AN203</f>
        <v>61</v>
      </c>
      <c r="H201" s="279">
        <f t="shared" si="17"/>
        <v>0.90642711850599844</v>
      </c>
      <c r="I201" s="55">
        <f t="shared" si="18"/>
        <v>0</v>
      </c>
    </row>
    <row r="202" spans="1:9" x14ac:dyDescent="0.25">
      <c r="A202" s="49">
        <f>'A) Base RI'!A204</f>
        <v>5725</v>
      </c>
      <c r="B202" s="32" t="str">
        <f>'A) Base RI'!B204</f>
        <v>Prangins</v>
      </c>
      <c r="C202" s="95">
        <f>'A) Base RI'!AO204</f>
        <v>4101</v>
      </c>
      <c r="D202" s="110">
        <f>'D) Ecrêtage'!E202</f>
        <v>76.275282620330159</v>
      </c>
      <c r="E202" s="34">
        <f t="shared" si="15"/>
        <v>0</v>
      </c>
      <c r="F202" s="278">
        <f t="shared" si="16"/>
        <v>0</v>
      </c>
      <c r="G202" s="33">
        <f>+'A) Base RI'!AN204</f>
        <v>55</v>
      </c>
      <c r="H202" s="279">
        <f t="shared" si="17"/>
        <v>0.8172703527513101</v>
      </c>
      <c r="I202" s="55">
        <f t="shared" si="18"/>
        <v>0</v>
      </c>
    </row>
    <row r="203" spans="1:9" x14ac:dyDescent="0.25">
      <c r="A203" s="49">
        <f>'A) Base RI'!A205</f>
        <v>5726</v>
      </c>
      <c r="B203" s="32" t="str">
        <f>'A) Base RI'!B205</f>
        <v>La Rippe</v>
      </c>
      <c r="C203" s="95">
        <f>'A) Base RI'!AO205</f>
        <v>1131</v>
      </c>
      <c r="D203" s="110">
        <f>'D) Ecrêtage'!E203</f>
        <v>58.642585458749906</v>
      </c>
      <c r="E203" s="34">
        <f t="shared" si="15"/>
        <v>0</v>
      </c>
      <c r="F203" s="278">
        <f t="shared" si="16"/>
        <v>0</v>
      </c>
      <c r="G203" s="33">
        <f>+'A) Base RI'!AN205</f>
        <v>65</v>
      </c>
      <c r="H203" s="279">
        <f t="shared" si="17"/>
        <v>0.96586496234245733</v>
      </c>
      <c r="I203" s="55">
        <f t="shared" si="18"/>
        <v>0</v>
      </c>
    </row>
    <row r="204" spans="1:9" x14ac:dyDescent="0.25">
      <c r="A204" s="49">
        <f>'A) Base RI'!A206</f>
        <v>5727</v>
      </c>
      <c r="B204" s="32" t="str">
        <f>'A) Base RI'!B206</f>
        <v>Saint-Cergue</v>
      </c>
      <c r="C204" s="95">
        <f>'A) Base RI'!AO206</f>
        <v>2674</v>
      </c>
      <c r="D204" s="110">
        <f>'D) Ecrêtage'!E204</f>
        <v>39.313781381503894</v>
      </c>
      <c r="E204" s="34">
        <f t="shared" si="15"/>
        <v>8.8592226209705558</v>
      </c>
      <c r="F204" s="278">
        <f t="shared" si="16"/>
        <v>422147.9821606293</v>
      </c>
      <c r="G204" s="33">
        <f>+'A) Base RI'!AN206</f>
        <v>66</v>
      </c>
      <c r="H204" s="279">
        <f t="shared" si="17"/>
        <v>0.98072442330157206</v>
      </c>
      <c r="I204" s="55">
        <f t="shared" si="18"/>
        <v>414010.83635240549</v>
      </c>
    </row>
    <row r="205" spans="1:9" x14ac:dyDescent="0.25">
      <c r="A205" s="49">
        <f>'A) Base RI'!A207</f>
        <v>5728</v>
      </c>
      <c r="B205" s="32" t="str">
        <f>'A) Base RI'!B207</f>
        <v>Signy-Avenex</v>
      </c>
      <c r="C205" s="95">
        <f>'A) Base RI'!AO207</f>
        <v>581</v>
      </c>
      <c r="D205" s="110">
        <f>'D) Ecrêtage'!E205</f>
        <v>84.83101697430115</v>
      </c>
      <c r="E205" s="34">
        <f t="shared" si="15"/>
        <v>0</v>
      </c>
      <c r="F205" s="278">
        <f t="shared" si="16"/>
        <v>0</v>
      </c>
      <c r="G205" s="33">
        <f>+'A) Base RI'!AN207</f>
        <v>58</v>
      </c>
      <c r="H205" s="279">
        <f t="shared" si="17"/>
        <v>0.86184873562865427</v>
      </c>
      <c r="I205" s="55">
        <f t="shared" si="18"/>
        <v>0</v>
      </c>
    </row>
    <row r="206" spans="1:9" x14ac:dyDescent="0.25">
      <c r="A206" s="49">
        <f>'A) Base RI'!A208</f>
        <v>5729</v>
      </c>
      <c r="B206" s="32" t="str">
        <f>'A) Base RI'!B208</f>
        <v>Tannay</v>
      </c>
      <c r="C206" s="95">
        <f>'A) Base RI'!AO208</f>
        <v>1636</v>
      </c>
      <c r="D206" s="110">
        <f>'D) Ecrêtage'!E206</f>
        <v>79.967401375389812</v>
      </c>
      <c r="E206" s="34">
        <f t="shared" si="15"/>
        <v>0</v>
      </c>
      <c r="F206" s="278">
        <f t="shared" si="16"/>
        <v>0</v>
      </c>
      <c r="G206" s="33">
        <f>+'A) Base RI'!AN208</f>
        <v>60.5</v>
      </c>
      <c r="H206" s="279">
        <f t="shared" si="17"/>
        <v>0.89899738802644102</v>
      </c>
      <c r="I206" s="55">
        <f t="shared" si="18"/>
        <v>0</v>
      </c>
    </row>
    <row r="207" spans="1:9" x14ac:dyDescent="0.25">
      <c r="A207" s="49">
        <f>'A) Base RI'!A209</f>
        <v>5730</v>
      </c>
      <c r="B207" s="32" t="str">
        <f>'A) Base RI'!B209</f>
        <v>Trélex</v>
      </c>
      <c r="C207" s="95">
        <f>'A) Base RI'!AO209</f>
        <v>1445</v>
      </c>
      <c r="D207" s="110">
        <f>'D) Ecrêtage'!E207</f>
        <v>77.249818385859911</v>
      </c>
      <c r="E207" s="34">
        <f t="shared" si="15"/>
        <v>0</v>
      </c>
      <c r="F207" s="278">
        <f t="shared" si="16"/>
        <v>0</v>
      </c>
      <c r="G207" s="33">
        <f>+'A) Base RI'!AN209</f>
        <v>55.5</v>
      </c>
      <c r="H207" s="279">
        <f t="shared" si="17"/>
        <v>0.82470008323086741</v>
      </c>
      <c r="I207" s="55">
        <f t="shared" si="18"/>
        <v>0</v>
      </c>
    </row>
    <row r="208" spans="1:9" x14ac:dyDescent="0.25">
      <c r="A208" s="49">
        <f>'A) Base RI'!A210</f>
        <v>5731</v>
      </c>
      <c r="B208" s="32" t="str">
        <f>'A) Base RI'!B210</f>
        <v>Le Vaud</v>
      </c>
      <c r="C208" s="95">
        <f>'A) Base RI'!AO210</f>
        <v>1366</v>
      </c>
      <c r="D208" s="110">
        <f>'D) Ecrêtage'!E208</f>
        <v>46.809814477728082</v>
      </c>
      <c r="E208" s="34">
        <f t="shared" si="15"/>
        <v>1.3631895247463675</v>
      </c>
      <c r="F208" s="278">
        <f t="shared" si="16"/>
        <v>37205.095478254691</v>
      </c>
      <c r="G208" s="33">
        <f>+'A) Base RI'!AN210</f>
        <v>74</v>
      </c>
      <c r="H208" s="279">
        <f t="shared" si="17"/>
        <v>1.09960011097449</v>
      </c>
      <c r="I208" s="55">
        <f t="shared" si="18"/>
        <v>40910.727116705355</v>
      </c>
    </row>
    <row r="209" spans="1:9" x14ac:dyDescent="0.25">
      <c r="A209" s="49">
        <f>'A) Base RI'!A211</f>
        <v>5732</v>
      </c>
      <c r="B209" s="32" t="str">
        <f>'A) Base RI'!B211</f>
        <v>Vich</v>
      </c>
      <c r="C209" s="95">
        <f>'A) Base RI'!AO211</f>
        <v>1156</v>
      </c>
      <c r="D209" s="110">
        <f>'D) Ecrêtage'!E209</f>
        <v>61.424716592519353</v>
      </c>
      <c r="E209" s="34">
        <f t="shared" si="15"/>
        <v>0</v>
      </c>
      <c r="F209" s="278">
        <f t="shared" si="16"/>
        <v>0</v>
      </c>
      <c r="G209" s="33">
        <f>+'A) Base RI'!AN211</f>
        <v>63</v>
      </c>
      <c r="H209" s="279">
        <f t="shared" si="17"/>
        <v>0.93614604042422789</v>
      </c>
      <c r="I209" s="55">
        <f t="shared" si="18"/>
        <v>0</v>
      </c>
    </row>
    <row r="210" spans="1:9" x14ac:dyDescent="0.25">
      <c r="A210" s="49">
        <f>'A) Base RI'!A212</f>
        <v>5741</v>
      </c>
      <c r="B210" s="32" t="str">
        <f>'A) Base RI'!B212</f>
        <v>L'Abergement</v>
      </c>
      <c r="C210" s="95">
        <f>'A) Base RI'!AO212</f>
        <v>256</v>
      </c>
      <c r="D210" s="110">
        <f>'D) Ecrêtage'!E210</f>
        <v>28.784881767618302</v>
      </c>
      <c r="E210" s="34">
        <f t="shared" si="15"/>
        <v>19.388122234856148</v>
      </c>
      <c r="F210" s="278">
        <f t="shared" si="16"/>
        <v>108548.66771873381</v>
      </c>
      <c r="G210" s="33">
        <f>+'A) Base RI'!AN212</f>
        <v>81</v>
      </c>
      <c r="H210" s="279">
        <f t="shared" si="17"/>
        <v>1.2036163376882929</v>
      </c>
      <c r="I210" s="55">
        <f t="shared" si="18"/>
        <v>130650.94990056581</v>
      </c>
    </row>
    <row r="211" spans="1:9" x14ac:dyDescent="0.25">
      <c r="A211" s="49">
        <f>'A) Base RI'!A213</f>
        <v>5742</v>
      </c>
      <c r="B211" s="32" t="str">
        <f>'A) Base RI'!B213</f>
        <v>Agiez</v>
      </c>
      <c r="C211" s="95">
        <f>'A) Base RI'!AO213</f>
        <v>377</v>
      </c>
      <c r="D211" s="110">
        <f>'D) Ecrêtage'!E211</f>
        <v>23.766940876727634</v>
      </c>
      <c r="E211" s="34">
        <f t="shared" si="15"/>
        <v>24.406063125746815</v>
      </c>
      <c r="F211" s="278">
        <f t="shared" si="16"/>
        <v>188806.2805833024</v>
      </c>
      <c r="G211" s="33">
        <f>+'A) Base RI'!AN213</f>
        <v>76</v>
      </c>
      <c r="H211" s="279">
        <f t="shared" si="17"/>
        <v>1.1293190328927194</v>
      </c>
      <c r="I211" s="55">
        <f t="shared" si="18"/>
        <v>213222.52619240648</v>
      </c>
    </row>
    <row r="212" spans="1:9" x14ac:dyDescent="0.25">
      <c r="A212" s="49">
        <f>'A) Base RI'!A214</f>
        <v>5743</v>
      </c>
      <c r="B212" s="32" t="str">
        <f>'A) Base RI'!B214</f>
        <v>Arnex-sur-Orbe</v>
      </c>
      <c r="C212" s="95">
        <f>'A) Base RI'!AO214</f>
        <v>637</v>
      </c>
      <c r="D212" s="110">
        <f>'D) Ecrêtage'!E212</f>
        <v>32.22392718951069</v>
      </c>
      <c r="E212" s="34">
        <f t="shared" si="15"/>
        <v>15.94907681296376</v>
      </c>
      <c r="F212" s="278">
        <f t="shared" si="16"/>
        <v>194758.80219537622</v>
      </c>
      <c r="G212" s="33">
        <f>+'A) Base RI'!AN214</f>
        <v>71</v>
      </c>
      <c r="H212" s="279">
        <f t="shared" si="17"/>
        <v>1.0550217280971457</v>
      </c>
      <c r="I212" s="55">
        <f t="shared" si="18"/>
        <v>205474.768054296</v>
      </c>
    </row>
    <row r="213" spans="1:9" x14ac:dyDescent="0.25">
      <c r="A213" s="49">
        <f>'A) Base RI'!A215</f>
        <v>5744</v>
      </c>
      <c r="B213" s="32" t="str">
        <f>'A) Base RI'!B215</f>
        <v>Ballaigues</v>
      </c>
      <c r="C213" s="95">
        <f>'A) Base RI'!AO215</f>
        <v>1143</v>
      </c>
      <c r="D213" s="110">
        <f>'D) Ecrêtage'!E213</f>
        <v>35.392264889965688</v>
      </c>
      <c r="E213" s="34">
        <f t="shared" si="15"/>
        <v>12.780739112508762</v>
      </c>
      <c r="F213" s="278">
        <f t="shared" si="16"/>
        <v>256377.15333823639</v>
      </c>
      <c r="G213" s="33">
        <f>+'A) Base RI'!AN215</f>
        <v>65</v>
      </c>
      <c r="H213" s="279">
        <f t="shared" si="17"/>
        <v>0.96586496234245733</v>
      </c>
      <c r="I213" s="55">
        <f t="shared" si="18"/>
        <v>247625.7095545021</v>
      </c>
    </row>
    <row r="214" spans="1:9" x14ac:dyDescent="0.25">
      <c r="A214" s="49">
        <f>'A) Base RI'!A216</f>
        <v>5745</v>
      </c>
      <c r="B214" s="32" t="str">
        <f>'A) Base RI'!B216</f>
        <v>Baulmes</v>
      </c>
      <c r="C214" s="95">
        <f>'A) Base RI'!AO216</f>
        <v>1074</v>
      </c>
      <c r="D214" s="110">
        <f>'D) Ecrêtage'!E214</f>
        <v>24.979133287082675</v>
      </c>
      <c r="E214" s="34">
        <f t="shared" si="15"/>
        <v>23.193870715391775</v>
      </c>
      <c r="F214" s="278">
        <f t="shared" si="16"/>
        <v>514520.53519877198</v>
      </c>
      <c r="G214" s="33">
        <f>+'A) Base RI'!AN216</f>
        <v>76.5</v>
      </c>
      <c r="H214" s="279">
        <f t="shared" si="17"/>
        <v>1.1367487633722768</v>
      </c>
      <c r="I214" s="55">
        <f t="shared" si="18"/>
        <v>584880.58211684611</v>
      </c>
    </row>
    <row r="215" spans="1:9" x14ac:dyDescent="0.25">
      <c r="A215" s="49">
        <f>'A) Base RI'!A217</f>
        <v>5746</v>
      </c>
      <c r="B215" s="32" t="str">
        <f>'A) Base RI'!B217</f>
        <v>Bavois</v>
      </c>
      <c r="C215" s="95">
        <f>'A) Base RI'!AO217</f>
        <v>994</v>
      </c>
      <c r="D215" s="110">
        <f>'D) Ecrêtage'!E215</f>
        <v>30.650514226913987</v>
      </c>
      <c r="E215" s="34">
        <f t="shared" si="15"/>
        <v>17.522489775560462</v>
      </c>
      <c r="F215" s="278">
        <f t="shared" si="16"/>
        <v>343296.06383543898</v>
      </c>
      <c r="G215" s="33">
        <f>+'A) Base RI'!AN217</f>
        <v>73</v>
      </c>
      <c r="H215" s="279">
        <f t="shared" si="17"/>
        <v>1.0847406500153751</v>
      </c>
      <c r="I215" s="55">
        <f t="shared" si="18"/>
        <v>372387.19543257379</v>
      </c>
    </row>
    <row r="216" spans="1:9" x14ac:dyDescent="0.25">
      <c r="A216" s="49">
        <f>'A) Base RI'!A218</f>
        <v>5747</v>
      </c>
      <c r="B216" s="32" t="str">
        <f>'A) Base RI'!B218</f>
        <v>Bofflens</v>
      </c>
      <c r="C216" s="95">
        <f>'A) Base RI'!AO218</f>
        <v>206</v>
      </c>
      <c r="D216" s="110">
        <f>'D) Ecrêtage'!E216</f>
        <v>27.227081046855215</v>
      </c>
      <c r="E216" s="34">
        <f t="shared" si="15"/>
        <v>20.945922955619235</v>
      </c>
      <c r="F216" s="278">
        <f t="shared" si="16"/>
        <v>80385.844200616411</v>
      </c>
      <c r="G216" s="33">
        <f>+'A) Base RI'!AN218</f>
        <v>69</v>
      </c>
      <c r="H216" s="279">
        <f t="shared" si="17"/>
        <v>1.0253028061789162</v>
      </c>
      <c r="I216" s="55">
        <f t="shared" si="18"/>
        <v>82419.83163595316</v>
      </c>
    </row>
    <row r="217" spans="1:9" x14ac:dyDescent="0.25">
      <c r="A217" s="49">
        <f>'A) Base RI'!A219</f>
        <v>5748</v>
      </c>
      <c r="B217" s="32" t="str">
        <f>'A) Base RI'!B219</f>
        <v>Bretonnières</v>
      </c>
      <c r="C217" s="95">
        <f>'A) Base RI'!AO219</f>
        <v>268</v>
      </c>
      <c r="D217" s="110">
        <f>'D) Ecrêtage'!E217</f>
        <v>21.604434388341975</v>
      </c>
      <c r="E217" s="34">
        <f t="shared" si="15"/>
        <v>26.568569614132475</v>
      </c>
      <c r="F217" s="278">
        <f t="shared" si="16"/>
        <v>135536.36965814314</v>
      </c>
      <c r="G217" s="33">
        <f>+'A) Base RI'!AN219</f>
        <v>70.5</v>
      </c>
      <c r="H217" s="279">
        <f t="shared" si="17"/>
        <v>1.0475919976175883</v>
      </c>
      <c r="I217" s="55">
        <f t="shared" si="18"/>
        <v>141986.81624001006</v>
      </c>
    </row>
    <row r="218" spans="1:9" x14ac:dyDescent="0.25">
      <c r="A218" s="49">
        <f>'A) Base RI'!A220</f>
        <v>5749</v>
      </c>
      <c r="B218" s="32" t="str">
        <f>'A) Base RI'!B220</f>
        <v>Chavornay</v>
      </c>
      <c r="C218" s="95">
        <f>'A) Base RI'!AO220</f>
        <v>5227</v>
      </c>
      <c r="D218" s="110">
        <f>'D) Ecrêtage'!E218</f>
        <v>26.913489044201754</v>
      </c>
      <c r="E218" s="34">
        <f t="shared" si="15"/>
        <v>21.259514958272696</v>
      </c>
      <c r="F218" s="278">
        <f t="shared" si="16"/>
        <v>2115235.5310149775</v>
      </c>
      <c r="G218" s="33">
        <f>+'A) Base RI'!AN220</f>
        <v>70.5</v>
      </c>
      <c r="H218" s="279">
        <f t="shared" si="17"/>
        <v>1.0475919976175883</v>
      </c>
      <c r="I218" s="55">
        <f t="shared" si="18"/>
        <v>2215903.8153676805</v>
      </c>
    </row>
    <row r="219" spans="1:9" x14ac:dyDescent="0.25">
      <c r="A219" s="49">
        <f>'A) Base RI'!A221</f>
        <v>5750</v>
      </c>
      <c r="B219" s="32" t="str">
        <f>'A) Base RI'!B221</f>
        <v>Les Clées</v>
      </c>
      <c r="C219" s="95">
        <f>'A) Base RI'!AO221</f>
        <v>187</v>
      </c>
      <c r="D219" s="110">
        <f>'D) Ecrêtage'!E219</f>
        <v>32.288469251336899</v>
      </c>
      <c r="E219" s="34">
        <f t="shared" si="15"/>
        <v>15.884534751137551</v>
      </c>
      <c r="F219" s="278">
        <f t="shared" si="16"/>
        <v>64160.812766794799</v>
      </c>
      <c r="G219" s="33">
        <f>+'A) Base RI'!AN221</f>
        <v>80</v>
      </c>
      <c r="H219" s="279">
        <f t="shared" si="17"/>
        <v>1.1887568767291783</v>
      </c>
      <c r="I219" s="55">
        <f t="shared" si="18"/>
        <v>76271.607393060578</v>
      </c>
    </row>
    <row r="220" spans="1:9" x14ac:dyDescent="0.25">
      <c r="A220" s="49">
        <f>'A) Base RI'!A222</f>
        <v>5752</v>
      </c>
      <c r="B220" s="32" t="str">
        <f>'A) Base RI'!B222</f>
        <v>Croy</v>
      </c>
      <c r="C220" s="95">
        <f>'A) Base RI'!AO222</f>
        <v>397</v>
      </c>
      <c r="D220" s="110">
        <f>'D) Ecrêtage'!E220</f>
        <v>23.719891998871848</v>
      </c>
      <c r="E220" s="34">
        <f t="shared" si="15"/>
        <v>24.453112003602602</v>
      </c>
      <c r="F220" s="278">
        <f t="shared" si="16"/>
        <v>193963.55159929607</v>
      </c>
      <c r="G220" s="33">
        <f>+'A) Base RI'!AN222</f>
        <v>74</v>
      </c>
      <c r="H220" s="279">
        <f t="shared" si="17"/>
        <v>1.09960011097449</v>
      </c>
      <c r="I220" s="55">
        <f t="shared" si="18"/>
        <v>213282.34286359217</v>
      </c>
    </row>
    <row r="221" spans="1:9" x14ac:dyDescent="0.25">
      <c r="A221" s="49">
        <f>'A) Base RI'!A223</f>
        <v>5754</v>
      </c>
      <c r="B221" s="32" t="str">
        <f>'A) Base RI'!B223</f>
        <v>Juriens</v>
      </c>
      <c r="C221" s="95">
        <f>'A) Base RI'!AO223</f>
        <v>336</v>
      </c>
      <c r="D221" s="110">
        <f>'D) Ecrêtage'!E221</f>
        <v>23.939839135021099</v>
      </c>
      <c r="E221" s="34">
        <f t="shared" si="15"/>
        <v>24.23316486745335</v>
      </c>
      <c r="F221" s="278">
        <f t="shared" si="16"/>
        <v>173676.18462525407</v>
      </c>
      <c r="G221" s="33">
        <f>+'A) Base RI'!AN223</f>
        <v>79</v>
      </c>
      <c r="H221" s="279">
        <f t="shared" si="17"/>
        <v>1.1738974157700635</v>
      </c>
      <c r="I221" s="55">
        <f t="shared" si="18"/>
        <v>203878.02431239019</v>
      </c>
    </row>
    <row r="222" spans="1:9" x14ac:dyDescent="0.25">
      <c r="A222" s="49">
        <f>'A) Base RI'!A224</f>
        <v>5755</v>
      </c>
      <c r="B222" s="32" t="str">
        <f>'A) Base RI'!B224</f>
        <v>Lignerolle</v>
      </c>
      <c r="C222" s="95">
        <f>'A) Base RI'!AO224</f>
        <v>435</v>
      </c>
      <c r="D222" s="110">
        <f>'D) Ecrêtage'!E222</f>
        <v>20.816721157164817</v>
      </c>
      <c r="E222" s="34">
        <f t="shared" si="15"/>
        <v>27.356282845309632</v>
      </c>
      <c r="F222" s="278">
        <f t="shared" si="16"/>
        <v>252220.1404842569</v>
      </c>
      <c r="G222" s="33">
        <f>+'A) Base RI'!AN224</f>
        <v>78.5</v>
      </c>
      <c r="H222" s="279">
        <f t="shared" si="17"/>
        <v>1.1664676852905063</v>
      </c>
      <c r="I222" s="55">
        <f t="shared" si="18"/>
        <v>294206.64345431747</v>
      </c>
    </row>
    <row r="223" spans="1:9" x14ac:dyDescent="0.25">
      <c r="A223" s="49">
        <f>'A) Base RI'!A225</f>
        <v>5756</v>
      </c>
      <c r="B223" s="32" t="str">
        <f>'A) Base RI'!B225</f>
        <v>Montcherand</v>
      </c>
      <c r="C223" s="95">
        <f>'A) Base RI'!AO225</f>
        <v>506</v>
      </c>
      <c r="D223" s="110">
        <f>'D) Ecrêtage'!E223</f>
        <v>31.142902393500222</v>
      </c>
      <c r="E223" s="34">
        <f t="shared" si="15"/>
        <v>17.030101608974228</v>
      </c>
      <c r="F223" s="278">
        <f t="shared" si="16"/>
        <v>167518.97869090026</v>
      </c>
      <c r="G223" s="33">
        <f>+'A) Base RI'!AN225</f>
        <v>72</v>
      </c>
      <c r="H223" s="279">
        <f t="shared" si="17"/>
        <v>1.0698811890562605</v>
      </c>
      <c r="I223" s="55">
        <f t="shared" si="18"/>
        <v>179225.40411131072</v>
      </c>
    </row>
    <row r="224" spans="1:9" x14ac:dyDescent="0.25">
      <c r="A224" s="49">
        <f>'A) Base RI'!A226</f>
        <v>5757</v>
      </c>
      <c r="B224" s="32" t="str">
        <f>'A) Base RI'!B226</f>
        <v>Orbe</v>
      </c>
      <c r="C224" s="95">
        <f>'A) Base RI'!AO226</f>
        <v>7124</v>
      </c>
      <c r="D224" s="110">
        <f>'D) Ecrêtage'!E224</f>
        <v>28.605198601128169</v>
      </c>
      <c r="E224" s="34">
        <f t="shared" si="15"/>
        <v>19.567805401346281</v>
      </c>
      <c r="F224" s="278">
        <f t="shared" si="16"/>
        <v>2841690.3161703064</v>
      </c>
      <c r="G224" s="33">
        <f>+'A) Base RI'!AN226</f>
        <v>75.5</v>
      </c>
      <c r="H224" s="279">
        <f t="shared" si="17"/>
        <v>1.121889302413162</v>
      </c>
      <c r="I224" s="55">
        <f t="shared" si="18"/>
        <v>3188061.9664825429</v>
      </c>
    </row>
    <row r="225" spans="1:9" x14ac:dyDescent="0.25">
      <c r="A225" s="49">
        <f>'A) Base RI'!A227</f>
        <v>5758</v>
      </c>
      <c r="B225" s="32" t="str">
        <f>'A) Base RI'!B227</f>
        <v>La Praz</v>
      </c>
      <c r="C225" s="95">
        <f>'A) Base RI'!AO227</f>
        <v>175</v>
      </c>
      <c r="D225" s="110">
        <f>'D) Ecrêtage'!E225</f>
        <v>24.647965576592078</v>
      </c>
      <c r="E225" s="34">
        <f t="shared" si="15"/>
        <v>23.525038425882371</v>
      </c>
      <c r="F225" s="278">
        <f t="shared" si="16"/>
        <v>92259.31944670419</v>
      </c>
      <c r="G225" s="33">
        <f>+'A) Base RI'!AN227</f>
        <v>83</v>
      </c>
      <c r="H225" s="279">
        <f t="shared" si="17"/>
        <v>1.2333352596065223</v>
      </c>
      <c r="I225" s="55">
        <f t="shared" si="18"/>
        <v>113786.67170092199</v>
      </c>
    </row>
    <row r="226" spans="1:9" x14ac:dyDescent="0.25">
      <c r="A226" s="49">
        <f>'A) Base RI'!A228</f>
        <v>5759</v>
      </c>
      <c r="B226" s="32" t="str">
        <f>'A) Base RI'!B228</f>
        <v>Premier</v>
      </c>
      <c r="C226" s="95">
        <f>'A) Base RI'!AO228</f>
        <v>218</v>
      </c>
      <c r="D226" s="110">
        <f>'D) Ecrêtage'!E226</f>
        <v>24.346256996134098</v>
      </c>
      <c r="E226" s="34">
        <f t="shared" si="15"/>
        <v>23.826747006340351</v>
      </c>
      <c r="F226" s="278">
        <f t="shared" si="16"/>
        <v>111494.16513905887</v>
      </c>
      <c r="G226" s="33">
        <f>+'A) Base RI'!AN228</f>
        <v>79.5</v>
      </c>
      <c r="H226" s="279">
        <f t="shared" si="17"/>
        <v>1.1813271462496209</v>
      </c>
      <c r="I226" s="55">
        <f t="shared" si="18"/>
        <v>131711.08392720838</v>
      </c>
    </row>
    <row r="227" spans="1:9" x14ac:dyDescent="0.25">
      <c r="A227" s="49">
        <f>'A) Base RI'!A229</f>
        <v>5760</v>
      </c>
      <c r="B227" s="32" t="str">
        <f>'A) Base RI'!B229</f>
        <v>Rances</v>
      </c>
      <c r="C227" s="95">
        <f>'A) Base RI'!AO229</f>
        <v>513</v>
      </c>
      <c r="D227" s="110">
        <f>'D) Ecrêtage'!E227</f>
        <v>25.001986350528941</v>
      </c>
      <c r="E227" s="34">
        <f t="shared" si="15"/>
        <v>23.171017651945508</v>
      </c>
      <c r="F227" s="278">
        <f t="shared" si="16"/>
        <v>245520.45060527942</v>
      </c>
      <c r="G227" s="33">
        <f>+'A) Base RI'!AN229</f>
        <v>76.5</v>
      </c>
      <c r="H227" s="279">
        <f t="shared" si="17"/>
        <v>1.1367487633722768</v>
      </c>
      <c r="I227" s="55">
        <f t="shared" si="18"/>
        <v>279095.06860815553</v>
      </c>
    </row>
    <row r="228" spans="1:9" x14ac:dyDescent="0.25">
      <c r="A228" s="49">
        <f>'A) Base RI'!A230</f>
        <v>5761</v>
      </c>
      <c r="B228" s="32" t="str">
        <f>'A) Base RI'!B230</f>
        <v>Romainmôtier-Envy</v>
      </c>
      <c r="C228" s="95">
        <f>'A) Base RI'!AO230</f>
        <v>525</v>
      </c>
      <c r="D228" s="110">
        <f>'D) Ecrêtage'!E228</f>
        <v>23.114294051627386</v>
      </c>
      <c r="E228" s="34">
        <f t="shared" si="15"/>
        <v>25.058709950847064</v>
      </c>
      <c r="F228" s="278">
        <f t="shared" si="16"/>
        <v>287717.8429781383</v>
      </c>
      <c r="G228" s="33">
        <f>+'A) Base RI'!AN230</f>
        <v>81</v>
      </c>
      <c r="H228" s="279">
        <f t="shared" si="17"/>
        <v>1.2036163376882929</v>
      </c>
      <c r="I228" s="55">
        <f t="shared" si="18"/>
        <v>346301.89645292214</v>
      </c>
    </row>
    <row r="229" spans="1:9" x14ac:dyDescent="0.25">
      <c r="A229" s="49">
        <f>'A) Base RI'!A231</f>
        <v>5762</v>
      </c>
      <c r="B229" s="32" t="str">
        <f>'A) Base RI'!B231</f>
        <v>Sergey</v>
      </c>
      <c r="C229" s="95">
        <f>'A) Base RI'!AO231</f>
        <v>145</v>
      </c>
      <c r="D229" s="110">
        <f>'D) Ecrêtage'!E229</f>
        <v>26.020884173297965</v>
      </c>
      <c r="E229" s="34">
        <f t="shared" si="15"/>
        <v>22.152119829176485</v>
      </c>
      <c r="F229" s="278">
        <f t="shared" si="16"/>
        <v>67645.928322356238</v>
      </c>
      <c r="G229" s="33">
        <f>+'A) Base RI'!AN231</f>
        <v>78</v>
      </c>
      <c r="H229" s="279">
        <f t="shared" si="17"/>
        <v>1.1590379548109488</v>
      </c>
      <c r="I229" s="55">
        <f t="shared" si="18"/>
        <v>78404.198414031809</v>
      </c>
    </row>
    <row r="230" spans="1:9" x14ac:dyDescent="0.25">
      <c r="A230" s="49">
        <f>'A) Base RI'!A232</f>
        <v>5763</v>
      </c>
      <c r="B230" s="32" t="str">
        <f>'A) Base RI'!B232</f>
        <v>Valeyres-sous-Rances</v>
      </c>
      <c r="C230" s="95">
        <f>'A) Base RI'!AO232</f>
        <v>609</v>
      </c>
      <c r="D230" s="110">
        <f>'D) Ecrêtage'!E230</f>
        <v>33.584522360668402</v>
      </c>
      <c r="E230" s="34">
        <f t="shared" si="15"/>
        <v>14.588481641806048</v>
      </c>
      <c r="F230" s="278">
        <f t="shared" si="16"/>
        <v>163117.31447262748</v>
      </c>
      <c r="G230" s="33">
        <f>+'A) Base RI'!AN232</f>
        <v>68</v>
      </c>
      <c r="H230" s="279">
        <f t="shared" si="17"/>
        <v>1.0104433452198016</v>
      </c>
      <c r="I230" s="55">
        <f t="shared" si="18"/>
        <v>164820.80489899206</v>
      </c>
    </row>
    <row r="231" spans="1:9" x14ac:dyDescent="0.25">
      <c r="A231" s="49">
        <f>'A) Base RI'!A233</f>
        <v>5764</v>
      </c>
      <c r="B231" s="32" t="str">
        <f>'A) Base RI'!B233</f>
        <v>Vallorbe</v>
      </c>
      <c r="C231" s="95">
        <f>'A) Base RI'!AO233</f>
        <v>3874</v>
      </c>
      <c r="D231" s="110">
        <f>'D) Ecrêtage'!E231</f>
        <v>21.763217505261899</v>
      </c>
      <c r="E231" s="34">
        <f t="shared" si="15"/>
        <v>26.409786497212551</v>
      </c>
      <c r="F231" s="278">
        <f t="shared" si="16"/>
        <v>1975123.7563453387</v>
      </c>
      <c r="G231" s="33">
        <f>+'A) Base RI'!AN233</f>
        <v>71.5</v>
      </c>
      <c r="H231" s="279">
        <f t="shared" si="17"/>
        <v>1.0624514585767031</v>
      </c>
      <c r="I231" s="55">
        <f t="shared" si="18"/>
        <v>2098473.1157986019</v>
      </c>
    </row>
    <row r="232" spans="1:9" x14ac:dyDescent="0.25">
      <c r="A232" s="49">
        <f>'A) Base RI'!A234</f>
        <v>5765</v>
      </c>
      <c r="B232" s="32" t="str">
        <f>'A) Base RI'!B234</f>
        <v>Vaulion</v>
      </c>
      <c r="C232" s="95">
        <f>'A) Base RI'!AO234</f>
        <v>506</v>
      </c>
      <c r="D232" s="110">
        <f>'D) Ecrêtage'!E232</f>
        <v>22.360863709559361</v>
      </c>
      <c r="E232" s="34">
        <f t="shared" si="15"/>
        <v>25.812140292915089</v>
      </c>
      <c r="F232" s="278">
        <f t="shared" si="16"/>
        <v>285642.82315226283</v>
      </c>
      <c r="G232" s="33">
        <f>+'A) Base RI'!AN234</f>
        <v>81</v>
      </c>
      <c r="H232" s="279">
        <f t="shared" si="17"/>
        <v>1.2036163376882929</v>
      </c>
      <c r="I232" s="55">
        <f t="shared" si="18"/>
        <v>343804.36868947133</v>
      </c>
    </row>
    <row r="233" spans="1:9" x14ac:dyDescent="0.25">
      <c r="A233" s="49">
        <f>'A) Base RI'!A235</f>
        <v>5766</v>
      </c>
      <c r="B233" s="32" t="str">
        <f>'A) Base RI'!B235</f>
        <v>Vuiteboeuf</v>
      </c>
      <c r="C233" s="95">
        <f>'A) Base RI'!AO235</f>
        <v>584</v>
      </c>
      <c r="D233" s="110">
        <f>'D) Ecrêtage'!E233</f>
        <v>27.386232209571247</v>
      </c>
      <c r="E233" s="34">
        <f t="shared" si="15"/>
        <v>20.786771792903203</v>
      </c>
      <c r="F233" s="278">
        <f t="shared" si="16"/>
        <v>252379.67957548326</v>
      </c>
      <c r="G233" s="33">
        <f>+'A) Base RI'!AN235</f>
        <v>77</v>
      </c>
      <c r="H233" s="279">
        <f t="shared" si="17"/>
        <v>1.144178493851834</v>
      </c>
      <c r="I233" s="55">
        <f t="shared" si="18"/>
        <v>288767.40165548492</v>
      </c>
    </row>
    <row r="234" spans="1:9" x14ac:dyDescent="0.25">
      <c r="A234" s="49">
        <f>'A) Base RI'!A236</f>
        <v>5785</v>
      </c>
      <c r="B234" s="32" t="str">
        <f>'A) Base RI'!B236</f>
        <v>Corcelles-le-Jorat</v>
      </c>
      <c r="C234" s="95">
        <f>'A) Base RI'!AO236</f>
        <v>451</v>
      </c>
      <c r="D234" s="110">
        <f>'D) Ecrêtage'!E234</f>
        <v>38.842894865666487</v>
      </c>
      <c r="E234" s="34">
        <f t="shared" si="15"/>
        <v>9.3301091368079625</v>
      </c>
      <c r="F234" s="278">
        <f t="shared" si="16"/>
        <v>87481.808998361143</v>
      </c>
      <c r="G234" s="33">
        <f>+'A) Base RI'!AN236</f>
        <v>77</v>
      </c>
      <c r="H234" s="279">
        <f t="shared" si="17"/>
        <v>1.144178493851834</v>
      </c>
      <c r="I234" s="55">
        <f t="shared" si="18"/>
        <v>100094.80445917867</v>
      </c>
    </row>
    <row r="235" spans="1:9" x14ac:dyDescent="0.25">
      <c r="A235" s="49">
        <f>'A) Base RI'!A237</f>
        <v>5788</v>
      </c>
      <c r="B235" s="32" t="str">
        <f>'A) Base RI'!B237</f>
        <v>Essertes</v>
      </c>
      <c r="C235" s="95">
        <f>'A) Base RI'!AO237</f>
        <v>389</v>
      </c>
      <c r="D235" s="110">
        <f>'D) Ecrêtage'!E235</f>
        <v>41.709238319521084</v>
      </c>
      <c r="E235" s="34">
        <f t="shared" si="15"/>
        <v>6.4637656829533654</v>
      </c>
      <c r="F235" s="278">
        <f t="shared" si="16"/>
        <v>48540.585642162332</v>
      </c>
      <c r="G235" s="33">
        <f>+'A) Base RI'!AN237</f>
        <v>71.5</v>
      </c>
      <c r="H235" s="279">
        <f t="shared" si="17"/>
        <v>1.0624514585767031</v>
      </c>
      <c r="I235" s="55">
        <f t="shared" si="18"/>
        <v>51572.016015682741</v>
      </c>
    </row>
    <row r="236" spans="1:9" x14ac:dyDescent="0.25">
      <c r="A236" s="49">
        <f>'A) Base RI'!A238</f>
        <v>5790</v>
      </c>
      <c r="B236" s="32" t="str">
        <f>'A) Base RI'!B238</f>
        <v>Maracon</v>
      </c>
      <c r="C236" s="95">
        <f>'A) Base RI'!AO238</f>
        <v>538</v>
      </c>
      <c r="D236" s="110">
        <f>'D) Ecrêtage'!E236</f>
        <v>24.903503655098426</v>
      </c>
      <c r="E236" s="34">
        <f t="shared" si="15"/>
        <v>23.269500347376024</v>
      </c>
      <c r="F236" s="278">
        <f t="shared" si="16"/>
        <v>251819.50772425818</v>
      </c>
      <c r="G236" s="33">
        <f>+'A) Base RI'!AN238</f>
        <v>74.5</v>
      </c>
      <c r="H236" s="279">
        <f t="shared" si="17"/>
        <v>1.1070298414540471</v>
      </c>
      <c r="I236" s="55">
        <f t="shared" si="18"/>
        <v>278771.70971102174</v>
      </c>
    </row>
    <row r="237" spans="1:9" x14ac:dyDescent="0.25">
      <c r="A237" s="49">
        <f>'A) Base RI'!A239</f>
        <v>5792</v>
      </c>
      <c r="B237" s="32" t="str">
        <f>'A) Base RI'!B239</f>
        <v>Montpreveyres</v>
      </c>
      <c r="C237" s="95">
        <f>'A) Base RI'!AO239</f>
        <v>653</v>
      </c>
      <c r="D237" s="110">
        <f>'D) Ecrêtage'!E237</f>
        <v>26.96666278713629</v>
      </c>
      <c r="E237" s="34">
        <f t="shared" si="15"/>
        <v>21.20634121533816</v>
      </c>
      <c r="F237" s="278">
        <f t="shared" si="16"/>
        <v>280416.75147572038</v>
      </c>
      <c r="G237" s="33">
        <f>+'A) Base RI'!AN239</f>
        <v>75</v>
      </c>
      <c r="H237" s="279">
        <f t="shared" si="17"/>
        <v>1.1144595719336046</v>
      </c>
      <c r="I237" s="55">
        <f t="shared" si="18"/>
        <v>312513.13281264331</v>
      </c>
    </row>
    <row r="238" spans="1:9" x14ac:dyDescent="0.25">
      <c r="A238" s="49">
        <f>'A) Base RI'!A240</f>
        <v>5798</v>
      </c>
      <c r="B238" s="32" t="str">
        <f>'A) Base RI'!B240</f>
        <v>Ropraz</v>
      </c>
      <c r="C238" s="95">
        <f>'A) Base RI'!AO240</f>
        <v>528</v>
      </c>
      <c r="D238" s="110">
        <f>'D) Ecrêtage'!E238</f>
        <v>29.85087438905181</v>
      </c>
      <c r="E238" s="34">
        <f t="shared" si="15"/>
        <v>18.322129613422639</v>
      </c>
      <c r="F238" s="278">
        <f t="shared" si="16"/>
        <v>202430.21682093869</v>
      </c>
      <c r="G238" s="33">
        <f>+'A) Base RI'!AN240</f>
        <v>77.5</v>
      </c>
      <c r="H238" s="279">
        <f t="shared" si="17"/>
        <v>1.1516082243313914</v>
      </c>
      <c r="I238" s="55">
        <f t="shared" si="18"/>
        <v>233120.30254417978</v>
      </c>
    </row>
    <row r="239" spans="1:9" x14ac:dyDescent="0.25">
      <c r="A239" s="49">
        <f>'A) Base RI'!A241</f>
        <v>5799</v>
      </c>
      <c r="B239" s="32" t="str">
        <f>'A) Base RI'!B241</f>
        <v>Servion</v>
      </c>
      <c r="C239" s="95">
        <f>'A) Base RI'!AO241</f>
        <v>2076</v>
      </c>
      <c r="D239" s="110">
        <f>'D) Ecrêtage'!E239</f>
        <v>33.423517773868355</v>
      </c>
      <c r="E239" s="34">
        <f t="shared" si="15"/>
        <v>14.749486228606095</v>
      </c>
      <c r="F239" s="278">
        <f t="shared" si="16"/>
        <v>570449.35943922203</v>
      </c>
      <c r="G239" s="33">
        <f>+'A) Base RI'!AN241</f>
        <v>69</v>
      </c>
      <c r="H239" s="279">
        <f t="shared" si="17"/>
        <v>1.0253028061789162</v>
      </c>
      <c r="I239" s="55">
        <f t="shared" si="18"/>
        <v>584883.32901599957</v>
      </c>
    </row>
    <row r="240" spans="1:9" x14ac:dyDescent="0.25">
      <c r="A240" s="49">
        <f>'A) Base RI'!A242</f>
        <v>5803</v>
      </c>
      <c r="B240" s="32" t="str">
        <f>'A) Base RI'!B242</f>
        <v>Vulliens</v>
      </c>
      <c r="C240" s="95">
        <f>'A) Base RI'!AO242</f>
        <v>624</v>
      </c>
      <c r="D240" s="110">
        <f>'D) Ecrêtage'!E240</f>
        <v>30.249893302968967</v>
      </c>
      <c r="E240" s="34">
        <f t="shared" si="15"/>
        <v>17.923110699505482</v>
      </c>
      <c r="F240" s="278">
        <f t="shared" si="16"/>
        <v>229496.11248960398</v>
      </c>
      <c r="G240" s="33">
        <f>+'A) Base RI'!AN242</f>
        <v>76</v>
      </c>
      <c r="H240" s="279">
        <f t="shared" si="17"/>
        <v>1.1293190328927194</v>
      </c>
      <c r="I240" s="55">
        <f t="shared" si="18"/>
        <v>259174.32780939832</v>
      </c>
    </row>
    <row r="241" spans="1:9" x14ac:dyDescent="0.25">
      <c r="A241" s="49">
        <f>'A) Base RI'!A243</f>
        <v>5804</v>
      </c>
      <c r="B241" s="32" t="str">
        <f>'A) Base RI'!B243</f>
        <v>Jorat-Menthue</v>
      </c>
      <c r="C241" s="95">
        <f>'A) Base RI'!AO243</f>
        <v>1602</v>
      </c>
      <c r="D241" s="110">
        <f>'D) Ecrêtage'!E241</f>
        <v>29.146607432199115</v>
      </c>
      <c r="E241" s="34">
        <f t="shared" si="15"/>
        <v>19.026396570275335</v>
      </c>
      <c r="F241" s="278">
        <f t="shared" si="16"/>
        <v>580192.26886173605</v>
      </c>
      <c r="G241" s="33">
        <f>+'A) Base RI'!AN243</f>
        <v>70.5</v>
      </c>
      <c r="H241" s="279">
        <f t="shared" si="17"/>
        <v>1.0475919976175883</v>
      </c>
      <c r="I241" s="55">
        <f t="shared" si="18"/>
        <v>607804.77793914697</v>
      </c>
    </row>
    <row r="242" spans="1:9" x14ac:dyDescent="0.25">
      <c r="A242" s="49">
        <f>'A) Base RI'!A244</f>
        <v>5805</v>
      </c>
      <c r="B242" s="32" t="str">
        <f>'A) Base RI'!B244</f>
        <v>Oron</v>
      </c>
      <c r="C242" s="95">
        <f>'A) Base RI'!AO244</f>
        <v>5663</v>
      </c>
      <c r="D242" s="110">
        <f>'D) Ecrêtage'!E242</f>
        <v>27.322527038537142</v>
      </c>
      <c r="E242" s="34">
        <f t="shared" si="15"/>
        <v>20.850476963937307</v>
      </c>
      <c r="F242" s="278">
        <f t="shared" si="16"/>
        <v>2199760.5570014552</v>
      </c>
      <c r="G242" s="33">
        <f>+'A) Base RI'!AN244</f>
        <v>69</v>
      </c>
      <c r="H242" s="279">
        <f t="shared" si="17"/>
        <v>1.0253028061789162</v>
      </c>
      <c r="I242" s="55">
        <f t="shared" si="18"/>
        <v>2255420.6720152879</v>
      </c>
    </row>
    <row r="243" spans="1:9" x14ac:dyDescent="0.25">
      <c r="A243" s="49">
        <f>'A) Base RI'!A245</f>
        <v>5806</v>
      </c>
      <c r="B243" s="32" t="str">
        <f>'A) Base RI'!B245</f>
        <v>Jorat-Mézières</v>
      </c>
      <c r="C243" s="95">
        <f>'A) Base RI'!AO245</f>
        <v>2966</v>
      </c>
      <c r="D243" s="110">
        <f>'D) Ecrêtage'!E243</f>
        <v>30.712200602259397</v>
      </c>
      <c r="E243" s="34">
        <f t="shared" si="15"/>
        <v>17.460803400215053</v>
      </c>
      <c r="F243" s="278">
        <f t="shared" si="16"/>
        <v>1020756.122264096</v>
      </c>
      <c r="G243" s="33">
        <f>+'A) Base RI'!AN245</f>
        <v>73</v>
      </c>
      <c r="H243" s="279">
        <f t="shared" si="17"/>
        <v>1.0847406500153751</v>
      </c>
      <c r="I243" s="55">
        <f t="shared" si="18"/>
        <v>1107255.6595719294</v>
      </c>
    </row>
    <row r="244" spans="1:9" x14ac:dyDescent="0.25">
      <c r="A244" s="49">
        <f>'A) Base RI'!A246</f>
        <v>5812</v>
      </c>
      <c r="B244" s="32" t="str">
        <f>'A) Base RI'!B246</f>
        <v>Champtauroz</v>
      </c>
      <c r="C244" s="95">
        <f>'A) Base RI'!AO246</f>
        <v>144</v>
      </c>
      <c r="D244" s="110">
        <f>'D) Ecrêtage'!E244</f>
        <v>17.274567775974027</v>
      </c>
      <c r="E244" s="34">
        <f t="shared" si="15"/>
        <v>30.898436226500422</v>
      </c>
      <c r="F244" s="278">
        <f t="shared" si="16"/>
        <v>92502.502437447911</v>
      </c>
      <c r="G244" s="33">
        <f>+'A) Base RI'!AN246</f>
        <v>77</v>
      </c>
      <c r="H244" s="279">
        <f t="shared" si="17"/>
        <v>1.144178493851834</v>
      </c>
      <c r="I244" s="55">
        <f t="shared" si="18"/>
        <v>105839.37391640476</v>
      </c>
    </row>
    <row r="245" spans="1:9" x14ac:dyDescent="0.25">
      <c r="A245" s="49">
        <f>'A) Base RI'!A247</f>
        <v>5813</v>
      </c>
      <c r="B245" s="32" t="str">
        <f>'A) Base RI'!B247</f>
        <v>Chevroux</v>
      </c>
      <c r="C245" s="95">
        <f>'A) Base RI'!AO247</f>
        <v>495</v>
      </c>
      <c r="D245" s="110">
        <f>'D) Ecrêtage'!E245</f>
        <v>30.666216323822166</v>
      </c>
      <c r="E245" s="34">
        <f t="shared" si="15"/>
        <v>17.506787678652284</v>
      </c>
      <c r="F245" s="278">
        <f t="shared" si="16"/>
        <v>160275.07886775365</v>
      </c>
      <c r="G245" s="33">
        <f>+'A) Base RI'!AN247</f>
        <v>68.5</v>
      </c>
      <c r="H245" s="279">
        <f t="shared" si="17"/>
        <v>1.0178730756993588</v>
      </c>
      <c r="I245" s="55">
        <f t="shared" si="18"/>
        <v>163139.68748507771</v>
      </c>
    </row>
    <row r="246" spans="1:9" x14ac:dyDescent="0.25">
      <c r="A246" s="49">
        <f>'A) Base RI'!A248</f>
        <v>5816</v>
      </c>
      <c r="B246" s="32" t="str">
        <f>'A) Base RI'!B248</f>
        <v>Corcelles-près-Payerne</v>
      </c>
      <c r="C246" s="95">
        <f>'A) Base RI'!AO248</f>
        <v>2681</v>
      </c>
      <c r="D246" s="110">
        <f>'D) Ecrêtage'!E246</f>
        <v>22.577022347426897</v>
      </c>
      <c r="E246" s="34">
        <f t="shared" si="15"/>
        <v>25.595981655047552</v>
      </c>
      <c r="F246" s="278">
        <f t="shared" si="16"/>
        <v>1269179.1819837901</v>
      </c>
      <c r="G246" s="33">
        <f>+'A) Base RI'!AN248</f>
        <v>68.5</v>
      </c>
      <c r="H246" s="279">
        <f t="shared" si="17"/>
        <v>1.0178730756993588</v>
      </c>
      <c r="I246" s="55">
        <f t="shared" si="18"/>
        <v>1291863.3175794368</v>
      </c>
    </row>
    <row r="247" spans="1:9" x14ac:dyDescent="0.25">
      <c r="A247" s="49">
        <f>'A) Base RI'!A249</f>
        <v>5817</v>
      </c>
      <c r="B247" s="32" t="str">
        <f>'A) Base RI'!B249</f>
        <v>Grandcour</v>
      </c>
      <c r="C247" s="95">
        <f>'A) Base RI'!AO249</f>
        <v>967</v>
      </c>
      <c r="D247" s="110">
        <f>'D) Ecrêtage'!E247</f>
        <v>22.52247993302802</v>
      </c>
      <c r="E247" s="34">
        <f t="shared" si="15"/>
        <v>25.65052406944643</v>
      </c>
      <c r="F247" s="278">
        <f t="shared" si="16"/>
        <v>492236.50670294499</v>
      </c>
      <c r="G247" s="33">
        <f>+'A) Base RI'!AN249</f>
        <v>73.5</v>
      </c>
      <c r="H247" s="279">
        <f t="shared" si="17"/>
        <v>1.0921703804949325</v>
      </c>
      <c r="I247" s="55">
        <f t="shared" si="18"/>
        <v>537606.13281925186</v>
      </c>
    </row>
    <row r="248" spans="1:9" x14ac:dyDescent="0.25">
      <c r="A248" s="49">
        <f>'A) Base RI'!A250</f>
        <v>5819</v>
      </c>
      <c r="B248" s="32" t="str">
        <f>'A) Base RI'!B250</f>
        <v>Henniez</v>
      </c>
      <c r="C248" s="95">
        <f>'A) Base RI'!AO250</f>
        <v>396</v>
      </c>
      <c r="D248" s="110">
        <f>'D) Ecrêtage'!E248</f>
        <v>28.960146025472117</v>
      </c>
      <c r="E248" s="34">
        <f t="shared" si="15"/>
        <v>19.212857977002333</v>
      </c>
      <c r="F248" s="278">
        <f t="shared" si="16"/>
        <v>141742.47546817519</v>
      </c>
      <c r="G248" s="33">
        <f>+'A) Base RI'!AN250</f>
        <v>69</v>
      </c>
      <c r="H248" s="279">
        <f t="shared" si="17"/>
        <v>1.0253028061789162</v>
      </c>
      <c r="I248" s="55">
        <f t="shared" si="18"/>
        <v>145328.95785226623</v>
      </c>
    </row>
    <row r="249" spans="1:9" x14ac:dyDescent="0.25">
      <c r="A249" s="49">
        <f>'A) Base RI'!A251</f>
        <v>5821</v>
      </c>
      <c r="B249" s="32" t="str">
        <f>'A) Base RI'!B251</f>
        <v>Missy</v>
      </c>
      <c r="C249" s="95">
        <f>'A) Base RI'!AO251</f>
        <v>368</v>
      </c>
      <c r="D249" s="110">
        <f>'D) Ecrêtage'!E249</f>
        <v>21.393298233695656</v>
      </c>
      <c r="E249" s="34">
        <f t="shared" si="15"/>
        <v>26.779705768778793</v>
      </c>
      <c r="F249" s="278">
        <f t="shared" si="16"/>
        <v>191579.872693382</v>
      </c>
      <c r="G249" s="33">
        <f>+'A) Base RI'!AN251</f>
        <v>72</v>
      </c>
      <c r="H249" s="279">
        <f t="shared" si="17"/>
        <v>1.0698811890562605</v>
      </c>
      <c r="I249" s="55">
        <f t="shared" si="18"/>
        <v>204967.70199644254</v>
      </c>
    </row>
    <row r="250" spans="1:9" x14ac:dyDescent="0.25">
      <c r="A250" s="49">
        <f>'A) Base RI'!A252</f>
        <v>5822</v>
      </c>
      <c r="B250" s="32" t="str">
        <f>'A) Base RI'!B252</f>
        <v>Payerne</v>
      </c>
      <c r="C250" s="95">
        <f>'A) Base RI'!AO252</f>
        <v>10108</v>
      </c>
      <c r="D250" s="110">
        <f>'D) Ecrêtage'!E250</f>
        <v>23.531022138981193</v>
      </c>
      <c r="E250" s="34">
        <f t="shared" si="15"/>
        <v>24.641981863493257</v>
      </c>
      <c r="F250" s="278">
        <f t="shared" si="16"/>
        <v>4909389.5192477023</v>
      </c>
      <c r="G250" s="33">
        <f>+'A) Base RI'!AN252</f>
        <v>73</v>
      </c>
      <c r="H250" s="279">
        <f t="shared" si="17"/>
        <v>1.0847406500153751</v>
      </c>
      <c r="I250" s="55">
        <f t="shared" si="18"/>
        <v>5325414.3782874225</v>
      </c>
    </row>
    <row r="251" spans="1:9" x14ac:dyDescent="0.25">
      <c r="A251" s="49">
        <f>'A) Base RI'!A253</f>
        <v>5827</v>
      </c>
      <c r="B251" s="32" t="str">
        <f>'A) Base RI'!B253</f>
        <v>Trey</v>
      </c>
      <c r="C251" s="95">
        <f>'A) Base RI'!AO253</f>
        <v>302</v>
      </c>
      <c r="D251" s="110">
        <f>'D) Ecrêtage'!E251</f>
        <v>20.409367889285111</v>
      </c>
      <c r="E251" s="34">
        <f t="shared" si="15"/>
        <v>27.763636113189339</v>
      </c>
      <c r="F251" s="278">
        <f t="shared" si="16"/>
        <v>176580.05731621778</v>
      </c>
      <c r="G251" s="33">
        <f>+'A) Base RI'!AN253</f>
        <v>78</v>
      </c>
      <c r="H251" s="279">
        <f t="shared" si="17"/>
        <v>1.1590379548109488</v>
      </c>
      <c r="I251" s="55">
        <f t="shared" si="18"/>
        <v>204662.98849218918</v>
      </c>
    </row>
    <row r="252" spans="1:9" x14ac:dyDescent="0.25">
      <c r="A252" s="49">
        <f>'A) Base RI'!A254</f>
        <v>5828</v>
      </c>
      <c r="B252" s="32" t="str">
        <f>'A) Base RI'!B254</f>
        <v>Treytorrens (Payerne)</v>
      </c>
      <c r="C252" s="95">
        <f>'A) Base RI'!AO254</f>
        <v>114</v>
      </c>
      <c r="D252" s="110">
        <f>'D) Ecrêtage'!E252</f>
        <v>20.073824839877467</v>
      </c>
      <c r="E252" s="34">
        <f t="shared" si="15"/>
        <v>28.099179162596982</v>
      </c>
      <c r="F252" s="278">
        <f t="shared" si="16"/>
        <v>72650.989708477762</v>
      </c>
      <c r="G252" s="33">
        <f>+'A) Base RI'!AN254</f>
        <v>84</v>
      </c>
      <c r="H252" s="279">
        <f t="shared" si="17"/>
        <v>1.2481947205656372</v>
      </c>
      <c r="I252" s="55">
        <f t="shared" si="18"/>
        <v>90682.58179799038</v>
      </c>
    </row>
    <row r="253" spans="1:9" x14ac:dyDescent="0.25">
      <c r="A253" s="49">
        <f>'A) Base RI'!A255</f>
        <v>5830</v>
      </c>
      <c r="B253" s="32" t="str">
        <f>'A) Base RI'!B255</f>
        <v>Villarzel</v>
      </c>
      <c r="C253" s="95">
        <f>'A) Base RI'!AO255</f>
        <v>477</v>
      </c>
      <c r="D253" s="110">
        <f>'D) Ecrêtage'!E253</f>
        <v>26.144478477497348</v>
      </c>
      <c r="E253" s="34">
        <f t="shared" si="15"/>
        <v>22.028525524977102</v>
      </c>
      <c r="F253" s="278">
        <f t="shared" si="16"/>
        <v>218453.14278185871</v>
      </c>
      <c r="G253" s="33">
        <f>+'A) Base RI'!AN255</f>
        <v>77</v>
      </c>
      <c r="H253" s="279">
        <f t="shared" si="17"/>
        <v>1.144178493851834</v>
      </c>
      <c r="I253" s="55">
        <f t="shared" si="18"/>
        <v>249949.38788534675</v>
      </c>
    </row>
    <row r="254" spans="1:9" x14ac:dyDescent="0.25">
      <c r="A254" s="49">
        <f>'A) Base RI'!A256</f>
        <v>5831</v>
      </c>
      <c r="B254" s="32" t="str">
        <f>'A) Base RI'!B256</f>
        <v>Valbroye</v>
      </c>
      <c r="C254" s="95">
        <f>'A) Base RI'!AO256</f>
        <v>3373</v>
      </c>
      <c r="D254" s="110">
        <f>'D) Ecrêtage'!E254</f>
        <v>24.831524686023556</v>
      </c>
      <c r="E254" s="34">
        <f t="shared" si="15"/>
        <v>23.341479316450894</v>
      </c>
      <c r="F254" s="278">
        <f t="shared" si="16"/>
        <v>1498640.9632940923</v>
      </c>
      <c r="G254" s="33">
        <f>+'A) Base RI'!AN256</f>
        <v>70.5</v>
      </c>
      <c r="H254" s="279">
        <f t="shared" si="17"/>
        <v>1.0475919976175883</v>
      </c>
      <c r="I254" s="55">
        <f t="shared" si="18"/>
        <v>1569964.2804488048</v>
      </c>
    </row>
    <row r="255" spans="1:9" x14ac:dyDescent="0.25">
      <c r="A255" s="49">
        <f>'A) Base RI'!A257</f>
        <v>5841</v>
      </c>
      <c r="B255" s="32" t="str">
        <f>'A) Base RI'!B257</f>
        <v>Château-d'Oex</v>
      </c>
      <c r="C255" s="95">
        <f>'A) Base RI'!AO257</f>
        <v>3494</v>
      </c>
      <c r="D255" s="110">
        <f>'D) Ecrêtage'!E255</f>
        <v>31.098566306481576</v>
      </c>
      <c r="E255" s="34">
        <f t="shared" si="15"/>
        <v>17.074437695992874</v>
      </c>
      <c r="F255" s="278">
        <f t="shared" si="16"/>
        <v>1312776.1672421293</v>
      </c>
      <c r="G255" s="33">
        <f>+'A) Base RI'!AN257</f>
        <v>81.5</v>
      </c>
      <c r="H255" s="279">
        <f t="shared" si="17"/>
        <v>1.2110460681678503</v>
      </c>
      <c r="I255" s="55">
        <f t="shared" si="18"/>
        <v>1589832.4157230409</v>
      </c>
    </row>
    <row r="256" spans="1:9" x14ac:dyDescent="0.25">
      <c r="A256" s="49">
        <f>'A) Base RI'!A258</f>
        <v>5842</v>
      </c>
      <c r="B256" s="32" t="str">
        <f>'A) Base RI'!B258</f>
        <v>Rossinière</v>
      </c>
      <c r="C256" s="95">
        <f>'A) Base RI'!AO258</f>
        <v>537</v>
      </c>
      <c r="D256" s="110">
        <f>'D) Ecrêtage'!E256</f>
        <v>27.020392977293451</v>
      </c>
      <c r="E256" s="34">
        <f t="shared" si="15"/>
        <v>21.152611025180999</v>
      </c>
      <c r="F256" s="278">
        <f t="shared" si="16"/>
        <v>248420.28287582047</v>
      </c>
      <c r="G256" s="33">
        <f>+'A) Base RI'!AN258</f>
        <v>81</v>
      </c>
      <c r="H256" s="279">
        <f t="shared" si="17"/>
        <v>1.2036163376882929</v>
      </c>
      <c r="I256" s="55">
        <f t="shared" si="18"/>
        <v>299002.71108248481</v>
      </c>
    </row>
    <row r="257" spans="1:9" x14ac:dyDescent="0.25">
      <c r="A257" s="49">
        <f>'A) Base RI'!A259</f>
        <v>5843</v>
      </c>
      <c r="B257" s="32" t="str">
        <f>'A) Base RI'!B259</f>
        <v>Rougemont</v>
      </c>
      <c r="C257" s="95">
        <f>'A) Base RI'!AO259</f>
        <v>863</v>
      </c>
      <c r="D257" s="110">
        <f>'D) Ecrêtage'!E257</f>
        <v>116.41830587830007</v>
      </c>
      <c r="E257" s="34">
        <f t="shared" si="15"/>
        <v>0</v>
      </c>
      <c r="F257" s="278">
        <f t="shared" si="16"/>
        <v>0</v>
      </c>
      <c r="G257" s="33">
        <f>+'A) Base RI'!AN259</f>
        <v>74</v>
      </c>
      <c r="H257" s="279">
        <f t="shared" si="17"/>
        <v>1.09960011097449</v>
      </c>
      <c r="I257" s="55">
        <f t="shared" si="18"/>
        <v>0</v>
      </c>
    </row>
    <row r="258" spans="1:9" x14ac:dyDescent="0.25">
      <c r="A258" s="49">
        <f>'A) Base RI'!A260</f>
        <v>5851</v>
      </c>
      <c r="B258" s="32" t="str">
        <f>'A) Base RI'!B260</f>
        <v>Allaman</v>
      </c>
      <c r="C258" s="95">
        <f>'A) Base RI'!AO260</f>
        <v>443</v>
      </c>
      <c r="D258" s="110">
        <f>'D) Ecrêtage'!E258</f>
        <v>54.885358813872351</v>
      </c>
      <c r="E258" s="34">
        <f t="shared" si="15"/>
        <v>0</v>
      </c>
      <c r="F258" s="278">
        <f t="shared" si="16"/>
        <v>0</v>
      </c>
      <c r="G258" s="33">
        <f>+'A) Base RI'!AN260</f>
        <v>60</v>
      </c>
      <c r="H258" s="279">
        <f t="shared" si="17"/>
        <v>0.89156765754688372</v>
      </c>
      <c r="I258" s="55">
        <f t="shared" si="18"/>
        <v>0</v>
      </c>
    </row>
    <row r="259" spans="1:9" x14ac:dyDescent="0.25">
      <c r="A259" s="49">
        <f>'A) Base RI'!A261</f>
        <v>5852</v>
      </c>
      <c r="B259" s="32" t="str">
        <f>'A) Base RI'!B261</f>
        <v>Bursinel</v>
      </c>
      <c r="C259" s="95">
        <f>'A) Base RI'!AO261</f>
        <v>491</v>
      </c>
      <c r="D259" s="110">
        <f>'D) Ecrêtage'!E259</f>
        <v>82.904716137290563</v>
      </c>
      <c r="E259" s="34">
        <f t="shared" si="15"/>
        <v>0</v>
      </c>
      <c r="F259" s="278">
        <f t="shared" si="16"/>
        <v>0</v>
      </c>
      <c r="G259" s="33">
        <f>+'A) Base RI'!AN261</f>
        <v>65.5</v>
      </c>
      <c r="H259" s="279">
        <f t="shared" si="17"/>
        <v>0.97329469282201475</v>
      </c>
      <c r="I259" s="55">
        <f t="shared" si="18"/>
        <v>0</v>
      </c>
    </row>
    <row r="260" spans="1:9" x14ac:dyDescent="0.25">
      <c r="A260" s="49">
        <f>'A) Base RI'!A262</f>
        <v>5853</v>
      </c>
      <c r="B260" s="32" t="str">
        <f>'A) Base RI'!B262</f>
        <v>Bursins</v>
      </c>
      <c r="C260" s="95">
        <f>'A) Base RI'!AO262</f>
        <v>773</v>
      </c>
      <c r="D260" s="110">
        <f>'D) Ecrêtage'!E260</f>
        <v>54.354310260007637</v>
      </c>
      <c r="E260" s="34">
        <f t="shared" si="15"/>
        <v>0</v>
      </c>
      <c r="F260" s="278">
        <f t="shared" si="16"/>
        <v>0</v>
      </c>
      <c r="G260" s="33">
        <f>+'A) Base RI'!AN262</f>
        <v>71</v>
      </c>
      <c r="H260" s="279">
        <f t="shared" si="17"/>
        <v>1.0550217280971457</v>
      </c>
      <c r="I260" s="55">
        <f t="shared" si="18"/>
        <v>0</v>
      </c>
    </row>
    <row r="261" spans="1:9" x14ac:dyDescent="0.25">
      <c r="A261" s="49">
        <f>'A) Base RI'!A263</f>
        <v>5854</v>
      </c>
      <c r="B261" s="32" t="str">
        <f>'A) Base RI'!B263</f>
        <v>Burtigny</v>
      </c>
      <c r="C261" s="95">
        <f>'A) Base RI'!AO263</f>
        <v>404</v>
      </c>
      <c r="D261" s="110">
        <f>'D) Ecrêtage'!E261</f>
        <v>26.690331580033011</v>
      </c>
      <c r="E261" s="34">
        <f t="shared" si="15"/>
        <v>21.482672422441439</v>
      </c>
      <c r="F261" s="278">
        <f t="shared" si="16"/>
        <v>187466.39262719298</v>
      </c>
      <c r="G261" s="33">
        <f>+'A) Base RI'!AN263</f>
        <v>80</v>
      </c>
      <c r="H261" s="279">
        <f t="shared" si="17"/>
        <v>1.1887568767291783</v>
      </c>
      <c r="I261" s="55">
        <f t="shared" si="18"/>
        <v>222851.96339118778</v>
      </c>
    </row>
    <row r="262" spans="1:9" x14ac:dyDescent="0.25">
      <c r="A262" s="49">
        <f>'A) Base RI'!A264</f>
        <v>5855</v>
      </c>
      <c r="B262" s="32" t="str">
        <f>'A) Base RI'!B264</f>
        <v>Dully</v>
      </c>
      <c r="C262" s="95">
        <f>'A) Base RI'!AO264</f>
        <v>628</v>
      </c>
      <c r="D262" s="110">
        <f>'D) Ecrêtage'!E262</f>
        <v>156.30336767190951</v>
      </c>
      <c r="E262" s="34">
        <f t="shared" ref="E262:E313" si="19">IF($D$314-D262&lt;0,0,$D$314-D262)</f>
        <v>0</v>
      </c>
      <c r="F262" s="278">
        <f t="shared" ref="F262:F313" si="20">(C262*E262*G262)*$E$4</f>
        <v>0</v>
      </c>
      <c r="G262" s="33">
        <f>+'A) Base RI'!AN264</f>
        <v>49</v>
      </c>
      <c r="H262" s="279">
        <f t="shared" ref="H262:H313" si="21">G262/$G$314</f>
        <v>0.72811358699662165</v>
      </c>
      <c r="I262" s="55">
        <f t="shared" ref="I262:I313" si="22">F262*H262</f>
        <v>0</v>
      </c>
    </row>
    <row r="263" spans="1:9" x14ac:dyDescent="0.25">
      <c r="A263" s="49">
        <f>'A) Base RI'!A265</f>
        <v>5856</v>
      </c>
      <c r="B263" s="32" t="str">
        <f>'A) Base RI'!B265</f>
        <v>Essertines-sur-Rolle</v>
      </c>
      <c r="C263" s="95">
        <f>'A) Base RI'!AO265</f>
        <v>740</v>
      </c>
      <c r="D263" s="110">
        <f>'D) Ecrêtage'!E263</f>
        <v>48.258984509089771</v>
      </c>
      <c r="E263" s="34">
        <f t="shared" si="19"/>
        <v>0</v>
      </c>
      <c r="F263" s="278">
        <f t="shared" si="20"/>
        <v>0</v>
      </c>
      <c r="G263" s="33">
        <f>+'A) Base RI'!AN265</f>
        <v>66.5</v>
      </c>
      <c r="H263" s="279">
        <f t="shared" si="21"/>
        <v>0.98815415378112947</v>
      </c>
      <c r="I263" s="55">
        <f t="shared" si="22"/>
        <v>0</v>
      </c>
    </row>
    <row r="264" spans="1:9" x14ac:dyDescent="0.25">
      <c r="A264" s="49">
        <f>'A) Base RI'!A266</f>
        <v>5857</v>
      </c>
      <c r="B264" s="32" t="str">
        <f>'A) Base RI'!B266</f>
        <v>Gilly</v>
      </c>
      <c r="C264" s="95">
        <f>'A) Base RI'!AO266</f>
        <v>1428</v>
      </c>
      <c r="D264" s="110">
        <f>'D) Ecrêtage'!E264</f>
        <v>57.512901765357299</v>
      </c>
      <c r="E264" s="34">
        <f t="shared" si="19"/>
        <v>0</v>
      </c>
      <c r="F264" s="278">
        <f t="shared" si="20"/>
        <v>0</v>
      </c>
      <c r="G264" s="33">
        <f>+'A) Base RI'!AN266</f>
        <v>64.5</v>
      </c>
      <c r="H264" s="279">
        <f t="shared" si="21"/>
        <v>0.95843523186289992</v>
      </c>
      <c r="I264" s="55">
        <f t="shared" si="22"/>
        <v>0</v>
      </c>
    </row>
    <row r="265" spans="1:9" x14ac:dyDescent="0.25">
      <c r="A265" s="49">
        <f>'A) Base RI'!A267</f>
        <v>5858</v>
      </c>
      <c r="B265" s="32" t="str">
        <f>'A) Base RI'!B267</f>
        <v>Luins</v>
      </c>
      <c r="C265" s="95">
        <f>'A) Base RI'!AO267</f>
        <v>619</v>
      </c>
      <c r="D265" s="110">
        <f>'D) Ecrêtage'!E265</f>
        <v>65.08994730035117</v>
      </c>
      <c r="E265" s="34">
        <f t="shared" si="19"/>
        <v>0</v>
      </c>
      <c r="F265" s="278">
        <f t="shared" si="20"/>
        <v>0</v>
      </c>
      <c r="G265" s="33">
        <f>+'A) Base RI'!AN267</f>
        <v>58.5</v>
      </c>
      <c r="H265" s="279">
        <f t="shared" si="21"/>
        <v>0.86927846610821158</v>
      </c>
      <c r="I265" s="55">
        <f t="shared" si="22"/>
        <v>0</v>
      </c>
    </row>
    <row r="266" spans="1:9" x14ac:dyDescent="0.25">
      <c r="A266" s="49">
        <f>'A) Base RI'!A268</f>
        <v>5859</v>
      </c>
      <c r="B266" s="32" t="str">
        <f>'A) Base RI'!B268</f>
        <v>Mont-sur-Rolle</v>
      </c>
      <c r="C266" s="95">
        <f>'A) Base RI'!AO268</f>
        <v>2646</v>
      </c>
      <c r="D266" s="110">
        <f>'D) Ecrêtage'!E266</f>
        <v>55.353659304491678</v>
      </c>
      <c r="E266" s="34">
        <f t="shared" si="19"/>
        <v>0</v>
      </c>
      <c r="F266" s="278">
        <f t="shared" si="20"/>
        <v>0</v>
      </c>
      <c r="G266" s="33">
        <f>+'A) Base RI'!AN268</f>
        <v>63.5</v>
      </c>
      <c r="H266" s="279">
        <f t="shared" si="21"/>
        <v>0.94357577090378519</v>
      </c>
      <c r="I266" s="55">
        <f t="shared" si="22"/>
        <v>0</v>
      </c>
    </row>
    <row r="267" spans="1:9" x14ac:dyDescent="0.25">
      <c r="A267" s="49">
        <f>'A) Base RI'!A269</f>
        <v>5860</v>
      </c>
      <c r="B267" s="32" t="str">
        <f>'A) Base RI'!B269</f>
        <v>Perroy</v>
      </c>
      <c r="C267" s="95">
        <f>'A) Base RI'!AO269</f>
        <v>1518</v>
      </c>
      <c r="D267" s="110">
        <f>'D) Ecrêtage'!E267</f>
        <v>123.30404760234192</v>
      </c>
      <c r="E267" s="34">
        <f t="shared" si="19"/>
        <v>0</v>
      </c>
      <c r="F267" s="278">
        <f t="shared" si="20"/>
        <v>0</v>
      </c>
      <c r="G267" s="33">
        <f>+'A) Base RI'!AN269</f>
        <v>58.5</v>
      </c>
      <c r="H267" s="279">
        <f t="shared" si="21"/>
        <v>0.86927846610821158</v>
      </c>
      <c r="I267" s="55">
        <f t="shared" si="22"/>
        <v>0</v>
      </c>
    </row>
    <row r="268" spans="1:9" x14ac:dyDescent="0.25">
      <c r="A268" s="49">
        <f>'A) Base RI'!A270</f>
        <v>5861</v>
      </c>
      <c r="B268" s="32" t="str">
        <f>'A) Base RI'!B270</f>
        <v>Rolle</v>
      </c>
      <c r="C268" s="95">
        <f>'A) Base RI'!AO270</f>
        <v>6259</v>
      </c>
      <c r="D268" s="110">
        <f>'D) Ecrêtage'!E268</f>
        <v>309.68778836794343</v>
      </c>
      <c r="E268" s="34">
        <f t="shared" si="19"/>
        <v>0</v>
      </c>
      <c r="F268" s="278">
        <f t="shared" si="20"/>
        <v>0</v>
      </c>
      <c r="G268" s="33">
        <f>+'A) Base RI'!AN270</f>
        <v>59.5</v>
      </c>
      <c r="H268" s="279">
        <f t="shared" si="21"/>
        <v>0.8841379270673263</v>
      </c>
      <c r="I268" s="55">
        <f t="shared" si="22"/>
        <v>0</v>
      </c>
    </row>
    <row r="269" spans="1:9" x14ac:dyDescent="0.25">
      <c r="A269" s="49">
        <f>'A) Base RI'!A271</f>
        <v>5862</v>
      </c>
      <c r="B269" s="32" t="str">
        <f>'A) Base RI'!B271</f>
        <v>Tartegnin</v>
      </c>
      <c r="C269" s="95">
        <f>'A) Base RI'!AO271</f>
        <v>236</v>
      </c>
      <c r="D269" s="110">
        <f>'D) Ecrêtage'!E269</f>
        <v>34.306941107058563</v>
      </c>
      <c r="E269" s="34">
        <f t="shared" si="19"/>
        <v>13.866062895415887</v>
      </c>
      <c r="F269" s="278">
        <f t="shared" si="20"/>
        <v>69800.096687976125</v>
      </c>
      <c r="G269" s="33">
        <f>+'A) Base RI'!AN271</f>
        <v>79</v>
      </c>
      <c r="H269" s="279">
        <f t="shared" si="21"/>
        <v>1.1738974157700635</v>
      </c>
      <c r="I269" s="55">
        <f t="shared" si="22"/>
        <v>81938.153122515738</v>
      </c>
    </row>
    <row r="270" spans="1:9" x14ac:dyDescent="0.25">
      <c r="A270" s="49">
        <f>'A) Base RI'!A272</f>
        <v>5863</v>
      </c>
      <c r="B270" s="32" t="str">
        <f>'A) Base RI'!B272</f>
        <v>Vinzel</v>
      </c>
      <c r="C270" s="95">
        <f>'A) Base RI'!AO272</f>
        <v>385</v>
      </c>
      <c r="D270" s="110">
        <f>'D) Ecrêtage'!E270</f>
        <v>56.970636169800365</v>
      </c>
      <c r="E270" s="34">
        <f t="shared" si="19"/>
        <v>0</v>
      </c>
      <c r="F270" s="278">
        <f t="shared" si="20"/>
        <v>0</v>
      </c>
      <c r="G270" s="33">
        <f>+'A) Base RI'!AN272</f>
        <v>67</v>
      </c>
      <c r="H270" s="279">
        <f t="shared" si="21"/>
        <v>0.99558388426068678</v>
      </c>
      <c r="I270" s="55">
        <f t="shared" si="22"/>
        <v>0</v>
      </c>
    </row>
    <row r="271" spans="1:9" x14ac:dyDescent="0.25">
      <c r="A271" s="49">
        <f>'A) Base RI'!A273</f>
        <v>5871</v>
      </c>
      <c r="B271" s="32" t="str">
        <f>'A) Base RI'!B273</f>
        <v>L'Abbaye</v>
      </c>
      <c r="C271" s="95">
        <f>'A) Base RI'!AO273</f>
        <v>1473</v>
      </c>
      <c r="D271" s="110">
        <f>'D) Ecrêtage'!E271</f>
        <v>33.614067395690775</v>
      </c>
      <c r="E271" s="34">
        <f t="shared" si="19"/>
        <v>14.558936606783675</v>
      </c>
      <c r="F271" s="278">
        <f t="shared" si="20"/>
        <v>449090.60161667806</v>
      </c>
      <c r="G271" s="33">
        <f>+'A) Base RI'!AN273</f>
        <v>77.56</v>
      </c>
      <c r="H271" s="279">
        <f t="shared" si="21"/>
        <v>1.1524997919889384</v>
      </c>
      <c r="I271" s="55">
        <f t="shared" si="22"/>
        <v>517576.82494740863</v>
      </c>
    </row>
    <row r="272" spans="1:9" x14ac:dyDescent="0.25">
      <c r="A272" s="49">
        <f>'A) Base RI'!A274</f>
        <v>5872</v>
      </c>
      <c r="B272" s="32" t="str">
        <f>'A) Base RI'!B274</f>
        <v>Le Chenit</v>
      </c>
      <c r="C272" s="95">
        <f>'A) Base RI'!AO274</f>
        <v>4600</v>
      </c>
      <c r="D272" s="110">
        <f>'D) Ecrêtage'!E272</f>
        <v>51.313648309900316</v>
      </c>
      <c r="E272" s="34">
        <f t="shared" si="19"/>
        <v>0</v>
      </c>
      <c r="F272" s="278">
        <f t="shared" si="20"/>
        <v>0</v>
      </c>
      <c r="G272" s="33">
        <f>+'A) Base RI'!AN274</f>
        <v>66.95</v>
      </c>
      <c r="H272" s="279">
        <f t="shared" si="21"/>
        <v>0.9948409112127311</v>
      </c>
      <c r="I272" s="55">
        <f t="shared" si="22"/>
        <v>0</v>
      </c>
    </row>
    <row r="273" spans="1:9" x14ac:dyDescent="0.25">
      <c r="A273" s="49">
        <f>'A) Base RI'!A275</f>
        <v>5873</v>
      </c>
      <c r="B273" s="32" t="str">
        <f>'A) Base RI'!B275</f>
        <v>Le Lieu</v>
      </c>
      <c r="C273" s="95">
        <f>'A) Base RI'!AO275</f>
        <v>888</v>
      </c>
      <c r="D273" s="110">
        <f>'D) Ecrêtage'!E273</f>
        <v>34.279739181145437</v>
      </c>
      <c r="E273" s="34">
        <f t="shared" si="19"/>
        <v>13.893264821329012</v>
      </c>
      <c r="F273" s="278">
        <f t="shared" si="20"/>
        <v>233173.44214932912</v>
      </c>
      <c r="G273" s="33">
        <f>+'A) Base RI'!AN275</f>
        <v>70</v>
      </c>
      <c r="H273" s="279">
        <f t="shared" si="21"/>
        <v>1.0401622671380311</v>
      </c>
      <c r="I273" s="55">
        <f t="shared" si="22"/>
        <v>242538.2162224247</v>
      </c>
    </row>
    <row r="274" spans="1:9" x14ac:dyDescent="0.25">
      <c r="A274" s="49">
        <f>'A) Base RI'!A276</f>
        <v>5881</v>
      </c>
      <c r="B274" s="32" t="str">
        <f>'A) Base RI'!B276</f>
        <v>Blonay</v>
      </c>
      <c r="C274" s="95">
        <f>'A) Base RI'!AO276</f>
        <v>6215</v>
      </c>
      <c r="D274" s="110">
        <f>'D) Ecrêtage'!E274</f>
        <v>58.449948523409915</v>
      </c>
      <c r="E274" s="34">
        <f t="shared" si="19"/>
        <v>0</v>
      </c>
      <c r="F274" s="278">
        <f t="shared" si="20"/>
        <v>0</v>
      </c>
      <c r="G274" s="33">
        <f>+'A) Base RI'!AN276</f>
        <v>68.5</v>
      </c>
      <c r="H274" s="279">
        <f t="shared" si="21"/>
        <v>1.0178730756993588</v>
      </c>
      <c r="I274" s="55">
        <f t="shared" si="22"/>
        <v>0</v>
      </c>
    </row>
    <row r="275" spans="1:9" x14ac:dyDescent="0.25">
      <c r="A275" s="49">
        <f>'A) Base RI'!A277</f>
        <v>5882</v>
      </c>
      <c r="B275" s="32" t="str">
        <f>'A) Base RI'!B277</f>
        <v>Chardonne</v>
      </c>
      <c r="C275" s="95">
        <f>'A) Base RI'!AO277</f>
        <v>3093</v>
      </c>
      <c r="D275" s="110">
        <f>'D) Ecrêtage'!E275</f>
        <v>57.883082434719775</v>
      </c>
      <c r="E275" s="34">
        <f t="shared" si="19"/>
        <v>0</v>
      </c>
      <c r="F275" s="278">
        <f t="shared" si="20"/>
        <v>0</v>
      </c>
      <c r="G275" s="33">
        <f>+'A) Base RI'!AN277</f>
        <v>68</v>
      </c>
      <c r="H275" s="279">
        <f t="shared" si="21"/>
        <v>1.0104433452198016</v>
      </c>
      <c r="I275" s="55">
        <f t="shared" si="22"/>
        <v>0</v>
      </c>
    </row>
    <row r="276" spans="1:9" x14ac:dyDescent="0.25">
      <c r="A276" s="49">
        <f>'A) Base RI'!A278</f>
        <v>5883</v>
      </c>
      <c r="B276" s="32" t="str">
        <f>'A) Base RI'!B278</f>
        <v>Corseaux</v>
      </c>
      <c r="C276" s="95">
        <f>'A) Base RI'!AO278</f>
        <v>2311</v>
      </c>
      <c r="D276" s="110">
        <f>'D) Ecrêtage'!E276</f>
        <v>72.649675785694839</v>
      </c>
      <c r="E276" s="34">
        <f t="shared" si="19"/>
        <v>0</v>
      </c>
      <c r="F276" s="278">
        <f t="shared" si="20"/>
        <v>0</v>
      </c>
      <c r="G276" s="33">
        <f>+'A) Base RI'!AN278</f>
        <v>67.5</v>
      </c>
      <c r="H276" s="279">
        <f t="shared" si="21"/>
        <v>1.0030136147402442</v>
      </c>
      <c r="I276" s="55">
        <f t="shared" si="22"/>
        <v>0</v>
      </c>
    </row>
    <row r="277" spans="1:9" x14ac:dyDescent="0.25">
      <c r="A277" s="49">
        <f>'A) Base RI'!A279</f>
        <v>5884</v>
      </c>
      <c r="B277" s="32" t="str">
        <f>'A) Base RI'!B279</f>
        <v>Corsier-sur-Vevey</v>
      </c>
      <c r="C277" s="95">
        <f>'A) Base RI'!AO279</f>
        <v>3420</v>
      </c>
      <c r="D277" s="110">
        <f>'D) Ecrêtage'!E277</f>
        <v>35.722439091204443</v>
      </c>
      <c r="E277" s="34">
        <f t="shared" si="19"/>
        <v>12.450564911270007</v>
      </c>
      <c r="F277" s="278">
        <f t="shared" si="20"/>
        <v>758792.2081784039</v>
      </c>
      <c r="G277" s="33">
        <f>+'A) Base RI'!AN279</f>
        <v>66</v>
      </c>
      <c r="H277" s="279">
        <f t="shared" si="21"/>
        <v>0.98072442330157206</v>
      </c>
      <c r="I277" s="55">
        <f t="shared" si="22"/>
        <v>744166.0507714916</v>
      </c>
    </row>
    <row r="278" spans="1:9" x14ac:dyDescent="0.25">
      <c r="A278" s="49">
        <f>'A) Base RI'!A280</f>
        <v>5885</v>
      </c>
      <c r="B278" s="32" t="str">
        <f>'A) Base RI'!B280</f>
        <v>Jongny</v>
      </c>
      <c r="C278" s="95">
        <f>'A) Base RI'!AO280</f>
        <v>1670</v>
      </c>
      <c r="D278" s="110">
        <f>'D) Ecrêtage'!E278</f>
        <v>50.95881022128404</v>
      </c>
      <c r="E278" s="34">
        <f t="shared" si="19"/>
        <v>0</v>
      </c>
      <c r="F278" s="278">
        <f t="shared" si="20"/>
        <v>0</v>
      </c>
      <c r="G278" s="33">
        <f>+'A) Base RI'!AN280</f>
        <v>69.5</v>
      </c>
      <c r="H278" s="279">
        <f t="shared" si="21"/>
        <v>1.0327325366584736</v>
      </c>
      <c r="I278" s="55">
        <f t="shared" si="22"/>
        <v>0</v>
      </c>
    </row>
    <row r="279" spans="1:9" x14ac:dyDescent="0.25">
      <c r="A279" s="49">
        <f>'A) Base RI'!A281</f>
        <v>5886</v>
      </c>
      <c r="B279" s="32" t="str">
        <f>'A) Base RI'!B281</f>
        <v>Montreux</v>
      </c>
      <c r="C279" s="95">
        <f>'A) Base RI'!AO281</f>
        <v>26180</v>
      </c>
      <c r="D279" s="110">
        <f>'D) Ecrêtage'!E279</f>
        <v>41.905095283148214</v>
      </c>
      <c r="E279" s="34">
        <f t="shared" si="19"/>
        <v>6.2679087193262362</v>
      </c>
      <c r="F279" s="278">
        <f t="shared" si="20"/>
        <v>2879847.0722729135</v>
      </c>
      <c r="G279" s="33">
        <f>+'A) Base RI'!AN281</f>
        <v>65</v>
      </c>
      <c r="H279" s="279">
        <f t="shared" si="21"/>
        <v>0.96586496234245733</v>
      </c>
      <c r="I279" s="55">
        <f t="shared" si="22"/>
        <v>2781543.3840129138</v>
      </c>
    </row>
    <row r="280" spans="1:9" x14ac:dyDescent="0.25">
      <c r="A280" s="49">
        <f>'A) Base RI'!A282</f>
        <v>5888</v>
      </c>
      <c r="B280" s="32" t="str">
        <f>'A) Base RI'!B282</f>
        <v>Saint-Légier-La Chiésaz</v>
      </c>
      <c r="C280" s="95">
        <f>'A) Base RI'!AO282</f>
        <v>5522</v>
      </c>
      <c r="D280" s="110">
        <f>'D) Ecrêtage'!E280</f>
        <v>58.960473245262691</v>
      </c>
      <c r="E280" s="34">
        <f t="shared" si="19"/>
        <v>0</v>
      </c>
      <c r="F280" s="278">
        <f t="shared" si="20"/>
        <v>0</v>
      </c>
      <c r="G280" s="33">
        <f>+'A) Base RI'!AN282</f>
        <v>68.5</v>
      </c>
      <c r="H280" s="279">
        <f t="shared" si="21"/>
        <v>1.0178730756993588</v>
      </c>
      <c r="I280" s="55">
        <f t="shared" si="22"/>
        <v>0</v>
      </c>
    </row>
    <row r="281" spans="1:9" x14ac:dyDescent="0.25">
      <c r="A281" s="49">
        <f>'A) Base RI'!A283</f>
        <v>5889</v>
      </c>
      <c r="B281" s="32" t="str">
        <f>'A) Base RI'!B283</f>
        <v>La Tour-de-Peilz</v>
      </c>
      <c r="C281" s="95">
        <f>'A) Base RI'!AO283</f>
        <v>12088</v>
      </c>
      <c r="D281" s="110">
        <f>'D) Ecrêtage'!E281</f>
        <v>55.920143957333721</v>
      </c>
      <c r="E281" s="34">
        <f t="shared" si="19"/>
        <v>0</v>
      </c>
      <c r="F281" s="278">
        <f t="shared" si="20"/>
        <v>0</v>
      </c>
      <c r="G281" s="33">
        <f>+'A) Base RI'!AN283</f>
        <v>64</v>
      </c>
      <c r="H281" s="279">
        <f t="shared" si="21"/>
        <v>0.95100550138334261</v>
      </c>
      <c r="I281" s="55">
        <f t="shared" si="22"/>
        <v>0</v>
      </c>
    </row>
    <row r="282" spans="1:9" x14ac:dyDescent="0.25">
      <c r="A282" s="49">
        <f>'A) Base RI'!A284</f>
        <v>5890</v>
      </c>
      <c r="B282" s="32" t="str">
        <f>'A) Base RI'!B284</f>
        <v>Vevey</v>
      </c>
      <c r="C282" s="95">
        <f>'A) Base RI'!AO284</f>
        <v>19780</v>
      </c>
      <c r="D282" s="110">
        <f>'D) Ecrêtage'!E282</f>
        <v>43.611014164760924</v>
      </c>
      <c r="E282" s="34">
        <f t="shared" si="19"/>
        <v>4.5619898377135257</v>
      </c>
      <c r="F282" s="278">
        <f t="shared" si="20"/>
        <v>1815100.338083318</v>
      </c>
      <c r="G282" s="33">
        <f>+'A) Base RI'!AN284</f>
        <v>74.5</v>
      </c>
      <c r="H282" s="279">
        <f t="shared" si="21"/>
        <v>1.1070298414540471</v>
      </c>
      <c r="I282" s="55">
        <f t="shared" si="22"/>
        <v>2009370.2394915628</v>
      </c>
    </row>
    <row r="283" spans="1:9" x14ac:dyDescent="0.25">
      <c r="A283" s="49">
        <f>'A) Base RI'!A285</f>
        <v>5891</v>
      </c>
      <c r="B283" s="32" t="str">
        <f>'A) Base RI'!B285</f>
        <v>Veytaux</v>
      </c>
      <c r="C283" s="95">
        <f>'A) Base RI'!AO285</f>
        <v>956</v>
      </c>
      <c r="D283" s="110">
        <f>'D) Ecrêtage'!E283</f>
        <v>45.973206756770317</v>
      </c>
      <c r="E283" s="34">
        <f t="shared" si="19"/>
        <v>2.1997972457041328</v>
      </c>
      <c r="F283" s="278">
        <f t="shared" si="20"/>
        <v>39462.910721749984</v>
      </c>
      <c r="G283" s="33">
        <f>+'A) Base RI'!AN285</f>
        <v>69.5</v>
      </c>
      <c r="H283" s="279">
        <f t="shared" si="21"/>
        <v>1.0327325366584736</v>
      </c>
      <c r="I283" s="55">
        <f t="shared" si="22"/>
        <v>40754.631893599741</v>
      </c>
    </row>
    <row r="284" spans="1:9" x14ac:dyDescent="0.25">
      <c r="A284" s="49">
        <f>'A) Base RI'!A286</f>
        <v>5902</v>
      </c>
      <c r="B284" s="32" t="str">
        <f>'A) Base RI'!B286</f>
        <v>Belmont-sur-Yverdon</v>
      </c>
      <c r="C284" s="95">
        <f>'A) Base RI'!AO286</f>
        <v>396</v>
      </c>
      <c r="D284" s="110">
        <f>'D) Ecrêtage'!E284</f>
        <v>29.669610389610394</v>
      </c>
      <c r="E284" s="34">
        <f t="shared" si="19"/>
        <v>18.503393612864055</v>
      </c>
      <c r="F284" s="278">
        <f t="shared" si="20"/>
        <v>138486.79915611976</v>
      </c>
      <c r="G284" s="33">
        <f>+'A) Base RI'!AN286</f>
        <v>70</v>
      </c>
      <c r="H284" s="279">
        <f t="shared" si="21"/>
        <v>1.0401622671380311</v>
      </c>
      <c r="I284" s="55">
        <f t="shared" si="22"/>
        <v>144048.74297891869</v>
      </c>
    </row>
    <row r="285" spans="1:9" x14ac:dyDescent="0.25">
      <c r="A285" s="49">
        <f>'A) Base RI'!A287</f>
        <v>5903</v>
      </c>
      <c r="B285" s="32" t="str">
        <f>'A) Base RI'!B287</f>
        <v>Bioley-Magnoux</v>
      </c>
      <c r="C285" s="95">
        <f>'A) Base RI'!AO287</f>
        <v>230</v>
      </c>
      <c r="D285" s="110">
        <f>'D) Ecrêtage'!E285</f>
        <v>21.813970755693578</v>
      </c>
      <c r="E285" s="34">
        <f t="shared" si="19"/>
        <v>26.359033246780871</v>
      </c>
      <c r="F285" s="278">
        <f t="shared" si="20"/>
        <v>117856.50945300664</v>
      </c>
      <c r="G285" s="33">
        <f>+'A) Base RI'!AN287</f>
        <v>72</v>
      </c>
      <c r="H285" s="279">
        <f t="shared" si="21"/>
        <v>1.0698811890562605</v>
      </c>
      <c r="I285" s="55">
        <f t="shared" si="22"/>
        <v>126092.46247160315</v>
      </c>
    </row>
    <row r="286" spans="1:9" x14ac:dyDescent="0.25">
      <c r="A286" s="49">
        <f>'A) Base RI'!A288</f>
        <v>5904</v>
      </c>
      <c r="B286" s="32" t="str">
        <f>'A) Base RI'!B288</f>
        <v>Chamblon</v>
      </c>
      <c r="C286" s="95">
        <f>'A) Base RI'!AO288</f>
        <v>559</v>
      </c>
      <c r="D286" s="110">
        <f>'D) Ecrêtage'!E286</f>
        <v>38.808687591478282</v>
      </c>
      <c r="E286" s="34">
        <f t="shared" si="19"/>
        <v>9.3643164109961674</v>
      </c>
      <c r="F286" s="278">
        <f t="shared" si="20"/>
        <v>93281.514210169014</v>
      </c>
      <c r="G286" s="33">
        <f>+'A) Base RI'!AN288</f>
        <v>66</v>
      </c>
      <c r="H286" s="279">
        <f t="shared" si="21"/>
        <v>0.98072442330157206</v>
      </c>
      <c r="I286" s="55">
        <f t="shared" si="22"/>
        <v>91483.459228465406</v>
      </c>
    </row>
    <row r="287" spans="1:9" x14ac:dyDescent="0.25">
      <c r="A287" s="49">
        <f>'A) Base RI'!A289</f>
        <v>5905</v>
      </c>
      <c r="B287" s="32" t="str">
        <f>'A) Base RI'!B289</f>
        <v>Champvent</v>
      </c>
      <c r="C287" s="95">
        <f>'A) Base RI'!AO289</f>
        <v>696</v>
      </c>
      <c r="D287" s="110">
        <f>'D) Ecrêtage'!E287</f>
        <v>31.06633600453295</v>
      </c>
      <c r="E287" s="34">
        <f t="shared" si="19"/>
        <v>17.1066679979415</v>
      </c>
      <c r="F287" s="278">
        <f t="shared" si="20"/>
        <v>228242.63856229483</v>
      </c>
      <c r="G287" s="33">
        <f>+'A) Base RI'!AN289</f>
        <v>71</v>
      </c>
      <c r="H287" s="279">
        <f t="shared" si="21"/>
        <v>1.0550217280971457</v>
      </c>
      <c r="I287" s="55">
        <f t="shared" si="22"/>
        <v>240800.94296144453</v>
      </c>
    </row>
    <row r="288" spans="1:9" x14ac:dyDescent="0.25">
      <c r="A288" s="49">
        <f>'A) Base RI'!A290</f>
        <v>5907</v>
      </c>
      <c r="B288" s="32" t="str">
        <f>'A) Base RI'!B290</f>
        <v>Chavannes-le-Chêne</v>
      </c>
      <c r="C288" s="95">
        <f>'A) Base RI'!AO290</f>
        <v>324</v>
      </c>
      <c r="D288" s="110">
        <f>'D) Ecrêtage'!E288</f>
        <v>30.527918518518522</v>
      </c>
      <c r="E288" s="34">
        <f t="shared" si="19"/>
        <v>17.645085483955928</v>
      </c>
      <c r="F288" s="278">
        <f t="shared" si="20"/>
        <v>115769.40586023485</v>
      </c>
      <c r="G288" s="33">
        <f>+'A) Base RI'!AN290</f>
        <v>75</v>
      </c>
      <c r="H288" s="279">
        <f t="shared" si="21"/>
        <v>1.1144595719336046</v>
      </c>
      <c r="I288" s="55">
        <f t="shared" si="22"/>
        <v>129020.32249800506</v>
      </c>
    </row>
    <row r="289" spans="1:9" x14ac:dyDescent="0.25">
      <c r="A289" s="49">
        <f>'A) Base RI'!A291</f>
        <v>5908</v>
      </c>
      <c r="B289" s="32" t="str">
        <f>'A) Base RI'!B291</f>
        <v>Chêne-Pâquier</v>
      </c>
      <c r="C289" s="95">
        <f>'A) Base RI'!AO291</f>
        <v>144</v>
      </c>
      <c r="D289" s="110">
        <f>'D) Ecrêtage'!E289</f>
        <v>45.156155063291145</v>
      </c>
      <c r="E289" s="34">
        <f t="shared" si="19"/>
        <v>3.0168489391833049</v>
      </c>
      <c r="F289" s="278">
        <f t="shared" si="20"/>
        <v>9266.3118536803049</v>
      </c>
      <c r="G289" s="33">
        <f>+'A) Base RI'!AN291</f>
        <v>79</v>
      </c>
      <c r="H289" s="279">
        <f t="shared" si="21"/>
        <v>1.1738974157700635</v>
      </c>
      <c r="I289" s="55">
        <f t="shared" si="22"/>
        <v>10877.699538754816</v>
      </c>
    </row>
    <row r="290" spans="1:9" x14ac:dyDescent="0.25">
      <c r="A290" s="49">
        <f>'A) Base RI'!A292</f>
        <v>5909</v>
      </c>
      <c r="B290" s="32" t="str">
        <f>'A) Base RI'!B292</f>
        <v>Cheseaux-Noréaz</v>
      </c>
      <c r="C290" s="95">
        <f>'A) Base RI'!AO292</f>
        <v>741</v>
      </c>
      <c r="D290" s="110">
        <f>'D) Ecrêtage'!E290</f>
        <v>52.981263721876452</v>
      </c>
      <c r="E290" s="34">
        <f t="shared" si="19"/>
        <v>0</v>
      </c>
      <c r="F290" s="278">
        <f t="shared" si="20"/>
        <v>0</v>
      </c>
      <c r="G290" s="33">
        <f>+'A) Base RI'!AN292</f>
        <v>67</v>
      </c>
      <c r="H290" s="279">
        <f t="shared" si="21"/>
        <v>0.99558388426068678</v>
      </c>
      <c r="I290" s="55">
        <f t="shared" si="22"/>
        <v>0</v>
      </c>
    </row>
    <row r="291" spans="1:9" x14ac:dyDescent="0.25">
      <c r="A291" s="49">
        <f>'A) Base RI'!A293</f>
        <v>5910</v>
      </c>
      <c r="B291" s="32" t="str">
        <f>'A) Base RI'!B293</f>
        <v>Cronay</v>
      </c>
      <c r="C291" s="95">
        <f>'A) Base RI'!AO293</f>
        <v>393</v>
      </c>
      <c r="D291" s="110">
        <f>'D) Ecrêtage'!E291</f>
        <v>25.384229205908589</v>
      </c>
      <c r="E291" s="34">
        <f t="shared" si="19"/>
        <v>22.78877479656586</v>
      </c>
      <c r="F291" s="278">
        <f t="shared" si="20"/>
        <v>186195.00081209748</v>
      </c>
      <c r="G291" s="33">
        <f>+'A) Base RI'!AN293</f>
        <v>77</v>
      </c>
      <c r="H291" s="279">
        <f t="shared" si="21"/>
        <v>1.144178493851834</v>
      </c>
      <c r="I291" s="55">
        <f t="shared" si="22"/>
        <v>213040.31559192672</v>
      </c>
    </row>
    <row r="292" spans="1:9" x14ac:dyDescent="0.25">
      <c r="A292" s="49">
        <f>'A) Base RI'!A294</f>
        <v>5911</v>
      </c>
      <c r="B292" s="32" t="str">
        <f>'A) Base RI'!B294</f>
        <v>Cuarny</v>
      </c>
      <c r="C292" s="95">
        <f>'A) Base RI'!AO294</f>
        <v>234</v>
      </c>
      <c r="D292" s="110">
        <f>'D) Ecrêtage'!E292</f>
        <v>29.656396936396934</v>
      </c>
      <c r="E292" s="34">
        <f t="shared" si="19"/>
        <v>18.516607066077515</v>
      </c>
      <c r="F292" s="278">
        <f t="shared" si="20"/>
        <v>90080.701051477881</v>
      </c>
      <c r="G292" s="33">
        <f>+'A) Base RI'!AN294</f>
        <v>77</v>
      </c>
      <c r="H292" s="279">
        <f t="shared" si="21"/>
        <v>1.144178493851834</v>
      </c>
      <c r="I292" s="55">
        <f t="shared" si="22"/>
        <v>103068.40085419729</v>
      </c>
    </row>
    <row r="293" spans="1:9" x14ac:dyDescent="0.25">
      <c r="A293" s="49">
        <f>'A) Base RI'!A295</f>
        <v>5912</v>
      </c>
      <c r="B293" s="32" t="str">
        <f>'A) Base RI'!B295</f>
        <v>Démoret</v>
      </c>
      <c r="C293" s="95">
        <f>'A) Base RI'!AO295</f>
        <v>158</v>
      </c>
      <c r="D293" s="110">
        <f>'D) Ecrêtage'!E293</f>
        <v>25.693211439287388</v>
      </c>
      <c r="E293" s="34">
        <f t="shared" si="19"/>
        <v>22.479792563187061</v>
      </c>
      <c r="F293" s="278">
        <f t="shared" si="20"/>
        <v>77678.024010390363</v>
      </c>
      <c r="G293" s="33">
        <f>+'A) Base RI'!AN295</f>
        <v>81</v>
      </c>
      <c r="H293" s="279">
        <f t="shared" si="21"/>
        <v>1.2036163376882929</v>
      </c>
      <c r="I293" s="55">
        <f t="shared" si="22"/>
        <v>93494.538778249334</v>
      </c>
    </row>
    <row r="294" spans="1:9" x14ac:dyDescent="0.25">
      <c r="A294" s="49">
        <f>'A) Base RI'!A296</f>
        <v>5913</v>
      </c>
      <c r="B294" s="32" t="str">
        <f>'A) Base RI'!B296</f>
        <v>Donneloye</v>
      </c>
      <c r="C294" s="95">
        <f>'A) Base RI'!AO296</f>
        <v>829</v>
      </c>
      <c r="D294" s="110">
        <f>'D) Ecrêtage'!E294</f>
        <v>23.981699026719763</v>
      </c>
      <c r="E294" s="34">
        <f t="shared" si="19"/>
        <v>24.191304975754687</v>
      </c>
      <c r="F294" s="278">
        <f t="shared" si="20"/>
        <v>395276.00486879156</v>
      </c>
      <c r="G294" s="33">
        <f>+'A) Base RI'!AN296</f>
        <v>73</v>
      </c>
      <c r="H294" s="279">
        <f t="shared" si="21"/>
        <v>1.0847406500153751</v>
      </c>
      <c r="I294" s="55">
        <f t="shared" si="22"/>
        <v>428771.95045685355</v>
      </c>
    </row>
    <row r="295" spans="1:9" x14ac:dyDescent="0.25">
      <c r="A295" s="49">
        <f>'A) Base RI'!A297</f>
        <v>5914</v>
      </c>
      <c r="B295" s="32" t="str">
        <f>'A) Base RI'!B297</f>
        <v>Ependes</v>
      </c>
      <c r="C295" s="95">
        <f>'A) Base RI'!AO297</f>
        <v>388</v>
      </c>
      <c r="D295" s="110">
        <f>'D) Ecrêtage'!E295</f>
        <v>27.479574654604107</v>
      </c>
      <c r="E295" s="34">
        <f t="shared" si="19"/>
        <v>20.693429347870342</v>
      </c>
      <c r="F295" s="278">
        <f t="shared" si="20"/>
        <v>159336.50889849293</v>
      </c>
      <c r="G295" s="33">
        <f>+'A) Base RI'!AN297</f>
        <v>73.5</v>
      </c>
      <c r="H295" s="279">
        <f t="shared" si="21"/>
        <v>1.0921703804949325</v>
      </c>
      <c r="I295" s="55">
        <f t="shared" si="22"/>
        <v>174022.61555040124</v>
      </c>
    </row>
    <row r="296" spans="1:9" x14ac:dyDescent="0.25">
      <c r="A296" s="49">
        <f>'A) Base RI'!A298</f>
        <v>5919</v>
      </c>
      <c r="B296" s="32" t="str">
        <f>'A) Base RI'!B298</f>
        <v>Mathod</v>
      </c>
      <c r="C296" s="95">
        <f>'A) Base RI'!AO298</f>
        <v>651</v>
      </c>
      <c r="D296" s="110">
        <f>'D) Ecrêtage'!E296</f>
        <v>33.126878769130116</v>
      </c>
      <c r="E296" s="34">
        <f t="shared" si="19"/>
        <v>15.046125233344334</v>
      </c>
      <c r="F296" s="278">
        <f t="shared" si="20"/>
        <v>190415.3351230752</v>
      </c>
      <c r="G296" s="33">
        <f>+'A) Base RI'!AN298</f>
        <v>72</v>
      </c>
      <c r="H296" s="279">
        <f t="shared" si="21"/>
        <v>1.0698811890562605</v>
      </c>
      <c r="I296" s="55">
        <f t="shared" si="22"/>
        <v>203721.78515602203</v>
      </c>
    </row>
    <row r="297" spans="1:9" x14ac:dyDescent="0.25">
      <c r="A297" s="49">
        <f>'A) Base RI'!A299</f>
        <v>5921</v>
      </c>
      <c r="B297" s="32" t="str">
        <f>'A) Base RI'!B299</f>
        <v>Molondin</v>
      </c>
      <c r="C297" s="95">
        <f>'A) Base RI'!AO299</f>
        <v>252</v>
      </c>
      <c r="D297" s="110">
        <f>'D) Ecrêtage'!E297</f>
        <v>22.523386243386245</v>
      </c>
      <c r="E297" s="34">
        <f t="shared" si="19"/>
        <v>25.649617759088205</v>
      </c>
      <c r="F297" s="278">
        <f t="shared" si="20"/>
        <v>141361.19937859729</v>
      </c>
      <c r="G297" s="33">
        <f>+'A) Base RI'!AN299</f>
        <v>81</v>
      </c>
      <c r="H297" s="279">
        <f t="shared" si="21"/>
        <v>1.2036163376882929</v>
      </c>
      <c r="I297" s="55">
        <f t="shared" si="22"/>
        <v>170144.64908729185</v>
      </c>
    </row>
    <row r="298" spans="1:9" x14ac:dyDescent="0.25">
      <c r="A298" s="49">
        <f>'A) Base RI'!A300</f>
        <v>5922</v>
      </c>
      <c r="B298" s="32" t="str">
        <f>'A) Base RI'!B300</f>
        <v>Montagny-près-Yverdon</v>
      </c>
      <c r="C298" s="95">
        <f>'A) Base RI'!AO300</f>
        <v>737</v>
      </c>
      <c r="D298" s="110">
        <f>'D) Ecrêtage'!E298</f>
        <v>45.218993418733099</v>
      </c>
      <c r="E298" s="34">
        <f t="shared" si="19"/>
        <v>2.9540105837413506</v>
      </c>
      <c r="F298" s="278">
        <f t="shared" si="20"/>
        <v>37326.478944726907</v>
      </c>
      <c r="G298" s="33">
        <f>+'A) Base RI'!AN300</f>
        <v>63.5</v>
      </c>
      <c r="H298" s="279">
        <f t="shared" si="21"/>
        <v>0.94357577090378519</v>
      </c>
      <c r="I298" s="55">
        <f t="shared" si="22"/>
        <v>35220.3611453946</v>
      </c>
    </row>
    <row r="299" spans="1:9" x14ac:dyDescent="0.25">
      <c r="A299" s="49">
        <f>'A) Base RI'!A301</f>
        <v>5923</v>
      </c>
      <c r="B299" s="32" t="str">
        <f>'A) Base RI'!B301</f>
        <v>Oppens</v>
      </c>
      <c r="C299" s="95">
        <f>'A) Base RI'!AO301</f>
        <v>201</v>
      </c>
      <c r="D299" s="110">
        <f>'D) Ecrêtage'!E299</f>
        <v>23.876818991462443</v>
      </c>
      <c r="E299" s="34">
        <f t="shared" si="19"/>
        <v>24.296185011012007</v>
      </c>
      <c r="F299" s="278">
        <f t="shared" si="20"/>
        <v>106802.87080435734</v>
      </c>
      <c r="G299" s="33">
        <f>+'A) Base RI'!AN301</f>
        <v>81</v>
      </c>
      <c r="H299" s="279">
        <f t="shared" si="21"/>
        <v>1.2036163376882929</v>
      </c>
      <c r="I299" s="55">
        <f t="shared" si="22"/>
        <v>128549.68021213649</v>
      </c>
    </row>
    <row r="300" spans="1:9" x14ac:dyDescent="0.25">
      <c r="A300" s="49">
        <f>'A) Base RI'!A302</f>
        <v>5924</v>
      </c>
      <c r="B300" s="32" t="str">
        <f>'A) Base RI'!B302</f>
        <v>Orges</v>
      </c>
      <c r="C300" s="95">
        <f>'A) Base RI'!AO302</f>
        <v>343</v>
      </c>
      <c r="D300" s="110">
        <f>'D) Ecrêtage'!E300</f>
        <v>36.517274840438105</v>
      </c>
      <c r="E300" s="34">
        <f t="shared" si="19"/>
        <v>11.655729162036344</v>
      </c>
      <c r="F300" s="278">
        <f t="shared" si="20"/>
        <v>79878.34374951775</v>
      </c>
      <c r="G300" s="33">
        <f>+'A) Base RI'!AN302</f>
        <v>74</v>
      </c>
      <c r="H300" s="279">
        <f t="shared" si="21"/>
        <v>1.09960011097449</v>
      </c>
      <c r="I300" s="55">
        <f t="shared" si="22"/>
        <v>87834.235651428171</v>
      </c>
    </row>
    <row r="301" spans="1:9" x14ac:dyDescent="0.25">
      <c r="A301" s="49">
        <f>'A) Base RI'!A303</f>
        <v>5925</v>
      </c>
      <c r="B301" s="32" t="str">
        <f>'A) Base RI'!B303</f>
        <v>Orzens</v>
      </c>
      <c r="C301" s="95">
        <f>'A) Base RI'!AO303</f>
        <v>201</v>
      </c>
      <c r="D301" s="110">
        <f>'D) Ecrêtage'!E301</f>
        <v>29.251052963032933</v>
      </c>
      <c r="E301" s="34">
        <f t="shared" si="19"/>
        <v>18.921951039441517</v>
      </c>
      <c r="F301" s="278">
        <f t="shared" si="20"/>
        <v>81124.648349928815</v>
      </c>
      <c r="G301" s="33">
        <f>+'A) Base RI'!AN303</f>
        <v>79</v>
      </c>
      <c r="H301" s="279">
        <f t="shared" si="21"/>
        <v>1.1738974157700635</v>
      </c>
      <c r="I301" s="55">
        <f t="shared" si="22"/>
        <v>95232.015053236581</v>
      </c>
    </row>
    <row r="302" spans="1:9" x14ac:dyDescent="0.25">
      <c r="A302" s="49">
        <f>'A) Base RI'!A304</f>
        <v>5926</v>
      </c>
      <c r="B302" s="32" t="str">
        <f>'A) Base RI'!B304</f>
        <v>Pomy</v>
      </c>
      <c r="C302" s="95">
        <f>'A) Base RI'!AO304</f>
        <v>803</v>
      </c>
      <c r="D302" s="110">
        <f>'D) Ecrêtage'!E302</f>
        <v>34.270721940610038</v>
      </c>
      <c r="E302" s="34">
        <f t="shared" si="19"/>
        <v>13.902282061864412</v>
      </c>
      <c r="F302" s="278">
        <f t="shared" si="20"/>
        <v>214004.91794213044</v>
      </c>
      <c r="G302" s="33">
        <f>+'A) Base RI'!AN304</f>
        <v>71</v>
      </c>
      <c r="H302" s="279">
        <f t="shared" si="21"/>
        <v>1.0550217280971457</v>
      </c>
      <c r="I302" s="55">
        <f t="shared" si="22"/>
        <v>225779.83834859432</v>
      </c>
    </row>
    <row r="303" spans="1:9" x14ac:dyDescent="0.25">
      <c r="A303" s="49">
        <f>'A) Base RI'!A305</f>
        <v>5928</v>
      </c>
      <c r="B303" s="32" t="str">
        <f>'A) Base RI'!B305</f>
        <v>Rovray</v>
      </c>
      <c r="C303" s="95">
        <f>'A) Base RI'!AO305</f>
        <v>204</v>
      </c>
      <c r="D303" s="110">
        <f>'D) Ecrêtage'!E303</f>
        <v>27.271598107774579</v>
      </c>
      <c r="E303" s="34">
        <f t="shared" si="19"/>
        <v>20.90140589469987</v>
      </c>
      <c r="F303" s="278">
        <f t="shared" si="20"/>
        <v>82314.334722624932</v>
      </c>
      <c r="G303" s="33">
        <f>+'A) Base RI'!AN305</f>
        <v>71.5</v>
      </c>
      <c r="H303" s="279">
        <f t="shared" si="21"/>
        <v>1.0624514585767031</v>
      </c>
      <c r="I303" s="55">
        <f t="shared" si="22"/>
        <v>87454.984987823816</v>
      </c>
    </row>
    <row r="304" spans="1:9" x14ac:dyDescent="0.25">
      <c r="A304" s="49">
        <f>'A) Base RI'!A306</f>
        <v>5929</v>
      </c>
      <c r="B304" s="32" t="str">
        <f>'A) Base RI'!B306</f>
        <v>Suchy</v>
      </c>
      <c r="C304" s="95">
        <f>'A) Base RI'!AO306</f>
        <v>656</v>
      </c>
      <c r="D304" s="110">
        <f>'D) Ecrêtage'!E304</f>
        <v>30.224699967334494</v>
      </c>
      <c r="E304" s="34">
        <f t="shared" si="19"/>
        <v>17.948304035139955</v>
      </c>
      <c r="F304" s="278">
        <f t="shared" si="20"/>
        <v>222530.25274927923</v>
      </c>
      <c r="G304" s="33">
        <f>+'A) Base RI'!AN306</f>
        <v>70</v>
      </c>
      <c r="H304" s="279">
        <f t="shared" si="21"/>
        <v>1.0401622671380311</v>
      </c>
      <c r="I304" s="55">
        <f t="shared" si="22"/>
        <v>231467.57220648936</v>
      </c>
    </row>
    <row r="305" spans="1:9" x14ac:dyDescent="0.25">
      <c r="A305" s="49">
        <f>'A) Base RI'!A307</f>
        <v>5930</v>
      </c>
      <c r="B305" s="32" t="str">
        <f>'A) Base RI'!B307</f>
        <v>Suscévaz</v>
      </c>
      <c r="C305" s="95">
        <f>'A) Base RI'!AO307</f>
        <v>204</v>
      </c>
      <c r="D305" s="110">
        <f>'D) Ecrêtage'!E305</f>
        <v>28.28017088779956</v>
      </c>
      <c r="E305" s="34">
        <f t="shared" si="19"/>
        <v>19.89283311467489</v>
      </c>
      <c r="F305" s="278">
        <f t="shared" si="20"/>
        <v>78890.201852853104</v>
      </c>
      <c r="G305" s="33">
        <f>+'A) Base RI'!AN307</f>
        <v>72</v>
      </c>
      <c r="H305" s="279">
        <f t="shared" si="21"/>
        <v>1.0698811890562605</v>
      </c>
      <c r="I305" s="55">
        <f t="shared" si="22"/>
        <v>84403.142963218881</v>
      </c>
    </row>
    <row r="306" spans="1:9" x14ac:dyDescent="0.25">
      <c r="A306" s="49">
        <f>'A) Base RI'!A308</f>
        <v>5931</v>
      </c>
      <c r="B306" s="32" t="str">
        <f>'A) Base RI'!B308</f>
        <v>Treycovagnes</v>
      </c>
      <c r="C306" s="95">
        <f>'A) Base RI'!AO308</f>
        <v>485</v>
      </c>
      <c r="D306" s="110">
        <f>'D) Ecrêtage'!E306</f>
        <v>31.718769209621986</v>
      </c>
      <c r="E306" s="34">
        <f t="shared" si="19"/>
        <v>16.454234792852464</v>
      </c>
      <c r="F306" s="278">
        <f t="shared" si="20"/>
        <v>161601.15345930227</v>
      </c>
      <c r="G306" s="33">
        <f>+'A) Base RI'!AN308</f>
        <v>75</v>
      </c>
      <c r="H306" s="279">
        <f t="shared" si="21"/>
        <v>1.1144595719336046</v>
      </c>
      <c r="I306" s="55">
        <f t="shared" si="22"/>
        <v>180097.95230823074</v>
      </c>
    </row>
    <row r="307" spans="1:9" x14ac:dyDescent="0.25">
      <c r="A307" s="49">
        <f>'A) Base RI'!A309</f>
        <v>5932</v>
      </c>
      <c r="B307" s="32" t="str">
        <f>'A) Base RI'!B309</f>
        <v>Ursins</v>
      </c>
      <c r="C307" s="95">
        <f>'A) Base RI'!AO309</f>
        <v>238</v>
      </c>
      <c r="D307" s="110">
        <f>'D) Ecrêtage'!E307</f>
        <v>28.652951260504203</v>
      </c>
      <c r="E307" s="34">
        <f t="shared" si="19"/>
        <v>19.520052741970247</v>
      </c>
      <c r="F307" s="278">
        <f t="shared" si="20"/>
        <v>94076.894189925617</v>
      </c>
      <c r="G307" s="33">
        <f>+'A) Base RI'!AN309</f>
        <v>75</v>
      </c>
      <c r="H307" s="279">
        <f t="shared" si="21"/>
        <v>1.1144595719336046</v>
      </c>
      <c r="I307" s="55">
        <f t="shared" si="22"/>
        <v>104844.89522774752</v>
      </c>
    </row>
    <row r="308" spans="1:9" x14ac:dyDescent="0.25">
      <c r="A308" s="49">
        <f>'A) Base RI'!A310</f>
        <v>5933</v>
      </c>
      <c r="B308" s="32" t="str">
        <f>'A) Base RI'!B310</f>
        <v>Valeyres-sous-Montagny</v>
      </c>
      <c r="C308" s="95">
        <f>'A) Base RI'!AO310</f>
        <v>714</v>
      </c>
      <c r="D308" s="110">
        <f>'D) Ecrêtage'!E308</f>
        <v>31.613974611121048</v>
      </c>
      <c r="E308" s="34">
        <f t="shared" si="19"/>
        <v>16.559029391353402</v>
      </c>
      <c r="F308" s="278">
        <f t="shared" si="20"/>
        <v>225053.60286759018</v>
      </c>
      <c r="G308" s="33">
        <f>+'A) Base RI'!AN310</f>
        <v>70.5</v>
      </c>
      <c r="H308" s="279">
        <f t="shared" si="21"/>
        <v>1.0475919976175883</v>
      </c>
      <c r="I308" s="55">
        <f t="shared" si="22"/>
        <v>235764.35339909419</v>
      </c>
    </row>
    <row r="309" spans="1:9" x14ac:dyDescent="0.25">
      <c r="A309" s="49">
        <f>'A) Base RI'!A311</f>
        <v>5934</v>
      </c>
      <c r="B309" s="32" t="str">
        <f>'A) Base RI'!B311</f>
        <v>Valeyres-sous-Ursins</v>
      </c>
      <c r="C309" s="95">
        <f>'A) Base RI'!AO311</f>
        <v>241</v>
      </c>
      <c r="D309" s="110">
        <f>'D) Ecrêtage'!E309</f>
        <v>31.441406061242706</v>
      </c>
      <c r="E309" s="34">
        <f t="shared" si="19"/>
        <v>16.731597941231744</v>
      </c>
      <c r="F309" s="278">
        <f t="shared" si="20"/>
        <v>86009.281164840009</v>
      </c>
      <c r="G309" s="33">
        <f>+'A) Base RI'!AN311</f>
        <v>79</v>
      </c>
      <c r="H309" s="279">
        <f t="shared" si="21"/>
        <v>1.1738974157700635</v>
      </c>
      <c r="I309" s="55">
        <f t="shared" si="22"/>
        <v>100966.07289164649</v>
      </c>
    </row>
    <row r="310" spans="1:9" x14ac:dyDescent="0.25">
      <c r="A310" s="49">
        <f>'A) Base RI'!A312</f>
        <v>5935</v>
      </c>
      <c r="B310" s="32" t="str">
        <f>'A) Base RI'!B312</f>
        <v>Villars-Epeney</v>
      </c>
      <c r="C310" s="95">
        <f>'A) Base RI'!AO312</f>
        <v>101</v>
      </c>
      <c r="D310" s="110">
        <f>'D) Ecrêtage'!E310</f>
        <v>38.741283828382841</v>
      </c>
      <c r="E310" s="34">
        <f t="shared" si="19"/>
        <v>9.431720174091609</v>
      </c>
      <c r="F310" s="278">
        <f t="shared" si="20"/>
        <v>15432.180548848692</v>
      </c>
      <c r="G310" s="33">
        <f>+'A) Base RI'!AN312</f>
        <v>60</v>
      </c>
      <c r="H310" s="279">
        <f t="shared" si="21"/>
        <v>0.89156765754688372</v>
      </c>
      <c r="I310" s="55">
        <f t="shared" si="22"/>
        <v>13758.83306277761</v>
      </c>
    </row>
    <row r="311" spans="1:9" x14ac:dyDescent="0.25">
      <c r="A311" s="49">
        <f>'A) Base RI'!A313</f>
        <v>5937</v>
      </c>
      <c r="B311" s="32" t="str">
        <f>'A) Base RI'!B313</f>
        <v>Vugelles-La Mothe</v>
      </c>
      <c r="C311" s="95">
        <f>'A) Base RI'!AO313</f>
        <v>138</v>
      </c>
      <c r="D311" s="110">
        <f>'D) Ecrêtage'!E311</f>
        <v>23.099244750073943</v>
      </c>
      <c r="E311" s="34">
        <f t="shared" si="19"/>
        <v>25.073759252400507</v>
      </c>
      <c r="F311" s="278">
        <f t="shared" si="20"/>
        <v>65397.378882110999</v>
      </c>
      <c r="G311" s="33">
        <f>+'A) Base RI'!AN313</f>
        <v>70</v>
      </c>
      <c r="H311" s="279">
        <f t="shared" si="21"/>
        <v>1.0401622671380311</v>
      </c>
      <c r="I311" s="55">
        <f t="shared" si="22"/>
        <v>68023.885882901377</v>
      </c>
    </row>
    <row r="312" spans="1:9" x14ac:dyDescent="0.25">
      <c r="A312" s="49">
        <f>'A) Base RI'!A314</f>
        <v>5938</v>
      </c>
      <c r="B312" s="32" t="str">
        <f>'A) Base RI'!B314</f>
        <v>Yverdon-les-Bains</v>
      </c>
      <c r="C312" s="95">
        <f>'A) Base RI'!AO314</f>
        <v>29981</v>
      </c>
      <c r="D312" s="110">
        <f>'D) Ecrêtage'!E312</f>
        <v>26.56854014208999</v>
      </c>
      <c r="E312" s="34">
        <f t="shared" si="19"/>
        <v>21.60446386038446</v>
      </c>
      <c r="F312" s="278">
        <f t="shared" si="20"/>
        <v>13116399.477713278</v>
      </c>
      <c r="G312" s="33">
        <f>+'A) Base RI'!AN314</f>
        <v>75</v>
      </c>
      <c r="H312" s="279">
        <f t="shared" si="21"/>
        <v>1.1144595719336046</v>
      </c>
      <c r="I312" s="55">
        <f t="shared" si="22"/>
        <v>14617696.947242495</v>
      </c>
    </row>
    <row r="313" spans="1:9" x14ac:dyDescent="0.25">
      <c r="A313" s="49">
        <f>'A) Base RI'!A315</f>
        <v>5939</v>
      </c>
      <c r="B313" s="32" t="str">
        <f>'A) Base RI'!B315</f>
        <v>Yvonand</v>
      </c>
      <c r="C313" s="95">
        <f>'A) Base RI'!AO315</f>
        <v>3467</v>
      </c>
      <c r="D313" s="110">
        <f>'D) Ecrêtage'!E313</f>
        <v>26.7926284791067</v>
      </c>
      <c r="E313" s="34">
        <f t="shared" si="19"/>
        <v>21.38037552336775</v>
      </c>
      <c r="F313" s="278">
        <f t="shared" si="20"/>
        <v>1430997.8342423562</v>
      </c>
      <c r="G313" s="33">
        <f>+'A) Base RI'!AN315</f>
        <v>71.5</v>
      </c>
      <c r="H313" s="279">
        <f t="shared" si="21"/>
        <v>1.0624514585767031</v>
      </c>
      <c r="I313" s="55">
        <f t="shared" si="22"/>
        <v>1520365.7362108945</v>
      </c>
    </row>
    <row r="314" spans="1:9" x14ac:dyDescent="0.25">
      <c r="A314" s="30"/>
      <c r="B314" s="118">
        <f>COUNTA(B5:B313)</f>
        <v>309</v>
      </c>
      <c r="C314" s="97">
        <f>SUM(C5:C313)</f>
        <v>815300</v>
      </c>
      <c r="D314" s="109">
        <f>'D) Ecrêtage'!E314</f>
        <v>48.17300400247445</v>
      </c>
      <c r="E314" s="276"/>
      <c r="F314" s="11">
        <f>SUM(F5:F313)</f>
        <v>136779012.67664844</v>
      </c>
      <c r="G314" s="280">
        <f>'B) D RI'!S316</f>
        <v>67.297192189640256</v>
      </c>
      <c r="H314" s="277">
        <f>G314/G$314</f>
        <v>1</v>
      </c>
      <c r="I314" s="37">
        <f>SUM(I5:I313)</f>
        <v>148159641.21331906</v>
      </c>
    </row>
  </sheetData>
  <mergeCells count="8">
    <mergeCell ref="A3:A4"/>
    <mergeCell ref="I3:I4"/>
    <mergeCell ref="H3:H4"/>
    <mergeCell ref="G3:G4"/>
    <mergeCell ref="F3:F4"/>
    <mergeCell ref="B3:B4"/>
    <mergeCell ref="C3:C4"/>
    <mergeCell ref="D3:D4"/>
  </mergeCells>
  <phoneticPr fontId="21" type="noConversion"/>
  <pageMargins left="0.78740157499999996" right="0.78740157499999996" top="0.984251969" bottom="0.984251969" header="0.4921259845" footer="0.4921259845"/>
  <pageSetup paperSize="9" orientation="portrait" horizontalDpi="4294967292" verticalDpi="4294967292"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1">
    <tabColor rgb="FF00B050"/>
  </sheetPr>
  <dimension ref="A1:I344"/>
  <sheetViews>
    <sheetView zoomScaleNormal="100" workbookViewId="0">
      <selection activeCell="G324" sqref="G324"/>
    </sheetView>
  </sheetViews>
  <sheetFormatPr baseColWidth="10" defaultColWidth="11" defaultRowHeight="15" x14ac:dyDescent="0.25"/>
  <cols>
    <col min="1" max="1" width="9.375" style="13" customWidth="1"/>
    <col min="2" max="2" width="22.25" style="13" customWidth="1"/>
    <col min="3" max="3" width="13.375" style="13" customWidth="1"/>
    <col min="4" max="4" width="11.125" style="13" bestFit="1" customWidth="1"/>
    <col min="5" max="5" width="13" style="13" customWidth="1"/>
    <col min="6" max="7" width="12.375" style="13" customWidth="1"/>
    <col min="8" max="9" width="13" style="13" bestFit="1" customWidth="1"/>
    <col min="10" max="10" width="3.5" style="13" customWidth="1"/>
    <col min="11" max="16384" width="11" style="13"/>
  </cols>
  <sheetData>
    <row r="1" spans="1:9" ht="21" x14ac:dyDescent="0.25">
      <c r="A1" s="51" t="s">
        <v>328</v>
      </c>
      <c r="B1" s="42"/>
      <c r="C1" s="68"/>
      <c r="D1" s="68"/>
      <c r="E1" s="68"/>
      <c r="F1" s="68"/>
      <c r="G1" s="68"/>
      <c r="H1" s="68"/>
      <c r="I1" s="68"/>
    </row>
    <row r="3" spans="1:9" x14ac:dyDescent="0.25">
      <c r="A3" s="120" t="s">
        <v>47</v>
      </c>
      <c r="B3" s="121"/>
      <c r="C3" s="122" t="s">
        <v>455</v>
      </c>
      <c r="D3" s="122" t="s">
        <v>409</v>
      </c>
      <c r="E3" s="68"/>
      <c r="F3" s="68"/>
      <c r="G3" s="68"/>
      <c r="H3" s="68"/>
      <c r="I3" s="68"/>
    </row>
    <row r="4" spans="1:9" x14ac:dyDescent="0.25">
      <c r="A4" s="75" t="s">
        <v>94</v>
      </c>
      <c r="B4" s="76"/>
      <c r="C4" s="11">
        <f>E325</f>
        <v>771203506.67807388</v>
      </c>
      <c r="D4" s="35"/>
      <c r="E4" s="68"/>
      <c r="F4" s="68"/>
      <c r="G4" s="68"/>
      <c r="H4" s="68"/>
      <c r="I4" s="68"/>
    </row>
    <row r="5" spans="1:9" x14ac:dyDescent="0.25">
      <c r="A5" s="81" t="s">
        <v>424</v>
      </c>
      <c r="B5" s="45"/>
      <c r="C5" s="10">
        <v>0</v>
      </c>
      <c r="D5" s="33">
        <f>C5/$C$325</f>
        <v>0</v>
      </c>
      <c r="E5" s="68"/>
      <c r="F5" s="68"/>
      <c r="G5" s="68"/>
      <c r="H5" s="68"/>
      <c r="I5" s="68"/>
    </row>
    <row r="6" spans="1:9" x14ac:dyDescent="0.25">
      <c r="A6" s="81" t="s">
        <v>423</v>
      </c>
      <c r="B6" s="45"/>
      <c r="C6" s="10">
        <f>Paramètres!B36</f>
        <v>-16661831.883193349</v>
      </c>
      <c r="D6" s="267">
        <f>C6/$C$325</f>
        <v>-0.42423019504427301</v>
      </c>
      <c r="E6" s="68"/>
      <c r="F6" s="68"/>
      <c r="G6" s="68"/>
      <c r="H6" s="68"/>
      <c r="I6" s="68"/>
    </row>
    <row r="7" spans="1:9" x14ac:dyDescent="0.25">
      <c r="A7" s="81" t="s">
        <v>95</v>
      </c>
      <c r="B7" s="45"/>
      <c r="C7" s="10">
        <f>'I) Dépenses thématiques'!O314</f>
        <v>-176739525.73447838</v>
      </c>
      <c r="D7" s="267">
        <f>C7/$C$325</f>
        <v>-4.5</v>
      </c>
      <c r="E7" s="68"/>
      <c r="F7" s="68"/>
      <c r="G7" s="68"/>
      <c r="H7" s="68"/>
      <c r="I7" s="68"/>
    </row>
    <row r="8" spans="1:9" x14ac:dyDescent="0.25">
      <c r="A8" s="83" t="s">
        <v>278</v>
      </c>
      <c r="B8" s="111"/>
      <c r="C8" s="18">
        <f>Paramètres!B37</f>
        <v>-450000</v>
      </c>
      <c r="D8" s="267">
        <f>C8/$C$325</f>
        <v>-1.1457538949392816E-2</v>
      </c>
      <c r="E8" s="68"/>
      <c r="F8" s="68"/>
      <c r="G8" s="68"/>
      <c r="H8" s="68"/>
      <c r="I8" s="68"/>
    </row>
    <row r="9" spans="1:9" x14ac:dyDescent="0.25">
      <c r="A9" s="83" t="s">
        <v>357</v>
      </c>
      <c r="B9" s="111"/>
      <c r="C9" s="18">
        <f>SUM(C5:C8)</f>
        <v>-193851357.61767173</v>
      </c>
      <c r="D9" s="98">
        <f>SUM(D5:D8)</f>
        <v>-4.9356877339936656</v>
      </c>
      <c r="E9" s="68"/>
      <c r="F9" s="68"/>
      <c r="G9" s="68"/>
      <c r="H9" s="68"/>
      <c r="I9" s="68"/>
    </row>
    <row r="10" spans="1:9" x14ac:dyDescent="0.25">
      <c r="A10" s="75" t="s">
        <v>427</v>
      </c>
      <c r="B10" s="76"/>
      <c r="C10" s="18">
        <f>-SUM(C4:C8)</f>
        <v>-577352149.06040215</v>
      </c>
      <c r="D10" s="98">
        <f>C10/$C$325</f>
        <v>-14.700077189722677</v>
      </c>
      <c r="E10" s="68"/>
      <c r="F10" s="68"/>
      <c r="G10" s="68"/>
      <c r="H10" s="68"/>
      <c r="I10" s="68"/>
    </row>
    <row r="11" spans="1:9" x14ac:dyDescent="0.25">
      <c r="A11" s="75" t="s">
        <v>356</v>
      </c>
      <c r="B11" s="77"/>
      <c r="C11" s="426">
        <f>C9+C10</f>
        <v>-771203506.67807388</v>
      </c>
      <c r="D11" s="98">
        <f>D10+D9</f>
        <v>-19.635764923716344</v>
      </c>
      <c r="E11" s="68"/>
      <c r="F11" s="68"/>
      <c r="G11" s="68"/>
      <c r="H11" s="68"/>
      <c r="I11" s="68"/>
    </row>
    <row r="14" spans="1:9" ht="60" customHeight="1" x14ac:dyDescent="0.25">
      <c r="A14" s="582" t="s">
        <v>46</v>
      </c>
      <c r="B14" s="582" t="s">
        <v>96</v>
      </c>
      <c r="C14" s="616" t="s">
        <v>541</v>
      </c>
      <c r="D14" s="616" t="s">
        <v>304</v>
      </c>
      <c r="E14" s="64" t="s">
        <v>94</v>
      </c>
      <c r="F14" s="64" t="s">
        <v>355</v>
      </c>
      <c r="G14" s="64" t="s">
        <v>426</v>
      </c>
      <c r="H14" s="64" t="s">
        <v>296</v>
      </c>
      <c r="I14" s="434" t="s">
        <v>408</v>
      </c>
    </row>
    <row r="15" spans="1:9" x14ac:dyDescent="0.25">
      <c r="A15" s="584"/>
      <c r="B15" s="584"/>
      <c r="C15" s="616"/>
      <c r="D15" s="616"/>
      <c r="E15" s="385">
        <f>-D9+F15+G15</f>
        <v>19.635764923716327</v>
      </c>
      <c r="F15" s="386">
        <f>F325/C325</f>
        <v>10.927755278767844</v>
      </c>
      <c r="G15" s="386">
        <f>G325/C325</f>
        <v>3.7723219109548185</v>
      </c>
      <c r="H15" s="386"/>
      <c r="I15" s="116"/>
    </row>
    <row r="16" spans="1:9" x14ac:dyDescent="0.25">
      <c r="A16" s="46">
        <f>'A) Base RI'!A7</f>
        <v>5401</v>
      </c>
      <c r="B16" s="298" t="str">
        <f>'A) Base RI'!B7</f>
        <v>Aigle</v>
      </c>
      <c r="C16" s="31">
        <f>'D) Ecrêtage'!C5</f>
        <v>284723.80196969694</v>
      </c>
      <c r="D16" s="14">
        <f>'A) Base RI'!AO7</f>
        <v>10518</v>
      </c>
      <c r="E16" s="10">
        <f>C16*E$15</f>
        <v>5590769.6436637286</v>
      </c>
      <c r="F16" s="14">
        <f>'F) Population'!K8</f>
        <v>5470911.2676056325</v>
      </c>
      <c r="G16" s="10">
        <f>'G) Solidarité'!I5</f>
        <v>3879083.4378614239</v>
      </c>
      <c r="H16" s="14">
        <f>F16+G16</f>
        <v>9349994.7054670565</v>
      </c>
      <c r="I16" s="55">
        <f>E16-H16</f>
        <v>-3759225.0618033279</v>
      </c>
    </row>
    <row r="17" spans="1:9" x14ac:dyDescent="0.25">
      <c r="A17" s="49">
        <f>'A) Base RI'!A8</f>
        <v>5402</v>
      </c>
      <c r="B17" s="32" t="str">
        <f>'A) Base RI'!B8</f>
        <v>Bex</v>
      </c>
      <c r="C17" s="31">
        <f>'D) Ecrêtage'!C6</f>
        <v>179259.20338028169</v>
      </c>
      <c r="D17" s="14">
        <f>'A) Base RI'!AO8</f>
        <v>7828</v>
      </c>
      <c r="E17" s="10">
        <f t="shared" ref="E17:E80" si="0">C17*E$15</f>
        <v>3519891.5779878665</v>
      </c>
      <c r="F17" s="14">
        <f>'F) Population'!K9</f>
        <v>3493455.5331991948</v>
      </c>
      <c r="G17" s="10">
        <f>'G) Solidarité'!I6</f>
        <v>4001249.0402522278</v>
      </c>
      <c r="H17" s="14">
        <f t="shared" ref="H17:H80" si="1">F17+G17</f>
        <v>7494704.5734514222</v>
      </c>
      <c r="I17" s="55">
        <f t="shared" ref="I17:I80" si="2">E17-H17</f>
        <v>-3974812.9954635557</v>
      </c>
    </row>
    <row r="18" spans="1:9" x14ac:dyDescent="0.25">
      <c r="A18" s="49">
        <f>'A) Base RI'!A9</f>
        <v>5403</v>
      </c>
      <c r="B18" s="32" t="str">
        <f>'A) Base RI'!B9</f>
        <v>Chessel</v>
      </c>
      <c r="C18" s="31">
        <f>'D) Ecrêtage'!C7</f>
        <v>10797.740270270273</v>
      </c>
      <c r="D18" s="14">
        <f>'A) Base RI'!AO9</f>
        <v>444</v>
      </c>
      <c r="E18" s="10">
        <f t="shared" si="0"/>
        <v>212021.88965437227</v>
      </c>
      <c r="F18" s="14">
        <f>'F) Population'!K10</f>
        <v>55053.319919517096</v>
      </c>
      <c r="G18" s="10">
        <f>'G) Solidarité'!I7</f>
        <v>232685.99315688049</v>
      </c>
      <c r="H18" s="14">
        <f t="shared" si="1"/>
        <v>287739.31307639758</v>
      </c>
      <c r="I18" s="55">
        <f t="shared" si="2"/>
        <v>-75717.423422025313</v>
      </c>
    </row>
    <row r="19" spans="1:9" x14ac:dyDescent="0.25">
      <c r="A19" s="49">
        <f>'A) Base RI'!A10</f>
        <v>5404</v>
      </c>
      <c r="B19" s="32" t="str">
        <f>'A) Base RI'!B10</f>
        <v>Corbeyrier</v>
      </c>
      <c r="C19" s="31">
        <f>'D) Ecrêtage'!C8</f>
        <v>11267.87027027027</v>
      </c>
      <c r="D19" s="14">
        <f>'A) Base RI'!AO10</f>
        <v>445</v>
      </c>
      <c r="E19" s="10">
        <f t="shared" si="0"/>
        <v>221253.25181795898</v>
      </c>
      <c r="F19" s="14">
        <f>'F) Population'!K11</f>
        <v>55177.313883299787</v>
      </c>
      <c r="G19" s="10">
        <f>'G) Solidarité'!I8</f>
        <v>223415.59364356619</v>
      </c>
      <c r="H19" s="14">
        <f t="shared" si="1"/>
        <v>278592.90752686595</v>
      </c>
      <c r="I19" s="55">
        <f t="shared" si="2"/>
        <v>-57339.655708906968</v>
      </c>
    </row>
    <row r="20" spans="1:9" x14ac:dyDescent="0.25">
      <c r="A20" s="49">
        <f>'A) Base RI'!A11</f>
        <v>5405</v>
      </c>
      <c r="B20" s="32" t="str">
        <f>'A) Base RI'!B11</f>
        <v>Gryon</v>
      </c>
      <c r="C20" s="31">
        <f>'D) Ecrêtage'!C9</f>
        <v>68185.794013605453</v>
      </c>
      <c r="D20" s="14">
        <f>'A) Base RI'!AO11</f>
        <v>1378</v>
      </c>
      <c r="E20" s="10">
        <f t="shared" si="0"/>
        <v>1338880.2223881006</v>
      </c>
      <c r="F20" s="14">
        <f>'F) Population'!K12</f>
        <v>255229.17505030177</v>
      </c>
      <c r="G20" s="10">
        <f>'G) Solidarité'!I9</f>
        <v>0</v>
      </c>
      <c r="H20" s="14">
        <f t="shared" si="1"/>
        <v>255229.17505030177</v>
      </c>
      <c r="I20" s="55">
        <f t="shared" si="2"/>
        <v>1083651.0473377989</v>
      </c>
    </row>
    <row r="21" spans="1:9" x14ac:dyDescent="0.25">
      <c r="A21" s="49">
        <f>'A) Base RI'!A12</f>
        <v>5406</v>
      </c>
      <c r="B21" s="32" t="str">
        <f>'A) Base RI'!B12</f>
        <v>Lavey-Morcles</v>
      </c>
      <c r="C21" s="31">
        <f>'D) Ecrêtage'!C10</f>
        <v>21842.545067240455</v>
      </c>
      <c r="D21" s="14">
        <f>'A) Base RI'!AO12</f>
        <v>944</v>
      </c>
      <c r="E21" s="10">
        <f t="shared" si="0"/>
        <v>428895.08027601318</v>
      </c>
      <c r="F21" s="14">
        <f>'F) Population'!K13</f>
        <v>117050.30181086517</v>
      </c>
      <c r="G21" s="10">
        <f>'G) Solidarité'!I10</f>
        <v>484722.90740425506</v>
      </c>
      <c r="H21" s="14">
        <f t="shared" si="1"/>
        <v>601773.20921512018</v>
      </c>
      <c r="I21" s="55">
        <f t="shared" si="2"/>
        <v>-172878.128939107</v>
      </c>
    </row>
    <row r="22" spans="1:9" x14ac:dyDescent="0.25">
      <c r="A22" s="49">
        <f>'A) Base RI'!A13</f>
        <v>5407</v>
      </c>
      <c r="B22" s="32" t="str">
        <f>'A) Base RI'!B13</f>
        <v>Leysin</v>
      </c>
      <c r="C22" s="31">
        <f>'D) Ecrêtage'!C11</f>
        <v>90407.62790598291</v>
      </c>
      <c r="D22" s="14">
        <f>'A) Base RI'!AO13</f>
        <v>3645</v>
      </c>
      <c r="E22" s="10">
        <f t="shared" si="0"/>
        <v>1775222.9288726966</v>
      </c>
      <c r="F22" s="14">
        <f>'F) Population'!K14</f>
        <v>1138264.5875251507</v>
      </c>
      <c r="G22" s="10">
        <f>'G) Solidarité'!I11</f>
        <v>2079260.0608057901</v>
      </c>
      <c r="H22" s="14">
        <f t="shared" si="1"/>
        <v>3217524.6483309409</v>
      </c>
      <c r="I22" s="55">
        <f t="shared" si="2"/>
        <v>-1442301.7194582443</v>
      </c>
    </row>
    <row r="23" spans="1:9" x14ac:dyDescent="0.25">
      <c r="A23" s="49">
        <f>'A) Base RI'!A14</f>
        <v>5408</v>
      </c>
      <c r="B23" s="32" t="str">
        <f>'A) Base RI'!B14</f>
        <v>Noville</v>
      </c>
      <c r="C23" s="31">
        <f>'D) Ecrêtage'!C12</f>
        <v>43840.045520169842</v>
      </c>
      <c r="D23" s="14">
        <f>'A) Base RI'!AO14</f>
        <v>1170</v>
      </c>
      <c r="E23" s="10">
        <f t="shared" si="0"/>
        <v>860832.82807907811</v>
      </c>
      <c r="F23" s="14">
        <f>'F) Population'!K15</f>
        <v>183015.09054325952</v>
      </c>
      <c r="G23" s="10">
        <f>'G) Solidarité'!I12</f>
        <v>309594.07150300592</v>
      </c>
      <c r="H23" s="14">
        <f t="shared" si="1"/>
        <v>492609.16204626544</v>
      </c>
      <c r="I23" s="55">
        <f t="shared" si="2"/>
        <v>368223.66603281267</v>
      </c>
    </row>
    <row r="24" spans="1:9" x14ac:dyDescent="0.25">
      <c r="A24" s="49">
        <f>'A) Base RI'!A15</f>
        <v>5409</v>
      </c>
      <c r="B24" s="32" t="str">
        <f>'A) Base RI'!B15</f>
        <v>Ollon</v>
      </c>
      <c r="C24" s="31">
        <f>'D) Ecrêtage'!C13</f>
        <v>389186.78990950214</v>
      </c>
      <c r="D24" s="14">
        <f>'A) Base RI'!AO15</f>
        <v>7634</v>
      </c>
      <c r="E24" s="10">
        <f t="shared" si="0"/>
        <v>7641980.3180787573</v>
      </c>
      <c r="F24" s="14">
        <f>'F) Population'!K16</f>
        <v>3377992.3541247481</v>
      </c>
      <c r="G24" s="10">
        <f>'G) Solidarité'!I13</f>
        <v>0</v>
      </c>
      <c r="H24" s="14">
        <f t="shared" si="1"/>
        <v>3377992.3541247481</v>
      </c>
      <c r="I24" s="55">
        <f t="shared" si="2"/>
        <v>4263987.9639540091</v>
      </c>
    </row>
    <row r="25" spans="1:9" x14ac:dyDescent="0.25">
      <c r="A25" s="49">
        <f>'A) Base RI'!A16</f>
        <v>5410</v>
      </c>
      <c r="B25" s="32" t="str">
        <f>'A) Base RI'!B16</f>
        <v>Ormont-Dessous</v>
      </c>
      <c r="C25" s="31">
        <f>'D) Ecrêtage'!C14</f>
        <v>39522.545108225109</v>
      </c>
      <c r="D25" s="14">
        <f>'A) Base RI'!AO16</f>
        <v>1180</v>
      </c>
      <c r="E25" s="10">
        <f t="shared" si="0"/>
        <v>776055.40493208286</v>
      </c>
      <c r="F25" s="14">
        <f>'F) Population'!K17</f>
        <v>186486.92152917502</v>
      </c>
      <c r="G25" s="10">
        <f>'G) Solidarité'!I14</f>
        <v>412037.046553933</v>
      </c>
      <c r="H25" s="14">
        <f t="shared" si="1"/>
        <v>598523.96808310808</v>
      </c>
      <c r="I25" s="55">
        <f t="shared" si="2"/>
        <v>177531.43684897479</v>
      </c>
    </row>
    <row r="26" spans="1:9" x14ac:dyDescent="0.25">
      <c r="A26" s="49">
        <f>'A) Base RI'!A17</f>
        <v>5411</v>
      </c>
      <c r="B26" s="32" t="str">
        <f>'A) Base RI'!B17</f>
        <v>Ormont-Dessus</v>
      </c>
      <c r="C26" s="31">
        <f>'D) Ecrêtage'!C15</f>
        <v>68049.385526315804</v>
      </c>
      <c r="D26" s="14">
        <f>'A) Base RI'!AO17</f>
        <v>1466</v>
      </c>
      <c r="E26" s="10">
        <f t="shared" si="0"/>
        <v>1336201.7373980812</v>
      </c>
      <c r="F26" s="14">
        <f>'F) Population'!K18</f>
        <v>285781.2877263581</v>
      </c>
      <c r="G26" s="10">
        <f>'G) Solidarité'!I15</f>
        <v>59608.0907319045</v>
      </c>
      <c r="H26" s="14">
        <f t="shared" si="1"/>
        <v>345389.3784582626</v>
      </c>
      <c r="I26" s="55">
        <f t="shared" si="2"/>
        <v>990812.35893981857</v>
      </c>
    </row>
    <row r="27" spans="1:9" x14ac:dyDescent="0.25">
      <c r="A27" s="49">
        <f>'A) Base RI'!A18</f>
        <v>5412</v>
      </c>
      <c r="B27" s="32" t="str">
        <f>'A) Base RI'!B18</f>
        <v>Rennaz</v>
      </c>
      <c r="C27" s="31">
        <f>'D) Ecrêtage'!C16</f>
        <v>24267.759710144928</v>
      </c>
      <c r="D27" s="14">
        <f>'A) Base RI'!AO18</f>
        <v>889</v>
      </c>
      <c r="E27" s="10">
        <f t="shared" si="0"/>
        <v>476516.02489364007</v>
      </c>
      <c r="F27" s="14">
        <f>'F) Population'!K19</f>
        <v>110230.63380281688</v>
      </c>
      <c r="G27" s="10">
        <f>'G) Solidarité'!I16</f>
        <v>354484.3996124618</v>
      </c>
      <c r="H27" s="14">
        <f t="shared" si="1"/>
        <v>464715.03341527865</v>
      </c>
      <c r="I27" s="55">
        <f t="shared" si="2"/>
        <v>11800.991478361422</v>
      </c>
    </row>
    <row r="28" spans="1:9" x14ac:dyDescent="0.25">
      <c r="A28" s="49">
        <f>'A) Base RI'!A19</f>
        <v>5413</v>
      </c>
      <c r="B28" s="32" t="str">
        <f>'A) Base RI'!B19</f>
        <v>Roche</v>
      </c>
      <c r="C28" s="31">
        <f>'D) Ecrêtage'!C17</f>
        <v>48007.468357843129</v>
      </c>
      <c r="D28" s="14">
        <f>'A) Base RI'!AO19</f>
        <v>1868</v>
      </c>
      <c r="E28" s="10">
        <f t="shared" si="0"/>
        <v>942663.3632573575</v>
      </c>
      <c r="F28" s="14">
        <f>'F) Population'!K20</f>
        <v>425348.89336016093</v>
      </c>
      <c r="G28" s="10">
        <f>'G) Solidarité'!I17</f>
        <v>778796.52990636253</v>
      </c>
      <c r="H28" s="14">
        <f t="shared" si="1"/>
        <v>1204145.4232665235</v>
      </c>
      <c r="I28" s="55">
        <f t="shared" si="2"/>
        <v>-261482.06000916602</v>
      </c>
    </row>
    <row r="29" spans="1:9" x14ac:dyDescent="0.25">
      <c r="A29" s="49">
        <f>'A) Base RI'!A20</f>
        <v>5414</v>
      </c>
      <c r="B29" s="32" t="str">
        <f>'A) Base RI'!B20</f>
        <v>Villeneuve</v>
      </c>
      <c r="C29" s="31">
        <f>'D) Ecrêtage'!C18</f>
        <v>159468.65911111108</v>
      </c>
      <c r="D29" s="14">
        <f>'A) Base RI'!AO20</f>
        <v>5837</v>
      </c>
      <c r="E29" s="10">
        <f t="shared" si="0"/>
        <v>3131289.1030060309</v>
      </c>
      <c r="F29" s="14">
        <f>'F) Population'!K21</f>
        <v>2308470.0201207241</v>
      </c>
      <c r="G29" s="10">
        <f>'G) Solidarité'!I18</f>
        <v>2224980.4242304419</v>
      </c>
      <c r="H29" s="14">
        <f t="shared" si="1"/>
        <v>4533450.4443511665</v>
      </c>
      <c r="I29" s="55">
        <f t="shared" si="2"/>
        <v>-1402161.3413451356</v>
      </c>
    </row>
    <row r="30" spans="1:9" x14ac:dyDescent="0.25">
      <c r="A30" s="49">
        <f>'A) Base RI'!A21</f>
        <v>5415</v>
      </c>
      <c r="B30" s="32" t="str">
        <f>'A) Base RI'!B21</f>
        <v>Yvorne</v>
      </c>
      <c r="C30" s="31">
        <f>'D) Ecrêtage'!C19</f>
        <v>38155.020093240091</v>
      </c>
      <c r="D30" s="14">
        <f>'A) Base RI'!AO21</f>
        <v>1070</v>
      </c>
      <c r="E30" s="10">
        <f t="shared" si="0"/>
        <v>749203.00521053537</v>
      </c>
      <c r="F30" s="14">
        <f>'F) Population'!K22</f>
        <v>148296.7806841046</v>
      </c>
      <c r="G30" s="10">
        <f>'G) Solidarité'!I19</f>
        <v>274639.2060944094</v>
      </c>
      <c r="H30" s="14">
        <f t="shared" si="1"/>
        <v>422935.98677851399</v>
      </c>
      <c r="I30" s="55">
        <f t="shared" si="2"/>
        <v>326267.01843202137</v>
      </c>
    </row>
    <row r="31" spans="1:9" x14ac:dyDescent="0.25">
      <c r="A31" s="49">
        <f>'A) Base RI'!A22</f>
        <v>5421</v>
      </c>
      <c r="B31" s="32" t="str">
        <f>'A) Base RI'!B22</f>
        <v>Apples</v>
      </c>
      <c r="C31" s="31">
        <f>'D) Ecrêtage'!C20</f>
        <v>66313.601621621623</v>
      </c>
      <c r="D31" s="14">
        <f>'A) Base RI'!AO22</f>
        <v>1457</v>
      </c>
      <c r="E31" s="10">
        <f t="shared" si="0"/>
        <v>1302118.292687136</v>
      </c>
      <c r="F31" s="14">
        <f>'F) Population'!K23</f>
        <v>282656.63983903418</v>
      </c>
      <c r="G31" s="10">
        <f>'G) Solidarité'!I20</f>
        <v>85122.040249799116</v>
      </c>
      <c r="H31" s="14">
        <f t="shared" si="1"/>
        <v>367778.68008883332</v>
      </c>
      <c r="I31" s="55">
        <f t="shared" si="2"/>
        <v>934339.61259830266</v>
      </c>
    </row>
    <row r="32" spans="1:9" x14ac:dyDescent="0.25">
      <c r="A32" s="49">
        <f>'A) Base RI'!A23</f>
        <v>5422</v>
      </c>
      <c r="B32" s="32" t="str">
        <f>'A) Base RI'!B23</f>
        <v>Aubonne</v>
      </c>
      <c r="C32" s="31">
        <f>'D) Ecrêtage'!C21</f>
        <v>242388.1994160584</v>
      </c>
      <c r="D32" s="14">
        <f>'A) Base RI'!AO23</f>
        <v>3241</v>
      </c>
      <c r="E32" s="10">
        <f t="shared" si="0"/>
        <v>4759477.7040165979</v>
      </c>
      <c r="F32" s="14">
        <f>'F) Population'!K24</f>
        <v>937890.34205231373</v>
      </c>
      <c r="G32" s="10">
        <f>'G) Solidarité'!I21</f>
        <v>0</v>
      </c>
      <c r="H32" s="14">
        <f t="shared" si="1"/>
        <v>937890.34205231373</v>
      </c>
      <c r="I32" s="55">
        <f t="shared" si="2"/>
        <v>3821587.3619642844</v>
      </c>
    </row>
    <row r="33" spans="1:9" x14ac:dyDescent="0.25">
      <c r="A33" s="49">
        <f>'A) Base RI'!A24</f>
        <v>5423</v>
      </c>
      <c r="B33" s="32" t="str">
        <f>'A) Base RI'!B24</f>
        <v>Ballens</v>
      </c>
      <c r="C33" s="31">
        <f>'D) Ecrêtage'!C22</f>
        <v>17114.745479452053</v>
      </c>
      <c r="D33" s="14">
        <f>'A) Base RI'!AO24</f>
        <v>562</v>
      </c>
      <c r="E33" s="10">
        <f t="shared" si="0"/>
        <v>336061.11896375718</v>
      </c>
      <c r="F33" s="14">
        <f>'F) Population'!K25</f>
        <v>69684.607645875236</v>
      </c>
      <c r="G33" s="10">
        <f>'G) Solidarité'!I22</f>
        <v>212914.73384942324</v>
      </c>
      <c r="H33" s="14">
        <f t="shared" si="1"/>
        <v>282599.34149529849</v>
      </c>
      <c r="I33" s="55">
        <f t="shared" si="2"/>
        <v>53461.777468458691</v>
      </c>
    </row>
    <row r="34" spans="1:9" x14ac:dyDescent="0.25">
      <c r="A34" s="49">
        <f>'A) Base RI'!A25</f>
        <v>5424</v>
      </c>
      <c r="B34" s="32" t="str">
        <f>'A) Base RI'!B25</f>
        <v>Berolle</v>
      </c>
      <c r="C34" s="31">
        <f>'D) Ecrêtage'!C23</f>
        <v>9114.9769536423846</v>
      </c>
      <c r="D34" s="14">
        <f>'A) Base RI'!AO25</f>
        <v>313</v>
      </c>
      <c r="E34" s="10">
        <f t="shared" si="0"/>
        <v>178979.54474681383</v>
      </c>
      <c r="F34" s="14">
        <f>'F) Population'!K26</f>
        <v>38810.110663983898</v>
      </c>
      <c r="G34" s="10">
        <f>'G) Solidarité'!I23</f>
        <v>136376.0644827444</v>
      </c>
      <c r="H34" s="14">
        <f t="shared" si="1"/>
        <v>175186.17514672829</v>
      </c>
      <c r="I34" s="55">
        <f t="shared" si="2"/>
        <v>3793.3696000855416</v>
      </c>
    </row>
    <row r="35" spans="1:9" x14ac:dyDescent="0.25">
      <c r="A35" s="49">
        <f>'A) Base RI'!A26</f>
        <v>5425</v>
      </c>
      <c r="B35" s="32" t="str">
        <f>'A) Base RI'!B26</f>
        <v>Bière</v>
      </c>
      <c r="C35" s="31">
        <f>'D) Ecrêtage'!C24</f>
        <v>40211.969135432286</v>
      </c>
      <c r="D35" s="14">
        <f>'A) Base RI'!AO26</f>
        <v>1627</v>
      </c>
      <c r="E35" s="10">
        <f t="shared" si="0"/>
        <v>789592.77306308481</v>
      </c>
      <c r="F35" s="14">
        <f>'F) Population'!K27</f>
        <v>341677.76659959753</v>
      </c>
      <c r="G35" s="10">
        <f>'G) Solidarité'!I24</f>
        <v>729014.30886758806</v>
      </c>
      <c r="H35" s="14">
        <f t="shared" si="1"/>
        <v>1070692.0754671856</v>
      </c>
      <c r="I35" s="55">
        <f t="shared" si="2"/>
        <v>-281099.30240410077</v>
      </c>
    </row>
    <row r="36" spans="1:9" x14ac:dyDescent="0.25">
      <c r="A36" s="49">
        <f>'A) Base RI'!A27</f>
        <v>5426</v>
      </c>
      <c r="B36" s="32" t="str">
        <f>'A) Base RI'!B27</f>
        <v>Bougy-Villars</v>
      </c>
      <c r="C36" s="31">
        <f>'D) Ecrêtage'!C25</f>
        <v>55640.611447028423</v>
      </c>
      <c r="D36" s="14">
        <f>'A) Base RI'!AO27</f>
        <v>477</v>
      </c>
      <c r="E36" s="10">
        <f t="shared" si="0"/>
        <v>1092545.9665856899</v>
      </c>
      <c r="F36" s="14">
        <f>'F) Population'!K28</f>
        <v>59145.120724346067</v>
      </c>
      <c r="G36" s="10">
        <f>'G) Solidarité'!I25</f>
        <v>0</v>
      </c>
      <c r="H36" s="14">
        <f t="shared" si="1"/>
        <v>59145.120724346067</v>
      </c>
      <c r="I36" s="55">
        <f t="shared" si="2"/>
        <v>1033400.8458613439</v>
      </c>
    </row>
    <row r="37" spans="1:9" x14ac:dyDescent="0.25">
      <c r="A37" s="49">
        <f>'A) Base RI'!A28</f>
        <v>5427</v>
      </c>
      <c r="B37" s="32" t="str">
        <f>'A) Base RI'!B28</f>
        <v>Féchy</v>
      </c>
      <c r="C37" s="31">
        <f>'D) Ecrêtage'!C26</f>
        <v>77020.423605769232</v>
      </c>
      <c r="D37" s="14">
        <f>'A) Base RI'!AO28</f>
        <v>869</v>
      </c>
      <c r="E37" s="10">
        <f t="shared" si="0"/>
        <v>1512354.9322479365</v>
      </c>
      <c r="F37" s="14">
        <f>'F) Population'!K29</f>
        <v>107750.75452716296</v>
      </c>
      <c r="G37" s="10">
        <f>'G) Solidarité'!I26</f>
        <v>0</v>
      </c>
      <c r="H37" s="14">
        <f t="shared" si="1"/>
        <v>107750.75452716296</v>
      </c>
      <c r="I37" s="55">
        <f t="shared" si="2"/>
        <v>1404604.1777207735</v>
      </c>
    </row>
    <row r="38" spans="1:9" x14ac:dyDescent="0.25">
      <c r="A38" s="49">
        <f>'A) Base RI'!A29</f>
        <v>5428</v>
      </c>
      <c r="B38" s="32" t="str">
        <f>'A) Base RI'!B29</f>
        <v>Gimel</v>
      </c>
      <c r="C38" s="31">
        <f>'D) Ecrêtage'!C27</f>
        <v>70193.222975391502</v>
      </c>
      <c r="D38" s="14">
        <f>'A) Base RI'!AO29</f>
        <v>2307</v>
      </c>
      <c r="E38" s="10">
        <f t="shared" si="0"/>
        <v>1378297.6255827914</v>
      </c>
      <c r="F38" s="14">
        <f>'F) Population'!K30</f>
        <v>577762.27364185103</v>
      </c>
      <c r="G38" s="10">
        <f>'G) Solidarité'!I27</f>
        <v>911690.2893475832</v>
      </c>
      <c r="H38" s="14">
        <f t="shared" si="1"/>
        <v>1489452.5629894342</v>
      </c>
      <c r="I38" s="55">
        <f t="shared" si="2"/>
        <v>-111154.93740664283</v>
      </c>
    </row>
    <row r="39" spans="1:9" x14ac:dyDescent="0.25">
      <c r="A39" s="49">
        <f>'A) Base RI'!A30</f>
        <v>5429</v>
      </c>
      <c r="B39" s="32" t="str">
        <f>'A) Base RI'!B30</f>
        <v>Longirod</v>
      </c>
      <c r="C39" s="31">
        <f>'D) Ecrêtage'!C28</f>
        <v>16140.77393548387</v>
      </c>
      <c r="D39" s="14">
        <f>'A) Base RI'!AO30</f>
        <v>494</v>
      </c>
      <c r="E39" s="10">
        <f t="shared" si="0"/>
        <v>316936.44268400891</v>
      </c>
      <c r="F39" s="14">
        <f>'F) Population'!K31</f>
        <v>61253.018108651901</v>
      </c>
      <c r="G39" s="10">
        <f>'G) Solidarité'!I28</f>
        <v>184506.33864592723</v>
      </c>
      <c r="H39" s="14">
        <f t="shared" si="1"/>
        <v>245759.35675457912</v>
      </c>
      <c r="I39" s="55">
        <f t="shared" si="2"/>
        <v>71177.085929429799</v>
      </c>
    </row>
    <row r="40" spans="1:9" x14ac:dyDescent="0.25">
      <c r="A40" s="49">
        <f>'A) Base RI'!A31</f>
        <v>5430</v>
      </c>
      <c r="B40" s="32" t="str">
        <f>'A) Base RI'!B31</f>
        <v>Marchissy</v>
      </c>
      <c r="C40" s="31">
        <f>'D) Ecrêtage'!C29</f>
        <v>14848.450709677421</v>
      </c>
      <c r="D40" s="14">
        <f>'A) Base RI'!AO31</f>
        <v>481</v>
      </c>
      <c r="E40" s="10">
        <f t="shared" si="0"/>
        <v>291560.68761661468</v>
      </c>
      <c r="F40" s="14">
        <f>'F) Population'!K32</f>
        <v>59641.096579476849</v>
      </c>
      <c r="G40" s="10">
        <f>'G) Solidarité'!I29</f>
        <v>200556.99583588445</v>
      </c>
      <c r="H40" s="14">
        <f t="shared" si="1"/>
        <v>260198.09241536129</v>
      </c>
      <c r="I40" s="55">
        <f t="shared" si="2"/>
        <v>31362.595201253396</v>
      </c>
    </row>
    <row r="41" spans="1:9" x14ac:dyDescent="0.25">
      <c r="A41" s="49">
        <f>'A) Base RI'!A32</f>
        <v>5431</v>
      </c>
      <c r="B41" s="32" t="str">
        <f>'A) Base RI'!B32</f>
        <v>Mollens</v>
      </c>
      <c r="C41" s="31">
        <f>'D) Ecrêtage'!C30</f>
        <v>9333.4747297297308</v>
      </c>
      <c r="D41" s="14">
        <f>'A) Base RI'!AO32</f>
        <v>330</v>
      </c>
      <c r="E41" s="10">
        <f t="shared" si="0"/>
        <v>183269.91571441977</v>
      </c>
      <c r="F41" s="14">
        <f>'F) Population'!K33</f>
        <v>40918.008048289732</v>
      </c>
      <c r="G41" s="10">
        <f>'G) Solidarité'!I30</f>
        <v>144202.72356842275</v>
      </c>
      <c r="H41" s="14">
        <f t="shared" si="1"/>
        <v>185120.73161671247</v>
      </c>
      <c r="I41" s="55">
        <f t="shared" si="2"/>
        <v>-1850.8159022926993</v>
      </c>
    </row>
    <row r="42" spans="1:9" x14ac:dyDescent="0.25">
      <c r="A42" s="49">
        <f>'A) Base RI'!A33</f>
        <v>5432</v>
      </c>
      <c r="B42" s="32" t="str">
        <f>'A) Base RI'!B33</f>
        <v>Montherod</v>
      </c>
      <c r="C42" s="31">
        <f>'D) Ecrêtage'!C31</f>
        <v>16429.509999999998</v>
      </c>
      <c r="D42" s="14">
        <f>'A) Base RI'!AO33</f>
        <v>523</v>
      </c>
      <c r="E42" s="10">
        <f t="shared" si="0"/>
        <v>322605.99617184658</v>
      </c>
      <c r="F42" s="14">
        <f>'F) Population'!K34</f>
        <v>64848.843058350089</v>
      </c>
      <c r="G42" s="10">
        <f>'G) Solidarité'!I31</f>
        <v>197806.17013602087</v>
      </c>
      <c r="H42" s="14">
        <f t="shared" si="1"/>
        <v>262655.01319437096</v>
      </c>
      <c r="I42" s="55">
        <f t="shared" si="2"/>
        <v>59950.982977475622</v>
      </c>
    </row>
    <row r="43" spans="1:9" x14ac:dyDescent="0.25">
      <c r="A43" s="49">
        <f>'A) Base RI'!A34</f>
        <v>5434</v>
      </c>
      <c r="B43" s="32" t="str">
        <f>'A) Base RI'!B34</f>
        <v>Saint-George</v>
      </c>
      <c r="C43" s="31">
        <f>'D) Ecrêtage'!C32</f>
        <v>41434.234652278174</v>
      </c>
      <c r="D43" s="14">
        <f>'A) Base RI'!AO34</f>
        <v>1074</v>
      </c>
      <c r="E43" s="10">
        <f t="shared" si="0"/>
        <v>813592.89142623532</v>
      </c>
      <c r="F43" s="14">
        <f>'F) Population'!K35</f>
        <v>149685.5130784708</v>
      </c>
      <c r="G43" s="10">
        <f>'G) Solidarité'!I32</f>
        <v>199675.24406163962</v>
      </c>
      <c r="H43" s="14">
        <f t="shared" si="1"/>
        <v>349360.75714011042</v>
      </c>
      <c r="I43" s="55">
        <f t="shared" si="2"/>
        <v>464232.1342861249</v>
      </c>
    </row>
    <row r="44" spans="1:9" x14ac:dyDescent="0.25">
      <c r="A44" s="49">
        <f>'A) Base RI'!A35</f>
        <v>5435</v>
      </c>
      <c r="B44" s="32" t="str">
        <f>'A) Base RI'!B35</f>
        <v>Saint-Livres</v>
      </c>
      <c r="C44" s="31">
        <f>'D) Ecrêtage'!C33</f>
        <v>26346.510144927532</v>
      </c>
      <c r="D44" s="14">
        <f>'A) Base RI'!AO35</f>
        <v>683</v>
      </c>
      <c r="E44" s="10">
        <f t="shared" si="0"/>
        <v>517333.87976610439</v>
      </c>
      <c r="F44" s="14">
        <f>'F) Population'!K36</f>
        <v>84687.877263581468</v>
      </c>
      <c r="G44" s="10">
        <f>'G) Solidarité'!I33</f>
        <v>125222.06608649298</v>
      </c>
      <c r="H44" s="14">
        <f t="shared" si="1"/>
        <v>209909.94335007446</v>
      </c>
      <c r="I44" s="55">
        <f t="shared" si="2"/>
        <v>307423.93641602993</v>
      </c>
    </row>
    <row r="45" spans="1:9" x14ac:dyDescent="0.25">
      <c r="A45" s="49">
        <f>'A) Base RI'!A36</f>
        <v>5436</v>
      </c>
      <c r="B45" s="32" t="str">
        <f>'A) Base RI'!B36</f>
        <v>Saint-Oyens</v>
      </c>
      <c r="C45" s="31">
        <f>'D) Ecrêtage'!C34</f>
        <v>16764.305154320984</v>
      </c>
      <c r="D45" s="14">
        <f>'A) Base RI'!AO36</f>
        <v>461</v>
      </c>
      <c r="E45" s="10">
        <f t="shared" si="0"/>
        <v>329179.95511969278</v>
      </c>
      <c r="F45" s="14">
        <f>'F) Population'!K37</f>
        <v>57161.21730382293</v>
      </c>
      <c r="G45" s="10">
        <f>'G) Solidarité'!I34</f>
        <v>143288.41234004521</v>
      </c>
      <c r="H45" s="14">
        <f t="shared" si="1"/>
        <v>200449.62964386813</v>
      </c>
      <c r="I45" s="55">
        <f t="shared" si="2"/>
        <v>128730.32547582465</v>
      </c>
    </row>
    <row r="46" spans="1:9" x14ac:dyDescent="0.25">
      <c r="A46" s="49">
        <f>'A) Base RI'!A37</f>
        <v>5437</v>
      </c>
      <c r="B46" s="32" t="str">
        <f>'A) Base RI'!B37</f>
        <v>Saubraz</v>
      </c>
      <c r="C46" s="31">
        <f>'D) Ecrêtage'!C35</f>
        <v>13391.905875</v>
      </c>
      <c r="D46" s="14">
        <f>'A) Base RI'!AO37</f>
        <v>423</v>
      </c>
      <c r="E46" s="10">
        <f t="shared" si="0"/>
        <v>262960.31564203562</v>
      </c>
      <c r="F46" s="14">
        <f>'F) Population'!K38</f>
        <v>52449.446680080473</v>
      </c>
      <c r="G46" s="10">
        <f>'G) Solidarité'!I35</f>
        <v>179361.93907719714</v>
      </c>
      <c r="H46" s="14">
        <f t="shared" si="1"/>
        <v>231811.3857572776</v>
      </c>
      <c r="I46" s="55">
        <f t="shared" si="2"/>
        <v>31148.929884758021</v>
      </c>
    </row>
    <row r="47" spans="1:9" x14ac:dyDescent="0.25">
      <c r="A47" s="49">
        <f>'A) Base RI'!A38</f>
        <v>5451</v>
      </c>
      <c r="B47" s="32" t="str">
        <f>'A) Base RI'!B38</f>
        <v>Avenches</v>
      </c>
      <c r="C47" s="31">
        <f>'D) Ecrêtage'!C36</f>
        <v>129500.81187969925</v>
      </c>
      <c r="D47" s="14">
        <f>'A) Base RI'!AO38</f>
        <v>4482</v>
      </c>
      <c r="E47" s="10">
        <f t="shared" si="0"/>
        <v>2542847.4995001853</v>
      </c>
      <c r="F47" s="14">
        <f>'F) Population'!K39</f>
        <v>1553396.3782696174</v>
      </c>
      <c r="G47" s="10">
        <f>'G) Solidarité'!I36</f>
        <v>1533123.3241887966</v>
      </c>
      <c r="H47" s="14">
        <f t="shared" si="1"/>
        <v>3086519.7024584142</v>
      </c>
      <c r="I47" s="55">
        <f t="shared" si="2"/>
        <v>-543672.202958229</v>
      </c>
    </row>
    <row r="48" spans="1:9" x14ac:dyDescent="0.25">
      <c r="A48" s="49">
        <f>'A) Base RI'!A39</f>
        <v>5456</v>
      </c>
      <c r="B48" s="32" t="str">
        <f>'A) Base RI'!B39</f>
        <v>Cudrefin</v>
      </c>
      <c r="C48" s="31">
        <f>'D) Ecrêtage'!C37</f>
        <v>64226.933276836171</v>
      </c>
      <c r="D48" s="14">
        <f>'A) Base RI'!AO39</f>
        <v>1780</v>
      </c>
      <c r="E48" s="10">
        <f t="shared" si="0"/>
        <v>1261144.9635951687</v>
      </c>
      <c r="F48" s="14">
        <f>'F) Population'!K40</f>
        <v>394796.7806841046</v>
      </c>
      <c r="G48" s="10">
        <f>'G) Solidarité'!I37</f>
        <v>300561.65237793996</v>
      </c>
      <c r="H48" s="14">
        <f t="shared" si="1"/>
        <v>695358.43306204455</v>
      </c>
      <c r="I48" s="55">
        <f t="shared" si="2"/>
        <v>565786.53053312411</v>
      </c>
    </row>
    <row r="49" spans="1:9" x14ac:dyDescent="0.25">
      <c r="A49" s="49">
        <f>'A) Base RI'!A40</f>
        <v>5458</v>
      </c>
      <c r="B49" s="32" t="str">
        <f>'A) Base RI'!B40</f>
        <v>Faoug</v>
      </c>
      <c r="C49" s="31">
        <f>'D) Ecrêtage'!C38</f>
        <v>32198.404090909091</v>
      </c>
      <c r="D49" s="14">
        <f>'A) Base RI'!AO40</f>
        <v>881</v>
      </c>
      <c r="E49" s="10">
        <f t="shared" si="0"/>
        <v>632240.29364791699</v>
      </c>
      <c r="F49" s="14">
        <f>'F) Population'!K41</f>
        <v>109238.68209255532</v>
      </c>
      <c r="G49" s="10">
        <f>'G) Solidarité'!I38</f>
        <v>178994.62478948932</v>
      </c>
      <c r="H49" s="14">
        <f t="shared" si="1"/>
        <v>288233.30688204465</v>
      </c>
      <c r="I49" s="55">
        <f t="shared" si="2"/>
        <v>344006.98676587234</v>
      </c>
    </row>
    <row r="50" spans="1:9" x14ac:dyDescent="0.25">
      <c r="A50" s="49">
        <f>'A) Base RI'!A41</f>
        <v>5464</v>
      </c>
      <c r="B50" s="32" t="str">
        <f>'A) Base RI'!B41</f>
        <v>Vully-les-Lacs</v>
      </c>
      <c r="C50" s="31">
        <f>'D) Ecrêtage'!C39</f>
        <v>111597.31895522389</v>
      </c>
      <c r="D50" s="14">
        <f>'A) Base RI'!AO41</f>
        <v>3360</v>
      </c>
      <c r="E50" s="10">
        <f t="shared" si="0"/>
        <v>2191298.7211217685</v>
      </c>
      <c r="F50" s="14">
        <f>'F) Population'!K42</f>
        <v>996911.4688128772</v>
      </c>
      <c r="G50" s="10">
        <f>'G) Solidarité'!I39</f>
        <v>905259.83362257504</v>
      </c>
      <c r="H50" s="14">
        <f t="shared" si="1"/>
        <v>1902171.3024354521</v>
      </c>
      <c r="I50" s="55">
        <f t="shared" si="2"/>
        <v>289127.41868631635</v>
      </c>
    </row>
    <row r="51" spans="1:9" x14ac:dyDescent="0.25">
      <c r="A51" s="49">
        <f>'A) Base RI'!A42</f>
        <v>5471</v>
      </c>
      <c r="B51" s="32" t="str">
        <f>'A) Base RI'!B42</f>
        <v>Bettens</v>
      </c>
      <c r="C51" s="31">
        <f>'D) Ecrêtage'!C40</f>
        <v>20385.282730158731</v>
      </c>
      <c r="D51" s="14">
        <f>'A) Base RI'!AO42</f>
        <v>636</v>
      </c>
      <c r="E51" s="10">
        <f t="shared" si="0"/>
        <v>400280.61959289102</v>
      </c>
      <c r="F51" s="14">
        <f>'F) Population'!K43</f>
        <v>78860.160965794756</v>
      </c>
      <c r="G51" s="10">
        <f>'G) Solidarité'!I40</f>
        <v>201559.45468824747</v>
      </c>
      <c r="H51" s="14">
        <f t="shared" si="1"/>
        <v>280419.61565404222</v>
      </c>
      <c r="I51" s="55">
        <f t="shared" si="2"/>
        <v>119861.00393884879</v>
      </c>
    </row>
    <row r="52" spans="1:9" x14ac:dyDescent="0.25">
      <c r="A52" s="49">
        <f>'A) Base RI'!A43</f>
        <v>5472</v>
      </c>
      <c r="B52" s="32" t="str">
        <f>'A) Base RI'!B43</f>
        <v>Bournens</v>
      </c>
      <c r="C52" s="31">
        <f>'D) Ecrêtage'!C41</f>
        <v>20143.161388888886</v>
      </c>
      <c r="D52" s="14">
        <f>'A) Base RI'!AO43</f>
        <v>490</v>
      </c>
      <c r="E52" s="10">
        <f t="shared" si="0"/>
        <v>395526.38185270142</v>
      </c>
      <c r="F52" s="14">
        <f>'F) Population'!K44</f>
        <v>60757.042253521118</v>
      </c>
      <c r="G52" s="10">
        <f>'G) Solidarité'!I41</f>
        <v>71996.273963652086</v>
      </c>
      <c r="H52" s="14">
        <f t="shared" si="1"/>
        <v>132753.31621717321</v>
      </c>
      <c r="I52" s="55">
        <f t="shared" si="2"/>
        <v>262773.06563552818</v>
      </c>
    </row>
    <row r="53" spans="1:9" x14ac:dyDescent="0.25">
      <c r="A53" s="49">
        <f>'A) Base RI'!A44</f>
        <v>5473</v>
      </c>
      <c r="B53" s="32" t="str">
        <f>'A) Base RI'!B44</f>
        <v>Boussens</v>
      </c>
      <c r="C53" s="31">
        <f>'D) Ecrêtage'!C42</f>
        <v>37775.140592592586</v>
      </c>
      <c r="D53" s="14">
        <f>'A) Base RI'!AO44</f>
        <v>999</v>
      </c>
      <c r="E53" s="10">
        <f t="shared" si="0"/>
        <v>741743.78063648229</v>
      </c>
      <c r="F53" s="14">
        <f>'F) Population'!K45</f>
        <v>123869.96981891347</v>
      </c>
      <c r="G53" s="10">
        <f>'G) Solidarité'!I42</f>
        <v>189191.54502470806</v>
      </c>
      <c r="H53" s="14">
        <f t="shared" si="1"/>
        <v>313061.51484362152</v>
      </c>
      <c r="I53" s="55">
        <f t="shared" si="2"/>
        <v>428682.26579286077</v>
      </c>
    </row>
    <row r="54" spans="1:9" x14ac:dyDescent="0.25">
      <c r="A54" s="49">
        <f>'A) Base RI'!A45</f>
        <v>5474</v>
      </c>
      <c r="B54" s="32" t="str">
        <f>'A) Base RI'!B45</f>
        <v>La Chaux (Cossonay)</v>
      </c>
      <c r="C54" s="31">
        <f>'D) Ecrêtage'!C43</f>
        <v>13182.521580086577</v>
      </c>
      <c r="D54" s="14">
        <f>'A) Base RI'!AO45</f>
        <v>391</v>
      </c>
      <c r="E54" s="10">
        <f t="shared" si="0"/>
        <v>258848.89484839753</v>
      </c>
      <c r="F54" s="14">
        <f>'F) Population'!K46</f>
        <v>48481.6398390342</v>
      </c>
      <c r="G54" s="10">
        <f>'G) Solidarité'!I43</f>
        <v>134473.49842450116</v>
      </c>
      <c r="H54" s="14">
        <f t="shared" si="1"/>
        <v>182955.13826353537</v>
      </c>
      <c r="I54" s="55">
        <f t="shared" si="2"/>
        <v>75893.75658486216</v>
      </c>
    </row>
    <row r="55" spans="1:9" x14ac:dyDescent="0.25">
      <c r="A55" s="49">
        <f>'A) Base RI'!A46</f>
        <v>5475</v>
      </c>
      <c r="B55" s="32" t="str">
        <f>'A) Base RI'!B46</f>
        <v>Chavannes-le-Veyron</v>
      </c>
      <c r="C55" s="31">
        <f>'D) Ecrêtage'!C44</f>
        <v>3874.6645454545451</v>
      </c>
      <c r="D55" s="14">
        <f>'A) Base RI'!AO46</f>
        <v>152</v>
      </c>
      <c r="E55" s="10">
        <f t="shared" si="0"/>
        <v>76082.002172803623</v>
      </c>
      <c r="F55" s="14">
        <f>'F) Population'!K47</f>
        <v>18847.082494969814</v>
      </c>
      <c r="G55" s="10">
        <f>'G) Solidarité'!I44</f>
        <v>82010.447326453927</v>
      </c>
      <c r="H55" s="14">
        <f t="shared" si="1"/>
        <v>100857.52982142374</v>
      </c>
      <c r="I55" s="55">
        <f t="shared" si="2"/>
        <v>-24775.527648620118</v>
      </c>
    </row>
    <row r="56" spans="1:9" x14ac:dyDescent="0.25">
      <c r="A56" s="49">
        <f>'A) Base RI'!A47</f>
        <v>5476</v>
      </c>
      <c r="B56" s="32" t="str">
        <f>'A) Base RI'!B47</f>
        <v>Chevilly</v>
      </c>
      <c r="C56" s="31">
        <f>'D) Ecrêtage'!C45</f>
        <v>11839.396756756756</v>
      </c>
      <c r="D56" s="14">
        <f>'A) Base RI'!AO47</f>
        <v>317</v>
      </c>
      <c r="E56" s="10">
        <f t="shared" si="0"/>
        <v>232475.61155428516</v>
      </c>
      <c r="F56" s="14">
        <f>'F) Population'!K48</f>
        <v>39306.08651911468</v>
      </c>
      <c r="G56" s="10">
        <f>'G) Solidarité'!I45</f>
        <v>75388.892959253702</v>
      </c>
      <c r="H56" s="14">
        <f t="shared" si="1"/>
        <v>114694.97947836839</v>
      </c>
      <c r="I56" s="55">
        <f t="shared" si="2"/>
        <v>117780.63207591677</v>
      </c>
    </row>
    <row r="57" spans="1:9" x14ac:dyDescent="0.25">
      <c r="A57" s="49">
        <f>'A) Base RI'!A48</f>
        <v>5477</v>
      </c>
      <c r="B57" s="32" t="str">
        <f>'A) Base RI'!B48</f>
        <v>Cossonay</v>
      </c>
      <c r="C57" s="31">
        <f>'D) Ecrêtage'!C46</f>
        <v>119154.03251798562</v>
      </c>
      <c r="D57" s="14">
        <f>'A) Base RI'!AO48</f>
        <v>4222</v>
      </c>
      <c r="E57" s="10">
        <f t="shared" si="0"/>
        <v>2339680.5722360164</v>
      </c>
      <c r="F57" s="14">
        <f>'F) Population'!K49</f>
        <v>1424442.6559356134</v>
      </c>
      <c r="G57" s="10">
        <f>'G) Solidarité'!I46</f>
        <v>1632358.533948187</v>
      </c>
      <c r="H57" s="14">
        <f t="shared" si="1"/>
        <v>3056801.1898838002</v>
      </c>
      <c r="I57" s="55">
        <f t="shared" si="2"/>
        <v>-717120.61764778383</v>
      </c>
    </row>
    <row r="58" spans="1:9" x14ac:dyDescent="0.25">
      <c r="A58" s="49">
        <f>'A) Base RI'!A49</f>
        <v>5478</v>
      </c>
      <c r="B58" s="32" t="str">
        <f>'A) Base RI'!B49</f>
        <v>Cottens</v>
      </c>
      <c r="C58" s="31">
        <f>'D) Ecrêtage'!C47</f>
        <v>16291.497837837833</v>
      </c>
      <c r="D58" s="14">
        <f>'A) Base RI'!AO49</f>
        <v>491</v>
      </c>
      <c r="E58" s="10">
        <f t="shared" si="0"/>
        <v>319896.02179901651</v>
      </c>
      <c r="F58" s="14">
        <f>'F) Population'!K50</f>
        <v>60881.036217303816</v>
      </c>
      <c r="G58" s="10">
        <f>'G) Solidarité'!I47</f>
        <v>161731.06860237053</v>
      </c>
      <c r="H58" s="14">
        <f t="shared" si="1"/>
        <v>222612.10481967434</v>
      </c>
      <c r="I58" s="55">
        <f t="shared" si="2"/>
        <v>97283.916979342175</v>
      </c>
    </row>
    <row r="59" spans="1:9" x14ac:dyDescent="0.25">
      <c r="A59" s="49">
        <f>'A) Base RI'!A50</f>
        <v>5479</v>
      </c>
      <c r="B59" s="32" t="str">
        <f>'A) Base RI'!B50</f>
        <v>Cuarnens</v>
      </c>
      <c r="C59" s="31">
        <f>'D) Ecrêtage'!C48</f>
        <v>18068.978311688308</v>
      </c>
      <c r="D59" s="14">
        <f>'A) Base RI'!AO50</f>
        <v>527</v>
      </c>
      <c r="E59" s="10">
        <f t="shared" si="0"/>
        <v>354798.21054004034</v>
      </c>
      <c r="F59" s="14">
        <f>'F) Population'!K51</f>
        <v>65344.818913480871</v>
      </c>
      <c r="G59" s="10">
        <f>'G) Solidarité'!I48</f>
        <v>174081.34569499351</v>
      </c>
      <c r="H59" s="14">
        <f t="shared" si="1"/>
        <v>239426.16460847438</v>
      </c>
      <c r="I59" s="55">
        <f t="shared" si="2"/>
        <v>115372.04593156595</v>
      </c>
    </row>
    <row r="60" spans="1:9" x14ac:dyDescent="0.25">
      <c r="A60" s="49">
        <f>'A) Base RI'!A51</f>
        <v>5480</v>
      </c>
      <c r="B60" s="32" t="str">
        <f>'A) Base RI'!B51</f>
        <v>Daillens</v>
      </c>
      <c r="C60" s="31">
        <f>'D) Ecrêtage'!C49</f>
        <v>40977.441060606063</v>
      </c>
      <c r="D60" s="14">
        <f>'A) Base RI'!AO51</f>
        <v>1048</v>
      </c>
      <c r="E60" s="10">
        <f t="shared" si="0"/>
        <v>804623.39984150173</v>
      </c>
      <c r="F60" s="14">
        <f>'F) Population'!K52</f>
        <v>140658.75251509051</v>
      </c>
      <c r="G60" s="10">
        <f>'G) Solidarité'!I49</f>
        <v>166164.32766041023</v>
      </c>
      <c r="H60" s="14">
        <f t="shared" si="1"/>
        <v>306823.08017550071</v>
      </c>
      <c r="I60" s="55">
        <f t="shared" si="2"/>
        <v>497800.31966600101</v>
      </c>
    </row>
    <row r="61" spans="1:9" x14ac:dyDescent="0.25">
      <c r="A61" s="49">
        <f>'A) Base RI'!A52</f>
        <v>5481</v>
      </c>
      <c r="B61" s="32" t="str">
        <f>'A) Base RI'!B52</f>
        <v>Dizy</v>
      </c>
      <c r="C61" s="31">
        <f>'D) Ecrêtage'!C50</f>
        <v>8124.1672000000008</v>
      </c>
      <c r="D61" s="14">
        <f>'A) Base RI'!AO52</f>
        <v>224</v>
      </c>
      <c r="E61" s="10">
        <f t="shared" si="0"/>
        <v>159524.2373401667</v>
      </c>
      <c r="F61" s="14">
        <f>'F) Population'!K53</f>
        <v>27774.647887323939</v>
      </c>
      <c r="G61" s="10">
        <f>'G) Solidarité'!I50</f>
        <v>60178.989566599543</v>
      </c>
      <c r="H61" s="14">
        <f t="shared" si="1"/>
        <v>87953.637453923482</v>
      </c>
      <c r="I61" s="55">
        <f t="shared" si="2"/>
        <v>71570.599886243217</v>
      </c>
    </row>
    <row r="62" spans="1:9" x14ac:dyDescent="0.25">
      <c r="A62" s="49">
        <f>'A) Base RI'!A53</f>
        <v>5482</v>
      </c>
      <c r="B62" s="32" t="str">
        <f>'A) Base RI'!B53</f>
        <v>Eclépens</v>
      </c>
      <c r="C62" s="31">
        <f>'D) Ecrêtage'!C51</f>
        <v>70911.930217391302</v>
      </c>
      <c r="D62" s="14">
        <f>'A) Base RI'!AO53</f>
        <v>1220</v>
      </c>
      <c r="E62" s="10">
        <f t="shared" si="0"/>
        <v>1392409.9920356721</v>
      </c>
      <c r="F62" s="14">
        <f>'F) Population'!K54</f>
        <v>200374.24547283701</v>
      </c>
      <c r="G62" s="10">
        <f>'G) Solidarité'!I51</f>
        <v>0</v>
      </c>
      <c r="H62" s="14">
        <f t="shared" si="1"/>
        <v>200374.24547283701</v>
      </c>
      <c r="I62" s="55">
        <f t="shared" si="2"/>
        <v>1192035.7465628351</v>
      </c>
    </row>
    <row r="63" spans="1:9" x14ac:dyDescent="0.25">
      <c r="A63" s="49">
        <f>'A) Base RI'!A54</f>
        <v>5483</v>
      </c>
      <c r="B63" s="32" t="str">
        <f>'A) Base RI'!B54</f>
        <v>Ferreyres</v>
      </c>
      <c r="C63" s="31">
        <f>'D) Ecrêtage'!C52</f>
        <v>10820.315000000001</v>
      </c>
      <c r="D63" s="14">
        <f>'A) Base RI'!AO54</f>
        <v>319</v>
      </c>
      <c r="E63" s="10">
        <f t="shared" si="0"/>
        <v>212465.16174056163</v>
      </c>
      <c r="F63" s="14">
        <f>'F) Population'!K55</f>
        <v>39554.074446680075</v>
      </c>
      <c r="G63" s="10">
        <f>'G) Solidarité'!I52</f>
        <v>105367.5433090373</v>
      </c>
      <c r="H63" s="14">
        <f t="shared" si="1"/>
        <v>144921.61775571737</v>
      </c>
      <c r="I63" s="55">
        <f t="shared" si="2"/>
        <v>67543.543984844262</v>
      </c>
    </row>
    <row r="64" spans="1:9" x14ac:dyDescent="0.25">
      <c r="A64" s="49">
        <f>'A) Base RI'!A55</f>
        <v>5484</v>
      </c>
      <c r="B64" s="32" t="str">
        <f>'A) Base RI'!B55</f>
        <v>Gollion</v>
      </c>
      <c r="C64" s="31">
        <f>'D) Ecrêtage'!C53</f>
        <v>34996.98554054054</v>
      </c>
      <c r="D64" s="14">
        <f>'A) Base RI'!AO55</f>
        <v>996</v>
      </c>
      <c r="E64" s="10">
        <f t="shared" si="0"/>
        <v>687192.58111275337</v>
      </c>
      <c r="F64" s="14">
        <f>'F) Population'!K56</f>
        <v>123497.98792756537</v>
      </c>
      <c r="G64" s="10">
        <f>'G) Solidarité'!I53</f>
        <v>285243.8146711064</v>
      </c>
      <c r="H64" s="14">
        <f t="shared" si="1"/>
        <v>408741.80259867175</v>
      </c>
      <c r="I64" s="55">
        <f t="shared" si="2"/>
        <v>278450.77851408161</v>
      </c>
    </row>
    <row r="65" spans="1:9" x14ac:dyDescent="0.25">
      <c r="A65" s="49">
        <f>'A) Base RI'!A56</f>
        <v>5485</v>
      </c>
      <c r="B65" s="32" t="str">
        <f>'A) Base RI'!B56</f>
        <v>Grancy</v>
      </c>
      <c r="C65" s="31">
        <f>'D) Ecrêtage'!C54</f>
        <v>14542.352714285715</v>
      </c>
      <c r="D65" s="14">
        <f>'A) Base RI'!AO56</f>
        <v>406</v>
      </c>
      <c r="E65" s="10">
        <f t="shared" si="0"/>
        <v>285550.21933548234</v>
      </c>
      <c r="F65" s="14">
        <f>'F) Population'!K57</f>
        <v>50341.549295774639</v>
      </c>
      <c r="G65" s="10">
        <f>'G) Solidarité'!I54</f>
        <v>98607.656084389673</v>
      </c>
      <c r="H65" s="14">
        <f t="shared" si="1"/>
        <v>148949.20538016432</v>
      </c>
      <c r="I65" s="55">
        <f t="shared" si="2"/>
        <v>136601.01395531802</v>
      </c>
    </row>
    <row r="66" spans="1:9" x14ac:dyDescent="0.25">
      <c r="A66" s="49">
        <f>'A) Base RI'!A57</f>
        <v>5486</v>
      </c>
      <c r="B66" s="32" t="str">
        <f>'A) Base RI'!B57</f>
        <v>L'Isle</v>
      </c>
      <c r="C66" s="31">
        <f>'D) Ecrêtage'!C55</f>
        <v>37459.560399999995</v>
      </c>
      <c r="D66" s="14">
        <f>'A) Base RI'!AO57</f>
        <v>1065</v>
      </c>
      <c r="E66" s="10">
        <f t="shared" si="0"/>
        <v>735547.122160153</v>
      </c>
      <c r="F66" s="14">
        <f>'F) Population'!K58</f>
        <v>146560.86519114685</v>
      </c>
      <c r="G66" s="10">
        <f>'G) Solidarité'!I55</f>
        <v>312444.25697398122</v>
      </c>
      <c r="H66" s="14">
        <f t="shared" si="1"/>
        <v>459005.12216512806</v>
      </c>
      <c r="I66" s="55">
        <f t="shared" si="2"/>
        <v>276541.99999502493</v>
      </c>
    </row>
    <row r="67" spans="1:9" x14ac:dyDescent="0.25">
      <c r="A67" s="49">
        <f>'A) Base RI'!A58</f>
        <v>5487</v>
      </c>
      <c r="B67" s="32" t="str">
        <f>'A) Base RI'!B58</f>
        <v>Lussery-Villars</v>
      </c>
      <c r="C67" s="31">
        <f>'D) Ecrêtage'!C56</f>
        <v>12889.865466666668</v>
      </c>
      <c r="D67" s="14">
        <f>'A) Base RI'!AO58</f>
        <v>459</v>
      </c>
      <c r="E67" s="10">
        <f t="shared" si="0"/>
        <v>253102.36820179573</v>
      </c>
      <c r="F67" s="14">
        <f>'F) Population'!K59</f>
        <v>56913.229376257535</v>
      </c>
      <c r="G67" s="10">
        <f>'G) Solidarité'!I56</f>
        <v>208110.0048637084</v>
      </c>
      <c r="H67" s="14">
        <f t="shared" si="1"/>
        <v>265023.23423996591</v>
      </c>
      <c r="I67" s="55">
        <f t="shared" si="2"/>
        <v>-11920.866038170177</v>
      </c>
    </row>
    <row r="68" spans="1:9" x14ac:dyDescent="0.25">
      <c r="A68" s="49">
        <f>'A) Base RI'!A59</f>
        <v>5488</v>
      </c>
      <c r="B68" s="32" t="str">
        <f>'A) Base RI'!B59</f>
        <v>Mauraz</v>
      </c>
      <c r="C68" s="31">
        <f>'D) Ecrêtage'!C57</f>
        <v>1632.1631168831173</v>
      </c>
      <c r="D68" s="14">
        <f>'A) Base RI'!AO59</f>
        <v>58</v>
      </c>
      <c r="E68" s="10">
        <f t="shared" si="0"/>
        <v>32048.771280277026</v>
      </c>
      <c r="F68" s="14">
        <f>'F) Population'!K60</f>
        <v>7191.6498993963769</v>
      </c>
      <c r="G68" s="10">
        <f>'G) Solidarité'!I57</f>
        <v>27637.975328911718</v>
      </c>
      <c r="H68" s="14">
        <f t="shared" si="1"/>
        <v>34829.625228308098</v>
      </c>
      <c r="I68" s="55">
        <f t="shared" si="2"/>
        <v>-2780.8539480310719</v>
      </c>
    </row>
    <row r="69" spans="1:9" x14ac:dyDescent="0.25">
      <c r="A69" s="49">
        <f>'A) Base RI'!A60</f>
        <v>5489</v>
      </c>
      <c r="B69" s="32" t="str">
        <f>'A) Base RI'!B60</f>
        <v>Mex</v>
      </c>
      <c r="C69" s="31">
        <f>'D) Ecrêtage'!C58</f>
        <v>57496.164201680658</v>
      </c>
      <c r="D69" s="14">
        <f>'A) Base RI'!AO60</f>
        <v>791</v>
      </c>
      <c r="E69" s="10">
        <f t="shared" si="0"/>
        <v>1128981.1642795955</v>
      </c>
      <c r="F69" s="14">
        <f>'F) Population'!K61</f>
        <v>98079.225352112655</v>
      </c>
      <c r="G69" s="10">
        <f>'G) Solidarité'!I58</f>
        <v>0</v>
      </c>
      <c r="H69" s="14">
        <f t="shared" si="1"/>
        <v>98079.225352112655</v>
      </c>
      <c r="I69" s="55">
        <f t="shared" si="2"/>
        <v>1030901.9389274828</v>
      </c>
    </row>
    <row r="70" spans="1:9" x14ac:dyDescent="0.25">
      <c r="A70" s="49">
        <f>'A) Base RI'!A61</f>
        <v>5490</v>
      </c>
      <c r="B70" s="32" t="str">
        <f>'A) Base RI'!B61</f>
        <v>Moiry</v>
      </c>
      <c r="C70" s="31">
        <f>'D) Ecrêtage'!C59</f>
        <v>8655.909290322581</v>
      </c>
      <c r="D70" s="14">
        <f>'A) Base RI'!AO61</f>
        <v>311</v>
      </c>
      <c r="E70" s="10">
        <f t="shared" si="0"/>
        <v>169965.40002578642</v>
      </c>
      <c r="F70" s="14">
        <f>'F) Population'!K62</f>
        <v>38562.122736418503</v>
      </c>
      <c r="G70" s="10">
        <f>'G) Solidarité'!I59</f>
        <v>152437.63432256453</v>
      </c>
      <c r="H70" s="14">
        <f t="shared" si="1"/>
        <v>190999.75705898303</v>
      </c>
      <c r="I70" s="55">
        <f t="shared" si="2"/>
        <v>-21034.357033196604</v>
      </c>
    </row>
    <row r="71" spans="1:9" x14ac:dyDescent="0.25">
      <c r="A71" s="49">
        <f>'A) Base RI'!A62</f>
        <v>5491</v>
      </c>
      <c r="B71" s="32" t="str">
        <f>'A) Base RI'!B62</f>
        <v>Mont-la-Ville</v>
      </c>
      <c r="C71" s="31">
        <f>'D) Ecrêtage'!C60</f>
        <v>14323.284736842104</v>
      </c>
      <c r="D71" s="14">
        <f>'A) Base RI'!AO62</f>
        <v>490</v>
      </c>
      <c r="E71" s="10">
        <f t="shared" si="0"/>
        <v>281248.65202808561</v>
      </c>
      <c r="F71" s="14">
        <f>'F) Population'!K63</f>
        <v>60757.042253521118</v>
      </c>
      <c r="G71" s="10">
        <f>'G) Solidarité'!I60</f>
        <v>215085.71881217835</v>
      </c>
      <c r="H71" s="14">
        <f t="shared" si="1"/>
        <v>275842.76106569945</v>
      </c>
      <c r="I71" s="55">
        <f t="shared" si="2"/>
        <v>5405.8909623861546</v>
      </c>
    </row>
    <row r="72" spans="1:9" x14ac:dyDescent="0.25">
      <c r="A72" s="49">
        <f>'A) Base RI'!A63</f>
        <v>5492</v>
      </c>
      <c r="B72" s="32" t="str">
        <f>'A) Base RI'!B63</f>
        <v>Montricher</v>
      </c>
      <c r="C72" s="31">
        <f>'D) Ecrêtage'!C61</f>
        <v>157154.96692708335</v>
      </c>
      <c r="D72" s="14">
        <f>'A) Base RI'!AO63</f>
        <v>964</v>
      </c>
      <c r="E72" s="10">
        <f t="shared" si="0"/>
        <v>3085857.9871746227</v>
      </c>
      <c r="F72" s="14">
        <f>'F) Population'!K64</f>
        <v>119530.18108651909</v>
      </c>
      <c r="G72" s="10">
        <f>'G) Solidarité'!I61</f>
        <v>0</v>
      </c>
      <c r="H72" s="14">
        <f t="shared" si="1"/>
        <v>119530.18108651909</v>
      </c>
      <c r="I72" s="55">
        <f t="shared" si="2"/>
        <v>2966327.8060881034</v>
      </c>
    </row>
    <row r="73" spans="1:9" x14ac:dyDescent="0.25">
      <c r="A73" s="49">
        <f>'A) Base RI'!A64</f>
        <v>5493</v>
      </c>
      <c r="B73" s="32" t="str">
        <f>'A) Base RI'!B64</f>
        <v>Orny</v>
      </c>
      <c r="C73" s="31">
        <f>'D) Ecrêtage'!C62</f>
        <v>12885.017723919913</v>
      </c>
      <c r="D73" s="14">
        <f>'A) Base RI'!AO64</f>
        <v>462</v>
      </c>
      <c r="E73" s="10">
        <f t="shared" si="0"/>
        <v>253007.17906480981</v>
      </c>
      <c r="F73" s="14">
        <f>'F) Population'!K65</f>
        <v>57285.21126760562</v>
      </c>
      <c r="G73" s="10">
        <f>'G) Solidarité'!I62</f>
        <v>200352.29073867091</v>
      </c>
      <c r="H73" s="14">
        <f t="shared" si="1"/>
        <v>257637.50200627654</v>
      </c>
      <c r="I73" s="55">
        <f t="shared" si="2"/>
        <v>-4630.3229414667294</v>
      </c>
    </row>
    <row r="74" spans="1:9" x14ac:dyDescent="0.25">
      <c r="A74" s="49">
        <f>'A) Base RI'!A65</f>
        <v>5494</v>
      </c>
      <c r="B74" s="32" t="str">
        <f>'A) Base RI'!B65</f>
        <v>Pampigny</v>
      </c>
      <c r="C74" s="31">
        <f>'D) Ecrêtage'!C63</f>
        <v>36607.87342465754</v>
      </c>
      <c r="D74" s="14">
        <f>'A) Base RI'!AO65</f>
        <v>1128</v>
      </c>
      <c r="E74" s="10">
        <f t="shared" si="0"/>
        <v>718823.59692373755</v>
      </c>
      <c r="F74" s="14">
        <f>'F) Population'!K66</f>
        <v>168433.40040241447</v>
      </c>
      <c r="G74" s="10">
        <f>'G) Solidarité'!I63</f>
        <v>379098.88522606669</v>
      </c>
      <c r="H74" s="14">
        <f t="shared" si="1"/>
        <v>547532.28562848119</v>
      </c>
      <c r="I74" s="55">
        <f t="shared" si="2"/>
        <v>171291.31129525637</v>
      </c>
    </row>
    <row r="75" spans="1:9" x14ac:dyDescent="0.25">
      <c r="A75" s="49">
        <f>'A) Base RI'!A66</f>
        <v>5495</v>
      </c>
      <c r="B75" s="32" t="str">
        <f>'A) Base RI'!B66</f>
        <v>Penthalaz</v>
      </c>
      <c r="C75" s="31">
        <f>'D) Ecrêtage'!C64</f>
        <v>93361.472702702697</v>
      </c>
      <c r="D75" s="14">
        <f>'A) Base RI'!AO66</f>
        <v>3207</v>
      </c>
      <c r="E75" s="10">
        <f t="shared" si="0"/>
        <v>1833223.9309222288</v>
      </c>
      <c r="F75" s="14">
        <f>'F) Population'!K67</f>
        <v>921027.16297786706</v>
      </c>
      <c r="G75" s="10">
        <f>'G) Solidarité'!I64</f>
        <v>1343012.4689722306</v>
      </c>
      <c r="H75" s="14">
        <f t="shared" si="1"/>
        <v>2264039.6319500976</v>
      </c>
      <c r="I75" s="55">
        <f t="shared" si="2"/>
        <v>-430815.70102786878</v>
      </c>
    </row>
    <row r="76" spans="1:9" x14ac:dyDescent="0.25">
      <c r="A76" s="49">
        <f>'A) Base RI'!A67</f>
        <v>5496</v>
      </c>
      <c r="B76" s="32" t="str">
        <f>'A) Base RI'!B67</f>
        <v>Penthaz</v>
      </c>
      <c r="C76" s="31">
        <f>'D) Ecrêtage'!C65</f>
        <v>60131.11913669065</v>
      </c>
      <c r="D76" s="14">
        <f>'A) Base RI'!AO67</f>
        <v>1855</v>
      </c>
      <c r="E76" s="10">
        <f t="shared" si="0"/>
        <v>1180720.5199680377</v>
      </c>
      <c r="F76" s="14">
        <f>'F) Population'!K68</f>
        <v>420835.51307847077</v>
      </c>
      <c r="G76" s="10">
        <f>'G) Solidarité'!I65</f>
        <v>566450.96532481944</v>
      </c>
      <c r="H76" s="14">
        <f t="shared" si="1"/>
        <v>987286.47840329027</v>
      </c>
      <c r="I76" s="55">
        <f t="shared" si="2"/>
        <v>193434.04156474746</v>
      </c>
    </row>
    <row r="77" spans="1:9" x14ac:dyDescent="0.25">
      <c r="A77" s="49">
        <f>'A) Base RI'!A68</f>
        <v>5497</v>
      </c>
      <c r="B77" s="32" t="str">
        <f>'A) Base RI'!B68</f>
        <v>Pompaples</v>
      </c>
      <c r="C77" s="31">
        <f>'D) Ecrêtage'!C66</f>
        <v>20396.986060606061</v>
      </c>
      <c r="D77" s="14">
        <f>'A) Base RI'!AO68</f>
        <v>847</v>
      </c>
      <c r="E77" s="10">
        <f t="shared" si="0"/>
        <v>400510.42343837937</v>
      </c>
      <c r="F77" s="14">
        <f>'F) Population'!K69</f>
        <v>105022.88732394365</v>
      </c>
      <c r="G77" s="10">
        <f>'G) Solidarité'!I66</f>
        <v>356617.75358547596</v>
      </c>
      <c r="H77" s="14">
        <f t="shared" si="1"/>
        <v>461640.64090941963</v>
      </c>
      <c r="I77" s="55">
        <f t="shared" si="2"/>
        <v>-61130.217471040261</v>
      </c>
    </row>
    <row r="78" spans="1:9" x14ac:dyDescent="0.25">
      <c r="A78" s="49">
        <f>'A) Base RI'!A69</f>
        <v>5498</v>
      </c>
      <c r="B78" s="32" t="str">
        <f>'A) Base RI'!B69</f>
        <v>La Sarraz</v>
      </c>
      <c r="C78" s="31">
        <f>'D) Ecrêtage'!C67</f>
        <v>77508.241969696974</v>
      </c>
      <c r="D78" s="14">
        <f>'A) Base RI'!AO69</f>
        <v>2598</v>
      </c>
      <c r="E78" s="10">
        <f t="shared" si="0"/>
        <v>1521933.6189674935</v>
      </c>
      <c r="F78" s="14">
        <f>'F) Population'!K70</f>
        <v>678792.55533199187</v>
      </c>
      <c r="G78" s="10">
        <f>'G) Solidarité'!I67</f>
        <v>832672.16921876464</v>
      </c>
      <c r="H78" s="14">
        <f t="shared" si="1"/>
        <v>1511464.7245507566</v>
      </c>
      <c r="I78" s="55">
        <f t="shared" si="2"/>
        <v>10468.894416736905</v>
      </c>
    </row>
    <row r="79" spans="1:9" x14ac:dyDescent="0.25">
      <c r="A79" s="49">
        <f>'A) Base RI'!A70</f>
        <v>5499</v>
      </c>
      <c r="B79" s="32" t="str">
        <f>'A) Base RI'!B70</f>
        <v>Senarclens</v>
      </c>
      <c r="C79" s="31">
        <f>'D) Ecrêtage'!C68</f>
        <v>19654.447445255475</v>
      </c>
      <c r="D79" s="14">
        <f>'A) Base RI'!AO70</f>
        <v>496</v>
      </c>
      <c r="E79" s="10">
        <f t="shared" si="0"/>
        <v>385930.10974057345</v>
      </c>
      <c r="F79" s="14">
        <f>'F) Population'!K71</f>
        <v>61501.006036217295</v>
      </c>
      <c r="G79" s="10">
        <f>'G) Solidarité'!I68</f>
        <v>79808.384605029365</v>
      </c>
      <c r="H79" s="14">
        <f t="shared" si="1"/>
        <v>141309.39064124666</v>
      </c>
      <c r="I79" s="55">
        <f t="shared" si="2"/>
        <v>244620.71909932679</v>
      </c>
    </row>
    <row r="80" spans="1:9" x14ac:dyDescent="0.25">
      <c r="A80" s="49">
        <f>'A) Base RI'!A71</f>
        <v>5500</v>
      </c>
      <c r="B80" s="32" t="str">
        <f>'A) Base RI'!B71</f>
        <v>Sévery</v>
      </c>
      <c r="C80" s="31">
        <f>'D) Ecrêtage'!C69</f>
        <v>7516.1401369863015</v>
      </c>
      <c r="D80" s="14">
        <f>'A) Base RI'!AO71</f>
        <v>214</v>
      </c>
      <c r="E80" s="10">
        <f t="shared" si="0"/>
        <v>147585.16086357203</v>
      </c>
      <c r="F80" s="14">
        <f>'F) Population'!K72</f>
        <v>26534.708249496976</v>
      </c>
      <c r="G80" s="10">
        <f>'G) Solidarité'!I69</f>
        <v>59712.497841462566</v>
      </c>
      <c r="H80" s="14">
        <f t="shared" si="1"/>
        <v>86247.206090959546</v>
      </c>
      <c r="I80" s="55">
        <f t="shared" si="2"/>
        <v>61337.954772612487</v>
      </c>
    </row>
    <row r="81" spans="1:9" x14ac:dyDescent="0.25">
      <c r="A81" s="49">
        <f>'A) Base RI'!A72</f>
        <v>5501</v>
      </c>
      <c r="B81" s="32" t="str">
        <f>'A) Base RI'!B72</f>
        <v>Sullens</v>
      </c>
      <c r="C81" s="31">
        <f>'D) Ecrêtage'!C70</f>
        <v>41921.141459854021</v>
      </c>
      <c r="D81" s="14">
        <f>'A) Base RI'!AO72</f>
        <v>1041</v>
      </c>
      <c r="E81" s="10">
        <f t="shared" ref="E81:E144" si="3">C81*E$15</f>
        <v>823153.67903955188</v>
      </c>
      <c r="F81" s="14">
        <f>'F) Population'!K73</f>
        <v>138228.47082494968</v>
      </c>
      <c r="G81" s="10">
        <f>'G) Solidarité'!I70</f>
        <v>154877.06913005855</v>
      </c>
      <c r="H81" s="14">
        <f t="shared" ref="H81:H144" si="4">F81+G81</f>
        <v>293105.53995500819</v>
      </c>
      <c r="I81" s="55">
        <f t="shared" ref="I81:I144" si="5">E81-H81</f>
        <v>530048.13908454368</v>
      </c>
    </row>
    <row r="82" spans="1:9" x14ac:dyDescent="0.25">
      <c r="A82" s="49">
        <f>'A) Base RI'!A73</f>
        <v>5503</v>
      </c>
      <c r="B82" s="32" t="str">
        <f>'A) Base RI'!B73</f>
        <v>Vufflens-la-Ville</v>
      </c>
      <c r="C82" s="31">
        <f>'D) Ecrêtage'!C71</f>
        <v>67911.005771144279</v>
      </c>
      <c r="D82" s="14">
        <f>'A) Base RI'!AO73</f>
        <v>1349</v>
      </c>
      <c r="E82" s="10">
        <f t="shared" si="3"/>
        <v>1333484.5450553319</v>
      </c>
      <c r="F82" s="14">
        <f>'F) Population'!K74</f>
        <v>245160.86519114685</v>
      </c>
      <c r="G82" s="10">
        <f>'G) Solidarité'!I71</f>
        <v>0</v>
      </c>
      <c r="H82" s="14">
        <f t="shared" si="4"/>
        <v>245160.86519114685</v>
      </c>
      <c r="I82" s="55">
        <f t="shared" si="5"/>
        <v>1088323.6798641849</v>
      </c>
    </row>
    <row r="83" spans="1:9" x14ac:dyDescent="0.25">
      <c r="A83" s="49">
        <f>'A) Base RI'!A74</f>
        <v>5511</v>
      </c>
      <c r="B83" s="32" t="str">
        <f>'A) Base RI'!B74</f>
        <v>Assens</v>
      </c>
      <c r="C83" s="31">
        <f>'D) Ecrêtage'!C72</f>
        <v>44474.742571428564</v>
      </c>
      <c r="D83" s="14">
        <f>'A) Base RI'!AO74</f>
        <v>1141</v>
      </c>
      <c r="E83" s="10">
        <f t="shared" si="3"/>
        <v>873295.59017537022</v>
      </c>
      <c r="F83" s="14">
        <f>'F) Population'!K75</f>
        <v>172946.7806841046</v>
      </c>
      <c r="G83" s="10">
        <f>'G) Solidarité'!I72</f>
        <v>206236.48784330496</v>
      </c>
      <c r="H83" s="14">
        <f t="shared" si="4"/>
        <v>379183.26852740953</v>
      </c>
      <c r="I83" s="55">
        <f t="shared" si="5"/>
        <v>494112.32164796069</v>
      </c>
    </row>
    <row r="84" spans="1:9" x14ac:dyDescent="0.25">
      <c r="A84" s="49">
        <f>'A) Base RI'!A75</f>
        <v>5512</v>
      </c>
      <c r="B84" s="32" t="str">
        <f>'A) Base RI'!B75</f>
        <v>Bercher</v>
      </c>
      <c r="C84" s="31">
        <f>'D) Ecrêtage'!C73</f>
        <v>40313.482784810127</v>
      </c>
      <c r="D84" s="14">
        <f>'A) Base RI'!AO75</f>
        <v>1323</v>
      </c>
      <c r="E84" s="10">
        <f t="shared" si="3"/>
        <v>791586.07121881668</v>
      </c>
      <c r="F84" s="14">
        <f>'F) Population'!K76</f>
        <v>236134.10462776656</v>
      </c>
      <c r="G84" s="10">
        <f>'G) Solidarité'!I73</f>
        <v>586403.82487327384</v>
      </c>
      <c r="H84" s="14">
        <f t="shared" si="4"/>
        <v>822537.92950104037</v>
      </c>
      <c r="I84" s="55">
        <f t="shared" si="5"/>
        <v>-30951.858282223693</v>
      </c>
    </row>
    <row r="85" spans="1:9" x14ac:dyDescent="0.25">
      <c r="A85" s="49">
        <f>'A) Base RI'!A76</f>
        <v>5513</v>
      </c>
      <c r="B85" s="32" t="str">
        <f>'A) Base RI'!B76</f>
        <v>Bioley-Orjulaz</v>
      </c>
      <c r="C85" s="31">
        <f>'D) Ecrêtage'!C74</f>
        <v>22644.962352941177</v>
      </c>
      <c r="D85" s="14">
        <f>'A) Base RI'!AO76</f>
        <v>525</v>
      </c>
      <c r="E85" s="10">
        <f t="shared" si="3"/>
        <v>444651.15746875911</v>
      </c>
      <c r="F85" s="14">
        <f>'F) Population'!K77</f>
        <v>65096.830985915483</v>
      </c>
      <c r="G85" s="10">
        <f>'G) Solidarité'!I74</f>
        <v>49085.394405777224</v>
      </c>
      <c r="H85" s="14">
        <f t="shared" si="4"/>
        <v>114182.22539169271</v>
      </c>
      <c r="I85" s="55">
        <f t="shared" si="5"/>
        <v>330468.93207706639</v>
      </c>
    </row>
    <row r="86" spans="1:9" x14ac:dyDescent="0.25">
      <c r="A86" s="49">
        <f>'A) Base RI'!A77</f>
        <v>5514</v>
      </c>
      <c r="B86" s="32" t="str">
        <f>'A) Base RI'!B77</f>
        <v>Bottens</v>
      </c>
      <c r="C86" s="31">
        <f>'D) Ecrêtage'!C75</f>
        <v>44190.368827586208</v>
      </c>
      <c r="D86" s="14">
        <f>'A) Base RI'!AO77</f>
        <v>1330</v>
      </c>
      <c r="E86" s="10">
        <f t="shared" si="3"/>
        <v>867711.69419080461</v>
      </c>
      <c r="F86" s="14">
        <f>'F) Population'!K78</f>
        <v>238564.38631790743</v>
      </c>
      <c r="G86" s="10">
        <f>'G) Solidarité'!I75</f>
        <v>419230.85389090265</v>
      </c>
      <c r="H86" s="14">
        <f t="shared" si="4"/>
        <v>657795.24020881008</v>
      </c>
      <c r="I86" s="55">
        <f t="shared" si="5"/>
        <v>209916.45398199453</v>
      </c>
    </row>
    <row r="87" spans="1:9" x14ac:dyDescent="0.25">
      <c r="A87" s="49">
        <f>'A) Base RI'!A78</f>
        <v>5515</v>
      </c>
      <c r="B87" s="32" t="str">
        <f>'A) Base RI'!B78</f>
        <v>Bretigny-sur-Morrens</v>
      </c>
      <c r="C87" s="31">
        <f>'D) Ecrêtage'!C76</f>
        <v>29586.483086419765</v>
      </c>
      <c r="D87" s="14">
        <f>'A) Base RI'!AO78</f>
        <v>859</v>
      </c>
      <c r="E87" s="10">
        <f t="shared" si="3"/>
        <v>580953.22680444759</v>
      </c>
      <c r="F87" s="14">
        <f>'F) Population'!K79</f>
        <v>106510.814889336</v>
      </c>
      <c r="G87" s="10">
        <f>'G) Solidarité'!I76</f>
        <v>310457.86755636026</v>
      </c>
      <c r="H87" s="14">
        <f t="shared" si="4"/>
        <v>416968.68244569626</v>
      </c>
      <c r="I87" s="55">
        <f t="shared" si="5"/>
        <v>163984.54435875133</v>
      </c>
    </row>
    <row r="88" spans="1:9" x14ac:dyDescent="0.25">
      <c r="A88" s="49">
        <f>'A) Base RI'!A79</f>
        <v>5516</v>
      </c>
      <c r="B88" s="32" t="str">
        <f>'A) Base RI'!B79</f>
        <v>Cugy</v>
      </c>
      <c r="C88" s="31">
        <f>'D) Ecrêtage'!C77</f>
        <v>107062.26318376069</v>
      </c>
      <c r="D88" s="14">
        <f>'A) Base RI'!AO79</f>
        <v>2760</v>
      </c>
      <c r="E88" s="10">
        <f t="shared" si="3"/>
        <v>2102249.4320773738</v>
      </c>
      <c r="F88" s="14">
        <f>'F) Population'!K80</f>
        <v>735036.21730382286</v>
      </c>
      <c r="G88" s="10">
        <f>'G) Solidarité'!I77</f>
        <v>632085.40389377635</v>
      </c>
      <c r="H88" s="14">
        <f t="shared" si="4"/>
        <v>1367121.6211975992</v>
      </c>
      <c r="I88" s="55">
        <f t="shared" si="5"/>
        <v>735127.81087977462</v>
      </c>
    </row>
    <row r="89" spans="1:9" x14ac:dyDescent="0.25">
      <c r="A89" s="49">
        <f>'A) Base RI'!A80</f>
        <v>5518</v>
      </c>
      <c r="B89" s="32" t="str">
        <f>'A) Base RI'!B80</f>
        <v>Echallens</v>
      </c>
      <c r="C89" s="31">
        <f>'D) Ecrêtage'!C78</f>
        <v>178756.07310344829</v>
      </c>
      <c r="D89" s="14">
        <f>'A) Base RI'!AO80</f>
        <v>5731</v>
      </c>
      <c r="E89" s="10">
        <f t="shared" si="3"/>
        <v>3510012.2301459615</v>
      </c>
      <c r="F89" s="14">
        <f>'F) Population'!K81</f>
        <v>2245381.8913480882</v>
      </c>
      <c r="G89" s="10">
        <f>'G) Solidarité'!I78</f>
        <v>2052391.2879333256</v>
      </c>
      <c r="H89" s="14">
        <f t="shared" si="4"/>
        <v>4297773.1792814136</v>
      </c>
      <c r="I89" s="55">
        <f t="shared" si="5"/>
        <v>-787760.94913545204</v>
      </c>
    </row>
    <row r="90" spans="1:9" x14ac:dyDescent="0.25">
      <c r="A90" s="49">
        <f>'A) Base RI'!A81</f>
        <v>5520</v>
      </c>
      <c r="B90" s="32" t="str">
        <f>'A) Base RI'!B81</f>
        <v>Essertines-sur-Yverdon</v>
      </c>
      <c r="C90" s="31">
        <f>'D) Ecrêtage'!C79</f>
        <v>29733.806712328769</v>
      </c>
      <c r="D90" s="14">
        <f>'A) Base RI'!AO81</f>
        <v>1036</v>
      </c>
      <c r="E90" s="10">
        <f t="shared" si="3"/>
        <v>583846.03889050626</v>
      </c>
      <c r="F90" s="14">
        <f>'F) Population'!K82</f>
        <v>136492.55533199193</v>
      </c>
      <c r="G90" s="10">
        <f>'G) Solidarité'!I79</f>
        <v>431312.64133198548</v>
      </c>
      <c r="H90" s="14">
        <f t="shared" si="4"/>
        <v>567805.19666397735</v>
      </c>
      <c r="I90" s="55">
        <f t="shared" si="5"/>
        <v>16040.842226528912</v>
      </c>
    </row>
    <row r="91" spans="1:9" x14ac:dyDescent="0.25">
      <c r="A91" s="49">
        <f>'A) Base RI'!A82</f>
        <v>5521</v>
      </c>
      <c r="B91" s="32" t="str">
        <f>'A) Base RI'!B82</f>
        <v>Etagnières</v>
      </c>
      <c r="C91" s="31">
        <f>'D) Ecrêtage'!C80</f>
        <v>46797.314657534247</v>
      </c>
      <c r="D91" s="14">
        <f>'A) Base RI'!AO82</f>
        <v>1148</v>
      </c>
      <c r="E91" s="10">
        <f t="shared" si="3"/>
        <v>918901.06967652694</v>
      </c>
      <c r="F91" s="14">
        <f>'F) Population'!K83</f>
        <v>175377.06237424543</v>
      </c>
      <c r="G91" s="10">
        <f>'G) Solidarité'!I80</f>
        <v>181845.21044101549</v>
      </c>
      <c r="H91" s="14">
        <f t="shared" si="4"/>
        <v>357222.27281526092</v>
      </c>
      <c r="I91" s="55">
        <f t="shared" si="5"/>
        <v>561678.79686126602</v>
      </c>
    </row>
    <row r="92" spans="1:9" x14ac:dyDescent="0.25">
      <c r="A92" s="49">
        <f>'A) Base RI'!A83</f>
        <v>5522</v>
      </c>
      <c r="B92" s="32" t="str">
        <f>'A) Base RI'!B83</f>
        <v>Fey</v>
      </c>
      <c r="C92" s="31">
        <f>'D) Ecrêtage'!C81</f>
        <v>23726.940933333331</v>
      </c>
      <c r="D92" s="14">
        <f>'A) Base RI'!AO83</f>
        <v>749</v>
      </c>
      <c r="E92" s="10">
        <f t="shared" si="3"/>
        <v>465896.63452583575</v>
      </c>
      <c r="F92" s="14">
        <f>'F) Population'!K84</f>
        <v>92871.478873239423</v>
      </c>
      <c r="G92" s="10">
        <f>'G) Solidarité'!I81</f>
        <v>278817.10170559346</v>
      </c>
      <c r="H92" s="14">
        <f t="shared" si="4"/>
        <v>371688.58057883289</v>
      </c>
      <c r="I92" s="55">
        <f t="shared" si="5"/>
        <v>94208.05394700286</v>
      </c>
    </row>
    <row r="93" spans="1:9" x14ac:dyDescent="0.25">
      <c r="A93" s="49">
        <f>'A) Base RI'!A84</f>
        <v>5523</v>
      </c>
      <c r="B93" s="32" t="str">
        <f>'A) Base RI'!B84</f>
        <v>Froideville</v>
      </c>
      <c r="C93" s="31">
        <f>'D) Ecrêtage'!C82</f>
        <v>85868.846805555557</v>
      </c>
      <c r="D93" s="14">
        <f>'A) Base RI'!AO84</f>
        <v>2694</v>
      </c>
      <c r="E93" s="10">
        <f t="shared" si="3"/>
        <v>1686100.4901444986</v>
      </c>
      <c r="F93" s="14">
        <f>'F) Population'!K85</f>
        <v>712122.13279678056</v>
      </c>
      <c r="G93" s="10">
        <f>'G) Solidarité'!I82</f>
        <v>913245.6112352215</v>
      </c>
      <c r="H93" s="14">
        <f t="shared" si="4"/>
        <v>1625367.7440320021</v>
      </c>
      <c r="I93" s="55">
        <f t="shared" si="5"/>
        <v>60732.746112496592</v>
      </c>
    </row>
    <row r="94" spans="1:9" x14ac:dyDescent="0.25">
      <c r="A94" s="49">
        <f>'A) Base RI'!A85</f>
        <v>5527</v>
      </c>
      <c r="B94" s="32" t="str">
        <f>'A) Base RI'!B85</f>
        <v>Morrens</v>
      </c>
      <c r="C94" s="31">
        <f>'D) Ecrêtage'!C83</f>
        <v>40564.204594594594</v>
      </c>
      <c r="D94" s="14">
        <f>'A) Base RI'!AO85</f>
        <v>1153</v>
      </c>
      <c r="E94" s="10">
        <f t="shared" si="3"/>
        <v>796509.18573699321</v>
      </c>
      <c r="F94" s="14">
        <f>'F) Population'!K86</f>
        <v>177112.97786720318</v>
      </c>
      <c r="G94" s="10">
        <f>'G) Solidarité'!I83</f>
        <v>329094.69342231873</v>
      </c>
      <c r="H94" s="14">
        <f t="shared" si="4"/>
        <v>506207.67128952191</v>
      </c>
      <c r="I94" s="55">
        <f t="shared" si="5"/>
        <v>290301.5144474713</v>
      </c>
    </row>
    <row r="95" spans="1:9" x14ac:dyDescent="0.25">
      <c r="A95" s="49">
        <f>'A) Base RI'!A86</f>
        <v>5529</v>
      </c>
      <c r="B95" s="32" t="str">
        <f>'A) Base RI'!B86</f>
        <v>Oulens-sous-Echallens</v>
      </c>
      <c r="C95" s="31">
        <f>'D) Ecrêtage'!C84</f>
        <v>20201.245428571427</v>
      </c>
      <c r="D95" s="14">
        <f>'A) Base RI'!AO86</f>
        <v>618</v>
      </c>
      <c r="E95" s="10">
        <f t="shared" si="3"/>
        <v>396666.90640172758</v>
      </c>
      <c r="F95" s="14">
        <f>'F) Population'!K87</f>
        <v>76628.269617706217</v>
      </c>
      <c r="G95" s="10">
        <f>'G) Solidarité'!I84</f>
        <v>188130.80279489188</v>
      </c>
      <c r="H95" s="14">
        <f t="shared" si="4"/>
        <v>264759.07241259806</v>
      </c>
      <c r="I95" s="55">
        <f t="shared" si="5"/>
        <v>131907.83398912952</v>
      </c>
    </row>
    <row r="96" spans="1:9" x14ac:dyDescent="0.25">
      <c r="A96" s="49">
        <f>'A) Base RI'!A87</f>
        <v>5530</v>
      </c>
      <c r="B96" s="32" t="str">
        <f>'A) Base RI'!B87</f>
        <v>Pailly</v>
      </c>
      <c r="C96" s="31">
        <f>'D) Ecrêtage'!C85</f>
        <v>18302.009495614031</v>
      </c>
      <c r="D96" s="14">
        <f>'A) Base RI'!AO87</f>
        <v>567</v>
      </c>
      <c r="E96" s="10">
        <f t="shared" si="3"/>
        <v>359373.95608750114</v>
      </c>
      <c r="F96" s="14">
        <f>'F) Population'!K88</f>
        <v>70304.577464788716</v>
      </c>
      <c r="G96" s="10">
        <f>'G) Solidarité'!I85</f>
        <v>208842.66385578795</v>
      </c>
      <c r="H96" s="14">
        <f t="shared" si="4"/>
        <v>279147.24132057664</v>
      </c>
      <c r="I96" s="55">
        <f t="shared" si="5"/>
        <v>80226.714766924502</v>
      </c>
    </row>
    <row r="97" spans="1:9" x14ac:dyDescent="0.25">
      <c r="A97" s="49">
        <f>'A) Base RI'!A88</f>
        <v>5531</v>
      </c>
      <c r="B97" s="32" t="str">
        <f>'A) Base RI'!B88</f>
        <v>Penthéréaz</v>
      </c>
      <c r="C97" s="31">
        <f>'D) Ecrêtage'!C86</f>
        <v>13843.062702702704</v>
      </c>
      <c r="D97" s="14">
        <f>'A) Base RI'!AO88</f>
        <v>419</v>
      </c>
      <c r="E97" s="10">
        <f t="shared" si="3"/>
        <v>271819.12505453546</v>
      </c>
      <c r="F97" s="14">
        <f>'F) Population'!K89</f>
        <v>51953.470824949691</v>
      </c>
      <c r="G97" s="10">
        <f>'G) Solidarité'!I86</f>
        <v>139321.1934481833</v>
      </c>
      <c r="H97" s="14">
        <f t="shared" si="4"/>
        <v>191274.66427313298</v>
      </c>
      <c r="I97" s="55">
        <f t="shared" si="5"/>
        <v>80544.460781402478</v>
      </c>
    </row>
    <row r="98" spans="1:9" x14ac:dyDescent="0.25">
      <c r="A98" s="49">
        <f>'A) Base RI'!A89</f>
        <v>5533</v>
      </c>
      <c r="B98" s="32" t="str">
        <f>'A) Base RI'!B89</f>
        <v>Poliez-Pittet</v>
      </c>
      <c r="C98" s="31">
        <f>'D) Ecrêtage'!C87</f>
        <v>27190.167945205478</v>
      </c>
      <c r="D98" s="14">
        <f>'A) Base RI'!AO89</f>
        <v>829</v>
      </c>
      <c r="E98" s="10">
        <f t="shared" si="3"/>
        <v>533899.74600842176</v>
      </c>
      <c r="F98" s="14">
        <f>'F) Population'!K90</f>
        <v>102790.99597585511</v>
      </c>
      <c r="G98" s="10">
        <f>'G) Solidarité'!I87</f>
        <v>272496.53180099215</v>
      </c>
      <c r="H98" s="14">
        <f t="shared" si="4"/>
        <v>375287.52777684724</v>
      </c>
      <c r="I98" s="55">
        <f t="shared" si="5"/>
        <v>158612.21823157452</v>
      </c>
    </row>
    <row r="99" spans="1:9" x14ac:dyDescent="0.25">
      <c r="A99" s="49">
        <f>'A) Base RI'!A90</f>
        <v>5534</v>
      </c>
      <c r="B99" s="32" t="str">
        <f>'A) Base RI'!B90</f>
        <v>Rueyres</v>
      </c>
      <c r="C99" s="31">
        <f>'D) Ecrêtage'!C88</f>
        <v>9755.351210045661</v>
      </c>
      <c r="D99" s="14">
        <f>'A) Base RI'!AO90</f>
        <v>266</v>
      </c>
      <c r="E99" s="10">
        <f t="shared" si="3"/>
        <v>191553.7831087482</v>
      </c>
      <c r="F99" s="14">
        <f>'F) Population'!K91</f>
        <v>32982.394366197179</v>
      </c>
      <c r="G99" s="10">
        <f>'G) Solidarité'!I88</f>
        <v>65395.047342400721</v>
      </c>
      <c r="H99" s="14">
        <f t="shared" si="4"/>
        <v>98377.441708597908</v>
      </c>
      <c r="I99" s="55">
        <f t="shared" si="5"/>
        <v>93176.341400150297</v>
      </c>
    </row>
    <row r="100" spans="1:9" x14ac:dyDescent="0.25">
      <c r="A100" s="49">
        <f>'A) Base RI'!A91</f>
        <v>5535</v>
      </c>
      <c r="B100" s="32" t="str">
        <f>'A) Base RI'!B91</f>
        <v>Saint-Barthélemy</v>
      </c>
      <c r="C100" s="31">
        <f>'D) Ecrêtage'!C89</f>
        <v>22496.850133333337</v>
      </c>
      <c r="D100" s="14">
        <f>'A) Base RI'!AO91</f>
        <v>784</v>
      </c>
      <c r="E100" s="10">
        <f t="shared" si="3"/>
        <v>441742.86074220971</v>
      </c>
      <c r="F100" s="14">
        <f>'F) Population'!K92</f>
        <v>97211.26760563378</v>
      </c>
      <c r="G100" s="10">
        <f>'G) Solidarité'!I89</f>
        <v>344628.11851631134</v>
      </c>
      <c r="H100" s="14">
        <f t="shared" si="4"/>
        <v>441839.38612194511</v>
      </c>
      <c r="I100" s="55">
        <f t="shared" si="5"/>
        <v>-96.525379735394381</v>
      </c>
    </row>
    <row r="101" spans="1:9" x14ac:dyDescent="0.25">
      <c r="A101" s="49">
        <f>'A) Base RI'!A92</f>
        <v>5537</v>
      </c>
      <c r="B101" s="32" t="str">
        <f>'A) Base RI'!B92</f>
        <v>Villars-le-Terroir</v>
      </c>
      <c r="C101" s="31">
        <f>'D) Ecrêtage'!C90</f>
        <v>37963.269999999997</v>
      </c>
      <c r="D101" s="14">
        <f>'A) Base RI'!AO92</f>
        <v>1281</v>
      </c>
      <c r="E101" s="10">
        <f t="shared" si="3"/>
        <v>745437.84545557224</v>
      </c>
      <c r="F101" s="14">
        <f>'F) Population'!K93</f>
        <v>221552.41448692151</v>
      </c>
      <c r="G101" s="10">
        <f>'G) Solidarité'!I90</f>
        <v>507702.57961929287</v>
      </c>
      <c r="H101" s="14">
        <f t="shared" si="4"/>
        <v>729254.99410621438</v>
      </c>
      <c r="I101" s="55">
        <f t="shared" si="5"/>
        <v>16182.851349357865</v>
      </c>
    </row>
    <row r="102" spans="1:9" x14ac:dyDescent="0.25">
      <c r="A102" s="49">
        <f>'A) Base RI'!A93</f>
        <v>5539</v>
      </c>
      <c r="B102" s="32" t="str">
        <f>'A) Base RI'!B93</f>
        <v>Vuarrens</v>
      </c>
      <c r="C102" s="31">
        <f>'D) Ecrêtage'!C91</f>
        <v>35961.61534013605</v>
      </c>
      <c r="D102" s="14">
        <f>'A) Base RI'!AO93</f>
        <v>1060</v>
      </c>
      <c r="E102" s="10">
        <f t="shared" si="3"/>
        <v>706133.82509602245</v>
      </c>
      <c r="F102" s="14">
        <f>'F) Population'!K94</f>
        <v>144824.9496981891</v>
      </c>
      <c r="G102" s="10">
        <f>'G) Solidarité'!I91</f>
        <v>327317.56954081426</v>
      </c>
      <c r="H102" s="14">
        <f t="shared" si="4"/>
        <v>472142.51923900336</v>
      </c>
      <c r="I102" s="55">
        <f t="shared" si="5"/>
        <v>233991.30585701909</v>
      </c>
    </row>
    <row r="103" spans="1:9" x14ac:dyDescent="0.25">
      <c r="A103" s="49">
        <f>'A) Base RI'!A94</f>
        <v>5540</v>
      </c>
      <c r="B103" s="32" t="str">
        <f>'A) Base RI'!B94</f>
        <v>Montilliez</v>
      </c>
      <c r="C103" s="31">
        <f>'D) Ecrêtage'!C92</f>
        <v>66256.548551724132</v>
      </c>
      <c r="D103" s="14">
        <f>'A) Base RI'!AO94</f>
        <v>1857</v>
      </c>
      <c r="E103" s="10">
        <f t="shared" si="3"/>
        <v>1300998.0120184524</v>
      </c>
      <c r="F103" s="14">
        <f>'F) Population'!K95</f>
        <v>421529.87927565386</v>
      </c>
      <c r="G103" s="10">
        <f>'G) Solidarité'!I92</f>
        <v>489265.16210585914</v>
      </c>
      <c r="H103" s="14">
        <f t="shared" si="4"/>
        <v>910795.041381513</v>
      </c>
      <c r="I103" s="55">
        <f t="shared" si="5"/>
        <v>390202.9706369394</v>
      </c>
    </row>
    <row r="104" spans="1:9" x14ac:dyDescent="0.25">
      <c r="A104" s="49">
        <f>'A) Base RI'!A95</f>
        <v>5541</v>
      </c>
      <c r="B104" s="32" t="str">
        <f>'A) Base RI'!B95</f>
        <v>Goumoëns</v>
      </c>
      <c r="C104" s="31">
        <f>'D) Ecrêtage'!C93</f>
        <v>36998.611258278142</v>
      </c>
      <c r="D104" s="14">
        <f>'A) Base RI'!AO95</f>
        <v>1153</v>
      </c>
      <c r="E104" s="10">
        <f t="shared" si="3"/>
        <v>726496.03317151393</v>
      </c>
      <c r="F104" s="14">
        <f>'F) Population'!K96</f>
        <v>177112.97786720318</v>
      </c>
      <c r="G104" s="10">
        <f>'G) Solidarité'!I93</f>
        <v>424115.68768795638</v>
      </c>
      <c r="H104" s="14">
        <f t="shared" si="4"/>
        <v>601228.66555515956</v>
      </c>
      <c r="I104" s="55">
        <f t="shared" si="5"/>
        <v>125267.36761635437</v>
      </c>
    </row>
    <row r="105" spans="1:9" x14ac:dyDescent="0.25">
      <c r="A105" s="49">
        <f>'A) Base RI'!A96</f>
        <v>5551</v>
      </c>
      <c r="B105" s="32" t="str">
        <f>'A) Base RI'!B96</f>
        <v>Bonvillars</v>
      </c>
      <c r="C105" s="31">
        <f>'D) Ecrêtage'!C94</f>
        <v>19156.634727272725</v>
      </c>
      <c r="D105" s="14">
        <f>'A) Base RI'!AO96</f>
        <v>489</v>
      </c>
      <c r="E105" s="10">
        <f t="shared" si="3"/>
        <v>376155.17623422784</v>
      </c>
      <c r="F105" s="14">
        <f>'F) Population'!K97</f>
        <v>60633.048289738421</v>
      </c>
      <c r="G105" s="10">
        <f>'G) Solidarité'!I94</f>
        <v>53400.010726665714</v>
      </c>
      <c r="H105" s="14">
        <f t="shared" si="4"/>
        <v>114033.05901640414</v>
      </c>
      <c r="I105" s="55">
        <f t="shared" si="5"/>
        <v>262122.11721782369</v>
      </c>
    </row>
    <row r="106" spans="1:9" x14ac:dyDescent="0.25">
      <c r="A106" s="49">
        <f>'A) Base RI'!A97</f>
        <v>5552</v>
      </c>
      <c r="B106" s="32" t="str">
        <f>'A) Base RI'!B97</f>
        <v>Bullet</v>
      </c>
      <c r="C106" s="31">
        <f>'D) Ecrêtage'!C95</f>
        <v>17556.417482517485</v>
      </c>
      <c r="D106" s="14">
        <f>'A) Base RI'!AO97</f>
        <v>657</v>
      </c>
      <c r="E106" s="10">
        <f t="shared" si="3"/>
        <v>344733.68658933695</v>
      </c>
      <c r="F106" s="14">
        <f>'F) Population'!K98</f>
        <v>81464.034205231379</v>
      </c>
      <c r="G106" s="10">
        <f>'G) Solidarité'!I95</f>
        <v>289061.29250358528</v>
      </c>
      <c r="H106" s="14">
        <f t="shared" si="4"/>
        <v>370525.32670881669</v>
      </c>
      <c r="I106" s="55">
        <f t="shared" si="5"/>
        <v>-25791.640119479736</v>
      </c>
    </row>
    <row r="107" spans="1:9" x14ac:dyDescent="0.25">
      <c r="A107" s="49">
        <f>'A) Base RI'!A98</f>
        <v>5553</v>
      </c>
      <c r="B107" s="32" t="str">
        <f>'A) Base RI'!B98</f>
        <v>Champagne</v>
      </c>
      <c r="C107" s="31">
        <f>'D) Ecrêtage'!C96</f>
        <v>38681.377846153839</v>
      </c>
      <c r="D107" s="14">
        <f>'A) Base RI'!AO98</f>
        <v>1061</v>
      </c>
      <c r="E107" s="10">
        <f t="shared" si="3"/>
        <v>759538.44231252535</v>
      </c>
      <c r="F107" s="14">
        <f>'F) Population'!K99</f>
        <v>145172.13279678067</v>
      </c>
      <c r="G107" s="10">
        <f>'G) Solidarité'!I96</f>
        <v>210703.1020124901</v>
      </c>
      <c r="H107" s="14">
        <f t="shared" si="4"/>
        <v>355875.23480927077</v>
      </c>
      <c r="I107" s="55">
        <f t="shared" si="5"/>
        <v>403663.20750325458</v>
      </c>
    </row>
    <row r="108" spans="1:9" x14ac:dyDescent="0.25">
      <c r="A108" s="49">
        <f>'A) Base RI'!A99</f>
        <v>5554</v>
      </c>
      <c r="B108" s="32" t="str">
        <f>'A) Base RI'!B99</f>
        <v>Concise</v>
      </c>
      <c r="C108" s="31">
        <f>'D) Ecrêtage'!C97</f>
        <v>32327.871066666674</v>
      </c>
      <c r="D108" s="14">
        <f>'A) Base RI'!AO99</f>
        <v>1001</v>
      </c>
      <c r="E108" s="10">
        <f t="shared" si="3"/>
        <v>634782.47674927732</v>
      </c>
      <c r="F108" s="14">
        <f>'F) Population'!K100</f>
        <v>124341.1468812877</v>
      </c>
      <c r="G108" s="10">
        <f>'G) Solidarité'!I97</f>
        <v>358677.0504193877</v>
      </c>
      <c r="H108" s="14">
        <f t="shared" si="4"/>
        <v>483018.19730067538</v>
      </c>
      <c r="I108" s="55">
        <f t="shared" si="5"/>
        <v>151764.27944860194</v>
      </c>
    </row>
    <row r="109" spans="1:9" x14ac:dyDescent="0.25">
      <c r="A109" s="49">
        <f>'A) Base RI'!A100</f>
        <v>5555</v>
      </c>
      <c r="B109" s="32" t="str">
        <f>'A) Base RI'!B100</f>
        <v>Corcelles-près-Concise</v>
      </c>
      <c r="C109" s="31">
        <f>'D) Ecrêtage'!C98</f>
        <v>13570.544057971018</v>
      </c>
      <c r="D109" s="14">
        <f>'A) Base RI'!AO100</f>
        <v>419</v>
      </c>
      <c r="E109" s="10">
        <f t="shared" si="3"/>
        <v>266468.0130092543</v>
      </c>
      <c r="F109" s="14">
        <f>'F) Population'!K101</f>
        <v>51953.470824949691</v>
      </c>
      <c r="G109" s="10">
        <f>'G) Solidarité'!I98</f>
        <v>126335.54406716076</v>
      </c>
      <c r="H109" s="14">
        <f t="shared" si="4"/>
        <v>178289.01489211046</v>
      </c>
      <c r="I109" s="55">
        <f t="shared" si="5"/>
        <v>88178.998117143841</v>
      </c>
    </row>
    <row r="110" spans="1:9" x14ac:dyDescent="0.25">
      <c r="A110" s="49">
        <f>'A) Base RI'!A101</f>
        <v>5556</v>
      </c>
      <c r="B110" s="32" t="str">
        <f>'A) Base RI'!B101</f>
        <v>Fiez</v>
      </c>
      <c r="C110" s="31">
        <f>'D) Ecrêtage'!C99</f>
        <v>13816.427753623188</v>
      </c>
      <c r="D110" s="14">
        <f>'A) Base RI'!AO101</f>
        <v>451</v>
      </c>
      <c r="E110" s="10">
        <f t="shared" si="3"/>
        <v>271296.12745565496</v>
      </c>
      <c r="F110" s="14">
        <f>'F) Population'!K102</f>
        <v>55921.277665995964</v>
      </c>
      <c r="G110" s="10">
        <f>'G) Solidarité'!I99</f>
        <v>151084.30814068392</v>
      </c>
      <c r="H110" s="14">
        <f t="shared" si="4"/>
        <v>207005.58580667988</v>
      </c>
      <c r="I110" s="55">
        <f t="shared" si="5"/>
        <v>64290.541648975079</v>
      </c>
    </row>
    <row r="111" spans="1:9" x14ac:dyDescent="0.25">
      <c r="A111" s="49">
        <f>'A) Base RI'!A102</f>
        <v>5557</v>
      </c>
      <c r="B111" s="32" t="str">
        <f>'A) Base RI'!B102</f>
        <v>Fontaines-sur-Grandson</v>
      </c>
      <c r="C111" s="31">
        <f>'D) Ecrêtage'!C100</f>
        <v>5880.3275362318818</v>
      </c>
      <c r="D111" s="14">
        <f>'A) Base RI'!AO102</f>
        <v>219</v>
      </c>
      <c r="E111" s="10">
        <f t="shared" si="3"/>
        <v>115464.72917590523</v>
      </c>
      <c r="F111" s="14">
        <f>'F) Population'!K103</f>
        <v>27154.67806841046</v>
      </c>
      <c r="G111" s="10">
        <f>'G) Solidarité'!I100</f>
        <v>89195.0991616908</v>
      </c>
      <c r="H111" s="14">
        <f t="shared" si="4"/>
        <v>116349.77723010126</v>
      </c>
      <c r="I111" s="55">
        <f t="shared" si="5"/>
        <v>-885.04805419602781</v>
      </c>
    </row>
    <row r="112" spans="1:9" x14ac:dyDescent="0.25">
      <c r="A112" s="49">
        <f>'A) Base RI'!A103</f>
        <v>5559</v>
      </c>
      <c r="B112" s="32" t="str">
        <f>'A) Base RI'!B103</f>
        <v>Giez</v>
      </c>
      <c r="C112" s="31">
        <f>'D) Ecrêtage'!C101</f>
        <v>16897.618636363641</v>
      </c>
      <c r="D112" s="14">
        <f>'A) Base RI'!AO103</f>
        <v>414</v>
      </c>
      <c r="E112" s="10">
        <f t="shared" si="3"/>
        <v>331797.66731424449</v>
      </c>
      <c r="F112" s="14">
        <f>'F) Population'!K104</f>
        <v>51333.501006036211</v>
      </c>
      <c r="G112" s="10">
        <f>'G) Solidarité'!I101</f>
        <v>53233.534837595267</v>
      </c>
      <c r="H112" s="14">
        <f t="shared" si="4"/>
        <v>104567.03584363149</v>
      </c>
      <c r="I112" s="55">
        <f t="shared" si="5"/>
        <v>227230.63147061301</v>
      </c>
    </row>
    <row r="113" spans="1:9" x14ac:dyDescent="0.25">
      <c r="A113" s="49">
        <f>'A) Base RI'!A104</f>
        <v>5560</v>
      </c>
      <c r="B113" s="32" t="str">
        <f>'A) Base RI'!B104</f>
        <v>Grandevent</v>
      </c>
      <c r="C113" s="31">
        <f>'D) Ecrêtage'!C102</f>
        <v>6167.8957352941179</v>
      </c>
      <c r="D113" s="14">
        <f>'A) Base RI'!AO104</f>
        <v>226</v>
      </c>
      <c r="E113" s="10">
        <f t="shared" si="3"/>
        <v>121111.35073222776</v>
      </c>
      <c r="F113" s="14">
        <f>'F) Population'!K105</f>
        <v>28022.635814889331</v>
      </c>
      <c r="G113" s="10">
        <f>'G) Solidarité'!I102</f>
        <v>87549.429345598939</v>
      </c>
      <c r="H113" s="14">
        <f t="shared" si="4"/>
        <v>115572.06516048827</v>
      </c>
      <c r="I113" s="55">
        <f t="shared" si="5"/>
        <v>5539.285571739485</v>
      </c>
    </row>
    <row r="114" spans="1:9" x14ac:dyDescent="0.25">
      <c r="A114" s="49">
        <f>'A) Base RI'!A105</f>
        <v>5561</v>
      </c>
      <c r="B114" s="32" t="str">
        <f>'A) Base RI'!B105</f>
        <v>Grandson</v>
      </c>
      <c r="C114" s="31">
        <f>'D) Ecrêtage'!C103</f>
        <v>114985.73289855072</v>
      </c>
      <c r="D114" s="14">
        <f>'A) Base RI'!AO105</f>
        <v>3356</v>
      </c>
      <c r="E114" s="10">
        <f t="shared" si="3"/>
        <v>2257832.8207771769</v>
      </c>
      <c r="F114" s="14">
        <f>'F) Population'!K106</f>
        <v>994927.56539235404</v>
      </c>
      <c r="G114" s="10">
        <f>'G) Solidarité'!I103</f>
        <v>891707.73789462843</v>
      </c>
      <c r="H114" s="14">
        <f t="shared" si="4"/>
        <v>1886635.3032869825</v>
      </c>
      <c r="I114" s="55">
        <f t="shared" si="5"/>
        <v>371197.51749019441</v>
      </c>
    </row>
    <row r="115" spans="1:9" x14ac:dyDescent="0.25">
      <c r="A115" s="49">
        <f>'A) Base RI'!A106</f>
        <v>5562</v>
      </c>
      <c r="B115" s="32" t="str">
        <f>'A) Base RI'!B106</f>
        <v>Mauborget</v>
      </c>
      <c r="C115" s="31">
        <f>'D) Ecrêtage'!C104</f>
        <v>6037.1574285714287</v>
      </c>
      <c r="D115" s="14">
        <f>'A) Base RI'!AO106</f>
        <v>128</v>
      </c>
      <c r="E115" s="10">
        <f t="shared" si="3"/>
        <v>118544.20407489632</v>
      </c>
      <c r="F115" s="14">
        <f>'F) Population'!K107</f>
        <v>15871.227364185108</v>
      </c>
      <c r="G115" s="10">
        <f>'G) Solidarité'!I104</f>
        <v>2535.765701994666</v>
      </c>
      <c r="H115" s="14">
        <f t="shared" si="4"/>
        <v>18406.993066179773</v>
      </c>
      <c r="I115" s="55">
        <f t="shared" si="5"/>
        <v>100137.21100871655</v>
      </c>
    </row>
    <row r="116" spans="1:9" x14ac:dyDescent="0.25">
      <c r="A116" s="49">
        <f>'A) Base RI'!A107</f>
        <v>5563</v>
      </c>
      <c r="B116" s="32" t="str">
        <f>'A) Base RI'!B107</f>
        <v>Mutrux</v>
      </c>
      <c r="C116" s="31">
        <f>'D) Ecrêtage'!C105</f>
        <v>4073.5824999999995</v>
      </c>
      <c r="D116" s="14">
        <f>'A) Base RI'!AO107</f>
        <v>149</v>
      </c>
      <c r="E116" s="10">
        <f t="shared" si="3"/>
        <v>79987.908367364653</v>
      </c>
      <c r="F116" s="14">
        <f>'F) Population'!K108</f>
        <v>18475.100603621726</v>
      </c>
      <c r="G116" s="10">
        <f>'G) Solidarité'!I105</f>
        <v>79706.878578373216</v>
      </c>
      <c r="H116" s="14">
        <f t="shared" si="4"/>
        <v>98181.979181994946</v>
      </c>
      <c r="I116" s="55">
        <f t="shared" si="5"/>
        <v>-18194.070814630293</v>
      </c>
    </row>
    <row r="117" spans="1:9" x14ac:dyDescent="0.25">
      <c r="A117" s="49">
        <f>'A) Base RI'!A108</f>
        <v>5564</v>
      </c>
      <c r="B117" s="32" t="str">
        <f>'A) Base RI'!B108</f>
        <v>Novalles</v>
      </c>
      <c r="C117" s="31">
        <f>'D) Ecrêtage'!C106</f>
        <v>2091.5044407894734</v>
      </c>
      <c r="D117" s="14">
        <f>'A) Base RI'!AO108</f>
        <v>99</v>
      </c>
      <c r="E117" s="10">
        <f t="shared" si="3"/>
        <v>41068.289536250872</v>
      </c>
      <c r="F117" s="14">
        <f>'F) Population'!K109</f>
        <v>12275.40241448692</v>
      </c>
      <c r="G117" s="10">
        <f>'G) Solidarité'!I106</f>
        <v>62050.234424710259</v>
      </c>
      <c r="H117" s="14">
        <f t="shared" si="4"/>
        <v>74325.636839197177</v>
      </c>
      <c r="I117" s="55">
        <f t="shared" si="5"/>
        <v>-33257.347302946306</v>
      </c>
    </row>
    <row r="118" spans="1:9" x14ac:dyDescent="0.25">
      <c r="A118" s="49">
        <f>'A) Base RI'!A109</f>
        <v>5565</v>
      </c>
      <c r="B118" s="32" t="str">
        <f>'A) Base RI'!B109</f>
        <v>Onnens</v>
      </c>
      <c r="C118" s="31">
        <f>'D) Ecrêtage'!C107</f>
        <v>19690.582047244097</v>
      </c>
      <c r="D118" s="14">
        <f>'A) Base RI'!AO109</f>
        <v>505</v>
      </c>
      <c r="E118" s="10">
        <f t="shared" si="3"/>
        <v>386639.64029083407</v>
      </c>
      <c r="F118" s="14">
        <f>'F) Population'!K110</f>
        <v>62616.951710261557</v>
      </c>
      <c r="G118" s="10">
        <f>'G) Solidarité'!I107</f>
        <v>75012.08316183211</v>
      </c>
      <c r="H118" s="14">
        <f t="shared" si="4"/>
        <v>137629.03487209367</v>
      </c>
      <c r="I118" s="55">
        <f t="shared" si="5"/>
        <v>249010.60541874039</v>
      </c>
    </row>
    <row r="119" spans="1:9" x14ac:dyDescent="0.25">
      <c r="A119" s="49">
        <f>'A) Base RI'!A110</f>
        <v>5566</v>
      </c>
      <c r="B119" s="32" t="str">
        <f>'A) Base RI'!B110</f>
        <v>Provence</v>
      </c>
      <c r="C119" s="31">
        <f>'D) Ecrêtage'!C108</f>
        <v>7598.735102880657</v>
      </c>
      <c r="D119" s="14">
        <f>'A) Base RI'!AO110</f>
        <v>392</v>
      </c>
      <c r="E119" s="10">
        <f t="shared" si="3"/>
        <v>149206.97619775598</v>
      </c>
      <c r="F119" s="14">
        <f>'F) Population'!K111</f>
        <v>48605.63380281689</v>
      </c>
      <c r="G119" s="10">
        <f>'G) Solidarité'!I108</f>
        <v>297058.23357190087</v>
      </c>
      <c r="H119" s="14">
        <f t="shared" si="4"/>
        <v>345663.86737471778</v>
      </c>
      <c r="I119" s="55">
        <f t="shared" si="5"/>
        <v>-196456.8911769618</v>
      </c>
    </row>
    <row r="120" spans="1:9" x14ac:dyDescent="0.25">
      <c r="A120" s="49">
        <f>'A) Base RI'!A111</f>
        <v>5568</v>
      </c>
      <c r="B120" s="32" t="str">
        <f>'A) Base RI'!B111</f>
        <v>Sainte-Croix</v>
      </c>
      <c r="C120" s="31">
        <f>'D) Ecrêtage'!C109</f>
        <v>106515.47628571428</v>
      </c>
      <c r="D120" s="14">
        <f>'A) Base RI'!AO111</f>
        <v>4917</v>
      </c>
      <c r="E120" s="10">
        <f t="shared" si="3"/>
        <v>2091512.8530839665</v>
      </c>
      <c r="F120" s="14">
        <f>'F) Population'!K112</f>
        <v>1769145.8752515088</v>
      </c>
      <c r="G120" s="10">
        <f>'G) Solidarité'!I109</f>
        <v>2562582.6478449795</v>
      </c>
      <c r="H120" s="14">
        <f t="shared" si="4"/>
        <v>4331728.5230964888</v>
      </c>
      <c r="I120" s="55">
        <f t="shared" si="5"/>
        <v>-2240215.6700125225</v>
      </c>
    </row>
    <row r="121" spans="1:9" x14ac:dyDescent="0.25">
      <c r="A121" s="49">
        <f>'A) Base RI'!A112</f>
        <v>5571</v>
      </c>
      <c r="B121" s="32" t="str">
        <f>'A) Base RI'!B112</f>
        <v>Tévenon</v>
      </c>
      <c r="C121" s="31">
        <f>'D) Ecrêtage'!C110</f>
        <v>21380.087226107229</v>
      </c>
      <c r="D121" s="14">
        <f>'A) Base RI'!AO112</f>
        <v>894</v>
      </c>
      <c r="E121" s="10">
        <f t="shared" si="3"/>
        <v>419814.36682039185</v>
      </c>
      <c r="F121" s="14">
        <f>'F) Population'!K113</f>
        <v>110850.60362173036</v>
      </c>
      <c r="G121" s="10">
        <f>'G) Solidarité'!I110</f>
        <v>444805.28495743318</v>
      </c>
      <c r="H121" s="14">
        <f t="shared" si="4"/>
        <v>555655.88857916358</v>
      </c>
      <c r="I121" s="55">
        <f t="shared" si="5"/>
        <v>-135841.52175877173</v>
      </c>
    </row>
    <row r="122" spans="1:9" x14ac:dyDescent="0.25">
      <c r="A122" s="49">
        <f>'A) Base RI'!A113</f>
        <v>5581</v>
      </c>
      <c r="B122" s="32" t="str">
        <f>'A) Base RI'!B113</f>
        <v>Belmont-sur-Lausanne</v>
      </c>
      <c r="C122" s="31">
        <f>'D) Ecrêtage'!C111</f>
        <v>212445.65069444443</v>
      </c>
      <c r="D122" s="14">
        <f>'A) Base RI'!AO113</f>
        <v>3756</v>
      </c>
      <c r="E122" s="10">
        <f t="shared" si="3"/>
        <v>4171532.8561020629</v>
      </c>
      <c r="F122" s="14">
        <f>'F) Population'!K114</f>
        <v>1193317.907444668</v>
      </c>
      <c r="G122" s="10">
        <f>'G) Solidarité'!I111</f>
        <v>0</v>
      </c>
      <c r="H122" s="14">
        <f t="shared" si="4"/>
        <v>1193317.907444668</v>
      </c>
      <c r="I122" s="55">
        <f t="shared" si="5"/>
        <v>2978214.9486573949</v>
      </c>
    </row>
    <row r="123" spans="1:9" x14ac:dyDescent="0.25">
      <c r="A123" s="49">
        <f>'A) Base RI'!A114</f>
        <v>5582</v>
      </c>
      <c r="B123" s="32" t="str">
        <f>'A) Base RI'!B114</f>
        <v>Cheseaux-sur-Lausanne</v>
      </c>
      <c r="C123" s="31">
        <f>'D) Ecrêtage'!C112</f>
        <v>163780.29383561644</v>
      </c>
      <c r="D123" s="14">
        <f>'A) Base RI'!AO114</f>
        <v>4367</v>
      </c>
      <c r="E123" s="10">
        <f t="shared" si="3"/>
        <v>3215951.3488933505</v>
      </c>
      <c r="F123" s="14">
        <f>'F) Population'!K115</f>
        <v>1496359.1549295774</v>
      </c>
      <c r="G123" s="10">
        <f>'G) Solidarité'!I112</f>
        <v>996131.26764863729</v>
      </c>
      <c r="H123" s="14">
        <f t="shared" si="4"/>
        <v>2492490.4225782147</v>
      </c>
      <c r="I123" s="55">
        <f t="shared" si="5"/>
        <v>723460.92631513579</v>
      </c>
    </row>
    <row r="124" spans="1:9" x14ac:dyDescent="0.25">
      <c r="A124" s="49">
        <f>'A) Base RI'!A115</f>
        <v>5583</v>
      </c>
      <c r="B124" s="32" t="str">
        <f>'A) Base RI'!B115</f>
        <v>Crissier</v>
      </c>
      <c r="C124" s="31">
        <f>'D) Ecrêtage'!C113</f>
        <v>368095.30976377946</v>
      </c>
      <c r="D124" s="14">
        <f>'A) Base RI'!AO115</f>
        <v>8700</v>
      </c>
      <c r="E124" s="10">
        <f t="shared" si="3"/>
        <v>7227832.9720441168</v>
      </c>
      <c r="F124" s="14">
        <f>'F) Population'!K116</f>
        <v>4012444.6680080481</v>
      </c>
      <c r="G124" s="10">
        <f>'G) Solidarité'!I113</f>
        <v>825216.88211841194</v>
      </c>
      <c r="H124" s="14">
        <f t="shared" si="4"/>
        <v>4837661.5501264604</v>
      </c>
      <c r="I124" s="55">
        <f t="shared" si="5"/>
        <v>2390171.4219176564</v>
      </c>
    </row>
    <row r="125" spans="1:9" x14ac:dyDescent="0.25">
      <c r="A125" s="49">
        <f>'A) Base RI'!A116</f>
        <v>5584</v>
      </c>
      <c r="B125" s="32" t="str">
        <f>'A) Base RI'!B116</f>
        <v>Epalinges</v>
      </c>
      <c r="C125" s="31">
        <f>'D) Ecrêtage'!C114</f>
        <v>482115.91751937981</v>
      </c>
      <c r="D125" s="14">
        <f>'A) Base RI'!AO116</f>
        <v>9755</v>
      </c>
      <c r="E125" s="10">
        <f t="shared" si="3"/>
        <v>9466714.8223923519</v>
      </c>
      <c r="F125" s="14">
        <f>'F) Population'!K117</f>
        <v>4827580.9859154923</v>
      </c>
      <c r="G125" s="10">
        <f>'G) Solidarité'!I114</f>
        <v>0</v>
      </c>
      <c r="H125" s="14">
        <f t="shared" si="4"/>
        <v>4827580.9859154923</v>
      </c>
      <c r="I125" s="55">
        <f t="shared" si="5"/>
        <v>4639133.8364768596</v>
      </c>
    </row>
    <row r="126" spans="1:9" x14ac:dyDescent="0.25">
      <c r="A126" s="49">
        <f>'A) Base RI'!A117</f>
        <v>5585</v>
      </c>
      <c r="B126" s="32" t="str">
        <f>'A) Base RI'!B117</f>
        <v>Jouxtens-Mézery</v>
      </c>
      <c r="C126" s="31">
        <f>'D) Ecrêtage'!C115</f>
        <v>202487.97135593221</v>
      </c>
      <c r="D126" s="14">
        <f>'A) Base RI'!AO117</f>
        <v>1411</v>
      </c>
      <c r="E126" s="10">
        <f t="shared" si="3"/>
        <v>3976006.2054252899</v>
      </c>
      <c r="F126" s="14">
        <f>'F) Population'!K118</f>
        <v>266686.21730382292</v>
      </c>
      <c r="G126" s="10">
        <f>'G) Solidarité'!I115</f>
        <v>0</v>
      </c>
      <c r="H126" s="14">
        <f t="shared" si="4"/>
        <v>266686.21730382292</v>
      </c>
      <c r="I126" s="55">
        <f t="shared" si="5"/>
        <v>3709319.9881214672</v>
      </c>
    </row>
    <row r="127" spans="1:9" x14ac:dyDescent="0.25">
      <c r="A127" s="49">
        <f>'A) Base RI'!A118</f>
        <v>5586</v>
      </c>
      <c r="B127" s="32" t="str">
        <f>'A) Base RI'!B118</f>
        <v>Lausanne</v>
      </c>
      <c r="C127" s="31">
        <f>'D) Ecrêtage'!C116</f>
        <v>6272364.2800849257</v>
      </c>
      <c r="D127" s="14">
        <f>'A) Base RI'!AO118</f>
        <v>140430</v>
      </c>
      <c r="E127" s="10">
        <f t="shared" si="3"/>
        <v>123162670.5196628</v>
      </c>
      <c r="F127" s="14">
        <f>'F) Population'!K119</f>
        <v>140337856.13682091</v>
      </c>
      <c r="G127" s="10">
        <f>'G) Solidarité'!I116</f>
        <v>12177963.91883919</v>
      </c>
      <c r="H127" s="14">
        <f t="shared" si="4"/>
        <v>152515820.0556601</v>
      </c>
      <c r="I127" s="55">
        <f t="shared" si="5"/>
        <v>-29353149.535997301</v>
      </c>
    </row>
    <row r="128" spans="1:9" x14ac:dyDescent="0.25">
      <c r="A128" s="49">
        <f>'A) Base RI'!A119</f>
        <v>5587</v>
      </c>
      <c r="B128" s="32" t="str">
        <f>'A) Base RI'!B119</f>
        <v>Le Mont-sur-Lausanne</v>
      </c>
      <c r="C128" s="31">
        <f>'D) Ecrêtage'!C117</f>
        <v>442860.74013605446</v>
      </c>
      <c r="D128" s="14">
        <f>'A) Base RI'!AO119</f>
        <v>9136</v>
      </c>
      <c r="E128" s="10">
        <f t="shared" si="3"/>
        <v>8695909.3872545902</v>
      </c>
      <c r="F128" s="14">
        <f>'F) Population'!K120</f>
        <v>4305665.5935613681</v>
      </c>
      <c r="G128" s="10">
        <f>'G) Solidarité'!I117</f>
        <v>0</v>
      </c>
      <c r="H128" s="14">
        <f t="shared" si="4"/>
        <v>4305665.5935613681</v>
      </c>
      <c r="I128" s="55">
        <f t="shared" si="5"/>
        <v>4390243.7936932221</v>
      </c>
    </row>
    <row r="129" spans="1:9" x14ac:dyDescent="0.25">
      <c r="A129" s="49">
        <f>'A) Base RI'!A120</f>
        <v>5588</v>
      </c>
      <c r="B129" s="32" t="str">
        <f>'A) Base RI'!B120</f>
        <v>Paudex</v>
      </c>
      <c r="C129" s="31">
        <f>'D) Ecrêtage'!C118</f>
        <v>135448.58760472611</v>
      </c>
      <c r="D129" s="14">
        <f>'A) Base RI'!AO120</f>
        <v>1538</v>
      </c>
      <c r="E129" s="10">
        <f t="shared" si="3"/>
        <v>2659636.625455799</v>
      </c>
      <c r="F129" s="14">
        <f>'F) Population'!K121</f>
        <v>310778.47082494968</v>
      </c>
      <c r="G129" s="10">
        <f>'G) Solidarité'!I118</f>
        <v>0</v>
      </c>
      <c r="H129" s="14">
        <f t="shared" si="4"/>
        <v>310778.47082494968</v>
      </c>
      <c r="I129" s="55">
        <f t="shared" si="5"/>
        <v>2348858.1546308491</v>
      </c>
    </row>
    <row r="130" spans="1:9" x14ac:dyDescent="0.25">
      <c r="A130" s="49">
        <f>'A) Base RI'!A121</f>
        <v>5589</v>
      </c>
      <c r="B130" s="32" t="str">
        <f>'A) Base RI'!B121</f>
        <v>Prilly</v>
      </c>
      <c r="C130" s="31">
        <f>'D) Ecrêtage'!C119</f>
        <v>455017.22467904515</v>
      </c>
      <c r="D130" s="14">
        <f>'A) Base RI'!AO121</f>
        <v>12383</v>
      </c>
      <c r="E130" s="10">
        <f t="shared" si="3"/>
        <v>8934611.2600395456</v>
      </c>
      <c r="F130" s="14">
        <f>'F) Population'!K122</f>
        <v>7100390.3420523126</v>
      </c>
      <c r="G130" s="10">
        <f>'G) Solidarité'!I119</f>
        <v>2984194.6810816033</v>
      </c>
      <c r="H130" s="14">
        <f t="shared" si="4"/>
        <v>10084585.023133915</v>
      </c>
      <c r="I130" s="55">
        <f t="shared" si="5"/>
        <v>-1149973.7630943693</v>
      </c>
    </row>
    <row r="131" spans="1:9" x14ac:dyDescent="0.25">
      <c r="A131" s="49">
        <f>'A) Base RI'!A122</f>
        <v>5590</v>
      </c>
      <c r="B131" s="32" t="str">
        <f>'A) Base RI'!B122</f>
        <v>Pully</v>
      </c>
      <c r="C131" s="31">
        <f>'D) Ecrêtage'!C120</f>
        <v>1478979.5848477751</v>
      </c>
      <c r="D131" s="14">
        <f>'A) Base RI'!AO122</f>
        <v>18688</v>
      </c>
      <c r="E131" s="10">
        <f t="shared" si="3"/>
        <v>29040895.455046475</v>
      </c>
      <c r="F131" s="14">
        <f>'F) Population'!K123</f>
        <v>13537561.77062374</v>
      </c>
      <c r="G131" s="10">
        <f>'G) Solidarité'!I120</f>
        <v>0</v>
      </c>
      <c r="H131" s="14">
        <f t="shared" si="4"/>
        <v>13537561.77062374</v>
      </c>
      <c r="I131" s="55">
        <f t="shared" si="5"/>
        <v>15503333.684422735</v>
      </c>
    </row>
    <row r="132" spans="1:9" x14ac:dyDescent="0.25">
      <c r="A132" s="49">
        <f>'A) Base RI'!A123</f>
        <v>5591</v>
      </c>
      <c r="B132" s="32" t="str">
        <f>'A) Base RI'!B123</f>
        <v>Renens</v>
      </c>
      <c r="C132" s="31">
        <f>'D) Ecrêtage'!C121</f>
        <v>596748.60283858993</v>
      </c>
      <c r="D132" s="14">
        <f>'A) Base RI'!AO123</f>
        <v>20863</v>
      </c>
      <c r="E132" s="10">
        <f t="shared" si="3"/>
        <v>11717615.283894708</v>
      </c>
      <c r="F132" s="14">
        <f>'F) Population'!K124</f>
        <v>15802931.488933599</v>
      </c>
      <c r="G132" s="10">
        <f>'G) Solidarité'!I121</f>
        <v>9712062.309960559</v>
      </c>
      <c r="H132" s="14">
        <f t="shared" si="4"/>
        <v>25514993.798894159</v>
      </c>
      <c r="I132" s="55">
        <f t="shared" si="5"/>
        <v>-13797378.514999451</v>
      </c>
    </row>
    <row r="133" spans="1:9" x14ac:dyDescent="0.25">
      <c r="A133" s="49">
        <f>'A) Base RI'!A124</f>
        <v>5592</v>
      </c>
      <c r="B133" s="32" t="str">
        <f>'A) Base RI'!B124</f>
        <v>Romanel-sur-Lausanne</v>
      </c>
      <c r="C133" s="31">
        <f>'D) Ecrêtage'!C122</f>
        <v>121292.24695035459</v>
      </c>
      <c r="D133" s="14">
        <f>'A) Base RI'!AO124</f>
        <v>3247</v>
      </c>
      <c r="E133" s="10">
        <f t="shared" si="3"/>
        <v>2381666.0481865113</v>
      </c>
      <c r="F133" s="14">
        <f>'F) Population'!K125</f>
        <v>940866.19718309853</v>
      </c>
      <c r="G133" s="10">
        <f>'G) Solidarité'!I122</f>
        <v>700434.5043671052</v>
      </c>
      <c r="H133" s="14">
        <f t="shared" si="4"/>
        <v>1641300.7015502038</v>
      </c>
      <c r="I133" s="55">
        <f t="shared" si="5"/>
        <v>740365.34663630743</v>
      </c>
    </row>
    <row r="134" spans="1:9" x14ac:dyDescent="0.25">
      <c r="A134" s="49">
        <f>'A) Base RI'!A125</f>
        <v>5601</v>
      </c>
      <c r="B134" s="32" t="str">
        <f>'A) Base RI'!B125</f>
        <v>Chexbres</v>
      </c>
      <c r="C134" s="31">
        <f>'D) Ecrêtage'!C123</f>
        <v>98072.029481481484</v>
      </c>
      <c r="D134" s="14">
        <f>'A) Base RI'!AO125</f>
        <v>2251</v>
      </c>
      <c r="E134" s="10">
        <f t="shared" si="3"/>
        <v>1925719.3164901475</v>
      </c>
      <c r="F134" s="14">
        <f>'F) Population'!K126</f>
        <v>558320.02012072422</v>
      </c>
      <c r="G134" s="10">
        <f>'G) Solidarité'!I123</f>
        <v>189478.76141087839</v>
      </c>
      <c r="H134" s="14">
        <f t="shared" si="4"/>
        <v>747798.78153160261</v>
      </c>
      <c r="I134" s="55">
        <f t="shared" si="5"/>
        <v>1177920.5349585449</v>
      </c>
    </row>
    <row r="135" spans="1:9" x14ac:dyDescent="0.25">
      <c r="A135" s="49">
        <f>'A) Base RI'!A126</f>
        <v>5604</v>
      </c>
      <c r="B135" s="32" t="str">
        <f>'A) Base RI'!B126</f>
        <v>Forel (Lavaux)</v>
      </c>
      <c r="C135" s="31">
        <f>'D) Ecrêtage'!C124</f>
        <v>71309.914782608685</v>
      </c>
      <c r="D135" s="14">
        <f>'A) Base RI'!AO126</f>
        <v>2105</v>
      </c>
      <c r="E135" s="10">
        <f t="shared" si="3"/>
        <v>1400224.7234015479</v>
      </c>
      <c r="F135" s="14">
        <f>'F) Population'!K127</f>
        <v>507631.2877263581</v>
      </c>
      <c r="G135" s="10">
        <f>'G) Solidarité'!I124</f>
        <v>574842.20958713756</v>
      </c>
      <c r="H135" s="14">
        <f t="shared" si="4"/>
        <v>1082473.4973134957</v>
      </c>
      <c r="I135" s="55">
        <f t="shared" si="5"/>
        <v>317751.22608805215</v>
      </c>
    </row>
    <row r="136" spans="1:9" x14ac:dyDescent="0.25">
      <c r="A136" s="49">
        <f>'A) Base RI'!A127</f>
        <v>5606</v>
      </c>
      <c r="B136" s="32" t="str">
        <f>'A) Base RI'!B127</f>
        <v>Lutry</v>
      </c>
      <c r="C136" s="31">
        <f>'D) Ecrêtage'!C125</f>
        <v>875230.37264550268</v>
      </c>
      <c r="D136" s="14">
        <f>'A) Base RI'!AO127</f>
        <v>10455</v>
      </c>
      <c r="E136" s="10">
        <f t="shared" si="3"/>
        <v>17185817.85136373</v>
      </c>
      <c r="F136" s="14">
        <f>'F) Population'!K128</f>
        <v>5417792.2535211258</v>
      </c>
      <c r="G136" s="10">
        <f>'G) Solidarité'!I125</f>
        <v>0</v>
      </c>
      <c r="H136" s="14">
        <f t="shared" si="4"/>
        <v>5417792.2535211258</v>
      </c>
      <c r="I136" s="55">
        <f t="shared" si="5"/>
        <v>11768025.597842604</v>
      </c>
    </row>
    <row r="137" spans="1:9" x14ac:dyDescent="0.25">
      <c r="A137" s="49">
        <f>'A) Base RI'!A128</f>
        <v>5607</v>
      </c>
      <c r="B137" s="32" t="str">
        <f>'A) Base RI'!B128</f>
        <v>Puidoux</v>
      </c>
      <c r="C137" s="31">
        <f>'D) Ecrêtage'!C126</f>
        <v>102944.97501110758</v>
      </c>
      <c r="D137" s="14">
        <f>'A) Base RI'!AO128</f>
        <v>2894</v>
      </c>
      <c r="E137" s="10">
        <f t="shared" si="3"/>
        <v>2021403.3293959601</v>
      </c>
      <c r="F137" s="14">
        <f>'F) Population'!K129</f>
        <v>781558.75251509051</v>
      </c>
      <c r="G137" s="10">
        <f>'G) Solidarité'!I126</f>
        <v>686524.9399778978</v>
      </c>
      <c r="H137" s="14">
        <f t="shared" si="4"/>
        <v>1468083.6924929884</v>
      </c>
      <c r="I137" s="55">
        <f t="shared" si="5"/>
        <v>553319.63690297166</v>
      </c>
    </row>
    <row r="138" spans="1:9" x14ac:dyDescent="0.25">
      <c r="A138" s="49">
        <f>'A) Base RI'!A129</f>
        <v>5609</v>
      </c>
      <c r="B138" s="32" t="str">
        <f>'A) Base RI'!B129</f>
        <v>Rivaz</v>
      </c>
      <c r="C138" s="31">
        <f>'D) Ecrêtage'!C127</f>
        <v>16048.850483870969</v>
      </c>
      <c r="D138" s="14">
        <f>'A) Base RI'!AO129</f>
        <v>337</v>
      </c>
      <c r="E138" s="10">
        <f t="shared" si="3"/>
        <v>315131.45539716136</v>
      </c>
      <c r="F138" s="14">
        <f>'F) Population'!K130</f>
        <v>41785.965794768606</v>
      </c>
      <c r="G138" s="10">
        <f>'G) Solidarité'!I127</f>
        <v>2860.1012218359192</v>
      </c>
      <c r="H138" s="14">
        <f t="shared" si="4"/>
        <v>44646.067016604524</v>
      </c>
      <c r="I138" s="55">
        <f t="shared" si="5"/>
        <v>270485.38838055683</v>
      </c>
    </row>
    <row r="139" spans="1:9" x14ac:dyDescent="0.25">
      <c r="A139" s="49">
        <f>'A) Base RI'!A130</f>
        <v>5610</v>
      </c>
      <c r="B139" s="32" t="str">
        <f>'A) Base RI'!B130</f>
        <v>St-Saphorin (Lavaux)</v>
      </c>
      <c r="C139" s="31">
        <f>'D) Ecrêtage'!C128</f>
        <v>19213.723703703701</v>
      </c>
      <c r="D139" s="14">
        <f>'A) Base RI'!AO130</f>
        <v>388</v>
      </c>
      <c r="E139" s="10">
        <f t="shared" si="3"/>
        <v>377276.16195516207</v>
      </c>
      <c r="F139" s="14">
        <f>'F) Population'!K131</f>
        <v>48109.657947686108</v>
      </c>
      <c r="G139" s="10">
        <f>'G) Solidarité'!I128</f>
        <v>0</v>
      </c>
      <c r="H139" s="14">
        <f t="shared" si="4"/>
        <v>48109.657947686108</v>
      </c>
      <c r="I139" s="55">
        <f t="shared" si="5"/>
        <v>329166.50400747597</v>
      </c>
    </row>
    <row r="140" spans="1:9" x14ac:dyDescent="0.25">
      <c r="A140" s="49">
        <f>'A) Base RI'!A131</f>
        <v>5611</v>
      </c>
      <c r="B140" s="32" t="str">
        <f>'A) Base RI'!B131</f>
        <v>Savigny</v>
      </c>
      <c r="C140" s="31">
        <f>'D) Ecrêtage'!C129</f>
        <v>136715.33886473431</v>
      </c>
      <c r="D140" s="14">
        <f>'A) Base RI'!AO131</f>
        <v>3348</v>
      </c>
      <c r="E140" s="10">
        <f t="shared" si="3"/>
        <v>2684510.2554141413</v>
      </c>
      <c r="F140" s="14">
        <f>'F) Population'!K132</f>
        <v>990959.75855130772</v>
      </c>
      <c r="G140" s="10">
        <f>'G) Solidarité'!I129</f>
        <v>469280.66080527025</v>
      </c>
      <c r="H140" s="14">
        <f t="shared" si="4"/>
        <v>1460240.419356578</v>
      </c>
      <c r="I140" s="55">
        <f t="shared" si="5"/>
        <v>1224269.8360575633</v>
      </c>
    </row>
    <row r="141" spans="1:9" x14ac:dyDescent="0.25">
      <c r="A141" s="49">
        <f>'A) Base RI'!A132</f>
        <v>5613</v>
      </c>
      <c r="B141" s="32" t="str">
        <f>'A) Base RI'!B132</f>
        <v>Bourg-en-Lavaux</v>
      </c>
      <c r="C141" s="31">
        <f>'D) Ecrêtage'!C130</f>
        <v>343828.17631999997</v>
      </c>
      <c r="D141" s="14">
        <f>'A) Base RI'!AO132</f>
        <v>5389</v>
      </c>
      <c r="E141" s="10">
        <f t="shared" si="3"/>
        <v>6751329.2443696074</v>
      </c>
      <c r="F141" s="14">
        <f>'F) Population'!K133</f>
        <v>2041833.4004024144</v>
      </c>
      <c r="G141" s="10">
        <f>'G) Solidarité'!I130</f>
        <v>0</v>
      </c>
      <c r="H141" s="14">
        <f t="shared" si="4"/>
        <v>2041833.4004024144</v>
      </c>
      <c r="I141" s="55">
        <f t="shared" si="5"/>
        <v>4709495.8439671928</v>
      </c>
    </row>
    <row r="142" spans="1:9" x14ac:dyDescent="0.25">
      <c r="A142" s="49">
        <f>'A) Base RI'!A133</f>
        <v>5621</v>
      </c>
      <c r="B142" s="32" t="str">
        <f>'A) Base RI'!B133</f>
        <v>Aclens</v>
      </c>
      <c r="C142" s="31">
        <f>'D) Ecrêtage'!C131</f>
        <v>32411.912521994131</v>
      </c>
      <c r="D142" s="14">
        <f>'A) Base RI'!AO133</f>
        <v>528</v>
      </c>
      <c r="E142" s="10">
        <f t="shared" si="3"/>
        <v>636432.69500993437</v>
      </c>
      <c r="F142" s="14">
        <f>'F) Population'!K134</f>
        <v>65468.812877263568</v>
      </c>
      <c r="G142" s="10">
        <f>'G) Solidarité'!I131</f>
        <v>0</v>
      </c>
      <c r="H142" s="14">
        <f t="shared" si="4"/>
        <v>65468.812877263568</v>
      </c>
      <c r="I142" s="55">
        <f t="shared" si="5"/>
        <v>570963.88213267084</v>
      </c>
    </row>
    <row r="143" spans="1:9" x14ac:dyDescent="0.25">
      <c r="A143" s="49">
        <f>'A) Base RI'!A134</f>
        <v>5622</v>
      </c>
      <c r="B143" s="32" t="str">
        <f>'A) Base RI'!B134</f>
        <v>Bremblens</v>
      </c>
      <c r="C143" s="31">
        <f>'D) Ecrêtage'!C132</f>
        <v>27803.201911764703</v>
      </c>
      <c r="D143" s="14">
        <f>'A) Base RI'!AO134</f>
        <v>583</v>
      </c>
      <c r="E143" s="10">
        <f t="shared" si="3"/>
        <v>545937.13686603203</v>
      </c>
      <c r="F143" s="14">
        <f>'F) Population'!K135</f>
        <v>72288.480885311859</v>
      </c>
      <c r="G143" s="10">
        <f>'G) Solidarité'!I132</f>
        <v>5225.2723083231458</v>
      </c>
      <c r="H143" s="14">
        <f t="shared" si="4"/>
        <v>77513.753193634999</v>
      </c>
      <c r="I143" s="55">
        <f t="shared" si="5"/>
        <v>468423.383672397</v>
      </c>
    </row>
    <row r="144" spans="1:9" x14ac:dyDescent="0.25">
      <c r="A144" s="49">
        <f>'A) Base RI'!A135</f>
        <v>5623</v>
      </c>
      <c r="B144" s="32" t="str">
        <f>'A) Base RI'!B135</f>
        <v>Buchillon</v>
      </c>
      <c r="C144" s="31">
        <f>'D) Ecrêtage'!C133</f>
        <v>94394.012307692305</v>
      </c>
      <c r="D144" s="14">
        <f>'A) Base RI'!AO135</f>
        <v>686</v>
      </c>
      <c r="E144" s="10">
        <f t="shared" si="3"/>
        <v>1853498.6358802319</v>
      </c>
      <c r="F144" s="14">
        <f>'F) Population'!K136</f>
        <v>85059.859154929567</v>
      </c>
      <c r="G144" s="10">
        <f>'G) Solidarité'!I133</f>
        <v>0</v>
      </c>
      <c r="H144" s="14">
        <f t="shared" si="4"/>
        <v>85059.859154929567</v>
      </c>
      <c r="I144" s="55">
        <f t="shared" si="5"/>
        <v>1768438.7767253022</v>
      </c>
    </row>
    <row r="145" spans="1:9" x14ac:dyDescent="0.25">
      <c r="A145" s="49">
        <f>'A) Base RI'!A136</f>
        <v>5624</v>
      </c>
      <c r="B145" s="32" t="str">
        <f>'A) Base RI'!B136</f>
        <v>Bussigny</v>
      </c>
      <c r="C145" s="31">
        <f>'D) Ecrêtage'!C134</f>
        <v>354162.79119999992</v>
      </c>
      <c r="D145" s="14">
        <f>'A) Base RI'!AO136</f>
        <v>9614</v>
      </c>
      <c r="E145" s="10">
        <f t="shared" ref="E145:E208" si="6">C145*E$15</f>
        <v>6954257.3127304278</v>
      </c>
      <c r="F145" s="14">
        <f>'F) Population'!K137</f>
        <v>4708695.573440643</v>
      </c>
      <c r="G145" s="10">
        <f>'G) Solidarité'!I134</f>
        <v>1707826.0987420592</v>
      </c>
      <c r="H145" s="14">
        <f t="shared" ref="H145:H208" si="7">F145+G145</f>
        <v>6416521.6721827025</v>
      </c>
      <c r="I145" s="55">
        <f t="shared" ref="I145:I208" si="8">E145-H145</f>
        <v>537735.64054772537</v>
      </c>
    </row>
    <row r="146" spans="1:9" x14ac:dyDescent="0.25">
      <c r="A146" s="49">
        <f>'A) Base RI'!A137</f>
        <v>5625</v>
      </c>
      <c r="B146" s="32" t="str">
        <f>'A) Base RI'!B137</f>
        <v>Bussy-Chardonney</v>
      </c>
      <c r="C146" s="31">
        <f>'D) Ecrêtage'!C135</f>
        <v>17740.486103896103</v>
      </c>
      <c r="D146" s="14">
        <f>'A) Base RI'!AO137</f>
        <v>404</v>
      </c>
      <c r="E146" s="10">
        <f t="shared" si="6"/>
        <v>348348.01476856001</v>
      </c>
      <c r="F146" s="14">
        <f>'F) Population'!K138</f>
        <v>50093.561368209244</v>
      </c>
      <c r="G146" s="10">
        <f>'G) Solidarité'!I135</f>
        <v>40947.931102923583</v>
      </c>
      <c r="H146" s="14">
        <f t="shared" si="7"/>
        <v>91041.492471132835</v>
      </c>
      <c r="I146" s="55">
        <f t="shared" si="8"/>
        <v>257306.52229742717</v>
      </c>
    </row>
    <row r="147" spans="1:9" x14ac:dyDescent="0.25">
      <c r="A147" s="49">
        <f>'A) Base RI'!A138</f>
        <v>5627</v>
      </c>
      <c r="B147" s="32" t="str">
        <f>'A) Base RI'!B138</f>
        <v>Chavannes-près-Renens</v>
      </c>
      <c r="C147" s="31">
        <f>'D) Ecrêtage'!C136</f>
        <v>161901.70176344088</v>
      </c>
      <c r="D147" s="14">
        <f>'A) Base RI'!AO138</f>
        <v>8487</v>
      </c>
      <c r="E147" s="10">
        <f t="shared" si="6"/>
        <v>3179063.7565765544</v>
      </c>
      <c r="F147" s="14">
        <f>'F) Population'!K139</f>
        <v>3885673.2394366194</v>
      </c>
      <c r="G147" s="10">
        <f>'G) Solidarité'!I136</f>
        <v>5950674.7216686057</v>
      </c>
      <c r="H147" s="14">
        <f t="shared" si="7"/>
        <v>9836347.9611052256</v>
      </c>
      <c r="I147" s="55">
        <f t="shared" si="8"/>
        <v>-6657284.2045286708</v>
      </c>
    </row>
    <row r="148" spans="1:9" x14ac:dyDescent="0.25">
      <c r="A148" s="49">
        <f>'A) Base RI'!A139</f>
        <v>5628</v>
      </c>
      <c r="B148" s="32" t="str">
        <f>'A) Base RI'!B139</f>
        <v>Chigny</v>
      </c>
      <c r="C148" s="31">
        <f>'D) Ecrêtage'!C137</f>
        <v>24624.530161290324</v>
      </c>
      <c r="D148" s="14">
        <f>'A) Base RI'!AO139</f>
        <v>396</v>
      </c>
      <c r="E148" s="10">
        <f t="shared" si="6"/>
        <v>483521.4856040593</v>
      </c>
      <c r="F148" s="14">
        <f>'F) Population'!K140</f>
        <v>49101.60965794768</v>
      </c>
      <c r="G148" s="10">
        <f>'G) Solidarité'!I137</f>
        <v>0</v>
      </c>
      <c r="H148" s="14">
        <f t="shared" si="7"/>
        <v>49101.60965794768</v>
      </c>
      <c r="I148" s="55">
        <f t="shared" si="8"/>
        <v>434419.87594611163</v>
      </c>
    </row>
    <row r="149" spans="1:9" x14ac:dyDescent="0.25">
      <c r="A149" s="49">
        <f>'A) Base RI'!A140</f>
        <v>5629</v>
      </c>
      <c r="B149" s="32" t="str">
        <f>'A) Base RI'!B140</f>
        <v>Clarmont</v>
      </c>
      <c r="C149" s="31">
        <f>'D) Ecrêtage'!C138</f>
        <v>8521.2598639455773</v>
      </c>
      <c r="D149" s="14">
        <f>'A) Base RI'!AO140</f>
        <v>201</v>
      </c>
      <c r="E149" s="10">
        <f t="shared" si="6"/>
        <v>167321.45554233433</v>
      </c>
      <c r="F149" s="14">
        <f>'F) Population'!K141</f>
        <v>24922.786720321928</v>
      </c>
      <c r="G149" s="10">
        <f>'G) Solidarité'!I138</f>
        <v>25174.793924079873</v>
      </c>
      <c r="H149" s="14">
        <f t="shared" si="7"/>
        <v>50097.580644401802</v>
      </c>
      <c r="I149" s="55">
        <f t="shared" si="8"/>
        <v>117223.87489793252</v>
      </c>
    </row>
    <row r="150" spans="1:9" x14ac:dyDescent="0.25">
      <c r="A150" s="49">
        <f>'A) Base RI'!A141</f>
        <v>5631</v>
      </c>
      <c r="B150" s="32" t="str">
        <f>'A) Base RI'!B141</f>
        <v>Denens</v>
      </c>
      <c r="C150" s="31">
        <f>'D) Ecrêtage'!C139</f>
        <v>43455.14235294117</v>
      </c>
      <c r="D150" s="14">
        <f>'A) Base RI'!AO141</f>
        <v>742</v>
      </c>
      <c r="E150" s="10">
        <f t="shared" si="6"/>
        <v>853274.95996898203</v>
      </c>
      <c r="F150" s="14">
        <f>'F) Population'!K142</f>
        <v>92003.521126760548</v>
      </c>
      <c r="G150" s="10">
        <f>'G) Solidarité'!I139</f>
        <v>0</v>
      </c>
      <c r="H150" s="14">
        <f t="shared" si="7"/>
        <v>92003.521126760548</v>
      </c>
      <c r="I150" s="55">
        <f t="shared" si="8"/>
        <v>761271.43884222151</v>
      </c>
    </row>
    <row r="151" spans="1:9" x14ac:dyDescent="0.25">
      <c r="A151" s="49">
        <f>'A) Base RI'!A142</f>
        <v>5632</v>
      </c>
      <c r="B151" s="32" t="str">
        <f>'A) Base RI'!B142</f>
        <v>Denges</v>
      </c>
      <c r="C151" s="31">
        <f>'D) Ecrêtage'!C140</f>
        <v>76479.966774193541</v>
      </c>
      <c r="D151" s="14">
        <f>'A) Base RI'!AO142</f>
        <v>1730</v>
      </c>
      <c r="E151" s="10">
        <f t="shared" si="6"/>
        <v>1501742.6489516997</v>
      </c>
      <c r="F151" s="14">
        <f>'F) Population'!K143</f>
        <v>377437.62575452711</v>
      </c>
      <c r="G151" s="10">
        <f>'G) Solidarité'!I140</f>
        <v>105786.90350276591</v>
      </c>
      <c r="H151" s="14">
        <f t="shared" si="7"/>
        <v>483224.52925729303</v>
      </c>
      <c r="I151" s="55">
        <f t="shared" si="8"/>
        <v>1018518.1196944066</v>
      </c>
    </row>
    <row r="152" spans="1:9" x14ac:dyDescent="0.25">
      <c r="A152" s="49">
        <f>'A) Base RI'!A143</f>
        <v>5633</v>
      </c>
      <c r="B152" s="32" t="str">
        <f>'A) Base RI'!B143</f>
        <v>Echandens</v>
      </c>
      <c r="C152" s="31">
        <f>'D) Ecrêtage'!C141</f>
        <v>148865.46909090912</v>
      </c>
      <c r="D152" s="14">
        <f>'A) Base RI'!AO143</f>
        <v>2743</v>
      </c>
      <c r="E152" s="10">
        <f t="shared" si="6"/>
        <v>2923087.3563278504</v>
      </c>
      <c r="F152" s="14">
        <f>'F) Population'!K144</f>
        <v>729134.10462776653</v>
      </c>
      <c r="G152" s="10">
        <f>'G) Solidarité'!I141</f>
        <v>0</v>
      </c>
      <c r="H152" s="14">
        <f t="shared" si="7"/>
        <v>729134.10462776653</v>
      </c>
      <c r="I152" s="55">
        <f t="shared" si="8"/>
        <v>2193953.2517000837</v>
      </c>
    </row>
    <row r="153" spans="1:9" x14ac:dyDescent="0.25">
      <c r="A153" s="49">
        <f>'A) Base RI'!A144</f>
        <v>5634</v>
      </c>
      <c r="B153" s="32" t="str">
        <f>'A) Base RI'!B144</f>
        <v>Echichens</v>
      </c>
      <c r="C153" s="31">
        <f>'D) Ecrêtage'!C142</f>
        <v>164177.5981818182</v>
      </c>
      <c r="D153" s="14">
        <f>'A) Base RI'!AO144</f>
        <v>3127</v>
      </c>
      <c r="E153" s="10">
        <f t="shared" si="6"/>
        <v>3223752.7236385392</v>
      </c>
      <c r="F153" s="14">
        <f>'F) Population'!K145</f>
        <v>881349.09456740436</v>
      </c>
      <c r="G153" s="10">
        <f>'G) Solidarité'!I142</f>
        <v>0</v>
      </c>
      <c r="H153" s="14">
        <f t="shared" si="7"/>
        <v>881349.09456740436</v>
      </c>
      <c r="I153" s="55">
        <f t="shared" si="8"/>
        <v>2342403.6290711351</v>
      </c>
    </row>
    <row r="154" spans="1:9" x14ac:dyDescent="0.25">
      <c r="A154" s="49">
        <f>'A) Base RI'!A145</f>
        <v>5635</v>
      </c>
      <c r="B154" s="32" t="str">
        <f>'A) Base RI'!B145</f>
        <v>Ecublens</v>
      </c>
      <c r="C154" s="31">
        <f>'D) Ecrêtage'!C143</f>
        <v>681739.39309333346</v>
      </c>
      <c r="D154" s="14">
        <f>'A) Base RI'!AO145</f>
        <v>13164</v>
      </c>
      <c r="E154" s="10">
        <f t="shared" si="6"/>
        <v>13386474.462017734</v>
      </c>
      <c r="F154" s="14">
        <f>'F) Population'!K146</f>
        <v>7875104.627766598</v>
      </c>
      <c r="G154" s="10">
        <f>'G) Solidarité'!I143</f>
        <v>0</v>
      </c>
      <c r="H154" s="14">
        <f t="shared" si="7"/>
        <v>7875104.627766598</v>
      </c>
      <c r="I154" s="55">
        <f t="shared" si="8"/>
        <v>5511369.8342511356</v>
      </c>
    </row>
    <row r="155" spans="1:9" x14ac:dyDescent="0.25">
      <c r="A155" s="49">
        <f>'A) Base RI'!A146</f>
        <v>5636</v>
      </c>
      <c r="B155" s="32" t="str">
        <f>'A) Base RI'!B146</f>
        <v>Etoy</v>
      </c>
      <c r="C155" s="31">
        <f>'D) Ecrêtage'!C144</f>
        <v>170715.46099999998</v>
      </c>
      <c r="D155" s="14">
        <f>'A) Base RI'!AO146</f>
        <v>2909</v>
      </c>
      <c r="E155" s="10">
        <f t="shared" si="6"/>
        <v>3352128.6610398623</v>
      </c>
      <c r="F155" s="14">
        <f>'F) Population'!K147</f>
        <v>786766.4989939637</v>
      </c>
      <c r="G155" s="10">
        <f>'G) Solidarité'!I144</f>
        <v>0</v>
      </c>
      <c r="H155" s="14">
        <f t="shared" si="7"/>
        <v>786766.4989939637</v>
      </c>
      <c r="I155" s="55">
        <f t="shared" si="8"/>
        <v>2565362.1620458988</v>
      </c>
    </row>
    <row r="156" spans="1:9" x14ac:dyDescent="0.25">
      <c r="A156" s="49">
        <f>'A) Base RI'!A147</f>
        <v>5637</v>
      </c>
      <c r="B156" s="32" t="str">
        <f>'A) Base RI'!B147</f>
        <v>Lavigny</v>
      </c>
      <c r="C156" s="31">
        <f>'D) Ecrêtage'!C145</f>
        <v>41194.659315068493</v>
      </c>
      <c r="D156" s="14">
        <f>'A) Base RI'!AO147</f>
        <v>1008</v>
      </c>
      <c r="E156" s="10">
        <f t="shared" si="6"/>
        <v>808888.64642326592</v>
      </c>
      <c r="F156" s="14">
        <f>'F) Population'!K148</f>
        <v>126771.42857142855</v>
      </c>
      <c r="G156" s="10">
        <f>'G) Solidarité'!I145</f>
        <v>157438.2741484179</v>
      </c>
      <c r="H156" s="14">
        <f t="shared" si="7"/>
        <v>284209.70271984645</v>
      </c>
      <c r="I156" s="55">
        <f t="shared" si="8"/>
        <v>524678.94370341953</v>
      </c>
    </row>
    <row r="157" spans="1:9" x14ac:dyDescent="0.25">
      <c r="A157" s="49">
        <f>'A) Base RI'!A148</f>
        <v>5638</v>
      </c>
      <c r="B157" s="32" t="str">
        <f>'A) Base RI'!B148</f>
        <v>Lonay</v>
      </c>
      <c r="C157" s="31">
        <f>'D) Ecrêtage'!C146</f>
        <v>145490.01981818181</v>
      </c>
      <c r="D157" s="14">
        <f>'A) Base RI'!AO148</f>
        <v>2679</v>
      </c>
      <c r="E157" s="10">
        <f t="shared" si="6"/>
        <v>2856807.8278966476</v>
      </c>
      <c r="F157" s="14">
        <f>'F) Population'!K149</f>
        <v>706914.38631790737</v>
      </c>
      <c r="G157" s="10">
        <f>'G) Solidarité'!I146</f>
        <v>0</v>
      </c>
      <c r="H157" s="14">
        <f t="shared" si="7"/>
        <v>706914.38631790737</v>
      </c>
      <c r="I157" s="55">
        <f t="shared" si="8"/>
        <v>2149893.4415787403</v>
      </c>
    </row>
    <row r="158" spans="1:9" x14ac:dyDescent="0.25">
      <c r="A158" s="49">
        <f>'A) Base RI'!A149</f>
        <v>5639</v>
      </c>
      <c r="B158" s="32" t="str">
        <f>'A) Base RI'!B149</f>
        <v>Lully</v>
      </c>
      <c r="C158" s="31">
        <f>'D) Ecrêtage'!C147</f>
        <v>45623.094262295082</v>
      </c>
      <c r="D158" s="14">
        <f>'A) Base RI'!AO149</f>
        <v>825</v>
      </c>
      <c r="E158" s="10">
        <f t="shared" si="6"/>
        <v>895844.35402697732</v>
      </c>
      <c r="F158" s="14">
        <f>'F) Population'!K150</f>
        <v>102295.02012072432</v>
      </c>
      <c r="G158" s="10">
        <f>'G) Solidarité'!I147</f>
        <v>0</v>
      </c>
      <c r="H158" s="14">
        <f t="shared" si="7"/>
        <v>102295.02012072432</v>
      </c>
      <c r="I158" s="55">
        <f t="shared" si="8"/>
        <v>793549.33390625298</v>
      </c>
    </row>
    <row r="159" spans="1:9" x14ac:dyDescent="0.25">
      <c r="A159" s="49">
        <f>'A) Base RI'!A150</f>
        <v>5640</v>
      </c>
      <c r="B159" s="32" t="str">
        <f>'A) Base RI'!B150</f>
        <v>Lussy-sur-Morges</v>
      </c>
      <c r="C159" s="31">
        <f>'D) Ecrêtage'!C148</f>
        <v>57031.532424242418</v>
      </c>
      <c r="D159" s="14">
        <f>'A) Base RI'!AO150</f>
        <v>722</v>
      </c>
      <c r="E159" s="10">
        <f t="shared" si="6"/>
        <v>1119857.7639217295</v>
      </c>
      <c r="F159" s="14">
        <f>'F) Population'!K151</f>
        <v>89523.641851106629</v>
      </c>
      <c r="G159" s="10">
        <f>'G) Solidarité'!I148</f>
        <v>0</v>
      </c>
      <c r="H159" s="14">
        <f t="shared" si="7"/>
        <v>89523.641851106629</v>
      </c>
      <c r="I159" s="55">
        <f t="shared" si="8"/>
        <v>1030334.1220706229</v>
      </c>
    </row>
    <row r="160" spans="1:9" x14ac:dyDescent="0.25">
      <c r="A160" s="49">
        <f>'A) Base RI'!A151</f>
        <v>5642</v>
      </c>
      <c r="B160" s="32" t="str">
        <f>'A) Base RI'!B151</f>
        <v>Morges</v>
      </c>
      <c r="C160" s="31">
        <f>'D) Ecrêtage'!C149</f>
        <v>787513.11402985093</v>
      </c>
      <c r="D160" s="14">
        <f>'A) Base RI'!AO151</f>
        <v>16095</v>
      </c>
      <c r="E160" s="10">
        <f t="shared" si="6"/>
        <v>15463422.381433962</v>
      </c>
      <c r="F160" s="14">
        <f>'F) Population'!K152</f>
        <v>10836824.446680078</v>
      </c>
      <c r="G160" s="10">
        <f>'G) Solidarité'!I149</f>
        <v>0</v>
      </c>
      <c r="H160" s="14">
        <f t="shared" si="7"/>
        <v>10836824.446680078</v>
      </c>
      <c r="I160" s="55">
        <f t="shared" si="8"/>
        <v>4626597.9347538836</v>
      </c>
    </row>
    <row r="161" spans="1:9" x14ac:dyDescent="0.25">
      <c r="A161" s="49">
        <f>'A) Base RI'!A152</f>
        <v>5643</v>
      </c>
      <c r="B161" s="32" t="str">
        <f>'A) Base RI'!B152</f>
        <v>Préverenges</v>
      </c>
      <c r="C161" s="31">
        <f>'D) Ecrêtage'!C150</f>
        <v>262337.37167999998</v>
      </c>
      <c r="D161" s="14">
        <f>'A) Base RI'!AO152</f>
        <v>5241</v>
      </c>
      <c r="E161" s="10">
        <f t="shared" si="6"/>
        <v>5151194.9610140761</v>
      </c>
      <c r="F161" s="14">
        <f>'F) Population'!K153</f>
        <v>1953748.088531187</v>
      </c>
      <c r="G161" s="10">
        <f>'G) Solidarité'!I150</f>
        <v>0</v>
      </c>
      <c r="H161" s="14">
        <f t="shared" si="7"/>
        <v>1953748.088531187</v>
      </c>
      <c r="I161" s="55">
        <f t="shared" si="8"/>
        <v>3197446.8724828893</v>
      </c>
    </row>
    <row r="162" spans="1:9" x14ac:dyDescent="0.25">
      <c r="A162" s="49">
        <f>'A) Base RI'!A153</f>
        <v>5644</v>
      </c>
      <c r="B162" s="32" t="str">
        <f>'A) Base RI'!B153</f>
        <v>Reverolle</v>
      </c>
      <c r="C162" s="31">
        <f>'D) Ecrêtage'!C151</f>
        <v>16020.747027027028</v>
      </c>
      <c r="D162" s="14">
        <f>'A) Base RI'!AO153</f>
        <v>407</v>
      </c>
      <c r="E162" s="10">
        <f t="shared" si="6"/>
        <v>314579.62252502993</v>
      </c>
      <c r="F162" s="14">
        <f>'F) Population'!K154</f>
        <v>50465.543259557337</v>
      </c>
      <c r="G162" s="10">
        <f>'G) Solidarité'!I151</f>
        <v>78777.109911216889</v>
      </c>
      <c r="H162" s="14">
        <f t="shared" si="7"/>
        <v>129242.65317077423</v>
      </c>
      <c r="I162" s="55">
        <f t="shared" si="8"/>
        <v>185336.96935425571</v>
      </c>
    </row>
    <row r="163" spans="1:9" x14ac:dyDescent="0.25">
      <c r="A163" s="49">
        <f>'A) Base RI'!A154</f>
        <v>5645</v>
      </c>
      <c r="B163" s="32" t="str">
        <f>'A) Base RI'!B154</f>
        <v>Romanel-sur-Morges</v>
      </c>
      <c r="C163" s="31">
        <f>'D) Ecrêtage'!C152</f>
        <v>27365.134464285718</v>
      </c>
      <c r="D163" s="14">
        <f>'A) Base RI'!AO154</f>
        <v>466</v>
      </c>
      <c r="E163" s="10">
        <f t="shared" si="6"/>
        <v>537335.3474466023</v>
      </c>
      <c r="F163" s="14">
        <f>'F) Population'!K155</f>
        <v>57781.18712273641</v>
      </c>
      <c r="G163" s="10">
        <f>'G) Solidarité'!I152</f>
        <v>0</v>
      </c>
      <c r="H163" s="14">
        <f t="shared" si="7"/>
        <v>57781.18712273641</v>
      </c>
      <c r="I163" s="55">
        <f t="shared" si="8"/>
        <v>479554.16032386589</v>
      </c>
    </row>
    <row r="164" spans="1:9" x14ac:dyDescent="0.25">
      <c r="A164" s="49">
        <f>'A) Base RI'!A155</f>
        <v>5646</v>
      </c>
      <c r="B164" s="32" t="str">
        <f>'A) Base RI'!B155</f>
        <v>Saint-Prex</v>
      </c>
      <c r="C164" s="31">
        <f>'D) Ecrêtage'!C153</f>
        <v>541092.68090909091</v>
      </c>
      <c r="D164" s="14">
        <f>'A) Base RI'!AO155</f>
        <v>5865</v>
      </c>
      <c r="E164" s="10">
        <f t="shared" si="6"/>
        <v>10624768.684274359</v>
      </c>
      <c r="F164" s="14">
        <f>'F) Population'!K156</f>
        <v>2325134.8088531187</v>
      </c>
      <c r="G164" s="10">
        <f>'G) Solidarité'!I153</f>
        <v>0</v>
      </c>
      <c r="H164" s="14">
        <f t="shared" si="7"/>
        <v>2325134.8088531187</v>
      </c>
      <c r="I164" s="55">
        <f t="shared" si="8"/>
        <v>8299633.87542124</v>
      </c>
    </row>
    <row r="165" spans="1:9" x14ac:dyDescent="0.25">
      <c r="A165" s="49">
        <f>'A) Base RI'!A156</f>
        <v>5648</v>
      </c>
      <c r="B165" s="32" t="str">
        <f>'A) Base RI'!B156</f>
        <v>Saint-Sulpice</v>
      </c>
      <c r="C165" s="31">
        <f>'D) Ecrêtage'!C154</f>
        <v>396458.15636363637</v>
      </c>
      <c r="D165" s="14">
        <f>'A) Base RI'!AO156</f>
        <v>4909</v>
      </c>
      <c r="E165" s="10">
        <f t="shared" si="6"/>
        <v>7784759.1604463337</v>
      </c>
      <c r="F165" s="14">
        <f>'F) Population'!K157</f>
        <v>1765178.0684104627</v>
      </c>
      <c r="G165" s="10">
        <f>'G) Solidarité'!I154</f>
        <v>0</v>
      </c>
      <c r="H165" s="14">
        <f t="shared" si="7"/>
        <v>1765178.0684104627</v>
      </c>
      <c r="I165" s="55">
        <f t="shared" si="8"/>
        <v>6019581.092035871</v>
      </c>
    </row>
    <row r="166" spans="1:9" x14ac:dyDescent="0.25">
      <c r="A166" s="49">
        <f>'A) Base RI'!A157</f>
        <v>5649</v>
      </c>
      <c r="B166" s="32" t="str">
        <f>'A) Base RI'!B157</f>
        <v>Tolochenaz</v>
      </c>
      <c r="C166" s="31">
        <f>'D) Ecrêtage'!C155</f>
        <v>215548.34569230766</v>
      </c>
      <c r="D166" s="14">
        <f>'A) Base RI'!AO157</f>
        <v>1889</v>
      </c>
      <c r="E166" s="10">
        <f t="shared" si="6"/>
        <v>4232456.6457100958</v>
      </c>
      <c r="F166" s="14">
        <f>'F) Population'!K158</f>
        <v>432639.73843058344</v>
      </c>
      <c r="G166" s="10">
        <f>'G) Solidarité'!I155</f>
        <v>0</v>
      </c>
      <c r="H166" s="14">
        <f t="shared" si="7"/>
        <v>432639.73843058344</v>
      </c>
      <c r="I166" s="55">
        <f t="shared" si="8"/>
        <v>3799816.9072795124</v>
      </c>
    </row>
    <row r="167" spans="1:9" x14ac:dyDescent="0.25">
      <c r="A167" s="49">
        <f>'A) Base RI'!A158</f>
        <v>5650</v>
      </c>
      <c r="B167" s="32" t="str">
        <f>'A) Base RI'!B158</f>
        <v>Vaux-sur-Morges</v>
      </c>
      <c r="C167" s="31">
        <f>'D) Ecrêtage'!C156</f>
        <v>63002.429285714286</v>
      </c>
      <c r="D167" s="14">
        <f>'A) Base RI'!AO158</f>
        <v>194</v>
      </c>
      <c r="E167" s="10">
        <f t="shared" si="6"/>
        <v>1237100.8910773469</v>
      </c>
      <c r="F167" s="14">
        <f>'F) Population'!K159</f>
        <v>24054.828973843054</v>
      </c>
      <c r="G167" s="10">
        <f>'G) Solidarité'!I156</f>
        <v>0</v>
      </c>
      <c r="H167" s="14">
        <f t="shared" si="7"/>
        <v>24054.828973843054</v>
      </c>
      <c r="I167" s="55">
        <f t="shared" si="8"/>
        <v>1213046.0621035038</v>
      </c>
    </row>
    <row r="168" spans="1:9" x14ac:dyDescent="0.25">
      <c r="A168" s="49">
        <f>'A) Base RI'!A159</f>
        <v>5651</v>
      </c>
      <c r="B168" s="32" t="str">
        <f>'A) Base RI'!B159</f>
        <v>Villars-Sainte-Croix</v>
      </c>
      <c r="C168" s="31">
        <f>'D) Ecrêtage'!C157</f>
        <v>55737.982975206622</v>
      </c>
      <c r="D168" s="14">
        <f>'A) Base RI'!AO159</f>
        <v>958</v>
      </c>
      <c r="E168" s="10">
        <f t="shared" si="6"/>
        <v>1094457.9310232599</v>
      </c>
      <c r="F168" s="14">
        <f>'F) Population'!K160</f>
        <v>118786.21730382292</v>
      </c>
      <c r="G168" s="10">
        <f>'G) Solidarité'!I157</f>
        <v>0</v>
      </c>
      <c r="H168" s="14">
        <f t="shared" si="7"/>
        <v>118786.21730382292</v>
      </c>
      <c r="I168" s="55">
        <f t="shared" si="8"/>
        <v>975671.7137194369</v>
      </c>
    </row>
    <row r="169" spans="1:9" x14ac:dyDescent="0.25">
      <c r="A169" s="49">
        <f>'A) Base RI'!A160</f>
        <v>5652</v>
      </c>
      <c r="B169" s="32" t="str">
        <f>'A) Base RI'!B160</f>
        <v>Villars-sous-Yens</v>
      </c>
      <c r="C169" s="31">
        <f>'D) Ecrêtage'!C158</f>
        <v>25662.281995614037</v>
      </c>
      <c r="D169" s="14">
        <f>'A) Base RI'!AO160</f>
        <v>615</v>
      </c>
      <c r="E169" s="10">
        <f t="shared" si="6"/>
        <v>503898.53667199513</v>
      </c>
      <c r="F169" s="14">
        <f>'F) Population'!K161</f>
        <v>76256.287726358132</v>
      </c>
      <c r="G169" s="10">
        <f>'G) Solidarité'!I158</f>
        <v>91862.93142768195</v>
      </c>
      <c r="H169" s="14">
        <f t="shared" si="7"/>
        <v>168119.2191540401</v>
      </c>
      <c r="I169" s="55">
        <f t="shared" si="8"/>
        <v>335779.31751795503</v>
      </c>
    </row>
    <row r="170" spans="1:9" x14ac:dyDescent="0.25">
      <c r="A170" s="49">
        <f>'A) Base RI'!A161</f>
        <v>5653</v>
      </c>
      <c r="B170" s="32" t="str">
        <f>'A) Base RI'!B161</f>
        <v>Vufflens-le-Château</v>
      </c>
      <c r="C170" s="31">
        <f>'D) Ecrêtage'!C159</f>
        <v>68786.034529914527</v>
      </c>
      <c r="D170" s="14">
        <f>'A) Base RI'!AO161</f>
        <v>870</v>
      </c>
      <c r="E170" s="10">
        <f t="shared" si="6"/>
        <v>1350666.4040640357</v>
      </c>
      <c r="F170" s="14">
        <f>'F) Population'!K162</f>
        <v>107874.74849094565</v>
      </c>
      <c r="G170" s="10">
        <f>'G) Solidarité'!I159</f>
        <v>0</v>
      </c>
      <c r="H170" s="14">
        <f t="shared" si="7"/>
        <v>107874.74849094565</v>
      </c>
      <c r="I170" s="55">
        <f t="shared" si="8"/>
        <v>1242791.6555730901</v>
      </c>
    </row>
    <row r="171" spans="1:9" x14ac:dyDescent="0.25">
      <c r="A171" s="49">
        <f>'A) Base RI'!A162</f>
        <v>5654</v>
      </c>
      <c r="B171" s="32" t="str">
        <f>'A) Base RI'!B162</f>
        <v>Vullierens</v>
      </c>
      <c r="C171" s="31">
        <f>'D) Ecrêtage'!C160</f>
        <v>19265.899342105262</v>
      </c>
      <c r="D171" s="14">
        <f>'A) Base RI'!AO162</f>
        <v>542</v>
      </c>
      <c r="E171" s="10">
        <f t="shared" si="6"/>
        <v>378300.67052555998</v>
      </c>
      <c r="F171" s="14">
        <f>'F) Population'!K163</f>
        <v>67204.728370221317</v>
      </c>
      <c r="G171" s="10">
        <f>'G) Solidarité'!I160</f>
        <v>158597.26039348703</v>
      </c>
      <c r="H171" s="14">
        <f t="shared" si="7"/>
        <v>225801.98876370833</v>
      </c>
      <c r="I171" s="55">
        <f t="shared" si="8"/>
        <v>152498.68176185165</v>
      </c>
    </row>
    <row r="172" spans="1:9" x14ac:dyDescent="0.25">
      <c r="A172" s="49">
        <f>'A) Base RI'!A163</f>
        <v>5655</v>
      </c>
      <c r="B172" s="32" t="str">
        <f>'A) Base RI'!B163</f>
        <v>Yens</v>
      </c>
      <c r="C172" s="31">
        <f>'D) Ecrêtage'!C161</f>
        <v>90935.122097902116</v>
      </c>
      <c r="D172" s="14">
        <f>'A) Base RI'!AO163</f>
        <v>1480</v>
      </c>
      <c r="E172" s="10">
        <f t="shared" si="6"/>
        <v>1785580.6808238479</v>
      </c>
      <c r="F172" s="14">
        <f>'F) Population'!K164</f>
        <v>290641.85110663978</v>
      </c>
      <c r="G172" s="10">
        <f>'G) Solidarité'!I161</f>
        <v>0</v>
      </c>
      <c r="H172" s="14">
        <f t="shared" si="7"/>
        <v>290641.85110663978</v>
      </c>
      <c r="I172" s="55">
        <f t="shared" si="8"/>
        <v>1494938.8297172082</v>
      </c>
    </row>
    <row r="173" spans="1:9" x14ac:dyDescent="0.25">
      <c r="A173" s="49">
        <f>'A) Base RI'!A164</f>
        <v>5661</v>
      </c>
      <c r="B173" s="32" t="str">
        <f>'A) Base RI'!B164</f>
        <v>Boulens</v>
      </c>
      <c r="C173" s="31">
        <f>'D) Ecrêtage'!C162</f>
        <v>10167.852447552446</v>
      </c>
      <c r="D173" s="14">
        <f>'A) Base RI'!AO164</f>
        <v>369</v>
      </c>
      <c r="E173" s="10">
        <f t="shared" si="6"/>
        <v>199653.56043917354</v>
      </c>
      <c r="F173" s="14">
        <f>'F) Population'!K165</f>
        <v>45753.772635814879</v>
      </c>
      <c r="G173" s="10">
        <f>'G) Solidarité'!I162</f>
        <v>156044.55155616842</v>
      </c>
      <c r="H173" s="14">
        <f t="shared" si="7"/>
        <v>201798.32419198329</v>
      </c>
      <c r="I173" s="55">
        <f t="shared" si="8"/>
        <v>-2144.7637528097548</v>
      </c>
    </row>
    <row r="174" spans="1:9" x14ac:dyDescent="0.25">
      <c r="A174" s="49">
        <f>'A) Base RI'!A165</f>
        <v>5663</v>
      </c>
      <c r="B174" s="32" t="str">
        <f>'A) Base RI'!B165</f>
        <v>Bussy-sur-Moudon</v>
      </c>
      <c r="C174" s="31">
        <f>'D) Ecrêtage'!C163</f>
        <v>5408.1284999999998</v>
      </c>
      <c r="D174" s="14">
        <f>'A) Base RI'!AO165</f>
        <v>219</v>
      </c>
      <c r="E174" s="10">
        <f t="shared" si="6"/>
        <v>106192.73990325059</v>
      </c>
      <c r="F174" s="14">
        <f>'F) Population'!K166</f>
        <v>27154.67806841046</v>
      </c>
      <c r="G174" s="10">
        <f>'G) Solidarité'!I163</f>
        <v>132025.71925477992</v>
      </c>
      <c r="H174" s="14">
        <f t="shared" si="7"/>
        <v>159180.39732319038</v>
      </c>
      <c r="I174" s="55">
        <f t="shared" si="8"/>
        <v>-52987.657419939787</v>
      </c>
    </row>
    <row r="175" spans="1:9" x14ac:dyDescent="0.25">
      <c r="A175" s="49">
        <f>'A) Base RI'!A166</f>
        <v>5665</v>
      </c>
      <c r="B175" s="32" t="str">
        <f>'A) Base RI'!B166</f>
        <v>Chavannes-sur-Moudon</v>
      </c>
      <c r="C175" s="31">
        <f>'D) Ecrêtage'!C164</f>
        <v>6834.8221917808223</v>
      </c>
      <c r="D175" s="14">
        <f>'A) Base RI'!AO166</f>
        <v>223</v>
      </c>
      <c r="E175" s="10">
        <f t="shared" si="6"/>
        <v>134206.96185320782</v>
      </c>
      <c r="F175" s="14">
        <f>'F) Population'!K167</f>
        <v>27650.653923541242</v>
      </c>
      <c r="G175" s="10">
        <f>'G) Solidarité'!I164</f>
        <v>83548.790516491295</v>
      </c>
      <c r="H175" s="14">
        <f t="shared" si="7"/>
        <v>111199.44444003253</v>
      </c>
      <c r="I175" s="55">
        <f t="shared" si="8"/>
        <v>23007.517413175286</v>
      </c>
    </row>
    <row r="176" spans="1:9" x14ac:dyDescent="0.25">
      <c r="A176" s="49">
        <f>'A) Base RI'!A167</f>
        <v>5669</v>
      </c>
      <c r="B176" s="32" t="str">
        <f>'A) Base RI'!B167</f>
        <v>Curtilles</v>
      </c>
      <c r="C176" s="31">
        <f>'D) Ecrêtage'!C165</f>
        <v>10286.853972602739</v>
      </c>
      <c r="D176" s="14">
        <f>'A) Base RI'!AO167</f>
        <v>301</v>
      </c>
      <c r="E176" s="10">
        <f t="shared" si="6"/>
        <v>201990.24641062482</v>
      </c>
      <c r="F176" s="14">
        <f>'F) Population'!K168</f>
        <v>37322.183098591544</v>
      </c>
      <c r="G176" s="10">
        <f>'G) Solidarité'!I165</f>
        <v>90079.652201985591</v>
      </c>
      <c r="H176" s="14">
        <f t="shared" si="7"/>
        <v>127401.83530057714</v>
      </c>
      <c r="I176" s="55">
        <f t="shared" si="8"/>
        <v>74588.411110047688</v>
      </c>
    </row>
    <row r="177" spans="1:9" x14ac:dyDescent="0.25">
      <c r="A177" s="49">
        <f>'A) Base RI'!A168</f>
        <v>5671</v>
      </c>
      <c r="B177" s="32" t="str">
        <f>'A) Base RI'!B168</f>
        <v>Dompierre</v>
      </c>
      <c r="C177" s="31">
        <f>'D) Ecrêtage'!C166</f>
        <v>6034.0657692307695</v>
      </c>
      <c r="D177" s="14">
        <f>'A) Base RI'!AO168</f>
        <v>245</v>
      </c>
      <c r="E177" s="10">
        <f t="shared" si="6"/>
        <v>118483.49697885892</v>
      </c>
      <c r="F177" s="14">
        <f>'F) Population'!K169</f>
        <v>30378.521126760559</v>
      </c>
      <c r="G177" s="10">
        <f>'G) Solidarité'!I166</f>
        <v>140800.88539386223</v>
      </c>
      <c r="H177" s="14">
        <f t="shared" si="7"/>
        <v>171179.40652062278</v>
      </c>
      <c r="I177" s="55">
        <f t="shared" si="8"/>
        <v>-52695.90954176386</v>
      </c>
    </row>
    <row r="178" spans="1:9" x14ac:dyDescent="0.25">
      <c r="A178" s="49">
        <f>'A) Base RI'!A169</f>
        <v>5673</v>
      </c>
      <c r="B178" s="32" t="str">
        <f>'A) Base RI'!B169</f>
        <v>Hermenches</v>
      </c>
      <c r="C178" s="31">
        <f>'D) Ecrêtage'!C167</f>
        <v>10638.728435374151</v>
      </c>
      <c r="D178" s="14">
        <f>'A) Base RI'!AO169</f>
        <v>384</v>
      </c>
      <c r="E178" s="10">
        <f t="shared" si="6"/>
        <v>208899.57064426324</v>
      </c>
      <c r="F178" s="14">
        <f>'F) Population'!K170</f>
        <v>47613.682092555326</v>
      </c>
      <c r="G178" s="10">
        <f>'G) Solidarité'!I167</f>
        <v>170352.20097506349</v>
      </c>
      <c r="H178" s="14">
        <f t="shared" si="7"/>
        <v>217965.88306761882</v>
      </c>
      <c r="I178" s="55">
        <f t="shared" si="8"/>
        <v>-9066.3124233555864</v>
      </c>
    </row>
    <row r="179" spans="1:9" x14ac:dyDescent="0.25">
      <c r="A179" s="49">
        <f>'A) Base RI'!A170</f>
        <v>5674</v>
      </c>
      <c r="B179" s="32" t="str">
        <f>'A) Base RI'!B170</f>
        <v>Lovatens</v>
      </c>
      <c r="C179" s="31">
        <f>'D) Ecrêtage'!C168</f>
        <v>3430.742038095239</v>
      </c>
      <c r="D179" s="14">
        <f>'A) Base RI'!AO170</f>
        <v>142</v>
      </c>
      <c r="E179" s="10">
        <f t="shared" si="6"/>
        <v>67365.244173949555</v>
      </c>
      <c r="F179" s="14">
        <f>'F) Population'!K171</f>
        <v>17607.142857142855</v>
      </c>
      <c r="G179" s="10">
        <f>'G) Solidarité'!I168</f>
        <v>76952.259623748556</v>
      </c>
      <c r="H179" s="14">
        <f t="shared" si="7"/>
        <v>94559.402480891411</v>
      </c>
      <c r="I179" s="55">
        <f t="shared" si="8"/>
        <v>-27194.158306941856</v>
      </c>
    </row>
    <row r="180" spans="1:9" x14ac:dyDescent="0.25">
      <c r="A180" s="49">
        <f>'A) Base RI'!A171</f>
        <v>5675</v>
      </c>
      <c r="B180" s="32" t="str">
        <f>'A) Base RI'!B171</f>
        <v>Lucens</v>
      </c>
      <c r="C180" s="31">
        <f>'D) Ecrêtage'!C169</f>
        <v>97154.219717171698</v>
      </c>
      <c r="D180" s="14">
        <f>'A) Base RI'!AO171</f>
        <v>4309</v>
      </c>
      <c r="E180" s="10">
        <f t="shared" si="6"/>
        <v>1907697.4197134692</v>
      </c>
      <c r="F180" s="14">
        <f>'F) Population'!K172</f>
        <v>1467592.5553319918</v>
      </c>
      <c r="G180" s="10">
        <f>'G) Solidarité'!I169</f>
        <v>2018528.6044134439</v>
      </c>
      <c r="H180" s="14">
        <f t="shared" si="7"/>
        <v>3486121.1597454357</v>
      </c>
      <c r="I180" s="55">
        <f t="shared" si="8"/>
        <v>-1578423.7400319665</v>
      </c>
    </row>
    <row r="181" spans="1:9" x14ac:dyDescent="0.25">
      <c r="A181" s="49">
        <f>'A) Base RI'!A172</f>
        <v>5678</v>
      </c>
      <c r="B181" s="32" t="str">
        <f>'A) Base RI'!B172</f>
        <v>Moudon</v>
      </c>
      <c r="C181" s="31">
        <f>'D) Ecrêtage'!C170</f>
        <v>124965.41862068966</v>
      </c>
      <c r="D181" s="14">
        <f>'A) Base RI'!AO172</f>
        <v>6109</v>
      </c>
      <c r="E181" s="10">
        <f t="shared" si="6"/>
        <v>2453791.583629665</v>
      </c>
      <c r="F181" s="14">
        <f>'F) Population'!K173</f>
        <v>2470356.5392354121</v>
      </c>
      <c r="G181" s="10">
        <f>'G) Solidarité'!I170</f>
        <v>3570754.3522543628</v>
      </c>
      <c r="H181" s="14">
        <f t="shared" si="7"/>
        <v>6041110.8914897749</v>
      </c>
      <c r="I181" s="55">
        <f t="shared" si="8"/>
        <v>-3587319.30786011</v>
      </c>
    </row>
    <row r="182" spans="1:9" x14ac:dyDescent="0.25">
      <c r="A182" s="49">
        <f>'A) Base RI'!A173</f>
        <v>5680</v>
      </c>
      <c r="B182" s="32" t="str">
        <f>'A) Base RI'!B173</f>
        <v>Ogens</v>
      </c>
      <c r="C182" s="31">
        <f>'D) Ecrêtage'!C171</f>
        <v>8675.0652136752142</v>
      </c>
      <c r="D182" s="14">
        <f>'A) Base RI'!AO173</f>
        <v>301</v>
      </c>
      <c r="E182" s="10">
        <f t="shared" si="6"/>
        <v>170341.54123363545</v>
      </c>
      <c r="F182" s="14">
        <f>'F) Population'!K174</f>
        <v>37322.183098591544</v>
      </c>
      <c r="G182" s="10">
        <f>'G) Solidarité'!I171</f>
        <v>142184.62105352443</v>
      </c>
      <c r="H182" s="14">
        <f t="shared" si="7"/>
        <v>179506.80415211598</v>
      </c>
      <c r="I182" s="55">
        <f t="shared" si="8"/>
        <v>-9165.2629184805264</v>
      </c>
    </row>
    <row r="183" spans="1:9" x14ac:dyDescent="0.25">
      <c r="A183" s="49">
        <f>'A) Base RI'!A174</f>
        <v>5683</v>
      </c>
      <c r="B183" s="32" t="str">
        <f>'A) Base RI'!B174</f>
        <v>Prévonloup</v>
      </c>
      <c r="C183" s="31">
        <f>'D) Ecrêtage'!C172</f>
        <v>5006.0282758620697</v>
      </c>
      <c r="D183" s="14">
        <f>'A) Base RI'!AO174</f>
        <v>202</v>
      </c>
      <c r="E183" s="10">
        <f t="shared" si="6"/>
        <v>98297.194426304544</v>
      </c>
      <c r="F183" s="14">
        <f>'F) Population'!K175</f>
        <v>25046.780684104622</v>
      </c>
      <c r="G183" s="10">
        <f>'G) Solidarité'!I172</f>
        <v>99640.788892677112</v>
      </c>
      <c r="H183" s="14">
        <f t="shared" si="7"/>
        <v>124687.56957678174</v>
      </c>
      <c r="I183" s="55">
        <f t="shared" si="8"/>
        <v>-26390.375150477194</v>
      </c>
    </row>
    <row r="184" spans="1:9" x14ac:dyDescent="0.25">
      <c r="A184" s="49">
        <f>'A) Base RI'!A175</f>
        <v>5684</v>
      </c>
      <c r="B184" s="32" t="str">
        <f>'A) Base RI'!B175</f>
        <v>Rossenges</v>
      </c>
      <c r="C184" s="31">
        <f>'D) Ecrêtage'!C173</f>
        <v>4335.3234000000011</v>
      </c>
      <c r="D184" s="14">
        <f>'A) Base RI'!AO175</f>
        <v>84</v>
      </c>
      <c r="E184" s="10">
        <f t="shared" si="6"/>
        <v>85127.391150686628</v>
      </c>
      <c r="F184" s="14">
        <f>'F) Population'!K176</f>
        <v>10415.492957746477</v>
      </c>
      <c r="G184" s="10">
        <f>'G) Solidarité'!I173</f>
        <v>0</v>
      </c>
      <c r="H184" s="14">
        <f t="shared" si="7"/>
        <v>10415.492957746477</v>
      </c>
      <c r="I184" s="55">
        <f t="shared" si="8"/>
        <v>74711.898192940149</v>
      </c>
    </row>
    <row r="185" spans="1:9" x14ac:dyDescent="0.25">
      <c r="A185" s="49">
        <f>'A) Base RI'!A176</f>
        <v>5688</v>
      </c>
      <c r="B185" s="32" t="str">
        <f>'A) Base RI'!B176</f>
        <v>Syens</v>
      </c>
      <c r="C185" s="31">
        <f>'D) Ecrêtage'!C174</f>
        <v>5094.0764550264557</v>
      </c>
      <c r="D185" s="14">
        <f>'A) Base RI'!AO176</f>
        <v>156</v>
      </c>
      <c r="E185" s="10">
        <f t="shared" si="6"/>
        <v>100026.08777433769</v>
      </c>
      <c r="F185" s="14">
        <f>'F) Population'!K177</f>
        <v>19343.0583501006</v>
      </c>
      <c r="G185" s="10">
        <f>'G) Solidarité'!I174</f>
        <v>55512.328435126336</v>
      </c>
      <c r="H185" s="14">
        <f t="shared" si="7"/>
        <v>74855.386785226932</v>
      </c>
      <c r="I185" s="55">
        <f t="shared" si="8"/>
        <v>25170.700989110759</v>
      </c>
    </row>
    <row r="186" spans="1:9" x14ac:dyDescent="0.25">
      <c r="A186" s="49">
        <f>'A) Base RI'!A177</f>
        <v>5690</v>
      </c>
      <c r="B186" s="32" t="str">
        <f>'A) Base RI'!B177</f>
        <v>Villars-le-Comte</v>
      </c>
      <c r="C186" s="31">
        <f>'D) Ecrêtage'!C175</f>
        <v>3483.7788571428573</v>
      </c>
      <c r="D186" s="14">
        <f>'A) Base RI'!AO177</f>
        <v>120</v>
      </c>
      <c r="E186" s="10">
        <f t="shared" si="6"/>
        <v>68406.662685070274</v>
      </c>
      <c r="F186" s="14">
        <f>'F) Population'!K178</f>
        <v>14879.275653923538</v>
      </c>
      <c r="G186" s="10">
        <f>'G) Solidarité'!I175</f>
        <v>45156.515280301006</v>
      </c>
      <c r="H186" s="14">
        <f t="shared" si="7"/>
        <v>60035.79093422454</v>
      </c>
      <c r="I186" s="55">
        <f t="shared" si="8"/>
        <v>8370.8717508457339</v>
      </c>
    </row>
    <row r="187" spans="1:9" x14ac:dyDescent="0.25">
      <c r="A187" s="49">
        <f>'A) Base RI'!A178</f>
        <v>5692</v>
      </c>
      <c r="B187" s="32" t="str">
        <f>'A) Base RI'!B178</f>
        <v>Vucherens</v>
      </c>
      <c r="C187" s="31">
        <f>'D) Ecrêtage'!C176</f>
        <v>18084.556363636369</v>
      </c>
      <c r="D187" s="14">
        <f>'A) Base RI'!AO178</f>
        <v>617</v>
      </c>
      <c r="E187" s="10">
        <f t="shared" si="6"/>
        <v>355104.09750606189</v>
      </c>
      <c r="F187" s="14">
        <f>'F) Population'!K179</f>
        <v>76504.275653923527</v>
      </c>
      <c r="G187" s="10">
        <f>'G) Solidarité'!I176</f>
        <v>276843.03696091642</v>
      </c>
      <c r="H187" s="14">
        <f t="shared" si="7"/>
        <v>353347.31261483993</v>
      </c>
      <c r="I187" s="55">
        <f t="shared" si="8"/>
        <v>1756.7848912219633</v>
      </c>
    </row>
    <row r="188" spans="1:9" x14ac:dyDescent="0.25">
      <c r="A188" s="49">
        <f>'A) Base RI'!A179</f>
        <v>5693</v>
      </c>
      <c r="B188" s="32" t="str">
        <f>'A) Base RI'!B179</f>
        <v>Montanaire</v>
      </c>
      <c r="C188" s="31">
        <f>'D) Ecrêtage'!C177</f>
        <v>71120.535138888881</v>
      </c>
      <c r="D188" s="14">
        <f>'A) Base RI'!AO179</f>
        <v>2782</v>
      </c>
      <c r="E188" s="10">
        <f t="shared" si="6"/>
        <v>1396506.1092361289</v>
      </c>
      <c r="F188" s="14">
        <f>'F) Population'!K180</f>
        <v>742674.24547283689</v>
      </c>
      <c r="G188" s="10">
        <f>'G) Solidarité'!I177</f>
        <v>1308157.6952345199</v>
      </c>
      <c r="H188" s="14">
        <f t="shared" si="7"/>
        <v>2050831.9407073567</v>
      </c>
      <c r="I188" s="55">
        <f t="shared" si="8"/>
        <v>-654325.83147122781</v>
      </c>
    </row>
    <row r="189" spans="1:9" x14ac:dyDescent="0.25">
      <c r="A189" s="49">
        <f>'A) Base RI'!A180</f>
        <v>5701</v>
      </c>
      <c r="B189" s="32" t="str">
        <f>'A) Base RI'!B180</f>
        <v>Arnex-sur-Nyon</v>
      </c>
      <c r="C189" s="31">
        <f>'D) Ecrêtage'!C178</f>
        <v>12579.391714285715</v>
      </c>
      <c r="D189" s="14">
        <f>'A) Base RI'!AO180</f>
        <v>240</v>
      </c>
      <c r="E189" s="10">
        <f t="shared" si="6"/>
        <v>247005.97858505923</v>
      </c>
      <c r="F189" s="14">
        <f>'F) Population'!K181</f>
        <v>29758.551307847076</v>
      </c>
      <c r="G189" s="10">
        <f>'G) Solidarité'!I178</f>
        <v>0</v>
      </c>
      <c r="H189" s="14">
        <f t="shared" si="7"/>
        <v>29758.551307847076</v>
      </c>
      <c r="I189" s="55">
        <f t="shared" si="8"/>
        <v>217247.42727721215</v>
      </c>
    </row>
    <row r="190" spans="1:9" x14ac:dyDescent="0.25">
      <c r="A190" s="49">
        <f>'A) Base RI'!A181</f>
        <v>5702</v>
      </c>
      <c r="B190" s="32" t="str">
        <f>'A) Base RI'!B181</f>
        <v>Arzier-Le Muids</v>
      </c>
      <c r="C190" s="31">
        <f>'D) Ecrêtage'!C179</f>
        <v>167751.11713541666</v>
      </c>
      <c r="D190" s="14">
        <f>'A) Base RI'!AO181</f>
        <v>2912</v>
      </c>
      <c r="E190" s="10">
        <f t="shared" si="6"/>
        <v>3293921.5017618435</v>
      </c>
      <c r="F190" s="14">
        <f>'F) Population'!K182</f>
        <v>787808.04828973836</v>
      </c>
      <c r="G190" s="10">
        <f>'G) Solidarité'!I179</f>
        <v>0</v>
      </c>
      <c r="H190" s="14">
        <f t="shared" si="7"/>
        <v>787808.04828973836</v>
      </c>
      <c r="I190" s="55">
        <f t="shared" si="8"/>
        <v>2506113.4534721049</v>
      </c>
    </row>
    <row r="191" spans="1:9" x14ac:dyDescent="0.25">
      <c r="A191" s="49">
        <f>'A) Base RI'!A182</f>
        <v>5703</v>
      </c>
      <c r="B191" s="32" t="str">
        <f>'A) Base RI'!B182</f>
        <v>Bassins</v>
      </c>
      <c r="C191" s="31">
        <f>'D) Ecrêtage'!C180</f>
        <v>66904.36396059113</v>
      </c>
      <c r="D191" s="14">
        <f>'A) Base RI'!AO182</f>
        <v>1475</v>
      </c>
      <c r="E191" s="10">
        <f t="shared" si="6"/>
        <v>1313718.3631009259</v>
      </c>
      <c r="F191" s="14">
        <f>'F) Population'!K183</f>
        <v>288905.93561368203</v>
      </c>
      <c r="G191" s="10">
        <f>'G) Solidarité'!I180</f>
        <v>87533.927177483594</v>
      </c>
      <c r="H191" s="14">
        <f t="shared" si="7"/>
        <v>376439.86279116559</v>
      </c>
      <c r="I191" s="55">
        <f t="shared" si="8"/>
        <v>937278.50030976033</v>
      </c>
    </row>
    <row r="192" spans="1:9" x14ac:dyDescent="0.25">
      <c r="A192" s="49">
        <f>'A) Base RI'!A183</f>
        <v>5704</v>
      </c>
      <c r="B192" s="32" t="str">
        <f>'A) Base RI'!B183</f>
        <v>Begnins</v>
      </c>
      <c r="C192" s="31">
        <f>'D) Ecrêtage'!C181</f>
        <v>141538.79477333333</v>
      </c>
      <c r="D192" s="14">
        <f>'A) Base RI'!AO183</f>
        <v>1928</v>
      </c>
      <c r="E192" s="10">
        <f t="shared" si="6"/>
        <v>2779222.5017553023</v>
      </c>
      <c r="F192" s="14">
        <f>'F) Population'!K184</f>
        <v>446179.87927565386</v>
      </c>
      <c r="G192" s="10">
        <f>'G) Solidarité'!I181</f>
        <v>0</v>
      </c>
      <c r="H192" s="14">
        <f t="shared" si="7"/>
        <v>446179.87927565386</v>
      </c>
      <c r="I192" s="55">
        <f t="shared" si="8"/>
        <v>2333042.6224796483</v>
      </c>
    </row>
    <row r="193" spans="1:9" x14ac:dyDescent="0.25">
      <c r="A193" s="49">
        <f>'A) Base RI'!A184</f>
        <v>5705</v>
      </c>
      <c r="B193" s="32" t="str">
        <f>'A) Base RI'!B184</f>
        <v>Bogis-Bossey</v>
      </c>
      <c r="C193" s="31">
        <f>'D) Ecrêtage'!C182</f>
        <v>56148.948053691274</v>
      </c>
      <c r="D193" s="14">
        <f>'A) Base RI'!AO184</f>
        <v>835</v>
      </c>
      <c r="E193" s="10">
        <f t="shared" si="6"/>
        <v>1102527.5446962412</v>
      </c>
      <c r="F193" s="14">
        <f>'F) Population'!K185</f>
        <v>103534.9597585513</v>
      </c>
      <c r="G193" s="10">
        <f>'G) Solidarité'!I182</f>
        <v>0</v>
      </c>
      <c r="H193" s="14">
        <f t="shared" si="7"/>
        <v>103534.9597585513</v>
      </c>
      <c r="I193" s="55">
        <f t="shared" si="8"/>
        <v>998992.58493768983</v>
      </c>
    </row>
    <row r="194" spans="1:9" x14ac:dyDescent="0.25">
      <c r="A194" s="49">
        <f>'A) Base RI'!A185</f>
        <v>5706</v>
      </c>
      <c r="B194" s="32" t="str">
        <f>'A) Base RI'!B185</f>
        <v>Borex</v>
      </c>
      <c r="C194" s="31">
        <f>'D) Ecrêtage'!C183</f>
        <v>84057.706842105254</v>
      </c>
      <c r="D194" s="14">
        <f>'A) Base RI'!AO185</f>
        <v>1157</v>
      </c>
      <c r="E194" s="10">
        <f t="shared" si="6"/>
        <v>1650537.3715782403</v>
      </c>
      <c r="F194" s="14">
        <f>'F) Population'!K186</f>
        <v>178501.71026156939</v>
      </c>
      <c r="G194" s="10">
        <f>'G) Solidarité'!I183</f>
        <v>0</v>
      </c>
      <c r="H194" s="14">
        <f t="shared" si="7"/>
        <v>178501.71026156939</v>
      </c>
      <c r="I194" s="55">
        <f t="shared" si="8"/>
        <v>1472035.6613166709</v>
      </c>
    </row>
    <row r="195" spans="1:9" x14ac:dyDescent="0.25">
      <c r="A195" s="49">
        <f>'A) Base RI'!A186</f>
        <v>5707</v>
      </c>
      <c r="B195" s="32" t="str">
        <f>'A) Base RI'!B186</f>
        <v>Chavannes-de-Bogis</v>
      </c>
      <c r="C195" s="31">
        <f>'D) Ecrêtage'!C184</f>
        <v>81835.320459770097</v>
      </c>
      <c r="D195" s="14">
        <f>'A) Base RI'!AO186</f>
        <v>1329</v>
      </c>
      <c r="E195" s="10">
        <f t="shared" si="6"/>
        <v>1606899.1150050387</v>
      </c>
      <c r="F195" s="14">
        <f>'F) Population'!K187</f>
        <v>238217.20321931585</v>
      </c>
      <c r="G195" s="10">
        <f>'G) Solidarité'!I184</f>
        <v>0</v>
      </c>
      <c r="H195" s="14">
        <f t="shared" si="7"/>
        <v>238217.20321931585</v>
      </c>
      <c r="I195" s="55">
        <f t="shared" si="8"/>
        <v>1368681.9117857227</v>
      </c>
    </row>
    <row r="196" spans="1:9" x14ac:dyDescent="0.25">
      <c r="A196" s="49">
        <f>'A) Base RI'!A187</f>
        <v>5708</v>
      </c>
      <c r="B196" s="32" t="str">
        <f>'A) Base RI'!B187</f>
        <v>Chavannes-des-Bois</v>
      </c>
      <c r="C196" s="31">
        <f>'D) Ecrêtage'!C185</f>
        <v>67256.112794117653</v>
      </c>
      <c r="D196" s="14">
        <f>'A) Base RI'!AO187</f>
        <v>1013</v>
      </c>
      <c r="E196" s="10">
        <f t="shared" si="6"/>
        <v>1320625.2205082444</v>
      </c>
      <c r="F196" s="14">
        <f>'F) Population'!K188</f>
        <v>128507.3440643863</v>
      </c>
      <c r="G196" s="10">
        <f>'G) Solidarité'!I185</f>
        <v>0</v>
      </c>
      <c r="H196" s="14">
        <f t="shared" si="7"/>
        <v>128507.3440643863</v>
      </c>
      <c r="I196" s="55">
        <f t="shared" si="8"/>
        <v>1192117.876443858</v>
      </c>
    </row>
    <row r="197" spans="1:9" x14ac:dyDescent="0.25">
      <c r="A197" s="49">
        <f>'A) Base RI'!A188</f>
        <v>5709</v>
      </c>
      <c r="B197" s="32" t="str">
        <f>'A) Base RI'!B188</f>
        <v>Chéserex</v>
      </c>
      <c r="C197" s="31">
        <f>'D) Ecrêtage'!C186</f>
        <v>97368.06631578946</v>
      </c>
      <c r="D197" s="14">
        <f>'A) Base RI'!AO188</f>
        <v>1248</v>
      </c>
      <c r="E197" s="10">
        <f t="shared" si="6"/>
        <v>1911896.4612536638</v>
      </c>
      <c r="F197" s="14">
        <f>'F) Population'!K189</f>
        <v>210095.37223340035</v>
      </c>
      <c r="G197" s="10">
        <f>'G) Solidarité'!I186</f>
        <v>0</v>
      </c>
      <c r="H197" s="14">
        <f t="shared" si="7"/>
        <v>210095.37223340035</v>
      </c>
      <c r="I197" s="55">
        <f t="shared" si="8"/>
        <v>1701801.0890202634</v>
      </c>
    </row>
    <row r="198" spans="1:9" x14ac:dyDescent="0.25">
      <c r="A198" s="49">
        <f>'A) Base RI'!A189</f>
        <v>5710</v>
      </c>
      <c r="B198" s="32" t="str">
        <f>'A) Base RI'!B189</f>
        <v>Coinsins</v>
      </c>
      <c r="C198" s="31">
        <f>'D) Ecrêtage'!C187</f>
        <v>41108.965294117646</v>
      </c>
      <c r="D198" s="14">
        <f>'A) Base RI'!AO189</f>
        <v>509</v>
      </c>
      <c r="E198" s="10">
        <f t="shared" si="6"/>
        <v>807205.97877250705</v>
      </c>
      <c r="F198" s="14">
        <f>'F) Population'!K190</f>
        <v>63112.927565392347</v>
      </c>
      <c r="G198" s="10">
        <f>'G) Solidarité'!I187</f>
        <v>0</v>
      </c>
      <c r="H198" s="14">
        <f t="shared" si="7"/>
        <v>63112.927565392347</v>
      </c>
      <c r="I198" s="55">
        <f t="shared" si="8"/>
        <v>744093.05120711471</v>
      </c>
    </row>
    <row r="199" spans="1:9" x14ac:dyDescent="0.25">
      <c r="A199" s="49">
        <f>'A) Base RI'!A190</f>
        <v>5711</v>
      </c>
      <c r="B199" s="32" t="str">
        <f>'A) Base RI'!B190</f>
        <v>Commugny</v>
      </c>
      <c r="C199" s="31">
        <f>'D) Ecrêtage'!C188</f>
        <v>252772.67295911297</v>
      </c>
      <c r="D199" s="14">
        <f>'A) Base RI'!AO190</f>
        <v>2997</v>
      </c>
      <c r="E199" s="10">
        <f t="shared" si="6"/>
        <v>4963384.7853645692</v>
      </c>
      <c r="F199" s="14">
        <f>'F) Population'!K191</f>
        <v>817318.61167002004</v>
      </c>
      <c r="G199" s="10">
        <f>'G) Solidarité'!I188</f>
        <v>0</v>
      </c>
      <c r="H199" s="14">
        <f t="shared" si="7"/>
        <v>817318.61167002004</v>
      </c>
      <c r="I199" s="55">
        <f t="shared" si="8"/>
        <v>4146066.1736945491</v>
      </c>
    </row>
    <row r="200" spans="1:9" x14ac:dyDescent="0.25">
      <c r="A200" s="49">
        <f>'A) Base RI'!A191</f>
        <v>5712</v>
      </c>
      <c r="B200" s="32" t="str">
        <f>'A) Base RI'!B191</f>
        <v>Coppet</v>
      </c>
      <c r="C200" s="31">
        <f>'D) Ecrêtage'!C189</f>
        <v>382004.08345911955</v>
      </c>
      <c r="D200" s="14">
        <f>'A) Base RI'!AO191</f>
        <v>3247</v>
      </c>
      <c r="E200" s="10">
        <f t="shared" si="6"/>
        <v>7500942.3827029839</v>
      </c>
      <c r="F200" s="14">
        <f>'F) Population'!K192</f>
        <v>940866.19718309853</v>
      </c>
      <c r="G200" s="10">
        <f>'G) Solidarité'!I189</f>
        <v>0</v>
      </c>
      <c r="H200" s="14">
        <f t="shared" si="7"/>
        <v>940866.19718309853</v>
      </c>
      <c r="I200" s="55">
        <f t="shared" si="8"/>
        <v>6560076.1855198853</v>
      </c>
    </row>
    <row r="201" spans="1:9" x14ac:dyDescent="0.25">
      <c r="A201" s="49">
        <f>'A) Base RI'!A192</f>
        <v>5713</v>
      </c>
      <c r="B201" s="32" t="str">
        <f>'A) Base RI'!B192</f>
        <v>Crans-près-Céligny</v>
      </c>
      <c r="C201" s="31">
        <f>'D) Ecrêtage'!C190</f>
        <v>308668.8301785714</v>
      </c>
      <c r="D201" s="14">
        <f>'A) Base RI'!AO192</f>
        <v>2340</v>
      </c>
      <c r="E201" s="10">
        <f t="shared" si="6"/>
        <v>6060948.5886649434</v>
      </c>
      <c r="F201" s="14">
        <f>'F) Population'!K193</f>
        <v>589219.31589537219</v>
      </c>
      <c r="G201" s="10">
        <f>'G) Solidarité'!I190</f>
        <v>0</v>
      </c>
      <c r="H201" s="14">
        <f t="shared" si="7"/>
        <v>589219.31589537219</v>
      </c>
      <c r="I201" s="55">
        <f t="shared" si="8"/>
        <v>5471729.2727695713</v>
      </c>
    </row>
    <row r="202" spans="1:9" x14ac:dyDescent="0.25">
      <c r="A202" s="49">
        <f>'A) Base RI'!A193</f>
        <v>5714</v>
      </c>
      <c r="B202" s="32" t="str">
        <f>'A) Base RI'!B193</f>
        <v>Crassier</v>
      </c>
      <c r="C202" s="31">
        <f>'D) Ecrêtage'!C191</f>
        <v>53429.691617647055</v>
      </c>
      <c r="D202" s="14">
        <f>'A) Base RI'!AO193</f>
        <v>1174</v>
      </c>
      <c r="E202" s="10">
        <f t="shared" si="6"/>
        <v>1049132.8645507742</v>
      </c>
      <c r="F202" s="14">
        <f>'F) Population'!K194</f>
        <v>184403.82293762572</v>
      </c>
      <c r="G202" s="10">
        <f>'G) Solidarité'!I191</f>
        <v>57981.887411487056</v>
      </c>
      <c r="H202" s="14">
        <f t="shared" si="7"/>
        <v>242385.71034911278</v>
      </c>
      <c r="I202" s="55">
        <f t="shared" si="8"/>
        <v>806747.15420166147</v>
      </c>
    </row>
    <row r="203" spans="1:9" x14ac:dyDescent="0.25">
      <c r="A203" s="49">
        <f>'A) Base RI'!A194</f>
        <v>5715</v>
      </c>
      <c r="B203" s="32" t="str">
        <f>'A) Base RI'!B194</f>
        <v>Duillier</v>
      </c>
      <c r="C203" s="31">
        <f>'D) Ecrêtage'!C192</f>
        <v>61573.714242424234</v>
      </c>
      <c r="D203" s="14">
        <f>'A) Base RI'!AO194</f>
        <v>1128</v>
      </c>
      <c r="E203" s="10">
        <f t="shared" si="6"/>
        <v>1209046.9783443261</v>
      </c>
      <c r="F203" s="14">
        <f>'F) Population'!K195</f>
        <v>168433.40040241447</v>
      </c>
      <c r="G203" s="10">
        <f>'G) Solidarité'!I192</f>
        <v>0</v>
      </c>
      <c r="H203" s="14">
        <f t="shared" si="7"/>
        <v>168433.40040241447</v>
      </c>
      <c r="I203" s="55">
        <f t="shared" si="8"/>
        <v>1040613.5779419116</v>
      </c>
    </row>
    <row r="204" spans="1:9" x14ac:dyDescent="0.25">
      <c r="A204" s="49">
        <f>'A) Base RI'!A195</f>
        <v>5716</v>
      </c>
      <c r="B204" s="32" t="str">
        <f>'A) Base RI'!B195</f>
        <v>Eysins</v>
      </c>
      <c r="C204" s="31">
        <f>'D) Ecrêtage'!C193</f>
        <v>311499.41949579836</v>
      </c>
      <c r="D204" s="14">
        <f>'A) Base RI'!AO195</f>
        <v>1740</v>
      </c>
      <c r="E204" s="10">
        <f t="shared" si="6"/>
        <v>6116529.3750935951</v>
      </c>
      <c r="F204" s="14">
        <f>'F) Population'!K196</f>
        <v>380909.45674044261</v>
      </c>
      <c r="G204" s="10">
        <f>'G) Solidarité'!I193</f>
        <v>0</v>
      </c>
      <c r="H204" s="14">
        <f t="shared" si="7"/>
        <v>380909.45674044261</v>
      </c>
      <c r="I204" s="55">
        <f t="shared" si="8"/>
        <v>5735619.9183531525</v>
      </c>
    </row>
    <row r="205" spans="1:9" x14ac:dyDescent="0.25">
      <c r="A205" s="49">
        <f>'A) Base RI'!A196</f>
        <v>5717</v>
      </c>
      <c r="B205" s="32" t="str">
        <f>'A) Base RI'!B196</f>
        <v>Founex</v>
      </c>
      <c r="C205" s="31">
        <f>'D) Ecrêtage'!C194</f>
        <v>386801.60228070174</v>
      </c>
      <c r="D205" s="14">
        <f>'A) Base RI'!AO196</f>
        <v>3834</v>
      </c>
      <c r="E205" s="10">
        <f t="shared" si="6"/>
        <v>7595145.334500676</v>
      </c>
      <c r="F205" s="14">
        <f>'F) Population'!K197</f>
        <v>1232004.0241448691</v>
      </c>
      <c r="G205" s="10">
        <f>'G) Solidarité'!I194</f>
        <v>0</v>
      </c>
      <c r="H205" s="14">
        <f t="shared" si="7"/>
        <v>1232004.0241448691</v>
      </c>
      <c r="I205" s="55">
        <f t="shared" si="8"/>
        <v>6363141.3103558067</v>
      </c>
    </row>
    <row r="206" spans="1:9" x14ac:dyDescent="0.25">
      <c r="A206" s="49">
        <f>'A) Base RI'!A197</f>
        <v>5718</v>
      </c>
      <c r="B206" s="32" t="str">
        <f>'A) Base RI'!B197</f>
        <v>Genolier</v>
      </c>
      <c r="C206" s="31">
        <f>'D) Ecrêtage'!C195</f>
        <v>245082.27927272729</v>
      </c>
      <c r="D206" s="14">
        <f>'A) Base RI'!AO197</f>
        <v>1996</v>
      </c>
      <c r="E206" s="10">
        <f t="shared" si="6"/>
        <v>4812378.022767867</v>
      </c>
      <c r="F206" s="14">
        <f>'F) Population'!K198</f>
        <v>469788.3299798792</v>
      </c>
      <c r="G206" s="10">
        <f>'G) Solidarité'!I195</f>
        <v>0</v>
      </c>
      <c r="H206" s="14">
        <f t="shared" si="7"/>
        <v>469788.3299798792</v>
      </c>
      <c r="I206" s="55">
        <f t="shared" si="8"/>
        <v>4342589.6927879881</v>
      </c>
    </row>
    <row r="207" spans="1:9" x14ac:dyDescent="0.25">
      <c r="A207" s="49">
        <f>'A) Base RI'!A198</f>
        <v>5719</v>
      </c>
      <c r="B207" s="32" t="str">
        <f>'A) Base RI'!B198</f>
        <v>Gingins</v>
      </c>
      <c r="C207" s="31">
        <f>'D) Ecrêtage'!C196</f>
        <v>145761.42391812865</v>
      </c>
      <c r="D207" s="14">
        <f>'A) Base RI'!AO198</f>
        <v>1257</v>
      </c>
      <c r="E207" s="10">
        <f t="shared" si="6"/>
        <v>2862137.0550025366</v>
      </c>
      <c r="F207" s="14">
        <f>'F) Population'!K199</f>
        <v>213220.02012072431</v>
      </c>
      <c r="G207" s="10">
        <f>'G) Solidarité'!I196</f>
        <v>0</v>
      </c>
      <c r="H207" s="14">
        <f t="shared" si="7"/>
        <v>213220.02012072431</v>
      </c>
      <c r="I207" s="55">
        <f t="shared" si="8"/>
        <v>2648917.0348818125</v>
      </c>
    </row>
    <row r="208" spans="1:9" x14ac:dyDescent="0.25">
      <c r="A208" s="49">
        <f>'A) Base RI'!A199</f>
        <v>5720</v>
      </c>
      <c r="B208" s="32" t="str">
        <f>'A) Base RI'!B199</f>
        <v>Givrins</v>
      </c>
      <c r="C208" s="31">
        <f>'D) Ecrêtage'!C197</f>
        <v>84172.254543946925</v>
      </c>
      <c r="D208" s="14">
        <f>'A) Base RI'!AO199</f>
        <v>1031</v>
      </c>
      <c r="E208" s="10">
        <f t="shared" si="6"/>
        <v>1652786.6033241553</v>
      </c>
      <c r="F208" s="14">
        <f>'F) Population'!K200</f>
        <v>134756.63983903418</v>
      </c>
      <c r="G208" s="10">
        <f>'G) Solidarité'!I197</f>
        <v>0</v>
      </c>
      <c r="H208" s="14">
        <f t="shared" si="7"/>
        <v>134756.63983903418</v>
      </c>
      <c r="I208" s="55">
        <f t="shared" si="8"/>
        <v>1518029.9634851213</v>
      </c>
    </row>
    <row r="209" spans="1:9" x14ac:dyDescent="0.25">
      <c r="A209" s="49">
        <f>'A) Base RI'!A200</f>
        <v>5721</v>
      </c>
      <c r="B209" s="32" t="str">
        <f>'A) Base RI'!B200</f>
        <v>Gland</v>
      </c>
      <c r="C209" s="31">
        <f>'D) Ecrêtage'!C198</f>
        <v>651107.04049180343</v>
      </c>
      <c r="D209" s="14">
        <f>'A) Base RI'!AO200</f>
        <v>13243</v>
      </c>
      <c r="E209" s="10">
        <f t="shared" ref="E209:E272" si="9">C209*E$15</f>
        <v>12784984.787273699</v>
      </c>
      <c r="F209" s="14">
        <f>'F) Population'!K201</f>
        <v>7953468.812877262</v>
      </c>
      <c r="G209" s="10">
        <f>'G) Solidarité'!I198</f>
        <v>0</v>
      </c>
      <c r="H209" s="14">
        <f t="shared" ref="H209:H272" si="10">F209+G209</f>
        <v>7953468.812877262</v>
      </c>
      <c r="I209" s="55">
        <f t="shared" ref="I209:I272" si="11">E209-H209</f>
        <v>4831515.9743964374</v>
      </c>
    </row>
    <row r="210" spans="1:9" x14ac:dyDescent="0.25">
      <c r="A210" s="49">
        <f>'A) Base RI'!A201</f>
        <v>5722</v>
      </c>
      <c r="B210" s="32" t="str">
        <f>'A) Base RI'!B201</f>
        <v>Grens</v>
      </c>
      <c r="C210" s="31">
        <f>'D) Ecrêtage'!C199</f>
        <v>25525.601935483872</v>
      </c>
      <c r="D210" s="14">
        <f>'A) Base RI'!AO201</f>
        <v>405</v>
      </c>
      <c r="E210" s="10">
        <f t="shared" si="9"/>
        <v>501214.7191415198</v>
      </c>
      <c r="F210" s="14">
        <f>'F) Population'!K202</f>
        <v>50217.555331991942</v>
      </c>
      <c r="G210" s="10">
        <f>'G) Solidarité'!I199</f>
        <v>0</v>
      </c>
      <c r="H210" s="14">
        <f t="shared" si="10"/>
        <v>50217.555331991942</v>
      </c>
      <c r="I210" s="55">
        <f t="shared" si="11"/>
        <v>450997.16380952788</v>
      </c>
    </row>
    <row r="211" spans="1:9" x14ac:dyDescent="0.25">
      <c r="A211" s="49">
        <f>'A) Base RI'!A202</f>
        <v>5723</v>
      </c>
      <c r="B211" s="32" t="str">
        <f>'A) Base RI'!B202</f>
        <v>Mies</v>
      </c>
      <c r="C211" s="31">
        <f>'D) Ecrêtage'!C200</f>
        <v>197805.17519230774</v>
      </c>
      <c r="D211" s="14">
        <f>'A) Base RI'!AO202</f>
        <v>2172</v>
      </c>
      <c r="E211" s="10">
        <f t="shared" si="9"/>
        <v>3884055.9207706791</v>
      </c>
      <c r="F211" s="14">
        <f>'F) Population'!K203</f>
        <v>530892.55533199187</v>
      </c>
      <c r="G211" s="10">
        <f>'G) Solidarité'!I200</f>
        <v>0</v>
      </c>
      <c r="H211" s="14">
        <f t="shared" si="10"/>
        <v>530892.55533199187</v>
      </c>
      <c r="I211" s="55">
        <f t="shared" si="11"/>
        <v>3353163.3654386871</v>
      </c>
    </row>
    <row r="212" spans="1:9" x14ac:dyDescent="0.25">
      <c r="A212" s="49">
        <f>'A) Base RI'!A203</f>
        <v>5724</v>
      </c>
      <c r="B212" s="32" t="str">
        <f>'A) Base RI'!B203</f>
        <v>Nyon</v>
      </c>
      <c r="C212" s="31">
        <f>'D) Ecrêtage'!C201</f>
        <v>1415730.6761202184</v>
      </c>
      <c r="D212" s="14">
        <f>'A) Base RI'!AO203</f>
        <v>21743</v>
      </c>
      <c r="E212" s="10">
        <f t="shared" si="9"/>
        <v>27798954.751590583</v>
      </c>
      <c r="F212" s="14">
        <f>'F) Population'!K204</f>
        <v>16719494.869215289</v>
      </c>
      <c r="G212" s="10">
        <f>'G) Solidarité'!I201</f>
        <v>0</v>
      </c>
      <c r="H212" s="14">
        <f t="shared" si="10"/>
        <v>16719494.869215289</v>
      </c>
      <c r="I212" s="55">
        <f t="shared" si="11"/>
        <v>11079459.882375294</v>
      </c>
    </row>
    <row r="213" spans="1:9" x14ac:dyDescent="0.25">
      <c r="A213" s="49">
        <f>'A) Base RI'!A204</f>
        <v>5725</v>
      </c>
      <c r="B213" s="32" t="str">
        <f>'A) Base RI'!B204</f>
        <v>Prangins</v>
      </c>
      <c r="C213" s="31">
        <f>'D) Ecrêtage'!C202</f>
        <v>312804.93402597401</v>
      </c>
      <c r="D213" s="14">
        <f>'A) Base RI'!AO204</f>
        <v>4101</v>
      </c>
      <c r="E213" s="10">
        <f t="shared" si="9"/>
        <v>6142164.15151262</v>
      </c>
      <c r="F213" s="14">
        <f>'F) Population'!K205</f>
        <v>1364429.5774647887</v>
      </c>
      <c r="G213" s="10">
        <f>'G) Solidarité'!I202</f>
        <v>0</v>
      </c>
      <c r="H213" s="14">
        <f t="shared" si="10"/>
        <v>1364429.5774647887</v>
      </c>
      <c r="I213" s="55">
        <f t="shared" si="11"/>
        <v>4777734.5740478318</v>
      </c>
    </row>
    <row r="214" spans="1:9" x14ac:dyDescent="0.25">
      <c r="A214" s="49">
        <f>'A) Base RI'!A205</f>
        <v>5726</v>
      </c>
      <c r="B214" s="32" t="str">
        <f>'A) Base RI'!B205</f>
        <v>La Rippe</v>
      </c>
      <c r="C214" s="31">
        <f>'D) Ecrêtage'!C203</f>
        <v>66324.764153846147</v>
      </c>
      <c r="D214" s="14">
        <f>'A) Base RI'!AO205</f>
        <v>1131</v>
      </c>
      <c r="E214" s="10">
        <f t="shared" si="9"/>
        <v>1302337.4775458502</v>
      </c>
      <c r="F214" s="14">
        <f>'F) Population'!K206</f>
        <v>169474.9496981891</v>
      </c>
      <c r="G214" s="10">
        <f>'G) Solidarité'!I203</f>
        <v>0</v>
      </c>
      <c r="H214" s="14">
        <f t="shared" si="10"/>
        <v>169474.9496981891</v>
      </c>
      <c r="I214" s="55">
        <f t="shared" si="11"/>
        <v>1132862.5278476612</v>
      </c>
    </row>
    <row r="215" spans="1:9" x14ac:dyDescent="0.25">
      <c r="A215" s="49">
        <f>'A) Base RI'!A206</f>
        <v>5727</v>
      </c>
      <c r="B215" s="32" t="str">
        <f>'A) Base RI'!B206</f>
        <v>Saint-Cergue</v>
      </c>
      <c r="C215" s="31">
        <f>'D) Ecrêtage'!C204</f>
        <v>105125.05141414142</v>
      </c>
      <c r="D215" s="14">
        <f>'A) Base RI'!AO206</f>
        <v>2674</v>
      </c>
      <c r="E215" s="10">
        <f t="shared" si="9"/>
        <v>2064210.7971616734</v>
      </c>
      <c r="F215" s="14">
        <f>'F) Population'!K207</f>
        <v>705178.47082494968</v>
      </c>
      <c r="G215" s="10">
        <f>'G) Solidarité'!I204</f>
        <v>414010.83635240549</v>
      </c>
      <c r="H215" s="14">
        <f t="shared" si="10"/>
        <v>1119189.307177355</v>
      </c>
      <c r="I215" s="55">
        <f t="shared" si="11"/>
        <v>945021.48998431838</v>
      </c>
    </row>
    <row r="216" spans="1:9" x14ac:dyDescent="0.25">
      <c r="A216" s="49">
        <f>'A) Base RI'!A207</f>
        <v>5728</v>
      </c>
      <c r="B216" s="32" t="str">
        <f>'A) Base RI'!B207</f>
        <v>Signy-Avenex</v>
      </c>
      <c r="C216" s="31">
        <f>'D) Ecrêtage'!C205</f>
        <v>49286.820862068969</v>
      </c>
      <c r="D216" s="14">
        <f>'A) Base RI'!AO207</f>
        <v>581</v>
      </c>
      <c r="E216" s="10">
        <f t="shared" si="9"/>
        <v>967784.42828490399</v>
      </c>
      <c r="F216" s="14">
        <f>'F) Population'!K208</f>
        <v>72040.492957746465</v>
      </c>
      <c r="G216" s="10">
        <f>'G) Solidarité'!I205</f>
        <v>0</v>
      </c>
      <c r="H216" s="14">
        <f t="shared" si="10"/>
        <v>72040.492957746465</v>
      </c>
      <c r="I216" s="55">
        <f t="shared" si="11"/>
        <v>895743.93532715749</v>
      </c>
    </row>
    <row r="217" spans="1:9" x14ac:dyDescent="0.25">
      <c r="A217" s="49">
        <f>'A) Base RI'!A208</f>
        <v>5729</v>
      </c>
      <c r="B217" s="32" t="str">
        <f>'A) Base RI'!B208</f>
        <v>Tannay</v>
      </c>
      <c r="C217" s="31">
        <f>'D) Ecrêtage'!C206</f>
        <v>130826.66865013774</v>
      </c>
      <c r="D217" s="14">
        <f>'A) Base RI'!AO208</f>
        <v>1636</v>
      </c>
      <c r="E217" s="10">
        <f t="shared" si="9"/>
        <v>2568881.711367033</v>
      </c>
      <c r="F217" s="14">
        <f>'F) Population'!K209</f>
        <v>344802.41448692151</v>
      </c>
      <c r="G217" s="10">
        <f>'G) Solidarité'!I206</f>
        <v>0</v>
      </c>
      <c r="H217" s="14">
        <f t="shared" si="10"/>
        <v>344802.41448692151</v>
      </c>
      <c r="I217" s="55">
        <f t="shared" si="11"/>
        <v>2224079.2968801116</v>
      </c>
    </row>
    <row r="218" spans="1:9" x14ac:dyDescent="0.25">
      <c r="A218" s="49">
        <f>'A) Base RI'!A209</f>
        <v>5730</v>
      </c>
      <c r="B218" s="32" t="str">
        <f>'A) Base RI'!B209</f>
        <v>Trélex</v>
      </c>
      <c r="C218" s="31">
        <f>'D) Ecrêtage'!C207</f>
        <v>111625.98756756757</v>
      </c>
      <c r="D218" s="14">
        <f>'A) Base RI'!AO209</f>
        <v>1445</v>
      </c>
      <c r="E218" s="10">
        <f t="shared" si="9"/>
        <v>2191861.6512544379</v>
      </c>
      <c r="F218" s="14">
        <f>'F) Population'!K210</f>
        <v>278490.44265593559</v>
      </c>
      <c r="G218" s="10">
        <f>'G) Solidarité'!I207</f>
        <v>0</v>
      </c>
      <c r="H218" s="14">
        <f t="shared" si="10"/>
        <v>278490.44265593559</v>
      </c>
      <c r="I218" s="55">
        <f t="shared" si="11"/>
        <v>1913371.2085985022</v>
      </c>
    </row>
    <row r="219" spans="1:9" x14ac:dyDescent="0.25">
      <c r="A219" s="49">
        <f>'A) Base RI'!A210</f>
        <v>5731</v>
      </c>
      <c r="B219" s="32" t="str">
        <f>'A) Base RI'!B210</f>
        <v>Le Vaud</v>
      </c>
      <c r="C219" s="31">
        <f>'D) Ecrêtage'!C208</f>
        <v>63942.206576576558</v>
      </c>
      <c r="D219" s="14">
        <f>'A) Base RI'!AO210</f>
        <v>1366</v>
      </c>
      <c r="E219" s="10">
        <f t="shared" si="9"/>
        <v>1255554.1370413655</v>
      </c>
      <c r="F219" s="14">
        <f>'F) Population'!K211</f>
        <v>251062.97786720318</v>
      </c>
      <c r="G219" s="10">
        <f>'G) Solidarité'!I208</f>
        <v>40910.727116705355</v>
      </c>
      <c r="H219" s="14">
        <f t="shared" si="10"/>
        <v>291973.70498390857</v>
      </c>
      <c r="I219" s="55">
        <f t="shared" si="11"/>
        <v>963580.43205745693</v>
      </c>
    </row>
    <row r="220" spans="1:9" x14ac:dyDescent="0.25">
      <c r="A220" s="49">
        <f>'A) Base RI'!A211</f>
        <v>5732</v>
      </c>
      <c r="B220" s="32" t="str">
        <f>'A) Base RI'!B211</f>
        <v>Vich</v>
      </c>
      <c r="C220" s="31">
        <f>'D) Ecrêtage'!C209</f>
        <v>71006.972380952371</v>
      </c>
      <c r="D220" s="14">
        <f>'A) Base RI'!AO211</f>
        <v>1156</v>
      </c>
      <c r="E220" s="10">
        <f t="shared" si="9"/>
        <v>1394276.2176171986</v>
      </c>
      <c r="F220" s="14">
        <f>'F) Population'!K212</f>
        <v>178154.52716297784</v>
      </c>
      <c r="G220" s="10">
        <f>'G) Solidarité'!I209</f>
        <v>0</v>
      </c>
      <c r="H220" s="14">
        <f t="shared" si="10"/>
        <v>178154.52716297784</v>
      </c>
      <c r="I220" s="55">
        <f t="shared" si="11"/>
        <v>1216121.6904542209</v>
      </c>
    </row>
    <row r="221" spans="1:9" x14ac:dyDescent="0.25">
      <c r="A221" s="49">
        <f>'A) Base RI'!A212</f>
        <v>5741</v>
      </c>
      <c r="B221" s="32" t="str">
        <f>'A) Base RI'!B212</f>
        <v>L'Abergement</v>
      </c>
      <c r="C221" s="31">
        <f>'D) Ecrêtage'!C210</f>
        <v>7368.9297325102852</v>
      </c>
      <c r="D221" s="14">
        <f>'A) Base RI'!AO212</f>
        <v>256</v>
      </c>
      <c r="E221" s="10">
        <f t="shared" si="9"/>
        <v>144694.57196695579</v>
      </c>
      <c r="F221" s="14">
        <f>'F) Population'!K213</f>
        <v>31742.454728370216</v>
      </c>
      <c r="G221" s="10">
        <f>'G) Solidarité'!I210</f>
        <v>130650.94990056581</v>
      </c>
      <c r="H221" s="14">
        <f t="shared" si="10"/>
        <v>162393.40462893603</v>
      </c>
      <c r="I221" s="55">
        <f t="shared" si="11"/>
        <v>-17698.832661980239</v>
      </c>
    </row>
    <row r="222" spans="1:9" x14ac:dyDescent="0.25">
      <c r="A222" s="49">
        <f>'A) Base RI'!A213</f>
        <v>5742</v>
      </c>
      <c r="B222" s="32" t="str">
        <f>'A) Base RI'!B213</f>
        <v>Agiez</v>
      </c>
      <c r="C222" s="31">
        <f>'D) Ecrêtage'!C211</f>
        <v>8960.136710526318</v>
      </c>
      <c r="D222" s="14">
        <f>'A) Base RI'!AO213</f>
        <v>377</v>
      </c>
      <c r="E222" s="10">
        <f t="shared" si="9"/>
        <v>175939.13813225567</v>
      </c>
      <c r="F222" s="14">
        <f>'F) Population'!K214</f>
        <v>46745.724346076451</v>
      </c>
      <c r="G222" s="10">
        <f>'G) Solidarité'!I211</f>
        <v>213222.52619240648</v>
      </c>
      <c r="H222" s="14">
        <f t="shared" si="10"/>
        <v>259968.25053848294</v>
      </c>
      <c r="I222" s="55">
        <f t="shared" si="11"/>
        <v>-84029.112406227272</v>
      </c>
    </row>
    <row r="223" spans="1:9" x14ac:dyDescent="0.25">
      <c r="A223" s="49">
        <f>'A) Base RI'!A214</f>
        <v>5743</v>
      </c>
      <c r="B223" s="32" t="str">
        <f>'A) Base RI'!B214</f>
        <v>Arnex-sur-Orbe</v>
      </c>
      <c r="C223" s="31">
        <f>'D) Ecrêtage'!C212</f>
        <v>20526.64161971831</v>
      </c>
      <c r="D223" s="14">
        <f>'A) Base RI'!AO214</f>
        <v>637</v>
      </c>
      <c r="E223" s="10">
        <f t="shared" si="9"/>
        <v>403056.30951816047</v>
      </c>
      <c r="F223" s="14">
        <f>'F) Population'!K215</f>
        <v>78984.154929577446</v>
      </c>
      <c r="G223" s="10">
        <f>'G) Solidarité'!I212</f>
        <v>205474.768054296</v>
      </c>
      <c r="H223" s="14">
        <f t="shared" si="10"/>
        <v>284458.92298387346</v>
      </c>
      <c r="I223" s="55">
        <f t="shared" si="11"/>
        <v>118597.38653428701</v>
      </c>
    </row>
    <row r="224" spans="1:9" x14ac:dyDescent="0.25">
      <c r="A224" s="49">
        <f>'A) Base RI'!A215</f>
        <v>5744</v>
      </c>
      <c r="B224" s="32" t="str">
        <f>'A) Base RI'!B215</f>
        <v>Ballaigues</v>
      </c>
      <c r="C224" s="31">
        <f>'D) Ecrêtage'!C213</f>
        <v>40453.358769230777</v>
      </c>
      <c r="D224" s="14">
        <f>'A) Base RI'!AO215</f>
        <v>1143</v>
      </c>
      <c r="E224" s="10">
        <f t="shared" si="9"/>
        <v>794332.64316737396</v>
      </c>
      <c r="F224" s="14">
        <f>'F) Population'!K216</f>
        <v>173641.14688128768</v>
      </c>
      <c r="G224" s="10">
        <f>'G) Solidarité'!I213</f>
        <v>247625.7095545021</v>
      </c>
      <c r="H224" s="14">
        <f t="shared" si="10"/>
        <v>421266.85643578978</v>
      </c>
      <c r="I224" s="55">
        <f t="shared" si="11"/>
        <v>373065.78673158417</v>
      </c>
    </row>
    <row r="225" spans="1:9" x14ac:dyDescent="0.25">
      <c r="A225" s="49">
        <f>'A) Base RI'!A216</f>
        <v>5745</v>
      </c>
      <c r="B225" s="32" t="str">
        <f>'A) Base RI'!B216</f>
        <v>Baulmes</v>
      </c>
      <c r="C225" s="31">
        <f>'D) Ecrêtage'!C214</f>
        <v>26827.589150326792</v>
      </c>
      <c r="D225" s="14">
        <f>'A) Base RI'!AO216</f>
        <v>1074</v>
      </c>
      <c r="E225" s="10">
        <f t="shared" si="9"/>
        <v>526780.23402585951</v>
      </c>
      <c r="F225" s="14">
        <f>'F) Population'!K217</f>
        <v>149685.5130784708</v>
      </c>
      <c r="G225" s="10">
        <f>'G) Solidarité'!I214</f>
        <v>584880.58211684611</v>
      </c>
      <c r="H225" s="14">
        <f t="shared" si="10"/>
        <v>734566.09519531694</v>
      </c>
      <c r="I225" s="55">
        <f t="shared" si="11"/>
        <v>-207785.86116945744</v>
      </c>
    </row>
    <row r="226" spans="1:9" x14ac:dyDescent="0.25">
      <c r="A226" s="49">
        <f>'A) Base RI'!A217</f>
        <v>5746</v>
      </c>
      <c r="B226" s="32" t="str">
        <f>'A) Base RI'!B217</f>
        <v>Bavois</v>
      </c>
      <c r="C226" s="31">
        <f>'D) Ecrêtage'!C215</f>
        <v>30466.611141552505</v>
      </c>
      <c r="D226" s="14">
        <f>'A) Base RI'!AO217</f>
        <v>994</v>
      </c>
      <c r="E226" s="10">
        <f t="shared" si="9"/>
        <v>598235.21439780167</v>
      </c>
      <c r="F226" s="14">
        <f>'F) Population'!K218</f>
        <v>123249.99999999999</v>
      </c>
      <c r="G226" s="10">
        <f>'G) Solidarité'!I215</f>
        <v>372387.19543257379</v>
      </c>
      <c r="H226" s="14">
        <f t="shared" si="10"/>
        <v>495637.19543257379</v>
      </c>
      <c r="I226" s="55">
        <f t="shared" si="11"/>
        <v>102598.01896522788</v>
      </c>
    </row>
    <row r="227" spans="1:9" x14ac:dyDescent="0.25">
      <c r="A227" s="49">
        <f>'A) Base RI'!A218</f>
        <v>5747</v>
      </c>
      <c r="B227" s="32" t="str">
        <f>'A) Base RI'!B218</f>
        <v>Bofflens</v>
      </c>
      <c r="C227" s="31">
        <f>'D) Ecrêtage'!C216</f>
        <v>5608.7786956521741</v>
      </c>
      <c r="D227" s="14">
        <f>'A) Base RI'!AO218</f>
        <v>206</v>
      </c>
      <c r="E227" s="10">
        <f t="shared" si="9"/>
        <v>110132.65997697436</v>
      </c>
      <c r="F227" s="14">
        <f>'F) Population'!K219</f>
        <v>25542.756539235408</v>
      </c>
      <c r="G227" s="10">
        <f>'G) Solidarité'!I216</f>
        <v>82419.83163595316</v>
      </c>
      <c r="H227" s="14">
        <f t="shared" si="10"/>
        <v>107962.58817518858</v>
      </c>
      <c r="I227" s="55">
        <f t="shared" si="11"/>
        <v>2170.0718017857871</v>
      </c>
    </row>
    <row r="228" spans="1:9" x14ac:dyDescent="0.25">
      <c r="A228" s="49">
        <f>'A) Base RI'!A219</f>
        <v>5748</v>
      </c>
      <c r="B228" s="32" t="str">
        <f>'A) Base RI'!B219</f>
        <v>Bretonnières</v>
      </c>
      <c r="C228" s="31">
        <f>'D) Ecrêtage'!C217</f>
        <v>5789.9884160756492</v>
      </c>
      <c r="D228" s="14">
        <f>'A) Base RI'!AO219</f>
        <v>268</v>
      </c>
      <c r="E228" s="10">
        <f t="shared" si="9"/>
        <v>113690.85144910209</v>
      </c>
      <c r="F228" s="14">
        <f>'F) Population'!K220</f>
        <v>33230.382293762566</v>
      </c>
      <c r="G228" s="10">
        <f>'G) Solidarité'!I217</f>
        <v>141986.81624001006</v>
      </c>
      <c r="H228" s="14">
        <f t="shared" si="10"/>
        <v>175217.19853377261</v>
      </c>
      <c r="I228" s="55">
        <f t="shared" si="11"/>
        <v>-61526.347084670517</v>
      </c>
    </row>
    <row r="229" spans="1:9" x14ac:dyDescent="0.25">
      <c r="A229" s="49">
        <f>'A) Base RI'!A220</f>
        <v>5749</v>
      </c>
      <c r="B229" s="32" t="str">
        <f>'A) Base RI'!B220</f>
        <v>Chavornay</v>
      </c>
      <c r="C229" s="31">
        <f>'D) Ecrêtage'!C218</f>
        <v>140676.80723404256</v>
      </c>
      <c r="D229" s="14">
        <f>'A) Base RI'!AO220</f>
        <v>5227</v>
      </c>
      <c r="E229" s="10">
        <f t="shared" si="9"/>
        <v>2762296.7170666158</v>
      </c>
      <c r="F229" s="14">
        <f>'F) Population'!K221</f>
        <v>1945415.6941649897</v>
      </c>
      <c r="G229" s="10">
        <f>'G) Solidarité'!I218</f>
        <v>2215903.8153676805</v>
      </c>
      <c r="H229" s="14">
        <f t="shared" si="10"/>
        <v>4161319.5095326705</v>
      </c>
      <c r="I229" s="55">
        <f t="shared" si="11"/>
        <v>-1399022.7924660547</v>
      </c>
    </row>
    <row r="230" spans="1:9" x14ac:dyDescent="0.25">
      <c r="A230" s="49">
        <f>'A) Base RI'!A221</f>
        <v>5750</v>
      </c>
      <c r="B230" s="32" t="str">
        <f>'A) Base RI'!B221</f>
        <v>Les Clées</v>
      </c>
      <c r="C230" s="31">
        <f>'D) Ecrêtage'!C219</f>
        <v>6037.9437500000004</v>
      </c>
      <c r="D230" s="14">
        <f>'A) Base RI'!AO221</f>
        <v>187</v>
      </c>
      <c r="E230" s="10">
        <f t="shared" si="9"/>
        <v>118559.64409762222</v>
      </c>
      <c r="F230" s="14">
        <f>'F) Population'!K222</f>
        <v>23186.87122736418</v>
      </c>
      <c r="G230" s="10">
        <f>'G) Solidarité'!I219</f>
        <v>76271.607393060578</v>
      </c>
      <c r="H230" s="14">
        <f t="shared" si="10"/>
        <v>99458.47862042475</v>
      </c>
      <c r="I230" s="55">
        <f t="shared" si="11"/>
        <v>19101.165477197472</v>
      </c>
    </row>
    <row r="231" spans="1:9" x14ac:dyDescent="0.25">
      <c r="A231" s="49">
        <f>'A) Base RI'!A222</f>
        <v>5752</v>
      </c>
      <c r="B231" s="32" t="str">
        <f>'A) Base RI'!B222</f>
        <v>Croy</v>
      </c>
      <c r="C231" s="31">
        <f>'D) Ecrêtage'!C220</f>
        <v>9416.7971235521236</v>
      </c>
      <c r="D231" s="14">
        <f>'A) Base RI'!AO222</f>
        <v>397</v>
      </c>
      <c r="E231" s="10">
        <f t="shared" si="9"/>
        <v>184906.0146523976</v>
      </c>
      <c r="F231" s="14">
        <f>'F) Population'!K223</f>
        <v>49225.603621730377</v>
      </c>
      <c r="G231" s="10">
        <f>'G) Solidarité'!I220</f>
        <v>213282.34286359217</v>
      </c>
      <c r="H231" s="14">
        <f t="shared" si="10"/>
        <v>262507.94648532255</v>
      </c>
      <c r="I231" s="55">
        <f t="shared" si="11"/>
        <v>-77601.931832924951</v>
      </c>
    </row>
    <row r="232" spans="1:9" x14ac:dyDescent="0.25">
      <c r="A232" s="49">
        <f>'A) Base RI'!A223</f>
        <v>5754</v>
      </c>
      <c r="B232" s="32" t="str">
        <f>'A) Base RI'!B223</f>
        <v>Juriens</v>
      </c>
      <c r="C232" s="31">
        <f>'D) Ecrêtage'!C221</f>
        <v>8043.7859493670894</v>
      </c>
      <c r="D232" s="14">
        <f>'A) Base RI'!AO223</f>
        <v>336</v>
      </c>
      <c r="E232" s="10">
        <f t="shared" si="9"/>
        <v>157945.88999846452</v>
      </c>
      <c r="F232" s="14">
        <f>'F) Population'!K224</f>
        <v>41661.971830985909</v>
      </c>
      <c r="G232" s="10">
        <f>'G) Solidarité'!I221</f>
        <v>203878.02431239019</v>
      </c>
      <c r="H232" s="14">
        <f t="shared" si="10"/>
        <v>245539.99614337611</v>
      </c>
      <c r="I232" s="55">
        <f t="shared" si="11"/>
        <v>-87594.10614491158</v>
      </c>
    </row>
    <row r="233" spans="1:9" x14ac:dyDescent="0.25">
      <c r="A233" s="49">
        <f>'A) Base RI'!A224</f>
        <v>5755</v>
      </c>
      <c r="B233" s="32" t="str">
        <f>'A) Base RI'!B224</f>
        <v>Lignerolle</v>
      </c>
      <c r="C233" s="31">
        <f>'D) Ecrêtage'!C222</f>
        <v>9055.2737033666963</v>
      </c>
      <c r="D233" s="14">
        <f>'A) Base RI'!AO224</f>
        <v>435</v>
      </c>
      <c r="E233" s="10">
        <f t="shared" si="9"/>
        <v>177807.22575921862</v>
      </c>
      <c r="F233" s="14">
        <f>'F) Population'!K225</f>
        <v>53937.374245472827</v>
      </c>
      <c r="G233" s="10">
        <f>'G) Solidarité'!I222</f>
        <v>294206.64345431747</v>
      </c>
      <c r="H233" s="14">
        <f t="shared" si="10"/>
        <v>348144.0176997903</v>
      </c>
      <c r="I233" s="55">
        <f t="shared" si="11"/>
        <v>-170336.79194057168</v>
      </c>
    </row>
    <row r="234" spans="1:9" x14ac:dyDescent="0.25">
      <c r="A234" s="49">
        <f>'A) Base RI'!A225</f>
        <v>5756</v>
      </c>
      <c r="B234" s="32" t="str">
        <f>'A) Base RI'!B225</f>
        <v>Montcherand</v>
      </c>
      <c r="C234" s="31">
        <f>'D) Ecrêtage'!C223</f>
        <v>15758.308611111112</v>
      </c>
      <c r="D234" s="14">
        <f>'A) Base RI'!AO225</f>
        <v>506</v>
      </c>
      <c r="E234" s="10">
        <f t="shared" si="9"/>
        <v>309426.44348315248</v>
      </c>
      <c r="F234" s="14">
        <f>'F) Population'!K226</f>
        <v>62740.945674044255</v>
      </c>
      <c r="G234" s="10">
        <f>'G) Solidarité'!I223</f>
        <v>179225.40411131072</v>
      </c>
      <c r="H234" s="14">
        <f t="shared" si="10"/>
        <v>241966.34978535498</v>
      </c>
      <c r="I234" s="55">
        <f t="shared" si="11"/>
        <v>67460.093697797507</v>
      </c>
    </row>
    <row r="235" spans="1:9" x14ac:dyDescent="0.25">
      <c r="A235" s="49">
        <f>'A) Base RI'!A226</f>
        <v>5757</v>
      </c>
      <c r="B235" s="32" t="str">
        <f>'A) Base RI'!B226</f>
        <v>Orbe</v>
      </c>
      <c r="C235" s="31">
        <f>'D) Ecrêtage'!C224</f>
        <v>203783.43483443707</v>
      </c>
      <c r="D235" s="14">
        <f>'A) Base RI'!AO226</f>
        <v>7124</v>
      </c>
      <c r="E235" s="10">
        <f t="shared" si="9"/>
        <v>4001443.6217564712</v>
      </c>
      <c r="F235" s="14">
        <f>'F) Population'!K227</f>
        <v>3074455.1307847081</v>
      </c>
      <c r="G235" s="10">
        <f>'G) Solidarité'!I224</f>
        <v>3188061.9664825429</v>
      </c>
      <c r="H235" s="14">
        <f t="shared" si="10"/>
        <v>6262517.0972672515</v>
      </c>
      <c r="I235" s="55">
        <f t="shared" si="11"/>
        <v>-2261073.4755107802</v>
      </c>
    </row>
    <row r="236" spans="1:9" x14ac:dyDescent="0.25">
      <c r="A236" s="49">
        <f>'A) Base RI'!A227</f>
        <v>5758</v>
      </c>
      <c r="B236" s="32" t="str">
        <f>'A) Base RI'!B227</f>
        <v>La Praz</v>
      </c>
      <c r="C236" s="31">
        <f>'D) Ecrêtage'!C225</f>
        <v>4313.3939759036139</v>
      </c>
      <c r="D236" s="14">
        <f>'A) Base RI'!AO227</f>
        <v>175</v>
      </c>
      <c r="E236" s="10">
        <f t="shared" si="9"/>
        <v>84696.790134217488</v>
      </c>
      <c r="F236" s="14">
        <f>'F) Population'!K228</f>
        <v>21698.943661971829</v>
      </c>
      <c r="G236" s="10">
        <f>'G) Solidarité'!I225</f>
        <v>113786.67170092199</v>
      </c>
      <c r="H236" s="14">
        <f t="shared" si="10"/>
        <v>135485.61536289382</v>
      </c>
      <c r="I236" s="55">
        <f t="shared" si="11"/>
        <v>-50788.825228676331</v>
      </c>
    </row>
    <row r="237" spans="1:9" x14ac:dyDescent="0.25">
      <c r="A237" s="49">
        <f>'A) Base RI'!A228</f>
        <v>5759</v>
      </c>
      <c r="B237" s="32" t="str">
        <f>'A) Base RI'!B228</f>
        <v>Premier</v>
      </c>
      <c r="C237" s="31">
        <f>'D) Ecrêtage'!C226</f>
        <v>5307.4840251572332</v>
      </c>
      <c r="D237" s="14">
        <f>'A) Base RI'!AO228</f>
        <v>218</v>
      </c>
      <c r="E237" s="10">
        <f t="shared" si="9"/>
        <v>104216.50865436714</v>
      </c>
      <c r="F237" s="14">
        <f>'F) Population'!K229</f>
        <v>27030.684104627762</v>
      </c>
      <c r="G237" s="10">
        <f>'G) Solidarité'!I226</f>
        <v>131711.08392720838</v>
      </c>
      <c r="H237" s="14">
        <f t="shared" si="10"/>
        <v>158741.76803183614</v>
      </c>
      <c r="I237" s="55">
        <f t="shared" si="11"/>
        <v>-54525.259377469003</v>
      </c>
    </row>
    <row r="238" spans="1:9" x14ac:dyDescent="0.25">
      <c r="A238" s="49">
        <f>'A) Base RI'!A229</f>
        <v>5760</v>
      </c>
      <c r="B238" s="32" t="str">
        <f>'A) Base RI'!B229</f>
        <v>Rances</v>
      </c>
      <c r="C238" s="31">
        <f>'D) Ecrêtage'!C227</f>
        <v>12826.018997821348</v>
      </c>
      <c r="D238" s="14">
        <f>'A) Base RI'!AO229</f>
        <v>513</v>
      </c>
      <c r="E238" s="10">
        <f t="shared" si="9"/>
        <v>251848.69394833964</v>
      </c>
      <c r="F238" s="14">
        <f>'F) Population'!K230</f>
        <v>63608.903420523129</v>
      </c>
      <c r="G238" s="10">
        <f>'G) Solidarité'!I227</f>
        <v>279095.06860815553</v>
      </c>
      <c r="H238" s="14">
        <f t="shared" si="10"/>
        <v>342703.97202867863</v>
      </c>
      <c r="I238" s="55">
        <f t="shared" si="11"/>
        <v>-90855.278080338991</v>
      </c>
    </row>
    <row r="239" spans="1:9" x14ac:dyDescent="0.25">
      <c r="A239" s="49">
        <f>'A) Base RI'!A230</f>
        <v>5761</v>
      </c>
      <c r="B239" s="32" t="str">
        <f>'A) Base RI'!B230</f>
        <v>Romainmôtier-Envy</v>
      </c>
      <c r="C239" s="31">
        <f>'D) Ecrêtage'!C228</f>
        <v>12135.004377104378</v>
      </c>
      <c r="D239" s="14">
        <f>'A) Base RI'!AO230</f>
        <v>525</v>
      </c>
      <c r="E239" s="10">
        <f t="shared" si="9"/>
        <v>238280.09329709024</v>
      </c>
      <c r="F239" s="14">
        <f>'F) Population'!K231</f>
        <v>65096.830985915483</v>
      </c>
      <c r="G239" s="10">
        <f>'G) Solidarité'!I228</f>
        <v>346301.89645292214</v>
      </c>
      <c r="H239" s="14">
        <f t="shared" si="10"/>
        <v>411398.72743883764</v>
      </c>
      <c r="I239" s="55">
        <f t="shared" si="11"/>
        <v>-173118.6341417474</v>
      </c>
    </row>
    <row r="240" spans="1:9" x14ac:dyDescent="0.25">
      <c r="A240" s="49">
        <f>'A) Base RI'!A231</f>
        <v>5762</v>
      </c>
      <c r="B240" s="32" t="str">
        <f>'A) Base RI'!B231</f>
        <v>Sergey</v>
      </c>
      <c r="C240" s="31">
        <f>'D) Ecrêtage'!C229</f>
        <v>3773.0282051282052</v>
      </c>
      <c r="D240" s="14">
        <f>'A) Base RI'!AO231</f>
        <v>145</v>
      </c>
      <c r="E240" s="10">
        <f t="shared" si="9"/>
        <v>74086.294886448784</v>
      </c>
      <c r="F240" s="14">
        <f>'F) Population'!K232</f>
        <v>17979.124748490944</v>
      </c>
      <c r="G240" s="10">
        <f>'G) Solidarité'!I229</f>
        <v>78404.198414031809</v>
      </c>
      <c r="H240" s="14">
        <f t="shared" si="10"/>
        <v>96383.323162522749</v>
      </c>
      <c r="I240" s="55">
        <f t="shared" si="11"/>
        <v>-22297.028276073965</v>
      </c>
    </row>
    <row r="241" spans="1:9" x14ac:dyDescent="0.25">
      <c r="A241" s="49">
        <f>'A) Base RI'!A232</f>
        <v>5763</v>
      </c>
      <c r="B241" s="32" t="str">
        <f>'A) Base RI'!B232</f>
        <v>Valeyres-sous-Rances</v>
      </c>
      <c r="C241" s="31">
        <f>'D) Ecrêtage'!C230</f>
        <v>20452.974117647056</v>
      </c>
      <c r="D241" s="14">
        <f>'A) Base RI'!AO232</f>
        <v>609</v>
      </c>
      <c r="E241" s="10">
        <f t="shared" si="9"/>
        <v>401609.79176497197</v>
      </c>
      <c r="F241" s="14">
        <f>'F) Population'!K233</f>
        <v>75512.323943661962</v>
      </c>
      <c r="G241" s="10">
        <f>'G) Solidarité'!I230</f>
        <v>164820.80489899206</v>
      </c>
      <c r="H241" s="14">
        <f t="shared" si="10"/>
        <v>240333.12884265403</v>
      </c>
      <c r="I241" s="55">
        <f t="shared" si="11"/>
        <v>161276.66292231795</v>
      </c>
    </row>
    <row r="242" spans="1:9" x14ac:dyDescent="0.25">
      <c r="A242" s="49">
        <f>'A) Base RI'!A233</f>
        <v>5764</v>
      </c>
      <c r="B242" s="32" t="str">
        <f>'A) Base RI'!B233</f>
        <v>Vallorbe</v>
      </c>
      <c r="C242" s="31">
        <f>'D) Ecrêtage'!C231</f>
        <v>84310.704615384602</v>
      </c>
      <c r="D242" s="14">
        <f>'A) Base RI'!AO233</f>
        <v>3874</v>
      </c>
      <c r="E242" s="10">
        <f t="shared" si="9"/>
        <v>1655505.1763805773</v>
      </c>
      <c r="F242" s="14">
        <f>'F) Population'!K234</f>
        <v>1251843.0583501004</v>
      </c>
      <c r="G242" s="10">
        <f>'G) Solidarité'!I231</f>
        <v>2098473.1157986019</v>
      </c>
      <c r="H242" s="14">
        <f t="shared" si="10"/>
        <v>3350316.1741487021</v>
      </c>
      <c r="I242" s="55">
        <f t="shared" si="11"/>
        <v>-1694810.9977681248</v>
      </c>
    </row>
    <row r="243" spans="1:9" x14ac:dyDescent="0.25">
      <c r="A243" s="49">
        <f>'A) Base RI'!A234</f>
        <v>5765</v>
      </c>
      <c r="B243" s="32" t="str">
        <f>'A) Base RI'!B234</f>
        <v>Vaulion</v>
      </c>
      <c r="C243" s="31">
        <f>'D) Ecrêtage'!C232</f>
        <v>11314.597037037036</v>
      </c>
      <c r="D243" s="14">
        <f>'A) Base RI'!AO234</f>
        <v>506</v>
      </c>
      <c r="E243" s="10">
        <f t="shared" si="9"/>
        <v>222170.76762583651</v>
      </c>
      <c r="F243" s="14">
        <f>'F) Population'!K235</f>
        <v>62740.945674044255</v>
      </c>
      <c r="G243" s="10">
        <f>'G) Solidarité'!I232</f>
        <v>343804.36868947133</v>
      </c>
      <c r="H243" s="14">
        <f t="shared" si="10"/>
        <v>406545.31436351559</v>
      </c>
      <c r="I243" s="55">
        <f t="shared" si="11"/>
        <v>-184374.54673767908</v>
      </c>
    </row>
    <row r="244" spans="1:9" x14ac:dyDescent="0.25">
      <c r="A244" s="49">
        <f>'A) Base RI'!A235</f>
        <v>5766</v>
      </c>
      <c r="B244" s="32" t="str">
        <f>'A) Base RI'!B235</f>
        <v>Vuiteboeuf</v>
      </c>
      <c r="C244" s="31">
        <f>'D) Ecrêtage'!C233</f>
        <v>15993.559610389608</v>
      </c>
      <c r="D244" s="14">
        <f>'A) Base RI'!AO235</f>
        <v>584</v>
      </c>
      <c r="E244" s="10">
        <f t="shared" si="9"/>
        <v>314045.77680305444</v>
      </c>
      <c r="F244" s="14">
        <f>'F) Population'!K236</f>
        <v>72412.474849094549</v>
      </c>
      <c r="G244" s="10">
        <f>'G) Solidarité'!I233</f>
        <v>288767.40165548492</v>
      </c>
      <c r="H244" s="14">
        <f t="shared" si="10"/>
        <v>361179.87650457944</v>
      </c>
      <c r="I244" s="55">
        <f t="shared" si="11"/>
        <v>-47134.099701525003</v>
      </c>
    </row>
    <row r="245" spans="1:9" x14ac:dyDescent="0.25">
      <c r="A245" s="49">
        <f>'A) Base RI'!A236</f>
        <v>5785</v>
      </c>
      <c r="B245" s="32" t="str">
        <f>'A) Base RI'!B236</f>
        <v>Corcelles-le-Jorat</v>
      </c>
      <c r="C245" s="31">
        <f>'D) Ecrêtage'!C234</f>
        <v>17518.145584415586</v>
      </c>
      <c r="D245" s="14">
        <f>'A) Base RI'!AO236</f>
        <v>451</v>
      </c>
      <c r="E245" s="10">
        <f t="shared" si="9"/>
        <v>343982.18859502359</v>
      </c>
      <c r="F245" s="14">
        <f>'F) Population'!K237</f>
        <v>55921.277665995964</v>
      </c>
      <c r="G245" s="10">
        <f>'G) Solidarité'!I234</f>
        <v>100094.80445917867</v>
      </c>
      <c r="H245" s="14">
        <f t="shared" si="10"/>
        <v>156016.08212517464</v>
      </c>
      <c r="I245" s="55">
        <f t="shared" si="11"/>
        <v>187966.10646984895</v>
      </c>
    </row>
    <row r="246" spans="1:9" x14ac:dyDescent="0.25">
      <c r="A246" s="49">
        <f>'A) Base RI'!A237</f>
        <v>5788</v>
      </c>
      <c r="B246" s="32" t="str">
        <f>'A) Base RI'!B237</f>
        <v>Essertes</v>
      </c>
      <c r="C246" s="31">
        <f>'D) Ecrêtage'!C235</f>
        <v>16224.893706293702</v>
      </c>
      <c r="D246" s="14">
        <f>'A) Base RI'!AO237</f>
        <v>389</v>
      </c>
      <c r="E246" s="10">
        <f t="shared" si="9"/>
        <v>318588.19872906763</v>
      </c>
      <c r="F246" s="14">
        <f>'F) Population'!K238</f>
        <v>48233.651911468805</v>
      </c>
      <c r="G246" s="10">
        <f>'G) Solidarité'!I235</f>
        <v>51572.016015682741</v>
      </c>
      <c r="H246" s="14">
        <f t="shared" si="10"/>
        <v>99805.667927151546</v>
      </c>
      <c r="I246" s="55">
        <f t="shared" si="11"/>
        <v>218782.53080191609</v>
      </c>
    </row>
    <row r="247" spans="1:9" x14ac:dyDescent="0.25">
      <c r="A247" s="49">
        <f>'A) Base RI'!A238</f>
        <v>5790</v>
      </c>
      <c r="B247" s="32" t="str">
        <f>'A) Base RI'!B238</f>
        <v>Maracon</v>
      </c>
      <c r="C247" s="31">
        <f>'D) Ecrêtage'!C236</f>
        <v>13398.084966442953</v>
      </c>
      <c r="D247" s="14">
        <f>'A) Base RI'!AO238</f>
        <v>538</v>
      </c>
      <c r="E247" s="10">
        <f t="shared" si="9"/>
        <v>263081.64682905161</v>
      </c>
      <c r="F247" s="14">
        <f>'F) Population'!K239</f>
        <v>66708.752515090528</v>
      </c>
      <c r="G247" s="10">
        <f>'G) Solidarité'!I236</f>
        <v>278771.70971102174</v>
      </c>
      <c r="H247" s="14">
        <f t="shared" si="10"/>
        <v>345480.46222611226</v>
      </c>
      <c r="I247" s="55">
        <f t="shared" si="11"/>
        <v>-82398.815397060651</v>
      </c>
    </row>
    <row r="248" spans="1:9" x14ac:dyDescent="0.25">
      <c r="A248" s="49">
        <f>'A) Base RI'!A239</f>
        <v>5792</v>
      </c>
      <c r="B248" s="32" t="str">
        <f>'A) Base RI'!B239</f>
        <v>Montpreveyres</v>
      </c>
      <c r="C248" s="31">
        <f>'D) Ecrêtage'!C237</f>
        <v>17609.230799999998</v>
      </c>
      <c r="D248" s="14">
        <f>'A) Base RI'!AO239</f>
        <v>653</v>
      </c>
      <c r="E248" s="10">
        <f t="shared" si="9"/>
        <v>345770.71647626517</v>
      </c>
      <c r="F248" s="14">
        <f>'F) Population'!K240</f>
        <v>80968.058350100589</v>
      </c>
      <c r="G248" s="10">
        <f>'G) Solidarité'!I237</f>
        <v>312513.13281264331</v>
      </c>
      <c r="H248" s="14">
        <f t="shared" si="10"/>
        <v>393481.1911627439</v>
      </c>
      <c r="I248" s="55">
        <f t="shared" si="11"/>
        <v>-47710.47468647873</v>
      </c>
    </row>
    <row r="249" spans="1:9" x14ac:dyDescent="0.25">
      <c r="A249" s="49">
        <f>'A) Base RI'!A240</f>
        <v>5798</v>
      </c>
      <c r="B249" s="32" t="str">
        <f>'A) Base RI'!B240</f>
        <v>Ropraz</v>
      </c>
      <c r="C249" s="31">
        <f>'D) Ecrêtage'!C238</f>
        <v>15761.261677419356</v>
      </c>
      <c r="D249" s="14">
        <f>'A) Base RI'!AO240</f>
        <v>528</v>
      </c>
      <c r="E249" s="10">
        <f t="shared" si="9"/>
        <v>309484.42919898534</v>
      </c>
      <c r="F249" s="14">
        <f>'F) Population'!K241</f>
        <v>65468.812877263568</v>
      </c>
      <c r="G249" s="10">
        <f>'G) Solidarité'!I238</f>
        <v>233120.30254417978</v>
      </c>
      <c r="H249" s="14">
        <f t="shared" si="10"/>
        <v>298589.11542144336</v>
      </c>
      <c r="I249" s="55">
        <f t="shared" si="11"/>
        <v>10895.313777541975</v>
      </c>
    </row>
    <row r="250" spans="1:9" x14ac:dyDescent="0.25">
      <c r="A250" s="49">
        <f>'A) Base RI'!A241</f>
        <v>5799</v>
      </c>
      <c r="B250" s="32" t="str">
        <f>'A) Base RI'!B241</f>
        <v>Servion</v>
      </c>
      <c r="C250" s="31">
        <f>'D) Ecrêtage'!C239</f>
        <v>69387.22289855071</v>
      </c>
      <c r="D250" s="14">
        <f>'A) Base RI'!AO241</f>
        <v>2076</v>
      </c>
      <c r="E250" s="10">
        <f t="shared" si="9"/>
        <v>1362471.1975454483</v>
      </c>
      <c r="F250" s="14">
        <f>'F) Population'!K242</f>
        <v>497562.97786720318</v>
      </c>
      <c r="G250" s="10">
        <f>'G) Solidarité'!I239</f>
        <v>584883.32901599957</v>
      </c>
      <c r="H250" s="14">
        <f t="shared" si="10"/>
        <v>1082446.3068832029</v>
      </c>
      <c r="I250" s="55">
        <f t="shared" si="11"/>
        <v>280024.89066224545</v>
      </c>
    </row>
    <row r="251" spans="1:9" x14ac:dyDescent="0.25">
      <c r="A251" s="49">
        <f>'A) Base RI'!A242</f>
        <v>5803</v>
      </c>
      <c r="B251" s="32" t="str">
        <f>'A) Base RI'!B242</f>
        <v>Vulliens</v>
      </c>
      <c r="C251" s="31">
        <f>'D) Ecrêtage'!C240</f>
        <v>18875.933421052636</v>
      </c>
      <c r="D251" s="14">
        <f>'A) Base RI'!AO242</f>
        <v>624</v>
      </c>
      <c r="E251" s="10">
        <f t="shared" si="9"/>
        <v>370643.39137151005</v>
      </c>
      <c r="F251" s="14">
        <f>'F) Population'!K243</f>
        <v>77372.233400402401</v>
      </c>
      <c r="G251" s="10">
        <f>'G) Solidarité'!I240</f>
        <v>259174.32780939832</v>
      </c>
      <c r="H251" s="14">
        <f t="shared" si="10"/>
        <v>336546.56120980071</v>
      </c>
      <c r="I251" s="55">
        <f t="shared" si="11"/>
        <v>34096.830161709338</v>
      </c>
    </row>
    <row r="252" spans="1:9" x14ac:dyDescent="0.25">
      <c r="A252" s="49">
        <f>'A) Base RI'!A243</f>
        <v>5804</v>
      </c>
      <c r="B252" s="32" t="str">
        <f>'A) Base RI'!B243</f>
        <v>Jorat-Menthue</v>
      </c>
      <c r="C252" s="31">
        <f>'D) Ecrêtage'!C241</f>
        <v>46692.865106382982</v>
      </c>
      <c r="D252" s="14">
        <f>'A) Base RI'!AO243</f>
        <v>1602</v>
      </c>
      <c r="E252" s="10">
        <f t="shared" si="9"/>
        <v>916850.12284373294</v>
      </c>
      <c r="F252" s="14">
        <f>'F) Population'!K244</f>
        <v>332998.18913480878</v>
      </c>
      <c r="G252" s="10">
        <f>'G) Solidarité'!I241</f>
        <v>607804.77793914697</v>
      </c>
      <c r="H252" s="14">
        <f t="shared" si="10"/>
        <v>940802.96707395581</v>
      </c>
      <c r="I252" s="55">
        <f t="shared" si="11"/>
        <v>-23952.844230222865</v>
      </c>
    </row>
    <row r="253" spans="1:9" x14ac:dyDescent="0.25">
      <c r="A253" s="49">
        <f>'A) Base RI'!A244</f>
        <v>5805</v>
      </c>
      <c r="B253" s="32" t="str">
        <f>'A) Base RI'!B244</f>
        <v>Oron</v>
      </c>
      <c r="C253" s="31">
        <f>'D) Ecrêtage'!C242</f>
        <v>154727.47061923583</v>
      </c>
      <c r="D253" s="14">
        <f>'A) Base RI'!AO244</f>
        <v>5663</v>
      </c>
      <c r="E253" s="10">
        <f t="shared" si="9"/>
        <v>3038192.2403205396</v>
      </c>
      <c r="F253" s="14">
        <f>'F) Population'!K245</f>
        <v>2204910.2615694162</v>
      </c>
      <c r="G253" s="10">
        <f>'G) Solidarité'!I242</f>
        <v>2255420.6720152879</v>
      </c>
      <c r="H253" s="14">
        <f t="shared" si="10"/>
        <v>4460330.9335847041</v>
      </c>
      <c r="I253" s="55">
        <f t="shared" si="11"/>
        <v>-1422138.6932641645</v>
      </c>
    </row>
    <row r="254" spans="1:9" x14ac:dyDescent="0.25">
      <c r="A254" s="49">
        <f>'A) Base RI'!A245</f>
        <v>5806</v>
      </c>
      <c r="B254" s="32" t="str">
        <f>'A) Base RI'!B245</f>
        <v>Jorat-Mézières</v>
      </c>
      <c r="C254" s="31">
        <f>'D) Ecrêtage'!C243</f>
        <v>91092.386986301368</v>
      </c>
      <c r="D254" s="14">
        <f>'A) Base RI'!AO245</f>
        <v>2966</v>
      </c>
      <c r="E254" s="10">
        <f t="shared" si="9"/>
        <v>1788668.6972032101</v>
      </c>
      <c r="F254" s="14">
        <f>'F) Population'!K246</f>
        <v>806555.93561368203</v>
      </c>
      <c r="G254" s="10">
        <f>'G) Solidarité'!I243</f>
        <v>1107255.6595719294</v>
      </c>
      <c r="H254" s="14">
        <f t="shared" si="10"/>
        <v>1913811.5951856114</v>
      </c>
      <c r="I254" s="55">
        <f t="shared" si="11"/>
        <v>-125142.89798240131</v>
      </c>
    </row>
    <row r="255" spans="1:9" x14ac:dyDescent="0.25">
      <c r="A255" s="49">
        <f>'A) Base RI'!A246</f>
        <v>5812</v>
      </c>
      <c r="B255" s="32" t="str">
        <f>'A) Base RI'!B246</f>
        <v>Champtauroz</v>
      </c>
      <c r="C255" s="31">
        <f>'D) Ecrêtage'!C244</f>
        <v>2487.5377597402598</v>
      </c>
      <c r="D255" s="14">
        <f>'A) Base RI'!AO246</f>
        <v>144</v>
      </c>
      <c r="E255" s="10">
        <f t="shared" si="9"/>
        <v>48844.706689127685</v>
      </c>
      <c r="F255" s="14">
        <f>'F) Population'!K247</f>
        <v>17855.130784708246</v>
      </c>
      <c r="G255" s="10">
        <f>'G) Solidarité'!I244</f>
        <v>105839.37391640476</v>
      </c>
      <c r="H255" s="14">
        <f t="shared" si="10"/>
        <v>123694.50470111301</v>
      </c>
      <c r="I255" s="55">
        <f t="shared" si="11"/>
        <v>-74849.798011985316</v>
      </c>
    </row>
    <row r="256" spans="1:9" x14ac:dyDescent="0.25">
      <c r="A256" s="49">
        <f>'A) Base RI'!A247</f>
        <v>5813</v>
      </c>
      <c r="B256" s="32" t="str">
        <f>'A) Base RI'!B247</f>
        <v>Chevroux</v>
      </c>
      <c r="C256" s="31">
        <f>'D) Ecrêtage'!C245</f>
        <v>15179.777080291971</v>
      </c>
      <c r="D256" s="14">
        <f>'A) Base RI'!AO247</f>
        <v>495</v>
      </c>
      <c r="E256" s="10">
        <f t="shared" si="9"/>
        <v>298066.53434303013</v>
      </c>
      <c r="F256" s="14">
        <f>'F) Population'!K248</f>
        <v>61377.012072434598</v>
      </c>
      <c r="G256" s="10">
        <f>'G) Solidarité'!I245</f>
        <v>163139.68748507771</v>
      </c>
      <c r="H256" s="14">
        <f t="shared" si="10"/>
        <v>224516.6995575123</v>
      </c>
      <c r="I256" s="55">
        <f t="shared" si="11"/>
        <v>73549.834785517829</v>
      </c>
    </row>
    <row r="257" spans="1:9" x14ac:dyDescent="0.25">
      <c r="A257" s="49">
        <f>'A) Base RI'!A248</f>
        <v>5816</v>
      </c>
      <c r="B257" s="32" t="str">
        <f>'A) Base RI'!B248</f>
        <v>Corcelles-près-Payerne</v>
      </c>
      <c r="C257" s="31">
        <f>'D) Ecrêtage'!C246</f>
        <v>60528.996913451512</v>
      </c>
      <c r="D257" s="14">
        <f>'A) Base RI'!AO248</f>
        <v>2681</v>
      </c>
      <c r="E257" s="10">
        <f t="shared" si="9"/>
        <v>1188533.1544608851</v>
      </c>
      <c r="F257" s="14">
        <f>'F) Population'!K249</f>
        <v>707608.75251509051</v>
      </c>
      <c r="G257" s="10">
        <f>'G) Solidarité'!I246</f>
        <v>1291863.3175794368</v>
      </c>
      <c r="H257" s="14">
        <f t="shared" si="10"/>
        <v>1999472.0700945272</v>
      </c>
      <c r="I257" s="55">
        <f t="shared" si="11"/>
        <v>-810938.91563364211</v>
      </c>
    </row>
    <row r="258" spans="1:9" x14ac:dyDescent="0.25">
      <c r="A258" s="49">
        <f>'A) Base RI'!A249</f>
        <v>5817</v>
      </c>
      <c r="B258" s="32" t="str">
        <f>'A) Base RI'!B249</f>
        <v>Grandcour</v>
      </c>
      <c r="C258" s="31">
        <f>'D) Ecrêtage'!C247</f>
        <v>21779.238095238095</v>
      </c>
      <c r="D258" s="14">
        <f>'A) Base RI'!AO249</f>
        <v>967</v>
      </c>
      <c r="E258" s="10">
        <f t="shared" si="9"/>
        <v>427651.9994557426</v>
      </c>
      <c r="F258" s="14">
        <f>'F) Population'!K250</f>
        <v>119902.16297786718</v>
      </c>
      <c r="G258" s="10">
        <f>'G) Solidarité'!I247</f>
        <v>537606.13281925186</v>
      </c>
      <c r="H258" s="14">
        <f t="shared" si="10"/>
        <v>657508.29579711903</v>
      </c>
      <c r="I258" s="55">
        <f t="shared" si="11"/>
        <v>-229856.29634137644</v>
      </c>
    </row>
    <row r="259" spans="1:9" x14ac:dyDescent="0.25">
      <c r="A259" s="49">
        <f>'A) Base RI'!A250</f>
        <v>5819</v>
      </c>
      <c r="B259" s="32" t="str">
        <f>'A) Base RI'!B250</f>
        <v>Henniez</v>
      </c>
      <c r="C259" s="31">
        <f>'D) Ecrêtage'!C248</f>
        <v>11468.217826086959</v>
      </c>
      <c r="D259" s="14">
        <f>'A) Base RI'!AO250</f>
        <v>396</v>
      </c>
      <c r="E259" s="10">
        <f t="shared" si="9"/>
        <v>225187.2293270166</v>
      </c>
      <c r="F259" s="14">
        <f>'F) Population'!K251</f>
        <v>49101.60965794768</v>
      </c>
      <c r="G259" s="10">
        <f>'G) Solidarité'!I248</f>
        <v>145328.95785226623</v>
      </c>
      <c r="H259" s="14">
        <f t="shared" si="10"/>
        <v>194430.56751021391</v>
      </c>
      <c r="I259" s="55">
        <f t="shared" si="11"/>
        <v>30756.661816802691</v>
      </c>
    </row>
    <row r="260" spans="1:9" x14ac:dyDescent="0.25">
      <c r="A260" s="49">
        <f>'A) Base RI'!A251</f>
        <v>5821</v>
      </c>
      <c r="B260" s="32" t="str">
        <f>'A) Base RI'!B251</f>
        <v>Missy</v>
      </c>
      <c r="C260" s="31">
        <f>'D) Ecrêtage'!C249</f>
        <v>7872.7337500000012</v>
      </c>
      <c r="D260" s="14">
        <f>'A) Base RI'!AO251</f>
        <v>368</v>
      </c>
      <c r="E260" s="10">
        <f t="shared" si="9"/>
        <v>154587.14922200772</v>
      </c>
      <c r="F260" s="14">
        <f>'F) Population'!K252</f>
        <v>45629.778672032182</v>
      </c>
      <c r="G260" s="10">
        <f>'G) Solidarité'!I249</f>
        <v>204967.70199644254</v>
      </c>
      <c r="H260" s="14">
        <f t="shared" si="10"/>
        <v>250597.48066847472</v>
      </c>
      <c r="I260" s="55">
        <f t="shared" si="11"/>
        <v>-96010.331446466997</v>
      </c>
    </row>
    <row r="261" spans="1:9" x14ac:dyDescent="0.25">
      <c r="A261" s="49">
        <f>'A) Base RI'!A252</f>
        <v>5822</v>
      </c>
      <c r="B261" s="32" t="str">
        <f>'A) Base RI'!B252</f>
        <v>Payerne</v>
      </c>
      <c r="C261" s="31">
        <f>'D) Ecrêtage'!C250</f>
        <v>237851.57178082189</v>
      </c>
      <c r="D261" s="14">
        <f>'A) Base RI'!AO252</f>
        <v>10108</v>
      </c>
      <c r="E261" s="10">
        <f t="shared" si="9"/>
        <v>4670397.5502246581</v>
      </c>
      <c r="F261" s="14">
        <f>'F) Population'!K253</f>
        <v>5125216.0965794763</v>
      </c>
      <c r="G261" s="10">
        <f>'G) Solidarité'!I250</f>
        <v>5325414.3782874225</v>
      </c>
      <c r="H261" s="14">
        <f t="shared" si="10"/>
        <v>10450630.474866899</v>
      </c>
      <c r="I261" s="55">
        <f t="shared" si="11"/>
        <v>-5780232.9246422406</v>
      </c>
    </row>
    <row r="262" spans="1:9" x14ac:dyDescent="0.25">
      <c r="A262" s="49">
        <f>'A) Base RI'!A253</f>
        <v>5827</v>
      </c>
      <c r="B262" s="32" t="str">
        <f>'A) Base RI'!B253</f>
        <v>Trey</v>
      </c>
      <c r="C262" s="31">
        <f>'D) Ecrêtage'!C251</f>
        <v>6163.6291025641031</v>
      </c>
      <c r="D262" s="14">
        <f>'A) Base RI'!AO253</f>
        <v>302</v>
      </c>
      <c r="E262" s="10">
        <f t="shared" si="9"/>
        <v>121027.57213492536</v>
      </c>
      <c r="F262" s="14">
        <f>'F) Population'!K254</f>
        <v>37446.177062374241</v>
      </c>
      <c r="G262" s="10">
        <f>'G) Solidarité'!I251</f>
        <v>204662.98849218918</v>
      </c>
      <c r="H262" s="14">
        <f t="shared" si="10"/>
        <v>242109.16555456343</v>
      </c>
      <c r="I262" s="55">
        <f t="shared" si="11"/>
        <v>-121081.59341963807</v>
      </c>
    </row>
    <row r="263" spans="1:9" x14ac:dyDescent="0.25">
      <c r="A263" s="49">
        <f>'A) Base RI'!A254</f>
        <v>5828</v>
      </c>
      <c r="B263" s="32" t="str">
        <f>'A) Base RI'!B254</f>
        <v>Treytorrens (Payerne)</v>
      </c>
      <c r="C263" s="31">
        <f>'D) Ecrêtage'!C252</f>
        <v>2288.4160317460314</v>
      </c>
      <c r="D263" s="14">
        <f>'A) Base RI'!AO254</f>
        <v>114</v>
      </c>
      <c r="E263" s="10">
        <f t="shared" si="9"/>
        <v>44934.79924702883</v>
      </c>
      <c r="F263" s="14">
        <f>'F) Population'!K255</f>
        <v>14135.311871227363</v>
      </c>
      <c r="G263" s="10">
        <f>'G) Solidarité'!I252</f>
        <v>90682.58179799038</v>
      </c>
      <c r="H263" s="14">
        <f t="shared" si="10"/>
        <v>104817.89366921774</v>
      </c>
      <c r="I263" s="55">
        <f t="shared" si="11"/>
        <v>-59883.094422188908</v>
      </c>
    </row>
    <row r="264" spans="1:9" x14ac:dyDescent="0.25">
      <c r="A264" s="49">
        <f>'A) Base RI'!A255</f>
        <v>5830</v>
      </c>
      <c r="B264" s="32" t="str">
        <f>'A) Base RI'!B255</f>
        <v>Villarzel</v>
      </c>
      <c r="C264" s="31">
        <f>'D) Ecrêtage'!C253</f>
        <v>12470.916233766235</v>
      </c>
      <c r="D264" s="14">
        <f>'A) Base RI'!AO255</f>
        <v>477</v>
      </c>
      <c r="E264" s="10">
        <f t="shared" si="9"/>
        <v>244875.97954959155</v>
      </c>
      <c r="F264" s="14">
        <f>'F) Population'!K256</f>
        <v>59145.120724346067</v>
      </c>
      <c r="G264" s="10">
        <f>'G) Solidarité'!I253</f>
        <v>249949.38788534675</v>
      </c>
      <c r="H264" s="14">
        <f t="shared" si="10"/>
        <v>309094.5086096928</v>
      </c>
      <c r="I264" s="55">
        <f t="shared" si="11"/>
        <v>-64218.529060101253</v>
      </c>
    </row>
    <row r="265" spans="1:9" x14ac:dyDescent="0.25">
      <c r="A265" s="49">
        <f>'A) Base RI'!A256</f>
        <v>5831</v>
      </c>
      <c r="B265" s="32" t="str">
        <f>'A) Base RI'!B256</f>
        <v>Valbroye</v>
      </c>
      <c r="C265" s="31">
        <f>'D) Ecrêtage'!C254</f>
        <v>83756.732765957451</v>
      </c>
      <c r="D265" s="14">
        <f>'A) Base RI'!AO256</f>
        <v>3373</v>
      </c>
      <c r="E265" s="10">
        <f t="shared" si="9"/>
        <v>1644627.5153708693</v>
      </c>
      <c r="F265" s="14">
        <f>'F) Population'!K257</f>
        <v>1003359.1549295774</v>
      </c>
      <c r="G265" s="10">
        <f>'G) Solidarité'!I254</f>
        <v>1569964.2804488048</v>
      </c>
      <c r="H265" s="14">
        <f t="shared" si="10"/>
        <v>2573323.435378382</v>
      </c>
      <c r="I265" s="55">
        <f t="shared" si="11"/>
        <v>-928695.92000751267</v>
      </c>
    </row>
    <row r="266" spans="1:9" x14ac:dyDescent="0.25">
      <c r="A266" s="49">
        <f>'A) Base RI'!A257</f>
        <v>5841</v>
      </c>
      <c r="B266" s="32" t="str">
        <f>'A) Base RI'!B257</f>
        <v>Château-d'Oex</v>
      </c>
      <c r="C266" s="31">
        <f>'D) Ecrêtage'!C255</f>
        <v>108658.39067484663</v>
      </c>
      <c r="D266" s="14">
        <f>'A) Base RI'!AO257</f>
        <v>3494</v>
      </c>
      <c r="E266" s="10">
        <f t="shared" si="9"/>
        <v>2133590.6162806186</v>
      </c>
      <c r="F266" s="14">
        <f>'F) Population'!K258</f>
        <v>1063372.2334004024</v>
      </c>
      <c r="G266" s="10">
        <f>'G) Solidarité'!I255</f>
        <v>1589832.4157230409</v>
      </c>
      <c r="H266" s="14">
        <f t="shared" si="10"/>
        <v>2653204.6491234433</v>
      </c>
      <c r="I266" s="55">
        <f t="shared" si="11"/>
        <v>-519614.0328428247</v>
      </c>
    </row>
    <row r="267" spans="1:9" x14ac:dyDescent="0.25">
      <c r="A267" s="49">
        <f>'A) Base RI'!A258</f>
        <v>5842</v>
      </c>
      <c r="B267" s="32" t="str">
        <f>'A) Base RI'!B258</f>
        <v>Rossinière</v>
      </c>
      <c r="C267" s="31">
        <f>'D) Ecrêtage'!C256</f>
        <v>14509.951028806583</v>
      </c>
      <c r="D267" s="14">
        <f>'A) Base RI'!AO258</f>
        <v>537</v>
      </c>
      <c r="E267" s="10">
        <f t="shared" si="9"/>
        <v>284913.9874562819</v>
      </c>
      <c r="F267" s="14">
        <f>'F) Population'!K259</f>
        <v>66584.758551307837</v>
      </c>
      <c r="G267" s="10">
        <f>'G) Solidarité'!I256</f>
        <v>299002.71108248481</v>
      </c>
      <c r="H267" s="14">
        <f t="shared" si="10"/>
        <v>365587.46963379264</v>
      </c>
      <c r="I267" s="55">
        <f t="shared" si="11"/>
        <v>-80673.482177510741</v>
      </c>
    </row>
    <row r="268" spans="1:9" x14ac:dyDescent="0.25">
      <c r="A268" s="49">
        <f>'A) Base RI'!A259</f>
        <v>5843</v>
      </c>
      <c r="B268" s="32" t="str">
        <f>'A) Base RI'!B259</f>
        <v>Rougemont</v>
      </c>
      <c r="C268" s="31">
        <f>'D) Ecrêtage'!C257</f>
        <v>100468.99797297297</v>
      </c>
      <c r="D268" s="14">
        <f>'A) Base RI'!AO259</f>
        <v>863</v>
      </c>
      <c r="E268" s="10">
        <f t="shared" si="9"/>
        <v>1972785.6263186294</v>
      </c>
      <c r="F268" s="14">
        <f>'F) Population'!K260</f>
        <v>107006.79074446678</v>
      </c>
      <c r="G268" s="10">
        <f>'G) Solidarité'!I257</f>
        <v>0</v>
      </c>
      <c r="H268" s="14">
        <f t="shared" si="10"/>
        <v>107006.79074446678</v>
      </c>
      <c r="I268" s="55">
        <f t="shared" si="11"/>
        <v>1865778.8355741627</v>
      </c>
    </row>
    <row r="269" spans="1:9" x14ac:dyDescent="0.25">
      <c r="A269" s="49">
        <f>'A) Base RI'!A260</f>
        <v>5851</v>
      </c>
      <c r="B269" s="32" t="str">
        <f>'A) Base RI'!B260</f>
        <v>Allaman</v>
      </c>
      <c r="C269" s="31">
        <f>'D) Ecrêtage'!C258</f>
        <v>24314.213954545452</v>
      </c>
      <c r="D269" s="14">
        <f>'A) Base RI'!AO260</f>
        <v>443</v>
      </c>
      <c r="E269" s="10">
        <f t="shared" si="9"/>
        <v>477428.1895163976</v>
      </c>
      <c r="F269" s="14">
        <f>'F) Population'!K261</f>
        <v>54929.325955734399</v>
      </c>
      <c r="G269" s="10">
        <f>'G) Solidarité'!I258</f>
        <v>0</v>
      </c>
      <c r="H269" s="14">
        <f t="shared" si="10"/>
        <v>54929.325955734399</v>
      </c>
      <c r="I269" s="55">
        <f t="shared" si="11"/>
        <v>422498.86356066319</v>
      </c>
    </row>
    <row r="270" spans="1:9" x14ac:dyDescent="0.25">
      <c r="A270" s="49">
        <f>'A) Base RI'!A261</f>
        <v>5852</v>
      </c>
      <c r="B270" s="32" t="str">
        <f>'A) Base RI'!B261</f>
        <v>Bursinel</v>
      </c>
      <c r="C270" s="31">
        <f>'D) Ecrêtage'!C259</f>
        <v>40706.215623409669</v>
      </c>
      <c r="D270" s="14">
        <f>'A) Base RI'!AO261</f>
        <v>491</v>
      </c>
      <c r="E270" s="10">
        <f t="shared" si="9"/>
        <v>799297.68091538106</v>
      </c>
      <c r="F270" s="14">
        <f>'F) Population'!K262</f>
        <v>60881.036217303816</v>
      </c>
      <c r="G270" s="10">
        <f>'G) Solidarité'!I259</f>
        <v>0</v>
      </c>
      <c r="H270" s="14">
        <f t="shared" si="10"/>
        <v>60881.036217303816</v>
      </c>
      <c r="I270" s="55">
        <f t="shared" si="11"/>
        <v>738416.64469807723</v>
      </c>
    </row>
    <row r="271" spans="1:9" x14ac:dyDescent="0.25">
      <c r="A271" s="49">
        <f>'A) Base RI'!A262</f>
        <v>5853</v>
      </c>
      <c r="B271" s="32" t="str">
        <f>'A) Base RI'!B262</f>
        <v>Bursins</v>
      </c>
      <c r="C271" s="31">
        <f>'D) Ecrêtage'!C260</f>
        <v>42015.881830985905</v>
      </c>
      <c r="D271" s="14">
        <f>'A) Base RI'!AO262</f>
        <v>773</v>
      </c>
      <c r="E271" s="10">
        <f t="shared" si="9"/>
        <v>825013.97869588318</v>
      </c>
      <c r="F271" s="14">
        <f>'F) Population'!K263</f>
        <v>95847.334004024131</v>
      </c>
      <c r="G271" s="10">
        <f>'G) Solidarité'!I260</f>
        <v>0</v>
      </c>
      <c r="H271" s="14">
        <f t="shared" si="10"/>
        <v>95847.334004024131</v>
      </c>
      <c r="I271" s="55">
        <f t="shared" si="11"/>
        <v>729166.64469185902</v>
      </c>
    </row>
    <row r="272" spans="1:9" x14ac:dyDescent="0.25">
      <c r="A272" s="49">
        <f>'A) Base RI'!A263</f>
        <v>5854</v>
      </c>
      <c r="B272" s="32" t="str">
        <f>'A) Base RI'!B263</f>
        <v>Burtigny</v>
      </c>
      <c r="C272" s="31">
        <f>'D) Ecrêtage'!C261</f>
        <v>10782.893958333336</v>
      </c>
      <c r="D272" s="14">
        <f>'A) Base RI'!AO263</f>
        <v>404</v>
      </c>
      <c r="E272" s="10">
        <f t="shared" si="9"/>
        <v>211730.37096319441</v>
      </c>
      <c r="F272" s="14">
        <f>'F) Population'!K264</f>
        <v>50093.561368209244</v>
      </c>
      <c r="G272" s="10">
        <f>'G) Solidarité'!I261</f>
        <v>222851.96339118778</v>
      </c>
      <c r="H272" s="14">
        <f t="shared" si="10"/>
        <v>272945.52475939703</v>
      </c>
      <c r="I272" s="55">
        <f t="shared" si="11"/>
        <v>-61215.15379620262</v>
      </c>
    </row>
    <row r="273" spans="1:9" x14ac:dyDescent="0.25">
      <c r="A273" s="49">
        <f>'A) Base RI'!A264</f>
        <v>5855</v>
      </c>
      <c r="B273" s="32" t="str">
        <f>'A) Base RI'!B264</f>
        <v>Dully</v>
      </c>
      <c r="C273" s="31">
        <f>'D) Ecrêtage'!C262</f>
        <v>98158.514897959176</v>
      </c>
      <c r="D273" s="14">
        <f>'A) Base RI'!AO264</f>
        <v>628</v>
      </c>
      <c r="E273" s="10">
        <f t="shared" ref="E273:E324" si="12">C273*E$15</f>
        <v>1927417.5237974334</v>
      </c>
      <c r="F273" s="14">
        <f>'F) Population'!K265</f>
        <v>77868.209255533191</v>
      </c>
      <c r="G273" s="10">
        <f>'G) Solidarité'!I262</f>
        <v>0</v>
      </c>
      <c r="H273" s="14">
        <f t="shared" ref="H273:H324" si="13">F273+G273</f>
        <v>77868.209255533191</v>
      </c>
      <c r="I273" s="55">
        <f t="shared" ref="I273:I324" si="14">E273-H273</f>
        <v>1849549.3145419001</v>
      </c>
    </row>
    <row r="274" spans="1:9" x14ac:dyDescent="0.25">
      <c r="A274" s="49">
        <f>'A) Base RI'!A265</f>
        <v>5856</v>
      </c>
      <c r="B274" s="32" t="str">
        <f>'A) Base RI'!B265</f>
        <v>Essertines-sur-Rolle</v>
      </c>
      <c r="C274" s="31">
        <f>'D) Ecrêtage'!C263</f>
        <v>35711.648536726432</v>
      </c>
      <c r="D274" s="14">
        <f>'A) Base RI'!AO265</f>
        <v>740</v>
      </c>
      <c r="E274" s="10">
        <f t="shared" si="12"/>
        <v>701225.53570553835</v>
      </c>
      <c r="F274" s="14">
        <f>'F) Population'!K266</f>
        <v>91755.533199195153</v>
      </c>
      <c r="G274" s="10">
        <f>'G) Solidarité'!I263</f>
        <v>0</v>
      </c>
      <c r="H274" s="14">
        <f t="shared" si="13"/>
        <v>91755.533199195153</v>
      </c>
      <c r="I274" s="55">
        <f t="shared" si="14"/>
        <v>609470.00250634318</v>
      </c>
    </row>
    <row r="275" spans="1:9" x14ac:dyDescent="0.25">
      <c r="A275" s="49">
        <f>'A) Base RI'!A266</f>
        <v>5857</v>
      </c>
      <c r="B275" s="32" t="str">
        <f>'A) Base RI'!B266</f>
        <v>Gilly</v>
      </c>
      <c r="C275" s="31">
        <f>'D) Ecrêtage'!C264</f>
        <v>82128.423720930223</v>
      </c>
      <c r="D275" s="14">
        <f>'A) Base RI'!AO266</f>
        <v>1428</v>
      </c>
      <c r="E275" s="10">
        <f t="shared" si="12"/>
        <v>1612654.4217395536</v>
      </c>
      <c r="F275" s="14">
        <f>'F) Population'!K267</f>
        <v>272588.32997987926</v>
      </c>
      <c r="G275" s="10">
        <f>'G) Solidarité'!I264</f>
        <v>0</v>
      </c>
      <c r="H275" s="14">
        <f t="shared" si="13"/>
        <v>272588.32997987926</v>
      </c>
      <c r="I275" s="55">
        <f t="shared" si="14"/>
        <v>1340066.0917596743</v>
      </c>
    </row>
    <row r="276" spans="1:9" x14ac:dyDescent="0.25">
      <c r="A276" s="49">
        <f>'A) Base RI'!A267</f>
        <v>5858</v>
      </c>
      <c r="B276" s="32" t="str">
        <f>'A) Base RI'!B267</f>
        <v>Luins</v>
      </c>
      <c r="C276" s="31">
        <f>'D) Ecrêtage'!C265</f>
        <v>40290.677378917375</v>
      </c>
      <c r="D276" s="14">
        <f>'A) Base RI'!AO267</f>
        <v>619</v>
      </c>
      <c r="E276" s="10">
        <f t="shared" si="12"/>
        <v>791138.26962971664</v>
      </c>
      <c r="F276" s="14">
        <f>'F) Population'!K268</f>
        <v>76752.263581488922</v>
      </c>
      <c r="G276" s="10">
        <f>'G) Solidarité'!I265</f>
        <v>0</v>
      </c>
      <c r="H276" s="14">
        <f t="shared" si="13"/>
        <v>76752.263581488922</v>
      </c>
      <c r="I276" s="55">
        <f t="shared" si="14"/>
        <v>714386.00604822766</v>
      </c>
    </row>
    <row r="277" spans="1:9" x14ac:dyDescent="0.25">
      <c r="A277" s="49">
        <f>'A) Base RI'!A268</f>
        <v>5859</v>
      </c>
      <c r="B277" s="32" t="str">
        <f>'A) Base RI'!B268</f>
        <v>Mont-sur-Rolle</v>
      </c>
      <c r="C277" s="31">
        <f>'D) Ecrêtage'!C266</f>
        <v>146465.78251968499</v>
      </c>
      <c r="D277" s="14">
        <f>'A) Base RI'!AO268</f>
        <v>2646</v>
      </c>
      <c r="E277" s="10">
        <f t="shared" si="12"/>
        <v>2875967.6749246945</v>
      </c>
      <c r="F277" s="14">
        <f>'F) Population'!K269</f>
        <v>695457.34406438621</v>
      </c>
      <c r="G277" s="10">
        <f>'G) Solidarité'!I266</f>
        <v>0</v>
      </c>
      <c r="H277" s="14">
        <f t="shared" si="13"/>
        <v>695457.34406438621</v>
      </c>
      <c r="I277" s="55">
        <f t="shared" si="14"/>
        <v>2180510.3308603084</v>
      </c>
    </row>
    <row r="278" spans="1:9" x14ac:dyDescent="0.25">
      <c r="A278" s="49">
        <f>'A) Base RI'!A269</f>
        <v>5860</v>
      </c>
      <c r="B278" s="32" t="str">
        <f>'A) Base RI'!B269</f>
        <v>Perroy</v>
      </c>
      <c r="C278" s="31">
        <f>'D) Ecrêtage'!C267</f>
        <v>187175.54426035503</v>
      </c>
      <c r="D278" s="14">
        <f>'A) Base RI'!AO269</f>
        <v>1518</v>
      </c>
      <c r="E278" s="10">
        <f t="shared" si="12"/>
        <v>3675334.986564992</v>
      </c>
      <c r="F278" s="14">
        <f>'F) Population'!K270</f>
        <v>303834.80885311868</v>
      </c>
      <c r="G278" s="10">
        <f>'G) Solidarité'!I267</f>
        <v>0</v>
      </c>
      <c r="H278" s="14">
        <f t="shared" si="13"/>
        <v>303834.80885311868</v>
      </c>
      <c r="I278" s="55">
        <f t="shared" si="14"/>
        <v>3371500.1777118733</v>
      </c>
    </row>
    <row r="279" spans="1:9" x14ac:dyDescent="0.25">
      <c r="A279" s="49">
        <f>'A) Base RI'!A270</f>
        <v>5861</v>
      </c>
      <c r="B279" s="32" t="str">
        <f>'A) Base RI'!B270</f>
        <v>Rolle</v>
      </c>
      <c r="C279" s="31">
        <f>'D) Ecrêtage'!C268</f>
        <v>1938335.8673949579</v>
      </c>
      <c r="D279" s="14">
        <f>'A) Base RI'!AO270</f>
        <v>6259</v>
      </c>
      <c r="E279" s="10">
        <f t="shared" si="12"/>
        <v>38060707.435375176</v>
      </c>
      <c r="F279" s="14">
        <f>'F) Population'!K271</f>
        <v>2559632.1931589535</v>
      </c>
      <c r="G279" s="10">
        <f>'G) Solidarité'!I268</f>
        <v>0</v>
      </c>
      <c r="H279" s="14">
        <f t="shared" si="13"/>
        <v>2559632.1931589535</v>
      </c>
      <c r="I279" s="55">
        <f t="shared" si="14"/>
        <v>35501075.242216222</v>
      </c>
    </row>
    <row r="280" spans="1:9" x14ac:dyDescent="0.25">
      <c r="A280" s="49">
        <f>'A) Base RI'!A271</f>
        <v>5862</v>
      </c>
      <c r="B280" s="32" t="str">
        <f>'A) Base RI'!B271</f>
        <v>Tartegnin</v>
      </c>
      <c r="C280" s="31">
        <f>'D) Ecrêtage'!C269</f>
        <v>8096.4381012658214</v>
      </c>
      <c r="D280" s="14">
        <f>'A) Base RI'!AO271</f>
        <v>236</v>
      </c>
      <c r="E280" s="10">
        <f t="shared" si="12"/>
        <v>158979.75527587582</v>
      </c>
      <c r="F280" s="14">
        <f>'F) Population'!K272</f>
        <v>29262.575452716294</v>
      </c>
      <c r="G280" s="10">
        <f>'G) Solidarité'!I269</f>
        <v>81938.153122515738</v>
      </c>
      <c r="H280" s="14">
        <f t="shared" si="13"/>
        <v>111200.72857523203</v>
      </c>
      <c r="I280" s="55">
        <f t="shared" si="14"/>
        <v>47779.026700643793</v>
      </c>
    </row>
    <row r="281" spans="1:9" x14ac:dyDescent="0.25">
      <c r="A281" s="49">
        <f>'A) Base RI'!A272</f>
        <v>5863</v>
      </c>
      <c r="B281" s="32" t="str">
        <f>'A) Base RI'!B272</f>
        <v>Vinzel</v>
      </c>
      <c r="C281" s="31">
        <f>'D) Ecrêtage'!C270</f>
        <v>21933.69492537314</v>
      </c>
      <c r="D281" s="14">
        <f>'A) Base RI'!AO272</f>
        <v>385</v>
      </c>
      <c r="E281" s="10">
        <f t="shared" si="12"/>
        <v>430684.87746313668</v>
      </c>
      <c r="F281" s="14">
        <f>'F) Population'!K273</f>
        <v>47737.676056338023</v>
      </c>
      <c r="G281" s="10">
        <f>'G) Solidarité'!I270</f>
        <v>0</v>
      </c>
      <c r="H281" s="14">
        <f t="shared" si="13"/>
        <v>47737.676056338023</v>
      </c>
      <c r="I281" s="55">
        <f t="shared" si="14"/>
        <v>382947.20140679867</v>
      </c>
    </row>
    <row r="282" spans="1:9" x14ac:dyDescent="0.25">
      <c r="A282" s="49">
        <f>'A) Base RI'!A273</f>
        <v>5871</v>
      </c>
      <c r="B282" s="32" t="str">
        <f>'A) Base RI'!B273</f>
        <v>L'Abbaye</v>
      </c>
      <c r="C282" s="31">
        <f>'D) Ecrêtage'!C271</f>
        <v>49513.521273852508</v>
      </c>
      <c r="D282" s="14">
        <f>'A) Base RI'!AO273</f>
        <v>1473</v>
      </c>
      <c r="E282" s="10">
        <f t="shared" si="12"/>
        <v>972235.8642787952</v>
      </c>
      <c r="F282" s="14">
        <f>'F) Population'!K274</f>
        <v>288211.56941649894</v>
      </c>
      <c r="G282" s="10">
        <f>'G) Solidarité'!I271</f>
        <v>517576.82494740863</v>
      </c>
      <c r="H282" s="14">
        <f t="shared" si="13"/>
        <v>805788.39436390763</v>
      </c>
      <c r="I282" s="55">
        <f t="shared" si="14"/>
        <v>166447.46991488757</v>
      </c>
    </row>
    <row r="283" spans="1:9" x14ac:dyDescent="0.25">
      <c r="A283" s="49">
        <f>'A) Base RI'!A274</f>
        <v>5872</v>
      </c>
      <c r="B283" s="32" t="str">
        <f>'A) Base RI'!B274</f>
        <v>Le Chenit</v>
      </c>
      <c r="C283" s="31">
        <f>'D) Ecrêtage'!C272</f>
        <v>236042.78222554145</v>
      </c>
      <c r="D283" s="14">
        <f>'A) Base RI'!AO274</f>
        <v>4600</v>
      </c>
      <c r="E283" s="10">
        <f t="shared" si="12"/>
        <v>4634880.583720698</v>
      </c>
      <c r="F283" s="14">
        <f>'F) Population'!K275</f>
        <v>1611921.5291750501</v>
      </c>
      <c r="G283" s="10">
        <f>'G) Solidarité'!I272</f>
        <v>0</v>
      </c>
      <c r="H283" s="14">
        <f t="shared" si="13"/>
        <v>1611921.5291750501</v>
      </c>
      <c r="I283" s="55">
        <f t="shared" si="14"/>
        <v>3022959.0545456479</v>
      </c>
    </row>
    <row r="284" spans="1:9" x14ac:dyDescent="0.25">
      <c r="A284" s="49">
        <f>'A) Base RI'!A275</f>
        <v>5873</v>
      </c>
      <c r="B284" s="32" t="str">
        <f>'A) Base RI'!B275</f>
        <v>Le Lieu</v>
      </c>
      <c r="C284" s="31">
        <f>'D) Ecrêtage'!C273</f>
        <v>30440.408392857149</v>
      </c>
      <c r="D284" s="14">
        <f>'A) Base RI'!AO275</f>
        <v>888</v>
      </c>
      <c r="E284" s="10">
        <f t="shared" si="12"/>
        <v>597720.70338406449</v>
      </c>
      <c r="F284" s="14">
        <f>'F) Population'!K276</f>
        <v>110106.63983903419</v>
      </c>
      <c r="G284" s="10">
        <f>'G) Solidarité'!I273</f>
        <v>242538.2162224247</v>
      </c>
      <c r="H284" s="14">
        <f t="shared" si="13"/>
        <v>352644.85606145888</v>
      </c>
      <c r="I284" s="55">
        <f t="shared" si="14"/>
        <v>245075.84732260561</v>
      </c>
    </row>
    <row r="285" spans="1:9" x14ac:dyDescent="0.25">
      <c r="A285" s="49">
        <f>'A) Base RI'!A276</f>
        <v>5881</v>
      </c>
      <c r="B285" s="32" t="str">
        <f>'A) Base RI'!B276</f>
        <v>Blonay</v>
      </c>
      <c r="C285" s="31">
        <f>'D) Ecrêtage'!C274</f>
        <v>363266.43007299263</v>
      </c>
      <c r="D285" s="14">
        <f>'A) Base RI'!AO276</f>
        <v>6215</v>
      </c>
      <c r="E285" s="10">
        <f t="shared" si="12"/>
        <v>7133014.2255909182</v>
      </c>
      <c r="F285" s="14">
        <f>'F) Population'!K277</f>
        <v>2533444.6680080481</v>
      </c>
      <c r="G285" s="10">
        <f>'G) Solidarité'!I274</f>
        <v>0</v>
      </c>
      <c r="H285" s="14">
        <f t="shared" si="13"/>
        <v>2533444.6680080481</v>
      </c>
      <c r="I285" s="55">
        <f t="shared" si="14"/>
        <v>4599569.5575828701</v>
      </c>
    </row>
    <row r="286" spans="1:9" x14ac:dyDescent="0.25">
      <c r="A286" s="49">
        <f>'A) Base RI'!A277</f>
        <v>5882</v>
      </c>
      <c r="B286" s="32" t="str">
        <f>'A) Base RI'!B277</f>
        <v>Chardonne</v>
      </c>
      <c r="C286" s="31">
        <f>'D) Ecrêtage'!C275</f>
        <v>179032.37397058826</v>
      </c>
      <c r="D286" s="14">
        <f>'A) Base RI'!AO277</f>
        <v>3093</v>
      </c>
      <c r="E286" s="10">
        <f t="shared" si="12"/>
        <v>3515437.609021341</v>
      </c>
      <c r="F286" s="14">
        <f>'F) Population'!K278</f>
        <v>864485.91549295769</v>
      </c>
      <c r="G286" s="10">
        <f>'G) Solidarité'!I275</f>
        <v>0</v>
      </c>
      <c r="H286" s="14">
        <f t="shared" si="13"/>
        <v>864485.91549295769</v>
      </c>
      <c r="I286" s="55">
        <f t="shared" si="14"/>
        <v>2650951.693528383</v>
      </c>
    </row>
    <row r="287" spans="1:9" x14ac:dyDescent="0.25">
      <c r="A287" s="49">
        <f>'A) Base RI'!A278</f>
        <v>5883</v>
      </c>
      <c r="B287" s="32" t="str">
        <f>'A) Base RI'!B278</f>
        <v>Corseaux</v>
      </c>
      <c r="C287" s="31">
        <f>'D) Ecrêtage'!C276</f>
        <v>167893.40074074076</v>
      </c>
      <c r="D287" s="14">
        <f>'A) Base RI'!AO278</f>
        <v>2311</v>
      </c>
      <c r="E287" s="10">
        <f t="shared" si="12"/>
        <v>3296715.3491884861</v>
      </c>
      <c r="F287" s="14">
        <f>'F) Population'!K279</f>
        <v>579151.00603621721</v>
      </c>
      <c r="G287" s="10">
        <f>'G) Solidarité'!I276</f>
        <v>0</v>
      </c>
      <c r="H287" s="14">
        <f t="shared" si="13"/>
        <v>579151.00603621721</v>
      </c>
      <c r="I287" s="55">
        <f t="shared" si="14"/>
        <v>2717564.3431522688</v>
      </c>
    </row>
    <row r="288" spans="1:9" x14ac:dyDescent="0.25">
      <c r="A288" s="49">
        <f>'A) Base RI'!A279</f>
        <v>5884</v>
      </c>
      <c r="B288" s="32" t="str">
        <f>'A) Base RI'!B279</f>
        <v>Corsier-sur-Vevey</v>
      </c>
      <c r="C288" s="31">
        <f>'D) Ecrêtage'!C277</f>
        <v>122170.7416919192</v>
      </c>
      <c r="D288" s="14">
        <f>'A) Base RI'!AO279</f>
        <v>3420</v>
      </c>
      <c r="E288" s="10">
        <f t="shared" si="12"/>
        <v>2398915.9644185947</v>
      </c>
      <c r="F288" s="14">
        <f>'F) Population'!K280</f>
        <v>1026670.0201207242</v>
      </c>
      <c r="G288" s="10">
        <f>'G) Solidarité'!I277</f>
        <v>744166.0507714916</v>
      </c>
      <c r="H288" s="14">
        <f t="shared" si="13"/>
        <v>1770836.0708922157</v>
      </c>
      <c r="I288" s="55">
        <f t="shared" si="14"/>
        <v>628079.89352637902</v>
      </c>
    </row>
    <row r="289" spans="1:9" x14ac:dyDescent="0.25">
      <c r="A289" s="49">
        <f>'A) Base RI'!A280</f>
        <v>5885</v>
      </c>
      <c r="B289" s="32" t="str">
        <f>'A) Base RI'!B280</f>
        <v>Jongny</v>
      </c>
      <c r="C289" s="31">
        <f>'D) Ecrêtage'!C278</f>
        <v>85101.213069544348</v>
      </c>
      <c r="D289" s="14">
        <f>'A) Base RI'!AO280</f>
        <v>1670</v>
      </c>
      <c r="E289" s="10">
        <f t="shared" si="12"/>
        <v>1671027.4145566684</v>
      </c>
      <c r="F289" s="14">
        <f>'F) Population'!K281</f>
        <v>356606.63983903418</v>
      </c>
      <c r="G289" s="10">
        <f>'G) Solidarité'!I278</f>
        <v>0</v>
      </c>
      <c r="H289" s="14">
        <f t="shared" si="13"/>
        <v>356606.63983903418</v>
      </c>
      <c r="I289" s="55">
        <f t="shared" si="14"/>
        <v>1314420.7747176341</v>
      </c>
    </row>
    <row r="290" spans="1:9" x14ac:dyDescent="0.25">
      <c r="A290" s="49">
        <f>'A) Base RI'!A281</f>
        <v>5886</v>
      </c>
      <c r="B290" s="32" t="str">
        <f>'A) Base RI'!B281</f>
        <v>Montreux</v>
      </c>
      <c r="C290" s="31">
        <f>'D) Ecrêtage'!C279</f>
        <v>1097075.3945128203</v>
      </c>
      <c r="D290" s="14">
        <f>'A) Base RI'!AO281</f>
        <v>26180</v>
      </c>
      <c r="E290" s="10">
        <f t="shared" si="12"/>
        <v>21541914.550247088</v>
      </c>
      <c r="F290" s="14">
        <f>'F) Population'!K282</f>
        <v>21340849.094567403</v>
      </c>
      <c r="G290" s="10">
        <f>'G) Solidarité'!I279</f>
        <v>2781543.3840129138</v>
      </c>
      <c r="H290" s="14">
        <f t="shared" si="13"/>
        <v>24122392.478580318</v>
      </c>
      <c r="I290" s="55">
        <f t="shared" si="14"/>
        <v>-2580477.9283332303</v>
      </c>
    </row>
    <row r="291" spans="1:9" x14ac:dyDescent="0.25">
      <c r="A291" s="49">
        <f>'A) Base RI'!A282</f>
        <v>5888</v>
      </c>
      <c r="B291" s="32" t="str">
        <f>'A) Base RI'!B282</f>
        <v>Saint-Légier-La Chiésaz</v>
      </c>
      <c r="C291" s="31">
        <f>'D) Ecrêtage'!C280</f>
        <v>325579.73326034058</v>
      </c>
      <c r="D291" s="14">
        <f>'A) Base RI'!AO282</f>
        <v>5522</v>
      </c>
      <c r="E291" s="10">
        <f t="shared" si="12"/>
        <v>6393007.1062263139</v>
      </c>
      <c r="F291" s="14">
        <f>'F) Population'!K283</f>
        <v>2120991.1468812875</v>
      </c>
      <c r="G291" s="10">
        <f>'G) Solidarité'!I280</f>
        <v>0</v>
      </c>
      <c r="H291" s="14">
        <f t="shared" si="13"/>
        <v>2120991.1468812875</v>
      </c>
      <c r="I291" s="55">
        <f t="shared" si="14"/>
        <v>4272015.9593450259</v>
      </c>
    </row>
    <row r="292" spans="1:9" x14ac:dyDescent="0.25">
      <c r="A292" s="49">
        <f>'A) Base RI'!A283</f>
        <v>5889</v>
      </c>
      <c r="B292" s="32" t="str">
        <f>'A) Base RI'!B283</f>
        <v>La Tour-de-Peilz</v>
      </c>
      <c r="C292" s="31">
        <f>'D) Ecrêtage'!C281</f>
        <v>675962.70015625004</v>
      </c>
      <c r="D292" s="14">
        <f>'A) Base RI'!AO283</f>
        <v>12088</v>
      </c>
      <c r="E292" s="10">
        <f t="shared" si="12"/>
        <v>13273044.677468671</v>
      </c>
      <c r="F292" s="14">
        <f>'F) Population'!K284</f>
        <v>6807764.5875251498</v>
      </c>
      <c r="G292" s="10">
        <f>'G) Solidarité'!I281</f>
        <v>0</v>
      </c>
      <c r="H292" s="14">
        <f t="shared" si="13"/>
        <v>6807764.5875251498</v>
      </c>
      <c r="I292" s="55">
        <f t="shared" si="14"/>
        <v>6465280.0899435207</v>
      </c>
    </row>
    <row r="293" spans="1:9" x14ac:dyDescent="0.25">
      <c r="A293" s="49">
        <f>'A) Base RI'!A284</f>
        <v>5890</v>
      </c>
      <c r="B293" s="32" t="str">
        <f>'A) Base RI'!B284</f>
        <v>Vevey</v>
      </c>
      <c r="C293" s="31">
        <f>'D) Ecrêtage'!C282</f>
        <v>862625.86017897108</v>
      </c>
      <c r="D293" s="14">
        <f>'A) Base RI'!AO284</f>
        <v>19780</v>
      </c>
      <c r="E293" s="10">
        <f t="shared" si="12"/>
        <v>16938318.607592866</v>
      </c>
      <c r="F293" s="14">
        <f>'F) Population'!K285</f>
        <v>14674933.601609655</v>
      </c>
      <c r="G293" s="10">
        <f>'G) Solidarité'!I282</f>
        <v>2009370.2394915628</v>
      </c>
      <c r="H293" s="14">
        <f t="shared" si="13"/>
        <v>16684303.841101218</v>
      </c>
      <c r="I293" s="55">
        <f t="shared" si="14"/>
        <v>254014.76649164781</v>
      </c>
    </row>
    <row r="294" spans="1:9" x14ac:dyDescent="0.25">
      <c r="A294" s="49">
        <f>'A) Base RI'!A285</f>
        <v>5891</v>
      </c>
      <c r="B294" s="32" t="str">
        <f>'A) Base RI'!B285</f>
        <v>Veytaux</v>
      </c>
      <c r="C294" s="31">
        <f>'D) Ecrêtage'!C283</f>
        <v>43950.38565947242</v>
      </c>
      <c r="D294" s="14">
        <f>'A) Base RI'!AO285</f>
        <v>956</v>
      </c>
      <c r="E294" s="10">
        <f t="shared" si="12"/>
        <v>862999.44111607363</v>
      </c>
      <c r="F294" s="14">
        <f>'F) Population'!K286</f>
        <v>118538.22937625753</v>
      </c>
      <c r="G294" s="10">
        <f>'G) Solidarité'!I283</f>
        <v>40754.631893599741</v>
      </c>
      <c r="H294" s="14">
        <f t="shared" si="13"/>
        <v>159292.86126985727</v>
      </c>
      <c r="I294" s="55">
        <f t="shared" si="14"/>
        <v>703706.57984621637</v>
      </c>
    </row>
    <row r="295" spans="1:9" x14ac:dyDescent="0.25">
      <c r="A295" s="49">
        <f>'A) Base RI'!A286</f>
        <v>5902</v>
      </c>
      <c r="B295" s="32" t="str">
        <f>'A) Base RI'!B286</f>
        <v>Belmont-sur-Yverdon</v>
      </c>
      <c r="C295" s="31">
        <f>'D) Ecrêtage'!C284</f>
        <v>11749.165714285717</v>
      </c>
      <c r="D295" s="14">
        <f>'A) Base RI'!AO286</f>
        <v>396</v>
      </c>
      <c r="E295" s="10">
        <f t="shared" si="12"/>
        <v>230703.85601550195</v>
      </c>
      <c r="F295" s="14">
        <f>'F) Population'!K287</f>
        <v>49101.60965794768</v>
      </c>
      <c r="G295" s="10">
        <f>'G) Solidarité'!I284</f>
        <v>144048.74297891869</v>
      </c>
      <c r="H295" s="14">
        <f t="shared" si="13"/>
        <v>193150.35263686636</v>
      </c>
      <c r="I295" s="55">
        <f t="shared" si="14"/>
        <v>37553.503378635593</v>
      </c>
    </row>
    <row r="296" spans="1:9" x14ac:dyDescent="0.25">
      <c r="A296" s="49">
        <f>'A) Base RI'!A287</f>
        <v>5903</v>
      </c>
      <c r="B296" s="32" t="str">
        <f>'A) Base RI'!B287</f>
        <v>Bioley-Magnoux</v>
      </c>
      <c r="C296" s="31">
        <f>'D) Ecrêtage'!C285</f>
        <v>5017.2132738095233</v>
      </c>
      <c r="D296" s="14">
        <f>'A) Base RI'!AO287</f>
        <v>230</v>
      </c>
      <c r="E296" s="10">
        <f t="shared" si="12"/>
        <v>98516.820416672999</v>
      </c>
      <c r="F296" s="14">
        <f>'F) Population'!K288</f>
        <v>28518.611670020116</v>
      </c>
      <c r="G296" s="10">
        <f>'G) Solidarité'!I285</f>
        <v>126092.46247160315</v>
      </c>
      <c r="H296" s="14">
        <f t="shared" si="13"/>
        <v>154611.07414162328</v>
      </c>
      <c r="I296" s="55">
        <f t="shared" si="14"/>
        <v>-56094.253724950278</v>
      </c>
    </row>
    <row r="297" spans="1:9" x14ac:dyDescent="0.25">
      <c r="A297" s="49">
        <f>'A) Base RI'!A288</f>
        <v>5904</v>
      </c>
      <c r="B297" s="32" t="str">
        <f>'A) Base RI'!B288</f>
        <v>Chamblon</v>
      </c>
      <c r="C297" s="31">
        <f>'D) Ecrêtage'!C286</f>
        <v>21694.056363636359</v>
      </c>
      <c r="D297" s="14">
        <f>'A) Base RI'!AO288</f>
        <v>559</v>
      </c>
      <c r="E297" s="10">
        <f t="shared" si="12"/>
        <v>425979.39099821576</v>
      </c>
      <c r="F297" s="14">
        <f>'F) Population'!K289</f>
        <v>69312.625754527151</v>
      </c>
      <c r="G297" s="10">
        <f>'G) Solidarité'!I286</f>
        <v>91483.459228465406</v>
      </c>
      <c r="H297" s="14">
        <f t="shared" si="13"/>
        <v>160796.08498299256</v>
      </c>
      <c r="I297" s="55">
        <f t="shared" si="14"/>
        <v>265183.30601522321</v>
      </c>
    </row>
    <row r="298" spans="1:9" x14ac:dyDescent="0.25">
      <c r="A298" s="49">
        <f>'A) Base RI'!A289</f>
        <v>5905</v>
      </c>
      <c r="B298" s="32" t="str">
        <f>'A) Base RI'!B289</f>
        <v>Champvent</v>
      </c>
      <c r="C298" s="31">
        <f>'D) Ecrêtage'!C287</f>
        <v>21622.169859154932</v>
      </c>
      <c r="D298" s="14">
        <f>'A) Base RI'!AO289</f>
        <v>696</v>
      </c>
      <c r="E298" s="10">
        <f t="shared" si="12"/>
        <v>424567.84449503082</v>
      </c>
      <c r="F298" s="14">
        <f>'F) Population'!K290</f>
        <v>86299.798792756526</v>
      </c>
      <c r="G298" s="10">
        <f>'G) Solidarité'!I287</f>
        <v>240800.94296144453</v>
      </c>
      <c r="H298" s="14">
        <f t="shared" si="13"/>
        <v>327100.74175420107</v>
      </c>
      <c r="I298" s="55">
        <f t="shared" si="14"/>
        <v>97467.102740829752</v>
      </c>
    </row>
    <row r="299" spans="1:9" x14ac:dyDescent="0.25">
      <c r="A299" s="49">
        <f>'A) Base RI'!A290</f>
        <v>5907</v>
      </c>
      <c r="B299" s="32" t="str">
        <f>'A) Base RI'!B290</f>
        <v>Chavannes-le-Chêne</v>
      </c>
      <c r="C299" s="31">
        <f>'D) Ecrêtage'!C288</f>
        <v>9891.0456000000013</v>
      </c>
      <c r="D299" s="14">
        <f>'A) Base RI'!AO290</f>
        <v>324</v>
      </c>
      <c r="E299" s="10">
        <f t="shared" si="12"/>
        <v>194218.24625135874</v>
      </c>
      <c r="F299" s="14">
        <f>'F) Population'!K291</f>
        <v>40174.044265593555</v>
      </c>
      <c r="G299" s="10">
        <f>'G) Solidarité'!I288</f>
        <v>129020.32249800506</v>
      </c>
      <c r="H299" s="14">
        <f t="shared" si="13"/>
        <v>169194.36676359861</v>
      </c>
      <c r="I299" s="55">
        <f t="shared" si="14"/>
        <v>25023.879487760132</v>
      </c>
    </row>
    <row r="300" spans="1:9" x14ac:dyDescent="0.25">
      <c r="A300" s="49">
        <f>'A) Base RI'!A291</f>
        <v>5908</v>
      </c>
      <c r="B300" s="32" t="str">
        <f>'A) Base RI'!B291</f>
        <v>Chêne-Pâquier</v>
      </c>
      <c r="C300" s="31">
        <f>'D) Ecrêtage'!C289</f>
        <v>6502.4863291139245</v>
      </c>
      <c r="D300" s="14">
        <f>'A) Base RI'!AO291</f>
        <v>144</v>
      </c>
      <c r="E300" s="10">
        <f t="shared" si="12"/>
        <v>127681.29297816014</v>
      </c>
      <c r="F300" s="14">
        <f>'F) Population'!K292</f>
        <v>17855.130784708246</v>
      </c>
      <c r="G300" s="10">
        <f>'G) Solidarité'!I289</f>
        <v>10877.699538754816</v>
      </c>
      <c r="H300" s="14">
        <f t="shared" si="13"/>
        <v>28732.830323463062</v>
      </c>
      <c r="I300" s="55">
        <f t="shared" si="14"/>
        <v>98948.462654697083</v>
      </c>
    </row>
    <row r="301" spans="1:9" x14ac:dyDescent="0.25">
      <c r="A301" s="49">
        <f>'A) Base RI'!A292</f>
        <v>5909</v>
      </c>
      <c r="B301" s="32" t="str">
        <f>'A) Base RI'!B292</f>
        <v>Cheseaux-Noréaz</v>
      </c>
      <c r="C301" s="31">
        <f>'D) Ecrêtage'!C290</f>
        <v>39259.116417910453</v>
      </c>
      <c r="D301" s="14">
        <f>'A) Base RI'!AO292</f>
        <v>741</v>
      </c>
      <c r="E301" s="10">
        <f t="shared" si="12"/>
        <v>770882.78109490185</v>
      </c>
      <c r="F301" s="14">
        <f>'F) Population'!K293</f>
        <v>91879.527162977858</v>
      </c>
      <c r="G301" s="10">
        <f>'G) Solidarité'!I290</f>
        <v>0</v>
      </c>
      <c r="H301" s="14">
        <f t="shared" si="13"/>
        <v>91879.527162977858</v>
      </c>
      <c r="I301" s="55">
        <f t="shared" si="14"/>
        <v>679003.253931924</v>
      </c>
    </row>
    <row r="302" spans="1:9" x14ac:dyDescent="0.25">
      <c r="A302" s="49">
        <f>'A) Base RI'!A293</f>
        <v>5910</v>
      </c>
      <c r="B302" s="32" t="str">
        <f>'A) Base RI'!B293</f>
        <v>Cronay</v>
      </c>
      <c r="C302" s="31">
        <f>'D) Ecrêtage'!C291</f>
        <v>9976.0020779220758</v>
      </c>
      <c r="D302" s="14">
        <f>'A) Base RI'!AO293</f>
        <v>393</v>
      </c>
      <c r="E302" s="10">
        <f t="shared" si="12"/>
        <v>195886.43168058348</v>
      </c>
      <c r="F302" s="14">
        <f>'F) Population'!K294</f>
        <v>48729.627766599588</v>
      </c>
      <c r="G302" s="10">
        <f>'G) Solidarité'!I291</f>
        <v>213040.31559192672</v>
      </c>
      <c r="H302" s="14">
        <f t="shared" si="13"/>
        <v>261769.9433585263</v>
      </c>
      <c r="I302" s="55">
        <f t="shared" si="14"/>
        <v>-65883.511677942821</v>
      </c>
    </row>
    <row r="303" spans="1:9" x14ac:dyDescent="0.25">
      <c r="A303" s="49">
        <f>'A) Base RI'!A294</f>
        <v>5911</v>
      </c>
      <c r="B303" s="32" t="str">
        <f>'A) Base RI'!B294</f>
        <v>Cuarny</v>
      </c>
      <c r="C303" s="31">
        <f>'D) Ecrêtage'!C292</f>
        <v>6939.596883116883</v>
      </c>
      <c r="D303" s="14">
        <f>'A) Base RI'!AO294</f>
        <v>234</v>
      </c>
      <c r="E303" s="10">
        <f t="shared" si="12"/>
        <v>136264.29306223764</v>
      </c>
      <c r="F303" s="14">
        <f>'F) Population'!K295</f>
        <v>29014.587525150899</v>
      </c>
      <c r="G303" s="10">
        <f>'G) Solidarité'!I292</f>
        <v>103068.40085419729</v>
      </c>
      <c r="H303" s="14">
        <f t="shared" si="13"/>
        <v>132082.98837934819</v>
      </c>
      <c r="I303" s="55">
        <f t="shared" si="14"/>
        <v>4181.3046828894585</v>
      </c>
    </row>
    <row r="304" spans="1:9" x14ac:dyDescent="0.25">
      <c r="A304" s="49">
        <f>'A) Base RI'!A295</f>
        <v>5912</v>
      </c>
      <c r="B304" s="32" t="str">
        <f>'A) Base RI'!B295</f>
        <v>Démoret</v>
      </c>
      <c r="C304" s="31">
        <f>'D) Ecrêtage'!C293</f>
        <v>4059.5274074074073</v>
      </c>
      <c r="D304" s="14">
        <f>'A) Base RI'!AO295</f>
        <v>158</v>
      </c>
      <c r="E304" s="10">
        <f t="shared" si="12"/>
        <v>79711.92587323545</v>
      </c>
      <c r="F304" s="14">
        <f>'F) Population'!K296</f>
        <v>19591.046277665992</v>
      </c>
      <c r="G304" s="10">
        <f>'G) Solidarité'!I293</f>
        <v>93494.538778249334</v>
      </c>
      <c r="H304" s="14">
        <f t="shared" si="13"/>
        <v>113085.58505591532</v>
      </c>
      <c r="I304" s="55">
        <f t="shared" si="14"/>
        <v>-33373.659182679869</v>
      </c>
    </row>
    <row r="305" spans="1:9" x14ac:dyDescent="0.25">
      <c r="A305" s="49">
        <f>'A) Base RI'!A296</f>
        <v>5913</v>
      </c>
      <c r="B305" s="32" t="str">
        <f>'A) Base RI'!B296</f>
        <v>Donneloye</v>
      </c>
      <c r="C305" s="31">
        <f>'D) Ecrêtage'!C294</f>
        <v>19880.828493150682</v>
      </c>
      <c r="D305" s="14">
        <f>'A) Base RI'!AO296</f>
        <v>829</v>
      </c>
      <c r="E305" s="10">
        <f t="shared" si="12"/>
        <v>390375.27478022827</v>
      </c>
      <c r="F305" s="14">
        <f>'F) Population'!K297</f>
        <v>102790.99597585511</v>
      </c>
      <c r="G305" s="10">
        <f>'G) Solidarité'!I294</f>
        <v>428771.95045685355</v>
      </c>
      <c r="H305" s="14">
        <f t="shared" si="13"/>
        <v>531562.94643270865</v>
      </c>
      <c r="I305" s="55">
        <f t="shared" si="14"/>
        <v>-141187.67165248038</v>
      </c>
    </row>
    <row r="306" spans="1:9" x14ac:dyDescent="0.25">
      <c r="A306" s="49">
        <f>'A) Base RI'!A297</f>
        <v>5914</v>
      </c>
      <c r="B306" s="32" t="str">
        <f>'A) Base RI'!B297</f>
        <v>Ependes</v>
      </c>
      <c r="C306" s="31">
        <f>'D) Ecrêtage'!C295</f>
        <v>10662.074965986394</v>
      </c>
      <c r="D306" s="14">
        <f>'A) Base RI'!AO297</f>
        <v>388</v>
      </c>
      <c r="E306" s="10">
        <f t="shared" si="12"/>
        <v>209357.99763114957</v>
      </c>
      <c r="F306" s="14">
        <f>'F) Population'!K298</f>
        <v>48109.657947686108</v>
      </c>
      <c r="G306" s="10">
        <f>'G) Solidarité'!I295</f>
        <v>174022.61555040124</v>
      </c>
      <c r="H306" s="14">
        <f t="shared" si="13"/>
        <v>222132.27349808736</v>
      </c>
      <c r="I306" s="55">
        <f t="shared" si="14"/>
        <v>-12774.275866937794</v>
      </c>
    </row>
    <row r="307" spans="1:9" x14ac:dyDescent="0.25">
      <c r="A307" s="49">
        <f>'A) Base RI'!A298</f>
        <v>5919</v>
      </c>
      <c r="B307" s="32" t="str">
        <f>'A) Base RI'!B298</f>
        <v>Mathod</v>
      </c>
      <c r="C307" s="31">
        <f>'D) Ecrêtage'!C296</f>
        <v>21565.598078703704</v>
      </c>
      <c r="D307" s="14">
        <f>'A) Base RI'!AO298</f>
        <v>651</v>
      </c>
      <c r="E307" s="10">
        <f t="shared" si="12"/>
        <v>423457.01431277441</v>
      </c>
      <c r="F307" s="14">
        <f>'F) Population'!K299</f>
        <v>80720.070422535195</v>
      </c>
      <c r="G307" s="10">
        <f>'G) Solidarité'!I296</f>
        <v>203721.78515602203</v>
      </c>
      <c r="H307" s="14">
        <f t="shared" si="13"/>
        <v>284441.85557855724</v>
      </c>
      <c r="I307" s="55">
        <f t="shared" si="14"/>
        <v>139015.15873421717</v>
      </c>
    </row>
    <row r="308" spans="1:9" x14ac:dyDescent="0.25">
      <c r="A308" s="49">
        <f>'A) Base RI'!A299</f>
        <v>5921</v>
      </c>
      <c r="B308" s="32" t="str">
        <f>'A) Base RI'!B299</f>
        <v>Molondin</v>
      </c>
      <c r="C308" s="31">
        <f>'D) Ecrêtage'!C297</f>
        <v>5675.8933333333334</v>
      </c>
      <c r="D308" s="14">
        <f>'A) Base RI'!AO299</f>
        <v>252</v>
      </c>
      <c r="E308" s="10">
        <f t="shared" si="12"/>
        <v>111450.50722542201</v>
      </c>
      <c r="F308" s="14">
        <f>'F) Population'!K300</f>
        <v>31246.47887323943</v>
      </c>
      <c r="G308" s="10">
        <f>'G) Solidarité'!I297</f>
        <v>170144.64908729185</v>
      </c>
      <c r="H308" s="14">
        <f t="shared" si="13"/>
        <v>201391.12796053127</v>
      </c>
      <c r="I308" s="55">
        <f t="shared" si="14"/>
        <v>-89940.62073510926</v>
      </c>
    </row>
    <row r="309" spans="1:9" x14ac:dyDescent="0.25">
      <c r="A309" s="49">
        <f>'A) Base RI'!A300</f>
        <v>5922</v>
      </c>
      <c r="B309" s="32" t="str">
        <f>'A) Base RI'!B300</f>
        <v>Montagny-près-Yverdon</v>
      </c>
      <c r="C309" s="31">
        <f>'D) Ecrêtage'!C298</f>
        <v>33326.398149606292</v>
      </c>
      <c r="D309" s="14">
        <f>'A) Base RI'!AO300</f>
        <v>737</v>
      </c>
      <c r="E309" s="10">
        <f t="shared" si="12"/>
        <v>654389.31981984386</v>
      </c>
      <c r="F309" s="14">
        <f>'F) Population'!K301</f>
        <v>91383.551307847069</v>
      </c>
      <c r="G309" s="10">
        <f>'G) Solidarité'!I298</f>
        <v>35220.3611453946</v>
      </c>
      <c r="H309" s="14">
        <f t="shared" si="13"/>
        <v>126603.91245324168</v>
      </c>
      <c r="I309" s="55">
        <f t="shared" si="14"/>
        <v>527785.40736660222</v>
      </c>
    </row>
    <row r="310" spans="1:9" x14ac:dyDescent="0.25">
      <c r="A310" s="49">
        <f>'A) Base RI'!A301</f>
        <v>5923</v>
      </c>
      <c r="B310" s="32" t="str">
        <f>'A) Base RI'!B301</f>
        <v>Oppens</v>
      </c>
      <c r="C310" s="31">
        <f>'D) Ecrêtage'!C299</f>
        <v>4799.240617283951</v>
      </c>
      <c r="D310" s="14">
        <f>'A) Base RI'!AO301</f>
        <v>201</v>
      </c>
      <c r="E310" s="10">
        <f t="shared" si="12"/>
        <v>94236.760573338892</v>
      </c>
      <c r="F310" s="14">
        <f>'F) Population'!K302</f>
        <v>24922.786720321928</v>
      </c>
      <c r="G310" s="10">
        <f>'G) Solidarité'!I299</f>
        <v>128549.68021213649</v>
      </c>
      <c r="H310" s="14">
        <f t="shared" si="13"/>
        <v>153472.46693245842</v>
      </c>
      <c r="I310" s="55">
        <f t="shared" si="14"/>
        <v>-59235.706359119533</v>
      </c>
    </row>
    <row r="311" spans="1:9" x14ac:dyDescent="0.25">
      <c r="A311" s="49">
        <f>'A) Base RI'!A302</f>
        <v>5924</v>
      </c>
      <c r="B311" s="32" t="str">
        <f>'A) Base RI'!B302</f>
        <v>Orges</v>
      </c>
      <c r="C311" s="31">
        <f>'D) Ecrêtage'!C300</f>
        <v>12525.425270270271</v>
      </c>
      <c r="D311" s="14">
        <f>'A) Base RI'!AO302</f>
        <v>343</v>
      </c>
      <c r="E311" s="10">
        <f t="shared" si="12"/>
        <v>245946.30617660307</v>
      </c>
      <c r="F311" s="14">
        <f>'F) Population'!K303</f>
        <v>42529.929577464784</v>
      </c>
      <c r="G311" s="10">
        <f>'G) Solidarité'!I300</f>
        <v>87834.235651428171</v>
      </c>
      <c r="H311" s="14">
        <f t="shared" si="13"/>
        <v>130364.16522889296</v>
      </c>
      <c r="I311" s="55">
        <f t="shared" si="14"/>
        <v>115582.14094771011</v>
      </c>
    </row>
    <row r="312" spans="1:9" x14ac:dyDescent="0.25">
      <c r="A312" s="49">
        <f>'A) Base RI'!A303</f>
        <v>5925</v>
      </c>
      <c r="B312" s="32" t="str">
        <f>'A) Base RI'!B303</f>
        <v>Orzens</v>
      </c>
      <c r="C312" s="31">
        <f>'D) Ecrêtage'!C301</f>
        <v>5879.4616455696196</v>
      </c>
      <c r="D312" s="14">
        <f>'A) Base RI'!AO303</f>
        <v>201</v>
      </c>
      <c r="E312" s="10">
        <f t="shared" si="12"/>
        <v>115447.72675041141</v>
      </c>
      <c r="F312" s="14">
        <f>'F) Population'!K304</f>
        <v>24922.786720321928</v>
      </c>
      <c r="G312" s="10">
        <f>'G) Solidarité'!I301</f>
        <v>95232.015053236581</v>
      </c>
      <c r="H312" s="14">
        <f t="shared" si="13"/>
        <v>120154.80177355852</v>
      </c>
      <c r="I312" s="55">
        <f t="shared" si="14"/>
        <v>-4707.0750231471029</v>
      </c>
    </row>
    <row r="313" spans="1:9" x14ac:dyDescent="0.25">
      <c r="A313" s="49">
        <f>'A) Base RI'!A304</f>
        <v>5926</v>
      </c>
      <c r="B313" s="32" t="str">
        <f>'A) Base RI'!B304</f>
        <v>Pomy</v>
      </c>
      <c r="C313" s="31">
        <f>'D) Ecrêtage'!C302</f>
        <v>27519.38971830986</v>
      </c>
      <c r="D313" s="14">
        <f>'A) Base RI'!AO304</f>
        <v>803</v>
      </c>
      <c r="E313" s="10">
        <f t="shared" si="12"/>
        <v>540364.26735286845</v>
      </c>
      <c r="F313" s="14">
        <f>'F) Population'!K305</f>
        <v>99567.152917505009</v>
      </c>
      <c r="G313" s="10">
        <f>'G) Solidarité'!I302</f>
        <v>225779.83834859432</v>
      </c>
      <c r="H313" s="14">
        <f t="shared" si="13"/>
        <v>325346.99126609933</v>
      </c>
      <c r="I313" s="55">
        <f t="shared" si="14"/>
        <v>215017.27608676912</v>
      </c>
    </row>
    <row r="314" spans="1:9" x14ac:dyDescent="0.25">
      <c r="A314" s="49">
        <f>'A) Base RI'!A305</f>
        <v>5928</v>
      </c>
      <c r="B314" s="32" t="str">
        <f>'A) Base RI'!B305</f>
        <v>Rovray</v>
      </c>
      <c r="C314" s="31">
        <f>'D) Ecrêtage'!C303</f>
        <v>5563.4060139860139</v>
      </c>
      <c r="D314" s="14">
        <f>'A) Base RI'!AO305</f>
        <v>204</v>
      </c>
      <c r="E314" s="10">
        <f t="shared" si="12"/>
        <v>109241.73266581903</v>
      </c>
      <c r="F314" s="14">
        <f>'F) Population'!K306</f>
        <v>25294.768611670017</v>
      </c>
      <c r="G314" s="10">
        <f>'G) Solidarité'!I303</f>
        <v>87454.984987823816</v>
      </c>
      <c r="H314" s="14">
        <f t="shared" si="13"/>
        <v>112749.75359949384</v>
      </c>
      <c r="I314" s="55">
        <f t="shared" si="14"/>
        <v>-3508.0209336748085</v>
      </c>
    </row>
    <row r="315" spans="1:9" x14ac:dyDescent="0.25">
      <c r="A315" s="49">
        <f>'A) Base RI'!A306</f>
        <v>5929</v>
      </c>
      <c r="B315" s="32" t="str">
        <f>'A) Base RI'!B306</f>
        <v>Suchy</v>
      </c>
      <c r="C315" s="31">
        <f>'D) Ecrêtage'!C304</f>
        <v>19827.403178571429</v>
      </c>
      <c r="D315" s="14">
        <f>'A) Base RI'!AO306</f>
        <v>656</v>
      </c>
      <c r="E315" s="10">
        <f t="shared" si="12"/>
        <v>389326.22786217445</v>
      </c>
      <c r="F315" s="14">
        <f>'F) Population'!K307</f>
        <v>81340.040241448674</v>
      </c>
      <c r="G315" s="10">
        <f>'G) Solidarité'!I304</f>
        <v>231467.57220648936</v>
      </c>
      <c r="H315" s="14">
        <f t="shared" si="13"/>
        <v>312807.61244793807</v>
      </c>
      <c r="I315" s="55">
        <f t="shared" si="14"/>
        <v>76518.615414236381</v>
      </c>
    </row>
    <row r="316" spans="1:9" x14ac:dyDescent="0.25">
      <c r="A316" s="49">
        <f>'A) Base RI'!A307</f>
        <v>5930</v>
      </c>
      <c r="B316" s="32" t="str">
        <f>'A) Base RI'!B307</f>
        <v>Suscévaz</v>
      </c>
      <c r="C316" s="31">
        <f>'D) Ecrêtage'!C305</f>
        <v>5769.1548611111102</v>
      </c>
      <c r="D316" s="14">
        <f>'A) Base RI'!AO307</f>
        <v>204</v>
      </c>
      <c r="E316" s="10">
        <f t="shared" si="12"/>
        <v>113281.76866129307</v>
      </c>
      <c r="F316" s="14">
        <f>'F) Population'!K308</f>
        <v>25294.768611670017</v>
      </c>
      <c r="G316" s="10">
        <f>'G) Solidarité'!I305</f>
        <v>84403.142963218881</v>
      </c>
      <c r="H316" s="14">
        <f t="shared" si="13"/>
        <v>109697.9115748889</v>
      </c>
      <c r="I316" s="55">
        <f t="shared" si="14"/>
        <v>3583.8570864041685</v>
      </c>
    </row>
    <row r="317" spans="1:9" x14ac:dyDescent="0.25">
      <c r="A317" s="49">
        <f>'A) Base RI'!A308</f>
        <v>5931</v>
      </c>
      <c r="B317" s="32" t="str">
        <f>'A) Base RI'!B308</f>
        <v>Treycovagnes</v>
      </c>
      <c r="C317" s="31">
        <f>'D) Ecrêtage'!C306</f>
        <v>15383.603066666663</v>
      </c>
      <c r="D317" s="14">
        <f>'A) Base RI'!AO308</f>
        <v>485</v>
      </c>
      <c r="E317" s="10">
        <f t="shared" si="12"/>
        <v>302068.8134968282</v>
      </c>
      <c r="F317" s="14">
        <f>'F) Population'!K309</f>
        <v>60137.072434607639</v>
      </c>
      <c r="G317" s="10">
        <f>'G) Solidarité'!I306</f>
        <v>180097.95230823074</v>
      </c>
      <c r="H317" s="14">
        <f t="shared" si="13"/>
        <v>240235.02474283837</v>
      </c>
      <c r="I317" s="55">
        <f t="shared" si="14"/>
        <v>61833.788753989822</v>
      </c>
    </row>
    <row r="318" spans="1:9" x14ac:dyDescent="0.25">
      <c r="A318" s="49">
        <f>'A) Base RI'!A309</f>
        <v>5932</v>
      </c>
      <c r="B318" s="32" t="str">
        <f>'A) Base RI'!B309</f>
        <v>Ursins</v>
      </c>
      <c r="C318" s="31">
        <f>'D) Ecrêtage'!C307</f>
        <v>6819.4023999999999</v>
      </c>
      <c r="D318" s="14">
        <f>'A) Base RI'!AO309</f>
        <v>238</v>
      </c>
      <c r="E318" s="10">
        <f t="shared" si="12"/>
        <v>133904.18244662695</v>
      </c>
      <c r="F318" s="14">
        <f>'F) Population'!K310</f>
        <v>29510.563380281685</v>
      </c>
      <c r="G318" s="10">
        <f>'G) Solidarité'!I307</f>
        <v>104844.89522774752</v>
      </c>
      <c r="H318" s="14">
        <f t="shared" si="13"/>
        <v>134355.45860802921</v>
      </c>
      <c r="I318" s="55">
        <f t="shared" si="14"/>
        <v>-451.27616140226019</v>
      </c>
    </row>
    <row r="319" spans="1:9" x14ac:dyDescent="0.25">
      <c r="A319" s="49">
        <f>'A) Base RI'!A310</f>
        <v>5933</v>
      </c>
      <c r="B319" s="32" t="str">
        <f>'A) Base RI'!B310</f>
        <v>Valeyres-sous-Montagny</v>
      </c>
      <c r="C319" s="31">
        <f>'D) Ecrêtage'!C308</f>
        <v>22572.377872340428</v>
      </c>
      <c r="D319" s="14">
        <f>'A) Base RI'!AO310</f>
        <v>714</v>
      </c>
      <c r="E319" s="10">
        <f t="shared" si="12"/>
        <v>443225.90567057277</v>
      </c>
      <c r="F319" s="14">
        <f>'F) Population'!K311</f>
        <v>88531.69014084505</v>
      </c>
      <c r="G319" s="10">
        <f>'G) Solidarité'!I308</f>
        <v>235764.35339909419</v>
      </c>
      <c r="H319" s="14">
        <f t="shared" si="13"/>
        <v>324296.04353993922</v>
      </c>
      <c r="I319" s="55">
        <f t="shared" si="14"/>
        <v>118929.86213063356</v>
      </c>
    </row>
    <row r="320" spans="1:9" x14ac:dyDescent="0.25">
      <c r="A320" s="49">
        <f>'A) Base RI'!A311</f>
        <v>5934</v>
      </c>
      <c r="B320" s="32" t="str">
        <f>'A) Base RI'!B311</f>
        <v>Valeyres-sous-Ursins</v>
      </c>
      <c r="C320" s="31">
        <f>'D) Ecrêtage'!C309</f>
        <v>7577.3788607594925</v>
      </c>
      <c r="D320" s="14">
        <f>'A) Base RI'!AO311</f>
        <v>241</v>
      </c>
      <c r="E320" s="10">
        <f t="shared" si="12"/>
        <v>148787.63004781082</v>
      </c>
      <c r="F320" s="14">
        <f>'F) Population'!K312</f>
        <v>29882.545271629773</v>
      </c>
      <c r="G320" s="10">
        <f>'G) Solidarité'!I309</f>
        <v>100966.07289164649</v>
      </c>
      <c r="H320" s="14">
        <f t="shared" si="13"/>
        <v>130848.61816327626</v>
      </c>
      <c r="I320" s="55">
        <f t="shared" si="14"/>
        <v>17939.011884534557</v>
      </c>
    </row>
    <row r="321" spans="1:9" x14ac:dyDescent="0.25">
      <c r="A321" s="49">
        <f>'A) Base RI'!A312</f>
        <v>5935</v>
      </c>
      <c r="B321" s="32" t="str">
        <f>'A) Base RI'!B312</f>
        <v>Villars-Epeney</v>
      </c>
      <c r="C321" s="31">
        <f>'D) Ecrêtage'!C310</f>
        <v>3912.8696666666669</v>
      </c>
      <c r="D321" s="14">
        <f>'A) Base RI'!AO312</f>
        <v>101</v>
      </c>
      <c r="E321" s="10">
        <f t="shared" si="12"/>
        <v>76832.188951806937</v>
      </c>
      <c r="F321" s="14">
        <f>'F) Population'!K313</f>
        <v>12523.390342052311</v>
      </c>
      <c r="G321" s="10">
        <f>'G) Solidarité'!I310</f>
        <v>13758.83306277761</v>
      </c>
      <c r="H321" s="14">
        <f t="shared" si="13"/>
        <v>26282.223404829921</v>
      </c>
      <c r="I321" s="55">
        <f t="shared" si="14"/>
        <v>50549.965546977015</v>
      </c>
    </row>
    <row r="322" spans="1:9" x14ac:dyDescent="0.25">
      <c r="A322" s="49">
        <f>'A) Base RI'!A313</f>
        <v>5937</v>
      </c>
      <c r="B322" s="32" t="str">
        <f>'A) Base RI'!B313</f>
        <v>Vugelles-La Mothe</v>
      </c>
      <c r="C322" s="31">
        <f>'D) Ecrêtage'!C311</f>
        <v>3187.6957755102044</v>
      </c>
      <c r="D322" s="14">
        <f>'A) Base RI'!AO313</f>
        <v>138</v>
      </c>
      <c r="E322" s="10">
        <f t="shared" si="12"/>
        <v>62592.844896241986</v>
      </c>
      <c r="F322" s="14">
        <f>'F) Population'!K314</f>
        <v>17111.167002012069</v>
      </c>
      <c r="G322" s="10">
        <f>'G) Solidarité'!I311</f>
        <v>68023.885882901377</v>
      </c>
      <c r="H322" s="14">
        <f t="shared" si="13"/>
        <v>85135.052884913443</v>
      </c>
      <c r="I322" s="55">
        <f t="shared" si="14"/>
        <v>-22542.207988671456</v>
      </c>
    </row>
    <row r="323" spans="1:9" x14ac:dyDescent="0.25">
      <c r="A323" s="49">
        <f>'A) Base RI'!A314</f>
        <v>5938</v>
      </c>
      <c r="B323" s="32" t="str">
        <f>'A) Base RI'!B314</f>
        <v>Yverdon-les-Bains</v>
      </c>
      <c r="C323" s="31">
        <f>'D) Ecrêtage'!C312</f>
        <v>796551.402</v>
      </c>
      <c r="D323" s="14">
        <f>'A) Base RI'!AO314</f>
        <v>29981</v>
      </c>
      <c r="E323" s="10">
        <f t="shared" si="12"/>
        <v>15640896.079328664</v>
      </c>
      <c r="F323" s="14">
        <f>'F) Population'!K315</f>
        <v>25299777.967806838</v>
      </c>
      <c r="G323" s="10">
        <f>'G) Solidarité'!I312</f>
        <v>14617696.947242495</v>
      </c>
      <c r="H323" s="14">
        <f t="shared" si="13"/>
        <v>39917474.915049329</v>
      </c>
      <c r="I323" s="55">
        <f t="shared" si="14"/>
        <v>-24276578.835720666</v>
      </c>
    </row>
    <row r="324" spans="1:9" x14ac:dyDescent="0.25">
      <c r="A324" s="49">
        <f>'A) Base RI'!A315</f>
        <v>5939</v>
      </c>
      <c r="B324" s="32" t="str">
        <f>'A) Base RI'!B315</f>
        <v>Yvonand</v>
      </c>
      <c r="C324" s="31">
        <f>'D) Ecrêtage'!C313</f>
        <v>92890.042937062928</v>
      </c>
      <c r="D324" s="14">
        <f>'A) Base RI'!AO315</f>
        <v>3467</v>
      </c>
      <c r="E324" s="10">
        <f t="shared" si="12"/>
        <v>1823967.0468660838</v>
      </c>
      <c r="F324" s="14">
        <f>'F) Population'!K316</f>
        <v>1049980.8853118711</v>
      </c>
      <c r="G324" s="10">
        <f>'G) Solidarité'!I313</f>
        <v>1520365.7362108945</v>
      </c>
      <c r="H324" s="14">
        <f t="shared" si="13"/>
        <v>2570346.6215227656</v>
      </c>
      <c r="I324" s="55">
        <f t="shared" si="14"/>
        <v>-746379.57465668186</v>
      </c>
    </row>
    <row r="325" spans="1:9" x14ac:dyDescent="0.25">
      <c r="A325" s="30"/>
      <c r="B325" s="118">
        <f>COUNTA(B16:B324)</f>
        <v>309</v>
      </c>
      <c r="C325" s="119">
        <f>SUM(C16:C324)</f>
        <v>39275450.163217418</v>
      </c>
      <c r="D325" s="11">
        <f>SUM(D16:D324)</f>
        <v>815300</v>
      </c>
      <c r="E325" s="11">
        <f>SUM(E16:E324)</f>
        <v>771203506.67807388</v>
      </c>
      <c r="F325" s="11">
        <f>SUM(F16:F324)</f>
        <v>429192507.8470825</v>
      </c>
      <c r="G325" s="11">
        <f>SUM(G16:G324)</f>
        <v>148159641.21331906</v>
      </c>
      <c r="H325" s="11">
        <f>F325+G325</f>
        <v>577352149.06040156</v>
      </c>
      <c r="I325" s="37">
        <f>E325-H325</f>
        <v>193851357.61767232</v>
      </c>
    </row>
    <row r="326" spans="1:9" x14ac:dyDescent="0.25">
      <c r="C326" s="71"/>
      <c r="D326" s="71"/>
      <c r="E326" s="36"/>
      <c r="H326" s="36"/>
    </row>
    <row r="327" spans="1:9" x14ac:dyDescent="0.25">
      <c r="C327" s="5"/>
      <c r="D327" s="5"/>
      <c r="E327" s="6"/>
      <c r="F327" s="6"/>
      <c r="G327" s="6"/>
      <c r="H327" s="6"/>
      <c r="I327" s="6"/>
    </row>
    <row r="328" spans="1:9" x14ac:dyDescent="0.25">
      <c r="G328" s="12"/>
    </row>
    <row r="330" spans="1:9" x14ac:dyDescent="0.25">
      <c r="F330" s="12"/>
    </row>
    <row r="331" spans="1:9" x14ac:dyDescent="0.25">
      <c r="F331" s="12"/>
    </row>
    <row r="333" spans="1:9" x14ac:dyDescent="0.25">
      <c r="F333" s="107"/>
      <c r="G333" s="107"/>
      <c r="H333" s="107"/>
      <c r="I333" s="107"/>
    </row>
    <row r="334" spans="1:9" x14ac:dyDescent="0.25">
      <c r="E334" s="107"/>
      <c r="F334" s="107"/>
      <c r="G334" s="107"/>
      <c r="H334" s="107"/>
      <c r="I334" s="107"/>
    </row>
    <row r="335" spans="1:9" x14ac:dyDescent="0.25">
      <c r="E335" s="115"/>
      <c r="F335" s="115"/>
      <c r="G335" s="115"/>
      <c r="H335" s="115"/>
      <c r="I335" s="115"/>
    </row>
    <row r="342" spans="3:3" x14ac:dyDescent="0.25">
      <c r="C342" s="48"/>
    </row>
    <row r="343" spans="3:3" x14ac:dyDescent="0.25">
      <c r="C343" s="48"/>
    </row>
    <row r="344" spans="3:3" x14ac:dyDescent="0.25">
      <c r="C344" s="48"/>
    </row>
  </sheetData>
  <mergeCells count="4">
    <mergeCell ref="D14:D15"/>
    <mergeCell ref="C14:C15"/>
    <mergeCell ref="B14:B15"/>
    <mergeCell ref="A14:A15"/>
  </mergeCells>
  <phoneticPr fontId="21" type="noConversion"/>
  <pageMargins left="0.25" right="0.25" top="0.75" bottom="0.75" header="0.3" footer="0.3"/>
  <pageSetup paperSize="9" orientation="landscape" horizontalDpi="4294967292" verticalDpi="4294967292"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2">
    <tabColor rgb="FF00B050"/>
  </sheetPr>
  <dimension ref="A1:Q320"/>
  <sheetViews>
    <sheetView workbookViewId="0">
      <pane ySplit="4" topLeftCell="A291" activePane="bottomLeft" state="frozen"/>
      <selection pane="bottomLeft" activeCell="O314" sqref="O314"/>
    </sheetView>
  </sheetViews>
  <sheetFormatPr baseColWidth="10" defaultColWidth="10.75" defaultRowHeight="15" x14ac:dyDescent="0.25"/>
  <cols>
    <col min="1" max="1" width="7.25" style="13" customWidth="1"/>
    <col min="2" max="2" width="18" style="13" customWidth="1"/>
    <col min="3" max="3" width="14.25" style="6" bestFit="1" customWidth="1"/>
    <col min="4" max="5" width="13.125" style="6" bestFit="1" customWidth="1"/>
    <col min="6" max="6" width="12.25" style="6" bestFit="1" customWidth="1"/>
    <col min="7" max="7" width="13.125" style="6" bestFit="1" customWidth="1"/>
    <col min="8" max="8" width="16.875" style="6" bestFit="1" customWidth="1"/>
    <col min="9" max="9" width="13.25" style="6" bestFit="1" customWidth="1"/>
    <col min="10" max="10" width="12.125" style="6" customWidth="1"/>
    <col min="11" max="11" width="10" style="6" customWidth="1"/>
    <col min="12" max="12" width="11.375" style="6" customWidth="1"/>
    <col min="13" max="13" width="11.875" style="6" customWidth="1"/>
    <col min="14" max="14" width="12.5" style="6" customWidth="1"/>
    <col min="15" max="15" width="12.875" style="6" customWidth="1"/>
    <col min="16" max="16" width="10" style="15" customWidth="1"/>
    <col min="17" max="17" width="2.5" style="13" customWidth="1"/>
    <col min="18" max="16384" width="10.75" style="13"/>
  </cols>
  <sheetData>
    <row r="1" spans="1:17" s="43" customFormat="1" ht="20.25" customHeight="1" x14ac:dyDescent="0.25">
      <c r="A1" s="51" t="s">
        <v>139</v>
      </c>
      <c r="B1" s="42"/>
      <c r="C1" s="44"/>
      <c r="D1" s="44"/>
      <c r="E1" s="44"/>
      <c r="F1" s="44"/>
      <c r="G1" s="44"/>
      <c r="H1" s="44"/>
      <c r="I1" s="44"/>
      <c r="J1" s="44"/>
      <c r="K1" s="288"/>
      <c r="L1" s="44"/>
      <c r="M1" s="288"/>
      <c r="N1" s="44"/>
      <c r="O1" s="44"/>
      <c r="P1" s="134"/>
      <c r="Q1" s="13"/>
    </row>
    <row r="3" spans="1:17" ht="60" customHeight="1" x14ac:dyDescent="0.25">
      <c r="A3" s="582" t="s">
        <v>46</v>
      </c>
      <c r="B3" s="582" t="s">
        <v>96</v>
      </c>
      <c r="C3" s="585" t="s">
        <v>541</v>
      </c>
      <c r="D3" s="585" t="s">
        <v>329</v>
      </c>
      <c r="E3" s="585" t="s">
        <v>330</v>
      </c>
      <c r="F3" s="585" t="s">
        <v>331</v>
      </c>
      <c r="G3" s="585" t="s">
        <v>302</v>
      </c>
      <c r="H3" s="585" t="s">
        <v>44</v>
      </c>
      <c r="I3" s="284" t="s">
        <v>303</v>
      </c>
      <c r="J3" s="284" t="s">
        <v>213</v>
      </c>
      <c r="K3" s="617" t="s">
        <v>214</v>
      </c>
      <c r="L3" s="585" t="s">
        <v>45</v>
      </c>
      <c r="M3" s="284" t="s">
        <v>215</v>
      </c>
      <c r="N3" s="284" t="s">
        <v>213</v>
      </c>
      <c r="O3" s="289" t="s">
        <v>368</v>
      </c>
      <c r="P3" s="323" t="s">
        <v>527</v>
      </c>
    </row>
    <row r="4" spans="1:17" x14ac:dyDescent="0.25">
      <c r="A4" s="584"/>
      <c r="B4" s="583"/>
      <c r="C4" s="586"/>
      <c r="D4" s="587"/>
      <c r="E4" s="586"/>
      <c r="F4" s="587"/>
      <c r="G4" s="586"/>
      <c r="H4" s="587"/>
      <c r="I4" s="286">
        <f>Paramètres!B41</f>
        <v>8</v>
      </c>
      <c r="J4" s="439" t="e">
        <f>+Paramètres!C41</f>
        <v>#DIV/0!</v>
      </c>
      <c r="K4" s="618"/>
      <c r="L4" s="586"/>
      <c r="M4" s="294">
        <f>Paramètres!B42</f>
        <v>1</v>
      </c>
      <c r="N4" s="439" t="e">
        <f>+Paramètres!C42</f>
        <v>#DIV/0!</v>
      </c>
      <c r="O4" s="290" t="s">
        <v>455</v>
      </c>
      <c r="P4" s="325" t="s">
        <v>456</v>
      </c>
    </row>
    <row r="5" spans="1:17" x14ac:dyDescent="0.25">
      <c r="A5" s="46">
        <f>+'A) Base RI'!A7</f>
        <v>5401</v>
      </c>
      <c r="B5" s="293" t="str">
        <f>+'A) Base RI'!B7</f>
        <v>Aigle</v>
      </c>
      <c r="C5" s="304">
        <f>+'D) Ecrêtage'!C5</f>
        <v>284723.80196969694</v>
      </c>
      <c r="D5" s="444"/>
      <c r="E5" s="445"/>
      <c r="F5" s="444"/>
      <c r="G5" s="304">
        <f>SUM(D5:F5)</f>
        <v>0</v>
      </c>
      <c r="H5" s="285">
        <f>+C5*$I$4</f>
        <v>2277790.4157575755</v>
      </c>
      <c r="I5" s="54">
        <f>IF(G5&gt;H5,G5-H5,0)</f>
        <v>0</v>
      </c>
      <c r="J5" s="302" t="e">
        <f>-I5*J$4</f>
        <v>#DIV/0!</v>
      </c>
      <c r="K5" s="449"/>
      <c r="L5" s="54">
        <f>C5*M$4</f>
        <v>284723.80196969694</v>
      </c>
      <c r="M5" s="69">
        <f>IF(K5&gt;L5,K5-L5,0)</f>
        <v>0</v>
      </c>
      <c r="N5" s="128" t="e">
        <f>-M5*N$4</f>
        <v>#DIV/0!</v>
      </c>
      <c r="O5" s="129" t="e">
        <f>N5+J5</f>
        <v>#DIV/0!</v>
      </c>
      <c r="P5" s="443" t="e">
        <f>+O5/C5</f>
        <v>#DIV/0!</v>
      </c>
      <c r="Q5" s="124"/>
    </row>
    <row r="6" spans="1:17" x14ac:dyDescent="0.25">
      <c r="A6" s="49">
        <f>+'A) Base RI'!A8</f>
        <v>5402</v>
      </c>
      <c r="B6" s="293" t="str">
        <f>+'A) Base RI'!B8</f>
        <v>Bex</v>
      </c>
      <c r="C6" s="305">
        <f>+'D) Ecrêtage'!C6</f>
        <v>179259.20338028169</v>
      </c>
      <c r="D6" s="444"/>
      <c r="E6" s="446"/>
      <c r="F6" s="444"/>
      <c r="G6" s="305">
        <f t="shared" ref="G6:G69" si="0">SUM(D6:F6)</f>
        <v>0</v>
      </c>
      <c r="H6" s="285">
        <f t="shared" ref="H6:H69" si="1">+C6*$I$4</f>
        <v>1434073.6270422535</v>
      </c>
      <c r="I6" s="10">
        <f t="shared" ref="I6:I69" si="2">IF(G6&gt;H6,G6-H6,0)</f>
        <v>0</v>
      </c>
      <c r="J6" s="302" t="e">
        <f t="shared" ref="J6:J69" si="3">-I6*J$4</f>
        <v>#DIV/0!</v>
      </c>
      <c r="K6" s="448"/>
      <c r="L6" s="10">
        <f t="shared" ref="L6:L69" si="4">C6*M$4</f>
        <v>179259.20338028169</v>
      </c>
      <c r="M6" s="14">
        <f t="shared" ref="M6:M69" si="5">IF(K6&gt;L6,K6-L6,0)</f>
        <v>0</v>
      </c>
      <c r="N6" s="2" t="e">
        <f t="shared" ref="N6:N69" si="6">-M6*N$4</f>
        <v>#DIV/0!</v>
      </c>
      <c r="O6" s="130" t="e">
        <f t="shared" ref="O6:O69" si="7">N6+J6</f>
        <v>#DIV/0!</v>
      </c>
      <c r="P6" s="443" t="e">
        <f t="shared" ref="P6:P69" si="8">+O6/C6</f>
        <v>#DIV/0!</v>
      </c>
      <c r="Q6" s="124"/>
    </row>
    <row r="7" spans="1:17" x14ac:dyDescent="0.25">
      <c r="A7" s="49">
        <f>+'A) Base RI'!A9</f>
        <v>5403</v>
      </c>
      <c r="B7" s="293" t="str">
        <f>+'A) Base RI'!B9</f>
        <v>Chessel</v>
      </c>
      <c r="C7" s="305">
        <f>+'D) Ecrêtage'!C7</f>
        <v>10797.740270270273</v>
      </c>
      <c r="D7" s="444"/>
      <c r="E7" s="446"/>
      <c r="F7" s="444"/>
      <c r="G7" s="305">
        <f t="shared" si="0"/>
        <v>0</v>
      </c>
      <c r="H7" s="285">
        <f t="shared" si="1"/>
        <v>86381.922162162184</v>
      </c>
      <c r="I7" s="10">
        <f t="shared" si="2"/>
        <v>0</v>
      </c>
      <c r="J7" s="302" t="e">
        <f t="shared" si="3"/>
        <v>#DIV/0!</v>
      </c>
      <c r="K7" s="448"/>
      <c r="L7" s="10">
        <f t="shared" si="4"/>
        <v>10797.740270270273</v>
      </c>
      <c r="M7" s="14">
        <f t="shared" si="5"/>
        <v>0</v>
      </c>
      <c r="N7" s="2" t="e">
        <f t="shared" si="6"/>
        <v>#DIV/0!</v>
      </c>
      <c r="O7" s="130" t="e">
        <f t="shared" si="7"/>
        <v>#DIV/0!</v>
      </c>
      <c r="P7" s="443" t="e">
        <f t="shared" si="8"/>
        <v>#DIV/0!</v>
      </c>
      <c r="Q7" s="126"/>
    </row>
    <row r="8" spans="1:17" x14ac:dyDescent="0.25">
      <c r="A8" s="49">
        <f>+'A) Base RI'!A10</f>
        <v>5404</v>
      </c>
      <c r="B8" s="293" t="str">
        <f>+'A) Base RI'!B10</f>
        <v>Corbeyrier</v>
      </c>
      <c r="C8" s="305">
        <f>+'D) Ecrêtage'!C8</f>
        <v>11267.87027027027</v>
      </c>
      <c r="D8" s="444"/>
      <c r="E8" s="446"/>
      <c r="F8" s="444"/>
      <c r="G8" s="305">
        <f t="shared" si="0"/>
        <v>0</v>
      </c>
      <c r="H8" s="285">
        <f t="shared" si="1"/>
        <v>90142.962162162163</v>
      </c>
      <c r="I8" s="10">
        <f t="shared" si="2"/>
        <v>0</v>
      </c>
      <c r="J8" s="302" t="e">
        <f t="shared" si="3"/>
        <v>#DIV/0!</v>
      </c>
      <c r="K8" s="448"/>
      <c r="L8" s="10">
        <f t="shared" si="4"/>
        <v>11267.87027027027</v>
      </c>
      <c r="M8" s="14">
        <f t="shared" si="5"/>
        <v>0</v>
      </c>
      <c r="N8" s="2" t="e">
        <f t="shared" si="6"/>
        <v>#DIV/0!</v>
      </c>
      <c r="O8" s="130" t="e">
        <f t="shared" si="7"/>
        <v>#DIV/0!</v>
      </c>
      <c r="P8" s="443" t="e">
        <f t="shared" si="8"/>
        <v>#DIV/0!</v>
      </c>
      <c r="Q8" s="126"/>
    </row>
    <row r="9" spans="1:17" x14ac:dyDescent="0.25">
      <c r="A9" s="49">
        <f>+'A) Base RI'!A11</f>
        <v>5405</v>
      </c>
      <c r="B9" s="293" t="str">
        <f>+'A) Base RI'!B11</f>
        <v>Gryon</v>
      </c>
      <c r="C9" s="305">
        <f>+'D) Ecrêtage'!C9</f>
        <v>68185.794013605453</v>
      </c>
      <c r="D9" s="444"/>
      <c r="E9" s="446"/>
      <c r="F9" s="444"/>
      <c r="G9" s="305">
        <f t="shared" si="0"/>
        <v>0</v>
      </c>
      <c r="H9" s="285">
        <f t="shared" si="1"/>
        <v>545486.35210884362</v>
      </c>
      <c r="I9" s="10">
        <f t="shared" si="2"/>
        <v>0</v>
      </c>
      <c r="J9" s="302" t="e">
        <f t="shared" si="3"/>
        <v>#DIV/0!</v>
      </c>
      <c r="K9" s="448"/>
      <c r="L9" s="10">
        <f t="shared" si="4"/>
        <v>68185.794013605453</v>
      </c>
      <c r="M9" s="14">
        <f t="shared" si="5"/>
        <v>0</v>
      </c>
      <c r="N9" s="2" t="e">
        <f t="shared" si="6"/>
        <v>#DIV/0!</v>
      </c>
      <c r="O9" s="130" t="e">
        <f t="shared" si="7"/>
        <v>#DIV/0!</v>
      </c>
      <c r="P9" s="443" t="e">
        <f t="shared" si="8"/>
        <v>#DIV/0!</v>
      </c>
      <c r="Q9" s="126"/>
    </row>
    <row r="10" spans="1:17" x14ac:dyDescent="0.25">
      <c r="A10" s="49">
        <f>+'A) Base RI'!A12</f>
        <v>5406</v>
      </c>
      <c r="B10" s="293" t="str">
        <f>+'A) Base RI'!B12</f>
        <v>Lavey-Morcles</v>
      </c>
      <c r="C10" s="305">
        <f>+'D) Ecrêtage'!C10</f>
        <v>21842.545067240455</v>
      </c>
      <c r="D10" s="444"/>
      <c r="E10" s="446"/>
      <c r="F10" s="444"/>
      <c r="G10" s="305">
        <f t="shared" si="0"/>
        <v>0</v>
      </c>
      <c r="H10" s="285">
        <f t="shared" si="1"/>
        <v>174740.36053792364</v>
      </c>
      <c r="I10" s="10">
        <f t="shared" si="2"/>
        <v>0</v>
      </c>
      <c r="J10" s="302" t="e">
        <f t="shared" si="3"/>
        <v>#DIV/0!</v>
      </c>
      <c r="K10" s="448"/>
      <c r="L10" s="10">
        <f t="shared" si="4"/>
        <v>21842.545067240455</v>
      </c>
      <c r="M10" s="14">
        <f t="shared" si="5"/>
        <v>0</v>
      </c>
      <c r="N10" s="2" t="e">
        <f t="shared" si="6"/>
        <v>#DIV/0!</v>
      </c>
      <c r="O10" s="130" t="e">
        <f t="shared" si="7"/>
        <v>#DIV/0!</v>
      </c>
      <c r="P10" s="443" t="e">
        <f t="shared" si="8"/>
        <v>#DIV/0!</v>
      </c>
      <c r="Q10" s="126"/>
    </row>
    <row r="11" spans="1:17" x14ac:dyDescent="0.25">
      <c r="A11" s="49">
        <f>+'A) Base RI'!A13</f>
        <v>5407</v>
      </c>
      <c r="B11" s="293" t="str">
        <f>+'A) Base RI'!B13</f>
        <v>Leysin</v>
      </c>
      <c r="C11" s="305">
        <f>+'D) Ecrêtage'!C11</f>
        <v>90407.62790598291</v>
      </c>
      <c r="D11" s="444"/>
      <c r="E11" s="446"/>
      <c r="F11" s="444"/>
      <c r="G11" s="305">
        <f t="shared" si="0"/>
        <v>0</v>
      </c>
      <c r="H11" s="285">
        <f t="shared" si="1"/>
        <v>723261.02324786328</v>
      </c>
      <c r="I11" s="10">
        <f t="shared" si="2"/>
        <v>0</v>
      </c>
      <c r="J11" s="302" t="e">
        <f t="shared" si="3"/>
        <v>#DIV/0!</v>
      </c>
      <c r="K11" s="448"/>
      <c r="L11" s="10">
        <f t="shared" si="4"/>
        <v>90407.62790598291</v>
      </c>
      <c r="M11" s="14">
        <f t="shared" si="5"/>
        <v>0</v>
      </c>
      <c r="N11" s="2" t="e">
        <f t="shared" si="6"/>
        <v>#DIV/0!</v>
      </c>
      <c r="O11" s="130" t="e">
        <f t="shared" si="7"/>
        <v>#DIV/0!</v>
      </c>
      <c r="P11" s="443" t="e">
        <f t="shared" si="8"/>
        <v>#DIV/0!</v>
      </c>
      <c r="Q11" s="126"/>
    </row>
    <row r="12" spans="1:17" x14ac:dyDescent="0.25">
      <c r="A12" s="49">
        <f>+'A) Base RI'!A14</f>
        <v>5408</v>
      </c>
      <c r="B12" s="293" t="str">
        <f>+'A) Base RI'!B14</f>
        <v>Noville</v>
      </c>
      <c r="C12" s="305">
        <f>+'D) Ecrêtage'!C12</f>
        <v>43840.045520169842</v>
      </c>
      <c r="D12" s="444"/>
      <c r="E12" s="446"/>
      <c r="F12" s="444"/>
      <c r="G12" s="305">
        <f t="shared" si="0"/>
        <v>0</v>
      </c>
      <c r="H12" s="285">
        <f t="shared" si="1"/>
        <v>350720.36416135874</v>
      </c>
      <c r="I12" s="10">
        <f t="shared" si="2"/>
        <v>0</v>
      </c>
      <c r="J12" s="302" t="e">
        <f t="shared" si="3"/>
        <v>#DIV/0!</v>
      </c>
      <c r="K12" s="448"/>
      <c r="L12" s="10">
        <f t="shared" si="4"/>
        <v>43840.045520169842</v>
      </c>
      <c r="M12" s="14">
        <f t="shared" si="5"/>
        <v>0</v>
      </c>
      <c r="N12" s="2" t="e">
        <f t="shared" si="6"/>
        <v>#DIV/0!</v>
      </c>
      <c r="O12" s="130" t="e">
        <f t="shared" si="7"/>
        <v>#DIV/0!</v>
      </c>
      <c r="P12" s="443" t="e">
        <f t="shared" si="8"/>
        <v>#DIV/0!</v>
      </c>
      <c r="Q12" s="126"/>
    </row>
    <row r="13" spans="1:17" x14ac:dyDescent="0.25">
      <c r="A13" s="49">
        <f>+'A) Base RI'!A15</f>
        <v>5409</v>
      </c>
      <c r="B13" s="293" t="str">
        <f>+'A) Base RI'!B15</f>
        <v>Ollon</v>
      </c>
      <c r="C13" s="305">
        <f>+'D) Ecrêtage'!C13</f>
        <v>389186.78990950214</v>
      </c>
      <c r="D13" s="444"/>
      <c r="E13" s="446"/>
      <c r="F13" s="444"/>
      <c r="G13" s="305">
        <f t="shared" si="0"/>
        <v>0</v>
      </c>
      <c r="H13" s="285">
        <f t="shared" si="1"/>
        <v>3113494.3192760171</v>
      </c>
      <c r="I13" s="10">
        <f t="shared" si="2"/>
        <v>0</v>
      </c>
      <c r="J13" s="302" t="e">
        <f t="shared" si="3"/>
        <v>#DIV/0!</v>
      </c>
      <c r="K13" s="448"/>
      <c r="L13" s="10">
        <f t="shared" si="4"/>
        <v>389186.78990950214</v>
      </c>
      <c r="M13" s="14">
        <f t="shared" si="5"/>
        <v>0</v>
      </c>
      <c r="N13" s="2" t="e">
        <f t="shared" si="6"/>
        <v>#DIV/0!</v>
      </c>
      <c r="O13" s="130" t="e">
        <f t="shared" si="7"/>
        <v>#DIV/0!</v>
      </c>
      <c r="P13" s="443" t="e">
        <f t="shared" si="8"/>
        <v>#DIV/0!</v>
      </c>
      <c r="Q13" s="126"/>
    </row>
    <row r="14" spans="1:17" x14ac:dyDescent="0.25">
      <c r="A14" s="49">
        <f>+'A) Base RI'!A16</f>
        <v>5410</v>
      </c>
      <c r="B14" s="293" t="str">
        <f>+'A) Base RI'!B16</f>
        <v>Ormont-Dessous</v>
      </c>
      <c r="C14" s="305">
        <f>+'D) Ecrêtage'!C14</f>
        <v>39522.545108225109</v>
      </c>
      <c r="D14" s="444"/>
      <c r="E14" s="446"/>
      <c r="F14" s="444"/>
      <c r="G14" s="305">
        <f t="shared" si="0"/>
        <v>0</v>
      </c>
      <c r="H14" s="285">
        <f t="shared" si="1"/>
        <v>316180.36086580087</v>
      </c>
      <c r="I14" s="10">
        <f t="shared" si="2"/>
        <v>0</v>
      </c>
      <c r="J14" s="302" t="e">
        <f t="shared" si="3"/>
        <v>#DIV/0!</v>
      </c>
      <c r="K14" s="448"/>
      <c r="L14" s="10">
        <f t="shared" si="4"/>
        <v>39522.545108225109</v>
      </c>
      <c r="M14" s="14">
        <f t="shared" si="5"/>
        <v>0</v>
      </c>
      <c r="N14" s="2" t="e">
        <f t="shared" si="6"/>
        <v>#DIV/0!</v>
      </c>
      <c r="O14" s="130" t="e">
        <f t="shared" si="7"/>
        <v>#DIV/0!</v>
      </c>
      <c r="P14" s="443" t="e">
        <f t="shared" si="8"/>
        <v>#DIV/0!</v>
      </c>
      <c r="Q14" s="126"/>
    </row>
    <row r="15" spans="1:17" x14ac:dyDescent="0.25">
      <c r="A15" s="49">
        <f>+'A) Base RI'!A17</f>
        <v>5411</v>
      </c>
      <c r="B15" s="293" t="str">
        <f>+'A) Base RI'!B17</f>
        <v>Ormont-Dessus</v>
      </c>
      <c r="C15" s="305">
        <f>+'D) Ecrêtage'!C15</f>
        <v>68049.385526315804</v>
      </c>
      <c r="D15" s="444"/>
      <c r="E15" s="446"/>
      <c r="F15" s="444"/>
      <c r="G15" s="305">
        <f t="shared" si="0"/>
        <v>0</v>
      </c>
      <c r="H15" s="285">
        <f t="shared" si="1"/>
        <v>544395.08421052643</v>
      </c>
      <c r="I15" s="10">
        <f t="shared" si="2"/>
        <v>0</v>
      </c>
      <c r="J15" s="302" t="e">
        <f t="shared" si="3"/>
        <v>#DIV/0!</v>
      </c>
      <c r="K15" s="448"/>
      <c r="L15" s="10">
        <f t="shared" si="4"/>
        <v>68049.385526315804</v>
      </c>
      <c r="M15" s="14">
        <f t="shared" si="5"/>
        <v>0</v>
      </c>
      <c r="N15" s="2" t="e">
        <f t="shared" si="6"/>
        <v>#DIV/0!</v>
      </c>
      <c r="O15" s="130" t="e">
        <f t="shared" si="7"/>
        <v>#DIV/0!</v>
      </c>
      <c r="P15" s="443" t="e">
        <f t="shared" si="8"/>
        <v>#DIV/0!</v>
      </c>
      <c r="Q15" s="126"/>
    </row>
    <row r="16" spans="1:17" x14ac:dyDescent="0.25">
      <c r="A16" s="49">
        <f>+'A) Base RI'!A18</f>
        <v>5412</v>
      </c>
      <c r="B16" s="293" t="str">
        <f>+'A) Base RI'!B18</f>
        <v>Rennaz</v>
      </c>
      <c r="C16" s="305">
        <f>+'D) Ecrêtage'!C16</f>
        <v>24267.759710144928</v>
      </c>
      <c r="D16" s="444"/>
      <c r="E16" s="446"/>
      <c r="F16" s="444"/>
      <c r="G16" s="305">
        <f t="shared" si="0"/>
        <v>0</v>
      </c>
      <c r="H16" s="285">
        <f t="shared" si="1"/>
        <v>194142.07768115943</v>
      </c>
      <c r="I16" s="10">
        <f t="shared" si="2"/>
        <v>0</v>
      </c>
      <c r="J16" s="302" t="e">
        <f t="shared" si="3"/>
        <v>#DIV/0!</v>
      </c>
      <c r="K16" s="448"/>
      <c r="L16" s="10">
        <f t="shared" si="4"/>
        <v>24267.759710144928</v>
      </c>
      <c r="M16" s="14">
        <f t="shared" si="5"/>
        <v>0</v>
      </c>
      <c r="N16" s="2" t="e">
        <f t="shared" si="6"/>
        <v>#DIV/0!</v>
      </c>
      <c r="O16" s="130" t="e">
        <f t="shared" si="7"/>
        <v>#DIV/0!</v>
      </c>
      <c r="P16" s="443" t="e">
        <f t="shared" si="8"/>
        <v>#DIV/0!</v>
      </c>
      <c r="Q16" s="126"/>
    </row>
    <row r="17" spans="1:17" x14ac:dyDescent="0.25">
      <c r="A17" s="49">
        <f>+'A) Base RI'!A19</f>
        <v>5413</v>
      </c>
      <c r="B17" s="293" t="str">
        <f>+'A) Base RI'!B19</f>
        <v>Roche</v>
      </c>
      <c r="C17" s="305">
        <f>+'D) Ecrêtage'!C17</f>
        <v>48007.468357843129</v>
      </c>
      <c r="D17" s="444"/>
      <c r="E17" s="446"/>
      <c r="F17" s="444"/>
      <c r="G17" s="305">
        <f t="shared" si="0"/>
        <v>0</v>
      </c>
      <c r="H17" s="285">
        <f t="shared" si="1"/>
        <v>384059.74686274503</v>
      </c>
      <c r="I17" s="10">
        <f t="shared" si="2"/>
        <v>0</v>
      </c>
      <c r="J17" s="302" t="e">
        <f t="shared" si="3"/>
        <v>#DIV/0!</v>
      </c>
      <c r="K17" s="448"/>
      <c r="L17" s="10">
        <f t="shared" si="4"/>
        <v>48007.468357843129</v>
      </c>
      <c r="M17" s="14">
        <f t="shared" si="5"/>
        <v>0</v>
      </c>
      <c r="N17" s="2" t="e">
        <f t="shared" si="6"/>
        <v>#DIV/0!</v>
      </c>
      <c r="O17" s="130" t="e">
        <f t="shared" si="7"/>
        <v>#DIV/0!</v>
      </c>
      <c r="P17" s="443" t="e">
        <f t="shared" si="8"/>
        <v>#DIV/0!</v>
      </c>
      <c r="Q17" s="126"/>
    </row>
    <row r="18" spans="1:17" x14ac:dyDescent="0.25">
      <c r="A18" s="49">
        <f>+'A) Base RI'!A20</f>
        <v>5414</v>
      </c>
      <c r="B18" s="293" t="str">
        <f>+'A) Base RI'!B20</f>
        <v>Villeneuve</v>
      </c>
      <c r="C18" s="305">
        <f>+'D) Ecrêtage'!C18</f>
        <v>159468.65911111108</v>
      </c>
      <c r="D18" s="444"/>
      <c r="E18" s="446"/>
      <c r="F18" s="444"/>
      <c r="G18" s="305">
        <f t="shared" si="0"/>
        <v>0</v>
      </c>
      <c r="H18" s="285">
        <f t="shared" si="1"/>
        <v>1275749.2728888886</v>
      </c>
      <c r="I18" s="10">
        <f t="shared" si="2"/>
        <v>0</v>
      </c>
      <c r="J18" s="302" t="e">
        <f t="shared" si="3"/>
        <v>#DIV/0!</v>
      </c>
      <c r="K18" s="448"/>
      <c r="L18" s="10">
        <f t="shared" si="4"/>
        <v>159468.65911111108</v>
      </c>
      <c r="M18" s="14">
        <f t="shared" si="5"/>
        <v>0</v>
      </c>
      <c r="N18" s="2" t="e">
        <f t="shared" si="6"/>
        <v>#DIV/0!</v>
      </c>
      <c r="O18" s="130" t="e">
        <f t="shared" si="7"/>
        <v>#DIV/0!</v>
      </c>
      <c r="P18" s="443" t="e">
        <f t="shared" si="8"/>
        <v>#DIV/0!</v>
      </c>
      <c r="Q18" s="126"/>
    </row>
    <row r="19" spans="1:17" x14ac:dyDescent="0.25">
      <c r="A19" s="49">
        <f>+'A) Base RI'!A21</f>
        <v>5415</v>
      </c>
      <c r="B19" s="293" t="str">
        <f>+'A) Base RI'!B21</f>
        <v>Yvorne</v>
      </c>
      <c r="C19" s="305">
        <f>+'D) Ecrêtage'!C19</f>
        <v>38155.020093240091</v>
      </c>
      <c r="D19" s="444"/>
      <c r="E19" s="446"/>
      <c r="F19" s="444"/>
      <c r="G19" s="305">
        <f t="shared" si="0"/>
        <v>0</v>
      </c>
      <c r="H19" s="285">
        <f t="shared" si="1"/>
        <v>305240.16074592073</v>
      </c>
      <c r="I19" s="10">
        <f t="shared" si="2"/>
        <v>0</v>
      </c>
      <c r="J19" s="302" t="e">
        <f t="shared" si="3"/>
        <v>#DIV/0!</v>
      </c>
      <c r="K19" s="448"/>
      <c r="L19" s="10">
        <f t="shared" si="4"/>
        <v>38155.020093240091</v>
      </c>
      <c r="M19" s="14">
        <f t="shared" si="5"/>
        <v>0</v>
      </c>
      <c r="N19" s="2" t="e">
        <f t="shared" si="6"/>
        <v>#DIV/0!</v>
      </c>
      <c r="O19" s="130" t="e">
        <f t="shared" si="7"/>
        <v>#DIV/0!</v>
      </c>
      <c r="P19" s="443" t="e">
        <f t="shared" si="8"/>
        <v>#DIV/0!</v>
      </c>
      <c r="Q19" s="126"/>
    </row>
    <row r="20" spans="1:17" x14ac:dyDescent="0.25">
      <c r="A20" s="49">
        <f>+'A) Base RI'!A22</f>
        <v>5421</v>
      </c>
      <c r="B20" s="293" t="str">
        <f>+'A) Base RI'!B22</f>
        <v>Apples</v>
      </c>
      <c r="C20" s="305">
        <f>+'D) Ecrêtage'!C20</f>
        <v>66313.601621621623</v>
      </c>
      <c r="D20" s="444"/>
      <c r="E20" s="446"/>
      <c r="F20" s="444"/>
      <c r="G20" s="305">
        <f t="shared" si="0"/>
        <v>0</v>
      </c>
      <c r="H20" s="285">
        <f t="shared" si="1"/>
        <v>530508.81297297298</v>
      </c>
      <c r="I20" s="10">
        <f t="shared" si="2"/>
        <v>0</v>
      </c>
      <c r="J20" s="302" t="e">
        <f t="shared" si="3"/>
        <v>#DIV/0!</v>
      </c>
      <c r="K20" s="448"/>
      <c r="L20" s="10">
        <f t="shared" si="4"/>
        <v>66313.601621621623</v>
      </c>
      <c r="M20" s="14">
        <f t="shared" si="5"/>
        <v>0</v>
      </c>
      <c r="N20" s="2" t="e">
        <f t="shared" si="6"/>
        <v>#DIV/0!</v>
      </c>
      <c r="O20" s="130" t="e">
        <f t="shared" si="7"/>
        <v>#DIV/0!</v>
      </c>
      <c r="P20" s="443" t="e">
        <f t="shared" si="8"/>
        <v>#DIV/0!</v>
      </c>
      <c r="Q20" s="126"/>
    </row>
    <row r="21" spans="1:17" x14ac:dyDescent="0.25">
      <c r="A21" s="49">
        <f>+'A) Base RI'!A23</f>
        <v>5422</v>
      </c>
      <c r="B21" s="293" t="str">
        <f>+'A) Base RI'!B23</f>
        <v>Aubonne</v>
      </c>
      <c r="C21" s="305">
        <f>+'D) Ecrêtage'!C21</f>
        <v>242388.1994160584</v>
      </c>
      <c r="D21" s="444"/>
      <c r="E21" s="446"/>
      <c r="F21" s="444"/>
      <c r="G21" s="305">
        <f t="shared" si="0"/>
        <v>0</v>
      </c>
      <c r="H21" s="285">
        <f t="shared" si="1"/>
        <v>1939105.5953284672</v>
      </c>
      <c r="I21" s="10">
        <f t="shared" si="2"/>
        <v>0</v>
      </c>
      <c r="J21" s="302" t="e">
        <f t="shared" si="3"/>
        <v>#DIV/0!</v>
      </c>
      <c r="K21" s="448"/>
      <c r="L21" s="10">
        <f t="shared" si="4"/>
        <v>242388.1994160584</v>
      </c>
      <c r="M21" s="14">
        <f t="shared" si="5"/>
        <v>0</v>
      </c>
      <c r="N21" s="2" t="e">
        <f t="shared" si="6"/>
        <v>#DIV/0!</v>
      </c>
      <c r="O21" s="130" t="e">
        <f t="shared" si="7"/>
        <v>#DIV/0!</v>
      </c>
      <c r="P21" s="443" t="e">
        <f t="shared" si="8"/>
        <v>#DIV/0!</v>
      </c>
      <c r="Q21" s="126"/>
    </row>
    <row r="22" spans="1:17" x14ac:dyDescent="0.25">
      <c r="A22" s="49">
        <f>+'A) Base RI'!A24</f>
        <v>5423</v>
      </c>
      <c r="B22" s="293" t="str">
        <f>+'A) Base RI'!B24</f>
        <v>Ballens</v>
      </c>
      <c r="C22" s="305">
        <f>+'D) Ecrêtage'!C22</f>
        <v>17114.745479452053</v>
      </c>
      <c r="D22" s="444"/>
      <c r="E22" s="446"/>
      <c r="F22" s="444"/>
      <c r="G22" s="305">
        <f t="shared" si="0"/>
        <v>0</v>
      </c>
      <c r="H22" s="285">
        <f t="shared" si="1"/>
        <v>136917.96383561642</v>
      </c>
      <c r="I22" s="10">
        <f t="shared" si="2"/>
        <v>0</v>
      </c>
      <c r="J22" s="302" t="e">
        <f t="shared" si="3"/>
        <v>#DIV/0!</v>
      </c>
      <c r="K22" s="448"/>
      <c r="L22" s="10">
        <f t="shared" si="4"/>
        <v>17114.745479452053</v>
      </c>
      <c r="M22" s="14">
        <f t="shared" si="5"/>
        <v>0</v>
      </c>
      <c r="N22" s="2" t="e">
        <f t="shared" si="6"/>
        <v>#DIV/0!</v>
      </c>
      <c r="O22" s="130" t="e">
        <f t="shared" si="7"/>
        <v>#DIV/0!</v>
      </c>
      <c r="P22" s="443" t="e">
        <f t="shared" si="8"/>
        <v>#DIV/0!</v>
      </c>
      <c r="Q22" s="126"/>
    </row>
    <row r="23" spans="1:17" x14ac:dyDescent="0.25">
      <c r="A23" s="49">
        <f>+'A) Base RI'!A25</f>
        <v>5424</v>
      </c>
      <c r="B23" s="293" t="str">
        <f>+'A) Base RI'!B25</f>
        <v>Berolle</v>
      </c>
      <c r="C23" s="305">
        <f>+'D) Ecrêtage'!C23</f>
        <v>9114.9769536423846</v>
      </c>
      <c r="D23" s="444"/>
      <c r="E23" s="446"/>
      <c r="F23" s="444"/>
      <c r="G23" s="305">
        <f t="shared" si="0"/>
        <v>0</v>
      </c>
      <c r="H23" s="285">
        <f t="shared" si="1"/>
        <v>72919.815629139077</v>
      </c>
      <c r="I23" s="10">
        <f t="shared" si="2"/>
        <v>0</v>
      </c>
      <c r="J23" s="302" t="e">
        <f t="shared" si="3"/>
        <v>#DIV/0!</v>
      </c>
      <c r="K23" s="448"/>
      <c r="L23" s="10">
        <f t="shared" si="4"/>
        <v>9114.9769536423846</v>
      </c>
      <c r="M23" s="14">
        <f t="shared" si="5"/>
        <v>0</v>
      </c>
      <c r="N23" s="2" t="e">
        <f t="shared" si="6"/>
        <v>#DIV/0!</v>
      </c>
      <c r="O23" s="130" t="e">
        <f t="shared" si="7"/>
        <v>#DIV/0!</v>
      </c>
      <c r="P23" s="443" t="e">
        <f t="shared" si="8"/>
        <v>#DIV/0!</v>
      </c>
      <c r="Q23" s="126"/>
    </row>
    <row r="24" spans="1:17" x14ac:dyDescent="0.25">
      <c r="A24" s="49">
        <f>+'A) Base RI'!A26</f>
        <v>5425</v>
      </c>
      <c r="B24" s="293" t="str">
        <f>+'A) Base RI'!B26</f>
        <v>Bière</v>
      </c>
      <c r="C24" s="305">
        <f>+'D) Ecrêtage'!C24</f>
        <v>40211.969135432286</v>
      </c>
      <c r="D24" s="444"/>
      <c r="E24" s="446"/>
      <c r="F24" s="444"/>
      <c r="G24" s="305">
        <f t="shared" si="0"/>
        <v>0</v>
      </c>
      <c r="H24" s="285">
        <f t="shared" si="1"/>
        <v>321695.75308345829</v>
      </c>
      <c r="I24" s="10">
        <f t="shared" si="2"/>
        <v>0</v>
      </c>
      <c r="J24" s="302" t="e">
        <f t="shared" si="3"/>
        <v>#DIV/0!</v>
      </c>
      <c r="K24" s="448"/>
      <c r="L24" s="10">
        <f t="shared" si="4"/>
        <v>40211.969135432286</v>
      </c>
      <c r="M24" s="14">
        <f t="shared" si="5"/>
        <v>0</v>
      </c>
      <c r="N24" s="2" t="e">
        <f t="shared" si="6"/>
        <v>#DIV/0!</v>
      </c>
      <c r="O24" s="130" t="e">
        <f t="shared" si="7"/>
        <v>#DIV/0!</v>
      </c>
      <c r="P24" s="443" t="e">
        <f t="shared" si="8"/>
        <v>#DIV/0!</v>
      </c>
      <c r="Q24" s="126"/>
    </row>
    <row r="25" spans="1:17" x14ac:dyDescent="0.25">
      <c r="A25" s="49">
        <f>+'A) Base RI'!A27</f>
        <v>5426</v>
      </c>
      <c r="B25" s="293" t="str">
        <f>+'A) Base RI'!B27</f>
        <v>Bougy-Villars</v>
      </c>
      <c r="C25" s="305">
        <f>+'D) Ecrêtage'!C25</f>
        <v>55640.611447028423</v>
      </c>
      <c r="D25" s="444"/>
      <c r="E25" s="446"/>
      <c r="F25" s="444"/>
      <c r="G25" s="305">
        <f t="shared" si="0"/>
        <v>0</v>
      </c>
      <c r="H25" s="285">
        <f t="shared" si="1"/>
        <v>445124.89157622738</v>
      </c>
      <c r="I25" s="10">
        <f t="shared" si="2"/>
        <v>0</v>
      </c>
      <c r="J25" s="302" t="e">
        <f t="shared" si="3"/>
        <v>#DIV/0!</v>
      </c>
      <c r="K25" s="448"/>
      <c r="L25" s="10">
        <f t="shared" si="4"/>
        <v>55640.611447028423</v>
      </c>
      <c r="M25" s="14">
        <f t="shared" si="5"/>
        <v>0</v>
      </c>
      <c r="N25" s="2" t="e">
        <f t="shared" si="6"/>
        <v>#DIV/0!</v>
      </c>
      <c r="O25" s="130" t="e">
        <f t="shared" si="7"/>
        <v>#DIV/0!</v>
      </c>
      <c r="P25" s="443" t="e">
        <f t="shared" si="8"/>
        <v>#DIV/0!</v>
      </c>
      <c r="Q25" s="126"/>
    </row>
    <row r="26" spans="1:17" x14ac:dyDescent="0.25">
      <c r="A26" s="49">
        <f>+'A) Base RI'!A28</f>
        <v>5427</v>
      </c>
      <c r="B26" s="293" t="str">
        <f>+'A) Base RI'!B28</f>
        <v>Féchy</v>
      </c>
      <c r="C26" s="305">
        <f>+'D) Ecrêtage'!C26</f>
        <v>77020.423605769232</v>
      </c>
      <c r="D26" s="444"/>
      <c r="E26" s="446"/>
      <c r="F26" s="444"/>
      <c r="G26" s="305">
        <f t="shared" si="0"/>
        <v>0</v>
      </c>
      <c r="H26" s="285">
        <f t="shared" si="1"/>
        <v>616163.38884615386</v>
      </c>
      <c r="I26" s="10">
        <f t="shared" si="2"/>
        <v>0</v>
      </c>
      <c r="J26" s="302" t="e">
        <f t="shared" si="3"/>
        <v>#DIV/0!</v>
      </c>
      <c r="K26" s="448"/>
      <c r="L26" s="10">
        <f t="shared" si="4"/>
        <v>77020.423605769232</v>
      </c>
      <c r="M26" s="14">
        <f t="shared" si="5"/>
        <v>0</v>
      </c>
      <c r="N26" s="2" t="e">
        <f t="shared" si="6"/>
        <v>#DIV/0!</v>
      </c>
      <c r="O26" s="130" t="e">
        <f t="shared" si="7"/>
        <v>#DIV/0!</v>
      </c>
      <c r="P26" s="443" t="e">
        <f t="shared" si="8"/>
        <v>#DIV/0!</v>
      </c>
      <c r="Q26" s="126"/>
    </row>
    <row r="27" spans="1:17" x14ac:dyDescent="0.25">
      <c r="A27" s="49">
        <f>+'A) Base RI'!A29</f>
        <v>5428</v>
      </c>
      <c r="B27" s="293" t="str">
        <f>+'A) Base RI'!B29</f>
        <v>Gimel</v>
      </c>
      <c r="C27" s="305">
        <f>+'D) Ecrêtage'!C27</f>
        <v>70193.222975391502</v>
      </c>
      <c r="D27" s="444"/>
      <c r="E27" s="446"/>
      <c r="F27" s="444"/>
      <c r="G27" s="305">
        <f t="shared" si="0"/>
        <v>0</v>
      </c>
      <c r="H27" s="285">
        <f t="shared" si="1"/>
        <v>561545.78380313201</v>
      </c>
      <c r="I27" s="10">
        <f t="shared" si="2"/>
        <v>0</v>
      </c>
      <c r="J27" s="302" t="e">
        <f t="shared" si="3"/>
        <v>#DIV/0!</v>
      </c>
      <c r="K27" s="448"/>
      <c r="L27" s="10">
        <f t="shared" si="4"/>
        <v>70193.222975391502</v>
      </c>
      <c r="M27" s="14">
        <f t="shared" si="5"/>
        <v>0</v>
      </c>
      <c r="N27" s="2" t="e">
        <f t="shared" si="6"/>
        <v>#DIV/0!</v>
      </c>
      <c r="O27" s="130" t="e">
        <f t="shared" si="7"/>
        <v>#DIV/0!</v>
      </c>
      <c r="P27" s="443" t="e">
        <f t="shared" si="8"/>
        <v>#DIV/0!</v>
      </c>
      <c r="Q27" s="126"/>
    </row>
    <row r="28" spans="1:17" x14ac:dyDescent="0.25">
      <c r="A28" s="49">
        <f>+'A) Base RI'!A30</f>
        <v>5429</v>
      </c>
      <c r="B28" s="293" t="str">
        <f>+'A) Base RI'!B30</f>
        <v>Longirod</v>
      </c>
      <c r="C28" s="305">
        <f>+'D) Ecrêtage'!C28</f>
        <v>16140.77393548387</v>
      </c>
      <c r="D28" s="444"/>
      <c r="E28" s="446"/>
      <c r="F28" s="444"/>
      <c r="G28" s="305">
        <f t="shared" si="0"/>
        <v>0</v>
      </c>
      <c r="H28" s="285">
        <f t="shared" si="1"/>
        <v>129126.19148387096</v>
      </c>
      <c r="I28" s="10">
        <f t="shared" si="2"/>
        <v>0</v>
      </c>
      <c r="J28" s="302" t="e">
        <f t="shared" si="3"/>
        <v>#DIV/0!</v>
      </c>
      <c r="K28" s="448"/>
      <c r="L28" s="10">
        <f t="shared" si="4"/>
        <v>16140.77393548387</v>
      </c>
      <c r="M28" s="14">
        <f t="shared" si="5"/>
        <v>0</v>
      </c>
      <c r="N28" s="2" t="e">
        <f t="shared" si="6"/>
        <v>#DIV/0!</v>
      </c>
      <c r="O28" s="130" t="e">
        <f t="shared" si="7"/>
        <v>#DIV/0!</v>
      </c>
      <c r="P28" s="443" t="e">
        <f t="shared" si="8"/>
        <v>#DIV/0!</v>
      </c>
      <c r="Q28" s="126"/>
    </row>
    <row r="29" spans="1:17" x14ac:dyDescent="0.25">
      <c r="A29" s="49">
        <f>+'A) Base RI'!A31</f>
        <v>5430</v>
      </c>
      <c r="B29" s="293" t="str">
        <f>+'A) Base RI'!B31</f>
        <v>Marchissy</v>
      </c>
      <c r="C29" s="305">
        <f>+'D) Ecrêtage'!C29</f>
        <v>14848.450709677421</v>
      </c>
      <c r="D29" s="444"/>
      <c r="E29" s="446"/>
      <c r="F29" s="444"/>
      <c r="G29" s="305">
        <f t="shared" si="0"/>
        <v>0</v>
      </c>
      <c r="H29" s="285">
        <f t="shared" si="1"/>
        <v>118787.60567741937</v>
      </c>
      <c r="I29" s="10">
        <f t="shared" si="2"/>
        <v>0</v>
      </c>
      <c r="J29" s="302" t="e">
        <f t="shared" si="3"/>
        <v>#DIV/0!</v>
      </c>
      <c r="K29" s="448"/>
      <c r="L29" s="10">
        <f t="shared" si="4"/>
        <v>14848.450709677421</v>
      </c>
      <c r="M29" s="14">
        <f t="shared" si="5"/>
        <v>0</v>
      </c>
      <c r="N29" s="2" t="e">
        <f t="shared" si="6"/>
        <v>#DIV/0!</v>
      </c>
      <c r="O29" s="130" t="e">
        <f t="shared" si="7"/>
        <v>#DIV/0!</v>
      </c>
      <c r="P29" s="443" t="e">
        <f t="shared" si="8"/>
        <v>#DIV/0!</v>
      </c>
      <c r="Q29" s="126"/>
    </row>
    <row r="30" spans="1:17" x14ac:dyDescent="0.25">
      <c r="A30" s="49">
        <f>+'A) Base RI'!A32</f>
        <v>5431</v>
      </c>
      <c r="B30" s="293" t="str">
        <f>+'A) Base RI'!B32</f>
        <v>Mollens</v>
      </c>
      <c r="C30" s="305">
        <f>+'D) Ecrêtage'!C30</f>
        <v>9333.4747297297308</v>
      </c>
      <c r="D30" s="444"/>
      <c r="E30" s="446"/>
      <c r="F30" s="444"/>
      <c r="G30" s="305">
        <f t="shared" si="0"/>
        <v>0</v>
      </c>
      <c r="H30" s="285">
        <f t="shared" si="1"/>
        <v>74667.797837837847</v>
      </c>
      <c r="I30" s="10">
        <f t="shared" si="2"/>
        <v>0</v>
      </c>
      <c r="J30" s="302" t="e">
        <f t="shared" si="3"/>
        <v>#DIV/0!</v>
      </c>
      <c r="K30" s="448"/>
      <c r="L30" s="10">
        <f t="shared" si="4"/>
        <v>9333.4747297297308</v>
      </c>
      <c r="M30" s="14">
        <f t="shared" si="5"/>
        <v>0</v>
      </c>
      <c r="N30" s="2" t="e">
        <f t="shared" si="6"/>
        <v>#DIV/0!</v>
      </c>
      <c r="O30" s="130" t="e">
        <f t="shared" si="7"/>
        <v>#DIV/0!</v>
      </c>
      <c r="P30" s="443" t="e">
        <f t="shared" si="8"/>
        <v>#DIV/0!</v>
      </c>
      <c r="Q30" s="126"/>
    </row>
    <row r="31" spans="1:17" x14ac:dyDescent="0.25">
      <c r="A31" s="49">
        <f>+'A) Base RI'!A33</f>
        <v>5432</v>
      </c>
      <c r="B31" s="293" t="str">
        <f>+'A) Base RI'!B33</f>
        <v>Montherod</v>
      </c>
      <c r="C31" s="305">
        <f>+'D) Ecrêtage'!C31</f>
        <v>16429.509999999998</v>
      </c>
      <c r="D31" s="444"/>
      <c r="E31" s="446"/>
      <c r="F31" s="444"/>
      <c r="G31" s="305">
        <f t="shared" si="0"/>
        <v>0</v>
      </c>
      <c r="H31" s="285">
        <f t="shared" si="1"/>
        <v>131436.07999999999</v>
      </c>
      <c r="I31" s="10">
        <f t="shared" si="2"/>
        <v>0</v>
      </c>
      <c r="J31" s="302" t="e">
        <f t="shared" si="3"/>
        <v>#DIV/0!</v>
      </c>
      <c r="K31" s="448"/>
      <c r="L31" s="10">
        <f t="shared" si="4"/>
        <v>16429.509999999998</v>
      </c>
      <c r="M31" s="14">
        <f t="shared" si="5"/>
        <v>0</v>
      </c>
      <c r="N31" s="2" t="e">
        <f t="shared" si="6"/>
        <v>#DIV/0!</v>
      </c>
      <c r="O31" s="130" t="e">
        <f t="shared" si="7"/>
        <v>#DIV/0!</v>
      </c>
      <c r="P31" s="443" t="e">
        <f t="shared" si="8"/>
        <v>#DIV/0!</v>
      </c>
      <c r="Q31" s="126"/>
    </row>
    <row r="32" spans="1:17" x14ac:dyDescent="0.25">
      <c r="A32" s="49">
        <f>+'A) Base RI'!A34</f>
        <v>5434</v>
      </c>
      <c r="B32" s="293" t="str">
        <f>+'A) Base RI'!B34</f>
        <v>Saint-George</v>
      </c>
      <c r="C32" s="305">
        <f>+'D) Ecrêtage'!C32</f>
        <v>41434.234652278174</v>
      </c>
      <c r="D32" s="444"/>
      <c r="E32" s="446"/>
      <c r="F32" s="444"/>
      <c r="G32" s="305">
        <f t="shared" si="0"/>
        <v>0</v>
      </c>
      <c r="H32" s="285">
        <f t="shared" si="1"/>
        <v>331473.87721822539</v>
      </c>
      <c r="I32" s="10">
        <f t="shared" si="2"/>
        <v>0</v>
      </c>
      <c r="J32" s="302" t="e">
        <f t="shared" si="3"/>
        <v>#DIV/0!</v>
      </c>
      <c r="K32" s="448"/>
      <c r="L32" s="10">
        <f t="shared" si="4"/>
        <v>41434.234652278174</v>
      </c>
      <c r="M32" s="14">
        <f t="shared" si="5"/>
        <v>0</v>
      </c>
      <c r="N32" s="2" t="e">
        <f t="shared" si="6"/>
        <v>#DIV/0!</v>
      </c>
      <c r="O32" s="130" t="e">
        <f t="shared" si="7"/>
        <v>#DIV/0!</v>
      </c>
      <c r="P32" s="443" t="e">
        <f t="shared" si="8"/>
        <v>#DIV/0!</v>
      </c>
      <c r="Q32" s="126"/>
    </row>
    <row r="33" spans="1:17" x14ac:dyDescent="0.25">
      <c r="A33" s="49">
        <f>+'A) Base RI'!A35</f>
        <v>5435</v>
      </c>
      <c r="B33" s="293" t="str">
        <f>+'A) Base RI'!B35</f>
        <v>Saint-Livres</v>
      </c>
      <c r="C33" s="305">
        <f>+'D) Ecrêtage'!C33</f>
        <v>26346.510144927532</v>
      </c>
      <c r="D33" s="444"/>
      <c r="E33" s="446"/>
      <c r="F33" s="444"/>
      <c r="G33" s="305">
        <f t="shared" si="0"/>
        <v>0</v>
      </c>
      <c r="H33" s="285">
        <f t="shared" si="1"/>
        <v>210772.08115942025</v>
      </c>
      <c r="I33" s="10">
        <f t="shared" si="2"/>
        <v>0</v>
      </c>
      <c r="J33" s="302" t="e">
        <f t="shared" si="3"/>
        <v>#DIV/0!</v>
      </c>
      <c r="K33" s="448"/>
      <c r="L33" s="10">
        <f t="shared" si="4"/>
        <v>26346.510144927532</v>
      </c>
      <c r="M33" s="14">
        <f t="shared" si="5"/>
        <v>0</v>
      </c>
      <c r="N33" s="2" t="e">
        <f t="shared" si="6"/>
        <v>#DIV/0!</v>
      </c>
      <c r="O33" s="130" t="e">
        <f t="shared" si="7"/>
        <v>#DIV/0!</v>
      </c>
      <c r="P33" s="443" t="e">
        <f t="shared" si="8"/>
        <v>#DIV/0!</v>
      </c>
      <c r="Q33" s="126"/>
    </row>
    <row r="34" spans="1:17" x14ac:dyDescent="0.25">
      <c r="A34" s="49">
        <f>+'A) Base RI'!A36</f>
        <v>5436</v>
      </c>
      <c r="B34" s="293" t="str">
        <f>+'A) Base RI'!B36</f>
        <v>Saint-Oyens</v>
      </c>
      <c r="C34" s="305">
        <f>+'D) Ecrêtage'!C34</f>
        <v>16764.305154320984</v>
      </c>
      <c r="D34" s="444"/>
      <c r="E34" s="446"/>
      <c r="F34" s="444"/>
      <c r="G34" s="305">
        <f t="shared" si="0"/>
        <v>0</v>
      </c>
      <c r="H34" s="285">
        <f t="shared" si="1"/>
        <v>134114.44123456787</v>
      </c>
      <c r="I34" s="10">
        <f t="shared" si="2"/>
        <v>0</v>
      </c>
      <c r="J34" s="302" t="e">
        <f t="shared" si="3"/>
        <v>#DIV/0!</v>
      </c>
      <c r="K34" s="448"/>
      <c r="L34" s="10">
        <f t="shared" si="4"/>
        <v>16764.305154320984</v>
      </c>
      <c r="M34" s="14">
        <f t="shared" si="5"/>
        <v>0</v>
      </c>
      <c r="N34" s="2" t="e">
        <f t="shared" si="6"/>
        <v>#DIV/0!</v>
      </c>
      <c r="O34" s="130" t="e">
        <f t="shared" si="7"/>
        <v>#DIV/0!</v>
      </c>
      <c r="P34" s="443" t="e">
        <f t="shared" si="8"/>
        <v>#DIV/0!</v>
      </c>
      <c r="Q34" s="126"/>
    </row>
    <row r="35" spans="1:17" x14ac:dyDescent="0.25">
      <c r="A35" s="49">
        <f>+'A) Base RI'!A37</f>
        <v>5437</v>
      </c>
      <c r="B35" s="293" t="str">
        <f>+'A) Base RI'!B37</f>
        <v>Saubraz</v>
      </c>
      <c r="C35" s="305">
        <f>+'D) Ecrêtage'!C35</f>
        <v>13391.905875</v>
      </c>
      <c r="D35" s="444"/>
      <c r="E35" s="446"/>
      <c r="F35" s="444"/>
      <c r="G35" s="305">
        <f t="shared" si="0"/>
        <v>0</v>
      </c>
      <c r="H35" s="285">
        <f t="shared" si="1"/>
        <v>107135.247</v>
      </c>
      <c r="I35" s="10">
        <f t="shared" si="2"/>
        <v>0</v>
      </c>
      <c r="J35" s="302" t="e">
        <f t="shared" si="3"/>
        <v>#DIV/0!</v>
      </c>
      <c r="K35" s="448"/>
      <c r="L35" s="10">
        <f t="shared" si="4"/>
        <v>13391.905875</v>
      </c>
      <c r="M35" s="14">
        <f t="shared" si="5"/>
        <v>0</v>
      </c>
      <c r="N35" s="2" t="e">
        <f t="shared" si="6"/>
        <v>#DIV/0!</v>
      </c>
      <c r="O35" s="130" t="e">
        <f t="shared" si="7"/>
        <v>#DIV/0!</v>
      </c>
      <c r="P35" s="443" t="e">
        <f t="shared" si="8"/>
        <v>#DIV/0!</v>
      </c>
      <c r="Q35" s="126"/>
    </row>
    <row r="36" spans="1:17" x14ac:dyDescent="0.25">
      <c r="A36" s="49">
        <f>+'A) Base RI'!A38</f>
        <v>5451</v>
      </c>
      <c r="B36" s="293" t="str">
        <f>+'A) Base RI'!B38</f>
        <v>Avenches</v>
      </c>
      <c r="C36" s="305">
        <f>+'D) Ecrêtage'!C36</f>
        <v>129500.81187969925</v>
      </c>
      <c r="D36" s="444"/>
      <c r="E36" s="446"/>
      <c r="F36" s="444"/>
      <c r="G36" s="305">
        <f t="shared" si="0"/>
        <v>0</v>
      </c>
      <c r="H36" s="285">
        <f t="shared" si="1"/>
        <v>1036006.495037594</v>
      </c>
      <c r="I36" s="10">
        <f t="shared" si="2"/>
        <v>0</v>
      </c>
      <c r="J36" s="302" t="e">
        <f t="shared" si="3"/>
        <v>#DIV/0!</v>
      </c>
      <c r="K36" s="448"/>
      <c r="L36" s="10">
        <f t="shared" si="4"/>
        <v>129500.81187969925</v>
      </c>
      <c r="M36" s="14">
        <f t="shared" si="5"/>
        <v>0</v>
      </c>
      <c r="N36" s="2" t="e">
        <f t="shared" si="6"/>
        <v>#DIV/0!</v>
      </c>
      <c r="O36" s="130" t="e">
        <f t="shared" si="7"/>
        <v>#DIV/0!</v>
      </c>
      <c r="P36" s="443" t="e">
        <f t="shared" si="8"/>
        <v>#DIV/0!</v>
      </c>
      <c r="Q36" s="126"/>
    </row>
    <row r="37" spans="1:17" x14ac:dyDescent="0.25">
      <c r="A37" s="49">
        <f>+'A) Base RI'!A39</f>
        <v>5456</v>
      </c>
      <c r="B37" s="293" t="str">
        <f>+'A) Base RI'!B39</f>
        <v>Cudrefin</v>
      </c>
      <c r="C37" s="305">
        <f>+'D) Ecrêtage'!C37</f>
        <v>64226.933276836171</v>
      </c>
      <c r="D37" s="444"/>
      <c r="E37" s="446"/>
      <c r="F37" s="444"/>
      <c r="G37" s="305">
        <f t="shared" si="0"/>
        <v>0</v>
      </c>
      <c r="H37" s="285">
        <f t="shared" si="1"/>
        <v>513815.46621468937</v>
      </c>
      <c r="I37" s="10">
        <f t="shared" si="2"/>
        <v>0</v>
      </c>
      <c r="J37" s="302" t="e">
        <f t="shared" si="3"/>
        <v>#DIV/0!</v>
      </c>
      <c r="K37" s="448"/>
      <c r="L37" s="10">
        <f t="shared" si="4"/>
        <v>64226.933276836171</v>
      </c>
      <c r="M37" s="14">
        <f t="shared" si="5"/>
        <v>0</v>
      </c>
      <c r="N37" s="2" t="e">
        <f t="shared" si="6"/>
        <v>#DIV/0!</v>
      </c>
      <c r="O37" s="130" t="e">
        <f t="shared" si="7"/>
        <v>#DIV/0!</v>
      </c>
      <c r="P37" s="443" t="e">
        <f t="shared" si="8"/>
        <v>#DIV/0!</v>
      </c>
      <c r="Q37" s="126"/>
    </row>
    <row r="38" spans="1:17" x14ac:dyDescent="0.25">
      <c r="A38" s="49">
        <f>+'A) Base RI'!A40</f>
        <v>5458</v>
      </c>
      <c r="B38" s="293" t="str">
        <f>+'A) Base RI'!B40</f>
        <v>Faoug</v>
      </c>
      <c r="C38" s="305">
        <f>+'D) Ecrêtage'!C38</f>
        <v>32198.404090909091</v>
      </c>
      <c r="D38" s="444"/>
      <c r="E38" s="446"/>
      <c r="F38" s="444"/>
      <c r="G38" s="305">
        <f t="shared" si="0"/>
        <v>0</v>
      </c>
      <c r="H38" s="285">
        <f t="shared" si="1"/>
        <v>257587.23272727273</v>
      </c>
      <c r="I38" s="10">
        <f t="shared" si="2"/>
        <v>0</v>
      </c>
      <c r="J38" s="302" t="e">
        <f t="shared" si="3"/>
        <v>#DIV/0!</v>
      </c>
      <c r="K38" s="448"/>
      <c r="L38" s="10">
        <f t="shared" si="4"/>
        <v>32198.404090909091</v>
      </c>
      <c r="M38" s="14">
        <f t="shared" si="5"/>
        <v>0</v>
      </c>
      <c r="N38" s="2" t="e">
        <f t="shared" si="6"/>
        <v>#DIV/0!</v>
      </c>
      <c r="O38" s="130" t="e">
        <f t="shared" si="7"/>
        <v>#DIV/0!</v>
      </c>
      <c r="P38" s="443" t="e">
        <f t="shared" si="8"/>
        <v>#DIV/0!</v>
      </c>
      <c r="Q38" s="126"/>
    </row>
    <row r="39" spans="1:17" x14ac:dyDescent="0.25">
      <c r="A39" s="49">
        <f>+'A) Base RI'!A41</f>
        <v>5464</v>
      </c>
      <c r="B39" s="293" t="str">
        <f>+'A) Base RI'!B41</f>
        <v>Vully-les-Lacs</v>
      </c>
      <c r="C39" s="305">
        <f>+'D) Ecrêtage'!C39</f>
        <v>111597.31895522389</v>
      </c>
      <c r="D39" s="444"/>
      <c r="E39" s="446"/>
      <c r="F39" s="444"/>
      <c r="G39" s="305">
        <f t="shared" si="0"/>
        <v>0</v>
      </c>
      <c r="H39" s="285">
        <f t="shared" si="1"/>
        <v>892778.55164179113</v>
      </c>
      <c r="I39" s="10">
        <f t="shared" si="2"/>
        <v>0</v>
      </c>
      <c r="J39" s="302" t="e">
        <f t="shared" si="3"/>
        <v>#DIV/0!</v>
      </c>
      <c r="K39" s="448"/>
      <c r="L39" s="10">
        <f t="shared" si="4"/>
        <v>111597.31895522389</v>
      </c>
      <c r="M39" s="14">
        <f t="shared" si="5"/>
        <v>0</v>
      </c>
      <c r="N39" s="2" t="e">
        <f t="shared" si="6"/>
        <v>#DIV/0!</v>
      </c>
      <c r="O39" s="130" t="e">
        <f t="shared" si="7"/>
        <v>#DIV/0!</v>
      </c>
      <c r="P39" s="443" t="e">
        <f t="shared" si="8"/>
        <v>#DIV/0!</v>
      </c>
      <c r="Q39" s="126"/>
    </row>
    <row r="40" spans="1:17" x14ac:dyDescent="0.25">
      <c r="A40" s="49">
        <f>+'A) Base RI'!A42</f>
        <v>5471</v>
      </c>
      <c r="B40" s="293" t="str">
        <f>+'A) Base RI'!B42</f>
        <v>Bettens</v>
      </c>
      <c r="C40" s="305">
        <f>+'D) Ecrêtage'!C40</f>
        <v>20385.282730158731</v>
      </c>
      <c r="D40" s="444"/>
      <c r="E40" s="446"/>
      <c r="F40" s="444"/>
      <c r="G40" s="305">
        <f t="shared" si="0"/>
        <v>0</v>
      </c>
      <c r="H40" s="285">
        <f t="shared" si="1"/>
        <v>163082.26184126985</v>
      </c>
      <c r="I40" s="10">
        <f t="shared" si="2"/>
        <v>0</v>
      </c>
      <c r="J40" s="302" t="e">
        <f t="shared" si="3"/>
        <v>#DIV/0!</v>
      </c>
      <c r="K40" s="448"/>
      <c r="L40" s="10">
        <f t="shared" si="4"/>
        <v>20385.282730158731</v>
      </c>
      <c r="M40" s="14">
        <f t="shared" si="5"/>
        <v>0</v>
      </c>
      <c r="N40" s="2" t="e">
        <f t="shared" si="6"/>
        <v>#DIV/0!</v>
      </c>
      <c r="O40" s="130" t="e">
        <f t="shared" si="7"/>
        <v>#DIV/0!</v>
      </c>
      <c r="P40" s="443" t="e">
        <f t="shared" si="8"/>
        <v>#DIV/0!</v>
      </c>
      <c r="Q40" s="126"/>
    </row>
    <row r="41" spans="1:17" x14ac:dyDescent="0.25">
      <c r="A41" s="49">
        <f>+'A) Base RI'!A43</f>
        <v>5472</v>
      </c>
      <c r="B41" s="293" t="str">
        <f>+'A) Base RI'!B43</f>
        <v>Bournens</v>
      </c>
      <c r="C41" s="305">
        <f>+'D) Ecrêtage'!C41</f>
        <v>20143.161388888886</v>
      </c>
      <c r="D41" s="444"/>
      <c r="E41" s="446"/>
      <c r="F41" s="444"/>
      <c r="G41" s="305">
        <f t="shared" si="0"/>
        <v>0</v>
      </c>
      <c r="H41" s="285">
        <f t="shared" si="1"/>
        <v>161145.29111111109</v>
      </c>
      <c r="I41" s="10">
        <f t="shared" si="2"/>
        <v>0</v>
      </c>
      <c r="J41" s="302" t="e">
        <f t="shared" si="3"/>
        <v>#DIV/0!</v>
      </c>
      <c r="K41" s="448"/>
      <c r="L41" s="10">
        <f t="shared" si="4"/>
        <v>20143.161388888886</v>
      </c>
      <c r="M41" s="14">
        <f t="shared" si="5"/>
        <v>0</v>
      </c>
      <c r="N41" s="2" t="e">
        <f t="shared" si="6"/>
        <v>#DIV/0!</v>
      </c>
      <c r="O41" s="130" t="e">
        <f t="shared" si="7"/>
        <v>#DIV/0!</v>
      </c>
      <c r="P41" s="443" t="e">
        <f t="shared" si="8"/>
        <v>#DIV/0!</v>
      </c>
      <c r="Q41" s="126"/>
    </row>
    <row r="42" spans="1:17" x14ac:dyDescent="0.25">
      <c r="A42" s="49">
        <f>+'A) Base RI'!A44</f>
        <v>5473</v>
      </c>
      <c r="B42" s="293" t="str">
        <f>+'A) Base RI'!B44</f>
        <v>Boussens</v>
      </c>
      <c r="C42" s="305">
        <f>+'D) Ecrêtage'!C42</f>
        <v>37775.140592592586</v>
      </c>
      <c r="D42" s="444"/>
      <c r="E42" s="446"/>
      <c r="F42" s="444"/>
      <c r="G42" s="305">
        <f t="shared" si="0"/>
        <v>0</v>
      </c>
      <c r="H42" s="285">
        <f t="shared" si="1"/>
        <v>302201.12474074069</v>
      </c>
      <c r="I42" s="10">
        <f t="shared" si="2"/>
        <v>0</v>
      </c>
      <c r="J42" s="302" t="e">
        <f t="shared" si="3"/>
        <v>#DIV/0!</v>
      </c>
      <c r="K42" s="448"/>
      <c r="L42" s="10">
        <f t="shared" si="4"/>
        <v>37775.140592592586</v>
      </c>
      <c r="M42" s="14">
        <f t="shared" si="5"/>
        <v>0</v>
      </c>
      <c r="N42" s="2" t="e">
        <f t="shared" si="6"/>
        <v>#DIV/0!</v>
      </c>
      <c r="O42" s="130" t="e">
        <f t="shared" si="7"/>
        <v>#DIV/0!</v>
      </c>
      <c r="P42" s="443" t="e">
        <f t="shared" si="8"/>
        <v>#DIV/0!</v>
      </c>
      <c r="Q42" s="126"/>
    </row>
    <row r="43" spans="1:17" x14ac:dyDescent="0.25">
      <c r="A43" s="49">
        <f>+'A) Base RI'!A45</f>
        <v>5474</v>
      </c>
      <c r="B43" s="293" t="str">
        <f>+'A) Base RI'!B45</f>
        <v>La Chaux (Cossonay)</v>
      </c>
      <c r="C43" s="305">
        <f>+'D) Ecrêtage'!C43</f>
        <v>13182.521580086577</v>
      </c>
      <c r="D43" s="444"/>
      <c r="E43" s="446"/>
      <c r="F43" s="444"/>
      <c r="G43" s="305">
        <f t="shared" si="0"/>
        <v>0</v>
      </c>
      <c r="H43" s="285">
        <f t="shared" si="1"/>
        <v>105460.17264069262</v>
      </c>
      <c r="I43" s="10">
        <f t="shared" si="2"/>
        <v>0</v>
      </c>
      <c r="J43" s="302" t="e">
        <f t="shared" si="3"/>
        <v>#DIV/0!</v>
      </c>
      <c r="K43" s="448"/>
      <c r="L43" s="10">
        <f t="shared" si="4"/>
        <v>13182.521580086577</v>
      </c>
      <c r="M43" s="14">
        <f t="shared" si="5"/>
        <v>0</v>
      </c>
      <c r="N43" s="2" t="e">
        <f t="shared" si="6"/>
        <v>#DIV/0!</v>
      </c>
      <c r="O43" s="130" t="e">
        <f t="shared" si="7"/>
        <v>#DIV/0!</v>
      </c>
      <c r="P43" s="443" t="e">
        <f t="shared" si="8"/>
        <v>#DIV/0!</v>
      </c>
      <c r="Q43" s="126"/>
    </row>
    <row r="44" spans="1:17" x14ac:dyDescent="0.25">
      <c r="A44" s="49">
        <f>+'A) Base RI'!A46</f>
        <v>5475</v>
      </c>
      <c r="B44" s="293" t="str">
        <f>+'A) Base RI'!B46</f>
        <v>Chavannes-le-Veyron</v>
      </c>
      <c r="C44" s="305">
        <f>+'D) Ecrêtage'!C44</f>
        <v>3874.6645454545451</v>
      </c>
      <c r="D44" s="444"/>
      <c r="E44" s="446"/>
      <c r="F44" s="444"/>
      <c r="G44" s="305">
        <f t="shared" si="0"/>
        <v>0</v>
      </c>
      <c r="H44" s="285">
        <f t="shared" si="1"/>
        <v>30997.316363636361</v>
      </c>
      <c r="I44" s="10">
        <f t="shared" si="2"/>
        <v>0</v>
      </c>
      <c r="J44" s="302" t="e">
        <f t="shared" si="3"/>
        <v>#DIV/0!</v>
      </c>
      <c r="K44" s="448"/>
      <c r="L44" s="10">
        <f t="shared" si="4"/>
        <v>3874.6645454545451</v>
      </c>
      <c r="M44" s="14">
        <f t="shared" si="5"/>
        <v>0</v>
      </c>
      <c r="N44" s="2" t="e">
        <f t="shared" si="6"/>
        <v>#DIV/0!</v>
      </c>
      <c r="O44" s="130" t="e">
        <f t="shared" si="7"/>
        <v>#DIV/0!</v>
      </c>
      <c r="P44" s="443" t="e">
        <f t="shared" si="8"/>
        <v>#DIV/0!</v>
      </c>
      <c r="Q44" s="126"/>
    </row>
    <row r="45" spans="1:17" x14ac:dyDescent="0.25">
      <c r="A45" s="49">
        <f>+'A) Base RI'!A47</f>
        <v>5476</v>
      </c>
      <c r="B45" s="293" t="str">
        <f>+'A) Base RI'!B47</f>
        <v>Chevilly</v>
      </c>
      <c r="C45" s="305">
        <f>+'D) Ecrêtage'!C45</f>
        <v>11839.396756756756</v>
      </c>
      <c r="D45" s="444"/>
      <c r="E45" s="446"/>
      <c r="F45" s="444"/>
      <c r="G45" s="305">
        <f t="shared" si="0"/>
        <v>0</v>
      </c>
      <c r="H45" s="285">
        <f t="shared" si="1"/>
        <v>94715.174054054049</v>
      </c>
      <c r="I45" s="10">
        <f t="shared" si="2"/>
        <v>0</v>
      </c>
      <c r="J45" s="302" t="e">
        <f t="shared" si="3"/>
        <v>#DIV/0!</v>
      </c>
      <c r="K45" s="448"/>
      <c r="L45" s="10">
        <f t="shared" si="4"/>
        <v>11839.396756756756</v>
      </c>
      <c r="M45" s="14">
        <f t="shared" si="5"/>
        <v>0</v>
      </c>
      <c r="N45" s="2" t="e">
        <f t="shared" si="6"/>
        <v>#DIV/0!</v>
      </c>
      <c r="O45" s="130" t="e">
        <f t="shared" si="7"/>
        <v>#DIV/0!</v>
      </c>
      <c r="P45" s="443" t="e">
        <f t="shared" si="8"/>
        <v>#DIV/0!</v>
      </c>
      <c r="Q45" s="126"/>
    </row>
    <row r="46" spans="1:17" x14ac:dyDescent="0.25">
      <c r="A46" s="49">
        <f>+'A) Base RI'!A48</f>
        <v>5477</v>
      </c>
      <c r="B46" s="293" t="str">
        <f>+'A) Base RI'!B48</f>
        <v>Cossonay</v>
      </c>
      <c r="C46" s="305">
        <f>+'D) Ecrêtage'!C46</f>
        <v>119154.03251798562</v>
      </c>
      <c r="D46" s="444"/>
      <c r="E46" s="446"/>
      <c r="F46" s="444"/>
      <c r="G46" s="305">
        <f t="shared" si="0"/>
        <v>0</v>
      </c>
      <c r="H46" s="285">
        <f t="shared" si="1"/>
        <v>953232.26014388492</v>
      </c>
      <c r="I46" s="10">
        <f t="shared" si="2"/>
        <v>0</v>
      </c>
      <c r="J46" s="302" t="e">
        <f t="shared" si="3"/>
        <v>#DIV/0!</v>
      </c>
      <c r="K46" s="448"/>
      <c r="L46" s="10">
        <f t="shared" si="4"/>
        <v>119154.03251798562</v>
      </c>
      <c r="M46" s="14">
        <f t="shared" si="5"/>
        <v>0</v>
      </c>
      <c r="N46" s="2" t="e">
        <f t="shared" si="6"/>
        <v>#DIV/0!</v>
      </c>
      <c r="O46" s="130" t="e">
        <f t="shared" si="7"/>
        <v>#DIV/0!</v>
      </c>
      <c r="P46" s="443" t="e">
        <f t="shared" si="8"/>
        <v>#DIV/0!</v>
      </c>
      <c r="Q46" s="126"/>
    </row>
    <row r="47" spans="1:17" x14ac:dyDescent="0.25">
      <c r="A47" s="49">
        <f>+'A) Base RI'!A49</f>
        <v>5478</v>
      </c>
      <c r="B47" s="293" t="str">
        <f>+'A) Base RI'!B49</f>
        <v>Cottens</v>
      </c>
      <c r="C47" s="305">
        <f>+'D) Ecrêtage'!C47</f>
        <v>16291.497837837833</v>
      </c>
      <c r="D47" s="444"/>
      <c r="E47" s="446"/>
      <c r="F47" s="444"/>
      <c r="G47" s="305">
        <f t="shared" si="0"/>
        <v>0</v>
      </c>
      <c r="H47" s="285">
        <f t="shared" si="1"/>
        <v>130331.98270270266</v>
      </c>
      <c r="I47" s="10">
        <f t="shared" si="2"/>
        <v>0</v>
      </c>
      <c r="J47" s="302" t="e">
        <f t="shared" si="3"/>
        <v>#DIV/0!</v>
      </c>
      <c r="K47" s="448"/>
      <c r="L47" s="10">
        <f t="shared" si="4"/>
        <v>16291.497837837833</v>
      </c>
      <c r="M47" s="14">
        <f t="shared" si="5"/>
        <v>0</v>
      </c>
      <c r="N47" s="2" t="e">
        <f t="shared" si="6"/>
        <v>#DIV/0!</v>
      </c>
      <c r="O47" s="130" t="e">
        <f t="shared" si="7"/>
        <v>#DIV/0!</v>
      </c>
      <c r="P47" s="443" t="e">
        <f t="shared" si="8"/>
        <v>#DIV/0!</v>
      </c>
      <c r="Q47" s="126"/>
    </row>
    <row r="48" spans="1:17" x14ac:dyDescent="0.25">
      <c r="A48" s="49">
        <f>+'A) Base RI'!A50</f>
        <v>5479</v>
      </c>
      <c r="B48" s="293" t="str">
        <f>+'A) Base RI'!B50</f>
        <v>Cuarnens</v>
      </c>
      <c r="C48" s="305">
        <f>+'D) Ecrêtage'!C48</f>
        <v>18068.978311688308</v>
      </c>
      <c r="D48" s="444"/>
      <c r="E48" s="446"/>
      <c r="F48" s="444"/>
      <c r="G48" s="305">
        <f t="shared" si="0"/>
        <v>0</v>
      </c>
      <c r="H48" s="285">
        <f t="shared" si="1"/>
        <v>144551.82649350647</v>
      </c>
      <c r="I48" s="10">
        <f t="shared" si="2"/>
        <v>0</v>
      </c>
      <c r="J48" s="302" t="e">
        <f t="shared" si="3"/>
        <v>#DIV/0!</v>
      </c>
      <c r="K48" s="448"/>
      <c r="L48" s="10">
        <f t="shared" si="4"/>
        <v>18068.978311688308</v>
      </c>
      <c r="M48" s="14">
        <f t="shared" si="5"/>
        <v>0</v>
      </c>
      <c r="N48" s="2" t="e">
        <f t="shared" si="6"/>
        <v>#DIV/0!</v>
      </c>
      <c r="O48" s="130" t="e">
        <f t="shared" si="7"/>
        <v>#DIV/0!</v>
      </c>
      <c r="P48" s="443" t="e">
        <f t="shared" si="8"/>
        <v>#DIV/0!</v>
      </c>
      <c r="Q48" s="126"/>
    </row>
    <row r="49" spans="1:17" x14ac:dyDescent="0.25">
      <c r="A49" s="49">
        <f>+'A) Base RI'!A51</f>
        <v>5480</v>
      </c>
      <c r="B49" s="293" t="str">
        <f>+'A) Base RI'!B51</f>
        <v>Daillens</v>
      </c>
      <c r="C49" s="305">
        <f>+'D) Ecrêtage'!C49</f>
        <v>40977.441060606063</v>
      </c>
      <c r="D49" s="444"/>
      <c r="E49" s="446"/>
      <c r="F49" s="444"/>
      <c r="G49" s="305">
        <f t="shared" si="0"/>
        <v>0</v>
      </c>
      <c r="H49" s="285">
        <f t="shared" si="1"/>
        <v>327819.5284848485</v>
      </c>
      <c r="I49" s="10">
        <f t="shared" si="2"/>
        <v>0</v>
      </c>
      <c r="J49" s="302" t="e">
        <f t="shared" si="3"/>
        <v>#DIV/0!</v>
      </c>
      <c r="K49" s="448"/>
      <c r="L49" s="10">
        <f t="shared" si="4"/>
        <v>40977.441060606063</v>
      </c>
      <c r="M49" s="14">
        <f t="shared" si="5"/>
        <v>0</v>
      </c>
      <c r="N49" s="2" t="e">
        <f t="shared" si="6"/>
        <v>#DIV/0!</v>
      </c>
      <c r="O49" s="130" t="e">
        <f t="shared" si="7"/>
        <v>#DIV/0!</v>
      </c>
      <c r="P49" s="443" t="e">
        <f t="shared" si="8"/>
        <v>#DIV/0!</v>
      </c>
      <c r="Q49" s="126"/>
    </row>
    <row r="50" spans="1:17" x14ac:dyDescent="0.25">
      <c r="A50" s="49">
        <f>+'A) Base RI'!A52</f>
        <v>5481</v>
      </c>
      <c r="B50" s="293" t="str">
        <f>+'A) Base RI'!B52</f>
        <v>Dizy</v>
      </c>
      <c r="C50" s="305">
        <f>+'D) Ecrêtage'!C50</f>
        <v>8124.1672000000008</v>
      </c>
      <c r="D50" s="444"/>
      <c r="E50" s="446"/>
      <c r="F50" s="444"/>
      <c r="G50" s="305">
        <f t="shared" si="0"/>
        <v>0</v>
      </c>
      <c r="H50" s="285">
        <f t="shared" si="1"/>
        <v>64993.337600000006</v>
      </c>
      <c r="I50" s="10">
        <f t="shared" si="2"/>
        <v>0</v>
      </c>
      <c r="J50" s="302" t="e">
        <f t="shared" si="3"/>
        <v>#DIV/0!</v>
      </c>
      <c r="K50" s="448"/>
      <c r="L50" s="10">
        <f t="shared" si="4"/>
        <v>8124.1672000000008</v>
      </c>
      <c r="M50" s="14">
        <f t="shared" si="5"/>
        <v>0</v>
      </c>
      <c r="N50" s="2" t="e">
        <f t="shared" si="6"/>
        <v>#DIV/0!</v>
      </c>
      <c r="O50" s="130" t="e">
        <f t="shared" si="7"/>
        <v>#DIV/0!</v>
      </c>
      <c r="P50" s="443" t="e">
        <f t="shared" si="8"/>
        <v>#DIV/0!</v>
      </c>
      <c r="Q50" s="126"/>
    </row>
    <row r="51" spans="1:17" x14ac:dyDescent="0.25">
      <c r="A51" s="49">
        <f>+'A) Base RI'!A53</f>
        <v>5482</v>
      </c>
      <c r="B51" s="293" t="str">
        <f>+'A) Base RI'!B53</f>
        <v>Eclépens</v>
      </c>
      <c r="C51" s="305">
        <f>+'D) Ecrêtage'!C51</f>
        <v>70911.930217391302</v>
      </c>
      <c r="D51" s="444"/>
      <c r="E51" s="446"/>
      <c r="F51" s="444"/>
      <c r="G51" s="305">
        <f t="shared" si="0"/>
        <v>0</v>
      </c>
      <c r="H51" s="285">
        <f t="shared" si="1"/>
        <v>567295.44173913042</v>
      </c>
      <c r="I51" s="10">
        <f t="shared" si="2"/>
        <v>0</v>
      </c>
      <c r="J51" s="302" t="e">
        <f t="shared" si="3"/>
        <v>#DIV/0!</v>
      </c>
      <c r="K51" s="448"/>
      <c r="L51" s="10">
        <f t="shared" si="4"/>
        <v>70911.930217391302</v>
      </c>
      <c r="M51" s="14">
        <f t="shared" si="5"/>
        <v>0</v>
      </c>
      <c r="N51" s="2" t="e">
        <f t="shared" si="6"/>
        <v>#DIV/0!</v>
      </c>
      <c r="O51" s="130" t="e">
        <f t="shared" si="7"/>
        <v>#DIV/0!</v>
      </c>
      <c r="P51" s="443" t="e">
        <f t="shared" si="8"/>
        <v>#DIV/0!</v>
      </c>
      <c r="Q51" s="126"/>
    </row>
    <row r="52" spans="1:17" x14ac:dyDescent="0.25">
      <c r="A52" s="49">
        <f>+'A) Base RI'!A54</f>
        <v>5483</v>
      </c>
      <c r="B52" s="293" t="str">
        <f>+'A) Base RI'!B54</f>
        <v>Ferreyres</v>
      </c>
      <c r="C52" s="305">
        <f>+'D) Ecrêtage'!C52</f>
        <v>10820.315000000001</v>
      </c>
      <c r="D52" s="444"/>
      <c r="E52" s="446"/>
      <c r="F52" s="444"/>
      <c r="G52" s="305">
        <f t="shared" si="0"/>
        <v>0</v>
      </c>
      <c r="H52" s="285">
        <f t="shared" si="1"/>
        <v>86562.52</v>
      </c>
      <c r="I52" s="10">
        <f t="shared" si="2"/>
        <v>0</v>
      </c>
      <c r="J52" s="302" t="e">
        <f t="shared" si="3"/>
        <v>#DIV/0!</v>
      </c>
      <c r="K52" s="448"/>
      <c r="L52" s="10">
        <f t="shared" si="4"/>
        <v>10820.315000000001</v>
      </c>
      <c r="M52" s="14">
        <f t="shared" si="5"/>
        <v>0</v>
      </c>
      <c r="N52" s="2" t="e">
        <f t="shared" si="6"/>
        <v>#DIV/0!</v>
      </c>
      <c r="O52" s="130" t="e">
        <f t="shared" si="7"/>
        <v>#DIV/0!</v>
      </c>
      <c r="P52" s="443" t="e">
        <f t="shared" si="8"/>
        <v>#DIV/0!</v>
      </c>
      <c r="Q52" s="126"/>
    </row>
    <row r="53" spans="1:17" x14ac:dyDescent="0.25">
      <c r="A53" s="49">
        <f>+'A) Base RI'!A55</f>
        <v>5484</v>
      </c>
      <c r="B53" s="293" t="str">
        <f>+'A) Base RI'!B55</f>
        <v>Gollion</v>
      </c>
      <c r="C53" s="305">
        <f>+'D) Ecrêtage'!C53</f>
        <v>34996.98554054054</v>
      </c>
      <c r="D53" s="444"/>
      <c r="E53" s="446"/>
      <c r="F53" s="444"/>
      <c r="G53" s="305">
        <f t="shared" si="0"/>
        <v>0</v>
      </c>
      <c r="H53" s="285">
        <f t="shared" si="1"/>
        <v>279975.88432432432</v>
      </c>
      <c r="I53" s="10">
        <f t="shared" si="2"/>
        <v>0</v>
      </c>
      <c r="J53" s="302" t="e">
        <f t="shared" si="3"/>
        <v>#DIV/0!</v>
      </c>
      <c r="K53" s="448"/>
      <c r="L53" s="10">
        <f t="shared" si="4"/>
        <v>34996.98554054054</v>
      </c>
      <c r="M53" s="14">
        <f t="shared" si="5"/>
        <v>0</v>
      </c>
      <c r="N53" s="2" t="e">
        <f t="shared" si="6"/>
        <v>#DIV/0!</v>
      </c>
      <c r="O53" s="130" t="e">
        <f t="shared" si="7"/>
        <v>#DIV/0!</v>
      </c>
      <c r="P53" s="443" t="e">
        <f t="shared" si="8"/>
        <v>#DIV/0!</v>
      </c>
      <c r="Q53" s="126"/>
    </row>
    <row r="54" spans="1:17" x14ac:dyDescent="0.25">
      <c r="A54" s="49">
        <f>+'A) Base RI'!A56</f>
        <v>5485</v>
      </c>
      <c r="B54" s="293" t="str">
        <f>+'A) Base RI'!B56</f>
        <v>Grancy</v>
      </c>
      <c r="C54" s="305">
        <f>+'D) Ecrêtage'!C54</f>
        <v>14542.352714285715</v>
      </c>
      <c r="D54" s="444"/>
      <c r="E54" s="446"/>
      <c r="F54" s="444"/>
      <c r="G54" s="305">
        <f t="shared" si="0"/>
        <v>0</v>
      </c>
      <c r="H54" s="285">
        <f t="shared" si="1"/>
        <v>116338.82171428572</v>
      </c>
      <c r="I54" s="10">
        <f t="shared" si="2"/>
        <v>0</v>
      </c>
      <c r="J54" s="302" t="e">
        <f t="shared" si="3"/>
        <v>#DIV/0!</v>
      </c>
      <c r="K54" s="448"/>
      <c r="L54" s="10">
        <f t="shared" si="4"/>
        <v>14542.352714285715</v>
      </c>
      <c r="M54" s="14">
        <f t="shared" si="5"/>
        <v>0</v>
      </c>
      <c r="N54" s="2" t="e">
        <f t="shared" si="6"/>
        <v>#DIV/0!</v>
      </c>
      <c r="O54" s="130" t="e">
        <f t="shared" si="7"/>
        <v>#DIV/0!</v>
      </c>
      <c r="P54" s="443" t="e">
        <f t="shared" si="8"/>
        <v>#DIV/0!</v>
      </c>
      <c r="Q54" s="126"/>
    </row>
    <row r="55" spans="1:17" x14ac:dyDescent="0.25">
      <c r="A55" s="49">
        <f>+'A) Base RI'!A57</f>
        <v>5486</v>
      </c>
      <c r="B55" s="293" t="str">
        <f>+'A) Base RI'!B57</f>
        <v>L'Isle</v>
      </c>
      <c r="C55" s="305">
        <f>+'D) Ecrêtage'!C55</f>
        <v>37459.560399999995</v>
      </c>
      <c r="D55" s="444"/>
      <c r="E55" s="446"/>
      <c r="F55" s="444"/>
      <c r="G55" s="305">
        <f t="shared" si="0"/>
        <v>0</v>
      </c>
      <c r="H55" s="285">
        <f t="shared" si="1"/>
        <v>299676.48319999996</v>
      </c>
      <c r="I55" s="10">
        <f t="shared" si="2"/>
        <v>0</v>
      </c>
      <c r="J55" s="302" t="e">
        <f t="shared" si="3"/>
        <v>#DIV/0!</v>
      </c>
      <c r="K55" s="448"/>
      <c r="L55" s="10">
        <f t="shared" si="4"/>
        <v>37459.560399999995</v>
      </c>
      <c r="M55" s="14">
        <f t="shared" si="5"/>
        <v>0</v>
      </c>
      <c r="N55" s="2" t="e">
        <f t="shared" si="6"/>
        <v>#DIV/0!</v>
      </c>
      <c r="O55" s="130" t="e">
        <f t="shared" si="7"/>
        <v>#DIV/0!</v>
      </c>
      <c r="P55" s="443" t="e">
        <f t="shared" si="8"/>
        <v>#DIV/0!</v>
      </c>
      <c r="Q55" s="126"/>
    </row>
    <row r="56" spans="1:17" x14ac:dyDescent="0.25">
      <c r="A56" s="49">
        <f>+'A) Base RI'!A58</f>
        <v>5487</v>
      </c>
      <c r="B56" s="293" t="str">
        <f>+'A) Base RI'!B58</f>
        <v>Lussery-Villars</v>
      </c>
      <c r="C56" s="305">
        <f>+'D) Ecrêtage'!C56</f>
        <v>12889.865466666668</v>
      </c>
      <c r="D56" s="444"/>
      <c r="E56" s="446"/>
      <c r="F56" s="444"/>
      <c r="G56" s="305">
        <f t="shared" si="0"/>
        <v>0</v>
      </c>
      <c r="H56" s="285">
        <f t="shared" si="1"/>
        <v>103118.92373333334</v>
      </c>
      <c r="I56" s="10">
        <f t="shared" si="2"/>
        <v>0</v>
      </c>
      <c r="J56" s="302" t="e">
        <f t="shared" si="3"/>
        <v>#DIV/0!</v>
      </c>
      <c r="K56" s="448"/>
      <c r="L56" s="10">
        <f t="shared" si="4"/>
        <v>12889.865466666668</v>
      </c>
      <c r="M56" s="14">
        <f t="shared" si="5"/>
        <v>0</v>
      </c>
      <c r="N56" s="2" t="e">
        <f t="shared" si="6"/>
        <v>#DIV/0!</v>
      </c>
      <c r="O56" s="130" t="e">
        <f t="shared" si="7"/>
        <v>#DIV/0!</v>
      </c>
      <c r="P56" s="443" t="e">
        <f t="shared" si="8"/>
        <v>#DIV/0!</v>
      </c>
      <c r="Q56" s="126"/>
    </row>
    <row r="57" spans="1:17" x14ac:dyDescent="0.25">
      <c r="A57" s="49">
        <f>+'A) Base RI'!A59</f>
        <v>5488</v>
      </c>
      <c r="B57" s="293" t="str">
        <f>+'A) Base RI'!B59</f>
        <v>Mauraz</v>
      </c>
      <c r="C57" s="305">
        <f>+'D) Ecrêtage'!C57</f>
        <v>1632.1631168831173</v>
      </c>
      <c r="D57" s="444"/>
      <c r="E57" s="446"/>
      <c r="F57" s="444"/>
      <c r="G57" s="305">
        <f t="shared" si="0"/>
        <v>0</v>
      </c>
      <c r="H57" s="285">
        <f t="shared" si="1"/>
        <v>13057.304935064938</v>
      </c>
      <c r="I57" s="10">
        <f t="shared" si="2"/>
        <v>0</v>
      </c>
      <c r="J57" s="302" t="e">
        <f t="shared" si="3"/>
        <v>#DIV/0!</v>
      </c>
      <c r="K57" s="448"/>
      <c r="L57" s="10">
        <f t="shared" si="4"/>
        <v>1632.1631168831173</v>
      </c>
      <c r="M57" s="14">
        <f t="shared" si="5"/>
        <v>0</v>
      </c>
      <c r="N57" s="2" t="e">
        <f t="shared" si="6"/>
        <v>#DIV/0!</v>
      </c>
      <c r="O57" s="130" t="e">
        <f t="shared" si="7"/>
        <v>#DIV/0!</v>
      </c>
      <c r="P57" s="443" t="e">
        <f t="shared" si="8"/>
        <v>#DIV/0!</v>
      </c>
      <c r="Q57" s="126"/>
    </row>
    <row r="58" spans="1:17" x14ac:dyDescent="0.25">
      <c r="A58" s="49">
        <f>+'A) Base RI'!A60</f>
        <v>5489</v>
      </c>
      <c r="B58" s="293" t="str">
        <f>+'A) Base RI'!B60</f>
        <v>Mex</v>
      </c>
      <c r="C58" s="305">
        <f>+'D) Ecrêtage'!C58</f>
        <v>57496.164201680658</v>
      </c>
      <c r="D58" s="444"/>
      <c r="E58" s="446"/>
      <c r="F58" s="444"/>
      <c r="G58" s="305">
        <f t="shared" si="0"/>
        <v>0</v>
      </c>
      <c r="H58" s="285">
        <f t="shared" si="1"/>
        <v>459969.31361344527</v>
      </c>
      <c r="I58" s="10">
        <f t="shared" si="2"/>
        <v>0</v>
      </c>
      <c r="J58" s="302" t="e">
        <f t="shared" si="3"/>
        <v>#DIV/0!</v>
      </c>
      <c r="K58" s="448"/>
      <c r="L58" s="10">
        <f t="shared" si="4"/>
        <v>57496.164201680658</v>
      </c>
      <c r="M58" s="14">
        <f t="shared" si="5"/>
        <v>0</v>
      </c>
      <c r="N58" s="2" t="e">
        <f t="shared" si="6"/>
        <v>#DIV/0!</v>
      </c>
      <c r="O58" s="130" t="e">
        <f t="shared" si="7"/>
        <v>#DIV/0!</v>
      </c>
      <c r="P58" s="443" t="e">
        <f t="shared" si="8"/>
        <v>#DIV/0!</v>
      </c>
      <c r="Q58" s="126"/>
    </row>
    <row r="59" spans="1:17" x14ac:dyDescent="0.25">
      <c r="A59" s="49">
        <f>+'A) Base RI'!A61</f>
        <v>5490</v>
      </c>
      <c r="B59" s="293" t="str">
        <f>+'A) Base RI'!B61</f>
        <v>Moiry</v>
      </c>
      <c r="C59" s="305">
        <f>+'D) Ecrêtage'!C59</f>
        <v>8655.909290322581</v>
      </c>
      <c r="D59" s="444"/>
      <c r="E59" s="446"/>
      <c r="F59" s="444"/>
      <c r="G59" s="305">
        <f t="shared" si="0"/>
        <v>0</v>
      </c>
      <c r="H59" s="285">
        <f t="shared" si="1"/>
        <v>69247.274322580648</v>
      </c>
      <c r="I59" s="10">
        <f t="shared" si="2"/>
        <v>0</v>
      </c>
      <c r="J59" s="302" t="e">
        <f t="shared" si="3"/>
        <v>#DIV/0!</v>
      </c>
      <c r="K59" s="448"/>
      <c r="L59" s="10">
        <f t="shared" si="4"/>
        <v>8655.909290322581</v>
      </c>
      <c r="M59" s="14">
        <f t="shared" si="5"/>
        <v>0</v>
      </c>
      <c r="N59" s="2" t="e">
        <f t="shared" si="6"/>
        <v>#DIV/0!</v>
      </c>
      <c r="O59" s="130" t="e">
        <f t="shared" si="7"/>
        <v>#DIV/0!</v>
      </c>
      <c r="P59" s="443" t="e">
        <f t="shared" si="8"/>
        <v>#DIV/0!</v>
      </c>
      <c r="Q59" s="126"/>
    </row>
    <row r="60" spans="1:17" x14ac:dyDescent="0.25">
      <c r="A60" s="49">
        <f>+'A) Base RI'!A62</f>
        <v>5491</v>
      </c>
      <c r="B60" s="293" t="str">
        <f>+'A) Base RI'!B62</f>
        <v>Mont-la-Ville</v>
      </c>
      <c r="C60" s="305">
        <f>+'D) Ecrêtage'!C60</f>
        <v>14323.284736842104</v>
      </c>
      <c r="D60" s="444"/>
      <c r="E60" s="446"/>
      <c r="F60" s="444"/>
      <c r="G60" s="305">
        <f t="shared" si="0"/>
        <v>0</v>
      </c>
      <c r="H60" s="285">
        <f t="shared" si="1"/>
        <v>114586.27789473684</v>
      </c>
      <c r="I60" s="10">
        <f t="shared" si="2"/>
        <v>0</v>
      </c>
      <c r="J60" s="302" t="e">
        <f t="shared" si="3"/>
        <v>#DIV/0!</v>
      </c>
      <c r="K60" s="448"/>
      <c r="L60" s="10">
        <f t="shared" si="4"/>
        <v>14323.284736842104</v>
      </c>
      <c r="M60" s="14">
        <f t="shared" si="5"/>
        <v>0</v>
      </c>
      <c r="N60" s="2" t="e">
        <f t="shared" si="6"/>
        <v>#DIV/0!</v>
      </c>
      <c r="O60" s="130" t="e">
        <f t="shared" si="7"/>
        <v>#DIV/0!</v>
      </c>
      <c r="P60" s="443" t="e">
        <f t="shared" si="8"/>
        <v>#DIV/0!</v>
      </c>
      <c r="Q60" s="126"/>
    </row>
    <row r="61" spans="1:17" x14ac:dyDescent="0.25">
      <c r="A61" s="49">
        <f>+'A) Base RI'!A63</f>
        <v>5492</v>
      </c>
      <c r="B61" s="293" t="str">
        <f>+'A) Base RI'!B63</f>
        <v>Montricher</v>
      </c>
      <c r="C61" s="305">
        <f>+'D) Ecrêtage'!C61</f>
        <v>157154.96692708335</v>
      </c>
      <c r="D61" s="444"/>
      <c r="E61" s="446"/>
      <c r="F61" s="444"/>
      <c r="G61" s="305">
        <f t="shared" si="0"/>
        <v>0</v>
      </c>
      <c r="H61" s="285">
        <f t="shared" si="1"/>
        <v>1257239.7354166668</v>
      </c>
      <c r="I61" s="10">
        <f t="shared" si="2"/>
        <v>0</v>
      </c>
      <c r="J61" s="302" t="e">
        <f t="shared" si="3"/>
        <v>#DIV/0!</v>
      </c>
      <c r="K61" s="448"/>
      <c r="L61" s="10">
        <f t="shared" si="4"/>
        <v>157154.96692708335</v>
      </c>
      <c r="M61" s="14">
        <f t="shared" si="5"/>
        <v>0</v>
      </c>
      <c r="N61" s="2" t="e">
        <f t="shared" si="6"/>
        <v>#DIV/0!</v>
      </c>
      <c r="O61" s="130" t="e">
        <f t="shared" si="7"/>
        <v>#DIV/0!</v>
      </c>
      <c r="P61" s="443" t="e">
        <f t="shared" si="8"/>
        <v>#DIV/0!</v>
      </c>
      <c r="Q61" s="126"/>
    </row>
    <row r="62" spans="1:17" x14ac:dyDescent="0.25">
      <c r="A62" s="49">
        <f>+'A) Base RI'!A64</f>
        <v>5493</v>
      </c>
      <c r="B62" s="293" t="str">
        <f>+'A) Base RI'!B64</f>
        <v>Orny</v>
      </c>
      <c r="C62" s="305">
        <f>+'D) Ecrêtage'!C62</f>
        <v>12885.017723919913</v>
      </c>
      <c r="D62" s="444"/>
      <c r="E62" s="446"/>
      <c r="F62" s="444"/>
      <c r="G62" s="305">
        <f t="shared" si="0"/>
        <v>0</v>
      </c>
      <c r="H62" s="285">
        <f t="shared" si="1"/>
        <v>103080.1417913593</v>
      </c>
      <c r="I62" s="10">
        <f t="shared" si="2"/>
        <v>0</v>
      </c>
      <c r="J62" s="302" t="e">
        <f t="shared" si="3"/>
        <v>#DIV/0!</v>
      </c>
      <c r="K62" s="448"/>
      <c r="L62" s="10">
        <f t="shared" si="4"/>
        <v>12885.017723919913</v>
      </c>
      <c r="M62" s="14">
        <f t="shared" si="5"/>
        <v>0</v>
      </c>
      <c r="N62" s="2" t="e">
        <f t="shared" si="6"/>
        <v>#DIV/0!</v>
      </c>
      <c r="O62" s="130" t="e">
        <f t="shared" si="7"/>
        <v>#DIV/0!</v>
      </c>
      <c r="P62" s="443" t="e">
        <f t="shared" si="8"/>
        <v>#DIV/0!</v>
      </c>
      <c r="Q62" s="126"/>
    </row>
    <row r="63" spans="1:17" x14ac:dyDescent="0.25">
      <c r="A63" s="49">
        <f>+'A) Base RI'!A65</f>
        <v>5494</v>
      </c>
      <c r="B63" s="293" t="str">
        <f>+'A) Base RI'!B65</f>
        <v>Pampigny</v>
      </c>
      <c r="C63" s="305">
        <f>+'D) Ecrêtage'!C63</f>
        <v>36607.87342465754</v>
      </c>
      <c r="D63" s="444"/>
      <c r="E63" s="446"/>
      <c r="F63" s="444"/>
      <c r="G63" s="305">
        <f t="shared" si="0"/>
        <v>0</v>
      </c>
      <c r="H63" s="285">
        <f t="shared" si="1"/>
        <v>292862.98739726032</v>
      </c>
      <c r="I63" s="10">
        <f t="shared" si="2"/>
        <v>0</v>
      </c>
      <c r="J63" s="302" t="e">
        <f t="shared" si="3"/>
        <v>#DIV/0!</v>
      </c>
      <c r="K63" s="448"/>
      <c r="L63" s="10">
        <f t="shared" si="4"/>
        <v>36607.87342465754</v>
      </c>
      <c r="M63" s="14">
        <f t="shared" si="5"/>
        <v>0</v>
      </c>
      <c r="N63" s="2" t="e">
        <f t="shared" si="6"/>
        <v>#DIV/0!</v>
      </c>
      <c r="O63" s="130" t="e">
        <f t="shared" si="7"/>
        <v>#DIV/0!</v>
      </c>
      <c r="P63" s="443" t="e">
        <f t="shared" si="8"/>
        <v>#DIV/0!</v>
      </c>
      <c r="Q63" s="126"/>
    </row>
    <row r="64" spans="1:17" x14ac:dyDescent="0.25">
      <c r="A64" s="49">
        <f>+'A) Base RI'!A66</f>
        <v>5495</v>
      </c>
      <c r="B64" s="293" t="str">
        <f>+'A) Base RI'!B66</f>
        <v>Penthalaz</v>
      </c>
      <c r="C64" s="305">
        <f>+'D) Ecrêtage'!C64</f>
        <v>93361.472702702697</v>
      </c>
      <c r="D64" s="444"/>
      <c r="E64" s="446"/>
      <c r="F64" s="444"/>
      <c r="G64" s="305">
        <f t="shared" si="0"/>
        <v>0</v>
      </c>
      <c r="H64" s="285">
        <f t="shared" si="1"/>
        <v>746891.78162162157</v>
      </c>
      <c r="I64" s="10">
        <f t="shared" si="2"/>
        <v>0</v>
      </c>
      <c r="J64" s="302" t="e">
        <f t="shared" si="3"/>
        <v>#DIV/0!</v>
      </c>
      <c r="K64" s="448"/>
      <c r="L64" s="10">
        <f t="shared" si="4"/>
        <v>93361.472702702697</v>
      </c>
      <c r="M64" s="14">
        <f t="shared" si="5"/>
        <v>0</v>
      </c>
      <c r="N64" s="2" t="e">
        <f t="shared" si="6"/>
        <v>#DIV/0!</v>
      </c>
      <c r="O64" s="130" t="e">
        <f t="shared" si="7"/>
        <v>#DIV/0!</v>
      </c>
      <c r="P64" s="443" t="e">
        <f t="shared" si="8"/>
        <v>#DIV/0!</v>
      </c>
      <c r="Q64" s="126"/>
    </row>
    <row r="65" spans="1:17" x14ac:dyDescent="0.25">
      <c r="A65" s="49">
        <f>+'A) Base RI'!A67</f>
        <v>5496</v>
      </c>
      <c r="B65" s="293" t="str">
        <f>+'A) Base RI'!B67</f>
        <v>Penthaz</v>
      </c>
      <c r="C65" s="305">
        <f>+'D) Ecrêtage'!C65</f>
        <v>60131.11913669065</v>
      </c>
      <c r="D65" s="444"/>
      <c r="E65" s="446"/>
      <c r="F65" s="444"/>
      <c r="G65" s="305">
        <f t="shared" si="0"/>
        <v>0</v>
      </c>
      <c r="H65" s="285">
        <f t="shared" si="1"/>
        <v>481048.9530935252</v>
      </c>
      <c r="I65" s="10">
        <f t="shared" si="2"/>
        <v>0</v>
      </c>
      <c r="J65" s="302" t="e">
        <f t="shared" si="3"/>
        <v>#DIV/0!</v>
      </c>
      <c r="K65" s="448"/>
      <c r="L65" s="10">
        <f t="shared" si="4"/>
        <v>60131.11913669065</v>
      </c>
      <c r="M65" s="14">
        <f t="shared" si="5"/>
        <v>0</v>
      </c>
      <c r="N65" s="2" t="e">
        <f t="shared" si="6"/>
        <v>#DIV/0!</v>
      </c>
      <c r="O65" s="130" t="e">
        <f t="shared" si="7"/>
        <v>#DIV/0!</v>
      </c>
      <c r="P65" s="443" t="e">
        <f t="shared" si="8"/>
        <v>#DIV/0!</v>
      </c>
      <c r="Q65" s="126"/>
    </row>
    <row r="66" spans="1:17" x14ac:dyDescent="0.25">
      <c r="A66" s="49">
        <f>+'A) Base RI'!A68</f>
        <v>5497</v>
      </c>
      <c r="B66" s="293" t="str">
        <f>+'A) Base RI'!B68</f>
        <v>Pompaples</v>
      </c>
      <c r="C66" s="305">
        <f>+'D) Ecrêtage'!C66</f>
        <v>20396.986060606061</v>
      </c>
      <c r="D66" s="444"/>
      <c r="E66" s="446"/>
      <c r="F66" s="444"/>
      <c r="G66" s="305">
        <f t="shared" si="0"/>
        <v>0</v>
      </c>
      <c r="H66" s="285">
        <f t="shared" si="1"/>
        <v>163175.88848484849</v>
      </c>
      <c r="I66" s="10">
        <f t="shared" si="2"/>
        <v>0</v>
      </c>
      <c r="J66" s="302" t="e">
        <f t="shared" si="3"/>
        <v>#DIV/0!</v>
      </c>
      <c r="K66" s="448"/>
      <c r="L66" s="10">
        <f t="shared" si="4"/>
        <v>20396.986060606061</v>
      </c>
      <c r="M66" s="14">
        <f t="shared" si="5"/>
        <v>0</v>
      </c>
      <c r="N66" s="2" t="e">
        <f t="shared" si="6"/>
        <v>#DIV/0!</v>
      </c>
      <c r="O66" s="130" t="e">
        <f t="shared" si="7"/>
        <v>#DIV/0!</v>
      </c>
      <c r="P66" s="443" t="e">
        <f t="shared" si="8"/>
        <v>#DIV/0!</v>
      </c>
      <c r="Q66" s="126"/>
    </row>
    <row r="67" spans="1:17" x14ac:dyDescent="0.25">
      <c r="A67" s="49">
        <f>+'A) Base RI'!A69</f>
        <v>5498</v>
      </c>
      <c r="B67" s="293" t="str">
        <f>+'A) Base RI'!B69</f>
        <v>La Sarraz</v>
      </c>
      <c r="C67" s="305">
        <f>+'D) Ecrêtage'!C67</f>
        <v>77508.241969696974</v>
      </c>
      <c r="D67" s="444"/>
      <c r="E67" s="446"/>
      <c r="F67" s="444"/>
      <c r="G67" s="305">
        <f t="shared" si="0"/>
        <v>0</v>
      </c>
      <c r="H67" s="285">
        <f t="shared" si="1"/>
        <v>620065.93575757579</v>
      </c>
      <c r="I67" s="10">
        <f t="shared" si="2"/>
        <v>0</v>
      </c>
      <c r="J67" s="302" t="e">
        <f t="shared" si="3"/>
        <v>#DIV/0!</v>
      </c>
      <c r="K67" s="448"/>
      <c r="L67" s="10">
        <f t="shared" si="4"/>
        <v>77508.241969696974</v>
      </c>
      <c r="M67" s="14">
        <f t="shared" si="5"/>
        <v>0</v>
      </c>
      <c r="N67" s="2" t="e">
        <f t="shared" si="6"/>
        <v>#DIV/0!</v>
      </c>
      <c r="O67" s="130" t="e">
        <f t="shared" si="7"/>
        <v>#DIV/0!</v>
      </c>
      <c r="P67" s="443" t="e">
        <f t="shared" si="8"/>
        <v>#DIV/0!</v>
      </c>
      <c r="Q67" s="126"/>
    </row>
    <row r="68" spans="1:17" x14ac:dyDescent="0.25">
      <c r="A68" s="49">
        <f>+'A) Base RI'!A70</f>
        <v>5499</v>
      </c>
      <c r="B68" s="293" t="str">
        <f>+'A) Base RI'!B70</f>
        <v>Senarclens</v>
      </c>
      <c r="C68" s="305">
        <f>+'D) Ecrêtage'!C68</f>
        <v>19654.447445255475</v>
      </c>
      <c r="D68" s="444"/>
      <c r="E68" s="446"/>
      <c r="F68" s="444"/>
      <c r="G68" s="305">
        <f t="shared" si="0"/>
        <v>0</v>
      </c>
      <c r="H68" s="285">
        <f t="shared" si="1"/>
        <v>157235.5795620438</v>
      </c>
      <c r="I68" s="10">
        <f t="shared" si="2"/>
        <v>0</v>
      </c>
      <c r="J68" s="302" t="e">
        <f t="shared" si="3"/>
        <v>#DIV/0!</v>
      </c>
      <c r="K68" s="448"/>
      <c r="L68" s="10">
        <f t="shared" si="4"/>
        <v>19654.447445255475</v>
      </c>
      <c r="M68" s="14">
        <f t="shared" si="5"/>
        <v>0</v>
      </c>
      <c r="N68" s="2" t="e">
        <f t="shared" si="6"/>
        <v>#DIV/0!</v>
      </c>
      <c r="O68" s="130" t="e">
        <f t="shared" si="7"/>
        <v>#DIV/0!</v>
      </c>
      <c r="P68" s="443" t="e">
        <f t="shared" si="8"/>
        <v>#DIV/0!</v>
      </c>
      <c r="Q68" s="126"/>
    </row>
    <row r="69" spans="1:17" x14ac:dyDescent="0.25">
      <c r="A69" s="49">
        <f>+'A) Base RI'!A71</f>
        <v>5500</v>
      </c>
      <c r="B69" s="293" t="str">
        <f>+'A) Base RI'!B71</f>
        <v>Sévery</v>
      </c>
      <c r="C69" s="305">
        <f>+'D) Ecrêtage'!C69</f>
        <v>7516.1401369863015</v>
      </c>
      <c r="D69" s="444"/>
      <c r="E69" s="446"/>
      <c r="F69" s="444"/>
      <c r="G69" s="305">
        <f t="shared" si="0"/>
        <v>0</v>
      </c>
      <c r="H69" s="285">
        <f t="shared" si="1"/>
        <v>60129.121095890412</v>
      </c>
      <c r="I69" s="10">
        <f t="shared" si="2"/>
        <v>0</v>
      </c>
      <c r="J69" s="302" t="e">
        <f t="shared" si="3"/>
        <v>#DIV/0!</v>
      </c>
      <c r="K69" s="448"/>
      <c r="L69" s="10">
        <f t="shared" si="4"/>
        <v>7516.1401369863015</v>
      </c>
      <c r="M69" s="14">
        <f t="shared" si="5"/>
        <v>0</v>
      </c>
      <c r="N69" s="2" t="e">
        <f t="shared" si="6"/>
        <v>#DIV/0!</v>
      </c>
      <c r="O69" s="130" t="e">
        <f t="shared" si="7"/>
        <v>#DIV/0!</v>
      </c>
      <c r="P69" s="443" t="e">
        <f t="shared" si="8"/>
        <v>#DIV/0!</v>
      </c>
      <c r="Q69" s="126"/>
    </row>
    <row r="70" spans="1:17" x14ac:dyDescent="0.25">
      <c r="A70" s="49">
        <f>+'A) Base RI'!A72</f>
        <v>5501</v>
      </c>
      <c r="B70" s="293" t="str">
        <f>+'A) Base RI'!B72</f>
        <v>Sullens</v>
      </c>
      <c r="C70" s="305">
        <f>+'D) Ecrêtage'!C70</f>
        <v>41921.141459854021</v>
      </c>
      <c r="D70" s="444"/>
      <c r="E70" s="446"/>
      <c r="F70" s="444"/>
      <c r="G70" s="305">
        <f t="shared" ref="G70:G133" si="9">SUM(D70:F70)</f>
        <v>0</v>
      </c>
      <c r="H70" s="285">
        <f t="shared" ref="H70:H133" si="10">+C70*$I$4</f>
        <v>335369.13167883217</v>
      </c>
      <c r="I70" s="10">
        <f t="shared" ref="I70:I133" si="11">IF(G70&gt;H70,G70-H70,0)</f>
        <v>0</v>
      </c>
      <c r="J70" s="302" t="e">
        <f t="shared" ref="J70:J133" si="12">-I70*J$4</f>
        <v>#DIV/0!</v>
      </c>
      <c r="K70" s="448"/>
      <c r="L70" s="10">
        <f t="shared" ref="L70:L133" si="13">C70*M$4</f>
        <v>41921.141459854021</v>
      </c>
      <c r="M70" s="14">
        <f t="shared" ref="M70:M133" si="14">IF(K70&gt;L70,K70-L70,0)</f>
        <v>0</v>
      </c>
      <c r="N70" s="2" t="e">
        <f t="shared" ref="N70:N133" si="15">-M70*N$4</f>
        <v>#DIV/0!</v>
      </c>
      <c r="O70" s="130" t="e">
        <f t="shared" ref="O70:O133" si="16">N70+J70</f>
        <v>#DIV/0!</v>
      </c>
      <c r="P70" s="443" t="e">
        <f t="shared" ref="P70:P133" si="17">+O70/C70</f>
        <v>#DIV/0!</v>
      </c>
      <c r="Q70" s="126"/>
    </row>
    <row r="71" spans="1:17" x14ac:dyDescent="0.25">
      <c r="A71" s="49">
        <f>+'A) Base RI'!A73</f>
        <v>5503</v>
      </c>
      <c r="B71" s="293" t="str">
        <f>+'A) Base RI'!B73</f>
        <v>Vufflens-la-Ville</v>
      </c>
      <c r="C71" s="305">
        <f>+'D) Ecrêtage'!C71</f>
        <v>67911.005771144279</v>
      </c>
      <c r="D71" s="444"/>
      <c r="E71" s="446"/>
      <c r="F71" s="444"/>
      <c r="G71" s="305">
        <f t="shared" si="9"/>
        <v>0</v>
      </c>
      <c r="H71" s="285">
        <f t="shared" si="10"/>
        <v>543288.04616915423</v>
      </c>
      <c r="I71" s="10">
        <f t="shared" si="11"/>
        <v>0</v>
      </c>
      <c r="J71" s="302" t="e">
        <f t="shared" si="12"/>
        <v>#DIV/0!</v>
      </c>
      <c r="K71" s="448"/>
      <c r="L71" s="10">
        <f t="shared" si="13"/>
        <v>67911.005771144279</v>
      </c>
      <c r="M71" s="14">
        <f t="shared" si="14"/>
        <v>0</v>
      </c>
      <c r="N71" s="2" t="e">
        <f t="shared" si="15"/>
        <v>#DIV/0!</v>
      </c>
      <c r="O71" s="130" t="e">
        <f t="shared" si="16"/>
        <v>#DIV/0!</v>
      </c>
      <c r="P71" s="443" t="e">
        <f t="shared" si="17"/>
        <v>#DIV/0!</v>
      </c>
      <c r="Q71" s="126"/>
    </row>
    <row r="72" spans="1:17" x14ac:dyDescent="0.25">
      <c r="A72" s="49">
        <f>+'A) Base RI'!A74</f>
        <v>5511</v>
      </c>
      <c r="B72" s="293" t="str">
        <f>+'A) Base RI'!B74</f>
        <v>Assens</v>
      </c>
      <c r="C72" s="305">
        <f>+'D) Ecrêtage'!C72</f>
        <v>44474.742571428564</v>
      </c>
      <c r="D72" s="444"/>
      <c r="E72" s="446"/>
      <c r="F72" s="444"/>
      <c r="G72" s="305">
        <f t="shared" si="9"/>
        <v>0</v>
      </c>
      <c r="H72" s="285">
        <f t="shared" si="10"/>
        <v>355797.94057142851</v>
      </c>
      <c r="I72" s="10">
        <f t="shared" si="11"/>
        <v>0</v>
      </c>
      <c r="J72" s="302" t="e">
        <f t="shared" si="12"/>
        <v>#DIV/0!</v>
      </c>
      <c r="K72" s="448"/>
      <c r="L72" s="10">
        <f t="shared" si="13"/>
        <v>44474.742571428564</v>
      </c>
      <c r="M72" s="14">
        <f t="shared" si="14"/>
        <v>0</v>
      </c>
      <c r="N72" s="2" t="e">
        <f t="shared" si="15"/>
        <v>#DIV/0!</v>
      </c>
      <c r="O72" s="130" t="e">
        <f t="shared" si="16"/>
        <v>#DIV/0!</v>
      </c>
      <c r="P72" s="443" t="e">
        <f t="shared" si="17"/>
        <v>#DIV/0!</v>
      </c>
      <c r="Q72" s="126"/>
    </row>
    <row r="73" spans="1:17" x14ac:dyDescent="0.25">
      <c r="A73" s="49">
        <f>+'A) Base RI'!A75</f>
        <v>5512</v>
      </c>
      <c r="B73" s="293" t="str">
        <f>+'A) Base RI'!B75</f>
        <v>Bercher</v>
      </c>
      <c r="C73" s="305">
        <f>+'D) Ecrêtage'!C73</f>
        <v>40313.482784810127</v>
      </c>
      <c r="D73" s="444"/>
      <c r="E73" s="446"/>
      <c r="F73" s="444"/>
      <c r="G73" s="305">
        <f t="shared" si="9"/>
        <v>0</v>
      </c>
      <c r="H73" s="285">
        <f t="shared" si="10"/>
        <v>322507.86227848101</v>
      </c>
      <c r="I73" s="10">
        <f t="shared" si="11"/>
        <v>0</v>
      </c>
      <c r="J73" s="302" t="e">
        <f t="shared" si="12"/>
        <v>#DIV/0!</v>
      </c>
      <c r="K73" s="448"/>
      <c r="L73" s="10">
        <f t="shared" si="13"/>
        <v>40313.482784810127</v>
      </c>
      <c r="M73" s="14">
        <f t="shared" si="14"/>
        <v>0</v>
      </c>
      <c r="N73" s="2" t="e">
        <f t="shared" si="15"/>
        <v>#DIV/0!</v>
      </c>
      <c r="O73" s="130" t="e">
        <f t="shared" si="16"/>
        <v>#DIV/0!</v>
      </c>
      <c r="P73" s="443" t="e">
        <f t="shared" si="17"/>
        <v>#DIV/0!</v>
      </c>
      <c r="Q73" s="126"/>
    </row>
    <row r="74" spans="1:17" x14ac:dyDescent="0.25">
      <c r="A74" s="49">
        <f>+'A) Base RI'!A76</f>
        <v>5513</v>
      </c>
      <c r="B74" s="293" t="str">
        <f>+'A) Base RI'!B76</f>
        <v>Bioley-Orjulaz</v>
      </c>
      <c r="C74" s="305">
        <f>+'D) Ecrêtage'!C74</f>
        <v>22644.962352941177</v>
      </c>
      <c r="D74" s="444"/>
      <c r="E74" s="446"/>
      <c r="F74" s="444"/>
      <c r="G74" s="305">
        <f t="shared" si="9"/>
        <v>0</v>
      </c>
      <c r="H74" s="285">
        <f t="shared" si="10"/>
        <v>181159.69882352941</v>
      </c>
      <c r="I74" s="10">
        <f t="shared" si="11"/>
        <v>0</v>
      </c>
      <c r="J74" s="302" t="e">
        <f t="shared" si="12"/>
        <v>#DIV/0!</v>
      </c>
      <c r="K74" s="448"/>
      <c r="L74" s="10">
        <f t="shared" si="13"/>
        <v>22644.962352941177</v>
      </c>
      <c r="M74" s="14">
        <f t="shared" si="14"/>
        <v>0</v>
      </c>
      <c r="N74" s="2" t="e">
        <f t="shared" si="15"/>
        <v>#DIV/0!</v>
      </c>
      <c r="O74" s="130" t="e">
        <f t="shared" si="16"/>
        <v>#DIV/0!</v>
      </c>
      <c r="P74" s="443" t="e">
        <f t="shared" si="17"/>
        <v>#DIV/0!</v>
      </c>
      <c r="Q74" s="126"/>
    </row>
    <row r="75" spans="1:17" x14ac:dyDescent="0.25">
      <c r="A75" s="49">
        <f>+'A) Base RI'!A77</f>
        <v>5514</v>
      </c>
      <c r="B75" s="293" t="str">
        <f>+'A) Base RI'!B77</f>
        <v>Bottens</v>
      </c>
      <c r="C75" s="305">
        <f>+'D) Ecrêtage'!C75</f>
        <v>44190.368827586208</v>
      </c>
      <c r="D75" s="444"/>
      <c r="E75" s="446"/>
      <c r="F75" s="444"/>
      <c r="G75" s="305">
        <f t="shared" si="9"/>
        <v>0</v>
      </c>
      <c r="H75" s="285">
        <f t="shared" si="10"/>
        <v>353522.95062068966</v>
      </c>
      <c r="I75" s="10">
        <f t="shared" si="11"/>
        <v>0</v>
      </c>
      <c r="J75" s="302" t="e">
        <f t="shared" si="12"/>
        <v>#DIV/0!</v>
      </c>
      <c r="K75" s="448"/>
      <c r="L75" s="10">
        <f t="shared" si="13"/>
        <v>44190.368827586208</v>
      </c>
      <c r="M75" s="14">
        <f t="shared" si="14"/>
        <v>0</v>
      </c>
      <c r="N75" s="2" t="e">
        <f t="shared" si="15"/>
        <v>#DIV/0!</v>
      </c>
      <c r="O75" s="130" t="e">
        <f t="shared" si="16"/>
        <v>#DIV/0!</v>
      </c>
      <c r="P75" s="443" t="e">
        <f t="shared" si="17"/>
        <v>#DIV/0!</v>
      </c>
      <c r="Q75" s="126"/>
    </row>
    <row r="76" spans="1:17" x14ac:dyDescent="0.25">
      <c r="A76" s="49">
        <f>+'A) Base RI'!A78</f>
        <v>5515</v>
      </c>
      <c r="B76" s="293" t="str">
        <f>+'A) Base RI'!B78</f>
        <v>Bretigny-sur-Morrens</v>
      </c>
      <c r="C76" s="305">
        <f>+'D) Ecrêtage'!C76</f>
        <v>29586.483086419765</v>
      </c>
      <c r="D76" s="444"/>
      <c r="E76" s="446"/>
      <c r="F76" s="444"/>
      <c r="G76" s="305">
        <f t="shared" si="9"/>
        <v>0</v>
      </c>
      <c r="H76" s="285">
        <f t="shared" si="10"/>
        <v>236691.86469135812</v>
      </c>
      <c r="I76" s="10">
        <f t="shared" si="11"/>
        <v>0</v>
      </c>
      <c r="J76" s="302" t="e">
        <f t="shared" si="12"/>
        <v>#DIV/0!</v>
      </c>
      <c r="K76" s="448"/>
      <c r="L76" s="10">
        <f t="shared" si="13"/>
        <v>29586.483086419765</v>
      </c>
      <c r="M76" s="14">
        <f t="shared" si="14"/>
        <v>0</v>
      </c>
      <c r="N76" s="2" t="e">
        <f t="shared" si="15"/>
        <v>#DIV/0!</v>
      </c>
      <c r="O76" s="130" t="e">
        <f t="shared" si="16"/>
        <v>#DIV/0!</v>
      </c>
      <c r="P76" s="443" t="e">
        <f t="shared" si="17"/>
        <v>#DIV/0!</v>
      </c>
      <c r="Q76" s="126"/>
    </row>
    <row r="77" spans="1:17" x14ac:dyDescent="0.25">
      <c r="A77" s="49">
        <f>+'A) Base RI'!A79</f>
        <v>5516</v>
      </c>
      <c r="B77" s="293" t="str">
        <f>+'A) Base RI'!B79</f>
        <v>Cugy</v>
      </c>
      <c r="C77" s="305">
        <f>+'D) Ecrêtage'!C77</f>
        <v>107062.26318376069</v>
      </c>
      <c r="D77" s="444"/>
      <c r="E77" s="446"/>
      <c r="F77" s="444"/>
      <c r="G77" s="305">
        <f t="shared" si="9"/>
        <v>0</v>
      </c>
      <c r="H77" s="285">
        <f t="shared" si="10"/>
        <v>856498.10547008552</v>
      </c>
      <c r="I77" s="10">
        <f t="shared" si="11"/>
        <v>0</v>
      </c>
      <c r="J77" s="302" t="e">
        <f t="shared" si="12"/>
        <v>#DIV/0!</v>
      </c>
      <c r="K77" s="448"/>
      <c r="L77" s="10">
        <f t="shared" si="13"/>
        <v>107062.26318376069</v>
      </c>
      <c r="M77" s="14">
        <f t="shared" si="14"/>
        <v>0</v>
      </c>
      <c r="N77" s="2" t="e">
        <f t="shared" si="15"/>
        <v>#DIV/0!</v>
      </c>
      <c r="O77" s="130" t="e">
        <f t="shared" si="16"/>
        <v>#DIV/0!</v>
      </c>
      <c r="P77" s="443" t="e">
        <f t="shared" si="17"/>
        <v>#DIV/0!</v>
      </c>
      <c r="Q77" s="126"/>
    </row>
    <row r="78" spans="1:17" x14ac:dyDescent="0.25">
      <c r="A78" s="49">
        <f>+'A) Base RI'!A80</f>
        <v>5518</v>
      </c>
      <c r="B78" s="293" t="str">
        <f>+'A) Base RI'!B80</f>
        <v>Echallens</v>
      </c>
      <c r="C78" s="305">
        <f>+'D) Ecrêtage'!C78</f>
        <v>178756.07310344829</v>
      </c>
      <c r="D78" s="444"/>
      <c r="E78" s="446"/>
      <c r="F78" s="444"/>
      <c r="G78" s="305">
        <f t="shared" si="9"/>
        <v>0</v>
      </c>
      <c r="H78" s="285">
        <f t="shared" si="10"/>
        <v>1430048.5848275863</v>
      </c>
      <c r="I78" s="10">
        <f t="shared" si="11"/>
        <v>0</v>
      </c>
      <c r="J78" s="302" t="e">
        <f t="shared" si="12"/>
        <v>#DIV/0!</v>
      </c>
      <c r="K78" s="448"/>
      <c r="L78" s="10">
        <f t="shared" si="13"/>
        <v>178756.07310344829</v>
      </c>
      <c r="M78" s="14">
        <f t="shared" si="14"/>
        <v>0</v>
      </c>
      <c r="N78" s="2" t="e">
        <f t="shared" si="15"/>
        <v>#DIV/0!</v>
      </c>
      <c r="O78" s="130" t="e">
        <f t="shared" si="16"/>
        <v>#DIV/0!</v>
      </c>
      <c r="P78" s="443" t="e">
        <f t="shared" si="17"/>
        <v>#DIV/0!</v>
      </c>
      <c r="Q78" s="126"/>
    </row>
    <row r="79" spans="1:17" x14ac:dyDescent="0.25">
      <c r="A79" s="49">
        <f>+'A) Base RI'!A81</f>
        <v>5520</v>
      </c>
      <c r="B79" s="293" t="str">
        <f>+'A) Base RI'!B81</f>
        <v>Essertines-sur-Yverdon</v>
      </c>
      <c r="C79" s="305">
        <f>+'D) Ecrêtage'!C79</f>
        <v>29733.806712328769</v>
      </c>
      <c r="D79" s="444"/>
      <c r="E79" s="446"/>
      <c r="F79" s="444"/>
      <c r="G79" s="305">
        <f t="shared" si="9"/>
        <v>0</v>
      </c>
      <c r="H79" s="285">
        <f t="shared" si="10"/>
        <v>237870.45369863015</v>
      </c>
      <c r="I79" s="10">
        <f t="shared" si="11"/>
        <v>0</v>
      </c>
      <c r="J79" s="302" t="e">
        <f t="shared" si="12"/>
        <v>#DIV/0!</v>
      </c>
      <c r="K79" s="448"/>
      <c r="L79" s="10">
        <f t="shared" si="13"/>
        <v>29733.806712328769</v>
      </c>
      <c r="M79" s="14">
        <f t="shared" si="14"/>
        <v>0</v>
      </c>
      <c r="N79" s="2" t="e">
        <f t="shared" si="15"/>
        <v>#DIV/0!</v>
      </c>
      <c r="O79" s="130" t="e">
        <f t="shared" si="16"/>
        <v>#DIV/0!</v>
      </c>
      <c r="P79" s="443" t="e">
        <f t="shared" si="17"/>
        <v>#DIV/0!</v>
      </c>
      <c r="Q79" s="126"/>
    </row>
    <row r="80" spans="1:17" x14ac:dyDescent="0.25">
      <c r="A80" s="49">
        <f>+'A) Base RI'!A82</f>
        <v>5521</v>
      </c>
      <c r="B80" s="293" t="str">
        <f>+'A) Base RI'!B82</f>
        <v>Etagnières</v>
      </c>
      <c r="C80" s="305">
        <f>+'D) Ecrêtage'!C80</f>
        <v>46797.314657534247</v>
      </c>
      <c r="D80" s="444"/>
      <c r="E80" s="446"/>
      <c r="F80" s="444"/>
      <c r="G80" s="305">
        <f t="shared" si="9"/>
        <v>0</v>
      </c>
      <c r="H80" s="285">
        <f t="shared" si="10"/>
        <v>374378.51726027398</v>
      </c>
      <c r="I80" s="10">
        <f t="shared" si="11"/>
        <v>0</v>
      </c>
      <c r="J80" s="302" t="e">
        <f t="shared" si="12"/>
        <v>#DIV/0!</v>
      </c>
      <c r="K80" s="448"/>
      <c r="L80" s="10">
        <f t="shared" si="13"/>
        <v>46797.314657534247</v>
      </c>
      <c r="M80" s="14">
        <f t="shared" si="14"/>
        <v>0</v>
      </c>
      <c r="N80" s="2" t="e">
        <f t="shared" si="15"/>
        <v>#DIV/0!</v>
      </c>
      <c r="O80" s="130" t="e">
        <f t="shared" si="16"/>
        <v>#DIV/0!</v>
      </c>
      <c r="P80" s="443" t="e">
        <f t="shared" si="17"/>
        <v>#DIV/0!</v>
      </c>
      <c r="Q80" s="126"/>
    </row>
    <row r="81" spans="1:17" x14ac:dyDescent="0.25">
      <c r="A81" s="49">
        <f>+'A) Base RI'!A83</f>
        <v>5522</v>
      </c>
      <c r="B81" s="293" t="str">
        <f>+'A) Base RI'!B83</f>
        <v>Fey</v>
      </c>
      <c r="C81" s="305">
        <f>+'D) Ecrêtage'!C81</f>
        <v>23726.940933333331</v>
      </c>
      <c r="D81" s="444"/>
      <c r="E81" s="446"/>
      <c r="F81" s="444"/>
      <c r="G81" s="305">
        <f t="shared" si="9"/>
        <v>0</v>
      </c>
      <c r="H81" s="285">
        <f t="shared" si="10"/>
        <v>189815.52746666665</v>
      </c>
      <c r="I81" s="10">
        <f t="shared" si="11"/>
        <v>0</v>
      </c>
      <c r="J81" s="302" t="e">
        <f t="shared" si="12"/>
        <v>#DIV/0!</v>
      </c>
      <c r="K81" s="448"/>
      <c r="L81" s="10">
        <f t="shared" si="13"/>
        <v>23726.940933333331</v>
      </c>
      <c r="M81" s="14">
        <f t="shared" si="14"/>
        <v>0</v>
      </c>
      <c r="N81" s="2" t="e">
        <f t="shared" si="15"/>
        <v>#DIV/0!</v>
      </c>
      <c r="O81" s="130" t="e">
        <f t="shared" si="16"/>
        <v>#DIV/0!</v>
      </c>
      <c r="P81" s="443" t="e">
        <f t="shared" si="17"/>
        <v>#DIV/0!</v>
      </c>
      <c r="Q81" s="126"/>
    </row>
    <row r="82" spans="1:17" x14ac:dyDescent="0.25">
      <c r="A82" s="49">
        <f>+'A) Base RI'!A84</f>
        <v>5523</v>
      </c>
      <c r="B82" s="293" t="str">
        <f>+'A) Base RI'!B84</f>
        <v>Froideville</v>
      </c>
      <c r="C82" s="305">
        <f>+'D) Ecrêtage'!C82</f>
        <v>85868.846805555557</v>
      </c>
      <c r="D82" s="444"/>
      <c r="E82" s="446"/>
      <c r="F82" s="444"/>
      <c r="G82" s="305">
        <f t="shared" si="9"/>
        <v>0</v>
      </c>
      <c r="H82" s="285">
        <f t="shared" si="10"/>
        <v>686950.77444444445</v>
      </c>
      <c r="I82" s="10">
        <f t="shared" si="11"/>
        <v>0</v>
      </c>
      <c r="J82" s="302" t="e">
        <f t="shared" si="12"/>
        <v>#DIV/0!</v>
      </c>
      <c r="K82" s="448"/>
      <c r="L82" s="10">
        <f t="shared" si="13"/>
        <v>85868.846805555557</v>
      </c>
      <c r="M82" s="14">
        <f t="shared" si="14"/>
        <v>0</v>
      </c>
      <c r="N82" s="2" t="e">
        <f t="shared" si="15"/>
        <v>#DIV/0!</v>
      </c>
      <c r="O82" s="130" t="e">
        <f t="shared" si="16"/>
        <v>#DIV/0!</v>
      </c>
      <c r="P82" s="443" t="e">
        <f t="shared" si="17"/>
        <v>#DIV/0!</v>
      </c>
      <c r="Q82" s="126"/>
    </row>
    <row r="83" spans="1:17" x14ac:dyDescent="0.25">
      <c r="A83" s="49">
        <f>+'A) Base RI'!A85</f>
        <v>5527</v>
      </c>
      <c r="B83" s="293" t="str">
        <f>+'A) Base RI'!B85</f>
        <v>Morrens</v>
      </c>
      <c r="C83" s="305">
        <f>+'D) Ecrêtage'!C83</f>
        <v>40564.204594594594</v>
      </c>
      <c r="D83" s="444"/>
      <c r="E83" s="446"/>
      <c r="F83" s="444"/>
      <c r="G83" s="305">
        <f t="shared" si="9"/>
        <v>0</v>
      </c>
      <c r="H83" s="285">
        <f t="shared" si="10"/>
        <v>324513.63675675675</v>
      </c>
      <c r="I83" s="10">
        <f t="shared" si="11"/>
        <v>0</v>
      </c>
      <c r="J83" s="302" t="e">
        <f t="shared" si="12"/>
        <v>#DIV/0!</v>
      </c>
      <c r="K83" s="448"/>
      <c r="L83" s="10">
        <f t="shared" si="13"/>
        <v>40564.204594594594</v>
      </c>
      <c r="M83" s="14">
        <f t="shared" si="14"/>
        <v>0</v>
      </c>
      <c r="N83" s="2" t="e">
        <f t="shared" si="15"/>
        <v>#DIV/0!</v>
      </c>
      <c r="O83" s="130" t="e">
        <f t="shared" si="16"/>
        <v>#DIV/0!</v>
      </c>
      <c r="P83" s="443" t="e">
        <f t="shared" si="17"/>
        <v>#DIV/0!</v>
      </c>
      <c r="Q83" s="126"/>
    </row>
    <row r="84" spans="1:17" x14ac:dyDescent="0.25">
      <c r="A84" s="49">
        <f>+'A) Base RI'!A86</f>
        <v>5529</v>
      </c>
      <c r="B84" s="293" t="str">
        <f>+'A) Base RI'!B86</f>
        <v>Oulens-sous-Echallens</v>
      </c>
      <c r="C84" s="305">
        <f>+'D) Ecrêtage'!C84</f>
        <v>20201.245428571427</v>
      </c>
      <c r="D84" s="444"/>
      <c r="E84" s="446"/>
      <c r="F84" s="444"/>
      <c r="G84" s="305">
        <f t="shared" si="9"/>
        <v>0</v>
      </c>
      <c r="H84" s="285">
        <f t="shared" si="10"/>
        <v>161609.96342857141</v>
      </c>
      <c r="I84" s="10">
        <f t="shared" si="11"/>
        <v>0</v>
      </c>
      <c r="J84" s="302" t="e">
        <f t="shared" si="12"/>
        <v>#DIV/0!</v>
      </c>
      <c r="K84" s="448"/>
      <c r="L84" s="10">
        <f t="shared" si="13"/>
        <v>20201.245428571427</v>
      </c>
      <c r="M84" s="14">
        <f t="shared" si="14"/>
        <v>0</v>
      </c>
      <c r="N84" s="2" t="e">
        <f t="shared" si="15"/>
        <v>#DIV/0!</v>
      </c>
      <c r="O84" s="130" t="e">
        <f t="shared" si="16"/>
        <v>#DIV/0!</v>
      </c>
      <c r="P84" s="443" t="e">
        <f t="shared" si="17"/>
        <v>#DIV/0!</v>
      </c>
      <c r="Q84" s="126"/>
    </row>
    <row r="85" spans="1:17" x14ac:dyDescent="0.25">
      <c r="A85" s="49">
        <f>+'A) Base RI'!A87</f>
        <v>5530</v>
      </c>
      <c r="B85" s="293" t="str">
        <f>+'A) Base RI'!B87</f>
        <v>Pailly</v>
      </c>
      <c r="C85" s="305">
        <f>+'D) Ecrêtage'!C85</f>
        <v>18302.009495614031</v>
      </c>
      <c r="D85" s="444"/>
      <c r="E85" s="446"/>
      <c r="F85" s="444"/>
      <c r="G85" s="305">
        <f t="shared" si="9"/>
        <v>0</v>
      </c>
      <c r="H85" s="285">
        <f t="shared" si="10"/>
        <v>146416.07596491225</v>
      </c>
      <c r="I85" s="10">
        <f t="shared" si="11"/>
        <v>0</v>
      </c>
      <c r="J85" s="302" t="e">
        <f t="shared" si="12"/>
        <v>#DIV/0!</v>
      </c>
      <c r="K85" s="448"/>
      <c r="L85" s="10">
        <f t="shared" si="13"/>
        <v>18302.009495614031</v>
      </c>
      <c r="M85" s="14">
        <f t="shared" si="14"/>
        <v>0</v>
      </c>
      <c r="N85" s="2" t="e">
        <f t="shared" si="15"/>
        <v>#DIV/0!</v>
      </c>
      <c r="O85" s="130" t="e">
        <f t="shared" si="16"/>
        <v>#DIV/0!</v>
      </c>
      <c r="P85" s="443" t="e">
        <f t="shared" si="17"/>
        <v>#DIV/0!</v>
      </c>
      <c r="Q85" s="126"/>
    </row>
    <row r="86" spans="1:17" x14ac:dyDescent="0.25">
      <c r="A86" s="49">
        <f>+'A) Base RI'!A88</f>
        <v>5531</v>
      </c>
      <c r="B86" s="293" t="str">
        <f>+'A) Base RI'!B88</f>
        <v>Penthéréaz</v>
      </c>
      <c r="C86" s="305">
        <f>+'D) Ecrêtage'!C86</f>
        <v>13843.062702702704</v>
      </c>
      <c r="D86" s="444"/>
      <c r="E86" s="446"/>
      <c r="F86" s="444"/>
      <c r="G86" s="305">
        <f t="shared" si="9"/>
        <v>0</v>
      </c>
      <c r="H86" s="285">
        <f t="shared" si="10"/>
        <v>110744.50162162163</v>
      </c>
      <c r="I86" s="10">
        <f t="shared" si="11"/>
        <v>0</v>
      </c>
      <c r="J86" s="302" t="e">
        <f t="shared" si="12"/>
        <v>#DIV/0!</v>
      </c>
      <c r="K86" s="448"/>
      <c r="L86" s="10">
        <f t="shared" si="13"/>
        <v>13843.062702702704</v>
      </c>
      <c r="M86" s="14">
        <f t="shared" si="14"/>
        <v>0</v>
      </c>
      <c r="N86" s="2" t="e">
        <f t="shared" si="15"/>
        <v>#DIV/0!</v>
      </c>
      <c r="O86" s="130" t="e">
        <f t="shared" si="16"/>
        <v>#DIV/0!</v>
      </c>
      <c r="P86" s="443" t="e">
        <f t="shared" si="17"/>
        <v>#DIV/0!</v>
      </c>
      <c r="Q86" s="126"/>
    </row>
    <row r="87" spans="1:17" x14ac:dyDescent="0.25">
      <c r="A87" s="49">
        <f>+'A) Base RI'!A89</f>
        <v>5533</v>
      </c>
      <c r="B87" s="293" t="str">
        <f>+'A) Base RI'!B89</f>
        <v>Poliez-Pittet</v>
      </c>
      <c r="C87" s="305">
        <f>+'D) Ecrêtage'!C87</f>
        <v>27190.167945205478</v>
      </c>
      <c r="D87" s="444"/>
      <c r="E87" s="446"/>
      <c r="F87" s="444"/>
      <c r="G87" s="305">
        <f t="shared" si="9"/>
        <v>0</v>
      </c>
      <c r="H87" s="285">
        <f t="shared" si="10"/>
        <v>217521.34356164382</v>
      </c>
      <c r="I87" s="10">
        <f t="shared" si="11"/>
        <v>0</v>
      </c>
      <c r="J87" s="302" t="e">
        <f t="shared" si="12"/>
        <v>#DIV/0!</v>
      </c>
      <c r="K87" s="448"/>
      <c r="L87" s="10">
        <f t="shared" si="13"/>
        <v>27190.167945205478</v>
      </c>
      <c r="M87" s="14">
        <f t="shared" si="14"/>
        <v>0</v>
      </c>
      <c r="N87" s="2" t="e">
        <f t="shared" si="15"/>
        <v>#DIV/0!</v>
      </c>
      <c r="O87" s="130" t="e">
        <f t="shared" si="16"/>
        <v>#DIV/0!</v>
      </c>
      <c r="P87" s="443" t="e">
        <f t="shared" si="17"/>
        <v>#DIV/0!</v>
      </c>
      <c r="Q87" s="126"/>
    </row>
    <row r="88" spans="1:17" x14ac:dyDescent="0.25">
      <c r="A88" s="49">
        <f>+'A) Base RI'!A90</f>
        <v>5534</v>
      </c>
      <c r="B88" s="293" t="str">
        <f>+'A) Base RI'!B90</f>
        <v>Rueyres</v>
      </c>
      <c r="C88" s="305">
        <f>+'D) Ecrêtage'!C88</f>
        <v>9755.351210045661</v>
      </c>
      <c r="D88" s="444"/>
      <c r="E88" s="446"/>
      <c r="F88" s="444"/>
      <c r="G88" s="305">
        <f t="shared" si="9"/>
        <v>0</v>
      </c>
      <c r="H88" s="285">
        <f t="shared" si="10"/>
        <v>78042.809680365288</v>
      </c>
      <c r="I88" s="10">
        <f t="shared" si="11"/>
        <v>0</v>
      </c>
      <c r="J88" s="302" t="e">
        <f t="shared" si="12"/>
        <v>#DIV/0!</v>
      </c>
      <c r="K88" s="448"/>
      <c r="L88" s="10">
        <f t="shared" si="13"/>
        <v>9755.351210045661</v>
      </c>
      <c r="M88" s="14">
        <f t="shared" si="14"/>
        <v>0</v>
      </c>
      <c r="N88" s="2" t="e">
        <f t="shared" si="15"/>
        <v>#DIV/0!</v>
      </c>
      <c r="O88" s="130" t="e">
        <f t="shared" si="16"/>
        <v>#DIV/0!</v>
      </c>
      <c r="P88" s="443" t="e">
        <f t="shared" si="17"/>
        <v>#DIV/0!</v>
      </c>
      <c r="Q88" s="126"/>
    </row>
    <row r="89" spans="1:17" x14ac:dyDescent="0.25">
      <c r="A89" s="49">
        <f>+'A) Base RI'!A91</f>
        <v>5535</v>
      </c>
      <c r="B89" s="293" t="str">
        <f>+'A) Base RI'!B91</f>
        <v>Saint-Barthélemy</v>
      </c>
      <c r="C89" s="305">
        <f>+'D) Ecrêtage'!C89</f>
        <v>22496.850133333337</v>
      </c>
      <c r="D89" s="444"/>
      <c r="E89" s="446"/>
      <c r="F89" s="444"/>
      <c r="G89" s="305">
        <f t="shared" si="9"/>
        <v>0</v>
      </c>
      <c r="H89" s="285">
        <f t="shared" si="10"/>
        <v>179974.8010666667</v>
      </c>
      <c r="I89" s="10">
        <f t="shared" si="11"/>
        <v>0</v>
      </c>
      <c r="J89" s="302" t="e">
        <f t="shared" si="12"/>
        <v>#DIV/0!</v>
      </c>
      <c r="K89" s="448"/>
      <c r="L89" s="10">
        <f t="shared" si="13"/>
        <v>22496.850133333337</v>
      </c>
      <c r="M89" s="14">
        <f t="shared" si="14"/>
        <v>0</v>
      </c>
      <c r="N89" s="2" t="e">
        <f t="shared" si="15"/>
        <v>#DIV/0!</v>
      </c>
      <c r="O89" s="130" t="e">
        <f t="shared" si="16"/>
        <v>#DIV/0!</v>
      </c>
      <c r="P89" s="443" t="e">
        <f t="shared" si="17"/>
        <v>#DIV/0!</v>
      </c>
      <c r="Q89" s="126"/>
    </row>
    <row r="90" spans="1:17" x14ac:dyDescent="0.25">
      <c r="A90" s="49">
        <f>+'A) Base RI'!A92</f>
        <v>5537</v>
      </c>
      <c r="B90" s="293" t="str">
        <f>+'A) Base RI'!B92</f>
        <v>Villars-le-Terroir</v>
      </c>
      <c r="C90" s="305">
        <f>+'D) Ecrêtage'!C90</f>
        <v>37963.269999999997</v>
      </c>
      <c r="D90" s="444"/>
      <c r="E90" s="446"/>
      <c r="F90" s="444"/>
      <c r="G90" s="305">
        <f t="shared" si="9"/>
        <v>0</v>
      </c>
      <c r="H90" s="285">
        <f t="shared" si="10"/>
        <v>303706.15999999997</v>
      </c>
      <c r="I90" s="10">
        <f t="shared" si="11"/>
        <v>0</v>
      </c>
      <c r="J90" s="302" t="e">
        <f t="shared" si="12"/>
        <v>#DIV/0!</v>
      </c>
      <c r="K90" s="448"/>
      <c r="L90" s="10">
        <f t="shared" si="13"/>
        <v>37963.269999999997</v>
      </c>
      <c r="M90" s="14">
        <f t="shared" si="14"/>
        <v>0</v>
      </c>
      <c r="N90" s="2" t="e">
        <f t="shared" si="15"/>
        <v>#DIV/0!</v>
      </c>
      <c r="O90" s="130" t="e">
        <f t="shared" si="16"/>
        <v>#DIV/0!</v>
      </c>
      <c r="P90" s="443" t="e">
        <f t="shared" si="17"/>
        <v>#DIV/0!</v>
      </c>
      <c r="Q90" s="126"/>
    </row>
    <row r="91" spans="1:17" x14ac:dyDescent="0.25">
      <c r="A91" s="49">
        <f>+'A) Base RI'!A93</f>
        <v>5539</v>
      </c>
      <c r="B91" s="293" t="str">
        <f>+'A) Base RI'!B93</f>
        <v>Vuarrens</v>
      </c>
      <c r="C91" s="305">
        <f>+'D) Ecrêtage'!C91</f>
        <v>35961.61534013605</v>
      </c>
      <c r="D91" s="444"/>
      <c r="E91" s="446"/>
      <c r="F91" s="444"/>
      <c r="G91" s="305">
        <f t="shared" si="9"/>
        <v>0</v>
      </c>
      <c r="H91" s="285">
        <f t="shared" si="10"/>
        <v>287692.9227210884</v>
      </c>
      <c r="I91" s="10">
        <f t="shared" si="11"/>
        <v>0</v>
      </c>
      <c r="J91" s="302" t="e">
        <f t="shared" si="12"/>
        <v>#DIV/0!</v>
      </c>
      <c r="K91" s="448"/>
      <c r="L91" s="10">
        <f t="shared" si="13"/>
        <v>35961.61534013605</v>
      </c>
      <c r="M91" s="14">
        <f t="shared" si="14"/>
        <v>0</v>
      </c>
      <c r="N91" s="2" t="e">
        <f t="shared" si="15"/>
        <v>#DIV/0!</v>
      </c>
      <c r="O91" s="130" t="e">
        <f t="shared" si="16"/>
        <v>#DIV/0!</v>
      </c>
      <c r="P91" s="443" t="e">
        <f t="shared" si="17"/>
        <v>#DIV/0!</v>
      </c>
      <c r="Q91" s="126"/>
    </row>
    <row r="92" spans="1:17" x14ac:dyDescent="0.25">
      <c r="A92" s="49">
        <f>+'A) Base RI'!A94</f>
        <v>5540</v>
      </c>
      <c r="B92" s="293" t="str">
        <f>+'A) Base RI'!B94</f>
        <v>Montilliez</v>
      </c>
      <c r="C92" s="305">
        <f>+'D) Ecrêtage'!C92</f>
        <v>66256.548551724132</v>
      </c>
      <c r="D92" s="444"/>
      <c r="E92" s="446"/>
      <c r="F92" s="444"/>
      <c r="G92" s="305">
        <f t="shared" si="9"/>
        <v>0</v>
      </c>
      <c r="H92" s="285">
        <f t="shared" si="10"/>
        <v>530052.38841379306</v>
      </c>
      <c r="I92" s="10">
        <f t="shared" si="11"/>
        <v>0</v>
      </c>
      <c r="J92" s="302" t="e">
        <f t="shared" si="12"/>
        <v>#DIV/0!</v>
      </c>
      <c r="K92" s="448"/>
      <c r="L92" s="10">
        <f t="shared" si="13"/>
        <v>66256.548551724132</v>
      </c>
      <c r="M92" s="14">
        <f t="shared" si="14"/>
        <v>0</v>
      </c>
      <c r="N92" s="2" t="e">
        <f t="shared" si="15"/>
        <v>#DIV/0!</v>
      </c>
      <c r="O92" s="130" t="e">
        <f t="shared" si="16"/>
        <v>#DIV/0!</v>
      </c>
      <c r="P92" s="443" t="e">
        <f t="shared" si="17"/>
        <v>#DIV/0!</v>
      </c>
      <c r="Q92" s="126"/>
    </row>
    <row r="93" spans="1:17" x14ac:dyDescent="0.25">
      <c r="A93" s="49">
        <f>+'A) Base RI'!A95</f>
        <v>5541</v>
      </c>
      <c r="B93" s="293" t="str">
        <f>+'A) Base RI'!B95</f>
        <v>Goumoëns</v>
      </c>
      <c r="C93" s="305">
        <f>+'D) Ecrêtage'!C93</f>
        <v>36998.611258278142</v>
      </c>
      <c r="D93" s="444"/>
      <c r="E93" s="446"/>
      <c r="F93" s="444"/>
      <c r="G93" s="305">
        <f t="shared" si="9"/>
        <v>0</v>
      </c>
      <c r="H93" s="285">
        <f t="shared" si="10"/>
        <v>295988.89006622514</v>
      </c>
      <c r="I93" s="10">
        <f t="shared" si="11"/>
        <v>0</v>
      </c>
      <c r="J93" s="302" t="e">
        <f t="shared" si="12"/>
        <v>#DIV/0!</v>
      </c>
      <c r="K93" s="448"/>
      <c r="L93" s="10">
        <f t="shared" si="13"/>
        <v>36998.611258278142</v>
      </c>
      <c r="M93" s="14">
        <f t="shared" si="14"/>
        <v>0</v>
      </c>
      <c r="N93" s="2" t="e">
        <f t="shared" si="15"/>
        <v>#DIV/0!</v>
      </c>
      <c r="O93" s="130" t="e">
        <f t="shared" si="16"/>
        <v>#DIV/0!</v>
      </c>
      <c r="P93" s="443" t="e">
        <f t="shared" si="17"/>
        <v>#DIV/0!</v>
      </c>
      <c r="Q93" s="126"/>
    </row>
    <row r="94" spans="1:17" x14ac:dyDescent="0.25">
      <c r="A94" s="49">
        <f>+'A) Base RI'!A96</f>
        <v>5551</v>
      </c>
      <c r="B94" s="293" t="str">
        <f>+'A) Base RI'!B96</f>
        <v>Bonvillars</v>
      </c>
      <c r="C94" s="305">
        <f>+'D) Ecrêtage'!C94</f>
        <v>19156.634727272725</v>
      </c>
      <c r="D94" s="444"/>
      <c r="E94" s="446"/>
      <c r="F94" s="444"/>
      <c r="G94" s="305">
        <f t="shared" si="9"/>
        <v>0</v>
      </c>
      <c r="H94" s="285">
        <f t="shared" si="10"/>
        <v>153253.0778181818</v>
      </c>
      <c r="I94" s="10">
        <f t="shared" si="11"/>
        <v>0</v>
      </c>
      <c r="J94" s="302" t="e">
        <f t="shared" si="12"/>
        <v>#DIV/0!</v>
      </c>
      <c r="K94" s="448"/>
      <c r="L94" s="10">
        <f t="shared" si="13"/>
        <v>19156.634727272725</v>
      </c>
      <c r="M94" s="14">
        <f t="shared" si="14"/>
        <v>0</v>
      </c>
      <c r="N94" s="2" t="e">
        <f t="shared" si="15"/>
        <v>#DIV/0!</v>
      </c>
      <c r="O94" s="130" t="e">
        <f t="shared" si="16"/>
        <v>#DIV/0!</v>
      </c>
      <c r="P94" s="443" t="e">
        <f t="shared" si="17"/>
        <v>#DIV/0!</v>
      </c>
      <c r="Q94" s="126"/>
    </row>
    <row r="95" spans="1:17" x14ac:dyDescent="0.25">
      <c r="A95" s="49">
        <f>+'A) Base RI'!A97</f>
        <v>5552</v>
      </c>
      <c r="B95" s="293" t="str">
        <f>+'A) Base RI'!B97</f>
        <v>Bullet</v>
      </c>
      <c r="C95" s="305">
        <f>+'D) Ecrêtage'!C95</f>
        <v>17556.417482517485</v>
      </c>
      <c r="D95" s="444"/>
      <c r="E95" s="446"/>
      <c r="F95" s="444"/>
      <c r="G95" s="305">
        <f t="shared" si="9"/>
        <v>0</v>
      </c>
      <c r="H95" s="285">
        <f t="shared" si="10"/>
        <v>140451.33986013988</v>
      </c>
      <c r="I95" s="10">
        <f t="shared" si="11"/>
        <v>0</v>
      </c>
      <c r="J95" s="302" t="e">
        <f t="shared" si="12"/>
        <v>#DIV/0!</v>
      </c>
      <c r="K95" s="448"/>
      <c r="L95" s="10">
        <f t="shared" si="13"/>
        <v>17556.417482517485</v>
      </c>
      <c r="M95" s="14">
        <f t="shared" si="14"/>
        <v>0</v>
      </c>
      <c r="N95" s="2" t="e">
        <f t="shared" si="15"/>
        <v>#DIV/0!</v>
      </c>
      <c r="O95" s="130" t="e">
        <f t="shared" si="16"/>
        <v>#DIV/0!</v>
      </c>
      <c r="P95" s="443" t="e">
        <f t="shared" si="17"/>
        <v>#DIV/0!</v>
      </c>
      <c r="Q95" s="126"/>
    </row>
    <row r="96" spans="1:17" x14ac:dyDescent="0.25">
      <c r="A96" s="49">
        <f>+'A) Base RI'!A98</f>
        <v>5553</v>
      </c>
      <c r="B96" s="293" t="str">
        <f>+'A) Base RI'!B98</f>
        <v>Champagne</v>
      </c>
      <c r="C96" s="305">
        <f>+'D) Ecrêtage'!C96</f>
        <v>38681.377846153839</v>
      </c>
      <c r="D96" s="444"/>
      <c r="E96" s="446"/>
      <c r="F96" s="444"/>
      <c r="G96" s="305">
        <f t="shared" si="9"/>
        <v>0</v>
      </c>
      <c r="H96" s="285">
        <f t="shared" si="10"/>
        <v>309451.02276923071</v>
      </c>
      <c r="I96" s="10">
        <f t="shared" si="11"/>
        <v>0</v>
      </c>
      <c r="J96" s="302" t="e">
        <f t="shared" si="12"/>
        <v>#DIV/0!</v>
      </c>
      <c r="K96" s="448"/>
      <c r="L96" s="10">
        <f t="shared" si="13"/>
        <v>38681.377846153839</v>
      </c>
      <c r="M96" s="14">
        <f t="shared" si="14"/>
        <v>0</v>
      </c>
      <c r="N96" s="2" t="e">
        <f t="shared" si="15"/>
        <v>#DIV/0!</v>
      </c>
      <c r="O96" s="130" t="e">
        <f t="shared" si="16"/>
        <v>#DIV/0!</v>
      </c>
      <c r="P96" s="443" t="e">
        <f t="shared" si="17"/>
        <v>#DIV/0!</v>
      </c>
      <c r="Q96" s="126"/>
    </row>
    <row r="97" spans="1:17" x14ac:dyDescent="0.25">
      <c r="A97" s="49">
        <f>+'A) Base RI'!A99</f>
        <v>5554</v>
      </c>
      <c r="B97" s="293" t="str">
        <f>+'A) Base RI'!B99</f>
        <v>Concise</v>
      </c>
      <c r="C97" s="305">
        <f>+'D) Ecrêtage'!C97</f>
        <v>32327.871066666674</v>
      </c>
      <c r="D97" s="444"/>
      <c r="E97" s="446"/>
      <c r="F97" s="444"/>
      <c r="G97" s="305">
        <f t="shared" si="9"/>
        <v>0</v>
      </c>
      <c r="H97" s="285">
        <f t="shared" si="10"/>
        <v>258622.96853333339</v>
      </c>
      <c r="I97" s="10">
        <f t="shared" si="11"/>
        <v>0</v>
      </c>
      <c r="J97" s="302" t="e">
        <f t="shared" si="12"/>
        <v>#DIV/0!</v>
      </c>
      <c r="K97" s="448"/>
      <c r="L97" s="10">
        <f t="shared" si="13"/>
        <v>32327.871066666674</v>
      </c>
      <c r="M97" s="14">
        <f t="shared" si="14"/>
        <v>0</v>
      </c>
      <c r="N97" s="2" t="e">
        <f t="shared" si="15"/>
        <v>#DIV/0!</v>
      </c>
      <c r="O97" s="130" t="e">
        <f t="shared" si="16"/>
        <v>#DIV/0!</v>
      </c>
      <c r="P97" s="443" t="e">
        <f t="shared" si="17"/>
        <v>#DIV/0!</v>
      </c>
      <c r="Q97" s="126"/>
    </row>
    <row r="98" spans="1:17" x14ac:dyDescent="0.25">
      <c r="A98" s="49">
        <f>+'A) Base RI'!A100</f>
        <v>5555</v>
      </c>
      <c r="B98" s="293" t="str">
        <f>+'A) Base RI'!B100</f>
        <v>Corcelles-près-Concise</v>
      </c>
      <c r="C98" s="305">
        <f>+'D) Ecrêtage'!C98</f>
        <v>13570.544057971018</v>
      </c>
      <c r="D98" s="444"/>
      <c r="E98" s="446"/>
      <c r="F98" s="444"/>
      <c r="G98" s="305">
        <f t="shared" si="9"/>
        <v>0</v>
      </c>
      <c r="H98" s="285">
        <f t="shared" si="10"/>
        <v>108564.35246376814</v>
      </c>
      <c r="I98" s="10">
        <f t="shared" si="11"/>
        <v>0</v>
      </c>
      <c r="J98" s="302" t="e">
        <f t="shared" si="12"/>
        <v>#DIV/0!</v>
      </c>
      <c r="K98" s="448"/>
      <c r="L98" s="10">
        <f t="shared" si="13"/>
        <v>13570.544057971018</v>
      </c>
      <c r="M98" s="14">
        <f t="shared" si="14"/>
        <v>0</v>
      </c>
      <c r="N98" s="2" t="e">
        <f t="shared" si="15"/>
        <v>#DIV/0!</v>
      </c>
      <c r="O98" s="130" t="e">
        <f t="shared" si="16"/>
        <v>#DIV/0!</v>
      </c>
      <c r="P98" s="443" t="e">
        <f t="shared" si="17"/>
        <v>#DIV/0!</v>
      </c>
      <c r="Q98" s="126"/>
    </row>
    <row r="99" spans="1:17" x14ac:dyDescent="0.25">
      <c r="A99" s="49">
        <f>+'A) Base RI'!A101</f>
        <v>5556</v>
      </c>
      <c r="B99" s="293" t="str">
        <f>+'A) Base RI'!B101</f>
        <v>Fiez</v>
      </c>
      <c r="C99" s="305">
        <f>+'D) Ecrêtage'!C99</f>
        <v>13816.427753623188</v>
      </c>
      <c r="D99" s="444"/>
      <c r="E99" s="446"/>
      <c r="F99" s="444"/>
      <c r="G99" s="305">
        <f t="shared" si="9"/>
        <v>0</v>
      </c>
      <c r="H99" s="285">
        <f t="shared" si="10"/>
        <v>110531.4220289855</v>
      </c>
      <c r="I99" s="10">
        <f t="shared" si="11"/>
        <v>0</v>
      </c>
      <c r="J99" s="302" t="e">
        <f t="shared" si="12"/>
        <v>#DIV/0!</v>
      </c>
      <c r="K99" s="448"/>
      <c r="L99" s="10">
        <f t="shared" si="13"/>
        <v>13816.427753623188</v>
      </c>
      <c r="M99" s="14">
        <f t="shared" si="14"/>
        <v>0</v>
      </c>
      <c r="N99" s="2" t="e">
        <f t="shared" si="15"/>
        <v>#DIV/0!</v>
      </c>
      <c r="O99" s="130" t="e">
        <f t="shared" si="16"/>
        <v>#DIV/0!</v>
      </c>
      <c r="P99" s="443" t="e">
        <f t="shared" si="17"/>
        <v>#DIV/0!</v>
      </c>
      <c r="Q99" s="126"/>
    </row>
    <row r="100" spans="1:17" x14ac:dyDescent="0.25">
      <c r="A100" s="49">
        <f>+'A) Base RI'!A102</f>
        <v>5557</v>
      </c>
      <c r="B100" s="293" t="str">
        <f>+'A) Base RI'!B102</f>
        <v>Fontaines-sur-Grandson</v>
      </c>
      <c r="C100" s="305">
        <f>+'D) Ecrêtage'!C100</f>
        <v>5880.3275362318818</v>
      </c>
      <c r="D100" s="444"/>
      <c r="E100" s="446"/>
      <c r="F100" s="444"/>
      <c r="G100" s="305">
        <f t="shared" si="9"/>
        <v>0</v>
      </c>
      <c r="H100" s="285">
        <f t="shared" si="10"/>
        <v>47042.620289855055</v>
      </c>
      <c r="I100" s="10">
        <f t="shared" si="11"/>
        <v>0</v>
      </c>
      <c r="J100" s="302" t="e">
        <f t="shared" si="12"/>
        <v>#DIV/0!</v>
      </c>
      <c r="K100" s="448"/>
      <c r="L100" s="10">
        <f t="shared" si="13"/>
        <v>5880.3275362318818</v>
      </c>
      <c r="M100" s="14">
        <f t="shared" si="14"/>
        <v>0</v>
      </c>
      <c r="N100" s="2" t="e">
        <f t="shared" si="15"/>
        <v>#DIV/0!</v>
      </c>
      <c r="O100" s="130" t="e">
        <f t="shared" si="16"/>
        <v>#DIV/0!</v>
      </c>
      <c r="P100" s="443" t="e">
        <f t="shared" si="17"/>
        <v>#DIV/0!</v>
      </c>
      <c r="Q100" s="126"/>
    </row>
    <row r="101" spans="1:17" x14ac:dyDescent="0.25">
      <c r="A101" s="49">
        <f>+'A) Base RI'!A103</f>
        <v>5559</v>
      </c>
      <c r="B101" s="293" t="str">
        <f>+'A) Base RI'!B103</f>
        <v>Giez</v>
      </c>
      <c r="C101" s="305">
        <f>+'D) Ecrêtage'!C101</f>
        <v>16897.618636363641</v>
      </c>
      <c r="D101" s="444"/>
      <c r="E101" s="446"/>
      <c r="F101" s="444"/>
      <c r="G101" s="305">
        <f t="shared" si="9"/>
        <v>0</v>
      </c>
      <c r="H101" s="285">
        <f t="shared" si="10"/>
        <v>135180.94909090913</v>
      </c>
      <c r="I101" s="10">
        <f t="shared" si="11"/>
        <v>0</v>
      </c>
      <c r="J101" s="302" t="e">
        <f t="shared" si="12"/>
        <v>#DIV/0!</v>
      </c>
      <c r="K101" s="448"/>
      <c r="L101" s="10">
        <f t="shared" si="13"/>
        <v>16897.618636363641</v>
      </c>
      <c r="M101" s="14">
        <f t="shared" si="14"/>
        <v>0</v>
      </c>
      <c r="N101" s="2" t="e">
        <f t="shared" si="15"/>
        <v>#DIV/0!</v>
      </c>
      <c r="O101" s="130" t="e">
        <f t="shared" si="16"/>
        <v>#DIV/0!</v>
      </c>
      <c r="P101" s="443" t="e">
        <f t="shared" si="17"/>
        <v>#DIV/0!</v>
      </c>
      <c r="Q101" s="126"/>
    </row>
    <row r="102" spans="1:17" x14ac:dyDescent="0.25">
      <c r="A102" s="49">
        <f>+'A) Base RI'!A104</f>
        <v>5560</v>
      </c>
      <c r="B102" s="293" t="str">
        <f>+'A) Base RI'!B104</f>
        <v>Grandevent</v>
      </c>
      <c r="C102" s="305">
        <f>+'D) Ecrêtage'!C102</f>
        <v>6167.8957352941179</v>
      </c>
      <c r="D102" s="444"/>
      <c r="E102" s="446"/>
      <c r="F102" s="444"/>
      <c r="G102" s="305">
        <f t="shared" si="9"/>
        <v>0</v>
      </c>
      <c r="H102" s="285">
        <f t="shared" si="10"/>
        <v>49343.165882352943</v>
      </c>
      <c r="I102" s="10">
        <f t="shared" si="11"/>
        <v>0</v>
      </c>
      <c r="J102" s="302" t="e">
        <f t="shared" si="12"/>
        <v>#DIV/0!</v>
      </c>
      <c r="K102" s="448"/>
      <c r="L102" s="10">
        <f t="shared" si="13"/>
        <v>6167.8957352941179</v>
      </c>
      <c r="M102" s="14">
        <f t="shared" si="14"/>
        <v>0</v>
      </c>
      <c r="N102" s="2" t="e">
        <f t="shared" si="15"/>
        <v>#DIV/0!</v>
      </c>
      <c r="O102" s="130" t="e">
        <f t="shared" si="16"/>
        <v>#DIV/0!</v>
      </c>
      <c r="P102" s="443" t="e">
        <f t="shared" si="17"/>
        <v>#DIV/0!</v>
      </c>
      <c r="Q102" s="126"/>
    </row>
    <row r="103" spans="1:17" x14ac:dyDescent="0.25">
      <c r="A103" s="49">
        <f>+'A) Base RI'!A105</f>
        <v>5561</v>
      </c>
      <c r="B103" s="293" t="str">
        <f>+'A) Base RI'!B105</f>
        <v>Grandson</v>
      </c>
      <c r="C103" s="305">
        <f>+'D) Ecrêtage'!C103</f>
        <v>114985.73289855072</v>
      </c>
      <c r="D103" s="444"/>
      <c r="E103" s="446"/>
      <c r="F103" s="444"/>
      <c r="G103" s="305">
        <f t="shared" si="9"/>
        <v>0</v>
      </c>
      <c r="H103" s="285">
        <f t="shared" si="10"/>
        <v>919885.86318840575</v>
      </c>
      <c r="I103" s="10">
        <f t="shared" si="11"/>
        <v>0</v>
      </c>
      <c r="J103" s="302" t="e">
        <f t="shared" si="12"/>
        <v>#DIV/0!</v>
      </c>
      <c r="K103" s="448"/>
      <c r="L103" s="10">
        <f t="shared" si="13"/>
        <v>114985.73289855072</v>
      </c>
      <c r="M103" s="14">
        <f t="shared" si="14"/>
        <v>0</v>
      </c>
      <c r="N103" s="2" t="e">
        <f t="shared" si="15"/>
        <v>#DIV/0!</v>
      </c>
      <c r="O103" s="130" t="e">
        <f t="shared" si="16"/>
        <v>#DIV/0!</v>
      </c>
      <c r="P103" s="443" t="e">
        <f t="shared" si="17"/>
        <v>#DIV/0!</v>
      </c>
      <c r="Q103" s="126"/>
    </row>
    <row r="104" spans="1:17" x14ac:dyDescent="0.25">
      <c r="A104" s="49">
        <f>+'A) Base RI'!A106</f>
        <v>5562</v>
      </c>
      <c r="B104" s="293" t="str">
        <f>+'A) Base RI'!B106</f>
        <v>Mauborget</v>
      </c>
      <c r="C104" s="305">
        <f>+'D) Ecrêtage'!C104</f>
        <v>6037.1574285714287</v>
      </c>
      <c r="D104" s="444"/>
      <c r="E104" s="446"/>
      <c r="F104" s="444"/>
      <c r="G104" s="305">
        <f t="shared" si="9"/>
        <v>0</v>
      </c>
      <c r="H104" s="285">
        <f t="shared" si="10"/>
        <v>48297.259428571429</v>
      </c>
      <c r="I104" s="10">
        <f t="shared" si="11"/>
        <v>0</v>
      </c>
      <c r="J104" s="302" t="e">
        <f t="shared" si="12"/>
        <v>#DIV/0!</v>
      </c>
      <c r="K104" s="448"/>
      <c r="L104" s="10">
        <f t="shared" si="13"/>
        <v>6037.1574285714287</v>
      </c>
      <c r="M104" s="14">
        <f t="shared" si="14"/>
        <v>0</v>
      </c>
      <c r="N104" s="2" t="e">
        <f t="shared" si="15"/>
        <v>#DIV/0!</v>
      </c>
      <c r="O104" s="130" t="e">
        <f t="shared" si="16"/>
        <v>#DIV/0!</v>
      </c>
      <c r="P104" s="443" t="e">
        <f t="shared" si="17"/>
        <v>#DIV/0!</v>
      </c>
      <c r="Q104" s="126"/>
    </row>
    <row r="105" spans="1:17" x14ac:dyDescent="0.25">
      <c r="A105" s="49">
        <f>+'A) Base RI'!A107</f>
        <v>5563</v>
      </c>
      <c r="B105" s="293" t="str">
        <f>+'A) Base RI'!B107</f>
        <v>Mutrux</v>
      </c>
      <c r="C105" s="305">
        <f>+'D) Ecrêtage'!C105</f>
        <v>4073.5824999999995</v>
      </c>
      <c r="D105" s="444"/>
      <c r="E105" s="446"/>
      <c r="F105" s="444"/>
      <c r="G105" s="305">
        <f t="shared" si="9"/>
        <v>0</v>
      </c>
      <c r="H105" s="285">
        <f t="shared" si="10"/>
        <v>32588.659999999996</v>
      </c>
      <c r="I105" s="10">
        <f t="shared" si="11"/>
        <v>0</v>
      </c>
      <c r="J105" s="302" t="e">
        <f t="shared" si="12"/>
        <v>#DIV/0!</v>
      </c>
      <c r="K105" s="448"/>
      <c r="L105" s="10">
        <f t="shared" si="13"/>
        <v>4073.5824999999995</v>
      </c>
      <c r="M105" s="14">
        <f t="shared" si="14"/>
        <v>0</v>
      </c>
      <c r="N105" s="2" t="e">
        <f t="shared" si="15"/>
        <v>#DIV/0!</v>
      </c>
      <c r="O105" s="130" t="e">
        <f t="shared" si="16"/>
        <v>#DIV/0!</v>
      </c>
      <c r="P105" s="443" t="e">
        <f t="shared" si="17"/>
        <v>#DIV/0!</v>
      </c>
      <c r="Q105" s="126"/>
    </row>
    <row r="106" spans="1:17" x14ac:dyDescent="0.25">
      <c r="A106" s="49">
        <f>+'A) Base RI'!A108</f>
        <v>5564</v>
      </c>
      <c r="B106" s="293" t="str">
        <f>+'A) Base RI'!B108</f>
        <v>Novalles</v>
      </c>
      <c r="C106" s="305">
        <f>+'D) Ecrêtage'!C106</f>
        <v>2091.5044407894734</v>
      </c>
      <c r="D106" s="444"/>
      <c r="E106" s="446"/>
      <c r="F106" s="444"/>
      <c r="G106" s="305">
        <f t="shared" si="9"/>
        <v>0</v>
      </c>
      <c r="H106" s="285">
        <f t="shared" si="10"/>
        <v>16732.035526315787</v>
      </c>
      <c r="I106" s="10">
        <f t="shared" si="11"/>
        <v>0</v>
      </c>
      <c r="J106" s="302" t="e">
        <f t="shared" si="12"/>
        <v>#DIV/0!</v>
      </c>
      <c r="K106" s="448"/>
      <c r="L106" s="10">
        <f t="shared" si="13"/>
        <v>2091.5044407894734</v>
      </c>
      <c r="M106" s="14">
        <f t="shared" si="14"/>
        <v>0</v>
      </c>
      <c r="N106" s="2" t="e">
        <f t="shared" si="15"/>
        <v>#DIV/0!</v>
      </c>
      <c r="O106" s="130" t="e">
        <f t="shared" si="16"/>
        <v>#DIV/0!</v>
      </c>
      <c r="P106" s="443" t="e">
        <f t="shared" si="17"/>
        <v>#DIV/0!</v>
      </c>
      <c r="Q106" s="126"/>
    </row>
    <row r="107" spans="1:17" x14ac:dyDescent="0.25">
      <c r="A107" s="49">
        <f>+'A) Base RI'!A109</f>
        <v>5565</v>
      </c>
      <c r="B107" s="293" t="str">
        <f>+'A) Base RI'!B109</f>
        <v>Onnens</v>
      </c>
      <c r="C107" s="305">
        <f>+'D) Ecrêtage'!C107</f>
        <v>19690.582047244097</v>
      </c>
      <c r="D107" s="444"/>
      <c r="E107" s="446"/>
      <c r="F107" s="444"/>
      <c r="G107" s="305">
        <f t="shared" si="9"/>
        <v>0</v>
      </c>
      <c r="H107" s="285">
        <f t="shared" si="10"/>
        <v>157524.65637795278</v>
      </c>
      <c r="I107" s="10">
        <f t="shared" si="11"/>
        <v>0</v>
      </c>
      <c r="J107" s="302" t="e">
        <f t="shared" si="12"/>
        <v>#DIV/0!</v>
      </c>
      <c r="K107" s="448"/>
      <c r="L107" s="10">
        <f t="shared" si="13"/>
        <v>19690.582047244097</v>
      </c>
      <c r="M107" s="14">
        <f t="shared" si="14"/>
        <v>0</v>
      </c>
      <c r="N107" s="2" t="e">
        <f t="shared" si="15"/>
        <v>#DIV/0!</v>
      </c>
      <c r="O107" s="130" t="e">
        <f t="shared" si="16"/>
        <v>#DIV/0!</v>
      </c>
      <c r="P107" s="443" t="e">
        <f t="shared" si="17"/>
        <v>#DIV/0!</v>
      </c>
      <c r="Q107" s="126"/>
    </row>
    <row r="108" spans="1:17" x14ac:dyDescent="0.25">
      <c r="A108" s="49">
        <f>+'A) Base RI'!A110</f>
        <v>5566</v>
      </c>
      <c r="B108" s="293" t="str">
        <f>+'A) Base RI'!B110</f>
        <v>Provence</v>
      </c>
      <c r="C108" s="305">
        <f>+'D) Ecrêtage'!C108</f>
        <v>7598.735102880657</v>
      </c>
      <c r="D108" s="444"/>
      <c r="E108" s="446"/>
      <c r="F108" s="444"/>
      <c r="G108" s="305">
        <f t="shared" si="9"/>
        <v>0</v>
      </c>
      <c r="H108" s="285">
        <f t="shared" si="10"/>
        <v>60789.880823045256</v>
      </c>
      <c r="I108" s="10">
        <f t="shared" si="11"/>
        <v>0</v>
      </c>
      <c r="J108" s="302" t="e">
        <f t="shared" si="12"/>
        <v>#DIV/0!</v>
      </c>
      <c r="K108" s="448"/>
      <c r="L108" s="10">
        <f t="shared" si="13"/>
        <v>7598.735102880657</v>
      </c>
      <c r="M108" s="14">
        <f t="shared" si="14"/>
        <v>0</v>
      </c>
      <c r="N108" s="2" t="e">
        <f t="shared" si="15"/>
        <v>#DIV/0!</v>
      </c>
      <c r="O108" s="130" t="e">
        <f t="shared" si="16"/>
        <v>#DIV/0!</v>
      </c>
      <c r="P108" s="443" t="e">
        <f t="shared" si="17"/>
        <v>#DIV/0!</v>
      </c>
      <c r="Q108" s="126"/>
    </row>
    <row r="109" spans="1:17" x14ac:dyDescent="0.25">
      <c r="A109" s="49">
        <f>+'A) Base RI'!A111</f>
        <v>5568</v>
      </c>
      <c r="B109" s="293" t="str">
        <f>+'A) Base RI'!B111</f>
        <v>Sainte-Croix</v>
      </c>
      <c r="C109" s="305">
        <f>+'D) Ecrêtage'!C109</f>
        <v>106515.47628571428</v>
      </c>
      <c r="D109" s="444"/>
      <c r="E109" s="446"/>
      <c r="F109" s="444"/>
      <c r="G109" s="305">
        <f t="shared" si="9"/>
        <v>0</v>
      </c>
      <c r="H109" s="285">
        <f t="shared" si="10"/>
        <v>852123.81028571422</v>
      </c>
      <c r="I109" s="10">
        <f t="shared" si="11"/>
        <v>0</v>
      </c>
      <c r="J109" s="302" t="e">
        <f t="shared" si="12"/>
        <v>#DIV/0!</v>
      </c>
      <c r="K109" s="448"/>
      <c r="L109" s="10">
        <f t="shared" si="13"/>
        <v>106515.47628571428</v>
      </c>
      <c r="M109" s="14">
        <f t="shared" si="14"/>
        <v>0</v>
      </c>
      <c r="N109" s="2" t="e">
        <f t="shared" si="15"/>
        <v>#DIV/0!</v>
      </c>
      <c r="O109" s="130" t="e">
        <f t="shared" si="16"/>
        <v>#DIV/0!</v>
      </c>
      <c r="P109" s="443" t="e">
        <f t="shared" si="17"/>
        <v>#DIV/0!</v>
      </c>
      <c r="Q109" s="126"/>
    </row>
    <row r="110" spans="1:17" x14ac:dyDescent="0.25">
      <c r="A110" s="49">
        <f>+'A) Base RI'!A112</f>
        <v>5571</v>
      </c>
      <c r="B110" s="293" t="str">
        <f>+'A) Base RI'!B112</f>
        <v>Tévenon</v>
      </c>
      <c r="C110" s="305">
        <f>+'D) Ecrêtage'!C110</f>
        <v>21380.087226107229</v>
      </c>
      <c r="D110" s="444"/>
      <c r="E110" s="446"/>
      <c r="F110" s="444"/>
      <c r="G110" s="305">
        <f t="shared" si="9"/>
        <v>0</v>
      </c>
      <c r="H110" s="285">
        <f t="shared" si="10"/>
        <v>171040.69780885783</v>
      </c>
      <c r="I110" s="10">
        <f t="shared" si="11"/>
        <v>0</v>
      </c>
      <c r="J110" s="302" t="e">
        <f t="shared" si="12"/>
        <v>#DIV/0!</v>
      </c>
      <c r="K110" s="448"/>
      <c r="L110" s="10">
        <f t="shared" si="13"/>
        <v>21380.087226107229</v>
      </c>
      <c r="M110" s="14">
        <f t="shared" si="14"/>
        <v>0</v>
      </c>
      <c r="N110" s="2" t="e">
        <f t="shared" si="15"/>
        <v>#DIV/0!</v>
      </c>
      <c r="O110" s="130" t="e">
        <f t="shared" si="16"/>
        <v>#DIV/0!</v>
      </c>
      <c r="P110" s="443" t="e">
        <f t="shared" si="17"/>
        <v>#DIV/0!</v>
      </c>
      <c r="Q110" s="126"/>
    </row>
    <row r="111" spans="1:17" x14ac:dyDescent="0.25">
      <c r="A111" s="49">
        <f>+'A) Base RI'!A113</f>
        <v>5581</v>
      </c>
      <c r="B111" s="293" t="str">
        <f>+'A) Base RI'!B113</f>
        <v>Belmont-sur-Lausanne</v>
      </c>
      <c r="C111" s="305">
        <f>+'D) Ecrêtage'!C111</f>
        <v>212445.65069444443</v>
      </c>
      <c r="D111" s="444"/>
      <c r="E111" s="446"/>
      <c r="F111" s="444"/>
      <c r="G111" s="305">
        <f t="shared" si="9"/>
        <v>0</v>
      </c>
      <c r="H111" s="285">
        <f t="shared" si="10"/>
        <v>1699565.2055555554</v>
      </c>
      <c r="I111" s="10">
        <f t="shared" si="11"/>
        <v>0</v>
      </c>
      <c r="J111" s="302" t="e">
        <f t="shared" si="12"/>
        <v>#DIV/0!</v>
      </c>
      <c r="K111" s="448"/>
      <c r="L111" s="10">
        <f t="shared" si="13"/>
        <v>212445.65069444443</v>
      </c>
      <c r="M111" s="14">
        <f t="shared" si="14"/>
        <v>0</v>
      </c>
      <c r="N111" s="2" t="e">
        <f t="shared" si="15"/>
        <v>#DIV/0!</v>
      </c>
      <c r="O111" s="130" t="e">
        <f t="shared" si="16"/>
        <v>#DIV/0!</v>
      </c>
      <c r="P111" s="443" t="e">
        <f t="shared" si="17"/>
        <v>#DIV/0!</v>
      </c>
      <c r="Q111" s="126"/>
    </row>
    <row r="112" spans="1:17" x14ac:dyDescent="0.25">
      <c r="A112" s="49">
        <f>+'A) Base RI'!A114</f>
        <v>5582</v>
      </c>
      <c r="B112" s="293" t="str">
        <f>+'A) Base RI'!B114</f>
        <v>Cheseaux-sur-Lausanne</v>
      </c>
      <c r="C112" s="305">
        <f>+'D) Ecrêtage'!C112</f>
        <v>163780.29383561644</v>
      </c>
      <c r="D112" s="444"/>
      <c r="E112" s="446"/>
      <c r="F112" s="444"/>
      <c r="G112" s="305">
        <f t="shared" si="9"/>
        <v>0</v>
      </c>
      <c r="H112" s="285">
        <f t="shared" si="10"/>
        <v>1310242.3506849315</v>
      </c>
      <c r="I112" s="10">
        <f t="shared" si="11"/>
        <v>0</v>
      </c>
      <c r="J112" s="302" t="e">
        <f t="shared" si="12"/>
        <v>#DIV/0!</v>
      </c>
      <c r="K112" s="448"/>
      <c r="L112" s="10">
        <f t="shared" si="13"/>
        <v>163780.29383561644</v>
      </c>
      <c r="M112" s="14">
        <f t="shared" si="14"/>
        <v>0</v>
      </c>
      <c r="N112" s="2" t="e">
        <f t="shared" si="15"/>
        <v>#DIV/0!</v>
      </c>
      <c r="O112" s="130" t="e">
        <f t="shared" si="16"/>
        <v>#DIV/0!</v>
      </c>
      <c r="P112" s="443" t="e">
        <f t="shared" si="17"/>
        <v>#DIV/0!</v>
      </c>
      <c r="Q112" s="126"/>
    </row>
    <row r="113" spans="1:17" x14ac:dyDescent="0.25">
      <c r="A113" s="49">
        <f>+'A) Base RI'!A115</f>
        <v>5583</v>
      </c>
      <c r="B113" s="293" t="str">
        <f>+'A) Base RI'!B115</f>
        <v>Crissier</v>
      </c>
      <c r="C113" s="305">
        <f>+'D) Ecrêtage'!C113</f>
        <v>368095.30976377946</v>
      </c>
      <c r="D113" s="444"/>
      <c r="E113" s="446"/>
      <c r="F113" s="444"/>
      <c r="G113" s="305">
        <f t="shared" si="9"/>
        <v>0</v>
      </c>
      <c r="H113" s="285">
        <f t="shared" si="10"/>
        <v>2944762.4781102357</v>
      </c>
      <c r="I113" s="10">
        <f t="shared" si="11"/>
        <v>0</v>
      </c>
      <c r="J113" s="302" t="e">
        <f t="shared" si="12"/>
        <v>#DIV/0!</v>
      </c>
      <c r="K113" s="448"/>
      <c r="L113" s="10">
        <f t="shared" si="13"/>
        <v>368095.30976377946</v>
      </c>
      <c r="M113" s="14">
        <f t="shared" si="14"/>
        <v>0</v>
      </c>
      <c r="N113" s="2" t="e">
        <f t="shared" si="15"/>
        <v>#DIV/0!</v>
      </c>
      <c r="O113" s="130" t="e">
        <f t="shared" si="16"/>
        <v>#DIV/0!</v>
      </c>
      <c r="P113" s="443" t="e">
        <f t="shared" si="17"/>
        <v>#DIV/0!</v>
      </c>
      <c r="Q113" s="126"/>
    </row>
    <row r="114" spans="1:17" x14ac:dyDescent="0.25">
      <c r="A114" s="49">
        <f>+'A) Base RI'!A116</f>
        <v>5584</v>
      </c>
      <c r="B114" s="293" t="str">
        <f>+'A) Base RI'!B116</f>
        <v>Epalinges</v>
      </c>
      <c r="C114" s="305">
        <f>+'D) Ecrêtage'!C114</f>
        <v>482115.91751937981</v>
      </c>
      <c r="D114" s="444"/>
      <c r="E114" s="446"/>
      <c r="F114" s="444"/>
      <c r="G114" s="305">
        <f t="shared" si="9"/>
        <v>0</v>
      </c>
      <c r="H114" s="285">
        <f t="shared" si="10"/>
        <v>3856927.3401550385</v>
      </c>
      <c r="I114" s="10">
        <f t="shared" si="11"/>
        <v>0</v>
      </c>
      <c r="J114" s="302" t="e">
        <f t="shared" si="12"/>
        <v>#DIV/0!</v>
      </c>
      <c r="K114" s="448"/>
      <c r="L114" s="10">
        <f t="shared" si="13"/>
        <v>482115.91751937981</v>
      </c>
      <c r="M114" s="14">
        <f t="shared" si="14"/>
        <v>0</v>
      </c>
      <c r="N114" s="2" t="e">
        <f t="shared" si="15"/>
        <v>#DIV/0!</v>
      </c>
      <c r="O114" s="130" t="e">
        <f t="shared" si="16"/>
        <v>#DIV/0!</v>
      </c>
      <c r="P114" s="443" t="e">
        <f t="shared" si="17"/>
        <v>#DIV/0!</v>
      </c>
      <c r="Q114" s="126"/>
    </row>
    <row r="115" spans="1:17" x14ac:dyDescent="0.25">
      <c r="A115" s="49">
        <f>+'A) Base RI'!A117</f>
        <v>5585</v>
      </c>
      <c r="B115" s="293" t="str">
        <f>+'A) Base RI'!B117</f>
        <v>Jouxtens-Mézery</v>
      </c>
      <c r="C115" s="305">
        <f>+'D) Ecrêtage'!C115</f>
        <v>202487.97135593221</v>
      </c>
      <c r="D115" s="444"/>
      <c r="E115" s="446"/>
      <c r="F115" s="444"/>
      <c r="G115" s="305">
        <f t="shared" si="9"/>
        <v>0</v>
      </c>
      <c r="H115" s="285">
        <f t="shared" si="10"/>
        <v>1619903.7708474577</v>
      </c>
      <c r="I115" s="10">
        <f t="shared" si="11"/>
        <v>0</v>
      </c>
      <c r="J115" s="302" t="e">
        <f t="shared" si="12"/>
        <v>#DIV/0!</v>
      </c>
      <c r="K115" s="448"/>
      <c r="L115" s="10">
        <f t="shared" si="13"/>
        <v>202487.97135593221</v>
      </c>
      <c r="M115" s="14">
        <f t="shared" si="14"/>
        <v>0</v>
      </c>
      <c r="N115" s="2" t="e">
        <f t="shared" si="15"/>
        <v>#DIV/0!</v>
      </c>
      <c r="O115" s="130" t="e">
        <f t="shared" si="16"/>
        <v>#DIV/0!</v>
      </c>
      <c r="P115" s="443" t="e">
        <f t="shared" si="17"/>
        <v>#DIV/0!</v>
      </c>
      <c r="Q115" s="126"/>
    </row>
    <row r="116" spans="1:17" x14ac:dyDescent="0.25">
      <c r="A116" s="49">
        <f>+'A) Base RI'!A118</f>
        <v>5586</v>
      </c>
      <c r="B116" s="293" t="str">
        <f>+'A) Base RI'!B118</f>
        <v>Lausanne</v>
      </c>
      <c r="C116" s="305">
        <f>+'D) Ecrêtage'!C116</f>
        <v>6272364.2800849257</v>
      </c>
      <c r="D116" s="444"/>
      <c r="E116" s="446"/>
      <c r="F116" s="444"/>
      <c r="G116" s="305">
        <f t="shared" si="9"/>
        <v>0</v>
      </c>
      <c r="H116" s="285">
        <f t="shared" si="10"/>
        <v>50178914.240679406</v>
      </c>
      <c r="I116" s="10">
        <f t="shared" si="11"/>
        <v>0</v>
      </c>
      <c r="J116" s="302" t="e">
        <f t="shared" si="12"/>
        <v>#DIV/0!</v>
      </c>
      <c r="K116" s="448"/>
      <c r="L116" s="10">
        <f t="shared" si="13"/>
        <v>6272364.2800849257</v>
      </c>
      <c r="M116" s="14">
        <f t="shared" si="14"/>
        <v>0</v>
      </c>
      <c r="N116" s="2" t="e">
        <f t="shared" si="15"/>
        <v>#DIV/0!</v>
      </c>
      <c r="O116" s="130" t="e">
        <f t="shared" si="16"/>
        <v>#DIV/0!</v>
      </c>
      <c r="P116" s="443" t="e">
        <f t="shared" si="17"/>
        <v>#DIV/0!</v>
      </c>
      <c r="Q116" s="126"/>
    </row>
    <row r="117" spans="1:17" x14ac:dyDescent="0.25">
      <c r="A117" s="49">
        <f>+'A) Base RI'!A119</f>
        <v>5587</v>
      </c>
      <c r="B117" s="293" t="str">
        <f>+'A) Base RI'!B119</f>
        <v>Le Mont-sur-Lausanne</v>
      </c>
      <c r="C117" s="305">
        <f>+'D) Ecrêtage'!C117</f>
        <v>442860.74013605446</v>
      </c>
      <c r="D117" s="444"/>
      <c r="E117" s="446"/>
      <c r="F117" s="444"/>
      <c r="G117" s="305">
        <f t="shared" si="9"/>
        <v>0</v>
      </c>
      <c r="H117" s="285">
        <f t="shared" si="10"/>
        <v>3542885.9210884357</v>
      </c>
      <c r="I117" s="10">
        <f t="shared" si="11"/>
        <v>0</v>
      </c>
      <c r="J117" s="302" t="e">
        <f t="shared" si="12"/>
        <v>#DIV/0!</v>
      </c>
      <c r="K117" s="448"/>
      <c r="L117" s="10">
        <f t="shared" si="13"/>
        <v>442860.74013605446</v>
      </c>
      <c r="M117" s="14">
        <f t="shared" si="14"/>
        <v>0</v>
      </c>
      <c r="N117" s="2" t="e">
        <f t="shared" si="15"/>
        <v>#DIV/0!</v>
      </c>
      <c r="O117" s="130" t="e">
        <f t="shared" si="16"/>
        <v>#DIV/0!</v>
      </c>
      <c r="P117" s="443" t="e">
        <f t="shared" si="17"/>
        <v>#DIV/0!</v>
      </c>
      <c r="Q117" s="126"/>
    </row>
    <row r="118" spans="1:17" x14ac:dyDescent="0.25">
      <c r="A118" s="49">
        <f>+'A) Base RI'!A120</f>
        <v>5588</v>
      </c>
      <c r="B118" s="293" t="str">
        <f>+'A) Base RI'!B120</f>
        <v>Paudex</v>
      </c>
      <c r="C118" s="305">
        <f>+'D) Ecrêtage'!C118</f>
        <v>135448.58760472611</v>
      </c>
      <c r="D118" s="444"/>
      <c r="E118" s="446"/>
      <c r="F118" s="444"/>
      <c r="G118" s="305">
        <f t="shared" si="9"/>
        <v>0</v>
      </c>
      <c r="H118" s="285">
        <f t="shared" si="10"/>
        <v>1083588.7008378089</v>
      </c>
      <c r="I118" s="10">
        <f t="shared" si="11"/>
        <v>0</v>
      </c>
      <c r="J118" s="302" t="e">
        <f t="shared" si="12"/>
        <v>#DIV/0!</v>
      </c>
      <c r="K118" s="448"/>
      <c r="L118" s="10">
        <f t="shared" si="13"/>
        <v>135448.58760472611</v>
      </c>
      <c r="M118" s="14">
        <f t="shared" si="14"/>
        <v>0</v>
      </c>
      <c r="N118" s="2" t="e">
        <f t="shared" si="15"/>
        <v>#DIV/0!</v>
      </c>
      <c r="O118" s="130" t="e">
        <f t="shared" si="16"/>
        <v>#DIV/0!</v>
      </c>
      <c r="P118" s="443" t="e">
        <f t="shared" si="17"/>
        <v>#DIV/0!</v>
      </c>
      <c r="Q118" s="126"/>
    </row>
    <row r="119" spans="1:17" x14ac:dyDescent="0.25">
      <c r="A119" s="49">
        <f>+'A) Base RI'!A121</f>
        <v>5589</v>
      </c>
      <c r="B119" s="293" t="str">
        <f>+'A) Base RI'!B121</f>
        <v>Prilly</v>
      </c>
      <c r="C119" s="305">
        <f>+'D) Ecrêtage'!C119</f>
        <v>455017.22467904515</v>
      </c>
      <c r="D119" s="444"/>
      <c r="E119" s="446"/>
      <c r="F119" s="444"/>
      <c r="G119" s="305">
        <f t="shared" si="9"/>
        <v>0</v>
      </c>
      <c r="H119" s="285">
        <f t="shared" si="10"/>
        <v>3640137.7974323612</v>
      </c>
      <c r="I119" s="10">
        <f t="shared" si="11"/>
        <v>0</v>
      </c>
      <c r="J119" s="302" t="e">
        <f t="shared" si="12"/>
        <v>#DIV/0!</v>
      </c>
      <c r="K119" s="448"/>
      <c r="L119" s="10">
        <f t="shared" si="13"/>
        <v>455017.22467904515</v>
      </c>
      <c r="M119" s="14">
        <f t="shared" si="14"/>
        <v>0</v>
      </c>
      <c r="N119" s="2" t="e">
        <f t="shared" si="15"/>
        <v>#DIV/0!</v>
      </c>
      <c r="O119" s="130" t="e">
        <f t="shared" si="16"/>
        <v>#DIV/0!</v>
      </c>
      <c r="P119" s="443" t="e">
        <f t="shared" si="17"/>
        <v>#DIV/0!</v>
      </c>
      <c r="Q119" s="126"/>
    </row>
    <row r="120" spans="1:17" x14ac:dyDescent="0.25">
      <c r="A120" s="49">
        <f>+'A) Base RI'!A122</f>
        <v>5590</v>
      </c>
      <c r="B120" s="293" t="str">
        <f>+'A) Base RI'!B122</f>
        <v>Pully</v>
      </c>
      <c r="C120" s="305">
        <f>+'D) Ecrêtage'!C120</f>
        <v>1478979.5848477751</v>
      </c>
      <c r="D120" s="444"/>
      <c r="E120" s="446"/>
      <c r="F120" s="444"/>
      <c r="G120" s="305">
        <f t="shared" si="9"/>
        <v>0</v>
      </c>
      <c r="H120" s="285">
        <f t="shared" si="10"/>
        <v>11831836.6787822</v>
      </c>
      <c r="I120" s="10">
        <f t="shared" si="11"/>
        <v>0</v>
      </c>
      <c r="J120" s="302" t="e">
        <f t="shared" si="12"/>
        <v>#DIV/0!</v>
      </c>
      <c r="K120" s="448"/>
      <c r="L120" s="10">
        <f t="shared" si="13"/>
        <v>1478979.5848477751</v>
      </c>
      <c r="M120" s="14">
        <f t="shared" si="14"/>
        <v>0</v>
      </c>
      <c r="N120" s="2" t="e">
        <f t="shared" si="15"/>
        <v>#DIV/0!</v>
      </c>
      <c r="O120" s="130" t="e">
        <f t="shared" si="16"/>
        <v>#DIV/0!</v>
      </c>
      <c r="P120" s="443" t="e">
        <f t="shared" si="17"/>
        <v>#DIV/0!</v>
      </c>
      <c r="Q120" s="126"/>
    </row>
    <row r="121" spans="1:17" x14ac:dyDescent="0.25">
      <c r="A121" s="49">
        <f>+'A) Base RI'!A123</f>
        <v>5591</v>
      </c>
      <c r="B121" s="293" t="str">
        <f>+'A) Base RI'!B123</f>
        <v>Renens</v>
      </c>
      <c r="C121" s="305">
        <f>+'D) Ecrêtage'!C121</f>
        <v>596748.60283858993</v>
      </c>
      <c r="D121" s="444"/>
      <c r="E121" s="446"/>
      <c r="F121" s="444"/>
      <c r="G121" s="305">
        <f t="shared" si="9"/>
        <v>0</v>
      </c>
      <c r="H121" s="285">
        <f t="shared" si="10"/>
        <v>4773988.8227087194</v>
      </c>
      <c r="I121" s="10">
        <f t="shared" si="11"/>
        <v>0</v>
      </c>
      <c r="J121" s="302" t="e">
        <f t="shared" si="12"/>
        <v>#DIV/0!</v>
      </c>
      <c r="K121" s="448"/>
      <c r="L121" s="10">
        <f t="shared" si="13"/>
        <v>596748.60283858993</v>
      </c>
      <c r="M121" s="14">
        <f t="shared" si="14"/>
        <v>0</v>
      </c>
      <c r="N121" s="2" t="e">
        <f t="shared" si="15"/>
        <v>#DIV/0!</v>
      </c>
      <c r="O121" s="130" t="e">
        <f t="shared" si="16"/>
        <v>#DIV/0!</v>
      </c>
      <c r="P121" s="443" t="e">
        <f t="shared" si="17"/>
        <v>#DIV/0!</v>
      </c>
      <c r="Q121" s="126"/>
    </row>
    <row r="122" spans="1:17" x14ac:dyDescent="0.25">
      <c r="A122" s="49">
        <f>+'A) Base RI'!A124</f>
        <v>5592</v>
      </c>
      <c r="B122" s="293" t="str">
        <f>+'A) Base RI'!B124</f>
        <v>Romanel-sur-Lausanne</v>
      </c>
      <c r="C122" s="305">
        <f>+'D) Ecrêtage'!C122</f>
        <v>121292.24695035459</v>
      </c>
      <c r="D122" s="444"/>
      <c r="E122" s="446"/>
      <c r="F122" s="444"/>
      <c r="G122" s="305">
        <f t="shared" si="9"/>
        <v>0</v>
      </c>
      <c r="H122" s="285">
        <f t="shared" si="10"/>
        <v>970337.9756028367</v>
      </c>
      <c r="I122" s="10">
        <f t="shared" si="11"/>
        <v>0</v>
      </c>
      <c r="J122" s="302" t="e">
        <f t="shared" si="12"/>
        <v>#DIV/0!</v>
      </c>
      <c r="K122" s="448"/>
      <c r="L122" s="10">
        <f t="shared" si="13"/>
        <v>121292.24695035459</v>
      </c>
      <c r="M122" s="14">
        <f t="shared" si="14"/>
        <v>0</v>
      </c>
      <c r="N122" s="2" t="e">
        <f t="shared" si="15"/>
        <v>#DIV/0!</v>
      </c>
      <c r="O122" s="130" t="e">
        <f t="shared" si="16"/>
        <v>#DIV/0!</v>
      </c>
      <c r="P122" s="443" t="e">
        <f t="shared" si="17"/>
        <v>#DIV/0!</v>
      </c>
      <c r="Q122" s="126"/>
    </row>
    <row r="123" spans="1:17" x14ac:dyDescent="0.25">
      <c r="A123" s="49">
        <f>+'A) Base RI'!A125</f>
        <v>5601</v>
      </c>
      <c r="B123" s="293" t="str">
        <f>+'A) Base RI'!B125</f>
        <v>Chexbres</v>
      </c>
      <c r="C123" s="305">
        <f>+'D) Ecrêtage'!C123</f>
        <v>98072.029481481484</v>
      </c>
      <c r="D123" s="444"/>
      <c r="E123" s="446"/>
      <c r="F123" s="444"/>
      <c r="G123" s="305">
        <f t="shared" si="9"/>
        <v>0</v>
      </c>
      <c r="H123" s="285">
        <f t="shared" si="10"/>
        <v>784576.23585185187</v>
      </c>
      <c r="I123" s="10">
        <f t="shared" si="11"/>
        <v>0</v>
      </c>
      <c r="J123" s="302" t="e">
        <f t="shared" si="12"/>
        <v>#DIV/0!</v>
      </c>
      <c r="K123" s="448"/>
      <c r="L123" s="10">
        <f t="shared" si="13"/>
        <v>98072.029481481484</v>
      </c>
      <c r="M123" s="14">
        <f t="shared" si="14"/>
        <v>0</v>
      </c>
      <c r="N123" s="2" t="e">
        <f t="shared" si="15"/>
        <v>#DIV/0!</v>
      </c>
      <c r="O123" s="130" t="e">
        <f t="shared" si="16"/>
        <v>#DIV/0!</v>
      </c>
      <c r="P123" s="443" t="e">
        <f t="shared" si="17"/>
        <v>#DIV/0!</v>
      </c>
      <c r="Q123" s="126"/>
    </row>
    <row r="124" spans="1:17" x14ac:dyDescent="0.25">
      <c r="A124" s="49">
        <f>+'A) Base RI'!A126</f>
        <v>5604</v>
      </c>
      <c r="B124" s="293" t="str">
        <f>+'A) Base RI'!B126</f>
        <v>Forel (Lavaux)</v>
      </c>
      <c r="C124" s="305">
        <f>+'D) Ecrêtage'!C124</f>
        <v>71309.914782608685</v>
      </c>
      <c r="D124" s="444"/>
      <c r="E124" s="446"/>
      <c r="F124" s="444"/>
      <c r="G124" s="305">
        <f t="shared" si="9"/>
        <v>0</v>
      </c>
      <c r="H124" s="285">
        <f t="shared" si="10"/>
        <v>570479.31826086948</v>
      </c>
      <c r="I124" s="10">
        <f t="shared" si="11"/>
        <v>0</v>
      </c>
      <c r="J124" s="302" t="e">
        <f t="shared" si="12"/>
        <v>#DIV/0!</v>
      </c>
      <c r="K124" s="448"/>
      <c r="L124" s="10">
        <f t="shared" si="13"/>
        <v>71309.914782608685</v>
      </c>
      <c r="M124" s="14">
        <f t="shared" si="14"/>
        <v>0</v>
      </c>
      <c r="N124" s="2" t="e">
        <f t="shared" si="15"/>
        <v>#DIV/0!</v>
      </c>
      <c r="O124" s="130" t="e">
        <f t="shared" si="16"/>
        <v>#DIV/0!</v>
      </c>
      <c r="P124" s="443" t="e">
        <f t="shared" si="17"/>
        <v>#DIV/0!</v>
      </c>
      <c r="Q124" s="126"/>
    </row>
    <row r="125" spans="1:17" x14ac:dyDescent="0.25">
      <c r="A125" s="49">
        <f>+'A) Base RI'!A127</f>
        <v>5606</v>
      </c>
      <c r="B125" s="293" t="str">
        <f>+'A) Base RI'!B127</f>
        <v>Lutry</v>
      </c>
      <c r="C125" s="305">
        <f>+'D) Ecrêtage'!C125</f>
        <v>875230.37264550268</v>
      </c>
      <c r="D125" s="444"/>
      <c r="E125" s="446"/>
      <c r="F125" s="444"/>
      <c r="G125" s="305">
        <f t="shared" si="9"/>
        <v>0</v>
      </c>
      <c r="H125" s="285">
        <f t="shared" si="10"/>
        <v>7001842.9811640214</v>
      </c>
      <c r="I125" s="10">
        <f t="shared" si="11"/>
        <v>0</v>
      </c>
      <c r="J125" s="302" t="e">
        <f t="shared" si="12"/>
        <v>#DIV/0!</v>
      </c>
      <c r="K125" s="448"/>
      <c r="L125" s="10">
        <f t="shared" si="13"/>
        <v>875230.37264550268</v>
      </c>
      <c r="M125" s="14">
        <f t="shared" si="14"/>
        <v>0</v>
      </c>
      <c r="N125" s="2" t="e">
        <f t="shared" si="15"/>
        <v>#DIV/0!</v>
      </c>
      <c r="O125" s="130" t="e">
        <f t="shared" si="16"/>
        <v>#DIV/0!</v>
      </c>
      <c r="P125" s="443" t="e">
        <f t="shared" si="17"/>
        <v>#DIV/0!</v>
      </c>
      <c r="Q125" s="126"/>
    </row>
    <row r="126" spans="1:17" x14ac:dyDescent="0.25">
      <c r="A126" s="49">
        <f>+'A) Base RI'!A128</f>
        <v>5607</v>
      </c>
      <c r="B126" s="293" t="str">
        <f>+'A) Base RI'!B128</f>
        <v>Puidoux</v>
      </c>
      <c r="C126" s="305">
        <f>+'D) Ecrêtage'!C126</f>
        <v>102944.97501110758</v>
      </c>
      <c r="D126" s="444"/>
      <c r="E126" s="446"/>
      <c r="F126" s="444"/>
      <c r="G126" s="305">
        <f t="shared" si="9"/>
        <v>0</v>
      </c>
      <c r="H126" s="285">
        <f t="shared" si="10"/>
        <v>823559.80008886068</v>
      </c>
      <c r="I126" s="10">
        <f t="shared" si="11"/>
        <v>0</v>
      </c>
      <c r="J126" s="302" t="e">
        <f t="shared" si="12"/>
        <v>#DIV/0!</v>
      </c>
      <c r="K126" s="448"/>
      <c r="L126" s="10">
        <f t="shared" si="13"/>
        <v>102944.97501110758</v>
      </c>
      <c r="M126" s="14">
        <f t="shared" si="14"/>
        <v>0</v>
      </c>
      <c r="N126" s="2" t="e">
        <f t="shared" si="15"/>
        <v>#DIV/0!</v>
      </c>
      <c r="O126" s="130" t="e">
        <f t="shared" si="16"/>
        <v>#DIV/0!</v>
      </c>
      <c r="P126" s="443" t="e">
        <f t="shared" si="17"/>
        <v>#DIV/0!</v>
      </c>
      <c r="Q126" s="126"/>
    </row>
    <row r="127" spans="1:17" x14ac:dyDescent="0.25">
      <c r="A127" s="49">
        <f>+'A) Base RI'!A129</f>
        <v>5609</v>
      </c>
      <c r="B127" s="293" t="str">
        <f>+'A) Base RI'!B129</f>
        <v>Rivaz</v>
      </c>
      <c r="C127" s="305">
        <f>+'D) Ecrêtage'!C127</f>
        <v>16048.850483870969</v>
      </c>
      <c r="D127" s="444"/>
      <c r="E127" s="446"/>
      <c r="F127" s="444"/>
      <c r="G127" s="305">
        <f t="shared" si="9"/>
        <v>0</v>
      </c>
      <c r="H127" s="285">
        <f t="shared" si="10"/>
        <v>128390.80387096775</v>
      </c>
      <c r="I127" s="10">
        <f t="shared" si="11"/>
        <v>0</v>
      </c>
      <c r="J127" s="302" t="e">
        <f t="shared" si="12"/>
        <v>#DIV/0!</v>
      </c>
      <c r="K127" s="448"/>
      <c r="L127" s="10">
        <f t="shared" si="13"/>
        <v>16048.850483870969</v>
      </c>
      <c r="M127" s="14">
        <f t="shared" si="14"/>
        <v>0</v>
      </c>
      <c r="N127" s="2" t="e">
        <f t="shared" si="15"/>
        <v>#DIV/0!</v>
      </c>
      <c r="O127" s="130" t="e">
        <f t="shared" si="16"/>
        <v>#DIV/0!</v>
      </c>
      <c r="P127" s="443" t="e">
        <f t="shared" si="17"/>
        <v>#DIV/0!</v>
      </c>
      <c r="Q127" s="126"/>
    </row>
    <row r="128" spans="1:17" x14ac:dyDescent="0.25">
      <c r="A128" s="49">
        <f>+'A) Base RI'!A130</f>
        <v>5610</v>
      </c>
      <c r="B128" s="293" t="str">
        <f>+'A) Base RI'!B130</f>
        <v>St-Saphorin (Lavaux)</v>
      </c>
      <c r="C128" s="305">
        <f>+'D) Ecrêtage'!C128</f>
        <v>19213.723703703701</v>
      </c>
      <c r="D128" s="444"/>
      <c r="E128" s="446"/>
      <c r="F128" s="444"/>
      <c r="G128" s="305">
        <f t="shared" si="9"/>
        <v>0</v>
      </c>
      <c r="H128" s="285">
        <f t="shared" si="10"/>
        <v>153709.78962962961</v>
      </c>
      <c r="I128" s="10">
        <f t="shared" si="11"/>
        <v>0</v>
      </c>
      <c r="J128" s="302" t="e">
        <f t="shared" si="12"/>
        <v>#DIV/0!</v>
      </c>
      <c r="K128" s="448"/>
      <c r="L128" s="10">
        <f t="shared" si="13"/>
        <v>19213.723703703701</v>
      </c>
      <c r="M128" s="14">
        <f t="shared" si="14"/>
        <v>0</v>
      </c>
      <c r="N128" s="2" t="e">
        <f t="shared" si="15"/>
        <v>#DIV/0!</v>
      </c>
      <c r="O128" s="130" t="e">
        <f t="shared" si="16"/>
        <v>#DIV/0!</v>
      </c>
      <c r="P128" s="443" t="e">
        <f t="shared" si="17"/>
        <v>#DIV/0!</v>
      </c>
      <c r="Q128" s="126"/>
    </row>
    <row r="129" spans="1:17" x14ac:dyDescent="0.25">
      <c r="A129" s="49">
        <f>+'A) Base RI'!A131</f>
        <v>5611</v>
      </c>
      <c r="B129" s="293" t="str">
        <f>+'A) Base RI'!B131</f>
        <v>Savigny</v>
      </c>
      <c r="C129" s="305">
        <f>+'D) Ecrêtage'!C129</f>
        <v>136715.33886473431</v>
      </c>
      <c r="D129" s="444"/>
      <c r="E129" s="446"/>
      <c r="F129" s="444"/>
      <c r="G129" s="305">
        <f t="shared" si="9"/>
        <v>0</v>
      </c>
      <c r="H129" s="285">
        <f t="shared" si="10"/>
        <v>1093722.7109178745</v>
      </c>
      <c r="I129" s="10">
        <f t="shared" si="11"/>
        <v>0</v>
      </c>
      <c r="J129" s="302" t="e">
        <f t="shared" si="12"/>
        <v>#DIV/0!</v>
      </c>
      <c r="K129" s="448"/>
      <c r="L129" s="10">
        <f t="shared" si="13"/>
        <v>136715.33886473431</v>
      </c>
      <c r="M129" s="14">
        <f t="shared" si="14"/>
        <v>0</v>
      </c>
      <c r="N129" s="2" t="e">
        <f t="shared" si="15"/>
        <v>#DIV/0!</v>
      </c>
      <c r="O129" s="130" t="e">
        <f t="shared" si="16"/>
        <v>#DIV/0!</v>
      </c>
      <c r="P129" s="443" t="e">
        <f t="shared" si="17"/>
        <v>#DIV/0!</v>
      </c>
      <c r="Q129" s="126"/>
    </row>
    <row r="130" spans="1:17" x14ac:dyDescent="0.25">
      <c r="A130" s="49">
        <f>+'A) Base RI'!A132</f>
        <v>5613</v>
      </c>
      <c r="B130" s="293" t="str">
        <f>+'A) Base RI'!B132</f>
        <v>Bourg-en-Lavaux</v>
      </c>
      <c r="C130" s="305">
        <f>+'D) Ecrêtage'!C130</f>
        <v>343828.17631999997</v>
      </c>
      <c r="D130" s="444"/>
      <c r="E130" s="446"/>
      <c r="F130" s="444"/>
      <c r="G130" s="305">
        <f t="shared" si="9"/>
        <v>0</v>
      </c>
      <c r="H130" s="285">
        <f t="shared" si="10"/>
        <v>2750625.4105599998</v>
      </c>
      <c r="I130" s="10">
        <f t="shared" si="11"/>
        <v>0</v>
      </c>
      <c r="J130" s="302" t="e">
        <f t="shared" si="12"/>
        <v>#DIV/0!</v>
      </c>
      <c r="K130" s="448"/>
      <c r="L130" s="10">
        <f t="shared" si="13"/>
        <v>343828.17631999997</v>
      </c>
      <c r="M130" s="14">
        <f t="shared" si="14"/>
        <v>0</v>
      </c>
      <c r="N130" s="2" t="e">
        <f t="shared" si="15"/>
        <v>#DIV/0!</v>
      </c>
      <c r="O130" s="130" t="e">
        <f t="shared" si="16"/>
        <v>#DIV/0!</v>
      </c>
      <c r="P130" s="443" t="e">
        <f t="shared" si="17"/>
        <v>#DIV/0!</v>
      </c>
      <c r="Q130" s="126"/>
    </row>
    <row r="131" spans="1:17" x14ac:dyDescent="0.25">
      <c r="A131" s="49">
        <f>+'A) Base RI'!A133</f>
        <v>5621</v>
      </c>
      <c r="B131" s="293" t="str">
        <f>+'A) Base RI'!B133</f>
        <v>Aclens</v>
      </c>
      <c r="C131" s="305">
        <f>+'D) Ecrêtage'!C131</f>
        <v>32411.912521994131</v>
      </c>
      <c r="D131" s="444"/>
      <c r="E131" s="446"/>
      <c r="F131" s="444"/>
      <c r="G131" s="305">
        <f t="shared" si="9"/>
        <v>0</v>
      </c>
      <c r="H131" s="285">
        <f t="shared" si="10"/>
        <v>259295.30017595305</v>
      </c>
      <c r="I131" s="10">
        <f t="shared" si="11"/>
        <v>0</v>
      </c>
      <c r="J131" s="302" t="e">
        <f t="shared" si="12"/>
        <v>#DIV/0!</v>
      </c>
      <c r="K131" s="448"/>
      <c r="L131" s="10">
        <f t="shared" si="13"/>
        <v>32411.912521994131</v>
      </c>
      <c r="M131" s="14">
        <f t="shared" si="14"/>
        <v>0</v>
      </c>
      <c r="N131" s="2" t="e">
        <f t="shared" si="15"/>
        <v>#DIV/0!</v>
      </c>
      <c r="O131" s="130" t="e">
        <f t="shared" si="16"/>
        <v>#DIV/0!</v>
      </c>
      <c r="P131" s="443" t="e">
        <f t="shared" si="17"/>
        <v>#DIV/0!</v>
      </c>
      <c r="Q131" s="126"/>
    </row>
    <row r="132" spans="1:17" x14ac:dyDescent="0.25">
      <c r="A132" s="49">
        <f>+'A) Base RI'!A134</f>
        <v>5622</v>
      </c>
      <c r="B132" s="293" t="str">
        <f>+'A) Base RI'!B134</f>
        <v>Bremblens</v>
      </c>
      <c r="C132" s="305">
        <f>+'D) Ecrêtage'!C132</f>
        <v>27803.201911764703</v>
      </c>
      <c r="D132" s="444"/>
      <c r="E132" s="446"/>
      <c r="F132" s="444"/>
      <c r="G132" s="305">
        <f t="shared" si="9"/>
        <v>0</v>
      </c>
      <c r="H132" s="285">
        <f t="shared" si="10"/>
        <v>222425.61529411763</v>
      </c>
      <c r="I132" s="10">
        <f t="shared" si="11"/>
        <v>0</v>
      </c>
      <c r="J132" s="302" t="e">
        <f t="shared" si="12"/>
        <v>#DIV/0!</v>
      </c>
      <c r="K132" s="448"/>
      <c r="L132" s="10">
        <f t="shared" si="13"/>
        <v>27803.201911764703</v>
      </c>
      <c r="M132" s="14">
        <f t="shared" si="14"/>
        <v>0</v>
      </c>
      <c r="N132" s="2" t="e">
        <f t="shared" si="15"/>
        <v>#DIV/0!</v>
      </c>
      <c r="O132" s="130" t="e">
        <f t="shared" si="16"/>
        <v>#DIV/0!</v>
      </c>
      <c r="P132" s="443" t="e">
        <f t="shared" si="17"/>
        <v>#DIV/0!</v>
      </c>
      <c r="Q132" s="126"/>
    </row>
    <row r="133" spans="1:17" x14ac:dyDescent="0.25">
      <c r="A133" s="49">
        <f>+'A) Base RI'!A135</f>
        <v>5623</v>
      </c>
      <c r="B133" s="293" t="str">
        <f>+'A) Base RI'!B135</f>
        <v>Buchillon</v>
      </c>
      <c r="C133" s="305">
        <f>+'D) Ecrêtage'!C133</f>
        <v>94394.012307692305</v>
      </c>
      <c r="D133" s="444"/>
      <c r="E133" s="446"/>
      <c r="F133" s="444"/>
      <c r="G133" s="305">
        <f t="shared" si="9"/>
        <v>0</v>
      </c>
      <c r="H133" s="285">
        <f t="shared" si="10"/>
        <v>755152.09846153844</v>
      </c>
      <c r="I133" s="10">
        <f t="shared" si="11"/>
        <v>0</v>
      </c>
      <c r="J133" s="302" t="e">
        <f t="shared" si="12"/>
        <v>#DIV/0!</v>
      </c>
      <c r="K133" s="448"/>
      <c r="L133" s="10">
        <f t="shared" si="13"/>
        <v>94394.012307692305</v>
      </c>
      <c r="M133" s="14">
        <f t="shared" si="14"/>
        <v>0</v>
      </c>
      <c r="N133" s="2" t="e">
        <f t="shared" si="15"/>
        <v>#DIV/0!</v>
      </c>
      <c r="O133" s="130" t="e">
        <f t="shared" si="16"/>
        <v>#DIV/0!</v>
      </c>
      <c r="P133" s="443" t="e">
        <f t="shared" si="17"/>
        <v>#DIV/0!</v>
      </c>
      <c r="Q133" s="126"/>
    </row>
    <row r="134" spans="1:17" x14ac:dyDescent="0.25">
      <c r="A134" s="49">
        <f>+'A) Base RI'!A136</f>
        <v>5624</v>
      </c>
      <c r="B134" s="293" t="str">
        <f>+'A) Base RI'!B136</f>
        <v>Bussigny</v>
      </c>
      <c r="C134" s="305">
        <f>+'D) Ecrêtage'!C134</f>
        <v>354162.79119999992</v>
      </c>
      <c r="D134" s="444"/>
      <c r="E134" s="446"/>
      <c r="F134" s="444"/>
      <c r="G134" s="305">
        <f t="shared" ref="G134:G197" si="18">SUM(D134:F134)</f>
        <v>0</v>
      </c>
      <c r="H134" s="285">
        <f t="shared" ref="H134:H197" si="19">+C134*$I$4</f>
        <v>2833302.3295999994</v>
      </c>
      <c r="I134" s="10">
        <f t="shared" ref="I134:I197" si="20">IF(G134&gt;H134,G134-H134,0)</f>
        <v>0</v>
      </c>
      <c r="J134" s="302" t="e">
        <f t="shared" ref="J134:J197" si="21">-I134*J$4</f>
        <v>#DIV/0!</v>
      </c>
      <c r="K134" s="448"/>
      <c r="L134" s="10">
        <f t="shared" ref="L134:L197" si="22">C134*M$4</f>
        <v>354162.79119999992</v>
      </c>
      <c r="M134" s="14">
        <f t="shared" ref="M134:M197" si="23">IF(K134&gt;L134,K134-L134,0)</f>
        <v>0</v>
      </c>
      <c r="N134" s="2" t="e">
        <f t="shared" ref="N134:N197" si="24">-M134*N$4</f>
        <v>#DIV/0!</v>
      </c>
      <c r="O134" s="130" t="e">
        <f t="shared" ref="O134:O197" si="25">N134+J134</f>
        <v>#DIV/0!</v>
      </c>
      <c r="P134" s="443" t="e">
        <f t="shared" ref="P134:P197" si="26">+O134/C134</f>
        <v>#DIV/0!</v>
      </c>
      <c r="Q134" s="126"/>
    </row>
    <row r="135" spans="1:17" x14ac:dyDescent="0.25">
      <c r="A135" s="49">
        <f>+'A) Base RI'!A137</f>
        <v>5625</v>
      </c>
      <c r="B135" s="293" t="str">
        <f>+'A) Base RI'!B137</f>
        <v>Bussy-Chardonney</v>
      </c>
      <c r="C135" s="305">
        <f>+'D) Ecrêtage'!C135</f>
        <v>17740.486103896103</v>
      </c>
      <c r="D135" s="444"/>
      <c r="E135" s="446"/>
      <c r="F135" s="444"/>
      <c r="G135" s="305">
        <f t="shared" si="18"/>
        <v>0</v>
      </c>
      <c r="H135" s="285">
        <f t="shared" si="19"/>
        <v>141923.88883116882</v>
      </c>
      <c r="I135" s="10">
        <f t="shared" si="20"/>
        <v>0</v>
      </c>
      <c r="J135" s="302" t="e">
        <f t="shared" si="21"/>
        <v>#DIV/0!</v>
      </c>
      <c r="K135" s="448"/>
      <c r="L135" s="10">
        <f t="shared" si="22"/>
        <v>17740.486103896103</v>
      </c>
      <c r="M135" s="14">
        <f t="shared" si="23"/>
        <v>0</v>
      </c>
      <c r="N135" s="2" t="e">
        <f t="shared" si="24"/>
        <v>#DIV/0!</v>
      </c>
      <c r="O135" s="130" t="e">
        <f t="shared" si="25"/>
        <v>#DIV/0!</v>
      </c>
      <c r="P135" s="443" t="e">
        <f t="shared" si="26"/>
        <v>#DIV/0!</v>
      </c>
      <c r="Q135" s="126"/>
    </row>
    <row r="136" spans="1:17" x14ac:dyDescent="0.25">
      <c r="A136" s="49">
        <f>+'A) Base RI'!A138</f>
        <v>5627</v>
      </c>
      <c r="B136" s="293" t="str">
        <f>+'A) Base RI'!B138</f>
        <v>Chavannes-près-Renens</v>
      </c>
      <c r="C136" s="305">
        <f>+'D) Ecrêtage'!C136</f>
        <v>161901.70176344088</v>
      </c>
      <c r="D136" s="444"/>
      <c r="E136" s="446"/>
      <c r="F136" s="444"/>
      <c r="G136" s="305">
        <f t="shared" si="18"/>
        <v>0</v>
      </c>
      <c r="H136" s="285">
        <f t="shared" si="19"/>
        <v>1295213.6141075271</v>
      </c>
      <c r="I136" s="10">
        <f t="shared" si="20"/>
        <v>0</v>
      </c>
      <c r="J136" s="302" t="e">
        <f t="shared" si="21"/>
        <v>#DIV/0!</v>
      </c>
      <c r="K136" s="448"/>
      <c r="L136" s="10">
        <f t="shared" si="22"/>
        <v>161901.70176344088</v>
      </c>
      <c r="M136" s="14">
        <f t="shared" si="23"/>
        <v>0</v>
      </c>
      <c r="N136" s="2" t="e">
        <f t="shared" si="24"/>
        <v>#DIV/0!</v>
      </c>
      <c r="O136" s="130" t="e">
        <f t="shared" si="25"/>
        <v>#DIV/0!</v>
      </c>
      <c r="P136" s="443" t="e">
        <f t="shared" si="26"/>
        <v>#DIV/0!</v>
      </c>
      <c r="Q136" s="126"/>
    </row>
    <row r="137" spans="1:17" x14ac:dyDescent="0.25">
      <c r="A137" s="49">
        <f>+'A) Base RI'!A139</f>
        <v>5628</v>
      </c>
      <c r="B137" s="293" t="str">
        <f>+'A) Base RI'!B139</f>
        <v>Chigny</v>
      </c>
      <c r="C137" s="305">
        <f>+'D) Ecrêtage'!C137</f>
        <v>24624.530161290324</v>
      </c>
      <c r="D137" s="444"/>
      <c r="E137" s="446"/>
      <c r="F137" s="444"/>
      <c r="G137" s="305">
        <f t="shared" si="18"/>
        <v>0</v>
      </c>
      <c r="H137" s="285">
        <f t="shared" si="19"/>
        <v>196996.24129032259</v>
      </c>
      <c r="I137" s="10">
        <f t="shared" si="20"/>
        <v>0</v>
      </c>
      <c r="J137" s="302" t="e">
        <f t="shared" si="21"/>
        <v>#DIV/0!</v>
      </c>
      <c r="K137" s="448"/>
      <c r="L137" s="10">
        <f t="shared" si="22"/>
        <v>24624.530161290324</v>
      </c>
      <c r="M137" s="14">
        <f t="shared" si="23"/>
        <v>0</v>
      </c>
      <c r="N137" s="2" t="e">
        <f t="shared" si="24"/>
        <v>#DIV/0!</v>
      </c>
      <c r="O137" s="130" t="e">
        <f t="shared" si="25"/>
        <v>#DIV/0!</v>
      </c>
      <c r="P137" s="443" t="e">
        <f t="shared" si="26"/>
        <v>#DIV/0!</v>
      </c>
      <c r="Q137" s="126"/>
    </row>
    <row r="138" spans="1:17" x14ac:dyDescent="0.25">
      <c r="A138" s="49">
        <f>+'A) Base RI'!A140</f>
        <v>5629</v>
      </c>
      <c r="B138" s="293" t="str">
        <f>+'A) Base RI'!B140</f>
        <v>Clarmont</v>
      </c>
      <c r="C138" s="305">
        <f>+'D) Ecrêtage'!C138</f>
        <v>8521.2598639455773</v>
      </c>
      <c r="D138" s="444"/>
      <c r="E138" s="446"/>
      <c r="F138" s="444"/>
      <c r="G138" s="305">
        <f t="shared" si="18"/>
        <v>0</v>
      </c>
      <c r="H138" s="285">
        <f t="shared" si="19"/>
        <v>68170.078911564618</v>
      </c>
      <c r="I138" s="10">
        <f t="shared" si="20"/>
        <v>0</v>
      </c>
      <c r="J138" s="302" t="e">
        <f t="shared" si="21"/>
        <v>#DIV/0!</v>
      </c>
      <c r="K138" s="448"/>
      <c r="L138" s="10">
        <f t="shared" si="22"/>
        <v>8521.2598639455773</v>
      </c>
      <c r="M138" s="14">
        <f t="shared" si="23"/>
        <v>0</v>
      </c>
      <c r="N138" s="2" t="e">
        <f t="shared" si="24"/>
        <v>#DIV/0!</v>
      </c>
      <c r="O138" s="130" t="e">
        <f t="shared" si="25"/>
        <v>#DIV/0!</v>
      </c>
      <c r="P138" s="443" t="e">
        <f t="shared" si="26"/>
        <v>#DIV/0!</v>
      </c>
      <c r="Q138" s="126"/>
    </row>
    <row r="139" spans="1:17" x14ac:dyDescent="0.25">
      <c r="A139" s="49">
        <f>+'A) Base RI'!A141</f>
        <v>5631</v>
      </c>
      <c r="B139" s="293" t="str">
        <f>+'A) Base RI'!B141</f>
        <v>Denens</v>
      </c>
      <c r="C139" s="305">
        <f>+'D) Ecrêtage'!C139</f>
        <v>43455.14235294117</v>
      </c>
      <c r="D139" s="444"/>
      <c r="E139" s="446"/>
      <c r="F139" s="444"/>
      <c r="G139" s="305">
        <f t="shared" si="18"/>
        <v>0</v>
      </c>
      <c r="H139" s="285">
        <f t="shared" si="19"/>
        <v>347641.13882352936</v>
      </c>
      <c r="I139" s="10">
        <f t="shared" si="20"/>
        <v>0</v>
      </c>
      <c r="J139" s="302" t="e">
        <f t="shared" si="21"/>
        <v>#DIV/0!</v>
      </c>
      <c r="K139" s="448"/>
      <c r="L139" s="10">
        <f t="shared" si="22"/>
        <v>43455.14235294117</v>
      </c>
      <c r="M139" s="14">
        <f t="shared" si="23"/>
        <v>0</v>
      </c>
      <c r="N139" s="2" t="e">
        <f t="shared" si="24"/>
        <v>#DIV/0!</v>
      </c>
      <c r="O139" s="130" t="e">
        <f t="shared" si="25"/>
        <v>#DIV/0!</v>
      </c>
      <c r="P139" s="443" t="e">
        <f t="shared" si="26"/>
        <v>#DIV/0!</v>
      </c>
      <c r="Q139" s="126"/>
    </row>
    <row r="140" spans="1:17" x14ac:dyDescent="0.25">
      <c r="A140" s="49">
        <f>+'A) Base RI'!A142</f>
        <v>5632</v>
      </c>
      <c r="B140" s="293" t="str">
        <f>+'A) Base RI'!B142</f>
        <v>Denges</v>
      </c>
      <c r="C140" s="305">
        <f>+'D) Ecrêtage'!C140</f>
        <v>76479.966774193541</v>
      </c>
      <c r="D140" s="444"/>
      <c r="E140" s="446"/>
      <c r="F140" s="444"/>
      <c r="G140" s="305">
        <f t="shared" si="18"/>
        <v>0</v>
      </c>
      <c r="H140" s="285">
        <f t="shared" si="19"/>
        <v>611839.73419354833</v>
      </c>
      <c r="I140" s="10">
        <f t="shared" si="20"/>
        <v>0</v>
      </c>
      <c r="J140" s="302" t="e">
        <f t="shared" si="21"/>
        <v>#DIV/0!</v>
      </c>
      <c r="K140" s="448"/>
      <c r="L140" s="10">
        <f t="shared" si="22"/>
        <v>76479.966774193541</v>
      </c>
      <c r="M140" s="14">
        <f t="shared" si="23"/>
        <v>0</v>
      </c>
      <c r="N140" s="2" t="e">
        <f t="shared" si="24"/>
        <v>#DIV/0!</v>
      </c>
      <c r="O140" s="130" t="e">
        <f t="shared" si="25"/>
        <v>#DIV/0!</v>
      </c>
      <c r="P140" s="443" t="e">
        <f t="shared" si="26"/>
        <v>#DIV/0!</v>
      </c>
      <c r="Q140" s="126"/>
    </row>
    <row r="141" spans="1:17" x14ac:dyDescent="0.25">
      <c r="A141" s="49">
        <f>+'A) Base RI'!A143</f>
        <v>5633</v>
      </c>
      <c r="B141" s="293" t="str">
        <f>+'A) Base RI'!B143</f>
        <v>Echandens</v>
      </c>
      <c r="C141" s="305">
        <f>+'D) Ecrêtage'!C141</f>
        <v>148865.46909090912</v>
      </c>
      <c r="D141" s="444"/>
      <c r="E141" s="446"/>
      <c r="F141" s="444"/>
      <c r="G141" s="305">
        <f t="shared" si="18"/>
        <v>0</v>
      </c>
      <c r="H141" s="285">
        <f t="shared" si="19"/>
        <v>1190923.7527272729</v>
      </c>
      <c r="I141" s="10">
        <f t="shared" si="20"/>
        <v>0</v>
      </c>
      <c r="J141" s="302" t="e">
        <f t="shared" si="21"/>
        <v>#DIV/0!</v>
      </c>
      <c r="K141" s="448"/>
      <c r="L141" s="10">
        <f t="shared" si="22"/>
        <v>148865.46909090912</v>
      </c>
      <c r="M141" s="14">
        <f t="shared" si="23"/>
        <v>0</v>
      </c>
      <c r="N141" s="2" t="e">
        <f t="shared" si="24"/>
        <v>#DIV/0!</v>
      </c>
      <c r="O141" s="130" t="e">
        <f t="shared" si="25"/>
        <v>#DIV/0!</v>
      </c>
      <c r="P141" s="443" t="e">
        <f t="shared" si="26"/>
        <v>#DIV/0!</v>
      </c>
      <c r="Q141" s="126"/>
    </row>
    <row r="142" spans="1:17" x14ac:dyDescent="0.25">
      <c r="A142" s="49">
        <f>+'A) Base RI'!A144</f>
        <v>5634</v>
      </c>
      <c r="B142" s="293" t="str">
        <f>+'A) Base RI'!B144</f>
        <v>Echichens</v>
      </c>
      <c r="C142" s="305">
        <f>+'D) Ecrêtage'!C142</f>
        <v>164177.5981818182</v>
      </c>
      <c r="D142" s="444"/>
      <c r="E142" s="446"/>
      <c r="F142" s="444"/>
      <c r="G142" s="305">
        <f t="shared" si="18"/>
        <v>0</v>
      </c>
      <c r="H142" s="285">
        <f t="shared" si="19"/>
        <v>1313420.7854545456</v>
      </c>
      <c r="I142" s="10">
        <f t="shared" si="20"/>
        <v>0</v>
      </c>
      <c r="J142" s="302" t="e">
        <f t="shared" si="21"/>
        <v>#DIV/0!</v>
      </c>
      <c r="K142" s="448"/>
      <c r="L142" s="10">
        <f t="shared" si="22"/>
        <v>164177.5981818182</v>
      </c>
      <c r="M142" s="14">
        <f t="shared" si="23"/>
        <v>0</v>
      </c>
      <c r="N142" s="2" t="e">
        <f t="shared" si="24"/>
        <v>#DIV/0!</v>
      </c>
      <c r="O142" s="130" t="e">
        <f t="shared" si="25"/>
        <v>#DIV/0!</v>
      </c>
      <c r="P142" s="443" t="e">
        <f t="shared" si="26"/>
        <v>#DIV/0!</v>
      </c>
      <c r="Q142" s="126"/>
    </row>
    <row r="143" spans="1:17" x14ac:dyDescent="0.25">
      <c r="A143" s="49">
        <f>+'A) Base RI'!A145</f>
        <v>5635</v>
      </c>
      <c r="B143" s="293" t="str">
        <f>+'A) Base RI'!B145</f>
        <v>Ecublens</v>
      </c>
      <c r="C143" s="305">
        <f>+'D) Ecrêtage'!C143</f>
        <v>681739.39309333346</v>
      </c>
      <c r="D143" s="444"/>
      <c r="E143" s="446"/>
      <c r="F143" s="444"/>
      <c r="G143" s="305">
        <f t="shared" si="18"/>
        <v>0</v>
      </c>
      <c r="H143" s="285">
        <f t="shared" si="19"/>
        <v>5453915.1447466677</v>
      </c>
      <c r="I143" s="10">
        <f t="shared" si="20"/>
        <v>0</v>
      </c>
      <c r="J143" s="302" t="e">
        <f t="shared" si="21"/>
        <v>#DIV/0!</v>
      </c>
      <c r="K143" s="448"/>
      <c r="L143" s="10">
        <f t="shared" si="22"/>
        <v>681739.39309333346</v>
      </c>
      <c r="M143" s="14">
        <f t="shared" si="23"/>
        <v>0</v>
      </c>
      <c r="N143" s="2" t="e">
        <f t="shared" si="24"/>
        <v>#DIV/0!</v>
      </c>
      <c r="O143" s="130" t="e">
        <f t="shared" si="25"/>
        <v>#DIV/0!</v>
      </c>
      <c r="P143" s="443" t="e">
        <f t="shared" si="26"/>
        <v>#DIV/0!</v>
      </c>
      <c r="Q143" s="126"/>
    </row>
    <row r="144" spans="1:17" x14ac:dyDescent="0.25">
      <c r="A144" s="49">
        <f>+'A) Base RI'!A146</f>
        <v>5636</v>
      </c>
      <c r="B144" s="293" t="str">
        <f>+'A) Base RI'!B146</f>
        <v>Etoy</v>
      </c>
      <c r="C144" s="305">
        <f>+'D) Ecrêtage'!C144</f>
        <v>170715.46099999998</v>
      </c>
      <c r="D144" s="444"/>
      <c r="E144" s="446"/>
      <c r="F144" s="444"/>
      <c r="G144" s="305">
        <f t="shared" si="18"/>
        <v>0</v>
      </c>
      <c r="H144" s="285">
        <f t="shared" si="19"/>
        <v>1365723.6879999998</v>
      </c>
      <c r="I144" s="10">
        <f t="shared" si="20"/>
        <v>0</v>
      </c>
      <c r="J144" s="302" t="e">
        <f t="shared" si="21"/>
        <v>#DIV/0!</v>
      </c>
      <c r="K144" s="448"/>
      <c r="L144" s="10">
        <f t="shared" si="22"/>
        <v>170715.46099999998</v>
      </c>
      <c r="M144" s="14">
        <f t="shared" si="23"/>
        <v>0</v>
      </c>
      <c r="N144" s="2" t="e">
        <f t="shared" si="24"/>
        <v>#DIV/0!</v>
      </c>
      <c r="O144" s="130" t="e">
        <f t="shared" si="25"/>
        <v>#DIV/0!</v>
      </c>
      <c r="P144" s="443" t="e">
        <f t="shared" si="26"/>
        <v>#DIV/0!</v>
      </c>
      <c r="Q144" s="126"/>
    </row>
    <row r="145" spans="1:17" x14ac:dyDescent="0.25">
      <c r="A145" s="49">
        <f>+'A) Base RI'!A147</f>
        <v>5637</v>
      </c>
      <c r="B145" s="293" t="str">
        <f>+'A) Base RI'!B147</f>
        <v>Lavigny</v>
      </c>
      <c r="C145" s="305">
        <f>+'D) Ecrêtage'!C145</f>
        <v>41194.659315068493</v>
      </c>
      <c r="D145" s="444"/>
      <c r="E145" s="446"/>
      <c r="F145" s="444"/>
      <c r="G145" s="305">
        <f t="shared" si="18"/>
        <v>0</v>
      </c>
      <c r="H145" s="285">
        <f t="shared" si="19"/>
        <v>329557.27452054794</v>
      </c>
      <c r="I145" s="10">
        <f t="shared" si="20"/>
        <v>0</v>
      </c>
      <c r="J145" s="302" t="e">
        <f t="shared" si="21"/>
        <v>#DIV/0!</v>
      </c>
      <c r="K145" s="448"/>
      <c r="L145" s="10">
        <f t="shared" si="22"/>
        <v>41194.659315068493</v>
      </c>
      <c r="M145" s="14">
        <f t="shared" si="23"/>
        <v>0</v>
      </c>
      <c r="N145" s="2" t="e">
        <f t="shared" si="24"/>
        <v>#DIV/0!</v>
      </c>
      <c r="O145" s="130" t="e">
        <f t="shared" si="25"/>
        <v>#DIV/0!</v>
      </c>
      <c r="P145" s="443" t="e">
        <f t="shared" si="26"/>
        <v>#DIV/0!</v>
      </c>
      <c r="Q145" s="126"/>
    </row>
    <row r="146" spans="1:17" x14ac:dyDescent="0.25">
      <c r="A146" s="49">
        <f>+'A) Base RI'!A148</f>
        <v>5638</v>
      </c>
      <c r="B146" s="293" t="str">
        <f>+'A) Base RI'!B148</f>
        <v>Lonay</v>
      </c>
      <c r="C146" s="305">
        <f>+'D) Ecrêtage'!C146</f>
        <v>145490.01981818181</v>
      </c>
      <c r="D146" s="444"/>
      <c r="E146" s="446"/>
      <c r="F146" s="444"/>
      <c r="G146" s="305">
        <f t="shared" si="18"/>
        <v>0</v>
      </c>
      <c r="H146" s="285">
        <f t="shared" si="19"/>
        <v>1163920.1585454545</v>
      </c>
      <c r="I146" s="10">
        <f t="shared" si="20"/>
        <v>0</v>
      </c>
      <c r="J146" s="302" t="e">
        <f t="shared" si="21"/>
        <v>#DIV/0!</v>
      </c>
      <c r="K146" s="448"/>
      <c r="L146" s="10">
        <f t="shared" si="22"/>
        <v>145490.01981818181</v>
      </c>
      <c r="M146" s="14">
        <f t="shared" si="23"/>
        <v>0</v>
      </c>
      <c r="N146" s="2" t="e">
        <f t="shared" si="24"/>
        <v>#DIV/0!</v>
      </c>
      <c r="O146" s="130" t="e">
        <f t="shared" si="25"/>
        <v>#DIV/0!</v>
      </c>
      <c r="P146" s="443" t="e">
        <f t="shared" si="26"/>
        <v>#DIV/0!</v>
      </c>
      <c r="Q146" s="126"/>
    </row>
    <row r="147" spans="1:17" x14ac:dyDescent="0.25">
      <c r="A147" s="49">
        <f>+'A) Base RI'!A149</f>
        <v>5639</v>
      </c>
      <c r="B147" s="293" t="str">
        <f>+'A) Base RI'!B149</f>
        <v>Lully</v>
      </c>
      <c r="C147" s="305">
        <f>+'D) Ecrêtage'!C147</f>
        <v>45623.094262295082</v>
      </c>
      <c r="D147" s="444"/>
      <c r="E147" s="446"/>
      <c r="F147" s="444"/>
      <c r="G147" s="305">
        <f t="shared" si="18"/>
        <v>0</v>
      </c>
      <c r="H147" s="285">
        <f t="shared" si="19"/>
        <v>364984.75409836066</v>
      </c>
      <c r="I147" s="10">
        <f t="shared" si="20"/>
        <v>0</v>
      </c>
      <c r="J147" s="302" t="e">
        <f t="shared" si="21"/>
        <v>#DIV/0!</v>
      </c>
      <c r="K147" s="448"/>
      <c r="L147" s="10">
        <f t="shared" si="22"/>
        <v>45623.094262295082</v>
      </c>
      <c r="M147" s="14">
        <f t="shared" si="23"/>
        <v>0</v>
      </c>
      <c r="N147" s="2" t="e">
        <f t="shared" si="24"/>
        <v>#DIV/0!</v>
      </c>
      <c r="O147" s="130" t="e">
        <f t="shared" si="25"/>
        <v>#DIV/0!</v>
      </c>
      <c r="P147" s="443" t="e">
        <f t="shared" si="26"/>
        <v>#DIV/0!</v>
      </c>
      <c r="Q147" s="126"/>
    </row>
    <row r="148" spans="1:17" x14ac:dyDescent="0.25">
      <c r="A148" s="49">
        <f>+'A) Base RI'!A150</f>
        <v>5640</v>
      </c>
      <c r="B148" s="293" t="str">
        <f>+'A) Base RI'!B150</f>
        <v>Lussy-sur-Morges</v>
      </c>
      <c r="C148" s="305">
        <f>+'D) Ecrêtage'!C148</f>
        <v>57031.532424242418</v>
      </c>
      <c r="D148" s="444"/>
      <c r="E148" s="446"/>
      <c r="F148" s="444"/>
      <c r="G148" s="305">
        <f t="shared" si="18"/>
        <v>0</v>
      </c>
      <c r="H148" s="285">
        <f t="shared" si="19"/>
        <v>456252.25939393934</v>
      </c>
      <c r="I148" s="10">
        <f t="shared" si="20"/>
        <v>0</v>
      </c>
      <c r="J148" s="302" t="e">
        <f t="shared" si="21"/>
        <v>#DIV/0!</v>
      </c>
      <c r="K148" s="448"/>
      <c r="L148" s="10">
        <f t="shared" si="22"/>
        <v>57031.532424242418</v>
      </c>
      <c r="M148" s="14">
        <f t="shared" si="23"/>
        <v>0</v>
      </c>
      <c r="N148" s="2" t="e">
        <f t="shared" si="24"/>
        <v>#DIV/0!</v>
      </c>
      <c r="O148" s="130" t="e">
        <f t="shared" si="25"/>
        <v>#DIV/0!</v>
      </c>
      <c r="P148" s="443" t="e">
        <f t="shared" si="26"/>
        <v>#DIV/0!</v>
      </c>
      <c r="Q148" s="126"/>
    </row>
    <row r="149" spans="1:17" x14ac:dyDescent="0.25">
      <c r="A149" s="49">
        <f>+'A) Base RI'!A151</f>
        <v>5642</v>
      </c>
      <c r="B149" s="293" t="str">
        <f>+'A) Base RI'!B151</f>
        <v>Morges</v>
      </c>
      <c r="C149" s="305">
        <f>+'D) Ecrêtage'!C149</f>
        <v>787513.11402985093</v>
      </c>
      <c r="D149" s="444"/>
      <c r="E149" s="446"/>
      <c r="F149" s="444"/>
      <c r="G149" s="305">
        <f t="shared" si="18"/>
        <v>0</v>
      </c>
      <c r="H149" s="285">
        <f t="shared" si="19"/>
        <v>6300104.9122388074</v>
      </c>
      <c r="I149" s="10">
        <f t="shared" si="20"/>
        <v>0</v>
      </c>
      <c r="J149" s="302" t="e">
        <f t="shared" si="21"/>
        <v>#DIV/0!</v>
      </c>
      <c r="K149" s="448"/>
      <c r="L149" s="10">
        <f t="shared" si="22"/>
        <v>787513.11402985093</v>
      </c>
      <c r="M149" s="14">
        <f t="shared" si="23"/>
        <v>0</v>
      </c>
      <c r="N149" s="2" t="e">
        <f t="shared" si="24"/>
        <v>#DIV/0!</v>
      </c>
      <c r="O149" s="130" t="e">
        <f t="shared" si="25"/>
        <v>#DIV/0!</v>
      </c>
      <c r="P149" s="443" t="e">
        <f t="shared" si="26"/>
        <v>#DIV/0!</v>
      </c>
      <c r="Q149" s="126"/>
    </row>
    <row r="150" spans="1:17" x14ac:dyDescent="0.25">
      <c r="A150" s="49">
        <f>+'A) Base RI'!A152</f>
        <v>5643</v>
      </c>
      <c r="B150" s="293" t="str">
        <f>+'A) Base RI'!B152</f>
        <v>Préverenges</v>
      </c>
      <c r="C150" s="305">
        <f>+'D) Ecrêtage'!C150</f>
        <v>262337.37167999998</v>
      </c>
      <c r="D150" s="444"/>
      <c r="E150" s="446"/>
      <c r="F150" s="444"/>
      <c r="G150" s="305">
        <f t="shared" si="18"/>
        <v>0</v>
      </c>
      <c r="H150" s="285">
        <f t="shared" si="19"/>
        <v>2098698.9734399999</v>
      </c>
      <c r="I150" s="10">
        <f t="shared" si="20"/>
        <v>0</v>
      </c>
      <c r="J150" s="302" t="e">
        <f t="shared" si="21"/>
        <v>#DIV/0!</v>
      </c>
      <c r="K150" s="448"/>
      <c r="L150" s="10">
        <f t="shared" si="22"/>
        <v>262337.37167999998</v>
      </c>
      <c r="M150" s="14">
        <f t="shared" si="23"/>
        <v>0</v>
      </c>
      <c r="N150" s="2" t="e">
        <f t="shared" si="24"/>
        <v>#DIV/0!</v>
      </c>
      <c r="O150" s="130" t="e">
        <f t="shared" si="25"/>
        <v>#DIV/0!</v>
      </c>
      <c r="P150" s="443" t="e">
        <f t="shared" si="26"/>
        <v>#DIV/0!</v>
      </c>
      <c r="Q150" s="126"/>
    </row>
    <row r="151" spans="1:17" x14ac:dyDescent="0.25">
      <c r="A151" s="49">
        <f>+'A) Base RI'!A153</f>
        <v>5644</v>
      </c>
      <c r="B151" s="293" t="str">
        <f>+'A) Base RI'!B153</f>
        <v>Reverolle</v>
      </c>
      <c r="C151" s="305">
        <f>+'D) Ecrêtage'!C151</f>
        <v>16020.747027027028</v>
      </c>
      <c r="D151" s="444"/>
      <c r="E151" s="446"/>
      <c r="F151" s="444"/>
      <c r="G151" s="305">
        <f t="shared" si="18"/>
        <v>0</v>
      </c>
      <c r="H151" s="285">
        <f t="shared" si="19"/>
        <v>128165.97621621622</v>
      </c>
      <c r="I151" s="10">
        <f t="shared" si="20"/>
        <v>0</v>
      </c>
      <c r="J151" s="302" t="e">
        <f t="shared" si="21"/>
        <v>#DIV/0!</v>
      </c>
      <c r="K151" s="448"/>
      <c r="L151" s="10">
        <f t="shared" si="22"/>
        <v>16020.747027027028</v>
      </c>
      <c r="M151" s="14">
        <f t="shared" si="23"/>
        <v>0</v>
      </c>
      <c r="N151" s="2" t="e">
        <f t="shared" si="24"/>
        <v>#DIV/0!</v>
      </c>
      <c r="O151" s="130" t="e">
        <f t="shared" si="25"/>
        <v>#DIV/0!</v>
      </c>
      <c r="P151" s="443" t="e">
        <f t="shared" si="26"/>
        <v>#DIV/0!</v>
      </c>
      <c r="Q151" s="126"/>
    </row>
    <row r="152" spans="1:17" x14ac:dyDescent="0.25">
      <c r="A152" s="49">
        <f>+'A) Base RI'!A154</f>
        <v>5645</v>
      </c>
      <c r="B152" s="293" t="str">
        <f>+'A) Base RI'!B154</f>
        <v>Romanel-sur-Morges</v>
      </c>
      <c r="C152" s="305">
        <f>+'D) Ecrêtage'!C152</f>
        <v>27365.134464285718</v>
      </c>
      <c r="D152" s="444"/>
      <c r="E152" s="446"/>
      <c r="F152" s="444"/>
      <c r="G152" s="305">
        <f t="shared" si="18"/>
        <v>0</v>
      </c>
      <c r="H152" s="285">
        <f t="shared" si="19"/>
        <v>218921.07571428575</v>
      </c>
      <c r="I152" s="10">
        <f t="shared" si="20"/>
        <v>0</v>
      </c>
      <c r="J152" s="302" t="e">
        <f t="shared" si="21"/>
        <v>#DIV/0!</v>
      </c>
      <c r="K152" s="448"/>
      <c r="L152" s="10">
        <f t="shared" si="22"/>
        <v>27365.134464285718</v>
      </c>
      <c r="M152" s="14">
        <f t="shared" si="23"/>
        <v>0</v>
      </c>
      <c r="N152" s="2" t="e">
        <f t="shared" si="24"/>
        <v>#DIV/0!</v>
      </c>
      <c r="O152" s="130" t="e">
        <f t="shared" si="25"/>
        <v>#DIV/0!</v>
      </c>
      <c r="P152" s="443" t="e">
        <f t="shared" si="26"/>
        <v>#DIV/0!</v>
      </c>
      <c r="Q152" s="126"/>
    </row>
    <row r="153" spans="1:17" x14ac:dyDescent="0.25">
      <c r="A153" s="49">
        <f>+'A) Base RI'!A155</f>
        <v>5646</v>
      </c>
      <c r="B153" s="293" t="str">
        <f>+'A) Base RI'!B155</f>
        <v>Saint-Prex</v>
      </c>
      <c r="C153" s="305">
        <f>+'D) Ecrêtage'!C153</f>
        <v>541092.68090909091</v>
      </c>
      <c r="D153" s="444"/>
      <c r="E153" s="446"/>
      <c r="F153" s="444"/>
      <c r="G153" s="305">
        <f t="shared" si="18"/>
        <v>0</v>
      </c>
      <c r="H153" s="285">
        <f t="shared" si="19"/>
        <v>4328741.4472727273</v>
      </c>
      <c r="I153" s="10">
        <f t="shared" si="20"/>
        <v>0</v>
      </c>
      <c r="J153" s="302" t="e">
        <f t="shared" si="21"/>
        <v>#DIV/0!</v>
      </c>
      <c r="K153" s="448"/>
      <c r="L153" s="10">
        <f t="shared" si="22"/>
        <v>541092.68090909091</v>
      </c>
      <c r="M153" s="14">
        <f t="shared" si="23"/>
        <v>0</v>
      </c>
      <c r="N153" s="2" t="e">
        <f t="shared" si="24"/>
        <v>#DIV/0!</v>
      </c>
      <c r="O153" s="130" t="e">
        <f t="shared" si="25"/>
        <v>#DIV/0!</v>
      </c>
      <c r="P153" s="443" t="e">
        <f t="shared" si="26"/>
        <v>#DIV/0!</v>
      </c>
      <c r="Q153" s="126"/>
    </row>
    <row r="154" spans="1:17" x14ac:dyDescent="0.25">
      <c r="A154" s="49">
        <f>+'A) Base RI'!A156</f>
        <v>5648</v>
      </c>
      <c r="B154" s="293" t="str">
        <f>+'A) Base RI'!B156</f>
        <v>Saint-Sulpice</v>
      </c>
      <c r="C154" s="305">
        <f>+'D) Ecrêtage'!C154</f>
        <v>396458.15636363637</v>
      </c>
      <c r="D154" s="444"/>
      <c r="E154" s="446"/>
      <c r="F154" s="444"/>
      <c r="G154" s="305">
        <f t="shared" si="18"/>
        <v>0</v>
      </c>
      <c r="H154" s="285">
        <f t="shared" si="19"/>
        <v>3171665.250909091</v>
      </c>
      <c r="I154" s="10">
        <f t="shared" si="20"/>
        <v>0</v>
      </c>
      <c r="J154" s="302" t="e">
        <f t="shared" si="21"/>
        <v>#DIV/0!</v>
      </c>
      <c r="K154" s="448"/>
      <c r="L154" s="10">
        <f t="shared" si="22"/>
        <v>396458.15636363637</v>
      </c>
      <c r="M154" s="14">
        <f t="shared" si="23"/>
        <v>0</v>
      </c>
      <c r="N154" s="2" t="e">
        <f t="shared" si="24"/>
        <v>#DIV/0!</v>
      </c>
      <c r="O154" s="130" t="e">
        <f t="shared" si="25"/>
        <v>#DIV/0!</v>
      </c>
      <c r="P154" s="443" t="e">
        <f t="shared" si="26"/>
        <v>#DIV/0!</v>
      </c>
      <c r="Q154" s="126"/>
    </row>
    <row r="155" spans="1:17" x14ac:dyDescent="0.25">
      <c r="A155" s="49">
        <f>+'A) Base RI'!A157</f>
        <v>5649</v>
      </c>
      <c r="B155" s="293" t="str">
        <f>+'A) Base RI'!B157</f>
        <v>Tolochenaz</v>
      </c>
      <c r="C155" s="305">
        <f>+'D) Ecrêtage'!C155</f>
        <v>215548.34569230766</v>
      </c>
      <c r="D155" s="444"/>
      <c r="E155" s="446"/>
      <c r="F155" s="444"/>
      <c r="G155" s="305">
        <f t="shared" si="18"/>
        <v>0</v>
      </c>
      <c r="H155" s="285">
        <f t="shared" si="19"/>
        <v>1724386.7655384613</v>
      </c>
      <c r="I155" s="10">
        <f t="shared" si="20"/>
        <v>0</v>
      </c>
      <c r="J155" s="302" t="e">
        <f t="shared" si="21"/>
        <v>#DIV/0!</v>
      </c>
      <c r="K155" s="448"/>
      <c r="L155" s="10">
        <f t="shared" si="22"/>
        <v>215548.34569230766</v>
      </c>
      <c r="M155" s="14">
        <f t="shared" si="23"/>
        <v>0</v>
      </c>
      <c r="N155" s="2" t="e">
        <f t="shared" si="24"/>
        <v>#DIV/0!</v>
      </c>
      <c r="O155" s="130" t="e">
        <f t="shared" si="25"/>
        <v>#DIV/0!</v>
      </c>
      <c r="P155" s="443" t="e">
        <f t="shared" si="26"/>
        <v>#DIV/0!</v>
      </c>
      <c r="Q155" s="126"/>
    </row>
    <row r="156" spans="1:17" x14ac:dyDescent="0.25">
      <c r="A156" s="49">
        <f>+'A) Base RI'!A158</f>
        <v>5650</v>
      </c>
      <c r="B156" s="293" t="str">
        <f>+'A) Base RI'!B158</f>
        <v>Vaux-sur-Morges</v>
      </c>
      <c r="C156" s="305">
        <f>+'D) Ecrêtage'!C156</f>
        <v>63002.429285714286</v>
      </c>
      <c r="D156" s="444"/>
      <c r="E156" s="446"/>
      <c r="F156" s="444"/>
      <c r="G156" s="305">
        <f t="shared" si="18"/>
        <v>0</v>
      </c>
      <c r="H156" s="285">
        <f t="shared" si="19"/>
        <v>504019.43428571429</v>
      </c>
      <c r="I156" s="10">
        <f t="shared" si="20"/>
        <v>0</v>
      </c>
      <c r="J156" s="302" t="e">
        <f t="shared" si="21"/>
        <v>#DIV/0!</v>
      </c>
      <c r="K156" s="448"/>
      <c r="L156" s="10">
        <f t="shared" si="22"/>
        <v>63002.429285714286</v>
      </c>
      <c r="M156" s="14">
        <f t="shared" si="23"/>
        <v>0</v>
      </c>
      <c r="N156" s="2" t="e">
        <f t="shared" si="24"/>
        <v>#DIV/0!</v>
      </c>
      <c r="O156" s="130" t="e">
        <f t="shared" si="25"/>
        <v>#DIV/0!</v>
      </c>
      <c r="P156" s="443" t="e">
        <f t="shared" si="26"/>
        <v>#DIV/0!</v>
      </c>
      <c r="Q156" s="126"/>
    </row>
    <row r="157" spans="1:17" x14ac:dyDescent="0.25">
      <c r="A157" s="49">
        <f>+'A) Base RI'!A159</f>
        <v>5651</v>
      </c>
      <c r="B157" s="293" t="str">
        <f>+'A) Base RI'!B159</f>
        <v>Villars-Sainte-Croix</v>
      </c>
      <c r="C157" s="305">
        <f>+'D) Ecrêtage'!C157</f>
        <v>55737.982975206622</v>
      </c>
      <c r="D157" s="444"/>
      <c r="E157" s="446"/>
      <c r="F157" s="444"/>
      <c r="G157" s="305">
        <f t="shared" si="18"/>
        <v>0</v>
      </c>
      <c r="H157" s="285">
        <f t="shared" si="19"/>
        <v>445903.86380165297</v>
      </c>
      <c r="I157" s="10">
        <f t="shared" si="20"/>
        <v>0</v>
      </c>
      <c r="J157" s="302" t="e">
        <f t="shared" si="21"/>
        <v>#DIV/0!</v>
      </c>
      <c r="K157" s="448"/>
      <c r="L157" s="10">
        <f t="shared" si="22"/>
        <v>55737.982975206622</v>
      </c>
      <c r="M157" s="14">
        <f t="shared" si="23"/>
        <v>0</v>
      </c>
      <c r="N157" s="2" t="e">
        <f t="shared" si="24"/>
        <v>#DIV/0!</v>
      </c>
      <c r="O157" s="130" t="e">
        <f t="shared" si="25"/>
        <v>#DIV/0!</v>
      </c>
      <c r="P157" s="443" t="e">
        <f t="shared" si="26"/>
        <v>#DIV/0!</v>
      </c>
      <c r="Q157" s="126"/>
    </row>
    <row r="158" spans="1:17" x14ac:dyDescent="0.25">
      <c r="A158" s="49">
        <f>+'A) Base RI'!A160</f>
        <v>5652</v>
      </c>
      <c r="B158" s="293" t="str">
        <f>+'A) Base RI'!B160</f>
        <v>Villars-sous-Yens</v>
      </c>
      <c r="C158" s="305">
        <f>+'D) Ecrêtage'!C158</f>
        <v>25662.281995614037</v>
      </c>
      <c r="D158" s="444"/>
      <c r="E158" s="446"/>
      <c r="F158" s="444"/>
      <c r="G158" s="305">
        <f t="shared" si="18"/>
        <v>0</v>
      </c>
      <c r="H158" s="285">
        <f t="shared" si="19"/>
        <v>205298.2559649123</v>
      </c>
      <c r="I158" s="10">
        <f t="shared" si="20"/>
        <v>0</v>
      </c>
      <c r="J158" s="302" t="e">
        <f t="shared" si="21"/>
        <v>#DIV/0!</v>
      </c>
      <c r="K158" s="448"/>
      <c r="L158" s="10">
        <f t="shared" si="22"/>
        <v>25662.281995614037</v>
      </c>
      <c r="M158" s="14">
        <f t="shared" si="23"/>
        <v>0</v>
      </c>
      <c r="N158" s="2" t="e">
        <f t="shared" si="24"/>
        <v>#DIV/0!</v>
      </c>
      <c r="O158" s="130" t="e">
        <f t="shared" si="25"/>
        <v>#DIV/0!</v>
      </c>
      <c r="P158" s="443" t="e">
        <f t="shared" si="26"/>
        <v>#DIV/0!</v>
      </c>
      <c r="Q158" s="126"/>
    </row>
    <row r="159" spans="1:17" x14ac:dyDescent="0.25">
      <c r="A159" s="49">
        <f>+'A) Base RI'!A161</f>
        <v>5653</v>
      </c>
      <c r="B159" s="293" t="str">
        <f>+'A) Base RI'!B161</f>
        <v>Vufflens-le-Château</v>
      </c>
      <c r="C159" s="305">
        <f>+'D) Ecrêtage'!C159</f>
        <v>68786.034529914527</v>
      </c>
      <c r="D159" s="444"/>
      <c r="E159" s="446"/>
      <c r="F159" s="444"/>
      <c r="G159" s="305">
        <f t="shared" si="18"/>
        <v>0</v>
      </c>
      <c r="H159" s="285">
        <f t="shared" si="19"/>
        <v>550288.27623931621</v>
      </c>
      <c r="I159" s="10">
        <f t="shared" si="20"/>
        <v>0</v>
      </c>
      <c r="J159" s="302" t="e">
        <f t="shared" si="21"/>
        <v>#DIV/0!</v>
      </c>
      <c r="K159" s="448"/>
      <c r="L159" s="10">
        <f t="shared" si="22"/>
        <v>68786.034529914527</v>
      </c>
      <c r="M159" s="14">
        <f t="shared" si="23"/>
        <v>0</v>
      </c>
      <c r="N159" s="2" t="e">
        <f t="shared" si="24"/>
        <v>#DIV/0!</v>
      </c>
      <c r="O159" s="130" t="e">
        <f t="shared" si="25"/>
        <v>#DIV/0!</v>
      </c>
      <c r="P159" s="443" t="e">
        <f t="shared" si="26"/>
        <v>#DIV/0!</v>
      </c>
      <c r="Q159" s="126"/>
    </row>
    <row r="160" spans="1:17" x14ac:dyDescent="0.25">
      <c r="A160" s="49">
        <f>+'A) Base RI'!A162</f>
        <v>5654</v>
      </c>
      <c r="B160" s="293" t="str">
        <f>+'A) Base RI'!B162</f>
        <v>Vullierens</v>
      </c>
      <c r="C160" s="305">
        <f>+'D) Ecrêtage'!C160</f>
        <v>19265.899342105262</v>
      </c>
      <c r="D160" s="444"/>
      <c r="E160" s="446"/>
      <c r="F160" s="444"/>
      <c r="G160" s="305">
        <f t="shared" si="18"/>
        <v>0</v>
      </c>
      <c r="H160" s="285">
        <f t="shared" si="19"/>
        <v>154127.1947368421</v>
      </c>
      <c r="I160" s="10">
        <f t="shared" si="20"/>
        <v>0</v>
      </c>
      <c r="J160" s="302" t="e">
        <f t="shared" si="21"/>
        <v>#DIV/0!</v>
      </c>
      <c r="K160" s="448"/>
      <c r="L160" s="10">
        <f t="shared" si="22"/>
        <v>19265.899342105262</v>
      </c>
      <c r="M160" s="14">
        <f t="shared" si="23"/>
        <v>0</v>
      </c>
      <c r="N160" s="2" t="e">
        <f t="shared" si="24"/>
        <v>#DIV/0!</v>
      </c>
      <c r="O160" s="130" t="e">
        <f t="shared" si="25"/>
        <v>#DIV/0!</v>
      </c>
      <c r="P160" s="443" t="e">
        <f t="shared" si="26"/>
        <v>#DIV/0!</v>
      </c>
      <c r="Q160" s="126"/>
    </row>
    <row r="161" spans="1:17" x14ac:dyDescent="0.25">
      <c r="A161" s="49">
        <f>+'A) Base RI'!A163</f>
        <v>5655</v>
      </c>
      <c r="B161" s="293" t="str">
        <f>+'A) Base RI'!B163</f>
        <v>Yens</v>
      </c>
      <c r="C161" s="305">
        <f>+'D) Ecrêtage'!C161</f>
        <v>90935.122097902116</v>
      </c>
      <c r="D161" s="444"/>
      <c r="E161" s="446"/>
      <c r="F161" s="444"/>
      <c r="G161" s="305">
        <f t="shared" si="18"/>
        <v>0</v>
      </c>
      <c r="H161" s="285">
        <f t="shared" si="19"/>
        <v>727480.97678321693</v>
      </c>
      <c r="I161" s="10">
        <f t="shared" si="20"/>
        <v>0</v>
      </c>
      <c r="J161" s="302" t="e">
        <f t="shared" si="21"/>
        <v>#DIV/0!</v>
      </c>
      <c r="K161" s="448"/>
      <c r="L161" s="10">
        <f t="shared" si="22"/>
        <v>90935.122097902116</v>
      </c>
      <c r="M161" s="14">
        <f t="shared" si="23"/>
        <v>0</v>
      </c>
      <c r="N161" s="2" t="e">
        <f t="shared" si="24"/>
        <v>#DIV/0!</v>
      </c>
      <c r="O161" s="130" t="e">
        <f t="shared" si="25"/>
        <v>#DIV/0!</v>
      </c>
      <c r="P161" s="443" t="e">
        <f t="shared" si="26"/>
        <v>#DIV/0!</v>
      </c>
      <c r="Q161" s="126"/>
    </row>
    <row r="162" spans="1:17" x14ac:dyDescent="0.25">
      <c r="A162" s="49">
        <f>+'A) Base RI'!A164</f>
        <v>5661</v>
      </c>
      <c r="B162" s="293" t="str">
        <f>+'A) Base RI'!B164</f>
        <v>Boulens</v>
      </c>
      <c r="C162" s="305">
        <f>+'D) Ecrêtage'!C162</f>
        <v>10167.852447552446</v>
      </c>
      <c r="D162" s="444"/>
      <c r="E162" s="446"/>
      <c r="F162" s="444"/>
      <c r="G162" s="305">
        <f t="shared" si="18"/>
        <v>0</v>
      </c>
      <c r="H162" s="285">
        <f t="shared" si="19"/>
        <v>81342.819580419571</v>
      </c>
      <c r="I162" s="10">
        <f t="shared" si="20"/>
        <v>0</v>
      </c>
      <c r="J162" s="302" t="e">
        <f t="shared" si="21"/>
        <v>#DIV/0!</v>
      </c>
      <c r="K162" s="448"/>
      <c r="L162" s="10">
        <f t="shared" si="22"/>
        <v>10167.852447552446</v>
      </c>
      <c r="M162" s="14">
        <f t="shared" si="23"/>
        <v>0</v>
      </c>
      <c r="N162" s="2" t="e">
        <f t="shared" si="24"/>
        <v>#DIV/0!</v>
      </c>
      <c r="O162" s="130" t="e">
        <f t="shared" si="25"/>
        <v>#DIV/0!</v>
      </c>
      <c r="P162" s="443" t="e">
        <f t="shared" si="26"/>
        <v>#DIV/0!</v>
      </c>
      <c r="Q162" s="126"/>
    </row>
    <row r="163" spans="1:17" x14ac:dyDescent="0.25">
      <c r="A163" s="49">
        <f>+'A) Base RI'!A165</f>
        <v>5663</v>
      </c>
      <c r="B163" s="293" t="str">
        <f>+'A) Base RI'!B165</f>
        <v>Bussy-sur-Moudon</v>
      </c>
      <c r="C163" s="305">
        <f>+'D) Ecrêtage'!C163</f>
        <v>5408.1284999999998</v>
      </c>
      <c r="D163" s="444"/>
      <c r="E163" s="446"/>
      <c r="F163" s="444"/>
      <c r="G163" s="305">
        <f t="shared" si="18"/>
        <v>0</v>
      </c>
      <c r="H163" s="285">
        <f t="shared" si="19"/>
        <v>43265.027999999998</v>
      </c>
      <c r="I163" s="10">
        <f t="shared" si="20"/>
        <v>0</v>
      </c>
      <c r="J163" s="302" t="e">
        <f t="shared" si="21"/>
        <v>#DIV/0!</v>
      </c>
      <c r="K163" s="448"/>
      <c r="L163" s="10">
        <f t="shared" si="22"/>
        <v>5408.1284999999998</v>
      </c>
      <c r="M163" s="14">
        <f t="shared" si="23"/>
        <v>0</v>
      </c>
      <c r="N163" s="2" t="e">
        <f t="shared" si="24"/>
        <v>#DIV/0!</v>
      </c>
      <c r="O163" s="130" t="e">
        <f t="shared" si="25"/>
        <v>#DIV/0!</v>
      </c>
      <c r="P163" s="443" t="e">
        <f t="shared" si="26"/>
        <v>#DIV/0!</v>
      </c>
      <c r="Q163" s="126"/>
    </row>
    <row r="164" spans="1:17" x14ac:dyDescent="0.25">
      <c r="A164" s="49">
        <f>+'A) Base RI'!A166</f>
        <v>5665</v>
      </c>
      <c r="B164" s="293" t="str">
        <f>+'A) Base RI'!B166</f>
        <v>Chavannes-sur-Moudon</v>
      </c>
      <c r="C164" s="305">
        <f>+'D) Ecrêtage'!C164</f>
        <v>6834.8221917808223</v>
      </c>
      <c r="D164" s="444"/>
      <c r="E164" s="446"/>
      <c r="F164" s="444"/>
      <c r="G164" s="305">
        <f t="shared" si="18"/>
        <v>0</v>
      </c>
      <c r="H164" s="285">
        <f t="shared" si="19"/>
        <v>54678.577534246579</v>
      </c>
      <c r="I164" s="10">
        <f t="shared" si="20"/>
        <v>0</v>
      </c>
      <c r="J164" s="302" t="e">
        <f t="shared" si="21"/>
        <v>#DIV/0!</v>
      </c>
      <c r="K164" s="448"/>
      <c r="L164" s="10">
        <f t="shared" si="22"/>
        <v>6834.8221917808223</v>
      </c>
      <c r="M164" s="14">
        <f t="shared" si="23"/>
        <v>0</v>
      </c>
      <c r="N164" s="2" t="e">
        <f t="shared" si="24"/>
        <v>#DIV/0!</v>
      </c>
      <c r="O164" s="130" t="e">
        <f t="shared" si="25"/>
        <v>#DIV/0!</v>
      </c>
      <c r="P164" s="443" t="e">
        <f t="shared" si="26"/>
        <v>#DIV/0!</v>
      </c>
      <c r="Q164" s="126"/>
    </row>
    <row r="165" spans="1:17" x14ac:dyDescent="0.25">
      <c r="A165" s="49">
        <f>+'A) Base RI'!A167</f>
        <v>5669</v>
      </c>
      <c r="B165" s="293" t="str">
        <f>+'A) Base RI'!B167</f>
        <v>Curtilles</v>
      </c>
      <c r="C165" s="305">
        <f>+'D) Ecrêtage'!C165</f>
        <v>10286.853972602739</v>
      </c>
      <c r="D165" s="444"/>
      <c r="E165" s="446"/>
      <c r="F165" s="444"/>
      <c r="G165" s="305">
        <f t="shared" si="18"/>
        <v>0</v>
      </c>
      <c r="H165" s="285">
        <f t="shared" si="19"/>
        <v>82294.831780821914</v>
      </c>
      <c r="I165" s="10">
        <f t="shared" si="20"/>
        <v>0</v>
      </c>
      <c r="J165" s="302" t="e">
        <f t="shared" si="21"/>
        <v>#DIV/0!</v>
      </c>
      <c r="K165" s="448"/>
      <c r="L165" s="10">
        <f t="shared" si="22"/>
        <v>10286.853972602739</v>
      </c>
      <c r="M165" s="14">
        <f t="shared" si="23"/>
        <v>0</v>
      </c>
      <c r="N165" s="2" t="e">
        <f t="shared" si="24"/>
        <v>#DIV/0!</v>
      </c>
      <c r="O165" s="130" t="e">
        <f t="shared" si="25"/>
        <v>#DIV/0!</v>
      </c>
      <c r="P165" s="443" t="e">
        <f t="shared" si="26"/>
        <v>#DIV/0!</v>
      </c>
      <c r="Q165" s="126"/>
    </row>
    <row r="166" spans="1:17" x14ac:dyDescent="0.25">
      <c r="A166" s="49">
        <f>+'A) Base RI'!A168</f>
        <v>5671</v>
      </c>
      <c r="B166" s="293" t="str">
        <f>+'A) Base RI'!B168</f>
        <v>Dompierre</v>
      </c>
      <c r="C166" s="305">
        <f>+'D) Ecrêtage'!C166</f>
        <v>6034.0657692307695</v>
      </c>
      <c r="D166" s="444"/>
      <c r="E166" s="446"/>
      <c r="F166" s="444"/>
      <c r="G166" s="305">
        <f t="shared" si="18"/>
        <v>0</v>
      </c>
      <c r="H166" s="285">
        <f t="shared" si="19"/>
        <v>48272.526153846156</v>
      </c>
      <c r="I166" s="10">
        <f t="shared" si="20"/>
        <v>0</v>
      </c>
      <c r="J166" s="302" t="e">
        <f t="shared" si="21"/>
        <v>#DIV/0!</v>
      </c>
      <c r="K166" s="448"/>
      <c r="L166" s="10">
        <f t="shared" si="22"/>
        <v>6034.0657692307695</v>
      </c>
      <c r="M166" s="14">
        <f t="shared" si="23"/>
        <v>0</v>
      </c>
      <c r="N166" s="2" t="e">
        <f t="shared" si="24"/>
        <v>#DIV/0!</v>
      </c>
      <c r="O166" s="130" t="e">
        <f t="shared" si="25"/>
        <v>#DIV/0!</v>
      </c>
      <c r="P166" s="443" t="e">
        <f t="shared" si="26"/>
        <v>#DIV/0!</v>
      </c>
      <c r="Q166" s="126"/>
    </row>
    <row r="167" spans="1:17" x14ac:dyDescent="0.25">
      <c r="A167" s="49">
        <f>+'A) Base RI'!A169</f>
        <v>5673</v>
      </c>
      <c r="B167" s="293" t="str">
        <f>+'A) Base RI'!B169</f>
        <v>Hermenches</v>
      </c>
      <c r="C167" s="305">
        <f>+'D) Ecrêtage'!C167</f>
        <v>10638.728435374151</v>
      </c>
      <c r="D167" s="444"/>
      <c r="E167" s="446"/>
      <c r="F167" s="444"/>
      <c r="G167" s="305">
        <f t="shared" si="18"/>
        <v>0</v>
      </c>
      <c r="H167" s="285">
        <f t="shared" si="19"/>
        <v>85109.827482993205</v>
      </c>
      <c r="I167" s="10">
        <f t="shared" si="20"/>
        <v>0</v>
      </c>
      <c r="J167" s="302" t="e">
        <f t="shared" si="21"/>
        <v>#DIV/0!</v>
      </c>
      <c r="K167" s="448"/>
      <c r="L167" s="10">
        <f t="shared" si="22"/>
        <v>10638.728435374151</v>
      </c>
      <c r="M167" s="14">
        <f t="shared" si="23"/>
        <v>0</v>
      </c>
      <c r="N167" s="2" t="e">
        <f t="shared" si="24"/>
        <v>#DIV/0!</v>
      </c>
      <c r="O167" s="130" t="e">
        <f t="shared" si="25"/>
        <v>#DIV/0!</v>
      </c>
      <c r="P167" s="443" t="e">
        <f t="shared" si="26"/>
        <v>#DIV/0!</v>
      </c>
      <c r="Q167" s="126"/>
    </row>
    <row r="168" spans="1:17" x14ac:dyDescent="0.25">
      <c r="A168" s="49">
        <f>+'A) Base RI'!A170</f>
        <v>5674</v>
      </c>
      <c r="B168" s="293" t="str">
        <f>+'A) Base RI'!B170</f>
        <v>Lovatens</v>
      </c>
      <c r="C168" s="305">
        <f>+'D) Ecrêtage'!C168</f>
        <v>3430.742038095239</v>
      </c>
      <c r="D168" s="444"/>
      <c r="E168" s="446"/>
      <c r="F168" s="444"/>
      <c r="G168" s="305">
        <f t="shared" si="18"/>
        <v>0</v>
      </c>
      <c r="H168" s="285">
        <f t="shared" si="19"/>
        <v>27445.936304761912</v>
      </c>
      <c r="I168" s="10">
        <f t="shared" si="20"/>
        <v>0</v>
      </c>
      <c r="J168" s="302" t="e">
        <f t="shared" si="21"/>
        <v>#DIV/0!</v>
      </c>
      <c r="K168" s="448"/>
      <c r="L168" s="10">
        <f t="shared" si="22"/>
        <v>3430.742038095239</v>
      </c>
      <c r="M168" s="14">
        <f t="shared" si="23"/>
        <v>0</v>
      </c>
      <c r="N168" s="2" t="e">
        <f t="shared" si="24"/>
        <v>#DIV/0!</v>
      </c>
      <c r="O168" s="130" t="e">
        <f t="shared" si="25"/>
        <v>#DIV/0!</v>
      </c>
      <c r="P168" s="443" t="e">
        <f t="shared" si="26"/>
        <v>#DIV/0!</v>
      </c>
      <c r="Q168" s="126"/>
    </row>
    <row r="169" spans="1:17" x14ac:dyDescent="0.25">
      <c r="A169" s="49">
        <f>+'A) Base RI'!A171</f>
        <v>5675</v>
      </c>
      <c r="B169" s="293" t="str">
        <f>+'A) Base RI'!B171</f>
        <v>Lucens</v>
      </c>
      <c r="C169" s="305">
        <f>+'D) Ecrêtage'!C169</f>
        <v>97154.219717171698</v>
      </c>
      <c r="D169" s="444"/>
      <c r="E169" s="446"/>
      <c r="F169" s="444"/>
      <c r="G169" s="305">
        <f t="shared" si="18"/>
        <v>0</v>
      </c>
      <c r="H169" s="285">
        <f t="shared" si="19"/>
        <v>777233.75773737358</v>
      </c>
      <c r="I169" s="10">
        <f t="shared" si="20"/>
        <v>0</v>
      </c>
      <c r="J169" s="302" t="e">
        <f t="shared" si="21"/>
        <v>#DIV/0!</v>
      </c>
      <c r="K169" s="448"/>
      <c r="L169" s="10">
        <f t="shared" si="22"/>
        <v>97154.219717171698</v>
      </c>
      <c r="M169" s="14">
        <f t="shared" si="23"/>
        <v>0</v>
      </c>
      <c r="N169" s="2" t="e">
        <f t="shared" si="24"/>
        <v>#DIV/0!</v>
      </c>
      <c r="O169" s="130" t="e">
        <f t="shared" si="25"/>
        <v>#DIV/0!</v>
      </c>
      <c r="P169" s="443" t="e">
        <f t="shared" si="26"/>
        <v>#DIV/0!</v>
      </c>
      <c r="Q169" s="126"/>
    </row>
    <row r="170" spans="1:17" x14ac:dyDescent="0.25">
      <c r="A170" s="49">
        <f>+'A) Base RI'!A172</f>
        <v>5678</v>
      </c>
      <c r="B170" s="293" t="str">
        <f>+'A) Base RI'!B172</f>
        <v>Moudon</v>
      </c>
      <c r="C170" s="305">
        <f>+'D) Ecrêtage'!C170</f>
        <v>124965.41862068966</v>
      </c>
      <c r="D170" s="444"/>
      <c r="E170" s="446"/>
      <c r="F170" s="444"/>
      <c r="G170" s="305">
        <f t="shared" si="18"/>
        <v>0</v>
      </c>
      <c r="H170" s="285">
        <f t="shared" si="19"/>
        <v>999723.34896551725</v>
      </c>
      <c r="I170" s="10">
        <f t="shared" si="20"/>
        <v>0</v>
      </c>
      <c r="J170" s="302" t="e">
        <f t="shared" si="21"/>
        <v>#DIV/0!</v>
      </c>
      <c r="K170" s="448"/>
      <c r="L170" s="10">
        <f t="shared" si="22"/>
        <v>124965.41862068966</v>
      </c>
      <c r="M170" s="14">
        <f t="shared" si="23"/>
        <v>0</v>
      </c>
      <c r="N170" s="2" t="e">
        <f t="shared" si="24"/>
        <v>#DIV/0!</v>
      </c>
      <c r="O170" s="130" t="e">
        <f t="shared" si="25"/>
        <v>#DIV/0!</v>
      </c>
      <c r="P170" s="443" t="e">
        <f t="shared" si="26"/>
        <v>#DIV/0!</v>
      </c>
      <c r="Q170" s="126"/>
    </row>
    <row r="171" spans="1:17" x14ac:dyDescent="0.25">
      <c r="A171" s="49">
        <f>+'A) Base RI'!A173</f>
        <v>5680</v>
      </c>
      <c r="B171" s="293" t="str">
        <f>+'A) Base RI'!B173</f>
        <v>Ogens</v>
      </c>
      <c r="C171" s="305">
        <f>+'D) Ecrêtage'!C171</f>
        <v>8675.0652136752142</v>
      </c>
      <c r="D171" s="444"/>
      <c r="E171" s="446"/>
      <c r="F171" s="444"/>
      <c r="G171" s="305">
        <f t="shared" si="18"/>
        <v>0</v>
      </c>
      <c r="H171" s="285">
        <f t="shared" si="19"/>
        <v>69400.521709401713</v>
      </c>
      <c r="I171" s="10">
        <f t="shared" si="20"/>
        <v>0</v>
      </c>
      <c r="J171" s="302" t="e">
        <f t="shared" si="21"/>
        <v>#DIV/0!</v>
      </c>
      <c r="K171" s="448"/>
      <c r="L171" s="10">
        <f t="shared" si="22"/>
        <v>8675.0652136752142</v>
      </c>
      <c r="M171" s="14">
        <f t="shared" si="23"/>
        <v>0</v>
      </c>
      <c r="N171" s="2" t="e">
        <f t="shared" si="24"/>
        <v>#DIV/0!</v>
      </c>
      <c r="O171" s="130" t="e">
        <f t="shared" si="25"/>
        <v>#DIV/0!</v>
      </c>
      <c r="P171" s="443" t="e">
        <f t="shared" si="26"/>
        <v>#DIV/0!</v>
      </c>
      <c r="Q171" s="126"/>
    </row>
    <row r="172" spans="1:17" x14ac:dyDescent="0.25">
      <c r="A172" s="49">
        <f>+'A) Base RI'!A174</f>
        <v>5683</v>
      </c>
      <c r="B172" s="293" t="str">
        <f>+'A) Base RI'!B174</f>
        <v>Prévonloup</v>
      </c>
      <c r="C172" s="305">
        <f>+'D) Ecrêtage'!C172</f>
        <v>5006.0282758620697</v>
      </c>
      <c r="D172" s="444"/>
      <c r="E172" s="446"/>
      <c r="F172" s="444"/>
      <c r="G172" s="305">
        <f t="shared" si="18"/>
        <v>0</v>
      </c>
      <c r="H172" s="285">
        <f t="shared" si="19"/>
        <v>40048.226206896557</v>
      </c>
      <c r="I172" s="10">
        <f t="shared" si="20"/>
        <v>0</v>
      </c>
      <c r="J172" s="302" t="e">
        <f t="shared" si="21"/>
        <v>#DIV/0!</v>
      </c>
      <c r="K172" s="448"/>
      <c r="L172" s="10">
        <f t="shared" si="22"/>
        <v>5006.0282758620697</v>
      </c>
      <c r="M172" s="14">
        <f t="shared" si="23"/>
        <v>0</v>
      </c>
      <c r="N172" s="2" t="e">
        <f t="shared" si="24"/>
        <v>#DIV/0!</v>
      </c>
      <c r="O172" s="130" t="e">
        <f t="shared" si="25"/>
        <v>#DIV/0!</v>
      </c>
      <c r="P172" s="443" t="e">
        <f t="shared" si="26"/>
        <v>#DIV/0!</v>
      </c>
      <c r="Q172" s="126"/>
    </row>
    <row r="173" spans="1:17" x14ac:dyDescent="0.25">
      <c r="A173" s="49">
        <f>+'A) Base RI'!A175</f>
        <v>5684</v>
      </c>
      <c r="B173" s="293" t="str">
        <f>+'A) Base RI'!B175</f>
        <v>Rossenges</v>
      </c>
      <c r="C173" s="305">
        <f>+'D) Ecrêtage'!C173</f>
        <v>4335.3234000000011</v>
      </c>
      <c r="D173" s="444"/>
      <c r="E173" s="446"/>
      <c r="F173" s="444"/>
      <c r="G173" s="305">
        <f t="shared" si="18"/>
        <v>0</v>
      </c>
      <c r="H173" s="285">
        <f t="shared" si="19"/>
        <v>34682.587200000009</v>
      </c>
      <c r="I173" s="10">
        <f t="shared" si="20"/>
        <v>0</v>
      </c>
      <c r="J173" s="302" t="e">
        <f t="shared" si="21"/>
        <v>#DIV/0!</v>
      </c>
      <c r="K173" s="448"/>
      <c r="L173" s="10">
        <f t="shared" si="22"/>
        <v>4335.3234000000011</v>
      </c>
      <c r="M173" s="14">
        <f t="shared" si="23"/>
        <v>0</v>
      </c>
      <c r="N173" s="2" t="e">
        <f t="shared" si="24"/>
        <v>#DIV/0!</v>
      </c>
      <c r="O173" s="130" t="e">
        <f t="shared" si="25"/>
        <v>#DIV/0!</v>
      </c>
      <c r="P173" s="443" t="e">
        <f t="shared" si="26"/>
        <v>#DIV/0!</v>
      </c>
      <c r="Q173" s="126"/>
    </row>
    <row r="174" spans="1:17" x14ac:dyDescent="0.25">
      <c r="A174" s="49">
        <f>+'A) Base RI'!A176</f>
        <v>5688</v>
      </c>
      <c r="B174" s="293" t="str">
        <f>+'A) Base RI'!B176</f>
        <v>Syens</v>
      </c>
      <c r="C174" s="305">
        <f>+'D) Ecrêtage'!C174</f>
        <v>5094.0764550264557</v>
      </c>
      <c r="D174" s="444"/>
      <c r="E174" s="446"/>
      <c r="F174" s="444"/>
      <c r="G174" s="305">
        <f t="shared" si="18"/>
        <v>0</v>
      </c>
      <c r="H174" s="285">
        <f t="shared" si="19"/>
        <v>40752.611640211646</v>
      </c>
      <c r="I174" s="10">
        <f t="shared" si="20"/>
        <v>0</v>
      </c>
      <c r="J174" s="302" t="e">
        <f t="shared" si="21"/>
        <v>#DIV/0!</v>
      </c>
      <c r="K174" s="448"/>
      <c r="L174" s="10">
        <f t="shared" si="22"/>
        <v>5094.0764550264557</v>
      </c>
      <c r="M174" s="14">
        <f t="shared" si="23"/>
        <v>0</v>
      </c>
      <c r="N174" s="2" t="e">
        <f t="shared" si="24"/>
        <v>#DIV/0!</v>
      </c>
      <c r="O174" s="130" t="e">
        <f t="shared" si="25"/>
        <v>#DIV/0!</v>
      </c>
      <c r="P174" s="443" t="e">
        <f t="shared" si="26"/>
        <v>#DIV/0!</v>
      </c>
      <c r="Q174" s="126"/>
    </row>
    <row r="175" spans="1:17" x14ac:dyDescent="0.25">
      <c r="A175" s="49">
        <f>+'A) Base RI'!A177</f>
        <v>5690</v>
      </c>
      <c r="B175" s="293" t="str">
        <f>+'A) Base RI'!B177</f>
        <v>Villars-le-Comte</v>
      </c>
      <c r="C175" s="305">
        <f>+'D) Ecrêtage'!C175</f>
        <v>3483.7788571428573</v>
      </c>
      <c r="D175" s="444"/>
      <c r="E175" s="446"/>
      <c r="F175" s="444"/>
      <c r="G175" s="305">
        <f t="shared" si="18"/>
        <v>0</v>
      </c>
      <c r="H175" s="285">
        <f t="shared" si="19"/>
        <v>27870.230857142858</v>
      </c>
      <c r="I175" s="10">
        <f t="shared" si="20"/>
        <v>0</v>
      </c>
      <c r="J175" s="302" t="e">
        <f t="shared" si="21"/>
        <v>#DIV/0!</v>
      </c>
      <c r="K175" s="448"/>
      <c r="L175" s="10">
        <f t="shared" si="22"/>
        <v>3483.7788571428573</v>
      </c>
      <c r="M175" s="14">
        <f t="shared" si="23"/>
        <v>0</v>
      </c>
      <c r="N175" s="2" t="e">
        <f t="shared" si="24"/>
        <v>#DIV/0!</v>
      </c>
      <c r="O175" s="130" t="e">
        <f t="shared" si="25"/>
        <v>#DIV/0!</v>
      </c>
      <c r="P175" s="443" t="e">
        <f t="shared" si="26"/>
        <v>#DIV/0!</v>
      </c>
      <c r="Q175" s="126"/>
    </row>
    <row r="176" spans="1:17" x14ac:dyDescent="0.25">
      <c r="A176" s="49">
        <f>+'A) Base RI'!A178</f>
        <v>5692</v>
      </c>
      <c r="B176" s="293" t="str">
        <f>+'A) Base RI'!B178</f>
        <v>Vucherens</v>
      </c>
      <c r="C176" s="305">
        <f>+'D) Ecrêtage'!C176</f>
        <v>18084.556363636369</v>
      </c>
      <c r="D176" s="444"/>
      <c r="E176" s="446"/>
      <c r="F176" s="444"/>
      <c r="G176" s="305">
        <f t="shared" si="18"/>
        <v>0</v>
      </c>
      <c r="H176" s="285">
        <f t="shared" si="19"/>
        <v>144676.45090909096</v>
      </c>
      <c r="I176" s="10">
        <f t="shared" si="20"/>
        <v>0</v>
      </c>
      <c r="J176" s="302" t="e">
        <f t="shared" si="21"/>
        <v>#DIV/0!</v>
      </c>
      <c r="K176" s="448"/>
      <c r="L176" s="10">
        <f t="shared" si="22"/>
        <v>18084.556363636369</v>
      </c>
      <c r="M176" s="14">
        <f t="shared" si="23"/>
        <v>0</v>
      </c>
      <c r="N176" s="2" t="e">
        <f t="shared" si="24"/>
        <v>#DIV/0!</v>
      </c>
      <c r="O176" s="130" t="e">
        <f t="shared" si="25"/>
        <v>#DIV/0!</v>
      </c>
      <c r="P176" s="443" t="e">
        <f t="shared" si="26"/>
        <v>#DIV/0!</v>
      </c>
      <c r="Q176" s="126"/>
    </row>
    <row r="177" spans="1:17" x14ac:dyDescent="0.25">
      <c r="A177" s="49">
        <f>+'A) Base RI'!A179</f>
        <v>5693</v>
      </c>
      <c r="B177" s="293" t="str">
        <f>+'A) Base RI'!B179</f>
        <v>Montanaire</v>
      </c>
      <c r="C177" s="305">
        <f>+'D) Ecrêtage'!C177</f>
        <v>71120.535138888881</v>
      </c>
      <c r="D177" s="444"/>
      <c r="E177" s="446"/>
      <c r="F177" s="444"/>
      <c r="G177" s="305">
        <f t="shared" si="18"/>
        <v>0</v>
      </c>
      <c r="H177" s="285">
        <f t="shared" si="19"/>
        <v>568964.28111111105</v>
      </c>
      <c r="I177" s="10">
        <f t="shared" si="20"/>
        <v>0</v>
      </c>
      <c r="J177" s="302" t="e">
        <f t="shared" si="21"/>
        <v>#DIV/0!</v>
      </c>
      <c r="K177" s="448"/>
      <c r="L177" s="10">
        <f t="shared" si="22"/>
        <v>71120.535138888881</v>
      </c>
      <c r="M177" s="14">
        <f t="shared" si="23"/>
        <v>0</v>
      </c>
      <c r="N177" s="2" t="e">
        <f t="shared" si="24"/>
        <v>#DIV/0!</v>
      </c>
      <c r="O177" s="130" t="e">
        <f t="shared" si="25"/>
        <v>#DIV/0!</v>
      </c>
      <c r="P177" s="443" t="e">
        <f t="shared" si="26"/>
        <v>#DIV/0!</v>
      </c>
      <c r="Q177" s="126"/>
    </row>
    <row r="178" spans="1:17" x14ac:dyDescent="0.25">
      <c r="A178" s="49">
        <f>+'A) Base RI'!A180</f>
        <v>5701</v>
      </c>
      <c r="B178" s="293" t="str">
        <f>+'A) Base RI'!B180</f>
        <v>Arnex-sur-Nyon</v>
      </c>
      <c r="C178" s="305">
        <f>+'D) Ecrêtage'!C178</f>
        <v>12579.391714285715</v>
      </c>
      <c r="D178" s="444"/>
      <c r="E178" s="446"/>
      <c r="F178" s="444"/>
      <c r="G178" s="305">
        <f t="shared" si="18"/>
        <v>0</v>
      </c>
      <c r="H178" s="285">
        <f t="shared" si="19"/>
        <v>100635.13371428572</v>
      </c>
      <c r="I178" s="10">
        <f t="shared" si="20"/>
        <v>0</v>
      </c>
      <c r="J178" s="302" t="e">
        <f t="shared" si="21"/>
        <v>#DIV/0!</v>
      </c>
      <c r="K178" s="448"/>
      <c r="L178" s="10">
        <f t="shared" si="22"/>
        <v>12579.391714285715</v>
      </c>
      <c r="M178" s="14">
        <f t="shared" si="23"/>
        <v>0</v>
      </c>
      <c r="N178" s="2" t="e">
        <f t="shared" si="24"/>
        <v>#DIV/0!</v>
      </c>
      <c r="O178" s="130" t="e">
        <f t="shared" si="25"/>
        <v>#DIV/0!</v>
      </c>
      <c r="P178" s="443" t="e">
        <f t="shared" si="26"/>
        <v>#DIV/0!</v>
      </c>
      <c r="Q178" s="126"/>
    </row>
    <row r="179" spans="1:17" x14ac:dyDescent="0.25">
      <c r="A179" s="49">
        <f>+'A) Base RI'!A181</f>
        <v>5702</v>
      </c>
      <c r="B179" s="293" t="str">
        <f>+'A) Base RI'!B181</f>
        <v>Arzier-Le Muids</v>
      </c>
      <c r="C179" s="305">
        <f>+'D) Ecrêtage'!C179</f>
        <v>167751.11713541666</v>
      </c>
      <c r="D179" s="444"/>
      <c r="E179" s="446"/>
      <c r="F179" s="444"/>
      <c r="G179" s="305">
        <f t="shared" si="18"/>
        <v>0</v>
      </c>
      <c r="H179" s="285">
        <f t="shared" si="19"/>
        <v>1342008.9370833333</v>
      </c>
      <c r="I179" s="10">
        <f t="shared" si="20"/>
        <v>0</v>
      </c>
      <c r="J179" s="302" t="e">
        <f t="shared" si="21"/>
        <v>#DIV/0!</v>
      </c>
      <c r="K179" s="448"/>
      <c r="L179" s="10">
        <f t="shared" si="22"/>
        <v>167751.11713541666</v>
      </c>
      <c r="M179" s="14">
        <f t="shared" si="23"/>
        <v>0</v>
      </c>
      <c r="N179" s="2" t="e">
        <f t="shared" si="24"/>
        <v>#DIV/0!</v>
      </c>
      <c r="O179" s="130" t="e">
        <f t="shared" si="25"/>
        <v>#DIV/0!</v>
      </c>
      <c r="P179" s="443" t="e">
        <f t="shared" si="26"/>
        <v>#DIV/0!</v>
      </c>
      <c r="Q179" s="126"/>
    </row>
    <row r="180" spans="1:17" x14ac:dyDescent="0.25">
      <c r="A180" s="49">
        <f>+'A) Base RI'!A182</f>
        <v>5703</v>
      </c>
      <c r="B180" s="293" t="str">
        <f>+'A) Base RI'!B182</f>
        <v>Bassins</v>
      </c>
      <c r="C180" s="305">
        <f>+'D) Ecrêtage'!C180</f>
        <v>66904.36396059113</v>
      </c>
      <c r="D180" s="444"/>
      <c r="E180" s="446"/>
      <c r="F180" s="444"/>
      <c r="G180" s="305">
        <f t="shared" si="18"/>
        <v>0</v>
      </c>
      <c r="H180" s="285">
        <f t="shared" si="19"/>
        <v>535234.91168472904</v>
      </c>
      <c r="I180" s="10">
        <f t="shared" si="20"/>
        <v>0</v>
      </c>
      <c r="J180" s="302" t="e">
        <f t="shared" si="21"/>
        <v>#DIV/0!</v>
      </c>
      <c r="K180" s="448"/>
      <c r="L180" s="10">
        <f t="shared" si="22"/>
        <v>66904.36396059113</v>
      </c>
      <c r="M180" s="14">
        <f t="shared" si="23"/>
        <v>0</v>
      </c>
      <c r="N180" s="2" t="e">
        <f t="shared" si="24"/>
        <v>#DIV/0!</v>
      </c>
      <c r="O180" s="130" t="e">
        <f t="shared" si="25"/>
        <v>#DIV/0!</v>
      </c>
      <c r="P180" s="443" t="e">
        <f t="shared" si="26"/>
        <v>#DIV/0!</v>
      </c>
      <c r="Q180" s="126"/>
    </row>
    <row r="181" spans="1:17" x14ac:dyDescent="0.25">
      <c r="A181" s="49">
        <f>+'A) Base RI'!A183</f>
        <v>5704</v>
      </c>
      <c r="B181" s="293" t="str">
        <f>+'A) Base RI'!B183</f>
        <v>Begnins</v>
      </c>
      <c r="C181" s="305">
        <f>+'D) Ecrêtage'!C181</f>
        <v>141538.79477333333</v>
      </c>
      <c r="D181" s="444"/>
      <c r="E181" s="446"/>
      <c r="F181" s="444"/>
      <c r="G181" s="305">
        <f t="shared" si="18"/>
        <v>0</v>
      </c>
      <c r="H181" s="285">
        <f t="shared" si="19"/>
        <v>1132310.3581866666</v>
      </c>
      <c r="I181" s="10">
        <f t="shared" si="20"/>
        <v>0</v>
      </c>
      <c r="J181" s="302" t="e">
        <f t="shared" si="21"/>
        <v>#DIV/0!</v>
      </c>
      <c r="K181" s="448"/>
      <c r="L181" s="10">
        <f t="shared" si="22"/>
        <v>141538.79477333333</v>
      </c>
      <c r="M181" s="14">
        <f t="shared" si="23"/>
        <v>0</v>
      </c>
      <c r="N181" s="2" t="e">
        <f t="shared" si="24"/>
        <v>#DIV/0!</v>
      </c>
      <c r="O181" s="130" t="e">
        <f t="shared" si="25"/>
        <v>#DIV/0!</v>
      </c>
      <c r="P181" s="443" t="e">
        <f t="shared" si="26"/>
        <v>#DIV/0!</v>
      </c>
      <c r="Q181" s="126"/>
    </row>
    <row r="182" spans="1:17" x14ac:dyDescent="0.25">
      <c r="A182" s="49">
        <f>+'A) Base RI'!A184</f>
        <v>5705</v>
      </c>
      <c r="B182" s="293" t="str">
        <f>+'A) Base RI'!B184</f>
        <v>Bogis-Bossey</v>
      </c>
      <c r="C182" s="305">
        <f>+'D) Ecrêtage'!C182</f>
        <v>56148.948053691274</v>
      </c>
      <c r="D182" s="444"/>
      <c r="E182" s="446"/>
      <c r="F182" s="444"/>
      <c r="G182" s="305">
        <f t="shared" si="18"/>
        <v>0</v>
      </c>
      <c r="H182" s="285">
        <f t="shared" si="19"/>
        <v>449191.58442953019</v>
      </c>
      <c r="I182" s="10">
        <f t="shared" si="20"/>
        <v>0</v>
      </c>
      <c r="J182" s="302" t="e">
        <f t="shared" si="21"/>
        <v>#DIV/0!</v>
      </c>
      <c r="K182" s="448"/>
      <c r="L182" s="10">
        <f t="shared" si="22"/>
        <v>56148.948053691274</v>
      </c>
      <c r="M182" s="14">
        <f t="shared" si="23"/>
        <v>0</v>
      </c>
      <c r="N182" s="2" t="e">
        <f t="shared" si="24"/>
        <v>#DIV/0!</v>
      </c>
      <c r="O182" s="130" t="e">
        <f t="shared" si="25"/>
        <v>#DIV/0!</v>
      </c>
      <c r="P182" s="443" t="e">
        <f t="shared" si="26"/>
        <v>#DIV/0!</v>
      </c>
      <c r="Q182" s="126"/>
    </row>
    <row r="183" spans="1:17" x14ac:dyDescent="0.25">
      <c r="A183" s="49">
        <f>+'A) Base RI'!A185</f>
        <v>5706</v>
      </c>
      <c r="B183" s="293" t="str">
        <f>+'A) Base RI'!B185</f>
        <v>Borex</v>
      </c>
      <c r="C183" s="305">
        <f>+'D) Ecrêtage'!C183</f>
        <v>84057.706842105254</v>
      </c>
      <c r="D183" s="444"/>
      <c r="E183" s="446"/>
      <c r="F183" s="444"/>
      <c r="G183" s="305">
        <f t="shared" si="18"/>
        <v>0</v>
      </c>
      <c r="H183" s="285">
        <f t="shared" si="19"/>
        <v>672461.65473684203</v>
      </c>
      <c r="I183" s="10">
        <f t="shared" si="20"/>
        <v>0</v>
      </c>
      <c r="J183" s="302" t="e">
        <f t="shared" si="21"/>
        <v>#DIV/0!</v>
      </c>
      <c r="K183" s="448"/>
      <c r="L183" s="10">
        <f t="shared" si="22"/>
        <v>84057.706842105254</v>
      </c>
      <c r="M183" s="14">
        <f t="shared" si="23"/>
        <v>0</v>
      </c>
      <c r="N183" s="2" t="e">
        <f t="shared" si="24"/>
        <v>#DIV/0!</v>
      </c>
      <c r="O183" s="130" t="e">
        <f t="shared" si="25"/>
        <v>#DIV/0!</v>
      </c>
      <c r="P183" s="443" t="e">
        <f t="shared" si="26"/>
        <v>#DIV/0!</v>
      </c>
      <c r="Q183" s="126"/>
    </row>
    <row r="184" spans="1:17" x14ac:dyDescent="0.25">
      <c r="A184" s="49">
        <f>+'A) Base RI'!A186</f>
        <v>5707</v>
      </c>
      <c r="B184" s="293" t="str">
        <f>+'A) Base RI'!B186</f>
        <v>Chavannes-de-Bogis</v>
      </c>
      <c r="C184" s="305">
        <f>+'D) Ecrêtage'!C184</f>
        <v>81835.320459770097</v>
      </c>
      <c r="D184" s="444"/>
      <c r="E184" s="446"/>
      <c r="F184" s="444"/>
      <c r="G184" s="305">
        <f t="shared" si="18"/>
        <v>0</v>
      </c>
      <c r="H184" s="285">
        <f t="shared" si="19"/>
        <v>654682.56367816078</v>
      </c>
      <c r="I184" s="10">
        <f t="shared" si="20"/>
        <v>0</v>
      </c>
      <c r="J184" s="302" t="e">
        <f t="shared" si="21"/>
        <v>#DIV/0!</v>
      </c>
      <c r="K184" s="448"/>
      <c r="L184" s="10">
        <f t="shared" si="22"/>
        <v>81835.320459770097</v>
      </c>
      <c r="M184" s="14">
        <f t="shared" si="23"/>
        <v>0</v>
      </c>
      <c r="N184" s="2" t="e">
        <f t="shared" si="24"/>
        <v>#DIV/0!</v>
      </c>
      <c r="O184" s="130" t="e">
        <f t="shared" si="25"/>
        <v>#DIV/0!</v>
      </c>
      <c r="P184" s="443" t="e">
        <f t="shared" si="26"/>
        <v>#DIV/0!</v>
      </c>
      <c r="Q184" s="126"/>
    </row>
    <row r="185" spans="1:17" x14ac:dyDescent="0.25">
      <c r="A185" s="49">
        <f>+'A) Base RI'!A187</f>
        <v>5708</v>
      </c>
      <c r="B185" s="293" t="str">
        <f>+'A) Base RI'!B187</f>
        <v>Chavannes-des-Bois</v>
      </c>
      <c r="C185" s="305">
        <f>+'D) Ecrêtage'!C185</f>
        <v>67256.112794117653</v>
      </c>
      <c r="D185" s="444"/>
      <c r="E185" s="446"/>
      <c r="F185" s="444"/>
      <c r="G185" s="305">
        <f t="shared" si="18"/>
        <v>0</v>
      </c>
      <c r="H185" s="285">
        <f t="shared" si="19"/>
        <v>538048.90235294122</v>
      </c>
      <c r="I185" s="10">
        <f t="shared" si="20"/>
        <v>0</v>
      </c>
      <c r="J185" s="302" t="e">
        <f t="shared" si="21"/>
        <v>#DIV/0!</v>
      </c>
      <c r="K185" s="448"/>
      <c r="L185" s="10">
        <f t="shared" si="22"/>
        <v>67256.112794117653</v>
      </c>
      <c r="M185" s="14">
        <f t="shared" si="23"/>
        <v>0</v>
      </c>
      <c r="N185" s="2" t="e">
        <f t="shared" si="24"/>
        <v>#DIV/0!</v>
      </c>
      <c r="O185" s="130" t="e">
        <f t="shared" si="25"/>
        <v>#DIV/0!</v>
      </c>
      <c r="P185" s="443" t="e">
        <f t="shared" si="26"/>
        <v>#DIV/0!</v>
      </c>
      <c r="Q185" s="126"/>
    </row>
    <row r="186" spans="1:17" x14ac:dyDescent="0.25">
      <c r="A186" s="49">
        <f>+'A) Base RI'!A188</f>
        <v>5709</v>
      </c>
      <c r="B186" s="293" t="str">
        <f>+'A) Base RI'!B188</f>
        <v>Chéserex</v>
      </c>
      <c r="C186" s="305">
        <f>+'D) Ecrêtage'!C186</f>
        <v>97368.06631578946</v>
      </c>
      <c r="D186" s="444"/>
      <c r="E186" s="446"/>
      <c r="F186" s="444"/>
      <c r="G186" s="305">
        <f t="shared" si="18"/>
        <v>0</v>
      </c>
      <c r="H186" s="285">
        <f t="shared" si="19"/>
        <v>778944.53052631568</v>
      </c>
      <c r="I186" s="10">
        <f t="shared" si="20"/>
        <v>0</v>
      </c>
      <c r="J186" s="302" t="e">
        <f t="shared" si="21"/>
        <v>#DIV/0!</v>
      </c>
      <c r="K186" s="448"/>
      <c r="L186" s="10">
        <f t="shared" si="22"/>
        <v>97368.06631578946</v>
      </c>
      <c r="M186" s="14">
        <f t="shared" si="23"/>
        <v>0</v>
      </c>
      <c r="N186" s="2" t="e">
        <f t="shared" si="24"/>
        <v>#DIV/0!</v>
      </c>
      <c r="O186" s="130" t="e">
        <f t="shared" si="25"/>
        <v>#DIV/0!</v>
      </c>
      <c r="P186" s="443" t="e">
        <f t="shared" si="26"/>
        <v>#DIV/0!</v>
      </c>
      <c r="Q186" s="126"/>
    </row>
    <row r="187" spans="1:17" x14ac:dyDescent="0.25">
      <c r="A187" s="49">
        <f>+'A) Base RI'!A189</f>
        <v>5710</v>
      </c>
      <c r="B187" s="293" t="str">
        <f>+'A) Base RI'!B189</f>
        <v>Coinsins</v>
      </c>
      <c r="C187" s="305">
        <f>+'D) Ecrêtage'!C187</f>
        <v>41108.965294117646</v>
      </c>
      <c r="D187" s="444"/>
      <c r="E187" s="446"/>
      <c r="F187" s="444"/>
      <c r="G187" s="305">
        <f t="shared" si="18"/>
        <v>0</v>
      </c>
      <c r="H187" s="285">
        <f t="shared" si="19"/>
        <v>328871.72235294117</v>
      </c>
      <c r="I187" s="10">
        <f t="shared" si="20"/>
        <v>0</v>
      </c>
      <c r="J187" s="302" t="e">
        <f t="shared" si="21"/>
        <v>#DIV/0!</v>
      </c>
      <c r="K187" s="448"/>
      <c r="L187" s="10">
        <f t="shared" si="22"/>
        <v>41108.965294117646</v>
      </c>
      <c r="M187" s="14">
        <f t="shared" si="23"/>
        <v>0</v>
      </c>
      <c r="N187" s="2" t="e">
        <f t="shared" si="24"/>
        <v>#DIV/0!</v>
      </c>
      <c r="O187" s="130" t="e">
        <f t="shared" si="25"/>
        <v>#DIV/0!</v>
      </c>
      <c r="P187" s="443" t="e">
        <f t="shared" si="26"/>
        <v>#DIV/0!</v>
      </c>
      <c r="Q187" s="126"/>
    </row>
    <row r="188" spans="1:17" x14ac:dyDescent="0.25">
      <c r="A188" s="49">
        <f>+'A) Base RI'!A190</f>
        <v>5711</v>
      </c>
      <c r="B188" s="293" t="str">
        <f>+'A) Base RI'!B190</f>
        <v>Commugny</v>
      </c>
      <c r="C188" s="305">
        <f>+'D) Ecrêtage'!C188</f>
        <v>252772.67295911297</v>
      </c>
      <c r="D188" s="444"/>
      <c r="E188" s="446"/>
      <c r="F188" s="444"/>
      <c r="G188" s="305">
        <f t="shared" si="18"/>
        <v>0</v>
      </c>
      <c r="H188" s="285">
        <f t="shared" si="19"/>
        <v>2022181.3836729038</v>
      </c>
      <c r="I188" s="10">
        <f t="shared" si="20"/>
        <v>0</v>
      </c>
      <c r="J188" s="302" t="e">
        <f t="shared" si="21"/>
        <v>#DIV/0!</v>
      </c>
      <c r="K188" s="448"/>
      <c r="L188" s="10">
        <f t="shared" si="22"/>
        <v>252772.67295911297</v>
      </c>
      <c r="M188" s="14">
        <f t="shared" si="23"/>
        <v>0</v>
      </c>
      <c r="N188" s="2" t="e">
        <f t="shared" si="24"/>
        <v>#DIV/0!</v>
      </c>
      <c r="O188" s="130" t="e">
        <f t="shared" si="25"/>
        <v>#DIV/0!</v>
      </c>
      <c r="P188" s="443" t="e">
        <f t="shared" si="26"/>
        <v>#DIV/0!</v>
      </c>
      <c r="Q188" s="126"/>
    </row>
    <row r="189" spans="1:17" x14ac:dyDescent="0.25">
      <c r="A189" s="49">
        <f>+'A) Base RI'!A191</f>
        <v>5712</v>
      </c>
      <c r="B189" s="293" t="str">
        <f>+'A) Base RI'!B191</f>
        <v>Coppet</v>
      </c>
      <c r="C189" s="305">
        <f>+'D) Ecrêtage'!C189</f>
        <v>382004.08345911955</v>
      </c>
      <c r="D189" s="444"/>
      <c r="E189" s="446"/>
      <c r="F189" s="444"/>
      <c r="G189" s="305">
        <f t="shared" si="18"/>
        <v>0</v>
      </c>
      <c r="H189" s="285">
        <f t="shared" si="19"/>
        <v>3056032.6676729564</v>
      </c>
      <c r="I189" s="10">
        <f t="shared" si="20"/>
        <v>0</v>
      </c>
      <c r="J189" s="302" t="e">
        <f t="shared" si="21"/>
        <v>#DIV/0!</v>
      </c>
      <c r="K189" s="448"/>
      <c r="L189" s="10">
        <f t="shared" si="22"/>
        <v>382004.08345911955</v>
      </c>
      <c r="M189" s="14">
        <f t="shared" si="23"/>
        <v>0</v>
      </c>
      <c r="N189" s="2" t="e">
        <f t="shared" si="24"/>
        <v>#DIV/0!</v>
      </c>
      <c r="O189" s="130" t="e">
        <f t="shared" si="25"/>
        <v>#DIV/0!</v>
      </c>
      <c r="P189" s="443" t="e">
        <f t="shared" si="26"/>
        <v>#DIV/0!</v>
      </c>
      <c r="Q189" s="126"/>
    </row>
    <row r="190" spans="1:17" x14ac:dyDescent="0.25">
      <c r="A190" s="49">
        <f>+'A) Base RI'!A192</f>
        <v>5713</v>
      </c>
      <c r="B190" s="293" t="str">
        <f>+'A) Base RI'!B192</f>
        <v>Crans-près-Céligny</v>
      </c>
      <c r="C190" s="305">
        <f>+'D) Ecrêtage'!C190</f>
        <v>308668.8301785714</v>
      </c>
      <c r="D190" s="444"/>
      <c r="E190" s="446"/>
      <c r="F190" s="444"/>
      <c r="G190" s="305">
        <f t="shared" si="18"/>
        <v>0</v>
      </c>
      <c r="H190" s="285">
        <f t="shared" si="19"/>
        <v>2469350.6414285712</v>
      </c>
      <c r="I190" s="10">
        <f t="shared" si="20"/>
        <v>0</v>
      </c>
      <c r="J190" s="302" t="e">
        <f t="shared" si="21"/>
        <v>#DIV/0!</v>
      </c>
      <c r="K190" s="448"/>
      <c r="L190" s="10">
        <f t="shared" si="22"/>
        <v>308668.8301785714</v>
      </c>
      <c r="M190" s="14">
        <f t="shared" si="23"/>
        <v>0</v>
      </c>
      <c r="N190" s="2" t="e">
        <f t="shared" si="24"/>
        <v>#DIV/0!</v>
      </c>
      <c r="O190" s="130" t="e">
        <f t="shared" si="25"/>
        <v>#DIV/0!</v>
      </c>
      <c r="P190" s="443" t="e">
        <f t="shared" si="26"/>
        <v>#DIV/0!</v>
      </c>
      <c r="Q190" s="126"/>
    </row>
    <row r="191" spans="1:17" x14ac:dyDescent="0.25">
      <c r="A191" s="49">
        <f>+'A) Base RI'!A193</f>
        <v>5714</v>
      </c>
      <c r="B191" s="293" t="str">
        <f>+'A) Base RI'!B193</f>
        <v>Crassier</v>
      </c>
      <c r="C191" s="305">
        <f>+'D) Ecrêtage'!C191</f>
        <v>53429.691617647055</v>
      </c>
      <c r="D191" s="444"/>
      <c r="E191" s="446"/>
      <c r="F191" s="444"/>
      <c r="G191" s="305">
        <f t="shared" si="18"/>
        <v>0</v>
      </c>
      <c r="H191" s="285">
        <f t="shared" si="19"/>
        <v>427437.53294117644</v>
      </c>
      <c r="I191" s="10">
        <f t="shared" si="20"/>
        <v>0</v>
      </c>
      <c r="J191" s="302" t="e">
        <f t="shared" si="21"/>
        <v>#DIV/0!</v>
      </c>
      <c r="K191" s="448"/>
      <c r="L191" s="10">
        <f t="shared" si="22"/>
        <v>53429.691617647055</v>
      </c>
      <c r="M191" s="14">
        <f t="shared" si="23"/>
        <v>0</v>
      </c>
      <c r="N191" s="2" t="e">
        <f t="shared" si="24"/>
        <v>#DIV/0!</v>
      </c>
      <c r="O191" s="130" t="e">
        <f t="shared" si="25"/>
        <v>#DIV/0!</v>
      </c>
      <c r="P191" s="443" t="e">
        <f t="shared" si="26"/>
        <v>#DIV/0!</v>
      </c>
      <c r="Q191" s="126"/>
    </row>
    <row r="192" spans="1:17" x14ac:dyDescent="0.25">
      <c r="A192" s="49">
        <f>+'A) Base RI'!A194</f>
        <v>5715</v>
      </c>
      <c r="B192" s="293" t="str">
        <f>+'A) Base RI'!B194</f>
        <v>Duillier</v>
      </c>
      <c r="C192" s="305">
        <f>+'D) Ecrêtage'!C192</f>
        <v>61573.714242424234</v>
      </c>
      <c r="D192" s="444"/>
      <c r="E192" s="446"/>
      <c r="F192" s="444"/>
      <c r="G192" s="305">
        <f t="shared" si="18"/>
        <v>0</v>
      </c>
      <c r="H192" s="285">
        <f t="shared" si="19"/>
        <v>492589.71393939387</v>
      </c>
      <c r="I192" s="10">
        <f t="shared" si="20"/>
        <v>0</v>
      </c>
      <c r="J192" s="302" t="e">
        <f t="shared" si="21"/>
        <v>#DIV/0!</v>
      </c>
      <c r="K192" s="448"/>
      <c r="L192" s="10">
        <f t="shared" si="22"/>
        <v>61573.714242424234</v>
      </c>
      <c r="M192" s="14">
        <f t="shared" si="23"/>
        <v>0</v>
      </c>
      <c r="N192" s="2" t="e">
        <f t="shared" si="24"/>
        <v>#DIV/0!</v>
      </c>
      <c r="O192" s="130" t="e">
        <f t="shared" si="25"/>
        <v>#DIV/0!</v>
      </c>
      <c r="P192" s="443" t="e">
        <f t="shared" si="26"/>
        <v>#DIV/0!</v>
      </c>
      <c r="Q192" s="126"/>
    </row>
    <row r="193" spans="1:17" x14ac:dyDescent="0.25">
      <c r="A193" s="49">
        <f>+'A) Base RI'!A195</f>
        <v>5716</v>
      </c>
      <c r="B193" s="293" t="str">
        <f>+'A) Base RI'!B195</f>
        <v>Eysins</v>
      </c>
      <c r="C193" s="305">
        <f>+'D) Ecrêtage'!C193</f>
        <v>311499.41949579836</v>
      </c>
      <c r="D193" s="444"/>
      <c r="E193" s="446"/>
      <c r="F193" s="444"/>
      <c r="G193" s="305">
        <f t="shared" si="18"/>
        <v>0</v>
      </c>
      <c r="H193" s="285">
        <f t="shared" si="19"/>
        <v>2491995.3559663869</v>
      </c>
      <c r="I193" s="10">
        <f t="shared" si="20"/>
        <v>0</v>
      </c>
      <c r="J193" s="302" t="e">
        <f t="shared" si="21"/>
        <v>#DIV/0!</v>
      </c>
      <c r="K193" s="448"/>
      <c r="L193" s="10">
        <f t="shared" si="22"/>
        <v>311499.41949579836</v>
      </c>
      <c r="M193" s="14">
        <f t="shared" si="23"/>
        <v>0</v>
      </c>
      <c r="N193" s="2" t="e">
        <f t="shared" si="24"/>
        <v>#DIV/0!</v>
      </c>
      <c r="O193" s="130" t="e">
        <f t="shared" si="25"/>
        <v>#DIV/0!</v>
      </c>
      <c r="P193" s="443" t="e">
        <f t="shared" si="26"/>
        <v>#DIV/0!</v>
      </c>
      <c r="Q193" s="126"/>
    </row>
    <row r="194" spans="1:17" x14ac:dyDescent="0.25">
      <c r="A194" s="49">
        <f>+'A) Base RI'!A196</f>
        <v>5717</v>
      </c>
      <c r="B194" s="293" t="str">
        <f>+'A) Base RI'!B196</f>
        <v>Founex</v>
      </c>
      <c r="C194" s="305">
        <f>+'D) Ecrêtage'!C194</f>
        <v>386801.60228070174</v>
      </c>
      <c r="D194" s="444"/>
      <c r="E194" s="446"/>
      <c r="F194" s="444"/>
      <c r="G194" s="305">
        <f t="shared" si="18"/>
        <v>0</v>
      </c>
      <c r="H194" s="285">
        <f t="shared" si="19"/>
        <v>3094412.8182456139</v>
      </c>
      <c r="I194" s="10">
        <f t="shared" si="20"/>
        <v>0</v>
      </c>
      <c r="J194" s="302" t="e">
        <f t="shared" si="21"/>
        <v>#DIV/0!</v>
      </c>
      <c r="K194" s="448"/>
      <c r="L194" s="10">
        <f t="shared" si="22"/>
        <v>386801.60228070174</v>
      </c>
      <c r="M194" s="14">
        <f t="shared" si="23"/>
        <v>0</v>
      </c>
      <c r="N194" s="2" t="e">
        <f t="shared" si="24"/>
        <v>#DIV/0!</v>
      </c>
      <c r="O194" s="130" t="e">
        <f t="shared" si="25"/>
        <v>#DIV/0!</v>
      </c>
      <c r="P194" s="443" t="e">
        <f t="shared" si="26"/>
        <v>#DIV/0!</v>
      </c>
      <c r="Q194" s="126"/>
    </row>
    <row r="195" spans="1:17" s="261" customFormat="1" x14ac:dyDescent="0.25">
      <c r="A195" s="49">
        <f>+'A) Base RI'!A197</f>
        <v>5718</v>
      </c>
      <c r="B195" s="293" t="str">
        <f>+'A) Base RI'!B197</f>
        <v>Genolier</v>
      </c>
      <c r="C195" s="305">
        <f>+'D) Ecrêtage'!C195</f>
        <v>245082.27927272729</v>
      </c>
      <c r="D195" s="444"/>
      <c r="E195" s="446"/>
      <c r="F195" s="444"/>
      <c r="G195" s="305">
        <f t="shared" si="18"/>
        <v>0</v>
      </c>
      <c r="H195" s="285">
        <f t="shared" si="19"/>
        <v>1960658.2341818183</v>
      </c>
      <c r="I195" s="10">
        <f t="shared" si="20"/>
        <v>0</v>
      </c>
      <c r="J195" s="302" t="e">
        <f t="shared" si="21"/>
        <v>#DIV/0!</v>
      </c>
      <c r="K195" s="447"/>
      <c r="L195" s="259">
        <f t="shared" si="22"/>
        <v>245082.27927272729</v>
      </c>
      <c r="M195" s="1">
        <f t="shared" si="23"/>
        <v>0</v>
      </c>
      <c r="N195" s="2" t="e">
        <f t="shared" si="24"/>
        <v>#DIV/0!</v>
      </c>
      <c r="O195" s="130" t="e">
        <f t="shared" si="25"/>
        <v>#DIV/0!</v>
      </c>
      <c r="P195" s="443" t="e">
        <f t="shared" si="26"/>
        <v>#DIV/0!</v>
      </c>
      <c r="Q195" s="260"/>
    </row>
    <row r="196" spans="1:17" x14ac:dyDescent="0.25">
      <c r="A196" s="49">
        <f>+'A) Base RI'!A198</f>
        <v>5719</v>
      </c>
      <c r="B196" s="293" t="str">
        <f>+'A) Base RI'!B198</f>
        <v>Gingins</v>
      </c>
      <c r="C196" s="305">
        <f>+'D) Ecrêtage'!C196</f>
        <v>145761.42391812865</v>
      </c>
      <c r="D196" s="444"/>
      <c r="E196" s="446"/>
      <c r="F196" s="444"/>
      <c r="G196" s="305">
        <f t="shared" si="18"/>
        <v>0</v>
      </c>
      <c r="H196" s="285">
        <f t="shared" si="19"/>
        <v>1166091.3913450292</v>
      </c>
      <c r="I196" s="10">
        <f t="shared" si="20"/>
        <v>0</v>
      </c>
      <c r="J196" s="302" t="e">
        <f t="shared" si="21"/>
        <v>#DIV/0!</v>
      </c>
      <c r="K196" s="448"/>
      <c r="L196" s="10">
        <f t="shared" si="22"/>
        <v>145761.42391812865</v>
      </c>
      <c r="M196" s="14">
        <f t="shared" si="23"/>
        <v>0</v>
      </c>
      <c r="N196" s="2" t="e">
        <f t="shared" si="24"/>
        <v>#DIV/0!</v>
      </c>
      <c r="O196" s="130" t="e">
        <f t="shared" si="25"/>
        <v>#DIV/0!</v>
      </c>
      <c r="P196" s="443" t="e">
        <f t="shared" si="26"/>
        <v>#DIV/0!</v>
      </c>
      <c r="Q196" s="126"/>
    </row>
    <row r="197" spans="1:17" x14ac:dyDescent="0.25">
      <c r="A197" s="49">
        <f>+'A) Base RI'!A199</f>
        <v>5720</v>
      </c>
      <c r="B197" s="293" t="str">
        <f>+'A) Base RI'!B199</f>
        <v>Givrins</v>
      </c>
      <c r="C197" s="305">
        <f>+'D) Ecrêtage'!C197</f>
        <v>84172.254543946925</v>
      </c>
      <c r="D197" s="444"/>
      <c r="E197" s="446"/>
      <c r="F197" s="444"/>
      <c r="G197" s="305">
        <f t="shared" si="18"/>
        <v>0</v>
      </c>
      <c r="H197" s="285">
        <f t="shared" si="19"/>
        <v>673378.0363515754</v>
      </c>
      <c r="I197" s="10">
        <f t="shared" si="20"/>
        <v>0</v>
      </c>
      <c r="J197" s="302" t="e">
        <f t="shared" si="21"/>
        <v>#DIV/0!</v>
      </c>
      <c r="K197" s="448"/>
      <c r="L197" s="10">
        <f t="shared" si="22"/>
        <v>84172.254543946925</v>
      </c>
      <c r="M197" s="14">
        <f t="shared" si="23"/>
        <v>0</v>
      </c>
      <c r="N197" s="2" t="e">
        <f t="shared" si="24"/>
        <v>#DIV/0!</v>
      </c>
      <c r="O197" s="130" t="e">
        <f t="shared" si="25"/>
        <v>#DIV/0!</v>
      </c>
      <c r="P197" s="443" t="e">
        <f t="shared" si="26"/>
        <v>#DIV/0!</v>
      </c>
      <c r="Q197" s="126"/>
    </row>
    <row r="198" spans="1:17" x14ac:dyDescent="0.25">
      <c r="A198" s="49">
        <f>+'A) Base RI'!A200</f>
        <v>5721</v>
      </c>
      <c r="B198" s="293" t="str">
        <f>+'A) Base RI'!B200</f>
        <v>Gland</v>
      </c>
      <c r="C198" s="305">
        <f>+'D) Ecrêtage'!C198</f>
        <v>651107.04049180343</v>
      </c>
      <c r="D198" s="444"/>
      <c r="E198" s="446"/>
      <c r="F198" s="444"/>
      <c r="G198" s="305">
        <f t="shared" ref="G198:G261" si="27">SUM(D198:F198)</f>
        <v>0</v>
      </c>
      <c r="H198" s="285">
        <f t="shared" ref="H198:H261" si="28">+C198*$I$4</f>
        <v>5208856.3239344275</v>
      </c>
      <c r="I198" s="10">
        <f t="shared" ref="I198:I261" si="29">IF(G198&gt;H198,G198-H198,0)</f>
        <v>0</v>
      </c>
      <c r="J198" s="302" t="e">
        <f t="shared" ref="J198:J261" si="30">-I198*J$4</f>
        <v>#DIV/0!</v>
      </c>
      <c r="K198" s="448"/>
      <c r="L198" s="10">
        <f t="shared" ref="L198:L261" si="31">C198*M$4</f>
        <v>651107.04049180343</v>
      </c>
      <c r="M198" s="14">
        <f t="shared" ref="M198:M261" si="32">IF(K198&gt;L198,K198-L198,0)</f>
        <v>0</v>
      </c>
      <c r="N198" s="2" t="e">
        <f t="shared" ref="N198:N261" si="33">-M198*N$4</f>
        <v>#DIV/0!</v>
      </c>
      <c r="O198" s="130" t="e">
        <f t="shared" ref="O198:O261" si="34">N198+J198</f>
        <v>#DIV/0!</v>
      </c>
      <c r="P198" s="443" t="e">
        <f t="shared" ref="P198:P261" si="35">+O198/C198</f>
        <v>#DIV/0!</v>
      </c>
      <c r="Q198" s="126"/>
    </row>
    <row r="199" spans="1:17" x14ac:dyDescent="0.25">
      <c r="A199" s="49">
        <f>+'A) Base RI'!A201</f>
        <v>5722</v>
      </c>
      <c r="B199" s="293" t="str">
        <f>+'A) Base RI'!B201</f>
        <v>Grens</v>
      </c>
      <c r="C199" s="305">
        <f>+'D) Ecrêtage'!C199</f>
        <v>25525.601935483872</v>
      </c>
      <c r="D199" s="444"/>
      <c r="E199" s="446"/>
      <c r="F199" s="444"/>
      <c r="G199" s="305">
        <f t="shared" si="27"/>
        <v>0</v>
      </c>
      <c r="H199" s="285">
        <f t="shared" si="28"/>
        <v>204204.81548387097</v>
      </c>
      <c r="I199" s="10">
        <f t="shared" si="29"/>
        <v>0</v>
      </c>
      <c r="J199" s="302" t="e">
        <f t="shared" si="30"/>
        <v>#DIV/0!</v>
      </c>
      <c r="K199" s="448"/>
      <c r="L199" s="10">
        <f t="shared" si="31"/>
        <v>25525.601935483872</v>
      </c>
      <c r="M199" s="14">
        <f t="shared" si="32"/>
        <v>0</v>
      </c>
      <c r="N199" s="2" t="e">
        <f t="shared" si="33"/>
        <v>#DIV/0!</v>
      </c>
      <c r="O199" s="130" t="e">
        <f t="shared" si="34"/>
        <v>#DIV/0!</v>
      </c>
      <c r="P199" s="443" t="e">
        <f t="shared" si="35"/>
        <v>#DIV/0!</v>
      </c>
      <c r="Q199" s="126"/>
    </row>
    <row r="200" spans="1:17" x14ac:dyDescent="0.25">
      <c r="A200" s="49">
        <f>+'A) Base RI'!A202</f>
        <v>5723</v>
      </c>
      <c r="B200" s="293" t="str">
        <f>+'A) Base RI'!B202</f>
        <v>Mies</v>
      </c>
      <c r="C200" s="305">
        <f>+'D) Ecrêtage'!C200</f>
        <v>197805.17519230774</v>
      </c>
      <c r="D200" s="444"/>
      <c r="E200" s="446"/>
      <c r="F200" s="444"/>
      <c r="G200" s="305">
        <f t="shared" si="27"/>
        <v>0</v>
      </c>
      <c r="H200" s="285">
        <f t="shared" si="28"/>
        <v>1582441.4015384619</v>
      </c>
      <c r="I200" s="10">
        <f t="shared" si="29"/>
        <v>0</v>
      </c>
      <c r="J200" s="302" t="e">
        <f t="shared" si="30"/>
        <v>#DIV/0!</v>
      </c>
      <c r="K200" s="448"/>
      <c r="L200" s="10">
        <f t="shared" si="31"/>
        <v>197805.17519230774</v>
      </c>
      <c r="M200" s="14">
        <f t="shared" si="32"/>
        <v>0</v>
      </c>
      <c r="N200" s="2" t="e">
        <f t="shared" si="33"/>
        <v>#DIV/0!</v>
      </c>
      <c r="O200" s="130" t="e">
        <f t="shared" si="34"/>
        <v>#DIV/0!</v>
      </c>
      <c r="P200" s="443" t="e">
        <f t="shared" si="35"/>
        <v>#DIV/0!</v>
      </c>
      <c r="Q200" s="126"/>
    </row>
    <row r="201" spans="1:17" x14ac:dyDescent="0.25">
      <c r="A201" s="49">
        <f>+'A) Base RI'!A203</f>
        <v>5724</v>
      </c>
      <c r="B201" s="293" t="str">
        <f>+'A) Base RI'!B203</f>
        <v>Nyon</v>
      </c>
      <c r="C201" s="305">
        <f>+'D) Ecrêtage'!C201</f>
        <v>1415730.6761202184</v>
      </c>
      <c r="D201" s="444"/>
      <c r="E201" s="446"/>
      <c r="F201" s="444"/>
      <c r="G201" s="305">
        <f t="shared" si="27"/>
        <v>0</v>
      </c>
      <c r="H201" s="285">
        <f t="shared" si="28"/>
        <v>11325845.408961747</v>
      </c>
      <c r="I201" s="10">
        <f t="shared" si="29"/>
        <v>0</v>
      </c>
      <c r="J201" s="302" t="e">
        <f t="shared" si="30"/>
        <v>#DIV/0!</v>
      </c>
      <c r="K201" s="448"/>
      <c r="L201" s="10">
        <f t="shared" si="31"/>
        <v>1415730.6761202184</v>
      </c>
      <c r="M201" s="14">
        <f t="shared" si="32"/>
        <v>0</v>
      </c>
      <c r="N201" s="2" t="e">
        <f t="shared" si="33"/>
        <v>#DIV/0!</v>
      </c>
      <c r="O201" s="130" t="e">
        <f t="shared" si="34"/>
        <v>#DIV/0!</v>
      </c>
      <c r="P201" s="443" t="e">
        <f t="shared" si="35"/>
        <v>#DIV/0!</v>
      </c>
      <c r="Q201" s="126"/>
    </row>
    <row r="202" spans="1:17" x14ac:dyDescent="0.25">
      <c r="A202" s="49">
        <f>+'A) Base RI'!A204</f>
        <v>5725</v>
      </c>
      <c r="B202" s="293" t="str">
        <f>+'A) Base RI'!B204</f>
        <v>Prangins</v>
      </c>
      <c r="C202" s="305">
        <f>+'D) Ecrêtage'!C202</f>
        <v>312804.93402597401</v>
      </c>
      <c r="D202" s="444"/>
      <c r="E202" s="446"/>
      <c r="F202" s="444"/>
      <c r="G202" s="305">
        <f t="shared" si="27"/>
        <v>0</v>
      </c>
      <c r="H202" s="285">
        <f t="shared" si="28"/>
        <v>2502439.4722077921</v>
      </c>
      <c r="I202" s="10">
        <f t="shared" si="29"/>
        <v>0</v>
      </c>
      <c r="J202" s="302" t="e">
        <f t="shared" si="30"/>
        <v>#DIV/0!</v>
      </c>
      <c r="K202" s="448"/>
      <c r="L202" s="10">
        <f t="shared" si="31"/>
        <v>312804.93402597401</v>
      </c>
      <c r="M202" s="14">
        <f t="shared" si="32"/>
        <v>0</v>
      </c>
      <c r="N202" s="2" t="e">
        <f t="shared" si="33"/>
        <v>#DIV/0!</v>
      </c>
      <c r="O202" s="130" t="e">
        <f t="shared" si="34"/>
        <v>#DIV/0!</v>
      </c>
      <c r="P202" s="443" t="e">
        <f t="shared" si="35"/>
        <v>#DIV/0!</v>
      </c>
      <c r="Q202" s="126"/>
    </row>
    <row r="203" spans="1:17" x14ac:dyDescent="0.25">
      <c r="A203" s="49">
        <f>+'A) Base RI'!A205</f>
        <v>5726</v>
      </c>
      <c r="B203" s="293" t="str">
        <f>+'A) Base RI'!B205</f>
        <v>La Rippe</v>
      </c>
      <c r="C203" s="305">
        <f>+'D) Ecrêtage'!C203</f>
        <v>66324.764153846147</v>
      </c>
      <c r="D203" s="444"/>
      <c r="E203" s="446"/>
      <c r="F203" s="444"/>
      <c r="G203" s="305">
        <f t="shared" si="27"/>
        <v>0</v>
      </c>
      <c r="H203" s="285">
        <f t="shared" si="28"/>
        <v>530598.11323076917</v>
      </c>
      <c r="I203" s="10">
        <f t="shared" si="29"/>
        <v>0</v>
      </c>
      <c r="J203" s="302" t="e">
        <f t="shared" si="30"/>
        <v>#DIV/0!</v>
      </c>
      <c r="K203" s="448"/>
      <c r="L203" s="10">
        <f t="shared" si="31"/>
        <v>66324.764153846147</v>
      </c>
      <c r="M203" s="14">
        <f t="shared" si="32"/>
        <v>0</v>
      </c>
      <c r="N203" s="2" t="e">
        <f t="shared" si="33"/>
        <v>#DIV/0!</v>
      </c>
      <c r="O203" s="130" t="e">
        <f t="shared" si="34"/>
        <v>#DIV/0!</v>
      </c>
      <c r="P203" s="443" t="e">
        <f t="shared" si="35"/>
        <v>#DIV/0!</v>
      </c>
      <c r="Q203" s="126"/>
    </row>
    <row r="204" spans="1:17" x14ac:dyDescent="0.25">
      <c r="A204" s="49">
        <f>+'A) Base RI'!A206</f>
        <v>5727</v>
      </c>
      <c r="B204" s="293" t="str">
        <f>+'A) Base RI'!B206</f>
        <v>Saint-Cergue</v>
      </c>
      <c r="C204" s="305">
        <f>+'D) Ecrêtage'!C204</f>
        <v>105125.05141414142</v>
      </c>
      <c r="D204" s="444"/>
      <c r="E204" s="446"/>
      <c r="F204" s="444"/>
      <c r="G204" s="305">
        <f t="shared" si="27"/>
        <v>0</v>
      </c>
      <c r="H204" s="285">
        <f t="shared" si="28"/>
        <v>841000.41131313134</v>
      </c>
      <c r="I204" s="10">
        <f t="shared" si="29"/>
        <v>0</v>
      </c>
      <c r="J204" s="302" t="e">
        <f t="shared" si="30"/>
        <v>#DIV/0!</v>
      </c>
      <c r="K204" s="448"/>
      <c r="L204" s="10">
        <f t="shared" si="31"/>
        <v>105125.05141414142</v>
      </c>
      <c r="M204" s="14">
        <f t="shared" si="32"/>
        <v>0</v>
      </c>
      <c r="N204" s="2" t="e">
        <f t="shared" si="33"/>
        <v>#DIV/0!</v>
      </c>
      <c r="O204" s="130" t="e">
        <f t="shared" si="34"/>
        <v>#DIV/0!</v>
      </c>
      <c r="P204" s="443" t="e">
        <f t="shared" si="35"/>
        <v>#DIV/0!</v>
      </c>
      <c r="Q204" s="126"/>
    </row>
    <row r="205" spans="1:17" x14ac:dyDescent="0.25">
      <c r="A205" s="49">
        <f>+'A) Base RI'!A207</f>
        <v>5728</v>
      </c>
      <c r="B205" s="293" t="str">
        <f>+'A) Base RI'!B207</f>
        <v>Signy-Avenex</v>
      </c>
      <c r="C205" s="305">
        <f>+'D) Ecrêtage'!C205</f>
        <v>49286.820862068969</v>
      </c>
      <c r="D205" s="444"/>
      <c r="E205" s="446"/>
      <c r="F205" s="444"/>
      <c r="G205" s="305">
        <f t="shared" si="27"/>
        <v>0</v>
      </c>
      <c r="H205" s="285">
        <f t="shared" si="28"/>
        <v>394294.56689655175</v>
      </c>
      <c r="I205" s="10">
        <f t="shared" si="29"/>
        <v>0</v>
      </c>
      <c r="J205" s="302" t="e">
        <f t="shared" si="30"/>
        <v>#DIV/0!</v>
      </c>
      <c r="K205" s="448"/>
      <c r="L205" s="10">
        <f t="shared" si="31"/>
        <v>49286.820862068969</v>
      </c>
      <c r="M205" s="14">
        <f t="shared" si="32"/>
        <v>0</v>
      </c>
      <c r="N205" s="2" t="e">
        <f t="shared" si="33"/>
        <v>#DIV/0!</v>
      </c>
      <c r="O205" s="130" t="e">
        <f t="shared" si="34"/>
        <v>#DIV/0!</v>
      </c>
      <c r="P205" s="443" t="e">
        <f t="shared" si="35"/>
        <v>#DIV/0!</v>
      </c>
      <c r="Q205" s="126"/>
    </row>
    <row r="206" spans="1:17" x14ac:dyDescent="0.25">
      <c r="A206" s="49">
        <f>+'A) Base RI'!A208</f>
        <v>5729</v>
      </c>
      <c r="B206" s="293" t="str">
        <f>+'A) Base RI'!B208</f>
        <v>Tannay</v>
      </c>
      <c r="C206" s="305">
        <f>+'D) Ecrêtage'!C206</f>
        <v>130826.66865013774</v>
      </c>
      <c r="D206" s="444"/>
      <c r="E206" s="446"/>
      <c r="F206" s="444"/>
      <c r="G206" s="305">
        <f t="shared" si="27"/>
        <v>0</v>
      </c>
      <c r="H206" s="285">
        <f t="shared" si="28"/>
        <v>1046613.3492011019</v>
      </c>
      <c r="I206" s="10">
        <f t="shared" si="29"/>
        <v>0</v>
      </c>
      <c r="J206" s="302" t="e">
        <f t="shared" si="30"/>
        <v>#DIV/0!</v>
      </c>
      <c r="K206" s="448"/>
      <c r="L206" s="10">
        <f t="shared" si="31"/>
        <v>130826.66865013774</v>
      </c>
      <c r="M206" s="14">
        <f t="shared" si="32"/>
        <v>0</v>
      </c>
      <c r="N206" s="2" t="e">
        <f t="shared" si="33"/>
        <v>#DIV/0!</v>
      </c>
      <c r="O206" s="130" t="e">
        <f t="shared" si="34"/>
        <v>#DIV/0!</v>
      </c>
      <c r="P206" s="443" t="e">
        <f t="shared" si="35"/>
        <v>#DIV/0!</v>
      </c>
      <c r="Q206" s="126"/>
    </row>
    <row r="207" spans="1:17" x14ac:dyDescent="0.25">
      <c r="A207" s="49">
        <f>+'A) Base RI'!A209</f>
        <v>5730</v>
      </c>
      <c r="B207" s="293" t="str">
        <f>+'A) Base RI'!B209</f>
        <v>Trélex</v>
      </c>
      <c r="C207" s="305">
        <f>+'D) Ecrêtage'!C207</f>
        <v>111625.98756756757</v>
      </c>
      <c r="D207" s="444"/>
      <c r="E207" s="446"/>
      <c r="F207" s="444"/>
      <c r="G207" s="305">
        <f t="shared" si="27"/>
        <v>0</v>
      </c>
      <c r="H207" s="285">
        <f t="shared" si="28"/>
        <v>893007.90054054058</v>
      </c>
      <c r="I207" s="10">
        <f t="shared" si="29"/>
        <v>0</v>
      </c>
      <c r="J207" s="302" t="e">
        <f t="shared" si="30"/>
        <v>#DIV/0!</v>
      </c>
      <c r="K207" s="448"/>
      <c r="L207" s="10">
        <f t="shared" si="31"/>
        <v>111625.98756756757</v>
      </c>
      <c r="M207" s="14">
        <f t="shared" si="32"/>
        <v>0</v>
      </c>
      <c r="N207" s="2" t="e">
        <f t="shared" si="33"/>
        <v>#DIV/0!</v>
      </c>
      <c r="O207" s="130" t="e">
        <f t="shared" si="34"/>
        <v>#DIV/0!</v>
      </c>
      <c r="P207" s="443" t="e">
        <f t="shared" si="35"/>
        <v>#DIV/0!</v>
      </c>
      <c r="Q207" s="126"/>
    </row>
    <row r="208" spans="1:17" x14ac:dyDescent="0.25">
      <c r="A208" s="49">
        <f>+'A) Base RI'!A210</f>
        <v>5731</v>
      </c>
      <c r="B208" s="293" t="str">
        <f>+'A) Base RI'!B210</f>
        <v>Le Vaud</v>
      </c>
      <c r="C208" s="305">
        <f>+'D) Ecrêtage'!C208</f>
        <v>63942.206576576558</v>
      </c>
      <c r="D208" s="444"/>
      <c r="E208" s="446"/>
      <c r="F208" s="444"/>
      <c r="G208" s="305">
        <f t="shared" si="27"/>
        <v>0</v>
      </c>
      <c r="H208" s="285">
        <f t="shared" si="28"/>
        <v>511537.65261261247</v>
      </c>
      <c r="I208" s="10">
        <f t="shared" si="29"/>
        <v>0</v>
      </c>
      <c r="J208" s="302" t="e">
        <f t="shared" si="30"/>
        <v>#DIV/0!</v>
      </c>
      <c r="K208" s="448"/>
      <c r="L208" s="10">
        <f t="shared" si="31"/>
        <v>63942.206576576558</v>
      </c>
      <c r="M208" s="14">
        <f t="shared" si="32"/>
        <v>0</v>
      </c>
      <c r="N208" s="2" t="e">
        <f t="shared" si="33"/>
        <v>#DIV/0!</v>
      </c>
      <c r="O208" s="130" t="e">
        <f t="shared" si="34"/>
        <v>#DIV/0!</v>
      </c>
      <c r="P208" s="443" t="e">
        <f t="shared" si="35"/>
        <v>#DIV/0!</v>
      </c>
      <c r="Q208" s="126"/>
    </row>
    <row r="209" spans="1:17" x14ac:dyDescent="0.25">
      <c r="A209" s="49">
        <f>+'A) Base RI'!A211</f>
        <v>5732</v>
      </c>
      <c r="B209" s="293" t="str">
        <f>+'A) Base RI'!B211</f>
        <v>Vich</v>
      </c>
      <c r="C209" s="305">
        <f>+'D) Ecrêtage'!C209</f>
        <v>71006.972380952371</v>
      </c>
      <c r="D209" s="444"/>
      <c r="E209" s="446"/>
      <c r="F209" s="444"/>
      <c r="G209" s="305">
        <f t="shared" si="27"/>
        <v>0</v>
      </c>
      <c r="H209" s="285">
        <f t="shared" si="28"/>
        <v>568055.77904761897</v>
      </c>
      <c r="I209" s="10">
        <f t="shared" si="29"/>
        <v>0</v>
      </c>
      <c r="J209" s="302" t="e">
        <f t="shared" si="30"/>
        <v>#DIV/0!</v>
      </c>
      <c r="K209" s="448"/>
      <c r="L209" s="10">
        <f t="shared" si="31"/>
        <v>71006.972380952371</v>
      </c>
      <c r="M209" s="14">
        <f t="shared" si="32"/>
        <v>0</v>
      </c>
      <c r="N209" s="2" t="e">
        <f t="shared" si="33"/>
        <v>#DIV/0!</v>
      </c>
      <c r="O209" s="130" t="e">
        <f t="shared" si="34"/>
        <v>#DIV/0!</v>
      </c>
      <c r="P209" s="443" t="e">
        <f t="shared" si="35"/>
        <v>#DIV/0!</v>
      </c>
      <c r="Q209" s="126"/>
    </row>
    <row r="210" spans="1:17" x14ac:dyDescent="0.25">
      <c r="A210" s="49">
        <f>+'A) Base RI'!A212</f>
        <v>5741</v>
      </c>
      <c r="B210" s="293" t="str">
        <f>+'A) Base RI'!B212</f>
        <v>L'Abergement</v>
      </c>
      <c r="C210" s="305">
        <f>+'D) Ecrêtage'!C210</f>
        <v>7368.9297325102852</v>
      </c>
      <c r="D210" s="444"/>
      <c r="E210" s="446"/>
      <c r="F210" s="444"/>
      <c r="G210" s="305">
        <f t="shared" si="27"/>
        <v>0</v>
      </c>
      <c r="H210" s="285">
        <f t="shared" si="28"/>
        <v>58951.437860082282</v>
      </c>
      <c r="I210" s="10">
        <f t="shared" si="29"/>
        <v>0</v>
      </c>
      <c r="J210" s="302" t="e">
        <f t="shared" si="30"/>
        <v>#DIV/0!</v>
      </c>
      <c r="K210" s="448"/>
      <c r="L210" s="10">
        <f t="shared" si="31"/>
        <v>7368.9297325102852</v>
      </c>
      <c r="M210" s="14">
        <f t="shared" si="32"/>
        <v>0</v>
      </c>
      <c r="N210" s="2" t="e">
        <f t="shared" si="33"/>
        <v>#DIV/0!</v>
      </c>
      <c r="O210" s="130" t="e">
        <f t="shared" si="34"/>
        <v>#DIV/0!</v>
      </c>
      <c r="P210" s="443" t="e">
        <f t="shared" si="35"/>
        <v>#DIV/0!</v>
      </c>
      <c r="Q210" s="126"/>
    </row>
    <row r="211" spans="1:17" x14ac:dyDescent="0.25">
      <c r="A211" s="49">
        <f>+'A) Base RI'!A213</f>
        <v>5742</v>
      </c>
      <c r="B211" s="293" t="str">
        <f>+'A) Base RI'!B213</f>
        <v>Agiez</v>
      </c>
      <c r="C211" s="305">
        <f>+'D) Ecrêtage'!C211</f>
        <v>8960.136710526318</v>
      </c>
      <c r="D211" s="444"/>
      <c r="E211" s="446"/>
      <c r="F211" s="444"/>
      <c r="G211" s="305">
        <f t="shared" si="27"/>
        <v>0</v>
      </c>
      <c r="H211" s="285">
        <f t="shared" si="28"/>
        <v>71681.093684210544</v>
      </c>
      <c r="I211" s="10">
        <f t="shared" si="29"/>
        <v>0</v>
      </c>
      <c r="J211" s="302" t="e">
        <f t="shared" si="30"/>
        <v>#DIV/0!</v>
      </c>
      <c r="K211" s="448"/>
      <c r="L211" s="10">
        <f t="shared" si="31"/>
        <v>8960.136710526318</v>
      </c>
      <c r="M211" s="14">
        <f t="shared" si="32"/>
        <v>0</v>
      </c>
      <c r="N211" s="2" t="e">
        <f t="shared" si="33"/>
        <v>#DIV/0!</v>
      </c>
      <c r="O211" s="130" t="e">
        <f t="shared" si="34"/>
        <v>#DIV/0!</v>
      </c>
      <c r="P211" s="443" t="e">
        <f t="shared" si="35"/>
        <v>#DIV/0!</v>
      </c>
      <c r="Q211" s="126"/>
    </row>
    <row r="212" spans="1:17" x14ac:dyDescent="0.25">
      <c r="A212" s="49">
        <f>+'A) Base RI'!A214</f>
        <v>5743</v>
      </c>
      <c r="B212" s="293" t="str">
        <f>+'A) Base RI'!B214</f>
        <v>Arnex-sur-Orbe</v>
      </c>
      <c r="C212" s="305">
        <f>+'D) Ecrêtage'!C212</f>
        <v>20526.64161971831</v>
      </c>
      <c r="D212" s="444"/>
      <c r="E212" s="446"/>
      <c r="F212" s="444"/>
      <c r="G212" s="305">
        <f t="shared" si="27"/>
        <v>0</v>
      </c>
      <c r="H212" s="285">
        <f t="shared" si="28"/>
        <v>164213.13295774648</v>
      </c>
      <c r="I212" s="10">
        <f t="shared" si="29"/>
        <v>0</v>
      </c>
      <c r="J212" s="302" t="e">
        <f t="shared" si="30"/>
        <v>#DIV/0!</v>
      </c>
      <c r="K212" s="448"/>
      <c r="L212" s="10">
        <f t="shared" si="31"/>
        <v>20526.64161971831</v>
      </c>
      <c r="M212" s="14">
        <f t="shared" si="32"/>
        <v>0</v>
      </c>
      <c r="N212" s="2" t="e">
        <f t="shared" si="33"/>
        <v>#DIV/0!</v>
      </c>
      <c r="O212" s="130" t="e">
        <f t="shared" si="34"/>
        <v>#DIV/0!</v>
      </c>
      <c r="P212" s="443" t="e">
        <f t="shared" si="35"/>
        <v>#DIV/0!</v>
      </c>
      <c r="Q212" s="126"/>
    </row>
    <row r="213" spans="1:17" x14ac:dyDescent="0.25">
      <c r="A213" s="49">
        <f>+'A) Base RI'!A215</f>
        <v>5744</v>
      </c>
      <c r="B213" s="293" t="str">
        <f>+'A) Base RI'!B215</f>
        <v>Ballaigues</v>
      </c>
      <c r="C213" s="305">
        <f>+'D) Ecrêtage'!C213</f>
        <v>40453.358769230777</v>
      </c>
      <c r="D213" s="444"/>
      <c r="E213" s="446"/>
      <c r="F213" s="444"/>
      <c r="G213" s="305">
        <f t="shared" si="27"/>
        <v>0</v>
      </c>
      <c r="H213" s="285">
        <f t="shared" si="28"/>
        <v>323626.87015384622</v>
      </c>
      <c r="I213" s="10">
        <f t="shared" si="29"/>
        <v>0</v>
      </c>
      <c r="J213" s="302" t="e">
        <f t="shared" si="30"/>
        <v>#DIV/0!</v>
      </c>
      <c r="K213" s="448"/>
      <c r="L213" s="10">
        <f t="shared" si="31"/>
        <v>40453.358769230777</v>
      </c>
      <c r="M213" s="14">
        <f t="shared" si="32"/>
        <v>0</v>
      </c>
      <c r="N213" s="2" t="e">
        <f t="shared" si="33"/>
        <v>#DIV/0!</v>
      </c>
      <c r="O213" s="130" t="e">
        <f t="shared" si="34"/>
        <v>#DIV/0!</v>
      </c>
      <c r="P213" s="443" t="e">
        <f t="shared" si="35"/>
        <v>#DIV/0!</v>
      </c>
      <c r="Q213" s="126"/>
    </row>
    <row r="214" spans="1:17" x14ac:dyDescent="0.25">
      <c r="A214" s="49">
        <f>+'A) Base RI'!A216</f>
        <v>5745</v>
      </c>
      <c r="B214" s="293" t="str">
        <f>+'A) Base RI'!B216</f>
        <v>Baulmes</v>
      </c>
      <c r="C214" s="305">
        <f>+'D) Ecrêtage'!C214</f>
        <v>26827.589150326792</v>
      </c>
      <c r="D214" s="444"/>
      <c r="E214" s="446"/>
      <c r="F214" s="444"/>
      <c r="G214" s="305">
        <f t="shared" si="27"/>
        <v>0</v>
      </c>
      <c r="H214" s="285">
        <f t="shared" si="28"/>
        <v>214620.71320261434</v>
      </c>
      <c r="I214" s="10">
        <f t="shared" si="29"/>
        <v>0</v>
      </c>
      <c r="J214" s="302" t="e">
        <f t="shared" si="30"/>
        <v>#DIV/0!</v>
      </c>
      <c r="K214" s="448"/>
      <c r="L214" s="10">
        <f t="shared" si="31"/>
        <v>26827.589150326792</v>
      </c>
      <c r="M214" s="14">
        <f t="shared" si="32"/>
        <v>0</v>
      </c>
      <c r="N214" s="2" t="e">
        <f t="shared" si="33"/>
        <v>#DIV/0!</v>
      </c>
      <c r="O214" s="130" t="e">
        <f t="shared" si="34"/>
        <v>#DIV/0!</v>
      </c>
      <c r="P214" s="443" t="e">
        <f t="shared" si="35"/>
        <v>#DIV/0!</v>
      </c>
      <c r="Q214" s="126"/>
    </row>
    <row r="215" spans="1:17" x14ac:dyDescent="0.25">
      <c r="A215" s="49">
        <f>+'A) Base RI'!A217</f>
        <v>5746</v>
      </c>
      <c r="B215" s="293" t="str">
        <f>+'A) Base RI'!B217</f>
        <v>Bavois</v>
      </c>
      <c r="C215" s="305">
        <f>+'D) Ecrêtage'!C215</f>
        <v>30466.611141552505</v>
      </c>
      <c r="D215" s="444"/>
      <c r="E215" s="446"/>
      <c r="F215" s="444"/>
      <c r="G215" s="305">
        <f t="shared" si="27"/>
        <v>0</v>
      </c>
      <c r="H215" s="285">
        <f t="shared" si="28"/>
        <v>243732.88913242004</v>
      </c>
      <c r="I215" s="10">
        <f t="shared" si="29"/>
        <v>0</v>
      </c>
      <c r="J215" s="302" t="e">
        <f t="shared" si="30"/>
        <v>#DIV/0!</v>
      </c>
      <c r="K215" s="448"/>
      <c r="L215" s="10">
        <f t="shared" si="31"/>
        <v>30466.611141552505</v>
      </c>
      <c r="M215" s="14">
        <f t="shared" si="32"/>
        <v>0</v>
      </c>
      <c r="N215" s="2" t="e">
        <f t="shared" si="33"/>
        <v>#DIV/0!</v>
      </c>
      <c r="O215" s="130" t="e">
        <f t="shared" si="34"/>
        <v>#DIV/0!</v>
      </c>
      <c r="P215" s="443" t="e">
        <f t="shared" si="35"/>
        <v>#DIV/0!</v>
      </c>
      <c r="Q215" s="126"/>
    </row>
    <row r="216" spans="1:17" x14ac:dyDescent="0.25">
      <c r="A216" s="49">
        <f>+'A) Base RI'!A218</f>
        <v>5747</v>
      </c>
      <c r="B216" s="293" t="str">
        <f>+'A) Base RI'!B218</f>
        <v>Bofflens</v>
      </c>
      <c r="C216" s="305">
        <f>+'D) Ecrêtage'!C216</f>
        <v>5608.7786956521741</v>
      </c>
      <c r="D216" s="444"/>
      <c r="E216" s="446"/>
      <c r="F216" s="444"/>
      <c r="G216" s="305">
        <f t="shared" si="27"/>
        <v>0</v>
      </c>
      <c r="H216" s="285">
        <f t="shared" si="28"/>
        <v>44870.229565217393</v>
      </c>
      <c r="I216" s="10">
        <f t="shared" si="29"/>
        <v>0</v>
      </c>
      <c r="J216" s="302" t="e">
        <f t="shared" si="30"/>
        <v>#DIV/0!</v>
      </c>
      <c r="K216" s="448"/>
      <c r="L216" s="10">
        <f t="shared" si="31"/>
        <v>5608.7786956521741</v>
      </c>
      <c r="M216" s="14">
        <f t="shared" si="32"/>
        <v>0</v>
      </c>
      <c r="N216" s="2" t="e">
        <f t="shared" si="33"/>
        <v>#DIV/0!</v>
      </c>
      <c r="O216" s="130" t="e">
        <f t="shared" si="34"/>
        <v>#DIV/0!</v>
      </c>
      <c r="P216" s="443" t="e">
        <f t="shared" si="35"/>
        <v>#DIV/0!</v>
      </c>
      <c r="Q216" s="126"/>
    </row>
    <row r="217" spans="1:17" x14ac:dyDescent="0.25">
      <c r="A217" s="49">
        <f>+'A) Base RI'!A219</f>
        <v>5748</v>
      </c>
      <c r="B217" s="293" t="str">
        <f>+'A) Base RI'!B219</f>
        <v>Bretonnières</v>
      </c>
      <c r="C217" s="305">
        <f>+'D) Ecrêtage'!C217</f>
        <v>5789.9884160756492</v>
      </c>
      <c r="D217" s="444"/>
      <c r="E217" s="446"/>
      <c r="F217" s="444"/>
      <c r="G217" s="305">
        <f t="shared" si="27"/>
        <v>0</v>
      </c>
      <c r="H217" s="285">
        <f t="shared" si="28"/>
        <v>46319.907328605193</v>
      </c>
      <c r="I217" s="10">
        <f t="shared" si="29"/>
        <v>0</v>
      </c>
      <c r="J217" s="302" t="e">
        <f t="shared" si="30"/>
        <v>#DIV/0!</v>
      </c>
      <c r="K217" s="448"/>
      <c r="L217" s="10">
        <f t="shared" si="31"/>
        <v>5789.9884160756492</v>
      </c>
      <c r="M217" s="14">
        <f t="shared" si="32"/>
        <v>0</v>
      </c>
      <c r="N217" s="2" t="e">
        <f t="shared" si="33"/>
        <v>#DIV/0!</v>
      </c>
      <c r="O217" s="130" t="e">
        <f t="shared" si="34"/>
        <v>#DIV/0!</v>
      </c>
      <c r="P217" s="443" t="e">
        <f t="shared" si="35"/>
        <v>#DIV/0!</v>
      </c>
      <c r="Q217" s="126"/>
    </row>
    <row r="218" spans="1:17" x14ac:dyDescent="0.25">
      <c r="A218" s="49">
        <f>+'A) Base RI'!A220</f>
        <v>5749</v>
      </c>
      <c r="B218" s="293" t="str">
        <f>+'A) Base RI'!B220</f>
        <v>Chavornay</v>
      </c>
      <c r="C218" s="305">
        <f>+'D) Ecrêtage'!C218</f>
        <v>140676.80723404256</v>
      </c>
      <c r="D218" s="444"/>
      <c r="E218" s="446"/>
      <c r="F218" s="444"/>
      <c r="G218" s="305">
        <f t="shared" si="27"/>
        <v>0</v>
      </c>
      <c r="H218" s="285">
        <f t="shared" si="28"/>
        <v>1125414.4578723405</v>
      </c>
      <c r="I218" s="10">
        <f t="shared" si="29"/>
        <v>0</v>
      </c>
      <c r="J218" s="302" t="e">
        <f t="shared" si="30"/>
        <v>#DIV/0!</v>
      </c>
      <c r="K218" s="448"/>
      <c r="L218" s="10">
        <f t="shared" si="31"/>
        <v>140676.80723404256</v>
      </c>
      <c r="M218" s="14">
        <f t="shared" si="32"/>
        <v>0</v>
      </c>
      <c r="N218" s="2" t="e">
        <f t="shared" si="33"/>
        <v>#DIV/0!</v>
      </c>
      <c r="O218" s="130" t="e">
        <f t="shared" si="34"/>
        <v>#DIV/0!</v>
      </c>
      <c r="P218" s="443" t="e">
        <f t="shared" si="35"/>
        <v>#DIV/0!</v>
      </c>
      <c r="Q218" s="126"/>
    </row>
    <row r="219" spans="1:17" x14ac:dyDescent="0.25">
      <c r="A219" s="49">
        <f>+'A) Base RI'!A221</f>
        <v>5750</v>
      </c>
      <c r="B219" s="293" t="str">
        <f>+'A) Base RI'!B221</f>
        <v>Les Clées</v>
      </c>
      <c r="C219" s="305">
        <f>+'D) Ecrêtage'!C219</f>
        <v>6037.9437500000004</v>
      </c>
      <c r="D219" s="444"/>
      <c r="E219" s="446"/>
      <c r="F219" s="444"/>
      <c r="G219" s="305">
        <f t="shared" si="27"/>
        <v>0</v>
      </c>
      <c r="H219" s="285">
        <f t="shared" si="28"/>
        <v>48303.55</v>
      </c>
      <c r="I219" s="10">
        <f t="shared" si="29"/>
        <v>0</v>
      </c>
      <c r="J219" s="302" t="e">
        <f t="shared" si="30"/>
        <v>#DIV/0!</v>
      </c>
      <c r="K219" s="448"/>
      <c r="L219" s="10">
        <f t="shared" si="31"/>
        <v>6037.9437500000004</v>
      </c>
      <c r="M219" s="14">
        <f t="shared" si="32"/>
        <v>0</v>
      </c>
      <c r="N219" s="2" t="e">
        <f t="shared" si="33"/>
        <v>#DIV/0!</v>
      </c>
      <c r="O219" s="130" t="e">
        <f t="shared" si="34"/>
        <v>#DIV/0!</v>
      </c>
      <c r="P219" s="443" t="e">
        <f t="shared" si="35"/>
        <v>#DIV/0!</v>
      </c>
      <c r="Q219" s="126"/>
    </row>
    <row r="220" spans="1:17" x14ac:dyDescent="0.25">
      <c r="A220" s="49">
        <f>+'A) Base RI'!A222</f>
        <v>5752</v>
      </c>
      <c r="B220" s="293" t="str">
        <f>+'A) Base RI'!B222</f>
        <v>Croy</v>
      </c>
      <c r="C220" s="305">
        <f>+'D) Ecrêtage'!C220</f>
        <v>9416.7971235521236</v>
      </c>
      <c r="D220" s="444"/>
      <c r="E220" s="446"/>
      <c r="F220" s="444"/>
      <c r="G220" s="305">
        <f t="shared" si="27"/>
        <v>0</v>
      </c>
      <c r="H220" s="285">
        <f t="shared" si="28"/>
        <v>75334.376988416989</v>
      </c>
      <c r="I220" s="10">
        <f t="shared" si="29"/>
        <v>0</v>
      </c>
      <c r="J220" s="302" t="e">
        <f t="shared" si="30"/>
        <v>#DIV/0!</v>
      </c>
      <c r="K220" s="448"/>
      <c r="L220" s="10">
        <f t="shared" si="31"/>
        <v>9416.7971235521236</v>
      </c>
      <c r="M220" s="14">
        <f t="shared" si="32"/>
        <v>0</v>
      </c>
      <c r="N220" s="2" t="e">
        <f t="shared" si="33"/>
        <v>#DIV/0!</v>
      </c>
      <c r="O220" s="130" t="e">
        <f t="shared" si="34"/>
        <v>#DIV/0!</v>
      </c>
      <c r="P220" s="443" t="e">
        <f t="shared" si="35"/>
        <v>#DIV/0!</v>
      </c>
      <c r="Q220" s="126"/>
    </row>
    <row r="221" spans="1:17" x14ac:dyDescent="0.25">
      <c r="A221" s="49">
        <f>+'A) Base RI'!A223</f>
        <v>5754</v>
      </c>
      <c r="B221" s="293" t="str">
        <f>+'A) Base RI'!B223</f>
        <v>Juriens</v>
      </c>
      <c r="C221" s="305">
        <f>+'D) Ecrêtage'!C221</f>
        <v>8043.7859493670894</v>
      </c>
      <c r="D221" s="444"/>
      <c r="E221" s="446"/>
      <c r="F221" s="444"/>
      <c r="G221" s="305">
        <f t="shared" si="27"/>
        <v>0</v>
      </c>
      <c r="H221" s="285">
        <f t="shared" si="28"/>
        <v>64350.287594936715</v>
      </c>
      <c r="I221" s="10">
        <f t="shared" si="29"/>
        <v>0</v>
      </c>
      <c r="J221" s="302" t="e">
        <f t="shared" si="30"/>
        <v>#DIV/0!</v>
      </c>
      <c r="K221" s="448"/>
      <c r="L221" s="10">
        <f t="shared" si="31"/>
        <v>8043.7859493670894</v>
      </c>
      <c r="M221" s="14">
        <f t="shared" si="32"/>
        <v>0</v>
      </c>
      <c r="N221" s="2" t="e">
        <f t="shared" si="33"/>
        <v>#DIV/0!</v>
      </c>
      <c r="O221" s="130" t="e">
        <f t="shared" si="34"/>
        <v>#DIV/0!</v>
      </c>
      <c r="P221" s="443" t="e">
        <f t="shared" si="35"/>
        <v>#DIV/0!</v>
      </c>
      <c r="Q221" s="126"/>
    </row>
    <row r="222" spans="1:17" x14ac:dyDescent="0.25">
      <c r="A222" s="49">
        <f>+'A) Base RI'!A224</f>
        <v>5755</v>
      </c>
      <c r="B222" s="293" t="str">
        <f>+'A) Base RI'!B224</f>
        <v>Lignerolle</v>
      </c>
      <c r="C222" s="305">
        <f>+'D) Ecrêtage'!C222</f>
        <v>9055.2737033666963</v>
      </c>
      <c r="D222" s="444"/>
      <c r="E222" s="446"/>
      <c r="F222" s="444"/>
      <c r="G222" s="305">
        <f t="shared" si="27"/>
        <v>0</v>
      </c>
      <c r="H222" s="285">
        <f t="shared" si="28"/>
        <v>72442.18962693357</v>
      </c>
      <c r="I222" s="10">
        <f t="shared" si="29"/>
        <v>0</v>
      </c>
      <c r="J222" s="302" t="e">
        <f t="shared" si="30"/>
        <v>#DIV/0!</v>
      </c>
      <c r="K222" s="448"/>
      <c r="L222" s="10">
        <f t="shared" si="31"/>
        <v>9055.2737033666963</v>
      </c>
      <c r="M222" s="14">
        <f t="shared" si="32"/>
        <v>0</v>
      </c>
      <c r="N222" s="2" t="e">
        <f t="shared" si="33"/>
        <v>#DIV/0!</v>
      </c>
      <c r="O222" s="130" t="e">
        <f t="shared" si="34"/>
        <v>#DIV/0!</v>
      </c>
      <c r="P222" s="443" t="e">
        <f t="shared" si="35"/>
        <v>#DIV/0!</v>
      </c>
      <c r="Q222" s="126"/>
    </row>
    <row r="223" spans="1:17" x14ac:dyDescent="0.25">
      <c r="A223" s="49">
        <f>+'A) Base RI'!A225</f>
        <v>5756</v>
      </c>
      <c r="B223" s="293" t="str">
        <f>+'A) Base RI'!B225</f>
        <v>Montcherand</v>
      </c>
      <c r="C223" s="305">
        <f>+'D) Ecrêtage'!C223</f>
        <v>15758.308611111112</v>
      </c>
      <c r="D223" s="444"/>
      <c r="E223" s="446"/>
      <c r="F223" s="444"/>
      <c r="G223" s="305">
        <f t="shared" si="27"/>
        <v>0</v>
      </c>
      <c r="H223" s="285">
        <f t="shared" si="28"/>
        <v>126066.46888888889</v>
      </c>
      <c r="I223" s="10">
        <f t="shared" si="29"/>
        <v>0</v>
      </c>
      <c r="J223" s="302" t="e">
        <f t="shared" si="30"/>
        <v>#DIV/0!</v>
      </c>
      <c r="K223" s="448"/>
      <c r="L223" s="10">
        <f t="shared" si="31"/>
        <v>15758.308611111112</v>
      </c>
      <c r="M223" s="14">
        <f t="shared" si="32"/>
        <v>0</v>
      </c>
      <c r="N223" s="2" t="e">
        <f t="shared" si="33"/>
        <v>#DIV/0!</v>
      </c>
      <c r="O223" s="130" t="e">
        <f t="shared" si="34"/>
        <v>#DIV/0!</v>
      </c>
      <c r="P223" s="443" t="e">
        <f t="shared" si="35"/>
        <v>#DIV/0!</v>
      </c>
      <c r="Q223" s="126"/>
    </row>
    <row r="224" spans="1:17" x14ac:dyDescent="0.25">
      <c r="A224" s="49">
        <f>+'A) Base RI'!A226</f>
        <v>5757</v>
      </c>
      <c r="B224" s="293" t="str">
        <f>+'A) Base RI'!B226</f>
        <v>Orbe</v>
      </c>
      <c r="C224" s="305">
        <f>+'D) Ecrêtage'!C224</f>
        <v>203783.43483443707</v>
      </c>
      <c r="D224" s="444"/>
      <c r="E224" s="446"/>
      <c r="F224" s="444"/>
      <c r="G224" s="305">
        <f t="shared" si="27"/>
        <v>0</v>
      </c>
      <c r="H224" s="285">
        <f t="shared" si="28"/>
        <v>1630267.4786754965</v>
      </c>
      <c r="I224" s="10">
        <f t="shared" si="29"/>
        <v>0</v>
      </c>
      <c r="J224" s="302" t="e">
        <f t="shared" si="30"/>
        <v>#DIV/0!</v>
      </c>
      <c r="K224" s="448"/>
      <c r="L224" s="10">
        <f t="shared" si="31"/>
        <v>203783.43483443707</v>
      </c>
      <c r="M224" s="14">
        <f t="shared" si="32"/>
        <v>0</v>
      </c>
      <c r="N224" s="2" t="e">
        <f t="shared" si="33"/>
        <v>#DIV/0!</v>
      </c>
      <c r="O224" s="130" t="e">
        <f t="shared" si="34"/>
        <v>#DIV/0!</v>
      </c>
      <c r="P224" s="443" t="e">
        <f t="shared" si="35"/>
        <v>#DIV/0!</v>
      </c>
      <c r="Q224" s="126"/>
    </row>
    <row r="225" spans="1:17" x14ac:dyDescent="0.25">
      <c r="A225" s="49">
        <f>+'A) Base RI'!A227</f>
        <v>5758</v>
      </c>
      <c r="B225" s="293" t="str">
        <f>+'A) Base RI'!B227</f>
        <v>La Praz</v>
      </c>
      <c r="C225" s="305">
        <f>+'D) Ecrêtage'!C225</f>
        <v>4313.3939759036139</v>
      </c>
      <c r="D225" s="444"/>
      <c r="E225" s="446"/>
      <c r="F225" s="444"/>
      <c r="G225" s="305">
        <f t="shared" si="27"/>
        <v>0</v>
      </c>
      <c r="H225" s="285">
        <f t="shared" si="28"/>
        <v>34507.151807228911</v>
      </c>
      <c r="I225" s="10">
        <f t="shared" si="29"/>
        <v>0</v>
      </c>
      <c r="J225" s="302" t="e">
        <f t="shared" si="30"/>
        <v>#DIV/0!</v>
      </c>
      <c r="K225" s="448"/>
      <c r="L225" s="10">
        <f t="shared" si="31"/>
        <v>4313.3939759036139</v>
      </c>
      <c r="M225" s="14">
        <f t="shared" si="32"/>
        <v>0</v>
      </c>
      <c r="N225" s="2" t="e">
        <f t="shared" si="33"/>
        <v>#DIV/0!</v>
      </c>
      <c r="O225" s="130" t="e">
        <f t="shared" si="34"/>
        <v>#DIV/0!</v>
      </c>
      <c r="P225" s="443" t="e">
        <f t="shared" si="35"/>
        <v>#DIV/0!</v>
      </c>
      <c r="Q225" s="126"/>
    </row>
    <row r="226" spans="1:17" x14ac:dyDescent="0.25">
      <c r="A226" s="49">
        <f>+'A) Base RI'!A228</f>
        <v>5759</v>
      </c>
      <c r="B226" s="293" t="str">
        <f>+'A) Base RI'!B228</f>
        <v>Premier</v>
      </c>
      <c r="C226" s="305">
        <f>+'D) Ecrêtage'!C226</f>
        <v>5307.4840251572332</v>
      </c>
      <c r="D226" s="444"/>
      <c r="E226" s="446"/>
      <c r="F226" s="444"/>
      <c r="G226" s="305">
        <f t="shared" si="27"/>
        <v>0</v>
      </c>
      <c r="H226" s="285">
        <f t="shared" si="28"/>
        <v>42459.872201257866</v>
      </c>
      <c r="I226" s="10">
        <f t="shared" si="29"/>
        <v>0</v>
      </c>
      <c r="J226" s="302" t="e">
        <f t="shared" si="30"/>
        <v>#DIV/0!</v>
      </c>
      <c r="K226" s="448"/>
      <c r="L226" s="10">
        <f t="shared" si="31"/>
        <v>5307.4840251572332</v>
      </c>
      <c r="M226" s="14">
        <f t="shared" si="32"/>
        <v>0</v>
      </c>
      <c r="N226" s="2" t="e">
        <f t="shared" si="33"/>
        <v>#DIV/0!</v>
      </c>
      <c r="O226" s="130" t="e">
        <f t="shared" si="34"/>
        <v>#DIV/0!</v>
      </c>
      <c r="P226" s="443" t="e">
        <f t="shared" si="35"/>
        <v>#DIV/0!</v>
      </c>
      <c r="Q226" s="126"/>
    </row>
    <row r="227" spans="1:17" x14ac:dyDescent="0.25">
      <c r="A227" s="49">
        <f>+'A) Base RI'!A229</f>
        <v>5760</v>
      </c>
      <c r="B227" s="293" t="str">
        <f>+'A) Base RI'!B229</f>
        <v>Rances</v>
      </c>
      <c r="C227" s="305">
        <f>+'D) Ecrêtage'!C227</f>
        <v>12826.018997821348</v>
      </c>
      <c r="D227" s="444"/>
      <c r="E227" s="446"/>
      <c r="F227" s="444"/>
      <c r="G227" s="305">
        <f t="shared" si="27"/>
        <v>0</v>
      </c>
      <c r="H227" s="285">
        <f t="shared" si="28"/>
        <v>102608.15198257078</v>
      </c>
      <c r="I227" s="10">
        <f t="shared" si="29"/>
        <v>0</v>
      </c>
      <c r="J227" s="302" t="e">
        <f t="shared" si="30"/>
        <v>#DIV/0!</v>
      </c>
      <c r="K227" s="448"/>
      <c r="L227" s="10">
        <f t="shared" si="31"/>
        <v>12826.018997821348</v>
      </c>
      <c r="M227" s="14">
        <f t="shared" si="32"/>
        <v>0</v>
      </c>
      <c r="N227" s="2" t="e">
        <f t="shared" si="33"/>
        <v>#DIV/0!</v>
      </c>
      <c r="O227" s="130" t="e">
        <f t="shared" si="34"/>
        <v>#DIV/0!</v>
      </c>
      <c r="P227" s="443" t="e">
        <f t="shared" si="35"/>
        <v>#DIV/0!</v>
      </c>
      <c r="Q227" s="126"/>
    </row>
    <row r="228" spans="1:17" x14ac:dyDescent="0.25">
      <c r="A228" s="49">
        <f>+'A) Base RI'!A230</f>
        <v>5761</v>
      </c>
      <c r="B228" s="293" t="str">
        <f>+'A) Base RI'!B230</f>
        <v>Romainmôtier-Envy</v>
      </c>
      <c r="C228" s="305">
        <f>+'D) Ecrêtage'!C228</f>
        <v>12135.004377104378</v>
      </c>
      <c r="D228" s="444"/>
      <c r="E228" s="446"/>
      <c r="F228" s="444"/>
      <c r="G228" s="305">
        <f t="shared" si="27"/>
        <v>0</v>
      </c>
      <c r="H228" s="285">
        <f t="shared" si="28"/>
        <v>97080.035016835027</v>
      </c>
      <c r="I228" s="10">
        <f t="shared" si="29"/>
        <v>0</v>
      </c>
      <c r="J228" s="302" t="e">
        <f t="shared" si="30"/>
        <v>#DIV/0!</v>
      </c>
      <c r="K228" s="448"/>
      <c r="L228" s="10">
        <f t="shared" si="31"/>
        <v>12135.004377104378</v>
      </c>
      <c r="M228" s="14">
        <f t="shared" si="32"/>
        <v>0</v>
      </c>
      <c r="N228" s="2" t="e">
        <f t="shared" si="33"/>
        <v>#DIV/0!</v>
      </c>
      <c r="O228" s="130" t="e">
        <f t="shared" si="34"/>
        <v>#DIV/0!</v>
      </c>
      <c r="P228" s="443" t="e">
        <f t="shared" si="35"/>
        <v>#DIV/0!</v>
      </c>
      <c r="Q228" s="126"/>
    </row>
    <row r="229" spans="1:17" x14ac:dyDescent="0.25">
      <c r="A229" s="49">
        <f>+'A) Base RI'!A231</f>
        <v>5762</v>
      </c>
      <c r="B229" s="293" t="str">
        <f>+'A) Base RI'!B231</f>
        <v>Sergey</v>
      </c>
      <c r="C229" s="305">
        <f>+'D) Ecrêtage'!C229</f>
        <v>3773.0282051282052</v>
      </c>
      <c r="D229" s="444"/>
      <c r="E229" s="446"/>
      <c r="F229" s="444"/>
      <c r="G229" s="305">
        <f t="shared" si="27"/>
        <v>0</v>
      </c>
      <c r="H229" s="285">
        <f t="shared" si="28"/>
        <v>30184.225641025641</v>
      </c>
      <c r="I229" s="10">
        <f t="shared" si="29"/>
        <v>0</v>
      </c>
      <c r="J229" s="302" t="e">
        <f t="shared" si="30"/>
        <v>#DIV/0!</v>
      </c>
      <c r="K229" s="448"/>
      <c r="L229" s="10">
        <f t="shared" si="31"/>
        <v>3773.0282051282052</v>
      </c>
      <c r="M229" s="14">
        <f t="shared" si="32"/>
        <v>0</v>
      </c>
      <c r="N229" s="2" t="e">
        <f t="shared" si="33"/>
        <v>#DIV/0!</v>
      </c>
      <c r="O229" s="130" t="e">
        <f t="shared" si="34"/>
        <v>#DIV/0!</v>
      </c>
      <c r="P229" s="443" t="e">
        <f t="shared" si="35"/>
        <v>#DIV/0!</v>
      </c>
      <c r="Q229" s="126"/>
    </row>
    <row r="230" spans="1:17" x14ac:dyDescent="0.25">
      <c r="A230" s="49">
        <f>+'A) Base RI'!A232</f>
        <v>5763</v>
      </c>
      <c r="B230" s="293" t="str">
        <f>+'A) Base RI'!B232</f>
        <v>Valeyres-sous-Rances</v>
      </c>
      <c r="C230" s="305">
        <f>+'D) Ecrêtage'!C230</f>
        <v>20452.974117647056</v>
      </c>
      <c r="D230" s="444"/>
      <c r="E230" s="446"/>
      <c r="F230" s="444"/>
      <c r="G230" s="305">
        <f t="shared" si="27"/>
        <v>0</v>
      </c>
      <c r="H230" s="285">
        <f t="shared" si="28"/>
        <v>163623.79294117645</v>
      </c>
      <c r="I230" s="10">
        <f t="shared" si="29"/>
        <v>0</v>
      </c>
      <c r="J230" s="302" t="e">
        <f t="shared" si="30"/>
        <v>#DIV/0!</v>
      </c>
      <c r="K230" s="448"/>
      <c r="L230" s="10">
        <f t="shared" si="31"/>
        <v>20452.974117647056</v>
      </c>
      <c r="M230" s="14">
        <f t="shared" si="32"/>
        <v>0</v>
      </c>
      <c r="N230" s="2" t="e">
        <f t="shared" si="33"/>
        <v>#DIV/0!</v>
      </c>
      <c r="O230" s="130" t="e">
        <f t="shared" si="34"/>
        <v>#DIV/0!</v>
      </c>
      <c r="P230" s="443" t="e">
        <f t="shared" si="35"/>
        <v>#DIV/0!</v>
      </c>
      <c r="Q230" s="126"/>
    </row>
    <row r="231" spans="1:17" x14ac:dyDescent="0.25">
      <c r="A231" s="49">
        <f>+'A) Base RI'!A233</f>
        <v>5764</v>
      </c>
      <c r="B231" s="293" t="str">
        <f>+'A) Base RI'!B233</f>
        <v>Vallorbe</v>
      </c>
      <c r="C231" s="305">
        <f>+'D) Ecrêtage'!C231</f>
        <v>84310.704615384602</v>
      </c>
      <c r="D231" s="444"/>
      <c r="E231" s="446"/>
      <c r="F231" s="444"/>
      <c r="G231" s="305">
        <f t="shared" si="27"/>
        <v>0</v>
      </c>
      <c r="H231" s="285">
        <f t="shared" si="28"/>
        <v>674485.63692307682</v>
      </c>
      <c r="I231" s="10">
        <f t="shared" si="29"/>
        <v>0</v>
      </c>
      <c r="J231" s="302" t="e">
        <f t="shared" si="30"/>
        <v>#DIV/0!</v>
      </c>
      <c r="K231" s="448"/>
      <c r="L231" s="10">
        <f t="shared" si="31"/>
        <v>84310.704615384602</v>
      </c>
      <c r="M231" s="14">
        <f t="shared" si="32"/>
        <v>0</v>
      </c>
      <c r="N231" s="2" t="e">
        <f t="shared" si="33"/>
        <v>#DIV/0!</v>
      </c>
      <c r="O231" s="130" t="e">
        <f t="shared" si="34"/>
        <v>#DIV/0!</v>
      </c>
      <c r="P231" s="443" t="e">
        <f t="shared" si="35"/>
        <v>#DIV/0!</v>
      </c>
      <c r="Q231" s="126"/>
    </row>
    <row r="232" spans="1:17" x14ac:dyDescent="0.25">
      <c r="A232" s="49">
        <f>+'A) Base RI'!A234</f>
        <v>5765</v>
      </c>
      <c r="B232" s="293" t="str">
        <f>+'A) Base RI'!B234</f>
        <v>Vaulion</v>
      </c>
      <c r="C232" s="305">
        <f>+'D) Ecrêtage'!C232</f>
        <v>11314.597037037036</v>
      </c>
      <c r="D232" s="444"/>
      <c r="E232" s="446"/>
      <c r="F232" s="444"/>
      <c r="G232" s="305">
        <f t="shared" si="27"/>
        <v>0</v>
      </c>
      <c r="H232" s="285">
        <f t="shared" si="28"/>
        <v>90516.776296296288</v>
      </c>
      <c r="I232" s="10">
        <f t="shared" si="29"/>
        <v>0</v>
      </c>
      <c r="J232" s="302" t="e">
        <f t="shared" si="30"/>
        <v>#DIV/0!</v>
      </c>
      <c r="K232" s="448"/>
      <c r="L232" s="10">
        <f t="shared" si="31"/>
        <v>11314.597037037036</v>
      </c>
      <c r="M232" s="14">
        <f t="shared" si="32"/>
        <v>0</v>
      </c>
      <c r="N232" s="2" t="e">
        <f t="shared" si="33"/>
        <v>#DIV/0!</v>
      </c>
      <c r="O232" s="130" t="e">
        <f t="shared" si="34"/>
        <v>#DIV/0!</v>
      </c>
      <c r="P232" s="443" t="e">
        <f t="shared" si="35"/>
        <v>#DIV/0!</v>
      </c>
      <c r="Q232" s="126"/>
    </row>
    <row r="233" spans="1:17" x14ac:dyDescent="0.25">
      <c r="A233" s="49">
        <f>+'A) Base RI'!A235</f>
        <v>5766</v>
      </c>
      <c r="B233" s="293" t="str">
        <f>+'A) Base RI'!B235</f>
        <v>Vuiteboeuf</v>
      </c>
      <c r="C233" s="305">
        <f>+'D) Ecrêtage'!C233</f>
        <v>15993.559610389608</v>
      </c>
      <c r="D233" s="444"/>
      <c r="E233" s="446"/>
      <c r="F233" s="444"/>
      <c r="G233" s="305">
        <f t="shared" si="27"/>
        <v>0</v>
      </c>
      <c r="H233" s="285">
        <f t="shared" si="28"/>
        <v>127948.47688311686</v>
      </c>
      <c r="I233" s="10">
        <f t="shared" si="29"/>
        <v>0</v>
      </c>
      <c r="J233" s="302" t="e">
        <f t="shared" si="30"/>
        <v>#DIV/0!</v>
      </c>
      <c r="K233" s="448"/>
      <c r="L233" s="10">
        <f t="shared" si="31"/>
        <v>15993.559610389608</v>
      </c>
      <c r="M233" s="14">
        <f t="shared" si="32"/>
        <v>0</v>
      </c>
      <c r="N233" s="2" t="e">
        <f t="shared" si="33"/>
        <v>#DIV/0!</v>
      </c>
      <c r="O233" s="130" t="e">
        <f t="shared" si="34"/>
        <v>#DIV/0!</v>
      </c>
      <c r="P233" s="443" t="e">
        <f t="shared" si="35"/>
        <v>#DIV/0!</v>
      </c>
      <c r="Q233" s="126"/>
    </row>
    <row r="234" spans="1:17" x14ac:dyDescent="0.25">
      <c r="A234" s="49">
        <f>+'A) Base RI'!A236</f>
        <v>5785</v>
      </c>
      <c r="B234" s="293" t="str">
        <f>+'A) Base RI'!B236</f>
        <v>Corcelles-le-Jorat</v>
      </c>
      <c r="C234" s="305">
        <f>+'D) Ecrêtage'!C234</f>
        <v>17518.145584415586</v>
      </c>
      <c r="D234" s="444"/>
      <c r="E234" s="446"/>
      <c r="F234" s="444"/>
      <c r="G234" s="305">
        <f t="shared" si="27"/>
        <v>0</v>
      </c>
      <c r="H234" s="285">
        <f t="shared" si="28"/>
        <v>140145.16467532469</v>
      </c>
      <c r="I234" s="10">
        <f t="shared" si="29"/>
        <v>0</v>
      </c>
      <c r="J234" s="302" t="e">
        <f t="shared" si="30"/>
        <v>#DIV/0!</v>
      </c>
      <c r="K234" s="448"/>
      <c r="L234" s="10">
        <f t="shared" si="31"/>
        <v>17518.145584415586</v>
      </c>
      <c r="M234" s="14">
        <f t="shared" si="32"/>
        <v>0</v>
      </c>
      <c r="N234" s="2" t="e">
        <f t="shared" si="33"/>
        <v>#DIV/0!</v>
      </c>
      <c r="O234" s="130" t="e">
        <f t="shared" si="34"/>
        <v>#DIV/0!</v>
      </c>
      <c r="P234" s="443" t="e">
        <f t="shared" si="35"/>
        <v>#DIV/0!</v>
      </c>
      <c r="Q234" s="126"/>
    </row>
    <row r="235" spans="1:17" x14ac:dyDescent="0.25">
      <c r="A235" s="49">
        <f>+'A) Base RI'!A237</f>
        <v>5788</v>
      </c>
      <c r="B235" s="293" t="str">
        <f>+'A) Base RI'!B237</f>
        <v>Essertes</v>
      </c>
      <c r="C235" s="305">
        <f>+'D) Ecrêtage'!C235</f>
        <v>16224.893706293702</v>
      </c>
      <c r="D235" s="444"/>
      <c r="E235" s="446"/>
      <c r="F235" s="444"/>
      <c r="G235" s="305">
        <f t="shared" si="27"/>
        <v>0</v>
      </c>
      <c r="H235" s="285">
        <f t="shared" si="28"/>
        <v>129799.14965034962</v>
      </c>
      <c r="I235" s="10">
        <f t="shared" si="29"/>
        <v>0</v>
      </c>
      <c r="J235" s="302" t="e">
        <f t="shared" si="30"/>
        <v>#DIV/0!</v>
      </c>
      <c r="K235" s="448"/>
      <c r="L235" s="10">
        <f t="shared" si="31"/>
        <v>16224.893706293702</v>
      </c>
      <c r="M235" s="14">
        <f t="shared" si="32"/>
        <v>0</v>
      </c>
      <c r="N235" s="2" t="e">
        <f t="shared" si="33"/>
        <v>#DIV/0!</v>
      </c>
      <c r="O235" s="130" t="e">
        <f t="shared" si="34"/>
        <v>#DIV/0!</v>
      </c>
      <c r="P235" s="443" t="e">
        <f t="shared" si="35"/>
        <v>#DIV/0!</v>
      </c>
      <c r="Q235" s="126"/>
    </row>
    <row r="236" spans="1:17" x14ac:dyDescent="0.25">
      <c r="A236" s="49">
        <f>+'A) Base RI'!A238</f>
        <v>5790</v>
      </c>
      <c r="B236" s="293" t="str">
        <f>+'A) Base RI'!B238</f>
        <v>Maracon</v>
      </c>
      <c r="C236" s="305">
        <f>+'D) Ecrêtage'!C236</f>
        <v>13398.084966442953</v>
      </c>
      <c r="D236" s="444"/>
      <c r="E236" s="446"/>
      <c r="F236" s="444"/>
      <c r="G236" s="305">
        <f t="shared" si="27"/>
        <v>0</v>
      </c>
      <c r="H236" s="285">
        <f t="shared" si="28"/>
        <v>107184.67973154363</v>
      </c>
      <c r="I236" s="10">
        <f t="shared" si="29"/>
        <v>0</v>
      </c>
      <c r="J236" s="302" t="e">
        <f t="shared" si="30"/>
        <v>#DIV/0!</v>
      </c>
      <c r="K236" s="448"/>
      <c r="L236" s="10">
        <f t="shared" si="31"/>
        <v>13398.084966442953</v>
      </c>
      <c r="M236" s="14">
        <f t="shared" si="32"/>
        <v>0</v>
      </c>
      <c r="N236" s="2" t="e">
        <f t="shared" si="33"/>
        <v>#DIV/0!</v>
      </c>
      <c r="O236" s="130" t="e">
        <f t="shared" si="34"/>
        <v>#DIV/0!</v>
      </c>
      <c r="P236" s="443" t="e">
        <f t="shared" si="35"/>
        <v>#DIV/0!</v>
      </c>
      <c r="Q236" s="126"/>
    </row>
    <row r="237" spans="1:17" x14ac:dyDescent="0.25">
      <c r="A237" s="49">
        <f>+'A) Base RI'!A239</f>
        <v>5792</v>
      </c>
      <c r="B237" s="293" t="str">
        <f>+'A) Base RI'!B239</f>
        <v>Montpreveyres</v>
      </c>
      <c r="C237" s="305">
        <f>+'D) Ecrêtage'!C237</f>
        <v>17609.230799999998</v>
      </c>
      <c r="D237" s="444"/>
      <c r="E237" s="446"/>
      <c r="F237" s="444"/>
      <c r="G237" s="305">
        <f t="shared" si="27"/>
        <v>0</v>
      </c>
      <c r="H237" s="285">
        <f t="shared" si="28"/>
        <v>140873.84639999998</v>
      </c>
      <c r="I237" s="10">
        <f t="shared" si="29"/>
        <v>0</v>
      </c>
      <c r="J237" s="302" t="e">
        <f t="shared" si="30"/>
        <v>#DIV/0!</v>
      </c>
      <c r="K237" s="448"/>
      <c r="L237" s="10">
        <f t="shared" si="31"/>
        <v>17609.230799999998</v>
      </c>
      <c r="M237" s="14">
        <f t="shared" si="32"/>
        <v>0</v>
      </c>
      <c r="N237" s="2" t="e">
        <f t="shared" si="33"/>
        <v>#DIV/0!</v>
      </c>
      <c r="O237" s="130" t="e">
        <f t="shared" si="34"/>
        <v>#DIV/0!</v>
      </c>
      <c r="P237" s="443" t="e">
        <f t="shared" si="35"/>
        <v>#DIV/0!</v>
      </c>
      <c r="Q237" s="126"/>
    </row>
    <row r="238" spans="1:17" x14ac:dyDescent="0.25">
      <c r="A238" s="49">
        <f>+'A) Base RI'!A240</f>
        <v>5798</v>
      </c>
      <c r="B238" s="293" t="str">
        <f>+'A) Base RI'!B240</f>
        <v>Ropraz</v>
      </c>
      <c r="C238" s="305">
        <f>+'D) Ecrêtage'!C238</f>
        <v>15761.261677419356</v>
      </c>
      <c r="D238" s="444"/>
      <c r="E238" s="446"/>
      <c r="F238" s="444"/>
      <c r="G238" s="305">
        <f t="shared" si="27"/>
        <v>0</v>
      </c>
      <c r="H238" s="285">
        <f t="shared" si="28"/>
        <v>126090.09341935485</v>
      </c>
      <c r="I238" s="10">
        <f t="shared" si="29"/>
        <v>0</v>
      </c>
      <c r="J238" s="302" t="e">
        <f t="shared" si="30"/>
        <v>#DIV/0!</v>
      </c>
      <c r="K238" s="448"/>
      <c r="L238" s="10">
        <f t="shared" si="31"/>
        <v>15761.261677419356</v>
      </c>
      <c r="M238" s="14">
        <f t="shared" si="32"/>
        <v>0</v>
      </c>
      <c r="N238" s="2" t="e">
        <f t="shared" si="33"/>
        <v>#DIV/0!</v>
      </c>
      <c r="O238" s="130" t="e">
        <f t="shared" si="34"/>
        <v>#DIV/0!</v>
      </c>
      <c r="P238" s="443" t="e">
        <f t="shared" si="35"/>
        <v>#DIV/0!</v>
      </c>
      <c r="Q238" s="126"/>
    </row>
    <row r="239" spans="1:17" x14ac:dyDescent="0.25">
      <c r="A239" s="49">
        <f>+'A) Base RI'!A241</f>
        <v>5799</v>
      </c>
      <c r="B239" s="293" t="str">
        <f>+'A) Base RI'!B241</f>
        <v>Servion</v>
      </c>
      <c r="C239" s="305">
        <f>+'D) Ecrêtage'!C239</f>
        <v>69387.22289855071</v>
      </c>
      <c r="D239" s="444"/>
      <c r="E239" s="446"/>
      <c r="F239" s="444"/>
      <c r="G239" s="305">
        <f t="shared" si="27"/>
        <v>0</v>
      </c>
      <c r="H239" s="285">
        <f t="shared" si="28"/>
        <v>555097.78318840568</v>
      </c>
      <c r="I239" s="10">
        <f t="shared" si="29"/>
        <v>0</v>
      </c>
      <c r="J239" s="302" t="e">
        <f t="shared" si="30"/>
        <v>#DIV/0!</v>
      </c>
      <c r="K239" s="448"/>
      <c r="L239" s="10">
        <f t="shared" si="31"/>
        <v>69387.22289855071</v>
      </c>
      <c r="M239" s="14">
        <f t="shared" si="32"/>
        <v>0</v>
      </c>
      <c r="N239" s="2" t="e">
        <f t="shared" si="33"/>
        <v>#DIV/0!</v>
      </c>
      <c r="O239" s="130" t="e">
        <f t="shared" si="34"/>
        <v>#DIV/0!</v>
      </c>
      <c r="P239" s="443" t="e">
        <f t="shared" si="35"/>
        <v>#DIV/0!</v>
      </c>
      <c r="Q239" s="126"/>
    </row>
    <row r="240" spans="1:17" x14ac:dyDescent="0.25">
      <c r="A240" s="49">
        <f>+'A) Base RI'!A242</f>
        <v>5803</v>
      </c>
      <c r="B240" s="293" t="str">
        <f>+'A) Base RI'!B242</f>
        <v>Vulliens</v>
      </c>
      <c r="C240" s="305">
        <f>+'D) Ecrêtage'!C240</f>
        <v>18875.933421052636</v>
      </c>
      <c r="D240" s="444"/>
      <c r="E240" s="446"/>
      <c r="F240" s="444"/>
      <c r="G240" s="305">
        <f t="shared" si="27"/>
        <v>0</v>
      </c>
      <c r="H240" s="285">
        <f t="shared" si="28"/>
        <v>151007.46736842109</v>
      </c>
      <c r="I240" s="10">
        <f t="shared" si="29"/>
        <v>0</v>
      </c>
      <c r="J240" s="302" t="e">
        <f t="shared" si="30"/>
        <v>#DIV/0!</v>
      </c>
      <c r="K240" s="448"/>
      <c r="L240" s="10">
        <f t="shared" si="31"/>
        <v>18875.933421052636</v>
      </c>
      <c r="M240" s="14">
        <f t="shared" si="32"/>
        <v>0</v>
      </c>
      <c r="N240" s="2" t="e">
        <f t="shared" si="33"/>
        <v>#DIV/0!</v>
      </c>
      <c r="O240" s="130" t="e">
        <f t="shared" si="34"/>
        <v>#DIV/0!</v>
      </c>
      <c r="P240" s="443" t="e">
        <f t="shared" si="35"/>
        <v>#DIV/0!</v>
      </c>
      <c r="Q240" s="126"/>
    </row>
    <row r="241" spans="1:17" x14ac:dyDescent="0.25">
      <c r="A241" s="49">
        <f>+'A) Base RI'!A243</f>
        <v>5804</v>
      </c>
      <c r="B241" s="293" t="str">
        <f>+'A) Base RI'!B243</f>
        <v>Jorat-Menthue</v>
      </c>
      <c r="C241" s="305">
        <f>+'D) Ecrêtage'!C241</f>
        <v>46692.865106382982</v>
      </c>
      <c r="D241" s="444"/>
      <c r="E241" s="446"/>
      <c r="F241" s="444"/>
      <c r="G241" s="305">
        <f t="shared" si="27"/>
        <v>0</v>
      </c>
      <c r="H241" s="285">
        <f t="shared" si="28"/>
        <v>373542.92085106386</v>
      </c>
      <c r="I241" s="10">
        <f t="shared" si="29"/>
        <v>0</v>
      </c>
      <c r="J241" s="302" t="e">
        <f t="shared" si="30"/>
        <v>#DIV/0!</v>
      </c>
      <c r="K241" s="448"/>
      <c r="L241" s="10">
        <f t="shared" si="31"/>
        <v>46692.865106382982</v>
      </c>
      <c r="M241" s="14">
        <f t="shared" si="32"/>
        <v>0</v>
      </c>
      <c r="N241" s="2" t="e">
        <f t="shared" si="33"/>
        <v>#DIV/0!</v>
      </c>
      <c r="O241" s="130" t="e">
        <f t="shared" si="34"/>
        <v>#DIV/0!</v>
      </c>
      <c r="P241" s="443" t="e">
        <f t="shared" si="35"/>
        <v>#DIV/0!</v>
      </c>
      <c r="Q241" s="126"/>
    </row>
    <row r="242" spans="1:17" x14ac:dyDescent="0.25">
      <c r="A242" s="49">
        <f>+'A) Base RI'!A244</f>
        <v>5805</v>
      </c>
      <c r="B242" s="293" t="str">
        <f>+'A) Base RI'!B244</f>
        <v>Oron</v>
      </c>
      <c r="C242" s="305">
        <f>+'D) Ecrêtage'!C242</f>
        <v>154727.47061923583</v>
      </c>
      <c r="D242" s="444"/>
      <c r="E242" s="446"/>
      <c r="F242" s="444"/>
      <c r="G242" s="305">
        <f t="shared" si="27"/>
        <v>0</v>
      </c>
      <c r="H242" s="285">
        <f t="shared" si="28"/>
        <v>1237819.7649538866</v>
      </c>
      <c r="I242" s="10">
        <f t="shared" si="29"/>
        <v>0</v>
      </c>
      <c r="J242" s="302" t="e">
        <f t="shared" si="30"/>
        <v>#DIV/0!</v>
      </c>
      <c r="K242" s="448"/>
      <c r="L242" s="10">
        <f t="shared" si="31"/>
        <v>154727.47061923583</v>
      </c>
      <c r="M242" s="14">
        <f t="shared" si="32"/>
        <v>0</v>
      </c>
      <c r="N242" s="2" t="e">
        <f t="shared" si="33"/>
        <v>#DIV/0!</v>
      </c>
      <c r="O242" s="130" t="e">
        <f t="shared" si="34"/>
        <v>#DIV/0!</v>
      </c>
      <c r="P242" s="443" t="e">
        <f t="shared" si="35"/>
        <v>#DIV/0!</v>
      </c>
      <c r="Q242" s="126"/>
    </row>
    <row r="243" spans="1:17" x14ac:dyDescent="0.25">
      <c r="A243" s="49">
        <f>+'A) Base RI'!A245</f>
        <v>5806</v>
      </c>
      <c r="B243" s="293" t="str">
        <f>+'A) Base RI'!B245</f>
        <v>Jorat-Mézières</v>
      </c>
      <c r="C243" s="305">
        <f>+'D) Ecrêtage'!C243</f>
        <v>91092.386986301368</v>
      </c>
      <c r="D243" s="444"/>
      <c r="E243" s="446"/>
      <c r="F243" s="444"/>
      <c r="G243" s="305">
        <f t="shared" si="27"/>
        <v>0</v>
      </c>
      <c r="H243" s="285">
        <f t="shared" si="28"/>
        <v>728739.09589041094</v>
      </c>
      <c r="I243" s="10">
        <f t="shared" si="29"/>
        <v>0</v>
      </c>
      <c r="J243" s="302" t="e">
        <f t="shared" si="30"/>
        <v>#DIV/0!</v>
      </c>
      <c r="K243" s="448"/>
      <c r="L243" s="10">
        <f t="shared" si="31"/>
        <v>91092.386986301368</v>
      </c>
      <c r="M243" s="14">
        <f t="shared" si="32"/>
        <v>0</v>
      </c>
      <c r="N243" s="2" t="e">
        <f t="shared" si="33"/>
        <v>#DIV/0!</v>
      </c>
      <c r="O243" s="130" t="e">
        <f t="shared" si="34"/>
        <v>#DIV/0!</v>
      </c>
      <c r="P243" s="443" t="e">
        <f t="shared" si="35"/>
        <v>#DIV/0!</v>
      </c>
      <c r="Q243" s="126"/>
    </row>
    <row r="244" spans="1:17" x14ac:dyDescent="0.25">
      <c r="A244" s="49">
        <f>+'A) Base RI'!A246</f>
        <v>5812</v>
      </c>
      <c r="B244" s="293" t="str">
        <f>+'A) Base RI'!B246</f>
        <v>Champtauroz</v>
      </c>
      <c r="C244" s="305">
        <f>+'D) Ecrêtage'!C244</f>
        <v>2487.5377597402598</v>
      </c>
      <c r="D244" s="444"/>
      <c r="E244" s="446"/>
      <c r="F244" s="444"/>
      <c r="G244" s="305">
        <f t="shared" si="27"/>
        <v>0</v>
      </c>
      <c r="H244" s="285">
        <f t="shared" si="28"/>
        <v>19900.302077922079</v>
      </c>
      <c r="I244" s="10">
        <f t="shared" si="29"/>
        <v>0</v>
      </c>
      <c r="J244" s="302" t="e">
        <f t="shared" si="30"/>
        <v>#DIV/0!</v>
      </c>
      <c r="K244" s="448"/>
      <c r="L244" s="10">
        <f t="shared" si="31"/>
        <v>2487.5377597402598</v>
      </c>
      <c r="M244" s="14">
        <f t="shared" si="32"/>
        <v>0</v>
      </c>
      <c r="N244" s="2" t="e">
        <f t="shared" si="33"/>
        <v>#DIV/0!</v>
      </c>
      <c r="O244" s="130" t="e">
        <f t="shared" si="34"/>
        <v>#DIV/0!</v>
      </c>
      <c r="P244" s="443" t="e">
        <f t="shared" si="35"/>
        <v>#DIV/0!</v>
      </c>
      <c r="Q244" s="126"/>
    </row>
    <row r="245" spans="1:17" x14ac:dyDescent="0.25">
      <c r="A245" s="49">
        <f>+'A) Base RI'!A247</f>
        <v>5813</v>
      </c>
      <c r="B245" s="293" t="str">
        <f>+'A) Base RI'!B247</f>
        <v>Chevroux</v>
      </c>
      <c r="C245" s="305">
        <f>+'D) Ecrêtage'!C245</f>
        <v>15179.777080291971</v>
      </c>
      <c r="D245" s="444"/>
      <c r="E245" s="446"/>
      <c r="F245" s="444"/>
      <c r="G245" s="305">
        <f t="shared" si="27"/>
        <v>0</v>
      </c>
      <c r="H245" s="285">
        <f t="shared" si="28"/>
        <v>121438.21664233577</v>
      </c>
      <c r="I245" s="10">
        <f t="shared" si="29"/>
        <v>0</v>
      </c>
      <c r="J245" s="302" t="e">
        <f t="shared" si="30"/>
        <v>#DIV/0!</v>
      </c>
      <c r="K245" s="448"/>
      <c r="L245" s="10">
        <f t="shared" si="31"/>
        <v>15179.777080291971</v>
      </c>
      <c r="M245" s="14">
        <f t="shared" si="32"/>
        <v>0</v>
      </c>
      <c r="N245" s="2" t="e">
        <f t="shared" si="33"/>
        <v>#DIV/0!</v>
      </c>
      <c r="O245" s="130" t="e">
        <f t="shared" si="34"/>
        <v>#DIV/0!</v>
      </c>
      <c r="P245" s="443" t="e">
        <f t="shared" si="35"/>
        <v>#DIV/0!</v>
      </c>
      <c r="Q245" s="126"/>
    </row>
    <row r="246" spans="1:17" x14ac:dyDescent="0.25">
      <c r="A246" s="49">
        <f>+'A) Base RI'!A248</f>
        <v>5816</v>
      </c>
      <c r="B246" s="293" t="str">
        <f>+'A) Base RI'!B248</f>
        <v>Corcelles-près-Payerne</v>
      </c>
      <c r="C246" s="305">
        <f>+'D) Ecrêtage'!C246</f>
        <v>60528.996913451512</v>
      </c>
      <c r="D246" s="444"/>
      <c r="E246" s="446"/>
      <c r="F246" s="444"/>
      <c r="G246" s="305">
        <f t="shared" si="27"/>
        <v>0</v>
      </c>
      <c r="H246" s="285">
        <f t="shared" si="28"/>
        <v>484231.9753076121</v>
      </c>
      <c r="I246" s="10">
        <f t="shared" si="29"/>
        <v>0</v>
      </c>
      <c r="J246" s="302" t="e">
        <f t="shared" si="30"/>
        <v>#DIV/0!</v>
      </c>
      <c r="K246" s="448"/>
      <c r="L246" s="10">
        <f t="shared" si="31"/>
        <v>60528.996913451512</v>
      </c>
      <c r="M246" s="14">
        <f t="shared" si="32"/>
        <v>0</v>
      </c>
      <c r="N246" s="2" t="e">
        <f t="shared" si="33"/>
        <v>#DIV/0!</v>
      </c>
      <c r="O246" s="130" t="e">
        <f t="shared" si="34"/>
        <v>#DIV/0!</v>
      </c>
      <c r="P246" s="443" t="e">
        <f t="shared" si="35"/>
        <v>#DIV/0!</v>
      </c>
      <c r="Q246" s="126"/>
    </row>
    <row r="247" spans="1:17" x14ac:dyDescent="0.25">
      <c r="A247" s="49">
        <f>+'A) Base RI'!A249</f>
        <v>5817</v>
      </c>
      <c r="B247" s="293" t="str">
        <f>+'A) Base RI'!B249</f>
        <v>Grandcour</v>
      </c>
      <c r="C247" s="305">
        <f>+'D) Ecrêtage'!C247</f>
        <v>21779.238095238095</v>
      </c>
      <c r="D247" s="444"/>
      <c r="E247" s="446"/>
      <c r="F247" s="444"/>
      <c r="G247" s="305">
        <f t="shared" si="27"/>
        <v>0</v>
      </c>
      <c r="H247" s="285">
        <f t="shared" si="28"/>
        <v>174233.90476190476</v>
      </c>
      <c r="I247" s="10">
        <f t="shared" si="29"/>
        <v>0</v>
      </c>
      <c r="J247" s="302" t="e">
        <f t="shared" si="30"/>
        <v>#DIV/0!</v>
      </c>
      <c r="K247" s="448"/>
      <c r="L247" s="10">
        <f t="shared" si="31"/>
        <v>21779.238095238095</v>
      </c>
      <c r="M247" s="14">
        <f t="shared" si="32"/>
        <v>0</v>
      </c>
      <c r="N247" s="2" t="e">
        <f t="shared" si="33"/>
        <v>#DIV/0!</v>
      </c>
      <c r="O247" s="130" t="e">
        <f t="shared" si="34"/>
        <v>#DIV/0!</v>
      </c>
      <c r="P247" s="443" t="e">
        <f t="shared" si="35"/>
        <v>#DIV/0!</v>
      </c>
      <c r="Q247" s="126"/>
    </row>
    <row r="248" spans="1:17" x14ac:dyDescent="0.25">
      <c r="A248" s="49">
        <f>+'A) Base RI'!A250</f>
        <v>5819</v>
      </c>
      <c r="B248" s="293" t="str">
        <f>+'A) Base RI'!B250</f>
        <v>Henniez</v>
      </c>
      <c r="C248" s="305">
        <f>+'D) Ecrêtage'!C248</f>
        <v>11468.217826086959</v>
      </c>
      <c r="D248" s="444"/>
      <c r="E248" s="446"/>
      <c r="F248" s="444"/>
      <c r="G248" s="305">
        <f t="shared" si="27"/>
        <v>0</v>
      </c>
      <c r="H248" s="285">
        <f t="shared" si="28"/>
        <v>91745.742608695669</v>
      </c>
      <c r="I248" s="10">
        <f t="shared" si="29"/>
        <v>0</v>
      </c>
      <c r="J248" s="302" t="e">
        <f t="shared" si="30"/>
        <v>#DIV/0!</v>
      </c>
      <c r="K248" s="448"/>
      <c r="L248" s="10">
        <f t="shared" si="31"/>
        <v>11468.217826086959</v>
      </c>
      <c r="M248" s="14">
        <f t="shared" si="32"/>
        <v>0</v>
      </c>
      <c r="N248" s="2" t="e">
        <f t="shared" si="33"/>
        <v>#DIV/0!</v>
      </c>
      <c r="O248" s="130" t="e">
        <f t="shared" si="34"/>
        <v>#DIV/0!</v>
      </c>
      <c r="P248" s="443" t="e">
        <f t="shared" si="35"/>
        <v>#DIV/0!</v>
      </c>
      <c r="Q248" s="126"/>
    </row>
    <row r="249" spans="1:17" x14ac:dyDescent="0.25">
      <c r="A249" s="49">
        <f>+'A) Base RI'!A251</f>
        <v>5821</v>
      </c>
      <c r="B249" s="293" t="str">
        <f>+'A) Base RI'!B251</f>
        <v>Missy</v>
      </c>
      <c r="C249" s="305">
        <f>+'D) Ecrêtage'!C249</f>
        <v>7872.7337500000012</v>
      </c>
      <c r="D249" s="444"/>
      <c r="E249" s="446"/>
      <c r="F249" s="444"/>
      <c r="G249" s="305">
        <f t="shared" si="27"/>
        <v>0</v>
      </c>
      <c r="H249" s="285">
        <f t="shared" si="28"/>
        <v>62981.87000000001</v>
      </c>
      <c r="I249" s="10">
        <f t="shared" si="29"/>
        <v>0</v>
      </c>
      <c r="J249" s="302" t="e">
        <f t="shared" si="30"/>
        <v>#DIV/0!</v>
      </c>
      <c r="K249" s="448"/>
      <c r="L249" s="10">
        <f t="shared" si="31"/>
        <v>7872.7337500000012</v>
      </c>
      <c r="M249" s="14">
        <f t="shared" si="32"/>
        <v>0</v>
      </c>
      <c r="N249" s="2" t="e">
        <f t="shared" si="33"/>
        <v>#DIV/0!</v>
      </c>
      <c r="O249" s="130" t="e">
        <f t="shared" si="34"/>
        <v>#DIV/0!</v>
      </c>
      <c r="P249" s="443" t="e">
        <f t="shared" si="35"/>
        <v>#DIV/0!</v>
      </c>
      <c r="Q249" s="126"/>
    </row>
    <row r="250" spans="1:17" x14ac:dyDescent="0.25">
      <c r="A250" s="49">
        <f>+'A) Base RI'!A252</f>
        <v>5822</v>
      </c>
      <c r="B250" s="293" t="str">
        <f>+'A) Base RI'!B252</f>
        <v>Payerne</v>
      </c>
      <c r="C250" s="305">
        <f>+'D) Ecrêtage'!C250</f>
        <v>237851.57178082189</v>
      </c>
      <c r="D250" s="444"/>
      <c r="E250" s="446"/>
      <c r="F250" s="444"/>
      <c r="G250" s="305">
        <f t="shared" si="27"/>
        <v>0</v>
      </c>
      <c r="H250" s="285">
        <f t="shared" si="28"/>
        <v>1902812.5742465751</v>
      </c>
      <c r="I250" s="10">
        <f t="shared" si="29"/>
        <v>0</v>
      </c>
      <c r="J250" s="302" t="e">
        <f t="shared" si="30"/>
        <v>#DIV/0!</v>
      </c>
      <c r="K250" s="448"/>
      <c r="L250" s="10">
        <f t="shared" si="31"/>
        <v>237851.57178082189</v>
      </c>
      <c r="M250" s="14">
        <f t="shared" si="32"/>
        <v>0</v>
      </c>
      <c r="N250" s="2" t="e">
        <f t="shared" si="33"/>
        <v>#DIV/0!</v>
      </c>
      <c r="O250" s="130" t="e">
        <f t="shared" si="34"/>
        <v>#DIV/0!</v>
      </c>
      <c r="P250" s="443" t="e">
        <f t="shared" si="35"/>
        <v>#DIV/0!</v>
      </c>
      <c r="Q250" s="126"/>
    </row>
    <row r="251" spans="1:17" x14ac:dyDescent="0.25">
      <c r="A251" s="49">
        <f>+'A) Base RI'!A253</f>
        <v>5827</v>
      </c>
      <c r="B251" s="293" t="str">
        <f>+'A) Base RI'!B253</f>
        <v>Trey</v>
      </c>
      <c r="C251" s="305">
        <f>+'D) Ecrêtage'!C251</f>
        <v>6163.6291025641031</v>
      </c>
      <c r="D251" s="444"/>
      <c r="E251" s="446"/>
      <c r="F251" s="444"/>
      <c r="G251" s="305">
        <f t="shared" si="27"/>
        <v>0</v>
      </c>
      <c r="H251" s="285">
        <f t="shared" si="28"/>
        <v>49309.032820512824</v>
      </c>
      <c r="I251" s="10">
        <f t="shared" si="29"/>
        <v>0</v>
      </c>
      <c r="J251" s="302" t="e">
        <f t="shared" si="30"/>
        <v>#DIV/0!</v>
      </c>
      <c r="K251" s="448"/>
      <c r="L251" s="10">
        <f t="shared" si="31"/>
        <v>6163.6291025641031</v>
      </c>
      <c r="M251" s="14">
        <f t="shared" si="32"/>
        <v>0</v>
      </c>
      <c r="N251" s="2" t="e">
        <f t="shared" si="33"/>
        <v>#DIV/0!</v>
      </c>
      <c r="O251" s="130" t="e">
        <f t="shared" si="34"/>
        <v>#DIV/0!</v>
      </c>
      <c r="P251" s="443" t="e">
        <f t="shared" si="35"/>
        <v>#DIV/0!</v>
      </c>
      <c r="Q251" s="126"/>
    </row>
    <row r="252" spans="1:17" x14ac:dyDescent="0.25">
      <c r="A252" s="49">
        <f>+'A) Base RI'!A254</f>
        <v>5828</v>
      </c>
      <c r="B252" s="293" t="str">
        <f>+'A) Base RI'!B254</f>
        <v>Treytorrens (Payerne)</v>
      </c>
      <c r="C252" s="305">
        <f>+'D) Ecrêtage'!C252</f>
        <v>2288.4160317460314</v>
      </c>
      <c r="D252" s="444"/>
      <c r="E252" s="446"/>
      <c r="F252" s="444"/>
      <c r="G252" s="305">
        <f t="shared" si="27"/>
        <v>0</v>
      </c>
      <c r="H252" s="285">
        <f t="shared" si="28"/>
        <v>18307.328253968251</v>
      </c>
      <c r="I252" s="10">
        <f t="shared" si="29"/>
        <v>0</v>
      </c>
      <c r="J252" s="302" t="e">
        <f t="shared" si="30"/>
        <v>#DIV/0!</v>
      </c>
      <c r="K252" s="448"/>
      <c r="L252" s="10">
        <f t="shared" si="31"/>
        <v>2288.4160317460314</v>
      </c>
      <c r="M252" s="14">
        <f t="shared" si="32"/>
        <v>0</v>
      </c>
      <c r="N252" s="2" t="e">
        <f t="shared" si="33"/>
        <v>#DIV/0!</v>
      </c>
      <c r="O252" s="130" t="e">
        <f t="shared" si="34"/>
        <v>#DIV/0!</v>
      </c>
      <c r="P252" s="443" t="e">
        <f t="shared" si="35"/>
        <v>#DIV/0!</v>
      </c>
      <c r="Q252" s="126"/>
    </row>
    <row r="253" spans="1:17" x14ac:dyDescent="0.25">
      <c r="A253" s="49">
        <f>+'A) Base RI'!A255</f>
        <v>5830</v>
      </c>
      <c r="B253" s="293" t="str">
        <f>+'A) Base RI'!B255</f>
        <v>Villarzel</v>
      </c>
      <c r="C253" s="305">
        <f>+'D) Ecrêtage'!C253</f>
        <v>12470.916233766235</v>
      </c>
      <c r="D253" s="444"/>
      <c r="E253" s="446"/>
      <c r="F253" s="444"/>
      <c r="G253" s="305">
        <f t="shared" si="27"/>
        <v>0</v>
      </c>
      <c r="H253" s="285">
        <f t="shared" si="28"/>
        <v>99767.329870129877</v>
      </c>
      <c r="I253" s="10">
        <f t="shared" si="29"/>
        <v>0</v>
      </c>
      <c r="J253" s="302" t="e">
        <f t="shared" si="30"/>
        <v>#DIV/0!</v>
      </c>
      <c r="K253" s="448"/>
      <c r="L253" s="10">
        <f t="shared" si="31"/>
        <v>12470.916233766235</v>
      </c>
      <c r="M253" s="14">
        <f t="shared" si="32"/>
        <v>0</v>
      </c>
      <c r="N253" s="2" t="e">
        <f t="shared" si="33"/>
        <v>#DIV/0!</v>
      </c>
      <c r="O253" s="130" t="e">
        <f t="shared" si="34"/>
        <v>#DIV/0!</v>
      </c>
      <c r="P253" s="443" t="e">
        <f t="shared" si="35"/>
        <v>#DIV/0!</v>
      </c>
      <c r="Q253" s="126"/>
    </row>
    <row r="254" spans="1:17" x14ac:dyDescent="0.25">
      <c r="A254" s="49">
        <f>+'A) Base RI'!A256</f>
        <v>5831</v>
      </c>
      <c r="B254" s="293" t="str">
        <f>+'A) Base RI'!B256</f>
        <v>Valbroye</v>
      </c>
      <c r="C254" s="305">
        <f>+'D) Ecrêtage'!C254</f>
        <v>83756.732765957451</v>
      </c>
      <c r="D254" s="444"/>
      <c r="E254" s="446"/>
      <c r="F254" s="444"/>
      <c r="G254" s="305">
        <f t="shared" si="27"/>
        <v>0</v>
      </c>
      <c r="H254" s="285">
        <f t="shared" si="28"/>
        <v>670053.86212765961</v>
      </c>
      <c r="I254" s="10">
        <f t="shared" si="29"/>
        <v>0</v>
      </c>
      <c r="J254" s="302" t="e">
        <f t="shared" si="30"/>
        <v>#DIV/0!</v>
      </c>
      <c r="K254" s="448"/>
      <c r="L254" s="10">
        <f t="shared" si="31"/>
        <v>83756.732765957451</v>
      </c>
      <c r="M254" s="14">
        <f t="shared" si="32"/>
        <v>0</v>
      </c>
      <c r="N254" s="2" t="e">
        <f t="shared" si="33"/>
        <v>#DIV/0!</v>
      </c>
      <c r="O254" s="130" t="e">
        <f t="shared" si="34"/>
        <v>#DIV/0!</v>
      </c>
      <c r="P254" s="443" t="e">
        <f t="shared" si="35"/>
        <v>#DIV/0!</v>
      </c>
      <c r="Q254" s="126"/>
    </row>
    <row r="255" spans="1:17" x14ac:dyDescent="0.25">
      <c r="A255" s="49">
        <f>+'A) Base RI'!A257</f>
        <v>5841</v>
      </c>
      <c r="B255" s="293" t="str">
        <f>+'A) Base RI'!B257</f>
        <v>Château-d'Oex</v>
      </c>
      <c r="C255" s="305">
        <f>+'D) Ecrêtage'!C255</f>
        <v>108658.39067484663</v>
      </c>
      <c r="D255" s="444"/>
      <c r="E255" s="446"/>
      <c r="F255" s="444"/>
      <c r="G255" s="305">
        <f t="shared" si="27"/>
        <v>0</v>
      </c>
      <c r="H255" s="285">
        <f t="shared" si="28"/>
        <v>869267.125398773</v>
      </c>
      <c r="I255" s="10">
        <f t="shared" si="29"/>
        <v>0</v>
      </c>
      <c r="J255" s="302" t="e">
        <f t="shared" si="30"/>
        <v>#DIV/0!</v>
      </c>
      <c r="K255" s="448"/>
      <c r="L255" s="10">
        <f t="shared" si="31"/>
        <v>108658.39067484663</v>
      </c>
      <c r="M255" s="14">
        <f t="shared" si="32"/>
        <v>0</v>
      </c>
      <c r="N255" s="2" t="e">
        <f t="shared" si="33"/>
        <v>#DIV/0!</v>
      </c>
      <c r="O255" s="130" t="e">
        <f t="shared" si="34"/>
        <v>#DIV/0!</v>
      </c>
      <c r="P255" s="443" t="e">
        <f t="shared" si="35"/>
        <v>#DIV/0!</v>
      </c>
      <c r="Q255" s="126"/>
    </row>
    <row r="256" spans="1:17" x14ac:dyDescent="0.25">
      <c r="A256" s="49">
        <f>+'A) Base RI'!A258</f>
        <v>5842</v>
      </c>
      <c r="B256" s="293" t="str">
        <f>+'A) Base RI'!B258</f>
        <v>Rossinière</v>
      </c>
      <c r="C256" s="305">
        <f>+'D) Ecrêtage'!C256</f>
        <v>14509.951028806583</v>
      </c>
      <c r="D256" s="444"/>
      <c r="E256" s="446"/>
      <c r="F256" s="444"/>
      <c r="G256" s="305">
        <f t="shared" si="27"/>
        <v>0</v>
      </c>
      <c r="H256" s="285">
        <f t="shared" si="28"/>
        <v>116079.60823045266</v>
      </c>
      <c r="I256" s="10">
        <f t="shared" si="29"/>
        <v>0</v>
      </c>
      <c r="J256" s="302" t="e">
        <f t="shared" si="30"/>
        <v>#DIV/0!</v>
      </c>
      <c r="K256" s="448"/>
      <c r="L256" s="10">
        <f t="shared" si="31"/>
        <v>14509.951028806583</v>
      </c>
      <c r="M256" s="14">
        <f t="shared" si="32"/>
        <v>0</v>
      </c>
      <c r="N256" s="2" t="e">
        <f t="shared" si="33"/>
        <v>#DIV/0!</v>
      </c>
      <c r="O256" s="130" t="e">
        <f t="shared" si="34"/>
        <v>#DIV/0!</v>
      </c>
      <c r="P256" s="443" t="e">
        <f t="shared" si="35"/>
        <v>#DIV/0!</v>
      </c>
      <c r="Q256" s="126"/>
    </row>
    <row r="257" spans="1:17" x14ac:dyDescent="0.25">
      <c r="A257" s="49">
        <f>+'A) Base RI'!A259</f>
        <v>5843</v>
      </c>
      <c r="B257" s="293" t="str">
        <f>+'A) Base RI'!B259</f>
        <v>Rougemont</v>
      </c>
      <c r="C257" s="305">
        <f>+'D) Ecrêtage'!C257</f>
        <v>100468.99797297297</v>
      </c>
      <c r="D257" s="444"/>
      <c r="E257" s="446"/>
      <c r="F257" s="444"/>
      <c r="G257" s="305">
        <f t="shared" si="27"/>
        <v>0</v>
      </c>
      <c r="H257" s="285">
        <f t="shared" si="28"/>
        <v>803751.98378378374</v>
      </c>
      <c r="I257" s="10">
        <f t="shared" si="29"/>
        <v>0</v>
      </c>
      <c r="J257" s="302" t="e">
        <f t="shared" si="30"/>
        <v>#DIV/0!</v>
      </c>
      <c r="K257" s="448"/>
      <c r="L257" s="10">
        <f t="shared" si="31"/>
        <v>100468.99797297297</v>
      </c>
      <c r="M257" s="14">
        <f t="shared" si="32"/>
        <v>0</v>
      </c>
      <c r="N257" s="2" t="e">
        <f t="shared" si="33"/>
        <v>#DIV/0!</v>
      </c>
      <c r="O257" s="130" t="e">
        <f t="shared" si="34"/>
        <v>#DIV/0!</v>
      </c>
      <c r="P257" s="443" t="e">
        <f t="shared" si="35"/>
        <v>#DIV/0!</v>
      </c>
      <c r="Q257" s="126"/>
    </row>
    <row r="258" spans="1:17" x14ac:dyDescent="0.25">
      <c r="A258" s="49">
        <f>+'A) Base RI'!A260</f>
        <v>5851</v>
      </c>
      <c r="B258" s="293" t="str">
        <f>+'A) Base RI'!B260</f>
        <v>Allaman</v>
      </c>
      <c r="C258" s="305">
        <f>+'D) Ecrêtage'!C258</f>
        <v>24314.213954545452</v>
      </c>
      <c r="D258" s="444"/>
      <c r="E258" s="446"/>
      <c r="F258" s="444"/>
      <c r="G258" s="305">
        <f t="shared" si="27"/>
        <v>0</v>
      </c>
      <c r="H258" s="285">
        <f t="shared" si="28"/>
        <v>194513.71163636362</v>
      </c>
      <c r="I258" s="10">
        <f t="shared" si="29"/>
        <v>0</v>
      </c>
      <c r="J258" s="302" t="e">
        <f t="shared" si="30"/>
        <v>#DIV/0!</v>
      </c>
      <c r="K258" s="448"/>
      <c r="L258" s="10">
        <f t="shared" si="31"/>
        <v>24314.213954545452</v>
      </c>
      <c r="M258" s="14">
        <f t="shared" si="32"/>
        <v>0</v>
      </c>
      <c r="N258" s="2" t="e">
        <f t="shared" si="33"/>
        <v>#DIV/0!</v>
      </c>
      <c r="O258" s="130" t="e">
        <f t="shared" si="34"/>
        <v>#DIV/0!</v>
      </c>
      <c r="P258" s="443" t="e">
        <f t="shared" si="35"/>
        <v>#DIV/0!</v>
      </c>
      <c r="Q258" s="126"/>
    </row>
    <row r="259" spans="1:17" x14ac:dyDescent="0.25">
      <c r="A259" s="49">
        <f>+'A) Base RI'!A261</f>
        <v>5852</v>
      </c>
      <c r="B259" s="293" t="str">
        <f>+'A) Base RI'!B261</f>
        <v>Bursinel</v>
      </c>
      <c r="C259" s="305">
        <f>+'D) Ecrêtage'!C259</f>
        <v>40706.215623409669</v>
      </c>
      <c r="D259" s="444"/>
      <c r="E259" s="446"/>
      <c r="F259" s="444"/>
      <c r="G259" s="305">
        <f t="shared" si="27"/>
        <v>0</v>
      </c>
      <c r="H259" s="285">
        <f t="shared" si="28"/>
        <v>325649.72498727735</v>
      </c>
      <c r="I259" s="10">
        <f t="shared" si="29"/>
        <v>0</v>
      </c>
      <c r="J259" s="302" t="e">
        <f t="shared" si="30"/>
        <v>#DIV/0!</v>
      </c>
      <c r="K259" s="448"/>
      <c r="L259" s="10">
        <f t="shared" si="31"/>
        <v>40706.215623409669</v>
      </c>
      <c r="M259" s="14">
        <f t="shared" si="32"/>
        <v>0</v>
      </c>
      <c r="N259" s="2" t="e">
        <f t="shared" si="33"/>
        <v>#DIV/0!</v>
      </c>
      <c r="O259" s="130" t="e">
        <f t="shared" si="34"/>
        <v>#DIV/0!</v>
      </c>
      <c r="P259" s="443" t="e">
        <f t="shared" si="35"/>
        <v>#DIV/0!</v>
      </c>
      <c r="Q259" s="126"/>
    </row>
    <row r="260" spans="1:17" x14ac:dyDescent="0.25">
      <c r="A260" s="49">
        <f>+'A) Base RI'!A262</f>
        <v>5853</v>
      </c>
      <c r="B260" s="293" t="str">
        <f>+'A) Base RI'!B262</f>
        <v>Bursins</v>
      </c>
      <c r="C260" s="305">
        <f>+'D) Ecrêtage'!C260</f>
        <v>42015.881830985905</v>
      </c>
      <c r="D260" s="444"/>
      <c r="E260" s="446"/>
      <c r="F260" s="444"/>
      <c r="G260" s="305">
        <f t="shared" si="27"/>
        <v>0</v>
      </c>
      <c r="H260" s="285">
        <f t="shared" si="28"/>
        <v>336127.05464788724</v>
      </c>
      <c r="I260" s="10">
        <f t="shared" si="29"/>
        <v>0</v>
      </c>
      <c r="J260" s="302" t="e">
        <f t="shared" si="30"/>
        <v>#DIV/0!</v>
      </c>
      <c r="K260" s="448"/>
      <c r="L260" s="10">
        <f t="shared" si="31"/>
        <v>42015.881830985905</v>
      </c>
      <c r="M260" s="14">
        <f t="shared" si="32"/>
        <v>0</v>
      </c>
      <c r="N260" s="2" t="e">
        <f t="shared" si="33"/>
        <v>#DIV/0!</v>
      </c>
      <c r="O260" s="130" t="e">
        <f t="shared" si="34"/>
        <v>#DIV/0!</v>
      </c>
      <c r="P260" s="443" t="e">
        <f t="shared" si="35"/>
        <v>#DIV/0!</v>
      </c>
      <c r="Q260" s="126"/>
    </row>
    <row r="261" spans="1:17" x14ac:dyDescent="0.25">
      <c r="A261" s="49">
        <f>+'A) Base RI'!A263</f>
        <v>5854</v>
      </c>
      <c r="B261" s="293" t="str">
        <f>+'A) Base RI'!B263</f>
        <v>Burtigny</v>
      </c>
      <c r="C261" s="305">
        <f>+'D) Ecrêtage'!C261</f>
        <v>10782.893958333336</v>
      </c>
      <c r="D261" s="444"/>
      <c r="E261" s="446"/>
      <c r="F261" s="444"/>
      <c r="G261" s="305">
        <f t="shared" si="27"/>
        <v>0</v>
      </c>
      <c r="H261" s="285">
        <f t="shared" si="28"/>
        <v>86263.151666666687</v>
      </c>
      <c r="I261" s="10">
        <f t="shared" si="29"/>
        <v>0</v>
      </c>
      <c r="J261" s="302" t="e">
        <f t="shared" si="30"/>
        <v>#DIV/0!</v>
      </c>
      <c r="K261" s="448"/>
      <c r="L261" s="10">
        <f t="shared" si="31"/>
        <v>10782.893958333336</v>
      </c>
      <c r="M261" s="14">
        <f t="shared" si="32"/>
        <v>0</v>
      </c>
      <c r="N261" s="2" t="e">
        <f t="shared" si="33"/>
        <v>#DIV/0!</v>
      </c>
      <c r="O261" s="130" t="e">
        <f t="shared" si="34"/>
        <v>#DIV/0!</v>
      </c>
      <c r="P261" s="443" t="e">
        <f t="shared" si="35"/>
        <v>#DIV/0!</v>
      </c>
      <c r="Q261" s="126"/>
    </row>
    <row r="262" spans="1:17" x14ac:dyDescent="0.25">
      <c r="A262" s="49">
        <f>+'A) Base RI'!A264</f>
        <v>5855</v>
      </c>
      <c r="B262" s="293" t="str">
        <f>+'A) Base RI'!B264</f>
        <v>Dully</v>
      </c>
      <c r="C262" s="305">
        <f>+'D) Ecrêtage'!C262</f>
        <v>98158.514897959176</v>
      </c>
      <c r="D262" s="444"/>
      <c r="E262" s="446"/>
      <c r="F262" s="444"/>
      <c r="G262" s="305">
        <f t="shared" ref="G262:G313" si="36">SUM(D262:F262)</f>
        <v>0</v>
      </c>
      <c r="H262" s="285">
        <f t="shared" ref="H262:H313" si="37">+C262*$I$4</f>
        <v>785268.11918367341</v>
      </c>
      <c r="I262" s="10">
        <f t="shared" ref="I262:I313" si="38">IF(G262&gt;H262,G262-H262,0)</f>
        <v>0</v>
      </c>
      <c r="J262" s="302" t="e">
        <f t="shared" ref="J262:J313" si="39">-I262*J$4</f>
        <v>#DIV/0!</v>
      </c>
      <c r="K262" s="448"/>
      <c r="L262" s="10">
        <f t="shared" ref="L262:L313" si="40">C262*M$4</f>
        <v>98158.514897959176</v>
      </c>
      <c r="M262" s="14">
        <f t="shared" ref="M262:M313" si="41">IF(K262&gt;L262,K262-L262,0)</f>
        <v>0</v>
      </c>
      <c r="N262" s="2" t="e">
        <f t="shared" ref="N262:N313" si="42">-M262*N$4</f>
        <v>#DIV/0!</v>
      </c>
      <c r="O262" s="130" t="e">
        <f t="shared" ref="O262:O313" si="43">N262+J262</f>
        <v>#DIV/0!</v>
      </c>
      <c r="P262" s="443" t="e">
        <f t="shared" ref="P262:P313" si="44">+O262/C262</f>
        <v>#DIV/0!</v>
      </c>
      <c r="Q262" s="126"/>
    </row>
    <row r="263" spans="1:17" x14ac:dyDescent="0.25">
      <c r="A263" s="49">
        <f>+'A) Base RI'!A265</f>
        <v>5856</v>
      </c>
      <c r="B263" s="293" t="str">
        <f>+'A) Base RI'!B265</f>
        <v>Essertines-sur-Rolle</v>
      </c>
      <c r="C263" s="305">
        <f>+'D) Ecrêtage'!C263</f>
        <v>35711.648536726432</v>
      </c>
      <c r="D263" s="444"/>
      <c r="E263" s="446"/>
      <c r="F263" s="444"/>
      <c r="G263" s="305">
        <f t="shared" si="36"/>
        <v>0</v>
      </c>
      <c r="H263" s="285">
        <f t="shared" si="37"/>
        <v>285693.18829381146</v>
      </c>
      <c r="I263" s="10">
        <f t="shared" si="38"/>
        <v>0</v>
      </c>
      <c r="J263" s="302" t="e">
        <f t="shared" si="39"/>
        <v>#DIV/0!</v>
      </c>
      <c r="K263" s="448"/>
      <c r="L263" s="10">
        <f t="shared" si="40"/>
        <v>35711.648536726432</v>
      </c>
      <c r="M263" s="14">
        <f t="shared" si="41"/>
        <v>0</v>
      </c>
      <c r="N263" s="2" t="e">
        <f t="shared" si="42"/>
        <v>#DIV/0!</v>
      </c>
      <c r="O263" s="130" t="e">
        <f t="shared" si="43"/>
        <v>#DIV/0!</v>
      </c>
      <c r="P263" s="443" t="e">
        <f t="shared" si="44"/>
        <v>#DIV/0!</v>
      </c>
      <c r="Q263" s="126"/>
    </row>
    <row r="264" spans="1:17" x14ac:dyDescent="0.25">
      <c r="A264" s="49">
        <f>+'A) Base RI'!A266</f>
        <v>5857</v>
      </c>
      <c r="B264" s="293" t="str">
        <f>+'A) Base RI'!B266</f>
        <v>Gilly</v>
      </c>
      <c r="C264" s="305">
        <f>+'D) Ecrêtage'!C264</f>
        <v>82128.423720930223</v>
      </c>
      <c r="D264" s="444"/>
      <c r="E264" s="446"/>
      <c r="F264" s="444"/>
      <c r="G264" s="305">
        <f t="shared" si="36"/>
        <v>0</v>
      </c>
      <c r="H264" s="285">
        <f t="shared" si="37"/>
        <v>657027.38976744178</v>
      </c>
      <c r="I264" s="10">
        <f t="shared" si="38"/>
        <v>0</v>
      </c>
      <c r="J264" s="302" t="e">
        <f t="shared" si="39"/>
        <v>#DIV/0!</v>
      </c>
      <c r="K264" s="448"/>
      <c r="L264" s="10">
        <f t="shared" si="40"/>
        <v>82128.423720930223</v>
      </c>
      <c r="M264" s="14">
        <f t="shared" si="41"/>
        <v>0</v>
      </c>
      <c r="N264" s="2" t="e">
        <f t="shared" si="42"/>
        <v>#DIV/0!</v>
      </c>
      <c r="O264" s="130" t="e">
        <f t="shared" si="43"/>
        <v>#DIV/0!</v>
      </c>
      <c r="P264" s="443" t="e">
        <f t="shared" si="44"/>
        <v>#DIV/0!</v>
      </c>
      <c r="Q264" s="126"/>
    </row>
    <row r="265" spans="1:17" x14ac:dyDescent="0.25">
      <c r="A265" s="49">
        <f>+'A) Base RI'!A267</f>
        <v>5858</v>
      </c>
      <c r="B265" s="293" t="str">
        <f>+'A) Base RI'!B267</f>
        <v>Luins</v>
      </c>
      <c r="C265" s="305">
        <f>+'D) Ecrêtage'!C265</f>
        <v>40290.677378917375</v>
      </c>
      <c r="D265" s="444"/>
      <c r="E265" s="446"/>
      <c r="F265" s="444"/>
      <c r="G265" s="305">
        <f t="shared" si="36"/>
        <v>0</v>
      </c>
      <c r="H265" s="285">
        <f t="shared" si="37"/>
        <v>322325.419031339</v>
      </c>
      <c r="I265" s="10">
        <f t="shared" si="38"/>
        <v>0</v>
      </c>
      <c r="J265" s="302" t="e">
        <f t="shared" si="39"/>
        <v>#DIV/0!</v>
      </c>
      <c r="K265" s="448"/>
      <c r="L265" s="10">
        <f t="shared" si="40"/>
        <v>40290.677378917375</v>
      </c>
      <c r="M265" s="14">
        <f t="shared" si="41"/>
        <v>0</v>
      </c>
      <c r="N265" s="2" t="e">
        <f t="shared" si="42"/>
        <v>#DIV/0!</v>
      </c>
      <c r="O265" s="130" t="e">
        <f t="shared" si="43"/>
        <v>#DIV/0!</v>
      </c>
      <c r="P265" s="443" t="e">
        <f t="shared" si="44"/>
        <v>#DIV/0!</v>
      </c>
      <c r="Q265" s="126"/>
    </row>
    <row r="266" spans="1:17" x14ac:dyDescent="0.25">
      <c r="A266" s="49">
        <f>+'A) Base RI'!A268</f>
        <v>5859</v>
      </c>
      <c r="B266" s="293" t="str">
        <f>+'A) Base RI'!B268</f>
        <v>Mont-sur-Rolle</v>
      </c>
      <c r="C266" s="305">
        <f>+'D) Ecrêtage'!C266</f>
        <v>146465.78251968499</v>
      </c>
      <c r="D266" s="444"/>
      <c r="E266" s="446"/>
      <c r="F266" s="444"/>
      <c r="G266" s="305">
        <f t="shared" si="36"/>
        <v>0</v>
      </c>
      <c r="H266" s="285">
        <f t="shared" si="37"/>
        <v>1171726.2601574799</v>
      </c>
      <c r="I266" s="10">
        <f t="shared" si="38"/>
        <v>0</v>
      </c>
      <c r="J266" s="302" t="e">
        <f t="shared" si="39"/>
        <v>#DIV/0!</v>
      </c>
      <c r="K266" s="448"/>
      <c r="L266" s="10">
        <f t="shared" si="40"/>
        <v>146465.78251968499</v>
      </c>
      <c r="M266" s="14">
        <f t="shared" si="41"/>
        <v>0</v>
      </c>
      <c r="N266" s="2" t="e">
        <f t="shared" si="42"/>
        <v>#DIV/0!</v>
      </c>
      <c r="O266" s="130" t="e">
        <f t="shared" si="43"/>
        <v>#DIV/0!</v>
      </c>
      <c r="P266" s="443" t="e">
        <f t="shared" si="44"/>
        <v>#DIV/0!</v>
      </c>
      <c r="Q266" s="126"/>
    </row>
    <row r="267" spans="1:17" x14ac:dyDescent="0.25">
      <c r="A267" s="49">
        <f>+'A) Base RI'!A269</f>
        <v>5860</v>
      </c>
      <c r="B267" s="293" t="str">
        <f>+'A) Base RI'!B269</f>
        <v>Perroy</v>
      </c>
      <c r="C267" s="305">
        <f>+'D) Ecrêtage'!C267</f>
        <v>187175.54426035503</v>
      </c>
      <c r="D267" s="444"/>
      <c r="E267" s="446"/>
      <c r="F267" s="444"/>
      <c r="G267" s="305">
        <f t="shared" si="36"/>
        <v>0</v>
      </c>
      <c r="H267" s="285">
        <f t="shared" si="37"/>
        <v>1497404.3540828403</v>
      </c>
      <c r="I267" s="10">
        <f t="shared" si="38"/>
        <v>0</v>
      </c>
      <c r="J267" s="302" t="e">
        <f t="shared" si="39"/>
        <v>#DIV/0!</v>
      </c>
      <c r="K267" s="448"/>
      <c r="L267" s="10">
        <f t="shared" si="40"/>
        <v>187175.54426035503</v>
      </c>
      <c r="M267" s="14">
        <f t="shared" si="41"/>
        <v>0</v>
      </c>
      <c r="N267" s="2" t="e">
        <f t="shared" si="42"/>
        <v>#DIV/0!</v>
      </c>
      <c r="O267" s="130" t="e">
        <f t="shared" si="43"/>
        <v>#DIV/0!</v>
      </c>
      <c r="P267" s="443" t="e">
        <f t="shared" si="44"/>
        <v>#DIV/0!</v>
      </c>
      <c r="Q267" s="126"/>
    </row>
    <row r="268" spans="1:17" x14ac:dyDescent="0.25">
      <c r="A268" s="49">
        <f>+'A) Base RI'!A270</f>
        <v>5861</v>
      </c>
      <c r="B268" s="293" t="str">
        <f>+'A) Base RI'!B270</f>
        <v>Rolle</v>
      </c>
      <c r="C268" s="305">
        <f>+'D) Ecrêtage'!C268</f>
        <v>1938335.8673949579</v>
      </c>
      <c r="D268" s="444"/>
      <c r="E268" s="446"/>
      <c r="F268" s="444"/>
      <c r="G268" s="305">
        <f t="shared" si="36"/>
        <v>0</v>
      </c>
      <c r="H268" s="285">
        <f t="shared" si="37"/>
        <v>15506686.939159663</v>
      </c>
      <c r="I268" s="10">
        <f t="shared" si="38"/>
        <v>0</v>
      </c>
      <c r="J268" s="302" t="e">
        <f t="shared" si="39"/>
        <v>#DIV/0!</v>
      </c>
      <c r="K268" s="448"/>
      <c r="L268" s="10">
        <f t="shared" si="40"/>
        <v>1938335.8673949579</v>
      </c>
      <c r="M268" s="14">
        <f t="shared" si="41"/>
        <v>0</v>
      </c>
      <c r="N268" s="2" t="e">
        <f t="shared" si="42"/>
        <v>#DIV/0!</v>
      </c>
      <c r="O268" s="130" t="e">
        <f t="shared" si="43"/>
        <v>#DIV/0!</v>
      </c>
      <c r="P268" s="443" t="e">
        <f t="shared" si="44"/>
        <v>#DIV/0!</v>
      </c>
      <c r="Q268" s="126"/>
    </row>
    <row r="269" spans="1:17" x14ac:dyDescent="0.25">
      <c r="A269" s="49">
        <f>+'A) Base RI'!A271</f>
        <v>5862</v>
      </c>
      <c r="B269" s="293" t="str">
        <f>+'A) Base RI'!B271</f>
        <v>Tartegnin</v>
      </c>
      <c r="C269" s="305">
        <f>+'D) Ecrêtage'!C269</f>
        <v>8096.4381012658214</v>
      </c>
      <c r="D269" s="444"/>
      <c r="E269" s="446"/>
      <c r="F269" s="444"/>
      <c r="G269" s="305">
        <f t="shared" si="36"/>
        <v>0</v>
      </c>
      <c r="H269" s="285">
        <f t="shared" si="37"/>
        <v>64771.504810126571</v>
      </c>
      <c r="I269" s="10">
        <f t="shared" si="38"/>
        <v>0</v>
      </c>
      <c r="J269" s="302" t="e">
        <f t="shared" si="39"/>
        <v>#DIV/0!</v>
      </c>
      <c r="K269" s="448"/>
      <c r="L269" s="10">
        <f t="shared" si="40"/>
        <v>8096.4381012658214</v>
      </c>
      <c r="M269" s="14">
        <f t="shared" si="41"/>
        <v>0</v>
      </c>
      <c r="N269" s="2" t="e">
        <f t="shared" si="42"/>
        <v>#DIV/0!</v>
      </c>
      <c r="O269" s="130" t="e">
        <f t="shared" si="43"/>
        <v>#DIV/0!</v>
      </c>
      <c r="P269" s="443" t="e">
        <f t="shared" si="44"/>
        <v>#DIV/0!</v>
      </c>
      <c r="Q269" s="126"/>
    </row>
    <row r="270" spans="1:17" x14ac:dyDescent="0.25">
      <c r="A270" s="49">
        <f>+'A) Base RI'!A272</f>
        <v>5863</v>
      </c>
      <c r="B270" s="293" t="str">
        <f>+'A) Base RI'!B272</f>
        <v>Vinzel</v>
      </c>
      <c r="C270" s="305">
        <f>+'D) Ecrêtage'!C270</f>
        <v>21933.69492537314</v>
      </c>
      <c r="D270" s="444"/>
      <c r="E270" s="446"/>
      <c r="F270" s="444"/>
      <c r="G270" s="305">
        <f t="shared" si="36"/>
        <v>0</v>
      </c>
      <c r="H270" s="285">
        <f t="shared" si="37"/>
        <v>175469.55940298512</v>
      </c>
      <c r="I270" s="10">
        <f t="shared" si="38"/>
        <v>0</v>
      </c>
      <c r="J270" s="302" t="e">
        <f t="shared" si="39"/>
        <v>#DIV/0!</v>
      </c>
      <c r="K270" s="448"/>
      <c r="L270" s="10">
        <f t="shared" si="40"/>
        <v>21933.69492537314</v>
      </c>
      <c r="M270" s="14">
        <f t="shared" si="41"/>
        <v>0</v>
      </c>
      <c r="N270" s="2" t="e">
        <f t="shared" si="42"/>
        <v>#DIV/0!</v>
      </c>
      <c r="O270" s="130" t="e">
        <f t="shared" si="43"/>
        <v>#DIV/0!</v>
      </c>
      <c r="P270" s="443" t="e">
        <f t="shared" si="44"/>
        <v>#DIV/0!</v>
      </c>
      <c r="Q270" s="126"/>
    </row>
    <row r="271" spans="1:17" x14ac:dyDescent="0.25">
      <c r="A271" s="49">
        <f>+'A) Base RI'!A273</f>
        <v>5871</v>
      </c>
      <c r="B271" s="293" t="str">
        <f>+'A) Base RI'!B273</f>
        <v>L'Abbaye</v>
      </c>
      <c r="C271" s="305">
        <f>+'D) Ecrêtage'!C271</f>
        <v>49513.521273852508</v>
      </c>
      <c r="D271" s="444"/>
      <c r="E271" s="446"/>
      <c r="F271" s="444"/>
      <c r="G271" s="305">
        <f t="shared" si="36"/>
        <v>0</v>
      </c>
      <c r="H271" s="285">
        <f t="shared" si="37"/>
        <v>396108.17019082006</v>
      </c>
      <c r="I271" s="10">
        <f t="shared" si="38"/>
        <v>0</v>
      </c>
      <c r="J271" s="302" t="e">
        <f t="shared" si="39"/>
        <v>#DIV/0!</v>
      </c>
      <c r="K271" s="448"/>
      <c r="L271" s="10">
        <f t="shared" si="40"/>
        <v>49513.521273852508</v>
      </c>
      <c r="M271" s="14">
        <f t="shared" si="41"/>
        <v>0</v>
      </c>
      <c r="N271" s="2" t="e">
        <f t="shared" si="42"/>
        <v>#DIV/0!</v>
      </c>
      <c r="O271" s="130" t="e">
        <f t="shared" si="43"/>
        <v>#DIV/0!</v>
      </c>
      <c r="P271" s="443" t="e">
        <f t="shared" si="44"/>
        <v>#DIV/0!</v>
      </c>
      <c r="Q271" s="126"/>
    </row>
    <row r="272" spans="1:17" x14ac:dyDescent="0.25">
      <c r="A272" s="49">
        <f>+'A) Base RI'!A274</f>
        <v>5872</v>
      </c>
      <c r="B272" s="293" t="str">
        <f>+'A) Base RI'!B274</f>
        <v>Le Chenit</v>
      </c>
      <c r="C272" s="305">
        <f>+'D) Ecrêtage'!C272</f>
        <v>236042.78222554145</v>
      </c>
      <c r="D272" s="444"/>
      <c r="E272" s="446"/>
      <c r="F272" s="444"/>
      <c r="G272" s="305">
        <f t="shared" si="36"/>
        <v>0</v>
      </c>
      <c r="H272" s="285">
        <f t="shared" si="37"/>
        <v>1888342.2578043316</v>
      </c>
      <c r="I272" s="10">
        <f t="shared" si="38"/>
        <v>0</v>
      </c>
      <c r="J272" s="302" t="e">
        <f t="shared" si="39"/>
        <v>#DIV/0!</v>
      </c>
      <c r="K272" s="448"/>
      <c r="L272" s="10">
        <f t="shared" si="40"/>
        <v>236042.78222554145</v>
      </c>
      <c r="M272" s="14">
        <f t="shared" si="41"/>
        <v>0</v>
      </c>
      <c r="N272" s="2" t="e">
        <f t="shared" si="42"/>
        <v>#DIV/0!</v>
      </c>
      <c r="O272" s="130" t="e">
        <f t="shared" si="43"/>
        <v>#DIV/0!</v>
      </c>
      <c r="P272" s="443" t="e">
        <f t="shared" si="44"/>
        <v>#DIV/0!</v>
      </c>
      <c r="Q272" s="126"/>
    </row>
    <row r="273" spans="1:17" x14ac:dyDescent="0.25">
      <c r="A273" s="49">
        <f>+'A) Base RI'!A275</f>
        <v>5873</v>
      </c>
      <c r="B273" s="293" t="str">
        <f>+'A) Base RI'!B275</f>
        <v>Le Lieu</v>
      </c>
      <c r="C273" s="305">
        <f>+'D) Ecrêtage'!C273</f>
        <v>30440.408392857149</v>
      </c>
      <c r="D273" s="444"/>
      <c r="E273" s="446"/>
      <c r="F273" s="444"/>
      <c r="G273" s="305">
        <f t="shared" si="36"/>
        <v>0</v>
      </c>
      <c r="H273" s="285">
        <f t="shared" si="37"/>
        <v>243523.26714285719</v>
      </c>
      <c r="I273" s="10">
        <f t="shared" si="38"/>
        <v>0</v>
      </c>
      <c r="J273" s="302" t="e">
        <f t="shared" si="39"/>
        <v>#DIV/0!</v>
      </c>
      <c r="K273" s="448"/>
      <c r="L273" s="10">
        <f t="shared" si="40"/>
        <v>30440.408392857149</v>
      </c>
      <c r="M273" s="14">
        <f t="shared" si="41"/>
        <v>0</v>
      </c>
      <c r="N273" s="2" t="e">
        <f t="shared" si="42"/>
        <v>#DIV/0!</v>
      </c>
      <c r="O273" s="130" t="e">
        <f t="shared" si="43"/>
        <v>#DIV/0!</v>
      </c>
      <c r="P273" s="443" t="e">
        <f t="shared" si="44"/>
        <v>#DIV/0!</v>
      </c>
      <c r="Q273" s="126"/>
    </row>
    <row r="274" spans="1:17" x14ac:dyDescent="0.25">
      <c r="A274" s="49">
        <f>+'A) Base RI'!A276</f>
        <v>5881</v>
      </c>
      <c r="B274" s="293" t="str">
        <f>+'A) Base RI'!B276</f>
        <v>Blonay</v>
      </c>
      <c r="C274" s="305">
        <f>+'D) Ecrêtage'!C274</f>
        <v>363266.43007299263</v>
      </c>
      <c r="D274" s="444"/>
      <c r="E274" s="446"/>
      <c r="F274" s="444"/>
      <c r="G274" s="305">
        <f t="shared" si="36"/>
        <v>0</v>
      </c>
      <c r="H274" s="285">
        <f t="shared" si="37"/>
        <v>2906131.4405839411</v>
      </c>
      <c r="I274" s="10">
        <f t="shared" si="38"/>
        <v>0</v>
      </c>
      <c r="J274" s="302" t="e">
        <f t="shared" si="39"/>
        <v>#DIV/0!</v>
      </c>
      <c r="K274" s="448"/>
      <c r="L274" s="10">
        <f t="shared" si="40"/>
        <v>363266.43007299263</v>
      </c>
      <c r="M274" s="14">
        <f t="shared" si="41"/>
        <v>0</v>
      </c>
      <c r="N274" s="2" t="e">
        <f t="shared" si="42"/>
        <v>#DIV/0!</v>
      </c>
      <c r="O274" s="130" t="e">
        <f t="shared" si="43"/>
        <v>#DIV/0!</v>
      </c>
      <c r="P274" s="443" t="e">
        <f t="shared" si="44"/>
        <v>#DIV/0!</v>
      </c>
      <c r="Q274" s="126"/>
    </row>
    <row r="275" spans="1:17" x14ac:dyDescent="0.25">
      <c r="A275" s="49">
        <f>+'A) Base RI'!A277</f>
        <v>5882</v>
      </c>
      <c r="B275" s="293" t="str">
        <f>+'A) Base RI'!B277</f>
        <v>Chardonne</v>
      </c>
      <c r="C275" s="305">
        <f>+'D) Ecrêtage'!C275</f>
        <v>179032.37397058826</v>
      </c>
      <c r="D275" s="444"/>
      <c r="E275" s="446"/>
      <c r="F275" s="444"/>
      <c r="G275" s="305">
        <f t="shared" si="36"/>
        <v>0</v>
      </c>
      <c r="H275" s="285">
        <f t="shared" si="37"/>
        <v>1432258.9917647061</v>
      </c>
      <c r="I275" s="10">
        <f t="shared" si="38"/>
        <v>0</v>
      </c>
      <c r="J275" s="302" t="e">
        <f t="shared" si="39"/>
        <v>#DIV/0!</v>
      </c>
      <c r="K275" s="448"/>
      <c r="L275" s="10">
        <f t="shared" si="40"/>
        <v>179032.37397058826</v>
      </c>
      <c r="M275" s="14">
        <f t="shared" si="41"/>
        <v>0</v>
      </c>
      <c r="N275" s="2" t="e">
        <f t="shared" si="42"/>
        <v>#DIV/0!</v>
      </c>
      <c r="O275" s="130" t="e">
        <f t="shared" si="43"/>
        <v>#DIV/0!</v>
      </c>
      <c r="P275" s="443" t="e">
        <f t="shared" si="44"/>
        <v>#DIV/0!</v>
      </c>
      <c r="Q275" s="126"/>
    </row>
    <row r="276" spans="1:17" x14ac:dyDescent="0.25">
      <c r="A276" s="49">
        <f>+'A) Base RI'!A278</f>
        <v>5883</v>
      </c>
      <c r="B276" s="293" t="str">
        <f>+'A) Base RI'!B278</f>
        <v>Corseaux</v>
      </c>
      <c r="C276" s="305">
        <f>+'D) Ecrêtage'!C276</f>
        <v>167893.40074074076</v>
      </c>
      <c r="D276" s="444"/>
      <c r="E276" s="446"/>
      <c r="F276" s="444"/>
      <c r="G276" s="305">
        <f t="shared" si="36"/>
        <v>0</v>
      </c>
      <c r="H276" s="285">
        <f t="shared" si="37"/>
        <v>1343147.2059259261</v>
      </c>
      <c r="I276" s="10">
        <f t="shared" si="38"/>
        <v>0</v>
      </c>
      <c r="J276" s="302" t="e">
        <f t="shared" si="39"/>
        <v>#DIV/0!</v>
      </c>
      <c r="K276" s="448"/>
      <c r="L276" s="10">
        <f t="shared" si="40"/>
        <v>167893.40074074076</v>
      </c>
      <c r="M276" s="14">
        <f t="shared" si="41"/>
        <v>0</v>
      </c>
      <c r="N276" s="2" t="e">
        <f t="shared" si="42"/>
        <v>#DIV/0!</v>
      </c>
      <c r="O276" s="130" t="e">
        <f t="shared" si="43"/>
        <v>#DIV/0!</v>
      </c>
      <c r="P276" s="443" t="e">
        <f t="shared" si="44"/>
        <v>#DIV/0!</v>
      </c>
      <c r="Q276" s="126"/>
    </row>
    <row r="277" spans="1:17" x14ac:dyDescent="0.25">
      <c r="A277" s="49">
        <f>+'A) Base RI'!A279</f>
        <v>5884</v>
      </c>
      <c r="B277" s="293" t="str">
        <f>+'A) Base RI'!B279</f>
        <v>Corsier-sur-Vevey</v>
      </c>
      <c r="C277" s="305">
        <f>+'D) Ecrêtage'!C277</f>
        <v>122170.7416919192</v>
      </c>
      <c r="D277" s="444"/>
      <c r="E277" s="446"/>
      <c r="F277" s="444"/>
      <c r="G277" s="305">
        <f t="shared" si="36"/>
        <v>0</v>
      </c>
      <c r="H277" s="285">
        <f t="shared" si="37"/>
        <v>977365.93353535363</v>
      </c>
      <c r="I277" s="10">
        <f t="shared" si="38"/>
        <v>0</v>
      </c>
      <c r="J277" s="302" t="e">
        <f t="shared" si="39"/>
        <v>#DIV/0!</v>
      </c>
      <c r="K277" s="448"/>
      <c r="L277" s="10">
        <f t="shared" si="40"/>
        <v>122170.7416919192</v>
      </c>
      <c r="M277" s="14">
        <f t="shared" si="41"/>
        <v>0</v>
      </c>
      <c r="N277" s="2" t="e">
        <f t="shared" si="42"/>
        <v>#DIV/0!</v>
      </c>
      <c r="O277" s="130" t="e">
        <f t="shared" si="43"/>
        <v>#DIV/0!</v>
      </c>
      <c r="P277" s="443" t="e">
        <f t="shared" si="44"/>
        <v>#DIV/0!</v>
      </c>
      <c r="Q277" s="126"/>
    </row>
    <row r="278" spans="1:17" x14ac:dyDescent="0.25">
      <c r="A278" s="49">
        <f>+'A) Base RI'!A280</f>
        <v>5885</v>
      </c>
      <c r="B278" s="293" t="str">
        <f>+'A) Base RI'!B280</f>
        <v>Jongny</v>
      </c>
      <c r="C278" s="305">
        <f>+'D) Ecrêtage'!C278</f>
        <v>85101.213069544348</v>
      </c>
      <c r="D278" s="444"/>
      <c r="E278" s="446"/>
      <c r="F278" s="444"/>
      <c r="G278" s="305">
        <f t="shared" si="36"/>
        <v>0</v>
      </c>
      <c r="H278" s="285">
        <f t="shared" si="37"/>
        <v>680809.70455635479</v>
      </c>
      <c r="I278" s="10">
        <f t="shared" si="38"/>
        <v>0</v>
      </c>
      <c r="J278" s="302" t="e">
        <f t="shared" si="39"/>
        <v>#DIV/0!</v>
      </c>
      <c r="K278" s="448"/>
      <c r="L278" s="10">
        <f t="shared" si="40"/>
        <v>85101.213069544348</v>
      </c>
      <c r="M278" s="14">
        <f t="shared" si="41"/>
        <v>0</v>
      </c>
      <c r="N278" s="2" t="e">
        <f t="shared" si="42"/>
        <v>#DIV/0!</v>
      </c>
      <c r="O278" s="130" t="e">
        <f t="shared" si="43"/>
        <v>#DIV/0!</v>
      </c>
      <c r="P278" s="443" t="e">
        <f t="shared" si="44"/>
        <v>#DIV/0!</v>
      </c>
      <c r="Q278" s="126"/>
    </row>
    <row r="279" spans="1:17" x14ac:dyDescent="0.25">
      <c r="A279" s="49">
        <f>+'A) Base RI'!A281</f>
        <v>5886</v>
      </c>
      <c r="B279" s="293" t="str">
        <f>+'A) Base RI'!B281</f>
        <v>Montreux</v>
      </c>
      <c r="C279" s="305">
        <f>+'D) Ecrêtage'!C279</f>
        <v>1097075.3945128203</v>
      </c>
      <c r="D279" s="444"/>
      <c r="E279" s="446"/>
      <c r="F279" s="444"/>
      <c r="G279" s="305">
        <f t="shared" si="36"/>
        <v>0</v>
      </c>
      <c r="H279" s="285">
        <f t="shared" si="37"/>
        <v>8776603.1561025623</v>
      </c>
      <c r="I279" s="10">
        <f t="shared" si="38"/>
        <v>0</v>
      </c>
      <c r="J279" s="302" t="e">
        <f t="shared" si="39"/>
        <v>#DIV/0!</v>
      </c>
      <c r="K279" s="448"/>
      <c r="L279" s="10">
        <f t="shared" si="40"/>
        <v>1097075.3945128203</v>
      </c>
      <c r="M279" s="14">
        <f t="shared" si="41"/>
        <v>0</v>
      </c>
      <c r="N279" s="2" t="e">
        <f t="shared" si="42"/>
        <v>#DIV/0!</v>
      </c>
      <c r="O279" s="130" t="e">
        <f t="shared" si="43"/>
        <v>#DIV/0!</v>
      </c>
      <c r="P279" s="443" t="e">
        <f t="shared" si="44"/>
        <v>#DIV/0!</v>
      </c>
      <c r="Q279" s="126"/>
    </row>
    <row r="280" spans="1:17" x14ac:dyDescent="0.25">
      <c r="A280" s="49">
        <f>+'A) Base RI'!A282</f>
        <v>5888</v>
      </c>
      <c r="B280" s="293" t="str">
        <f>+'A) Base RI'!B282</f>
        <v>Saint-Légier-La Chiésaz</v>
      </c>
      <c r="C280" s="305">
        <f>+'D) Ecrêtage'!C280</f>
        <v>325579.73326034058</v>
      </c>
      <c r="D280" s="444"/>
      <c r="E280" s="446"/>
      <c r="F280" s="444"/>
      <c r="G280" s="305">
        <f t="shared" si="36"/>
        <v>0</v>
      </c>
      <c r="H280" s="285">
        <f t="shared" si="37"/>
        <v>2604637.8660827246</v>
      </c>
      <c r="I280" s="10">
        <f t="shared" si="38"/>
        <v>0</v>
      </c>
      <c r="J280" s="302" t="e">
        <f t="shared" si="39"/>
        <v>#DIV/0!</v>
      </c>
      <c r="K280" s="448"/>
      <c r="L280" s="10">
        <f t="shared" si="40"/>
        <v>325579.73326034058</v>
      </c>
      <c r="M280" s="14">
        <f t="shared" si="41"/>
        <v>0</v>
      </c>
      <c r="N280" s="2" t="e">
        <f t="shared" si="42"/>
        <v>#DIV/0!</v>
      </c>
      <c r="O280" s="130" t="e">
        <f t="shared" si="43"/>
        <v>#DIV/0!</v>
      </c>
      <c r="P280" s="443" t="e">
        <f t="shared" si="44"/>
        <v>#DIV/0!</v>
      </c>
      <c r="Q280" s="126"/>
    </row>
    <row r="281" spans="1:17" x14ac:dyDescent="0.25">
      <c r="A281" s="49">
        <f>+'A) Base RI'!A283</f>
        <v>5889</v>
      </c>
      <c r="B281" s="293" t="str">
        <f>+'A) Base RI'!B283</f>
        <v>La Tour-de-Peilz</v>
      </c>
      <c r="C281" s="305">
        <f>+'D) Ecrêtage'!C281</f>
        <v>675962.70015625004</v>
      </c>
      <c r="D281" s="444"/>
      <c r="E281" s="446"/>
      <c r="F281" s="444"/>
      <c r="G281" s="305">
        <f t="shared" si="36"/>
        <v>0</v>
      </c>
      <c r="H281" s="285">
        <f t="shared" si="37"/>
        <v>5407701.6012500003</v>
      </c>
      <c r="I281" s="10">
        <f t="shared" si="38"/>
        <v>0</v>
      </c>
      <c r="J281" s="302" t="e">
        <f t="shared" si="39"/>
        <v>#DIV/0!</v>
      </c>
      <c r="K281" s="448"/>
      <c r="L281" s="10">
        <f t="shared" si="40"/>
        <v>675962.70015625004</v>
      </c>
      <c r="M281" s="14">
        <f t="shared" si="41"/>
        <v>0</v>
      </c>
      <c r="N281" s="2" t="e">
        <f t="shared" si="42"/>
        <v>#DIV/0!</v>
      </c>
      <c r="O281" s="130" t="e">
        <f t="shared" si="43"/>
        <v>#DIV/0!</v>
      </c>
      <c r="P281" s="443" t="e">
        <f t="shared" si="44"/>
        <v>#DIV/0!</v>
      </c>
      <c r="Q281" s="126"/>
    </row>
    <row r="282" spans="1:17" x14ac:dyDescent="0.25">
      <c r="A282" s="49">
        <f>+'A) Base RI'!A284</f>
        <v>5890</v>
      </c>
      <c r="B282" s="293" t="str">
        <f>+'A) Base RI'!B284</f>
        <v>Vevey</v>
      </c>
      <c r="C282" s="305">
        <f>+'D) Ecrêtage'!C282</f>
        <v>862625.86017897108</v>
      </c>
      <c r="D282" s="444"/>
      <c r="E282" s="446"/>
      <c r="F282" s="444"/>
      <c r="G282" s="305">
        <f t="shared" si="36"/>
        <v>0</v>
      </c>
      <c r="H282" s="285">
        <f t="shared" si="37"/>
        <v>6901006.8814317686</v>
      </c>
      <c r="I282" s="10">
        <f t="shared" si="38"/>
        <v>0</v>
      </c>
      <c r="J282" s="302" t="e">
        <f t="shared" si="39"/>
        <v>#DIV/0!</v>
      </c>
      <c r="K282" s="448"/>
      <c r="L282" s="10">
        <f t="shared" si="40"/>
        <v>862625.86017897108</v>
      </c>
      <c r="M282" s="14">
        <f t="shared" si="41"/>
        <v>0</v>
      </c>
      <c r="N282" s="2" t="e">
        <f t="shared" si="42"/>
        <v>#DIV/0!</v>
      </c>
      <c r="O282" s="130" t="e">
        <f t="shared" si="43"/>
        <v>#DIV/0!</v>
      </c>
      <c r="P282" s="443" t="e">
        <f t="shared" si="44"/>
        <v>#DIV/0!</v>
      </c>
      <c r="Q282" s="126"/>
    </row>
    <row r="283" spans="1:17" x14ac:dyDescent="0.25">
      <c r="A283" s="49">
        <f>+'A) Base RI'!A285</f>
        <v>5891</v>
      </c>
      <c r="B283" s="293" t="str">
        <f>+'A) Base RI'!B285</f>
        <v>Veytaux</v>
      </c>
      <c r="C283" s="305">
        <f>+'D) Ecrêtage'!C283</f>
        <v>43950.38565947242</v>
      </c>
      <c r="D283" s="444"/>
      <c r="E283" s="446"/>
      <c r="F283" s="444"/>
      <c r="G283" s="305">
        <f t="shared" si="36"/>
        <v>0</v>
      </c>
      <c r="H283" s="285">
        <f t="shared" si="37"/>
        <v>351603.08527577936</v>
      </c>
      <c r="I283" s="10">
        <f t="shared" si="38"/>
        <v>0</v>
      </c>
      <c r="J283" s="302" t="e">
        <f t="shared" si="39"/>
        <v>#DIV/0!</v>
      </c>
      <c r="K283" s="448"/>
      <c r="L283" s="10">
        <f t="shared" si="40"/>
        <v>43950.38565947242</v>
      </c>
      <c r="M283" s="14">
        <f t="shared" si="41"/>
        <v>0</v>
      </c>
      <c r="N283" s="2" t="e">
        <f t="shared" si="42"/>
        <v>#DIV/0!</v>
      </c>
      <c r="O283" s="130" t="e">
        <f t="shared" si="43"/>
        <v>#DIV/0!</v>
      </c>
      <c r="P283" s="443" t="e">
        <f t="shared" si="44"/>
        <v>#DIV/0!</v>
      </c>
      <c r="Q283" s="126"/>
    </row>
    <row r="284" spans="1:17" x14ac:dyDescent="0.25">
      <c r="A284" s="49">
        <f>+'A) Base RI'!A286</f>
        <v>5902</v>
      </c>
      <c r="B284" s="293" t="str">
        <f>+'A) Base RI'!B286</f>
        <v>Belmont-sur-Yverdon</v>
      </c>
      <c r="C284" s="305">
        <f>+'D) Ecrêtage'!C284</f>
        <v>11749.165714285717</v>
      </c>
      <c r="D284" s="444"/>
      <c r="E284" s="446"/>
      <c r="F284" s="444"/>
      <c r="G284" s="305">
        <f t="shared" si="36"/>
        <v>0</v>
      </c>
      <c r="H284" s="285">
        <f t="shared" si="37"/>
        <v>93993.325714285733</v>
      </c>
      <c r="I284" s="10">
        <f t="shared" si="38"/>
        <v>0</v>
      </c>
      <c r="J284" s="302" t="e">
        <f t="shared" si="39"/>
        <v>#DIV/0!</v>
      </c>
      <c r="K284" s="448"/>
      <c r="L284" s="10">
        <f t="shared" si="40"/>
        <v>11749.165714285717</v>
      </c>
      <c r="M284" s="14">
        <f t="shared" si="41"/>
        <v>0</v>
      </c>
      <c r="N284" s="2" t="e">
        <f t="shared" si="42"/>
        <v>#DIV/0!</v>
      </c>
      <c r="O284" s="130" t="e">
        <f t="shared" si="43"/>
        <v>#DIV/0!</v>
      </c>
      <c r="P284" s="443" t="e">
        <f t="shared" si="44"/>
        <v>#DIV/0!</v>
      </c>
      <c r="Q284" s="126"/>
    </row>
    <row r="285" spans="1:17" x14ac:dyDescent="0.25">
      <c r="A285" s="49">
        <f>+'A) Base RI'!A287</f>
        <v>5903</v>
      </c>
      <c r="B285" s="293" t="str">
        <f>+'A) Base RI'!B287</f>
        <v>Bioley-Magnoux</v>
      </c>
      <c r="C285" s="305">
        <f>+'D) Ecrêtage'!C285</f>
        <v>5017.2132738095233</v>
      </c>
      <c r="D285" s="444"/>
      <c r="E285" s="446"/>
      <c r="F285" s="444"/>
      <c r="G285" s="305">
        <f t="shared" si="36"/>
        <v>0</v>
      </c>
      <c r="H285" s="285">
        <f t="shared" si="37"/>
        <v>40137.706190476187</v>
      </c>
      <c r="I285" s="10">
        <f t="shared" si="38"/>
        <v>0</v>
      </c>
      <c r="J285" s="302" t="e">
        <f t="shared" si="39"/>
        <v>#DIV/0!</v>
      </c>
      <c r="K285" s="448"/>
      <c r="L285" s="10">
        <f t="shared" si="40"/>
        <v>5017.2132738095233</v>
      </c>
      <c r="M285" s="14">
        <f t="shared" si="41"/>
        <v>0</v>
      </c>
      <c r="N285" s="2" t="e">
        <f t="shared" si="42"/>
        <v>#DIV/0!</v>
      </c>
      <c r="O285" s="130" t="e">
        <f t="shared" si="43"/>
        <v>#DIV/0!</v>
      </c>
      <c r="P285" s="443" t="e">
        <f t="shared" si="44"/>
        <v>#DIV/0!</v>
      </c>
      <c r="Q285" s="126"/>
    </row>
    <row r="286" spans="1:17" x14ac:dyDescent="0.25">
      <c r="A286" s="49">
        <f>+'A) Base RI'!A288</f>
        <v>5904</v>
      </c>
      <c r="B286" s="293" t="str">
        <f>+'A) Base RI'!B288</f>
        <v>Chamblon</v>
      </c>
      <c r="C286" s="305">
        <f>+'D) Ecrêtage'!C286</f>
        <v>21694.056363636359</v>
      </c>
      <c r="D286" s="444"/>
      <c r="E286" s="446"/>
      <c r="F286" s="444"/>
      <c r="G286" s="305">
        <f t="shared" si="36"/>
        <v>0</v>
      </c>
      <c r="H286" s="285">
        <f t="shared" si="37"/>
        <v>173552.45090909087</v>
      </c>
      <c r="I286" s="10">
        <f t="shared" si="38"/>
        <v>0</v>
      </c>
      <c r="J286" s="302" t="e">
        <f t="shared" si="39"/>
        <v>#DIV/0!</v>
      </c>
      <c r="K286" s="448"/>
      <c r="L286" s="10">
        <f t="shared" si="40"/>
        <v>21694.056363636359</v>
      </c>
      <c r="M286" s="14">
        <f t="shared" si="41"/>
        <v>0</v>
      </c>
      <c r="N286" s="2" t="e">
        <f t="shared" si="42"/>
        <v>#DIV/0!</v>
      </c>
      <c r="O286" s="130" t="e">
        <f t="shared" si="43"/>
        <v>#DIV/0!</v>
      </c>
      <c r="P286" s="443" t="e">
        <f t="shared" si="44"/>
        <v>#DIV/0!</v>
      </c>
      <c r="Q286" s="126"/>
    </row>
    <row r="287" spans="1:17" x14ac:dyDescent="0.25">
      <c r="A287" s="49">
        <f>+'A) Base RI'!A289</f>
        <v>5905</v>
      </c>
      <c r="B287" s="293" t="str">
        <f>+'A) Base RI'!B289</f>
        <v>Champvent</v>
      </c>
      <c r="C287" s="305">
        <f>+'D) Ecrêtage'!C287</f>
        <v>21622.169859154932</v>
      </c>
      <c r="D287" s="444"/>
      <c r="E287" s="446"/>
      <c r="F287" s="444"/>
      <c r="G287" s="305">
        <f t="shared" si="36"/>
        <v>0</v>
      </c>
      <c r="H287" s="285">
        <f t="shared" si="37"/>
        <v>172977.35887323946</v>
      </c>
      <c r="I287" s="10">
        <f t="shared" si="38"/>
        <v>0</v>
      </c>
      <c r="J287" s="302" t="e">
        <f t="shared" si="39"/>
        <v>#DIV/0!</v>
      </c>
      <c r="K287" s="448"/>
      <c r="L287" s="10">
        <f t="shared" si="40"/>
        <v>21622.169859154932</v>
      </c>
      <c r="M287" s="14">
        <f t="shared" si="41"/>
        <v>0</v>
      </c>
      <c r="N287" s="2" t="e">
        <f t="shared" si="42"/>
        <v>#DIV/0!</v>
      </c>
      <c r="O287" s="130" t="e">
        <f t="shared" si="43"/>
        <v>#DIV/0!</v>
      </c>
      <c r="P287" s="443" t="e">
        <f t="shared" si="44"/>
        <v>#DIV/0!</v>
      </c>
      <c r="Q287" s="126"/>
    </row>
    <row r="288" spans="1:17" x14ac:dyDescent="0.25">
      <c r="A288" s="49">
        <f>+'A) Base RI'!A290</f>
        <v>5907</v>
      </c>
      <c r="B288" s="293" t="str">
        <f>+'A) Base RI'!B290</f>
        <v>Chavannes-le-Chêne</v>
      </c>
      <c r="C288" s="305">
        <f>+'D) Ecrêtage'!C288</f>
        <v>9891.0456000000013</v>
      </c>
      <c r="D288" s="444"/>
      <c r="E288" s="446"/>
      <c r="F288" s="444"/>
      <c r="G288" s="305">
        <f t="shared" si="36"/>
        <v>0</v>
      </c>
      <c r="H288" s="285">
        <f t="shared" si="37"/>
        <v>79128.36480000001</v>
      </c>
      <c r="I288" s="10">
        <f t="shared" si="38"/>
        <v>0</v>
      </c>
      <c r="J288" s="302" t="e">
        <f t="shared" si="39"/>
        <v>#DIV/0!</v>
      </c>
      <c r="K288" s="448"/>
      <c r="L288" s="10">
        <f t="shared" si="40"/>
        <v>9891.0456000000013</v>
      </c>
      <c r="M288" s="14">
        <f t="shared" si="41"/>
        <v>0</v>
      </c>
      <c r="N288" s="2" t="e">
        <f t="shared" si="42"/>
        <v>#DIV/0!</v>
      </c>
      <c r="O288" s="130" t="e">
        <f t="shared" si="43"/>
        <v>#DIV/0!</v>
      </c>
      <c r="P288" s="443" t="e">
        <f t="shared" si="44"/>
        <v>#DIV/0!</v>
      </c>
      <c r="Q288" s="126"/>
    </row>
    <row r="289" spans="1:17" x14ac:dyDescent="0.25">
      <c r="A289" s="49">
        <f>+'A) Base RI'!A291</f>
        <v>5908</v>
      </c>
      <c r="B289" s="293" t="str">
        <f>+'A) Base RI'!B291</f>
        <v>Chêne-Pâquier</v>
      </c>
      <c r="C289" s="305">
        <f>+'D) Ecrêtage'!C289</f>
        <v>6502.4863291139245</v>
      </c>
      <c r="D289" s="444"/>
      <c r="E289" s="446"/>
      <c r="F289" s="444"/>
      <c r="G289" s="305">
        <f t="shared" si="36"/>
        <v>0</v>
      </c>
      <c r="H289" s="285">
        <f t="shared" si="37"/>
        <v>52019.890632911396</v>
      </c>
      <c r="I289" s="10">
        <f t="shared" si="38"/>
        <v>0</v>
      </c>
      <c r="J289" s="302" t="e">
        <f t="shared" si="39"/>
        <v>#DIV/0!</v>
      </c>
      <c r="K289" s="448"/>
      <c r="L289" s="10">
        <f t="shared" si="40"/>
        <v>6502.4863291139245</v>
      </c>
      <c r="M289" s="14">
        <f t="shared" si="41"/>
        <v>0</v>
      </c>
      <c r="N289" s="2" t="e">
        <f t="shared" si="42"/>
        <v>#DIV/0!</v>
      </c>
      <c r="O289" s="130" t="e">
        <f t="shared" si="43"/>
        <v>#DIV/0!</v>
      </c>
      <c r="P289" s="443" t="e">
        <f t="shared" si="44"/>
        <v>#DIV/0!</v>
      </c>
      <c r="Q289" s="126"/>
    </row>
    <row r="290" spans="1:17" x14ac:dyDescent="0.25">
      <c r="A290" s="49">
        <f>+'A) Base RI'!A292</f>
        <v>5909</v>
      </c>
      <c r="B290" s="293" t="str">
        <f>+'A) Base RI'!B292</f>
        <v>Cheseaux-Noréaz</v>
      </c>
      <c r="C290" s="305">
        <f>+'D) Ecrêtage'!C290</f>
        <v>39259.116417910453</v>
      </c>
      <c r="D290" s="444"/>
      <c r="E290" s="446"/>
      <c r="F290" s="444"/>
      <c r="G290" s="305">
        <f t="shared" si="36"/>
        <v>0</v>
      </c>
      <c r="H290" s="285">
        <f t="shared" si="37"/>
        <v>314072.93134328362</v>
      </c>
      <c r="I290" s="10">
        <f t="shared" si="38"/>
        <v>0</v>
      </c>
      <c r="J290" s="302" t="e">
        <f t="shared" si="39"/>
        <v>#DIV/0!</v>
      </c>
      <c r="K290" s="448"/>
      <c r="L290" s="10">
        <f t="shared" si="40"/>
        <v>39259.116417910453</v>
      </c>
      <c r="M290" s="14">
        <f t="shared" si="41"/>
        <v>0</v>
      </c>
      <c r="N290" s="2" t="e">
        <f t="shared" si="42"/>
        <v>#DIV/0!</v>
      </c>
      <c r="O290" s="130" t="e">
        <f t="shared" si="43"/>
        <v>#DIV/0!</v>
      </c>
      <c r="P290" s="443" t="e">
        <f t="shared" si="44"/>
        <v>#DIV/0!</v>
      </c>
      <c r="Q290" s="126"/>
    </row>
    <row r="291" spans="1:17" x14ac:dyDescent="0.25">
      <c r="A291" s="49">
        <f>+'A) Base RI'!A293</f>
        <v>5910</v>
      </c>
      <c r="B291" s="293" t="str">
        <f>+'A) Base RI'!B293</f>
        <v>Cronay</v>
      </c>
      <c r="C291" s="305">
        <f>+'D) Ecrêtage'!C291</f>
        <v>9976.0020779220758</v>
      </c>
      <c r="D291" s="444"/>
      <c r="E291" s="446"/>
      <c r="F291" s="444"/>
      <c r="G291" s="305">
        <f t="shared" si="36"/>
        <v>0</v>
      </c>
      <c r="H291" s="285">
        <f t="shared" si="37"/>
        <v>79808.016623376607</v>
      </c>
      <c r="I291" s="10">
        <f t="shared" si="38"/>
        <v>0</v>
      </c>
      <c r="J291" s="302" t="e">
        <f t="shared" si="39"/>
        <v>#DIV/0!</v>
      </c>
      <c r="K291" s="448"/>
      <c r="L291" s="10">
        <f t="shared" si="40"/>
        <v>9976.0020779220758</v>
      </c>
      <c r="M291" s="14">
        <f t="shared" si="41"/>
        <v>0</v>
      </c>
      <c r="N291" s="2" t="e">
        <f t="shared" si="42"/>
        <v>#DIV/0!</v>
      </c>
      <c r="O291" s="130" t="e">
        <f t="shared" si="43"/>
        <v>#DIV/0!</v>
      </c>
      <c r="P291" s="443" t="e">
        <f t="shared" si="44"/>
        <v>#DIV/0!</v>
      </c>
      <c r="Q291" s="126"/>
    </row>
    <row r="292" spans="1:17" x14ac:dyDescent="0.25">
      <c r="A292" s="49">
        <f>+'A) Base RI'!A294</f>
        <v>5911</v>
      </c>
      <c r="B292" s="293" t="str">
        <f>+'A) Base RI'!B294</f>
        <v>Cuarny</v>
      </c>
      <c r="C292" s="305">
        <f>+'D) Ecrêtage'!C292</f>
        <v>6939.596883116883</v>
      </c>
      <c r="D292" s="444"/>
      <c r="E292" s="446"/>
      <c r="F292" s="444"/>
      <c r="G292" s="305">
        <f t="shared" si="36"/>
        <v>0</v>
      </c>
      <c r="H292" s="285">
        <f t="shared" si="37"/>
        <v>55516.775064935064</v>
      </c>
      <c r="I292" s="10">
        <f t="shared" si="38"/>
        <v>0</v>
      </c>
      <c r="J292" s="302" t="e">
        <f t="shared" si="39"/>
        <v>#DIV/0!</v>
      </c>
      <c r="K292" s="448"/>
      <c r="L292" s="10">
        <f t="shared" si="40"/>
        <v>6939.596883116883</v>
      </c>
      <c r="M292" s="14">
        <f t="shared" si="41"/>
        <v>0</v>
      </c>
      <c r="N292" s="2" t="e">
        <f t="shared" si="42"/>
        <v>#DIV/0!</v>
      </c>
      <c r="O292" s="130" t="e">
        <f t="shared" si="43"/>
        <v>#DIV/0!</v>
      </c>
      <c r="P292" s="443" t="e">
        <f t="shared" si="44"/>
        <v>#DIV/0!</v>
      </c>
      <c r="Q292" s="126"/>
    </row>
    <row r="293" spans="1:17" x14ac:dyDescent="0.25">
      <c r="A293" s="49">
        <f>+'A) Base RI'!A295</f>
        <v>5912</v>
      </c>
      <c r="B293" s="293" t="str">
        <f>+'A) Base RI'!B295</f>
        <v>Démoret</v>
      </c>
      <c r="C293" s="305">
        <f>+'D) Ecrêtage'!C293</f>
        <v>4059.5274074074073</v>
      </c>
      <c r="D293" s="444"/>
      <c r="E293" s="446"/>
      <c r="F293" s="444"/>
      <c r="G293" s="305">
        <f t="shared" si="36"/>
        <v>0</v>
      </c>
      <c r="H293" s="285">
        <f t="shared" si="37"/>
        <v>32476.219259259258</v>
      </c>
      <c r="I293" s="10">
        <f t="shared" si="38"/>
        <v>0</v>
      </c>
      <c r="J293" s="302" t="e">
        <f t="shared" si="39"/>
        <v>#DIV/0!</v>
      </c>
      <c r="K293" s="448"/>
      <c r="L293" s="10">
        <f t="shared" si="40"/>
        <v>4059.5274074074073</v>
      </c>
      <c r="M293" s="14">
        <f t="shared" si="41"/>
        <v>0</v>
      </c>
      <c r="N293" s="2" t="e">
        <f t="shared" si="42"/>
        <v>#DIV/0!</v>
      </c>
      <c r="O293" s="130" t="e">
        <f t="shared" si="43"/>
        <v>#DIV/0!</v>
      </c>
      <c r="P293" s="443" t="e">
        <f t="shared" si="44"/>
        <v>#DIV/0!</v>
      </c>
      <c r="Q293" s="126"/>
    </row>
    <row r="294" spans="1:17" x14ac:dyDescent="0.25">
      <c r="A294" s="49">
        <f>+'A) Base RI'!A296</f>
        <v>5913</v>
      </c>
      <c r="B294" s="293" t="str">
        <f>+'A) Base RI'!B296</f>
        <v>Donneloye</v>
      </c>
      <c r="C294" s="305">
        <f>+'D) Ecrêtage'!C294</f>
        <v>19880.828493150682</v>
      </c>
      <c r="D294" s="444"/>
      <c r="E294" s="446"/>
      <c r="F294" s="444"/>
      <c r="G294" s="305">
        <f t="shared" si="36"/>
        <v>0</v>
      </c>
      <c r="H294" s="285">
        <f t="shared" si="37"/>
        <v>159046.62794520546</v>
      </c>
      <c r="I294" s="10">
        <f t="shared" si="38"/>
        <v>0</v>
      </c>
      <c r="J294" s="302" t="e">
        <f t="shared" si="39"/>
        <v>#DIV/0!</v>
      </c>
      <c r="K294" s="448"/>
      <c r="L294" s="10">
        <f t="shared" si="40"/>
        <v>19880.828493150682</v>
      </c>
      <c r="M294" s="14">
        <f t="shared" si="41"/>
        <v>0</v>
      </c>
      <c r="N294" s="2" t="e">
        <f t="shared" si="42"/>
        <v>#DIV/0!</v>
      </c>
      <c r="O294" s="130" t="e">
        <f t="shared" si="43"/>
        <v>#DIV/0!</v>
      </c>
      <c r="P294" s="443" t="e">
        <f t="shared" si="44"/>
        <v>#DIV/0!</v>
      </c>
      <c r="Q294" s="126"/>
    </row>
    <row r="295" spans="1:17" x14ac:dyDescent="0.25">
      <c r="A295" s="49">
        <f>+'A) Base RI'!A297</f>
        <v>5914</v>
      </c>
      <c r="B295" s="293" t="str">
        <f>+'A) Base RI'!B297</f>
        <v>Ependes</v>
      </c>
      <c r="C295" s="305">
        <f>+'D) Ecrêtage'!C295</f>
        <v>10662.074965986394</v>
      </c>
      <c r="D295" s="444"/>
      <c r="E295" s="446"/>
      <c r="F295" s="444"/>
      <c r="G295" s="305">
        <f t="shared" si="36"/>
        <v>0</v>
      </c>
      <c r="H295" s="285">
        <f t="shared" si="37"/>
        <v>85296.599727891153</v>
      </c>
      <c r="I295" s="10">
        <f t="shared" si="38"/>
        <v>0</v>
      </c>
      <c r="J295" s="302" t="e">
        <f t="shared" si="39"/>
        <v>#DIV/0!</v>
      </c>
      <c r="K295" s="448"/>
      <c r="L295" s="10">
        <f t="shared" si="40"/>
        <v>10662.074965986394</v>
      </c>
      <c r="M295" s="14">
        <f t="shared" si="41"/>
        <v>0</v>
      </c>
      <c r="N295" s="2" t="e">
        <f t="shared" si="42"/>
        <v>#DIV/0!</v>
      </c>
      <c r="O295" s="130" t="e">
        <f t="shared" si="43"/>
        <v>#DIV/0!</v>
      </c>
      <c r="P295" s="443" t="e">
        <f t="shared" si="44"/>
        <v>#DIV/0!</v>
      </c>
      <c r="Q295" s="126"/>
    </row>
    <row r="296" spans="1:17" x14ac:dyDescent="0.25">
      <c r="A296" s="49">
        <f>+'A) Base RI'!A298</f>
        <v>5919</v>
      </c>
      <c r="B296" s="293" t="str">
        <f>+'A) Base RI'!B298</f>
        <v>Mathod</v>
      </c>
      <c r="C296" s="305">
        <f>+'D) Ecrêtage'!C296</f>
        <v>21565.598078703704</v>
      </c>
      <c r="D296" s="444"/>
      <c r="E296" s="446"/>
      <c r="F296" s="444"/>
      <c r="G296" s="305">
        <f t="shared" si="36"/>
        <v>0</v>
      </c>
      <c r="H296" s="285">
        <f t="shared" si="37"/>
        <v>172524.78462962963</v>
      </c>
      <c r="I296" s="10">
        <f t="shared" si="38"/>
        <v>0</v>
      </c>
      <c r="J296" s="302" t="e">
        <f t="shared" si="39"/>
        <v>#DIV/0!</v>
      </c>
      <c r="K296" s="448"/>
      <c r="L296" s="10">
        <f t="shared" si="40"/>
        <v>21565.598078703704</v>
      </c>
      <c r="M296" s="14">
        <f t="shared" si="41"/>
        <v>0</v>
      </c>
      <c r="N296" s="2" t="e">
        <f t="shared" si="42"/>
        <v>#DIV/0!</v>
      </c>
      <c r="O296" s="130" t="e">
        <f t="shared" si="43"/>
        <v>#DIV/0!</v>
      </c>
      <c r="P296" s="443" t="e">
        <f t="shared" si="44"/>
        <v>#DIV/0!</v>
      </c>
      <c r="Q296" s="126"/>
    </row>
    <row r="297" spans="1:17" x14ac:dyDescent="0.25">
      <c r="A297" s="49">
        <f>+'A) Base RI'!A299</f>
        <v>5921</v>
      </c>
      <c r="B297" s="293" t="str">
        <f>+'A) Base RI'!B299</f>
        <v>Molondin</v>
      </c>
      <c r="C297" s="305">
        <f>+'D) Ecrêtage'!C297</f>
        <v>5675.8933333333334</v>
      </c>
      <c r="D297" s="444"/>
      <c r="E297" s="446"/>
      <c r="F297" s="444"/>
      <c r="G297" s="305">
        <f t="shared" si="36"/>
        <v>0</v>
      </c>
      <c r="H297" s="285">
        <f t="shared" si="37"/>
        <v>45407.146666666667</v>
      </c>
      <c r="I297" s="10">
        <f t="shared" si="38"/>
        <v>0</v>
      </c>
      <c r="J297" s="302" t="e">
        <f t="shared" si="39"/>
        <v>#DIV/0!</v>
      </c>
      <c r="K297" s="448"/>
      <c r="L297" s="10">
        <f t="shared" si="40"/>
        <v>5675.8933333333334</v>
      </c>
      <c r="M297" s="14">
        <f t="shared" si="41"/>
        <v>0</v>
      </c>
      <c r="N297" s="2" t="e">
        <f t="shared" si="42"/>
        <v>#DIV/0!</v>
      </c>
      <c r="O297" s="130" t="e">
        <f t="shared" si="43"/>
        <v>#DIV/0!</v>
      </c>
      <c r="P297" s="443" t="e">
        <f t="shared" si="44"/>
        <v>#DIV/0!</v>
      </c>
      <c r="Q297" s="126"/>
    </row>
    <row r="298" spans="1:17" x14ac:dyDescent="0.25">
      <c r="A298" s="49">
        <f>+'A) Base RI'!A300</f>
        <v>5922</v>
      </c>
      <c r="B298" s="293" t="str">
        <f>+'A) Base RI'!B300</f>
        <v>Montagny-près-Yverdon</v>
      </c>
      <c r="C298" s="305">
        <f>+'D) Ecrêtage'!C298</f>
        <v>33326.398149606292</v>
      </c>
      <c r="D298" s="444"/>
      <c r="E298" s="446"/>
      <c r="F298" s="444"/>
      <c r="G298" s="305">
        <f t="shared" si="36"/>
        <v>0</v>
      </c>
      <c r="H298" s="285">
        <f t="shared" si="37"/>
        <v>266611.18519685033</v>
      </c>
      <c r="I298" s="10">
        <f t="shared" si="38"/>
        <v>0</v>
      </c>
      <c r="J298" s="302" t="e">
        <f t="shared" si="39"/>
        <v>#DIV/0!</v>
      </c>
      <c r="K298" s="448"/>
      <c r="L298" s="10">
        <f t="shared" si="40"/>
        <v>33326.398149606292</v>
      </c>
      <c r="M298" s="14">
        <f t="shared" si="41"/>
        <v>0</v>
      </c>
      <c r="N298" s="2" t="e">
        <f t="shared" si="42"/>
        <v>#DIV/0!</v>
      </c>
      <c r="O298" s="130" t="e">
        <f t="shared" si="43"/>
        <v>#DIV/0!</v>
      </c>
      <c r="P298" s="443" t="e">
        <f t="shared" si="44"/>
        <v>#DIV/0!</v>
      </c>
      <c r="Q298" s="126"/>
    </row>
    <row r="299" spans="1:17" x14ac:dyDescent="0.25">
      <c r="A299" s="49">
        <f>+'A) Base RI'!A301</f>
        <v>5923</v>
      </c>
      <c r="B299" s="293" t="str">
        <f>+'A) Base RI'!B301</f>
        <v>Oppens</v>
      </c>
      <c r="C299" s="305">
        <f>+'D) Ecrêtage'!C299</f>
        <v>4799.240617283951</v>
      </c>
      <c r="D299" s="444"/>
      <c r="E299" s="446"/>
      <c r="F299" s="444"/>
      <c r="G299" s="305">
        <f t="shared" si="36"/>
        <v>0</v>
      </c>
      <c r="H299" s="285">
        <f t="shared" si="37"/>
        <v>38393.924938271608</v>
      </c>
      <c r="I299" s="10">
        <f t="shared" si="38"/>
        <v>0</v>
      </c>
      <c r="J299" s="302" t="e">
        <f t="shared" si="39"/>
        <v>#DIV/0!</v>
      </c>
      <c r="K299" s="448"/>
      <c r="L299" s="10">
        <f t="shared" si="40"/>
        <v>4799.240617283951</v>
      </c>
      <c r="M299" s="14">
        <f t="shared" si="41"/>
        <v>0</v>
      </c>
      <c r="N299" s="2" t="e">
        <f t="shared" si="42"/>
        <v>#DIV/0!</v>
      </c>
      <c r="O299" s="130" t="e">
        <f t="shared" si="43"/>
        <v>#DIV/0!</v>
      </c>
      <c r="P299" s="443" t="e">
        <f t="shared" si="44"/>
        <v>#DIV/0!</v>
      </c>
      <c r="Q299" s="126"/>
    </row>
    <row r="300" spans="1:17" x14ac:dyDescent="0.25">
      <c r="A300" s="49">
        <f>+'A) Base RI'!A302</f>
        <v>5924</v>
      </c>
      <c r="B300" s="293" t="str">
        <f>+'A) Base RI'!B302</f>
        <v>Orges</v>
      </c>
      <c r="C300" s="305">
        <f>+'D) Ecrêtage'!C300</f>
        <v>12525.425270270271</v>
      </c>
      <c r="D300" s="444"/>
      <c r="E300" s="446"/>
      <c r="F300" s="444"/>
      <c r="G300" s="305">
        <f t="shared" si="36"/>
        <v>0</v>
      </c>
      <c r="H300" s="285">
        <f t="shared" si="37"/>
        <v>100203.40216216217</v>
      </c>
      <c r="I300" s="10">
        <f t="shared" si="38"/>
        <v>0</v>
      </c>
      <c r="J300" s="302" t="e">
        <f t="shared" si="39"/>
        <v>#DIV/0!</v>
      </c>
      <c r="K300" s="448"/>
      <c r="L300" s="10">
        <f t="shared" si="40"/>
        <v>12525.425270270271</v>
      </c>
      <c r="M300" s="14">
        <f t="shared" si="41"/>
        <v>0</v>
      </c>
      <c r="N300" s="2" t="e">
        <f t="shared" si="42"/>
        <v>#DIV/0!</v>
      </c>
      <c r="O300" s="130" t="e">
        <f t="shared" si="43"/>
        <v>#DIV/0!</v>
      </c>
      <c r="P300" s="443" t="e">
        <f t="shared" si="44"/>
        <v>#DIV/0!</v>
      </c>
      <c r="Q300" s="126"/>
    </row>
    <row r="301" spans="1:17" x14ac:dyDescent="0.25">
      <c r="A301" s="49">
        <f>+'A) Base RI'!A303</f>
        <v>5925</v>
      </c>
      <c r="B301" s="293" t="str">
        <f>+'A) Base RI'!B303</f>
        <v>Orzens</v>
      </c>
      <c r="C301" s="305">
        <f>+'D) Ecrêtage'!C301</f>
        <v>5879.4616455696196</v>
      </c>
      <c r="D301" s="444"/>
      <c r="E301" s="446"/>
      <c r="F301" s="444"/>
      <c r="G301" s="305">
        <f t="shared" si="36"/>
        <v>0</v>
      </c>
      <c r="H301" s="285">
        <f t="shared" si="37"/>
        <v>47035.693164556957</v>
      </c>
      <c r="I301" s="10">
        <f t="shared" si="38"/>
        <v>0</v>
      </c>
      <c r="J301" s="302" t="e">
        <f t="shared" si="39"/>
        <v>#DIV/0!</v>
      </c>
      <c r="K301" s="448"/>
      <c r="L301" s="10">
        <f t="shared" si="40"/>
        <v>5879.4616455696196</v>
      </c>
      <c r="M301" s="14">
        <f t="shared" si="41"/>
        <v>0</v>
      </c>
      <c r="N301" s="2" t="e">
        <f t="shared" si="42"/>
        <v>#DIV/0!</v>
      </c>
      <c r="O301" s="130" t="e">
        <f t="shared" si="43"/>
        <v>#DIV/0!</v>
      </c>
      <c r="P301" s="443" t="e">
        <f t="shared" si="44"/>
        <v>#DIV/0!</v>
      </c>
      <c r="Q301" s="126"/>
    </row>
    <row r="302" spans="1:17" x14ac:dyDescent="0.25">
      <c r="A302" s="49">
        <f>+'A) Base RI'!A304</f>
        <v>5926</v>
      </c>
      <c r="B302" s="293" t="str">
        <f>+'A) Base RI'!B304</f>
        <v>Pomy</v>
      </c>
      <c r="C302" s="305">
        <f>+'D) Ecrêtage'!C302</f>
        <v>27519.38971830986</v>
      </c>
      <c r="D302" s="444"/>
      <c r="E302" s="446"/>
      <c r="F302" s="444"/>
      <c r="G302" s="305">
        <f t="shared" si="36"/>
        <v>0</v>
      </c>
      <c r="H302" s="285">
        <f t="shared" si="37"/>
        <v>220155.11774647888</v>
      </c>
      <c r="I302" s="10">
        <f t="shared" si="38"/>
        <v>0</v>
      </c>
      <c r="J302" s="302" t="e">
        <f t="shared" si="39"/>
        <v>#DIV/0!</v>
      </c>
      <c r="K302" s="448"/>
      <c r="L302" s="10">
        <f t="shared" si="40"/>
        <v>27519.38971830986</v>
      </c>
      <c r="M302" s="14">
        <f t="shared" si="41"/>
        <v>0</v>
      </c>
      <c r="N302" s="2" t="e">
        <f t="shared" si="42"/>
        <v>#DIV/0!</v>
      </c>
      <c r="O302" s="130" t="e">
        <f t="shared" si="43"/>
        <v>#DIV/0!</v>
      </c>
      <c r="P302" s="443" t="e">
        <f t="shared" si="44"/>
        <v>#DIV/0!</v>
      </c>
      <c r="Q302" s="126"/>
    </row>
    <row r="303" spans="1:17" x14ac:dyDescent="0.25">
      <c r="A303" s="49">
        <f>+'A) Base RI'!A305</f>
        <v>5928</v>
      </c>
      <c r="B303" s="293" t="str">
        <f>+'A) Base RI'!B305</f>
        <v>Rovray</v>
      </c>
      <c r="C303" s="305">
        <f>+'D) Ecrêtage'!C303</f>
        <v>5563.4060139860139</v>
      </c>
      <c r="D303" s="444"/>
      <c r="E303" s="446"/>
      <c r="F303" s="444"/>
      <c r="G303" s="305">
        <f t="shared" si="36"/>
        <v>0</v>
      </c>
      <c r="H303" s="285">
        <f t="shared" si="37"/>
        <v>44507.248111888111</v>
      </c>
      <c r="I303" s="10">
        <f t="shared" si="38"/>
        <v>0</v>
      </c>
      <c r="J303" s="302" t="e">
        <f t="shared" si="39"/>
        <v>#DIV/0!</v>
      </c>
      <c r="K303" s="448"/>
      <c r="L303" s="10">
        <f t="shared" si="40"/>
        <v>5563.4060139860139</v>
      </c>
      <c r="M303" s="14">
        <f t="shared" si="41"/>
        <v>0</v>
      </c>
      <c r="N303" s="2" t="e">
        <f t="shared" si="42"/>
        <v>#DIV/0!</v>
      </c>
      <c r="O303" s="130" t="e">
        <f t="shared" si="43"/>
        <v>#DIV/0!</v>
      </c>
      <c r="P303" s="443" t="e">
        <f t="shared" si="44"/>
        <v>#DIV/0!</v>
      </c>
      <c r="Q303" s="126"/>
    </row>
    <row r="304" spans="1:17" x14ac:dyDescent="0.25">
      <c r="A304" s="49">
        <f>+'A) Base RI'!A306</f>
        <v>5929</v>
      </c>
      <c r="B304" s="293" t="str">
        <f>+'A) Base RI'!B306</f>
        <v>Suchy</v>
      </c>
      <c r="C304" s="305">
        <f>+'D) Ecrêtage'!C304</f>
        <v>19827.403178571429</v>
      </c>
      <c r="D304" s="444"/>
      <c r="E304" s="446"/>
      <c r="F304" s="444"/>
      <c r="G304" s="305">
        <f t="shared" si="36"/>
        <v>0</v>
      </c>
      <c r="H304" s="285">
        <f t="shared" si="37"/>
        <v>158619.22542857143</v>
      </c>
      <c r="I304" s="10">
        <f t="shared" si="38"/>
        <v>0</v>
      </c>
      <c r="J304" s="302" t="e">
        <f t="shared" si="39"/>
        <v>#DIV/0!</v>
      </c>
      <c r="K304" s="448"/>
      <c r="L304" s="10">
        <f t="shared" si="40"/>
        <v>19827.403178571429</v>
      </c>
      <c r="M304" s="14">
        <f t="shared" si="41"/>
        <v>0</v>
      </c>
      <c r="N304" s="2" t="e">
        <f t="shared" si="42"/>
        <v>#DIV/0!</v>
      </c>
      <c r="O304" s="130" t="e">
        <f t="shared" si="43"/>
        <v>#DIV/0!</v>
      </c>
      <c r="P304" s="443" t="e">
        <f t="shared" si="44"/>
        <v>#DIV/0!</v>
      </c>
      <c r="Q304" s="126"/>
    </row>
    <row r="305" spans="1:17" x14ac:dyDescent="0.25">
      <c r="A305" s="49">
        <f>+'A) Base RI'!A307</f>
        <v>5930</v>
      </c>
      <c r="B305" s="293" t="str">
        <f>+'A) Base RI'!B307</f>
        <v>Suscévaz</v>
      </c>
      <c r="C305" s="305">
        <f>+'D) Ecrêtage'!C305</f>
        <v>5769.1548611111102</v>
      </c>
      <c r="D305" s="444"/>
      <c r="E305" s="446"/>
      <c r="F305" s="444"/>
      <c r="G305" s="305">
        <f t="shared" si="36"/>
        <v>0</v>
      </c>
      <c r="H305" s="285">
        <f t="shared" si="37"/>
        <v>46153.238888888882</v>
      </c>
      <c r="I305" s="10">
        <f t="shared" si="38"/>
        <v>0</v>
      </c>
      <c r="J305" s="302" t="e">
        <f t="shared" si="39"/>
        <v>#DIV/0!</v>
      </c>
      <c r="K305" s="448"/>
      <c r="L305" s="10">
        <f t="shared" si="40"/>
        <v>5769.1548611111102</v>
      </c>
      <c r="M305" s="14">
        <f t="shared" si="41"/>
        <v>0</v>
      </c>
      <c r="N305" s="2" t="e">
        <f t="shared" si="42"/>
        <v>#DIV/0!</v>
      </c>
      <c r="O305" s="130" t="e">
        <f t="shared" si="43"/>
        <v>#DIV/0!</v>
      </c>
      <c r="P305" s="443" t="e">
        <f t="shared" si="44"/>
        <v>#DIV/0!</v>
      </c>
      <c r="Q305" s="126"/>
    </row>
    <row r="306" spans="1:17" x14ac:dyDescent="0.25">
      <c r="A306" s="49">
        <f>+'A) Base RI'!A308</f>
        <v>5931</v>
      </c>
      <c r="B306" s="293" t="str">
        <f>+'A) Base RI'!B308</f>
        <v>Treycovagnes</v>
      </c>
      <c r="C306" s="305">
        <f>+'D) Ecrêtage'!C306</f>
        <v>15383.603066666663</v>
      </c>
      <c r="D306" s="444"/>
      <c r="E306" s="446"/>
      <c r="F306" s="444"/>
      <c r="G306" s="305">
        <f t="shared" si="36"/>
        <v>0</v>
      </c>
      <c r="H306" s="285">
        <f t="shared" si="37"/>
        <v>123068.8245333333</v>
      </c>
      <c r="I306" s="10">
        <f t="shared" si="38"/>
        <v>0</v>
      </c>
      <c r="J306" s="302" t="e">
        <f t="shared" si="39"/>
        <v>#DIV/0!</v>
      </c>
      <c r="K306" s="448"/>
      <c r="L306" s="10">
        <f t="shared" si="40"/>
        <v>15383.603066666663</v>
      </c>
      <c r="M306" s="14">
        <f t="shared" si="41"/>
        <v>0</v>
      </c>
      <c r="N306" s="2" t="e">
        <f t="shared" si="42"/>
        <v>#DIV/0!</v>
      </c>
      <c r="O306" s="130" t="e">
        <f t="shared" si="43"/>
        <v>#DIV/0!</v>
      </c>
      <c r="P306" s="443" t="e">
        <f t="shared" si="44"/>
        <v>#DIV/0!</v>
      </c>
      <c r="Q306" s="126"/>
    </row>
    <row r="307" spans="1:17" x14ac:dyDescent="0.25">
      <c r="A307" s="49">
        <f>+'A) Base RI'!A309</f>
        <v>5932</v>
      </c>
      <c r="B307" s="293" t="str">
        <f>+'A) Base RI'!B309</f>
        <v>Ursins</v>
      </c>
      <c r="C307" s="305">
        <f>+'D) Ecrêtage'!C307</f>
        <v>6819.4023999999999</v>
      </c>
      <c r="D307" s="444"/>
      <c r="E307" s="446"/>
      <c r="F307" s="444"/>
      <c r="G307" s="305">
        <f t="shared" si="36"/>
        <v>0</v>
      </c>
      <c r="H307" s="285">
        <f t="shared" si="37"/>
        <v>54555.2192</v>
      </c>
      <c r="I307" s="10">
        <f t="shared" si="38"/>
        <v>0</v>
      </c>
      <c r="J307" s="302" t="e">
        <f t="shared" si="39"/>
        <v>#DIV/0!</v>
      </c>
      <c r="K307" s="448"/>
      <c r="L307" s="10">
        <f t="shared" si="40"/>
        <v>6819.4023999999999</v>
      </c>
      <c r="M307" s="14">
        <f t="shared" si="41"/>
        <v>0</v>
      </c>
      <c r="N307" s="2" t="e">
        <f t="shared" si="42"/>
        <v>#DIV/0!</v>
      </c>
      <c r="O307" s="130" t="e">
        <f t="shared" si="43"/>
        <v>#DIV/0!</v>
      </c>
      <c r="P307" s="443" t="e">
        <f t="shared" si="44"/>
        <v>#DIV/0!</v>
      </c>
      <c r="Q307" s="126"/>
    </row>
    <row r="308" spans="1:17" x14ac:dyDescent="0.25">
      <c r="A308" s="49">
        <f>+'A) Base RI'!A310</f>
        <v>5933</v>
      </c>
      <c r="B308" s="293" t="str">
        <f>+'A) Base RI'!B310</f>
        <v>Valeyres-sous-Montagny</v>
      </c>
      <c r="C308" s="305">
        <f>+'D) Ecrêtage'!C308</f>
        <v>22572.377872340428</v>
      </c>
      <c r="D308" s="444"/>
      <c r="E308" s="446"/>
      <c r="F308" s="444"/>
      <c r="G308" s="305">
        <f t="shared" si="36"/>
        <v>0</v>
      </c>
      <c r="H308" s="285">
        <f t="shared" si="37"/>
        <v>180579.02297872343</v>
      </c>
      <c r="I308" s="10">
        <f t="shared" si="38"/>
        <v>0</v>
      </c>
      <c r="J308" s="302" t="e">
        <f t="shared" si="39"/>
        <v>#DIV/0!</v>
      </c>
      <c r="K308" s="448"/>
      <c r="L308" s="10">
        <f t="shared" si="40"/>
        <v>22572.377872340428</v>
      </c>
      <c r="M308" s="14">
        <f t="shared" si="41"/>
        <v>0</v>
      </c>
      <c r="N308" s="2" t="e">
        <f t="shared" si="42"/>
        <v>#DIV/0!</v>
      </c>
      <c r="O308" s="130" t="e">
        <f t="shared" si="43"/>
        <v>#DIV/0!</v>
      </c>
      <c r="P308" s="443" t="e">
        <f t="shared" si="44"/>
        <v>#DIV/0!</v>
      </c>
      <c r="Q308" s="126"/>
    </row>
    <row r="309" spans="1:17" x14ac:dyDescent="0.25">
      <c r="A309" s="49">
        <f>+'A) Base RI'!A311</f>
        <v>5934</v>
      </c>
      <c r="B309" s="293" t="str">
        <f>+'A) Base RI'!B311</f>
        <v>Valeyres-sous-Ursins</v>
      </c>
      <c r="C309" s="305">
        <f>+'D) Ecrêtage'!C309</f>
        <v>7577.3788607594925</v>
      </c>
      <c r="D309" s="444"/>
      <c r="E309" s="446"/>
      <c r="F309" s="444"/>
      <c r="G309" s="305">
        <f t="shared" si="36"/>
        <v>0</v>
      </c>
      <c r="H309" s="285">
        <f t="shared" si="37"/>
        <v>60619.03088607594</v>
      </c>
      <c r="I309" s="10">
        <f t="shared" si="38"/>
        <v>0</v>
      </c>
      <c r="J309" s="302" t="e">
        <f t="shared" si="39"/>
        <v>#DIV/0!</v>
      </c>
      <c r="K309" s="448"/>
      <c r="L309" s="10">
        <f t="shared" si="40"/>
        <v>7577.3788607594925</v>
      </c>
      <c r="M309" s="14">
        <f t="shared" si="41"/>
        <v>0</v>
      </c>
      <c r="N309" s="2" t="e">
        <f t="shared" si="42"/>
        <v>#DIV/0!</v>
      </c>
      <c r="O309" s="130" t="e">
        <f t="shared" si="43"/>
        <v>#DIV/0!</v>
      </c>
      <c r="P309" s="443" t="e">
        <f t="shared" si="44"/>
        <v>#DIV/0!</v>
      </c>
      <c r="Q309" s="126"/>
    </row>
    <row r="310" spans="1:17" x14ac:dyDescent="0.25">
      <c r="A310" s="49">
        <f>+'A) Base RI'!A312</f>
        <v>5935</v>
      </c>
      <c r="B310" s="293" t="str">
        <f>+'A) Base RI'!B312</f>
        <v>Villars-Epeney</v>
      </c>
      <c r="C310" s="305">
        <f>+'D) Ecrêtage'!C310</f>
        <v>3912.8696666666669</v>
      </c>
      <c r="D310" s="444"/>
      <c r="E310" s="446"/>
      <c r="F310" s="444"/>
      <c r="G310" s="305">
        <f t="shared" si="36"/>
        <v>0</v>
      </c>
      <c r="H310" s="285">
        <f t="shared" si="37"/>
        <v>31302.957333333336</v>
      </c>
      <c r="I310" s="10">
        <f t="shared" si="38"/>
        <v>0</v>
      </c>
      <c r="J310" s="302" t="e">
        <f t="shared" si="39"/>
        <v>#DIV/0!</v>
      </c>
      <c r="K310" s="448"/>
      <c r="L310" s="10">
        <f t="shared" si="40"/>
        <v>3912.8696666666669</v>
      </c>
      <c r="M310" s="14">
        <f t="shared" si="41"/>
        <v>0</v>
      </c>
      <c r="N310" s="2" t="e">
        <f t="shared" si="42"/>
        <v>#DIV/0!</v>
      </c>
      <c r="O310" s="130" t="e">
        <f t="shared" si="43"/>
        <v>#DIV/0!</v>
      </c>
      <c r="P310" s="443" t="e">
        <f t="shared" si="44"/>
        <v>#DIV/0!</v>
      </c>
      <c r="Q310" s="126"/>
    </row>
    <row r="311" spans="1:17" x14ac:dyDescent="0.25">
      <c r="A311" s="49">
        <f>+'A) Base RI'!A313</f>
        <v>5937</v>
      </c>
      <c r="B311" s="293" t="str">
        <f>+'A) Base RI'!B313</f>
        <v>Vugelles-La Mothe</v>
      </c>
      <c r="C311" s="305">
        <f>+'D) Ecrêtage'!C311</f>
        <v>3187.6957755102044</v>
      </c>
      <c r="D311" s="444"/>
      <c r="E311" s="446"/>
      <c r="F311" s="444"/>
      <c r="G311" s="305">
        <f t="shared" si="36"/>
        <v>0</v>
      </c>
      <c r="H311" s="285">
        <f t="shared" si="37"/>
        <v>25501.566204081635</v>
      </c>
      <c r="I311" s="10">
        <f t="shared" si="38"/>
        <v>0</v>
      </c>
      <c r="J311" s="302" t="e">
        <f t="shared" si="39"/>
        <v>#DIV/0!</v>
      </c>
      <c r="K311" s="448"/>
      <c r="L311" s="10">
        <f t="shared" si="40"/>
        <v>3187.6957755102044</v>
      </c>
      <c r="M311" s="14">
        <f t="shared" si="41"/>
        <v>0</v>
      </c>
      <c r="N311" s="2" t="e">
        <f t="shared" si="42"/>
        <v>#DIV/0!</v>
      </c>
      <c r="O311" s="130" t="e">
        <f t="shared" si="43"/>
        <v>#DIV/0!</v>
      </c>
      <c r="P311" s="443" t="e">
        <f t="shared" si="44"/>
        <v>#DIV/0!</v>
      </c>
      <c r="Q311" s="126"/>
    </row>
    <row r="312" spans="1:17" x14ac:dyDescent="0.25">
      <c r="A312" s="49">
        <f>+'A) Base RI'!A314</f>
        <v>5938</v>
      </c>
      <c r="B312" s="293" t="str">
        <f>+'A) Base RI'!B314</f>
        <v>Yverdon-les-Bains</v>
      </c>
      <c r="C312" s="305">
        <f>+'D) Ecrêtage'!C312</f>
        <v>796551.402</v>
      </c>
      <c r="D312" s="444"/>
      <c r="E312" s="446"/>
      <c r="F312" s="444"/>
      <c r="G312" s="305">
        <f t="shared" si="36"/>
        <v>0</v>
      </c>
      <c r="H312" s="285">
        <f t="shared" si="37"/>
        <v>6372411.216</v>
      </c>
      <c r="I312" s="10">
        <f t="shared" si="38"/>
        <v>0</v>
      </c>
      <c r="J312" s="302" t="e">
        <f t="shared" si="39"/>
        <v>#DIV/0!</v>
      </c>
      <c r="K312" s="448"/>
      <c r="L312" s="10">
        <f t="shared" si="40"/>
        <v>796551.402</v>
      </c>
      <c r="M312" s="14">
        <f t="shared" si="41"/>
        <v>0</v>
      </c>
      <c r="N312" s="2" t="e">
        <f t="shared" si="42"/>
        <v>#DIV/0!</v>
      </c>
      <c r="O312" s="130" t="e">
        <f t="shared" si="43"/>
        <v>#DIV/0!</v>
      </c>
      <c r="P312" s="443" t="e">
        <f t="shared" si="44"/>
        <v>#DIV/0!</v>
      </c>
      <c r="Q312" s="126"/>
    </row>
    <row r="313" spans="1:17" x14ac:dyDescent="0.25">
      <c r="A313" s="49">
        <f>+'A) Base RI'!A315</f>
        <v>5939</v>
      </c>
      <c r="B313" s="293" t="str">
        <f>+'A) Base RI'!B315</f>
        <v>Yvonand</v>
      </c>
      <c r="C313" s="305">
        <f>+'D) Ecrêtage'!C313</f>
        <v>92890.042937062928</v>
      </c>
      <c r="D313" s="444"/>
      <c r="E313" s="446"/>
      <c r="F313" s="444"/>
      <c r="G313" s="305">
        <f t="shared" si="36"/>
        <v>0</v>
      </c>
      <c r="H313" s="285">
        <f t="shared" si="37"/>
        <v>743120.34349650342</v>
      </c>
      <c r="I313" s="10">
        <f t="shared" si="38"/>
        <v>0</v>
      </c>
      <c r="J313" s="302" t="e">
        <f t="shared" si="39"/>
        <v>#DIV/0!</v>
      </c>
      <c r="K313" s="450"/>
      <c r="L313" s="18">
        <f t="shared" si="40"/>
        <v>92890.042937062928</v>
      </c>
      <c r="M313" s="70">
        <f t="shared" si="41"/>
        <v>0</v>
      </c>
      <c r="N313" s="131" t="e">
        <f t="shared" si="42"/>
        <v>#DIV/0!</v>
      </c>
      <c r="O313" s="132" t="e">
        <f t="shared" si="43"/>
        <v>#DIV/0!</v>
      </c>
      <c r="P313" s="443" t="e">
        <f t="shared" si="44"/>
        <v>#DIV/0!</v>
      </c>
      <c r="Q313" s="126"/>
    </row>
    <row r="314" spans="1:17" x14ac:dyDescent="0.25">
      <c r="A314" s="78"/>
      <c r="B314" s="299">
        <f>COUNTA(B5:B313)</f>
        <v>309</v>
      </c>
      <c r="C314" s="11">
        <f t="shared" ref="C314:N314" si="45">SUM(C5:C313)</f>
        <v>39275450.163217418</v>
      </c>
      <c r="D314" s="300">
        <f t="shared" si="45"/>
        <v>0</v>
      </c>
      <c r="E314" s="11">
        <f t="shared" si="45"/>
        <v>0</v>
      </c>
      <c r="F314" s="300">
        <f t="shared" si="45"/>
        <v>0</v>
      </c>
      <c r="G314" s="11">
        <f t="shared" si="45"/>
        <v>0</v>
      </c>
      <c r="H314" s="300">
        <f t="shared" si="45"/>
        <v>314203601.30573934</v>
      </c>
      <c r="I314" s="11">
        <f t="shared" si="45"/>
        <v>0</v>
      </c>
      <c r="J314" s="303" t="e">
        <f t="shared" si="45"/>
        <v>#DIV/0!</v>
      </c>
      <c r="K314" s="119">
        <f t="shared" si="45"/>
        <v>0</v>
      </c>
      <c r="L314" s="18">
        <f t="shared" si="45"/>
        <v>39275450.163217418</v>
      </c>
      <c r="M314" s="11">
        <f t="shared" si="45"/>
        <v>0</v>
      </c>
      <c r="N314" s="131" t="e">
        <f t="shared" si="45"/>
        <v>#DIV/0!</v>
      </c>
      <c r="O314" s="37">
        <f>-L314*4.5</f>
        <v>-176739525.73447838</v>
      </c>
      <c r="P314" s="19">
        <f>O314/'D) Ecrêtage'!C314</f>
        <v>-4.5</v>
      </c>
    </row>
    <row r="320" spans="1:17" x14ac:dyDescent="0.25">
      <c r="G320" s="405"/>
    </row>
  </sheetData>
  <mergeCells count="10">
    <mergeCell ref="D3:D4"/>
    <mergeCell ref="C3:C4"/>
    <mergeCell ref="B3:B4"/>
    <mergeCell ref="A3:A4"/>
    <mergeCell ref="L3:L4"/>
    <mergeCell ref="K3:K4"/>
    <mergeCell ref="H3:H4"/>
    <mergeCell ref="G3:G4"/>
    <mergeCell ref="F3:F4"/>
    <mergeCell ref="E3:E4"/>
  </mergeCells>
  <phoneticPr fontId="0" type="noConversion"/>
  <printOptions horizontalCentered="1"/>
  <pageMargins left="0" right="0" top="0" bottom="0" header="0.51181102362204722" footer="0.51181102362204722"/>
  <pageSetup paperSize="9" scale="64" orientation="landscape" horizontalDpi="1200" verticalDpi="12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3">
    <tabColor rgb="FF00B050"/>
  </sheetPr>
  <dimension ref="A1:Z320"/>
  <sheetViews>
    <sheetView workbookViewId="0">
      <pane ySplit="4" topLeftCell="A291" activePane="bottomLeft" state="frozen"/>
      <selection pane="bottomLeft" activeCell="G313" sqref="G313"/>
    </sheetView>
  </sheetViews>
  <sheetFormatPr baseColWidth="10" defaultColWidth="10.75" defaultRowHeight="15" x14ac:dyDescent="0.25"/>
  <cols>
    <col min="1" max="1" width="7.25" style="13" customWidth="1"/>
    <col min="2" max="2" width="19.875" style="13" customWidth="1"/>
    <col min="3" max="3" width="10" style="13" customWidth="1"/>
    <col min="4" max="4" width="13.75" style="13" customWidth="1"/>
    <col min="5" max="5" width="11.125" style="13" customWidth="1"/>
    <col min="6" max="6" width="10" style="13" customWidth="1"/>
    <col min="7" max="7" width="10.75" style="13" customWidth="1"/>
    <col min="8" max="8" width="15.125" style="414" customWidth="1"/>
    <col min="9" max="9" width="10" style="139" customWidth="1"/>
    <col min="10" max="10" width="11.75" style="13" customWidth="1"/>
    <col min="11" max="11" width="10" style="15" customWidth="1"/>
    <col min="12" max="12" width="12.125" style="15" customWidth="1"/>
    <col min="13" max="15" width="12.125" style="13" customWidth="1"/>
    <col min="16" max="18" width="8.125" style="13" customWidth="1"/>
    <col min="19" max="16384" width="10.75" style="13"/>
  </cols>
  <sheetData>
    <row r="1" spans="1:26" s="43" customFormat="1" ht="21" x14ac:dyDescent="0.25">
      <c r="A1" s="51" t="s">
        <v>211</v>
      </c>
      <c r="B1" s="42"/>
      <c r="C1" s="68"/>
      <c r="D1" s="68"/>
      <c r="E1" s="68"/>
      <c r="F1" s="68"/>
      <c r="G1" s="68"/>
      <c r="H1" s="418"/>
      <c r="I1" s="138"/>
      <c r="J1" s="68"/>
      <c r="K1" s="133"/>
      <c r="L1" s="134"/>
      <c r="M1" s="56"/>
      <c r="O1" s="13"/>
      <c r="P1" s="13"/>
      <c r="Q1" s="13"/>
      <c r="R1" s="13"/>
      <c r="S1" s="13"/>
      <c r="Z1" s="13"/>
    </row>
    <row r="3" spans="1:26" ht="30" customHeight="1" x14ac:dyDescent="0.25">
      <c r="A3" s="582" t="s">
        <v>46</v>
      </c>
      <c r="B3" s="582" t="s">
        <v>96</v>
      </c>
      <c r="C3" s="582" t="s">
        <v>371</v>
      </c>
      <c r="D3" s="582" t="s">
        <v>93</v>
      </c>
      <c r="E3" s="582" t="s">
        <v>328</v>
      </c>
      <c r="F3" s="582" t="s">
        <v>369</v>
      </c>
      <c r="G3" s="609" t="s">
        <v>358</v>
      </c>
      <c r="H3" s="582" t="s">
        <v>551</v>
      </c>
      <c r="I3" s="140" t="s">
        <v>146</v>
      </c>
      <c r="J3" s="607" t="s">
        <v>372</v>
      </c>
      <c r="K3" s="614" t="s">
        <v>340</v>
      </c>
    </row>
    <row r="4" spans="1:26" x14ac:dyDescent="0.25">
      <c r="A4" s="584"/>
      <c r="B4" s="583"/>
      <c r="C4" s="584"/>
      <c r="D4" s="583"/>
      <c r="E4" s="584"/>
      <c r="F4" s="583"/>
      <c r="G4" s="621"/>
      <c r="H4" s="584"/>
      <c r="I4" s="440">
        <f>Paramètres!B47</f>
        <v>48</v>
      </c>
      <c r="J4" s="620"/>
      <c r="K4" s="619"/>
    </row>
    <row r="5" spans="1:26" x14ac:dyDescent="0.25">
      <c r="A5" s="46">
        <f>'A) Base RI'!A7</f>
        <v>5401</v>
      </c>
      <c r="B5" s="293" t="str">
        <f>'A) Base RI'!B7</f>
        <v>Aigle</v>
      </c>
      <c r="C5" s="94">
        <f>'B) D RI'!U7</f>
        <v>284723.80196969694</v>
      </c>
      <c r="D5" s="419">
        <f>'E) Fact soc'!G11/C5</f>
        <v>17.380128136873143</v>
      </c>
      <c r="E5" s="135">
        <f>'H) Péréquation directe'!I16/C5</f>
        <v>-13.203058668777613</v>
      </c>
      <c r="F5" s="110"/>
      <c r="G5" s="135">
        <f>SUM(D5:F5)</f>
        <v>4.1770694680955298</v>
      </c>
      <c r="H5" s="420">
        <f>G5-'C) Prél. conj.'!I5</f>
        <v>0.32555430703880628</v>
      </c>
      <c r="I5" s="424">
        <f t="shared" ref="I5" si="0">IF(H5&gt;I$4,I$4-H5,0)</f>
        <v>0</v>
      </c>
      <c r="J5" s="100">
        <f>I5*C5</f>
        <v>0</v>
      </c>
      <c r="K5" s="420">
        <f>H5+I5</f>
        <v>0.32555430703880628</v>
      </c>
    </row>
    <row r="6" spans="1:26" x14ac:dyDescent="0.25">
      <c r="A6" s="49">
        <f>'A) Base RI'!A8</f>
        <v>5402</v>
      </c>
      <c r="B6" s="293" t="str">
        <f>'A) Base RI'!B8</f>
        <v>Bex</v>
      </c>
      <c r="C6" s="95">
        <f>'B) D RI'!U8</f>
        <v>179259.20338028169</v>
      </c>
      <c r="D6" s="419">
        <f>'E) Fact soc'!G12/C6</f>
        <v>16.978521032632131</v>
      </c>
      <c r="E6" s="136">
        <f>'H) Péréquation directe'!I17/C6</f>
        <v>-22.173550481708659</v>
      </c>
      <c r="F6" s="110"/>
      <c r="G6" s="136">
        <f t="shared" ref="G6:G69" si="1">SUM(D6:F6)</f>
        <v>-5.1950294490765287</v>
      </c>
      <c r="H6" s="420">
        <f>G6-'C) Prél. conj.'!I6</f>
        <v>-8.6449375058922406</v>
      </c>
      <c r="I6" s="424">
        <f t="shared" ref="I6:I69" si="2">IF(H6&gt;I$4,I$4-H6,0)</f>
        <v>0</v>
      </c>
      <c r="J6" s="55">
        <f t="shared" ref="J6:J69" si="3">I6*C6</f>
        <v>0</v>
      </c>
      <c r="K6" s="420">
        <f t="shared" ref="K6:K69" si="4">H6+I6</f>
        <v>-8.6449375058922406</v>
      </c>
    </row>
    <row r="7" spans="1:26" x14ac:dyDescent="0.25">
      <c r="A7" s="49">
        <f>'A) Base RI'!A9</f>
        <v>5403</v>
      </c>
      <c r="B7" s="293" t="str">
        <f>'A) Base RI'!B9</f>
        <v>Chessel</v>
      </c>
      <c r="C7" s="95">
        <f>'B) D RI'!U9</f>
        <v>10797.740270270273</v>
      </c>
      <c r="D7" s="419">
        <f>'E) Fact soc'!G13/C7</f>
        <v>18.968322445558073</v>
      </c>
      <c r="E7" s="136">
        <f>'H) Péréquation directe'!I18/C7</f>
        <v>-7.0123397606164186</v>
      </c>
      <c r="F7" s="110"/>
      <c r="G7" s="136">
        <f t="shared" si="1"/>
        <v>11.955982684941654</v>
      </c>
      <c r="H7" s="420">
        <f>G7-'C) Prél. conj.'!I7</f>
        <v>6.5162732152000009</v>
      </c>
      <c r="I7" s="424">
        <f t="shared" si="2"/>
        <v>0</v>
      </c>
      <c r="J7" s="55">
        <f t="shared" si="3"/>
        <v>0</v>
      </c>
      <c r="K7" s="420">
        <f t="shared" si="4"/>
        <v>6.5162732152000009</v>
      </c>
    </row>
    <row r="8" spans="1:26" x14ac:dyDescent="0.25">
      <c r="A8" s="49">
        <f>'A) Base RI'!A10</f>
        <v>5404</v>
      </c>
      <c r="B8" s="293" t="str">
        <f>'A) Base RI'!B10</f>
        <v>Corbeyrier</v>
      </c>
      <c r="C8" s="95">
        <f>'B) D RI'!U10</f>
        <v>11267.87027027027</v>
      </c>
      <c r="D8" s="419">
        <f>'E) Fact soc'!G14/C8</f>
        <v>18.889674875808552</v>
      </c>
      <c r="E8" s="136">
        <f>'H) Péréquation directe'!I19/C8</f>
        <v>-5.0887749267219444</v>
      </c>
      <c r="F8" s="110"/>
      <c r="G8" s="136">
        <f t="shared" si="1"/>
        <v>13.800899949086608</v>
      </c>
      <c r="H8" s="420">
        <f>G8-'C) Prél. conj.'!I8</f>
        <v>8.439838049094476</v>
      </c>
      <c r="I8" s="424">
        <f t="shared" si="2"/>
        <v>0</v>
      </c>
      <c r="J8" s="55">
        <f t="shared" si="3"/>
        <v>0</v>
      </c>
      <c r="K8" s="420">
        <f t="shared" si="4"/>
        <v>8.439838049094476</v>
      </c>
    </row>
    <row r="9" spans="1:26" x14ac:dyDescent="0.25">
      <c r="A9" s="49">
        <f>'A) Base RI'!A11</f>
        <v>5405</v>
      </c>
      <c r="B9" s="293" t="str">
        <f>'A) Base RI'!B11</f>
        <v>Gryon</v>
      </c>
      <c r="C9" s="95">
        <f>'B) D RI'!U11</f>
        <v>68185.794013605453</v>
      </c>
      <c r="D9" s="419">
        <f>'E) Fact soc'!G15/C9</f>
        <v>20.117690299369016</v>
      </c>
      <c r="E9" s="136">
        <f>'H) Péréquation directe'!I20/C9</f>
        <v>15.892621960544634</v>
      </c>
      <c r="F9" s="110"/>
      <c r="G9" s="136">
        <f t="shared" si="1"/>
        <v>36.010312259913647</v>
      </c>
      <c r="H9" s="420">
        <f>G9-'C) Prél. conj.'!I9</f>
        <v>29.81002411901963</v>
      </c>
      <c r="I9" s="424">
        <f t="shared" si="2"/>
        <v>0</v>
      </c>
      <c r="J9" s="55">
        <f t="shared" si="3"/>
        <v>0</v>
      </c>
      <c r="K9" s="420">
        <f t="shared" si="4"/>
        <v>29.81002411901963</v>
      </c>
    </row>
    <row r="10" spans="1:26" x14ac:dyDescent="0.25">
      <c r="A10" s="49">
        <f>'A) Base RI'!A12</f>
        <v>5406</v>
      </c>
      <c r="B10" s="293" t="str">
        <f>'A) Base RI'!B12</f>
        <v>Lavey-Morcles</v>
      </c>
      <c r="C10" s="95">
        <f>'B) D RI'!U12</f>
        <v>21842.545067240455</v>
      </c>
      <c r="D10" s="419">
        <f>'E) Fact soc'!G16/C10</f>
        <v>18.346570758484987</v>
      </c>
      <c r="E10" s="136">
        <f>'H) Péréquation directe'!I21/C10</f>
        <v>-7.9147429206127802</v>
      </c>
      <c r="F10" s="110"/>
      <c r="G10" s="136">
        <f t="shared" si="1"/>
        <v>10.431827837872206</v>
      </c>
      <c r="H10" s="420">
        <f>G10-'C) Prél. conj.'!I10</f>
        <v>5.6138700552036411</v>
      </c>
      <c r="I10" s="424">
        <f t="shared" si="2"/>
        <v>0</v>
      </c>
      <c r="J10" s="55">
        <f t="shared" si="3"/>
        <v>0</v>
      </c>
      <c r="K10" s="420">
        <f t="shared" si="4"/>
        <v>5.6138700552036411</v>
      </c>
    </row>
    <row r="11" spans="1:26" x14ac:dyDescent="0.25">
      <c r="A11" s="49">
        <f>'A) Base RI'!A13</f>
        <v>5407</v>
      </c>
      <c r="B11" s="293" t="str">
        <f>'A) Base RI'!B13</f>
        <v>Leysin</v>
      </c>
      <c r="C11" s="95">
        <f>'B) D RI'!U13</f>
        <v>90407.62790598291</v>
      </c>
      <c r="D11" s="419">
        <f>'E) Fact soc'!G17/C11</f>
        <v>17.88861211670655</v>
      </c>
      <c r="E11" s="136">
        <f>'H) Péréquation directe'!I22/C11</f>
        <v>-15.953318905326539</v>
      </c>
      <c r="F11" s="110"/>
      <c r="G11" s="136">
        <f t="shared" si="1"/>
        <v>1.9352932113800119</v>
      </c>
      <c r="H11" s="420">
        <f>G11-'C) Prél. conj.'!I11</f>
        <v>-2.4247059295101181</v>
      </c>
      <c r="I11" s="424">
        <f t="shared" si="2"/>
        <v>0</v>
      </c>
      <c r="J11" s="55">
        <f t="shared" si="3"/>
        <v>0</v>
      </c>
      <c r="K11" s="420">
        <f t="shared" si="4"/>
        <v>-2.4247059295101181</v>
      </c>
    </row>
    <row r="12" spans="1:26" x14ac:dyDescent="0.25">
      <c r="A12" s="49">
        <f>'A) Base RI'!A14</f>
        <v>5408</v>
      </c>
      <c r="B12" s="293" t="str">
        <f>'A) Base RI'!B14</f>
        <v>Noville</v>
      </c>
      <c r="C12" s="95">
        <f>'B) D RI'!U14</f>
        <v>43840.045520169842</v>
      </c>
      <c r="D12" s="419">
        <f>'E) Fact soc'!G18/C12</f>
        <v>17.040867198480456</v>
      </c>
      <c r="E12" s="136">
        <f>'H) Péréquation directe'!I23/C12</f>
        <v>8.3992537339725395</v>
      </c>
      <c r="F12" s="110"/>
      <c r="G12" s="136">
        <f t="shared" si="1"/>
        <v>25.440120932452995</v>
      </c>
      <c r="H12" s="420">
        <f>G12-'C) Prél. conj.'!I12</f>
        <v>21.927866709788962</v>
      </c>
      <c r="I12" s="424">
        <f t="shared" si="2"/>
        <v>0</v>
      </c>
      <c r="J12" s="55">
        <f t="shared" si="3"/>
        <v>0</v>
      </c>
      <c r="K12" s="420">
        <f t="shared" si="4"/>
        <v>21.927866709788962</v>
      </c>
    </row>
    <row r="13" spans="1:26" x14ac:dyDescent="0.25">
      <c r="A13" s="49">
        <f>'A) Base RI'!A15</f>
        <v>5409</v>
      </c>
      <c r="B13" s="293" t="str">
        <f>'A) Base RI'!B15</f>
        <v>Ollon</v>
      </c>
      <c r="C13" s="95">
        <f>'B) D RI'!U15</f>
        <v>389186.78990950214</v>
      </c>
      <c r="D13" s="419">
        <f>'E) Fact soc'!G19/C13</f>
        <v>18.770173403643572</v>
      </c>
      <c r="E13" s="136">
        <f>'H) Péréquation directe'!I24/C13</f>
        <v>10.956147727792912</v>
      </c>
      <c r="F13" s="110"/>
      <c r="G13" s="136">
        <f t="shared" si="1"/>
        <v>29.726321131436485</v>
      </c>
      <c r="H13" s="420">
        <f>G13-'C) Prél. conj.'!I13</f>
        <v>25.233767246432919</v>
      </c>
      <c r="I13" s="424">
        <f t="shared" si="2"/>
        <v>0</v>
      </c>
      <c r="J13" s="55">
        <f t="shared" si="3"/>
        <v>0</v>
      </c>
      <c r="K13" s="420">
        <f t="shared" si="4"/>
        <v>25.233767246432919</v>
      </c>
    </row>
    <row r="14" spans="1:26" x14ac:dyDescent="0.25">
      <c r="A14" s="49">
        <f>'A) Base RI'!A16</f>
        <v>5410</v>
      </c>
      <c r="B14" s="293" t="str">
        <f>'A) Base RI'!B16</f>
        <v>Ormont-Dessous</v>
      </c>
      <c r="C14" s="95">
        <f>'B) D RI'!U16</f>
        <v>39522.545108225109</v>
      </c>
      <c r="D14" s="419">
        <f>'E) Fact soc'!G20/C14</f>
        <v>19.084861805406579</v>
      </c>
      <c r="E14" s="136">
        <f>'H) Péréquation directe'!I25/C14</f>
        <v>4.4919029471112779</v>
      </c>
      <c r="F14" s="110"/>
      <c r="G14" s="136">
        <f t="shared" si="1"/>
        <v>23.576764752517857</v>
      </c>
      <c r="H14" s="420">
        <f>G14-'C) Prél. conj.'!I14</f>
        <v>18.0205159229277</v>
      </c>
      <c r="I14" s="424">
        <f t="shared" si="2"/>
        <v>0</v>
      </c>
      <c r="J14" s="55">
        <f t="shared" si="3"/>
        <v>0</v>
      </c>
      <c r="K14" s="420">
        <f t="shared" si="4"/>
        <v>18.0205159229277</v>
      </c>
    </row>
    <row r="15" spans="1:26" x14ac:dyDescent="0.25">
      <c r="A15" s="49">
        <f>'A) Base RI'!A17</f>
        <v>5411</v>
      </c>
      <c r="B15" s="293" t="str">
        <f>'A) Base RI'!B17</f>
        <v>Ormont-Dessus</v>
      </c>
      <c r="C15" s="95">
        <f>'B) D RI'!U17</f>
        <v>68049.385526315804</v>
      </c>
      <c r="D15" s="419">
        <f>'E) Fact soc'!G21/C15</f>
        <v>20.336765781558331</v>
      </c>
      <c r="E15" s="136">
        <f>'H) Péréquation directe'!I26/C15</f>
        <v>14.560195529710629</v>
      </c>
      <c r="F15" s="110"/>
      <c r="G15" s="136">
        <f t="shared" si="1"/>
        <v>34.89696131126896</v>
      </c>
      <c r="H15" s="420">
        <f>G15-'C) Prél. conj.'!I15</f>
        <v>28.088808505527048</v>
      </c>
      <c r="I15" s="424">
        <f t="shared" si="2"/>
        <v>0</v>
      </c>
      <c r="J15" s="55">
        <f t="shared" si="3"/>
        <v>0</v>
      </c>
      <c r="K15" s="420">
        <f t="shared" si="4"/>
        <v>28.088808505527048</v>
      </c>
    </row>
    <row r="16" spans="1:26" x14ac:dyDescent="0.25">
      <c r="A16" s="49">
        <f>'A) Base RI'!A18</f>
        <v>5412</v>
      </c>
      <c r="B16" s="293" t="str">
        <f>'A) Base RI'!B18</f>
        <v>Rennaz</v>
      </c>
      <c r="C16" s="95">
        <f>'B) D RI'!U18</f>
        <v>24267.759710144928</v>
      </c>
      <c r="D16" s="419">
        <f>'E) Fact soc'!G22/C16</f>
        <v>26.013329472879121</v>
      </c>
      <c r="E16" s="136">
        <f>'H) Péréquation directe'!I27/C16</f>
        <v>0.48628269025707055</v>
      </c>
      <c r="F16" s="110"/>
      <c r="G16" s="136">
        <f t="shared" si="1"/>
        <v>26.499612163136192</v>
      </c>
      <c r="H16" s="420">
        <f>G16-'C) Prél. conj.'!I16</f>
        <v>14.014895666073489</v>
      </c>
      <c r="I16" s="424">
        <f t="shared" si="2"/>
        <v>0</v>
      </c>
      <c r="J16" s="55">
        <f t="shared" si="3"/>
        <v>0</v>
      </c>
      <c r="K16" s="420">
        <f t="shared" si="4"/>
        <v>14.014895666073489</v>
      </c>
    </row>
    <row r="17" spans="1:11" x14ac:dyDescent="0.25">
      <c r="A17" s="49">
        <f>'A) Base RI'!A19</f>
        <v>5413</v>
      </c>
      <c r="B17" s="293" t="str">
        <f>'A) Base RI'!B19</f>
        <v>Roche</v>
      </c>
      <c r="C17" s="95">
        <f>'B) D RI'!U19</f>
        <v>48007.468357843129</v>
      </c>
      <c r="D17" s="419">
        <f>'E) Fact soc'!G23/C17</f>
        <v>18.169523288755276</v>
      </c>
      <c r="E17" s="136">
        <f>'H) Péréquation directe'!I28/C17</f>
        <v>-5.446695461216648</v>
      </c>
      <c r="F17" s="110"/>
      <c r="G17" s="136">
        <f t="shared" si="1"/>
        <v>12.722827827538627</v>
      </c>
      <c r="H17" s="420">
        <f>G17-'C) Prél. conj.'!I17</f>
        <v>8.0819175145997697</v>
      </c>
      <c r="I17" s="424">
        <f t="shared" si="2"/>
        <v>0</v>
      </c>
      <c r="J17" s="55">
        <f t="shared" si="3"/>
        <v>0</v>
      </c>
      <c r="K17" s="420">
        <f t="shared" si="4"/>
        <v>8.0819175145997697</v>
      </c>
    </row>
    <row r="18" spans="1:11" x14ac:dyDescent="0.25">
      <c r="A18" s="49">
        <f>'A) Base RI'!A20</f>
        <v>5414</v>
      </c>
      <c r="B18" s="293" t="str">
        <f>'A) Base RI'!B20</f>
        <v>Villeneuve</v>
      </c>
      <c r="C18" s="95">
        <f>'B) D RI'!U20</f>
        <v>159468.65911111108</v>
      </c>
      <c r="D18" s="419">
        <f>'E) Fact soc'!G24/C18</f>
        <v>19.047279746487735</v>
      </c>
      <c r="E18" s="136">
        <f>'H) Péréquation directe'!I29/C18</f>
        <v>-8.7927079161565427</v>
      </c>
      <c r="F18" s="110"/>
      <c r="G18" s="136">
        <f t="shared" si="1"/>
        <v>10.254571830331193</v>
      </c>
      <c r="H18" s="420">
        <f>G18-'C) Prél. conj.'!I18</f>
        <v>4.7359050596598786</v>
      </c>
      <c r="I18" s="424">
        <f t="shared" si="2"/>
        <v>0</v>
      </c>
      <c r="J18" s="55">
        <f t="shared" si="3"/>
        <v>0</v>
      </c>
      <c r="K18" s="420">
        <f t="shared" si="4"/>
        <v>4.7359050596598786</v>
      </c>
    </row>
    <row r="19" spans="1:11" x14ac:dyDescent="0.25">
      <c r="A19" s="49">
        <f>'A) Base RI'!A21</f>
        <v>5415</v>
      </c>
      <c r="B19" s="293" t="str">
        <f>'A) Base RI'!B21</f>
        <v>Yvorne</v>
      </c>
      <c r="C19" s="95">
        <f>'B) D RI'!U21</f>
        <v>38155.020093240091</v>
      </c>
      <c r="D19" s="419">
        <f>'E) Fact soc'!G25/C19</f>
        <v>18.332711219037506</v>
      </c>
      <c r="E19" s="136">
        <f>'H) Péréquation directe'!I30/C19</f>
        <v>8.551090200836402</v>
      </c>
      <c r="F19" s="110"/>
      <c r="G19" s="136">
        <f t="shared" si="1"/>
        <v>26.883801419873908</v>
      </c>
      <c r="H19" s="420">
        <f>G19-'C) Prél. conj.'!I19</f>
        <v>22.079703176652821</v>
      </c>
      <c r="I19" s="424">
        <f t="shared" si="2"/>
        <v>0</v>
      </c>
      <c r="J19" s="55">
        <f t="shared" si="3"/>
        <v>0</v>
      </c>
      <c r="K19" s="420">
        <f t="shared" si="4"/>
        <v>22.079703176652821</v>
      </c>
    </row>
    <row r="20" spans="1:11" x14ac:dyDescent="0.25">
      <c r="A20" s="49">
        <f>'A) Base RI'!A22</f>
        <v>5421</v>
      </c>
      <c r="B20" s="293" t="str">
        <f>'A) Base RI'!B22</f>
        <v>Apples</v>
      </c>
      <c r="C20" s="95">
        <f>'B) D RI'!U22</f>
        <v>66313.601621621623</v>
      </c>
      <c r="D20" s="419">
        <f>'E) Fact soc'!G26/C20</f>
        <v>15.070691109100284</v>
      </c>
      <c r="E20" s="136">
        <f>'H) Péréquation directe'!I31/C20</f>
        <v>14.089712966120365</v>
      </c>
      <c r="F20" s="110"/>
      <c r="G20" s="136">
        <f t="shared" si="1"/>
        <v>29.160404075220647</v>
      </c>
      <c r="H20" s="420">
        <f>G20-'C) Prél. conj.'!I20</f>
        <v>27.618325941936785</v>
      </c>
      <c r="I20" s="424">
        <f t="shared" si="2"/>
        <v>0</v>
      </c>
      <c r="J20" s="55">
        <f t="shared" si="3"/>
        <v>0</v>
      </c>
      <c r="K20" s="420">
        <f t="shared" si="4"/>
        <v>27.618325941936785</v>
      </c>
    </row>
    <row r="21" spans="1:11" x14ac:dyDescent="0.25">
      <c r="A21" s="49">
        <f>'A) Base RI'!A23</f>
        <v>5422</v>
      </c>
      <c r="B21" s="293" t="str">
        <f>'A) Base RI'!B23</f>
        <v>Aubonne</v>
      </c>
      <c r="C21" s="95">
        <f>'B) D RI'!U23</f>
        <v>242388.1994160584</v>
      </c>
      <c r="D21" s="419">
        <f>'E) Fact soc'!G27/C21</f>
        <v>23.590177837910336</v>
      </c>
      <c r="E21" s="136">
        <f>'H) Péréquation directe'!I32/C21</f>
        <v>15.766391974406908</v>
      </c>
      <c r="F21" s="110"/>
      <c r="G21" s="136">
        <f t="shared" si="1"/>
        <v>39.356569812317247</v>
      </c>
      <c r="H21" s="420">
        <f>G21-'C) Prél. conj.'!I21</f>
        <v>35.957346512730268</v>
      </c>
      <c r="I21" s="424">
        <f t="shared" si="2"/>
        <v>0</v>
      </c>
      <c r="J21" s="55">
        <f t="shared" si="3"/>
        <v>0</v>
      </c>
      <c r="K21" s="420">
        <f t="shared" si="4"/>
        <v>35.957346512730268</v>
      </c>
    </row>
    <row r="22" spans="1:11" x14ac:dyDescent="0.25">
      <c r="A22" s="49">
        <f>'A) Base RI'!A24</f>
        <v>5423</v>
      </c>
      <c r="B22" s="293" t="str">
        <f>'A) Base RI'!B24</f>
        <v>Ballens</v>
      </c>
      <c r="C22" s="95">
        <f>'B) D RI'!U24</f>
        <v>17114.745479452053</v>
      </c>
      <c r="D22" s="419">
        <f>'E) Fact soc'!G28/C22</f>
        <v>15.795958993119996</v>
      </c>
      <c r="E22" s="136">
        <f>'H) Péréquation directe'!I33/C22</f>
        <v>3.1237261186644494</v>
      </c>
      <c r="F22" s="110"/>
      <c r="G22" s="136">
        <f t="shared" si="1"/>
        <v>18.919685111784446</v>
      </c>
      <c r="H22" s="420">
        <f>G22-'C) Prél. conj.'!I22</f>
        <v>16.652339094480869</v>
      </c>
      <c r="I22" s="424">
        <f t="shared" si="2"/>
        <v>0</v>
      </c>
      <c r="J22" s="55">
        <f t="shared" si="3"/>
        <v>0</v>
      </c>
      <c r="K22" s="420">
        <f t="shared" si="4"/>
        <v>16.652339094480869</v>
      </c>
    </row>
    <row r="23" spans="1:11" x14ac:dyDescent="0.25">
      <c r="A23" s="49">
        <f>'A) Base RI'!A25</f>
        <v>5424</v>
      </c>
      <c r="B23" s="293" t="str">
        <f>'A) Base RI'!B25</f>
        <v>Berolle</v>
      </c>
      <c r="C23" s="95">
        <f>'B) D RI'!U25</f>
        <v>9114.9769536423846</v>
      </c>
      <c r="D23" s="419">
        <f>'E) Fact soc'!G29/C23</f>
        <v>15.937763334800593</v>
      </c>
      <c r="E23" s="136">
        <f>'H) Péréquation directe'!I34/C23</f>
        <v>0.41616886355041133</v>
      </c>
      <c r="F23" s="110"/>
      <c r="G23" s="136">
        <f t="shared" si="1"/>
        <v>16.353932198351004</v>
      </c>
      <c r="H23" s="420">
        <f>G23-'C) Prél. conj.'!I23</f>
        <v>13.944781839366833</v>
      </c>
      <c r="I23" s="424">
        <f t="shared" si="2"/>
        <v>0</v>
      </c>
      <c r="J23" s="55">
        <f t="shared" si="3"/>
        <v>0</v>
      </c>
      <c r="K23" s="420">
        <f t="shared" si="4"/>
        <v>13.944781839366833</v>
      </c>
    </row>
    <row r="24" spans="1:11" x14ac:dyDescent="0.25">
      <c r="A24" s="49">
        <f>'A) Base RI'!A26</f>
        <v>5425</v>
      </c>
      <c r="B24" s="293" t="str">
        <f>'A) Base RI'!B26</f>
        <v>Bière</v>
      </c>
      <c r="C24" s="95">
        <f>'B) D RI'!U26</f>
        <v>40211.969135432286</v>
      </c>
      <c r="D24" s="419">
        <f>'E) Fact soc'!G30/C24</f>
        <v>17.099436740163679</v>
      </c>
      <c r="E24" s="136">
        <f>'H) Péréquation directe'!I35/C24</f>
        <v>-6.9904386292889482</v>
      </c>
      <c r="F24" s="110"/>
      <c r="G24" s="136">
        <f t="shared" si="1"/>
        <v>10.10899811087473</v>
      </c>
      <c r="H24" s="420">
        <f>G24-'C) Prél. conj.'!I24</f>
        <v>6.5381743465274731</v>
      </c>
      <c r="I24" s="424">
        <f t="shared" si="2"/>
        <v>0</v>
      </c>
      <c r="J24" s="55">
        <f t="shared" si="3"/>
        <v>0</v>
      </c>
      <c r="K24" s="420">
        <f t="shared" si="4"/>
        <v>6.5381743465274731</v>
      </c>
    </row>
    <row r="25" spans="1:11" x14ac:dyDescent="0.25">
      <c r="A25" s="49">
        <f>'A) Base RI'!A27</f>
        <v>5426</v>
      </c>
      <c r="B25" s="293" t="str">
        <f>'A) Base RI'!B27</f>
        <v>Bougy-Villars</v>
      </c>
      <c r="C25" s="95">
        <f>'B) D RI'!U27</f>
        <v>55640.611447028423</v>
      </c>
      <c r="D25" s="419">
        <f>'E) Fact soc'!G31/C25</f>
        <v>30.525237780106675</v>
      </c>
      <c r="E25" s="136">
        <f>'H) Péréquation directe'!I36/C25</f>
        <v>18.572780186737763</v>
      </c>
      <c r="F25" s="110"/>
      <c r="G25" s="136">
        <f t="shared" si="1"/>
        <v>49.098017966844438</v>
      </c>
      <c r="H25" s="420">
        <f>G25-'C) Prél. conj.'!I25</f>
        <v>46.504413381147401</v>
      </c>
      <c r="I25" s="424">
        <f t="shared" si="2"/>
        <v>0</v>
      </c>
      <c r="J25" s="55">
        <f t="shared" si="3"/>
        <v>0</v>
      </c>
      <c r="K25" s="420">
        <f t="shared" si="4"/>
        <v>46.504413381147401</v>
      </c>
    </row>
    <row r="26" spans="1:11" x14ac:dyDescent="0.25">
      <c r="A26" s="49">
        <f>'A) Base RI'!A28</f>
        <v>5427</v>
      </c>
      <c r="B26" s="293" t="str">
        <f>'A) Base RI'!B28</f>
        <v>Féchy</v>
      </c>
      <c r="C26" s="95">
        <f>'B) D RI'!U28</f>
        <v>77020.423605769232</v>
      </c>
      <c r="D26" s="419">
        <f>'E) Fact soc'!G32/C26</f>
        <v>24.108840330783757</v>
      </c>
      <c r="E26" s="136">
        <f>'H) Péréquation directe'!I37/C26</f>
        <v>18.236775545539341</v>
      </c>
      <c r="F26" s="110"/>
      <c r="G26" s="136">
        <f t="shared" si="1"/>
        <v>42.345615876323095</v>
      </c>
      <c r="H26" s="420">
        <f>G26-'C) Prél. conj.'!I26</f>
        <v>41.016228874713164</v>
      </c>
      <c r="I26" s="424">
        <f t="shared" si="2"/>
        <v>0</v>
      </c>
      <c r="J26" s="55">
        <f t="shared" si="3"/>
        <v>0</v>
      </c>
      <c r="K26" s="420">
        <f t="shared" si="4"/>
        <v>41.016228874713164</v>
      </c>
    </row>
    <row r="27" spans="1:11" x14ac:dyDescent="0.25">
      <c r="A27" s="49">
        <f>'A) Base RI'!A29</f>
        <v>5428</v>
      </c>
      <c r="B27" s="293" t="str">
        <f>'A) Base RI'!B29</f>
        <v>Gimel</v>
      </c>
      <c r="C27" s="95">
        <f>'B) D RI'!U29</f>
        <v>70193.222975391502</v>
      </c>
      <c r="D27" s="419">
        <f>'E) Fact soc'!G33/C27</f>
        <v>20.548374487162693</v>
      </c>
      <c r="E27" s="136">
        <f>'H) Péréquation directe'!I38/C27</f>
        <v>-1.5835565414286759</v>
      </c>
      <c r="F27" s="110"/>
      <c r="G27" s="136">
        <f t="shared" si="1"/>
        <v>18.964817945734019</v>
      </c>
      <c r="H27" s="420">
        <f>G27-'C) Prél. conj.'!I27</f>
        <v>11.945056434387748</v>
      </c>
      <c r="I27" s="424">
        <f t="shared" si="2"/>
        <v>0</v>
      </c>
      <c r="J27" s="55">
        <f t="shared" si="3"/>
        <v>0</v>
      </c>
      <c r="K27" s="420">
        <f t="shared" si="4"/>
        <v>11.945056434387748</v>
      </c>
    </row>
    <row r="28" spans="1:11" x14ac:dyDescent="0.25">
      <c r="A28" s="49">
        <f>'A) Base RI'!A30</f>
        <v>5429</v>
      </c>
      <c r="B28" s="293" t="str">
        <f>'A) Base RI'!B30</f>
        <v>Longirod</v>
      </c>
      <c r="C28" s="95">
        <f>'B) D RI'!U30</f>
        <v>16140.77393548387</v>
      </c>
      <c r="D28" s="419">
        <f>'E) Fact soc'!G34/C28</f>
        <v>16.420776027389486</v>
      </c>
      <c r="E28" s="136">
        <f>'H) Péréquation directe'!I39/C28</f>
        <v>4.4097690862861372</v>
      </c>
      <c r="F28" s="110"/>
      <c r="G28" s="136">
        <f t="shared" si="1"/>
        <v>20.830545113675623</v>
      </c>
      <c r="H28" s="420">
        <f>G28-'C) Prél. conj.'!I28</f>
        <v>17.938382062102558</v>
      </c>
      <c r="I28" s="424">
        <f t="shared" si="2"/>
        <v>0</v>
      </c>
      <c r="J28" s="55">
        <f t="shared" si="3"/>
        <v>0</v>
      </c>
      <c r="K28" s="420">
        <f t="shared" si="4"/>
        <v>17.938382062102558</v>
      </c>
    </row>
    <row r="29" spans="1:11" x14ac:dyDescent="0.25">
      <c r="A29" s="49">
        <f>'A) Base RI'!A31</f>
        <v>5430</v>
      </c>
      <c r="B29" s="293" t="str">
        <f>'A) Base RI'!B31</f>
        <v>Marchissy</v>
      </c>
      <c r="C29" s="95">
        <f>'B) D RI'!U31</f>
        <v>14848.450709677421</v>
      </c>
      <c r="D29" s="419">
        <f>'E) Fact soc'!G35/C29</f>
        <v>16.489010384237691</v>
      </c>
      <c r="E29" s="136">
        <f>'H) Péréquation directe'!I40/C29</f>
        <v>2.1121796350654245</v>
      </c>
      <c r="F29" s="110"/>
      <c r="G29" s="136">
        <f t="shared" si="1"/>
        <v>18.601190019303115</v>
      </c>
      <c r="H29" s="420">
        <f>G29-'C) Prél. conj.'!I29</f>
        <v>15.640792610881846</v>
      </c>
      <c r="I29" s="424">
        <f t="shared" si="2"/>
        <v>0</v>
      </c>
      <c r="J29" s="55">
        <f t="shared" si="3"/>
        <v>0</v>
      </c>
      <c r="K29" s="420">
        <f t="shared" si="4"/>
        <v>15.640792610881846</v>
      </c>
    </row>
    <row r="30" spans="1:11" x14ac:dyDescent="0.25">
      <c r="A30" s="49">
        <f>'A) Base RI'!A32</f>
        <v>5431</v>
      </c>
      <c r="B30" s="293" t="str">
        <f>'A) Base RI'!B32</f>
        <v>Mollens</v>
      </c>
      <c r="C30" s="95">
        <f>'B) D RI'!U32</f>
        <v>9333.4747297297308</v>
      </c>
      <c r="D30" s="419">
        <f>'E) Fact soc'!G36/C30</f>
        <v>22.813127319008874</v>
      </c>
      <c r="E30" s="136">
        <f>'H) Péréquation directe'!I41/C30</f>
        <v>-0.19829869966833813</v>
      </c>
      <c r="F30" s="110"/>
      <c r="G30" s="136">
        <f t="shared" si="1"/>
        <v>22.614828619340535</v>
      </c>
      <c r="H30" s="420">
        <f>G30-'C) Prél. conj.'!I30</f>
        <v>13.330314276148082</v>
      </c>
      <c r="I30" s="424">
        <f t="shared" si="2"/>
        <v>0</v>
      </c>
      <c r="J30" s="55">
        <f t="shared" si="3"/>
        <v>0</v>
      </c>
      <c r="K30" s="420">
        <f t="shared" si="4"/>
        <v>13.330314276148082</v>
      </c>
    </row>
    <row r="31" spans="1:11" x14ac:dyDescent="0.25">
      <c r="A31" s="49">
        <f>'A) Base RI'!A33</f>
        <v>5432</v>
      </c>
      <c r="B31" s="293" t="str">
        <f>'A) Base RI'!B33</f>
        <v>Montherod</v>
      </c>
      <c r="C31" s="95">
        <f>'B) D RI'!U33</f>
        <v>16429.509999999998</v>
      </c>
      <c r="D31" s="419">
        <f>'E) Fact soc'!G37/C31</f>
        <v>17.19733742347189</v>
      </c>
      <c r="E31" s="136">
        <f>'H) Péréquation directe'!I42/C31</f>
        <v>3.6489818002774048</v>
      </c>
      <c r="F31" s="110"/>
      <c r="G31" s="136">
        <f t="shared" si="1"/>
        <v>20.846319223749294</v>
      </c>
      <c r="H31" s="420">
        <f>G31-'C) Prél. conj.'!I31</f>
        <v>17.177594776093827</v>
      </c>
      <c r="I31" s="424">
        <f t="shared" si="2"/>
        <v>0</v>
      </c>
      <c r="J31" s="55">
        <f t="shared" si="3"/>
        <v>0</v>
      </c>
      <c r="K31" s="420">
        <f t="shared" si="4"/>
        <v>17.177594776093827</v>
      </c>
    </row>
    <row r="32" spans="1:11" x14ac:dyDescent="0.25">
      <c r="A32" s="49">
        <f>'A) Base RI'!A34</f>
        <v>5434</v>
      </c>
      <c r="B32" s="293" t="str">
        <f>'A) Base RI'!B34</f>
        <v>Saint-George</v>
      </c>
      <c r="C32" s="95">
        <f>'B) D RI'!U34</f>
        <v>41434.234652278174</v>
      </c>
      <c r="D32" s="419">
        <f>'E) Fact soc'!G38/C32</f>
        <v>16.305038821869179</v>
      </c>
      <c r="E32" s="136">
        <f>'H) Péréquation directe'!I43/C32</f>
        <v>11.204071661562597</v>
      </c>
      <c r="F32" s="110"/>
      <c r="G32" s="136">
        <f t="shared" si="1"/>
        <v>27.509110483431776</v>
      </c>
      <c r="H32" s="420">
        <f>G32-'C) Prél. conj.'!I32</f>
        <v>24.732684637379016</v>
      </c>
      <c r="I32" s="424">
        <f t="shared" si="2"/>
        <v>0</v>
      </c>
      <c r="J32" s="55">
        <f t="shared" si="3"/>
        <v>0</v>
      </c>
      <c r="K32" s="420">
        <f t="shared" si="4"/>
        <v>24.732684637379016</v>
      </c>
    </row>
    <row r="33" spans="1:11" x14ac:dyDescent="0.25">
      <c r="A33" s="49">
        <f>'A) Base RI'!A35</f>
        <v>5435</v>
      </c>
      <c r="B33" s="293" t="str">
        <f>'A) Base RI'!B35</f>
        <v>Saint-Livres</v>
      </c>
      <c r="C33" s="95">
        <f>'B) D RI'!U35</f>
        <v>26346.510144927532</v>
      </c>
      <c r="D33" s="419">
        <f>'E) Fact soc'!G39/C33</f>
        <v>16.174559805834114</v>
      </c>
      <c r="E33" s="136">
        <f>'H) Péréquation directe'!I44/C33</f>
        <v>11.668487960073071</v>
      </c>
      <c r="F33" s="110"/>
      <c r="G33" s="136">
        <f t="shared" si="1"/>
        <v>27.843047765907187</v>
      </c>
      <c r="H33" s="420">
        <f>G33-'C) Prél. conj.'!I33</f>
        <v>25.197100935889495</v>
      </c>
      <c r="I33" s="424">
        <f t="shared" si="2"/>
        <v>0</v>
      </c>
      <c r="J33" s="55">
        <f t="shared" si="3"/>
        <v>0</v>
      </c>
      <c r="K33" s="420">
        <f t="shared" si="4"/>
        <v>25.197100935889495</v>
      </c>
    </row>
    <row r="34" spans="1:11" x14ac:dyDescent="0.25">
      <c r="A34" s="49">
        <f>'A) Base RI'!A36</f>
        <v>5436</v>
      </c>
      <c r="B34" s="293" t="str">
        <f>'A) Base RI'!B36</f>
        <v>Saint-Oyens</v>
      </c>
      <c r="C34" s="95">
        <f>'B) D RI'!U36</f>
        <v>16764.305154320984</v>
      </c>
      <c r="D34" s="419">
        <f>'E) Fact soc'!G40/C34</f>
        <v>15.372484804410083</v>
      </c>
      <c r="E34" s="136">
        <f>'H) Péréquation directe'!I45/C34</f>
        <v>7.6788345410572845</v>
      </c>
      <c r="F34" s="110"/>
      <c r="G34" s="136">
        <f t="shared" si="1"/>
        <v>23.05131934546737</v>
      </c>
      <c r="H34" s="420">
        <f>G34-'C) Prél. conj.'!I34</f>
        <v>21.207447516873707</v>
      </c>
      <c r="I34" s="424">
        <f t="shared" si="2"/>
        <v>0</v>
      </c>
      <c r="J34" s="55">
        <f t="shared" si="3"/>
        <v>0</v>
      </c>
      <c r="K34" s="420">
        <f t="shared" si="4"/>
        <v>21.207447516873707</v>
      </c>
    </row>
    <row r="35" spans="1:11" x14ac:dyDescent="0.25">
      <c r="A35" s="49">
        <f>'A) Base RI'!A37</f>
        <v>5437</v>
      </c>
      <c r="B35" s="293" t="str">
        <f>'A) Base RI'!B37</f>
        <v>Saubraz</v>
      </c>
      <c r="C35" s="95">
        <f>'B) D RI'!U37</f>
        <v>13391.905875</v>
      </c>
      <c r="D35" s="419">
        <f>'E) Fact soc'!G41/C35</f>
        <v>17.544419277173059</v>
      </c>
      <c r="E35" s="136">
        <f>'H) Péréquation directe'!I46/C35</f>
        <v>2.3259519724452975</v>
      </c>
      <c r="F35" s="110"/>
      <c r="G35" s="136">
        <f t="shared" si="1"/>
        <v>19.870371249618358</v>
      </c>
      <c r="H35" s="420">
        <f>G35-'C) Prél. conj.'!I35</f>
        <v>15.854564948261718</v>
      </c>
      <c r="I35" s="424">
        <f t="shared" si="2"/>
        <v>0</v>
      </c>
      <c r="J35" s="55">
        <f t="shared" si="3"/>
        <v>0</v>
      </c>
      <c r="K35" s="420">
        <f t="shared" si="4"/>
        <v>15.854564948261718</v>
      </c>
    </row>
    <row r="36" spans="1:11" x14ac:dyDescent="0.25">
      <c r="A36" s="49">
        <f>'A) Base RI'!A38</f>
        <v>5451</v>
      </c>
      <c r="B36" s="293" t="str">
        <f>'A) Base RI'!B38</f>
        <v>Avenches</v>
      </c>
      <c r="C36" s="95">
        <f>'B) D RI'!U38</f>
        <v>129500.81187969925</v>
      </c>
      <c r="D36" s="419">
        <f>'E) Fact soc'!G42/C36</f>
        <v>17.177547280869035</v>
      </c>
      <c r="E36" s="136">
        <f>'H) Péréquation directe'!I47/C36</f>
        <v>-4.1982146294440019</v>
      </c>
      <c r="F36" s="110"/>
      <c r="G36" s="136">
        <f t="shared" si="1"/>
        <v>12.979332651425032</v>
      </c>
      <c r="H36" s="420">
        <f>G36-'C) Prél. conj.'!I36</f>
        <v>9.3303983463724158</v>
      </c>
      <c r="I36" s="424">
        <f t="shared" si="2"/>
        <v>0</v>
      </c>
      <c r="J36" s="55">
        <f t="shared" si="3"/>
        <v>0</v>
      </c>
      <c r="K36" s="420">
        <f t="shared" si="4"/>
        <v>9.3303983463724158</v>
      </c>
    </row>
    <row r="37" spans="1:11" x14ac:dyDescent="0.25">
      <c r="A37" s="49">
        <f>'A) Base RI'!A39</f>
        <v>5456</v>
      </c>
      <c r="B37" s="293" t="str">
        <f>'A) Base RI'!B39</f>
        <v>Cudrefin</v>
      </c>
      <c r="C37" s="95">
        <f>'B) D RI'!U39</f>
        <v>64226.933276836171</v>
      </c>
      <c r="D37" s="419">
        <f>'E) Fact soc'!G43/C37</f>
        <v>16.371815129232321</v>
      </c>
      <c r="E37" s="136">
        <f>'H) Péréquation directe'!I48/C37</f>
        <v>8.8091786679962567</v>
      </c>
      <c r="F37" s="110"/>
      <c r="G37" s="136">
        <f t="shared" si="1"/>
        <v>25.180993797228577</v>
      </c>
      <c r="H37" s="420">
        <f>G37-'C) Prél. conj.'!I37</f>
        <v>22.337791643812675</v>
      </c>
      <c r="I37" s="424">
        <f t="shared" si="2"/>
        <v>0</v>
      </c>
      <c r="J37" s="55">
        <f t="shared" si="3"/>
        <v>0</v>
      </c>
      <c r="K37" s="420">
        <f t="shared" si="4"/>
        <v>22.337791643812675</v>
      </c>
    </row>
    <row r="38" spans="1:11" x14ac:dyDescent="0.25">
      <c r="A38" s="49">
        <f>'A) Base RI'!A40</f>
        <v>5458</v>
      </c>
      <c r="B38" s="293" t="str">
        <f>'A) Base RI'!B40</f>
        <v>Faoug</v>
      </c>
      <c r="C38" s="95">
        <f>'B) D RI'!U40</f>
        <v>32198.404090909091</v>
      </c>
      <c r="D38" s="419">
        <f>'E) Fact soc'!G44/C38</f>
        <v>16.093671472716231</v>
      </c>
      <c r="E38" s="136">
        <f>'H) Péréquation directe'!I49/C38</f>
        <v>10.683976317416285</v>
      </c>
      <c r="F38" s="110"/>
      <c r="G38" s="136">
        <f t="shared" si="1"/>
        <v>26.777647790132516</v>
      </c>
      <c r="H38" s="420">
        <f>G38-'C) Prél. conj.'!I38</f>
        <v>24.212589293232703</v>
      </c>
      <c r="I38" s="424">
        <f t="shared" si="2"/>
        <v>0</v>
      </c>
      <c r="J38" s="55">
        <f t="shared" si="3"/>
        <v>0</v>
      </c>
      <c r="K38" s="420">
        <f t="shared" si="4"/>
        <v>24.212589293232703</v>
      </c>
    </row>
    <row r="39" spans="1:11" x14ac:dyDescent="0.25">
      <c r="A39" s="49">
        <f>'A) Base RI'!A41</f>
        <v>5464</v>
      </c>
      <c r="B39" s="293" t="str">
        <f>'A) Base RI'!B41</f>
        <v>Vully-les-Lacs</v>
      </c>
      <c r="C39" s="95">
        <f>'B) D RI'!U41</f>
        <v>111597.31895522389</v>
      </c>
      <c r="D39" s="419">
        <f>'E) Fact soc'!G45/C39</f>
        <v>15.611241592488225</v>
      </c>
      <c r="E39" s="136">
        <f>'H) Péréquation directe'!I50/C39</f>
        <v>2.5908097201002001</v>
      </c>
      <c r="F39" s="110"/>
      <c r="G39" s="136">
        <f t="shared" si="1"/>
        <v>18.202051312588424</v>
      </c>
      <c r="H39" s="420">
        <f>G39-'C) Prél. conj.'!I39</f>
        <v>16.119422695916619</v>
      </c>
      <c r="I39" s="424">
        <f t="shared" si="2"/>
        <v>0</v>
      </c>
      <c r="J39" s="55">
        <f t="shared" si="3"/>
        <v>0</v>
      </c>
      <c r="K39" s="420">
        <f t="shared" si="4"/>
        <v>16.119422695916619</v>
      </c>
    </row>
    <row r="40" spans="1:11" x14ac:dyDescent="0.25">
      <c r="A40" s="49">
        <f>'A) Base RI'!A42</f>
        <v>5471</v>
      </c>
      <c r="B40" s="293" t="str">
        <f>'A) Base RI'!B42</f>
        <v>Bettens</v>
      </c>
      <c r="C40" s="95">
        <f>'B) D RI'!U42</f>
        <v>20385.282730158731</v>
      </c>
      <c r="D40" s="419">
        <f>'E) Fact soc'!G46/C40</f>
        <v>15.25967800283188</v>
      </c>
      <c r="E40" s="136">
        <f>'H) Péréquation directe'!I51/C40</f>
        <v>5.8797812875816557</v>
      </c>
      <c r="F40" s="110"/>
      <c r="G40" s="136">
        <f t="shared" si="1"/>
        <v>21.139459290413534</v>
      </c>
      <c r="H40" s="420">
        <f>G40-'C) Prél. conj.'!I40</f>
        <v>19.408394263398073</v>
      </c>
      <c r="I40" s="424">
        <f t="shared" si="2"/>
        <v>0</v>
      </c>
      <c r="J40" s="55">
        <f t="shared" si="3"/>
        <v>0</v>
      </c>
      <c r="K40" s="420">
        <f t="shared" si="4"/>
        <v>19.408394263398073</v>
      </c>
    </row>
    <row r="41" spans="1:11" x14ac:dyDescent="0.25">
      <c r="A41" s="49">
        <f>'A) Base RI'!A43</f>
        <v>5472</v>
      </c>
      <c r="B41" s="293" t="str">
        <f>'A) Base RI'!B43</f>
        <v>Bournens</v>
      </c>
      <c r="C41" s="95">
        <f>'B) D RI'!U43</f>
        <v>20143.161388888886</v>
      </c>
      <c r="D41" s="419">
        <f>'E) Fact soc'!G47/C41</f>
        <v>17.856586788709993</v>
      </c>
      <c r="E41" s="136">
        <f>'H) Péréquation directe'!I52/C41</f>
        <v>13.045274302398019</v>
      </c>
      <c r="F41" s="110"/>
      <c r="G41" s="136">
        <f t="shared" si="1"/>
        <v>30.90186109110801</v>
      </c>
      <c r="H41" s="420">
        <f>G41-'C) Prél. conj.'!I41</f>
        <v>26.573887278214439</v>
      </c>
      <c r="I41" s="424">
        <f t="shared" si="2"/>
        <v>0</v>
      </c>
      <c r="J41" s="55">
        <f t="shared" si="3"/>
        <v>0</v>
      </c>
      <c r="K41" s="420">
        <f t="shared" si="4"/>
        <v>26.573887278214439</v>
      </c>
    </row>
    <row r="42" spans="1:11" x14ac:dyDescent="0.25">
      <c r="A42" s="49">
        <f>'A) Base RI'!A44</f>
        <v>5473</v>
      </c>
      <c r="B42" s="293" t="str">
        <f>'A) Base RI'!B44</f>
        <v>Boussens</v>
      </c>
      <c r="C42" s="95">
        <f>'B) D RI'!U44</f>
        <v>37775.140592592586</v>
      </c>
      <c r="D42" s="419">
        <f>'E) Fact soc'!G48/C42</f>
        <v>14.8131928407426</v>
      </c>
      <c r="E42" s="136">
        <f>'H) Péréquation directe'!I53/C42</f>
        <v>11.34826393940469</v>
      </c>
      <c r="F42" s="110"/>
      <c r="G42" s="136">
        <f t="shared" si="1"/>
        <v>26.16145678014729</v>
      </c>
      <c r="H42" s="420">
        <f>G42-'C) Prél. conj.'!I42</f>
        <v>24.876876915221111</v>
      </c>
      <c r="I42" s="424">
        <f t="shared" si="2"/>
        <v>0</v>
      </c>
      <c r="J42" s="55">
        <f t="shared" si="3"/>
        <v>0</v>
      </c>
      <c r="K42" s="420">
        <f t="shared" si="4"/>
        <v>24.876876915221111</v>
      </c>
    </row>
    <row r="43" spans="1:11" x14ac:dyDescent="0.25">
      <c r="A43" s="49">
        <f>'A) Base RI'!A45</f>
        <v>5474</v>
      </c>
      <c r="B43" s="293" t="str">
        <f>'A) Base RI'!B45</f>
        <v>La Chaux (Cossonay)</v>
      </c>
      <c r="C43" s="95">
        <f>'B) D RI'!U45</f>
        <v>13182.521580086577</v>
      </c>
      <c r="D43" s="419">
        <f>'E) Fact soc'!G49/C43</f>
        <v>17.645823000489376</v>
      </c>
      <c r="E43" s="136">
        <f>'H) Péréquation directe'!I54/C43</f>
        <v>5.7571501873743731</v>
      </c>
      <c r="F43" s="110"/>
      <c r="G43" s="136">
        <f t="shared" si="1"/>
        <v>23.402973187863751</v>
      </c>
      <c r="H43" s="420">
        <f>G43-'C) Prél. conj.'!I43</f>
        <v>19.285763163190797</v>
      </c>
      <c r="I43" s="424">
        <f t="shared" si="2"/>
        <v>0</v>
      </c>
      <c r="J43" s="55">
        <f t="shared" si="3"/>
        <v>0</v>
      </c>
      <c r="K43" s="420">
        <f t="shared" si="4"/>
        <v>19.285763163190797</v>
      </c>
    </row>
    <row r="44" spans="1:11" x14ac:dyDescent="0.25">
      <c r="A44" s="49">
        <f>'A) Base RI'!A46</f>
        <v>5475</v>
      </c>
      <c r="B44" s="293" t="str">
        <f>'A) Base RI'!B46</f>
        <v>Chavannes-le-Veyron</v>
      </c>
      <c r="C44" s="95">
        <f>'B) D RI'!U46</f>
        <v>3874.6645454545451</v>
      </c>
      <c r="D44" s="419">
        <f>'E) Fact soc'!G50/C44</f>
        <v>16.56472096968146</v>
      </c>
      <c r="E44" s="136">
        <f>'H) Péréquation directe'!I55/C44</f>
        <v>-6.3942380967366166</v>
      </c>
      <c r="F44" s="110"/>
      <c r="G44" s="136">
        <f t="shared" si="1"/>
        <v>10.170482872944843</v>
      </c>
      <c r="H44" s="420">
        <f>G44-'C) Prél. conj.'!I44</f>
        <v>7.1343748790798021</v>
      </c>
      <c r="I44" s="424">
        <f t="shared" si="2"/>
        <v>0</v>
      </c>
      <c r="J44" s="55">
        <f t="shared" si="3"/>
        <v>0</v>
      </c>
      <c r="K44" s="420">
        <f t="shared" si="4"/>
        <v>7.1343748790798021</v>
      </c>
    </row>
    <row r="45" spans="1:11" x14ac:dyDescent="0.25">
      <c r="A45" s="49">
        <f>'A) Base RI'!A47</f>
        <v>5476</v>
      </c>
      <c r="B45" s="293" t="str">
        <f>'A) Base RI'!B47</f>
        <v>Chevilly</v>
      </c>
      <c r="C45" s="95">
        <f>'B) D RI'!U47</f>
        <v>11839.396756756756</v>
      </c>
      <c r="D45" s="419">
        <f>'E) Fact soc'!G51/C45</f>
        <v>14.087387222166809</v>
      </c>
      <c r="E45" s="136">
        <f>'H) Péréquation directe'!I56/C45</f>
        <v>9.9481953764831168</v>
      </c>
      <c r="F45" s="110"/>
      <c r="G45" s="136">
        <f t="shared" si="1"/>
        <v>24.035582598649924</v>
      </c>
      <c r="H45" s="420">
        <f>G45-'C) Prél. conj.'!I45</f>
        <v>23.476808352299535</v>
      </c>
      <c r="I45" s="424">
        <f t="shared" si="2"/>
        <v>0</v>
      </c>
      <c r="J45" s="55">
        <f t="shared" si="3"/>
        <v>0</v>
      </c>
      <c r="K45" s="420">
        <f t="shared" si="4"/>
        <v>23.476808352299535</v>
      </c>
    </row>
    <row r="46" spans="1:11" x14ac:dyDescent="0.25">
      <c r="A46" s="49">
        <f>'A) Base RI'!A48</f>
        <v>5477</v>
      </c>
      <c r="B46" s="293" t="str">
        <f>'A) Base RI'!B48</f>
        <v>Cossonay</v>
      </c>
      <c r="C46" s="95">
        <f>'B) D RI'!U48</f>
        <v>119154.03251798562</v>
      </c>
      <c r="D46" s="419">
        <f>'E) Fact soc'!G52/C46</f>
        <v>19.669570898407507</v>
      </c>
      <c r="E46" s="136">
        <f>'H) Péréquation directe'!I57/C46</f>
        <v>-6.0184334721490735</v>
      </c>
      <c r="F46" s="110"/>
      <c r="G46" s="136">
        <f t="shared" si="1"/>
        <v>13.651137426258433</v>
      </c>
      <c r="H46" s="420">
        <f>G46-'C) Prél. conj.'!I46</f>
        <v>7.5101795036673451</v>
      </c>
      <c r="I46" s="424">
        <f t="shared" si="2"/>
        <v>0</v>
      </c>
      <c r="J46" s="55">
        <f t="shared" si="3"/>
        <v>0</v>
      </c>
      <c r="K46" s="420">
        <f t="shared" si="4"/>
        <v>7.5101795036673451</v>
      </c>
    </row>
    <row r="47" spans="1:11" x14ac:dyDescent="0.25">
      <c r="A47" s="49">
        <f>'A) Base RI'!A49</f>
        <v>5478</v>
      </c>
      <c r="B47" s="293" t="str">
        <f>'A) Base RI'!B49</f>
        <v>Cottens</v>
      </c>
      <c r="C47" s="95">
        <f>'B) D RI'!U49</f>
        <v>16291.497837837833</v>
      </c>
      <c r="D47" s="419">
        <f>'E) Fact soc'!G53/C47</f>
        <v>13.813345849746915</v>
      </c>
      <c r="E47" s="136">
        <f>'H) Péréquation directe'!I58/C47</f>
        <v>5.9714532050819376</v>
      </c>
      <c r="F47" s="110"/>
      <c r="G47" s="136">
        <f t="shared" si="1"/>
        <v>19.784799054828852</v>
      </c>
      <c r="H47" s="420">
        <f>G47-'C) Prél. conj.'!I47</f>
        <v>19.500066180898358</v>
      </c>
      <c r="I47" s="424">
        <f t="shared" si="2"/>
        <v>0</v>
      </c>
      <c r="J47" s="55">
        <f t="shared" si="3"/>
        <v>0</v>
      </c>
      <c r="K47" s="420">
        <f t="shared" si="4"/>
        <v>19.500066180898358</v>
      </c>
    </row>
    <row r="48" spans="1:11" x14ac:dyDescent="0.25">
      <c r="A48" s="49">
        <f>'A) Base RI'!A50</f>
        <v>5479</v>
      </c>
      <c r="B48" s="293" t="str">
        <f>'A) Base RI'!B50</f>
        <v>Cuarnens</v>
      </c>
      <c r="C48" s="95">
        <f>'B) D RI'!U50</f>
        <v>18068.978311688308</v>
      </c>
      <c r="D48" s="419">
        <f>'E) Fact soc'!G54/C48</f>
        <v>18.161051708993416</v>
      </c>
      <c r="E48" s="136">
        <f>'H) Péréquation directe'!I59/C48</f>
        <v>6.3850896238518953</v>
      </c>
      <c r="F48" s="110"/>
      <c r="G48" s="136">
        <f t="shared" si="1"/>
        <v>24.546141332845309</v>
      </c>
      <c r="H48" s="420">
        <f>G48-'C) Prél. conj.'!I48</f>
        <v>19.913702599668312</v>
      </c>
      <c r="I48" s="424">
        <f t="shared" si="2"/>
        <v>0</v>
      </c>
      <c r="J48" s="55">
        <f t="shared" si="3"/>
        <v>0</v>
      </c>
      <c r="K48" s="420">
        <f t="shared" si="4"/>
        <v>19.913702599668312</v>
      </c>
    </row>
    <row r="49" spans="1:11" x14ac:dyDescent="0.25">
      <c r="A49" s="49">
        <f>'A) Base RI'!A51</f>
        <v>5480</v>
      </c>
      <c r="B49" s="293" t="str">
        <f>'A) Base RI'!B51</f>
        <v>Daillens</v>
      </c>
      <c r="C49" s="95">
        <f>'B) D RI'!U51</f>
        <v>40977.441060606063</v>
      </c>
      <c r="D49" s="419">
        <f>'E) Fact soc'!G55/C49</f>
        <v>17.591889029431893</v>
      </c>
      <c r="E49" s="136">
        <f>'H) Péréquation directe'!I60/C49</f>
        <v>12.148155345516797</v>
      </c>
      <c r="F49" s="110"/>
      <c r="G49" s="136">
        <f t="shared" si="1"/>
        <v>29.740044374948688</v>
      </c>
      <c r="H49" s="420">
        <f>G49-'C) Prél. conj.'!I49</f>
        <v>25.676768321333217</v>
      </c>
      <c r="I49" s="424">
        <f t="shared" si="2"/>
        <v>0</v>
      </c>
      <c r="J49" s="55">
        <f t="shared" si="3"/>
        <v>0</v>
      </c>
      <c r="K49" s="420">
        <f t="shared" si="4"/>
        <v>25.676768321333217</v>
      </c>
    </row>
    <row r="50" spans="1:11" x14ac:dyDescent="0.25">
      <c r="A50" s="49">
        <f>'A) Base RI'!A52</f>
        <v>5481</v>
      </c>
      <c r="B50" s="293" t="str">
        <f>'A) Base RI'!B52</f>
        <v>Dizy</v>
      </c>
      <c r="C50" s="95">
        <f>'B) D RI'!U52</f>
        <v>8124.1672000000008</v>
      </c>
      <c r="D50" s="419">
        <f>'E) Fact soc'!G56/C50</f>
        <v>14.000879843982304</v>
      </c>
      <c r="E50" s="136">
        <f>'H) Péréquation directe'!I61/C50</f>
        <v>8.8095921864142834</v>
      </c>
      <c r="F50" s="110"/>
      <c r="G50" s="136">
        <f t="shared" si="1"/>
        <v>22.810472030396589</v>
      </c>
      <c r="H50" s="420">
        <f>G50-'C) Prél. conj.'!I50</f>
        <v>22.338205162230704</v>
      </c>
      <c r="I50" s="424">
        <f t="shared" si="2"/>
        <v>0</v>
      </c>
      <c r="J50" s="55">
        <f t="shared" si="3"/>
        <v>0</v>
      </c>
      <c r="K50" s="420">
        <f t="shared" si="4"/>
        <v>22.338205162230704</v>
      </c>
    </row>
    <row r="51" spans="1:11" x14ac:dyDescent="0.25">
      <c r="A51" s="49">
        <f>'A) Base RI'!A53</f>
        <v>5482</v>
      </c>
      <c r="B51" s="293" t="str">
        <f>'A) Base RI'!B53</f>
        <v>Eclépens</v>
      </c>
      <c r="C51" s="95">
        <f>'B) D RI'!U53</f>
        <v>70911.930217391302</v>
      </c>
      <c r="D51" s="419">
        <f>'E) Fact soc'!G57/C51</f>
        <v>17.302949481697095</v>
      </c>
      <c r="E51" s="136">
        <f>'H) Péréquation directe'!I62/C51</f>
        <v>16.810087426875398</v>
      </c>
      <c r="F51" s="110"/>
      <c r="G51" s="136">
        <f t="shared" si="1"/>
        <v>34.113036908572496</v>
      </c>
      <c r="H51" s="420">
        <f>G51-'C) Prél. conj.'!I51</f>
        <v>31.938918611025588</v>
      </c>
      <c r="I51" s="424">
        <f t="shared" si="2"/>
        <v>0</v>
      </c>
      <c r="J51" s="55">
        <f t="shared" si="3"/>
        <v>0</v>
      </c>
      <c r="K51" s="420">
        <f t="shared" si="4"/>
        <v>31.938918611025588</v>
      </c>
    </row>
    <row r="52" spans="1:11" x14ac:dyDescent="0.25">
      <c r="A52" s="49">
        <f>'A) Base RI'!A54</f>
        <v>5483</v>
      </c>
      <c r="B52" s="293" t="str">
        <f>'A) Base RI'!B54</f>
        <v>Ferreyres</v>
      </c>
      <c r="C52" s="95">
        <f>'B) D RI'!U54</f>
        <v>10820.315000000001</v>
      </c>
      <c r="D52" s="419">
        <f>'E) Fact soc'!G58/C52</f>
        <v>14.415680496493961</v>
      </c>
      <c r="E52" s="136">
        <f>'H) Péréquation directe'!I63/C52</f>
        <v>6.2422899873843098</v>
      </c>
      <c r="F52" s="110"/>
      <c r="G52" s="136">
        <f t="shared" si="1"/>
        <v>20.65797048387827</v>
      </c>
      <c r="H52" s="420">
        <f>G52-'C) Prél. conj.'!I52</f>
        <v>19.770902963200729</v>
      </c>
      <c r="I52" s="424">
        <f t="shared" si="2"/>
        <v>0</v>
      </c>
      <c r="J52" s="55">
        <f t="shared" si="3"/>
        <v>0</v>
      </c>
      <c r="K52" s="420">
        <f t="shared" si="4"/>
        <v>19.770902963200729</v>
      </c>
    </row>
    <row r="53" spans="1:11" x14ac:dyDescent="0.25">
      <c r="A53" s="49">
        <f>'A) Base RI'!A55</f>
        <v>5484</v>
      </c>
      <c r="B53" s="293" t="str">
        <f>'A) Base RI'!B55</f>
        <v>Gollion</v>
      </c>
      <c r="C53" s="95">
        <f>'B) D RI'!U55</f>
        <v>34996.98554054054</v>
      </c>
      <c r="D53" s="419">
        <f>'E) Fact soc'!G59/C53</f>
        <v>16.739837407412544</v>
      </c>
      <c r="E53" s="136">
        <f>'H) Péréquation directe'!I64/C53</f>
        <v>7.9564217950007148</v>
      </c>
      <c r="F53" s="110"/>
      <c r="G53" s="136">
        <f t="shared" si="1"/>
        <v>24.696259202413259</v>
      </c>
      <c r="H53" s="420">
        <f>G53-'C) Prél. conj.'!I53</f>
        <v>21.485034770817137</v>
      </c>
      <c r="I53" s="424">
        <f t="shared" si="2"/>
        <v>0</v>
      </c>
      <c r="J53" s="55">
        <f t="shared" si="3"/>
        <v>0</v>
      </c>
      <c r="K53" s="420">
        <f t="shared" si="4"/>
        <v>21.485034770817137</v>
      </c>
    </row>
    <row r="54" spans="1:11" x14ac:dyDescent="0.25">
      <c r="A54" s="49">
        <f>'A) Base RI'!A56</f>
        <v>5485</v>
      </c>
      <c r="B54" s="293" t="str">
        <f>'A) Base RI'!B56</f>
        <v>Grancy</v>
      </c>
      <c r="C54" s="95">
        <f>'B) D RI'!U56</f>
        <v>14542.352714285715</v>
      </c>
      <c r="D54" s="419">
        <f>'E) Fact soc'!G60/C54</f>
        <v>19.120336447089279</v>
      </c>
      <c r="E54" s="136">
        <f>'H) Péréquation directe'!I65/C54</f>
        <v>9.3933228439114735</v>
      </c>
      <c r="F54" s="110"/>
      <c r="G54" s="136">
        <f t="shared" si="1"/>
        <v>28.513659291000753</v>
      </c>
      <c r="H54" s="420">
        <f>G54-'C) Prél. conj.'!I54</f>
        <v>22.921935819727892</v>
      </c>
      <c r="I54" s="424">
        <f t="shared" si="2"/>
        <v>0</v>
      </c>
      <c r="J54" s="55">
        <f t="shared" si="3"/>
        <v>0</v>
      </c>
      <c r="K54" s="420">
        <f t="shared" si="4"/>
        <v>22.921935819727892</v>
      </c>
    </row>
    <row r="55" spans="1:11" x14ac:dyDescent="0.25">
      <c r="A55" s="49">
        <f>'A) Base RI'!A57</f>
        <v>5486</v>
      </c>
      <c r="B55" s="293" t="str">
        <f>'A) Base RI'!B57</f>
        <v>L'Isle</v>
      </c>
      <c r="C55" s="95">
        <f>'B) D RI'!U57</f>
        <v>37459.560399999995</v>
      </c>
      <c r="D55" s="419">
        <f>'E) Fact soc'!G61/C55</f>
        <v>15.456934724087658</v>
      </c>
      <c r="E55" s="136">
        <f>'H) Péréquation directe'!I66/C55</f>
        <v>7.3824144501980049</v>
      </c>
      <c r="F55" s="110"/>
      <c r="G55" s="136">
        <f t="shared" si="1"/>
        <v>22.839349174285662</v>
      </c>
      <c r="H55" s="420">
        <f>G55-'C) Prél. conj.'!I55</f>
        <v>20.911027426014424</v>
      </c>
      <c r="I55" s="424">
        <f t="shared" si="2"/>
        <v>0</v>
      </c>
      <c r="J55" s="55">
        <f t="shared" si="3"/>
        <v>0</v>
      </c>
      <c r="K55" s="420">
        <f t="shared" si="4"/>
        <v>20.911027426014424</v>
      </c>
    </row>
    <row r="56" spans="1:11" x14ac:dyDescent="0.25">
      <c r="A56" s="49">
        <f>'A) Base RI'!A58</f>
        <v>5487</v>
      </c>
      <c r="B56" s="293" t="str">
        <f>'A) Base RI'!B58</f>
        <v>Lussery-Villars</v>
      </c>
      <c r="C56" s="95">
        <f>'B) D RI'!U58</f>
        <v>12889.865466666668</v>
      </c>
      <c r="D56" s="419">
        <f>'E) Fact soc'!G62/C56</f>
        <v>14.732314445015099</v>
      </c>
      <c r="E56" s="136">
        <f>'H) Péréquation directe'!I67/C56</f>
        <v>-0.92482470581230403</v>
      </c>
      <c r="F56" s="110"/>
      <c r="G56" s="136">
        <f t="shared" si="1"/>
        <v>13.807489739202795</v>
      </c>
      <c r="H56" s="420">
        <f>G56-'C) Prél. conj.'!I56</f>
        <v>12.603788270004115</v>
      </c>
      <c r="I56" s="424">
        <f t="shared" si="2"/>
        <v>0</v>
      </c>
      <c r="J56" s="55">
        <f t="shared" si="3"/>
        <v>0</v>
      </c>
      <c r="K56" s="420">
        <f t="shared" si="4"/>
        <v>12.603788270004115</v>
      </c>
    </row>
    <row r="57" spans="1:11" x14ac:dyDescent="0.25">
      <c r="A57" s="49">
        <f>'A) Base RI'!A59</f>
        <v>5488</v>
      </c>
      <c r="B57" s="293" t="str">
        <f>'A) Base RI'!B59</f>
        <v>Mauraz</v>
      </c>
      <c r="C57" s="95">
        <f>'B) D RI'!U59</f>
        <v>1632.1631168831173</v>
      </c>
      <c r="D57" s="419">
        <f>'E) Fact soc'!G63/C57</f>
        <v>13.52861297581642</v>
      </c>
      <c r="E57" s="136">
        <f>'H) Péréquation directe'!I68/C57</f>
        <v>-1.7037843333585236</v>
      </c>
      <c r="F57" s="110"/>
      <c r="G57" s="136">
        <f t="shared" si="1"/>
        <v>11.824828642457897</v>
      </c>
      <c r="H57" s="420">
        <f>G57-'C) Prél. conj.'!I57</f>
        <v>11.824828642457897</v>
      </c>
      <c r="I57" s="424">
        <f t="shared" si="2"/>
        <v>0</v>
      </c>
      <c r="J57" s="55">
        <f t="shared" si="3"/>
        <v>0</v>
      </c>
      <c r="K57" s="420">
        <f t="shared" si="4"/>
        <v>11.824828642457897</v>
      </c>
    </row>
    <row r="58" spans="1:11" x14ac:dyDescent="0.25">
      <c r="A58" s="49">
        <f>'A) Base RI'!A60</f>
        <v>5489</v>
      </c>
      <c r="B58" s="293" t="str">
        <f>'A) Base RI'!B60</f>
        <v>Mex</v>
      </c>
      <c r="C58" s="95">
        <f>'B) D RI'!U60</f>
        <v>57496.164201680658</v>
      </c>
      <c r="D58" s="419">
        <f>'E) Fact soc'!G64/C58</f>
        <v>24.124618438580768</v>
      </c>
      <c r="E58" s="136">
        <f>'H) Péréquation directe'!I69/C58</f>
        <v>17.929925469660265</v>
      </c>
      <c r="F58" s="110"/>
      <c r="G58" s="136">
        <f t="shared" si="1"/>
        <v>42.05454390824103</v>
      </c>
      <c r="H58" s="420">
        <f>G58-'C) Prél. conj.'!I58</f>
        <v>36.725092991738968</v>
      </c>
      <c r="I58" s="424">
        <f t="shared" si="2"/>
        <v>0</v>
      </c>
      <c r="J58" s="55">
        <f t="shared" si="3"/>
        <v>0</v>
      </c>
      <c r="K58" s="420">
        <f t="shared" si="4"/>
        <v>36.725092991738968</v>
      </c>
    </row>
    <row r="59" spans="1:11" x14ac:dyDescent="0.25">
      <c r="A59" s="49">
        <f>'A) Base RI'!A61</f>
        <v>5490</v>
      </c>
      <c r="B59" s="293" t="str">
        <f>'A) Base RI'!B61</f>
        <v>Moiry</v>
      </c>
      <c r="C59" s="95">
        <f>'B) D RI'!U61</f>
        <v>8655.909290322581</v>
      </c>
      <c r="D59" s="419">
        <f>'E) Fact soc'!G65/C59</f>
        <v>15.81909157662222</v>
      </c>
      <c r="E59" s="136">
        <f>'H) Péréquation directe'!I70/C59</f>
        <v>-2.4300574703010449</v>
      </c>
      <c r="F59" s="110"/>
      <c r="G59" s="136">
        <f t="shared" si="1"/>
        <v>13.389034106321176</v>
      </c>
      <c r="H59" s="420">
        <f>G59-'C) Prél. conj.'!I59</f>
        <v>11.098555505515375</v>
      </c>
      <c r="I59" s="424">
        <f t="shared" si="2"/>
        <v>0</v>
      </c>
      <c r="J59" s="55">
        <f t="shared" si="3"/>
        <v>0</v>
      </c>
      <c r="K59" s="420">
        <f t="shared" si="4"/>
        <v>11.098555505515375</v>
      </c>
    </row>
    <row r="60" spans="1:11" x14ac:dyDescent="0.25">
      <c r="A60" s="49">
        <f>'A) Base RI'!A62</f>
        <v>5491</v>
      </c>
      <c r="B60" s="293" t="str">
        <f>'A) Base RI'!B62</f>
        <v>Mont-la-Ville</v>
      </c>
      <c r="C60" s="95">
        <f>'B) D RI'!U62</f>
        <v>14323.284736842104</v>
      </c>
      <c r="D60" s="419">
        <f>'E) Fact soc'!G66/C60</f>
        <v>16.815110861243394</v>
      </c>
      <c r="E60" s="136">
        <f>'H) Péréquation directe'!I71/C60</f>
        <v>0.37741977917126895</v>
      </c>
      <c r="F60" s="110"/>
      <c r="G60" s="136">
        <f t="shared" si="1"/>
        <v>17.192530640414663</v>
      </c>
      <c r="H60" s="420">
        <f>G60-'C) Prél. conj.'!I60</f>
        <v>13.906032754987692</v>
      </c>
      <c r="I60" s="424">
        <f t="shared" si="2"/>
        <v>0</v>
      </c>
      <c r="J60" s="55">
        <f t="shared" si="3"/>
        <v>0</v>
      </c>
      <c r="K60" s="420">
        <f t="shared" si="4"/>
        <v>13.906032754987692</v>
      </c>
    </row>
    <row r="61" spans="1:11" x14ac:dyDescent="0.25">
      <c r="A61" s="49">
        <f>'A) Base RI'!A63</f>
        <v>5492</v>
      </c>
      <c r="B61" s="293" t="str">
        <f>'A) Base RI'!B63</f>
        <v>Montricher</v>
      </c>
      <c r="C61" s="95">
        <f>'B) D RI'!U63</f>
        <v>157154.96692708335</v>
      </c>
      <c r="D61" s="419">
        <f>'E) Fact soc'!G67/C61</f>
        <v>34.615005881546132</v>
      </c>
      <c r="E61" s="136">
        <f>'H) Péréquation directe'!I72/C61</f>
        <v>18.87517692943436</v>
      </c>
      <c r="F61" s="110"/>
      <c r="G61" s="136">
        <f t="shared" si="1"/>
        <v>53.490182810980492</v>
      </c>
      <c r="H61" s="420">
        <f>G61-'C) Prél. conj.'!I61</f>
        <v>52.459354080793652</v>
      </c>
      <c r="I61" s="424">
        <f t="shared" si="2"/>
        <v>-4.459354080793652</v>
      </c>
      <c r="J61" s="55">
        <f t="shared" si="3"/>
        <v>-700809.64308328053</v>
      </c>
      <c r="K61" s="420">
        <f t="shared" si="4"/>
        <v>48</v>
      </c>
    </row>
    <row r="62" spans="1:11" x14ac:dyDescent="0.25">
      <c r="A62" s="49">
        <f>'A) Base RI'!A64</f>
        <v>5493</v>
      </c>
      <c r="B62" s="293" t="str">
        <f>'A) Base RI'!B64</f>
        <v>Orny</v>
      </c>
      <c r="C62" s="95">
        <f>'B) D RI'!U64</f>
        <v>12885.017723919913</v>
      </c>
      <c r="D62" s="419">
        <f>'E) Fact soc'!G68/C62</f>
        <v>19.990204398033814</v>
      </c>
      <c r="E62" s="136">
        <f>'H) Péréquation directe'!I73/C62</f>
        <v>-0.35935712629024469</v>
      </c>
      <c r="F62" s="110"/>
      <c r="G62" s="136">
        <f t="shared" si="1"/>
        <v>19.630847271743569</v>
      </c>
      <c r="H62" s="420">
        <f>G62-'C) Prél. conj.'!I62</f>
        <v>13.169255849526175</v>
      </c>
      <c r="I62" s="424">
        <f t="shared" si="2"/>
        <v>0</v>
      </c>
      <c r="J62" s="55">
        <f t="shared" si="3"/>
        <v>0</v>
      </c>
      <c r="K62" s="420">
        <f t="shared" si="4"/>
        <v>13.169255849526175</v>
      </c>
    </row>
    <row r="63" spans="1:11" x14ac:dyDescent="0.25">
      <c r="A63" s="49">
        <f>'A) Base RI'!A65</f>
        <v>5494</v>
      </c>
      <c r="B63" s="293" t="str">
        <f>'A) Base RI'!B65</f>
        <v>Pampigny</v>
      </c>
      <c r="C63" s="95">
        <f>'B) D RI'!U65</f>
        <v>36607.87342465754</v>
      </c>
      <c r="D63" s="419">
        <f>'E) Fact soc'!G69/C63</f>
        <v>16.390051245799185</v>
      </c>
      <c r="E63" s="136">
        <f>'H) Péréquation directe'!I74/C63</f>
        <v>4.6790839038435283</v>
      </c>
      <c r="F63" s="110"/>
      <c r="G63" s="136">
        <f t="shared" si="1"/>
        <v>21.069135149642712</v>
      </c>
      <c r="H63" s="420">
        <f>G63-'C) Prél. conj.'!I63</f>
        <v>18.207696879659949</v>
      </c>
      <c r="I63" s="424">
        <f t="shared" si="2"/>
        <v>0</v>
      </c>
      <c r="J63" s="55">
        <f t="shared" si="3"/>
        <v>0</v>
      </c>
      <c r="K63" s="420">
        <f t="shared" si="4"/>
        <v>18.207696879659949</v>
      </c>
    </row>
    <row r="64" spans="1:11" x14ac:dyDescent="0.25">
      <c r="A64" s="49">
        <f>'A) Base RI'!A66</f>
        <v>5495</v>
      </c>
      <c r="B64" s="293" t="str">
        <f>'A) Base RI'!B66</f>
        <v>Penthalaz</v>
      </c>
      <c r="C64" s="95">
        <f>'B) D RI'!U66</f>
        <v>93361.472702702697</v>
      </c>
      <c r="D64" s="419">
        <f>'E) Fact soc'!G70/C64</f>
        <v>16.619127795765774</v>
      </c>
      <c r="E64" s="136">
        <f>'H) Péréquation directe'!I75/C64</f>
        <v>-4.6144912730730434</v>
      </c>
      <c r="F64" s="110"/>
      <c r="G64" s="136">
        <f t="shared" si="1"/>
        <v>12.004636522692731</v>
      </c>
      <c r="H64" s="420">
        <f>G64-'C) Prél. conj.'!I64</f>
        <v>8.9141217027433743</v>
      </c>
      <c r="I64" s="424">
        <f t="shared" si="2"/>
        <v>0</v>
      </c>
      <c r="J64" s="55">
        <f t="shared" si="3"/>
        <v>0</v>
      </c>
      <c r="K64" s="420">
        <f t="shared" si="4"/>
        <v>8.9141217027433743</v>
      </c>
    </row>
    <row r="65" spans="1:11" x14ac:dyDescent="0.25">
      <c r="A65" s="49">
        <f>'A) Base RI'!A67</f>
        <v>5496</v>
      </c>
      <c r="B65" s="293" t="str">
        <f>'A) Base RI'!B67</f>
        <v>Penthaz</v>
      </c>
      <c r="C65" s="95">
        <f>'B) D RI'!U67</f>
        <v>60131.11913669065</v>
      </c>
      <c r="D65" s="419">
        <f>'E) Fact soc'!G71/C65</f>
        <v>16.52317922678991</v>
      </c>
      <c r="E65" s="136">
        <f>'H) Péréquation directe'!I76/C65</f>
        <v>3.2168708040346181</v>
      </c>
      <c r="F65" s="110"/>
      <c r="G65" s="136">
        <f t="shared" si="1"/>
        <v>19.740050030824527</v>
      </c>
      <c r="H65" s="420">
        <f>G65-'C) Prél. conj.'!I65</f>
        <v>16.745483779851035</v>
      </c>
      <c r="I65" s="424">
        <f t="shared" si="2"/>
        <v>0</v>
      </c>
      <c r="J65" s="55">
        <f t="shared" si="3"/>
        <v>0</v>
      </c>
      <c r="K65" s="420">
        <f t="shared" si="4"/>
        <v>16.745483779851035</v>
      </c>
    </row>
    <row r="66" spans="1:11" x14ac:dyDescent="0.25">
      <c r="A66" s="49">
        <f>'A) Base RI'!A68</f>
        <v>5497</v>
      </c>
      <c r="B66" s="293" t="str">
        <f>'A) Base RI'!B68</f>
        <v>Pompaples</v>
      </c>
      <c r="C66" s="95">
        <f>'B) D RI'!U68</f>
        <v>20396.986060606061</v>
      </c>
      <c r="D66" s="419">
        <f>'E) Fact soc'!G72/C66</f>
        <v>17.465317387017752</v>
      </c>
      <c r="E66" s="136">
        <f>'H) Péréquation directe'!I77/C66</f>
        <v>-2.9970220742124627</v>
      </c>
      <c r="F66" s="110"/>
      <c r="G66" s="136">
        <f t="shared" si="1"/>
        <v>14.468295312805289</v>
      </c>
      <c r="H66" s="420">
        <f>G66-'C) Prél. conj.'!I66</f>
        <v>10.531590901603956</v>
      </c>
      <c r="I66" s="424">
        <f t="shared" si="2"/>
        <v>0</v>
      </c>
      <c r="J66" s="55">
        <f t="shared" si="3"/>
        <v>0</v>
      </c>
      <c r="K66" s="420">
        <f t="shared" si="4"/>
        <v>10.531590901603956</v>
      </c>
    </row>
    <row r="67" spans="1:11" x14ac:dyDescent="0.25">
      <c r="A67" s="49">
        <f>'A) Base RI'!A69</f>
        <v>5498</v>
      </c>
      <c r="B67" s="293" t="str">
        <f>'A) Base RI'!B69</f>
        <v>La Sarraz</v>
      </c>
      <c r="C67" s="95">
        <f>'B) D RI'!U69</f>
        <v>77508.241969696974</v>
      </c>
      <c r="D67" s="419">
        <f>'E) Fact soc'!G73/C67</f>
        <v>15.729216494429123</v>
      </c>
      <c r="E67" s="136">
        <f>'H) Péréquation directe'!I78/C67</f>
        <v>0.13506814437656678</v>
      </c>
      <c r="F67" s="110"/>
      <c r="G67" s="136">
        <f t="shared" si="1"/>
        <v>15.864284638805689</v>
      </c>
      <c r="H67" s="420">
        <f>G67-'C) Prél. conj.'!I67</f>
        <v>13.663681120192985</v>
      </c>
      <c r="I67" s="424">
        <f t="shared" si="2"/>
        <v>0</v>
      </c>
      <c r="J67" s="55">
        <f t="shared" si="3"/>
        <v>0</v>
      </c>
      <c r="K67" s="420">
        <f t="shared" si="4"/>
        <v>13.663681120192985</v>
      </c>
    </row>
    <row r="68" spans="1:11" x14ac:dyDescent="0.25">
      <c r="A68" s="49">
        <f>'A) Base RI'!A70</f>
        <v>5499</v>
      </c>
      <c r="B68" s="293" t="str">
        <f>'A) Base RI'!B70</f>
        <v>Senarclens</v>
      </c>
      <c r="C68" s="95">
        <f>'B) D RI'!U70</f>
        <v>19654.447445255475</v>
      </c>
      <c r="D68" s="419">
        <f>'E) Fact soc'!G74/C68</f>
        <v>19.913336095076254</v>
      </c>
      <c r="E68" s="136">
        <f>'H) Péréquation directe'!I79/C68</f>
        <v>12.44607459867194</v>
      </c>
      <c r="F68" s="110"/>
      <c r="G68" s="136">
        <f t="shared" si="1"/>
        <v>32.359410693748195</v>
      </c>
      <c r="H68" s="420">
        <f>G68-'C) Prél. conj.'!I68</f>
        <v>25.974687574488364</v>
      </c>
      <c r="I68" s="424">
        <f t="shared" si="2"/>
        <v>0</v>
      </c>
      <c r="J68" s="55">
        <f t="shared" si="3"/>
        <v>0</v>
      </c>
      <c r="K68" s="420">
        <f t="shared" si="4"/>
        <v>25.974687574488364</v>
      </c>
    </row>
    <row r="69" spans="1:11" x14ac:dyDescent="0.25">
      <c r="A69" s="49">
        <f>'A) Base RI'!A71</f>
        <v>5500</v>
      </c>
      <c r="B69" s="293" t="str">
        <f>'A) Base RI'!B71</f>
        <v>Sévery</v>
      </c>
      <c r="C69" s="95">
        <f>'B) D RI'!U71</f>
        <v>7516.1401369863015</v>
      </c>
      <c r="D69" s="419">
        <f>'E) Fact soc'!G75/C69</f>
        <v>15.370419374805497</v>
      </c>
      <c r="E69" s="136">
        <f>'H) Péréquation directe'!I80/C69</f>
        <v>8.1608317107837713</v>
      </c>
      <c r="F69" s="110"/>
      <c r="G69" s="136">
        <f t="shared" si="1"/>
        <v>23.531251085589268</v>
      </c>
      <c r="H69" s="420">
        <f>G69-'C) Prél. conj.'!I69</f>
        <v>21.689444686600194</v>
      </c>
      <c r="I69" s="424">
        <f t="shared" si="2"/>
        <v>0</v>
      </c>
      <c r="J69" s="55">
        <f t="shared" si="3"/>
        <v>0</v>
      </c>
      <c r="K69" s="420">
        <f t="shared" si="4"/>
        <v>21.689444686600194</v>
      </c>
    </row>
    <row r="70" spans="1:11" x14ac:dyDescent="0.25">
      <c r="A70" s="49">
        <f>'A) Base RI'!A72</f>
        <v>5501</v>
      </c>
      <c r="B70" s="293" t="str">
        <f>'A) Base RI'!B72</f>
        <v>Sullens</v>
      </c>
      <c r="C70" s="95">
        <f>'B) D RI'!U72</f>
        <v>41921.141459854021</v>
      </c>
      <c r="D70" s="419">
        <f>'E) Fact soc'!G76/C70</f>
        <v>89.576314302198696</v>
      </c>
      <c r="E70" s="136">
        <f>'H) Péréquation directe'!I81/C70</f>
        <v>12.643933839257377</v>
      </c>
      <c r="F70" s="110"/>
      <c r="G70" s="136">
        <f t="shared" ref="G70:G133" si="5">SUM(D70:F70)</f>
        <v>102.22024814145607</v>
      </c>
      <c r="H70" s="420">
        <f>G70-'C) Prél. conj.'!I70</f>
        <v>26.172546815073787</v>
      </c>
      <c r="I70" s="424">
        <f t="shared" ref="I70:I133" si="6">IF(H70&gt;I$4,I$4-H70,0)</f>
        <v>0</v>
      </c>
      <c r="J70" s="55">
        <f t="shared" ref="J70:J133" si="7">I70*C70</f>
        <v>0</v>
      </c>
      <c r="K70" s="420">
        <f t="shared" ref="K70:K133" si="8">H70+I70</f>
        <v>26.172546815073787</v>
      </c>
    </row>
    <row r="71" spans="1:11" x14ac:dyDescent="0.25">
      <c r="A71" s="49">
        <f>'A) Base RI'!A73</f>
        <v>5503</v>
      </c>
      <c r="B71" s="293" t="str">
        <f>'A) Base RI'!B73</f>
        <v>Vufflens-la-Ville</v>
      </c>
      <c r="C71" s="95">
        <f>'B) D RI'!U73</f>
        <v>67911.005771144279</v>
      </c>
      <c r="D71" s="419">
        <f>'E) Fact soc'!G77/C71</f>
        <v>16.267515324119394</v>
      </c>
      <c r="E71" s="136">
        <f>'H) Péréquation directe'!I82/C71</f>
        <v>16.02573349497673</v>
      </c>
      <c r="F71" s="110"/>
      <c r="G71" s="136">
        <f t="shared" si="5"/>
        <v>32.293248819096121</v>
      </c>
      <c r="H71" s="420">
        <f>G71-'C) Prél. conj.'!I71</f>
        <v>30.131621873167788</v>
      </c>
      <c r="I71" s="424">
        <f t="shared" si="6"/>
        <v>0</v>
      </c>
      <c r="J71" s="55">
        <f t="shared" si="7"/>
        <v>0</v>
      </c>
      <c r="K71" s="420">
        <f t="shared" si="8"/>
        <v>30.131621873167788</v>
      </c>
    </row>
    <row r="72" spans="1:11" x14ac:dyDescent="0.25">
      <c r="A72" s="49">
        <f>'A) Base RI'!A74</f>
        <v>5511</v>
      </c>
      <c r="B72" s="293" t="str">
        <f>'A) Base RI'!B74</f>
        <v>Assens</v>
      </c>
      <c r="C72" s="95">
        <f>'B) D RI'!U74</f>
        <v>44474.742571428564</v>
      </c>
      <c r="D72" s="419">
        <f>'E) Fact soc'!G78/C72</f>
        <v>14.975909492409444</v>
      </c>
      <c r="E72" s="136">
        <f>'H) Péréquation directe'!I83/C72</f>
        <v>11.109953494489432</v>
      </c>
      <c r="F72" s="110"/>
      <c r="G72" s="136">
        <f t="shared" si="5"/>
        <v>26.085862986898874</v>
      </c>
      <c r="H72" s="420">
        <f>G72-'C) Prél. conj.'!I72</f>
        <v>24.63856647030585</v>
      </c>
      <c r="I72" s="424">
        <f t="shared" si="6"/>
        <v>0</v>
      </c>
      <c r="J72" s="55">
        <f t="shared" si="7"/>
        <v>0</v>
      </c>
      <c r="K72" s="420">
        <f t="shared" si="8"/>
        <v>24.63856647030585</v>
      </c>
    </row>
    <row r="73" spans="1:11" x14ac:dyDescent="0.25">
      <c r="A73" s="49">
        <f>'A) Base RI'!A75</f>
        <v>5512</v>
      </c>
      <c r="B73" s="293" t="str">
        <f>'A) Base RI'!B75</f>
        <v>Bercher</v>
      </c>
      <c r="C73" s="95">
        <f>'B) D RI'!U75</f>
        <v>40313.482784810127</v>
      </c>
      <c r="D73" s="419">
        <f>'E) Fact soc'!G79/C73</f>
        <v>15.6168506864942</v>
      </c>
      <c r="E73" s="136">
        <f>'H) Péréquation directe'!I84/C73</f>
        <v>-0.76777931709453207</v>
      </c>
      <c r="F73" s="110"/>
      <c r="G73" s="136">
        <f t="shared" si="5"/>
        <v>14.849071369399667</v>
      </c>
      <c r="H73" s="420">
        <f>G73-'C) Prél. conj.'!I73</f>
        <v>12.760833658721886</v>
      </c>
      <c r="I73" s="424">
        <f t="shared" si="6"/>
        <v>0</v>
      </c>
      <c r="J73" s="55">
        <f t="shared" si="7"/>
        <v>0</v>
      </c>
      <c r="K73" s="420">
        <f t="shared" si="8"/>
        <v>12.760833658721886</v>
      </c>
    </row>
    <row r="74" spans="1:11" x14ac:dyDescent="0.25">
      <c r="A74" s="49">
        <f>'A) Base RI'!A76</f>
        <v>5513</v>
      </c>
      <c r="B74" s="293" t="str">
        <f>'A) Base RI'!B76</f>
        <v>Bioley-Orjulaz</v>
      </c>
      <c r="C74" s="95">
        <f>'B) D RI'!U76</f>
        <v>22644.962352941177</v>
      </c>
      <c r="D74" s="419">
        <f>'E) Fact soc'!G80/C74</f>
        <v>19.159106990898753</v>
      </c>
      <c r="E74" s="136">
        <f>'H) Péréquation directe'!I85/C74</f>
        <v>14.593485602953294</v>
      </c>
      <c r="F74" s="110"/>
      <c r="G74" s="136">
        <f t="shared" si="5"/>
        <v>33.752592593852043</v>
      </c>
      <c r="H74" s="420">
        <f>G74-'C) Prél. conj.'!I74</f>
        <v>28.122098578769712</v>
      </c>
      <c r="I74" s="424">
        <f t="shared" si="6"/>
        <v>0</v>
      </c>
      <c r="J74" s="55">
        <f t="shared" si="7"/>
        <v>0</v>
      </c>
      <c r="K74" s="420">
        <f t="shared" si="8"/>
        <v>28.122098578769712</v>
      </c>
    </row>
    <row r="75" spans="1:11" x14ac:dyDescent="0.25">
      <c r="A75" s="49">
        <f>'A) Base RI'!A77</f>
        <v>5514</v>
      </c>
      <c r="B75" s="293" t="str">
        <f>'A) Base RI'!B77</f>
        <v>Bottens</v>
      </c>
      <c r="C75" s="95">
        <f>'B) D RI'!U77</f>
        <v>44190.368827586208</v>
      </c>
      <c r="D75" s="419">
        <f>'E) Fact soc'!G81/C75</f>
        <v>15.639341342079183</v>
      </c>
      <c r="E75" s="136">
        <f>'H) Péréquation directe'!I86/C75</f>
        <v>4.7502761246688765</v>
      </c>
      <c r="F75" s="110"/>
      <c r="G75" s="136">
        <f t="shared" si="5"/>
        <v>20.38961746674806</v>
      </c>
      <c r="H75" s="420">
        <f>G75-'C) Prél. conj.'!I75</f>
        <v>18.278889100485298</v>
      </c>
      <c r="I75" s="424">
        <f t="shared" si="6"/>
        <v>0</v>
      </c>
      <c r="J75" s="55">
        <f t="shared" si="7"/>
        <v>0</v>
      </c>
      <c r="K75" s="420">
        <f t="shared" si="8"/>
        <v>18.278889100485298</v>
      </c>
    </row>
    <row r="76" spans="1:11" x14ac:dyDescent="0.25">
      <c r="A76" s="49">
        <f>'A) Base RI'!A78</f>
        <v>5515</v>
      </c>
      <c r="B76" s="293" t="str">
        <f>'A) Base RI'!B78</f>
        <v>Bretigny-sur-Morrens</v>
      </c>
      <c r="C76" s="95">
        <f>'B) D RI'!U78</f>
        <v>29586.483086419765</v>
      </c>
      <c r="D76" s="419">
        <f>'E) Fact soc'!G82/C76</f>
        <v>17.544176591572167</v>
      </c>
      <c r="E76" s="136">
        <f>'H) Péréquation directe'!I87/C76</f>
        <v>5.5425494094639607</v>
      </c>
      <c r="F76" s="110"/>
      <c r="G76" s="136">
        <f t="shared" si="5"/>
        <v>23.086726001036126</v>
      </c>
      <c r="H76" s="420">
        <f>G76-'C) Prél. conj.'!I76</f>
        <v>19.071162385280381</v>
      </c>
      <c r="I76" s="424">
        <f t="shared" si="6"/>
        <v>0</v>
      </c>
      <c r="J76" s="55">
        <f t="shared" si="7"/>
        <v>0</v>
      </c>
      <c r="K76" s="420">
        <f t="shared" si="8"/>
        <v>19.071162385280381</v>
      </c>
    </row>
    <row r="77" spans="1:11" x14ac:dyDescent="0.25">
      <c r="A77" s="49">
        <f>'A) Base RI'!A79</f>
        <v>5516</v>
      </c>
      <c r="B77" s="293" t="str">
        <f>'A) Base RI'!B79</f>
        <v>Cugy</v>
      </c>
      <c r="C77" s="95">
        <f>'B) D RI'!U79</f>
        <v>107062.26318376069</v>
      </c>
      <c r="D77" s="419">
        <f>'E) Fact soc'!G83/C77</f>
        <v>17.142432107735218</v>
      </c>
      <c r="E77" s="136">
        <f>'H) Péréquation directe'!I88/C77</f>
        <v>6.8663578465365331</v>
      </c>
      <c r="F77" s="110"/>
      <c r="G77" s="136">
        <f t="shared" si="5"/>
        <v>24.008789954271752</v>
      </c>
      <c r="H77" s="420">
        <f>G77-'C) Prél. conj.'!I77</f>
        <v>20.394970822352953</v>
      </c>
      <c r="I77" s="424">
        <f t="shared" si="6"/>
        <v>0</v>
      </c>
      <c r="J77" s="55">
        <f t="shared" si="7"/>
        <v>0</v>
      </c>
      <c r="K77" s="420">
        <f t="shared" si="8"/>
        <v>20.394970822352953</v>
      </c>
    </row>
    <row r="78" spans="1:11" x14ac:dyDescent="0.25">
      <c r="A78" s="49">
        <f>'A) Base RI'!A80</f>
        <v>5518</v>
      </c>
      <c r="B78" s="293" t="str">
        <f>'A) Base RI'!B80</f>
        <v>Echallens</v>
      </c>
      <c r="C78" s="95">
        <f>'B) D RI'!U80</f>
        <v>178756.07310344829</v>
      </c>
      <c r="D78" s="419">
        <f>'E) Fact soc'!G84/C78</f>
        <v>16.942382865731439</v>
      </c>
      <c r="E78" s="136">
        <f>'H) Péréquation directe'!I89/C78</f>
        <v>-4.4069045345360953</v>
      </c>
      <c r="F78" s="110"/>
      <c r="G78" s="136">
        <f t="shared" si="5"/>
        <v>12.535478331195343</v>
      </c>
      <c r="H78" s="420">
        <f>G78-'C) Prél. conj.'!I78</f>
        <v>9.1217084412803224</v>
      </c>
      <c r="I78" s="424">
        <f t="shared" si="6"/>
        <v>0</v>
      </c>
      <c r="J78" s="55">
        <f t="shared" si="7"/>
        <v>0</v>
      </c>
      <c r="K78" s="420">
        <f t="shared" si="8"/>
        <v>9.1217084412803224</v>
      </c>
    </row>
    <row r="79" spans="1:11" x14ac:dyDescent="0.25">
      <c r="A79" s="49">
        <f>'A) Base RI'!A81</f>
        <v>5520</v>
      </c>
      <c r="B79" s="293" t="str">
        <f>'A) Base RI'!B81</f>
        <v>Essertines-sur-Yverdon</v>
      </c>
      <c r="C79" s="95">
        <f>'B) D RI'!U81</f>
        <v>29733.806712328769</v>
      </c>
      <c r="D79" s="419">
        <f>'E) Fact soc'!G85/C79</f>
        <v>17.97167794486468</v>
      </c>
      <c r="E79" s="136">
        <f>'H) Péréquation directe'!I90/C79</f>
        <v>0.53948162042358905</v>
      </c>
      <c r="F79" s="110"/>
      <c r="G79" s="136">
        <f t="shared" si="5"/>
        <v>18.511159565288271</v>
      </c>
      <c r="H79" s="420">
        <f>G79-'C) Prél. conj.'!I79</f>
        <v>14.068094596240009</v>
      </c>
      <c r="I79" s="424">
        <f t="shared" si="6"/>
        <v>0</v>
      </c>
      <c r="J79" s="55">
        <f t="shared" si="7"/>
        <v>0</v>
      </c>
      <c r="K79" s="420">
        <f t="shared" si="8"/>
        <v>14.068094596240009</v>
      </c>
    </row>
    <row r="80" spans="1:11" x14ac:dyDescent="0.25">
      <c r="A80" s="49">
        <f>'A) Base RI'!A82</f>
        <v>5521</v>
      </c>
      <c r="B80" s="293" t="str">
        <f>'A) Base RI'!B82</f>
        <v>Etagnières</v>
      </c>
      <c r="C80" s="95">
        <f>'B) D RI'!U82</f>
        <v>46797.314657534247</v>
      </c>
      <c r="D80" s="419">
        <f>'E) Fact soc'!G86/C80</f>
        <v>15.554872403177253</v>
      </c>
      <c r="E80" s="136">
        <f>'H) Péréquation directe'!I91/C80</f>
        <v>12.002372379091995</v>
      </c>
      <c r="F80" s="110"/>
      <c r="G80" s="136">
        <f t="shared" si="5"/>
        <v>27.557244782269247</v>
      </c>
      <c r="H80" s="420">
        <f>G80-'C) Prél. conj.'!I80</f>
        <v>25.530985354908417</v>
      </c>
      <c r="I80" s="424">
        <f t="shared" si="6"/>
        <v>0</v>
      </c>
      <c r="J80" s="55">
        <f t="shared" si="7"/>
        <v>0</v>
      </c>
      <c r="K80" s="420">
        <f t="shared" si="8"/>
        <v>25.530985354908417</v>
      </c>
    </row>
    <row r="81" spans="1:11" x14ac:dyDescent="0.25">
      <c r="A81" s="49">
        <f>'A) Base RI'!A83</f>
        <v>5522</v>
      </c>
      <c r="B81" s="293" t="str">
        <f>'A) Base RI'!B83</f>
        <v>Fey</v>
      </c>
      <c r="C81" s="95">
        <f>'B) D RI'!U83</f>
        <v>23726.940933333331</v>
      </c>
      <c r="D81" s="419">
        <f>'E) Fact soc'!G87/C81</f>
        <v>14.704757008812903</v>
      </c>
      <c r="E81" s="136">
        <f>'H) Péréquation directe'!I92/C81</f>
        <v>3.9705099031393694</v>
      </c>
      <c r="F81" s="110"/>
      <c r="G81" s="136">
        <f t="shared" si="5"/>
        <v>18.675266911952271</v>
      </c>
      <c r="H81" s="420">
        <f>G81-'C) Prél. conj.'!I81</f>
        <v>17.499122878955788</v>
      </c>
      <c r="I81" s="424">
        <f t="shared" si="6"/>
        <v>0</v>
      </c>
      <c r="J81" s="55">
        <f t="shared" si="7"/>
        <v>0</v>
      </c>
      <c r="K81" s="420">
        <f t="shared" si="8"/>
        <v>17.499122878955788</v>
      </c>
    </row>
    <row r="82" spans="1:11" x14ac:dyDescent="0.25">
      <c r="A82" s="49">
        <f>'A) Base RI'!A84</f>
        <v>5523</v>
      </c>
      <c r="B82" s="293" t="str">
        <f>'A) Base RI'!B84</f>
        <v>Froideville</v>
      </c>
      <c r="C82" s="95">
        <f>'B) D RI'!U84</f>
        <v>85868.846805555557</v>
      </c>
      <c r="D82" s="419">
        <f>'E) Fact soc'!G88/C82</f>
        <v>15.179948358497091</v>
      </c>
      <c r="E82" s="136">
        <f>'H) Péréquation directe'!I93/C82</f>
        <v>0.70727334035383005</v>
      </c>
      <c r="F82" s="110"/>
      <c r="G82" s="136">
        <f t="shared" si="5"/>
        <v>15.887221698850921</v>
      </c>
      <c r="H82" s="420">
        <f>G82-'C) Prél. conj.'!I82</f>
        <v>14.23588631617025</v>
      </c>
      <c r="I82" s="424">
        <f t="shared" si="6"/>
        <v>0</v>
      </c>
      <c r="J82" s="55">
        <f t="shared" si="7"/>
        <v>0</v>
      </c>
      <c r="K82" s="420">
        <f t="shared" si="8"/>
        <v>14.23588631617025</v>
      </c>
    </row>
    <row r="83" spans="1:11" x14ac:dyDescent="0.25">
      <c r="A83" s="49">
        <f>'A) Base RI'!A85</f>
        <v>5527</v>
      </c>
      <c r="B83" s="293" t="str">
        <f>'A) Base RI'!B85</f>
        <v>Morrens</v>
      </c>
      <c r="C83" s="95">
        <f>'B) D RI'!U85</f>
        <v>40564.204594594594</v>
      </c>
      <c r="D83" s="419">
        <f>'E) Fact soc'!G89/C83</f>
        <v>15.539550964499918</v>
      </c>
      <c r="E83" s="136">
        <f>'H) Péréquation directe'!I94/C83</f>
        <v>7.1565932907792202</v>
      </c>
      <c r="F83" s="110"/>
      <c r="G83" s="136">
        <f t="shared" si="5"/>
        <v>22.696144255279137</v>
      </c>
      <c r="H83" s="420">
        <f>G83-'C) Prél. conj.'!I83</f>
        <v>20.685206266595639</v>
      </c>
      <c r="I83" s="424">
        <f t="shared" si="6"/>
        <v>0</v>
      </c>
      <c r="J83" s="55">
        <f t="shared" si="7"/>
        <v>0</v>
      </c>
      <c r="K83" s="420">
        <f t="shared" si="8"/>
        <v>20.685206266595639</v>
      </c>
    </row>
    <row r="84" spans="1:11" x14ac:dyDescent="0.25">
      <c r="A84" s="49">
        <f>'A) Base RI'!A86</f>
        <v>5529</v>
      </c>
      <c r="B84" s="293" t="str">
        <f>'A) Base RI'!B86</f>
        <v>Oulens-sous-Echallens</v>
      </c>
      <c r="C84" s="95">
        <f>'B) D RI'!U86</f>
        <v>20201.245428571427</v>
      </c>
      <c r="D84" s="419">
        <f>'E) Fact soc'!G90/C84</f>
        <v>14.62007389974616</v>
      </c>
      <c r="E84" s="136">
        <f>'H) Péréquation directe'!I95/C84</f>
        <v>6.5296882043998643</v>
      </c>
      <c r="F84" s="110"/>
      <c r="G84" s="136">
        <f t="shared" si="5"/>
        <v>21.149762104146024</v>
      </c>
      <c r="H84" s="420">
        <f>G84-'C) Prél. conj.'!I84</f>
        <v>20.058301180216283</v>
      </c>
      <c r="I84" s="424">
        <f t="shared" si="6"/>
        <v>0</v>
      </c>
      <c r="J84" s="55">
        <f t="shared" si="7"/>
        <v>0</v>
      </c>
      <c r="K84" s="420">
        <f t="shared" si="8"/>
        <v>20.058301180216283</v>
      </c>
    </row>
    <row r="85" spans="1:11" x14ac:dyDescent="0.25">
      <c r="A85" s="49">
        <f>'A) Base RI'!A87</f>
        <v>5530</v>
      </c>
      <c r="B85" s="293" t="str">
        <f>'A) Base RI'!B87</f>
        <v>Pailly</v>
      </c>
      <c r="C85" s="95">
        <f>'B) D RI'!U87</f>
        <v>18302.009495614031</v>
      </c>
      <c r="D85" s="419">
        <f>'E) Fact soc'!G91/C85</f>
        <v>14.211588252547401</v>
      </c>
      <c r="E85" s="136">
        <f>'H) Péréquation directe'!I96/C85</f>
        <v>4.3834921398194204</v>
      </c>
      <c r="F85" s="110"/>
      <c r="G85" s="136">
        <f t="shared" si="5"/>
        <v>18.595080392366821</v>
      </c>
      <c r="H85" s="420">
        <f>G85-'C) Prél. conj.'!I85</f>
        <v>17.912105115635843</v>
      </c>
      <c r="I85" s="424">
        <f t="shared" si="6"/>
        <v>0</v>
      </c>
      <c r="J85" s="55">
        <f t="shared" si="7"/>
        <v>0</v>
      </c>
      <c r="K85" s="420">
        <f t="shared" si="8"/>
        <v>17.912105115635843</v>
      </c>
    </row>
    <row r="86" spans="1:11" x14ac:dyDescent="0.25">
      <c r="A86" s="49">
        <f>'A) Base RI'!A88</f>
        <v>5531</v>
      </c>
      <c r="B86" s="293" t="str">
        <f>'A) Base RI'!B88</f>
        <v>Penthéréaz</v>
      </c>
      <c r="C86" s="95">
        <f>'B) D RI'!U88</f>
        <v>13843.062702702704</v>
      </c>
      <c r="D86" s="419">
        <f>'E) Fact soc'!G92/C86</f>
        <v>15.551708630402464</v>
      </c>
      <c r="E86" s="136">
        <f>'H) Péréquation directe'!I97/C86</f>
        <v>5.8183988985094368</v>
      </c>
      <c r="F86" s="110"/>
      <c r="G86" s="136">
        <f t="shared" si="5"/>
        <v>21.370107528911902</v>
      </c>
      <c r="H86" s="420">
        <f>G86-'C) Prél. conj.'!I86</f>
        <v>19.347011874325858</v>
      </c>
      <c r="I86" s="424">
        <f t="shared" si="6"/>
        <v>0</v>
      </c>
      <c r="J86" s="55">
        <f t="shared" si="7"/>
        <v>0</v>
      </c>
      <c r="K86" s="420">
        <f t="shared" si="8"/>
        <v>19.347011874325858</v>
      </c>
    </row>
    <row r="87" spans="1:11" x14ac:dyDescent="0.25">
      <c r="A87" s="49">
        <f>'A) Base RI'!A89</f>
        <v>5533</v>
      </c>
      <c r="B87" s="293" t="str">
        <f>'A) Base RI'!B89</f>
        <v>Poliez-Pittet</v>
      </c>
      <c r="C87" s="95">
        <f>'B) D RI'!U89</f>
        <v>27190.167945205478</v>
      </c>
      <c r="D87" s="419">
        <f>'E) Fact soc'!G93/C87</f>
        <v>19.798344017696959</v>
      </c>
      <c r="E87" s="136">
        <f>'H) Péréquation directe'!I98/C87</f>
        <v>5.8334401814367265</v>
      </c>
      <c r="F87" s="110"/>
      <c r="G87" s="136">
        <f t="shared" si="5"/>
        <v>25.631784199133683</v>
      </c>
      <c r="H87" s="420">
        <f>G87-'C) Prél. conj.'!I87</f>
        <v>19.362053157253143</v>
      </c>
      <c r="I87" s="424">
        <f t="shared" si="6"/>
        <v>0</v>
      </c>
      <c r="J87" s="55">
        <f t="shared" si="7"/>
        <v>0</v>
      </c>
      <c r="K87" s="420">
        <f t="shared" si="8"/>
        <v>19.362053157253143</v>
      </c>
    </row>
    <row r="88" spans="1:11" x14ac:dyDescent="0.25">
      <c r="A88" s="49">
        <f>'A) Base RI'!A90</f>
        <v>5534</v>
      </c>
      <c r="B88" s="293" t="str">
        <f>'A) Base RI'!B90</f>
        <v>Rueyres</v>
      </c>
      <c r="C88" s="95">
        <f>'B) D RI'!U90</f>
        <v>9755.351210045661</v>
      </c>
      <c r="D88" s="419">
        <f>'E) Fact soc'!G94/C88</f>
        <v>16.117471075973103</v>
      </c>
      <c r="E88" s="136">
        <f>'H) Péréquation directe'!I99/C88</f>
        <v>9.5513056776675676</v>
      </c>
      <c r="F88" s="110"/>
      <c r="G88" s="136">
        <f t="shared" si="5"/>
        <v>25.668776753640671</v>
      </c>
      <c r="H88" s="420">
        <f>G88-'C) Prél. conj.'!I88</f>
        <v>23.07991865348399</v>
      </c>
      <c r="I88" s="424">
        <f t="shared" si="6"/>
        <v>0</v>
      </c>
      <c r="J88" s="55">
        <f t="shared" si="7"/>
        <v>0</v>
      </c>
      <c r="K88" s="420">
        <f t="shared" si="8"/>
        <v>23.07991865348399</v>
      </c>
    </row>
    <row r="89" spans="1:11" x14ac:dyDescent="0.25">
      <c r="A89" s="49">
        <f>'A) Base RI'!A91</f>
        <v>5535</v>
      </c>
      <c r="B89" s="293" t="str">
        <f>'A) Base RI'!B91</f>
        <v>Saint-Barthélemy</v>
      </c>
      <c r="C89" s="95">
        <f>'B) D RI'!U91</f>
        <v>22496.850133333337</v>
      </c>
      <c r="D89" s="419">
        <f>'E) Fact soc'!G95/C89</f>
        <v>14.909420725163208</v>
      </c>
      <c r="E89" s="136">
        <f>'H) Péréquation directe'!I100/C89</f>
        <v>-4.2906175381580989E-3</v>
      </c>
      <c r="F89" s="110"/>
      <c r="G89" s="136">
        <f t="shared" si="5"/>
        <v>14.90513010762505</v>
      </c>
      <c r="H89" s="420">
        <f>G89-'C) Prél. conj.'!I89</f>
        <v>13.524322358278262</v>
      </c>
      <c r="I89" s="424">
        <f t="shared" si="6"/>
        <v>0</v>
      </c>
      <c r="J89" s="55">
        <f t="shared" si="7"/>
        <v>0</v>
      </c>
      <c r="K89" s="420">
        <f t="shared" si="8"/>
        <v>13.524322358278262</v>
      </c>
    </row>
    <row r="90" spans="1:11" x14ac:dyDescent="0.25">
      <c r="A90" s="49">
        <f>'A) Base RI'!A92</f>
        <v>5537</v>
      </c>
      <c r="B90" s="293" t="str">
        <f>'A) Base RI'!B92</f>
        <v>Villars-le-Terroir</v>
      </c>
      <c r="C90" s="95">
        <f>'B) D RI'!U92</f>
        <v>37963.269999999997</v>
      </c>
      <c r="D90" s="419">
        <f>'E) Fact soc'!G96/C90</f>
        <v>16.094771660250085</v>
      </c>
      <c r="E90" s="136">
        <f>'H) Péréquation directe'!I101/C90</f>
        <v>0.42627653912210056</v>
      </c>
      <c r="F90" s="110"/>
      <c r="G90" s="136">
        <f t="shared" si="5"/>
        <v>16.521048199372185</v>
      </c>
      <c r="H90" s="420">
        <f>G90-'C) Prél. conj.'!I90</f>
        <v>13.95488951493852</v>
      </c>
      <c r="I90" s="424">
        <f t="shared" si="6"/>
        <v>0</v>
      </c>
      <c r="J90" s="55">
        <f t="shared" si="7"/>
        <v>0</v>
      </c>
      <c r="K90" s="420">
        <f t="shared" si="8"/>
        <v>13.95488951493852</v>
      </c>
    </row>
    <row r="91" spans="1:11" x14ac:dyDescent="0.25">
      <c r="A91" s="49">
        <f>'A) Base RI'!A93</f>
        <v>5539</v>
      </c>
      <c r="B91" s="293" t="str">
        <f>'A) Base RI'!B93</f>
        <v>Vuarrens</v>
      </c>
      <c r="C91" s="95">
        <f>'B) D RI'!U93</f>
        <v>35961.61534013605</v>
      </c>
      <c r="D91" s="419">
        <f>'E) Fact soc'!G97/C91</f>
        <v>18.151686450896062</v>
      </c>
      <c r="E91" s="136">
        <f>'H) Péréquation directe'!I102/C91</f>
        <v>6.5066961993741703</v>
      </c>
      <c r="F91" s="110"/>
      <c r="G91" s="136">
        <f t="shared" si="5"/>
        <v>24.658382650270234</v>
      </c>
      <c r="H91" s="420">
        <f>G91-'C) Prél. conj.'!I91</f>
        <v>20.035309175190594</v>
      </c>
      <c r="I91" s="424">
        <f t="shared" si="6"/>
        <v>0</v>
      </c>
      <c r="J91" s="55">
        <f t="shared" si="7"/>
        <v>0</v>
      </c>
      <c r="K91" s="420">
        <f t="shared" si="8"/>
        <v>20.035309175190594</v>
      </c>
    </row>
    <row r="92" spans="1:11" x14ac:dyDescent="0.25">
      <c r="A92" s="49">
        <f>'A) Base RI'!A94</f>
        <v>5540</v>
      </c>
      <c r="B92" s="293" t="str">
        <f>'A) Base RI'!B94</f>
        <v>Montilliez</v>
      </c>
      <c r="C92" s="95">
        <f>'B) D RI'!U94</f>
        <v>66256.548551724132</v>
      </c>
      <c r="D92" s="419">
        <f>'E) Fact soc'!G98/C92</f>
        <v>15.016914240453211</v>
      </c>
      <c r="E92" s="136">
        <f>'H) Péréquation directe'!I103/C92</f>
        <v>5.8892740290014025</v>
      </c>
      <c r="F92" s="110"/>
      <c r="G92" s="136">
        <f t="shared" si="5"/>
        <v>20.906188269454614</v>
      </c>
      <c r="H92" s="420">
        <f>G92-'C) Prél. conj.'!I92</f>
        <v>19.417887004817821</v>
      </c>
      <c r="I92" s="424">
        <f t="shared" si="6"/>
        <v>0</v>
      </c>
      <c r="J92" s="55">
        <f t="shared" si="7"/>
        <v>0</v>
      </c>
      <c r="K92" s="420">
        <f t="shared" si="8"/>
        <v>19.417887004817821</v>
      </c>
    </row>
    <row r="93" spans="1:11" x14ac:dyDescent="0.25">
      <c r="A93" s="49">
        <f>'A) Base RI'!A95</f>
        <v>5541</v>
      </c>
      <c r="B93" s="293" t="str">
        <f>'A) Base RI'!B95</f>
        <v>Goumoëns</v>
      </c>
      <c r="C93" s="95">
        <f>'B) D RI'!U95</f>
        <v>36998.611258278142</v>
      </c>
      <c r="D93" s="419">
        <f>'E) Fact soc'!G99/C93</f>
        <v>17.041427662095231</v>
      </c>
      <c r="E93" s="136">
        <f>'H) Péréquation directe'!I104/C93</f>
        <v>3.3857316087323901</v>
      </c>
      <c r="F93" s="110"/>
      <c r="G93" s="136">
        <f t="shared" si="5"/>
        <v>20.42715927082762</v>
      </c>
      <c r="H93" s="420">
        <f>G93-'C) Prél. conj.'!I93</f>
        <v>16.914344584548807</v>
      </c>
      <c r="I93" s="424">
        <f t="shared" si="6"/>
        <v>0</v>
      </c>
      <c r="J93" s="55">
        <f t="shared" si="7"/>
        <v>0</v>
      </c>
      <c r="K93" s="420">
        <f t="shared" si="8"/>
        <v>16.914344584548807</v>
      </c>
    </row>
    <row r="94" spans="1:11" x14ac:dyDescent="0.25">
      <c r="A94" s="49">
        <f>'A) Base RI'!A96</f>
        <v>5551</v>
      </c>
      <c r="B94" s="293" t="str">
        <f>'A) Base RI'!B96</f>
        <v>Bonvillars</v>
      </c>
      <c r="C94" s="95">
        <f>'B) D RI'!U96</f>
        <v>19156.634727272725</v>
      </c>
      <c r="D94" s="419">
        <f>'E) Fact soc'!G100/C94</f>
        <v>14.834388512914696</v>
      </c>
      <c r="E94" s="136">
        <f>'H) Péréquation directe'!I105/C94</f>
        <v>13.683098359893469</v>
      </c>
      <c r="F94" s="110"/>
      <c r="G94" s="136">
        <f t="shared" si="5"/>
        <v>28.517486872808163</v>
      </c>
      <c r="H94" s="420">
        <f>G94-'C) Prél. conj.'!I94</f>
        <v>27.211711335709889</v>
      </c>
      <c r="I94" s="424">
        <f t="shared" si="6"/>
        <v>0</v>
      </c>
      <c r="J94" s="55">
        <f t="shared" si="7"/>
        <v>0</v>
      </c>
      <c r="K94" s="420">
        <f t="shared" si="8"/>
        <v>27.211711335709889</v>
      </c>
    </row>
    <row r="95" spans="1:11" x14ac:dyDescent="0.25">
      <c r="A95" s="49">
        <f>'A) Base RI'!A97</f>
        <v>5552</v>
      </c>
      <c r="B95" s="293" t="str">
        <f>'A) Base RI'!B97</f>
        <v>Bullet</v>
      </c>
      <c r="C95" s="95">
        <f>'B) D RI'!U97</f>
        <v>17556.417482517485</v>
      </c>
      <c r="D95" s="419">
        <f>'E) Fact soc'!G101/C95</f>
        <v>17.63790862635793</v>
      </c>
      <c r="E95" s="136">
        <f>'H) Péréquation directe'!I106/C95</f>
        <v>-1.4690719302592803</v>
      </c>
      <c r="F95" s="110"/>
      <c r="G95" s="136">
        <f t="shared" si="5"/>
        <v>16.168836696098651</v>
      </c>
      <c r="H95" s="420">
        <f>G95-'C) Prél. conj.'!I95</f>
        <v>12.059541045557143</v>
      </c>
      <c r="I95" s="424">
        <f t="shared" si="6"/>
        <v>0</v>
      </c>
      <c r="J95" s="55">
        <f t="shared" si="7"/>
        <v>0</v>
      </c>
      <c r="K95" s="420">
        <f t="shared" si="8"/>
        <v>12.059541045557143</v>
      </c>
    </row>
    <row r="96" spans="1:11" x14ac:dyDescent="0.25">
      <c r="A96" s="49">
        <f>'A) Base RI'!A98</f>
        <v>5553</v>
      </c>
      <c r="B96" s="293" t="str">
        <f>'A) Base RI'!B98</f>
        <v>Champagne</v>
      </c>
      <c r="C96" s="95">
        <f>'B) D RI'!U98</f>
        <v>38681.377846153839</v>
      </c>
      <c r="D96" s="419">
        <f>'E) Fact soc'!G102/C96</f>
        <v>17.587812744358594</v>
      </c>
      <c r="E96" s="136">
        <f>'H) Péréquation directe'!I107/C96</f>
        <v>10.43559536862236</v>
      </c>
      <c r="F96" s="110"/>
      <c r="G96" s="136">
        <f t="shared" si="5"/>
        <v>28.023408112980952</v>
      </c>
      <c r="H96" s="420">
        <f>G96-'C) Prél. conj.'!I96</f>
        <v>23.964208344438781</v>
      </c>
      <c r="I96" s="424">
        <f t="shared" si="6"/>
        <v>0</v>
      </c>
      <c r="J96" s="55">
        <f t="shared" si="7"/>
        <v>0</v>
      </c>
      <c r="K96" s="420">
        <f t="shared" si="8"/>
        <v>23.964208344438781</v>
      </c>
    </row>
    <row r="97" spans="1:11" x14ac:dyDescent="0.25">
      <c r="A97" s="49">
        <f>'A) Base RI'!A99</f>
        <v>5554</v>
      </c>
      <c r="B97" s="293" t="str">
        <f>'A) Base RI'!B99</f>
        <v>Concise</v>
      </c>
      <c r="C97" s="95">
        <f>'B) D RI'!U99</f>
        <v>32327.871066666674</v>
      </c>
      <c r="D97" s="419">
        <f>'E) Fact soc'!G103/C97</f>
        <v>17.384656101666881</v>
      </c>
      <c r="E97" s="136">
        <f>'H) Péréquation directe'!I108/C97</f>
        <v>4.6945336776316946</v>
      </c>
      <c r="F97" s="110"/>
      <c r="G97" s="136">
        <f t="shared" si="5"/>
        <v>22.079189779298574</v>
      </c>
      <c r="H97" s="420">
        <f>G97-'C) Prél. conj.'!I97</f>
        <v>18.223146653448115</v>
      </c>
      <c r="I97" s="424">
        <f t="shared" si="6"/>
        <v>0</v>
      </c>
      <c r="J97" s="55">
        <f t="shared" si="7"/>
        <v>0</v>
      </c>
      <c r="K97" s="420">
        <f t="shared" si="8"/>
        <v>18.223146653448115</v>
      </c>
    </row>
    <row r="98" spans="1:11" x14ac:dyDescent="0.25">
      <c r="A98" s="49">
        <f>'A) Base RI'!A100</f>
        <v>5555</v>
      </c>
      <c r="B98" s="293" t="str">
        <f>'A) Base RI'!B100</f>
        <v>Corcelles-près-Concise</v>
      </c>
      <c r="C98" s="95">
        <f>'B) D RI'!U100</f>
        <v>13570.544057971018</v>
      </c>
      <c r="D98" s="419">
        <f>'E) Fact soc'!G104/C98</f>
        <v>20.243277812446703</v>
      </c>
      <c r="E98" s="136">
        <f>'H) Péréquation directe'!I109/C98</f>
        <v>6.4978233547939128</v>
      </c>
      <c r="F98" s="110"/>
      <c r="G98" s="136">
        <f t="shared" si="5"/>
        <v>26.741101167240615</v>
      </c>
      <c r="H98" s="420">
        <f>G98-'C) Prél. conj.'!I98</f>
        <v>20.026436330610334</v>
      </c>
      <c r="I98" s="424">
        <f t="shared" si="6"/>
        <v>0</v>
      </c>
      <c r="J98" s="55">
        <f t="shared" si="7"/>
        <v>0</v>
      </c>
      <c r="K98" s="420">
        <f t="shared" si="8"/>
        <v>20.026436330610334</v>
      </c>
    </row>
    <row r="99" spans="1:11" x14ac:dyDescent="0.25">
      <c r="A99" s="49">
        <f>'A) Base RI'!A101</f>
        <v>5556</v>
      </c>
      <c r="B99" s="293" t="str">
        <f>'A) Base RI'!B101</f>
        <v>Fiez</v>
      </c>
      <c r="C99" s="95">
        <f>'B) D RI'!U101</f>
        <v>13816.427753623188</v>
      </c>
      <c r="D99" s="419">
        <f>'E) Fact soc'!G105/C99</f>
        <v>16.812129946265109</v>
      </c>
      <c r="E99" s="136">
        <f>'H) Péréquation directe'!I110/C99</f>
        <v>4.6531956592119608</v>
      </c>
      <c r="F99" s="110"/>
      <c r="G99" s="136">
        <f t="shared" si="5"/>
        <v>21.465325605477069</v>
      </c>
      <c r="H99" s="420">
        <f>G99-'C) Prél. conj.'!I99</f>
        <v>18.181808635028379</v>
      </c>
      <c r="I99" s="424">
        <f t="shared" si="6"/>
        <v>0</v>
      </c>
      <c r="J99" s="55">
        <f t="shared" si="7"/>
        <v>0</v>
      </c>
      <c r="K99" s="420">
        <f t="shared" si="8"/>
        <v>18.181808635028379</v>
      </c>
    </row>
    <row r="100" spans="1:11" x14ac:dyDescent="0.25">
      <c r="A100" s="49">
        <f>'A) Base RI'!A102</f>
        <v>5557</v>
      </c>
      <c r="B100" s="293" t="str">
        <f>'A) Base RI'!B102</f>
        <v>Fontaines-sur-Grandson</v>
      </c>
      <c r="C100" s="95">
        <f>'B) D RI'!U102</f>
        <v>5880.3275362318818</v>
      </c>
      <c r="D100" s="419">
        <f>'E) Fact soc'!G106/C100</f>
        <v>19.047842100389492</v>
      </c>
      <c r="E100" s="136">
        <f>'H) Péréquation directe'!I111/C100</f>
        <v>-0.15050999263948608</v>
      </c>
      <c r="F100" s="110"/>
      <c r="G100" s="136">
        <f t="shared" si="5"/>
        <v>18.897332107750007</v>
      </c>
      <c r="H100" s="420">
        <f>G100-'C) Prél. conj.'!I100</f>
        <v>13.378102983176937</v>
      </c>
      <c r="I100" s="424">
        <f t="shared" si="6"/>
        <v>0</v>
      </c>
      <c r="J100" s="55">
        <f t="shared" si="7"/>
        <v>0</v>
      </c>
      <c r="K100" s="420">
        <f t="shared" si="8"/>
        <v>13.378102983176937</v>
      </c>
    </row>
    <row r="101" spans="1:11" x14ac:dyDescent="0.25">
      <c r="A101" s="49">
        <f>'A) Base RI'!A103</f>
        <v>5559</v>
      </c>
      <c r="B101" s="293" t="str">
        <f>'A) Base RI'!B103</f>
        <v>Giez</v>
      </c>
      <c r="C101" s="95">
        <f>'B) D RI'!U103</f>
        <v>16897.618636363641</v>
      </c>
      <c r="D101" s="419">
        <f>'E) Fact soc'!G107/C101</f>
        <v>17.080456954046703</v>
      </c>
      <c r="E101" s="136">
        <f>'H) Péréquation directe'!I112/C101</f>
        <v>13.447494369509155</v>
      </c>
      <c r="F101" s="110"/>
      <c r="G101" s="136">
        <f t="shared" si="5"/>
        <v>30.527951323555857</v>
      </c>
      <c r="H101" s="420">
        <f>G101-'C) Prél. conj.'!I101</f>
        <v>26.976107345325573</v>
      </c>
      <c r="I101" s="424">
        <f t="shared" si="6"/>
        <v>0</v>
      </c>
      <c r="J101" s="55">
        <f t="shared" si="7"/>
        <v>0</v>
      </c>
      <c r="K101" s="420">
        <f t="shared" si="8"/>
        <v>26.976107345325573</v>
      </c>
    </row>
    <row r="102" spans="1:11" x14ac:dyDescent="0.25">
      <c r="A102" s="49">
        <f>'A) Base RI'!A104</f>
        <v>5560</v>
      </c>
      <c r="B102" s="293" t="str">
        <f>'A) Base RI'!B104</f>
        <v>Grandevent</v>
      </c>
      <c r="C102" s="95">
        <f>'B) D RI'!U104</f>
        <v>6167.8957352941179</v>
      </c>
      <c r="D102" s="419">
        <f>'E) Fact soc'!G108/C102</f>
        <v>15.808604500240174</v>
      </c>
      <c r="E102" s="136">
        <f>'H) Péréquation directe'!I113/C102</f>
        <v>0.89808352953219017</v>
      </c>
      <c r="F102" s="110"/>
      <c r="G102" s="136">
        <f t="shared" si="5"/>
        <v>16.706688029772362</v>
      </c>
      <c r="H102" s="420">
        <f>G102-'C) Prél. conj.'!I102</f>
        <v>14.426696505348609</v>
      </c>
      <c r="I102" s="424">
        <f t="shared" si="6"/>
        <v>0</v>
      </c>
      <c r="J102" s="55">
        <f t="shared" si="7"/>
        <v>0</v>
      </c>
      <c r="K102" s="420">
        <f t="shared" si="8"/>
        <v>14.426696505348609</v>
      </c>
    </row>
    <row r="103" spans="1:11" x14ac:dyDescent="0.25">
      <c r="A103" s="49">
        <f>'A) Base RI'!A105</f>
        <v>5561</v>
      </c>
      <c r="B103" s="293" t="str">
        <f>'A) Base RI'!B105</f>
        <v>Grandson</v>
      </c>
      <c r="C103" s="95">
        <f>'B) D RI'!U105</f>
        <v>114985.73289855072</v>
      </c>
      <c r="D103" s="419">
        <f>'E) Fact soc'!G109/C103</f>
        <v>17.486129430501169</v>
      </c>
      <c r="E103" s="136">
        <f>'H) Péréquation directe'!I114/C103</f>
        <v>3.2282049966815753</v>
      </c>
      <c r="F103" s="110"/>
      <c r="G103" s="136">
        <f t="shared" si="5"/>
        <v>20.714334427182745</v>
      </c>
      <c r="H103" s="420">
        <f>G103-'C) Prél. conj.'!I103</f>
        <v>16.756817972497995</v>
      </c>
      <c r="I103" s="424">
        <f t="shared" si="6"/>
        <v>0</v>
      </c>
      <c r="J103" s="55">
        <f t="shared" si="7"/>
        <v>0</v>
      </c>
      <c r="K103" s="420">
        <f t="shared" si="8"/>
        <v>16.756817972497995</v>
      </c>
    </row>
    <row r="104" spans="1:11" x14ac:dyDescent="0.25">
      <c r="A104" s="49">
        <f>'A) Base RI'!A106</f>
        <v>5562</v>
      </c>
      <c r="B104" s="293" t="str">
        <f>'A) Base RI'!B106</f>
        <v>Mauborget</v>
      </c>
      <c r="C104" s="95">
        <f>'B) D RI'!U106</f>
        <v>6037.1574285714287</v>
      </c>
      <c r="D104" s="419">
        <f>'E) Fact soc'!G110/C104</f>
        <v>15.631084238190562</v>
      </c>
      <c r="E104" s="136">
        <f>'H) Péréquation directe'!I115/C104</f>
        <v>16.58681460496749</v>
      </c>
      <c r="F104" s="110"/>
      <c r="G104" s="136">
        <f t="shared" si="5"/>
        <v>32.217898843158054</v>
      </c>
      <c r="H104" s="420">
        <f>G104-'C) Prél. conj.'!I104</f>
        <v>30.115427580783912</v>
      </c>
      <c r="I104" s="424">
        <f t="shared" si="6"/>
        <v>0</v>
      </c>
      <c r="J104" s="55">
        <f t="shared" si="7"/>
        <v>0</v>
      </c>
      <c r="K104" s="420">
        <f t="shared" si="8"/>
        <v>30.115427580783912</v>
      </c>
    </row>
    <row r="105" spans="1:11" x14ac:dyDescent="0.25">
      <c r="A105" s="49">
        <f>'A) Base RI'!A107</f>
        <v>5563</v>
      </c>
      <c r="B105" s="293" t="str">
        <f>'A) Base RI'!B107</f>
        <v>Mutrux</v>
      </c>
      <c r="C105" s="95">
        <f>'B) D RI'!U107</f>
        <v>4073.5824999999995</v>
      </c>
      <c r="D105" s="419">
        <f>'E) Fact soc'!G111/C105</f>
        <v>16.428756768166274</v>
      </c>
      <c r="E105" s="136">
        <f>'H) Péréquation directe'!I116/C105</f>
        <v>-4.4663562882623085</v>
      </c>
      <c r="F105" s="110"/>
      <c r="G105" s="136">
        <f t="shared" si="5"/>
        <v>11.962400479903966</v>
      </c>
      <c r="H105" s="420">
        <f>G105-'C) Prél. conj.'!I105</f>
        <v>9.0622566875541111</v>
      </c>
      <c r="I105" s="424">
        <f t="shared" si="6"/>
        <v>0</v>
      </c>
      <c r="J105" s="55">
        <f t="shared" si="7"/>
        <v>0</v>
      </c>
      <c r="K105" s="420">
        <f t="shared" si="8"/>
        <v>9.0622566875541111</v>
      </c>
    </row>
    <row r="106" spans="1:11" x14ac:dyDescent="0.25">
      <c r="A106" s="49">
        <f>'A) Base RI'!A108</f>
        <v>5564</v>
      </c>
      <c r="B106" s="293" t="str">
        <f>'A) Base RI'!B108</f>
        <v>Novalles</v>
      </c>
      <c r="C106" s="95">
        <f>'B) D RI'!U108</f>
        <v>2091.5044407894734</v>
      </c>
      <c r="D106" s="419">
        <f>'E) Fact soc'!G112/C106</f>
        <v>19.945835783592901</v>
      </c>
      <c r="E106" s="136">
        <f>'H) Péréquation directe'!I117/C106</f>
        <v>-15.901160262606357</v>
      </c>
      <c r="F106" s="110"/>
      <c r="G106" s="136">
        <f t="shared" si="5"/>
        <v>4.0446755209865444</v>
      </c>
      <c r="H106" s="420">
        <f>G106-'C) Prél. conj.'!I106</f>
        <v>-2.3725472867899349</v>
      </c>
      <c r="I106" s="424">
        <f t="shared" si="6"/>
        <v>0</v>
      </c>
      <c r="J106" s="55">
        <f t="shared" si="7"/>
        <v>0</v>
      </c>
      <c r="K106" s="420">
        <f t="shared" si="8"/>
        <v>-2.3725472867899349</v>
      </c>
    </row>
    <row r="107" spans="1:11" x14ac:dyDescent="0.25">
      <c r="A107" s="49">
        <f>'A) Base RI'!A109</f>
        <v>5565</v>
      </c>
      <c r="B107" s="293" t="str">
        <f>'A) Base RI'!B109</f>
        <v>Onnens</v>
      </c>
      <c r="C107" s="95">
        <f>'B) D RI'!U109</f>
        <v>19690.582047244097</v>
      </c>
      <c r="D107" s="419">
        <f>'E) Fact soc'!G113/C107</f>
        <v>15.193391849358557</v>
      </c>
      <c r="E107" s="136">
        <f>'H) Péréquation directe'!I118/C107</f>
        <v>12.646177996225969</v>
      </c>
      <c r="F107" s="110"/>
      <c r="G107" s="136">
        <f t="shared" si="5"/>
        <v>27.839569845584528</v>
      </c>
      <c r="H107" s="420">
        <f>G107-'C) Prél. conj.'!I107</f>
        <v>26.174790972042395</v>
      </c>
      <c r="I107" s="424">
        <f t="shared" si="6"/>
        <v>0</v>
      </c>
      <c r="J107" s="55">
        <f t="shared" si="7"/>
        <v>0</v>
      </c>
      <c r="K107" s="420">
        <f t="shared" si="8"/>
        <v>26.174790972042395</v>
      </c>
    </row>
    <row r="108" spans="1:11" x14ac:dyDescent="0.25">
      <c r="A108" s="49">
        <f>'A) Base RI'!A110</f>
        <v>5566</v>
      </c>
      <c r="B108" s="293" t="str">
        <f>'A) Base RI'!B110</f>
        <v>Provence</v>
      </c>
      <c r="C108" s="95">
        <f>'B) D RI'!U110</f>
        <v>7598.735102880657</v>
      </c>
      <c r="D108" s="419">
        <f>'E) Fact soc'!G114/C108</f>
        <v>23.732911974291167</v>
      </c>
      <c r="E108" s="136">
        <f>'H) Péréquation directe'!I119/C108</f>
        <v>-25.853893906959016</v>
      </c>
      <c r="F108" s="110"/>
      <c r="G108" s="136">
        <f t="shared" si="5"/>
        <v>-2.1209819326678492</v>
      </c>
      <c r="H108" s="420">
        <f>G108-'C) Prél. conj.'!I108</f>
        <v>-12.325280931142597</v>
      </c>
      <c r="I108" s="424">
        <f t="shared" si="6"/>
        <v>0</v>
      </c>
      <c r="J108" s="55">
        <f t="shared" si="7"/>
        <v>0</v>
      </c>
      <c r="K108" s="420">
        <f t="shared" si="8"/>
        <v>-12.325280931142597</v>
      </c>
    </row>
    <row r="109" spans="1:11" x14ac:dyDescent="0.25">
      <c r="A109" s="49">
        <f>'A) Base RI'!A111</f>
        <v>5568</v>
      </c>
      <c r="B109" s="293" t="str">
        <f>'A) Base RI'!B111</f>
        <v>Sainte-Croix</v>
      </c>
      <c r="C109" s="95">
        <f>'B) D RI'!U111</f>
        <v>106515.47628571428</v>
      </c>
      <c r="D109" s="419">
        <f>'E) Fact soc'!G115/C109</f>
        <v>23.43757819669068</v>
      </c>
      <c r="E109" s="136">
        <f>'H) Péréquation directe'!I120/C109</f>
        <v>-21.031832632503352</v>
      </c>
      <c r="F109" s="110"/>
      <c r="G109" s="136">
        <f t="shared" si="5"/>
        <v>2.4057455641873275</v>
      </c>
      <c r="H109" s="420">
        <f>G109-'C) Prél. conj.'!I109</f>
        <v>-7.5032196566869338</v>
      </c>
      <c r="I109" s="424">
        <f t="shared" si="6"/>
        <v>0</v>
      </c>
      <c r="J109" s="55">
        <f t="shared" si="7"/>
        <v>0</v>
      </c>
      <c r="K109" s="420">
        <f t="shared" si="8"/>
        <v>-7.5032196566869338</v>
      </c>
    </row>
    <row r="110" spans="1:11" x14ac:dyDescent="0.25">
      <c r="A110" s="49">
        <f>'A) Base RI'!A112</f>
        <v>5571</v>
      </c>
      <c r="B110" s="293" t="str">
        <f>'A) Base RI'!B112</f>
        <v>Tévenon</v>
      </c>
      <c r="C110" s="95">
        <f>'B) D RI'!U112</f>
        <v>21380.087226107229</v>
      </c>
      <c r="D110" s="419">
        <f>'E) Fact soc'!G116/C110</f>
        <v>17.049952444818565</v>
      </c>
      <c r="E110" s="136">
        <f>'H) Péréquation directe'!I121/C110</f>
        <v>-6.3536467518661768</v>
      </c>
      <c r="F110" s="110"/>
      <c r="G110" s="136">
        <f t="shared" si="5"/>
        <v>10.696305692952389</v>
      </c>
      <c r="H110" s="420">
        <f>G110-'C) Prél. conj.'!I110</f>
        <v>7.1749662239502427</v>
      </c>
      <c r="I110" s="424">
        <f t="shared" si="6"/>
        <v>0</v>
      </c>
      <c r="J110" s="55">
        <f t="shared" si="7"/>
        <v>0</v>
      </c>
      <c r="K110" s="420">
        <f t="shared" si="8"/>
        <v>7.1749662239502427</v>
      </c>
    </row>
    <row r="111" spans="1:11" x14ac:dyDescent="0.25">
      <c r="A111" s="49">
        <f>'A) Base RI'!A113</f>
        <v>5581</v>
      </c>
      <c r="B111" s="293" t="str">
        <f>'A) Base RI'!B113</f>
        <v>Belmont-sur-Lausanne</v>
      </c>
      <c r="C111" s="95">
        <f>'B) D RI'!U113</f>
        <v>212445.65069444443</v>
      </c>
      <c r="D111" s="419">
        <f>'E) Fact soc'!G117/C111</f>
        <v>19.501257730712066</v>
      </c>
      <c r="E111" s="136">
        <f>'H) Péréquation directe'!I122/C111</f>
        <v>14.018714616760459</v>
      </c>
      <c r="F111" s="110"/>
      <c r="G111" s="136">
        <f t="shared" si="5"/>
        <v>33.519972347472525</v>
      </c>
      <c r="H111" s="420">
        <f>G111-'C) Prél. conj.'!I111</f>
        <v>29.68299384339192</v>
      </c>
      <c r="I111" s="424">
        <f t="shared" si="6"/>
        <v>0</v>
      </c>
      <c r="J111" s="55">
        <f t="shared" si="7"/>
        <v>0</v>
      </c>
      <c r="K111" s="420">
        <f t="shared" si="8"/>
        <v>29.68299384339192</v>
      </c>
    </row>
    <row r="112" spans="1:11" x14ac:dyDescent="0.25">
      <c r="A112" s="49">
        <f>'A) Base RI'!A114</f>
        <v>5582</v>
      </c>
      <c r="B112" s="293" t="str">
        <f>'A) Base RI'!B114</f>
        <v>Cheseaux-sur-Lausanne</v>
      </c>
      <c r="C112" s="95">
        <f>'B) D RI'!U114</f>
        <v>163780.29383561644</v>
      </c>
      <c r="D112" s="419">
        <f>'E) Fact soc'!G118/C112</f>
        <v>16.219167252402851</v>
      </c>
      <c r="E112" s="136">
        <f>'H) Péréquation directe'!I123/C112</f>
        <v>4.4172647964672818</v>
      </c>
      <c r="F112" s="110"/>
      <c r="G112" s="136">
        <f t="shared" si="5"/>
        <v>20.636432048870134</v>
      </c>
      <c r="H112" s="420">
        <f>G112-'C) Prél. conj.'!I112</f>
        <v>17.945877772283705</v>
      </c>
      <c r="I112" s="424">
        <f t="shared" si="6"/>
        <v>0</v>
      </c>
      <c r="J112" s="55">
        <f t="shared" si="7"/>
        <v>0</v>
      </c>
      <c r="K112" s="420">
        <f t="shared" si="8"/>
        <v>17.945877772283705</v>
      </c>
    </row>
    <row r="113" spans="1:11" x14ac:dyDescent="0.25">
      <c r="A113" s="49">
        <f>'A) Base RI'!A115</f>
        <v>5583</v>
      </c>
      <c r="B113" s="293" t="str">
        <f>'A) Base RI'!B115</f>
        <v>Crissier</v>
      </c>
      <c r="C113" s="95">
        <f>'B) D RI'!U115</f>
        <v>368095.30976377946</v>
      </c>
      <c r="D113" s="419">
        <f>'E) Fact soc'!G119/C113</f>
        <v>17.451485970114184</v>
      </c>
      <c r="E113" s="136">
        <f>'H) Péréquation directe'!I124/C113</f>
        <v>6.4933492998091147</v>
      </c>
      <c r="F113" s="110"/>
      <c r="G113" s="136">
        <f t="shared" si="5"/>
        <v>23.944835269923299</v>
      </c>
      <c r="H113" s="420">
        <f>G113-'C) Prél. conj.'!I113</f>
        <v>20.021962275625537</v>
      </c>
      <c r="I113" s="424">
        <f t="shared" si="6"/>
        <v>0</v>
      </c>
      <c r="J113" s="55">
        <f t="shared" si="7"/>
        <v>0</v>
      </c>
      <c r="K113" s="420">
        <f t="shared" si="8"/>
        <v>20.021962275625537</v>
      </c>
    </row>
    <row r="114" spans="1:11" x14ac:dyDescent="0.25">
      <c r="A114" s="49">
        <f>'A) Base RI'!A116</f>
        <v>5584</v>
      </c>
      <c r="B114" s="293" t="str">
        <f>'A) Base RI'!B116</f>
        <v>Epalinges</v>
      </c>
      <c r="C114" s="95">
        <f>'B) D RI'!U116</f>
        <v>482115.91751937981</v>
      </c>
      <c r="D114" s="419">
        <f>'E) Fact soc'!G120/C114</f>
        <v>17.718392643793091</v>
      </c>
      <c r="E114" s="136">
        <f>'H) Péréquation directe'!I125/C114</f>
        <v>9.6224448683347585</v>
      </c>
      <c r="F114" s="110"/>
      <c r="G114" s="136">
        <f t="shared" si="5"/>
        <v>27.340837512127848</v>
      </c>
      <c r="H114" s="420">
        <f>G114-'C) Prél. conj.'!I114</f>
        <v>23.477179826681024</v>
      </c>
      <c r="I114" s="424">
        <f t="shared" si="6"/>
        <v>0</v>
      </c>
      <c r="J114" s="55">
        <f t="shared" si="7"/>
        <v>0</v>
      </c>
      <c r="K114" s="420">
        <f t="shared" si="8"/>
        <v>23.477179826681024</v>
      </c>
    </row>
    <row r="115" spans="1:11" x14ac:dyDescent="0.25">
      <c r="A115" s="49">
        <f>'A) Base RI'!A117</f>
        <v>5585</v>
      </c>
      <c r="B115" s="293" t="str">
        <f>'A) Base RI'!B117</f>
        <v>Jouxtens-Mézery</v>
      </c>
      <c r="C115" s="95">
        <f>'B) D RI'!U117</f>
        <v>202487.97135593221</v>
      </c>
      <c r="D115" s="419">
        <f>'E) Fact soc'!G121/C115</f>
        <v>32.468600445113111</v>
      </c>
      <c r="E115" s="136">
        <f>'H) Péréquation directe'!I126/C115</f>
        <v>18.318717715835305</v>
      </c>
      <c r="F115" s="110"/>
      <c r="G115" s="136">
        <f t="shared" si="5"/>
        <v>50.787318160948416</v>
      </c>
      <c r="H115" s="420">
        <f>G115-'C) Prél. conj.'!I115</f>
        <v>48.077715529612036</v>
      </c>
      <c r="I115" s="424">
        <f t="shared" si="6"/>
        <v>-7.7715529612035539E-2</v>
      </c>
      <c r="J115" s="55">
        <f t="shared" si="7"/>
        <v>-15736.459933992954</v>
      </c>
      <c r="K115" s="420">
        <f t="shared" si="8"/>
        <v>48</v>
      </c>
    </row>
    <row r="116" spans="1:11" x14ac:dyDescent="0.25">
      <c r="A116" s="49">
        <f>'A) Base RI'!A118</f>
        <v>5586</v>
      </c>
      <c r="B116" s="293" t="str">
        <f>'A) Base RI'!B118</f>
        <v>Lausanne</v>
      </c>
      <c r="C116" s="95">
        <f>'B) D RI'!U118</f>
        <v>6272364.2800849257</v>
      </c>
      <c r="D116" s="419">
        <f>'E) Fact soc'!G122/C116</f>
        <v>17.135276869179087</v>
      </c>
      <c r="E116" s="136">
        <f>'H) Péréquation directe'!I127/C116</f>
        <v>-4.6797584172837405</v>
      </c>
      <c r="F116" s="110"/>
      <c r="G116" s="136">
        <f t="shared" si="5"/>
        <v>12.455518451895347</v>
      </c>
      <c r="H116" s="420">
        <f>G116-'C) Prél. conj.'!I116</f>
        <v>8.8488545585326825</v>
      </c>
      <c r="I116" s="424">
        <f t="shared" si="6"/>
        <v>0</v>
      </c>
      <c r="J116" s="55">
        <f t="shared" si="7"/>
        <v>0</v>
      </c>
      <c r="K116" s="420">
        <f t="shared" si="8"/>
        <v>8.8488545585326825</v>
      </c>
    </row>
    <row r="117" spans="1:11" x14ac:dyDescent="0.25">
      <c r="A117" s="49">
        <f>'A) Base RI'!A119</f>
        <v>5587</v>
      </c>
      <c r="B117" s="293" t="str">
        <f>'A) Base RI'!B119</f>
        <v>Le Mont-sur-Lausanne</v>
      </c>
      <c r="C117" s="95">
        <f>'B) D RI'!U119</f>
        <v>442860.74013605446</v>
      </c>
      <c r="D117" s="419">
        <f>'E) Fact soc'!G123/C117</f>
        <v>17.554445250592352</v>
      </c>
      <c r="E117" s="136">
        <f>'H) Péréquation directe'!I128/C117</f>
        <v>9.9133732024754853</v>
      </c>
      <c r="F117" s="110"/>
      <c r="G117" s="136">
        <f t="shared" si="5"/>
        <v>27.467818453067835</v>
      </c>
      <c r="H117" s="420">
        <f>G117-'C) Prél. conj.'!I117</f>
        <v>23.533339909170046</v>
      </c>
      <c r="I117" s="424">
        <f t="shared" si="6"/>
        <v>0</v>
      </c>
      <c r="J117" s="55">
        <f t="shared" si="7"/>
        <v>0</v>
      </c>
      <c r="K117" s="420">
        <f t="shared" si="8"/>
        <v>23.533339909170046</v>
      </c>
    </row>
    <row r="118" spans="1:11" x14ac:dyDescent="0.25">
      <c r="A118" s="49">
        <f>'A) Base RI'!A120</f>
        <v>5588</v>
      </c>
      <c r="B118" s="293" t="str">
        <f>'A) Base RI'!B120</f>
        <v>Paudex</v>
      </c>
      <c r="C118" s="95">
        <f>'B) D RI'!U120</f>
        <v>135448.58760472611</v>
      </c>
      <c r="D118" s="419">
        <f>'E) Fact soc'!G124/C118</f>
        <v>25.047420389069718</v>
      </c>
      <c r="E118" s="136">
        <f>'H) Péréquation directe'!I129/C118</f>
        <v>17.341326300761605</v>
      </c>
      <c r="F118" s="110"/>
      <c r="G118" s="136">
        <f t="shared" si="5"/>
        <v>42.388746689831322</v>
      </c>
      <c r="H118" s="420">
        <f>G118-'C) Prél. conj.'!I118</f>
        <v>40.373522870764525</v>
      </c>
      <c r="I118" s="424">
        <f t="shared" si="6"/>
        <v>0</v>
      </c>
      <c r="J118" s="55">
        <f t="shared" si="7"/>
        <v>0</v>
      </c>
      <c r="K118" s="420">
        <f t="shared" si="8"/>
        <v>40.373522870764525</v>
      </c>
    </row>
    <row r="119" spans="1:11" x14ac:dyDescent="0.25">
      <c r="A119" s="49">
        <f>'A) Base RI'!A121</f>
        <v>5589</v>
      </c>
      <c r="B119" s="293" t="str">
        <f>'A) Base RI'!B121</f>
        <v>Prilly</v>
      </c>
      <c r="C119" s="95">
        <f>'B) D RI'!U121</f>
        <v>455017.22467904515</v>
      </c>
      <c r="D119" s="419">
        <f>'E) Fact soc'!G125/C119</f>
        <v>16.433310365969675</v>
      </c>
      <c r="E119" s="136">
        <f>'H) Péréquation directe'!I130/C119</f>
        <v>-2.5273191886428577</v>
      </c>
      <c r="F119" s="110"/>
      <c r="G119" s="136">
        <f t="shared" si="5"/>
        <v>13.905991177326817</v>
      </c>
      <c r="H119" s="420">
        <f>G119-'C) Prél. conj.'!I119</f>
        <v>11.001293787173561</v>
      </c>
      <c r="I119" s="424">
        <f t="shared" si="6"/>
        <v>0</v>
      </c>
      <c r="J119" s="55">
        <f t="shared" si="7"/>
        <v>0</v>
      </c>
      <c r="K119" s="420">
        <f t="shared" si="8"/>
        <v>11.001293787173561</v>
      </c>
    </row>
    <row r="120" spans="1:11" x14ac:dyDescent="0.25">
      <c r="A120" s="49">
        <f>'A) Base RI'!A122</f>
        <v>5590</v>
      </c>
      <c r="B120" s="293" t="str">
        <f>'A) Base RI'!B122</f>
        <v>Pully</v>
      </c>
      <c r="C120" s="95">
        <f>'B) D RI'!U122</f>
        <v>1478979.5848477751</v>
      </c>
      <c r="D120" s="419">
        <f>'E) Fact soc'!G126/C120</f>
        <v>23.537272455902258</v>
      </c>
      <c r="E120" s="136">
        <f>'H) Péréquation directe'!I131/C120</f>
        <v>10.482452796005582</v>
      </c>
      <c r="F120" s="110"/>
      <c r="G120" s="136">
        <f t="shared" si="5"/>
        <v>34.019725251907843</v>
      </c>
      <c r="H120" s="420">
        <f>G120-'C) Prél. conj.'!I120</f>
        <v>30.959593630506301</v>
      </c>
      <c r="I120" s="424">
        <f t="shared" si="6"/>
        <v>0</v>
      </c>
      <c r="J120" s="55">
        <f t="shared" si="7"/>
        <v>0</v>
      </c>
      <c r="K120" s="420">
        <f t="shared" si="8"/>
        <v>30.959593630506301</v>
      </c>
    </row>
    <row r="121" spans="1:11" x14ac:dyDescent="0.25">
      <c r="A121" s="49">
        <f>'A) Base RI'!A123</f>
        <v>5591</v>
      </c>
      <c r="B121" s="293" t="str">
        <f>'A) Base RI'!B123</f>
        <v>Renens</v>
      </c>
      <c r="C121" s="95">
        <f>'B) D RI'!U123</f>
        <v>596748.60283858993</v>
      </c>
      <c r="D121" s="419">
        <f>'E) Fact soc'!G127/C121</f>
        <v>18.394559056272371</v>
      </c>
      <c r="E121" s="136">
        <f>'H) Péréquation directe'!I132/C121</f>
        <v>-23.120923030851905</v>
      </c>
      <c r="F121" s="110"/>
      <c r="G121" s="136">
        <f t="shared" si="5"/>
        <v>-4.7263639745795345</v>
      </c>
      <c r="H121" s="420">
        <f>G121-'C) Prél. conj.'!I121</f>
        <v>-9.5923100550354832</v>
      </c>
      <c r="I121" s="424">
        <f t="shared" si="6"/>
        <v>0</v>
      </c>
      <c r="J121" s="55">
        <f t="shared" si="7"/>
        <v>0</v>
      </c>
      <c r="K121" s="420">
        <f t="shared" si="8"/>
        <v>-9.5923100550354832</v>
      </c>
    </row>
    <row r="122" spans="1:11" x14ac:dyDescent="0.25">
      <c r="A122" s="49">
        <f>'A) Base RI'!A124</f>
        <v>5592</v>
      </c>
      <c r="B122" s="293" t="str">
        <f>'A) Base RI'!B124</f>
        <v>Romanel-sur-Lausanne</v>
      </c>
      <c r="C122" s="95">
        <f>'B) D RI'!U124</f>
        <v>121292.24695035459</v>
      </c>
      <c r="D122" s="419">
        <f>'E) Fact soc'!G128/C122</f>
        <v>15.779719925065676</v>
      </c>
      <c r="E122" s="136">
        <f>'H) Péréquation directe'!I133/C122</f>
        <v>6.1039791516051478</v>
      </c>
      <c r="F122" s="110"/>
      <c r="G122" s="136">
        <f t="shared" si="5"/>
        <v>21.883699076670823</v>
      </c>
      <c r="H122" s="420">
        <f>G122-'C) Prél. conj.'!I122</f>
        <v>19.632592127421567</v>
      </c>
      <c r="I122" s="424">
        <f t="shared" si="6"/>
        <v>0</v>
      </c>
      <c r="J122" s="55">
        <f t="shared" si="7"/>
        <v>0</v>
      </c>
      <c r="K122" s="420">
        <f t="shared" si="8"/>
        <v>19.632592127421567</v>
      </c>
    </row>
    <row r="123" spans="1:11" x14ac:dyDescent="0.25">
      <c r="A123" s="49">
        <f>'A) Base RI'!A125</f>
        <v>5601</v>
      </c>
      <c r="B123" s="293" t="str">
        <f>'A) Base RI'!B125</f>
        <v>Chexbres</v>
      </c>
      <c r="C123" s="95">
        <f>'B) D RI'!U125</f>
        <v>98072.029481481484</v>
      </c>
      <c r="D123" s="419">
        <f>'E) Fact soc'!G129/C123</f>
        <v>22.162546468136853</v>
      </c>
      <c r="E123" s="136">
        <f>'H) Péréquation directe'!I134/C123</f>
        <v>12.010769443503426</v>
      </c>
      <c r="F123" s="110"/>
      <c r="G123" s="136">
        <f t="shared" si="5"/>
        <v>34.17331591164028</v>
      </c>
      <c r="H123" s="420">
        <f>G123-'C) Prél. conj.'!I123</f>
        <v>25.539382419319846</v>
      </c>
      <c r="I123" s="424">
        <f t="shared" si="6"/>
        <v>0</v>
      </c>
      <c r="J123" s="55">
        <f t="shared" si="7"/>
        <v>0</v>
      </c>
      <c r="K123" s="420">
        <f t="shared" si="8"/>
        <v>25.539382419319846</v>
      </c>
    </row>
    <row r="124" spans="1:11" x14ac:dyDescent="0.25">
      <c r="A124" s="49">
        <f>'A) Base RI'!A126</f>
        <v>5604</v>
      </c>
      <c r="B124" s="293" t="str">
        <f>'A) Base RI'!B126</f>
        <v>Forel (Lavaux)</v>
      </c>
      <c r="C124" s="95">
        <f>'B) D RI'!U126</f>
        <v>71309.914782608685</v>
      </c>
      <c r="D124" s="419">
        <f>'E) Fact soc'!G130/C124</f>
        <v>16.179537683499607</v>
      </c>
      <c r="E124" s="136">
        <f>'H) Péréquation directe'!I135/C124</f>
        <v>4.4559193073884646</v>
      </c>
      <c r="F124" s="110"/>
      <c r="G124" s="136">
        <f t="shared" si="5"/>
        <v>20.635456990888073</v>
      </c>
      <c r="H124" s="420">
        <f>G124-'C) Prél. conj.'!I124</f>
        <v>17.984532283204885</v>
      </c>
      <c r="I124" s="424">
        <f t="shared" si="6"/>
        <v>0</v>
      </c>
      <c r="J124" s="55">
        <f t="shared" si="7"/>
        <v>0</v>
      </c>
      <c r="K124" s="420">
        <f t="shared" si="8"/>
        <v>17.984532283204885</v>
      </c>
    </row>
    <row r="125" spans="1:11" x14ac:dyDescent="0.25">
      <c r="A125" s="49">
        <f>'A) Base RI'!A127</f>
        <v>5606</v>
      </c>
      <c r="B125" s="293" t="str">
        <f>'A) Base RI'!B127</f>
        <v>Lutry</v>
      </c>
      <c r="C125" s="95">
        <f>'B) D RI'!U127</f>
        <v>875230.37264550268</v>
      </c>
      <c r="D125" s="419">
        <f>'E) Fact soc'!G131/C125</f>
        <v>23.734983812095429</v>
      </c>
      <c r="E125" s="136">
        <f>'H) Péréquation directe'!I136/C125</f>
        <v>13.445632105147526</v>
      </c>
      <c r="F125" s="110"/>
      <c r="G125" s="136">
        <f t="shared" si="5"/>
        <v>37.180615917242953</v>
      </c>
      <c r="H125" s="420">
        <f>G125-'C) Prél. conj.'!I125</f>
        <v>33.969398347742121</v>
      </c>
      <c r="I125" s="424">
        <f t="shared" si="6"/>
        <v>0</v>
      </c>
      <c r="J125" s="55">
        <f t="shared" si="7"/>
        <v>0</v>
      </c>
      <c r="K125" s="420">
        <f t="shared" si="8"/>
        <v>33.969398347742121</v>
      </c>
    </row>
    <row r="126" spans="1:11" x14ac:dyDescent="0.25">
      <c r="A126" s="49">
        <f>'A) Base RI'!A128</f>
        <v>5607</v>
      </c>
      <c r="B126" s="293" t="str">
        <f>'A) Base RI'!B128</f>
        <v>Puidoux</v>
      </c>
      <c r="C126" s="95">
        <f>'B) D RI'!U128</f>
        <v>102944.97501110758</v>
      </c>
      <c r="D126" s="419">
        <f>'E) Fact soc'!G132/C126</f>
        <v>19.799713094402524</v>
      </c>
      <c r="E126" s="136">
        <f>'H) Péréquation directe'!I137/C126</f>
        <v>5.3749067095627483</v>
      </c>
      <c r="F126" s="110"/>
      <c r="G126" s="136">
        <f t="shared" si="5"/>
        <v>25.174619803965271</v>
      </c>
      <c r="H126" s="420">
        <f>G126-'C) Prél. conj.'!I126</f>
        <v>18.90351968537917</v>
      </c>
      <c r="I126" s="424">
        <f t="shared" si="6"/>
        <v>0</v>
      </c>
      <c r="J126" s="55">
        <f t="shared" si="7"/>
        <v>0</v>
      </c>
      <c r="K126" s="420">
        <f t="shared" si="8"/>
        <v>18.90351968537917</v>
      </c>
    </row>
    <row r="127" spans="1:11" x14ac:dyDescent="0.25">
      <c r="A127" s="49">
        <f>'A) Base RI'!A129</f>
        <v>5609</v>
      </c>
      <c r="B127" s="293" t="str">
        <f>'A) Base RI'!B129</f>
        <v>Rivaz</v>
      </c>
      <c r="C127" s="95">
        <f>'B) D RI'!U129</f>
        <v>16048.850483870969</v>
      </c>
      <c r="D127" s="419">
        <f>'E) Fact soc'!G133/C127</f>
        <v>15.567517571063636</v>
      </c>
      <c r="E127" s="136">
        <f>'H) Péréquation directe'!I138/C127</f>
        <v>16.853879263963083</v>
      </c>
      <c r="F127" s="110"/>
      <c r="G127" s="136">
        <f t="shared" si="5"/>
        <v>32.421396835026719</v>
      </c>
      <c r="H127" s="420">
        <f>G127-'C) Prél. conj.'!I127</f>
        <v>30.382492239779506</v>
      </c>
      <c r="I127" s="424">
        <f t="shared" si="6"/>
        <v>0</v>
      </c>
      <c r="J127" s="55">
        <f t="shared" si="7"/>
        <v>0</v>
      </c>
      <c r="K127" s="420">
        <f t="shared" si="8"/>
        <v>30.382492239779506</v>
      </c>
    </row>
    <row r="128" spans="1:11" x14ac:dyDescent="0.25">
      <c r="A128" s="49">
        <f>'A) Base RI'!A130</f>
        <v>5610</v>
      </c>
      <c r="B128" s="293" t="str">
        <f>'A) Base RI'!B130</f>
        <v>St-Saphorin (Lavaux)</v>
      </c>
      <c r="C128" s="95">
        <f>'B) D RI'!U130</f>
        <v>19213.723703703701</v>
      </c>
      <c r="D128" s="419">
        <f>'E) Fact soc'!G134/C128</f>
        <v>17.24727883531013</v>
      </c>
      <c r="E128" s="136">
        <f>'H) Péréquation directe'!I139/C128</f>
        <v>17.131843315932805</v>
      </c>
      <c r="F128" s="110"/>
      <c r="G128" s="136">
        <f t="shared" si="5"/>
        <v>34.379122151242939</v>
      </c>
      <c r="H128" s="420">
        <f>G128-'C) Prél. conj.'!I128</f>
        <v>31.052124949358653</v>
      </c>
      <c r="I128" s="424">
        <f t="shared" si="6"/>
        <v>0</v>
      </c>
      <c r="J128" s="55">
        <f t="shared" si="7"/>
        <v>0</v>
      </c>
      <c r="K128" s="420">
        <f t="shared" si="8"/>
        <v>31.052124949358653</v>
      </c>
    </row>
    <row r="129" spans="1:11" x14ac:dyDescent="0.25">
      <c r="A129" s="49">
        <f>'A) Base RI'!A131</f>
        <v>5611</v>
      </c>
      <c r="B129" s="293" t="str">
        <f>'A) Base RI'!B131</f>
        <v>Savigny</v>
      </c>
      <c r="C129" s="95">
        <f>'B) D RI'!U131</f>
        <v>136715.33886473431</v>
      </c>
      <c r="D129" s="419">
        <f>'E) Fact soc'!G135/C129</f>
        <v>17.383143084697515</v>
      </c>
      <c r="E129" s="136">
        <f>'H) Péréquation directe'!I140/C129</f>
        <v>8.9548827967932088</v>
      </c>
      <c r="F129" s="110"/>
      <c r="G129" s="136">
        <f t="shared" si="5"/>
        <v>26.338025881490722</v>
      </c>
      <c r="H129" s="420">
        <f>G129-'C) Prél. conj.'!I129</f>
        <v>22.483495772609629</v>
      </c>
      <c r="I129" s="424">
        <f t="shared" si="6"/>
        <v>0</v>
      </c>
      <c r="J129" s="55">
        <f t="shared" si="7"/>
        <v>0</v>
      </c>
      <c r="K129" s="420">
        <f t="shared" si="8"/>
        <v>22.483495772609629</v>
      </c>
    </row>
    <row r="130" spans="1:11" x14ac:dyDescent="0.25">
      <c r="A130" s="49">
        <f>'A) Base RI'!A132</f>
        <v>5613</v>
      </c>
      <c r="B130" s="293" t="str">
        <f>'A) Base RI'!B132</f>
        <v>Bourg-en-Lavaux</v>
      </c>
      <c r="C130" s="95">
        <f>'B) D RI'!U132</f>
        <v>343828.17631999997</v>
      </c>
      <c r="D130" s="419">
        <f>'E) Fact soc'!G136/C130</f>
        <v>19.66528847227011</v>
      </c>
      <c r="E130" s="136">
        <f>'H) Péréquation directe'!I141/C130</f>
        <v>13.69723649286985</v>
      </c>
      <c r="F130" s="110"/>
      <c r="G130" s="136">
        <f t="shared" si="5"/>
        <v>33.362524965139961</v>
      </c>
      <c r="H130" s="420">
        <f>G130-'C) Prél. conj.'!I130</f>
        <v>30.875032464804555</v>
      </c>
      <c r="I130" s="424">
        <f t="shared" si="6"/>
        <v>0</v>
      </c>
      <c r="J130" s="55">
        <f t="shared" si="7"/>
        <v>0</v>
      </c>
      <c r="K130" s="420">
        <f t="shared" si="8"/>
        <v>30.875032464804555</v>
      </c>
    </row>
    <row r="131" spans="1:11" x14ac:dyDescent="0.25">
      <c r="A131" s="49">
        <f>'A) Base RI'!A133</f>
        <v>5621</v>
      </c>
      <c r="B131" s="293" t="str">
        <f>'A) Base RI'!B133</f>
        <v>Aclens</v>
      </c>
      <c r="C131" s="95">
        <f>'B) D RI'!U133</f>
        <v>32411.912521994131</v>
      </c>
      <c r="D131" s="419">
        <f>'E) Fact soc'!G137/C131</f>
        <v>21.066445118714547</v>
      </c>
      <c r="E131" s="136">
        <f>'H) Péréquation directe'!I142/C131</f>
        <v>17.615865208362056</v>
      </c>
      <c r="F131" s="110"/>
      <c r="G131" s="136">
        <f t="shared" si="5"/>
        <v>38.682310327076607</v>
      </c>
      <c r="H131" s="420">
        <f>G131-'C) Prél. conj.'!I131</f>
        <v>34.174978342243406</v>
      </c>
      <c r="I131" s="424">
        <f t="shared" si="6"/>
        <v>0</v>
      </c>
      <c r="J131" s="55">
        <f t="shared" si="7"/>
        <v>0</v>
      </c>
      <c r="K131" s="420">
        <f t="shared" si="8"/>
        <v>34.174978342243406</v>
      </c>
    </row>
    <row r="132" spans="1:11" x14ac:dyDescent="0.25">
      <c r="A132" s="49">
        <f>'A) Base RI'!A134</f>
        <v>5622</v>
      </c>
      <c r="B132" s="293" t="str">
        <f>'A) Base RI'!B134</f>
        <v>Bremblens</v>
      </c>
      <c r="C132" s="95">
        <f>'B) D RI'!U134</f>
        <v>27803.201911764703</v>
      </c>
      <c r="D132" s="419">
        <f>'E) Fact soc'!G138/C132</f>
        <v>15.510188701333391</v>
      </c>
      <c r="E132" s="136">
        <f>'H) Péréquation directe'!I143/C132</f>
        <v>16.847821526418773</v>
      </c>
      <c r="F132" s="110"/>
      <c r="G132" s="136">
        <f t="shared" si="5"/>
        <v>32.35801022775216</v>
      </c>
      <c r="H132" s="420">
        <f>G132-'C) Prél. conj.'!I132</f>
        <v>30.376434502235188</v>
      </c>
      <c r="I132" s="424">
        <f t="shared" si="6"/>
        <v>0</v>
      </c>
      <c r="J132" s="55">
        <f t="shared" si="7"/>
        <v>0</v>
      </c>
      <c r="K132" s="420">
        <f t="shared" si="8"/>
        <v>30.376434502235188</v>
      </c>
    </row>
    <row r="133" spans="1:11" x14ac:dyDescent="0.25">
      <c r="A133" s="49">
        <f>'A) Base RI'!A135</f>
        <v>5623</v>
      </c>
      <c r="B133" s="293" t="str">
        <f>'A) Base RI'!B135</f>
        <v>Buchillon</v>
      </c>
      <c r="C133" s="95">
        <f>'B) D RI'!U135</f>
        <v>94394.012307692305</v>
      </c>
      <c r="D133" s="419">
        <f>'E) Fact soc'!G139/C133</f>
        <v>28.658188495550085</v>
      </c>
      <c r="E133" s="136">
        <f>'H) Péréquation directe'!I144/C133</f>
        <v>18.734649936913314</v>
      </c>
      <c r="F133" s="110"/>
      <c r="G133" s="136">
        <f t="shared" si="5"/>
        <v>47.3928384324634</v>
      </c>
      <c r="H133" s="420">
        <f>G133-'C) Prél. conj.'!I133</f>
        <v>46.066023606627311</v>
      </c>
      <c r="I133" s="424">
        <f t="shared" si="6"/>
        <v>0</v>
      </c>
      <c r="J133" s="55">
        <f t="shared" si="7"/>
        <v>0</v>
      </c>
      <c r="K133" s="420">
        <f t="shared" si="8"/>
        <v>46.066023606627311</v>
      </c>
    </row>
    <row r="134" spans="1:11" x14ac:dyDescent="0.25">
      <c r="A134" s="49">
        <f>'A) Base RI'!A136</f>
        <v>5624</v>
      </c>
      <c r="B134" s="293" t="str">
        <f>'A) Base RI'!B136</f>
        <v>Bussigny</v>
      </c>
      <c r="C134" s="95">
        <f>'B) D RI'!U136</f>
        <v>354162.79119999992</v>
      </c>
      <c r="D134" s="419">
        <f>'E) Fact soc'!G140/C134</f>
        <v>18.329243511393702</v>
      </c>
      <c r="E134" s="136">
        <f>'H) Péréquation directe'!I145/C134</f>
        <v>1.5183290111469099</v>
      </c>
      <c r="F134" s="110"/>
      <c r="G134" s="136">
        <f t="shared" ref="G134:G197" si="9">SUM(D134:F134)</f>
        <v>19.847572522540613</v>
      </c>
      <c r="H134" s="420">
        <f>G134-'C) Prél. conj.'!I134</f>
        <v>15.046941986963333</v>
      </c>
      <c r="I134" s="424">
        <f t="shared" ref="I134:I197" si="10">IF(H134&gt;I$4,I$4-H134,0)</f>
        <v>0</v>
      </c>
      <c r="J134" s="55">
        <f t="shared" ref="J134:J197" si="11">I134*C134</f>
        <v>0</v>
      </c>
      <c r="K134" s="420">
        <f t="shared" ref="K134:K197" si="12">H134+I134</f>
        <v>15.046941986963333</v>
      </c>
    </row>
    <row r="135" spans="1:11" x14ac:dyDescent="0.25">
      <c r="A135" s="49">
        <f>'A) Base RI'!A137</f>
        <v>5625</v>
      </c>
      <c r="B135" s="293" t="str">
        <f>'A) Base RI'!B137</f>
        <v>Bussy-Chardonney</v>
      </c>
      <c r="C135" s="95">
        <f>'B) D RI'!U137</f>
        <v>17740.486103896103</v>
      </c>
      <c r="D135" s="419">
        <f>'E) Fact soc'!G141/C135</f>
        <v>18.833826961995207</v>
      </c>
      <c r="E135" s="136">
        <f>'H) Péréquation directe'!I146/C135</f>
        <v>14.503916115405566</v>
      </c>
      <c r="F135" s="110"/>
      <c r="G135" s="136">
        <f t="shared" si="9"/>
        <v>33.337743077400773</v>
      </c>
      <c r="H135" s="420">
        <f>G135-'C) Prél. conj.'!I135</f>
        <v>28.032529091221988</v>
      </c>
      <c r="I135" s="424">
        <f t="shared" si="10"/>
        <v>0</v>
      </c>
      <c r="J135" s="55">
        <f t="shared" si="11"/>
        <v>0</v>
      </c>
      <c r="K135" s="420">
        <f t="shared" si="12"/>
        <v>28.032529091221988</v>
      </c>
    </row>
    <row r="136" spans="1:11" x14ac:dyDescent="0.25">
      <c r="A136" s="49">
        <f>'A) Base RI'!A138</f>
        <v>5627</v>
      </c>
      <c r="B136" s="293" t="str">
        <f>'A) Base RI'!B138</f>
        <v>Chavannes-près-Renens</v>
      </c>
      <c r="C136" s="95">
        <f>'B) D RI'!U138</f>
        <v>161901.70176344088</v>
      </c>
      <c r="D136" s="419">
        <f>'E) Fact soc'!G142/C136</f>
        <v>16.708464079248444</v>
      </c>
      <c r="E136" s="136">
        <f>'H) Péréquation directe'!I147/C136</f>
        <v>-41.119297277404876</v>
      </c>
      <c r="F136" s="110"/>
      <c r="G136" s="136">
        <f t="shared" si="9"/>
        <v>-24.410833198156432</v>
      </c>
      <c r="H136" s="420">
        <f>G136-'C) Prél. conj.'!I136</f>
        <v>-27.590684301588457</v>
      </c>
      <c r="I136" s="424">
        <f t="shared" si="10"/>
        <v>0</v>
      </c>
      <c r="J136" s="55">
        <f t="shared" si="11"/>
        <v>0</v>
      </c>
      <c r="K136" s="420">
        <f t="shared" si="12"/>
        <v>-27.590684301588457</v>
      </c>
    </row>
    <row r="137" spans="1:11" x14ac:dyDescent="0.25">
      <c r="A137" s="49">
        <f>'A) Base RI'!A139</f>
        <v>5628</v>
      </c>
      <c r="B137" s="293" t="str">
        <f>'A) Base RI'!B139</f>
        <v>Chigny</v>
      </c>
      <c r="C137" s="95">
        <f>'B) D RI'!U139</f>
        <v>24624.530161290324</v>
      </c>
      <c r="D137" s="419">
        <f>'E) Fact soc'!G143/C137</f>
        <v>19.388694158637975</v>
      </c>
      <c r="E137" s="136">
        <f>'H) Péréquation directe'!I148/C137</f>
        <v>17.641752882214099</v>
      </c>
      <c r="F137" s="110"/>
      <c r="G137" s="136">
        <f t="shared" si="9"/>
        <v>37.030447040852074</v>
      </c>
      <c r="H137" s="420">
        <f>G137-'C) Prél. conj.'!I137</f>
        <v>34.400409652288701</v>
      </c>
      <c r="I137" s="424">
        <f t="shared" si="10"/>
        <v>0</v>
      </c>
      <c r="J137" s="55">
        <f t="shared" si="11"/>
        <v>0</v>
      </c>
      <c r="K137" s="420">
        <f t="shared" si="12"/>
        <v>34.400409652288701</v>
      </c>
    </row>
    <row r="138" spans="1:11" x14ac:dyDescent="0.25">
      <c r="A138" s="49">
        <f>'A) Base RI'!A140</f>
        <v>5629</v>
      </c>
      <c r="B138" s="293" t="str">
        <f>'A) Base RI'!B140</f>
        <v>Clarmont</v>
      </c>
      <c r="C138" s="95">
        <f>'B) D RI'!U140</f>
        <v>8521.2598639455773</v>
      </c>
      <c r="D138" s="419">
        <f>'E) Fact soc'!G144/C138</f>
        <v>13.767183918665088</v>
      </c>
      <c r="E138" s="136">
        <f>'H) Péréquation directe'!I149/C138</f>
        <v>13.756636550179641</v>
      </c>
      <c r="F138" s="110"/>
      <c r="G138" s="136">
        <f t="shared" si="9"/>
        <v>27.523820468844729</v>
      </c>
      <c r="H138" s="420">
        <f>G138-'C) Prél. conj.'!I138</f>
        <v>27.285249525996061</v>
      </c>
      <c r="I138" s="424">
        <f t="shared" si="10"/>
        <v>0</v>
      </c>
      <c r="J138" s="55">
        <f t="shared" si="11"/>
        <v>0</v>
      </c>
      <c r="K138" s="420">
        <f t="shared" si="12"/>
        <v>27.285249525996061</v>
      </c>
    </row>
    <row r="139" spans="1:11" x14ac:dyDescent="0.25">
      <c r="A139" s="49">
        <f>'A) Base RI'!A141</f>
        <v>5631</v>
      </c>
      <c r="B139" s="293" t="str">
        <f>'A) Base RI'!B141</f>
        <v>Denens</v>
      </c>
      <c r="C139" s="95">
        <f>'B) D RI'!U141</f>
        <v>43455.14235294117</v>
      </c>
      <c r="D139" s="419">
        <f>'E) Fact soc'!G145/C139</f>
        <v>20.414843672886359</v>
      </c>
      <c r="E139" s="136">
        <f>'H) Péréquation directe'!I150/C139</f>
        <v>17.518558164168493</v>
      </c>
      <c r="F139" s="110"/>
      <c r="G139" s="136">
        <f t="shared" si="9"/>
        <v>37.933401837054852</v>
      </c>
      <c r="H139" s="420">
        <f>G139-'C) Prél. conj.'!I139</f>
        <v>33.548312071329974</v>
      </c>
      <c r="I139" s="424">
        <f t="shared" si="10"/>
        <v>0</v>
      </c>
      <c r="J139" s="55">
        <f t="shared" si="11"/>
        <v>0</v>
      </c>
      <c r="K139" s="420">
        <f t="shared" si="12"/>
        <v>33.548312071329974</v>
      </c>
    </row>
    <row r="140" spans="1:11" x14ac:dyDescent="0.25">
      <c r="A140" s="49">
        <f>'A) Base RI'!A142</f>
        <v>5632</v>
      </c>
      <c r="B140" s="293" t="str">
        <f>'A) Base RI'!B142</f>
        <v>Denges</v>
      </c>
      <c r="C140" s="95">
        <f>'B) D RI'!U142</f>
        <v>76479.966774193541</v>
      </c>
      <c r="D140" s="419">
        <f>'E) Fact soc'!G146/C140</f>
        <v>16.306943026970401</v>
      </c>
      <c r="E140" s="136">
        <f>'H) Péréquation directe'!I151/C140</f>
        <v>13.317449819265388</v>
      </c>
      <c r="F140" s="110"/>
      <c r="G140" s="136">
        <f t="shared" si="9"/>
        <v>29.624392846235789</v>
      </c>
      <c r="H140" s="420">
        <f>G140-'C) Prél. conj.'!I140</f>
        <v>26.846062795081806</v>
      </c>
      <c r="I140" s="424">
        <f t="shared" si="10"/>
        <v>0</v>
      </c>
      <c r="J140" s="55">
        <f t="shared" si="11"/>
        <v>0</v>
      </c>
      <c r="K140" s="420">
        <f t="shared" si="12"/>
        <v>26.846062795081806</v>
      </c>
    </row>
    <row r="141" spans="1:11" x14ac:dyDescent="0.25">
      <c r="A141" s="49">
        <f>'A) Base RI'!A143</f>
        <v>5633</v>
      </c>
      <c r="B141" s="293" t="str">
        <f>'A) Base RI'!B143</f>
        <v>Echandens</v>
      </c>
      <c r="C141" s="95">
        <f>'B) D RI'!U143</f>
        <v>148865.46909090912</v>
      </c>
      <c r="D141" s="419">
        <f>'E) Fact soc'!G147/C141</f>
        <v>20.155901374405293</v>
      </c>
      <c r="E141" s="136">
        <f>'H) Péréquation directe'!I152/C141</f>
        <v>14.737825132303053</v>
      </c>
      <c r="F141" s="110"/>
      <c r="G141" s="136">
        <f t="shared" si="9"/>
        <v>34.893726506708347</v>
      </c>
      <c r="H141" s="420">
        <f>G141-'C) Prél. conj.'!I141</f>
        <v>29.62602621470095</v>
      </c>
      <c r="I141" s="424">
        <f t="shared" si="10"/>
        <v>0</v>
      </c>
      <c r="J141" s="55">
        <f t="shared" si="11"/>
        <v>0</v>
      </c>
      <c r="K141" s="420">
        <f t="shared" si="12"/>
        <v>29.62602621470095</v>
      </c>
    </row>
    <row r="142" spans="1:11" x14ac:dyDescent="0.25">
      <c r="A142" s="49">
        <f>'A) Base RI'!A144</f>
        <v>5634</v>
      </c>
      <c r="B142" s="293" t="str">
        <f>'A) Base RI'!B144</f>
        <v>Echichens</v>
      </c>
      <c r="C142" s="95">
        <f>'B) D RI'!U144</f>
        <v>164177.5981818182</v>
      </c>
      <c r="D142" s="419">
        <f>'E) Fact soc'!G148/C142</f>
        <v>17.21108519058669</v>
      </c>
      <c r="E142" s="136">
        <f>'H) Péréquation directe'!I153/C142</f>
        <v>14.267498459059221</v>
      </c>
      <c r="F142" s="110"/>
      <c r="G142" s="136">
        <f t="shared" si="9"/>
        <v>31.478583649645913</v>
      </c>
      <c r="H142" s="420">
        <f>G142-'C) Prél. conj.'!I142</f>
        <v>28.884786842310476</v>
      </c>
      <c r="I142" s="424">
        <f t="shared" si="10"/>
        <v>0</v>
      </c>
      <c r="J142" s="55">
        <f t="shared" si="11"/>
        <v>0</v>
      </c>
      <c r="K142" s="420">
        <f t="shared" si="12"/>
        <v>28.884786842310476</v>
      </c>
    </row>
    <row r="143" spans="1:11" x14ac:dyDescent="0.25">
      <c r="A143" s="49">
        <f>'A) Base RI'!A145</f>
        <v>5635</v>
      </c>
      <c r="B143" s="293" t="str">
        <f>'A) Base RI'!B145</f>
        <v>Ecublens</v>
      </c>
      <c r="C143" s="95">
        <f>'B) D RI'!U145</f>
        <v>681739.39309333346</v>
      </c>
      <c r="D143" s="419">
        <f>'E) Fact soc'!G149/C143</f>
        <v>17.631945918579959</v>
      </c>
      <c r="E143" s="136">
        <f>'H) Péréquation directe'!I154/C143</f>
        <v>8.0842766166757247</v>
      </c>
      <c r="F143" s="110"/>
      <c r="G143" s="136">
        <f t="shared" si="9"/>
        <v>25.716222535255682</v>
      </c>
      <c r="H143" s="420">
        <f>G143-'C) Prél. conj.'!I143</f>
        <v>22.485473179543355</v>
      </c>
      <c r="I143" s="424">
        <f t="shared" si="10"/>
        <v>0</v>
      </c>
      <c r="J143" s="55">
        <f t="shared" si="11"/>
        <v>0</v>
      </c>
      <c r="K143" s="420">
        <f t="shared" si="12"/>
        <v>22.485473179543355</v>
      </c>
    </row>
    <row r="144" spans="1:11" x14ac:dyDescent="0.25">
      <c r="A144" s="49">
        <f>'A) Base RI'!A146</f>
        <v>5636</v>
      </c>
      <c r="B144" s="293" t="str">
        <f>'A) Base RI'!B146</f>
        <v>Etoy</v>
      </c>
      <c r="C144" s="95">
        <f>'B) D RI'!U146</f>
        <v>170715.46099999998</v>
      </c>
      <c r="D144" s="419">
        <f>'E) Fact soc'!G150/C144</f>
        <v>19.721853727751565</v>
      </c>
      <c r="E144" s="136">
        <f>'H) Péréquation directe'!I155/C144</f>
        <v>15.027122599316877</v>
      </c>
      <c r="F144" s="110"/>
      <c r="G144" s="136">
        <f t="shared" si="9"/>
        <v>34.748976327068441</v>
      </c>
      <c r="H144" s="420">
        <f>G144-'C) Prél. conj.'!I144</f>
        <v>30.795023907960953</v>
      </c>
      <c r="I144" s="424">
        <f t="shared" si="10"/>
        <v>0</v>
      </c>
      <c r="J144" s="55">
        <f t="shared" si="11"/>
        <v>0</v>
      </c>
      <c r="K144" s="420">
        <f t="shared" si="12"/>
        <v>30.795023907960953</v>
      </c>
    </row>
    <row r="145" spans="1:11" x14ac:dyDescent="0.25">
      <c r="A145" s="49">
        <f>'A) Base RI'!A147</f>
        <v>5637</v>
      </c>
      <c r="B145" s="293" t="str">
        <f>'A) Base RI'!B147</f>
        <v>Lavigny</v>
      </c>
      <c r="C145" s="95">
        <f>'B) D RI'!U147</f>
        <v>41194.659315068493</v>
      </c>
      <c r="D145" s="419">
        <f>'E) Fact soc'!G151/C145</f>
        <v>17.870173701737492</v>
      </c>
      <c r="E145" s="136">
        <f>'H) Péréquation directe'!I156/C145</f>
        <v>12.736576838529613</v>
      </c>
      <c r="F145" s="110"/>
      <c r="G145" s="136">
        <f t="shared" si="9"/>
        <v>30.606750540267107</v>
      </c>
      <c r="H145" s="420">
        <f>G145-'C) Prél. conj.'!I145</f>
        <v>26.265189814346037</v>
      </c>
      <c r="I145" s="424">
        <f t="shared" si="10"/>
        <v>0</v>
      </c>
      <c r="J145" s="55">
        <f t="shared" si="11"/>
        <v>0</v>
      </c>
      <c r="K145" s="420">
        <f t="shared" si="12"/>
        <v>26.265189814346037</v>
      </c>
    </row>
    <row r="146" spans="1:11" x14ac:dyDescent="0.25">
      <c r="A146" s="49">
        <f>'A) Base RI'!A148</f>
        <v>5638</v>
      </c>
      <c r="B146" s="293" t="str">
        <f>'A) Base RI'!B148</f>
        <v>Lonay</v>
      </c>
      <c r="C146" s="95">
        <f>'B) D RI'!U148</f>
        <v>145490.01981818181</v>
      </c>
      <c r="D146" s="419">
        <f>'E) Fact soc'!G152/C146</f>
        <v>22.660844586695891</v>
      </c>
      <c r="E146" s="136">
        <f>'H) Péréquation directe'!I157/C146</f>
        <v>14.776913524827695</v>
      </c>
      <c r="F146" s="110"/>
      <c r="G146" s="136">
        <f t="shared" si="9"/>
        <v>37.437758111523586</v>
      </c>
      <c r="H146" s="420">
        <f>G146-'C) Prél. conj.'!I146</f>
        <v>29.548085703515902</v>
      </c>
      <c r="I146" s="424">
        <f t="shared" si="10"/>
        <v>0</v>
      </c>
      <c r="J146" s="55">
        <f t="shared" si="11"/>
        <v>0</v>
      </c>
      <c r="K146" s="420">
        <f t="shared" si="12"/>
        <v>29.548085703515902</v>
      </c>
    </row>
    <row r="147" spans="1:11" x14ac:dyDescent="0.25">
      <c r="A147" s="49">
        <f>'A) Base RI'!A149</f>
        <v>5639</v>
      </c>
      <c r="B147" s="293" t="str">
        <f>'A) Base RI'!B149</f>
        <v>Lully</v>
      </c>
      <c r="C147" s="95">
        <f>'B) D RI'!U149</f>
        <v>45623.094262295082</v>
      </c>
      <c r="D147" s="419">
        <f>'E) Fact soc'!G153/C147</f>
        <v>16.872570179551687</v>
      </c>
      <c r="E147" s="136">
        <f>'H) Péréquation directe'!I158/C147</f>
        <v>17.393588636141168</v>
      </c>
      <c r="F147" s="110"/>
      <c r="G147" s="136">
        <f t="shared" si="9"/>
        <v>34.266158815692854</v>
      </c>
      <c r="H147" s="420">
        <f>G147-'C) Prél. conj.'!I147</f>
        <v>32.494661040128911</v>
      </c>
      <c r="I147" s="424">
        <f t="shared" si="10"/>
        <v>0</v>
      </c>
      <c r="J147" s="55">
        <f t="shared" si="11"/>
        <v>0</v>
      </c>
      <c r="K147" s="420">
        <f t="shared" si="12"/>
        <v>32.494661040128911</v>
      </c>
    </row>
    <row r="148" spans="1:11" x14ac:dyDescent="0.25">
      <c r="A148" s="49">
        <f>'A) Base RI'!A150</f>
        <v>5640</v>
      </c>
      <c r="B148" s="293" t="str">
        <f>'A) Base RI'!B150</f>
        <v>Lussy-sur-Morges</v>
      </c>
      <c r="C148" s="95">
        <f>'B) D RI'!U150</f>
        <v>57031.532424242418</v>
      </c>
      <c r="D148" s="419">
        <f>'E) Fact soc'!G154/C148</f>
        <v>24.097094859754289</v>
      </c>
      <c r="E148" s="136">
        <f>'H) Péréquation directe'!I159/C148</f>
        <v>18.066043086590081</v>
      </c>
      <c r="F148" s="110"/>
      <c r="G148" s="136">
        <f t="shared" si="9"/>
        <v>42.163137946344371</v>
      </c>
      <c r="H148" s="420">
        <f>G148-'C) Prél. conj.'!I148</f>
        <v>39.076984593656547</v>
      </c>
      <c r="I148" s="424">
        <f t="shared" si="10"/>
        <v>0</v>
      </c>
      <c r="J148" s="55">
        <f t="shared" si="11"/>
        <v>0</v>
      </c>
      <c r="K148" s="420">
        <f t="shared" si="12"/>
        <v>39.076984593656547</v>
      </c>
    </row>
    <row r="149" spans="1:11" x14ac:dyDescent="0.25">
      <c r="A149" s="49">
        <f>'A) Base RI'!A151</f>
        <v>5642</v>
      </c>
      <c r="B149" s="293" t="str">
        <f>'A) Base RI'!B151</f>
        <v>Morges</v>
      </c>
      <c r="C149" s="95">
        <f>'B) D RI'!U151</f>
        <v>787513.11402985093</v>
      </c>
      <c r="D149" s="419">
        <f>'E) Fact soc'!G155/C149</f>
        <v>17.68937433635692</v>
      </c>
      <c r="E149" s="136">
        <f>'H) Péréquation directe'!I160/C149</f>
        <v>5.8749471625668841</v>
      </c>
      <c r="F149" s="110"/>
      <c r="G149" s="136">
        <f t="shared" si="9"/>
        <v>23.564321498923803</v>
      </c>
      <c r="H149" s="420">
        <f>G149-'C) Prél. conj.'!I149</f>
        <v>19.610616291315061</v>
      </c>
      <c r="I149" s="424">
        <f t="shared" si="10"/>
        <v>0</v>
      </c>
      <c r="J149" s="55">
        <f t="shared" si="11"/>
        <v>0</v>
      </c>
      <c r="K149" s="420">
        <f t="shared" si="12"/>
        <v>19.610616291315061</v>
      </c>
    </row>
    <row r="150" spans="1:11" x14ac:dyDescent="0.25">
      <c r="A150" s="49">
        <f>'A) Base RI'!A152</f>
        <v>5643</v>
      </c>
      <c r="B150" s="293" t="str">
        <f>'A) Base RI'!B152</f>
        <v>Préverenges</v>
      </c>
      <c r="C150" s="95">
        <f>'B) D RI'!U152</f>
        <v>262337.37167999998</v>
      </c>
      <c r="D150" s="419">
        <f>'E) Fact soc'!G156/C150</f>
        <v>15.784893933795605</v>
      </c>
      <c r="E150" s="136">
        <f>'H) Péréquation directe'!I161/C150</f>
        <v>12.188301087285215</v>
      </c>
      <c r="F150" s="110"/>
      <c r="G150" s="136">
        <f t="shared" si="9"/>
        <v>27.973195021080819</v>
      </c>
      <c r="H150" s="420">
        <f>G150-'C) Prél. conj.'!I150</f>
        <v>26.186855575812501</v>
      </c>
      <c r="I150" s="424">
        <f t="shared" si="10"/>
        <v>0</v>
      </c>
      <c r="J150" s="55">
        <f t="shared" si="11"/>
        <v>0</v>
      </c>
      <c r="K150" s="420">
        <f t="shared" si="12"/>
        <v>26.186855575812501</v>
      </c>
    </row>
    <row r="151" spans="1:11" x14ac:dyDescent="0.25">
      <c r="A151" s="49">
        <f>'A) Base RI'!A153</f>
        <v>5644</v>
      </c>
      <c r="B151" s="293" t="str">
        <f>'A) Base RI'!B153</f>
        <v>Reverolle</v>
      </c>
      <c r="C151" s="95">
        <f>'B) D RI'!U153</f>
        <v>16020.747027027028</v>
      </c>
      <c r="D151" s="419">
        <f>'E) Fact soc'!G157/C151</f>
        <v>14.429212053728298</v>
      </c>
      <c r="E151" s="136">
        <f>'H) Péréquation directe'!I162/C151</f>
        <v>11.568559758267947</v>
      </c>
      <c r="F151" s="110"/>
      <c r="G151" s="136">
        <f t="shared" si="9"/>
        <v>25.997771811996245</v>
      </c>
      <c r="H151" s="420">
        <f>G151-'C) Prél. conj.'!I151</f>
        <v>25.097172734084367</v>
      </c>
      <c r="I151" s="424">
        <f t="shared" si="10"/>
        <v>0</v>
      </c>
      <c r="J151" s="55">
        <f t="shared" si="11"/>
        <v>0</v>
      </c>
      <c r="K151" s="420">
        <f t="shared" si="12"/>
        <v>25.097172734084367</v>
      </c>
    </row>
    <row r="152" spans="1:11" x14ac:dyDescent="0.25">
      <c r="A152" s="49">
        <f>'A) Base RI'!A154</f>
        <v>5645</v>
      </c>
      <c r="B152" s="293" t="str">
        <f>'A) Base RI'!B154</f>
        <v>Romanel-sur-Morges</v>
      </c>
      <c r="C152" s="95">
        <f>'B) D RI'!U154</f>
        <v>27365.134464285718</v>
      </c>
      <c r="D152" s="419">
        <f>'E) Fact soc'!G158/C152</f>
        <v>19.301224150909356</v>
      </c>
      <c r="E152" s="136">
        <f>'H) Péréquation directe'!I163/C152</f>
        <v>17.524275678225987</v>
      </c>
      <c r="F152" s="110"/>
      <c r="G152" s="136">
        <f t="shared" si="9"/>
        <v>36.825499829135339</v>
      </c>
      <c r="H152" s="420">
        <f>G152-'C) Prél. conj.'!I152</f>
        <v>33.152457764197557</v>
      </c>
      <c r="I152" s="424">
        <f t="shared" si="10"/>
        <v>0</v>
      </c>
      <c r="J152" s="55">
        <f t="shared" si="11"/>
        <v>0</v>
      </c>
      <c r="K152" s="420">
        <f t="shared" si="12"/>
        <v>33.152457764197557</v>
      </c>
    </row>
    <row r="153" spans="1:11" x14ac:dyDescent="0.25">
      <c r="A153" s="49">
        <f>'A) Base RI'!A155</f>
        <v>5646</v>
      </c>
      <c r="B153" s="293" t="str">
        <f>'A) Base RI'!B155</f>
        <v>Saint-Prex</v>
      </c>
      <c r="C153" s="95">
        <f>'B) D RI'!U155</f>
        <v>541092.68090909091</v>
      </c>
      <c r="D153" s="419">
        <f>'E) Fact soc'!G159/C153</f>
        <v>24.737017060573937</v>
      </c>
      <c r="E153" s="136">
        <f>'H) Péréquation directe'!I164/C153</f>
        <v>15.338654852024627</v>
      </c>
      <c r="F153" s="110"/>
      <c r="G153" s="136">
        <f t="shared" si="9"/>
        <v>40.075671912598565</v>
      </c>
      <c r="H153" s="420">
        <f>G153-'C) Prél. conj.'!I153</f>
        <v>37.369541028440459</v>
      </c>
      <c r="I153" s="424">
        <f t="shared" si="10"/>
        <v>0</v>
      </c>
      <c r="J153" s="55">
        <f t="shared" si="11"/>
        <v>0</v>
      </c>
      <c r="K153" s="420">
        <f t="shared" si="12"/>
        <v>37.369541028440459</v>
      </c>
    </row>
    <row r="154" spans="1:11" x14ac:dyDescent="0.25">
      <c r="A154" s="49">
        <f>'A) Base RI'!A156</f>
        <v>5648</v>
      </c>
      <c r="B154" s="293" t="str">
        <f>'A) Base RI'!B156</f>
        <v>Saint-Sulpice</v>
      </c>
      <c r="C154" s="95">
        <f>'B) D RI'!U156</f>
        <v>396458.15636363637</v>
      </c>
      <c r="D154" s="419">
        <f>'E) Fact soc'!G160/C154</f>
        <v>22.280004927160395</v>
      </c>
      <c r="E154" s="136">
        <f>'H) Péréquation directe'!I165/C154</f>
        <v>15.183395764254717</v>
      </c>
      <c r="F154" s="110"/>
      <c r="G154" s="136">
        <f t="shared" si="9"/>
        <v>37.46340069141511</v>
      </c>
      <c r="H154" s="420">
        <f>G154-'C) Prél. conj.'!I154</f>
        <v>35.292875842354576</v>
      </c>
      <c r="I154" s="424">
        <f t="shared" si="10"/>
        <v>0</v>
      </c>
      <c r="J154" s="55">
        <f t="shared" si="11"/>
        <v>0</v>
      </c>
      <c r="K154" s="420">
        <f t="shared" si="12"/>
        <v>35.292875842354576</v>
      </c>
    </row>
    <row r="155" spans="1:11" x14ac:dyDescent="0.25">
      <c r="A155" s="49">
        <f>'A) Base RI'!A157</f>
        <v>5649</v>
      </c>
      <c r="B155" s="293" t="str">
        <f>'A) Base RI'!B157</f>
        <v>Tolochenaz</v>
      </c>
      <c r="C155" s="95">
        <f>'B) D RI'!U157</f>
        <v>215548.34569230766</v>
      </c>
      <c r="D155" s="419">
        <f>'E) Fact soc'!G161/C155</f>
        <v>29.296522631844589</v>
      </c>
      <c r="E155" s="136">
        <f>'H) Péréquation directe'!I166/C155</f>
        <v>17.628606218596079</v>
      </c>
      <c r="F155" s="110"/>
      <c r="G155" s="136">
        <f t="shared" si="9"/>
        <v>46.925128850440672</v>
      </c>
      <c r="H155" s="420">
        <f>G155-'C) Prél. conj.'!I155</f>
        <v>45.27156225100692</v>
      </c>
      <c r="I155" s="424">
        <f t="shared" si="10"/>
        <v>0</v>
      </c>
      <c r="J155" s="55">
        <f t="shared" si="11"/>
        <v>0</v>
      </c>
      <c r="K155" s="420">
        <f t="shared" si="12"/>
        <v>45.27156225100692</v>
      </c>
    </row>
    <row r="156" spans="1:11" x14ac:dyDescent="0.25">
      <c r="A156" s="49">
        <f>'A) Base RI'!A158</f>
        <v>5650</v>
      </c>
      <c r="B156" s="293" t="str">
        <f>'A) Base RI'!B158</f>
        <v>Vaux-sur-Morges</v>
      </c>
      <c r="C156" s="95">
        <f>'B) D RI'!U158</f>
        <v>63002.429285714286</v>
      </c>
      <c r="D156" s="419">
        <f>'E) Fact soc'!G162/C156</f>
        <v>206.19792615314216</v>
      </c>
      <c r="E156" s="136">
        <f>'H) Péréquation directe'!I167/C156</f>
        <v>19.253956964141388</v>
      </c>
      <c r="F156" s="110"/>
      <c r="G156" s="136">
        <f t="shared" si="9"/>
        <v>225.45188311728356</v>
      </c>
      <c r="H156" s="420">
        <f>G156-'C) Prél. conj.'!I156</f>
        <v>58.32492873827951</v>
      </c>
      <c r="I156" s="424">
        <f t="shared" si="10"/>
        <v>-10.32492873827951</v>
      </c>
      <c r="J156" s="55">
        <f t="shared" si="11"/>
        <v>-650495.59271349409</v>
      </c>
      <c r="K156" s="420">
        <f t="shared" si="12"/>
        <v>48</v>
      </c>
    </row>
    <row r="157" spans="1:11" x14ac:dyDescent="0.25">
      <c r="A157" s="49">
        <f>'A) Base RI'!A159</f>
        <v>5651</v>
      </c>
      <c r="B157" s="293" t="str">
        <f>'A) Base RI'!B159</f>
        <v>Villars-Sainte-Croix</v>
      </c>
      <c r="C157" s="95">
        <f>'B) D RI'!U159</f>
        <v>55737.982975206622</v>
      </c>
      <c r="D157" s="419">
        <f>'E) Fact soc'!G163/C157</f>
        <v>19.180163313881359</v>
      </c>
      <c r="E157" s="136">
        <f>'H) Péréquation directe'!I168/C157</f>
        <v>17.504611068424119</v>
      </c>
      <c r="F157" s="110"/>
      <c r="G157" s="136">
        <f t="shared" si="9"/>
        <v>36.684774382305477</v>
      </c>
      <c r="H157" s="420">
        <f>G157-'C) Prél. conj.'!I157</f>
        <v>33.153599777592035</v>
      </c>
      <c r="I157" s="424">
        <f t="shared" si="10"/>
        <v>0</v>
      </c>
      <c r="J157" s="55">
        <f t="shared" si="11"/>
        <v>0</v>
      </c>
      <c r="K157" s="420">
        <f t="shared" si="12"/>
        <v>33.153599777592035</v>
      </c>
    </row>
    <row r="158" spans="1:11" x14ac:dyDescent="0.25">
      <c r="A158" s="49">
        <f>'A) Base RI'!A160</f>
        <v>5652</v>
      </c>
      <c r="B158" s="293" t="str">
        <f>'A) Base RI'!B160</f>
        <v>Villars-sous-Yens</v>
      </c>
      <c r="C158" s="95">
        <f>'B) D RI'!U160</f>
        <v>25662.281995614037</v>
      </c>
      <c r="D158" s="419">
        <f>'E) Fact soc'!G164/C158</f>
        <v>16.824206875628384</v>
      </c>
      <c r="E158" s="136">
        <f>'H) Péréquation directe'!I169/C158</f>
        <v>13.084546322705961</v>
      </c>
      <c r="F158" s="110"/>
      <c r="G158" s="136">
        <f t="shared" si="9"/>
        <v>29.908753198334345</v>
      </c>
      <c r="H158" s="420">
        <f>G158-'C) Prél. conj.'!I158</f>
        <v>26.613159298522383</v>
      </c>
      <c r="I158" s="424">
        <f t="shared" si="10"/>
        <v>0</v>
      </c>
      <c r="J158" s="55">
        <f t="shared" si="11"/>
        <v>0</v>
      </c>
      <c r="K158" s="420">
        <f t="shared" si="12"/>
        <v>26.613159298522383</v>
      </c>
    </row>
    <row r="159" spans="1:11" x14ac:dyDescent="0.25">
      <c r="A159" s="49">
        <f>'A) Base RI'!A161</f>
        <v>5653</v>
      </c>
      <c r="B159" s="293" t="str">
        <f>'A) Base RI'!B161</f>
        <v>Vufflens-le-Château</v>
      </c>
      <c r="C159" s="95">
        <f>'B) D RI'!U161</f>
        <v>68786.034529914527</v>
      </c>
      <c r="D159" s="419">
        <f>'E) Fact soc'!G165/C159</f>
        <v>22.795366818574994</v>
      </c>
      <c r="E159" s="136">
        <f>'H) Péréquation directe'!I170/C159</f>
        <v>18.067499661324558</v>
      </c>
      <c r="F159" s="110"/>
      <c r="G159" s="136">
        <f t="shared" si="9"/>
        <v>40.862866479899552</v>
      </c>
      <c r="H159" s="420">
        <f>G159-'C) Prél. conj.'!I159</f>
        <v>38.24373584922408</v>
      </c>
      <c r="I159" s="424">
        <f t="shared" si="10"/>
        <v>0</v>
      </c>
      <c r="J159" s="55">
        <f t="shared" si="11"/>
        <v>0</v>
      </c>
      <c r="K159" s="420">
        <f t="shared" si="12"/>
        <v>38.24373584922408</v>
      </c>
    </row>
    <row r="160" spans="1:11" x14ac:dyDescent="0.25">
      <c r="A160" s="49">
        <f>'A) Base RI'!A162</f>
        <v>5654</v>
      </c>
      <c r="B160" s="293" t="str">
        <f>'A) Base RI'!B162</f>
        <v>Vullierens</v>
      </c>
      <c r="C160" s="95">
        <f>'B) D RI'!U162</f>
        <v>19265.899342105262</v>
      </c>
      <c r="D160" s="419">
        <f>'E) Fact soc'!G166/C160</f>
        <v>17.733166241750194</v>
      </c>
      <c r="E160" s="136">
        <f>'H) Péréquation directe'!I171/C160</f>
        <v>7.9154717386365991</v>
      </c>
      <c r="F160" s="110"/>
      <c r="G160" s="136">
        <f t="shared" si="9"/>
        <v>25.648637980386795</v>
      </c>
      <c r="H160" s="420">
        <f>G160-'C) Prél. conj.'!I160</f>
        <v>21.444084714453023</v>
      </c>
      <c r="I160" s="424">
        <f t="shared" si="10"/>
        <v>0</v>
      </c>
      <c r="J160" s="55">
        <f t="shared" si="11"/>
        <v>0</v>
      </c>
      <c r="K160" s="420">
        <f t="shared" si="12"/>
        <v>21.444084714453023</v>
      </c>
    </row>
    <row r="161" spans="1:11" x14ac:dyDescent="0.25">
      <c r="A161" s="49">
        <f>'A) Base RI'!A163</f>
        <v>5655</v>
      </c>
      <c r="B161" s="293" t="str">
        <f>'A) Base RI'!B163</f>
        <v>Yens</v>
      </c>
      <c r="C161" s="95">
        <f>'B) D RI'!U163</f>
        <v>90935.122097902116</v>
      </c>
      <c r="D161" s="419">
        <f>'E) Fact soc'!G167/C161</f>
        <v>19.619244686524677</v>
      </c>
      <c r="E161" s="136">
        <f>'H) Péréquation directe'!I172/C161</f>
        <v>16.439619755585028</v>
      </c>
      <c r="F161" s="110"/>
      <c r="G161" s="136">
        <f t="shared" si="9"/>
        <v>36.058864442109709</v>
      </c>
      <c r="H161" s="420">
        <f>G161-'C) Prél. conj.'!I161</f>
        <v>33.479580502209316</v>
      </c>
      <c r="I161" s="424">
        <f t="shared" si="10"/>
        <v>0</v>
      </c>
      <c r="J161" s="55">
        <f t="shared" si="11"/>
        <v>0</v>
      </c>
      <c r="K161" s="420">
        <f t="shared" si="12"/>
        <v>33.479580502209316</v>
      </c>
    </row>
    <row r="162" spans="1:11" x14ac:dyDescent="0.25">
      <c r="A162" s="49">
        <f>'A) Base RI'!A164</f>
        <v>5661</v>
      </c>
      <c r="B162" s="293" t="str">
        <f>'A) Base RI'!B164</f>
        <v>Boulens</v>
      </c>
      <c r="C162" s="95">
        <f>'B) D RI'!U164</f>
        <v>10167.852447552446</v>
      </c>
      <c r="D162" s="419">
        <f>'E) Fact soc'!G168/C162</f>
        <v>15.214776311529162</v>
      </c>
      <c r="E162" s="136">
        <f>'H) Péréquation directe'!I173/C162</f>
        <v>-0.21093576680747678</v>
      </c>
      <c r="F162" s="110"/>
      <c r="G162" s="136">
        <f t="shared" si="9"/>
        <v>15.003840544721685</v>
      </c>
      <c r="H162" s="420">
        <f>G162-'C) Prél. conj.'!I162</f>
        <v>13.317677209008943</v>
      </c>
      <c r="I162" s="424">
        <f t="shared" si="10"/>
        <v>0</v>
      </c>
      <c r="J162" s="55">
        <f t="shared" si="11"/>
        <v>0</v>
      </c>
      <c r="K162" s="420">
        <f t="shared" si="12"/>
        <v>13.317677209008943</v>
      </c>
    </row>
    <row r="163" spans="1:11" x14ac:dyDescent="0.25">
      <c r="A163" s="49">
        <f>'A) Base RI'!A165</f>
        <v>5663</v>
      </c>
      <c r="B163" s="293" t="str">
        <f>'A) Base RI'!B165</f>
        <v>Bussy-sur-Moudon</v>
      </c>
      <c r="C163" s="95">
        <f>'B) D RI'!U165</f>
        <v>5408.1284999999998</v>
      </c>
      <c r="D163" s="419">
        <f>'E) Fact soc'!G169/C163</f>
        <v>15.488879822286506</v>
      </c>
      <c r="E163" s="136">
        <f>'H) Péréquation directe'!I174/C163</f>
        <v>-9.7977807701758177</v>
      </c>
      <c r="F163" s="110"/>
      <c r="G163" s="136">
        <f t="shared" si="9"/>
        <v>5.6910990521106886</v>
      </c>
      <c r="H163" s="420">
        <f>G163-'C) Prél. conj.'!I163</f>
        <v>3.7308322056406018</v>
      </c>
      <c r="I163" s="424">
        <f t="shared" si="10"/>
        <v>0</v>
      </c>
      <c r="J163" s="55">
        <f t="shared" si="11"/>
        <v>0</v>
      </c>
      <c r="K163" s="420">
        <f t="shared" si="12"/>
        <v>3.7308322056406018</v>
      </c>
    </row>
    <row r="164" spans="1:11" x14ac:dyDescent="0.25">
      <c r="A164" s="49">
        <f>'A) Base RI'!A166</f>
        <v>5665</v>
      </c>
      <c r="B164" s="293" t="str">
        <f>'A) Base RI'!B166</f>
        <v>Chavannes-sur-Moudon</v>
      </c>
      <c r="C164" s="95">
        <f>'B) D RI'!U166</f>
        <v>6834.8221917808223</v>
      </c>
      <c r="D164" s="419">
        <f>'E) Fact soc'!G170/C164</f>
        <v>17.401274071789054</v>
      </c>
      <c r="E164" s="136">
        <f>'H) Péréquation directe'!I175/C164</f>
        <v>3.3662203298928315</v>
      </c>
      <c r="F164" s="110"/>
      <c r="G164" s="136">
        <f t="shared" si="9"/>
        <v>20.767494401681887</v>
      </c>
      <c r="H164" s="420">
        <f>G164-'C) Prél. conj.'!I164</f>
        <v>16.894833305709252</v>
      </c>
      <c r="I164" s="424">
        <f t="shared" si="10"/>
        <v>0</v>
      </c>
      <c r="J164" s="55">
        <f t="shared" si="11"/>
        <v>0</v>
      </c>
      <c r="K164" s="420">
        <f t="shared" si="12"/>
        <v>16.894833305709252</v>
      </c>
    </row>
    <row r="165" spans="1:11" x14ac:dyDescent="0.25">
      <c r="A165" s="49">
        <f>'A) Base RI'!A167</f>
        <v>5669</v>
      </c>
      <c r="B165" s="293" t="str">
        <f>'A) Base RI'!B167</f>
        <v>Curtilles</v>
      </c>
      <c r="C165" s="95">
        <f>'B) D RI'!U167</f>
        <v>10286.853972602739</v>
      </c>
      <c r="D165" s="419">
        <f>'E) Fact soc'!G171/C165</f>
        <v>15.099297272787336</v>
      </c>
      <c r="E165" s="136">
        <f>'H) Péréquation directe'!I176/C165</f>
        <v>7.2508476652532492</v>
      </c>
      <c r="F165" s="110"/>
      <c r="G165" s="136">
        <f t="shared" si="9"/>
        <v>22.350144938040586</v>
      </c>
      <c r="H165" s="420">
        <f>G165-'C) Prél. conj.'!I165</f>
        <v>20.779460641069672</v>
      </c>
      <c r="I165" s="424">
        <f t="shared" si="10"/>
        <v>0</v>
      </c>
      <c r="J165" s="55">
        <f t="shared" si="11"/>
        <v>0</v>
      </c>
      <c r="K165" s="420">
        <f t="shared" si="12"/>
        <v>20.779460641069672</v>
      </c>
    </row>
    <row r="166" spans="1:11" x14ac:dyDescent="0.25">
      <c r="A166" s="49">
        <f>'A) Base RI'!A168</f>
        <v>5671</v>
      </c>
      <c r="B166" s="293" t="str">
        <f>'A) Base RI'!B168</f>
        <v>Dompierre</v>
      </c>
      <c r="C166" s="95">
        <f>'B) D RI'!U168</f>
        <v>6034.0657692307695</v>
      </c>
      <c r="D166" s="419">
        <f>'E) Fact soc'!G172/C166</f>
        <v>18.359572086113971</v>
      </c>
      <c r="E166" s="136">
        <f>'H) Péréquation directe'!I177/C166</f>
        <v>-8.7330684744063714</v>
      </c>
      <c r="F166" s="110"/>
      <c r="G166" s="136">
        <f t="shared" si="9"/>
        <v>9.6265036117075997</v>
      </c>
      <c r="H166" s="420">
        <f>G166-'C) Prél. conj.'!I166</f>
        <v>4.7955445014100464</v>
      </c>
      <c r="I166" s="424">
        <f t="shared" si="10"/>
        <v>0</v>
      </c>
      <c r="J166" s="55">
        <f t="shared" si="11"/>
        <v>0</v>
      </c>
      <c r="K166" s="420">
        <f t="shared" si="12"/>
        <v>4.7955445014100464</v>
      </c>
    </row>
    <row r="167" spans="1:11" x14ac:dyDescent="0.25">
      <c r="A167" s="49">
        <f>'A) Base RI'!A169</f>
        <v>5673</v>
      </c>
      <c r="B167" s="293" t="str">
        <f>'A) Base RI'!B169</f>
        <v>Hermenches</v>
      </c>
      <c r="C167" s="95">
        <f>'B) D RI'!U169</f>
        <v>10638.728435374151</v>
      </c>
      <c r="D167" s="419">
        <f>'E) Fact soc'!G173/C167</f>
        <v>14.852861929587609</v>
      </c>
      <c r="E167" s="136">
        <f>'H) Péréquation directe'!I178/C167</f>
        <v>-0.85219887681405371</v>
      </c>
      <c r="F167" s="110"/>
      <c r="G167" s="136">
        <f t="shared" si="9"/>
        <v>14.000663052773556</v>
      </c>
      <c r="H167" s="420">
        <f>G167-'C) Prél. conj.'!I167</f>
        <v>12.676414099002368</v>
      </c>
      <c r="I167" s="424">
        <f t="shared" si="10"/>
        <v>0</v>
      </c>
      <c r="J167" s="55">
        <f t="shared" si="11"/>
        <v>0</v>
      </c>
      <c r="K167" s="420">
        <f t="shared" si="12"/>
        <v>12.676414099002368</v>
      </c>
    </row>
    <row r="168" spans="1:11" x14ac:dyDescent="0.25">
      <c r="A168" s="49">
        <f>'A) Base RI'!A170</f>
        <v>5674</v>
      </c>
      <c r="B168" s="293" t="str">
        <f>'A) Base RI'!B170</f>
        <v>Lovatens</v>
      </c>
      <c r="C168" s="95">
        <f>'B) D RI'!U170</f>
        <v>3430.742038095239</v>
      </c>
      <c r="D168" s="419">
        <f>'E) Fact soc'!G174/C168</f>
        <v>24.536202465397171</v>
      </c>
      <c r="E168" s="136">
        <f>'H) Péréquation directe'!I179/C168</f>
        <v>-7.9266112126693606</v>
      </c>
      <c r="F168" s="110"/>
      <c r="G168" s="136">
        <f t="shared" si="9"/>
        <v>16.60959125272781</v>
      </c>
      <c r="H168" s="420">
        <f>G168-'C) Prél. conj.'!I168</f>
        <v>5.6020017631470598</v>
      </c>
      <c r="I168" s="424">
        <f t="shared" si="10"/>
        <v>0</v>
      </c>
      <c r="J168" s="55">
        <f t="shared" si="11"/>
        <v>0</v>
      </c>
      <c r="K168" s="420">
        <f t="shared" si="12"/>
        <v>5.6020017631470598</v>
      </c>
    </row>
    <row r="169" spans="1:11" x14ac:dyDescent="0.25">
      <c r="A169" s="49">
        <f>'A) Base RI'!A171</f>
        <v>5675</v>
      </c>
      <c r="B169" s="293" t="str">
        <f>'A) Base RI'!B171</f>
        <v>Lucens</v>
      </c>
      <c r="C169" s="95">
        <f>'B) D RI'!U171</f>
        <v>97154.219717171698</v>
      </c>
      <c r="D169" s="419">
        <f>'E) Fact soc'!G175/C169</f>
        <v>16.203014877827435</v>
      </c>
      <c r="E169" s="136">
        <f>'H) Péréquation directe'!I180/C169</f>
        <v>-16.246579352157415</v>
      </c>
      <c r="F169" s="110"/>
      <c r="G169" s="136">
        <f t="shared" si="9"/>
        <v>-4.3564474329979674E-2</v>
      </c>
      <c r="H169" s="420">
        <f>G169-'C) Prél. conj.'!I169</f>
        <v>-2.7179663763409945</v>
      </c>
      <c r="I169" s="424">
        <f t="shared" si="10"/>
        <v>0</v>
      </c>
      <c r="J169" s="55">
        <f t="shared" si="11"/>
        <v>0</v>
      </c>
      <c r="K169" s="420">
        <f t="shared" si="12"/>
        <v>-2.7179663763409945</v>
      </c>
    </row>
    <row r="170" spans="1:11" x14ac:dyDescent="0.25">
      <c r="A170" s="49">
        <f>'A) Base RI'!A172</f>
        <v>5678</v>
      </c>
      <c r="B170" s="293" t="str">
        <f>'A) Base RI'!B172</f>
        <v>Moudon</v>
      </c>
      <c r="C170" s="95">
        <f>'B) D RI'!U172</f>
        <v>124965.41862068966</v>
      </c>
      <c r="D170" s="419">
        <f>'E) Fact soc'!G176/C170</f>
        <v>18.797108390523068</v>
      </c>
      <c r="E170" s="136">
        <f>'H) Péréquation directe'!I181/C170</f>
        <v>-28.706496144735695</v>
      </c>
      <c r="F170" s="110"/>
      <c r="G170" s="136">
        <f t="shared" si="9"/>
        <v>-9.9093877542126272</v>
      </c>
      <c r="H170" s="420">
        <f>G170-'C) Prél. conj.'!I170</f>
        <v>-15.177883168919273</v>
      </c>
      <c r="I170" s="424">
        <f t="shared" si="10"/>
        <v>0</v>
      </c>
      <c r="J170" s="55">
        <f t="shared" si="11"/>
        <v>0</v>
      </c>
      <c r="K170" s="420">
        <f t="shared" si="12"/>
        <v>-15.177883168919273</v>
      </c>
    </row>
    <row r="171" spans="1:11" x14ac:dyDescent="0.25">
      <c r="A171" s="49">
        <f>'A) Base RI'!A173</f>
        <v>5680</v>
      </c>
      <c r="B171" s="293" t="str">
        <f>'A) Base RI'!B173</f>
        <v>Ogens</v>
      </c>
      <c r="C171" s="95">
        <f>'B) D RI'!U173</f>
        <v>8675.0652136752142</v>
      </c>
      <c r="D171" s="419">
        <f>'E) Fact soc'!G177/C171</f>
        <v>19.459853690743728</v>
      </c>
      <c r="E171" s="136">
        <f>'H) Péréquation directe'!I182/C171</f>
        <v>-1.0565065152516171</v>
      </c>
      <c r="F171" s="110"/>
      <c r="G171" s="136">
        <f t="shared" si="9"/>
        <v>18.403347175492112</v>
      </c>
      <c r="H171" s="420">
        <f>G171-'C) Prél. conj.'!I171</f>
        <v>12.472106460564804</v>
      </c>
      <c r="I171" s="424">
        <f t="shared" si="10"/>
        <v>0</v>
      </c>
      <c r="J171" s="55">
        <f t="shared" si="11"/>
        <v>0</v>
      </c>
      <c r="K171" s="420">
        <f t="shared" si="12"/>
        <v>12.472106460564804</v>
      </c>
    </row>
    <row r="172" spans="1:11" x14ac:dyDescent="0.25">
      <c r="A172" s="49">
        <f>'A) Base RI'!A174</f>
        <v>5683</v>
      </c>
      <c r="B172" s="293" t="str">
        <f>'A) Base RI'!B174</f>
        <v>Prévonloup</v>
      </c>
      <c r="C172" s="95">
        <f>'B) D RI'!U174</f>
        <v>5006.0282758620697</v>
      </c>
      <c r="D172" s="419">
        <f>'E) Fact soc'!G178/C172</f>
        <v>13.964797088185218</v>
      </c>
      <c r="E172" s="136">
        <f>'H) Péréquation directe'!I183/C172</f>
        <v>-5.2717191546291469</v>
      </c>
      <c r="F172" s="110"/>
      <c r="G172" s="136">
        <f t="shared" si="9"/>
        <v>8.6930779335560722</v>
      </c>
      <c r="H172" s="420">
        <f>G172-'C) Prél. conj.'!I172</f>
        <v>8.2568938211872744</v>
      </c>
      <c r="I172" s="424">
        <f t="shared" si="10"/>
        <v>0</v>
      </c>
      <c r="J172" s="55">
        <f t="shared" si="11"/>
        <v>0</v>
      </c>
      <c r="K172" s="420">
        <f t="shared" si="12"/>
        <v>8.2568938211872744</v>
      </c>
    </row>
    <row r="173" spans="1:11" x14ac:dyDescent="0.25">
      <c r="A173" s="49">
        <f>'A) Base RI'!A175</f>
        <v>5684</v>
      </c>
      <c r="B173" s="293" t="str">
        <f>'A) Base RI'!B175</f>
        <v>Rossenges</v>
      </c>
      <c r="C173" s="95">
        <f>'B) D RI'!U175</f>
        <v>4335.3234000000011</v>
      </c>
      <c r="D173" s="419">
        <f>'E) Fact soc'!G179/C173</f>
        <v>14.527815470578911</v>
      </c>
      <c r="E173" s="136">
        <f>'H) Péréquation directe'!I184/C173</f>
        <v>17.233292951787664</v>
      </c>
      <c r="F173" s="110"/>
      <c r="G173" s="136">
        <f t="shared" si="9"/>
        <v>31.761108422366576</v>
      </c>
      <c r="H173" s="420">
        <f>G173-'C) Prél. conj.'!I173</f>
        <v>31.761108422366576</v>
      </c>
      <c r="I173" s="424">
        <f t="shared" si="10"/>
        <v>0</v>
      </c>
      <c r="J173" s="55">
        <f t="shared" si="11"/>
        <v>0</v>
      </c>
      <c r="K173" s="420">
        <f t="shared" si="12"/>
        <v>31.761108422366576</v>
      </c>
    </row>
    <row r="174" spans="1:11" x14ac:dyDescent="0.25">
      <c r="A174" s="49">
        <f>'A) Base RI'!A176</f>
        <v>5688</v>
      </c>
      <c r="B174" s="293" t="str">
        <f>'A) Base RI'!B176</f>
        <v>Syens</v>
      </c>
      <c r="C174" s="95">
        <f>'B) D RI'!U176</f>
        <v>5094.0764550264557</v>
      </c>
      <c r="D174" s="419">
        <f>'E) Fact soc'!G180/C174</f>
        <v>13.532602904153666</v>
      </c>
      <c r="E174" s="136">
        <f>'H) Péréquation directe'!I185/C174</f>
        <v>4.9411706344285786</v>
      </c>
      <c r="F174" s="110"/>
      <c r="G174" s="136">
        <f t="shared" si="9"/>
        <v>18.473773538582243</v>
      </c>
      <c r="H174" s="420">
        <f>G174-'C) Prél. conj.'!I174</f>
        <v>18.469783610244999</v>
      </c>
      <c r="I174" s="424">
        <f t="shared" si="10"/>
        <v>0</v>
      </c>
      <c r="J174" s="55">
        <f t="shared" si="11"/>
        <v>0</v>
      </c>
      <c r="K174" s="420">
        <f t="shared" si="12"/>
        <v>18.469783610244999</v>
      </c>
    </row>
    <row r="175" spans="1:11" x14ac:dyDescent="0.25">
      <c r="A175" s="49">
        <f>'A) Base RI'!A177</f>
        <v>5690</v>
      </c>
      <c r="B175" s="293" t="str">
        <f>'A) Base RI'!B177</f>
        <v>Villars-le-Comte</v>
      </c>
      <c r="C175" s="95">
        <f>'B) D RI'!U177</f>
        <v>3483.7788571428573</v>
      </c>
      <c r="D175" s="419">
        <f>'E) Fact soc'!G181/C175</f>
        <v>18.631462705658219</v>
      </c>
      <c r="E175" s="136">
        <f>'H) Péréquation directe'!I186/C175</f>
        <v>2.4028137531412987</v>
      </c>
      <c r="F175" s="110"/>
      <c r="G175" s="136">
        <f t="shared" si="9"/>
        <v>21.034276458799518</v>
      </c>
      <c r="H175" s="420">
        <f>G175-'C) Prél. conj.'!I175</f>
        <v>15.931426728957721</v>
      </c>
      <c r="I175" s="424">
        <f t="shared" si="10"/>
        <v>0</v>
      </c>
      <c r="J175" s="55">
        <f t="shared" si="11"/>
        <v>0</v>
      </c>
      <c r="K175" s="420">
        <f t="shared" si="12"/>
        <v>15.931426728957721</v>
      </c>
    </row>
    <row r="176" spans="1:11" x14ac:dyDescent="0.25">
      <c r="A176" s="49">
        <f>'A) Base RI'!A178</f>
        <v>5692</v>
      </c>
      <c r="B176" s="293" t="str">
        <f>'A) Base RI'!B178</f>
        <v>Vucherens</v>
      </c>
      <c r="C176" s="95">
        <f>'B) D RI'!U178</f>
        <v>18084.556363636369</v>
      </c>
      <c r="D176" s="419">
        <f>'E) Fact soc'!G182/C176</f>
        <v>16.523446739552146</v>
      </c>
      <c r="E176" s="136">
        <f>'H) Péréquation directe'!I187/C176</f>
        <v>9.714282484443075E-2</v>
      </c>
      <c r="F176" s="110"/>
      <c r="G176" s="136">
        <f t="shared" si="9"/>
        <v>16.620589564396575</v>
      </c>
      <c r="H176" s="420">
        <f>G176-'C) Prél. conj.'!I176</f>
        <v>13.625755800660848</v>
      </c>
      <c r="I176" s="424">
        <f t="shared" si="10"/>
        <v>0</v>
      </c>
      <c r="J176" s="55">
        <f t="shared" si="11"/>
        <v>0</v>
      </c>
      <c r="K176" s="420">
        <f t="shared" si="12"/>
        <v>13.625755800660848</v>
      </c>
    </row>
    <row r="177" spans="1:11" x14ac:dyDescent="0.25">
      <c r="A177" s="49">
        <f>'A) Base RI'!A179</f>
        <v>5693</v>
      </c>
      <c r="B177" s="293" t="str">
        <f>'A) Base RI'!B179</f>
        <v>Montanaire</v>
      </c>
      <c r="C177" s="95">
        <f>'B) D RI'!U179</f>
        <v>71120.535138888881</v>
      </c>
      <c r="D177" s="419">
        <f>'E) Fact soc'!G183/C177</f>
        <v>17.15663566288012</v>
      </c>
      <c r="E177" s="136">
        <f>'H) Péréquation directe'!I188/C177</f>
        <v>-9.2002377399638107</v>
      </c>
      <c r="F177" s="110"/>
      <c r="G177" s="136">
        <f t="shared" si="9"/>
        <v>7.9563979229163095</v>
      </c>
      <c r="H177" s="420">
        <f>G177-'C) Prél. conj.'!I177</f>
        <v>4.328375235852608</v>
      </c>
      <c r="I177" s="424">
        <f t="shared" si="10"/>
        <v>0</v>
      </c>
      <c r="J177" s="55">
        <f t="shared" si="11"/>
        <v>0</v>
      </c>
      <c r="K177" s="420">
        <f t="shared" si="12"/>
        <v>4.328375235852608</v>
      </c>
    </row>
    <row r="178" spans="1:11" x14ac:dyDescent="0.25">
      <c r="A178" s="49">
        <f>'A) Base RI'!A180</f>
        <v>5701</v>
      </c>
      <c r="B178" s="293" t="str">
        <f>'A) Base RI'!B180</f>
        <v>Arnex-sur-Nyon</v>
      </c>
      <c r="C178" s="95">
        <f>'B) D RI'!U180</f>
        <v>12579.391714285715</v>
      </c>
      <c r="D178" s="419">
        <f>'E) Fact soc'!G184/C178</f>
        <v>20.820985900932435</v>
      </c>
      <c r="E178" s="136">
        <f>'H) Péréquation directe'!I189/C178</f>
        <v>17.270105917005218</v>
      </c>
      <c r="F178" s="110"/>
      <c r="G178" s="136">
        <f t="shared" si="9"/>
        <v>38.091091817937652</v>
      </c>
      <c r="H178" s="420">
        <f>G178-'C) Prél. conj.'!I178</f>
        <v>31.931539213179633</v>
      </c>
      <c r="I178" s="424">
        <f t="shared" si="10"/>
        <v>0</v>
      </c>
      <c r="J178" s="55">
        <f t="shared" si="11"/>
        <v>0</v>
      </c>
      <c r="K178" s="420">
        <f t="shared" si="12"/>
        <v>31.931539213179633</v>
      </c>
    </row>
    <row r="179" spans="1:11" x14ac:dyDescent="0.25">
      <c r="A179" s="49">
        <f>'A) Base RI'!A181</f>
        <v>5702</v>
      </c>
      <c r="B179" s="293" t="str">
        <f>'A) Base RI'!B181</f>
        <v>Arzier-Le Muids</v>
      </c>
      <c r="C179" s="95">
        <f>'B) D RI'!U181</f>
        <v>167751.11713541666</v>
      </c>
      <c r="D179" s="419">
        <f>'E) Fact soc'!G185/C179</f>
        <v>18.56654289710858</v>
      </c>
      <c r="E179" s="136">
        <f>'H) Péréquation directe'!I190/C179</f>
        <v>14.93947400331797</v>
      </c>
      <c r="F179" s="110"/>
      <c r="G179" s="136">
        <f t="shared" si="9"/>
        <v>33.506016900426552</v>
      </c>
      <c r="H179" s="420">
        <f>G179-'C) Prél. conj.'!I179</f>
        <v>30.56424599942185</v>
      </c>
      <c r="I179" s="424">
        <f t="shared" si="10"/>
        <v>0</v>
      </c>
      <c r="J179" s="55">
        <f t="shared" si="11"/>
        <v>0</v>
      </c>
      <c r="K179" s="420">
        <f t="shared" si="12"/>
        <v>30.56424599942185</v>
      </c>
    </row>
    <row r="180" spans="1:11" x14ac:dyDescent="0.25">
      <c r="A180" s="49">
        <f>'A) Base RI'!A182</f>
        <v>5703</v>
      </c>
      <c r="B180" s="293" t="str">
        <f>'A) Base RI'!B182</f>
        <v>Bassins</v>
      </c>
      <c r="C180" s="95">
        <f>'B) D RI'!U182</f>
        <v>66904.36396059113</v>
      </c>
      <c r="D180" s="419">
        <f>'E) Fact soc'!G186/C180</f>
        <v>17.462271625572377</v>
      </c>
      <c r="E180" s="136">
        <f>'H) Péréquation directe'!I191/C180</f>
        <v>14.009228170255803</v>
      </c>
      <c r="F180" s="110"/>
      <c r="G180" s="136">
        <f t="shared" si="9"/>
        <v>31.47149979582818</v>
      </c>
      <c r="H180" s="420">
        <f>G180-'C) Prél. conj.'!I180</f>
        <v>27.537841146072225</v>
      </c>
      <c r="I180" s="424">
        <f t="shared" si="10"/>
        <v>0</v>
      </c>
      <c r="J180" s="55">
        <f t="shared" si="11"/>
        <v>0</v>
      </c>
      <c r="K180" s="420">
        <f t="shared" si="12"/>
        <v>27.537841146072225</v>
      </c>
    </row>
    <row r="181" spans="1:11" x14ac:dyDescent="0.25">
      <c r="A181" s="49">
        <f>'A) Base RI'!A183</f>
        <v>5704</v>
      </c>
      <c r="B181" s="293" t="str">
        <f>'A) Base RI'!B183</f>
        <v>Begnins</v>
      </c>
      <c r="C181" s="95">
        <f>'B) D RI'!U183</f>
        <v>141538.79477333333</v>
      </c>
      <c r="D181" s="419">
        <f>'E) Fact soc'!G187/C181</f>
        <v>20.778304301056654</v>
      </c>
      <c r="E181" s="136">
        <f>'H) Péréquation directe'!I192/C181</f>
        <v>16.483414502828634</v>
      </c>
      <c r="F181" s="110"/>
      <c r="G181" s="136">
        <f t="shared" si="9"/>
        <v>37.261718803885287</v>
      </c>
      <c r="H181" s="420">
        <f>G181-'C) Prél. conj.'!I181</f>
        <v>35.736195110216812</v>
      </c>
      <c r="I181" s="424">
        <f t="shared" si="10"/>
        <v>0</v>
      </c>
      <c r="J181" s="55">
        <f t="shared" si="11"/>
        <v>0</v>
      </c>
      <c r="K181" s="420">
        <f t="shared" si="12"/>
        <v>35.736195110216812</v>
      </c>
    </row>
    <row r="182" spans="1:11" x14ac:dyDescent="0.25">
      <c r="A182" s="49">
        <f>'A) Base RI'!A184</f>
        <v>5705</v>
      </c>
      <c r="B182" s="293" t="str">
        <f>'A) Base RI'!B184</f>
        <v>Bogis-Bossey</v>
      </c>
      <c r="C182" s="95">
        <f>'B) D RI'!U184</f>
        <v>56148.948053691274</v>
      </c>
      <c r="D182" s="419">
        <f>'E) Fact soc'!G188/C182</f>
        <v>22.478213449980728</v>
      </c>
      <c r="E182" s="136">
        <f>'H) Péréquation directe'!I193/C182</f>
        <v>17.7918308279333</v>
      </c>
      <c r="F182" s="110"/>
      <c r="G182" s="136">
        <f t="shared" si="9"/>
        <v>40.270044277914025</v>
      </c>
      <c r="H182" s="420">
        <f>G182-'C) Prél. conj.'!I182</f>
        <v>36.59174295332808</v>
      </c>
      <c r="I182" s="424">
        <f t="shared" si="10"/>
        <v>0</v>
      </c>
      <c r="J182" s="55">
        <f t="shared" si="11"/>
        <v>0</v>
      </c>
      <c r="K182" s="420">
        <f t="shared" si="12"/>
        <v>36.59174295332808</v>
      </c>
    </row>
    <row r="183" spans="1:11" x14ac:dyDescent="0.25">
      <c r="A183" s="49">
        <f>'A) Base RI'!A185</f>
        <v>5706</v>
      </c>
      <c r="B183" s="293" t="str">
        <f>'A) Base RI'!B185</f>
        <v>Borex</v>
      </c>
      <c r="C183" s="95">
        <f>'B) D RI'!U185</f>
        <v>84057.706842105254</v>
      </c>
      <c r="D183" s="419">
        <f>'E) Fact soc'!G189/C183</f>
        <v>20.12404401452612</v>
      </c>
      <c r="E183" s="136">
        <f>'H) Péréquation directe'!I194/C183</f>
        <v>17.512203420939805</v>
      </c>
      <c r="F183" s="110"/>
      <c r="G183" s="136">
        <f t="shared" si="9"/>
        <v>37.636247435465926</v>
      </c>
      <c r="H183" s="420">
        <f>G183-'C) Prél. conj.'!I183</f>
        <v>36.077164099464731</v>
      </c>
      <c r="I183" s="424">
        <f t="shared" si="10"/>
        <v>0</v>
      </c>
      <c r="J183" s="55">
        <f t="shared" si="11"/>
        <v>0</v>
      </c>
      <c r="K183" s="420">
        <f t="shared" si="12"/>
        <v>36.077164099464731</v>
      </c>
    </row>
    <row r="184" spans="1:11" x14ac:dyDescent="0.25">
      <c r="A184" s="49">
        <f>'A) Base RI'!A186</f>
        <v>5707</v>
      </c>
      <c r="B184" s="293" t="str">
        <f>'A) Base RI'!B186</f>
        <v>Chavannes-de-Bogis</v>
      </c>
      <c r="C184" s="95">
        <f>'B) D RI'!U186</f>
        <v>81835.320459770097</v>
      </c>
      <c r="D184" s="419">
        <f>'E) Fact soc'!G190/C184</f>
        <v>21.549888741171301</v>
      </c>
      <c r="E184" s="136">
        <f>'H) Péréquation directe'!I195/C184</f>
        <v>16.724831088778604</v>
      </c>
      <c r="F184" s="110"/>
      <c r="G184" s="136">
        <f t="shared" si="9"/>
        <v>38.274719829949902</v>
      </c>
      <c r="H184" s="420">
        <f>G184-'C) Prél. conj.'!I184</f>
        <v>33.133468196349568</v>
      </c>
      <c r="I184" s="424">
        <f t="shared" si="10"/>
        <v>0</v>
      </c>
      <c r="J184" s="55">
        <f t="shared" si="11"/>
        <v>0</v>
      </c>
      <c r="K184" s="420">
        <f t="shared" si="12"/>
        <v>33.133468196349568</v>
      </c>
    </row>
    <row r="185" spans="1:11" x14ac:dyDescent="0.25">
      <c r="A185" s="49">
        <f>'A) Base RI'!A187</f>
        <v>5708</v>
      </c>
      <c r="B185" s="293" t="str">
        <f>'A) Base RI'!B187</f>
        <v>Chavannes-des-Bois</v>
      </c>
      <c r="C185" s="95">
        <f>'B) D RI'!U187</f>
        <v>67256.112794117653</v>
      </c>
      <c r="D185" s="419">
        <f>'E) Fact soc'!G191/C185</f>
        <v>20.432019599318817</v>
      </c>
      <c r="E185" s="136">
        <f>'H) Péréquation directe'!I196/C185</f>
        <v>17.725048726695412</v>
      </c>
      <c r="F185" s="110"/>
      <c r="G185" s="136">
        <f t="shared" si="9"/>
        <v>38.157068326014226</v>
      </c>
      <c r="H185" s="420">
        <f>G185-'C) Prél. conj.'!I185</f>
        <v>35.865182375485702</v>
      </c>
      <c r="I185" s="424">
        <f t="shared" si="10"/>
        <v>0</v>
      </c>
      <c r="J185" s="55">
        <f t="shared" si="11"/>
        <v>0</v>
      </c>
      <c r="K185" s="420">
        <f t="shared" si="12"/>
        <v>35.865182375485702</v>
      </c>
    </row>
    <row r="186" spans="1:11" x14ac:dyDescent="0.25">
      <c r="A186" s="49">
        <f>'A) Base RI'!A188</f>
        <v>5709</v>
      </c>
      <c r="B186" s="293" t="str">
        <f>'A) Base RI'!B188</f>
        <v>Chéserex</v>
      </c>
      <c r="C186" s="95">
        <f>'B) D RI'!U188</f>
        <v>97368.06631578946</v>
      </c>
      <c r="D186" s="419">
        <f>'E) Fact soc'!G192/C186</f>
        <v>22.222627934233184</v>
      </c>
      <c r="E186" s="136">
        <f>'H) Péréquation directe'!I197/C186</f>
        <v>17.478020807159595</v>
      </c>
      <c r="F186" s="110"/>
      <c r="G186" s="136">
        <f t="shared" si="9"/>
        <v>39.700648741392783</v>
      </c>
      <c r="H186" s="420">
        <f>G186-'C) Prél. conj.'!I186</f>
        <v>37.265149260167647</v>
      </c>
      <c r="I186" s="424">
        <f t="shared" si="10"/>
        <v>0</v>
      </c>
      <c r="J186" s="55">
        <f t="shared" si="11"/>
        <v>0</v>
      </c>
      <c r="K186" s="420">
        <f t="shared" si="12"/>
        <v>37.265149260167647</v>
      </c>
    </row>
    <row r="187" spans="1:11" x14ac:dyDescent="0.25">
      <c r="A187" s="49">
        <f>'A) Base RI'!A189</f>
        <v>5710</v>
      </c>
      <c r="B187" s="293" t="str">
        <f>'A) Base RI'!B189</f>
        <v>Coinsins</v>
      </c>
      <c r="C187" s="95">
        <f>'B) D RI'!U189</f>
        <v>41108.965294117646</v>
      </c>
      <c r="D187" s="419">
        <f>'E) Fact soc'!G193/C187</f>
        <v>20.704272464358684</v>
      </c>
      <c r="E187" s="136">
        <f>'H) Péréquation directe'!I198/C187</f>
        <v>18.100505470848915</v>
      </c>
      <c r="F187" s="110"/>
      <c r="G187" s="136">
        <f t="shared" si="9"/>
        <v>38.804777935207596</v>
      </c>
      <c r="H187" s="420">
        <f>G187-'C) Prél. conj.'!I187</f>
        <v>37.731852365701442</v>
      </c>
      <c r="I187" s="424">
        <f t="shared" si="10"/>
        <v>0</v>
      </c>
      <c r="J187" s="55">
        <f t="shared" si="11"/>
        <v>0</v>
      </c>
      <c r="K187" s="420">
        <f t="shared" si="12"/>
        <v>37.731852365701442</v>
      </c>
    </row>
    <row r="188" spans="1:11" x14ac:dyDescent="0.25">
      <c r="A188" s="49">
        <f>'A) Base RI'!A190</f>
        <v>5711</v>
      </c>
      <c r="B188" s="293" t="str">
        <f>'A) Base RI'!B190</f>
        <v>Commugny</v>
      </c>
      <c r="C188" s="95">
        <f>'B) D RI'!U190</f>
        <v>252772.67295911297</v>
      </c>
      <c r="D188" s="419">
        <f>'E) Fact soc'!G194/C188</f>
        <v>23.369742698368583</v>
      </c>
      <c r="E188" s="136">
        <f>'H) Péréquation directe'!I199/C188</f>
        <v>16.402351271433492</v>
      </c>
      <c r="F188" s="110"/>
      <c r="G188" s="136">
        <f t="shared" si="9"/>
        <v>39.772093969802071</v>
      </c>
      <c r="H188" s="420">
        <f>G188-'C) Prél. conj.'!I188</f>
        <v>37.232167610342124</v>
      </c>
      <c r="I188" s="424">
        <f t="shared" si="10"/>
        <v>0</v>
      </c>
      <c r="J188" s="55">
        <f t="shared" si="11"/>
        <v>0</v>
      </c>
      <c r="K188" s="420">
        <f t="shared" si="12"/>
        <v>37.232167610342124</v>
      </c>
    </row>
    <row r="189" spans="1:11" x14ac:dyDescent="0.25">
      <c r="A189" s="49">
        <f>'A) Base RI'!A191</f>
        <v>5712</v>
      </c>
      <c r="B189" s="293" t="str">
        <f>'A) Base RI'!B191</f>
        <v>Coppet</v>
      </c>
      <c r="C189" s="95">
        <f>'B) D RI'!U191</f>
        <v>382004.08345911955</v>
      </c>
      <c r="D189" s="419">
        <f>'E) Fact soc'!G195/C189</f>
        <v>27.702208133070553</v>
      </c>
      <c r="E189" s="136">
        <f>'H) Péréquation directe'!I200/C189</f>
        <v>17.172790735944886</v>
      </c>
      <c r="F189" s="110"/>
      <c r="G189" s="136">
        <f t="shared" si="9"/>
        <v>44.874998869015442</v>
      </c>
      <c r="H189" s="420">
        <f>G189-'C) Prél. conj.'!I189</f>
        <v>42.661260478204504</v>
      </c>
      <c r="I189" s="424">
        <f t="shared" si="10"/>
        <v>0</v>
      </c>
      <c r="J189" s="55">
        <f t="shared" si="11"/>
        <v>0</v>
      </c>
      <c r="K189" s="420">
        <f t="shared" si="12"/>
        <v>42.661260478204504</v>
      </c>
    </row>
    <row r="190" spans="1:11" x14ac:dyDescent="0.25">
      <c r="A190" s="49">
        <f>'A) Base RI'!A192</f>
        <v>5713</v>
      </c>
      <c r="B190" s="293" t="str">
        <f>'A) Base RI'!B192</f>
        <v>Crans-près-Céligny</v>
      </c>
      <c r="C190" s="95">
        <f>'B) D RI'!U192</f>
        <v>308668.8301785714</v>
      </c>
      <c r="D190" s="419">
        <f>'E) Fact soc'!G196/C190</f>
        <v>31.022064530583773</v>
      </c>
      <c r="E190" s="136">
        <f>'H) Péréquation directe'!I201/C190</f>
        <v>17.72686043357232</v>
      </c>
      <c r="F190" s="110"/>
      <c r="G190" s="136">
        <f t="shared" si="9"/>
        <v>48.748924964156089</v>
      </c>
      <c r="H190" s="420">
        <f>G190-'C) Prél. conj.'!I190</f>
        <v>45.553294296072913</v>
      </c>
      <c r="I190" s="424">
        <f t="shared" si="10"/>
        <v>0</v>
      </c>
      <c r="J190" s="55">
        <f t="shared" si="11"/>
        <v>0</v>
      </c>
      <c r="K190" s="420">
        <f t="shared" si="12"/>
        <v>45.553294296072913</v>
      </c>
    </row>
    <row r="191" spans="1:11" x14ac:dyDescent="0.25">
      <c r="A191" s="49">
        <f>'A) Base RI'!A193</f>
        <v>5714</v>
      </c>
      <c r="B191" s="293" t="str">
        <f>'A) Base RI'!B193</f>
        <v>Crassier</v>
      </c>
      <c r="C191" s="95">
        <f>'B) D RI'!U193</f>
        <v>53429.691617647055</v>
      </c>
      <c r="D191" s="419">
        <f>'E) Fact soc'!G197/C191</f>
        <v>16.586536483389814</v>
      </c>
      <c r="E191" s="136">
        <f>'H) Péréquation directe'!I202/C191</f>
        <v>15.099229094842924</v>
      </c>
      <c r="F191" s="110"/>
      <c r="G191" s="136">
        <f t="shared" si="9"/>
        <v>31.68576557823274</v>
      </c>
      <c r="H191" s="420">
        <f>G191-'C) Prél. conj.'!I191</f>
        <v>28.627842070659348</v>
      </c>
      <c r="I191" s="424">
        <f t="shared" si="10"/>
        <v>0</v>
      </c>
      <c r="J191" s="55">
        <f t="shared" si="11"/>
        <v>0</v>
      </c>
      <c r="K191" s="420">
        <f t="shared" si="12"/>
        <v>28.627842070659348</v>
      </c>
    </row>
    <row r="192" spans="1:11" x14ac:dyDescent="0.25">
      <c r="A192" s="49">
        <f>'A) Base RI'!A194</f>
        <v>5715</v>
      </c>
      <c r="B192" s="293" t="str">
        <f>'A) Base RI'!B194</f>
        <v>Duillier</v>
      </c>
      <c r="C192" s="95">
        <f>'B) D RI'!U194</f>
        <v>61573.714242424234</v>
      </c>
      <c r="D192" s="419">
        <f>'E) Fact soc'!G198/C192</f>
        <v>18.945209598388871</v>
      </c>
      <c r="E192" s="136">
        <f>'H) Péréquation directe'!I203/C192</f>
        <v>16.900289202059046</v>
      </c>
      <c r="F192" s="110"/>
      <c r="G192" s="136">
        <f t="shared" si="9"/>
        <v>35.845498800447913</v>
      </c>
      <c r="H192" s="420">
        <f>G192-'C) Prél. conj.'!I192</f>
        <v>31.979828068569248</v>
      </c>
      <c r="I192" s="424">
        <f t="shared" si="10"/>
        <v>0</v>
      </c>
      <c r="J192" s="55">
        <f t="shared" si="11"/>
        <v>0</v>
      </c>
      <c r="K192" s="420">
        <f t="shared" si="12"/>
        <v>31.979828068569248</v>
      </c>
    </row>
    <row r="193" spans="1:11" x14ac:dyDescent="0.25">
      <c r="A193" s="49">
        <f>'A) Base RI'!A195</f>
        <v>5716</v>
      </c>
      <c r="B193" s="293" t="str">
        <f>'A) Base RI'!B195</f>
        <v>Eysins</v>
      </c>
      <c r="C193" s="95">
        <f>'B) D RI'!U195</f>
        <v>311499.41949579836</v>
      </c>
      <c r="D193" s="419">
        <f>'E) Fact soc'!G199/C193</f>
        <v>36.398702465184471</v>
      </c>
      <c r="E193" s="136">
        <f>'H) Péréquation directe'!I204/C193</f>
        <v>18.412939348769854</v>
      </c>
      <c r="F193" s="110"/>
      <c r="G193" s="136">
        <f t="shared" si="9"/>
        <v>54.811641813954324</v>
      </c>
      <c r="H193" s="420">
        <f>G193-'C) Prél. conj.'!I193</f>
        <v>52.111088161682282</v>
      </c>
      <c r="I193" s="424">
        <f t="shared" si="10"/>
        <v>-4.1110881616822823</v>
      </c>
      <c r="J193" s="55">
        <f t="shared" si="11"/>
        <v>-1280601.5758600798</v>
      </c>
      <c r="K193" s="420">
        <f t="shared" si="12"/>
        <v>48</v>
      </c>
    </row>
    <row r="194" spans="1:11" x14ac:dyDescent="0.25">
      <c r="A194" s="49">
        <f>'A) Base RI'!A196</f>
        <v>5717</v>
      </c>
      <c r="B194" s="293" t="str">
        <f>'A) Base RI'!B196</f>
        <v>Founex</v>
      </c>
      <c r="C194" s="95">
        <f>'B) D RI'!U196</f>
        <v>386801.60228070174</v>
      </c>
      <c r="D194" s="419">
        <f>'E) Fact soc'!G200/C194</f>
        <v>26.781702800546988</v>
      </c>
      <c r="E194" s="136">
        <f>'H) Péréquation directe'!I205/C194</f>
        <v>16.450659130770813</v>
      </c>
      <c r="F194" s="110"/>
      <c r="G194" s="136">
        <f t="shared" si="9"/>
        <v>43.232361931317797</v>
      </c>
      <c r="H194" s="420">
        <f>G194-'C) Prél. conj.'!I194</f>
        <v>40.243790753783991</v>
      </c>
      <c r="I194" s="424">
        <f t="shared" si="10"/>
        <v>0</v>
      </c>
      <c r="J194" s="55">
        <f t="shared" si="11"/>
        <v>0</v>
      </c>
      <c r="K194" s="420">
        <f t="shared" si="12"/>
        <v>40.243790753783991</v>
      </c>
    </row>
    <row r="195" spans="1:11" x14ac:dyDescent="0.25">
      <c r="A195" s="49">
        <f>'A) Base RI'!A197</f>
        <v>5718</v>
      </c>
      <c r="B195" s="293" t="str">
        <f>'A) Base RI'!B197</f>
        <v>Genolier</v>
      </c>
      <c r="C195" s="95">
        <f>'B) D RI'!U197</f>
        <v>245082.27927272729</v>
      </c>
      <c r="D195" s="419">
        <f>'E) Fact soc'!G201/C195</f>
        <v>28.582965382511095</v>
      </c>
      <c r="E195" s="136">
        <f>'H) Péréquation directe'!I206/C195</f>
        <v>17.71890528223609</v>
      </c>
      <c r="F195" s="110"/>
      <c r="G195" s="136">
        <f t="shared" si="9"/>
        <v>46.301870664747184</v>
      </c>
      <c r="H195" s="420">
        <f>G195-'C) Prél. conj.'!I195</f>
        <v>44.290129887474002</v>
      </c>
      <c r="I195" s="424">
        <f t="shared" si="10"/>
        <v>0</v>
      </c>
      <c r="J195" s="55">
        <f t="shared" si="11"/>
        <v>0</v>
      </c>
      <c r="K195" s="420">
        <f t="shared" si="12"/>
        <v>44.290129887474002</v>
      </c>
    </row>
    <row r="196" spans="1:11" x14ac:dyDescent="0.25">
      <c r="A196" s="49">
        <f>'A) Base RI'!A198</f>
        <v>5719</v>
      </c>
      <c r="B196" s="293" t="str">
        <f>'A) Base RI'!B198</f>
        <v>Gingins</v>
      </c>
      <c r="C196" s="95">
        <f>'B) D RI'!U198</f>
        <v>145761.42391812865</v>
      </c>
      <c r="D196" s="419">
        <f>'E) Fact soc'!G202/C196</f>
        <v>27.687719435271607</v>
      </c>
      <c r="E196" s="136">
        <f>'H) Péréquation directe'!I207/C196</f>
        <v>18.172963488403198</v>
      </c>
      <c r="F196" s="110"/>
      <c r="G196" s="136">
        <f t="shared" si="9"/>
        <v>45.860682923674801</v>
      </c>
      <c r="H196" s="420">
        <f>G196-'C) Prél. conj.'!I196</f>
        <v>44.336357769409027</v>
      </c>
      <c r="I196" s="424">
        <f t="shared" si="10"/>
        <v>0</v>
      </c>
      <c r="J196" s="55">
        <f t="shared" si="11"/>
        <v>0</v>
      </c>
      <c r="K196" s="420">
        <f t="shared" si="12"/>
        <v>44.336357769409027</v>
      </c>
    </row>
    <row r="197" spans="1:11" x14ac:dyDescent="0.25">
      <c r="A197" s="49">
        <f>'A) Base RI'!A199</f>
        <v>5720</v>
      </c>
      <c r="B197" s="293" t="str">
        <f>'A) Base RI'!B199</f>
        <v>Givrins</v>
      </c>
      <c r="C197" s="95">
        <f>'B) D RI'!U199</f>
        <v>84172.254543946925</v>
      </c>
      <c r="D197" s="419">
        <f>'E) Fact soc'!G203/C197</f>
        <v>25.111098038678399</v>
      </c>
      <c r="E197" s="136">
        <f>'H) Péréquation directe'!I208/C197</f>
        <v>18.034802224437829</v>
      </c>
      <c r="F197" s="110"/>
      <c r="G197" s="136">
        <f t="shared" si="9"/>
        <v>43.145900263116232</v>
      </c>
      <c r="H197" s="420">
        <f>G197-'C) Prél. conj.'!I197</f>
        <v>39.782543043639706</v>
      </c>
      <c r="I197" s="424">
        <f t="shared" si="10"/>
        <v>0</v>
      </c>
      <c r="J197" s="55">
        <f t="shared" si="11"/>
        <v>0</v>
      </c>
      <c r="K197" s="420">
        <f t="shared" si="12"/>
        <v>39.782543043639706</v>
      </c>
    </row>
    <row r="198" spans="1:11" x14ac:dyDescent="0.25">
      <c r="A198" s="49">
        <f>'A) Base RI'!A200</f>
        <v>5721</v>
      </c>
      <c r="B198" s="293" t="str">
        <f>'A) Base RI'!B200</f>
        <v>Gland</v>
      </c>
      <c r="C198" s="95">
        <f>'B) D RI'!U200</f>
        <v>651107.04049180343</v>
      </c>
      <c r="D198" s="419">
        <f>'E) Fact soc'!G204/C198</f>
        <v>17.162845497330071</v>
      </c>
      <c r="E198" s="136">
        <f>'H) Péréquation directe'!I209/C198</f>
        <v>7.4204634168093593</v>
      </c>
      <c r="F198" s="110"/>
      <c r="G198" s="136">
        <f t="shared" ref="G198:G261" si="13">SUM(D198:F198)</f>
        <v>24.58330891413943</v>
      </c>
      <c r="H198" s="420">
        <f>G198-'C) Prél. conj.'!I198</f>
        <v>21.195508640418126</v>
      </c>
      <c r="I198" s="424">
        <f t="shared" ref="I198:I261" si="14">IF(H198&gt;I$4,I$4-H198,0)</f>
        <v>0</v>
      </c>
      <c r="J198" s="55">
        <f t="shared" ref="J198:J261" si="15">I198*C198</f>
        <v>0</v>
      </c>
      <c r="K198" s="420">
        <f t="shared" ref="K198:K261" si="16">H198+I198</f>
        <v>21.195508640418126</v>
      </c>
    </row>
    <row r="199" spans="1:11" x14ac:dyDescent="0.25">
      <c r="A199" s="49">
        <f>'A) Base RI'!A201</f>
        <v>5722</v>
      </c>
      <c r="B199" s="293" t="str">
        <f>'A) Base RI'!B201</f>
        <v>Grens</v>
      </c>
      <c r="C199" s="95">
        <f>'B) D RI'!U201</f>
        <v>25525.601935483872</v>
      </c>
      <c r="D199" s="419">
        <f>'E) Fact soc'!G205/C199</f>
        <v>17.510097506374692</v>
      </c>
      <c r="E199" s="136">
        <f>'H) Péréquation directe'!I210/C199</f>
        <v>17.668424233419692</v>
      </c>
      <c r="F199" s="110"/>
      <c r="G199" s="136">
        <f t="shared" si="13"/>
        <v>35.178521739794384</v>
      </c>
      <c r="H199" s="420">
        <f>G199-'C) Prél. conj.'!I199</f>
        <v>34.632665268506592</v>
      </c>
      <c r="I199" s="424">
        <f t="shared" si="14"/>
        <v>0</v>
      </c>
      <c r="J199" s="55">
        <f t="shared" si="15"/>
        <v>0</v>
      </c>
      <c r="K199" s="420">
        <f t="shared" si="16"/>
        <v>34.632665268506592</v>
      </c>
    </row>
    <row r="200" spans="1:11" x14ac:dyDescent="0.25">
      <c r="A200" s="49">
        <f>'A) Base RI'!A202</f>
        <v>5723</v>
      </c>
      <c r="B200" s="293" t="str">
        <f>'A) Base RI'!B202</f>
        <v>Mies</v>
      </c>
      <c r="C200" s="95">
        <f>'B) D RI'!U202</f>
        <v>197805.17519230774</v>
      </c>
      <c r="D200" s="419">
        <f>'E) Fact soc'!G206/C200</f>
        <v>24.663112984487466</v>
      </c>
      <c r="E200" s="136">
        <f>'H) Péréquation directe'!I211/C200</f>
        <v>16.951848515483558</v>
      </c>
      <c r="F200" s="110"/>
      <c r="G200" s="136">
        <f t="shared" si="13"/>
        <v>41.614961499971024</v>
      </c>
      <c r="H200" s="420">
        <f>G200-'C) Prél. conj.'!I200</f>
        <v>38.352587755843146</v>
      </c>
      <c r="I200" s="424">
        <f t="shared" si="14"/>
        <v>0</v>
      </c>
      <c r="J200" s="55">
        <f t="shared" si="15"/>
        <v>0</v>
      </c>
      <c r="K200" s="420">
        <f t="shared" si="16"/>
        <v>38.352587755843146</v>
      </c>
    </row>
    <row r="201" spans="1:11" x14ac:dyDescent="0.25">
      <c r="A201" s="49">
        <f>'A) Base RI'!A203</f>
        <v>5724</v>
      </c>
      <c r="B201" s="293" t="str">
        <f>'A) Base RI'!B203</f>
        <v>Nyon</v>
      </c>
      <c r="C201" s="95">
        <f>'B) D RI'!U203</f>
        <v>1415730.6761202184</v>
      </c>
      <c r="D201" s="419">
        <f>'E) Fact soc'!G207/C201</f>
        <v>23.046387037831686</v>
      </c>
      <c r="E201" s="136">
        <f>'H) Péréquation directe'!I212/C201</f>
        <v>7.8259658205177365</v>
      </c>
      <c r="F201" s="110"/>
      <c r="G201" s="136">
        <f t="shared" si="13"/>
        <v>30.872352858349423</v>
      </c>
      <c r="H201" s="420">
        <f>G201-'C) Prél. conj.'!I201</f>
        <v>25.212744226460451</v>
      </c>
      <c r="I201" s="424">
        <f t="shared" si="14"/>
        <v>0</v>
      </c>
      <c r="J201" s="55">
        <f t="shared" si="15"/>
        <v>0</v>
      </c>
      <c r="K201" s="420">
        <f t="shared" si="16"/>
        <v>25.212744226460451</v>
      </c>
    </row>
    <row r="202" spans="1:11" x14ac:dyDescent="0.25">
      <c r="A202" s="49">
        <f>'A) Base RI'!A204</f>
        <v>5725</v>
      </c>
      <c r="B202" s="293" t="str">
        <f>'A) Base RI'!B204</f>
        <v>Prangins</v>
      </c>
      <c r="C202" s="95">
        <f>'B) D RI'!U204</f>
        <v>312804.93402597401</v>
      </c>
      <c r="D202" s="419">
        <f>'E) Fact soc'!G208/C202</f>
        <v>22.089619487923883</v>
      </c>
      <c r="E202" s="136">
        <f>'H) Péréquation directe'!I213/C202</f>
        <v>15.273846587250791</v>
      </c>
      <c r="F202" s="110"/>
      <c r="G202" s="136">
        <f t="shared" si="13"/>
        <v>37.363466075174671</v>
      </c>
      <c r="H202" s="420">
        <f>G202-'C) Prél. conj.'!I202</f>
        <v>34.476434792205801</v>
      </c>
      <c r="I202" s="424">
        <f t="shared" si="14"/>
        <v>0</v>
      </c>
      <c r="J202" s="55">
        <f t="shared" si="15"/>
        <v>0</v>
      </c>
      <c r="K202" s="420">
        <f t="shared" si="16"/>
        <v>34.476434792205801</v>
      </c>
    </row>
    <row r="203" spans="1:11" x14ac:dyDescent="0.25">
      <c r="A203" s="49">
        <f>'A) Base RI'!A205</f>
        <v>5726</v>
      </c>
      <c r="B203" s="293" t="str">
        <f>'A) Base RI'!B205</f>
        <v>La Rippe</v>
      </c>
      <c r="C203" s="95">
        <f>'B) D RI'!U205</f>
        <v>66324.764153846147</v>
      </c>
      <c r="D203" s="419">
        <f>'E) Fact soc'!G209/C203</f>
        <v>20.103497967960049</v>
      </c>
      <c r="E203" s="136">
        <f>'H) Péréquation directe'!I214/C203</f>
        <v>17.080536090861727</v>
      </c>
      <c r="F203" s="110"/>
      <c r="G203" s="136">
        <f t="shared" si="13"/>
        <v>37.18403405882178</v>
      </c>
      <c r="H203" s="420">
        <f>G203-'C) Prél. conj.'!I203</f>
        <v>33.022615868780697</v>
      </c>
      <c r="I203" s="424">
        <f t="shared" si="14"/>
        <v>0</v>
      </c>
      <c r="J203" s="55">
        <f t="shared" si="15"/>
        <v>0</v>
      </c>
      <c r="K203" s="420">
        <f t="shared" si="16"/>
        <v>33.022615868780697</v>
      </c>
    </row>
    <row r="204" spans="1:11" x14ac:dyDescent="0.25">
      <c r="A204" s="49">
        <f>'A) Base RI'!A206</f>
        <v>5727</v>
      </c>
      <c r="B204" s="293" t="str">
        <f>'A) Base RI'!B206</f>
        <v>Saint-Cergue</v>
      </c>
      <c r="C204" s="95">
        <f>'B) D RI'!U206</f>
        <v>105125.05141414142</v>
      </c>
      <c r="D204" s="419">
        <f>'E) Fact soc'!G210/C204</f>
        <v>17.165088676493937</v>
      </c>
      <c r="E204" s="136">
        <f>'H) Péréquation directe'!I215/C204</f>
        <v>8.9894984808273222</v>
      </c>
      <c r="F204" s="110"/>
      <c r="G204" s="136">
        <f t="shared" si="13"/>
        <v>26.154587157321259</v>
      </c>
      <c r="H204" s="420">
        <f>G204-'C) Prél. conj.'!I204</f>
        <v>22.518111456643741</v>
      </c>
      <c r="I204" s="424">
        <f t="shared" si="14"/>
        <v>0</v>
      </c>
      <c r="J204" s="55">
        <f t="shared" si="15"/>
        <v>0</v>
      </c>
      <c r="K204" s="420">
        <f t="shared" si="16"/>
        <v>22.518111456643741</v>
      </c>
    </row>
    <row r="205" spans="1:11" x14ac:dyDescent="0.25">
      <c r="A205" s="49">
        <f>'A) Base RI'!A207</f>
        <v>5728</v>
      </c>
      <c r="B205" s="293" t="str">
        <f>'A) Base RI'!B207</f>
        <v>Signy-Avenex</v>
      </c>
      <c r="C205" s="95">
        <f>'B) D RI'!U207</f>
        <v>49286.820862068969</v>
      </c>
      <c r="D205" s="419">
        <f>'E) Fact soc'!G211/C205</f>
        <v>23.703704155505825</v>
      </c>
      <c r="E205" s="136">
        <f>'H) Péréquation directe'!I216/C205</f>
        <v>18.174106579808235</v>
      </c>
      <c r="F205" s="110"/>
      <c r="G205" s="136">
        <f t="shared" si="13"/>
        <v>41.877810735314057</v>
      </c>
      <c r="H205" s="420">
        <f>G205-'C) Prél. conj.'!I205</f>
        <v>39.422578730420646</v>
      </c>
      <c r="I205" s="424">
        <f t="shared" si="14"/>
        <v>0</v>
      </c>
      <c r="J205" s="55">
        <f t="shared" si="15"/>
        <v>0</v>
      </c>
      <c r="K205" s="420">
        <f t="shared" si="16"/>
        <v>39.422578730420646</v>
      </c>
    </row>
    <row r="206" spans="1:11" x14ac:dyDescent="0.25">
      <c r="A206" s="49">
        <f>'A) Base RI'!A208</f>
        <v>5729</v>
      </c>
      <c r="B206" s="293" t="str">
        <f>'A) Base RI'!B208</f>
        <v>Tannay</v>
      </c>
      <c r="C206" s="95">
        <f>'B) D RI'!U208</f>
        <v>130826.66865013774</v>
      </c>
      <c r="D206" s="419">
        <f>'E) Fact soc'!G212/C206</f>
        <v>24.924830309353275</v>
      </c>
      <c r="E206" s="136">
        <f>'H) Péréquation directe'!I217/C206</f>
        <v>17.000198199862744</v>
      </c>
      <c r="F206" s="110"/>
      <c r="G206" s="136">
        <f t="shared" si="13"/>
        <v>41.92502850921602</v>
      </c>
      <c r="H206" s="420">
        <f>G206-'C) Prél. conj.'!I206</f>
        <v>37.59933910017515</v>
      </c>
      <c r="I206" s="424">
        <f t="shared" si="14"/>
        <v>0</v>
      </c>
      <c r="J206" s="55">
        <f t="shared" si="15"/>
        <v>0</v>
      </c>
      <c r="K206" s="420">
        <f t="shared" si="16"/>
        <v>37.59933910017515</v>
      </c>
    </row>
    <row r="207" spans="1:11" x14ac:dyDescent="0.25">
      <c r="A207" s="49">
        <f>'A) Base RI'!A209</f>
        <v>5730</v>
      </c>
      <c r="B207" s="293" t="str">
        <f>'A) Base RI'!B209</f>
        <v>Trélex</v>
      </c>
      <c r="C207" s="95">
        <f>'B) D RI'!U209</f>
        <v>111625.98756756757</v>
      </c>
      <c r="D207" s="419">
        <f>'E) Fact soc'!G213/C207</f>
        <v>23.115083946679693</v>
      </c>
      <c r="E207" s="136">
        <f>'H) Péréquation directe'!I218/C207</f>
        <v>17.140911809988086</v>
      </c>
      <c r="F207" s="110"/>
      <c r="G207" s="136">
        <f t="shared" si="13"/>
        <v>40.25599575666778</v>
      </c>
      <c r="H207" s="420">
        <f>G207-'C) Prél. conj.'!I207</f>
        <v>36.60291295860366</v>
      </c>
      <c r="I207" s="424">
        <f t="shared" si="14"/>
        <v>0</v>
      </c>
      <c r="J207" s="55">
        <f t="shared" si="15"/>
        <v>0</v>
      </c>
      <c r="K207" s="420">
        <f t="shared" si="16"/>
        <v>36.60291295860366</v>
      </c>
    </row>
    <row r="208" spans="1:11" x14ac:dyDescent="0.25">
      <c r="A208" s="49">
        <f>'A) Base RI'!A210</f>
        <v>5731</v>
      </c>
      <c r="B208" s="293" t="str">
        <f>'A) Base RI'!B210</f>
        <v>Le Vaud</v>
      </c>
      <c r="C208" s="95">
        <f>'B) D RI'!U210</f>
        <v>63942.206576576558</v>
      </c>
      <c r="D208" s="419">
        <f>'E) Fact soc'!G214/C208</f>
        <v>15.909149528268777</v>
      </c>
      <c r="E208" s="136">
        <f>'H) Péréquation directe'!I219/C208</f>
        <v>15.069552391869406</v>
      </c>
      <c r="F208" s="110"/>
      <c r="G208" s="136">
        <f t="shared" si="13"/>
        <v>30.978701920138185</v>
      </c>
      <c r="H208" s="420">
        <f>G208-'C) Prél. conj.'!I208</f>
        <v>28.598165367685827</v>
      </c>
      <c r="I208" s="424">
        <f t="shared" si="14"/>
        <v>0</v>
      </c>
      <c r="J208" s="55">
        <f t="shared" si="15"/>
        <v>0</v>
      </c>
      <c r="K208" s="420">
        <f t="shared" si="16"/>
        <v>28.598165367685827</v>
      </c>
    </row>
    <row r="209" spans="1:11" x14ac:dyDescent="0.25">
      <c r="A209" s="49">
        <f>'A) Base RI'!A211</f>
        <v>5732</v>
      </c>
      <c r="B209" s="293" t="str">
        <f>'A) Base RI'!B211</f>
        <v>Vich</v>
      </c>
      <c r="C209" s="95">
        <f>'B) D RI'!U211</f>
        <v>71006.972380952371</v>
      </c>
      <c r="D209" s="419">
        <f>'E) Fact soc'!G215/C209</f>
        <v>20.859672366008535</v>
      </c>
      <c r="E209" s="136">
        <f>'H) Péréquation directe'!I220/C209</f>
        <v>17.126792618754799</v>
      </c>
      <c r="F209" s="110"/>
      <c r="G209" s="136">
        <f t="shared" si="13"/>
        <v>37.98646498476333</v>
      </c>
      <c r="H209" s="420">
        <f>G209-'C) Prél. conj.'!I209</f>
        <v>33.744705691266184</v>
      </c>
      <c r="I209" s="424">
        <f t="shared" si="14"/>
        <v>0</v>
      </c>
      <c r="J209" s="55">
        <f t="shared" si="15"/>
        <v>0</v>
      </c>
      <c r="K209" s="420">
        <f t="shared" si="16"/>
        <v>33.744705691266184</v>
      </c>
    </row>
    <row r="210" spans="1:11" x14ac:dyDescent="0.25">
      <c r="A210" s="49">
        <f>'A) Base RI'!A212</f>
        <v>5741</v>
      </c>
      <c r="B210" s="293" t="str">
        <f>'A) Base RI'!B212</f>
        <v>L'Abergement</v>
      </c>
      <c r="C210" s="95">
        <f>'B) D RI'!U212</f>
        <v>7368.9297325102852</v>
      </c>
      <c r="D210" s="419">
        <f>'E) Fact soc'!G216/C210</f>
        <v>16.955520398829325</v>
      </c>
      <c r="E210" s="136">
        <f>'H) Péréquation directe'!I221/C210</f>
        <v>-2.4018186228451102</v>
      </c>
      <c r="F210" s="110"/>
      <c r="G210" s="136">
        <f t="shared" si="13"/>
        <v>14.553701775984216</v>
      </c>
      <c r="H210" s="420">
        <f>G210-'C) Prél. conj.'!I210</f>
        <v>11.126794352971309</v>
      </c>
      <c r="I210" s="424">
        <f t="shared" si="14"/>
        <v>0</v>
      </c>
      <c r="J210" s="55">
        <f t="shared" si="15"/>
        <v>0</v>
      </c>
      <c r="K210" s="420">
        <f t="shared" si="16"/>
        <v>11.126794352971309</v>
      </c>
    </row>
    <row r="211" spans="1:11" x14ac:dyDescent="0.25">
      <c r="A211" s="49">
        <f>'A) Base RI'!A213</f>
        <v>5742</v>
      </c>
      <c r="B211" s="293" t="str">
        <f>'A) Base RI'!B213</f>
        <v>Agiez</v>
      </c>
      <c r="C211" s="95">
        <f>'B) D RI'!U213</f>
        <v>8960.136710526318</v>
      </c>
      <c r="D211" s="419">
        <f>'E) Fact soc'!G217/C211</f>
        <v>15.310404985891925</v>
      </c>
      <c r="E211" s="136">
        <f>'H) Péréquation directe'!I222/C211</f>
        <v>-9.3781060625459371</v>
      </c>
      <c r="F211" s="110"/>
      <c r="G211" s="136">
        <f t="shared" si="13"/>
        <v>5.9322989233459875</v>
      </c>
      <c r="H211" s="420">
        <f>G211-'C) Prél. conj.'!I211</f>
        <v>4.1505069132704833</v>
      </c>
      <c r="I211" s="424">
        <f t="shared" si="14"/>
        <v>0</v>
      </c>
      <c r="J211" s="55">
        <f t="shared" si="15"/>
        <v>0</v>
      </c>
      <c r="K211" s="420">
        <f t="shared" si="16"/>
        <v>4.1505069132704833</v>
      </c>
    </row>
    <row r="212" spans="1:11" x14ac:dyDescent="0.25">
      <c r="A212" s="49">
        <f>'A) Base RI'!A214</f>
        <v>5743</v>
      </c>
      <c r="B212" s="293" t="str">
        <f>'A) Base RI'!B214</f>
        <v>Arnex-sur-Orbe</v>
      </c>
      <c r="C212" s="95">
        <f>'B) D RI'!U214</f>
        <v>20526.64161971831</v>
      </c>
      <c r="D212" s="419">
        <f>'E) Fact soc'!G218/C212</f>
        <v>15.13853244594811</v>
      </c>
      <c r="E212" s="136">
        <f>'H) Péréquation directe'!I223/C212</f>
        <v>5.777729680843648</v>
      </c>
      <c r="F212" s="110"/>
      <c r="G212" s="136">
        <f t="shared" si="13"/>
        <v>20.916262126791757</v>
      </c>
      <c r="H212" s="420">
        <f>G212-'C) Prél. conj.'!I212</f>
        <v>19.306342656660068</v>
      </c>
      <c r="I212" s="424">
        <f t="shared" si="14"/>
        <v>0</v>
      </c>
      <c r="J212" s="55">
        <f t="shared" si="15"/>
        <v>0</v>
      </c>
      <c r="K212" s="420">
        <f t="shared" si="16"/>
        <v>19.306342656660068</v>
      </c>
    </row>
    <row r="213" spans="1:11" x14ac:dyDescent="0.25">
      <c r="A213" s="49">
        <f>'A) Base RI'!A215</f>
        <v>5744</v>
      </c>
      <c r="B213" s="293" t="str">
        <f>'A) Base RI'!B215</f>
        <v>Ballaigues</v>
      </c>
      <c r="C213" s="95">
        <f>'B) D RI'!U215</f>
        <v>40453.358769230777</v>
      </c>
      <c r="D213" s="419">
        <f>'E) Fact soc'!G219/C213</f>
        <v>24.934840024408508</v>
      </c>
      <c r="E213" s="136">
        <f>'H) Péréquation directe'!I224/C213</f>
        <v>9.222121427784673</v>
      </c>
      <c r="F213" s="110"/>
      <c r="G213" s="136">
        <f t="shared" si="13"/>
        <v>34.15696145219318</v>
      </c>
      <c r="H213" s="420">
        <f>G213-'C) Prél. conj.'!I213</f>
        <v>22.750734403601093</v>
      </c>
      <c r="I213" s="424">
        <f t="shared" si="14"/>
        <v>0</v>
      </c>
      <c r="J213" s="55">
        <f t="shared" si="15"/>
        <v>0</v>
      </c>
      <c r="K213" s="420">
        <f t="shared" si="16"/>
        <v>22.750734403601093</v>
      </c>
    </row>
    <row r="214" spans="1:11" x14ac:dyDescent="0.25">
      <c r="A214" s="49">
        <f>'A) Base RI'!A216</f>
        <v>5745</v>
      </c>
      <c r="B214" s="293" t="str">
        <f>'A) Base RI'!B216</f>
        <v>Baulmes</v>
      </c>
      <c r="C214" s="95">
        <f>'B) D RI'!U216</f>
        <v>26827.589150326792</v>
      </c>
      <c r="D214" s="419">
        <f>'E) Fact soc'!G220/C214</f>
        <v>17.474894522278465</v>
      </c>
      <c r="E214" s="136">
        <f>'H) Péréquation directe'!I225/C214</f>
        <v>-7.7452304791586668</v>
      </c>
      <c r="F214" s="110"/>
      <c r="G214" s="136">
        <f t="shared" si="13"/>
        <v>9.7296640431197972</v>
      </c>
      <c r="H214" s="420">
        <f>G214-'C) Prél. conj.'!I214</f>
        <v>5.7833824966577518</v>
      </c>
      <c r="I214" s="424">
        <f t="shared" si="14"/>
        <v>0</v>
      </c>
      <c r="J214" s="55">
        <f t="shared" si="15"/>
        <v>0</v>
      </c>
      <c r="K214" s="420">
        <f t="shared" si="16"/>
        <v>5.7833824966577518</v>
      </c>
    </row>
    <row r="215" spans="1:11" x14ac:dyDescent="0.25">
      <c r="A215" s="49">
        <f>'A) Base RI'!A217</f>
        <v>5746</v>
      </c>
      <c r="B215" s="293" t="str">
        <f>'A) Base RI'!B217</f>
        <v>Bavois</v>
      </c>
      <c r="C215" s="95">
        <f>'B) D RI'!U217</f>
        <v>30466.611141552505</v>
      </c>
      <c r="D215" s="419">
        <f>'E) Fact soc'!G221/C215</f>
        <v>20.258548873424488</v>
      </c>
      <c r="E215" s="136">
        <f>'H) Péréquation directe'!I226/C215</f>
        <v>3.3675559939548871</v>
      </c>
      <c r="F215" s="110"/>
      <c r="G215" s="136">
        <f t="shared" si="13"/>
        <v>23.626104867379375</v>
      </c>
      <c r="H215" s="420">
        <f>G215-'C) Prél. conj.'!I215</f>
        <v>16.89616896977131</v>
      </c>
      <c r="I215" s="424">
        <f t="shared" si="14"/>
        <v>0</v>
      </c>
      <c r="J215" s="55">
        <f t="shared" si="15"/>
        <v>0</v>
      </c>
      <c r="K215" s="420">
        <f t="shared" si="16"/>
        <v>16.89616896977131</v>
      </c>
    </row>
    <row r="216" spans="1:11" x14ac:dyDescent="0.25">
      <c r="A216" s="49">
        <f>'A) Base RI'!A218</f>
        <v>5747</v>
      </c>
      <c r="B216" s="293" t="str">
        <f>'A) Base RI'!B218</f>
        <v>Bofflens</v>
      </c>
      <c r="C216" s="95">
        <f>'B) D RI'!U218</f>
        <v>5608.7786956521741</v>
      </c>
      <c r="D216" s="419">
        <f>'E) Fact soc'!G222/C216</f>
        <v>17.876056746222609</v>
      </c>
      <c r="E216" s="136">
        <f>'H) Péréquation directe'!I227/C216</f>
        <v>0.38690629806235505</v>
      </c>
      <c r="F216" s="110"/>
      <c r="G216" s="136">
        <f t="shared" si="13"/>
        <v>18.262963044284966</v>
      </c>
      <c r="H216" s="420">
        <f>G216-'C) Prél. conj.'!I216</f>
        <v>13.915519273878775</v>
      </c>
      <c r="I216" s="424">
        <f t="shared" si="14"/>
        <v>0</v>
      </c>
      <c r="J216" s="55">
        <f t="shared" si="15"/>
        <v>0</v>
      </c>
      <c r="K216" s="420">
        <f t="shared" si="16"/>
        <v>13.915519273878775</v>
      </c>
    </row>
    <row r="217" spans="1:11" x14ac:dyDescent="0.25">
      <c r="A217" s="49">
        <f>'A) Base RI'!A219</f>
        <v>5748</v>
      </c>
      <c r="B217" s="293" t="str">
        <f>'A) Base RI'!B219</f>
        <v>Bretonnières</v>
      </c>
      <c r="C217" s="95">
        <f>'B) D RI'!U219</f>
        <v>5789.9884160756492</v>
      </c>
      <c r="D217" s="419">
        <f>'E) Fact soc'!G223/C217</f>
        <v>16.014891697900122</v>
      </c>
      <c r="E217" s="136">
        <f>'H) Péréquation directe'!I228/C217</f>
        <v>-10.626333364302649</v>
      </c>
      <c r="F217" s="110"/>
      <c r="G217" s="136">
        <f t="shared" si="13"/>
        <v>5.3885583335974729</v>
      </c>
      <c r="H217" s="420">
        <f>G217-'C) Prél. conj.'!I217</f>
        <v>2.9022796115137717</v>
      </c>
      <c r="I217" s="424">
        <f t="shared" si="14"/>
        <v>0</v>
      </c>
      <c r="J217" s="55">
        <f t="shared" si="15"/>
        <v>0</v>
      </c>
      <c r="K217" s="420">
        <f t="shared" si="16"/>
        <v>2.9022796115137717</v>
      </c>
    </row>
    <row r="218" spans="1:11" x14ac:dyDescent="0.25">
      <c r="A218" s="49">
        <f>'A) Base RI'!A220</f>
        <v>5749</v>
      </c>
      <c r="B218" s="293" t="str">
        <f>'A) Base RI'!B220</f>
        <v>Chavornay</v>
      </c>
      <c r="C218" s="95">
        <f>'B) D RI'!U220</f>
        <v>140676.80723404256</v>
      </c>
      <c r="D218" s="419">
        <f>'E) Fact soc'!G224/C218</f>
        <v>17.702305651562028</v>
      </c>
      <c r="E218" s="136">
        <f>'H) Péréquation directe'!I229/C218</f>
        <v>-9.9449427377073949</v>
      </c>
      <c r="F218" s="110"/>
      <c r="G218" s="136">
        <f t="shared" si="13"/>
        <v>7.7573629138546334</v>
      </c>
      <c r="H218" s="420">
        <f>G218-'C) Prél. conj.'!I218</f>
        <v>3.5836702381090264</v>
      </c>
      <c r="I218" s="424">
        <f t="shared" si="14"/>
        <v>0</v>
      </c>
      <c r="J218" s="55">
        <f t="shared" si="15"/>
        <v>0</v>
      </c>
      <c r="K218" s="420">
        <f t="shared" si="16"/>
        <v>3.5836702381090264</v>
      </c>
    </row>
    <row r="219" spans="1:11" x14ac:dyDescent="0.25">
      <c r="A219" s="49">
        <f>'A) Base RI'!A221</f>
        <v>5750</v>
      </c>
      <c r="B219" s="293" t="str">
        <f>'A) Base RI'!B221</f>
        <v>Les Clées</v>
      </c>
      <c r="C219" s="95">
        <f>'B) D RI'!U221</f>
        <v>6037.9437500000004</v>
      </c>
      <c r="D219" s="419">
        <f>'E) Fact soc'!G225/C219</f>
        <v>14.006225076790365</v>
      </c>
      <c r="E219" s="136">
        <f>'H) Péréquation directe'!I230/C219</f>
        <v>3.1635216007432119</v>
      </c>
      <c r="F219" s="110"/>
      <c r="G219" s="136">
        <f t="shared" si="13"/>
        <v>17.169746677533578</v>
      </c>
      <c r="H219" s="420">
        <f>G219-'C) Prél. conj.'!I219</f>
        <v>16.692134576559631</v>
      </c>
      <c r="I219" s="424">
        <f t="shared" si="14"/>
        <v>0</v>
      </c>
      <c r="J219" s="55">
        <f t="shared" si="15"/>
        <v>0</v>
      </c>
      <c r="K219" s="420">
        <f t="shared" si="16"/>
        <v>16.692134576559631</v>
      </c>
    </row>
    <row r="220" spans="1:11" x14ac:dyDescent="0.25">
      <c r="A220" s="49">
        <f>'A) Base RI'!A222</f>
        <v>5752</v>
      </c>
      <c r="B220" s="293" t="str">
        <f>'A) Base RI'!B222</f>
        <v>Croy</v>
      </c>
      <c r="C220" s="95">
        <f>'B) D RI'!U222</f>
        <v>9416.7971235521236</v>
      </c>
      <c r="D220" s="419">
        <f>'E) Fact soc'!G226/C220</f>
        <v>17.152514452322634</v>
      </c>
      <c r="E220" s="136">
        <f>'H) Péréquation directe'!I231/C220</f>
        <v>-8.2407989483851818</v>
      </c>
      <c r="F220" s="110"/>
      <c r="G220" s="136">
        <f t="shared" si="13"/>
        <v>8.9117155039374527</v>
      </c>
      <c r="H220" s="420">
        <f>G220-'C) Prél. conj.'!I220</f>
        <v>5.2878140274312404</v>
      </c>
      <c r="I220" s="424">
        <f t="shared" si="14"/>
        <v>0</v>
      </c>
      <c r="J220" s="55">
        <f t="shared" si="15"/>
        <v>0</v>
      </c>
      <c r="K220" s="420">
        <f t="shared" si="16"/>
        <v>5.2878140274312404</v>
      </c>
    </row>
    <row r="221" spans="1:11" x14ac:dyDescent="0.25">
      <c r="A221" s="49">
        <f>'A) Base RI'!A223</f>
        <v>5754</v>
      </c>
      <c r="B221" s="293" t="str">
        <f>'A) Base RI'!B223</f>
        <v>Juriens</v>
      </c>
      <c r="C221" s="95">
        <f>'B) D RI'!U223</f>
        <v>8043.7859493670894</v>
      </c>
      <c r="D221" s="419">
        <f>'E) Fact soc'!G227/C221</f>
        <v>15.045942635857951</v>
      </c>
      <c r="E221" s="136">
        <f>'H) Péréquation directe'!I232/C221</f>
        <v>-10.889661497246053</v>
      </c>
      <c r="F221" s="110"/>
      <c r="G221" s="136">
        <f t="shared" si="13"/>
        <v>4.1562811386118987</v>
      </c>
      <c r="H221" s="420">
        <f>G221-'C) Prél. conj.'!I221</f>
        <v>2.6389514785703687</v>
      </c>
      <c r="I221" s="424">
        <f t="shared" si="14"/>
        <v>0</v>
      </c>
      <c r="J221" s="55">
        <f t="shared" si="15"/>
        <v>0</v>
      </c>
      <c r="K221" s="420">
        <f t="shared" si="16"/>
        <v>2.6389514785703687</v>
      </c>
    </row>
    <row r="222" spans="1:11" x14ac:dyDescent="0.25">
      <c r="A222" s="49">
        <f>'A) Base RI'!A224</f>
        <v>5755</v>
      </c>
      <c r="B222" s="293" t="str">
        <f>'A) Base RI'!B224</f>
        <v>Lignerolle</v>
      </c>
      <c r="C222" s="95">
        <f>'B) D RI'!U224</f>
        <v>9055.2737033666963</v>
      </c>
      <c r="D222" s="419">
        <f>'E) Fact soc'!G228/C222</f>
        <v>29.302392949677891</v>
      </c>
      <c r="E222" s="136">
        <f>'H) Péréquation directe'!I233/C222</f>
        <v>-18.810783364531709</v>
      </c>
      <c r="F222" s="110"/>
      <c r="G222" s="136">
        <f t="shared" si="13"/>
        <v>10.491609585146183</v>
      </c>
      <c r="H222" s="420">
        <f>G222-'C) Prél. conj.'!I222</f>
        <v>-5.2821703887152882</v>
      </c>
      <c r="I222" s="424">
        <f t="shared" si="14"/>
        <v>0</v>
      </c>
      <c r="J222" s="55">
        <f t="shared" si="15"/>
        <v>0</v>
      </c>
      <c r="K222" s="420">
        <f t="shared" si="16"/>
        <v>-5.2821703887152882</v>
      </c>
    </row>
    <row r="223" spans="1:11" x14ac:dyDescent="0.25">
      <c r="A223" s="49">
        <f>'A) Base RI'!A225</f>
        <v>5756</v>
      </c>
      <c r="B223" s="293" t="str">
        <f>'A) Base RI'!B225</f>
        <v>Montcherand</v>
      </c>
      <c r="C223" s="95">
        <f>'B) D RI'!U225</f>
        <v>15758.308611111112</v>
      </c>
      <c r="D223" s="419">
        <f>'E) Fact soc'!G229/C223</f>
        <v>16.976849480188868</v>
      </c>
      <c r="E223" s="136">
        <f>'H) Péréquation directe'!I234/C223</f>
        <v>4.2809222336356392</v>
      </c>
      <c r="F223" s="110"/>
      <c r="G223" s="136">
        <f t="shared" si="13"/>
        <v>21.257771713824507</v>
      </c>
      <c r="H223" s="420">
        <f>G223-'C) Prél. conj.'!I223</f>
        <v>17.809535209452061</v>
      </c>
      <c r="I223" s="424">
        <f t="shared" si="14"/>
        <v>0</v>
      </c>
      <c r="J223" s="55">
        <f t="shared" si="15"/>
        <v>0</v>
      </c>
      <c r="K223" s="420">
        <f t="shared" si="16"/>
        <v>17.809535209452061</v>
      </c>
    </row>
    <row r="224" spans="1:11" x14ac:dyDescent="0.25">
      <c r="A224" s="49">
        <f>'A) Base RI'!A226</f>
        <v>5757</v>
      </c>
      <c r="B224" s="293" t="str">
        <f>'A) Base RI'!B226</f>
        <v>Orbe</v>
      </c>
      <c r="C224" s="95">
        <f>'B) D RI'!U226</f>
        <v>203783.43483443707</v>
      </c>
      <c r="D224" s="419">
        <f>'E) Fact soc'!G230/C224</f>
        <v>20.7785153351535</v>
      </c>
      <c r="E224" s="136">
        <f>'H) Péréquation directe'!I235/C224</f>
        <v>-11.095472393758497</v>
      </c>
      <c r="F224" s="110"/>
      <c r="G224" s="136">
        <f t="shared" si="13"/>
        <v>9.6830429413950032</v>
      </c>
      <c r="H224" s="420">
        <f>G224-'C) Prél. conj.'!I224</f>
        <v>2.4331405820579208</v>
      </c>
      <c r="I224" s="424">
        <f t="shared" si="14"/>
        <v>0</v>
      </c>
      <c r="J224" s="55">
        <f t="shared" si="15"/>
        <v>0</v>
      </c>
      <c r="K224" s="420">
        <f t="shared" si="16"/>
        <v>2.4331405820579208</v>
      </c>
    </row>
    <row r="225" spans="1:11" x14ac:dyDescent="0.25">
      <c r="A225" s="49">
        <f>'A) Base RI'!A227</f>
        <v>5758</v>
      </c>
      <c r="B225" s="293" t="str">
        <f>'A) Base RI'!B227</f>
        <v>La Praz</v>
      </c>
      <c r="C225" s="95">
        <f>'B) D RI'!U227</f>
        <v>4313.3939759036139</v>
      </c>
      <c r="D225" s="419">
        <f>'E) Fact soc'!G231/C225</f>
        <v>16.402126285576966</v>
      </c>
      <c r="E225" s="136">
        <f>'H) Péréquation directe'!I236/C225</f>
        <v>-11.774678017450647</v>
      </c>
      <c r="F225" s="110"/>
      <c r="G225" s="136">
        <f t="shared" si="13"/>
        <v>4.6274482681263187</v>
      </c>
      <c r="H225" s="420">
        <f>G225-'C) Prél. conj.'!I225</f>
        <v>1.7539349583657717</v>
      </c>
      <c r="I225" s="424">
        <f t="shared" si="14"/>
        <v>0</v>
      </c>
      <c r="J225" s="55">
        <f t="shared" si="15"/>
        <v>0</v>
      </c>
      <c r="K225" s="420">
        <f t="shared" si="16"/>
        <v>1.7539349583657717</v>
      </c>
    </row>
    <row r="226" spans="1:11" x14ac:dyDescent="0.25">
      <c r="A226" s="49">
        <f>'A) Base RI'!A228</f>
        <v>5759</v>
      </c>
      <c r="B226" s="293" t="str">
        <f>'A) Base RI'!B228</f>
        <v>Premier</v>
      </c>
      <c r="C226" s="95">
        <f>'B) D RI'!U228</f>
        <v>5307.4840251572332</v>
      </c>
      <c r="D226" s="419">
        <f>'E) Fact soc'!G232/C226</f>
        <v>17.397838941012164</v>
      </c>
      <c r="E226" s="136">
        <f>'H) Péréquation directe'!I237/C226</f>
        <v>-10.273278095425582</v>
      </c>
      <c r="F226" s="110"/>
      <c r="G226" s="136">
        <f t="shared" si="13"/>
        <v>7.1245608455865828</v>
      </c>
      <c r="H226" s="420">
        <f>G226-'C) Prél. conj.'!I226</f>
        <v>3.2553348803908366</v>
      </c>
      <c r="I226" s="424">
        <f t="shared" si="14"/>
        <v>0</v>
      </c>
      <c r="J226" s="55">
        <f t="shared" si="15"/>
        <v>0</v>
      </c>
      <c r="K226" s="420">
        <f t="shared" si="16"/>
        <v>3.2553348803908366</v>
      </c>
    </row>
    <row r="227" spans="1:11" x14ac:dyDescent="0.25">
      <c r="A227" s="49">
        <f>'A) Base RI'!A229</f>
        <v>5760</v>
      </c>
      <c r="B227" s="293" t="str">
        <f>'A) Base RI'!B229</f>
        <v>Rances</v>
      </c>
      <c r="C227" s="95">
        <f>'B) D RI'!U229</f>
        <v>12826.018997821348</v>
      </c>
      <c r="D227" s="419">
        <f>'E) Fact soc'!G233/C227</f>
        <v>17.775571054488584</v>
      </c>
      <c r="E227" s="136">
        <f>'H) Péréquation directe'!I238/C227</f>
        <v>-7.0836693829762645</v>
      </c>
      <c r="F227" s="110"/>
      <c r="G227" s="136">
        <f t="shared" si="13"/>
        <v>10.691901671512319</v>
      </c>
      <c r="H227" s="420">
        <f>G227-'C) Prél. conj.'!I227</f>
        <v>6.4449435928401568</v>
      </c>
      <c r="I227" s="424">
        <f t="shared" si="14"/>
        <v>0</v>
      </c>
      <c r="J227" s="55">
        <f t="shared" si="15"/>
        <v>0</v>
      </c>
      <c r="K227" s="420">
        <f t="shared" si="16"/>
        <v>6.4449435928401568</v>
      </c>
    </row>
    <row r="228" spans="1:11" x14ac:dyDescent="0.25">
      <c r="A228" s="49">
        <f>'A) Base RI'!A230</f>
        <v>5761</v>
      </c>
      <c r="B228" s="293" t="str">
        <f>'A) Base RI'!B230</f>
        <v>Romainmôtier-Envy</v>
      </c>
      <c r="C228" s="95">
        <f>'B) D RI'!U230</f>
        <v>12135.004377104378</v>
      </c>
      <c r="D228" s="419">
        <f>'E) Fact soc'!G234/C228</f>
        <v>20.620349189968078</v>
      </c>
      <c r="E228" s="136">
        <f>'H) Péréquation directe'!I239/C228</f>
        <v>-14.266054528037715</v>
      </c>
      <c r="F228" s="110"/>
      <c r="G228" s="136">
        <f t="shared" si="13"/>
        <v>6.3542946619303624</v>
      </c>
      <c r="H228" s="420">
        <f>G228-'C) Prél. conj.'!I228</f>
        <v>-0.73744155222129493</v>
      </c>
      <c r="I228" s="424">
        <f t="shared" si="14"/>
        <v>0</v>
      </c>
      <c r="J228" s="55">
        <f t="shared" si="15"/>
        <v>0</v>
      </c>
      <c r="K228" s="420">
        <f t="shared" si="16"/>
        <v>-0.73744155222129493</v>
      </c>
    </row>
    <row r="229" spans="1:11" x14ac:dyDescent="0.25">
      <c r="A229" s="49">
        <f>'A) Base RI'!A231</f>
        <v>5762</v>
      </c>
      <c r="B229" s="293" t="str">
        <f>'A) Base RI'!B231</f>
        <v>Sergey</v>
      </c>
      <c r="C229" s="95">
        <f>'B) D RI'!U231</f>
        <v>3773.0282051282052</v>
      </c>
      <c r="D229" s="419">
        <f>'E) Fact soc'!G235/C229</f>
        <v>13.52861297581642</v>
      </c>
      <c r="E229" s="136">
        <f>'H) Péréquation directe'!I240/C229</f>
        <v>-5.9095843083728887</v>
      </c>
      <c r="F229" s="110"/>
      <c r="G229" s="136">
        <f t="shared" si="13"/>
        <v>7.6190286674435317</v>
      </c>
      <c r="H229" s="420">
        <f>G229-'C) Prél. conj.'!I229</f>
        <v>7.6190286674435317</v>
      </c>
      <c r="I229" s="424">
        <f t="shared" si="14"/>
        <v>0</v>
      </c>
      <c r="J229" s="55">
        <f t="shared" si="15"/>
        <v>0</v>
      </c>
      <c r="K229" s="420">
        <f t="shared" si="16"/>
        <v>7.6190286674435317</v>
      </c>
    </row>
    <row r="230" spans="1:11" x14ac:dyDescent="0.25">
      <c r="A230" s="49">
        <f>'A) Base RI'!A232</f>
        <v>5763</v>
      </c>
      <c r="B230" s="293" t="str">
        <f>'A) Base RI'!B232</f>
        <v>Valeyres-sous-Rances</v>
      </c>
      <c r="C230" s="95">
        <f>'B) D RI'!U232</f>
        <v>20452.974117647056</v>
      </c>
      <c r="D230" s="419">
        <f>'E) Fact soc'!G236/C230</f>
        <v>14.86368678185228</v>
      </c>
      <c r="E230" s="136">
        <f>'H) Péréquation directe'!I241/C230</f>
        <v>7.8852426055322011</v>
      </c>
      <c r="F230" s="110"/>
      <c r="G230" s="136">
        <f t="shared" si="13"/>
        <v>22.748929387384482</v>
      </c>
      <c r="H230" s="420">
        <f>G230-'C) Prél. conj.'!I230</f>
        <v>21.413855581348621</v>
      </c>
      <c r="I230" s="424">
        <f t="shared" si="14"/>
        <v>0</v>
      </c>
      <c r="J230" s="55">
        <f t="shared" si="15"/>
        <v>0</v>
      </c>
      <c r="K230" s="420">
        <f t="shared" si="16"/>
        <v>21.413855581348621</v>
      </c>
    </row>
    <row r="231" spans="1:11" x14ac:dyDescent="0.25">
      <c r="A231" s="49">
        <f>'A) Base RI'!A233</f>
        <v>5764</v>
      </c>
      <c r="B231" s="293" t="str">
        <f>'A) Base RI'!B233</f>
        <v>Vallorbe</v>
      </c>
      <c r="C231" s="95">
        <f>'B) D RI'!U233</f>
        <v>84310.704615384602</v>
      </c>
      <c r="D231" s="419">
        <f>'E) Fact soc'!G237/C231</f>
        <v>23.86870886253638</v>
      </c>
      <c r="E231" s="136">
        <f>'H) Péréquation directe'!I242/C231</f>
        <v>-20.101966950693281</v>
      </c>
      <c r="F231" s="110"/>
      <c r="G231" s="136">
        <f t="shared" si="13"/>
        <v>3.7667419118430985</v>
      </c>
      <c r="H231" s="420">
        <f>G231-'C) Prél. conj.'!I231</f>
        <v>-6.573353974876861</v>
      </c>
      <c r="I231" s="424">
        <f t="shared" si="14"/>
        <v>0</v>
      </c>
      <c r="J231" s="55">
        <f t="shared" si="15"/>
        <v>0</v>
      </c>
      <c r="K231" s="420">
        <f t="shared" si="16"/>
        <v>-6.573353974876861</v>
      </c>
    </row>
    <row r="232" spans="1:11" x14ac:dyDescent="0.25">
      <c r="A232" s="49">
        <f>'A) Base RI'!A234</f>
        <v>5765</v>
      </c>
      <c r="B232" s="293" t="str">
        <f>'A) Base RI'!B234</f>
        <v>Vaulion</v>
      </c>
      <c r="C232" s="95">
        <f>'B) D RI'!U234</f>
        <v>11314.597037037036</v>
      </c>
      <c r="D232" s="419">
        <f>'E) Fact soc'!G238/C232</f>
        <v>19.287428317335923</v>
      </c>
      <c r="E232" s="136">
        <f>'H) Péréquation directe'!I243/C232</f>
        <v>-16.295281761617328</v>
      </c>
      <c r="F232" s="110"/>
      <c r="G232" s="136">
        <f t="shared" si="13"/>
        <v>2.9921465557185947</v>
      </c>
      <c r="H232" s="420">
        <f>G232-'C) Prél. conj.'!I232</f>
        <v>-2.7666687858009089</v>
      </c>
      <c r="I232" s="424">
        <f t="shared" si="14"/>
        <v>0</v>
      </c>
      <c r="J232" s="55">
        <f t="shared" si="15"/>
        <v>0</v>
      </c>
      <c r="K232" s="420">
        <f t="shared" si="16"/>
        <v>-2.7666687858009089</v>
      </c>
    </row>
    <row r="233" spans="1:11" x14ac:dyDescent="0.25">
      <c r="A233" s="49">
        <f>'A) Base RI'!A235</f>
        <v>5766</v>
      </c>
      <c r="B233" s="293" t="str">
        <f>'A) Base RI'!B235</f>
        <v>Vuiteboeuf</v>
      </c>
      <c r="C233" s="95">
        <f>'B) D RI'!U235</f>
        <v>15993.559610389608</v>
      </c>
      <c r="D233" s="419">
        <f>'E) Fact soc'!G239/C233</f>
        <v>15.288304106846283</v>
      </c>
      <c r="E233" s="136">
        <f>'H) Péréquation directe'!I244/C233</f>
        <v>-2.9470674977761755</v>
      </c>
      <c r="F233" s="110"/>
      <c r="G233" s="136">
        <f t="shared" si="13"/>
        <v>12.341236609070108</v>
      </c>
      <c r="H233" s="420">
        <f>G233-'C) Prél. conj.'!I233</f>
        <v>10.581545478040248</v>
      </c>
      <c r="I233" s="424">
        <f t="shared" si="14"/>
        <v>0</v>
      </c>
      <c r="J233" s="55">
        <f t="shared" si="15"/>
        <v>0</v>
      </c>
      <c r="K233" s="420">
        <f t="shared" si="16"/>
        <v>10.581545478040248</v>
      </c>
    </row>
    <row r="234" spans="1:11" x14ac:dyDescent="0.25">
      <c r="A234" s="49">
        <f>'A) Base RI'!A236</f>
        <v>5785</v>
      </c>
      <c r="B234" s="293" t="str">
        <f>'A) Base RI'!B236</f>
        <v>Corcelles-le-Jorat</v>
      </c>
      <c r="C234" s="95">
        <f>'B) D RI'!U236</f>
        <v>17518.145584415586</v>
      </c>
      <c r="D234" s="419">
        <f>'E) Fact soc'!G240/C234</f>
        <v>17.318837213881231</v>
      </c>
      <c r="E234" s="136">
        <f>'H) Péréquation directe'!I245/C234</f>
        <v>10.729794747057388</v>
      </c>
      <c r="F234" s="110"/>
      <c r="G234" s="136">
        <f t="shared" si="13"/>
        <v>28.048631960938621</v>
      </c>
      <c r="H234" s="420">
        <f>G234-'C) Prél. conj.'!I234</f>
        <v>24.258407722873812</v>
      </c>
      <c r="I234" s="424">
        <f t="shared" si="14"/>
        <v>0</v>
      </c>
      <c r="J234" s="55">
        <f t="shared" si="15"/>
        <v>0</v>
      </c>
      <c r="K234" s="420">
        <f t="shared" si="16"/>
        <v>24.258407722873812</v>
      </c>
    </row>
    <row r="235" spans="1:11" x14ac:dyDescent="0.25">
      <c r="A235" s="49">
        <f>'A) Base RI'!A237</f>
        <v>5788</v>
      </c>
      <c r="B235" s="293" t="str">
        <f>'A) Base RI'!B237</f>
        <v>Essertes</v>
      </c>
      <c r="C235" s="95">
        <f>'B) D RI'!U237</f>
        <v>16224.893706293702</v>
      </c>
      <c r="D235" s="419">
        <f>'E) Fact soc'!G241/C235</f>
        <v>15.792809935439633</v>
      </c>
      <c r="E235" s="136">
        <f>'H) Péréquation directe'!I246/C235</f>
        <v>13.484373750753724</v>
      </c>
      <c r="F235" s="110"/>
      <c r="G235" s="136">
        <f t="shared" si="13"/>
        <v>29.277183686193357</v>
      </c>
      <c r="H235" s="420">
        <f>G235-'C) Prél. conj.'!I235</f>
        <v>27.012986726570144</v>
      </c>
      <c r="I235" s="424">
        <f t="shared" si="14"/>
        <v>0</v>
      </c>
      <c r="J235" s="55">
        <f t="shared" si="15"/>
        <v>0</v>
      </c>
      <c r="K235" s="420">
        <f t="shared" si="16"/>
        <v>27.012986726570144</v>
      </c>
    </row>
    <row r="236" spans="1:11" x14ac:dyDescent="0.25">
      <c r="A236" s="49">
        <f>'A) Base RI'!A238</f>
        <v>5790</v>
      </c>
      <c r="B236" s="293" t="str">
        <f>'A) Base RI'!B238</f>
        <v>Maracon</v>
      </c>
      <c r="C236" s="95">
        <f>'B) D RI'!U238</f>
        <v>13398.084966442953</v>
      </c>
      <c r="D236" s="419">
        <f>'E) Fact soc'!G242/C236</f>
        <v>15.818617112739405</v>
      </c>
      <c r="E236" s="136">
        <f>'H) Péréquation directe'!I247/C236</f>
        <v>-6.1500442491175393</v>
      </c>
      <c r="F236" s="110"/>
      <c r="G236" s="136">
        <f t="shared" si="13"/>
        <v>9.6685728636218649</v>
      </c>
      <c r="H236" s="420">
        <f>G236-'C) Prél. conj.'!I236</f>
        <v>7.3785687266988811</v>
      </c>
      <c r="I236" s="424">
        <f t="shared" si="14"/>
        <v>0</v>
      </c>
      <c r="J236" s="55">
        <f t="shared" si="15"/>
        <v>0</v>
      </c>
      <c r="K236" s="420">
        <f t="shared" si="16"/>
        <v>7.3785687266988811</v>
      </c>
    </row>
    <row r="237" spans="1:11" x14ac:dyDescent="0.25">
      <c r="A237" s="49">
        <f>'A) Base RI'!A239</f>
        <v>5792</v>
      </c>
      <c r="B237" s="293" t="str">
        <f>'A) Base RI'!B239</f>
        <v>Montpreveyres</v>
      </c>
      <c r="C237" s="95">
        <f>'B) D RI'!U239</f>
        <v>17609.230799999998</v>
      </c>
      <c r="D237" s="419">
        <f>'E) Fact soc'!G243/C237</f>
        <v>16.707250966068671</v>
      </c>
      <c r="E237" s="136">
        <f>'H) Péréquation directe'!I248/C237</f>
        <v>-2.7094014059080158</v>
      </c>
      <c r="F237" s="110"/>
      <c r="G237" s="136">
        <f t="shared" si="13"/>
        <v>13.997849560160654</v>
      </c>
      <c r="H237" s="420">
        <f>G237-'C) Prél. conj.'!I237</f>
        <v>10.819211569908404</v>
      </c>
      <c r="I237" s="424">
        <f t="shared" si="14"/>
        <v>0</v>
      </c>
      <c r="J237" s="55">
        <f t="shared" si="15"/>
        <v>0</v>
      </c>
      <c r="K237" s="420">
        <f t="shared" si="16"/>
        <v>10.819211569908404</v>
      </c>
    </row>
    <row r="238" spans="1:11" x14ac:dyDescent="0.25">
      <c r="A238" s="49">
        <f>'A) Base RI'!A240</f>
        <v>5798</v>
      </c>
      <c r="B238" s="293" t="str">
        <f>'A) Base RI'!B240</f>
        <v>Ropraz</v>
      </c>
      <c r="C238" s="95">
        <f>'B) D RI'!U240</f>
        <v>15761.261677419356</v>
      </c>
      <c r="D238" s="419">
        <f>'E) Fact soc'!G244/C238</f>
        <v>16.132516193716658</v>
      </c>
      <c r="E238" s="136">
        <f>'H) Péréquation directe'!I249/C238</f>
        <v>0.69127167612167328</v>
      </c>
      <c r="F238" s="110"/>
      <c r="G238" s="136">
        <f t="shared" si="13"/>
        <v>16.823787869838331</v>
      </c>
      <c r="H238" s="420">
        <f>G238-'C) Prél. conj.'!I238</f>
        <v>14.219884651938091</v>
      </c>
      <c r="I238" s="424">
        <f t="shared" si="14"/>
        <v>0</v>
      </c>
      <c r="J238" s="55">
        <f t="shared" si="15"/>
        <v>0</v>
      </c>
      <c r="K238" s="420">
        <f t="shared" si="16"/>
        <v>14.219884651938091</v>
      </c>
    </row>
    <row r="239" spans="1:11" x14ac:dyDescent="0.25">
      <c r="A239" s="49">
        <f>'A) Base RI'!A241</f>
        <v>5799</v>
      </c>
      <c r="B239" s="293" t="str">
        <f>'A) Base RI'!B241</f>
        <v>Servion</v>
      </c>
      <c r="C239" s="95">
        <f>'B) D RI'!U241</f>
        <v>69387.22289855071</v>
      </c>
      <c r="D239" s="419">
        <f>'E) Fact soc'!G245/C239</f>
        <v>17.782884766338903</v>
      </c>
      <c r="E239" s="136">
        <f>'H) Péréquation directe'!I250/C239</f>
        <v>4.0356837896749767</v>
      </c>
      <c r="F239" s="110"/>
      <c r="G239" s="136">
        <f t="shared" si="13"/>
        <v>21.818568556013879</v>
      </c>
      <c r="H239" s="420">
        <f>G239-'C) Prél. conj.'!I239</f>
        <v>17.564296765491395</v>
      </c>
      <c r="I239" s="424">
        <f t="shared" si="14"/>
        <v>0</v>
      </c>
      <c r="J239" s="55">
        <f t="shared" si="15"/>
        <v>0</v>
      </c>
      <c r="K239" s="420">
        <f t="shared" si="16"/>
        <v>17.564296765491395</v>
      </c>
    </row>
    <row r="240" spans="1:11" x14ac:dyDescent="0.25">
      <c r="A240" s="49">
        <f>'A) Base RI'!A242</f>
        <v>5803</v>
      </c>
      <c r="B240" s="293" t="str">
        <f>'A) Base RI'!B242</f>
        <v>Vulliens</v>
      </c>
      <c r="C240" s="95">
        <f>'B) D RI'!U242</f>
        <v>18875.933421052636</v>
      </c>
      <c r="D240" s="419">
        <f>'E) Fact soc'!G246/C240</f>
        <v>15.235778617970025</v>
      </c>
      <c r="E240" s="136">
        <f>'H) Péréquation directe'!I251/C240</f>
        <v>1.8063652483368366</v>
      </c>
      <c r="F240" s="110"/>
      <c r="G240" s="136">
        <f t="shared" si="13"/>
        <v>17.042143866306862</v>
      </c>
      <c r="H240" s="420">
        <f>G240-'C) Prél. conj.'!I240</f>
        <v>15.334978224153257</v>
      </c>
      <c r="I240" s="424">
        <f t="shared" si="14"/>
        <v>0</v>
      </c>
      <c r="J240" s="55">
        <f t="shared" si="15"/>
        <v>0</v>
      </c>
      <c r="K240" s="420">
        <f t="shared" si="16"/>
        <v>15.334978224153257</v>
      </c>
    </row>
    <row r="241" spans="1:11" x14ac:dyDescent="0.25">
      <c r="A241" s="49">
        <f>'A) Base RI'!A243</f>
        <v>5804</v>
      </c>
      <c r="B241" s="293" t="str">
        <f>'A) Base RI'!B243</f>
        <v>Jorat-Menthue</v>
      </c>
      <c r="C241" s="95">
        <f>'B) D RI'!U243</f>
        <v>46692.865106382982</v>
      </c>
      <c r="D241" s="419">
        <f>'E) Fact soc'!G247/C241</f>
        <v>17.782034232950853</v>
      </c>
      <c r="E241" s="136">
        <f>'H) Péréquation directe'!I252/C241</f>
        <v>-0.51298724496022574</v>
      </c>
      <c r="F241" s="110"/>
      <c r="G241" s="136">
        <f t="shared" si="13"/>
        <v>17.269046987990627</v>
      </c>
      <c r="H241" s="420">
        <f>G241-'C) Prél. conj.'!I241</f>
        <v>13.015625730856193</v>
      </c>
      <c r="I241" s="424">
        <f t="shared" si="14"/>
        <v>0</v>
      </c>
      <c r="J241" s="55">
        <f t="shared" si="15"/>
        <v>0</v>
      </c>
      <c r="K241" s="420">
        <f t="shared" si="16"/>
        <v>13.015625730856193</v>
      </c>
    </row>
    <row r="242" spans="1:11" x14ac:dyDescent="0.25">
      <c r="A242" s="49">
        <f>'A) Base RI'!A244</f>
        <v>5805</v>
      </c>
      <c r="B242" s="293" t="str">
        <f>'A) Base RI'!B244</f>
        <v>Oron</v>
      </c>
      <c r="C242" s="95">
        <f>'B) D RI'!U244</f>
        <v>154727.47061923583</v>
      </c>
      <c r="D242" s="419">
        <f>'E) Fact soc'!G248/C242</f>
        <v>15.83450877810742</v>
      </c>
      <c r="E242" s="136">
        <f>'H) Péréquation directe'!I253/C242</f>
        <v>-9.1912488944116646</v>
      </c>
      <c r="F242" s="110"/>
      <c r="G242" s="136">
        <f t="shared" si="13"/>
        <v>6.6432598836957553</v>
      </c>
      <c r="H242" s="420">
        <f>G242-'C) Prél. conj.'!I242</f>
        <v>4.3373640814047549</v>
      </c>
      <c r="I242" s="424">
        <f t="shared" si="14"/>
        <v>0</v>
      </c>
      <c r="J242" s="55">
        <f t="shared" si="15"/>
        <v>0</v>
      </c>
      <c r="K242" s="420">
        <f t="shared" si="16"/>
        <v>4.3373640814047549</v>
      </c>
    </row>
    <row r="243" spans="1:11" x14ac:dyDescent="0.25">
      <c r="A243" s="49">
        <f>'A) Base RI'!A245</f>
        <v>5806</v>
      </c>
      <c r="B243" s="293" t="str">
        <f>'A) Base RI'!B245</f>
        <v>Jorat-Mézières</v>
      </c>
      <c r="C243" s="95">
        <f>'B) D RI'!U245</f>
        <v>91092.386986301368</v>
      </c>
      <c r="D243" s="419">
        <f>'E) Fact soc'!G249/C243</f>
        <v>16.522516078180093</v>
      </c>
      <c r="E243" s="136">
        <f>'H) Péréquation directe'!I254/C243</f>
        <v>-1.3738019402348136</v>
      </c>
      <c r="F243" s="110"/>
      <c r="G243" s="136">
        <f t="shared" si="13"/>
        <v>15.14871413794528</v>
      </c>
      <c r="H243" s="420">
        <f>G243-'C) Prél. conj.'!I243</f>
        <v>12.154811035581606</v>
      </c>
      <c r="I243" s="424">
        <f t="shared" si="14"/>
        <v>0</v>
      </c>
      <c r="J243" s="55">
        <f t="shared" si="15"/>
        <v>0</v>
      </c>
      <c r="K243" s="420">
        <f t="shared" si="16"/>
        <v>12.154811035581606</v>
      </c>
    </row>
    <row r="244" spans="1:11" x14ac:dyDescent="0.25">
      <c r="A244" s="49">
        <f>'A) Base RI'!A246</f>
        <v>5812</v>
      </c>
      <c r="B244" s="293" t="str">
        <f>'A) Base RI'!B246</f>
        <v>Champtauroz</v>
      </c>
      <c r="C244" s="95">
        <f>'B) D RI'!U246</f>
        <v>2487.5377597402598</v>
      </c>
      <c r="D244" s="419">
        <f>'E) Fact soc'!G250/C244</f>
        <v>18.902390699454184</v>
      </c>
      <c r="E244" s="136">
        <f>'H) Péréquation directe'!I255/C244</f>
        <v>-30.089914301361549</v>
      </c>
      <c r="F244" s="110"/>
      <c r="G244" s="136">
        <f t="shared" si="13"/>
        <v>-11.187523601907365</v>
      </c>
      <c r="H244" s="420">
        <f>G244-'C) Prél. conj.'!I244</f>
        <v>-16.561301325545131</v>
      </c>
      <c r="I244" s="424">
        <f t="shared" si="14"/>
        <v>0</v>
      </c>
      <c r="J244" s="55">
        <f t="shared" si="15"/>
        <v>0</v>
      </c>
      <c r="K244" s="420">
        <f t="shared" si="16"/>
        <v>-16.561301325545131</v>
      </c>
    </row>
    <row r="245" spans="1:11" x14ac:dyDescent="0.25">
      <c r="A245" s="49">
        <f>'A) Base RI'!A247</f>
        <v>5813</v>
      </c>
      <c r="B245" s="293" t="str">
        <f>'A) Base RI'!B247</f>
        <v>Chevroux</v>
      </c>
      <c r="C245" s="95">
        <f>'B) D RI'!U247</f>
        <v>15179.777080291971</v>
      </c>
      <c r="D245" s="419">
        <f>'E) Fact soc'!G251/C245</f>
        <v>15.280840617850306</v>
      </c>
      <c r="E245" s="136">
        <f>'H) Péréquation directe'!I256/C245</f>
        <v>4.8452513101136496</v>
      </c>
      <c r="F245" s="110"/>
      <c r="G245" s="136">
        <f t="shared" si="13"/>
        <v>20.126091927963955</v>
      </c>
      <c r="H245" s="420">
        <f>G245-'C) Prél. conj.'!I245</f>
        <v>18.373864285930072</v>
      </c>
      <c r="I245" s="424">
        <f t="shared" si="14"/>
        <v>0</v>
      </c>
      <c r="J245" s="55">
        <f t="shared" si="15"/>
        <v>0</v>
      </c>
      <c r="K245" s="420">
        <f t="shared" si="16"/>
        <v>18.373864285930072</v>
      </c>
    </row>
    <row r="246" spans="1:11" x14ac:dyDescent="0.25">
      <c r="A246" s="49">
        <f>'A) Base RI'!A248</f>
        <v>5816</v>
      </c>
      <c r="B246" s="293" t="str">
        <f>'A) Base RI'!B248</f>
        <v>Corcelles-près-Payerne</v>
      </c>
      <c r="C246" s="95">
        <f>'B) D RI'!U248</f>
        <v>60528.996913451512</v>
      </c>
      <c r="D246" s="419">
        <f>'E) Fact soc'!G252/C246</f>
        <v>16.467761385204053</v>
      </c>
      <c r="E246" s="136">
        <f>'H) Péréquation directe'!I257/C246</f>
        <v>-13.397527746795108</v>
      </c>
      <c r="F246" s="110"/>
      <c r="G246" s="136">
        <f t="shared" si="13"/>
        <v>3.0702336384089453</v>
      </c>
      <c r="H246" s="420">
        <f>G246-'C) Prél. conj.'!I246</f>
        <v>0.13108522902131181</v>
      </c>
      <c r="I246" s="424">
        <f t="shared" si="14"/>
        <v>0</v>
      </c>
      <c r="J246" s="55">
        <f t="shared" si="15"/>
        <v>0</v>
      </c>
      <c r="K246" s="420">
        <f t="shared" si="16"/>
        <v>0.13108522902131181</v>
      </c>
    </row>
    <row r="247" spans="1:11" x14ac:dyDescent="0.25">
      <c r="A247" s="49">
        <f>'A) Base RI'!A249</f>
        <v>5817</v>
      </c>
      <c r="B247" s="293" t="str">
        <f>'A) Base RI'!B249</f>
        <v>Grandcour</v>
      </c>
      <c r="C247" s="95">
        <f>'B) D RI'!U249</f>
        <v>21779.238095238095</v>
      </c>
      <c r="D247" s="419">
        <f>'E) Fact soc'!G253/C247</f>
        <v>14.781958473057129</v>
      </c>
      <c r="E247" s="136">
        <f>'H) Péréquation directe'!I258/C247</f>
        <v>-10.553918155274365</v>
      </c>
      <c r="F247" s="110"/>
      <c r="G247" s="136">
        <f t="shared" si="13"/>
        <v>4.2280403177827637</v>
      </c>
      <c r="H247" s="420">
        <f>G247-'C) Prél. conj.'!I247</f>
        <v>2.9746948205420538</v>
      </c>
      <c r="I247" s="424">
        <f t="shared" si="14"/>
        <v>0</v>
      </c>
      <c r="J247" s="55">
        <f t="shared" si="15"/>
        <v>0</v>
      </c>
      <c r="K247" s="420">
        <f t="shared" si="16"/>
        <v>2.9746948205420538</v>
      </c>
    </row>
    <row r="248" spans="1:11" x14ac:dyDescent="0.25">
      <c r="A248" s="49">
        <f>'A) Base RI'!A250</f>
        <v>5819</v>
      </c>
      <c r="B248" s="293" t="str">
        <f>'A) Base RI'!B250</f>
        <v>Henniez</v>
      </c>
      <c r="C248" s="95">
        <f>'B) D RI'!U250</f>
        <v>11468.217826086959</v>
      </c>
      <c r="D248" s="419">
        <f>'E) Fact soc'!G254/C248</f>
        <v>15.347279164084707</v>
      </c>
      <c r="E248" s="136">
        <f>'H) Péréquation directe'!I259/C248</f>
        <v>2.6819042228897993</v>
      </c>
      <c r="F248" s="110"/>
      <c r="G248" s="136">
        <f t="shared" si="13"/>
        <v>18.029183386974506</v>
      </c>
      <c r="H248" s="420">
        <f>G248-'C) Prél. conj.'!I248</f>
        <v>16.210517198706217</v>
      </c>
      <c r="I248" s="424">
        <f t="shared" si="14"/>
        <v>0</v>
      </c>
      <c r="J248" s="55">
        <f t="shared" si="15"/>
        <v>0</v>
      </c>
      <c r="K248" s="420">
        <f t="shared" si="16"/>
        <v>16.210517198706217</v>
      </c>
    </row>
    <row r="249" spans="1:11" x14ac:dyDescent="0.25">
      <c r="A249" s="49">
        <f>'A) Base RI'!A251</f>
        <v>5821</v>
      </c>
      <c r="B249" s="293" t="str">
        <f>'A) Base RI'!B251</f>
        <v>Missy</v>
      </c>
      <c r="C249" s="95">
        <f>'B) D RI'!U251</f>
        <v>7872.7337500000012</v>
      </c>
      <c r="D249" s="419">
        <f>'E) Fact soc'!G255/C249</f>
        <v>15.563503333946464</v>
      </c>
      <c r="E249" s="136">
        <f>'H) Péréquation directe'!I260/C249</f>
        <v>-12.195297655845021</v>
      </c>
      <c r="F249" s="110"/>
      <c r="G249" s="136">
        <f t="shared" si="13"/>
        <v>3.3682056781014431</v>
      </c>
      <c r="H249" s="420">
        <f>G249-'C) Prél. conj.'!I249</f>
        <v>1.3333153199713972</v>
      </c>
      <c r="I249" s="424">
        <f t="shared" si="14"/>
        <v>0</v>
      </c>
      <c r="J249" s="55">
        <f t="shared" si="15"/>
        <v>0</v>
      </c>
      <c r="K249" s="420">
        <f t="shared" si="16"/>
        <v>1.3333153199713972</v>
      </c>
    </row>
    <row r="250" spans="1:11" x14ac:dyDescent="0.25">
      <c r="A250" s="49">
        <f>'A) Base RI'!A252</f>
        <v>5822</v>
      </c>
      <c r="B250" s="293" t="str">
        <f>'A) Base RI'!B252</f>
        <v>Payerne</v>
      </c>
      <c r="C250" s="95">
        <f>'B) D RI'!U252</f>
        <v>237851.57178082189</v>
      </c>
      <c r="D250" s="419">
        <f>'E) Fact soc'!G256/C250</f>
        <v>17.002954531824717</v>
      </c>
      <c r="E250" s="136">
        <f>'H) Péréquation directe'!I261/C250</f>
        <v>-24.301848759564532</v>
      </c>
      <c r="F250" s="110"/>
      <c r="G250" s="136">
        <f t="shared" si="13"/>
        <v>-7.2988942277398152</v>
      </c>
      <c r="H250" s="420">
        <f>G250-'C) Prél. conj.'!I250</f>
        <v>-10.773235783748113</v>
      </c>
      <c r="I250" s="424">
        <f t="shared" si="14"/>
        <v>0</v>
      </c>
      <c r="J250" s="55">
        <f t="shared" si="15"/>
        <v>0</v>
      </c>
      <c r="K250" s="420">
        <f t="shared" si="16"/>
        <v>-10.773235783748113</v>
      </c>
    </row>
    <row r="251" spans="1:11" x14ac:dyDescent="0.25">
      <c r="A251" s="49">
        <f>'A) Base RI'!A253</f>
        <v>5827</v>
      </c>
      <c r="B251" s="293" t="str">
        <f>'A) Base RI'!B253</f>
        <v>Trey</v>
      </c>
      <c r="C251" s="95">
        <f>'B) D RI'!U253</f>
        <v>6163.6291025641031</v>
      </c>
      <c r="D251" s="419">
        <f>'E) Fact soc'!G257/C251</f>
        <v>15.632036913932135</v>
      </c>
      <c r="E251" s="136">
        <f>'H) Péréquation directe'!I262/C251</f>
        <v>-19.644529449260254</v>
      </c>
      <c r="F251" s="110"/>
      <c r="G251" s="136">
        <f t="shared" si="13"/>
        <v>-4.0124925353281196</v>
      </c>
      <c r="H251" s="420">
        <f>G251-'C) Prél. conj.'!I251</f>
        <v>-6.115916473443832</v>
      </c>
      <c r="I251" s="424">
        <f t="shared" si="14"/>
        <v>0</v>
      </c>
      <c r="J251" s="55">
        <f t="shared" si="15"/>
        <v>0</v>
      </c>
      <c r="K251" s="420">
        <f t="shared" si="16"/>
        <v>-6.115916473443832</v>
      </c>
    </row>
    <row r="252" spans="1:11" x14ac:dyDescent="0.25">
      <c r="A252" s="49">
        <f>'A) Base RI'!A254</f>
        <v>5828</v>
      </c>
      <c r="B252" s="293" t="str">
        <f>'A) Base RI'!B254</f>
        <v>Treytorrens (Payerne)</v>
      </c>
      <c r="C252" s="95">
        <f>'B) D RI'!U254</f>
        <v>2288.4160317460314</v>
      </c>
      <c r="D252" s="419">
        <f>'E) Fact soc'!G258/C252</f>
        <v>14.850291358611312</v>
      </c>
      <c r="E252" s="136">
        <f>'H) Péréquation directe'!I263/C252</f>
        <v>-26.167922961323992</v>
      </c>
      <c r="F252" s="110"/>
      <c r="G252" s="136">
        <f t="shared" si="13"/>
        <v>-11.31763160271268</v>
      </c>
      <c r="H252" s="420">
        <f>G252-'C) Prél. conj.'!I252</f>
        <v>-12.639309985507573</v>
      </c>
      <c r="I252" s="424">
        <f t="shared" si="14"/>
        <v>0</v>
      </c>
      <c r="J252" s="55">
        <f t="shared" si="15"/>
        <v>0</v>
      </c>
      <c r="K252" s="420">
        <f t="shared" si="16"/>
        <v>-12.639309985507573</v>
      </c>
    </row>
    <row r="253" spans="1:11" x14ac:dyDescent="0.25">
      <c r="A253" s="49">
        <f>'A) Base RI'!A255</f>
        <v>5830</v>
      </c>
      <c r="B253" s="293" t="str">
        <f>'A) Base RI'!B255</f>
        <v>Villarzel</v>
      </c>
      <c r="C253" s="95">
        <f>'B) D RI'!U255</f>
        <v>12470.916233766235</v>
      </c>
      <c r="D253" s="419">
        <f>'E) Fact soc'!G259/C253</f>
        <v>16.80718322948351</v>
      </c>
      <c r="E253" s="136">
        <f>'H) Péréquation directe'!I264/C253</f>
        <v>-5.149463588426908</v>
      </c>
      <c r="F253" s="110"/>
      <c r="G253" s="136">
        <f t="shared" si="13"/>
        <v>11.657719641056602</v>
      </c>
      <c r="H253" s="420">
        <f>G253-'C) Prél. conj.'!I253</f>
        <v>8.3791493873895107</v>
      </c>
      <c r="I253" s="424">
        <f t="shared" si="14"/>
        <v>0</v>
      </c>
      <c r="J253" s="55">
        <f t="shared" si="15"/>
        <v>0</v>
      </c>
      <c r="K253" s="420">
        <f t="shared" si="16"/>
        <v>8.3791493873895107</v>
      </c>
    </row>
    <row r="254" spans="1:11" x14ac:dyDescent="0.25">
      <c r="A254" s="49">
        <f>'A) Base RI'!A256</f>
        <v>5831</v>
      </c>
      <c r="B254" s="293" t="str">
        <f>'A) Base RI'!B256</f>
        <v>Valbroye</v>
      </c>
      <c r="C254" s="95">
        <f>'B) D RI'!U256</f>
        <v>83756.732765957451</v>
      </c>
      <c r="D254" s="419">
        <f>'E) Fact soc'!G260/C254</f>
        <v>16.552168654709014</v>
      </c>
      <c r="E254" s="136">
        <f>'H) Péréquation directe'!I265/C254</f>
        <v>-11.088015128319057</v>
      </c>
      <c r="F254" s="110"/>
      <c r="G254" s="136">
        <f t="shared" si="13"/>
        <v>5.464153526389957</v>
      </c>
      <c r="H254" s="420">
        <f>G254-'C) Prél. conj.'!I254</f>
        <v>2.4405978474973637</v>
      </c>
      <c r="I254" s="424">
        <f t="shared" si="14"/>
        <v>0</v>
      </c>
      <c r="J254" s="55">
        <f t="shared" si="15"/>
        <v>0</v>
      </c>
      <c r="K254" s="420">
        <f t="shared" si="16"/>
        <v>2.4405978474973637</v>
      </c>
    </row>
    <row r="255" spans="1:11" x14ac:dyDescent="0.25">
      <c r="A255" s="49">
        <f>'A) Base RI'!A257</f>
        <v>5841</v>
      </c>
      <c r="B255" s="293" t="str">
        <f>'A) Base RI'!B257</f>
        <v>Château-d'Oex</v>
      </c>
      <c r="C255" s="95">
        <f>'B) D RI'!U257</f>
        <v>108658.39067484663</v>
      </c>
      <c r="D255" s="419">
        <f>'E) Fact soc'!G261/C255</f>
        <v>21.036306674696533</v>
      </c>
      <c r="E255" s="136">
        <f>'H) Péréquation directe'!I266/C255</f>
        <v>-4.7820884297627497</v>
      </c>
      <c r="F255" s="110"/>
      <c r="G255" s="136">
        <f t="shared" si="13"/>
        <v>16.254218244933782</v>
      </c>
      <c r="H255" s="420">
        <f>G255-'C) Prél. conj.'!I255</f>
        <v>8.7465245460536636</v>
      </c>
      <c r="I255" s="424">
        <f t="shared" si="14"/>
        <v>0</v>
      </c>
      <c r="J255" s="55">
        <f t="shared" si="15"/>
        <v>0</v>
      </c>
      <c r="K255" s="420">
        <f t="shared" si="16"/>
        <v>8.7465245460536636</v>
      </c>
    </row>
    <row r="256" spans="1:11" x14ac:dyDescent="0.25">
      <c r="A256" s="49">
        <f>'A) Base RI'!A258</f>
        <v>5842</v>
      </c>
      <c r="B256" s="293" t="str">
        <f>'A) Base RI'!B258</f>
        <v>Rossinière</v>
      </c>
      <c r="C256" s="95">
        <f>'B) D RI'!U258</f>
        <v>14509.951028806583</v>
      </c>
      <c r="D256" s="419">
        <f>'E) Fact soc'!G262/C256</f>
        <v>16.017148252628438</v>
      </c>
      <c r="E256" s="136">
        <f>'H) Péréquation directe'!I267/C256</f>
        <v>-5.5598728084850046</v>
      </c>
      <c r="F256" s="110"/>
      <c r="G256" s="136">
        <f t="shared" si="13"/>
        <v>10.457275444143434</v>
      </c>
      <c r="H256" s="420">
        <f>G256-'C) Prél. conj.'!I256</f>
        <v>7.9687401673314167</v>
      </c>
      <c r="I256" s="424">
        <f t="shared" si="14"/>
        <v>0</v>
      </c>
      <c r="J256" s="55">
        <f t="shared" si="15"/>
        <v>0</v>
      </c>
      <c r="K256" s="420">
        <f t="shared" si="16"/>
        <v>7.9687401673314167</v>
      </c>
    </row>
    <row r="257" spans="1:13" x14ac:dyDescent="0.25">
      <c r="A257" s="49">
        <f>'A) Base RI'!A259</f>
        <v>5843</v>
      </c>
      <c r="B257" s="293" t="str">
        <f>'A) Base RI'!B259</f>
        <v>Rougemont</v>
      </c>
      <c r="C257" s="95">
        <f>'B) D RI'!U259</f>
        <v>100468.99797297297</v>
      </c>
      <c r="D257" s="419">
        <f>'E) Fact soc'!G263/C257</f>
        <v>36.351214828985007</v>
      </c>
      <c r="E257" s="136">
        <f>'H) Péréquation directe'!I268/C257</f>
        <v>18.570692185823066</v>
      </c>
      <c r="F257" s="110"/>
      <c r="G257" s="136">
        <f t="shared" si="13"/>
        <v>54.92190701480807</v>
      </c>
      <c r="H257" s="420">
        <f>G257-'C) Prél. conj.'!I257</f>
        <v>48.583480606182903</v>
      </c>
      <c r="I257" s="424">
        <f t="shared" si="14"/>
        <v>-0.58348060618290276</v>
      </c>
      <c r="J257" s="55">
        <f t="shared" si="15"/>
        <v>-58621.711839859097</v>
      </c>
      <c r="K257" s="420">
        <f t="shared" si="16"/>
        <v>48</v>
      </c>
    </row>
    <row r="258" spans="1:13" x14ac:dyDescent="0.25">
      <c r="A258" s="49">
        <f>'A) Base RI'!A260</f>
        <v>5851</v>
      </c>
      <c r="B258" s="293" t="str">
        <f>'A) Base RI'!B260</f>
        <v>Allaman</v>
      </c>
      <c r="C258" s="95">
        <f>'B) D RI'!U260</f>
        <v>24314.213954545452</v>
      </c>
      <c r="D258" s="419">
        <f>'E) Fact soc'!G264/C258</f>
        <v>15.910040493302198</v>
      </c>
      <c r="E258" s="136">
        <f>'H) Péréquation directe'!I269/C258</f>
        <v>17.376620290933921</v>
      </c>
      <c r="F258" s="110"/>
      <c r="G258" s="136">
        <f t="shared" si="13"/>
        <v>33.286660784236119</v>
      </c>
      <c r="H258" s="420">
        <f>G258-'C) Prél. conj.'!I258</f>
        <v>32.372806030735191</v>
      </c>
      <c r="I258" s="424">
        <f t="shared" si="14"/>
        <v>0</v>
      </c>
      <c r="J258" s="55">
        <f t="shared" si="15"/>
        <v>0</v>
      </c>
      <c r="K258" s="420">
        <f t="shared" si="16"/>
        <v>32.372806030735191</v>
      </c>
    </row>
    <row r="259" spans="1:13" x14ac:dyDescent="0.25">
      <c r="A259" s="49">
        <f>'A) Base RI'!A261</f>
        <v>5852</v>
      </c>
      <c r="B259" s="293" t="str">
        <f>'A) Base RI'!B261</f>
        <v>Bursinel</v>
      </c>
      <c r="C259" s="95">
        <f>'B) D RI'!U261</f>
        <v>40706.215623409669</v>
      </c>
      <c r="D259" s="419">
        <f>'E) Fact soc'!G265/C259</f>
        <v>22.825196010707064</v>
      </c>
      <c r="E259" s="136">
        <f>'H) Péréquation directe'!I270/C259</f>
        <v>18.140144776156063</v>
      </c>
      <c r="F259" s="110"/>
      <c r="G259" s="136">
        <f t="shared" si="13"/>
        <v>40.965340786863123</v>
      </c>
      <c r="H259" s="420">
        <f>G259-'C) Prél. conj.'!I259</f>
        <v>39.980680965601096</v>
      </c>
      <c r="I259" s="424">
        <f t="shared" si="14"/>
        <v>0</v>
      </c>
      <c r="J259" s="55">
        <f t="shared" si="15"/>
        <v>0</v>
      </c>
      <c r="K259" s="420">
        <f t="shared" si="16"/>
        <v>39.980680965601096</v>
      </c>
    </row>
    <row r="260" spans="1:13" x14ac:dyDescent="0.25">
      <c r="A260" s="49">
        <f>'A) Base RI'!A262</f>
        <v>5853</v>
      </c>
      <c r="B260" s="293" t="str">
        <f>'A) Base RI'!B262</f>
        <v>Bursins</v>
      </c>
      <c r="C260" s="95">
        <f>'B) D RI'!U262</f>
        <v>42015.881830985905</v>
      </c>
      <c r="D260" s="419">
        <f>'E) Fact soc'!G266/C260</f>
        <v>100.42283445027665</v>
      </c>
      <c r="E260" s="136">
        <f>'H) Péréquation directe'!I271/C260</f>
        <v>17.354548159313239</v>
      </c>
      <c r="F260" s="110"/>
      <c r="G260" s="136">
        <f t="shared" si="13"/>
        <v>117.77738260958989</v>
      </c>
      <c r="H260" s="420">
        <f>G260-'C) Prél. conj.'!I260</f>
        <v>32.498020167230251</v>
      </c>
      <c r="I260" s="424">
        <f t="shared" si="14"/>
        <v>0</v>
      </c>
      <c r="J260" s="55">
        <f t="shared" si="15"/>
        <v>0</v>
      </c>
      <c r="K260" s="420">
        <f t="shared" si="16"/>
        <v>32.498020167230251</v>
      </c>
    </row>
    <row r="261" spans="1:13" x14ac:dyDescent="0.25">
      <c r="A261" s="49">
        <f>'A) Base RI'!A263</f>
        <v>5854</v>
      </c>
      <c r="B261" s="293" t="str">
        <f>'A) Base RI'!B263</f>
        <v>Burtigny</v>
      </c>
      <c r="C261" s="95">
        <f>'B) D RI'!U263</f>
        <v>10782.893958333336</v>
      </c>
      <c r="D261" s="419">
        <f>'E) Fact soc'!G267/C261</f>
        <v>19.130916516352876</v>
      </c>
      <c r="E261" s="136">
        <f>'H) Péréquation directe'!I272/C261</f>
        <v>-5.6770616527202105</v>
      </c>
      <c r="F261" s="110"/>
      <c r="G261" s="136">
        <f t="shared" si="13"/>
        <v>13.453854863632666</v>
      </c>
      <c r="H261" s="420">
        <f>G261-'C) Prél. conj.'!I261</f>
        <v>7.85155132309621</v>
      </c>
      <c r="I261" s="424">
        <f t="shared" si="14"/>
        <v>0</v>
      </c>
      <c r="J261" s="55">
        <f t="shared" si="15"/>
        <v>0</v>
      </c>
      <c r="K261" s="420">
        <f t="shared" si="16"/>
        <v>7.85155132309621</v>
      </c>
    </row>
    <row r="262" spans="1:13" x14ac:dyDescent="0.25">
      <c r="A262" s="49">
        <f>'A) Base RI'!A264</f>
        <v>5855</v>
      </c>
      <c r="B262" s="293" t="str">
        <f>'A) Base RI'!B264</f>
        <v>Dully</v>
      </c>
      <c r="C262" s="95">
        <f>'B) D RI'!U264</f>
        <v>98158.514897959176</v>
      </c>
      <c r="D262" s="419">
        <f>'E) Fact soc'!G268/C262</f>
        <v>31.039702726895339</v>
      </c>
      <c r="E262" s="136">
        <f>'H) Péréquation directe'!I273/C262</f>
        <v>18.842474506308513</v>
      </c>
      <c r="F262" s="110"/>
      <c r="G262" s="136">
        <f t="shared" ref="G262:G313" si="17">SUM(D262:F262)</f>
        <v>49.882177233203848</v>
      </c>
      <c r="H262" s="420">
        <f>G262-'C) Prél. conj.'!I262</f>
        <v>47.122248405005649</v>
      </c>
      <c r="I262" s="424">
        <f t="shared" ref="I262:I313" si="18">IF(H262&gt;I$4,I$4-H262,0)</f>
        <v>0</v>
      </c>
      <c r="J262" s="55">
        <f t="shared" ref="J262:J313" si="19">I262*C262</f>
        <v>0</v>
      </c>
      <c r="K262" s="420">
        <f t="shared" ref="K262:K313" si="20">H262+I262</f>
        <v>47.122248405005649</v>
      </c>
      <c r="M262" s="415"/>
    </row>
    <row r="263" spans="1:13" x14ac:dyDescent="0.25">
      <c r="A263" s="49">
        <f>'A) Base RI'!A265</f>
        <v>5856</v>
      </c>
      <c r="B263" s="293" t="str">
        <f>'A) Base RI'!B265</f>
        <v>Essertines-sur-Rolle</v>
      </c>
      <c r="C263" s="95">
        <f>'B) D RI'!U265</f>
        <v>35711.648536726432</v>
      </c>
      <c r="D263" s="419">
        <f>'E) Fact soc'!G269/C263</f>
        <v>17.468090734772996</v>
      </c>
      <c r="E263" s="136">
        <f>'H) Péréquation directe'!I274/C263</f>
        <v>17.066420271233191</v>
      </c>
      <c r="F263" s="110"/>
      <c r="G263" s="136">
        <f t="shared" si="17"/>
        <v>34.534511006006184</v>
      </c>
      <c r="H263" s="420">
        <f>G263-'C) Prél. conj.'!I263</f>
        <v>30.618729160869933</v>
      </c>
      <c r="I263" s="424">
        <f t="shared" si="18"/>
        <v>0</v>
      </c>
      <c r="J263" s="55">
        <f t="shared" si="19"/>
        <v>0</v>
      </c>
      <c r="K263" s="420">
        <f t="shared" si="20"/>
        <v>30.618729160869933</v>
      </c>
    </row>
    <row r="264" spans="1:13" x14ac:dyDescent="0.25">
      <c r="A264" s="49">
        <f>'A) Base RI'!A266</f>
        <v>5857</v>
      </c>
      <c r="B264" s="293" t="str">
        <f>'A) Base RI'!B266</f>
        <v>Gilly</v>
      </c>
      <c r="C264" s="95">
        <f>'B) D RI'!U266</f>
        <v>82128.423720930223</v>
      </c>
      <c r="D264" s="419">
        <f>'E) Fact soc'!G270/C264</f>
        <v>17.332035719336226</v>
      </c>
      <c r="E264" s="136">
        <f>'H) Péréquation directe'!I275/C264</f>
        <v>16.316715103569702</v>
      </c>
      <c r="F264" s="110"/>
      <c r="G264" s="136">
        <f t="shared" si="17"/>
        <v>33.648750822905924</v>
      </c>
      <c r="H264" s="420">
        <f>G264-'C) Prél. conj.'!I264</f>
        <v>31.94024378426127</v>
      </c>
      <c r="I264" s="424">
        <f t="shared" si="18"/>
        <v>0</v>
      </c>
      <c r="J264" s="55">
        <f t="shared" si="19"/>
        <v>0</v>
      </c>
      <c r="K264" s="420">
        <f t="shared" si="20"/>
        <v>31.94024378426127</v>
      </c>
    </row>
    <row r="265" spans="1:13" x14ac:dyDescent="0.25">
      <c r="A265" s="49">
        <f>'A) Base RI'!A267</f>
        <v>5858</v>
      </c>
      <c r="B265" s="293" t="str">
        <f>'A) Base RI'!B267</f>
        <v>Luins</v>
      </c>
      <c r="C265" s="95">
        <f>'B) D RI'!U267</f>
        <v>40290.677378917375</v>
      </c>
      <c r="D265" s="419">
        <f>'E) Fact soc'!G271/C265</f>
        <v>18.677446688132154</v>
      </c>
      <c r="E265" s="136">
        <f>'H) Péréquation directe'!I276/C265</f>
        <v>17.730801577985869</v>
      </c>
      <c r="F265" s="110"/>
      <c r="G265" s="136">
        <f t="shared" si="17"/>
        <v>36.408248266118022</v>
      </c>
      <c r="H265" s="420">
        <f>G265-'C) Prél. conj.'!I265</f>
        <v>34.954761533957907</v>
      </c>
      <c r="I265" s="424">
        <f t="shared" si="18"/>
        <v>0</v>
      </c>
      <c r="J265" s="55">
        <f t="shared" si="19"/>
        <v>0</v>
      </c>
      <c r="K265" s="420">
        <f t="shared" si="20"/>
        <v>34.954761533957907</v>
      </c>
    </row>
    <row r="266" spans="1:13" x14ac:dyDescent="0.25">
      <c r="A266" s="49">
        <f>'A) Base RI'!A268</f>
        <v>5859</v>
      </c>
      <c r="B266" s="293" t="str">
        <f>'A) Base RI'!B268</f>
        <v>Mont-sur-Rolle</v>
      </c>
      <c r="C266" s="95">
        <f>'B) D RI'!U268</f>
        <v>146465.78251968499</v>
      </c>
      <c r="D266" s="419">
        <f>'E) Fact soc'!G272/C266</f>
        <v>17.644907625176028</v>
      </c>
      <c r="E266" s="136">
        <f>'H) Péréquation directe'!I277/C266</f>
        <v>14.887506783826781</v>
      </c>
      <c r="F266" s="110"/>
      <c r="G266" s="136">
        <f t="shared" si="17"/>
        <v>32.532414409002811</v>
      </c>
      <c r="H266" s="420">
        <f>G266-'C) Prél. conj.'!I266</f>
        <v>30.06360474042782</v>
      </c>
      <c r="I266" s="424">
        <f t="shared" si="18"/>
        <v>0</v>
      </c>
      <c r="J266" s="55">
        <f t="shared" si="19"/>
        <v>0</v>
      </c>
      <c r="K266" s="420">
        <f t="shared" si="20"/>
        <v>30.06360474042782</v>
      </c>
    </row>
    <row r="267" spans="1:13" x14ac:dyDescent="0.25">
      <c r="A267" s="49">
        <f>'A) Base RI'!A269</f>
        <v>5860</v>
      </c>
      <c r="B267" s="293" t="str">
        <f>'A) Base RI'!B269</f>
        <v>Perroy</v>
      </c>
      <c r="C267" s="95">
        <f>'B) D RI'!U269</f>
        <v>187175.54426035503</v>
      </c>
      <c r="D267" s="419">
        <f>'E) Fact soc'!G273/C267</f>
        <v>30.759297350159816</v>
      </c>
      <c r="E267" s="136">
        <f>'H) Péréquation directe'!I278/C267</f>
        <v>18.012503668867272</v>
      </c>
      <c r="F267" s="110"/>
      <c r="G267" s="136">
        <f t="shared" si="17"/>
        <v>48.771801019027087</v>
      </c>
      <c r="H267" s="420">
        <f>G267-'C) Prél. conj.'!I267</f>
        <v>45.478230096414983</v>
      </c>
      <c r="I267" s="424">
        <f t="shared" si="18"/>
        <v>0</v>
      </c>
      <c r="J267" s="55">
        <f t="shared" si="19"/>
        <v>0</v>
      </c>
      <c r="K267" s="420">
        <f t="shared" si="20"/>
        <v>45.478230096414983</v>
      </c>
    </row>
    <row r="268" spans="1:13" x14ac:dyDescent="0.25">
      <c r="A268" s="49">
        <f>'A) Base RI'!A270</f>
        <v>5861</v>
      </c>
      <c r="B268" s="293" t="str">
        <f>'A) Base RI'!B270</f>
        <v>Rolle</v>
      </c>
      <c r="C268" s="95">
        <f>'B) D RI'!U270</f>
        <v>1938335.8673949579</v>
      </c>
      <c r="D268" s="419">
        <f>'E) Fact soc'!G274/C268</f>
        <v>40.786289523460248</v>
      </c>
      <c r="E268" s="136">
        <f>'H) Péréquation directe'!I279/C268</f>
        <v>18.315234134282505</v>
      </c>
      <c r="F268" s="110"/>
      <c r="G268" s="136">
        <f t="shared" si="17"/>
        <v>59.101523657742753</v>
      </c>
      <c r="H268" s="420">
        <f>G268-'C) Prél. conj.'!I268</f>
        <v>58.566079724904192</v>
      </c>
      <c r="I268" s="424">
        <f t="shared" si="18"/>
        <v>-10.566079724904192</v>
      </c>
      <c r="J268" s="55">
        <f t="shared" si="19"/>
        <v>-20480611.308536444</v>
      </c>
      <c r="K268" s="420">
        <f t="shared" si="20"/>
        <v>48</v>
      </c>
    </row>
    <row r="269" spans="1:13" x14ac:dyDescent="0.25">
      <c r="A269" s="49">
        <f>'A) Base RI'!A271</f>
        <v>5862</v>
      </c>
      <c r="B269" s="293" t="str">
        <f>'A) Base RI'!B271</f>
        <v>Tartegnin</v>
      </c>
      <c r="C269" s="95">
        <f>'B) D RI'!U271</f>
        <v>8096.4381012658214</v>
      </c>
      <c r="D269" s="419">
        <f>'E) Fact soc'!G275/C269</f>
        <v>13.815084010485034</v>
      </c>
      <c r="E269" s="136">
        <f>'H) Péréquation directe'!I280/C269</f>
        <v>5.9012402865370976</v>
      </c>
      <c r="F269" s="110"/>
      <c r="G269" s="136">
        <f t="shared" si="17"/>
        <v>19.716324297022133</v>
      </c>
      <c r="H269" s="420">
        <f>G269-'C) Prél. conj.'!I269</f>
        <v>19.429853262353522</v>
      </c>
      <c r="I269" s="424">
        <f t="shared" si="18"/>
        <v>0</v>
      </c>
      <c r="J269" s="55">
        <f t="shared" si="19"/>
        <v>0</v>
      </c>
      <c r="K269" s="420">
        <f t="shared" si="20"/>
        <v>19.429853262353522</v>
      </c>
    </row>
    <row r="270" spans="1:13" x14ac:dyDescent="0.25">
      <c r="A270" s="49">
        <f>'A) Base RI'!A272</f>
        <v>5863</v>
      </c>
      <c r="B270" s="293" t="str">
        <f>'A) Base RI'!B272</f>
        <v>Vinzel</v>
      </c>
      <c r="C270" s="95">
        <f>'B) D RI'!U272</f>
        <v>21933.69492537314</v>
      </c>
      <c r="D270" s="419">
        <f>'E) Fact soc'!G276/C270</f>
        <v>18.218968144029567</v>
      </c>
      <c r="E270" s="136">
        <f>'H) Péréquation directe'!I281/C270</f>
        <v>17.459311014844157</v>
      </c>
      <c r="F270" s="110"/>
      <c r="G270" s="136">
        <f t="shared" si="17"/>
        <v>35.678279158873721</v>
      </c>
      <c r="H270" s="420">
        <f>G270-'C) Prél. conj.'!I270</f>
        <v>33.057205272526595</v>
      </c>
      <c r="I270" s="424">
        <f t="shared" si="18"/>
        <v>0</v>
      </c>
      <c r="J270" s="55">
        <f t="shared" si="19"/>
        <v>0</v>
      </c>
      <c r="K270" s="420">
        <f t="shared" si="20"/>
        <v>33.057205272526595</v>
      </c>
    </row>
    <row r="271" spans="1:13" x14ac:dyDescent="0.25">
      <c r="A271" s="49">
        <f>'A) Base RI'!A273</f>
        <v>5871</v>
      </c>
      <c r="B271" s="293" t="str">
        <f>'A) Base RI'!B273</f>
        <v>L'Abbaye</v>
      </c>
      <c r="C271" s="95">
        <f>'B) D RI'!U273</f>
        <v>49513.521273852508</v>
      </c>
      <c r="D271" s="419">
        <f>'E) Fact soc'!G277/C271</f>
        <v>20.809800532767351</v>
      </c>
      <c r="E271" s="136">
        <f>'H) Péréquation directe'!I282/C271</f>
        <v>3.3616568895249723</v>
      </c>
      <c r="F271" s="110"/>
      <c r="G271" s="136">
        <f t="shared" si="17"/>
        <v>24.171457422292324</v>
      </c>
      <c r="H271" s="420">
        <f>G271-'C) Prél. conj.'!I271</f>
        <v>16.890269865341395</v>
      </c>
      <c r="I271" s="424">
        <f t="shared" si="18"/>
        <v>0</v>
      </c>
      <c r="J271" s="55">
        <f t="shared" si="19"/>
        <v>0</v>
      </c>
      <c r="K271" s="420">
        <f t="shared" si="20"/>
        <v>16.890269865341395</v>
      </c>
    </row>
    <row r="272" spans="1:13" x14ac:dyDescent="0.25">
      <c r="A272" s="49">
        <f>'A) Base RI'!A274</f>
        <v>5872</v>
      </c>
      <c r="B272" s="293" t="str">
        <f>'A) Base RI'!B274</f>
        <v>Le Chenit</v>
      </c>
      <c r="C272" s="95">
        <f>'B) D RI'!U274</f>
        <v>236042.78222554145</v>
      </c>
      <c r="D272" s="419">
        <f>'E) Fact soc'!G278/C272</f>
        <v>30.479829817720898</v>
      </c>
      <c r="E272" s="136">
        <f>'H) Péréquation directe'!I283/C272</f>
        <v>12.806826906730736</v>
      </c>
      <c r="F272" s="110"/>
      <c r="G272" s="136">
        <f t="shared" si="17"/>
        <v>43.286656724451632</v>
      </c>
      <c r="H272" s="420">
        <f>G272-'C) Prél. conj.'!I272</f>
        <v>27.154972865710988</v>
      </c>
      <c r="I272" s="424">
        <f t="shared" si="18"/>
        <v>0</v>
      </c>
      <c r="J272" s="55">
        <f t="shared" si="19"/>
        <v>0</v>
      </c>
      <c r="K272" s="420">
        <f t="shared" si="20"/>
        <v>27.154972865710988</v>
      </c>
    </row>
    <row r="273" spans="1:11" x14ac:dyDescent="0.25">
      <c r="A273" s="49">
        <f>'A) Base RI'!A275</f>
        <v>5873</v>
      </c>
      <c r="B273" s="293" t="str">
        <f>'A) Base RI'!B275</f>
        <v>Le Lieu</v>
      </c>
      <c r="C273" s="95">
        <f>'B) D RI'!U275</f>
        <v>30440.408392857149</v>
      </c>
      <c r="D273" s="419">
        <f>'E) Fact soc'!G279/C273</f>
        <v>25.690226585667613</v>
      </c>
      <c r="E273" s="136">
        <f>'H) Péréquation directe'!I284/C273</f>
        <v>8.0510039208315192</v>
      </c>
      <c r="F273" s="110"/>
      <c r="G273" s="136">
        <f t="shared" si="17"/>
        <v>33.741230506499136</v>
      </c>
      <c r="H273" s="420">
        <f>G273-'C) Prél. conj.'!I273</f>
        <v>21.579616896647941</v>
      </c>
      <c r="I273" s="424">
        <f t="shared" si="18"/>
        <v>0</v>
      </c>
      <c r="J273" s="55">
        <f t="shared" si="19"/>
        <v>0</v>
      </c>
      <c r="K273" s="420">
        <f t="shared" si="20"/>
        <v>21.579616896647941</v>
      </c>
    </row>
    <row r="274" spans="1:11" x14ac:dyDescent="0.25">
      <c r="A274" s="49">
        <f>'A) Base RI'!A276</f>
        <v>5881</v>
      </c>
      <c r="B274" s="293" t="str">
        <f>'A) Base RI'!B276</f>
        <v>Blonay</v>
      </c>
      <c r="C274" s="95">
        <f>'B) D RI'!U276</f>
        <v>363266.43007299263</v>
      </c>
      <c r="D274" s="419">
        <f>'E) Fact soc'!G280/C274</f>
        <v>21.088338719755637</v>
      </c>
      <c r="E274" s="136">
        <f>'H) Péréquation directe'!I285/C274</f>
        <v>12.661697247000388</v>
      </c>
      <c r="F274" s="110"/>
      <c r="G274" s="136">
        <f t="shared" si="17"/>
        <v>33.750035966756023</v>
      </c>
      <c r="H274" s="420">
        <f>G274-'C) Prél. conj.'!I274</f>
        <v>28.674387593110502</v>
      </c>
      <c r="I274" s="424">
        <f t="shared" si="18"/>
        <v>0</v>
      </c>
      <c r="J274" s="55">
        <f t="shared" si="19"/>
        <v>0</v>
      </c>
      <c r="K274" s="420">
        <f t="shared" si="20"/>
        <v>28.674387593110502</v>
      </c>
    </row>
    <row r="275" spans="1:11" x14ac:dyDescent="0.25">
      <c r="A275" s="49">
        <f>'A) Base RI'!A277</f>
        <v>5882</v>
      </c>
      <c r="B275" s="293" t="str">
        <f>'A) Base RI'!B277</f>
        <v>Chardonne</v>
      </c>
      <c r="C275" s="95">
        <f>'B) D RI'!U277</f>
        <v>179032.37397058826</v>
      </c>
      <c r="D275" s="419">
        <f>'E) Fact soc'!G281/C275</f>
        <v>19.289374396251894</v>
      </c>
      <c r="E275" s="136">
        <f>'H) Péréquation directe'!I286/C275</f>
        <v>14.807107981285473</v>
      </c>
      <c r="F275" s="110"/>
      <c r="G275" s="136">
        <f t="shared" si="17"/>
        <v>34.09648237753737</v>
      </c>
      <c r="H275" s="420">
        <f>G275-'C) Prél. conj.'!I275</f>
        <v>30.626032892786238</v>
      </c>
      <c r="I275" s="424">
        <f t="shared" si="18"/>
        <v>0</v>
      </c>
      <c r="J275" s="55">
        <f t="shared" si="19"/>
        <v>0</v>
      </c>
      <c r="K275" s="420">
        <f t="shared" si="20"/>
        <v>30.626032892786238</v>
      </c>
    </row>
    <row r="276" spans="1:11" x14ac:dyDescent="0.25">
      <c r="A276" s="49">
        <f>'A) Base RI'!A278</f>
        <v>5883</v>
      </c>
      <c r="B276" s="293" t="str">
        <f>'A) Base RI'!B278</f>
        <v>Corseaux</v>
      </c>
      <c r="C276" s="95">
        <f>'B) D RI'!U278</f>
        <v>167893.40074074076</v>
      </c>
      <c r="D276" s="419">
        <f>'E) Fact soc'!G282/C276</f>
        <v>22.041292271559996</v>
      </c>
      <c r="E276" s="136">
        <f>'H) Péréquation directe'!I287/C276</f>
        <v>16.186248721882187</v>
      </c>
      <c r="F276" s="110"/>
      <c r="G276" s="136">
        <f t="shared" si="17"/>
        <v>38.227540993442183</v>
      </c>
      <c r="H276" s="420">
        <f>G276-'C) Prél. conj.'!I276</f>
        <v>35.678449140446268</v>
      </c>
      <c r="I276" s="424">
        <f t="shared" si="18"/>
        <v>0</v>
      </c>
      <c r="J276" s="55">
        <f t="shared" si="19"/>
        <v>0</v>
      </c>
      <c r="K276" s="420">
        <f t="shared" si="20"/>
        <v>35.678449140446268</v>
      </c>
    </row>
    <row r="277" spans="1:11" x14ac:dyDescent="0.25">
      <c r="A277" s="49">
        <f>'A) Base RI'!A279</f>
        <v>5884</v>
      </c>
      <c r="B277" s="293" t="str">
        <f>'A) Base RI'!B279</f>
        <v>Corsier-sur-Vevey</v>
      </c>
      <c r="C277" s="95">
        <f>'B) D RI'!U279</f>
        <v>122170.7416919192</v>
      </c>
      <c r="D277" s="419">
        <f>'E) Fact soc'!G283/C277</f>
        <v>16.8433869911958</v>
      </c>
      <c r="E277" s="136">
        <f>'H) Péréquation directe'!I288/C277</f>
        <v>5.1410009043754741</v>
      </c>
      <c r="F277" s="110"/>
      <c r="G277" s="136">
        <f t="shared" si="17"/>
        <v>21.984387895571274</v>
      </c>
      <c r="H277" s="420">
        <f>G277-'C) Prél. conj.'!I277</f>
        <v>18.669613880191896</v>
      </c>
      <c r="I277" s="424">
        <f t="shared" si="18"/>
        <v>0</v>
      </c>
      <c r="J277" s="55">
        <f t="shared" si="19"/>
        <v>0</v>
      </c>
      <c r="K277" s="420">
        <f t="shared" si="20"/>
        <v>18.669613880191896</v>
      </c>
    </row>
    <row r="278" spans="1:11" x14ac:dyDescent="0.25">
      <c r="A278" s="49">
        <f>'A) Base RI'!A280</f>
        <v>5885</v>
      </c>
      <c r="B278" s="293" t="str">
        <f>'A) Base RI'!B280</f>
        <v>Jongny</v>
      </c>
      <c r="C278" s="95">
        <f>'B) D RI'!U280</f>
        <v>85101.213069544348</v>
      </c>
      <c r="D278" s="419">
        <f>'E) Fact soc'!G284/C278</f>
        <v>18.278039572437685</v>
      </c>
      <c r="E278" s="136">
        <f>'H) Péréquation directe'!I289/C278</f>
        <v>15.445382354814321</v>
      </c>
      <c r="F278" s="110"/>
      <c r="G278" s="136">
        <f t="shared" si="17"/>
        <v>33.723421927252005</v>
      </c>
      <c r="H278" s="420">
        <f>G278-'C) Prél. conj.'!I278</f>
        <v>29.733877797927434</v>
      </c>
      <c r="I278" s="424">
        <f t="shared" si="18"/>
        <v>0</v>
      </c>
      <c r="J278" s="55">
        <f t="shared" si="19"/>
        <v>0</v>
      </c>
      <c r="K278" s="420">
        <f t="shared" si="20"/>
        <v>29.733877797927434</v>
      </c>
    </row>
    <row r="279" spans="1:11" x14ac:dyDescent="0.25">
      <c r="A279" s="49">
        <f>'A) Base RI'!A281</f>
        <v>5886</v>
      </c>
      <c r="B279" s="293" t="str">
        <f>'A) Base RI'!B281</f>
        <v>Montreux</v>
      </c>
      <c r="C279" s="95">
        <f>'B) D RI'!U281</f>
        <v>1097075.3945128203</v>
      </c>
      <c r="D279" s="419">
        <f>'E) Fact soc'!G285/C279</f>
        <v>23.597403020009608</v>
      </c>
      <c r="E279" s="136">
        <f>'H) Péréquation directe'!I290/C279</f>
        <v>-2.3521427435524123</v>
      </c>
      <c r="F279" s="110"/>
      <c r="G279" s="136">
        <f t="shared" si="17"/>
        <v>21.245260276457195</v>
      </c>
      <c r="H279" s="420">
        <f>G279-'C) Prél. conj.'!I279</f>
        <v>11.176470232264007</v>
      </c>
      <c r="I279" s="424">
        <f t="shared" si="18"/>
        <v>0</v>
      </c>
      <c r="J279" s="55">
        <f t="shared" si="19"/>
        <v>0</v>
      </c>
      <c r="K279" s="420">
        <f t="shared" si="20"/>
        <v>11.176470232264007</v>
      </c>
    </row>
    <row r="280" spans="1:11" x14ac:dyDescent="0.25">
      <c r="A280" s="49">
        <f>'A) Base RI'!A282</f>
        <v>5888</v>
      </c>
      <c r="B280" s="293" t="str">
        <f>'A) Base RI'!B282</f>
        <v>Saint-Légier-La Chiésaz</v>
      </c>
      <c r="C280" s="95">
        <f>'B) D RI'!U282</f>
        <v>325579.73326034058</v>
      </c>
      <c r="D280" s="419">
        <f>'E) Fact soc'!G286/C280</f>
        <v>19.369559178050977</v>
      </c>
      <c r="E280" s="136">
        <f>'H) Péréquation directe'!I291/C280</f>
        <v>13.121258858975198</v>
      </c>
      <c r="F280" s="110"/>
      <c r="G280" s="136">
        <f t="shared" si="17"/>
        <v>32.490818037026173</v>
      </c>
      <c r="H280" s="420">
        <f>G280-'C) Prél. conj.'!I280</f>
        <v>29.290377734537209</v>
      </c>
      <c r="I280" s="424">
        <f t="shared" si="18"/>
        <v>0</v>
      </c>
      <c r="J280" s="55">
        <f t="shared" si="19"/>
        <v>0</v>
      </c>
      <c r="K280" s="420">
        <f t="shared" si="20"/>
        <v>29.290377734537209</v>
      </c>
    </row>
    <row r="281" spans="1:11" x14ac:dyDescent="0.25">
      <c r="A281" s="49">
        <f>'A) Base RI'!A283</f>
        <v>5889</v>
      </c>
      <c r="B281" s="293" t="str">
        <f>'A) Base RI'!B283</f>
        <v>La Tour-de-Peilz</v>
      </c>
      <c r="C281" s="95">
        <f>'B) D RI'!U283</f>
        <v>675962.70015625004</v>
      </c>
      <c r="D281" s="419">
        <f>'E) Fact soc'!G287/C281</f>
        <v>17.82284446202204</v>
      </c>
      <c r="E281" s="136">
        <f>'H) Péréquation directe'!I292/C281</f>
        <v>9.5645515476653653</v>
      </c>
      <c r="F281" s="110"/>
      <c r="G281" s="136">
        <f t="shared" si="17"/>
        <v>27.387396009687407</v>
      </c>
      <c r="H281" s="420">
        <f>G281-'C) Prél. conj.'!I281</f>
        <v>24.866468102561608</v>
      </c>
      <c r="I281" s="424">
        <f t="shared" si="18"/>
        <v>0</v>
      </c>
      <c r="J281" s="55">
        <f t="shared" si="19"/>
        <v>0</v>
      </c>
      <c r="K281" s="420">
        <f t="shared" si="20"/>
        <v>24.866468102561608</v>
      </c>
    </row>
    <row r="282" spans="1:11" x14ac:dyDescent="0.25">
      <c r="A282" s="49">
        <f>'A) Base RI'!A284</f>
        <v>5890</v>
      </c>
      <c r="B282" s="293" t="str">
        <f>'A) Base RI'!B284</f>
        <v>Vevey</v>
      </c>
      <c r="C282" s="95">
        <f>'B) D RI'!U284</f>
        <v>862625.86017897108</v>
      </c>
      <c r="D282" s="419">
        <f>'E) Fact soc'!G288/C282</f>
        <v>17.460033637488202</v>
      </c>
      <c r="E282" s="136">
        <f>'H) Péréquation directe'!I293/C282</f>
        <v>0.29446690415581417</v>
      </c>
      <c r="F282" s="110"/>
      <c r="G282" s="136">
        <f t="shared" si="17"/>
        <v>17.754500541644017</v>
      </c>
      <c r="H282" s="420">
        <f>G282-'C) Prél. conj.'!I282</f>
        <v>13.823079879972235</v>
      </c>
      <c r="I282" s="424">
        <f t="shared" si="18"/>
        <v>0</v>
      </c>
      <c r="J282" s="55">
        <f t="shared" si="19"/>
        <v>0</v>
      </c>
      <c r="K282" s="420">
        <f t="shared" si="20"/>
        <v>13.823079879972235</v>
      </c>
    </row>
    <row r="283" spans="1:11" x14ac:dyDescent="0.25">
      <c r="A283" s="49">
        <f>'A) Base RI'!A285</f>
        <v>5891</v>
      </c>
      <c r="B283" s="293" t="str">
        <f>'A) Base RI'!B285</f>
        <v>Veytaux</v>
      </c>
      <c r="C283" s="95">
        <f>'B) D RI'!U285</f>
        <v>43950.38565947242</v>
      </c>
      <c r="D283" s="419">
        <f>'E) Fact soc'!G289/C283</f>
        <v>17.109401804823687</v>
      </c>
      <c r="E283" s="136">
        <f>'H) Péréquation directe'!I294/C283</f>
        <v>16.011385777101818</v>
      </c>
      <c r="F283" s="110"/>
      <c r="G283" s="136">
        <f t="shared" si="17"/>
        <v>33.120787581925505</v>
      </c>
      <c r="H283" s="420">
        <f>G283-'C) Prél. conj.'!I283</f>
        <v>29.539998752918237</v>
      </c>
      <c r="I283" s="424">
        <f t="shared" si="18"/>
        <v>0</v>
      </c>
      <c r="J283" s="55">
        <f t="shared" si="19"/>
        <v>0</v>
      </c>
      <c r="K283" s="420">
        <f t="shared" si="20"/>
        <v>29.539998752918237</v>
      </c>
    </row>
    <row r="284" spans="1:11" x14ac:dyDescent="0.25">
      <c r="A284" s="49">
        <f>'A) Base RI'!A286</f>
        <v>5902</v>
      </c>
      <c r="B284" s="293" t="str">
        <f>'A) Base RI'!B286</f>
        <v>Belmont-sur-Yverdon</v>
      </c>
      <c r="C284" s="95">
        <f>'B) D RI'!U286</f>
        <v>11749.165714285717</v>
      </c>
      <c r="D284" s="419">
        <f>'E) Fact soc'!G290/C284</f>
        <v>20.701049900213238</v>
      </c>
      <c r="E284" s="136">
        <f>'H) Péréquation directe'!I295/C284</f>
        <v>3.196269785604827</v>
      </c>
      <c r="F284" s="110"/>
      <c r="G284" s="136">
        <f t="shared" si="17"/>
        <v>23.897319685818065</v>
      </c>
      <c r="H284" s="420">
        <f>G284-'C) Prél. conj.'!I284</f>
        <v>16.724882761421245</v>
      </c>
      <c r="I284" s="424">
        <f t="shared" si="18"/>
        <v>0</v>
      </c>
      <c r="J284" s="55">
        <f t="shared" si="19"/>
        <v>0</v>
      </c>
      <c r="K284" s="420">
        <f t="shared" si="20"/>
        <v>16.724882761421245</v>
      </c>
    </row>
    <row r="285" spans="1:11" x14ac:dyDescent="0.25">
      <c r="A285" s="49">
        <f>'A) Base RI'!A287</f>
        <v>5903</v>
      </c>
      <c r="B285" s="293" t="str">
        <f>'A) Base RI'!B287</f>
        <v>Bioley-Magnoux</v>
      </c>
      <c r="C285" s="95">
        <f>'B) D RI'!U287</f>
        <v>5017.2132738095233</v>
      </c>
      <c r="D285" s="419">
        <f>'E) Fact soc'!G291/C285</f>
        <v>15.71099578524524</v>
      </c>
      <c r="E285" s="136">
        <f>'H) Péréquation directe'!I296/C285</f>
        <v>-11.180360623250611</v>
      </c>
      <c r="F285" s="110"/>
      <c r="G285" s="136">
        <f t="shared" si="17"/>
        <v>4.5306351619946295</v>
      </c>
      <c r="H285" s="420">
        <f>G285-'C) Prél. conj.'!I285</f>
        <v>2.3482523525658086</v>
      </c>
      <c r="I285" s="424">
        <f t="shared" si="18"/>
        <v>0</v>
      </c>
      <c r="J285" s="55">
        <f t="shared" si="19"/>
        <v>0</v>
      </c>
      <c r="K285" s="420">
        <f t="shared" si="20"/>
        <v>2.3482523525658086</v>
      </c>
    </row>
    <row r="286" spans="1:11" x14ac:dyDescent="0.25">
      <c r="A286" s="49">
        <f>'A) Base RI'!A288</f>
        <v>5904</v>
      </c>
      <c r="B286" s="293" t="str">
        <f>'A) Base RI'!B288</f>
        <v>Chamblon</v>
      </c>
      <c r="C286" s="95">
        <f>'B) D RI'!U288</f>
        <v>21694.056363636359</v>
      </c>
      <c r="D286" s="419">
        <f>'E) Fact soc'!G292/C286</f>
        <v>15.670131796513935</v>
      </c>
      <c r="E286" s="136">
        <f>'H) Péréquation directe'!I297/C286</f>
        <v>12.223776944717644</v>
      </c>
      <c r="F286" s="110"/>
      <c r="G286" s="136">
        <f t="shared" si="17"/>
        <v>27.893908741231577</v>
      </c>
      <c r="H286" s="420">
        <f>G286-'C) Prél. conj.'!I286</f>
        <v>25.752389920534061</v>
      </c>
      <c r="I286" s="424">
        <f t="shared" si="18"/>
        <v>0</v>
      </c>
      <c r="J286" s="55">
        <f t="shared" si="19"/>
        <v>0</v>
      </c>
      <c r="K286" s="420">
        <f t="shared" si="20"/>
        <v>25.752389920534061</v>
      </c>
    </row>
    <row r="287" spans="1:11" x14ac:dyDescent="0.25">
      <c r="A287" s="49">
        <f>'A) Base RI'!A289</f>
        <v>5905</v>
      </c>
      <c r="B287" s="293" t="str">
        <f>'A) Base RI'!B289</f>
        <v>Champvent</v>
      </c>
      <c r="C287" s="95">
        <f>'B) D RI'!U289</f>
        <v>21622.169859154932</v>
      </c>
      <c r="D287" s="419">
        <f>'E) Fact soc'!G293/C287</f>
        <v>16.83625580102153</v>
      </c>
      <c r="E287" s="136">
        <f>'H) Péréquation directe'!I298/C287</f>
        <v>4.5077392035916182</v>
      </c>
      <c r="F287" s="110"/>
      <c r="G287" s="136">
        <f t="shared" si="17"/>
        <v>21.343995004613149</v>
      </c>
      <c r="H287" s="420">
        <f>G287-'C) Prél. conj.'!I287</f>
        <v>18.036352179408038</v>
      </c>
      <c r="I287" s="424">
        <f t="shared" si="18"/>
        <v>0</v>
      </c>
      <c r="J287" s="55">
        <f t="shared" si="19"/>
        <v>0</v>
      </c>
      <c r="K287" s="420">
        <f t="shared" si="20"/>
        <v>18.036352179408038</v>
      </c>
    </row>
    <row r="288" spans="1:11" x14ac:dyDescent="0.25">
      <c r="A288" s="49">
        <f>'A) Base RI'!A290</f>
        <v>5907</v>
      </c>
      <c r="B288" s="293" t="str">
        <f>'A) Base RI'!B290</f>
        <v>Chavannes-le-Chêne</v>
      </c>
      <c r="C288" s="95">
        <f>'B) D RI'!U290</f>
        <v>9891.0456000000013</v>
      </c>
      <c r="D288" s="419">
        <f>'E) Fact soc'!G294/C288</f>
        <v>15.363480161142105</v>
      </c>
      <c r="E288" s="136">
        <f>'H) Péréquation directe'!I299/C288</f>
        <v>2.5299528987875792</v>
      </c>
      <c r="F288" s="110"/>
      <c r="G288" s="136">
        <f t="shared" si="17"/>
        <v>17.893433059929684</v>
      </c>
      <c r="H288" s="420">
        <f>G288-'C) Prél. conj.'!I288</f>
        <v>16.058565874604</v>
      </c>
      <c r="I288" s="424">
        <f t="shared" si="18"/>
        <v>0</v>
      </c>
      <c r="J288" s="55">
        <f t="shared" si="19"/>
        <v>0</v>
      </c>
      <c r="K288" s="420">
        <f t="shared" si="20"/>
        <v>16.058565874604</v>
      </c>
    </row>
    <row r="289" spans="1:11" x14ac:dyDescent="0.25">
      <c r="A289" s="49">
        <f>'A) Base RI'!A291</f>
        <v>5908</v>
      </c>
      <c r="B289" s="293" t="str">
        <f>'A) Base RI'!B291</f>
        <v>Chêne-Pâquier</v>
      </c>
      <c r="C289" s="95">
        <f>'B) D RI'!U291</f>
        <v>6502.4863291139245</v>
      </c>
      <c r="D289" s="419">
        <f>'E) Fact soc'!G295/C289</f>
        <v>14.408523322476029</v>
      </c>
      <c r="E289" s="136">
        <f>'H) Péréquation directe'!I300/C289</f>
        <v>15.217019713162628</v>
      </c>
      <c r="F289" s="110"/>
      <c r="G289" s="136">
        <f t="shared" si="17"/>
        <v>29.625543035638657</v>
      </c>
      <c r="H289" s="420">
        <f>G289-'C) Prél. conj.'!I289</f>
        <v>28.745632688979047</v>
      </c>
      <c r="I289" s="424">
        <f t="shared" si="18"/>
        <v>0</v>
      </c>
      <c r="J289" s="55">
        <f t="shared" si="19"/>
        <v>0</v>
      </c>
      <c r="K289" s="420">
        <f t="shared" si="20"/>
        <v>28.745632688979047</v>
      </c>
    </row>
    <row r="290" spans="1:11" x14ac:dyDescent="0.25">
      <c r="A290" s="49">
        <f>'A) Base RI'!A292</f>
        <v>5909</v>
      </c>
      <c r="B290" s="293" t="str">
        <f>'A) Base RI'!B292</f>
        <v>Cheseaux-Noréaz</v>
      </c>
      <c r="C290" s="95">
        <f>'B) D RI'!U292</f>
        <v>39259.116417910453</v>
      </c>
      <c r="D290" s="419">
        <f>'E) Fact soc'!G296/C290</f>
        <v>15.968925387282793</v>
      </c>
      <c r="E290" s="136">
        <f>'H) Péréquation directe'!I301/C290</f>
        <v>17.295428829930444</v>
      </c>
      <c r="F290" s="110"/>
      <c r="G290" s="136">
        <f t="shared" si="17"/>
        <v>33.264354217213238</v>
      </c>
      <c r="H290" s="420">
        <f>G290-'C) Prél. conj.'!I290</f>
        <v>32.040144928130161</v>
      </c>
      <c r="I290" s="424">
        <f t="shared" si="18"/>
        <v>0</v>
      </c>
      <c r="J290" s="55">
        <f t="shared" si="19"/>
        <v>0</v>
      </c>
      <c r="K290" s="420">
        <f t="shared" si="20"/>
        <v>32.040144928130161</v>
      </c>
    </row>
    <row r="291" spans="1:11" x14ac:dyDescent="0.25">
      <c r="A291" s="49">
        <f>'A) Base RI'!A293</f>
        <v>5910</v>
      </c>
      <c r="B291" s="293" t="str">
        <f>'A) Base RI'!B293</f>
        <v>Cronay</v>
      </c>
      <c r="C291" s="95">
        <f>'B) D RI'!U293</f>
        <v>9976.0020779220758</v>
      </c>
      <c r="D291" s="419">
        <f>'E) Fact soc'!G297/C291</f>
        <v>13.012060858069333</v>
      </c>
      <c r="E291" s="136">
        <f>'H) Péréquation directe'!I302/C291</f>
        <v>-6.6041998751934754</v>
      </c>
      <c r="F291" s="110"/>
      <c r="G291" s="136">
        <f t="shared" si="17"/>
        <v>6.4078609828758575</v>
      </c>
      <c r="H291" s="420">
        <f>G291-'C) Prél. conj.'!I291</f>
        <v>6.9244131006229459</v>
      </c>
      <c r="I291" s="424">
        <f t="shared" si="18"/>
        <v>0</v>
      </c>
      <c r="J291" s="55">
        <f t="shared" si="19"/>
        <v>0</v>
      </c>
      <c r="K291" s="420">
        <f t="shared" si="20"/>
        <v>6.9244131006229459</v>
      </c>
    </row>
    <row r="292" spans="1:11" x14ac:dyDescent="0.25">
      <c r="A292" s="49">
        <f>'A) Base RI'!A294</f>
        <v>5911</v>
      </c>
      <c r="B292" s="293" t="str">
        <f>'A) Base RI'!B294</f>
        <v>Cuarny</v>
      </c>
      <c r="C292" s="95">
        <f>'B) D RI'!U294</f>
        <v>6939.596883116883</v>
      </c>
      <c r="D292" s="419">
        <f>'E) Fact soc'!G298/C292</f>
        <v>13.672828845535715</v>
      </c>
      <c r="E292" s="136">
        <f>'H) Péréquation directe'!I303/C292</f>
        <v>0.60252846862935472</v>
      </c>
      <c r="F292" s="110"/>
      <c r="G292" s="136">
        <f t="shared" si="17"/>
        <v>14.27535731416507</v>
      </c>
      <c r="H292" s="420">
        <f>G292-'C) Prél. conj.'!I292</f>
        <v>14.131141444445777</v>
      </c>
      <c r="I292" s="424">
        <f t="shared" si="18"/>
        <v>0</v>
      </c>
      <c r="J292" s="55">
        <f t="shared" si="19"/>
        <v>0</v>
      </c>
      <c r="K292" s="420">
        <f t="shared" si="20"/>
        <v>14.131141444445777</v>
      </c>
    </row>
    <row r="293" spans="1:11" x14ac:dyDescent="0.25">
      <c r="A293" s="49">
        <f>'A) Base RI'!A295</f>
        <v>5912</v>
      </c>
      <c r="B293" s="293" t="str">
        <f>'A) Base RI'!B295</f>
        <v>Démoret</v>
      </c>
      <c r="C293" s="95">
        <f>'B) D RI'!U295</f>
        <v>4059.5274074074073</v>
      </c>
      <c r="D293" s="419">
        <f>'E) Fact soc'!G299/C293</f>
        <v>16.331631371316568</v>
      </c>
      <c r="E293" s="136">
        <f>'H) Péréquation directe'!I304/C293</f>
        <v>-8.2210700491350437</v>
      </c>
      <c r="F293" s="110"/>
      <c r="G293" s="136">
        <f t="shared" si="17"/>
        <v>8.1105613221815247</v>
      </c>
      <c r="H293" s="420">
        <f>G293-'C) Prél. conj.'!I293</f>
        <v>5.3075429266813732</v>
      </c>
      <c r="I293" s="424">
        <f t="shared" si="18"/>
        <v>0</v>
      </c>
      <c r="J293" s="55">
        <f t="shared" si="19"/>
        <v>0</v>
      </c>
      <c r="K293" s="420">
        <f t="shared" si="20"/>
        <v>5.3075429266813732</v>
      </c>
    </row>
    <row r="294" spans="1:11" x14ac:dyDescent="0.25">
      <c r="A294" s="49">
        <f>'A) Base RI'!A296</f>
        <v>5913</v>
      </c>
      <c r="B294" s="293" t="str">
        <f>'A) Base RI'!B296</f>
        <v>Donneloye</v>
      </c>
      <c r="C294" s="95">
        <f>'B) D RI'!U296</f>
        <v>19880.828493150682</v>
      </c>
      <c r="D294" s="419">
        <f>'E) Fact soc'!G300/C294</f>
        <v>15.845539557415842</v>
      </c>
      <c r="E294" s="136">
        <f>'H) Péréquation directe'!I305/C294</f>
        <v>-7.1016995947187098</v>
      </c>
      <c r="F294" s="110"/>
      <c r="G294" s="136">
        <f t="shared" si="17"/>
        <v>8.7438399626971322</v>
      </c>
      <c r="H294" s="420">
        <f>G294-'C) Prél. conj.'!I294</f>
        <v>6.4269133810977106</v>
      </c>
      <c r="I294" s="424">
        <f t="shared" si="18"/>
        <v>0</v>
      </c>
      <c r="J294" s="55">
        <f t="shared" si="19"/>
        <v>0</v>
      </c>
      <c r="K294" s="420">
        <f t="shared" si="20"/>
        <v>6.4269133810977106</v>
      </c>
    </row>
    <row r="295" spans="1:11" x14ac:dyDescent="0.25">
      <c r="A295" s="49">
        <f>'A) Base RI'!A297</f>
        <v>5914</v>
      </c>
      <c r="B295" s="293" t="str">
        <f>'A) Base RI'!B297</f>
        <v>Ependes</v>
      </c>
      <c r="C295" s="95">
        <f>'B) D RI'!U297</f>
        <v>10662.074965986394</v>
      </c>
      <c r="D295" s="419">
        <f>'E) Fact soc'!G301/C295</f>
        <v>15.806478689336389</v>
      </c>
      <c r="E295" s="136">
        <f>'H) Péréquation directe'!I306/C295</f>
        <v>-1.1981041127256782</v>
      </c>
      <c r="F295" s="110"/>
      <c r="G295" s="136">
        <f t="shared" si="17"/>
        <v>14.608374576610711</v>
      </c>
      <c r="H295" s="420">
        <f>G295-'C) Prél. conj.'!I295</f>
        <v>12.330508863090742</v>
      </c>
      <c r="I295" s="424">
        <f t="shared" si="18"/>
        <v>0</v>
      </c>
      <c r="J295" s="55">
        <f t="shared" si="19"/>
        <v>0</v>
      </c>
      <c r="K295" s="420">
        <f t="shared" si="20"/>
        <v>12.330508863090742</v>
      </c>
    </row>
    <row r="296" spans="1:11" x14ac:dyDescent="0.25">
      <c r="A296" s="49">
        <f>'A) Base RI'!A298</f>
        <v>5919</v>
      </c>
      <c r="B296" s="293" t="str">
        <f>'A) Base RI'!B298</f>
        <v>Mathod</v>
      </c>
      <c r="C296" s="95">
        <f>'B) D RI'!U298</f>
        <v>21565.598078703704</v>
      </c>
      <c r="D296" s="419">
        <f>'E) Fact soc'!G302/C296</f>
        <v>19.859079884351431</v>
      </c>
      <c r="E296" s="136">
        <f>'H) Péréquation directe'!I307/C296</f>
        <v>6.4461536483653736</v>
      </c>
      <c r="F296" s="110"/>
      <c r="G296" s="136">
        <f t="shared" si="17"/>
        <v>26.305233532716805</v>
      </c>
      <c r="H296" s="420">
        <f>G296-'C) Prél. conj.'!I296</f>
        <v>19.974766624181797</v>
      </c>
      <c r="I296" s="424">
        <f t="shared" si="18"/>
        <v>0</v>
      </c>
      <c r="J296" s="55">
        <f t="shared" si="19"/>
        <v>0</v>
      </c>
      <c r="K296" s="420">
        <f t="shared" si="20"/>
        <v>19.974766624181797</v>
      </c>
    </row>
    <row r="297" spans="1:11" x14ac:dyDescent="0.25">
      <c r="A297" s="49">
        <f>'A) Base RI'!A299</f>
        <v>5921</v>
      </c>
      <c r="B297" s="293" t="str">
        <f>'A) Base RI'!B299</f>
        <v>Molondin</v>
      </c>
      <c r="C297" s="95">
        <f>'B) D RI'!U299</f>
        <v>5675.8933333333334</v>
      </c>
      <c r="D297" s="419">
        <f>'E) Fact soc'!G303/C297</f>
        <v>15.633358308122405</v>
      </c>
      <c r="E297" s="136">
        <f>'H) Péréquation directe'!I308/C297</f>
        <v>-15.846073111858326</v>
      </c>
      <c r="F297" s="110"/>
      <c r="G297" s="136">
        <f t="shared" si="17"/>
        <v>-0.21271480373592055</v>
      </c>
      <c r="H297" s="420">
        <f>G297-'C) Prél. conj.'!I297</f>
        <v>-2.3174601360419067</v>
      </c>
      <c r="I297" s="424">
        <f t="shared" si="18"/>
        <v>0</v>
      </c>
      <c r="J297" s="55">
        <f t="shared" si="19"/>
        <v>0</v>
      </c>
      <c r="K297" s="420">
        <f t="shared" si="20"/>
        <v>-2.3174601360419067</v>
      </c>
    </row>
    <row r="298" spans="1:11" x14ac:dyDescent="0.25">
      <c r="A298" s="49">
        <f>'A) Base RI'!A300</f>
        <v>5922</v>
      </c>
      <c r="B298" s="293" t="str">
        <f>'A) Base RI'!B300</f>
        <v>Montagny-près-Yverdon</v>
      </c>
      <c r="C298" s="95">
        <f>'B) D RI'!U300</f>
        <v>33326.398149606292</v>
      </c>
      <c r="D298" s="419">
        <f>'E) Fact soc'!G304/C298</f>
        <v>17.890328254721148</v>
      </c>
      <c r="E298" s="136">
        <f>'H) Péréquation directe'!I309/C298</f>
        <v>15.836857166421307</v>
      </c>
      <c r="F298" s="110"/>
      <c r="G298" s="136">
        <f t="shared" si="17"/>
        <v>33.727185421142451</v>
      </c>
      <c r="H298" s="420">
        <f>G298-'C) Prél. conj.'!I298</f>
        <v>29.365470142237722</v>
      </c>
      <c r="I298" s="424">
        <f t="shared" si="18"/>
        <v>0</v>
      </c>
      <c r="J298" s="55">
        <f t="shared" si="19"/>
        <v>0</v>
      </c>
      <c r="K298" s="420">
        <f t="shared" si="20"/>
        <v>29.365470142237722</v>
      </c>
    </row>
    <row r="299" spans="1:11" x14ac:dyDescent="0.25">
      <c r="A299" s="49">
        <f>'A) Base RI'!A301</f>
        <v>5923</v>
      </c>
      <c r="B299" s="293" t="str">
        <f>'A) Base RI'!B301</f>
        <v>Oppens</v>
      </c>
      <c r="C299" s="95">
        <f>'B) D RI'!U301</f>
        <v>4799.240617283951</v>
      </c>
      <c r="D299" s="419">
        <f>'E) Fact soc'!G305/C299</f>
        <v>16.881463204256622</v>
      </c>
      <c r="E299" s="136">
        <f>'H) Péréquation directe'!I310/C299</f>
        <v>-12.342724835630971</v>
      </c>
      <c r="F299" s="110"/>
      <c r="G299" s="136">
        <f t="shared" si="17"/>
        <v>4.5387383686256513</v>
      </c>
      <c r="H299" s="420">
        <f>G299-'C) Prél. conj.'!I299</f>
        <v>1.185888140185448</v>
      </c>
      <c r="I299" s="424">
        <f t="shared" si="18"/>
        <v>0</v>
      </c>
      <c r="J299" s="55">
        <f t="shared" si="19"/>
        <v>0</v>
      </c>
      <c r="K299" s="420">
        <f t="shared" si="20"/>
        <v>1.185888140185448</v>
      </c>
    </row>
    <row r="300" spans="1:11" x14ac:dyDescent="0.25">
      <c r="A300" s="49">
        <f>'A) Base RI'!A302</f>
        <v>5924</v>
      </c>
      <c r="B300" s="293" t="str">
        <f>'A) Base RI'!B302</f>
        <v>Orges</v>
      </c>
      <c r="C300" s="95">
        <f>'B) D RI'!U302</f>
        <v>12525.425270270271</v>
      </c>
      <c r="D300" s="419">
        <f>'E) Fact soc'!G306/C300</f>
        <v>20.670690236245417</v>
      </c>
      <c r="E300" s="136">
        <f>'H) Péréquation directe'!I311/C300</f>
        <v>9.2278017275828681</v>
      </c>
      <c r="F300" s="110"/>
      <c r="G300" s="136">
        <f t="shared" si="17"/>
        <v>29.898491963828285</v>
      </c>
      <c r="H300" s="420">
        <f>G300-'C) Prél. conj.'!I300</f>
        <v>22.75641470339929</v>
      </c>
      <c r="I300" s="424">
        <f t="shared" si="18"/>
        <v>0</v>
      </c>
      <c r="J300" s="55">
        <f t="shared" si="19"/>
        <v>0</v>
      </c>
      <c r="K300" s="420">
        <f t="shared" si="20"/>
        <v>22.75641470339929</v>
      </c>
    </row>
    <row r="301" spans="1:11" x14ac:dyDescent="0.25">
      <c r="A301" s="49">
        <f>'A) Base RI'!A303</f>
        <v>5925</v>
      </c>
      <c r="B301" s="293" t="str">
        <f>'A) Base RI'!B303</f>
        <v>Orzens</v>
      </c>
      <c r="C301" s="95">
        <f>'B) D RI'!U303</f>
        <v>5879.4616455696196</v>
      </c>
      <c r="D301" s="419">
        <f>'E) Fact soc'!G307/C301</f>
        <v>25.176438768098663</v>
      </c>
      <c r="E301" s="136">
        <f>'H) Péréquation directe'!I312/C301</f>
        <v>-0.8005962632129846</v>
      </c>
      <c r="F301" s="110"/>
      <c r="G301" s="136">
        <f t="shared" si="17"/>
        <v>24.375842504885679</v>
      </c>
      <c r="H301" s="420">
        <f>G301-'C) Prél. conj.'!I301</f>
        <v>12.728016712603436</v>
      </c>
      <c r="I301" s="424">
        <f t="shared" si="18"/>
        <v>0</v>
      </c>
      <c r="J301" s="55">
        <f t="shared" si="19"/>
        <v>0</v>
      </c>
      <c r="K301" s="420">
        <f t="shared" si="20"/>
        <v>12.728016712603436</v>
      </c>
    </row>
    <row r="302" spans="1:11" x14ac:dyDescent="0.25">
      <c r="A302" s="49">
        <f>'A) Base RI'!A304</f>
        <v>5926</v>
      </c>
      <c r="B302" s="293" t="str">
        <f>'A) Base RI'!B304</f>
        <v>Pomy</v>
      </c>
      <c r="C302" s="95">
        <f>'B) D RI'!U304</f>
        <v>27519.38971830986</v>
      </c>
      <c r="D302" s="419">
        <f>'E) Fact soc'!G308/C302</f>
        <v>16.760691554245838</v>
      </c>
      <c r="E302" s="136">
        <f>'H) Péréquation directe'!I313/C302</f>
        <v>7.8133010320250191</v>
      </c>
      <c r="F302" s="110"/>
      <c r="G302" s="136">
        <f t="shared" si="17"/>
        <v>24.573992586270858</v>
      </c>
      <c r="H302" s="420">
        <f>G302-'C) Prél. conj.'!I302</f>
        <v>21.341914007841442</v>
      </c>
      <c r="I302" s="424">
        <f t="shared" si="18"/>
        <v>0</v>
      </c>
      <c r="J302" s="55">
        <f t="shared" si="19"/>
        <v>0</v>
      </c>
      <c r="K302" s="420">
        <f t="shared" si="20"/>
        <v>21.341914007841442</v>
      </c>
    </row>
    <row r="303" spans="1:11" x14ac:dyDescent="0.25">
      <c r="A303" s="49">
        <f>'A) Base RI'!A305</f>
        <v>5928</v>
      </c>
      <c r="B303" s="293" t="str">
        <f>'A) Base RI'!B305</f>
        <v>Rovray</v>
      </c>
      <c r="C303" s="95">
        <f>'B) D RI'!U305</f>
        <v>5563.4060139860139</v>
      </c>
      <c r="D303" s="419">
        <f>'E) Fact soc'!G309/C303</f>
        <v>14.245457115894316</v>
      </c>
      <c r="E303" s="136">
        <f>'H) Péréquation directe'!I314/C303</f>
        <v>-0.63055274500115377</v>
      </c>
      <c r="F303" s="110"/>
      <c r="G303" s="136">
        <f t="shared" si="17"/>
        <v>13.614904370893163</v>
      </c>
      <c r="H303" s="420">
        <f>G303-'C) Prél. conj.'!I303</f>
        <v>12.898060230815267</v>
      </c>
      <c r="I303" s="424">
        <f t="shared" si="18"/>
        <v>0</v>
      </c>
      <c r="J303" s="55">
        <f t="shared" si="19"/>
        <v>0</v>
      </c>
      <c r="K303" s="420">
        <f t="shared" si="20"/>
        <v>12.898060230815267</v>
      </c>
    </row>
    <row r="304" spans="1:11" x14ac:dyDescent="0.25">
      <c r="A304" s="49">
        <f>'A) Base RI'!A306</f>
        <v>5929</v>
      </c>
      <c r="B304" s="293" t="str">
        <f>'A) Base RI'!B306</f>
        <v>Suchy</v>
      </c>
      <c r="C304" s="95">
        <f>'B) D RI'!U306</f>
        <v>19827.403178571429</v>
      </c>
      <c r="D304" s="419">
        <f>'E) Fact soc'!G310/C304</f>
        <v>15.950234938489368</v>
      </c>
      <c r="E304" s="136">
        <f>'H) Péréquation directe'!I315/C304</f>
        <v>3.8592353585130241</v>
      </c>
      <c r="F304" s="110"/>
      <c r="G304" s="136">
        <f t="shared" si="17"/>
        <v>19.809470297002392</v>
      </c>
      <c r="H304" s="420">
        <f>G304-'C) Prél. conj.'!I304</f>
        <v>17.387848334329444</v>
      </c>
      <c r="I304" s="424">
        <f t="shared" si="18"/>
        <v>0</v>
      </c>
      <c r="J304" s="55">
        <f t="shared" si="19"/>
        <v>0</v>
      </c>
      <c r="K304" s="420">
        <f t="shared" si="20"/>
        <v>17.387848334329444</v>
      </c>
    </row>
    <row r="305" spans="1:14" x14ac:dyDescent="0.25">
      <c r="A305" s="49">
        <f>'A) Base RI'!A307</f>
        <v>5930</v>
      </c>
      <c r="B305" s="293" t="str">
        <f>'A) Base RI'!B307</f>
        <v>Suscévaz</v>
      </c>
      <c r="C305" s="95">
        <f>'B) D RI'!U307</f>
        <v>5769.1548611111102</v>
      </c>
      <c r="D305" s="419">
        <f>'E) Fact soc'!G311/C305</f>
        <v>13.965391856027429</v>
      </c>
      <c r="E305" s="136">
        <f>'H) Péréquation directe'!I316/C305</f>
        <v>0.62121006849067939</v>
      </c>
      <c r="F305" s="110"/>
      <c r="G305" s="136">
        <f t="shared" si="17"/>
        <v>14.586601924518108</v>
      </c>
      <c r="H305" s="420">
        <f>G305-'C) Prél. conj.'!I305</f>
        <v>14.149823044307102</v>
      </c>
      <c r="I305" s="424">
        <f t="shared" si="18"/>
        <v>0</v>
      </c>
      <c r="J305" s="55">
        <f t="shared" si="19"/>
        <v>0</v>
      </c>
      <c r="K305" s="420">
        <f t="shared" si="20"/>
        <v>14.149823044307102</v>
      </c>
    </row>
    <row r="306" spans="1:14" x14ac:dyDescent="0.25">
      <c r="A306" s="49">
        <f>'A) Base RI'!A308</f>
        <v>5931</v>
      </c>
      <c r="B306" s="293" t="str">
        <f>'A) Base RI'!B308</f>
        <v>Treycovagnes</v>
      </c>
      <c r="C306" s="95">
        <f>'B) D RI'!U308</f>
        <v>15383.603066666663</v>
      </c>
      <c r="D306" s="419">
        <f>'E) Fact soc'!G312/C306</f>
        <v>16.635413105336145</v>
      </c>
      <c r="E306" s="136">
        <f>'H) Péréquation directe'!I317/C306</f>
        <v>4.0194607522064754</v>
      </c>
      <c r="F306" s="110"/>
      <c r="G306" s="136">
        <f t="shared" si="17"/>
        <v>20.654873857542619</v>
      </c>
      <c r="H306" s="420">
        <f>G306-'C) Prél. conj.'!I306</f>
        <v>17.548073728022896</v>
      </c>
      <c r="I306" s="424">
        <f t="shared" si="18"/>
        <v>0</v>
      </c>
      <c r="J306" s="55">
        <f t="shared" si="19"/>
        <v>0</v>
      </c>
      <c r="K306" s="420">
        <f t="shared" si="20"/>
        <v>17.548073728022896</v>
      </c>
    </row>
    <row r="307" spans="1:14" x14ac:dyDescent="0.25">
      <c r="A307" s="49">
        <f>'A) Base RI'!A309</f>
        <v>5932</v>
      </c>
      <c r="B307" s="293" t="str">
        <f>'A) Base RI'!B309</f>
        <v>Ursins</v>
      </c>
      <c r="C307" s="95">
        <f>'B) D RI'!U309</f>
        <v>6819.4023999999999</v>
      </c>
      <c r="D307" s="419">
        <f>'E) Fact soc'!G313/C307</f>
        <v>13.52861297581642</v>
      </c>
      <c r="E307" s="136">
        <f>'H) Péréquation directe'!I318/C307</f>
        <v>-6.617532372077943E-2</v>
      </c>
      <c r="F307" s="110"/>
      <c r="G307" s="136">
        <f t="shared" si="17"/>
        <v>13.462437652095641</v>
      </c>
      <c r="H307" s="420">
        <f>G307-'C) Prél. conj.'!I307</f>
        <v>13.462437652095641</v>
      </c>
      <c r="I307" s="424">
        <f t="shared" si="18"/>
        <v>0</v>
      </c>
      <c r="J307" s="55">
        <f t="shared" si="19"/>
        <v>0</v>
      </c>
      <c r="K307" s="420">
        <f t="shared" si="20"/>
        <v>13.462437652095641</v>
      </c>
    </row>
    <row r="308" spans="1:14" x14ac:dyDescent="0.25">
      <c r="A308" s="49">
        <f>'A) Base RI'!A310</f>
        <v>5933</v>
      </c>
      <c r="B308" s="293" t="str">
        <f>'A) Base RI'!B310</f>
        <v>Valeyres-sous-Montagny</v>
      </c>
      <c r="C308" s="95">
        <f>'B) D RI'!U310</f>
        <v>22572.377872340428</v>
      </c>
      <c r="D308" s="419">
        <f>'E) Fact soc'!G314/C308</f>
        <v>15.160153977313108</v>
      </c>
      <c r="E308" s="136">
        <f>'H) Péréquation directe'!I319/C308</f>
        <v>5.2688229305414449</v>
      </c>
      <c r="F308" s="110"/>
      <c r="G308" s="136">
        <f t="shared" si="17"/>
        <v>20.428976907854555</v>
      </c>
      <c r="H308" s="420">
        <f>G308-'C) Prél. conj.'!I308</f>
        <v>18.797435906357865</v>
      </c>
      <c r="I308" s="424">
        <f t="shared" si="18"/>
        <v>0</v>
      </c>
      <c r="J308" s="55">
        <f t="shared" si="19"/>
        <v>0</v>
      </c>
      <c r="K308" s="420">
        <f t="shared" si="20"/>
        <v>18.797435906357865</v>
      </c>
    </row>
    <row r="309" spans="1:14" x14ac:dyDescent="0.25">
      <c r="A309" s="49">
        <f>'A) Base RI'!A311</f>
        <v>5934</v>
      </c>
      <c r="B309" s="293" t="str">
        <f>'A) Base RI'!B311</f>
        <v>Valeyres-sous-Ursins</v>
      </c>
      <c r="C309" s="95">
        <f>'B) D RI'!U311</f>
        <v>7577.3788607594925</v>
      </c>
      <c r="D309" s="419">
        <f>'E) Fact soc'!G315/C309</f>
        <v>15.887382456455606</v>
      </c>
      <c r="E309" s="136">
        <f>'H) Péréquation directe'!I320/C309</f>
        <v>2.3674429131997368</v>
      </c>
      <c r="F309" s="110"/>
      <c r="G309" s="136">
        <f t="shared" si="17"/>
        <v>18.254825369655343</v>
      </c>
      <c r="H309" s="420">
        <f>G309-'C) Prél. conj.'!I309</f>
        <v>15.896055889016159</v>
      </c>
      <c r="I309" s="424">
        <f t="shared" si="18"/>
        <v>0</v>
      </c>
      <c r="J309" s="55">
        <f t="shared" si="19"/>
        <v>0</v>
      </c>
      <c r="K309" s="420">
        <f t="shared" si="20"/>
        <v>15.896055889016159</v>
      </c>
    </row>
    <row r="310" spans="1:14" x14ac:dyDescent="0.25">
      <c r="A310" s="49">
        <f>'A) Base RI'!A312</f>
        <v>5935</v>
      </c>
      <c r="B310" s="293" t="str">
        <f>'A) Base RI'!B312</f>
        <v>Villars-Epeney</v>
      </c>
      <c r="C310" s="95">
        <f>'B) D RI'!U312</f>
        <v>3912.8696666666669</v>
      </c>
      <c r="D310" s="419">
        <f>'E) Fact soc'!G316/C310</f>
        <v>17.21430307759935</v>
      </c>
      <c r="E310" s="136">
        <f>'H) Péréquation directe'!I321/C310</f>
        <v>12.918898366998256</v>
      </c>
      <c r="F310" s="110"/>
      <c r="G310" s="136">
        <f t="shared" si="17"/>
        <v>30.133201444597606</v>
      </c>
      <c r="H310" s="420">
        <f>G310-'C) Prél. conj.'!I310</f>
        <v>26.447511342814678</v>
      </c>
      <c r="I310" s="424">
        <f t="shared" si="18"/>
        <v>0</v>
      </c>
      <c r="J310" s="55">
        <f t="shared" si="19"/>
        <v>0</v>
      </c>
      <c r="K310" s="420">
        <f t="shared" si="20"/>
        <v>26.447511342814678</v>
      </c>
    </row>
    <row r="311" spans="1:14" x14ac:dyDescent="0.25">
      <c r="A311" s="49">
        <f>'A) Base RI'!A313</f>
        <v>5937</v>
      </c>
      <c r="B311" s="293" t="str">
        <f>'A) Base RI'!B313</f>
        <v>Vugelles-La Mothe</v>
      </c>
      <c r="C311" s="95">
        <f>'B) D RI'!U313</f>
        <v>3187.6957755102044</v>
      </c>
      <c r="D311" s="419">
        <f>'E) Fact soc'!G317/C311</f>
        <v>16.049830672230271</v>
      </c>
      <c r="E311" s="136">
        <f>'H) Péréquation directe'!I322/C311</f>
        <v>-7.0716309134184803</v>
      </c>
      <c r="F311" s="110"/>
      <c r="G311" s="136">
        <f t="shared" si="17"/>
        <v>8.9781997588117903</v>
      </c>
      <c r="H311" s="420">
        <f>G311-'C) Prél. conj.'!I311</f>
        <v>6.4569820623979393</v>
      </c>
      <c r="I311" s="424">
        <f t="shared" si="18"/>
        <v>0</v>
      </c>
      <c r="J311" s="55">
        <f t="shared" si="19"/>
        <v>0</v>
      </c>
      <c r="K311" s="420">
        <f t="shared" si="20"/>
        <v>6.4569820623979393</v>
      </c>
    </row>
    <row r="312" spans="1:14" x14ac:dyDescent="0.25">
      <c r="A312" s="49">
        <f>'A) Base RI'!A314</f>
        <v>5938</v>
      </c>
      <c r="B312" s="293" t="str">
        <f>'A) Base RI'!B314</f>
        <v>Yverdon-les-Bains</v>
      </c>
      <c r="C312" s="95">
        <f>'B) D RI'!U314</f>
        <v>796551.402</v>
      </c>
      <c r="D312" s="419">
        <f>'E) Fact soc'!G318/C312</f>
        <v>17.788054615717019</v>
      </c>
      <c r="E312" s="136">
        <f>'H) Péréquation directe'!I323/C312</f>
        <v>-30.477102638657669</v>
      </c>
      <c r="F312" s="110"/>
      <c r="G312" s="136">
        <f t="shared" si="17"/>
        <v>-12.68904802294065</v>
      </c>
      <c r="H312" s="420">
        <f>G312-'C) Prél. conj.'!I312</f>
        <v>-16.948489662841247</v>
      </c>
      <c r="I312" s="424">
        <f t="shared" si="18"/>
        <v>0</v>
      </c>
      <c r="J312" s="55">
        <f t="shared" si="19"/>
        <v>0</v>
      </c>
      <c r="K312" s="420">
        <f t="shared" si="20"/>
        <v>-16.948489662841247</v>
      </c>
    </row>
    <row r="313" spans="1:14" x14ac:dyDescent="0.25">
      <c r="A313" s="49">
        <f>'A) Base RI'!A315</f>
        <v>5939</v>
      </c>
      <c r="B313" s="293" t="str">
        <f>'A) Base RI'!B315</f>
        <v>Yvonand</v>
      </c>
      <c r="C313" s="95">
        <f>'B) D RI'!U315</f>
        <v>92890.042937062928</v>
      </c>
      <c r="D313" s="419">
        <f>'E) Fact soc'!G319/C313</f>
        <v>17.402488459368627</v>
      </c>
      <c r="E313" s="136">
        <f>'H) Péréquation directe'!I324/C313</f>
        <v>-8.0350869808768071</v>
      </c>
      <c r="F313" s="110"/>
      <c r="G313" s="548">
        <f t="shared" si="17"/>
        <v>9.3674014784918196</v>
      </c>
      <c r="H313" s="420">
        <f>G313-'C) Prél. conj.'!I313</f>
        <v>5.4935259949396116</v>
      </c>
      <c r="I313" s="424">
        <f t="shared" si="18"/>
        <v>0</v>
      </c>
      <c r="J313" s="55">
        <f t="shared" si="19"/>
        <v>0</v>
      </c>
      <c r="K313" s="420">
        <f t="shared" si="20"/>
        <v>5.4935259949396116</v>
      </c>
    </row>
    <row r="314" spans="1:14" x14ac:dyDescent="0.25">
      <c r="A314" s="30"/>
      <c r="B314" s="299">
        <f>COUNTA(B5:B313)</f>
        <v>309</v>
      </c>
      <c r="C314" s="97">
        <f>SUM(C5:C313)</f>
        <v>39275450.163217418</v>
      </c>
      <c r="D314" s="109">
        <f>('E) Fact soc'!G320-'E) Fact soc'!D320)/C314</f>
        <v>17.386144894896894</v>
      </c>
      <c r="E314" s="109">
        <f>'H) Péréquation directe'!I325/C314</f>
        <v>4.9356877339936807</v>
      </c>
      <c r="F314" s="306">
        <f>'I) Dépenses thématiques'!P314</f>
        <v>-4.5</v>
      </c>
      <c r="G314" s="109">
        <f>SUM(D314:F314)</f>
        <v>17.821832628890576</v>
      </c>
      <c r="H314" s="412">
        <f>G314-('C) Prél. conj.'!H314/'J) Plafonnement effort'!C314)</f>
        <v>13.693265496594297</v>
      </c>
      <c r="I314" s="307"/>
      <c r="J314" s="37">
        <f>SUM(J5:J313)</f>
        <v>-23186876.29196715</v>
      </c>
      <c r="K314" s="19">
        <f>G314+I314</f>
        <v>17.821832628890576</v>
      </c>
      <c r="M314" s="12"/>
      <c r="N314" s="12"/>
    </row>
    <row r="318" spans="1:14" x14ac:dyDescent="0.25">
      <c r="G318" s="28"/>
      <c r="H318" s="415"/>
      <c r="I318" s="28"/>
      <c r="J318" s="28"/>
    </row>
    <row r="320" spans="1:14" x14ac:dyDescent="0.25">
      <c r="J320" s="28"/>
    </row>
  </sheetData>
  <mergeCells count="10">
    <mergeCell ref="C3:C4"/>
    <mergeCell ref="B3:B4"/>
    <mergeCell ref="A3:A4"/>
    <mergeCell ref="K3:K4"/>
    <mergeCell ref="J3:J4"/>
    <mergeCell ref="G3:G4"/>
    <mergeCell ref="F3:F4"/>
    <mergeCell ref="E3:E4"/>
    <mergeCell ref="D3:D4"/>
    <mergeCell ref="H3:H4"/>
  </mergeCells>
  <phoneticPr fontId="0" type="noConversion"/>
  <printOptions horizontalCentered="1"/>
  <pageMargins left="0" right="0" top="0" bottom="0" header="0.51181102362204722" footer="0.51181102362204722"/>
  <pageSetup paperSize="9" scale="64" orientation="portrait" horizontalDpi="4294967292" verticalDpi="4294967292"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4">
    <tabColor rgb="FF00B050"/>
  </sheetPr>
  <dimension ref="A1:Y316"/>
  <sheetViews>
    <sheetView workbookViewId="0">
      <pane ySplit="4" topLeftCell="A285" activePane="bottomLeft" state="frozen"/>
      <selection pane="bottomLeft" activeCell="F312" sqref="F312"/>
    </sheetView>
  </sheetViews>
  <sheetFormatPr baseColWidth="10" defaultColWidth="10.75" defaultRowHeight="15" x14ac:dyDescent="0.25"/>
  <cols>
    <col min="1" max="1" width="7.25" style="13" customWidth="1"/>
    <col min="2" max="2" width="18" style="13" customWidth="1"/>
    <col min="3" max="4" width="9.25" style="13" customWidth="1"/>
    <col min="5" max="5" width="11.625" style="13" customWidth="1"/>
    <col min="6" max="6" width="11" style="13" customWidth="1"/>
    <col min="7" max="7" width="10.375" style="13" customWidth="1"/>
    <col min="8" max="8" width="12.25" style="13" customWidth="1"/>
    <col min="9" max="9" width="10" style="13" customWidth="1"/>
    <col min="10" max="10" width="12.875" style="13" customWidth="1"/>
    <col min="11" max="14" width="12.125" style="13" customWidth="1"/>
    <col min="15" max="17" width="8.125" style="13" customWidth="1"/>
    <col min="18" max="16384" width="10.75" style="13"/>
  </cols>
  <sheetData>
    <row r="1" spans="1:25" s="43" customFormat="1" ht="20.25" customHeight="1" x14ac:dyDescent="0.25">
      <c r="A1" s="51" t="s">
        <v>0</v>
      </c>
      <c r="B1" s="42"/>
      <c r="C1" s="68"/>
      <c r="D1" s="68"/>
      <c r="E1" s="68"/>
      <c r="F1" s="68"/>
      <c r="G1" s="68"/>
      <c r="H1" s="68"/>
      <c r="I1" s="68"/>
      <c r="J1" s="68"/>
      <c r="L1" s="56"/>
      <c r="N1" s="13"/>
      <c r="O1" s="13"/>
      <c r="P1" s="13"/>
      <c r="Q1" s="13"/>
      <c r="R1" s="13"/>
      <c r="Y1" s="13"/>
    </row>
    <row r="3" spans="1:25" ht="45" customHeight="1" x14ac:dyDescent="0.25">
      <c r="A3" s="582" t="s">
        <v>46</v>
      </c>
      <c r="B3" s="582" t="s">
        <v>96</v>
      </c>
      <c r="C3" s="582" t="s">
        <v>371</v>
      </c>
      <c r="D3" s="582" t="s">
        <v>93</v>
      </c>
      <c r="E3" s="582" t="s">
        <v>328</v>
      </c>
      <c r="F3" s="582" t="s">
        <v>369</v>
      </c>
      <c r="G3" s="582" t="s">
        <v>370</v>
      </c>
      <c r="H3" s="582" t="s">
        <v>411</v>
      </c>
      <c r="I3" s="112" t="s">
        <v>146</v>
      </c>
      <c r="J3" s="582" t="s">
        <v>457</v>
      </c>
    </row>
    <row r="4" spans="1:25" x14ac:dyDescent="0.25">
      <c r="A4" s="584"/>
      <c r="B4" s="583"/>
      <c r="C4" s="584"/>
      <c r="D4" s="583"/>
      <c r="E4" s="584"/>
      <c r="F4" s="583"/>
      <c r="G4" s="584"/>
      <c r="H4" s="583"/>
      <c r="I4" s="386">
        <f>Paramètres!B48</f>
        <v>-8</v>
      </c>
      <c r="J4" s="584"/>
    </row>
    <row r="5" spans="1:25" x14ac:dyDescent="0.25">
      <c r="A5" s="46">
        <f>'A) Base RI'!A7</f>
        <v>5401</v>
      </c>
      <c r="B5" s="293" t="str">
        <f>'A) Base RI'!B7</f>
        <v>Aigle</v>
      </c>
      <c r="C5" s="94">
        <f>'B) D RI'!U7</f>
        <v>284723.80196969694</v>
      </c>
      <c r="D5" s="110">
        <f>'E) Fact soc'!G11/C5</f>
        <v>17.380128136873143</v>
      </c>
      <c r="E5" s="135">
        <f>'H) Péréquation directe'!I16/C5</f>
        <v>-13.203058668777613</v>
      </c>
      <c r="F5" s="110"/>
      <c r="G5" s="135">
        <f>SUM(D5:F5)</f>
        <v>4.1770694680955298</v>
      </c>
      <c r="H5" s="110">
        <f>G5-F5</f>
        <v>4.1770694680955298</v>
      </c>
      <c r="I5" s="135">
        <f>IF(H5&lt;I$4,H5-I$4,0)</f>
        <v>0</v>
      </c>
      <c r="J5" s="100">
        <f t="shared" ref="J5" si="0">-I5*C5</f>
        <v>0</v>
      </c>
      <c r="K5" s="36"/>
    </row>
    <row r="6" spans="1:25" x14ac:dyDescent="0.25">
      <c r="A6" s="49">
        <f>'A) Base RI'!A8</f>
        <v>5402</v>
      </c>
      <c r="B6" s="293" t="str">
        <f>'A) Base RI'!B8</f>
        <v>Bex</v>
      </c>
      <c r="C6" s="95">
        <f>'B) D RI'!U8</f>
        <v>179259.20338028169</v>
      </c>
      <c r="D6" s="110">
        <f>'E) Fact soc'!G12/C6</f>
        <v>16.978521032632131</v>
      </c>
      <c r="E6" s="136">
        <f>'H) Péréquation directe'!I17/C6</f>
        <v>-22.173550481708659</v>
      </c>
      <c r="F6" s="110"/>
      <c r="G6" s="136">
        <f t="shared" ref="G6:G69" si="1">SUM(D6:F6)</f>
        <v>-5.1950294490765287</v>
      </c>
      <c r="H6" s="110">
        <f t="shared" ref="H6:H69" si="2">G6-F6</f>
        <v>-5.1950294490765287</v>
      </c>
      <c r="I6" s="136">
        <f t="shared" ref="I6:I69" si="3">IF(H6&lt;I$4,H6-I$4,0)</f>
        <v>0</v>
      </c>
      <c r="J6" s="55">
        <f t="shared" ref="J6:J69" si="4">-I6*C6</f>
        <v>0</v>
      </c>
      <c r="K6" s="36"/>
    </row>
    <row r="7" spans="1:25" x14ac:dyDescent="0.25">
      <c r="A7" s="49">
        <f>'A) Base RI'!A9</f>
        <v>5403</v>
      </c>
      <c r="B7" s="293" t="str">
        <f>'A) Base RI'!B9</f>
        <v>Chessel</v>
      </c>
      <c r="C7" s="95">
        <f>'B) D RI'!U9</f>
        <v>10797.740270270273</v>
      </c>
      <c r="D7" s="110">
        <f>'E) Fact soc'!G13/C7</f>
        <v>18.968322445558073</v>
      </c>
      <c r="E7" s="136">
        <f>'H) Péréquation directe'!I18/C7</f>
        <v>-7.0123397606164186</v>
      </c>
      <c r="F7" s="110"/>
      <c r="G7" s="136">
        <f t="shared" si="1"/>
        <v>11.955982684941654</v>
      </c>
      <c r="H7" s="110">
        <f t="shared" si="2"/>
        <v>11.955982684941654</v>
      </c>
      <c r="I7" s="136">
        <f t="shared" si="3"/>
        <v>0</v>
      </c>
      <c r="J7" s="55">
        <f t="shared" si="4"/>
        <v>0</v>
      </c>
      <c r="K7" s="36"/>
    </row>
    <row r="8" spans="1:25" x14ac:dyDescent="0.25">
      <c r="A8" s="49">
        <f>'A) Base RI'!A10</f>
        <v>5404</v>
      </c>
      <c r="B8" s="293" t="str">
        <f>'A) Base RI'!B10</f>
        <v>Corbeyrier</v>
      </c>
      <c r="C8" s="95">
        <f>'B) D RI'!U10</f>
        <v>11267.87027027027</v>
      </c>
      <c r="D8" s="110">
        <f>'E) Fact soc'!G14/C8</f>
        <v>18.889674875808552</v>
      </c>
      <c r="E8" s="136">
        <f>'H) Péréquation directe'!I19/C8</f>
        <v>-5.0887749267219444</v>
      </c>
      <c r="F8" s="110"/>
      <c r="G8" s="136">
        <f t="shared" si="1"/>
        <v>13.800899949086608</v>
      </c>
      <c r="H8" s="110">
        <f t="shared" si="2"/>
        <v>13.800899949086608</v>
      </c>
      <c r="I8" s="136">
        <f t="shared" si="3"/>
        <v>0</v>
      </c>
      <c r="J8" s="55">
        <f t="shared" si="4"/>
        <v>0</v>
      </c>
      <c r="K8" s="36"/>
    </row>
    <row r="9" spans="1:25" x14ac:dyDescent="0.25">
      <c r="A9" s="49">
        <f>'A) Base RI'!A11</f>
        <v>5405</v>
      </c>
      <c r="B9" s="293" t="str">
        <f>'A) Base RI'!B11</f>
        <v>Gryon</v>
      </c>
      <c r="C9" s="95">
        <f>'B) D RI'!U11</f>
        <v>68185.794013605453</v>
      </c>
      <c r="D9" s="110">
        <f>'E) Fact soc'!G15/C9</f>
        <v>20.117690299369016</v>
      </c>
      <c r="E9" s="136">
        <f>'H) Péréquation directe'!I20/C9</f>
        <v>15.892621960544634</v>
      </c>
      <c r="F9" s="110"/>
      <c r="G9" s="136">
        <f t="shared" si="1"/>
        <v>36.010312259913647</v>
      </c>
      <c r="H9" s="110">
        <f t="shared" si="2"/>
        <v>36.010312259913647</v>
      </c>
      <c r="I9" s="136">
        <f t="shared" si="3"/>
        <v>0</v>
      </c>
      <c r="J9" s="55">
        <f t="shared" si="4"/>
        <v>0</v>
      </c>
      <c r="K9" s="36"/>
    </row>
    <row r="10" spans="1:25" x14ac:dyDescent="0.25">
      <c r="A10" s="49">
        <f>'A) Base RI'!A12</f>
        <v>5406</v>
      </c>
      <c r="B10" s="293" t="str">
        <f>'A) Base RI'!B12</f>
        <v>Lavey-Morcles</v>
      </c>
      <c r="C10" s="95">
        <f>'B) D RI'!U12</f>
        <v>21842.545067240455</v>
      </c>
      <c r="D10" s="110">
        <f>'E) Fact soc'!G16/C10</f>
        <v>18.346570758484987</v>
      </c>
      <c r="E10" s="136">
        <f>'H) Péréquation directe'!I21/C10</f>
        <v>-7.9147429206127802</v>
      </c>
      <c r="F10" s="110"/>
      <c r="G10" s="136">
        <f t="shared" si="1"/>
        <v>10.431827837872206</v>
      </c>
      <c r="H10" s="110">
        <f t="shared" si="2"/>
        <v>10.431827837872206</v>
      </c>
      <c r="I10" s="136">
        <f t="shared" si="3"/>
        <v>0</v>
      </c>
      <c r="J10" s="55">
        <f t="shared" si="4"/>
        <v>0</v>
      </c>
      <c r="K10" s="36"/>
    </row>
    <row r="11" spans="1:25" x14ac:dyDescent="0.25">
      <c r="A11" s="49">
        <f>'A) Base RI'!A13</f>
        <v>5407</v>
      </c>
      <c r="B11" s="293" t="str">
        <f>'A) Base RI'!B13</f>
        <v>Leysin</v>
      </c>
      <c r="C11" s="95">
        <f>'B) D RI'!U13</f>
        <v>90407.62790598291</v>
      </c>
      <c r="D11" s="110">
        <f>'E) Fact soc'!G17/C11</f>
        <v>17.88861211670655</v>
      </c>
      <c r="E11" s="136">
        <f>'H) Péréquation directe'!I22/C11</f>
        <v>-15.953318905326539</v>
      </c>
      <c r="F11" s="110"/>
      <c r="G11" s="136">
        <f t="shared" si="1"/>
        <v>1.9352932113800119</v>
      </c>
      <c r="H11" s="110">
        <f t="shared" si="2"/>
        <v>1.9352932113800119</v>
      </c>
      <c r="I11" s="136">
        <f t="shared" si="3"/>
        <v>0</v>
      </c>
      <c r="J11" s="55">
        <f t="shared" si="4"/>
        <v>0</v>
      </c>
      <c r="K11" s="36"/>
      <c r="L11" s="28"/>
    </row>
    <row r="12" spans="1:25" x14ac:dyDescent="0.25">
      <c r="A12" s="49">
        <f>'A) Base RI'!A14</f>
        <v>5408</v>
      </c>
      <c r="B12" s="293" t="str">
        <f>'A) Base RI'!B14</f>
        <v>Noville</v>
      </c>
      <c r="C12" s="95">
        <f>'B) D RI'!U14</f>
        <v>43840.045520169842</v>
      </c>
      <c r="D12" s="110">
        <f>'E) Fact soc'!G18/C12</f>
        <v>17.040867198480456</v>
      </c>
      <c r="E12" s="136">
        <f>'H) Péréquation directe'!I23/C12</f>
        <v>8.3992537339725395</v>
      </c>
      <c r="F12" s="110"/>
      <c r="G12" s="136">
        <f t="shared" si="1"/>
        <v>25.440120932452995</v>
      </c>
      <c r="H12" s="110">
        <f t="shared" si="2"/>
        <v>25.440120932452995</v>
      </c>
      <c r="I12" s="136">
        <f t="shared" si="3"/>
        <v>0</v>
      </c>
      <c r="J12" s="55">
        <f t="shared" si="4"/>
        <v>0</v>
      </c>
      <c r="K12" s="36"/>
    </row>
    <row r="13" spans="1:25" x14ac:dyDescent="0.25">
      <c r="A13" s="49">
        <f>'A) Base RI'!A15</f>
        <v>5409</v>
      </c>
      <c r="B13" s="293" t="str">
        <f>'A) Base RI'!B15</f>
        <v>Ollon</v>
      </c>
      <c r="C13" s="95">
        <f>'B) D RI'!U15</f>
        <v>389186.78990950214</v>
      </c>
      <c r="D13" s="110">
        <f>'E) Fact soc'!G19/C13</f>
        <v>18.770173403643572</v>
      </c>
      <c r="E13" s="136">
        <f>'H) Péréquation directe'!I24/C13</f>
        <v>10.956147727792912</v>
      </c>
      <c r="F13" s="110"/>
      <c r="G13" s="136">
        <f t="shared" si="1"/>
        <v>29.726321131436485</v>
      </c>
      <c r="H13" s="110">
        <f t="shared" si="2"/>
        <v>29.726321131436485</v>
      </c>
      <c r="I13" s="136">
        <f t="shared" si="3"/>
        <v>0</v>
      </c>
      <c r="J13" s="55">
        <f t="shared" si="4"/>
        <v>0</v>
      </c>
      <c r="K13" s="36"/>
    </row>
    <row r="14" spans="1:25" x14ac:dyDescent="0.25">
      <c r="A14" s="49">
        <f>'A) Base RI'!A16</f>
        <v>5410</v>
      </c>
      <c r="B14" s="293" t="str">
        <f>'A) Base RI'!B16</f>
        <v>Ormont-Dessous</v>
      </c>
      <c r="C14" s="95">
        <f>'B) D RI'!U16</f>
        <v>39522.545108225109</v>
      </c>
      <c r="D14" s="110">
        <f>'E) Fact soc'!G20/C14</f>
        <v>19.084861805406579</v>
      </c>
      <c r="E14" s="136">
        <f>'H) Péréquation directe'!I25/C14</f>
        <v>4.4919029471112779</v>
      </c>
      <c r="F14" s="110"/>
      <c r="G14" s="136">
        <f t="shared" si="1"/>
        <v>23.576764752517857</v>
      </c>
      <c r="H14" s="110">
        <f t="shared" si="2"/>
        <v>23.576764752517857</v>
      </c>
      <c r="I14" s="136">
        <f t="shared" si="3"/>
        <v>0</v>
      </c>
      <c r="J14" s="55">
        <f t="shared" si="4"/>
        <v>0</v>
      </c>
      <c r="K14" s="36"/>
    </row>
    <row r="15" spans="1:25" x14ac:dyDescent="0.25">
      <c r="A15" s="49">
        <f>'A) Base RI'!A17</f>
        <v>5411</v>
      </c>
      <c r="B15" s="293" t="str">
        <f>'A) Base RI'!B17</f>
        <v>Ormont-Dessus</v>
      </c>
      <c r="C15" s="95">
        <f>'B) D RI'!U17</f>
        <v>68049.385526315804</v>
      </c>
      <c r="D15" s="110">
        <f>'E) Fact soc'!G21/C15</f>
        <v>20.336765781558331</v>
      </c>
      <c r="E15" s="136">
        <f>'H) Péréquation directe'!I26/C15</f>
        <v>14.560195529710629</v>
      </c>
      <c r="F15" s="110"/>
      <c r="G15" s="136">
        <f t="shared" si="1"/>
        <v>34.89696131126896</v>
      </c>
      <c r="H15" s="110">
        <f t="shared" si="2"/>
        <v>34.89696131126896</v>
      </c>
      <c r="I15" s="136">
        <f t="shared" si="3"/>
        <v>0</v>
      </c>
      <c r="J15" s="55">
        <f t="shared" si="4"/>
        <v>0</v>
      </c>
      <c r="K15" s="36"/>
    </row>
    <row r="16" spans="1:25" x14ac:dyDescent="0.25">
      <c r="A16" s="49">
        <f>'A) Base RI'!A18</f>
        <v>5412</v>
      </c>
      <c r="B16" s="293" t="str">
        <f>'A) Base RI'!B18</f>
        <v>Rennaz</v>
      </c>
      <c r="C16" s="95">
        <f>'B) D RI'!U18</f>
        <v>24267.759710144928</v>
      </c>
      <c r="D16" s="110">
        <f>'E) Fact soc'!G22/C16</f>
        <v>26.013329472879121</v>
      </c>
      <c r="E16" s="136">
        <f>'H) Péréquation directe'!I27/C16</f>
        <v>0.48628269025707055</v>
      </c>
      <c r="F16" s="110"/>
      <c r="G16" s="136">
        <f t="shared" si="1"/>
        <v>26.499612163136192</v>
      </c>
      <c r="H16" s="110">
        <f t="shared" si="2"/>
        <v>26.499612163136192</v>
      </c>
      <c r="I16" s="136">
        <f t="shared" si="3"/>
        <v>0</v>
      </c>
      <c r="J16" s="55">
        <f t="shared" si="4"/>
        <v>0</v>
      </c>
      <c r="K16" s="36"/>
    </row>
    <row r="17" spans="1:11" x14ac:dyDescent="0.25">
      <c r="A17" s="49">
        <f>'A) Base RI'!A19</f>
        <v>5413</v>
      </c>
      <c r="B17" s="293" t="str">
        <f>'A) Base RI'!B19</f>
        <v>Roche</v>
      </c>
      <c r="C17" s="95">
        <f>'B) D RI'!U19</f>
        <v>48007.468357843129</v>
      </c>
      <c r="D17" s="110">
        <f>'E) Fact soc'!G23/C17</f>
        <v>18.169523288755276</v>
      </c>
      <c r="E17" s="136">
        <f>'H) Péréquation directe'!I28/C17</f>
        <v>-5.446695461216648</v>
      </c>
      <c r="F17" s="110"/>
      <c r="G17" s="136">
        <f t="shared" si="1"/>
        <v>12.722827827538627</v>
      </c>
      <c r="H17" s="110">
        <f t="shared" si="2"/>
        <v>12.722827827538627</v>
      </c>
      <c r="I17" s="136">
        <f t="shared" si="3"/>
        <v>0</v>
      </c>
      <c r="J17" s="55">
        <f t="shared" si="4"/>
        <v>0</v>
      </c>
      <c r="K17" s="36"/>
    </row>
    <row r="18" spans="1:11" x14ac:dyDescent="0.25">
      <c r="A18" s="49">
        <f>'A) Base RI'!A20</f>
        <v>5414</v>
      </c>
      <c r="B18" s="293" t="str">
        <f>'A) Base RI'!B20</f>
        <v>Villeneuve</v>
      </c>
      <c r="C18" s="95">
        <f>'B) D RI'!U20</f>
        <v>159468.65911111108</v>
      </c>
      <c r="D18" s="110">
        <f>'E) Fact soc'!G24/C18</f>
        <v>19.047279746487735</v>
      </c>
      <c r="E18" s="136">
        <f>'H) Péréquation directe'!I29/C18</f>
        <v>-8.7927079161565427</v>
      </c>
      <c r="F18" s="110"/>
      <c r="G18" s="136">
        <f t="shared" si="1"/>
        <v>10.254571830331193</v>
      </c>
      <c r="H18" s="110">
        <f t="shared" si="2"/>
        <v>10.254571830331193</v>
      </c>
      <c r="I18" s="136">
        <f t="shared" si="3"/>
        <v>0</v>
      </c>
      <c r="J18" s="55">
        <f t="shared" si="4"/>
        <v>0</v>
      </c>
      <c r="K18" s="36"/>
    </row>
    <row r="19" spans="1:11" x14ac:dyDescent="0.25">
      <c r="A19" s="49">
        <f>'A) Base RI'!A21</f>
        <v>5415</v>
      </c>
      <c r="B19" s="293" t="str">
        <f>'A) Base RI'!B21</f>
        <v>Yvorne</v>
      </c>
      <c r="C19" s="95">
        <f>'B) D RI'!U21</f>
        <v>38155.020093240091</v>
      </c>
      <c r="D19" s="110">
        <f>'E) Fact soc'!G25/C19</f>
        <v>18.332711219037506</v>
      </c>
      <c r="E19" s="136">
        <f>'H) Péréquation directe'!I30/C19</f>
        <v>8.551090200836402</v>
      </c>
      <c r="F19" s="110"/>
      <c r="G19" s="136">
        <f t="shared" si="1"/>
        <v>26.883801419873908</v>
      </c>
      <c r="H19" s="110">
        <f t="shared" si="2"/>
        <v>26.883801419873908</v>
      </c>
      <c r="I19" s="136">
        <f t="shared" si="3"/>
        <v>0</v>
      </c>
      <c r="J19" s="55">
        <f t="shared" si="4"/>
        <v>0</v>
      </c>
      <c r="K19" s="36"/>
    </row>
    <row r="20" spans="1:11" x14ac:dyDescent="0.25">
      <c r="A20" s="49">
        <f>'A) Base RI'!A22</f>
        <v>5421</v>
      </c>
      <c r="B20" s="293" t="str">
        <f>'A) Base RI'!B22</f>
        <v>Apples</v>
      </c>
      <c r="C20" s="95">
        <f>'B) D RI'!U22</f>
        <v>66313.601621621623</v>
      </c>
      <c r="D20" s="110">
        <f>'E) Fact soc'!G26/C20</f>
        <v>15.070691109100284</v>
      </c>
      <c r="E20" s="136">
        <f>'H) Péréquation directe'!I31/C20</f>
        <v>14.089712966120365</v>
      </c>
      <c r="F20" s="110"/>
      <c r="G20" s="136">
        <f t="shared" si="1"/>
        <v>29.160404075220647</v>
      </c>
      <c r="H20" s="110">
        <f t="shared" si="2"/>
        <v>29.160404075220647</v>
      </c>
      <c r="I20" s="136">
        <f t="shared" si="3"/>
        <v>0</v>
      </c>
      <c r="J20" s="55">
        <f t="shared" si="4"/>
        <v>0</v>
      </c>
      <c r="K20" s="36"/>
    </row>
    <row r="21" spans="1:11" x14ac:dyDescent="0.25">
      <c r="A21" s="49">
        <f>'A) Base RI'!A23</f>
        <v>5422</v>
      </c>
      <c r="B21" s="293" t="str">
        <f>'A) Base RI'!B23</f>
        <v>Aubonne</v>
      </c>
      <c r="C21" s="95">
        <f>'B) D RI'!U23</f>
        <v>242388.1994160584</v>
      </c>
      <c r="D21" s="110">
        <f>'E) Fact soc'!G27/C21</f>
        <v>23.590177837910336</v>
      </c>
      <c r="E21" s="136">
        <f>'H) Péréquation directe'!I32/C21</f>
        <v>15.766391974406908</v>
      </c>
      <c r="F21" s="110"/>
      <c r="G21" s="136">
        <f t="shared" si="1"/>
        <v>39.356569812317247</v>
      </c>
      <c r="H21" s="110">
        <f t="shared" si="2"/>
        <v>39.356569812317247</v>
      </c>
      <c r="I21" s="136">
        <f t="shared" si="3"/>
        <v>0</v>
      </c>
      <c r="J21" s="55">
        <f t="shared" si="4"/>
        <v>0</v>
      </c>
      <c r="K21" s="36"/>
    </row>
    <row r="22" spans="1:11" x14ac:dyDescent="0.25">
      <c r="A22" s="49">
        <f>'A) Base RI'!A24</f>
        <v>5423</v>
      </c>
      <c r="B22" s="293" t="str">
        <f>'A) Base RI'!B24</f>
        <v>Ballens</v>
      </c>
      <c r="C22" s="95">
        <f>'B) D RI'!U24</f>
        <v>17114.745479452053</v>
      </c>
      <c r="D22" s="110">
        <f>'E) Fact soc'!G28/C22</f>
        <v>15.795958993119996</v>
      </c>
      <c r="E22" s="136">
        <f>'H) Péréquation directe'!I33/C22</f>
        <v>3.1237261186644494</v>
      </c>
      <c r="F22" s="110"/>
      <c r="G22" s="136">
        <f t="shared" si="1"/>
        <v>18.919685111784446</v>
      </c>
      <c r="H22" s="110">
        <f t="shared" si="2"/>
        <v>18.919685111784446</v>
      </c>
      <c r="I22" s="136">
        <f t="shared" si="3"/>
        <v>0</v>
      </c>
      <c r="J22" s="55">
        <f t="shared" si="4"/>
        <v>0</v>
      </c>
      <c r="K22" s="36"/>
    </row>
    <row r="23" spans="1:11" x14ac:dyDescent="0.25">
      <c r="A23" s="49">
        <f>'A) Base RI'!A25</f>
        <v>5424</v>
      </c>
      <c r="B23" s="293" t="str">
        <f>'A) Base RI'!B25</f>
        <v>Berolle</v>
      </c>
      <c r="C23" s="95">
        <f>'B) D RI'!U25</f>
        <v>9114.9769536423846</v>
      </c>
      <c r="D23" s="110">
        <f>'E) Fact soc'!G29/C23</f>
        <v>15.937763334800593</v>
      </c>
      <c r="E23" s="136">
        <f>'H) Péréquation directe'!I34/C23</f>
        <v>0.41616886355041133</v>
      </c>
      <c r="F23" s="110"/>
      <c r="G23" s="136">
        <f t="shared" si="1"/>
        <v>16.353932198351004</v>
      </c>
      <c r="H23" s="110">
        <f t="shared" si="2"/>
        <v>16.353932198351004</v>
      </c>
      <c r="I23" s="136">
        <f t="shared" si="3"/>
        <v>0</v>
      </c>
      <c r="J23" s="55">
        <f t="shared" si="4"/>
        <v>0</v>
      </c>
      <c r="K23" s="36"/>
    </row>
    <row r="24" spans="1:11" x14ac:dyDescent="0.25">
      <c r="A24" s="49">
        <f>'A) Base RI'!A26</f>
        <v>5425</v>
      </c>
      <c r="B24" s="293" t="str">
        <f>'A) Base RI'!B26</f>
        <v>Bière</v>
      </c>
      <c r="C24" s="95">
        <f>'B) D RI'!U26</f>
        <v>40211.969135432286</v>
      </c>
      <c r="D24" s="110">
        <f>'E) Fact soc'!G30/C24</f>
        <v>17.099436740163679</v>
      </c>
      <c r="E24" s="136">
        <f>'H) Péréquation directe'!I35/C24</f>
        <v>-6.9904386292889482</v>
      </c>
      <c r="F24" s="110"/>
      <c r="G24" s="136">
        <f t="shared" si="1"/>
        <v>10.10899811087473</v>
      </c>
      <c r="H24" s="110">
        <f t="shared" si="2"/>
        <v>10.10899811087473</v>
      </c>
      <c r="I24" s="136">
        <f t="shared" si="3"/>
        <v>0</v>
      </c>
      <c r="J24" s="55">
        <f t="shared" si="4"/>
        <v>0</v>
      </c>
      <c r="K24" s="36"/>
    </row>
    <row r="25" spans="1:11" x14ac:dyDescent="0.25">
      <c r="A25" s="49">
        <f>'A) Base RI'!A27</f>
        <v>5426</v>
      </c>
      <c r="B25" s="293" t="str">
        <f>'A) Base RI'!B27</f>
        <v>Bougy-Villars</v>
      </c>
      <c r="C25" s="95">
        <f>'B) D RI'!U27</f>
        <v>55640.611447028423</v>
      </c>
      <c r="D25" s="110">
        <f>'E) Fact soc'!G31/C25</f>
        <v>30.525237780106675</v>
      </c>
      <c r="E25" s="136">
        <f>'H) Péréquation directe'!I36/C25</f>
        <v>18.572780186737763</v>
      </c>
      <c r="F25" s="110"/>
      <c r="G25" s="136">
        <f t="shared" si="1"/>
        <v>49.098017966844438</v>
      </c>
      <c r="H25" s="110">
        <f t="shared" si="2"/>
        <v>49.098017966844438</v>
      </c>
      <c r="I25" s="136">
        <f t="shared" si="3"/>
        <v>0</v>
      </c>
      <c r="J25" s="55">
        <f t="shared" si="4"/>
        <v>0</v>
      </c>
      <c r="K25" s="36"/>
    </row>
    <row r="26" spans="1:11" x14ac:dyDescent="0.25">
      <c r="A26" s="49">
        <f>'A) Base RI'!A28</f>
        <v>5427</v>
      </c>
      <c r="B26" s="293" t="str">
        <f>'A) Base RI'!B28</f>
        <v>Féchy</v>
      </c>
      <c r="C26" s="95">
        <f>'B) D RI'!U28</f>
        <v>77020.423605769232</v>
      </c>
      <c r="D26" s="110">
        <f>'E) Fact soc'!G32/C26</f>
        <v>24.108840330783757</v>
      </c>
      <c r="E26" s="136">
        <f>'H) Péréquation directe'!I37/C26</f>
        <v>18.236775545539341</v>
      </c>
      <c r="F26" s="110"/>
      <c r="G26" s="136">
        <f t="shared" si="1"/>
        <v>42.345615876323095</v>
      </c>
      <c r="H26" s="110">
        <f t="shared" si="2"/>
        <v>42.345615876323095</v>
      </c>
      <c r="I26" s="136">
        <f t="shared" si="3"/>
        <v>0</v>
      </c>
      <c r="J26" s="55">
        <f t="shared" si="4"/>
        <v>0</v>
      </c>
      <c r="K26" s="36"/>
    </row>
    <row r="27" spans="1:11" x14ac:dyDescent="0.25">
      <c r="A27" s="49">
        <f>'A) Base RI'!A29</f>
        <v>5428</v>
      </c>
      <c r="B27" s="293" t="str">
        <f>'A) Base RI'!B29</f>
        <v>Gimel</v>
      </c>
      <c r="C27" s="95">
        <f>'B) D RI'!U29</f>
        <v>70193.222975391502</v>
      </c>
      <c r="D27" s="110">
        <f>'E) Fact soc'!G33/C27</f>
        <v>20.548374487162693</v>
      </c>
      <c r="E27" s="136">
        <f>'H) Péréquation directe'!I38/C27</f>
        <v>-1.5835565414286759</v>
      </c>
      <c r="F27" s="110"/>
      <c r="G27" s="136">
        <f t="shared" si="1"/>
        <v>18.964817945734019</v>
      </c>
      <c r="H27" s="110">
        <f t="shared" si="2"/>
        <v>18.964817945734019</v>
      </c>
      <c r="I27" s="136">
        <f t="shared" si="3"/>
        <v>0</v>
      </c>
      <c r="J27" s="55">
        <f t="shared" si="4"/>
        <v>0</v>
      </c>
      <c r="K27" s="36"/>
    </row>
    <row r="28" spans="1:11" x14ac:dyDescent="0.25">
      <c r="A28" s="49">
        <f>'A) Base RI'!A30</f>
        <v>5429</v>
      </c>
      <c r="B28" s="293" t="str">
        <f>'A) Base RI'!B30</f>
        <v>Longirod</v>
      </c>
      <c r="C28" s="95">
        <f>'B) D RI'!U30</f>
        <v>16140.77393548387</v>
      </c>
      <c r="D28" s="110">
        <f>'E) Fact soc'!G34/C28</f>
        <v>16.420776027389486</v>
      </c>
      <c r="E28" s="136">
        <f>'H) Péréquation directe'!I39/C28</f>
        <v>4.4097690862861372</v>
      </c>
      <c r="F28" s="110"/>
      <c r="G28" s="136">
        <f t="shared" si="1"/>
        <v>20.830545113675623</v>
      </c>
      <c r="H28" s="110">
        <f t="shared" si="2"/>
        <v>20.830545113675623</v>
      </c>
      <c r="I28" s="136">
        <f t="shared" si="3"/>
        <v>0</v>
      </c>
      <c r="J28" s="55">
        <f t="shared" si="4"/>
        <v>0</v>
      </c>
      <c r="K28" s="36"/>
    </row>
    <row r="29" spans="1:11" x14ac:dyDescent="0.25">
      <c r="A29" s="49">
        <f>'A) Base RI'!A31</f>
        <v>5430</v>
      </c>
      <c r="B29" s="293" t="str">
        <f>'A) Base RI'!B31</f>
        <v>Marchissy</v>
      </c>
      <c r="C29" s="95">
        <f>'B) D RI'!U31</f>
        <v>14848.450709677421</v>
      </c>
      <c r="D29" s="110">
        <f>'E) Fact soc'!G35/C29</f>
        <v>16.489010384237691</v>
      </c>
      <c r="E29" s="136">
        <f>'H) Péréquation directe'!I40/C29</f>
        <v>2.1121796350654245</v>
      </c>
      <c r="F29" s="110"/>
      <c r="G29" s="136">
        <f t="shared" si="1"/>
        <v>18.601190019303115</v>
      </c>
      <c r="H29" s="110">
        <f t="shared" si="2"/>
        <v>18.601190019303115</v>
      </c>
      <c r="I29" s="136">
        <f t="shared" si="3"/>
        <v>0</v>
      </c>
      <c r="J29" s="55">
        <f t="shared" si="4"/>
        <v>0</v>
      </c>
      <c r="K29" s="36"/>
    </row>
    <row r="30" spans="1:11" x14ac:dyDescent="0.25">
      <c r="A30" s="49">
        <f>'A) Base RI'!A32</f>
        <v>5431</v>
      </c>
      <c r="B30" s="293" t="str">
        <f>'A) Base RI'!B32</f>
        <v>Mollens</v>
      </c>
      <c r="C30" s="95">
        <f>'B) D RI'!U32</f>
        <v>9333.4747297297308</v>
      </c>
      <c r="D30" s="110">
        <f>'E) Fact soc'!G36/C30</f>
        <v>22.813127319008874</v>
      </c>
      <c r="E30" s="136">
        <f>'H) Péréquation directe'!I41/C30</f>
        <v>-0.19829869966833813</v>
      </c>
      <c r="F30" s="110"/>
      <c r="G30" s="136">
        <f t="shared" si="1"/>
        <v>22.614828619340535</v>
      </c>
      <c r="H30" s="110">
        <f t="shared" si="2"/>
        <v>22.614828619340535</v>
      </c>
      <c r="I30" s="136">
        <f t="shared" si="3"/>
        <v>0</v>
      </c>
      <c r="J30" s="55">
        <f t="shared" si="4"/>
        <v>0</v>
      </c>
      <c r="K30" s="36"/>
    </row>
    <row r="31" spans="1:11" x14ac:dyDescent="0.25">
      <c r="A31" s="49">
        <f>'A) Base RI'!A33</f>
        <v>5432</v>
      </c>
      <c r="B31" s="293" t="str">
        <f>'A) Base RI'!B33</f>
        <v>Montherod</v>
      </c>
      <c r="C31" s="95">
        <f>'B) D RI'!U33</f>
        <v>16429.509999999998</v>
      </c>
      <c r="D31" s="110">
        <f>'E) Fact soc'!G37/C31</f>
        <v>17.19733742347189</v>
      </c>
      <c r="E31" s="136">
        <f>'H) Péréquation directe'!I42/C31</f>
        <v>3.6489818002774048</v>
      </c>
      <c r="F31" s="110"/>
      <c r="G31" s="136">
        <f t="shared" si="1"/>
        <v>20.846319223749294</v>
      </c>
      <c r="H31" s="110">
        <f t="shared" si="2"/>
        <v>20.846319223749294</v>
      </c>
      <c r="I31" s="136">
        <f t="shared" si="3"/>
        <v>0</v>
      </c>
      <c r="J31" s="55">
        <f t="shared" si="4"/>
        <v>0</v>
      </c>
      <c r="K31" s="36"/>
    </row>
    <row r="32" spans="1:11" x14ac:dyDescent="0.25">
      <c r="A32" s="49">
        <f>'A) Base RI'!A34</f>
        <v>5434</v>
      </c>
      <c r="B32" s="293" t="str">
        <f>'A) Base RI'!B34</f>
        <v>Saint-George</v>
      </c>
      <c r="C32" s="95">
        <f>'B) D RI'!U34</f>
        <v>41434.234652278174</v>
      </c>
      <c r="D32" s="110">
        <f>'E) Fact soc'!G38/C32</f>
        <v>16.305038821869179</v>
      </c>
      <c r="E32" s="136">
        <f>'H) Péréquation directe'!I43/C32</f>
        <v>11.204071661562597</v>
      </c>
      <c r="F32" s="110"/>
      <c r="G32" s="136">
        <f t="shared" si="1"/>
        <v>27.509110483431776</v>
      </c>
      <c r="H32" s="110">
        <f t="shared" si="2"/>
        <v>27.509110483431776</v>
      </c>
      <c r="I32" s="136">
        <f t="shared" si="3"/>
        <v>0</v>
      </c>
      <c r="J32" s="55">
        <f t="shared" si="4"/>
        <v>0</v>
      </c>
      <c r="K32" s="36"/>
    </row>
    <row r="33" spans="1:11" x14ac:dyDescent="0.25">
      <c r="A33" s="49">
        <f>'A) Base RI'!A35</f>
        <v>5435</v>
      </c>
      <c r="B33" s="293" t="str">
        <f>'A) Base RI'!B35</f>
        <v>Saint-Livres</v>
      </c>
      <c r="C33" s="95">
        <f>'B) D RI'!U35</f>
        <v>26346.510144927532</v>
      </c>
      <c r="D33" s="110">
        <f>'E) Fact soc'!G39/C33</f>
        <v>16.174559805834114</v>
      </c>
      <c r="E33" s="136">
        <f>'H) Péréquation directe'!I44/C33</f>
        <v>11.668487960073071</v>
      </c>
      <c r="F33" s="110"/>
      <c r="G33" s="136">
        <f t="shared" si="1"/>
        <v>27.843047765907187</v>
      </c>
      <c r="H33" s="110">
        <f t="shared" si="2"/>
        <v>27.843047765907187</v>
      </c>
      <c r="I33" s="136">
        <f t="shared" si="3"/>
        <v>0</v>
      </c>
      <c r="J33" s="55">
        <f t="shared" si="4"/>
        <v>0</v>
      </c>
      <c r="K33" s="36"/>
    </row>
    <row r="34" spans="1:11" x14ac:dyDescent="0.25">
      <c r="A34" s="49">
        <f>'A) Base RI'!A36</f>
        <v>5436</v>
      </c>
      <c r="B34" s="293" t="str">
        <f>'A) Base RI'!B36</f>
        <v>Saint-Oyens</v>
      </c>
      <c r="C34" s="95">
        <f>'B) D RI'!U36</f>
        <v>16764.305154320984</v>
      </c>
      <c r="D34" s="110">
        <f>'E) Fact soc'!G40/C34</f>
        <v>15.372484804410083</v>
      </c>
      <c r="E34" s="136">
        <f>'H) Péréquation directe'!I45/C34</f>
        <v>7.6788345410572845</v>
      </c>
      <c r="F34" s="110"/>
      <c r="G34" s="136">
        <f t="shared" si="1"/>
        <v>23.05131934546737</v>
      </c>
      <c r="H34" s="110">
        <f t="shared" si="2"/>
        <v>23.05131934546737</v>
      </c>
      <c r="I34" s="136">
        <f t="shared" si="3"/>
        <v>0</v>
      </c>
      <c r="J34" s="55">
        <f t="shared" si="4"/>
        <v>0</v>
      </c>
      <c r="K34" s="36"/>
    </row>
    <row r="35" spans="1:11" x14ac:dyDescent="0.25">
      <c r="A35" s="49">
        <f>'A) Base RI'!A37</f>
        <v>5437</v>
      </c>
      <c r="B35" s="293" t="str">
        <f>'A) Base RI'!B37</f>
        <v>Saubraz</v>
      </c>
      <c r="C35" s="95">
        <f>'B) D RI'!U37</f>
        <v>13391.905875</v>
      </c>
      <c r="D35" s="110">
        <f>'E) Fact soc'!G41/C35</f>
        <v>17.544419277173059</v>
      </c>
      <c r="E35" s="136">
        <f>'H) Péréquation directe'!I46/C35</f>
        <v>2.3259519724452975</v>
      </c>
      <c r="F35" s="110"/>
      <c r="G35" s="136">
        <f t="shared" si="1"/>
        <v>19.870371249618358</v>
      </c>
      <c r="H35" s="110">
        <f t="shared" si="2"/>
        <v>19.870371249618358</v>
      </c>
      <c r="I35" s="136">
        <f t="shared" si="3"/>
        <v>0</v>
      </c>
      <c r="J35" s="55">
        <f t="shared" si="4"/>
        <v>0</v>
      </c>
      <c r="K35" s="36"/>
    </row>
    <row r="36" spans="1:11" x14ac:dyDescent="0.25">
      <c r="A36" s="49">
        <f>'A) Base RI'!A38</f>
        <v>5451</v>
      </c>
      <c r="B36" s="293" t="str">
        <f>'A) Base RI'!B38</f>
        <v>Avenches</v>
      </c>
      <c r="C36" s="95">
        <f>'B) D RI'!U38</f>
        <v>129500.81187969925</v>
      </c>
      <c r="D36" s="110">
        <f>'E) Fact soc'!G42/C36</f>
        <v>17.177547280869035</v>
      </c>
      <c r="E36" s="136">
        <f>'H) Péréquation directe'!I47/C36</f>
        <v>-4.1982146294440019</v>
      </c>
      <c r="F36" s="110"/>
      <c r="G36" s="136">
        <f t="shared" si="1"/>
        <v>12.979332651425032</v>
      </c>
      <c r="H36" s="110">
        <f t="shared" si="2"/>
        <v>12.979332651425032</v>
      </c>
      <c r="I36" s="136">
        <f t="shared" si="3"/>
        <v>0</v>
      </c>
      <c r="J36" s="55">
        <f t="shared" si="4"/>
        <v>0</v>
      </c>
      <c r="K36" s="36"/>
    </row>
    <row r="37" spans="1:11" x14ac:dyDescent="0.25">
      <c r="A37" s="49">
        <f>'A) Base RI'!A39</f>
        <v>5456</v>
      </c>
      <c r="B37" s="293" t="str">
        <f>'A) Base RI'!B39</f>
        <v>Cudrefin</v>
      </c>
      <c r="C37" s="95">
        <f>'B) D RI'!U39</f>
        <v>64226.933276836171</v>
      </c>
      <c r="D37" s="110">
        <f>'E) Fact soc'!G43/C37</f>
        <v>16.371815129232321</v>
      </c>
      <c r="E37" s="136">
        <f>'H) Péréquation directe'!I48/C37</f>
        <v>8.8091786679962567</v>
      </c>
      <c r="F37" s="110"/>
      <c r="G37" s="136">
        <f t="shared" si="1"/>
        <v>25.180993797228577</v>
      </c>
      <c r="H37" s="110">
        <f t="shared" si="2"/>
        <v>25.180993797228577</v>
      </c>
      <c r="I37" s="136">
        <f t="shared" si="3"/>
        <v>0</v>
      </c>
      <c r="J37" s="55">
        <f t="shared" si="4"/>
        <v>0</v>
      </c>
      <c r="K37" s="36"/>
    </row>
    <row r="38" spans="1:11" x14ac:dyDescent="0.25">
      <c r="A38" s="49">
        <f>'A) Base RI'!A40</f>
        <v>5458</v>
      </c>
      <c r="B38" s="293" t="str">
        <f>'A) Base RI'!B40</f>
        <v>Faoug</v>
      </c>
      <c r="C38" s="95">
        <f>'B) D RI'!U40</f>
        <v>32198.404090909091</v>
      </c>
      <c r="D38" s="110">
        <f>'E) Fact soc'!G44/C38</f>
        <v>16.093671472716231</v>
      </c>
      <c r="E38" s="136">
        <f>'H) Péréquation directe'!I49/C38</f>
        <v>10.683976317416285</v>
      </c>
      <c r="F38" s="110"/>
      <c r="G38" s="136">
        <f t="shared" si="1"/>
        <v>26.777647790132516</v>
      </c>
      <c r="H38" s="110">
        <f t="shared" si="2"/>
        <v>26.777647790132516</v>
      </c>
      <c r="I38" s="136">
        <f t="shared" si="3"/>
        <v>0</v>
      </c>
      <c r="J38" s="55">
        <f t="shared" si="4"/>
        <v>0</v>
      </c>
      <c r="K38" s="36"/>
    </row>
    <row r="39" spans="1:11" x14ac:dyDescent="0.25">
      <c r="A39" s="49">
        <f>'A) Base RI'!A41</f>
        <v>5464</v>
      </c>
      <c r="B39" s="293" t="str">
        <f>'A) Base RI'!B41</f>
        <v>Vully-les-Lacs</v>
      </c>
      <c r="C39" s="95">
        <f>'B) D RI'!U41</f>
        <v>111597.31895522389</v>
      </c>
      <c r="D39" s="110">
        <f>'E) Fact soc'!G45/C39</f>
        <v>15.611241592488225</v>
      </c>
      <c r="E39" s="136">
        <f>'H) Péréquation directe'!I50/C39</f>
        <v>2.5908097201002001</v>
      </c>
      <c r="F39" s="110"/>
      <c r="G39" s="136">
        <f t="shared" si="1"/>
        <v>18.202051312588424</v>
      </c>
      <c r="H39" s="110">
        <f t="shared" si="2"/>
        <v>18.202051312588424</v>
      </c>
      <c r="I39" s="136">
        <f t="shared" si="3"/>
        <v>0</v>
      </c>
      <c r="J39" s="55">
        <f t="shared" si="4"/>
        <v>0</v>
      </c>
      <c r="K39" s="36"/>
    </row>
    <row r="40" spans="1:11" x14ac:dyDescent="0.25">
      <c r="A40" s="49">
        <f>'A) Base RI'!A42</f>
        <v>5471</v>
      </c>
      <c r="B40" s="293" t="str">
        <f>'A) Base RI'!B42</f>
        <v>Bettens</v>
      </c>
      <c r="C40" s="95">
        <f>'B) D RI'!U42</f>
        <v>20385.282730158731</v>
      </c>
      <c r="D40" s="110">
        <f>'E) Fact soc'!G46/C40</f>
        <v>15.25967800283188</v>
      </c>
      <c r="E40" s="136">
        <f>'H) Péréquation directe'!I51/C40</f>
        <v>5.8797812875816557</v>
      </c>
      <c r="F40" s="110"/>
      <c r="G40" s="136">
        <f t="shared" si="1"/>
        <v>21.139459290413534</v>
      </c>
      <c r="H40" s="110">
        <f t="shared" si="2"/>
        <v>21.139459290413534</v>
      </c>
      <c r="I40" s="136">
        <f t="shared" si="3"/>
        <v>0</v>
      </c>
      <c r="J40" s="55">
        <f t="shared" si="4"/>
        <v>0</v>
      </c>
      <c r="K40" s="36"/>
    </row>
    <row r="41" spans="1:11" x14ac:dyDescent="0.25">
      <c r="A41" s="49">
        <f>'A) Base RI'!A43</f>
        <v>5472</v>
      </c>
      <c r="B41" s="293" t="str">
        <f>'A) Base RI'!B43</f>
        <v>Bournens</v>
      </c>
      <c r="C41" s="95">
        <f>'B) D RI'!U43</f>
        <v>20143.161388888886</v>
      </c>
      <c r="D41" s="110">
        <f>'E) Fact soc'!G47/C41</f>
        <v>17.856586788709993</v>
      </c>
      <c r="E41" s="136">
        <f>'H) Péréquation directe'!I52/C41</f>
        <v>13.045274302398019</v>
      </c>
      <c r="F41" s="110"/>
      <c r="G41" s="136">
        <f t="shared" si="1"/>
        <v>30.90186109110801</v>
      </c>
      <c r="H41" s="110">
        <f t="shared" si="2"/>
        <v>30.90186109110801</v>
      </c>
      <c r="I41" s="136">
        <f t="shared" si="3"/>
        <v>0</v>
      </c>
      <c r="J41" s="55">
        <f t="shared" si="4"/>
        <v>0</v>
      </c>
      <c r="K41" s="36"/>
    </row>
    <row r="42" spans="1:11" x14ac:dyDescent="0.25">
      <c r="A42" s="49">
        <f>'A) Base RI'!A44</f>
        <v>5473</v>
      </c>
      <c r="B42" s="293" t="str">
        <f>'A) Base RI'!B44</f>
        <v>Boussens</v>
      </c>
      <c r="C42" s="95">
        <f>'B) D RI'!U44</f>
        <v>37775.140592592586</v>
      </c>
      <c r="D42" s="110">
        <f>'E) Fact soc'!G48/C42</f>
        <v>14.8131928407426</v>
      </c>
      <c r="E42" s="136">
        <f>'H) Péréquation directe'!I53/C42</f>
        <v>11.34826393940469</v>
      </c>
      <c r="F42" s="110"/>
      <c r="G42" s="136">
        <f t="shared" si="1"/>
        <v>26.16145678014729</v>
      </c>
      <c r="H42" s="110">
        <f t="shared" si="2"/>
        <v>26.16145678014729</v>
      </c>
      <c r="I42" s="136">
        <f t="shared" si="3"/>
        <v>0</v>
      </c>
      <c r="J42" s="55">
        <f t="shared" si="4"/>
        <v>0</v>
      </c>
      <c r="K42" s="36"/>
    </row>
    <row r="43" spans="1:11" x14ac:dyDescent="0.25">
      <c r="A43" s="49">
        <f>'A) Base RI'!A45</f>
        <v>5474</v>
      </c>
      <c r="B43" s="293" t="str">
        <f>'A) Base RI'!B45</f>
        <v>La Chaux (Cossonay)</v>
      </c>
      <c r="C43" s="95">
        <f>'B) D RI'!U45</f>
        <v>13182.521580086577</v>
      </c>
      <c r="D43" s="110">
        <f>'E) Fact soc'!G49/C43</f>
        <v>17.645823000489376</v>
      </c>
      <c r="E43" s="136">
        <f>'H) Péréquation directe'!I54/C43</f>
        <v>5.7571501873743731</v>
      </c>
      <c r="F43" s="110"/>
      <c r="G43" s="136">
        <f t="shared" si="1"/>
        <v>23.402973187863751</v>
      </c>
      <c r="H43" s="110">
        <f t="shared" si="2"/>
        <v>23.402973187863751</v>
      </c>
      <c r="I43" s="136">
        <f t="shared" si="3"/>
        <v>0</v>
      </c>
      <c r="J43" s="55">
        <f t="shared" si="4"/>
        <v>0</v>
      </c>
      <c r="K43" s="36"/>
    </row>
    <row r="44" spans="1:11" x14ac:dyDescent="0.25">
      <c r="A44" s="49">
        <f>'A) Base RI'!A46</f>
        <v>5475</v>
      </c>
      <c r="B44" s="293" t="str">
        <f>'A) Base RI'!B46</f>
        <v>Chavannes-le-Veyron</v>
      </c>
      <c r="C44" s="95">
        <f>'B) D RI'!U46</f>
        <v>3874.6645454545451</v>
      </c>
      <c r="D44" s="110">
        <f>'E) Fact soc'!G50/C44</f>
        <v>16.56472096968146</v>
      </c>
      <c r="E44" s="136">
        <f>'H) Péréquation directe'!I55/C44</f>
        <v>-6.3942380967366166</v>
      </c>
      <c r="F44" s="110"/>
      <c r="G44" s="136">
        <f t="shared" si="1"/>
        <v>10.170482872944843</v>
      </c>
      <c r="H44" s="110">
        <f t="shared" si="2"/>
        <v>10.170482872944843</v>
      </c>
      <c r="I44" s="136">
        <f t="shared" si="3"/>
        <v>0</v>
      </c>
      <c r="J44" s="55">
        <f t="shared" si="4"/>
        <v>0</v>
      </c>
      <c r="K44" s="36"/>
    </row>
    <row r="45" spans="1:11" x14ac:dyDescent="0.25">
      <c r="A45" s="49">
        <f>'A) Base RI'!A47</f>
        <v>5476</v>
      </c>
      <c r="B45" s="293" t="str">
        <f>'A) Base RI'!B47</f>
        <v>Chevilly</v>
      </c>
      <c r="C45" s="95">
        <f>'B) D RI'!U47</f>
        <v>11839.396756756756</v>
      </c>
      <c r="D45" s="110">
        <f>'E) Fact soc'!G51/C45</f>
        <v>14.087387222166809</v>
      </c>
      <c r="E45" s="136">
        <f>'H) Péréquation directe'!I56/C45</f>
        <v>9.9481953764831168</v>
      </c>
      <c r="F45" s="110"/>
      <c r="G45" s="136">
        <f t="shared" si="1"/>
        <v>24.035582598649924</v>
      </c>
      <c r="H45" s="110">
        <f t="shared" si="2"/>
        <v>24.035582598649924</v>
      </c>
      <c r="I45" s="136">
        <f t="shared" si="3"/>
        <v>0</v>
      </c>
      <c r="J45" s="55">
        <f t="shared" si="4"/>
        <v>0</v>
      </c>
      <c r="K45" s="36"/>
    </row>
    <row r="46" spans="1:11" x14ac:dyDescent="0.25">
      <c r="A46" s="49">
        <f>'A) Base RI'!A48</f>
        <v>5477</v>
      </c>
      <c r="B46" s="293" t="str">
        <f>'A) Base RI'!B48</f>
        <v>Cossonay</v>
      </c>
      <c r="C46" s="95">
        <f>'B) D RI'!U48</f>
        <v>119154.03251798562</v>
      </c>
      <c r="D46" s="110">
        <f>'E) Fact soc'!G52/C46</f>
        <v>19.669570898407507</v>
      </c>
      <c r="E46" s="136">
        <f>'H) Péréquation directe'!I57/C46</f>
        <v>-6.0184334721490735</v>
      </c>
      <c r="F46" s="110"/>
      <c r="G46" s="136">
        <f t="shared" si="1"/>
        <v>13.651137426258433</v>
      </c>
      <c r="H46" s="110">
        <f t="shared" si="2"/>
        <v>13.651137426258433</v>
      </c>
      <c r="I46" s="136">
        <f t="shared" si="3"/>
        <v>0</v>
      </c>
      <c r="J46" s="55">
        <f t="shared" si="4"/>
        <v>0</v>
      </c>
      <c r="K46" s="36"/>
    </row>
    <row r="47" spans="1:11" x14ac:dyDescent="0.25">
      <c r="A47" s="49">
        <f>'A) Base RI'!A49</f>
        <v>5478</v>
      </c>
      <c r="B47" s="293" t="str">
        <f>'A) Base RI'!B49</f>
        <v>Cottens</v>
      </c>
      <c r="C47" s="95">
        <f>'B) D RI'!U49</f>
        <v>16291.497837837833</v>
      </c>
      <c r="D47" s="110">
        <f>'E) Fact soc'!G53/C47</f>
        <v>13.813345849746915</v>
      </c>
      <c r="E47" s="136">
        <f>'H) Péréquation directe'!I58/C47</f>
        <v>5.9714532050819376</v>
      </c>
      <c r="F47" s="110"/>
      <c r="G47" s="136">
        <f t="shared" si="1"/>
        <v>19.784799054828852</v>
      </c>
      <c r="H47" s="110">
        <f t="shared" si="2"/>
        <v>19.784799054828852</v>
      </c>
      <c r="I47" s="136">
        <f t="shared" si="3"/>
        <v>0</v>
      </c>
      <c r="J47" s="55">
        <f t="shared" si="4"/>
        <v>0</v>
      </c>
      <c r="K47" s="36"/>
    </row>
    <row r="48" spans="1:11" x14ac:dyDescent="0.25">
      <c r="A48" s="49">
        <f>'A) Base RI'!A50</f>
        <v>5479</v>
      </c>
      <c r="B48" s="293" t="str">
        <f>'A) Base RI'!B50</f>
        <v>Cuarnens</v>
      </c>
      <c r="C48" s="95">
        <f>'B) D RI'!U50</f>
        <v>18068.978311688308</v>
      </c>
      <c r="D48" s="110">
        <f>'E) Fact soc'!G54/C48</f>
        <v>18.161051708993416</v>
      </c>
      <c r="E48" s="136">
        <f>'H) Péréquation directe'!I59/C48</f>
        <v>6.3850896238518953</v>
      </c>
      <c r="F48" s="110"/>
      <c r="G48" s="136">
        <f t="shared" si="1"/>
        <v>24.546141332845309</v>
      </c>
      <c r="H48" s="110">
        <f t="shared" si="2"/>
        <v>24.546141332845309</v>
      </c>
      <c r="I48" s="136">
        <f t="shared" si="3"/>
        <v>0</v>
      </c>
      <c r="J48" s="55">
        <f t="shared" si="4"/>
        <v>0</v>
      </c>
      <c r="K48" s="36"/>
    </row>
    <row r="49" spans="1:11" x14ac:dyDescent="0.25">
      <c r="A49" s="49">
        <f>'A) Base RI'!A51</f>
        <v>5480</v>
      </c>
      <c r="B49" s="293" t="str">
        <f>'A) Base RI'!B51</f>
        <v>Daillens</v>
      </c>
      <c r="C49" s="95">
        <f>'B) D RI'!U51</f>
        <v>40977.441060606063</v>
      </c>
      <c r="D49" s="110">
        <f>'E) Fact soc'!G55/C49</f>
        <v>17.591889029431893</v>
      </c>
      <c r="E49" s="136">
        <f>'H) Péréquation directe'!I60/C49</f>
        <v>12.148155345516797</v>
      </c>
      <c r="F49" s="110"/>
      <c r="G49" s="136">
        <f t="shared" si="1"/>
        <v>29.740044374948688</v>
      </c>
      <c r="H49" s="110">
        <f t="shared" si="2"/>
        <v>29.740044374948688</v>
      </c>
      <c r="I49" s="136">
        <f t="shared" si="3"/>
        <v>0</v>
      </c>
      <c r="J49" s="55">
        <f t="shared" si="4"/>
        <v>0</v>
      </c>
      <c r="K49" s="36"/>
    </row>
    <row r="50" spans="1:11" x14ac:dyDescent="0.25">
      <c r="A50" s="49">
        <f>'A) Base RI'!A52</f>
        <v>5481</v>
      </c>
      <c r="B50" s="293" t="str">
        <f>'A) Base RI'!B52</f>
        <v>Dizy</v>
      </c>
      <c r="C50" s="95">
        <f>'B) D RI'!U52</f>
        <v>8124.1672000000008</v>
      </c>
      <c r="D50" s="110">
        <f>'E) Fact soc'!G56/C50</f>
        <v>14.000879843982304</v>
      </c>
      <c r="E50" s="136">
        <f>'H) Péréquation directe'!I61/C50</f>
        <v>8.8095921864142834</v>
      </c>
      <c r="F50" s="110"/>
      <c r="G50" s="136">
        <f t="shared" si="1"/>
        <v>22.810472030396589</v>
      </c>
      <c r="H50" s="110">
        <f t="shared" si="2"/>
        <v>22.810472030396589</v>
      </c>
      <c r="I50" s="136">
        <f t="shared" si="3"/>
        <v>0</v>
      </c>
      <c r="J50" s="55">
        <f t="shared" si="4"/>
        <v>0</v>
      </c>
      <c r="K50" s="36"/>
    </row>
    <row r="51" spans="1:11" x14ac:dyDescent="0.25">
      <c r="A51" s="49">
        <f>'A) Base RI'!A53</f>
        <v>5482</v>
      </c>
      <c r="B51" s="293" t="str">
        <f>'A) Base RI'!B53</f>
        <v>Eclépens</v>
      </c>
      <c r="C51" s="95">
        <f>'B) D RI'!U53</f>
        <v>70911.930217391302</v>
      </c>
      <c r="D51" s="110">
        <f>'E) Fact soc'!G57/C51</f>
        <v>17.302949481697095</v>
      </c>
      <c r="E51" s="136">
        <f>'H) Péréquation directe'!I62/C51</f>
        <v>16.810087426875398</v>
      </c>
      <c r="F51" s="110"/>
      <c r="G51" s="136">
        <f t="shared" si="1"/>
        <v>34.113036908572496</v>
      </c>
      <c r="H51" s="110">
        <f t="shared" si="2"/>
        <v>34.113036908572496</v>
      </c>
      <c r="I51" s="136">
        <f t="shared" si="3"/>
        <v>0</v>
      </c>
      <c r="J51" s="55">
        <f t="shared" si="4"/>
        <v>0</v>
      </c>
      <c r="K51" s="36"/>
    </row>
    <row r="52" spans="1:11" x14ac:dyDescent="0.25">
      <c r="A52" s="49">
        <f>'A) Base RI'!A54</f>
        <v>5483</v>
      </c>
      <c r="B52" s="293" t="str">
        <f>'A) Base RI'!B54</f>
        <v>Ferreyres</v>
      </c>
      <c r="C52" s="95">
        <f>'B) D RI'!U54</f>
        <v>10820.315000000001</v>
      </c>
      <c r="D52" s="110">
        <f>'E) Fact soc'!G58/C52</f>
        <v>14.415680496493961</v>
      </c>
      <c r="E52" s="136">
        <f>'H) Péréquation directe'!I63/C52</f>
        <v>6.2422899873843098</v>
      </c>
      <c r="F52" s="110"/>
      <c r="G52" s="136">
        <f t="shared" si="1"/>
        <v>20.65797048387827</v>
      </c>
      <c r="H52" s="110">
        <f t="shared" si="2"/>
        <v>20.65797048387827</v>
      </c>
      <c r="I52" s="136">
        <f t="shared" si="3"/>
        <v>0</v>
      </c>
      <c r="J52" s="55">
        <f t="shared" si="4"/>
        <v>0</v>
      </c>
      <c r="K52" s="36"/>
    </row>
    <row r="53" spans="1:11" x14ac:dyDescent="0.25">
      <c r="A53" s="49">
        <f>'A) Base RI'!A55</f>
        <v>5484</v>
      </c>
      <c r="B53" s="293" t="str">
        <f>'A) Base RI'!B55</f>
        <v>Gollion</v>
      </c>
      <c r="C53" s="95">
        <f>'B) D RI'!U55</f>
        <v>34996.98554054054</v>
      </c>
      <c r="D53" s="110">
        <f>'E) Fact soc'!G59/C53</f>
        <v>16.739837407412544</v>
      </c>
      <c r="E53" s="136">
        <f>'H) Péréquation directe'!I64/C53</f>
        <v>7.9564217950007148</v>
      </c>
      <c r="F53" s="110"/>
      <c r="G53" s="136">
        <f t="shared" si="1"/>
        <v>24.696259202413259</v>
      </c>
      <c r="H53" s="110">
        <f t="shared" si="2"/>
        <v>24.696259202413259</v>
      </c>
      <c r="I53" s="136">
        <f t="shared" si="3"/>
        <v>0</v>
      </c>
      <c r="J53" s="55">
        <f t="shared" si="4"/>
        <v>0</v>
      </c>
      <c r="K53" s="36"/>
    </row>
    <row r="54" spans="1:11" x14ac:dyDescent="0.25">
      <c r="A54" s="49">
        <f>'A) Base RI'!A56</f>
        <v>5485</v>
      </c>
      <c r="B54" s="293" t="str">
        <f>'A) Base RI'!B56</f>
        <v>Grancy</v>
      </c>
      <c r="C54" s="95">
        <f>'B) D RI'!U56</f>
        <v>14542.352714285715</v>
      </c>
      <c r="D54" s="110">
        <f>'E) Fact soc'!G60/C54</f>
        <v>19.120336447089279</v>
      </c>
      <c r="E54" s="136">
        <f>'H) Péréquation directe'!I65/C54</f>
        <v>9.3933228439114735</v>
      </c>
      <c r="F54" s="110"/>
      <c r="G54" s="136">
        <f t="shared" si="1"/>
        <v>28.513659291000753</v>
      </c>
      <c r="H54" s="110">
        <f t="shared" si="2"/>
        <v>28.513659291000753</v>
      </c>
      <c r="I54" s="136">
        <f t="shared" si="3"/>
        <v>0</v>
      </c>
      <c r="J54" s="55">
        <f t="shared" si="4"/>
        <v>0</v>
      </c>
      <c r="K54" s="36"/>
    </row>
    <row r="55" spans="1:11" x14ac:dyDescent="0.25">
      <c r="A55" s="49">
        <f>'A) Base RI'!A57</f>
        <v>5486</v>
      </c>
      <c r="B55" s="293" t="str">
        <f>'A) Base RI'!B57</f>
        <v>L'Isle</v>
      </c>
      <c r="C55" s="95">
        <f>'B) D RI'!U57</f>
        <v>37459.560399999995</v>
      </c>
      <c r="D55" s="110">
        <f>'E) Fact soc'!G61/C55</f>
        <v>15.456934724087658</v>
      </c>
      <c r="E55" s="136">
        <f>'H) Péréquation directe'!I66/C55</f>
        <v>7.3824144501980049</v>
      </c>
      <c r="F55" s="110"/>
      <c r="G55" s="136">
        <f t="shared" si="1"/>
        <v>22.839349174285662</v>
      </c>
      <c r="H55" s="110">
        <f t="shared" si="2"/>
        <v>22.839349174285662</v>
      </c>
      <c r="I55" s="136">
        <f t="shared" si="3"/>
        <v>0</v>
      </c>
      <c r="J55" s="55">
        <f t="shared" si="4"/>
        <v>0</v>
      </c>
      <c r="K55" s="36"/>
    </row>
    <row r="56" spans="1:11" x14ac:dyDescent="0.25">
      <c r="A56" s="49">
        <f>'A) Base RI'!A58</f>
        <v>5487</v>
      </c>
      <c r="B56" s="293" t="str">
        <f>'A) Base RI'!B58</f>
        <v>Lussery-Villars</v>
      </c>
      <c r="C56" s="95">
        <f>'B) D RI'!U58</f>
        <v>12889.865466666668</v>
      </c>
      <c r="D56" s="110">
        <f>'E) Fact soc'!G62/C56</f>
        <v>14.732314445015099</v>
      </c>
      <c r="E56" s="136">
        <f>'H) Péréquation directe'!I67/C56</f>
        <v>-0.92482470581230403</v>
      </c>
      <c r="F56" s="110"/>
      <c r="G56" s="136">
        <f t="shared" si="1"/>
        <v>13.807489739202795</v>
      </c>
      <c r="H56" s="110">
        <f t="shared" si="2"/>
        <v>13.807489739202795</v>
      </c>
      <c r="I56" s="136">
        <f t="shared" si="3"/>
        <v>0</v>
      </c>
      <c r="J56" s="55">
        <f t="shared" si="4"/>
        <v>0</v>
      </c>
      <c r="K56" s="36"/>
    </row>
    <row r="57" spans="1:11" x14ac:dyDescent="0.25">
      <c r="A57" s="49">
        <f>'A) Base RI'!A59</f>
        <v>5488</v>
      </c>
      <c r="B57" s="293" t="str">
        <f>'A) Base RI'!B59</f>
        <v>Mauraz</v>
      </c>
      <c r="C57" s="95">
        <f>'B) D RI'!U59</f>
        <v>1632.1631168831173</v>
      </c>
      <c r="D57" s="110">
        <f>'E) Fact soc'!G63/C57</f>
        <v>13.52861297581642</v>
      </c>
      <c r="E57" s="136">
        <f>'H) Péréquation directe'!I68/C57</f>
        <v>-1.7037843333585236</v>
      </c>
      <c r="F57" s="110"/>
      <c r="G57" s="136">
        <f t="shared" si="1"/>
        <v>11.824828642457897</v>
      </c>
      <c r="H57" s="110">
        <f t="shared" si="2"/>
        <v>11.824828642457897</v>
      </c>
      <c r="I57" s="136">
        <f t="shared" si="3"/>
        <v>0</v>
      </c>
      <c r="J57" s="55">
        <f t="shared" si="4"/>
        <v>0</v>
      </c>
      <c r="K57" s="36"/>
    </row>
    <row r="58" spans="1:11" x14ac:dyDescent="0.25">
      <c r="A58" s="49">
        <f>'A) Base RI'!A60</f>
        <v>5489</v>
      </c>
      <c r="B58" s="293" t="str">
        <f>'A) Base RI'!B60</f>
        <v>Mex</v>
      </c>
      <c r="C58" s="95">
        <f>'B) D RI'!U60</f>
        <v>57496.164201680658</v>
      </c>
      <c r="D58" s="110">
        <f>'E) Fact soc'!G64/C58</f>
        <v>24.124618438580768</v>
      </c>
      <c r="E58" s="136">
        <f>'H) Péréquation directe'!I69/C58</f>
        <v>17.929925469660265</v>
      </c>
      <c r="F58" s="110"/>
      <c r="G58" s="136">
        <f t="shared" si="1"/>
        <v>42.05454390824103</v>
      </c>
      <c r="H58" s="110">
        <f t="shared" si="2"/>
        <v>42.05454390824103</v>
      </c>
      <c r="I58" s="136">
        <f t="shared" si="3"/>
        <v>0</v>
      </c>
      <c r="J58" s="55">
        <f t="shared" si="4"/>
        <v>0</v>
      </c>
      <c r="K58" s="36"/>
    </row>
    <row r="59" spans="1:11" x14ac:dyDescent="0.25">
      <c r="A59" s="49">
        <f>'A) Base RI'!A61</f>
        <v>5490</v>
      </c>
      <c r="B59" s="293" t="str">
        <f>'A) Base RI'!B61</f>
        <v>Moiry</v>
      </c>
      <c r="C59" s="95">
        <f>'B) D RI'!U61</f>
        <v>8655.909290322581</v>
      </c>
      <c r="D59" s="110">
        <f>'E) Fact soc'!G65/C59</f>
        <v>15.81909157662222</v>
      </c>
      <c r="E59" s="136">
        <f>'H) Péréquation directe'!I70/C59</f>
        <v>-2.4300574703010449</v>
      </c>
      <c r="F59" s="110"/>
      <c r="G59" s="136">
        <f t="shared" si="1"/>
        <v>13.389034106321176</v>
      </c>
      <c r="H59" s="110">
        <f t="shared" si="2"/>
        <v>13.389034106321176</v>
      </c>
      <c r="I59" s="136">
        <f t="shared" si="3"/>
        <v>0</v>
      </c>
      <c r="J59" s="55">
        <f t="shared" si="4"/>
        <v>0</v>
      </c>
      <c r="K59" s="36"/>
    </row>
    <row r="60" spans="1:11" x14ac:dyDescent="0.25">
      <c r="A60" s="49">
        <f>'A) Base RI'!A62</f>
        <v>5491</v>
      </c>
      <c r="B60" s="293" t="str">
        <f>'A) Base RI'!B62</f>
        <v>Mont-la-Ville</v>
      </c>
      <c r="C60" s="95">
        <f>'B) D RI'!U62</f>
        <v>14323.284736842104</v>
      </c>
      <c r="D60" s="110">
        <f>'E) Fact soc'!G66/C60</f>
        <v>16.815110861243394</v>
      </c>
      <c r="E60" s="136">
        <f>'H) Péréquation directe'!I71/C60</f>
        <v>0.37741977917126895</v>
      </c>
      <c r="F60" s="110"/>
      <c r="G60" s="136">
        <f t="shared" si="1"/>
        <v>17.192530640414663</v>
      </c>
      <c r="H60" s="110">
        <f t="shared" si="2"/>
        <v>17.192530640414663</v>
      </c>
      <c r="I60" s="136">
        <f t="shared" si="3"/>
        <v>0</v>
      </c>
      <c r="J60" s="55">
        <f t="shared" si="4"/>
        <v>0</v>
      </c>
      <c r="K60" s="36"/>
    </row>
    <row r="61" spans="1:11" x14ac:dyDescent="0.25">
      <c r="A61" s="49">
        <f>'A) Base RI'!A63</f>
        <v>5492</v>
      </c>
      <c r="B61" s="293" t="str">
        <f>'A) Base RI'!B63</f>
        <v>Montricher</v>
      </c>
      <c r="C61" s="95">
        <f>'B) D RI'!U63</f>
        <v>157154.96692708335</v>
      </c>
      <c r="D61" s="110">
        <f>'E) Fact soc'!G67/C61</f>
        <v>34.615005881546132</v>
      </c>
      <c r="E61" s="136">
        <f>'H) Péréquation directe'!I72/C61</f>
        <v>18.87517692943436</v>
      </c>
      <c r="F61" s="110"/>
      <c r="G61" s="136">
        <f t="shared" si="1"/>
        <v>53.490182810980492</v>
      </c>
      <c r="H61" s="110">
        <f t="shared" si="2"/>
        <v>53.490182810980492</v>
      </c>
      <c r="I61" s="136">
        <f t="shared" si="3"/>
        <v>0</v>
      </c>
      <c r="J61" s="55">
        <f t="shared" si="4"/>
        <v>0</v>
      </c>
      <c r="K61" s="36"/>
    </row>
    <row r="62" spans="1:11" x14ac:dyDescent="0.25">
      <c r="A62" s="49">
        <f>'A) Base RI'!A64</f>
        <v>5493</v>
      </c>
      <c r="B62" s="293" t="str">
        <f>'A) Base RI'!B64</f>
        <v>Orny</v>
      </c>
      <c r="C62" s="95">
        <f>'B) D RI'!U64</f>
        <v>12885.017723919913</v>
      </c>
      <c r="D62" s="110">
        <f>'E) Fact soc'!G68/C62</f>
        <v>19.990204398033814</v>
      </c>
      <c r="E62" s="136">
        <f>'H) Péréquation directe'!I73/C62</f>
        <v>-0.35935712629024469</v>
      </c>
      <c r="F62" s="110"/>
      <c r="G62" s="136">
        <f t="shared" si="1"/>
        <v>19.630847271743569</v>
      </c>
      <c r="H62" s="110">
        <f t="shared" si="2"/>
        <v>19.630847271743569</v>
      </c>
      <c r="I62" s="136">
        <f t="shared" si="3"/>
        <v>0</v>
      </c>
      <c r="J62" s="55">
        <f t="shared" si="4"/>
        <v>0</v>
      </c>
      <c r="K62" s="36"/>
    </row>
    <row r="63" spans="1:11" x14ac:dyDescent="0.25">
      <c r="A63" s="49">
        <f>'A) Base RI'!A65</f>
        <v>5494</v>
      </c>
      <c r="B63" s="293" t="str">
        <f>'A) Base RI'!B65</f>
        <v>Pampigny</v>
      </c>
      <c r="C63" s="95">
        <f>'B) D RI'!U65</f>
        <v>36607.87342465754</v>
      </c>
      <c r="D63" s="110">
        <f>'E) Fact soc'!G69/C63</f>
        <v>16.390051245799185</v>
      </c>
      <c r="E63" s="136">
        <f>'H) Péréquation directe'!I74/C63</f>
        <v>4.6790839038435283</v>
      </c>
      <c r="F63" s="110"/>
      <c r="G63" s="136">
        <f t="shared" si="1"/>
        <v>21.069135149642712</v>
      </c>
      <c r="H63" s="110">
        <f t="shared" si="2"/>
        <v>21.069135149642712</v>
      </c>
      <c r="I63" s="136">
        <f t="shared" si="3"/>
        <v>0</v>
      </c>
      <c r="J63" s="55">
        <f t="shared" si="4"/>
        <v>0</v>
      </c>
      <c r="K63" s="36"/>
    </row>
    <row r="64" spans="1:11" x14ac:dyDescent="0.25">
      <c r="A64" s="49">
        <f>'A) Base RI'!A66</f>
        <v>5495</v>
      </c>
      <c r="B64" s="293" t="str">
        <f>'A) Base RI'!B66</f>
        <v>Penthalaz</v>
      </c>
      <c r="C64" s="95">
        <f>'B) D RI'!U66</f>
        <v>93361.472702702697</v>
      </c>
      <c r="D64" s="110">
        <f>'E) Fact soc'!G70/C64</f>
        <v>16.619127795765774</v>
      </c>
      <c r="E64" s="136">
        <f>'H) Péréquation directe'!I75/C64</f>
        <v>-4.6144912730730434</v>
      </c>
      <c r="F64" s="110"/>
      <c r="G64" s="136">
        <f t="shared" si="1"/>
        <v>12.004636522692731</v>
      </c>
      <c r="H64" s="110">
        <f t="shared" si="2"/>
        <v>12.004636522692731</v>
      </c>
      <c r="I64" s="136">
        <f t="shared" si="3"/>
        <v>0</v>
      </c>
      <c r="J64" s="55">
        <f t="shared" si="4"/>
        <v>0</v>
      </c>
      <c r="K64" s="36"/>
    </row>
    <row r="65" spans="1:11" x14ac:dyDescent="0.25">
      <c r="A65" s="49">
        <f>'A) Base RI'!A67</f>
        <v>5496</v>
      </c>
      <c r="B65" s="293" t="str">
        <f>'A) Base RI'!B67</f>
        <v>Penthaz</v>
      </c>
      <c r="C65" s="95">
        <f>'B) D RI'!U67</f>
        <v>60131.11913669065</v>
      </c>
      <c r="D65" s="110">
        <f>'E) Fact soc'!G71/C65</f>
        <v>16.52317922678991</v>
      </c>
      <c r="E65" s="136">
        <f>'H) Péréquation directe'!I76/C65</f>
        <v>3.2168708040346181</v>
      </c>
      <c r="F65" s="110"/>
      <c r="G65" s="136">
        <f t="shared" si="1"/>
        <v>19.740050030824527</v>
      </c>
      <c r="H65" s="110">
        <f t="shared" si="2"/>
        <v>19.740050030824527</v>
      </c>
      <c r="I65" s="136">
        <f t="shared" si="3"/>
        <v>0</v>
      </c>
      <c r="J65" s="55">
        <f t="shared" si="4"/>
        <v>0</v>
      </c>
      <c r="K65" s="36"/>
    </row>
    <row r="66" spans="1:11" x14ac:dyDescent="0.25">
      <c r="A66" s="49">
        <f>'A) Base RI'!A68</f>
        <v>5497</v>
      </c>
      <c r="B66" s="293" t="str">
        <f>'A) Base RI'!B68</f>
        <v>Pompaples</v>
      </c>
      <c r="C66" s="95">
        <f>'B) D RI'!U68</f>
        <v>20396.986060606061</v>
      </c>
      <c r="D66" s="110">
        <f>'E) Fact soc'!G72/C66</f>
        <v>17.465317387017752</v>
      </c>
      <c r="E66" s="136">
        <f>'H) Péréquation directe'!I77/C66</f>
        <v>-2.9970220742124627</v>
      </c>
      <c r="F66" s="110"/>
      <c r="G66" s="136">
        <f t="shared" si="1"/>
        <v>14.468295312805289</v>
      </c>
      <c r="H66" s="110">
        <f t="shared" si="2"/>
        <v>14.468295312805289</v>
      </c>
      <c r="I66" s="136">
        <f t="shared" si="3"/>
        <v>0</v>
      </c>
      <c r="J66" s="55">
        <f t="shared" si="4"/>
        <v>0</v>
      </c>
      <c r="K66" s="36"/>
    </row>
    <row r="67" spans="1:11" x14ac:dyDescent="0.25">
      <c r="A67" s="49">
        <f>'A) Base RI'!A69</f>
        <v>5498</v>
      </c>
      <c r="B67" s="293" t="str">
        <f>'A) Base RI'!B69</f>
        <v>La Sarraz</v>
      </c>
      <c r="C67" s="95">
        <f>'B) D RI'!U69</f>
        <v>77508.241969696974</v>
      </c>
      <c r="D67" s="110">
        <f>'E) Fact soc'!G73/C67</f>
        <v>15.729216494429123</v>
      </c>
      <c r="E67" s="136">
        <f>'H) Péréquation directe'!I78/C67</f>
        <v>0.13506814437656678</v>
      </c>
      <c r="F67" s="110"/>
      <c r="G67" s="136">
        <f t="shared" si="1"/>
        <v>15.864284638805689</v>
      </c>
      <c r="H67" s="110">
        <f t="shared" si="2"/>
        <v>15.864284638805689</v>
      </c>
      <c r="I67" s="136">
        <f t="shared" si="3"/>
        <v>0</v>
      </c>
      <c r="J67" s="55">
        <f t="shared" si="4"/>
        <v>0</v>
      </c>
      <c r="K67" s="36"/>
    </row>
    <row r="68" spans="1:11" x14ac:dyDescent="0.25">
      <c r="A68" s="49">
        <f>'A) Base RI'!A70</f>
        <v>5499</v>
      </c>
      <c r="B68" s="293" t="str">
        <f>'A) Base RI'!B70</f>
        <v>Senarclens</v>
      </c>
      <c r="C68" s="95">
        <f>'B) D RI'!U70</f>
        <v>19654.447445255475</v>
      </c>
      <c r="D68" s="110">
        <f>'E) Fact soc'!G74/C68</f>
        <v>19.913336095076254</v>
      </c>
      <c r="E68" s="136">
        <f>'H) Péréquation directe'!I79/C68</f>
        <v>12.44607459867194</v>
      </c>
      <c r="F68" s="110"/>
      <c r="G68" s="136">
        <f t="shared" si="1"/>
        <v>32.359410693748195</v>
      </c>
      <c r="H68" s="110">
        <f t="shared" si="2"/>
        <v>32.359410693748195</v>
      </c>
      <c r="I68" s="136">
        <f t="shared" si="3"/>
        <v>0</v>
      </c>
      <c r="J68" s="55">
        <f t="shared" si="4"/>
        <v>0</v>
      </c>
      <c r="K68" s="36"/>
    </row>
    <row r="69" spans="1:11" x14ac:dyDescent="0.25">
      <c r="A69" s="49">
        <f>'A) Base RI'!A71</f>
        <v>5500</v>
      </c>
      <c r="B69" s="293" t="str">
        <f>'A) Base RI'!B71</f>
        <v>Sévery</v>
      </c>
      <c r="C69" s="95">
        <f>'B) D RI'!U71</f>
        <v>7516.1401369863015</v>
      </c>
      <c r="D69" s="110">
        <f>'E) Fact soc'!G75/C69</f>
        <v>15.370419374805497</v>
      </c>
      <c r="E69" s="136">
        <f>'H) Péréquation directe'!I80/C69</f>
        <v>8.1608317107837713</v>
      </c>
      <c r="F69" s="110"/>
      <c r="G69" s="136">
        <f t="shared" si="1"/>
        <v>23.531251085589268</v>
      </c>
      <c r="H69" s="110">
        <f t="shared" si="2"/>
        <v>23.531251085589268</v>
      </c>
      <c r="I69" s="136">
        <f t="shared" si="3"/>
        <v>0</v>
      </c>
      <c r="J69" s="55">
        <f t="shared" si="4"/>
        <v>0</v>
      </c>
      <c r="K69" s="36"/>
    </row>
    <row r="70" spans="1:11" x14ac:dyDescent="0.25">
      <c r="A70" s="49">
        <f>'A) Base RI'!A72</f>
        <v>5501</v>
      </c>
      <c r="B70" s="293" t="str">
        <f>'A) Base RI'!B72</f>
        <v>Sullens</v>
      </c>
      <c r="C70" s="95">
        <f>'B) D RI'!U72</f>
        <v>41921.141459854021</v>
      </c>
      <c r="D70" s="110">
        <f>'E) Fact soc'!G76/C70</f>
        <v>89.576314302198696</v>
      </c>
      <c r="E70" s="136">
        <f>'H) Péréquation directe'!I81/C70</f>
        <v>12.643933839257377</v>
      </c>
      <c r="F70" s="110"/>
      <c r="G70" s="136">
        <f t="shared" ref="G70:G133" si="5">SUM(D70:F70)</f>
        <v>102.22024814145607</v>
      </c>
      <c r="H70" s="110">
        <f t="shared" ref="H70:H133" si="6">G70-F70</f>
        <v>102.22024814145607</v>
      </c>
      <c r="I70" s="136">
        <f t="shared" ref="I70:I133" si="7">IF(H70&lt;I$4,H70-I$4,0)</f>
        <v>0</v>
      </c>
      <c r="J70" s="55">
        <f t="shared" ref="J70:J133" si="8">-I70*C70</f>
        <v>0</v>
      </c>
      <c r="K70" s="36"/>
    </row>
    <row r="71" spans="1:11" x14ac:dyDescent="0.25">
      <c r="A71" s="49">
        <f>'A) Base RI'!A73</f>
        <v>5503</v>
      </c>
      <c r="B71" s="293" t="str">
        <f>'A) Base RI'!B73</f>
        <v>Vufflens-la-Ville</v>
      </c>
      <c r="C71" s="95">
        <f>'B) D RI'!U73</f>
        <v>67911.005771144279</v>
      </c>
      <c r="D71" s="110">
        <f>'E) Fact soc'!G77/C71</f>
        <v>16.267515324119394</v>
      </c>
      <c r="E71" s="136">
        <f>'H) Péréquation directe'!I82/C71</f>
        <v>16.02573349497673</v>
      </c>
      <c r="F71" s="110"/>
      <c r="G71" s="136">
        <f t="shared" si="5"/>
        <v>32.293248819096121</v>
      </c>
      <c r="H71" s="110">
        <f t="shared" si="6"/>
        <v>32.293248819096121</v>
      </c>
      <c r="I71" s="136">
        <f t="shared" si="7"/>
        <v>0</v>
      </c>
      <c r="J71" s="55">
        <f t="shared" si="8"/>
        <v>0</v>
      </c>
      <c r="K71" s="36"/>
    </row>
    <row r="72" spans="1:11" x14ac:dyDescent="0.25">
      <c r="A72" s="49">
        <f>'A) Base RI'!A74</f>
        <v>5511</v>
      </c>
      <c r="B72" s="293" t="str">
        <f>'A) Base RI'!B74</f>
        <v>Assens</v>
      </c>
      <c r="C72" s="95">
        <f>'B) D RI'!U74</f>
        <v>44474.742571428564</v>
      </c>
      <c r="D72" s="110">
        <f>'E) Fact soc'!G78/C72</f>
        <v>14.975909492409444</v>
      </c>
      <c r="E72" s="136">
        <f>'H) Péréquation directe'!I83/C72</f>
        <v>11.109953494489432</v>
      </c>
      <c r="F72" s="110"/>
      <c r="G72" s="136">
        <f t="shared" si="5"/>
        <v>26.085862986898874</v>
      </c>
      <c r="H72" s="110">
        <f t="shared" si="6"/>
        <v>26.085862986898874</v>
      </c>
      <c r="I72" s="136">
        <f t="shared" si="7"/>
        <v>0</v>
      </c>
      <c r="J72" s="55">
        <f t="shared" si="8"/>
        <v>0</v>
      </c>
      <c r="K72" s="36"/>
    </row>
    <row r="73" spans="1:11" x14ac:dyDescent="0.25">
      <c r="A73" s="49">
        <f>'A) Base RI'!A75</f>
        <v>5512</v>
      </c>
      <c r="B73" s="293" t="str">
        <f>'A) Base RI'!B75</f>
        <v>Bercher</v>
      </c>
      <c r="C73" s="95">
        <f>'B) D RI'!U75</f>
        <v>40313.482784810127</v>
      </c>
      <c r="D73" s="110">
        <f>'E) Fact soc'!G79/C73</f>
        <v>15.6168506864942</v>
      </c>
      <c r="E73" s="136">
        <f>'H) Péréquation directe'!I84/C73</f>
        <v>-0.76777931709453207</v>
      </c>
      <c r="F73" s="110"/>
      <c r="G73" s="136">
        <f t="shared" si="5"/>
        <v>14.849071369399667</v>
      </c>
      <c r="H73" s="110">
        <f t="shared" si="6"/>
        <v>14.849071369399667</v>
      </c>
      <c r="I73" s="136">
        <f t="shared" si="7"/>
        <v>0</v>
      </c>
      <c r="J73" s="55">
        <f t="shared" si="8"/>
        <v>0</v>
      </c>
      <c r="K73" s="36"/>
    </row>
    <row r="74" spans="1:11" x14ac:dyDescent="0.25">
      <c r="A74" s="49">
        <f>'A) Base RI'!A76</f>
        <v>5513</v>
      </c>
      <c r="B74" s="293" t="str">
        <f>'A) Base RI'!B76</f>
        <v>Bioley-Orjulaz</v>
      </c>
      <c r="C74" s="95">
        <f>'B) D RI'!U76</f>
        <v>22644.962352941177</v>
      </c>
      <c r="D74" s="110">
        <f>'E) Fact soc'!G80/C74</f>
        <v>19.159106990898753</v>
      </c>
      <c r="E74" s="136">
        <f>'H) Péréquation directe'!I85/C74</f>
        <v>14.593485602953294</v>
      </c>
      <c r="F74" s="110"/>
      <c r="G74" s="136">
        <f t="shared" si="5"/>
        <v>33.752592593852043</v>
      </c>
      <c r="H74" s="110">
        <f t="shared" si="6"/>
        <v>33.752592593852043</v>
      </c>
      <c r="I74" s="136">
        <f t="shared" si="7"/>
        <v>0</v>
      </c>
      <c r="J74" s="55">
        <f t="shared" si="8"/>
        <v>0</v>
      </c>
      <c r="K74" s="36"/>
    </row>
    <row r="75" spans="1:11" x14ac:dyDescent="0.25">
      <c r="A75" s="49">
        <f>'A) Base RI'!A77</f>
        <v>5514</v>
      </c>
      <c r="B75" s="293" t="str">
        <f>'A) Base RI'!B77</f>
        <v>Bottens</v>
      </c>
      <c r="C75" s="95">
        <f>'B) D RI'!U77</f>
        <v>44190.368827586208</v>
      </c>
      <c r="D75" s="110">
        <f>'E) Fact soc'!G81/C75</f>
        <v>15.639341342079183</v>
      </c>
      <c r="E75" s="136">
        <f>'H) Péréquation directe'!I86/C75</f>
        <v>4.7502761246688765</v>
      </c>
      <c r="F75" s="110"/>
      <c r="G75" s="136">
        <f t="shared" si="5"/>
        <v>20.38961746674806</v>
      </c>
      <c r="H75" s="110">
        <f t="shared" si="6"/>
        <v>20.38961746674806</v>
      </c>
      <c r="I75" s="136">
        <f t="shared" si="7"/>
        <v>0</v>
      </c>
      <c r="J75" s="55">
        <f t="shared" si="8"/>
        <v>0</v>
      </c>
      <c r="K75" s="36"/>
    </row>
    <row r="76" spans="1:11" x14ac:dyDescent="0.25">
      <c r="A76" s="49">
        <f>'A) Base RI'!A78</f>
        <v>5515</v>
      </c>
      <c r="B76" s="293" t="str">
        <f>'A) Base RI'!B78</f>
        <v>Bretigny-sur-Morrens</v>
      </c>
      <c r="C76" s="95">
        <f>'B) D RI'!U78</f>
        <v>29586.483086419765</v>
      </c>
      <c r="D76" s="110">
        <f>'E) Fact soc'!G82/C76</f>
        <v>17.544176591572167</v>
      </c>
      <c r="E76" s="136">
        <f>'H) Péréquation directe'!I87/C76</f>
        <v>5.5425494094639607</v>
      </c>
      <c r="F76" s="110"/>
      <c r="G76" s="136">
        <f t="shared" si="5"/>
        <v>23.086726001036126</v>
      </c>
      <c r="H76" s="110">
        <f t="shared" si="6"/>
        <v>23.086726001036126</v>
      </c>
      <c r="I76" s="136">
        <f t="shared" si="7"/>
        <v>0</v>
      </c>
      <c r="J76" s="55">
        <f t="shared" si="8"/>
        <v>0</v>
      </c>
      <c r="K76" s="36"/>
    </row>
    <row r="77" spans="1:11" x14ac:dyDescent="0.25">
      <c r="A77" s="49">
        <f>'A) Base RI'!A79</f>
        <v>5516</v>
      </c>
      <c r="B77" s="293" t="str">
        <f>'A) Base RI'!B79</f>
        <v>Cugy</v>
      </c>
      <c r="C77" s="95">
        <f>'B) D RI'!U79</f>
        <v>107062.26318376069</v>
      </c>
      <c r="D77" s="110">
        <f>'E) Fact soc'!G83/C77</f>
        <v>17.142432107735218</v>
      </c>
      <c r="E77" s="136">
        <f>'H) Péréquation directe'!I88/C77</f>
        <v>6.8663578465365331</v>
      </c>
      <c r="F77" s="110"/>
      <c r="G77" s="136">
        <f t="shared" si="5"/>
        <v>24.008789954271752</v>
      </c>
      <c r="H77" s="110">
        <f t="shared" si="6"/>
        <v>24.008789954271752</v>
      </c>
      <c r="I77" s="136">
        <f t="shared" si="7"/>
        <v>0</v>
      </c>
      <c r="J77" s="55">
        <f t="shared" si="8"/>
        <v>0</v>
      </c>
      <c r="K77" s="36"/>
    </row>
    <row r="78" spans="1:11" x14ac:dyDescent="0.25">
      <c r="A78" s="49">
        <f>'A) Base RI'!A80</f>
        <v>5518</v>
      </c>
      <c r="B78" s="293" t="str">
        <f>'A) Base RI'!B80</f>
        <v>Echallens</v>
      </c>
      <c r="C78" s="95">
        <f>'B) D RI'!U80</f>
        <v>178756.07310344829</v>
      </c>
      <c r="D78" s="110">
        <f>'E) Fact soc'!G84/C78</f>
        <v>16.942382865731439</v>
      </c>
      <c r="E78" s="136">
        <f>'H) Péréquation directe'!I89/C78</f>
        <v>-4.4069045345360953</v>
      </c>
      <c r="F78" s="110"/>
      <c r="G78" s="136">
        <f t="shared" si="5"/>
        <v>12.535478331195343</v>
      </c>
      <c r="H78" s="110">
        <f t="shared" si="6"/>
        <v>12.535478331195343</v>
      </c>
      <c r="I78" s="136">
        <f t="shared" si="7"/>
        <v>0</v>
      </c>
      <c r="J78" s="55">
        <f t="shared" si="8"/>
        <v>0</v>
      </c>
      <c r="K78" s="36"/>
    </row>
    <row r="79" spans="1:11" x14ac:dyDescent="0.25">
      <c r="A79" s="49">
        <f>'A) Base RI'!A81</f>
        <v>5520</v>
      </c>
      <c r="B79" s="293" t="str">
        <f>'A) Base RI'!B81</f>
        <v>Essertines-sur-Yverdon</v>
      </c>
      <c r="C79" s="95">
        <f>'B) D RI'!U81</f>
        <v>29733.806712328769</v>
      </c>
      <c r="D79" s="110">
        <f>'E) Fact soc'!G85/C79</f>
        <v>17.97167794486468</v>
      </c>
      <c r="E79" s="136">
        <f>'H) Péréquation directe'!I90/C79</f>
        <v>0.53948162042358905</v>
      </c>
      <c r="F79" s="110"/>
      <c r="G79" s="136">
        <f t="shared" si="5"/>
        <v>18.511159565288271</v>
      </c>
      <c r="H79" s="110">
        <f t="shared" si="6"/>
        <v>18.511159565288271</v>
      </c>
      <c r="I79" s="136">
        <f t="shared" si="7"/>
        <v>0</v>
      </c>
      <c r="J79" s="55">
        <f t="shared" si="8"/>
        <v>0</v>
      </c>
      <c r="K79" s="36"/>
    </row>
    <row r="80" spans="1:11" x14ac:dyDescent="0.25">
      <c r="A80" s="49">
        <f>'A) Base RI'!A82</f>
        <v>5521</v>
      </c>
      <c r="B80" s="293" t="str">
        <f>'A) Base RI'!B82</f>
        <v>Etagnières</v>
      </c>
      <c r="C80" s="95">
        <f>'B) D RI'!U82</f>
        <v>46797.314657534247</v>
      </c>
      <c r="D80" s="110">
        <f>'E) Fact soc'!G86/C80</f>
        <v>15.554872403177253</v>
      </c>
      <c r="E80" s="136">
        <f>'H) Péréquation directe'!I91/C80</f>
        <v>12.002372379091995</v>
      </c>
      <c r="F80" s="110"/>
      <c r="G80" s="136">
        <f t="shared" si="5"/>
        <v>27.557244782269247</v>
      </c>
      <c r="H80" s="110">
        <f t="shared" si="6"/>
        <v>27.557244782269247</v>
      </c>
      <c r="I80" s="136">
        <f t="shared" si="7"/>
        <v>0</v>
      </c>
      <c r="J80" s="55">
        <f t="shared" si="8"/>
        <v>0</v>
      </c>
      <c r="K80" s="36"/>
    </row>
    <row r="81" spans="1:11" x14ac:dyDescent="0.25">
      <c r="A81" s="49">
        <f>'A) Base RI'!A83</f>
        <v>5522</v>
      </c>
      <c r="B81" s="293" t="str">
        <f>'A) Base RI'!B83</f>
        <v>Fey</v>
      </c>
      <c r="C81" s="95">
        <f>'B) D RI'!U83</f>
        <v>23726.940933333331</v>
      </c>
      <c r="D81" s="110">
        <f>'E) Fact soc'!G87/C81</f>
        <v>14.704757008812903</v>
      </c>
      <c r="E81" s="136">
        <f>'H) Péréquation directe'!I92/C81</f>
        <v>3.9705099031393694</v>
      </c>
      <c r="F81" s="110"/>
      <c r="G81" s="136">
        <f t="shared" si="5"/>
        <v>18.675266911952271</v>
      </c>
      <c r="H81" s="110">
        <f t="shared" si="6"/>
        <v>18.675266911952271</v>
      </c>
      <c r="I81" s="136">
        <f t="shared" si="7"/>
        <v>0</v>
      </c>
      <c r="J81" s="55">
        <f t="shared" si="8"/>
        <v>0</v>
      </c>
      <c r="K81" s="36"/>
    </row>
    <row r="82" spans="1:11" x14ac:dyDescent="0.25">
      <c r="A82" s="49">
        <f>'A) Base RI'!A84</f>
        <v>5523</v>
      </c>
      <c r="B82" s="293" t="str">
        <f>'A) Base RI'!B84</f>
        <v>Froideville</v>
      </c>
      <c r="C82" s="95">
        <f>'B) D RI'!U84</f>
        <v>85868.846805555557</v>
      </c>
      <c r="D82" s="110">
        <f>'E) Fact soc'!G88/C82</f>
        <v>15.179948358497091</v>
      </c>
      <c r="E82" s="136">
        <f>'H) Péréquation directe'!I93/C82</f>
        <v>0.70727334035383005</v>
      </c>
      <c r="F82" s="110"/>
      <c r="G82" s="136">
        <f t="shared" si="5"/>
        <v>15.887221698850921</v>
      </c>
      <c r="H82" s="110">
        <f t="shared" si="6"/>
        <v>15.887221698850921</v>
      </c>
      <c r="I82" s="136">
        <f t="shared" si="7"/>
        <v>0</v>
      </c>
      <c r="J82" s="55">
        <f t="shared" si="8"/>
        <v>0</v>
      </c>
      <c r="K82" s="36"/>
    </row>
    <row r="83" spans="1:11" x14ac:dyDescent="0.25">
      <c r="A83" s="49">
        <f>'A) Base RI'!A85</f>
        <v>5527</v>
      </c>
      <c r="B83" s="293" t="str">
        <f>'A) Base RI'!B85</f>
        <v>Morrens</v>
      </c>
      <c r="C83" s="95">
        <f>'B) D RI'!U85</f>
        <v>40564.204594594594</v>
      </c>
      <c r="D83" s="110">
        <f>'E) Fact soc'!G89/C83</f>
        <v>15.539550964499918</v>
      </c>
      <c r="E83" s="136">
        <f>'H) Péréquation directe'!I94/C83</f>
        <v>7.1565932907792202</v>
      </c>
      <c r="F83" s="110"/>
      <c r="G83" s="136">
        <f t="shared" si="5"/>
        <v>22.696144255279137</v>
      </c>
      <c r="H83" s="110">
        <f t="shared" si="6"/>
        <v>22.696144255279137</v>
      </c>
      <c r="I83" s="136">
        <f t="shared" si="7"/>
        <v>0</v>
      </c>
      <c r="J83" s="55">
        <f t="shared" si="8"/>
        <v>0</v>
      </c>
      <c r="K83" s="36"/>
    </row>
    <row r="84" spans="1:11" x14ac:dyDescent="0.25">
      <c r="A84" s="49">
        <f>'A) Base RI'!A86</f>
        <v>5529</v>
      </c>
      <c r="B84" s="293" t="str">
        <f>'A) Base RI'!B86</f>
        <v>Oulens-sous-Echallens</v>
      </c>
      <c r="C84" s="95">
        <f>'B) D RI'!U86</f>
        <v>20201.245428571427</v>
      </c>
      <c r="D84" s="110">
        <f>'E) Fact soc'!G90/C84</f>
        <v>14.62007389974616</v>
      </c>
      <c r="E84" s="136">
        <f>'H) Péréquation directe'!I95/C84</f>
        <v>6.5296882043998643</v>
      </c>
      <c r="F84" s="110"/>
      <c r="G84" s="136">
        <f t="shared" si="5"/>
        <v>21.149762104146024</v>
      </c>
      <c r="H84" s="110">
        <f t="shared" si="6"/>
        <v>21.149762104146024</v>
      </c>
      <c r="I84" s="136">
        <f t="shared" si="7"/>
        <v>0</v>
      </c>
      <c r="J84" s="55">
        <f t="shared" si="8"/>
        <v>0</v>
      </c>
      <c r="K84" s="36"/>
    </row>
    <row r="85" spans="1:11" x14ac:dyDescent="0.25">
      <c r="A85" s="49">
        <f>'A) Base RI'!A87</f>
        <v>5530</v>
      </c>
      <c r="B85" s="293" t="str">
        <f>'A) Base RI'!B87</f>
        <v>Pailly</v>
      </c>
      <c r="C85" s="95">
        <f>'B) D RI'!U87</f>
        <v>18302.009495614031</v>
      </c>
      <c r="D85" s="110">
        <f>'E) Fact soc'!G91/C85</f>
        <v>14.211588252547401</v>
      </c>
      <c r="E85" s="136">
        <f>'H) Péréquation directe'!I96/C85</f>
        <v>4.3834921398194204</v>
      </c>
      <c r="F85" s="110"/>
      <c r="G85" s="136">
        <f t="shared" si="5"/>
        <v>18.595080392366821</v>
      </c>
      <c r="H85" s="110">
        <f t="shared" si="6"/>
        <v>18.595080392366821</v>
      </c>
      <c r="I85" s="136">
        <f t="shared" si="7"/>
        <v>0</v>
      </c>
      <c r="J85" s="55">
        <f t="shared" si="8"/>
        <v>0</v>
      </c>
      <c r="K85" s="36"/>
    </row>
    <row r="86" spans="1:11" x14ac:dyDescent="0.25">
      <c r="A86" s="49">
        <f>'A) Base RI'!A88</f>
        <v>5531</v>
      </c>
      <c r="B86" s="293" t="str">
        <f>'A) Base RI'!B88</f>
        <v>Penthéréaz</v>
      </c>
      <c r="C86" s="95">
        <f>'B) D RI'!U88</f>
        <v>13843.062702702704</v>
      </c>
      <c r="D86" s="110">
        <f>'E) Fact soc'!G92/C86</f>
        <v>15.551708630402464</v>
      </c>
      <c r="E86" s="136">
        <f>'H) Péréquation directe'!I97/C86</f>
        <v>5.8183988985094368</v>
      </c>
      <c r="F86" s="110"/>
      <c r="G86" s="136">
        <f t="shared" si="5"/>
        <v>21.370107528911902</v>
      </c>
      <c r="H86" s="110">
        <f t="shared" si="6"/>
        <v>21.370107528911902</v>
      </c>
      <c r="I86" s="136">
        <f t="shared" si="7"/>
        <v>0</v>
      </c>
      <c r="J86" s="55">
        <f t="shared" si="8"/>
        <v>0</v>
      </c>
      <c r="K86" s="36"/>
    </row>
    <row r="87" spans="1:11" x14ac:dyDescent="0.25">
      <c r="A87" s="49">
        <f>'A) Base RI'!A89</f>
        <v>5533</v>
      </c>
      <c r="B87" s="293" t="str">
        <f>'A) Base RI'!B89</f>
        <v>Poliez-Pittet</v>
      </c>
      <c r="C87" s="95">
        <f>'B) D RI'!U89</f>
        <v>27190.167945205478</v>
      </c>
      <c r="D87" s="110">
        <f>'E) Fact soc'!G93/C87</f>
        <v>19.798344017696959</v>
      </c>
      <c r="E87" s="136">
        <f>'H) Péréquation directe'!I98/C87</f>
        <v>5.8334401814367265</v>
      </c>
      <c r="F87" s="110"/>
      <c r="G87" s="136">
        <f t="shared" si="5"/>
        <v>25.631784199133683</v>
      </c>
      <c r="H87" s="110">
        <f t="shared" si="6"/>
        <v>25.631784199133683</v>
      </c>
      <c r="I87" s="136">
        <f t="shared" si="7"/>
        <v>0</v>
      </c>
      <c r="J87" s="55">
        <f t="shared" si="8"/>
        <v>0</v>
      </c>
      <c r="K87" s="36"/>
    </row>
    <row r="88" spans="1:11" x14ac:dyDescent="0.25">
      <c r="A88" s="49">
        <f>'A) Base RI'!A90</f>
        <v>5534</v>
      </c>
      <c r="B88" s="293" t="str">
        <f>'A) Base RI'!B90</f>
        <v>Rueyres</v>
      </c>
      <c r="C88" s="95">
        <f>'B) D RI'!U90</f>
        <v>9755.351210045661</v>
      </c>
      <c r="D88" s="110">
        <f>'E) Fact soc'!G94/C88</f>
        <v>16.117471075973103</v>
      </c>
      <c r="E88" s="136">
        <f>'H) Péréquation directe'!I99/C88</f>
        <v>9.5513056776675676</v>
      </c>
      <c r="F88" s="110"/>
      <c r="G88" s="136">
        <f t="shared" si="5"/>
        <v>25.668776753640671</v>
      </c>
      <c r="H88" s="110">
        <f t="shared" si="6"/>
        <v>25.668776753640671</v>
      </c>
      <c r="I88" s="136">
        <f t="shared" si="7"/>
        <v>0</v>
      </c>
      <c r="J88" s="55">
        <f t="shared" si="8"/>
        <v>0</v>
      </c>
      <c r="K88" s="36"/>
    </row>
    <row r="89" spans="1:11" x14ac:dyDescent="0.25">
      <c r="A89" s="49">
        <f>'A) Base RI'!A91</f>
        <v>5535</v>
      </c>
      <c r="B89" s="293" t="str">
        <f>'A) Base RI'!B91</f>
        <v>Saint-Barthélemy</v>
      </c>
      <c r="C89" s="95">
        <f>'B) D RI'!U91</f>
        <v>22496.850133333337</v>
      </c>
      <c r="D89" s="110">
        <f>'E) Fact soc'!G95/C89</f>
        <v>14.909420725163208</v>
      </c>
      <c r="E89" s="136">
        <f>'H) Péréquation directe'!I100/C89</f>
        <v>-4.2906175381580989E-3</v>
      </c>
      <c r="F89" s="110"/>
      <c r="G89" s="136">
        <f t="shared" si="5"/>
        <v>14.90513010762505</v>
      </c>
      <c r="H89" s="110">
        <f t="shared" si="6"/>
        <v>14.90513010762505</v>
      </c>
      <c r="I89" s="136">
        <f t="shared" si="7"/>
        <v>0</v>
      </c>
      <c r="J89" s="55">
        <f t="shared" si="8"/>
        <v>0</v>
      </c>
      <c r="K89" s="36"/>
    </row>
    <row r="90" spans="1:11" x14ac:dyDescent="0.25">
      <c r="A90" s="49">
        <f>'A) Base RI'!A92</f>
        <v>5537</v>
      </c>
      <c r="B90" s="293" t="str">
        <f>'A) Base RI'!B92</f>
        <v>Villars-le-Terroir</v>
      </c>
      <c r="C90" s="95">
        <f>'B) D RI'!U92</f>
        <v>37963.269999999997</v>
      </c>
      <c r="D90" s="110">
        <f>'E) Fact soc'!G96/C90</f>
        <v>16.094771660250085</v>
      </c>
      <c r="E90" s="136">
        <f>'H) Péréquation directe'!I101/C90</f>
        <v>0.42627653912210056</v>
      </c>
      <c r="F90" s="110"/>
      <c r="G90" s="136">
        <f t="shared" si="5"/>
        <v>16.521048199372185</v>
      </c>
      <c r="H90" s="110">
        <f t="shared" si="6"/>
        <v>16.521048199372185</v>
      </c>
      <c r="I90" s="136">
        <f t="shared" si="7"/>
        <v>0</v>
      </c>
      <c r="J90" s="55">
        <f t="shared" si="8"/>
        <v>0</v>
      </c>
      <c r="K90" s="36"/>
    </row>
    <row r="91" spans="1:11" x14ac:dyDescent="0.25">
      <c r="A91" s="49">
        <f>'A) Base RI'!A93</f>
        <v>5539</v>
      </c>
      <c r="B91" s="293" t="str">
        <f>'A) Base RI'!B93</f>
        <v>Vuarrens</v>
      </c>
      <c r="C91" s="95">
        <f>'B) D RI'!U93</f>
        <v>35961.61534013605</v>
      </c>
      <c r="D91" s="110">
        <f>'E) Fact soc'!G97/C91</f>
        <v>18.151686450896062</v>
      </c>
      <c r="E91" s="136">
        <f>'H) Péréquation directe'!I102/C91</f>
        <v>6.5066961993741703</v>
      </c>
      <c r="F91" s="110"/>
      <c r="G91" s="136">
        <f t="shared" si="5"/>
        <v>24.658382650270234</v>
      </c>
      <c r="H91" s="110">
        <f t="shared" si="6"/>
        <v>24.658382650270234</v>
      </c>
      <c r="I91" s="136">
        <f t="shared" si="7"/>
        <v>0</v>
      </c>
      <c r="J91" s="55">
        <f t="shared" si="8"/>
        <v>0</v>
      </c>
      <c r="K91" s="36"/>
    </row>
    <row r="92" spans="1:11" x14ac:dyDescent="0.25">
      <c r="A92" s="49">
        <f>'A) Base RI'!A94</f>
        <v>5540</v>
      </c>
      <c r="B92" s="293" t="str">
        <f>'A) Base RI'!B94</f>
        <v>Montilliez</v>
      </c>
      <c r="C92" s="95">
        <f>'B) D RI'!U94</f>
        <v>66256.548551724132</v>
      </c>
      <c r="D92" s="110">
        <f>'E) Fact soc'!G98/C92</f>
        <v>15.016914240453211</v>
      </c>
      <c r="E92" s="136">
        <f>'H) Péréquation directe'!I103/C92</f>
        <v>5.8892740290014025</v>
      </c>
      <c r="F92" s="110"/>
      <c r="G92" s="136">
        <f t="shared" si="5"/>
        <v>20.906188269454614</v>
      </c>
      <c r="H92" s="110">
        <f t="shared" si="6"/>
        <v>20.906188269454614</v>
      </c>
      <c r="I92" s="136">
        <f t="shared" si="7"/>
        <v>0</v>
      </c>
      <c r="J92" s="55">
        <f t="shared" si="8"/>
        <v>0</v>
      </c>
      <c r="K92" s="36"/>
    </row>
    <row r="93" spans="1:11" x14ac:dyDescent="0.25">
      <c r="A93" s="49">
        <f>'A) Base RI'!A95</f>
        <v>5541</v>
      </c>
      <c r="B93" s="293" t="str">
        <f>'A) Base RI'!B95</f>
        <v>Goumoëns</v>
      </c>
      <c r="C93" s="95">
        <f>'B) D RI'!U95</f>
        <v>36998.611258278142</v>
      </c>
      <c r="D93" s="110">
        <f>'E) Fact soc'!G99/C93</f>
        <v>17.041427662095231</v>
      </c>
      <c r="E93" s="136">
        <f>'H) Péréquation directe'!I104/C93</f>
        <v>3.3857316087323901</v>
      </c>
      <c r="F93" s="110"/>
      <c r="G93" s="136">
        <f t="shared" si="5"/>
        <v>20.42715927082762</v>
      </c>
      <c r="H93" s="110">
        <f t="shared" si="6"/>
        <v>20.42715927082762</v>
      </c>
      <c r="I93" s="136">
        <f t="shared" si="7"/>
        <v>0</v>
      </c>
      <c r="J93" s="55">
        <f t="shared" si="8"/>
        <v>0</v>
      </c>
      <c r="K93" s="36"/>
    </row>
    <row r="94" spans="1:11" x14ac:dyDescent="0.25">
      <c r="A94" s="49">
        <f>'A) Base RI'!A96</f>
        <v>5551</v>
      </c>
      <c r="B94" s="293" t="str">
        <f>'A) Base RI'!B96</f>
        <v>Bonvillars</v>
      </c>
      <c r="C94" s="95">
        <f>'B) D RI'!U96</f>
        <v>19156.634727272725</v>
      </c>
      <c r="D94" s="110">
        <f>'E) Fact soc'!G100/C94</f>
        <v>14.834388512914696</v>
      </c>
      <c r="E94" s="136">
        <f>'H) Péréquation directe'!I105/C94</f>
        <v>13.683098359893469</v>
      </c>
      <c r="F94" s="110"/>
      <c r="G94" s="136">
        <f t="shared" si="5"/>
        <v>28.517486872808163</v>
      </c>
      <c r="H94" s="110">
        <f t="shared" si="6"/>
        <v>28.517486872808163</v>
      </c>
      <c r="I94" s="136">
        <f t="shared" si="7"/>
        <v>0</v>
      </c>
      <c r="J94" s="55">
        <f t="shared" si="8"/>
        <v>0</v>
      </c>
      <c r="K94" s="36"/>
    </row>
    <row r="95" spans="1:11" x14ac:dyDescent="0.25">
      <c r="A95" s="49">
        <f>'A) Base RI'!A97</f>
        <v>5552</v>
      </c>
      <c r="B95" s="293" t="str">
        <f>'A) Base RI'!B97</f>
        <v>Bullet</v>
      </c>
      <c r="C95" s="95">
        <f>'B) D RI'!U97</f>
        <v>17556.417482517485</v>
      </c>
      <c r="D95" s="110">
        <f>'E) Fact soc'!G101/C95</f>
        <v>17.63790862635793</v>
      </c>
      <c r="E95" s="136">
        <f>'H) Péréquation directe'!I106/C95</f>
        <v>-1.4690719302592803</v>
      </c>
      <c r="F95" s="110"/>
      <c r="G95" s="136">
        <f t="shared" si="5"/>
        <v>16.168836696098651</v>
      </c>
      <c r="H95" s="110">
        <f t="shared" si="6"/>
        <v>16.168836696098651</v>
      </c>
      <c r="I95" s="136">
        <f t="shared" si="7"/>
        <v>0</v>
      </c>
      <c r="J95" s="55">
        <f t="shared" si="8"/>
        <v>0</v>
      </c>
      <c r="K95" s="36"/>
    </row>
    <row r="96" spans="1:11" x14ac:dyDescent="0.25">
      <c r="A96" s="49">
        <f>'A) Base RI'!A98</f>
        <v>5553</v>
      </c>
      <c r="B96" s="293" t="str">
        <f>'A) Base RI'!B98</f>
        <v>Champagne</v>
      </c>
      <c r="C96" s="95">
        <f>'B) D RI'!U98</f>
        <v>38681.377846153839</v>
      </c>
      <c r="D96" s="110">
        <f>'E) Fact soc'!G102/C96</f>
        <v>17.587812744358594</v>
      </c>
      <c r="E96" s="136">
        <f>'H) Péréquation directe'!I107/C96</f>
        <v>10.43559536862236</v>
      </c>
      <c r="F96" s="110"/>
      <c r="G96" s="136">
        <f t="shared" si="5"/>
        <v>28.023408112980952</v>
      </c>
      <c r="H96" s="110">
        <f t="shared" si="6"/>
        <v>28.023408112980952</v>
      </c>
      <c r="I96" s="136">
        <f t="shared" si="7"/>
        <v>0</v>
      </c>
      <c r="J96" s="55">
        <f t="shared" si="8"/>
        <v>0</v>
      </c>
      <c r="K96" s="36"/>
    </row>
    <row r="97" spans="1:11" x14ac:dyDescent="0.25">
      <c r="A97" s="49">
        <f>'A) Base RI'!A99</f>
        <v>5554</v>
      </c>
      <c r="B97" s="293" t="str">
        <f>'A) Base RI'!B99</f>
        <v>Concise</v>
      </c>
      <c r="C97" s="95">
        <f>'B) D RI'!U99</f>
        <v>32327.871066666674</v>
      </c>
      <c r="D97" s="110">
        <f>'E) Fact soc'!G103/C97</f>
        <v>17.384656101666881</v>
      </c>
      <c r="E97" s="136">
        <f>'H) Péréquation directe'!I108/C97</f>
        <v>4.6945336776316946</v>
      </c>
      <c r="F97" s="110"/>
      <c r="G97" s="136">
        <f t="shared" si="5"/>
        <v>22.079189779298574</v>
      </c>
      <c r="H97" s="110">
        <f t="shared" si="6"/>
        <v>22.079189779298574</v>
      </c>
      <c r="I97" s="136">
        <f t="shared" si="7"/>
        <v>0</v>
      </c>
      <c r="J97" s="55">
        <f t="shared" si="8"/>
        <v>0</v>
      </c>
      <c r="K97" s="36"/>
    </row>
    <row r="98" spans="1:11" x14ac:dyDescent="0.25">
      <c r="A98" s="49">
        <f>'A) Base RI'!A100</f>
        <v>5555</v>
      </c>
      <c r="B98" s="293" t="str">
        <f>'A) Base RI'!B100</f>
        <v>Corcelles-près-Concise</v>
      </c>
      <c r="C98" s="95">
        <f>'B) D RI'!U100</f>
        <v>13570.544057971018</v>
      </c>
      <c r="D98" s="110">
        <f>'E) Fact soc'!G104/C98</f>
        <v>20.243277812446703</v>
      </c>
      <c r="E98" s="136">
        <f>'H) Péréquation directe'!I109/C98</f>
        <v>6.4978233547939128</v>
      </c>
      <c r="F98" s="110"/>
      <c r="G98" s="136">
        <f t="shared" si="5"/>
        <v>26.741101167240615</v>
      </c>
      <c r="H98" s="110">
        <f t="shared" si="6"/>
        <v>26.741101167240615</v>
      </c>
      <c r="I98" s="136">
        <f t="shared" si="7"/>
        <v>0</v>
      </c>
      <c r="J98" s="55">
        <f t="shared" si="8"/>
        <v>0</v>
      </c>
      <c r="K98" s="36"/>
    </row>
    <row r="99" spans="1:11" x14ac:dyDescent="0.25">
      <c r="A99" s="49">
        <f>'A) Base RI'!A101</f>
        <v>5556</v>
      </c>
      <c r="B99" s="293" t="str">
        <f>'A) Base RI'!B101</f>
        <v>Fiez</v>
      </c>
      <c r="C99" s="95">
        <f>'B) D RI'!U101</f>
        <v>13816.427753623188</v>
      </c>
      <c r="D99" s="110">
        <f>'E) Fact soc'!G105/C99</f>
        <v>16.812129946265109</v>
      </c>
      <c r="E99" s="136">
        <f>'H) Péréquation directe'!I110/C99</f>
        <v>4.6531956592119608</v>
      </c>
      <c r="F99" s="110"/>
      <c r="G99" s="136">
        <f t="shared" si="5"/>
        <v>21.465325605477069</v>
      </c>
      <c r="H99" s="110">
        <f t="shared" si="6"/>
        <v>21.465325605477069</v>
      </c>
      <c r="I99" s="136">
        <f t="shared" si="7"/>
        <v>0</v>
      </c>
      <c r="J99" s="55">
        <f t="shared" si="8"/>
        <v>0</v>
      </c>
      <c r="K99" s="36"/>
    </row>
    <row r="100" spans="1:11" x14ac:dyDescent="0.25">
      <c r="A100" s="49">
        <f>'A) Base RI'!A102</f>
        <v>5557</v>
      </c>
      <c r="B100" s="293" t="str">
        <f>'A) Base RI'!B102</f>
        <v>Fontaines-sur-Grandson</v>
      </c>
      <c r="C100" s="95">
        <f>'B) D RI'!U102</f>
        <v>5880.3275362318818</v>
      </c>
      <c r="D100" s="110">
        <f>'E) Fact soc'!G106/C100</f>
        <v>19.047842100389492</v>
      </c>
      <c r="E100" s="136">
        <f>'H) Péréquation directe'!I111/C100</f>
        <v>-0.15050999263948608</v>
      </c>
      <c r="F100" s="110"/>
      <c r="G100" s="136">
        <f t="shared" si="5"/>
        <v>18.897332107750007</v>
      </c>
      <c r="H100" s="110">
        <f t="shared" si="6"/>
        <v>18.897332107750007</v>
      </c>
      <c r="I100" s="136">
        <f t="shared" si="7"/>
        <v>0</v>
      </c>
      <c r="J100" s="55">
        <f t="shared" si="8"/>
        <v>0</v>
      </c>
      <c r="K100" s="36"/>
    </row>
    <row r="101" spans="1:11" x14ac:dyDescent="0.25">
      <c r="A101" s="49">
        <f>'A) Base RI'!A103</f>
        <v>5559</v>
      </c>
      <c r="B101" s="293" t="str">
        <f>'A) Base RI'!B103</f>
        <v>Giez</v>
      </c>
      <c r="C101" s="95">
        <f>'B) D RI'!U103</f>
        <v>16897.618636363641</v>
      </c>
      <c r="D101" s="110">
        <f>'E) Fact soc'!G107/C101</f>
        <v>17.080456954046703</v>
      </c>
      <c r="E101" s="136">
        <f>'H) Péréquation directe'!I112/C101</f>
        <v>13.447494369509155</v>
      </c>
      <c r="F101" s="110"/>
      <c r="G101" s="136">
        <f t="shared" si="5"/>
        <v>30.527951323555857</v>
      </c>
      <c r="H101" s="110">
        <f t="shared" si="6"/>
        <v>30.527951323555857</v>
      </c>
      <c r="I101" s="136">
        <f t="shared" si="7"/>
        <v>0</v>
      </c>
      <c r="J101" s="55">
        <f t="shared" si="8"/>
        <v>0</v>
      </c>
      <c r="K101" s="36"/>
    </row>
    <row r="102" spans="1:11" x14ac:dyDescent="0.25">
      <c r="A102" s="49">
        <f>'A) Base RI'!A104</f>
        <v>5560</v>
      </c>
      <c r="B102" s="293" t="str">
        <f>'A) Base RI'!B104</f>
        <v>Grandevent</v>
      </c>
      <c r="C102" s="95">
        <f>'B) D RI'!U104</f>
        <v>6167.8957352941179</v>
      </c>
      <c r="D102" s="110">
        <f>'E) Fact soc'!G108/C102</f>
        <v>15.808604500240174</v>
      </c>
      <c r="E102" s="136">
        <f>'H) Péréquation directe'!I113/C102</f>
        <v>0.89808352953219017</v>
      </c>
      <c r="F102" s="110"/>
      <c r="G102" s="136">
        <f t="shared" si="5"/>
        <v>16.706688029772362</v>
      </c>
      <c r="H102" s="110">
        <f t="shared" si="6"/>
        <v>16.706688029772362</v>
      </c>
      <c r="I102" s="136">
        <f t="shared" si="7"/>
        <v>0</v>
      </c>
      <c r="J102" s="55">
        <f t="shared" si="8"/>
        <v>0</v>
      </c>
      <c r="K102" s="36"/>
    </row>
    <row r="103" spans="1:11" x14ac:dyDescent="0.25">
      <c r="A103" s="49">
        <f>'A) Base RI'!A105</f>
        <v>5561</v>
      </c>
      <c r="B103" s="293" t="str">
        <f>'A) Base RI'!B105</f>
        <v>Grandson</v>
      </c>
      <c r="C103" s="95">
        <f>'B) D RI'!U105</f>
        <v>114985.73289855072</v>
      </c>
      <c r="D103" s="110">
        <f>'E) Fact soc'!G109/C103</f>
        <v>17.486129430501169</v>
      </c>
      <c r="E103" s="136">
        <f>'H) Péréquation directe'!I114/C103</f>
        <v>3.2282049966815753</v>
      </c>
      <c r="F103" s="110"/>
      <c r="G103" s="136">
        <f t="shared" si="5"/>
        <v>20.714334427182745</v>
      </c>
      <c r="H103" s="110">
        <f t="shared" si="6"/>
        <v>20.714334427182745</v>
      </c>
      <c r="I103" s="136">
        <f t="shared" si="7"/>
        <v>0</v>
      </c>
      <c r="J103" s="55">
        <f t="shared" si="8"/>
        <v>0</v>
      </c>
      <c r="K103" s="36"/>
    </row>
    <row r="104" spans="1:11" x14ac:dyDescent="0.25">
      <c r="A104" s="49">
        <f>'A) Base RI'!A106</f>
        <v>5562</v>
      </c>
      <c r="B104" s="293" t="str">
        <f>'A) Base RI'!B106</f>
        <v>Mauborget</v>
      </c>
      <c r="C104" s="95">
        <f>'B) D RI'!U106</f>
        <v>6037.1574285714287</v>
      </c>
      <c r="D104" s="110">
        <f>'E) Fact soc'!G110/C104</f>
        <v>15.631084238190562</v>
      </c>
      <c r="E104" s="136">
        <f>'H) Péréquation directe'!I115/C104</f>
        <v>16.58681460496749</v>
      </c>
      <c r="F104" s="110"/>
      <c r="G104" s="136">
        <f t="shared" si="5"/>
        <v>32.217898843158054</v>
      </c>
      <c r="H104" s="110">
        <f t="shared" si="6"/>
        <v>32.217898843158054</v>
      </c>
      <c r="I104" s="136">
        <f t="shared" si="7"/>
        <v>0</v>
      </c>
      <c r="J104" s="55">
        <f t="shared" si="8"/>
        <v>0</v>
      </c>
      <c r="K104" s="36"/>
    </row>
    <row r="105" spans="1:11" x14ac:dyDescent="0.25">
      <c r="A105" s="49">
        <f>'A) Base RI'!A107</f>
        <v>5563</v>
      </c>
      <c r="B105" s="293" t="str">
        <f>'A) Base RI'!B107</f>
        <v>Mutrux</v>
      </c>
      <c r="C105" s="95">
        <f>'B) D RI'!U107</f>
        <v>4073.5824999999995</v>
      </c>
      <c r="D105" s="110">
        <f>'E) Fact soc'!G111/C105</f>
        <v>16.428756768166274</v>
      </c>
      <c r="E105" s="136">
        <f>'H) Péréquation directe'!I116/C105</f>
        <v>-4.4663562882623085</v>
      </c>
      <c r="F105" s="110"/>
      <c r="G105" s="136">
        <f t="shared" si="5"/>
        <v>11.962400479903966</v>
      </c>
      <c r="H105" s="110">
        <f t="shared" si="6"/>
        <v>11.962400479903966</v>
      </c>
      <c r="I105" s="136">
        <f t="shared" si="7"/>
        <v>0</v>
      </c>
      <c r="J105" s="55">
        <f t="shared" si="8"/>
        <v>0</v>
      </c>
      <c r="K105" s="36"/>
    </row>
    <row r="106" spans="1:11" x14ac:dyDescent="0.25">
      <c r="A106" s="49">
        <f>'A) Base RI'!A108</f>
        <v>5564</v>
      </c>
      <c r="B106" s="293" t="str">
        <f>'A) Base RI'!B108</f>
        <v>Novalles</v>
      </c>
      <c r="C106" s="95">
        <f>'B) D RI'!U108</f>
        <v>2091.5044407894734</v>
      </c>
      <c r="D106" s="110">
        <f>'E) Fact soc'!G112/C106</f>
        <v>19.945835783592901</v>
      </c>
      <c r="E106" s="136">
        <f>'H) Péréquation directe'!I117/C106</f>
        <v>-15.901160262606357</v>
      </c>
      <c r="F106" s="110"/>
      <c r="G106" s="136">
        <f t="shared" si="5"/>
        <v>4.0446755209865444</v>
      </c>
      <c r="H106" s="110">
        <f t="shared" si="6"/>
        <v>4.0446755209865444</v>
      </c>
      <c r="I106" s="136">
        <f t="shared" si="7"/>
        <v>0</v>
      </c>
      <c r="J106" s="55">
        <f t="shared" si="8"/>
        <v>0</v>
      </c>
      <c r="K106" s="36"/>
    </row>
    <row r="107" spans="1:11" x14ac:dyDescent="0.25">
      <c r="A107" s="49">
        <f>'A) Base RI'!A109</f>
        <v>5565</v>
      </c>
      <c r="B107" s="293" t="str">
        <f>'A) Base RI'!B109</f>
        <v>Onnens</v>
      </c>
      <c r="C107" s="95">
        <f>'B) D RI'!U109</f>
        <v>19690.582047244097</v>
      </c>
      <c r="D107" s="110">
        <f>'E) Fact soc'!G113/C107</f>
        <v>15.193391849358557</v>
      </c>
      <c r="E107" s="136">
        <f>'H) Péréquation directe'!I118/C107</f>
        <v>12.646177996225969</v>
      </c>
      <c r="F107" s="110"/>
      <c r="G107" s="136">
        <f t="shared" si="5"/>
        <v>27.839569845584528</v>
      </c>
      <c r="H107" s="110">
        <f t="shared" si="6"/>
        <v>27.839569845584528</v>
      </c>
      <c r="I107" s="136">
        <f t="shared" si="7"/>
        <v>0</v>
      </c>
      <c r="J107" s="55">
        <f t="shared" si="8"/>
        <v>0</v>
      </c>
      <c r="K107" s="36"/>
    </row>
    <row r="108" spans="1:11" x14ac:dyDescent="0.25">
      <c r="A108" s="49">
        <f>'A) Base RI'!A110</f>
        <v>5566</v>
      </c>
      <c r="B108" s="293" t="str">
        <f>'A) Base RI'!B110</f>
        <v>Provence</v>
      </c>
      <c r="C108" s="95">
        <f>'B) D RI'!U110</f>
        <v>7598.735102880657</v>
      </c>
      <c r="D108" s="110">
        <f>'E) Fact soc'!G114/C108</f>
        <v>23.732911974291167</v>
      </c>
      <c r="E108" s="136">
        <f>'H) Péréquation directe'!I119/C108</f>
        <v>-25.853893906959016</v>
      </c>
      <c r="F108" s="110"/>
      <c r="G108" s="136">
        <f t="shared" si="5"/>
        <v>-2.1209819326678492</v>
      </c>
      <c r="H108" s="110">
        <f t="shared" si="6"/>
        <v>-2.1209819326678492</v>
      </c>
      <c r="I108" s="136">
        <f t="shared" si="7"/>
        <v>0</v>
      </c>
      <c r="J108" s="55">
        <f t="shared" si="8"/>
        <v>0</v>
      </c>
      <c r="K108" s="36"/>
    </row>
    <row r="109" spans="1:11" x14ac:dyDescent="0.25">
      <c r="A109" s="49">
        <f>'A) Base RI'!A111</f>
        <v>5568</v>
      </c>
      <c r="B109" s="293" t="str">
        <f>'A) Base RI'!B111</f>
        <v>Sainte-Croix</v>
      </c>
      <c r="C109" s="95">
        <f>'B) D RI'!U111</f>
        <v>106515.47628571428</v>
      </c>
      <c r="D109" s="110">
        <f>'E) Fact soc'!G115/C109</f>
        <v>23.43757819669068</v>
      </c>
      <c r="E109" s="136">
        <f>'H) Péréquation directe'!I120/C109</f>
        <v>-21.031832632503352</v>
      </c>
      <c r="F109" s="110"/>
      <c r="G109" s="136">
        <f t="shared" si="5"/>
        <v>2.4057455641873275</v>
      </c>
      <c r="H109" s="110">
        <f t="shared" si="6"/>
        <v>2.4057455641873275</v>
      </c>
      <c r="I109" s="136">
        <f t="shared" si="7"/>
        <v>0</v>
      </c>
      <c r="J109" s="55">
        <f t="shared" si="8"/>
        <v>0</v>
      </c>
      <c r="K109" s="36"/>
    </row>
    <row r="110" spans="1:11" x14ac:dyDescent="0.25">
      <c r="A110" s="49">
        <f>'A) Base RI'!A112</f>
        <v>5571</v>
      </c>
      <c r="B110" s="293" t="str">
        <f>'A) Base RI'!B112</f>
        <v>Tévenon</v>
      </c>
      <c r="C110" s="95">
        <f>'B) D RI'!U112</f>
        <v>21380.087226107229</v>
      </c>
      <c r="D110" s="110">
        <f>'E) Fact soc'!G116/C110</f>
        <v>17.049952444818565</v>
      </c>
      <c r="E110" s="136">
        <f>'H) Péréquation directe'!I121/C110</f>
        <v>-6.3536467518661768</v>
      </c>
      <c r="F110" s="110"/>
      <c r="G110" s="136">
        <f t="shared" si="5"/>
        <v>10.696305692952389</v>
      </c>
      <c r="H110" s="110">
        <f t="shared" si="6"/>
        <v>10.696305692952389</v>
      </c>
      <c r="I110" s="136">
        <f t="shared" si="7"/>
        <v>0</v>
      </c>
      <c r="J110" s="55">
        <f t="shared" si="8"/>
        <v>0</v>
      </c>
      <c r="K110" s="36"/>
    </row>
    <row r="111" spans="1:11" x14ac:dyDescent="0.25">
      <c r="A111" s="49">
        <f>'A) Base RI'!A113</f>
        <v>5581</v>
      </c>
      <c r="B111" s="293" t="str">
        <f>'A) Base RI'!B113</f>
        <v>Belmont-sur-Lausanne</v>
      </c>
      <c r="C111" s="95">
        <f>'B) D RI'!U113</f>
        <v>212445.65069444443</v>
      </c>
      <c r="D111" s="110">
        <f>'E) Fact soc'!G117/C111</f>
        <v>19.501257730712066</v>
      </c>
      <c r="E111" s="136">
        <f>'H) Péréquation directe'!I122/C111</f>
        <v>14.018714616760459</v>
      </c>
      <c r="F111" s="110"/>
      <c r="G111" s="136">
        <f t="shared" si="5"/>
        <v>33.519972347472525</v>
      </c>
      <c r="H111" s="110">
        <f t="shared" si="6"/>
        <v>33.519972347472525</v>
      </c>
      <c r="I111" s="136">
        <f t="shared" si="7"/>
        <v>0</v>
      </c>
      <c r="J111" s="55">
        <f t="shared" si="8"/>
        <v>0</v>
      </c>
      <c r="K111" s="36"/>
    </row>
    <row r="112" spans="1:11" x14ac:dyDescent="0.25">
      <c r="A112" s="49">
        <f>'A) Base RI'!A114</f>
        <v>5582</v>
      </c>
      <c r="B112" s="293" t="str">
        <f>'A) Base RI'!B114</f>
        <v>Cheseaux-sur-Lausanne</v>
      </c>
      <c r="C112" s="95">
        <f>'B) D RI'!U114</f>
        <v>163780.29383561644</v>
      </c>
      <c r="D112" s="110">
        <f>'E) Fact soc'!G118/C112</f>
        <v>16.219167252402851</v>
      </c>
      <c r="E112" s="136">
        <f>'H) Péréquation directe'!I123/C112</f>
        <v>4.4172647964672818</v>
      </c>
      <c r="F112" s="110"/>
      <c r="G112" s="136">
        <f t="shared" si="5"/>
        <v>20.636432048870134</v>
      </c>
      <c r="H112" s="110">
        <f t="shared" si="6"/>
        <v>20.636432048870134</v>
      </c>
      <c r="I112" s="136">
        <f t="shared" si="7"/>
        <v>0</v>
      </c>
      <c r="J112" s="55">
        <f t="shared" si="8"/>
        <v>0</v>
      </c>
      <c r="K112" s="36"/>
    </row>
    <row r="113" spans="1:11" x14ac:dyDescent="0.25">
      <c r="A113" s="49">
        <f>'A) Base RI'!A115</f>
        <v>5583</v>
      </c>
      <c r="B113" s="293" t="str">
        <f>'A) Base RI'!B115</f>
        <v>Crissier</v>
      </c>
      <c r="C113" s="95">
        <f>'B) D RI'!U115</f>
        <v>368095.30976377946</v>
      </c>
      <c r="D113" s="110">
        <f>'E) Fact soc'!G119/C113</f>
        <v>17.451485970114184</v>
      </c>
      <c r="E113" s="136">
        <f>'H) Péréquation directe'!I124/C113</f>
        <v>6.4933492998091147</v>
      </c>
      <c r="F113" s="110"/>
      <c r="G113" s="136">
        <f t="shared" si="5"/>
        <v>23.944835269923299</v>
      </c>
      <c r="H113" s="110">
        <f t="shared" si="6"/>
        <v>23.944835269923299</v>
      </c>
      <c r="I113" s="136">
        <f t="shared" si="7"/>
        <v>0</v>
      </c>
      <c r="J113" s="55">
        <f t="shared" si="8"/>
        <v>0</v>
      </c>
      <c r="K113" s="36"/>
    </row>
    <row r="114" spans="1:11" x14ac:dyDescent="0.25">
      <c r="A114" s="49">
        <f>'A) Base RI'!A116</f>
        <v>5584</v>
      </c>
      <c r="B114" s="293" t="str">
        <f>'A) Base RI'!B116</f>
        <v>Epalinges</v>
      </c>
      <c r="C114" s="95">
        <f>'B) D RI'!U116</f>
        <v>482115.91751937981</v>
      </c>
      <c r="D114" s="110">
        <f>'E) Fact soc'!G120/C114</f>
        <v>17.718392643793091</v>
      </c>
      <c r="E114" s="136">
        <f>'H) Péréquation directe'!I125/C114</f>
        <v>9.6224448683347585</v>
      </c>
      <c r="F114" s="110"/>
      <c r="G114" s="136">
        <f t="shared" si="5"/>
        <v>27.340837512127848</v>
      </c>
      <c r="H114" s="110">
        <f t="shared" si="6"/>
        <v>27.340837512127848</v>
      </c>
      <c r="I114" s="136">
        <f t="shared" si="7"/>
        <v>0</v>
      </c>
      <c r="J114" s="55">
        <f t="shared" si="8"/>
        <v>0</v>
      </c>
      <c r="K114" s="36"/>
    </row>
    <row r="115" spans="1:11" x14ac:dyDescent="0.25">
      <c r="A115" s="49">
        <f>'A) Base RI'!A117</f>
        <v>5585</v>
      </c>
      <c r="B115" s="293" t="str">
        <f>'A) Base RI'!B117</f>
        <v>Jouxtens-Mézery</v>
      </c>
      <c r="C115" s="95">
        <f>'B) D RI'!U117</f>
        <v>202487.97135593221</v>
      </c>
      <c r="D115" s="110">
        <f>'E) Fact soc'!G121/C115</f>
        <v>32.468600445113111</v>
      </c>
      <c r="E115" s="136">
        <f>'H) Péréquation directe'!I126/C115</f>
        <v>18.318717715835305</v>
      </c>
      <c r="F115" s="110"/>
      <c r="G115" s="136">
        <f t="shared" si="5"/>
        <v>50.787318160948416</v>
      </c>
      <c r="H115" s="110">
        <f t="shared" si="6"/>
        <v>50.787318160948416</v>
      </c>
      <c r="I115" s="136">
        <f t="shared" si="7"/>
        <v>0</v>
      </c>
      <c r="J115" s="55">
        <f t="shared" si="8"/>
        <v>0</v>
      </c>
      <c r="K115" s="36"/>
    </row>
    <row r="116" spans="1:11" x14ac:dyDescent="0.25">
      <c r="A116" s="49">
        <f>'A) Base RI'!A118</f>
        <v>5586</v>
      </c>
      <c r="B116" s="293" t="str">
        <f>'A) Base RI'!B118</f>
        <v>Lausanne</v>
      </c>
      <c r="C116" s="95">
        <f>'B) D RI'!U118</f>
        <v>6272364.2800849257</v>
      </c>
      <c r="D116" s="110">
        <f>'E) Fact soc'!G122/C116</f>
        <v>17.135276869179087</v>
      </c>
      <c r="E116" s="136">
        <f>'H) Péréquation directe'!I127/C116</f>
        <v>-4.6797584172837405</v>
      </c>
      <c r="F116" s="110"/>
      <c r="G116" s="136">
        <f t="shared" si="5"/>
        <v>12.455518451895347</v>
      </c>
      <c r="H116" s="110">
        <f t="shared" si="6"/>
        <v>12.455518451895347</v>
      </c>
      <c r="I116" s="136">
        <f t="shared" si="7"/>
        <v>0</v>
      </c>
      <c r="J116" s="55">
        <f t="shared" si="8"/>
        <v>0</v>
      </c>
      <c r="K116" s="36"/>
    </row>
    <row r="117" spans="1:11" x14ac:dyDescent="0.25">
      <c r="A117" s="49">
        <f>'A) Base RI'!A119</f>
        <v>5587</v>
      </c>
      <c r="B117" s="293" t="str">
        <f>'A) Base RI'!B119</f>
        <v>Le Mont-sur-Lausanne</v>
      </c>
      <c r="C117" s="95">
        <f>'B) D RI'!U119</f>
        <v>442860.74013605446</v>
      </c>
      <c r="D117" s="110">
        <f>'E) Fact soc'!G123/C117</f>
        <v>17.554445250592352</v>
      </c>
      <c r="E117" s="136">
        <f>'H) Péréquation directe'!I128/C117</f>
        <v>9.9133732024754853</v>
      </c>
      <c r="F117" s="110"/>
      <c r="G117" s="136">
        <f t="shared" si="5"/>
        <v>27.467818453067835</v>
      </c>
      <c r="H117" s="110">
        <f t="shared" si="6"/>
        <v>27.467818453067835</v>
      </c>
      <c r="I117" s="136">
        <f t="shared" si="7"/>
        <v>0</v>
      </c>
      <c r="J117" s="55">
        <f t="shared" si="8"/>
        <v>0</v>
      </c>
      <c r="K117" s="36"/>
    </row>
    <row r="118" spans="1:11" x14ac:dyDescent="0.25">
      <c r="A118" s="49">
        <f>'A) Base RI'!A120</f>
        <v>5588</v>
      </c>
      <c r="B118" s="293" t="str">
        <f>'A) Base RI'!B120</f>
        <v>Paudex</v>
      </c>
      <c r="C118" s="95">
        <f>'B) D RI'!U120</f>
        <v>135448.58760472611</v>
      </c>
      <c r="D118" s="110">
        <f>'E) Fact soc'!G124/C118</f>
        <v>25.047420389069718</v>
      </c>
      <c r="E118" s="136">
        <f>'H) Péréquation directe'!I129/C118</f>
        <v>17.341326300761605</v>
      </c>
      <c r="F118" s="110"/>
      <c r="G118" s="136">
        <f t="shared" si="5"/>
        <v>42.388746689831322</v>
      </c>
      <c r="H118" s="110">
        <f t="shared" si="6"/>
        <v>42.388746689831322</v>
      </c>
      <c r="I118" s="136">
        <f t="shared" si="7"/>
        <v>0</v>
      </c>
      <c r="J118" s="55">
        <f t="shared" si="8"/>
        <v>0</v>
      </c>
      <c r="K118" s="36"/>
    </row>
    <row r="119" spans="1:11" x14ac:dyDescent="0.25">
      <c r="A119" s="49">
        <f>'A) Base RI'!A121</f>
        <v>5589</v>
      </c>
      <c r="B119" s="293" t="str">
        <f>'A) Base RI'!B121</f>
        <v>Prilly</v>
      </c>
      <c r="C119" s="95">
        <f>'B) D RI'!U121</f>
        <v>455017.22467904515</v>
      </c>
      <c r="D119" s="110">
        <f>'E) Fact soc'!G125/C119</f>
        <v>16.433310365969675</v>
      </c>
      <c r="E119" s="136">
        <f>'H) Péréquation directe'!I130/C119</f>
        <v>-2.5273191886428577</v>
      </c>
      <c r="F119" s="110"/>
      <c r="G119" s="136">
        <f t="shared" si="5"/>
        <v>13.905991177326817</v>
      </c>
      <c r="H119" s="110">
        <f t="shared" si="6"/>
        <v>13.905991177326817</v>
      </c>
      <c r="I119" s="136">
        <f t="shared" si="7"/>
        <v>0</v>
      </c>
      <c r="J119" s="55">
        <f t="shared" si="8"/>
        <v>0</v>
      </c>
      <c r="K119" s="36"/>
    </row>
    <row r="120" spans="1:11" x14ac:dyDescent="0.25">
      <c r="A120" s="49">
        <f>'A) Base RI'!A122</f>
        <v>5590</v>
      </c>
      <c r="B120" s="293" t="str">
        <f>'A) Base RI'!B122</f>
        <v>Pully</v>
      </c>
      <c r="C120" s="95">
        <f>'B) D RI'!U122</f>
        <v>1478979.5848477751</v>
      </c>
      <c r="D120" s="110">
        <f>'E) Fact soc'!G126/C120</f>
        <v>23.537272455902258</v>
      </c>
      <c r="E120" s="136">
        <f>'H) Péréquation directe'!I131/C120</f>
        <v>10.482452796005582</v>
      </c>
      <c r="F120" s="110"/>
      <c r="G120" s="136">
        <f t="shared" si="5"/>
        <v>34.019725251907843</v>
      </c>
      <c r="H120" s="110">
        <f t="shared" si="6"/>
        <v>34.019725251907843</v>
      </c>
      <c r="I120" s="136">
        <f t="shared" si="7"/>
        <v>0</v>
      </c>
      <c r="J120" s="55">
        <f t="shared" si="8"/>
        <v>0</v>
      </c>
      <c r="K120" s="36"/>
    </row>
    <row r="121" spans="1:11" x14ac:dyDescent="0.25">
      <c r="A121" s="49">
        <f>'A) Base RI'!A123</f>
        <v>5591</v>
      </c>
      <c r="B121" s="293" t="str">
        <f>'A) Base RI'!B123</f>
        <v>Renens</v>
      </c>
      <c r="C121" s="95">
        <f>'B) D RI'!U123</f>
        <v>596748.60283858993</v>
      </c>
      <c r="D121" s="110">
        <f>'E) Fact soc'!G127/C121</f>
        <v>18.394559056272371</v>
      </c>
      <c r="E121" s="136">
        <f>'H) Péréquation directe'!I132/C121</f>
        <v>-23.120923030851905</v>
      </c>
      <c r="F121" s="110"/>
      <c r="G121" s="136">
        <f t="shared" si="5"/>
        <v>-4.7263639745795345</v>
      </c>
      <c r="H121" s="110">
        <f t="shared" si="6"/>
        <v>-4.7263639745795345</v>
      </c>
      <c r="I121" s="136">
        <f t="shared" si="7"/>
        <v>0</v>
      </c>
      <c r="J121" s="55">
        <f t="shared" si="8"/>
        <v>0</v>
      </c>
      <c r="K121" s="36"/>
    </row>
    <row r="122" spans="1:11" x14ac:dyDescent="0.25">
      <c r="A122" s="49">
        <f>'A) Base RI'!A124</f>
        <v>5592</v>
      </c>
      <c r="B122" s="293" t="str">
        <f>'A) Base RI'!B124</f>
        <v>Romanel-sur-Lausanne</v>
      </c>
      <c r="C122" s="95">
        <f>'B) D RI'!U124</f>
        <v>121292.24695035459</v>
      </c>
      <c r="D122" s="110">
        <f>'E) Fact soc'!G128/C122</f>
        <v>15.779719925065676</v>
      </c>
      <c r="E122" s="136">
        <f>'H) Péréquation directe'!I133/C122</f>
        <v>6.1039791516051478</v>
      </c>
      <c r="F122" s="110"/>
      <c r="G122" s="136">
        <f t="shared" si="5"/>
        <v>21.883699076670823</v>
      </c>
      <c r="H122" s="110">
        <f t="shared" si="6"/>
        <v>21.883699076670823</v>
      </c>
      <c r="I122" s="136">
        <f t="shared" si="7"/>
        <v>0</v>
      </c>
      <c r="J122" s="55">
        <f t="shared" si="8"/>
        <v>0</v>
      </c>
      <c r="K122" s="36"/>
    </row>
    <row r="123" spans="1:11" x14ac:dyDescent="0.25">
      <c r="A123" s="49">
        <f>'A) Base RI'!A125</f>
        <v>5601</v>
      </c>
      <c r="B123" s="293" t="str">
        <f>'A) Base RI'!B125</f>
        <v>Chexbres</v>
      </c>
      <c r="C123" s="95">
        <f>'B) D RI'!U125</f>
        <v>98072.029481481484</v>
      </c>
      <c r="D123" s="110">
        <f>'E) Fact soc'!G129/C123</f>
        <v>22.162546468136853</v>
      </c>
      <c r="E123" s="136">
        <f>'H) Péréquation directe'!I134/C123</f>
        <v>12.010769443503426</v>
      </c>
      <c r="F123" s="110"/>
      <c r="G123" s="136">
        <f t="shared" si="5"/>
        <v>34.17331591164028</v>
      </c>
      <c r="H123" s="110">
        <f t="shared" si="6"/>
        <v>34.17331591164028</v>
      </c>
      <c r="I123" s="136">
        <f t="shared" si="7"/>
        <v>0</v>
      </c>
      <c r="J123" s="55">
        <f t="shared" si="8"/>
        <v>0</v>
      </c>
      <c r="K123" s="36"/>
    </row>
    <row r="124" spans="1:11" x14ac:dyDescent="0.25">
      <c r="A124" s="49">
        <f>'A) Base RI'!A126</f>
        <v>5604</v>
      </c>
      <c r="B124" s="293" t="str">
        <f>'A) Base RI'!B126</f>
        <v>Forel (Lavaux)</v>
      </c>
      <c r="C124" s="95">
        <f>'B) D RI'!U126</f>
        <v>71309.914782608685</v>
      </c>
      <c r="D124" s="110">
        <f>'E) Fact soc'!G130/C124</f>
        <v>16.179537683499607</v>
      </c>
      <c r="E124" s="136">
        <f>'H) Péréquation directe'!I135/C124</f>
        <v>4.4559193073884646</v>
      </c>
      <c r="F124" s="110"/>
      <c r="G124" s="136">
        <f t="shared" si="5"/>
        <v>20.635456990888073</v>
      </c>
      <c r="H124" s="110">
        <f t="shared" si="6"/>
        <v>20.635456990888073</v>
      </c>
      <c r="I124" s="136">
        <f t="shared" si="7"/>
        <v>0</v>
      </c>
      <c r="J124" s="55">
        <f t="shared" si="8"/>
        <v>0</v>
      </c>
      <c r="K124" s="36"/>
    </row>
    <row r="125" spans="1:11" x14ac:dyDescent="0.25">
      <c r="A125" s="49">
        <f>'A) Base RI'!A127</f>
        <v>5606</v>
      </c>
      <c r="B125" s="293" t="str">
        <f>'A) Base RI'!B127</f>
        <v>Lutry</v>
      </c>
      <c r="C125" s="95">
        <f>'B) D RI'!U127</f>
        <v>875230.37264550268</v>
      </c>
      <c r="D125" s="110">
        <f>'E) Fact soc'!G131/C125</f>
        <v>23.734983812095429</v>
      </c>
      <c r="E125" s="136">
        <f>'H) Péréquation directe'!I136/C125</f>
        <v>13.445632105147526</v>
      </c>
      <c r="F125" s="110"/>
      <c r="G125" s="136">
        <f t="shared" si="5"/>
        <v>37.180615917242953</v>
      </c>
      <c r="H125" s="110">
        <f t="shared" si="6"/>
        <v>37.180615917242953</v>
      </c>
      <c r="I125" s="136">
        <f t="shared" si="7"/>
        <v>0</v>
      </c>
      <c r="J125" s="55">
        <f t="shared" si="8"/>
        <v>0</v>
      </c>
      <c r="K125" s="36"/>
    </row>
    <row r="126" spans="1:11" x14ac:dyDescent="0.25">
      <c r="A126" s="49">
        <f>'A) Base RI'!A128</f>
        <v>5607</v>
      </c>
      <c r="B126" s="293" t="str">
        <f>'A) Base RI'!B128</f>
        <v>Puidoux</v>
      </c>
      <c r="C126" s="95">
        <f>'B) D RI'!U128</f>
        <v>102944.97501110758</v>
      </c>
      <c r="D126" s="110">
        <f>'E) Fact soc'!G132/C126</f>
        <v>19.799713094402524</v>
      </c>
      <c r="E126" s="136">
        <f>'H) Péréquation directe'!I137/C126</f>
        <v>5.3749067095627483</v>
      </c>
      <c r="F126" s="110"/>
      <c r="G126" s="136">
        <f t="shared" si="5"/>
        <v>25.174619803965271</v>
      </c>
      <c r="H126" s="110">
        <f t="shared" si="6"/>
        <v>25.174619803965271</v>
      </c>
      <c r="I126" s="136">
        <f t="shared" si="7"/>
        <v>0</v>
      </c>
      <c r="J126" s="55">
        <f t="shared" si="8"/>
        <v>0</v>
      </c>
      <c r="K126" s="36"/>
    </row>
    <row r="127" spans="1:11" x14ac:dyDescent="0.25">
      <c r="A127" s="49">
        <f>'A) Base RI'!A129</f>
        <v>5609</v>
      </c>
      <c r="B127" s="293" t="str">
        <f>'A) Base RI'!B129</f>
        <v>Rivaz</v>
      </c>
      <c r="C127" s="95">
        <f>'B) D RI'!U129</f>
        <v>16048.850483870969</v>
      </c>
      <c r="D127" s="110">
        <f>'E) Fact soc'!G133/C127</f>
        <v>15.567517571063636</v>
      </c>
      <c r="E127" s="136">
        <f>'H) Péréquation directe'!I138/C127</f>
        <v>16.853879263963083</v>
      </c>
      <c r="F127" s="110"/>
      <c r="G127" s="136">
        <f t="shared" si="5"/>
        <v>32.421396835026719</v>
      </c>
      <c r="H127" s="110">
        <f t="shared" si="6"/>
        <v>32.421396835026719</v>
      </c>
      <c r="I127" s="136">
        <f t="shared" si="7"/>
        <v>0</v>
      </c>
      <c r="J127" s="55">
        <f t="shared" si="8"/>
        <v>0</v>
      </c>
      <c r="K127" s="36"/>
    </row>
    <row r="128" spans="1:11" x14ac:dyDescent="0.25">
      <c r="A128" s="49">
        <f>'A) Base RI'!A130</f>
        <v>5610</v>
      </c>
      <c r="B128" s="293" t="str">
        <f>'A) Base RI'!B130</f>
        <v>St-Saphorin (Lavaux)</v>
      </c>
      <c r="C128" s="95">
        <f>'B) D RI'!U130</f>
        <v>19213.723703703701</v>
      </c>
      <c r="D128" s="110">
        <f>'E) Fact soc'!G134/C128</f>
        <v>17.24727883531013</v>
      </c>
      <c r="E128" s="136">
        <f>'H) Péréquation directe'!I139/C128</f>
        <v>17.131843315932805</v>
      </c>
      <c r="F128" s="110"/>
      <c r="G128" s="136">
        <f t="shared" si="5"/>
        <v>34.379122151242939</v>
      </c>
      <c r="H128" s="110">
        <f t="shared" si="6"/>
        <v>34.379122151242939</v>
      </c>
      <c r="I128" s="136">
        <f t="shared" si="7"/>
        <v>0</v>
      </c>
      <c r="J128" s="55">
        <f t="shared" si="8"/>
        <v>0</v>
      </c>
      <c r="K128" s="36"/>
    </row>
    <row r="129" spans="1:11" x14ac:dyDescent="0.25">
      <c r="A129" s="49">
        <f>'A) Base RI'!A131</f>
        <v>5611</v>
      </c>
      <c r="B129" s="293" t="str">
        <f>'A) Base RI'!B131</f>
        <v>Savigny</v>
      </c>
      <c r="C129" s="95">
        <f>'B) D RI'!U131</f>
        <v>136715.33886473431</v>
      </c>
      <c r="D129" s="110">
        <f>'E) Fact soc'!G135/C129</f>
        <v>17.383143084697515</v>
      </c>
      <c r="E129" s="136">
        <f>'H) Péréquation directe'!I140/C129</f>
        <v>8.9548827967932088</v>
      </c>
      <c r="F129" s="110"/>
      <c r="G129" s="136">
        <f t="shared" si="5"/>
        <v>26.338025881490722</v>
      </c>
      <c r="H129" s="110">
        <f t="shared" si="6"/>
        <v>26.338025881490722</v>
      </c>
      <c r="I129" s="136">
        <f t="shared" si="7"/>
        <v>0</v>
      </c>
      <c r="J129" s="55">
        <f t="shared" si="8"/>
        <v>0</v>
      </c>
      <c r="K129" s="36"/>
    </row>
    <row r="130" spans="1:11" x14ac:dyDescent="0.25">
      <c r="A130" s="49">
        <f>'A) Base RI'!A132</f>
        <v>5613</v>
      </c>
      <c r="B130" s="293" t="str">
        <f>'A) Base RI'!B132</f>
        <v>Bourg-en-Lavaux</v>
      </c>
      <c r="C130" s="95">
        <f>'B) D RI'!U132</f>
        <v>343828.17631999997</v>
      </c>
      <c r="D130" s="110">
        <f>'E) Fact soc'!G136/C130</f>
        <v>19.66528847227011</v>
      </c>
      <c r="E130" s="136">
        <f>'H) Péréquation directe'!I141/C130</f>
        <v>13.69723649286985</v>
      </c>
      <c r="F130" s="110"/>
      <c r="G130" s="136">
        <f t="shared" si="5"/>
        <v>33.362524965139961</v>
      </c>
      <c r="H130" s="110">
        <f t="shared" si="6"/>
        <v>33.362524965139961</v>
      </c>
      <c r="I130" s="136">
        <f t="shared" si="7"/>
        <v>0</v>
      </c>
      <c r="J130" s="55">
        <f t="shared" si="8"/>
        <v>0</v>
      </c>
      <c r="K130" s="36"/>
    </row>
    <row r="131" spans="1:11" x14ac:dyDescent="0.25">
      <c r="A131" s="49">
        <f>'A) Base RI'!A133</f>
        <v>5621</v>
      </c>
      <c r="B131" s="293" t="str">
        <f>'A) Base RI'!B133</f>
        <v>Aclens</v>
      </c>
      <c r="C131" s="95">
        <f>'B) D RI'!U133</f>
        <v>32411.912521994131</v>
      </c>
      <c r="D131" s="110">
        <f>'E) Fact soc'!G137/C131</f>
        <v>21.066445118714547</v>
      </c>
      <c r="E131" s="136">
        <f>'H) Péréquation directe'!I142/C131</f>
        <v>17.615865208362056</v>
      </c>
      <c r="F131" s="110"/>
      <c r="G131" s="136">
        <f t="shared" si="5"/>
        <v>38.682310327076607</v>
      </c>
      <c r="H131" s="110">
        <f t="shared" si="6"/>
        <v>38.682310327076607</v>
      </c>
      <c r="I131" s="136">
        <f t="shared" si="7"/>
        <v>0</v>
      </c>
      <c r="J131" s="55">
        <f t="shared" si="8"/>
        <v>0</v>
      </c>
      <c r="K131" s="36"/>
    </row>
    <row r="132" spans="1:11" x14ac:dyDescent="0.25">
      <c r="A132" s="49">
        <f>'A) Base RI'!A134</f>
        <v>5622</v>
      </c>
      <c r="B132" s="293" t="str">
        <f>'A) Base RI'!B134</f>
        <v>Bremblens</v>
      </c>
      <c r="C132" s="95">
        <f>'B) D RI'!U134</f>
        <v>27803.201911764703</v>
      </c>
      <c r="D132" s="110">
        <f>'E) Fact soc'!G138/C132</f>
        <v>15.510188701333391</v>
      </c>
      <c r="E132" s="136">
        <f>'H) Péréquation directe'!I143/C132</f>
        <v>16.847821526418773</v>
      </c>
      <c r="F132" s="110"/>
      <c r="G132" s="136">
        <f t="shared" si="5"/>
        <v>32.35801022775216</v>
      </c>
      <c r="H132" s="110">
        <f t="shared" si="6"/>
        <v>32.35801022775216</v>
      </c>
      <c r="I132" s="136">
        <f t="shared" si="7"/>
        <v>0</v>
      </c>
      <c r="J132" s="55">
        <f t="shared" si="8"/>
        <v>0</v>
      </c>
      <c r="K132" s="36"/>
    </row>
    <row r="133" spans="1:11" x14ac:dyDescent="0.25">
      <c r="A133" s="49">
        <f>'A) Base RI'!A135</f>
        <v>5623</v>
      </c>
      <c r="B133" s="293" t="str">
        <f>'A) Base RI'!B135</f>
        <v>Buchillon</v>
      </c>
      <c r="C133" s="95">
        <f>'B) D RI'!U135</f>
        <v>94394.012307692305</v>
      </c>
      <c r="D133" s="110">
        <f>'E) Fact soc'!G139/C133</f>
        <v>28.658188495550085</v>
      </c>
      <c r="E133" s="136">
        <f>'H) Péréquation directe'!I144/C133</f>
        <v>18.734649936913314</v>
      </c>
      <c r="F133" s="110"/>
      <c r="G133" s="136">
        <f t="shared" si="5"/>
        <v>47.3928384324634</v>
      </c>
      <c r="H133" s="110">
        <f t="shared" si="6"/>
        <v>47.3928384324634</v>
      </c>
      <c r="I133" s="136">
        <f t="shared" si="7"/>
        <v>0</v>
      </c>
      <c r="J133" s="55">
        <f t="shared" si="8"/>
        <v>0</v>
      </c>
      <c r="K133" s="36"/>
    </row>
    <row r="134" spans="1:11" x14ac:dyDescent="0.25">
      <c r="A134" s="49">
        <f>'A) Base RI'!A136</f>
        <v>5624</v>
      </c>
      <c r="B134" s="293" t="str">
        <f>'A) Base RI'!B136</f>
        <v>Bussigny</v>
      </c>
      <c r="C134" s="95">
        <f>'B) D RI'!U136</f>
        <v>354162.79119999992</v>
      </c>
      <c r="D134" s="110">
        <f>'E) Fact soc'!G140/C134</f>
        <v>18.329243511393702</v>
      </c>
      <c r="E134" s="136">
        <f>'H) Péréquation directe'!I145/C134</f>
        <v>1.5183290111469099</v>
      </c>
      <c r="F134" s="110"/>
      <c r="G134" s="136">
        <f t="shared" ref="G134:G197" si="9">SUM(D134:F134)</f>
        <v>19.847572522540613</v>
      </c>
      <c r="H134" s="110">
        <f t="shared" ref="H134:H197" si="10">G134-F134</f>
        <v>19.847572522540613</v>
      </c>
      <c r="I134" s="136">
        <f t="shared" ref="I134:I197" si="11">IF(H134&lt;I$4,H134-I$4,0)</f>
        <v>0</v>
      </c>
      <c r="J134" s="55">
        <f t="shared" ref="J134:J197" si="12">-I134*C134</f>
        <v>0</v>
      </c>
      <c r="K134" s="36"/>
    </row>
    <row r="135" spans="1:11" x14ac:dyDescent="0.25">
      <c r="A135" s="49">
        <f>'A) Base RI'!A137</f>
        <v>5625</v>
      </c>
      <c r="B135" s="293" t="str">
        <f>'A) Base RI'!B137</f>
        <v>Bussy-Chardonney</v>
      </c>
      <c r="C135" s="95">
        <f>'B) D RI'!U137</f>
        <v>17740.486103896103</v>
      </c>
      <c r="D135" s="110">
        <f>'E) Fact soc'!G141/C135</f>
        <v>18.833826961995207</v>
      </c>
      <c r="E135" s="136">
        <f>'H) Péréquation directe'!I146/C135</f>
        <v>14.503916115405566</v>
      </c>
      <c r="F135" s="110"/>
      <c r="G135" s="136">
        <f t="shared" si="9"/>
        <v>33.337743077400773</v>
      </c>
      <c r="H135" s="110">
        <f t="shared" si="10"/>
        <v>33.337743077400773</v>
      </c>
      <c r="I135" s="136">
        <f t="shared" si="11"/>
        <v>0</v>
      </c>
      <c r="J135" s="55">
        <f t="shared" si="12"/>
        <v>0</v>
      </c>
      <c r="K135" s="36"/>
    </row>
    <row r="136" spans="1:11" x14ac:dyDescent="0.25">
      <c r="A136" s="49">
        <f>'A) Base RI'!A138</f>
        <v>5627</v>
      </c>
      <c r="B136" s="293" t="str">
        <f>'A) Base RI'!B138</f>
        <v>Chavannes-près-Renens</v>
      </c>
      <c r="C136" s="95">
        <f>'B) D RI'!U138</f>
        <v>161901.70176344088</v>
      </c>
      <c r="D136" s="110">
        <f>'E) Fact soc'!G142/C136</f>
        <v>16.708464079248444</v>
      </c>
      <c r="E136" s="136">
        <f>'H) Péréquation directe'!I147/C136</f>
        <v>-41.119297277404876</v>
      </c>
      <c r="F136" s="110"/>
      <c r="G136" s="136">
        <f t="shared" si="9"/>
        <v>-24.410833198156432</v>
      </c>
      <c r="H136" s="110">
        <f t="shared" si="10"/>
        <v>-24.410833198156432</v>
      </c>
      <c r="I136" s="136">
        <f t="shared" si="11"/>
        <v>-16.410833198156432</v>
      </c>
      <c r="J136" s="55">
        <f t="shared" si="12"/>
        <v>2656941.8221374974</v>
      </c>
      <c r="K136" s="36"/>
    </row>
    <row r="137" spans="1:11" x14ac:dyDescent="0.25">
      <c r="A137" s="49">
        <f>'A) Base RI'!A139</f>
        <v>5628</v>
      </c>
      <c r="B137" s="293" t="str">
        <f>'A) Base RI'!B139</f>
        <v>Chigny</v>
      </c>
      <c r="C137" s="95">
        <f>'B) D RI'!U139</f>
        <v>24624.530161290324</v>
      </c>
      <c r="D137" s="110">
        <f>'E) Fact soc'!G143/C137</f>
        <v>19.388694158637975</v>
      </c>
      <c r="E137" s="136">
        <f>'H) Péréquation directe'!I148/C137</f>
        <v>17.641752882214099</v>
      </c>
      <c r="F137" s="110"/>
      <c r="G137" s="136">
        <f t="shared" si="9"/>
        <v>37.030447040852074</v>
      </c>
      <c r="H137" s="110">
        <f t="shared" si="10"/>
        <v>37.030447040852074</v>
      </c>
      <c r="I137" s="136">
        <f t="shared" si="11"/>
        <v>0</v>
      </c>
      <c r="J137" s="55">
        <f t="shared" si="12"/>
        <v>0</v>
      </c>
      <c r="K137" s="36"/>
    </row>
    <row r="138" spans="1:11" x14ac:dyDescent="0.25">
      <c r="A138" s="49">
        <f>'A) Base RI'!A140</f>
        <v>5629</v>
      </c>
      <c r="B138" s="293" t="str">
        <f>'A) Base RI'!B140</f>
        <v>Clarmont</v>
      </c>
      <c r="C138" s="95">
        <f>'B) D RI'!U140</f>
        <v>8521.2598639455773</v>
      </c>
      <c r="D138" s="110">
        <f>'E) Fact soc'!G144/C138</f>
        <v>13.767183918665088</v>
      </c>
      <c r="E138" s="136">
        <f>'H) Péréquation directe'!I149/C138</f>
        <v>13.756636550179641</v>
      </c>
      <c r="F138" s="110"/>
      <c r="G138" s="136">
        <f t="shared" si="9"/>
        <v>27.523820468844729</v>
      </c>
      <c r="H138" s="110">
        <f t="shared" si="10"/>
        <v>27.523820468844729</v>
      </c>
      <c r="I138" s="136">
        <f t="shared" si="11"/>
        <v>0</v>
      </c>
      <c r="J138" s="55">
        <f t="shared" si="12"/>
        <v>0</v>
      </c>
      <c r="K138" s="36"/>
    </row>
    <row r="139" spans="1:11" x14ac:dyDescent="0.25">
      <c r="A139" s="49">
        <f>'A) Base RI'!A141</f>
        <v>5631</v>
      </c>
      <c r="B139" s="293" t="str">
        <f>'A) Base RI'!B141</f>
        <v>Denens</v>
      </c>
      <c r="C139" s="95">
        <f>'B) D RI'!U141</f>
        <v>43455.14235294117</v>
      </c>
      <c r="D139" s="110">
        <f>'E) Fact soc'!G145/C139</f>
        <v>20.414843672886359</v>
      </c>
      <c r="E139" s="136">
        <f>'H) Péréquation directe'!I150/C139</f>
        <v>17.518558164168493</v>
      </c>
      <c r="F139" s="110"/>
      <c r="G139" s="136">
        <f t="shared" si="9"/>
        <v>37.933401837054852</v>
      </c>
      <c r="H139" s="110">
        <f t="shared" si="10"/>
        <v>37.933401837054852</v>
      </c>
      <c r="I139" s="136">
        <f t="shared" si="11"/>
        <v>0</v>
      </c>
      <c r="J139" s="55">
        <f t="shared" si="12"/>
        <v>0</v>
      </c>
      <c r="K139" s="36"/>
    </row>
    <row r="140" spans="1:11" x14ac:dyDescent="0.25">
      <c r="A140" s="49">
        <f>'A) Base RI'!A142</f>
        <v>5632</v>
      </c>
      <c r="B140" s="293" t="str">
        <f>'A) Base RI'!B142</f>
        <v>Denges</v>
      </c>
      <c r="C140" s="95">
        <f>'B) D RI'!U142</f>
        <v>76479.966774193541</v>
      </c>
      <c r="D140" s="110">
        <f>'E) Fact soc'!G146/C140</f>
        <v>16.306943026970401</v>
      </c>
      <c r="E140" s="136">
        <f>'H) Péréquation directe'!I151/C140</f>
        <v>13.317449819265388</v>
      </c>
      <c r="F140" s="110"/>
      <c r="G140" s="136">
        <f t="shared" si="9"/>
        <v>29.624392846235789</v>
      </c>
      <c r="H140" s="110">
        <f t="shared" si="10"/>
        <v>29.624392846235789</v>
      </c>
      <c r="I140" s="136">
        <f t="shared" si="11"/>
        <v>0</v>
      </c>
      <c r="J140" s="55">
        <f t="shared" si="12"/>
        <v>0</v>
      </c>
      <c r="K140" s="36"/>
    </row>
    <row r="141" spans="1:11" x14ac:dyDescent="0.25">
      <c r="A141" s="49">
        <f>'A) Base RI'!A143</f>
        <v>5633</v>
      </c>
      <c r="B141" s="293" t="str">
        <f>'A) Base RI'!B143</f>
        <v>Echandens</v>
      </c>
      <c r="C141" s="95">
        <f>'B) D RI'!U143</f>
        <v>148865.46909090912</v>
      </c>
      <c r="D141" s="110">
        <f>'E) Fact soc'!G147/C141</f>
        <v>20.155901374405293</v>
      </c>
      <c r="E141" s="136">
        <f>'H) Péréquation directe'!I152/C141</f>
        <v>14.737825132303053</v>
      </c>
      <c r="F141" s="110"/>
      <c r="G141" s="136">
        <f t="shared" si="9"/>
        <v>34.893726506708347</v>
      </c>
      <c r="H141" s="110">
        <f t="shared" si="10"/>
        <v>34.893726506708347</v>
      </c>
      <c r="I141" s="136">
        <f t="shared" si="11"/>
        <v>0</v>
      </c>
      <c r="J141" s="55">
        <f t="shared" si="12"/>
        <v>0</v>
      </c>
      <c r="K141" s="36"/>
    </row>
    <row r="142" spans="1:11" x14ac:dyDescent="0.25">
      <c r="A142" s="49">
        <f>'A) Base RI'!A144</f>
        <v>5634</v>
      </c>
      <c r="B142" s="293" t="str">
        <f>'A) Base RI'!B144</f>
        <v>Echichens</v>
      </c>
      <c r="C142" s="95">
        <f>'B) D RI'!U144</f>
        <v>164177.5981818182</v>
      </c>
      <c r="D142" s="110">
        <f>'E) Fact soc'!G148/C142</f>
        <v>17.21108519058669</v>
      </c>
      <c r="E142" s="136">
        <f>'H) Péréquation directe'!I153/C142</f>
        <v>14.267498459059221</v>
      </c>
      <c r="F142" s="110"/>
      <c r="G142" s="136">
        <f t="shared" si="9"/>
        <v>31.478583649645913</v>
      </c>
      <c r="H142" s="110">
        <f t="shared" si="10"/>
        <v>31.478583649645913</v>
      </c>
      <c r="I142" s="136">
        <f t="shared" si="11"/>
        <v>0</v>
      </c>
      <c r="J142" s="55">
        <f t="shared" si="12"/>
        <v>0</v>
      </c>
      <c r="K142" s="36"/>
    </row>
    <row r="143" spans="1:11" x14ac:dyDescent="0.25">
      <c r="A143" s="49">
        <f>'A) Base RI'!A145</f>
        <v>5635</v>
      </c>
      <c r="B143" s="293" t="str">
        <f>'A) Base RI'!B145</f>
        <v>Ecublens</v>
      </c>
      <c r="C143" s="95">
        <f>'B) D RI'!U145</f>
        <v>681739.39309333346</v>
      </c>
      <c r="D143" s="110">
        <f>'E) Fact soc'!G149/C143</f>
        <v>17.631945918579959</v>
      </c>
      <c r="E143" s="136">
        <f>'H) Péréquation directe'!I154/C143</f>
        <v>8.0842766166757247</v>
      </c>
      <c r="F143" s="110"/>
      <c r="G143" s="136">
        <f t="shared" si="9"/>
        <v>25.716222535255682</v>
      </c>
      <c r="H143" s="110">
        <f t="shared" si="10"/>
        <v>25.716222535255682</v>
      </c>
      <c r="I143" s="136">
        <f t="shared" si="11"/>
        <v>0</v>
      </c>
      <c r="J143" s="55">
        <f t="shared" si="12"/>
        <v>0</v>
      </c>
      <c r="K143" s="36"/>
    </row>
    <row r="144" spans="1:11" x14ac:dyDescent="0.25">
      <c r="A144" s="49">
        <f>'A) Base RI'!A146</f>
        <v>5636</v>
      </c>
      <c r="B144" s="293" t="str">
        <f>'A) Base RI'!B146</f>
        <v>Etoy</v>
      </c>
      <c r="C144" s="95">
        <f>'B) D RI'!U146</f>
        <v>170715.46099999998</v>
      </c>
      <c r="D144" s="110">
        <f>'E) Fact soc'!G150/C144</f>
        <v>19.721853727751565</v>
      </c>
      <c r="E144" s="136">
        <f>'H) Péréquation directe'!I155/C144</f>
        <v>15.027122599316877</v>
      </c>
      <c r="F144" s="110"/>
      <c r="G144" s="136">
        <f t="shared" si="9"/>
        <v>34.748976327068441</v>
      </c>
      <c r="H144" s="110">
        <f t="shared" si="10"/>
        <v>34.748976327068441</v>
      </c>
      <c r="I144" s="136">
        <f t="shared" si="11"/>
        <v>0</v>
      </c>
      <c r="J144" s="55">
        <f t="shared" si="12"/>
        <v>0</v>
      </c>
      <c r="K144" s="36"/>
    </row>
    <row r="145" spans="1:11" x14ac:dyDescent="0.25">
      <c r="A145" s="49">
        <f>'A) Base RI'!A147</f>
        <v>5637</v>
      </c>
      <c r="B145" s="293" t="str">
        <f>'A) Base RI'!B147</f>
        <v>Lavigny</v>
      </c>
      <c r="C145" s="95">
        <f>'B) D RI'!U147</f>
        <v>41194.659315068493</v>
      </c>
      <c r="D145" s="110">
        <f>'E) Fact soc'!G151/C145</f>
        <v>17.870173701737492</v>
      </c>
      <c r="E145" s="136">
        <f>'H) Péréquation directe'!I156/C145</f>
        <v>12.736576838529613</v>
      </c>
      <c r="F145" s="110"/>
      <c r="G145" s="136">
        <f t="shared" si="9"/>
        <v>30.606750540267107</v>
      </c>
      <c r="H145" s="110">
        <f t="shared" si="10"/>
        <v>30.606750540267107</v>
      </c>
      <c r="I145" s="136">
        <f t="shared" si="11"/>
        <v>0</v>
      </c>
      <c r="J145" s="55">
        <f t="shared" si="12"/>
        <v>0</v>
      </c>
      <c r="K145" s="36"/>
    </row>
    <row r="146" spans="1:11" x14ac:dyDescent="0.25">
      <c r="A146" s="49">
        <f>'A) Base RI'!A148</f>
        <v>5638</v>
      </c>
      <c r="B146" s="293" t="str">
        <f>'A) Base RI'!B148</f>
        <v>Lonay</v>
      </c>
      <c r="C146" s="95">
        <f>'B) D RI'!U148</f>
        <v>145490.01981818181</v>
      </c>
      <c r="D146" s="110">
        <f>'E) Fact soc'!G152/C146</f>
        <v>22.660844586695891</v>
      </c>
      <c r="E146" s="136">
        <f>'H) Péréquation directe'!I157/C146</f>
        <v>14.776913524827695</v>
      </c>
      <c r="F146" s="110"/>
      <c r="G146" s="136">
        <f t="shared" si="9"/>
        <v>37.437758111523586</v>
      </c>
      <c r="H146" s="110">
        <f t="shared" si="10"/>
        <v>37.437758111523586</v>
      </c>
      <c r="I146" s="136">
        <f t="shared" si="11"/>
        <v>0</v>
      </c>
      <c r="J146" s="55">
        <f t="shared" si="12"/>
        <v>0</v>
      </c>
      <c r="K146" s="36"/>
    </row>
    <row r="147" spans="1:11" x14ac:dyDescent="0.25">
      <c r="A147" s="49">
        <f>'A) Base RI'!A149</f>
        <v>5639</v>
      </c>
      <c r="B147" s="293" t="str">
        <f>'A) Base RI'!B149</f>
        <v>Lully</v>
      </c>
      <c r="C147" s="95">
        <f>'B) D RI'!U149</f>
        <v>45623.094262295082</v>
      </c>
      <c r="D147" s="110">
        <f>'E) Fact soc'!G153/C147</f>
        <v>16.872570179551687</v>
      </c>
      <c r="E147" s="136">
        <f>'H) Péréquation directe'!I158/C147</f>
        <v>17.393588636141168</v>
      </c>
      <c r="F147" s="110"/>
      <c r="G147" s="136">
        <f t="shared" si="9"/>
        <v>34.266158815692854</v>
      </c>
      <c r="H147" s="110">
        <f t="shared" si="10"/>
        <v>34.266158815692854</v>
      </c>
      <c r="I147" s="136">
        <f t="shared" si="11"/>
        <v>0</v>
      </c>
      <c r="J147" s="55">
        <f t="shared" si="12"/>
        <v>0</v>
      </c>
      <c r="K147" s="36"/>
    </row>
    <row r="148" spans="1:11" x14ac:dyDescent="0.25">
      <c r="A148" s="49">
        <f>'A) Base RI'!A150</f>
        <v>5640</v>
      </c>
      <c r="B148" s="293" t="str">
        <f>'A) Base RI'!B150</f>
        <v>Lussy-sur-Morges</v>
      </c>
      <c r="C148" s="95">
        <f>'B) D RI'!U150</f>
        <v>57031.532424242418</v>
      </c>
      <c r="D148" s="110">
        <f>'E) Fact soc'!G154/C148</f>
        <v>24.097094859754289</v>
      </c>
      <c r="E148" s="136">
        <f>'H) Péréquation directe'!I159/C148</f>
        <v>18.066043086590081</v>
      </c>
      <c r="F148" s="110"/>
      <c r="G148" s="136">
        <f t="shared" si="9"/>
        <v>42.163137946344371</v>
      </c>
      <c r="H148" s="110">
        <f t="shared" si="10"/>
        <v>42.163137946344371</v>
      </c>
      <c r="I148" s="136">
        <f t="shared" si="11"/>
        <v>0</v>
      </c>
      <c r="J148" s="55">
        <f t="shared" si="12"/>
        <v>0</v>
      </c>
      <c r="K148" s="36"/>
    </row>
    <row r="149" spans="1:11" x14ac:dyDescent="0.25">
      <c r="A149" s="49">
        <f>'A) Base RI'!A151</f>
        <v>5642</v>
      </c>
      <c r="B149" s="293" t="str">
        <f>'A) Base RI'!B151</f>
        <v>Morges</v>
      </c>
      <c r="C149" s="95">
        <f>'B) D RI'!U151</f>
        <v>787513.11402985093</v>
      </c>
      <c r="D149" s="110">
        <f>'E) Fact soc'!G155/C149</f>
        <v>17.68937433635692</v>
      </c>
      <c r="E149" s="136">
        <f>'H) Péréquation directe'!I160/C149</f>
        <v>5.8749471625668841</v>
      </c>
      <c r="F149" s="110"/>
      <c r="G149" s="136">
        <f t="shared" si="9"/>
        <v>23.564321498923803</v>
      </c>
      <c r="H149" s="110">
        <f t="shared" si="10"/>
        <v>23.564321498923803</v>
      </c>
      <c r="I149" s="136">
        <f t="shared" si="11"/>
        <v>0</v>
      </c>
      <c r="J149" s="55">
        <f t="shared" si="12"/>
        <v>0</v>
      </c>
      <c r="K149" s="36"/>
    </row>
    <row r="150" spans="1:11" x14ac:dyDescent="0.25">
      <c r="A150" s="49">
        <f>'A) Base RI'!A152</f>
        <v>5643</v>
      </c>
      <c r="B150" s="293" t="str">
        <f>'A) Base RI'!B152</f>
        <v>Préverenges</v>
      </c>
      <c r="C150" s="95">
        <f>'B) D RI'!U152</f>
        <v>262337.37167999998</v>
      </c>
      <c r="D150" s="110">
        <f>'E) Fact soc'!G156/C150</f>
        <v>15.784893933795605</v>
      </c>
      <c r="E150" s="136">
        <f>'H) Péréquation directe'!I161/C150</f>
        <v>12.188301087285215</v>
      </c>
      <c r="F150" s="110"/>
      <c r="G150" s="136">
        <f t="shared" si="9"/>
        <v>27.973195021080819</v>
      </c>
      <c r="H150" s="110">
        <f t="shared" si="10"/>
        <v>27.973195021080819</v>
      </c>
      <c r="I150" s="136">
        <f t="shared" si="11"/>
        <v>0</v>
      </c>
      <c r="J150" s="55">
        <f t="shared" si="12"/>
        <v>0</v>
      </c>
      <c r="K150" s="36"/>
    </row>
    <row r="151" spans="1:11" x14ac:dyDescent="0.25">
      <c r="A151" s="49">
        <f>'A) Base RI'!A153</f>
        <v>5644</v>
      </c>
      <c r="B151" s="293" t="str">
        <f>'A) Base RI'!B153</f>
        <v>Reverolle</v>
      </c>
      <c r="C151" s="95">
        <f>'B) D RI'!U153</f>
        <v>16020.747027027028</v>
      </c>
      <c r="D151" s="110">
        <f>'E) Fact soc'!G157/C151</f>
        <v>14.429212053728298</v>
      </c>
      <c r="E151" s="136">
        <f>'H) Péréquation directe'!I162/C151</f>
        <v>11.568559758267947</v>
      </c>
      <c r="F151" s="110"/>
      <c r="G151" s="136">
        <f t="shared" si="9"/>
        <v>25.997771811996245</v>
      </c>
      <c r="H151" s="110">
        <f t="shared" si="10"/>
        <v>25.997771811996245</v>
      </c>
      <c r="I151" s="136">
        <f t="shared" si="11"/>
        <v>0</v>
      </c>
      <c r="J151" s="55">
        <f t="shared" si="12"/>
        <v>0</v>
      </c>
      <c r="K151" s="36"/>
    </row>
    <row r="152" spans="1:11" x14ac:dyDescent="0.25">
      <c r="A152" s="49">
        <f>'A) Base RI'!A154</f>
        <v>5645</v>
      </c>
      <c r="B152" s="293" t="str">
        <f>'A) Base RI'!B154</f>
        <v>Romanel-sur-Morges</v>
      </c>
      <c r="C152" s="95">
        <f>'B) D RI'!U154</f>
        <v>27365.134464285718</v>
      </c>
      <c r="D152" s="110">
        <f>'E) Fact soc'!G158/C152</f>
        <v>19.301224150909356</v>
      </c>
      <c r="E152" s="136">
        <f>'H) Péréquation directe'!I163/C152</f>
        <v>17.524275678225987</v>
      </c>
      <c r="F152" s="110"/>
      <c r="G152" s="136">
        <f t="shared" si="9"/>
        <v>36.825499829135339</v>
      </c>
      <c r="H152" s="110">
        <f t="shared" si="10"/>
        <v>36.825499829135339</v>
      </c>
      <c r="I152" s="136">
        <f t="shared" si="11"/>
        <v>0</v>
      </c>
      <c r="J152" s="55">
        <f t="shared" si="12"/>
        <v>0</v>
      </c>
      <c r="K152" s="36"/>
    </row>
    <row r="153" spans="1:11" x14ac:dyDescent="0.25">
      <c r="A153" s="49">
        <f>'A) Base RI'!A155</f>
        <v>5646</v>
      </c>
      <c r="B153" s="293" t="str">
        <f>'A) Base RI'!B155</f>
        <v>Saint-Prex</v>
      </c>
      <c r="C153" s="95">
        <f>'B) D RI'!U155</f>
        <v>541092.68090909091</v>
      </c>
      <c r="D153" s="110">
        <f>'E) Fact soc'!G159/C153</f>
        <v>24.737017060573937</v>
      </c>
      <c r="E153" s="136">
        <f>'H) Péréquation directe'!I164/C153</f>
        <v>15.338654852024627</v>
      </c>
      <c r="F153" s="110"/>
      <c r="G153" s="136">
        <f t="shared" si="9"/>
        <v>40.075671912598565</v>
      </c>
      <c r="H153" s="110">
        <f t="shared" si="10"/>
        <v>40.075671912598565</v>
      </c>
      <c r="I153" s="136">
        <f t="shared" si="11"/>
        <v>0</v>
      </c>
      <c r="J153" s="55">
        <f t="shared" si="12"/>
        <v>0</v>
      </c>
      <c r="K153" s="36"/>
    </row>
    <row r="154" spans="1:11" x14ac:dyDescent="0.25">
      <c r="A154" s="49">
        <f>'A) Base RI'!A156</f>
        <v>5648</v>
      </c>
      <c r="B154" s="293" t="str">
        <f>'A) Base RI'!B156</f>
        <v>Saint-Sulpice</v>
      </c>
      <c r="C154" s="95">
        <f>'B) D RI'!U156</f>
        <v>396458.15636363637</v>
      </c>
      <c r="D154" s="110">
        <f>'E) Fact soc'!G160/C154</f>
        <v>22.280004927160395</v>
      </c>
      <c r="E154" s="136">
        <f>'H) Péréquation directe'!I165/C154</f>
        <v>15.183395764254717</v>
      </c>
      <c r="F154" s="110"/>
      <c r="G154" s="136">
        <f t="shared" si="9"/>
        <v>37.46340069141511</v>
      </c>
      <c r="H154" s="110">
        <f t="shared" si="10"/>
        <v>37.46340069141511</v>
      </c>
      <c r="I154" s="136">
        <f t="shared" si="11"/>
        <v>0</v>
      </c>
      <c r="J154" s="55">
        <f t="shared" si="12"/>
        <v>0</v>
      </c>
      <c r="K154" s="36"/>
    </row>
    <row r="155" spans="1:11" x14ac:dyDescent="0.25">
      <c r="A155" s="49">
        <f>'A) Base RI'!A157</f>
        <v>5649</v>
      </c>
      <c r="B155" s="293" t="str">
        <f>'A) Base RI'!B157</f>
        <v>Tolochenaz</v>
      </c>
      <c r="C155" s="95">
        <f>'B) D RI'!U157</f>
        <v>215548.34569230766</v>
      </c>
      <c r="D155" s="110">
        <f>'E) Fact soc'!G161/C155</f>
        <v>29.296522631844589</v>
      </c>
      <c r="E155" s="136">
        <f>'H) Péréquation directe'!I166/C155</f>
        <v>17.628606218596079</v>
      </c>
      <c r="F155" s="110"/>
      <c r="G155" s="136">
        <f t="shared" si="9"/>
        <v>46.925128850440672</v>
      </c>
      <c r="H155" s="110">
        <f t="shared" si="10"/>
        <v>46.925128850440672</v>
      </c>
      <c r="I155" s="136">
        <f t="shared" si="11"/>
        <v>0</v>
      </c>
      <c r="J155" s="55">
        <f t="shared" si="12"/>
        <v>0</v>
      </c>
      <c r="K155" s="36"/>
    </row>
    <row r="156" spans="1:11" x14ac:dyDescent="0.25">
      <c r="A156" s="49">
        <f>'A) Base RI'!A158</f>
        <v>5650</v>
      </c>
      <c r="B156" s="293" t="str">
        <f>'A) Base RI'!B158</f>
        <v>Vaux-sur-Morges</v>
      </c>
      <c r="C156" s="95">
        <f>'B) D RI'!U158</f>
        <v>63002.429285714286</v>
      </c>
      <c r="D156" s="110">
        <f>'E) Fact soc'!G162/C156</f>
        <v>206.19792615314216</v>
      </c>
      <c r="E156" s="136">
        <f>'H) Péréquation directe'!I167/C156</f>
        <v>19.253956964141388</v>
      </c>
      <c r="F156" s="110"/>
      <c r="G156" s="136">
        <f t="shared" si="9"/>
        <v>225.45188311728356</v>
      </c>
      <c r="H156" s="110">
        <f t="shared" si="10"/>
        <v>225.45188311728356</v>
      </c>
      <c r="I156" s="136">
        <f t="shared" si="11"/>
        <v>0</v>
      </c>
      <c r="J156" s="55">
        <f t="shared" si="12"/>
        <v>0</v>
      </c>
      <c r="K156" s="36"/>
    </row>
    <row r="157" spans="1:11" x14ac:dyDescent="0.25">
      <c r="A157" s="49">
        <f>'A) Base RI'!A159</f>
        <v>5651</v>
      </c>
      <c r="B157" s="293" t="str">
        <f>'A) Base RI'!B159</f>
        <v>Villars-Sainte-Croix</v>
      </c>
      <c r="C157" s="95">
        <f>'B) D RI'!U159</f>
        <v>55737.982975206622</v>
      </c>
      <c r="D157" s="110">
        <f>'E) Fact soc'!G163/C157</f>
        <v>19.180163313881359</v>
      </c>
      <c r="E157" s="136">
        <f>'H) Péréquation directe'!I168/C157</f>
        <v>17.504611068424119</v>
      </c>
      <c r="F157" s="110"/>
      <c r="G157" s="136">
        <f t="shared" si="9"/>
        <v>36.684774382305477</v>
      </c>
      <c r="H157" s="110">
        <f t="shared" si="10"/>
        <v>36.684774382305477</v>
      </c>
      <c r="I157" s="136">
        <f t="shared" si="11"/>
        <v>0</v>
      </c>
      <c r="J157" s="55">
        <f t="shared" si="12"/>
        <v>0</v>
      </c>
      <c r="K157" s="36"/>
    </row>
    <row r="158" spans="1:11" x14ac:dyDescent="0.25">
      <c r="A158" s="49">
        <f>'A) Base RI'!A160</f>
        <v>5652</v>
      </c>
      <c r="B158" s="293" t="str">
        <f>'A) Base RI'!B160</f>
        <v>Villars-sous-Yens</v>
      </c>
      <c r="C158" s="95">
        <f>'B) D RI'!U160</f>
        <v>25662.281995614037</v>
      </c>
      <c r="D158" s="110">
        <f>'E) Fact soc'!G164/C158</f>
        <v>16.824206875628384</v>
      </c>
      <c r="E158" s="136">
        <f>'H) Péréquation directe'!I169/C158</f>
        <v>13.084546322705961</v>
      </c>
      <c r="F158" s="110"/>
      <c r="G158" s="136">
        <f t="shared" si="9"/>
        <v>29.908753198334345</v>
      </c>
      <c r="H158" s="110">
        <f t="shared" si="10"/>
        <v>29.908753198334345</v>
      </c>
      <c r="I158" s="136">
        <f t="shared" si="11"/>
        <v>0</v>
      </c>
      <c r="J158" s="55">
        <f t="shared" si="12"/>
        <v>0</v>
      </c>
      <c r="K158" s="36"/>
    </row>
    <row r="159" spans="1:11" x14ac:dyDescent="0.25">
      <c r="A159" s="49">
        <f>'A) Base RI'!A161</f>
        <v>5653</v>
      </c>
      <c r="B159" s="293" t="str">
        <f>'A) Base RI'!B161</f>
        <v>Vufflens-le-Château</v>
      </c>
      <c r="C159" s="95">
        <f>'B) D RI'!U161</f>
        <v>68786.034529914527</v>
      </c>
      <c r="D159" s="110">
        <f>'E) Fact soc'!G165/C159</f>
        <v>22.795366818574994</v>
      </c>
      <c r="E159" s="136">
        <f>'H) Péréquation directe'!I170/C159</f>
        <v>18.067499661324558</v>
      </c>
      <c r="F159" s="110"/>
      <c r="G159" s="136">
        <f t="shared" si="9"/>
        <v>40.862866479899552</v>
      </c>
      <c r="H159" s="110">
        <f t="shared" si="10"/>
        <v>40.862866479899552</v>
      </c>
      <c r="I159" s="136">
        <f t="shared" si="11"/>
        <v>0</v>
      </c>
      <c r="J159" s="55">
        <f t="shared" si="12"/>
        <v>0</v>
      </c>
      <c r="K159" s="36"/>
    </row>
    <row r="160" spans="1:11" x14ac:dyDescent="0.25">
      <c r="A160" s="49">
        <f>'A) Base RI'!A162</f>
        <v>5654</v>
      </c>
      <c r="B160" s="293" t="str">
        <f>'A) Base RI'!B162</f>
        <v>Vullierens</v>
      </c>
      <c r="C160" s="95">
        <f>'B) D RI'!U162</f>
        <v>19265.899342105262</v>
      </c>
      <c r="D160" s="110">
        <f>'E) Fact soc'!G166/C160</f>
        <v>17.733166241750194</v>
      </c>
      <c r="E160" s="136">
        <f>'H) Péréquation directe'!I171/C160</f>
        <v>7.9154717386365991</v>
      </c>
      <c r="F160" s="110"/>
      <c r="G160" s="136">
        <f t="shared" si="9"/>
        <v>25.648637980386795</v>
      </c>
      <c r="H160" s="110">
        <f t="shared" si="10"/>
        <v>25.648637980386795</v>
      </c>
      <c r="I160" s="136">
        <f t="shared" si="11"/>
        <v>0</v>
      </c>
      <c r="J160" s="55">
        <f t="shared" si="12"/>
        <v>0</v>
      </c>
      <c r="K160" s="36"/>
    </row>
    <row r="161" spans="1:11" x14ac:dyDescent="0.25">
      <c r="A161" s="49">
        <f>'A) Base RI'!A163</f>
        <v>5655</v>
      </c>
      <c r="B161" s="293" t="str">
        <f>'A) Base RI'!B163</f>
        <v>Yens</v>
      </c>
      <c r="C161" s="95">
        <f>'B) D RI'!U163</f>
        <v>90935.122097902116</v>
      </c>
      <c r="D161" s="110">
        <f>'E) Fact soc'!G167/C161</f>
        <v>19.619244686524677</v>
      </c>
      <c r="E161" s="136">
        <f>'H) Péréquation directe'!I172/C161</f>
        <v>16.439619755585028</v>
      </c>
      <c r="F161" s="110"/>
      <c r="G161" s="136">
        <f t="shared" si="9"/>
        <v>36.058864442109709</v>
      </c>
      <c r="H161" s="110">
        <f t="shared" si="10"/>
        <v>36.058864442109709</v>
      </c>
      <c r="I161" s="136">
        <f t="shared" si="11"/>
        <v>0</v>
      </c>
      <c r="J161" s="55">
        <f t="shared" si="12"/>
        <v>0</v>
      </c>
      <c r="K161" s="36"/>
    </row>
    <row r="162" spans="1:11" x14ac:dyDescent="0.25">
      <c r="A162" s="49">
        <f>'A) Base RI'!A164</f>
        <v>5661</v>
      </c>
      <c r="B162" s="293" t="str">
        <f>'A) Base RI'!B164</f>
        <v>Boulens</v>
      </c>
      <c r="C162" s="95">
        <f>'B) D RI'!U164</f>
        <v>10167.852447552446</v>
      </c>
      <c r="D162" s="110">
        <f>'E) Fact soc'!G168/C162</f>
        <v>15.214776311529162</v>
      </c>
      <c r="E162" s="136">
        <f>'H) Péréquation directe'!I173/C162</f>
        <v>-0.21093576680747678</v>
      </c>
      <c r="F162" s="110"/>
      <c r="G162" s="136">
        <f t="shared" si="9"/>
        <v>15.003840544721685</v>
      </c>
      <c r="H162" s="110">
        <f t="shared" si="10"/>
        <v>15.003840544721685</v>
      </c>
      <c r="I162" s="136">
        <f t="shared" si="11"/>
        <v>0</v>
      </c>
      <c r="J162" s="55">
        <f t="shared" si="12"/>
        <v>0</v>
      </c>
      <c r="K162" s="36"/>
    </row>
    <row r="163" spans="1:11" x14ac:dyDescent="0.25">
      <c r="A163" s="49">
        <f>'A) Base RI'!A165</f>
        <v>5663</v>
      </c>
      <c r="B163" s="293" t="str">
        <f>'A) Base RI'!B165</f>
        <v>Bussy-sur-Moudon</v>
      </c>
      <c r="C163" s="95">
        <f>'B) D RI'!U165</f>
        <v>5408.1284999999998</v>
      </c>
      <c r="D163" s="110">
        <f>'E) Fact soc'!G169/C163</f>
        <v>15.488879822286506</v>
      </c>
      <c r="E163" s="136">
        <f>'H) Péréquation directe'!I174/C163</f>
        <v>-9.7977807701758177</v>
      </c>
      <c r="F163" s="110"/>
      <c r="G163" s="136">
        <f t="shared" si="9"/>
        <v>5.6910990521106886</v>
      </c>
      <c r="H163" s="110">
        <f t="shared" si="10"/>
        <v>5.6910990521106886</v>
      </c>
      <c r="I163" s="136">
        <f t="shared" si="11"/>
        <v>0</v>
      </c>
      <c r="J163" s="55">
        <f t="shared" si="12"/>
        <v>0</v>
      </c>
      <c r="K163" s="36"/>
    </row>
    <row r="164" spans="1:11" x14ac:dyDescent="0.25">
      <c r="A164" s="49">
        <f>'A) Base RI'!A166</f>
        <v>5665</v>
      </c>
      <c r="B164" s="293" t="str">
        <f>'A) Base RI'!B166</f>
        <v>Chavannes-sur-Moudon</v>
      </c>
      <c r="C164" s="95">
        <f>'B) D RI'!U166</f>
        <v>6834.8221917808223</v>
      </c>
      <c r="D164" s="110">
        <f>'E) Fact soc'!G170/C164</f>
        <v>17.401274071789054</v>
      </c>
      <c r="E164" s="136">
        <f>'H) Péréquation directe'!I175/C164</f>
        <v>3.3662203298928315</v>
      </c>
      <c r="F164" s="110"/>
      <c r="G164" s="136">
        <f t="shared" si="9"/>
        <v>20.767494401681887</v>
      </c>
      <c r="H164" s="110">
        <f t="shared" si="10"/>
        <v>20.767494401681887</v>
      </c>
      <c r="I164" s="136">
        <f t="shared" si="11"/>
        <v>0</v>
      </c>
      <c r="J164" s="55">
        <f t="shared" si="12"/>
        <v>0</v>
      </c>
      <c r="K164" s="36"/>
    </row>
    <row r="165" spans="1:11" x14ac:dyDescent="0.25">
      <c r="A165" s="49">
        <f>'A) Base RI'!A167</f>
        <v>5669</v>
      </c>
      <c r="B165" s="293" t="str">
        <f>'A) Base RI'!B167</f>
        <v>Curtilles</v>
      </c>
      <c r="C165" s="95">
        <f>'B) D RI'!U167</f>
        <v>10286.853972602739</v>
      </c>
      <c r="D165" s="110">
        <f>'E) Fact soc'!G171/C165</f>
        <v>15.099297272787336</v>
      </c>
      <c r="E165" s="136">
        <f>'H) Péréquation directe'!I176/C165</f>
        <v>7.2508476652532492</v>
      </c>
      <c r="F165" s="110"/>
      <c r="G165" s="136">
        <f t="shared" si="9"/>
        <v>22.350144938040586</v>
      </c>
      <c r="H165" s="110">
        <f t="shared" si="10"/>
        <v>22.350144938040586</v>
      </c>
      <c r="I165" s="136">
        <f t="shared" si="11"/>
        <v>0</v>
      </c>
      <c r="J165" s="55">
        <f t="shared" si="12"/>
        <v>0</v>
      </c>
      <c r="K165" s="36"/>
    </row>
    <row r="166" spans="1:11" x14ac:dyDescent="0.25">
      <c r="A166" s="49">
        <f>'A) Base RI'!A168</f>
        <v>5671</v>
      </c>
      <c r="B166" s="293" t="str">
        <f>'A) Base RI'!B168</f>
        <v>Dompierre</v>
      </c>
      <c r="C166" s="95">
        <f>'B) D RI'!U168</f>
        <v>6034.0657692307695</v>
      </c>
      <c r="D166" s="110">
        <f>'E) Fact soc'!G172/C166</f>
        <v>18.359572086113971</v>
      </c>
      <c r="E166" s="136">
        <f>'H) Péréquation directe'!I177/C166</f>
        <v>-8.7330684744063714</v>
      </c>
      <c r="F166" s="110"/>
      <c r="G166" s="136">
        <f t="shared" si="9"/>
        <v>9.6265036117075997</v>
      </c>
      <c r="H166" s="110">
        <f t="shared" si="10"/>
        <v>9.6265036117075997</v>
      </c>
      <c r="I166" s="136">
        <f t="shared" si="11"/>
        <v>0</v>
      </c>
      <c r="J166" s="55">
        <f t="shared" si="12"/>
        <v>0</v>
      </c>
      <c r="K166" s="36"/>
    </row>
    <row r="167" spans="1:11" x14ac:dyDescent="0.25">
      <c r="A167" s="49">
        <f>'A) Base RI'!A169</f>
        <v>5673</v>
      </c>
      <c r="B167" s="293" t="str">
        <f>'A) Base RI'!B169</f>
        <v>Hermenches</v>
      </c>
      <c r="C167" s="95">
        <f>'B) D RI'!U169</f>
        <v>10638.728435374151</v>
      </c>
      <c r="D167" s="110">
        <f>'E) Fact soc'!G173/C167</f>
        <v>14.852861929587609</v>
      </c>
      <c r="E167" s="136">
        <f>'H) Péréquation directe'!I178/C167</f>
        <v>-0.85219887681405371</v>
      </c>
      <c r="F167" s="110"/>
      <c r="G167" s="136">
        <f t="shared" si="9"/>
        <v>14.000663052773556</v>
      </c>
      <c r="H167" s="110">
        <f t="shared" si="10"/>
        <v>14.000663052773556</v>
      </c>
      <c r="I167" s="136">
        <f t="shared" si="11"/>
        <v>0</v>
      </c>
      <c r="J167" s="55">
        <f t="shared" si="12"/>
        <v>0</v>
      </c>
      <c r="K167" s="36"/>
    </row>
    <row r="168" spans="1:11" x14ac:dyDescent="0.25">
      <c r="A168" s="49">
        <f>'A) Base RI'!A170</f>
        <v>5674</v>
      </c>
      <c r="B168" s="293" t="str">
        <f>'A) Base RI'!B170</f>
        <v>Lovatens</v>
      </c>
      <c r="C168" s="95">
        <f>'B) D RI'!U170</f>
        <v>3430.742038095239</v>
      </c>
      <c r="D168" s="110">
        <f>'E) Fact soc'!G174/C168</f>
        <v>24.536202465397171</v>
      </c>
      <c r="E168" s="136">
        <f>'H) Péréquation directe'!I179/C168</f>
        <v>-7.9266112126693606</v>
      </c>
      <c r="F168" s="110"/>
      <c r="G168" s="136">
        <f t="shared" si="9"/>
        <v>16.60959125272781</v>
      </c>
      <c r="H168" s="110">
        <f t="shared" si="10"/>
        <v>16.60959125272781</v>
      </c>
      <c r="I168" s="136">
        <f t="shared" si="11"/>
        <v>0</v>
      </c>
      <c r="J168" s="55">
        <f t="shared" si="12"/>
        <v>0</v>
      </c>
      <c r="K168" s="36"/>
    </row>
    <row r="169" spans="1:11" x14ac:dyDescent="0.25">
      <c r="A169" s="49">
        <f>'A) Base RI'!A171</f>
        <v>5675</v>
      </c>
      <c r="B169" s="293" t="str">
        <f>'A) Base RI'!B171</f>
        <v>Lucens</v>
      </c>
      <c r="C169" s="95">
        <f>'B) D RI'!U171</f>
        <v>97154.219717171698</v>
      </c>
      <c r="D169" s="110">
        <f>'E) Fact soc'!G175/C169</f>
        <v>16.203014877827435</v>
      </c>
      <c r="E169" s="136">
        <f>'H) Péréquation directe'!I180/C169</f>
        <v>-16.246579352157415</v>
      </c>
      <c r="F169" s="110"/>
      <c r="G169" s="136">
        <f t="shared" si="9"/>
        <v>-4.3564474329979674E-2</v>
      </c>
      <c r="H169" s="110">
        <f t="shared" si="10"/>
        <v>-4.3564474329979674E-2</v>
      </c>
      <c r="I169" s="136">
        <f t="shared" si="11"/>
        <v>0</v>
      </c>
      <c r="J169" s="55">
        <f t="shared" si="12"/>
        <v>0</v>
      </c>
      <c r="K169" s="36"/>
    </row>
    <row r="170" spans="1:11" x14ac:dyDescent="0.25">
      <c r="A170" s="49">
        <f>'A) Base RI'!A172</f>
        <v>5678</v>
      </c>
      <c r="B170" s="293" t="str">
        <f>'A) Base RI'!B172</f>
        <v>Moudon</v>
      </c>
      <c r="C170" s="95">
        <f>'B) D RI'!U172</f>
        <v>124965.41862068966</v>
      </c>
      <c r="D170" s="110">
        <f>'E) Fact soc'!G176/C170</f>
        <v>18.797108390523068</v>
      </c>
      <c r="E170" s="136">
        <f>'H) Péréquation directe'!I181/C170</f>
        <v>-28.706496144735695</v>
      </c>
      <c r="F170" s="110"/>
      <c r="G170" s="136">
        <f t="shared" si="9"/>
        <v>-9.9093877542126272</v>
      </c>
      <c r="H170" s="110">
        <f t="shared" si="10"/>
        <v>-9.9093877542126272</v>
      </c>
      <c r="I170" s="136">
        <f t="shared" si="11"/>
        <v>-1.9093877542126272</v>
      </c>
      <c r="J170" s="55">
        <f t="shared" si="12"/>
        <v>238607.44001439944</v>
      </c>
      <c r="K170" s="36"/>
    </row>
    <row r="171" spans="1:11" x14ac:dyDescent="0.25">
      <c r="A171" s="49">
        <f>'A) Base RI'!A173</f>
        <v>5680</v>
      </c>
      <c r="B171" s="293" t="str">
        <f>'A) Base RI'!B173</f>
        <v>Ogens</v>
      </c>
      <c r="C171" s="95">
        <f>'B) D RI'!U173</f>
        <v>8675.0652136752142</v>
      </c>
      <c r="D171" s="110">
        <f>'E) Fact soc'!G177/C171</f>
        <v>19.459853690743728</v>
      </c>
      <c r="E171" s="136">
        <f>'H) Péréquation directe'!I182/C171</f>
        <v>-1.0565065152516171</v>
      </c>
      <c r="F171" s="110"/>
      <c r="G171" s="136">
        <f t="shared" si="9"/>
        <v>18.403347175492112</v>
      </c>
      <c r="H171" s="110">
        <f t="shared" si="10"/>
        <v>18.403347175492112</v>
      </c>
      <c r="I171" s="136">
        <f t="shared" si="11"/>
        <v>0</v>
      </c>
      <c r="J171" s="55">
        <f t="shared" si="12"/>
        <v>0</v>
      </c>
      <c r="K171" s="36"/>
    </row>
    <row r="172" spans="1:11" x14ac:dyDescent="0.25">
      <c r="A172" s="49">
        <f>'A) Base RI'!A174</f>
        <v>5683</v>
      </c>
      <c r="B172" s="293" t="str">
        <f>'A) Base RI'!B174</f>
        <v>Prévonloup</v>
      </c>
      <c r="C172" s="95">
        <f>'B) D RI'!U174</f>
        <v>5006.0282758620697</v>
      </c>
      <c r="D172" s="110">
        <f>'E) Fact soc'!G178/C172</f>
        <v>13.964797088185218</v>
      </c>
      <c r="E172" s="136">
        <f>'H) Péréquation directe'!I183/C172</f>
        <v>-5.2717191546291469</v>
      </c>
      <c r="F172" s="110"/>
      <c r="G172" s="136">
        <f t="shared" si="9"/>
        <v>8.6930779335560722</v>
      </c>
      <c r="H172" s="110">
        <f t="shared" si="10"/>
        <v>8.6930779335560722</v>
      </c>
      <c r="I172" s="136">
        <f t="shared" si="11"/>
        <v>0</v>
      </c>
      <c r="J172" s="55">
        <f t="shared" si="12"/>
        <v>0</v>
      </c>
      <c r="K172" s="36"/>
    </row>
    <row r="173" spans="1:11" x14ac:dyDescent="0.25">
      <c r="A173" s="49">
        <f>'A) Base RI'!A175</f>
        <v>5684</v>
      </c>
      <c r="B173" s="293" t="str">
        <f>'A) Base RI'!B175</f>
        <v>Rossenges</v>
      </c>
      <c r="C173" s="95">
        <f>'B) D RI'!U175</f>
        <v>4335.3234000000011</v>
      </c>
      <c r="D173" s="110">
        <f>'E) Fact soc'!G179/C173</f>
        <v>14.527815470578911</v>
      </c>
      <c r="E173" s="136">
        <f>'H) Péréquation directe'!I184/C173</f>
        <v>17.233292951787664</v>
      </c>
      <c r="F173" s="110"/>
      <c r="G173" s="136">
        <f t="shared" si="9"/>
        <v>31.761108422366576</v>
      </c>
      <c r="H173" s="110">
        <f t="shared" si="10"/>
        <v>31.761108422366576</v>
      </c>
      <c r="I173" s="136">
        <f t="shared" si="11"/>
        <v>0</v>
      </c>
      <c r="J173" s="55">
        <f t="shared" si="12"/>
        <v>0</v>
      </c>
      <c r="K173" s="36"/>
    </row>
    <row r="174" spans="1:11" x14ac:dyDescent="0.25">
      <c r="A174" s="49">
        <f>'A) Base RI'!A176</f>
        <v>5688</v>
      </c>
      <c r="B174" s="293" t="str">
        <f>'A) Base RI'!B176</f>
        <v>Syens</v>
      </c>
      <c r="C174" s="95">
        <f>'B) D RI'!U176</f>
        <v>5094.0764550264557</v>
      </c>
      <c r="D174" s="110">
        <f>'E) Fact soc'!G180/C174</f>
        <v>13.532602904153666</v>
      </c>
      <c r="E174" s="136">
        <f>'H) Péréquation directe'!I185/C174</f>
        <v>4.9411706344285786</v>
      </c>
      <c r="F174" s="110"/>
      <c r="G174" s="136">
        <f t="shared" si="9"/>
        <v>18.473773538582243</v>
      </c>
      <c r="H174" s="110">
        <f t="shared" si="10"/>
        <v>18.473773538582243</v>
      </c>
      <c r="I174" s="136">
        <f t="shared" si="11"/>
        <v>0</v>
      </c>
      <c r="J174" s="55">
        <f t="shared" si="12"/>
        <v>0</v>
      </c>
      <c r="K174" s="36"/>
    </row>
    <row r="175" spans="1:11" x14ac:dyDescent="0.25">
      <c r="A175" s="49">
        <f>'A) Base RI'!A177</f>
        <v>5690</v>
      </c>
      <c r="B175" s="293" t="str">
        <f>'A) Base RI'!B177</f>
        <v>Villars-le-Comte</v>
      </c>
      <c r="C175" s="95">
        <f>'B) D RI'!U177</f>
        <v>3483.7788571428573</v>
      </c>
      <c r="D175" s="110">
        <f>'E) Fact soc'!G181/C175</f>
        <v>18.631462705658219</v>
      </c>
      <c r="E175" s="136">
        <f>'H) Péréquation directe'!I186/C175</f>
        <v>2.4028137531412987</v>
      </c>
      <c r="F175" s="110"/>
      <c r="G175" s="136">
        <f t="shared" si="9"/>
        <v>21.034276458799518</v>
      </c>
      <c r="H175" s="110">
        <f t="shared" si="10"/>
        <v>21.034276458799518</v>
      </c>
      <c r="I175" s="136">
        <f t="shared" si="11"/>
        <v>0</v>
      </c>
      <c r="J175" s="55">
        <f t="shared" si="12"/>
        <v>0</v>
      </c>
      <c r="K175" s="36"/>
    </row>
    <row r="176" spans="1:11" x14ac:dyDescent="0.25">
      <c r="A176" s="49">
        <f>'A) Base RI'!A178</f>
        <v>5692</v>
      </c>
      <c r="B176" s="293" t="str">
        <f>'A) Base RI'!B178</f>
        <v>Vucherens</v>
      </c>
      <c r="C176" s="95">
        <f>'B) D RI'!U178</f>
        <v>18084.556363636369</v>
      </c>
      <c r="D176" s="110">
        <f>'E) Fact soc'!G182/C176</f>
        <v>16.523446739552146</v>
      </c>
      <c r="E176" s="136">
        <f>'H) Péréquation directe'!I187/C176</f>
        <v>9.714282484443075E-2</v>
      </c>
      <c r="F176" s="110"/>
      <c r="G176" s="136">
        <f t="shared" si="9"/>
        <v>16.620589564396575</v>
      </c>
      <c r="H176" s="110">
        <f t="shared" si="10"/>
        <v>16.620589564396575</v>
      </c>
      <c r="I176" s="136">
        <f t="shared" si="11"/>
        <v>0</v>
      </c>
      <c r="J176" s="55">
        <f t="shared" si="12"/>
        <v>0</v>
      </c>
      <c r="K176" s="36"/>
    </row>
    <row r="177" spans="1:11" x14ac:dyDescent="0.25">
      <c r="A177" s="49">
        <f>'A) Base RI'!A179</f>
        <v>5693</v>
      </c>
      <c r="B177" s="293" t="str">
        <f>'A) Base RI'!B179</f>
        <v>Montanaire</v>
      </c>
      <c r="C177" s="95">
        <f>'B) D RI'!U179</f>
        <v>71120.535138888881</v>
      </c>
      <c r="D177" s="110">
        <f>'E) Fact soc'!G183/C177</f>
        <v>17.15663566288012</v>
      </c>
      <c r="E177" s="136">
        <f>'H) Péréquation directe'!I188/C177</f>
        <v>-9.2002377399638107</v>
      </c>
      <c r="F177" s="110"/>
      <c r="G177" s="136">
        <f t="shared" si="9"/>
        <v>7.9563979229163095</v>
      </c>
      <c r="H177" s="110">
        <f t="shared" si="10"/>
        <v>7.9563979229163095</v>
      </c>
      <c r="I177" s="136">
        <f t="shared" si="11"/>
        <v>0</v>
      </c>
      <c r="J177" s="55">
        <f t="shared" si="12"/>
        <v>0</v>
      </c>
      <c r="K177" s="36"/>
    </row>
    <row r="178" spans="1:11" x14ac:dyDescent="0.25">
      <c r="A178" s="49">
        <f>'A) Base RI'!A180</f>
        <v>5701</v>
      </c>
      <c r="B178" s="293" t="str">
        <f>'A) Base RI'!B180</f>
        <v>Arnex-sur-Nyon</v>
      </c>
      <c r="C178" s="95">
        <f>'B) D RI'!U180</f>
        <v>12579.391714285715</v>
      </c>
      <c r="D178" s="110">
        <f>'E) Fact soc'!G184/C178</f>
        <v>20.820985900932435</v>
      </c>
      <c r="E178" s="136">
        <f>'H) Péréquation directe'!I189/C178</f>
        <v>17.270105917005218</v>
      </c>
      <c r="F178" s="110"/>
      <c r="G178" s="136">
        <f t="shared" si="9"/>
        <v>38.091091817937652</v>
      </c>
      <c r="H178" s="110">
        <f t="shared" si="10"/>
        <v>38.091091817937652</v>
      </c>
      <c r="I178" s="136">
        <f t="shared" si="11"/>
        <v>0</v>
      </c>
      <c r="J178" s="55">
        <f t="shared" si="12"/>
        <v>0</v>
      </c>
      <c r="K178" s="36"/>
    </row>
    <row r="179" spans="1:11" x14ac:dyDescent="0.25">
      <c r="A179" s="49">
        <f>'A) Base RI'!A181</f>
        <v>5702</v>
      </c>
      <c r="B179" s="293" t="str">
        <f>'A) Base RI'!B181</f>
        <v>Arzier-Le Muids</v>
      </c>
      <c r="C179" s="95">
        <f>'B) D RI'!U181</f>
        <v>167751.11713541666</v>
      </c>
      <c r="D179" s="110">
        <f>'E) Fact soc'!G185/C179</f>
        <v>18.56654289710858</v>
      </c>
      <c r="E179" s="136">
        <f>'H) Péréquation directe'!I190/C179</f>
        <v>14.93947400331797</v>
      </c>
      <c r="F179" s="110"/>
      <c r="G179" s="136">
        <f t="shared" si="9"/>
        <v>33.506016900426552</v>
      </c>
      <c r="H179" s="110">
        <f t="shared" si="10"/>
        <v>33.506016900426552</v>
      </c>
      <c r="I179" s="136">
        <f t="shared" si="11"/>
        <v>0</v>
      </c>
      <c r="J179" s="55">
        <f t="shared" si="12"/>
        <v>0</v>
      </c>
      <c r="K179" s="36"/>
    </row>
    <row r="180" spans="1:11" x14ac:dyDescent="0.25">
      <c r="A180" s="49">
        <f>'A) Base RI'!A182</f>
        <v>5703</v>
      </c>
      <c r="B180" s="293" t="str">
        <f>'A) Base RI'!B182</f>
        <v>Bassins</v>
      </c>
      <c r="C180" s="95">
        <f>'B) D RI'!U182</f>
        <v>66904.36396059113</v>
      </c>
      <c r="D180" s="110">
        <f>'E) Fact soc'!G186/C180</f>
        <v>17.462271625572377</v>
      </c>
      <c r="E180" s="136">
        <f>'H) Péréquation directe'!I191/C180</f>
        <v>14.009228170255803</v>
      </c>
      <c r="F180" s="110"/>
      <c r="G180" s="136">
        <f t="shared" si="9"/>
        <v>31.47149979582818</v>
      </c>
      <c r="H180" s="110">
        <f t="shared" si="10"/>
        <v>31.47149979582818</v>
      </c>
      <c r="I180" s="136">
        <f t="shared" si="11"/>
        <v>0</v>
      </c>
      <c r="J180" s="55">
        <f t="shared" si="12"/>
        <v>0</v>
      </c>
      <c r="K180" s="36"/>
    </row>
    <row r="181" spans="1:11" x14ac:dyDescent="0.25">
      <c r="A181" s="49">
        <f>'A) Base RI'!A183</f>
        <v>5704</v>
      </c>
      <c r="B181" s="293" t="str">
        <f>'A) Base RI'!B183</f>
        <v>Begnins</v>
      </c>
      <c r="C181" s="95">
        <f>'B) D RI'!U183</f>
        <v>141538.79477333333</v>
      </c>
      <c r="D181" s="110">
        <f>'E) Fact soc'!G187/C181</f>
        <v>20.778304301056654</v>
      </c>
      <c r="E181" s="136">
        <f>'H) Péréquation directe'!I192/C181</f>
        <v>16.483414502828634</v>
      </c>
      <c r="F181" s="110"/>
      <c r="G181" s="136">
        <f t="shared" si="9"/>
        <v>37.261718803885287</v>
      </c>
      <c r="H181" s="110">
        <f t="shared" si="10"/>
        <v>37.261718803885287</v>
      </c>
      <c r="I181" s="136">
        <f t="shared" si="11"/>
        <v>0</v>
      </c>
      <c r="J181" s="55">
        <f t="shared" si="12"/>
        <v>0</v>
      </c>
      <c r="K181" s="36"/>
    </row>
    <row r="182" spans="1:11" x14ac:dyDescent="0.25">
      <c r="A182" s="49">
        <f>'A) Base RI'!A184</f>
        <v>5705</v>
      </c>
      <c r="B182" s="293" t="str">
        <f>'A) Base RI'!B184</f>
        <v>Bogis-Bossey</v>
      </c>
      <c r="C182" s="95">
        <f>'B) D RI'!U184</f>
        <v>56148.948053691274</v>
      </c>
      <c r="D182" s="110">
        <f>'E) Fact soc'!G188/C182</f>
        <v>22.478213449980728</v>
      </c>
      <c r="E182" s="136">
        <f>'H) Péréquation directe'!I193/C182</f>
        <v>17.7918308279333</v>
      </c>
      <c r="F182" s="110"/>
      <c r="G182" s="136">
        <f t="shared" si="9"/>
        <v>40.270044277914025</v>
      </c>
      <c r="H182" s="110">
        <f t="shared" si="10"/>
        <v>40.270044277914025</v>
      </c>
      <c r="I182" s="136">
        <f t="shared" si="11"/>
        <v>0</v>
      </c>
      <c r="J182" s="55">
        <f t="shared" si="12"/>
        <v>0</v>
      </c>
      <c r="K182" s="36"/>
    </row>
    <row r="183" spans="1:11" x14ac:dyDescent="0.25">
      <c r="A183" s="49">
        <f>'A) Base RI'!A185</f>
        <v>5706</v>
      </c>
      <c r="B183" s="293" t="str">
        <f>'A) Base RI'!B185</f>
        <v>Borex</v>
      </c>
      <c r="C183" s="95">
        <f>'B) D RI'!U185</f>
        <v>84057.706842105254</v>
      </c>
      <c r="D183" s="110">
        <f>'E) Fact soc'!G189/C183</f>
        <v>20.12404401452612</v>
      </c>
      <c r="E183" s="136">
        <f>'H) Péréquation directe'!I194/C183</f>
        <v>17.512203420939805</v>
      </c>
      <c r="F183" s="110"/>
      <c r="G183" s="136">
        <f t="shared" si="9"/>
        <v>37.636247435465926</v>
      </c>
      <c r="H183" s="110">
        <f t="shared" si="10"/>
        <v>37.636247435465926</v>
      </c>
      <c r="I183" s="136">
        <f t="shared" si="11"/>
        <v>0</v>
      </c>
      <c r="J183" s="55">
        <f t="shared" si="12"/>
        <v>0</v>
      </c>
      <c r="K183" s="36"/>
    </row>
    <row r="184" spans="1:11" x14ac:dyDescent="0.25">
      <c r="A184" s="49">
        <f>'A) Base RI'!A186</f>
        <v>5707</v>
      </c>
      <c r="B184" s="293" t="str">
        <f>'A) Base RI'!B186</f>
        <v>Chavannes-de-Bogis</v>
      </c>
      <c r="C184" s="95">
        <f>'B) D RI'!U186</f>
        <v>81835.320459770097</v>
      </c>
      <c r="D184" s="110">
        <f>'E) Fact soc'!G190/C184</f>
        <v>21.549888741171301</v>
      </c>
      <c r="E184" s="136">
        <f>'H) Péréquation directe'!I195/C184</f>
        <v>16.724831088778604</v>
      </c>
      <c r="F184" s="110"/>
      <c r="G184" s="136">
        <f t="shared" si="9"/>
        <v>38.274719829949902</v>
      </c>
      <c r="H184" s="110">
        <f t="shared" si="10"/>
        <v>38.274719829949902</v>
      </c>
      <c r="I184" s="136">
        <f t="shared" si="11"/>
        <v>0</v>
      </c>
      <c r="J184" s="55">
        <f t="shared" si="12"/>
        <v>0</v>
      </c>
      <c r="K184" s="36"/>
    </row>
    <row r="185" spans="1:11" x14ac:dyDescent="0.25">
      <c r="A185" s="49">
        <f>'A) Base RI'!A187</f>
        <v>5708</v>
      </c>
      <c r="B185" s="293" t="str">
        <f>'A) Base RI'!B187</f>
        <v>Chavannes-des-Bois</v>
      </c>
      <c r="C185" s="95">
        <f>'B) D RI'!U187</f>
        <v>67256.112794117653</v>
      </c>
      <c r="D185" s="110">
        <f>'E) Fact soc'!G191/C185</f>
        <v>20.432019599318817</v>
      </c>
      <c r="E185" s="136">
        <f>'H) Péréquation directe'!I196/C185</f>
        <v>17.725048726695412</v>
      </c>
      <c r="F185" s="110"/>
      <c r="G185" s="136">
        <f t="shared" si="9"/>
        <v>38.157068326014226</v>
      </c>
      <c r="H185" s="110">
        <f t="shared" si="10"/>
        <v>38.157068326014226</v>
      </c>
      <c r="I185" s="136">
        <f t="shared" si="11"/>
        <v>0</v>
      </c>
      <c r="J185" s="55">
        <f t="shared" si="12"/>
        <v>0</v>
      </c>
      <c r="K185" s="36"/>
    </row>
    <row r="186" spans="1:11" x14ac:dyDescent="0.25">
      <c r="A186" s="49">
        <f>'A) Base RI'!A188</f>
        <v>5709</v>
      </c>
      <c r="B186" s="293" t="str">
        <f>'A) Base RI'!B188</f>
        <v>Chéserex</v>
      </c>
      <c r="C186" s="95">
        <f>'B) D RI'!U188</f>
        <v>97368.06631578946</v>
      </c>
      <c r="D186" s="110">
        <f>'E) Fact soc'!G192/C186</f>
        <v>22.222627934233184</v>
      </c>
      <c r="E186" s="136">
        <f>'H) Péréquation directe'!I197/C186</f>
        <v>17.478020807159595</v>
      </c>
      <c r="F186" s="110"/>
      <c r="G186" s="136">
        <f t="shared" si="9"/>
        <v>39.700648741392783</v>
      </c>
      <c r="H186" s="110">
        <f t="shared" si="10"/>
        <v>39.700648741392783</v>
      </c>
      <c r="I186" s="136">
        <f t="shared" si="11"/>
        <v>0</v>
      </c>
      <c r="J186" s="55">
        <f t="shared" si="12"/>
        <v>0</v>
      </c>
      <c r="K186" s="36"/>
    </row>
    <row r="187" spans="1:11" x14ac:dyDescent="0.25">
      <c r="A187" s="49">
        <f>'A) Base RI'!A189</f>
        <v>5710</v>
      </c>
      <c r="B187" s="293" t="str">
        <f>'A) Base RI'!B189</f>
        <v>Coinsins</v>
      </c>
      <c r="C187" s="95">
        <f>'B) D RI'!U189</f>
        <v>41108.965294117646</v>
      </c>
      <c r="D187" s="110">
        <f>'E) Fact soc'!G193/C187</f>
        <v>20.704272464358684</v>
      </c>
      <c r="E187" s="136">
        <f>'H) Péréquation directe'!I198/C187</f>
        <v>18.100505470848915</v>
      </c>
      <c r="F187" s="110"/>
      <c r="G187" s="136">
        <f t="shared" si="9"/>
        <v>38.804777935207596</v>
      </c>
      <c r="H187" s="110">
        <f t="shared" si="10"/>
        <v>38.804777935207596</v>
      </c>
      <c r="I187" s="136">
        <f t="shared" si="11"/>
        <v>0</v>
      </c>
      <c r="J187" s="55">
        <f t="shared" si="12"/>
        <v>0</v>
      </c>
      <c r="K187" s="36"/>
    </row>
    <row r="188" spans="1:11" x14ac:dyDescent="0.25">
      <c r="A188" s="49">
        <f>'A) Base RI'!A190</f>
        <v>5711</v>
      </c>
      <c r="B188" s="293" t="str">
        <f>'A) Base RI'!B190</f>
        <v>Commugny</v>
      </c>
      <c r="C188" s="95">
        <f>'B) D RI'!U190</f>
        <v>252772.67295911297</v>
      </c>
      <c r="D188" s="110">
        <f>'E) Fact soc'!G194/C188</f>
        <v>23.369742698368583</v>
      </c>
      <c r="E188" s="136">
        <f>'H) Péréquation directe'!I199/C188</f>
        <v>16.402351271433492</v>
      </c>
      <c r="F188" s="110"/>
      <c r="G188" s="136">
        <f t="shared" si="9"/>
        <v>39.772093969802071</v>
      </c>
      <c r="H188" s="110">
        <f t="shared" si="10"/>
        <v>39.772093969802071</v>
      </c>
      <c r="I188" s="136">
        <f t="shared" si="11"/>
        <v>0</v>
      </c>
      <c r="J188" s="55">
        <f t="shared" si="12"/>
        <v>0</v>
      </c>
      <c r="K188" s="36"/>
    </row>
    <row r="189" spans="1:11" x14ac:dyDescent="0.25">
      <c r="A189" s="49">
        <f>'A) Base RI'!A191</f>
        <v>5712</v>
      </c>
      <c r="B189" s="293" t="str">
        <f>'A) Base RI'!B191</f>
        <v>Coppet</v>
      </c>
      <c r="C189" s="95">
        <f>'B) D RI'!U191</f>
        <v>382004.08345911955</v>
      </c>
      <c r="D189" s="110">
        <f>'E) Fact soc'!G195/C189</f>
        <v>27.702208133070553</v>
      </c>
      <c r="E189" s="136">
        <f>'H) Péréquation directe'!I200/C189</f>
        <v>17.172790735944886</v>
      </c>
      <c r="F189" s="110"/>
      <c r="G189" s="136">
        <f t="shared" si="9"/>
        <v>44.874998869015442</v>
      </c>
      <c r="H189" s="110">
        <f t="shared" si="10"/>
        <v>44.874998869015442</v>
      </c>
      <c r="I189" s="136">
        <f t="shared" si="11"/>
        <v>0</v>
      </c>
      <c r="J189" s="55">
        <f t="shared" si="12"/>
        <v>0</v>
      </c>
      <c r="K189" s="36"/>
    </row>
    <row r="190" spans="1:11" x14ac:dyDescent="0.25">
      <c r="A190" s="49">
        <f>'A) Base RI'!A192</f>
        <v>5713</v>
      </c>
      <c r="B190" s="293" t="str">
        <f>'A) Base RI'!B192</f>
        <v>Crans-près-Céligny</v>
      </c>
      <c r="C190" s="95">
        <f>'B) D RI'!U192</f>
        <v>308668.8301785714</v>
      </c>
      <c r="D190" s="110">
        <f>'E) Fact soc'!G196/C190</f>
        <v>31.022064530583773</v>
      </c>
      <c r="E190" s="136">
        <f>'H) Péréquation directe'!I201/C190</f>
        <v>17.72686043357232</v>
      </c>
      <c r="F190" s="110"/>
      <c r="G190" s="136">
        <f t="shared" si="9"/>
        <v>48.748924964156089</v>
      </c>
      <c r="H190" s="110">
        <f t="shared" si="10"/>
        <v>48.748924964156089</v>
      </c>
      <c r="I190" s="136">
        <f t="shared" si="11"/>
        <v>0</v>
      </c>
      <c r="J190" s="55">
        <f t="shared" si="12"/>
        <v>0</v>
      </c>
      <c r="K190" s="36"/>
    </row>
    <row r="191" spans="1:11" x14ac:dyDescent="0.25">
      <c r="A191" s="49">
        <f>'A) Base RI'!A193</f>
        <v>5714</v>
      </c>
      <c r="B191" s="293" t="str">
        <f>'A) Base RI'!B193</f>
        <v>Crassier</v>
      </c>
      <c r="C191" s="95">
        <f>'B) D RI'!U193</f>
        <v>53429.691617647055</v>
      </c>
      <c r="D191" s="110">
        <f>'E) Fact soc'!G197/C191</f>
        <v>16.586536483389814</v>
      </c>
      <c r="E191" s="136">
        <f>'H) Péréquation directe'!I202/C191</f>
        <v>15.099229094842924</v>
      </c>
      <c r="F191" s="110"/>
      <c r="G191" s="136">
        <f t="shared" si="9"/>
        <v>31.68576557823274</v>
      </c>
      <c r="H191" s="110">
        <f t="shared" si="10"/>
        <v>31.68576557823274</v>
      </c>
      <c r="I191" s="136">
        <f t="shared" si="11"/>
        <v>0</v>
      </c>
      <c r="J191" s="55">
        <f t="shared" si="12"/>
        <v>0</v>
      </c>
      <c r="K191" s="36"/>
    </row>
    <row r="192" spans="1:11" x14ac:dyDescent="0.25">
      <c r="A192" s="49">
        <f>'A) Base RI'!A194</f>
        <v>5715</v>
      </c>
      <c r="B192" s="293" t="str">
        <f>'A) Base RI'!B194</f>
        <v>Duillier</v>
      </c>
      <c r="C192" s="95">
        <f>'B) D RI'!U194</f>
        <v>61573.714242424234</v>
      </c>
      <c r="D192" s="110">
        <f>'E) Fact soc'!G198/C192</f>
        <v>18.945209598388871</v>
      </c>
      <c r="E192" s="136">
        <f>'H) Péréquation directe'!I203/C192</f>
        <v>16.900289202059046</v>
      </c>
      <c r="F192" s="110"/>
      <c r="G192" s="136">
        <f t="shared" si="9"/>
        <v>35.845498800447913</v>
      </c>
      <c r="H192" s="110">
        <f t="shared" si="10"/>
        <v>35.845498800447913</v>
      </c>
      <c r="I192" s="136">
        <f t="shared" si="11"/>
        <v>0</v>
      </c>
      <c r="J192" s="55">
        <f t="shared" si="12"/>
        <v>0</v>
      </c>
      <c r="K192" s="36"/>
    </row>
    <row r="193" spans="1:11" x14ac:dyDescent="0.25">
      <c r="A193" s="49">
        <f>'A) Base RI'!A195</f>
        <v>5716</v>
      </c>
      <c r="B193" s="293" t="str">
        <f>'A) Base RI'!B195</f>
        <v>Eysins</v>
      </c>
      <c r="C193" s="95">
        <f>'B) D RI'!U195</f>
        <v>311499.41949579836</v>
      </c>
      <c r="D193" s="110">
        <f>'E) Fact soc'!G199/C193</f>
        <v>36.398702465184471</v>
      </c>
      <c r="E193" s="136">
        <f>'H) Péréquation directe'!I204/C193</f>
        <v>18.412939348769854</v>
      </c>
      <c r="F193" s="110"/>
      <c r="G193" s="136">
        <f t="shared" si="9"/>
        <v>54.811641813954324</v>
      </c>
      <c r="H193" s="110">
        <f t="shared" si="10"/>
        <v>54.811641813954324</v>
      </c>
      <c r="I193" s="136">
        <f t="shared" si="11"/>
        <v>0</v>
      </c>
      <c r="J193" s="55">
        <f t="shared" si="12"/>
        <v>0</v>
      </c>
      <c r="K193" s="36"/>
    </row>
    <row r="194" spans="1:11" x14ac:dyDescent="0.25">
      <c r="A194" s="49">
        <f>'A) Base RI'!A196</f>
        <v>5717</v>
      </c>
      <c r="B194" s="293" t="str">
        <f>'A) Base RI'!B196</f>
        <v>Founex</v>
      </c>
      <c r="C194" s="95">
        <f>'B) D RI'!U196</f>
        <v>386801.60228070174</v>
      </c>
      <c r="D194" s="110">
        <f>'E) Fact soc'!G200/C194</f>
        <v>26.781702800546988</v>
      </c>
      <c r="E194" s="136">
        <f>'H) Péréquation directe'!I205/C194</f>
        <v>16.450659130770813</v>
      </c>
      <c r="F194" s="110"/>
      <c r="G194" s="136">
        <f t="shared" si="9"/>
        <v>43.232361931317797</v>
      </c>
      <c r="H194" s="110">
        <f t="shared" si="10"/>
        <v>43.232361931317797</v>
      </c>
      <c r="I194" s="136">
        <f t="shared" si="11"/>
        <v>0</v>
      </c>
      <c r="J194" s="55">
        <f t="shared" si="12"/>
        <v>0</v>
      </c>
      <c r="K194" s="36"/>
    </row>
    <row r="195" spans="1:11" x14ac:dyDescent="0.25">
      <c r="A195" s="49">
        <f>'A) Base RI'!A197</f>
        <v>5718</v>
      </c>
      <c r="B195" s="293" t="str">
        <f>'A) Base RI'!B197</f>
        <v>Genolier</v>
      </c>
      <c r="C195" s="95">
        <f>'B) D RI'!U197</f>
        <v>245082.27927272729</v>
      </c>
      <c r="D195" s="110">
        <f>'E) Fact soc'!G201/C195</f>
        <v>28.582965382511095</v>
      </c>
      <c r="E195" s="136">
        <f>'H) Péréquation directe'!I206/C195</f>
        <v>17.71890528223609</v>
      </c>
      <c r="F195" s="110"/>
      <c r="G195" s="136">
        <f t="shared" si="9"/>
        <v>46.301870664747184</v>
      </c>
      <c r="H195" s="110">
        <f t="shared" si="10"/>
        <v>46.301870664747184</v>
      </c>
      <c r="I195" s="136">
        <f t="shared" si="11"/>
        <v>0</v>
      </c>
      <c r="J195" s="55">
        <f t="shared" si="12"/>
        <v>0</v>
      </c>
      <c r="K195" s="36"/>
    </row>
    <row r="196" spans="1:11" x14ac:dyDescent="0.25">
      <c r="A196" s="49">
        <f>'A) Base RI'!A198</f>
        <v>5719</v>
      </c>
      <c r="B196" s="293" t="str">
        <f>'A) Base RI'!B198</f>
        <v>Gingins</v>
      </c>
      <c r="C196" s="95">
        <f>'B) D RI'!U198</f>
        <v>145761.42391812865</v>
      </c>
      <c r="D196" s="110">
        <f>'E) Fact soc'!G202/C196</f>
        <v>27.687719435271607</v>
      </c>
      <c r="E196" s="136">
        <f>'H) Péréquation directe'!I207/C196</f>
        <v>18.172963488403198</v>
      </c>
      <c r="F196" s="110"/>
      <c r="G196" s="136">
        <f t="shared" si="9"/>
        <v>45.860682923674801</v>
      </c>
      <c r="H196" s="110">
        <f t="shared" si="10"/>
        <v>45.860682923674801</v>
      </c>
      <c r="I196" s="136">
        <f t="shared" si="11"/>
        <v>0</v>
      </c>
      <c r="J196" s="55">
        <f t="shared" si="12"/>
        <v>0</v>
      </c>
      <c r="K196" s="36"/>
    </row>
    <row r="197" spans="1:11" x14ac:dyDescent="0.25">
      <c r="A197" s="49">
        <f>'A) Base RI'!A199</f>
        <v>5720</v>
      </c>
      <c r="B197" s="293" t="str">
        <f>'A) Base RI'!B199</f>
        <v>Givrins</v>
      </c>
      <c r="C197" s="95">
        <f>'B) D RI'!U199</f>
        <v>84172.254543946925</v>
      </c>
      <c r="D197" s="110">
        <f>'E) Fact soc'!G203/C197</f>
        <v>25.111098038678399</v>
      </c>
      <c r="E197" s="136">
        <f>'H) Péréquation directe'!I208/C197</f>
        <v>18.034802224437829</v>
      </c>
      <c r="F197" s="110"/>
      <c r="G197" s="136">
        <f t="shared" si="9"/>
        <v>43.145900263116232</v>
      </c>
      <c r="H197" s="110">
        <f t="shared" si="10"/>
        <v>43.145900263116232</v>
      </c>
      <c r="I197" s="136">
        <f t="shared" si="11"/>
        <v>0</v>
      </c>
      <c r="J197" s="55">
        <f t="shared" si="12"/>
        <v>0</v>
      </c>
      <c r="K197" s="36"/>
    </row>
    <row r="198" spans="1:11" x14ac:dyDescent="0.25">
      <c r="A198" s="49">
        <f>'A) Base RI'!A200</f>
        <v>5721</v>
      </c>
      <c r="B198" s="293" t="str">
        <f>'A) Base RI'!B200</f>
        <v>Gland</v>
      </c>
      <c r="C198" s="95">
        <f>'B) D RI'!U200</f>
        <v>651107.04049180343</v>
      </c>
      <c r="D198" s="110">
        <f>'E) Fact soc'!G204/C198</f>
        <v>17.162845497330071</v>
      </c>
      <c r="E198" s="136">
        <f>'H) Péréquation directe'!I209/C198</f>
        <v>7.4204634168093593</v>
      </c>
      <c r="F198" s="110"/>
      <c r="G198" s="136">
        <f t="shared" ref="G198:G261" si="13">SUM(D198:F198)</f>
        <v>24.58330891413943</v>
      </c>
      <c r="H198" s="110">
        <f t="shared" ref="H198:H261" si="14">G198-F198</f>
        <v>24.58330891413943</v>
      </c>
      <c r="I198" s="136">
        <f t="shared" ref="I198:I261" si="15">IF(H198&lt;I$4,H198-I$4,0)</f>
        <v>0</v>
      </c>
      <c r="J198" s="55">
        <f t="shared" ref="J198:J261" si="16">-I198*C198</f>
        <v>0</v>
      </c>
      <c r="K198" s="36"/>
    </row>
    <row r="199" spans="1:11" x14ac:dyDescent="0.25">
      <c r="A199" s="49">
        <f>'A) Base RI'!A201</f>
        <v>5722</v>
      </c>
      <c r="B199" s="293" t="str">
        <f>'A) Base RI'!B201</f>
        <v>Grens</v>
      </c>
      <c r="C199" s="95">
        <f>'B) D RI'!U201</f>
        <v>25525.601935483872</v>
      </c>
      <c r="D199" s="110">
        <f>'E) Fact soc'!G205/C199</f>
        <v>17.510097506374692</v>
      </c>
      <c r="E199" s="136">
        <f>'H) Péréquation directe'!I210/C199</f>
        <v>17.668424233419692</v>
      </c>
      <c r="F199" s="110"/>
      <c r="G199" s="136">
        <f t="shared" si="13"/>
        <v>35.178521739794384</v>
      </c>
      <c r="H199" s="110">
        <f t="shared" si="14"/>
        <v>35.178521739794384</v>
      </c>
      <c r="I199" s="136">
        <f t="shared" si="15"/>
        <v>0</v>
      </c>
      <c r="J199" s="55">
        <f t="shared" si="16"/>
        <v>0</v>
      </c>
      <c r="K199" s="36"/>
    </row>
    <row r="200" spans="1:11" x14ac:dyDescent="0.25">
      <c r="A200" s="49">
        <f>'A) Base RI'!A202</f>
        <v>5723</v>
      </c>
      <c r="B200" s="293" t="str">
        <f>'A) Base RI'!B202</f>
        <v>Mies</v>
      </c>
      <c r="C200" s="95">
        <f>'B) D RI'!U202</f>
        <v>197805.17519230774</v>
      </c>
      <c r="D200" s="110">
        <f>'E) Fact soc'!G206/C200</f>
        <v>24.663112984487466</v>
      </c>
      <c r="E200" s="136">
        <f>'H) Péréquation directe'!I211/C200</f>
        <v>16.951848515483558</v>
      </c>
      <c r="F200" s="110"/>
      <c r="G200" s="136">
        <f t="shared" si="13"/>
        <v>41.614961499971024</v>
      </c>
      <c r="H200" s="110">
        <f t="shared" si="14"/>
        <v>41.614961499971024</v>
      </c>
      <c r="I200" s="136">
        <f t="shared" si="15"/>
        <v>0</v>
      </c>
      <c r="J200" s="55">
        <f t="shared" si="16"/>
        <v>0</v>
      </c>
      <c r="K200" s="36"/>
    </row>
    <row r="201" spans="1:11" x14ac:dyDescent="0.25">
      <c r="A201" s="49">
        <f>'A) Base RI'!A203</f>
        <v>5724</v>
      </c>
      <c r="B201" s="293" t="str">
        <f>'A) Base RI'!B203</f>
        <v>Nyon</v>
      </c>
      <c r="C201" s="95">
        <f>'B) D RI'!U203</f>
        <v>1415730.6761202184</v>
      </c>
      <c r="D201" s="110">
        <f>'E) Fact soc'!G207/C201</f>
        <v>23.046387037831686</v>
      </c>
      <c r="E201" s="136">
        <f>'H) Péréquation directe'!I212/C201</f>
        <v>7.8259658205177365</v>
      </c>
      <c r="F201" s="110"/>
      <c r="G201" s="136">
        <f t="shared" si="13"/>
        <v>30.872352858349423</v>
      </c>
      <c r="H201" s="110">
        <f t="shared" si="14"/>
        <v>30.872352858349423</v>
      </c>
      <c r="I201" s="136">
        <f t="shared" si="15"/>
        <v>0</v>
      </c>
      <c r="J201" s="55">
        <f t="shared" si="16"/>
        <v>0</v>
      </c>
      <c r="K201" s="36"/>
    </row>
    <row r="202" spans="1:11" x14ac:dyDescent="0.25">
      <c r="A202" s="49">
        <f>'A) Base RI'!A204</f>
        <v>5725</v>
      </c>
      <c r="B202" s="293" t="str">
        <f>'A) Base RI'!B204</f>
        <v>Prangins</v>
      </c>
      <c r="C202" s="95">
        <f>'B) D RI'!U204</f>
        <v>312804.93402597401</v>
      </c>
      <c r="D202" s="110">
        <f>'E) Fact soc'!G208/C202</f>
        <v>22.089619487923883</v>
      </c>
      <c r="E202" s="136">
        <f>'H) Péréquation directe'!I213/C202</f>
        <v>15.273846587250791</v>
      </c>
      <c r="F202" s="110"/>
      <c r="G202" s="136">
        <f t="shared" si="13"/>
        <v>37.363466075174671</v>
      </c>
      <c r="H202" s="110">
        <f t="shared" si="14"/>
        <v>37.363466075174671</v>
      </c>
      <c r="I202" s="136">
        <f t="shared" si="15"/>
        <v>0</v>
      </c>
      <c r="J202" s="55">
        <f t="shared" si="16"/>
        <v>0</v>
      </c>
      <c r="K202" s="36"/>
    </row>
    <row r="203" spans="1:11" x14ac:dyDescent="0.25">
      <c r="A203" s="49">
        <f>'A) Base RI'!A205</f>
        <v>5726</v>
      </c>
      <c r="B203" s="293" t="str">
        <f>'A) Base RI'!B205</f>
        <v>La Rippe</v>
      </c>
      <c r="C203" s="95">
        <f>'B) D RI'!U205</f>
        <v>66324.764153846147</v>
      </c>
      <c r="D203" s="110">
        <f>'E) Fact soc'!G209/C203</f>
        <v>20.103497967960049</v>
      </c>
      <c r="E203" s="136">
        <f>'H) Péréquation directe'!I214/C203</f>
        <v>17.080536090861727</v>
      </c>
      <c r="F203" s="110"/>
      <c r="G203" s="136">
        <f t="shared" si="13"/>
        <v>37.18403405882178</v>
      </c>
      <c r="H203" s="110">
        <f t="shared" si="14"/>
        <v>37.18403405882178</v>
      </c>
      <c r="I203" s="136">
        <f t="shared" si="15"/>
        <v>0</v>
      </c>
      <c r="J203" s="55">
        <f t="shared" si="16"/>
        <v>0</v>
      </c>
      <c r="K203" s="36"/>
    </row>
    <row r="204" spans="1:11" x14ac:dyDescent="0.25">
      <c r="A204" s="49">
        <f>'A) Base RI'!A206</f>
        <v>5727</v>
      </c>
      <c r="B204" s="293" t="str">
        <f>'A) Base RI'!B206</f>
        <v>Saint-Cergue</v>
      </c>
      <c r="C204" s="95">
        <f>'B) D RI'!U206</f>
        <v>105125.05141414142</v>
      </c>
      <c r="D204" s="110">
        <f>'E) Fact soc'!G210/C204</f>
        <v>17.165088676493937</v>
      </c>
      <c r="E204" s="136">
        <f>'H) Péréquation directe'!I215/C204</f>
        <v>8.9894984808273222</v>
      </c>
      <c r="F204" s="110"/>
      <c r="G204" s="136">
        <f t="shared" si="13"/>
        <v>26.154587157321259</v>
      </c>
      <c r="H204" s="110">
        <f t="shared" si="14"/>
        <v>26.154587157321259</v>
      </c>
      <c r="I204" s="136">
        <f t="shared" si="15"/>
        <v>0</v>
      </c>
      <c r="J204" s="55">
        <f t="shared" si="16"/>
        <v>0</v>
      </c>
      <c r="K204" s="36"/>
    </row>
    <row r="205" spans="1:11" x14ac:dyDescent="0.25">
      <c r="A205" s="49">
        <f>'A) Base RI'!A207</f>
        <v>5728</v>
      </c>
      <c r="B205" s="293" t="str">
        <f>'A) Base RI'!B207</f>
        <v>Signy-Avenex</v>
      </c>
      <c r="C205" s="95">
        <f>'B) D RI'!U207</f>
        <v>49286.820862068969</v>
      </c>
      <c r="D205" s="110">
        <f>'E) Fact soc'!G211/C205</f>
        <v>23.703704155505825</v>
      </c>
      <c r="E205" s="136">
        <f>'H) Péréquation directe'!I216/C205</f>
        <v>18.174106579808235</v>
      </c>
      <c r="F205" s="110"/>
      <c r="G205" s="136">
        <f t="shared" si="13"/>
        <v>41.877810735314057</v>
      </c>
      <c r="H205" s="110">
        <f t="shared" si="14"/>
        <v>41.877810735314057</v>
      </c>
      <c r="I205" s="136">
        <f t="shared" si="15"/>
        <v>0</v>
      </c>
      <c r="J205" s="55">
        <f t="shared" si="16"/>
        <v>0</v>
      </c>
      <c r="K205" s="36"/>
    </row>
    <row r="206" spans="1:11" x14ac:dyDescent="0.25">
      <c r="A206" s="49">
        <f>'A) Base RI'!A208</f>
        <v>5729</v>
      </c>
      <c r="B206" s="293" t="str">
        <f>'A) Base RI'!B208</f>
        <v>Tannay</v>
      </c>
      <c r="C206" s="95">
        <f>'B) D RI'!U208</f>
        <v>130826.66865013774</v>
      </c>
      <c r="D206" s="110">
        <f>'E) Fact soc'!G212/C206</f>
        <v>24.924830309353275</v>
      </c>
      <c r="E206" s="136">
        <f>'H) Péréquation directe'!I217/C206</f>
        <v>17.000198199862744</v>
      </c>
      <c r="F206" s="110"/>
      <c r="G206" s="136">
        <f t="shared" si="13"/>
        <v>41.92502850921602</v>
      </c>
      <c r="H206" s="110">
        <f t="shared" si="14"/>
        <v>41.92502850921602</v>
      </c>
      <c r="I206" s="136">
        <f t="shared" si="15"/>
        <v>0</v>
      </c>
      <c r="J206" s="55">
        <f t="shared" si="16"/>
        <v>0</v>
      </c>
      <c r="K206" s="36"/>
    </row>
    <row r="207" spans="1:11" x14ac:dyDescent="0.25">
      <c r="A207" s="49">
        <f>'A) Base RI'!A209</f>
        <v>5730</v>
      </c>
      <c r="B207" s="293" t="str">
        <f>'A) Base RI'!B209</f>
        <v>Trélex</v>
      </c>
      <c r="C207" s="95">
        <f>'B) D RI'!U209</f>
        <v>111625.98756756757</v>
      </c>
      <c r="D207" s="110">
        <f>'E) Fact soc'!G213/C207</f>
        <v>23.115083946679693</v>
      </c>
      <c r="E207" s="136">
        <f>'H) Péréquation directe'!I218/C207</f>
        <v>17.140911809988086</v>
      </c>
      <c r="F207" s="110"/>
      <c r="G207" s="136">
        <f t="shared" si="13"/>
        <v>40.25599575666778</v>
      </c>
      <c r="H207" s="110">
        <f t="shared" si="14"/>
        <v>40.25599575666778</v>
      </c>
      <c r="I207" s="136">
        <f t="shared" si="15"/>
        <v>0</v>
      </c>
      <c r="J207" s="55">
        <f t="shared" si="16"/>
        <v>0</v>
      </c>
      <c r="K207" s="36"/>
    </row>
    <row r="208" spans="1:11" x14ac:dyDescent="0.25">
      <c r="A208" s="49">
        <f>'A) Base RI'!A210</f>
        <v>5731</v>
      </c>
      <c r="B208" s="293" t="str">
        <f>'A) Base RI'!B210</f>
        <v>Le Vaud</v>
      </c>
      <c r="C208" s="95">
        <f>'B) D RI'!U210</f>
        <v>63942.206576576558</v>
      </c>
      <c r="D208" s="110">
        <f>'E) Fact soc'!G214/C208</f>
        <v>15.909149528268777</v>
      </c>
      <c r="E208" s="136">
        <f>'H) Péréquation directe'!I219/C208</f>
        <v>15.069552391869406</v>
      </c>
      <c r="F208" s="110"/>
      <c r="G208" s="136">
        <f t="shared" si="13"/>
        <v>30.978701920138185</v>
      </c>
      <c r="H208" s="110">
        <f t="shared" si="14"/>
        <v>30.978701920138185</v>
      </c>
      <c r="I208" s="136">
        <f t="shared" si="15"/>
        <v>0</v>
      </c>
      <c r="J208" s="55">
        <f t="shared" si="16"/>
        <v>0</v>
      </c>
      <c r="K208" s="36"/>
    </row>
    <row r="209" spans="1:11" x14ac:dyDescent="0.25">
      <c r="A209" s="49">
        <f>'A) Base RI'!A211</f>
        <v>5732</v>
      </c>
      <c r="B209" s="293" t="str">
        <f>'A) Base RI'!B211</f>
        <v>Vich</v>
      </c>
      <c r="C209" s="95">
        <f>'B) D RI'!U211</f>
        <v>71006.972380952371</v>
      </c>
      <c r="D209" s="110">
        <f>'E) Fact soc'!G215/C209</f>
        <v>20.859672366008535</v>
      </c>
      <c r="E209" s="136">
        <f>'H) Péréquation directe'!I220/C209</f>
        <v>17.126792618754799</v>
      </c>
      <c r="F209" s="110"/>
      <c r="G209" s="136">
        <f t="shared" si="13"/>
        <v>37.98646498476333</v>
      </c>
      <c r="H209" s="110">
        <f t="shared" si="14"/>
        <v>37.98646498476333</v>
      </c>
      <c r="I209" s="136">
        <f t="shared" si="15"/>
        <v>0</v>
      </c>
      <c r="J209" s="55">
        <f t="shared" si="16"/>
        <v>0</v>
      </c>
      <c r="K209" s="36"/>
    </row>
    <row r="210" spans="1:11" x14ac:dyDescent="0.25">
      <c r="A210" s="49">
        <f>'A) Base RI'!A212</f>
        <v>5741</v>
      </c>
      <c r="B210" s="293" t="str">
        <f>'A) Base RI'!B212</f>
        <v>L'Abergement</v>
      </c>
      <c r="C210" s="95">
        <f>'B) D RI'!U212</f>
        <v>7368.9297325102852</v>
      </c>
      <c r="D210" s="110">
        <f>'E) Fact soc'!G216/C210</f>
        <v>16.955520398829325</v>
      </c>
      <c r="E210" s="136">
        <f>'H) Péréquation directe'!I221/C210</f>
        <v>-2.4018186228451102</v>
      </c>
      <c r="F210" s="110"/>
      <c r="G210" s="136">
        <f t="shared" si="13"/>
        <v>14.553701775984216</v>
      </c>
      <c r="H210" s="110">
        <f t="shared" si="14"/>
        <v>14.553701775984216</v>
      </c>
      <c r="I210" s="136">
        <f t="shared" si="15"/>
        <v>0</v>
      </c>
      <c r="J210" s="55">
        <f t="shared" si="16"/>
        <v>0</v>
      </c>
      <c r="K210" s="36"/>
    </row>
    <row r="211" spans="1:11" x14ac:dyDescent="0.25">
      <c r="A211" s="49">
        <f>'A) Base RI'!A213</f>
        <v>5742</v>
      </c>
      <c r="B211" s="293" t="str">
        <f>'A) Base RI'!B213</f>
        <v>Agiez</v>
      </c>
      <c r="C211" s="95">
        <f>'B) D RI'!U213</f>
        <v>8960.136710526318</v>
      </c>
      <c r="D211" s="110">
        <f>'E) Fact soc'!G217/C211</f>
        <v>15.310404985891925</v>
      </c>
      <c r="E211" s="136">
        <f>'H) Péréquation directe'!I222/C211</f>
        <v>-9.3781060625459371</v>
      </c>
      <c r="F211" s="110"/>
      <c r="G211" s="136">
        <f t="shared" si="13"/>
        <v>5.9322989233459875</v>
      </c>
      <c r="H211" s="110">
        <f t="shared" si="14"/>
        <v>5.9322989233459875</v>
      </c>
      <c r="I211" s="136">
        <f t="shared" si="15"/>
        <v>0</v>
      </c>
      <c r="J211" s="55">
        <f t="shared" si="16"/>
        <v>0</v>
      </c>
      <c r="K211" s="36"/>
    </row>
    <row r="212" spans="1:11" x14ac:dyDescent="0.25">
      <c r="A212" s="49">
        <f>'A) Base RI'!A214</f>
        <v>5743</v>
      </c>
      <c r="B212" s="293" t="str">
        <f>'A) Base RI'!B214</f>
        <v>Arnex-sur-Orbe</v>
      </c>
      <c r="C212" s="95">
        <f>'B) D RI'!U214</f>
        <v>20526.64161971831</v>
      </c>
      <c r="D212" s="110">
        <f>'E) Fact soc'!G218/C212</f>
        <v>15.13853244594811</v>
      </c>
      <c r="E212" s="136">
        <f>'H) Péréquation directe'!I223/C212</f>
        <v>5.777729680843648</v>
      </c>
      <c r="F212" s="110"/>
      <c r="G212" s="136">
        <f t="shared" si="13"/>
        <v>20.916262126791757</v>
      </c>
      <c r="H212" s="110">
        <f t="shared" si="14"/>
        <v>20.916262126791757</v>
      </c>
      <c r="I212" s="136">
        <f t="shared" si="15"/>
        <v>0</v>
      </c>
      <c r="J212" s="55">
        <f t="shared" si="16"/>
        <v>0</v>
      </c>
      <c r="K212" s="36"/>
    </row>
    <row r="213" spans="1:11" x14ac:dyDescent="0.25">
      <c r="A213" s="49">
        <f>'A) Base RI'!A215</f>
        <v>5744</v>
      </c>
      <c r="B213" s="293" t="str">
        <f>'A) Base RI'!B215</f>
        <v>Ballaigues</v>
      </c>
      <c r="C213" s="95">
        <f>'B) D RI'!U215</f>
        <v>40453.358769230777</v>
      </c>
      <c r="D213" s="110">
        <f>'E) Fact soc'!G219/C213</f>
        <v>24.934840024408508</v>
      </c>
      <c r="E213" s="136">
        <f>'H) Péréquation directe'!I224/C213</f>
        <v>9.222121427784673</v>
      </c>
      <c r="F213" s="110"/>
      <c r="G213" s="136">
        <f t="shared" si="13"/>
        <v>34.15696145219318</v>
      </c>
      <c r="H213" s="110">
        <f t="shared" si="14"/>
        <v>34.15696145219318</v>
      </c>
      <c r="I213" s="136">
        <f t="shared" si="15"/>
        <v>0</v>
      </c>
      <c r="J213" s="55">
        <f t="shared" si="16"/>
        <v>0</v>
      </c>
      <c r="K213" s="36"/>
    </row>
    <row r="214" spans="1:11" x14ac:dyDescent="0.25">
      <c r="A214" s="49">
        <f>'A) Base RI'!A216</f>
        <v>5745</v>
      </c>
      <c r="B214" s="293" t="str">
        <f>'A) Base RI'!B216</f>
        <v>Baulmes</v>
      </c>
      <c r="C214" s="95">
        <f>'B) D RI'!U216</f>
        <v>26827.589150326792</v>
      </c>
      <c r="D214" s="110">
        <f>'E) Fact soc'!G220/C214</f>
        <v>17.474894522278465</v>
      </c>
      <c r="E214" s="136">
        <f>'H) Péréquation directe'!I225/C214</f>
        <v>-7.7452304791586668</v>
      </c>
      <c r="F214" s="110"/>
      <c r="G214" s="136">
        <f t="shared" si="13"/>
        <v>9.7296640431197972</v>
      </c>
      <c r="H214" s="110">
        <f t="shared" si="14"/>
        <v>9.7296640431197972</v>
      </c>
      <c r="I214" s="136">
        <f t="shared" si="15"/>
        <v>0</v>
      </c>
      <c r="J214" s="55">
        <f t="shared" si="16"/>
        <v>0</v>
      </c>
      <c r="K214" s="36"/>
    </row>
    <row r="215" spans="1:11" x14ac:dyDescent="0.25">
      <c r="A215" s="49">
        <f>'A) Base RI'!A217</f>
        <v>5746</v>
      </c>
      <c r="B215" s="293" t="str">
        <f>'A) Base RI'!B217</f>
        <v>Bavois</v>
      </c>
      <c r="C215" s="95">
        <f>'B) D RI'!U217</f>
        <v>30466.611141552505</v>
      </c>
      <c r="D215" s="110">
        <f>'E) Fact soc'!G221/C215</f>
        <v>20.258548873424488</v>
      </c>
      <c r="E215" s="136">
        <f>'H) Péréquation directe'!I226/C215</f>
        <v>3.3675559939548871</v>
      </c>
      <c r="F215" s="110"/>
      <c r="G215" s="136">
        <f t="shared" si="13"/>
        <v>23.626104867379375</v>
      </c>
      <c r="H215" s="110">
        <f t="shared" si="14"/>
        <v>23.626104867379375</v>
      </c>
      <c r="I215" s="136">
        <f t="shared" si="15"/>
        <v>0</v>
      </c>
      <c r="J215" s="55">
        <f t="shared" si="16"/>
        <v>0</v>
      </c>
      <c r="K215" s="36"/>
    </row>
    <row r="216" spans="1:11" x14ac:dyDescent="0.25">
      <c r="A216" s="49">
        <f>'A) Base RI'!A218</f>
        <v>5747</v>
      </c>
      <c r="B216" s="293" t="str">
        <f>'A) Base RI'!B218</f>
        <v>Bofflens</v>
      </c>
      <c r="C216" s="95">
        <f>'B) D RI'!U218</f>
        <v>5608.7786956521741</v>
      </c>
      <c r="D216" s="110">
        <f>'E) Fact soc'!G222/C216</f>
        <v>17.876056746222609</v>
      </c>
      <c r="E216" s="136">
        <f>'H) Péréquation directe'!I227/C216</f>
        <v>0.38690629806235505</v>
      </c>
      <c r="F216" s="110"/>
      <c r="G216" s="136">
        <f t="shared" si="13"/>
        <v>18.262963044284966</v>
      </c>
      <c r="H216" s="110">
        <f t="shared" si="14"/>
        <v>18.262963044284966</v>
      </c>
      <c r="I216" s="136">
        <f t="shared" si="15"/>
        <v>0</v>
      </c>
      <c r="J216" s="55">
        <f t="shared" si="16"/>
        <v>0</v>
      </c>
      <c r="K216" s="36"/>
    </row>
    <row r="217" spans="1:11" x14ac:dyDescent="0.25">
      <c r="A217" s="49">
        <f>'A) Base RI'!A219</f>
        <v>5748</v>
      </c>
      <c r="B217" s="293" t="str">
        <f>'A) Base RI'!B219</f>
        <v>Bretonnières</v>
      </c>
      <c r="C217" s="95">
        <f>'B) D RI'!U219</f>
        <v>5789.9884160756492</v>
      </c>
      <c r="D217" s="110">
        <f>'E) Fact soc'!G223/C217</f>
        <v>16.014891697900122</v>
      </c>
      <c r="E217" s="136">
        <f>'H) Péréquation directe'!I228/C217</f>
        <v>-10.626333364302649</v>
      </c>
      <c r="F217" s="110"/>
      <c r="G217" s="136">
        <f t="shared" si="13"/>
        <v>5.3885583335974729</v>
      </c>
      <c r="H217" s="110">
        <f t="shared" si="14"/>
        <v>5.3885583335974729</v>
      </c>
      <c r="I217" s="136">
        <f t="shared" si="15"/>
        <v>0</v>
      </c>
      <c r="J217" s="55">
        <f t="shared" si="16"/>
        <v>0</v>
      </c>
      <c r="K217" s="36"/>
    </row>
    <row r="218" spans="1:11" x14ac:dyDescent="0.25">
      <c r="A218" s="49">
        <f>'A) Base RI'!A220</f>
        <v>5749</v>
      </c>
      <c r="B218" s="293" t="str">
        <f>'A) Base RI'!B220</f>
        <v>Chavornay</v>
      </c>
      <c r="C218" s="95">
        <f>'B) D RI'!U220</f>
        <v>140676.80723404256</v>
      </c>
      <c r="D218" s="110">
        <f>'E) Fact soc'!G224/C218</f>
        <v>17.702305651562028</v>
      </c>
      <c r="E218" s="136">
        <f>'H) Péréquation directe'!I229/C218</f>
        <v>-9.9449427377073949</v>
      </c>
      <c r="F218" s="110"/>
      <c r="G218" s="136">
        <f t="shared" si="13"/>
        <v>7.7573629138546334</v>
      </c>
      <c r="H218" s="110">
        <f t="shared" si="14"/>
        <v>7.7573629138546334</v>
      </c>
      <c r="I218" s="136">
        <f t="shared" si="15"/>
        <v>0</v>
      </c>
      <c r="J218" s="55">
        <f t="shared" si="16"/>
        <v>0</v>
      </c>
      <c r="K218" s="36"/>
    </row>
    <row r="219" spans="1:11" x14ac:dyDescent="0.25">
      <c r="A219" s="49">
        <f>'A) Base RI'!A221</f>
        <v>5750</v>
      </c>
      <c r="B219" s="293" t="str">
        <f>'A) Base RI'!B221</f>
        <v>Les Clées</v>
      </c>
      <c r="C219" s="95">
        <f>'B) D RI'!U221</f>
        <v>6037.9437500000004</v>
      </c>
      <c r="D219" s="110">
        <f>'E) Fact soc'!G225/C219</f>
        <v>14.006225076790365</v>
      </c>
      <c r="E219" s="136">
        <f>'H) Péréquation directe'!I230/C219</f>
        <v>3.1635216007432119</v>
      </c>
      <c r="F219" s="110"/>
      <c r="G219" s="136">
        <f t="shared" si="13"/>
        <v>17.169746677533578</v>
      </c>
      <c r="H219" s="110">
        <f t="shared" si="14"/>
        <v>17.169746677533578</v>
      </c>
      <c r="I219" s="136">
        <f t="shared" si="15"/>
        <v>0</v>
      </c>
      <c r="J219" s="55">
        <f t="shared" si="16"/>
        <v>0</v>
      </c>
      <c r="K219" s="36"/>
    </row>
    <row r="220" spans="1:11" x14ac:dyDescent="0.25">
      <c r="A220" s="49">
        <f>'A) Base RI'!A222</f>
        <v>5752</v>
      </c>
      <c r="B220" s="293" t="str">
        <f>'A) Base RI'!B222</f>
        <v>Croy</v>
      </c>
      <c r="C220" s="95">
        <f>'B) D RI'!U222</f>
        <v>9416.7971235521236</v>
      </c>
      <c r="D220" s="110">
        <f>'E) Fact soc'!G226/C220</f>
        <v>17.152514452322634</v>
      </c>
      <c r="E220" s="136">
        <f>'H) Péréquation directe'!I231/C220</f>
        <v>-8.2407989483851818</v>
      </c>
      <c r="F220" s="110"/>
      <c r="G220" s="136">
        <f t="shared" si="13"/>
        <v>8.9117155039374527</v>
      </c>
      <c r="H220" s="110">
        <f t="shared" si="14"/>
        <v>8.9117155039374527</v>
      </c>
      <c r="I220" s="136">
        <f t="shared" si="15"/>
        <v>0</v>
      </c>
      <c r="J220" s="55">
        <f t="shared" si="16"/>
        <v>0</v>
      </c>
      <c r="K220" s="36"/>
    </row>
    <row r="221" spans="1:11" x14ac:dyDescent="0.25">
      <c r="A221" s="49">
        <f>'A) Base RI'!A223</f>
        <v>5754</v>
      </c>
      <c r="B221" s="293" t="str">
        <f>'A) Base RI'!B223</f>
        <v>Juriens</v>
      </c>
      <c r="C221" s="95">
        <f>'B) D RI'!U223</f>
        <v>8043.7859493670894</v>
      </c>
      <c r="D221" s="110">
        <f>'E) Fact soc'!G227/C221</f>
        <v>15.045942635857951</v>
      </c>
      <c r="E221" s="136">
        <f>'H) Péréquation directe'!I232/C221</f>
        <v>-10.889661497246053</v>
      </c>
      <c r="F221" s="110"/>
      <c r="G221" s="136">
        <f t="shared" si="13"/>
        <v>4.1562811386118987</v>
      </c>
      <c r="H221" s="110">
        <f t="shared" si="14"/>
        <v>4.1562811386118987</v>
      </c>
      <c r="I221" s="136">
        <f t="shared" si="15"/>
        <v>0</v>
      </c>
      <c r="J221" s="55">
        <f t="shared" si="16"/>
        <v>0</v>
      </c>
      <c r="K221" s="36"/>
    </row>
    <row r="222" spans="1:11" x14ac:dyDescent="0.25">
      <c r="A222" s="49">
        <f>'A) Base RI'!A224</f>
        <v>5755</v>
      </c>
      <c r="B222" s="293" t="str">
        <f>'A) Base RI'!B224</f>
        <v>Lignerolle</v>
      </c>
      <c r="C222" s="95">
        <f>'B) D RI'!U224</f>
        <v>9055.2737033666963</v>
      </c>
      <c r="D222" s="110">
        <f>'E) Fact soc'!G228/C222</f>
        <v>29.302392949677891</v>
      </c>
      <c r="E222" s="136">
        <f>'H) Péréquation directe'!I233/C222</f>
        <v>-18.810783364531709</v>
      </c>
      <c r="F222" s="110"/>
      <c r="G222" s="136">
        <f t="shared" si="13"/>
        <v>10.491609585146183</v>
      </c>
      <c r="H222" s="110">
        <f t="shared" si="14"/>
        <v>10.491609585146183</v>
      </c>
      <c r="I222" s="136">
        <f t="shared" si="15"/>
        <v>0</v>
      </c>
      <c r="J222" s="55">
        <f t="shared" si="16"/>
        <v>0</v>
      </c>
      <c r="K222" s="36"/>
    </row>
    <row r="223" spans="1:11" x14ac:dyDescent="0.25">
      <c r="A223" s="49">
        <f>'A) Base RI'!A225</f>
        <v>5756</v>
      </c>
      <c r="B223" s="293" t="str">
        <f>'A) Base RI'!B225</f>
        <v>Montcherand</v>
      </c>
      <c r="C223" s="95">
        <f>'B) D RI'!U225</f>
        <v>15758.308611111112</v>
      </c>
      <c r="D223" s="110">
        <f>'E) Fact soc'!G229/C223</f>
        <v>16.976849480188868</v>
      </c>
      <c r="E223" s="136">
        <f>'H) Péréquation directe'!I234/C223</f>
        <v>4.2809222336356392</v>
      </c>
      <c r="F223" s="110"/>
      <c r="G223" s="136">
        <f t="shared" si="13"/>
        <v>21.257771713824507</v>
      </c>
      <c r="H223" s="110">
        <f t="shared" si="14"/>
        <v>21.257771713824507</v>
      </c>
      <c r="I223" s="136">
        <f t="shared" si="15"/>
        <v>0</v>
      </c>
      <c r="J223" s="55">
        <f t="shared" si="16"/>
        <v>0</v>
      </c>
      <c r="K223" s="36"/>
    </row>
    <row r="224" spans="1:11" x14ac:dyDescent="0.25">
      <c r="A224" s="49">
        <f>'A) Base RI'!A226</f>
        <v>5757</v>
      </c>
      <c r="B224" s="293" t="str">
        <f>'A) Base RI'!B226</f>
        <v>Orbe</v>
      </c>
      <c r="C224" s="95">
        <f>'B) D RI'!U226</f>
        <v>203783.43483443707</v>
      </c>
      <c r="D224" s="110">
        <f>'E) Fact soc'!G230/C224</f>
        <v>20.7785153351535</v>
      </c>
      <c r="E224" s="136">
        <f>'H) Péréquation directe'!I235/C224</f>
        <v>-11.095472393758497</v>
      </c>
      <c r="F224" s="110"/>
      <c r="G224" s="136">
        <f t="shared" si="13"/>
        <v>9.6830429413950032</v>
      </c>
      <c r="H224" s="110">
        <f t="shared" si="14"/>
        <v>9.6830429413950032</v>
      </c>
      <c r="I224" s="136">
        <f t="shared" si="15"/>
        <v>0</v>
      </c>
      <c r="J224" s="55">
        <f t="shared" si="16"/>
        <v>0</v>
      </c>
      <c r="K224" s="36"/>
    </row>
    <row r="225" spans="1:11" x14ac:dyDescent="0.25">
      <c r="A225" s="49">
        <f>'A) Base RI'!A227</f>
        <v>5758</v>
      </c>
      <c r="B225" s="293" t="str">
        <f>'A) Base RI'!B227</f>
        <v>La Praz</v>
      </c>
      <c r="C225" s="95">
        <f>'B) D RI'!U227</f>
        <v>4313.3939759036139</v>
      </c>
      <c r="D225" s="110">
        <f>'E) Fact soc'!G231/C225</f>
        <v>16.402126285576966</v>
      </c>
      <c r="E225" s="136">
        <f>'H) Péréquation directe'!I236/C225</f>
        <v>-11.774678017450647</v>
      </c>
      <c r="F225" s="110"/>
      <c r="G225" s="136">
        <f t="shared" si="13"/>
        <v>4.6274482681263187</v>
      </c>
      <c r="H225" s="110">
        <f t="shared" si="14"/>
        <v>4.6274482681263187</v>
      </c>
      <c r="I225" s="136">
        <f t="shared" si="15"/>
        <v>0</v>
      </c>
      <c r="J225" s="55">
        <f t="shared" si="16"/>
        <v>0</v>
      </c>
      <c r="K225" s="36"/>
    </row>
    <row r="226" spans="1:11" x14ac:dyDescent="0.25">
      <c r="A226" s="49">
        <f>'A) Base RI'!A228</f>
        <v>5759</v>
      </c>
      <c r="B226" s="293" t="str">
        <f>'A) Base RI'!B228</f>
        <v>Premier</v>
      </c>
      <c r="C226" s="95">
        <f>'B) D RI'!U228</f>
        <v>5307.4840251572332</v>
      </c>
      <c r="D226" s="110">
        <f>'E) Fact soc'!G232/C226</f>
        <v>17.397838941012164</v>
      </c>
      <c r="E226" s="136">
        <f>'H) Péréquation directe'!I237/C226</f>
        <v>-10.273278095425582</v>
      </c>
      <c r="F226" s="110"/>
      <c r="G226" s="136">
        <f t="shared" si="13"/>
        <v>7.1245608455865828</v>
      </c>
      <c r="H226" s="110">
        <f t="shared" si="14"/>
        <v>7.1245608455865828</v>
      </c>
      <c r="I226" s="136">
        <f t="shared" si="15"/>
        <v>0</v>
      </c>
      <c r="J226" s="55">
        <f t="shared" si="16"/>
        <v>0</v>
      </c>
      <c r="K226" s="36"/>
    </row>
    <row r="227" spans="1:11" x14ac:dyDescent="0.25">
      <c r="A227" s="49">
        <f>'A) Base RI'!A229</f>
        <v>5760</v>
      </c>
      <c r="B227" s="293" t="str">
        <f>'A) Base RI'!B229</f>
        <v>Rances</v>
      </c>
      <c r="C227" s="95">
        <f>'B) D RI'!U229</f>
        <v>12826.018997821348</v>
      </c>
      <c r="D227" s="110">
        <f>'E) Fact soc'!G233/C227</f>
        <v>17.775571054488584</v>
      </c>
      <c r="E227" s="136">
        <f>'H) Péréquation directe'!I238/C227</f>
        <v>-7.0836693829762645</v>
      </c>
      <c r="F227" s="110"/>
      <c r="G227" s="136">
        <f t="shared" si="13"/>
        <v>10.691901671512319</v>
      </c>
      <c r="H227" s="110">
        <f t="shared" si="14"/>
        <v>10.691901671512319</v>
      </c>
      <c r="I227" s="136">
        <f t="shared" si="15"/>
        <v>0</v>
      </c>
      <c r="J227" s="55">
        <f t="shared" si="16"/>
        <v>0</v>
      </c>
      <c r="K227" s="36"/>
    </row>
    <row r="228" spans="1:11" x14ac:dyDescent="0.25">
      <c r="A228" s="49">
        <f>'A) Base RI'!A230</f>
        <v>5761</v>
      </c>
      <c r="B228" s="293" t="str">
        <f>'A) Base RI'!B230</f>
        <v>Romainmôtier-Envy</v>
      </c>
      <c r="C228" s="95">
        <f>'B) D RI'!U230</f>
        <v>12135.004377104378</v>
      </c>
      <c r="D228" s="110">
        <f>'E) Fact soc'!G234/C228</f>
        <v>20.620349189968078</v>
      </c>
      <c r="E228" s="136">
        <f>'H) Péréquation directe'!I239/C228</f>
        <v>-14.266054528037715</v>
      </c>
      <c r="F228" s="110"/>
      <c r="G228" s="136">
        <f t="shared" si="13"/>
        <v>6.3542946619303624</v>
      </c>
      <c r="H228" s="110">
        <f t="shared" si="14"/>
        <v>6.3542946619303624</v>
      </c>
      <c r="I228" s="136">
        <f t="shared" si="15"/>
        <v>0</v>
      </c>
      <c r="J228" s="55">
        <f t="shared" si="16"/>
        <v>0</v>
      </c>
      <c r="K228" s="36"/>
    </row>
    <row r="229" spans="1:11" x14ac:dyDescent="0.25">
      <c r="A229" s="49">
        <f>'A) Base RI'!A231</f>
        <v>5762</v>
      </c>
      <c r="B229" s="293" t="str">
        <f>'A) Base RI'!B231</f>
        <v>Sergey</v>
      </c>
      <c r="C229" s="95">
        <f>'B) D RI'!U231</f>
        <v>3773.0282051282052</v>
      </c>
      <c r="D229" s="110">
        <f>'E) Fact soc'!G235/C229</f>
        <v>13.52861297581642</v>
      </c>
      <c r="E229" s="136">
        <f>'H) Péréquation directe'!I240/C229</f>
        <v>-5.9095843083728887</v>
      </c>
      <c r="F229" s="110"/>
      <c r="G229" s="136">
        <f t="shared" si="13"/>
        <v>7.6190286674435317</v>
      </c>
      <c r="H229" s="110">
        <f t="shared" si="14"/>
        <v>7.6190286674435317</v>
      </c>
      <c r="I229" s="136">
        <f t="shared" si="15"/>
        <v>0</v>
      </c>
      <c r="J229" s="55">
        <f t="shared" si="16"/>
        <v>0</v>
      </c>
      <c r="K229" s="36"/>
    </row>
    <row r="230" spans="1:11" x14ac:dyDescent="0.25">
      <c r="A230" s="49">
        <f>'A) Base RI'!A232</f>
        <v>5763</v>
      </c>
      <c r="B230" s="293" t="str">
        <f>'A) Base RI'!B232</f>
        <v>Valeyres-sous-Rances</v>
      </c>
      <c r="C230" s="95">
        <f>'B) D RI'!U232</f>
        <v>20452.974117647056</v>
      </c>
      <c r="D230" s="110">
        <f>'E) Fact soc'!G236/C230</f>
        <v>14.86368678185228</v>
      </c>
      <c r="E230" s="136">
        <f>'H) Péréquation directe'!I241/C230</f>
        <v>7.8852426055322011</v>
      </c>
      <c r="F230" s="110"/>
      <c r="G230" s="136">
        <f t="shared" si="13"/>
        <v>22.748929387384482</v>
      </c>
      <c r="H230" s="110">
        <f t="shared" si="14"/>
        <v>22.748929387384482</v>
      </c>
      <c r="I230" s="136">
        <f t="shared" si="15"/>
        <v>0</v>
      </c>
      <c r="J230" s="55">
        <f t="shared" si="16"/>
        <v>0</v>
      </c>
      <c r="K230" s="36"/>
    </row>
    <row r="231" spans="1:11" x14ac:dyDescent="0.25">
      <c r="A231" s="49">
        <f>'A) Base RI'!A233</f>
        <v>5764</v>
      </c>
      <c r="B231" s="293" t="str">
        <f>'A) Base RI'!B233</f>
        <v>Vallorbe</v>
      </c>
      <c r="C231" s="95">
        <f>'B) D RI'!U233</f>
        <v>84310.704615384602</v>
      </c>
      <c r="D231" s="110">
        <f>'E) Fact soc'!G237/C231</f>
        <v>23.86870886253638</v>
      </c>
      <c r="E231" s="136">
        <f>'H) Péréquation directe'!I242/C231</f>
        <v>-20.101966950693281</v>
      </c>
      <c r="F231" s="110"/>
      <c r="G231" s="136">
        <f t="shared" si="13"/>
        <v>3.7667419118430985</v>
      </c>
      <c r="H231" s="110">
        <f t="shared" si="14"/>
        <v>3.7667419118430985</v>
      </c>
      <c r="I231" s="136">
        <f t="shared" si="15"/>
        <v>0</v>
      </c>
      <c r="J231" s="55">
        <f t="shared" si="16"/>
        <v>0</v>
      </c>
      <c r="K231" s="36"/>
    </row>
    <row r="232" spans="1:11" x14ac:dyDescent="0.25">
      <c r="A232" s="49">
        <f>'A) Base RI'!A234</f>
        <v>5765</v>
      </c>
      <c r="B232" s="293" t="str">
        <f>'A) Base RI'!B234</f>
        <v>Vaulion</v>
      </c>
      <c r="C232" s="95">
        <f>'B) D RI'!U234</f>
        <v>11314.597037037036</v>
      </c>
      <c r="D232" s="110">
        <f>'E) Fact soc'!G238/C232</f>
        <v>19.287428317335923</v>
      </c>
      <c r="E232" s="136">
        <f>'H) Péréquation directe'!I243/C232</f>
        <v>-16.295281761617328</v>
      </c>
      <c r="F232" s="110"/>
      <c r="G232" s="136">
        <f t="shared" si="13"/>
        <v>2.9921465557185947</v>
      </c>
      <c r="H232" s="110">
        <f t="shared" si="14"/>
        <v>2.9921465557185947</v>
      </c>
      <c r="I232" s="136">
        <f t="shared" si="15"/>
        <v>0</v>
      </c>
      <c r="J232" s="55">
        <f t="shared" si="16"/>
        <v>0</v>
      </c>
      <c r="K232" s="36"/>
    </row>
    <row r="233" spans="1:11" x14ac:dyDescent="0.25">
      <c r="A233" s="49">
        <f>'A) Base RI'!A235</f>
        <v>5766</v>
      </c>
      <c r="B233" s="293" t="str">
        <f>'A) Base RI'!B235</f>
        <v>Vuiteboeuf</v>
      </c>
      <c r="C233" s="95">
        <f>'B) D RI'!U235</f>
        <v>15993.559610389608</v>
      </c>
      <c r="D233" s="110">
        <f>'E) Fact soc'!G239/C233</f>
        <v>15.288304106846283</v>
      </c>
      <c r="E233" s="136">
        <f>'H) Péréquation directe'!I244/C233</f>
        <v>-2.9470674977761755</v>
      </c>
      <c r="F233" s="110"/>
      <c r="G233" s="136">
        <f t="shared" si="13"/>
        <v>12.341236609070108</v>
      </c>
      <c r="H233" s="110">
        <f t="shared" si="14"/>
        <v>12.341236609070108</v>
      </c>
      <c r="I233" s="136">
        <f t="shared" si="15"/>
        <v>0</v>
      </c>
      <c r="J233" s="55">
        <f t="shared" si="16"/>
        <v>0</v>
      </c>
      <c r="K233" s="36"/>
    </row>
    <row r="234" spans="1:11" x14ac:dyDescent="0.25">
      <c r="A234" s="49">
        <f>'A) Base RI'!A236</f>
        <v>5785</v>
      </c>
      <c r="B234" s="293" t="str">
        <f>'A) Base RI'!B236</f>
        <v>Corcelles-le-Jorat</v>
      </c>
      <c r="C234" s="95">
        <f>'B) D RI'!U236</f>
        <v>17518.145584415586</v>
      </c>
      <c r="D234" s="110">
        <f>'E) Fact soc'!G240/C234</f>
        <v>17.318837213881231</v>
      </c>
      <c r="E234" s="136">
        <f>'H) Péréquation directe'!I245/C234</f>
        <v>10.729794747057388</v>
      </c>
      <c r="F234" s="110"/>
      <c r="G234" s="136">
        <f t="shared" si="13"/>
        <v>28.048631960938621</v>
      </c>
      <c r="H234" s="110">
        <f t="shared" si="14"/>
        <v>28.048631960938621</v>
      </c>
      <c r="I234" s="136">
        <f t="shared" si="15"/>
        <v>0</v>
      </c>
      <c r="J234" s="55">
        <f t="shared" si="16"/>
        <v>0</v>
      </c>
      <c r="K234" s="36"/>
    </row>
    <row r="235" spans="1:11" x14ac:dyDescent="0.25">
      <c r="A235" s="49">
        <f>'A) Base RI'!A237</f>
        <v>5788</v>
      </c>
      <c r="B235" s="293" t="str">
        <f>'A) Base RI'!B237</f>
        <v>Essertes</v>
      </c>
      <c r="C235" s="95">
        <f>'B) D RI'!U237</f>
        <v>16224.893706293702</v>
      </c>
      <c r="D235" s="110">
        <f>'E) Fact soc'!G241/C235</f>
        <v>15.792809935439633</v>
      </c>
      <c r="E235" s="136">
        <f>'H) Péréquation directe'!I246/C235</f>
        <v>13.484373750753724</v>
      </c>
      <c r="F235" s="110"/>
      <c r="G235" s="136">
        <f t="shared" si="13"/>
        <v>29.277183686193357</v>
      </c>
      <c r="H235" s="110">
        <f t="shared" si="14"/>
        <v>29.277183686193357</v>
      </c>
      <c r="I235" s="136">
        <f t="shared" si="15"/>
        <v>0</v>
      </c>
      <c r="J235" s="55">
        <f t="shared" si="16"/>
        <v>0</v>
      </c>
      <c r="K235" s="36"/>
    </row>
    <row r="236" spans="1:11" x14ac:dyDescent="0.25">
      <c r="A236" s="49">
        <f>'A) Base RI'!A238</f>
        <v>5790</v>
      </c>
      <c r="B236" s="293" t="str">
        <f>'A) Base RI'!B238</f>
        <v>Maracon</v>
      </c>
      <c r="C236" s="95">
        <f>'B) D RI'!U238</f>
        <v>13398.084966442953</v>
      </c>
      <c r="D236" s="110">
        <f>'E) Fact soc'!G242/C236</f>
        <v>15.818617112739405</v>
      </c>
      <c r="E236" s="136">
        <f>'H) Péréquation directe'!I247/C236</f>
        <v>-6.1500442491175393</v>
      </c>
      <c r="F236" s="110"/>
      <c r="G236" s="136">
        <f t="shared" si="13"/>
        <v>9.6685728636218649</v>
      </c>
      <c r="H236" s="110">
        <f t="shared" si="14"/>
        <v>9.6685728636218649</v>
      </c>
      <c r="I236" s="136">
        <f t="shared" si="15"/>
        <v>0</v>
      </c>
      <c r="J236" s="55">
        <f t="shared" si="16"/>
        <v>0</v>
      </c>
      <c r="K236" s="36"/>
    </row>
    <row r="237" spans="1:11" x14ac:dyDescent="0.25">
      <c r="A237" s="49">
        <f>'A) Base RI'!A239</f>
        <v>5792</v>
      </c>
      <c r="B237" s="293" t="str">
        <f>'A) Base RI'!B239</f>
        <v>Montpreveyres</v>
      </c>
      <c r="C237" s="95">
        <f>'B) D RI'!U239</f>
        <v>17609.230799999998</v>
      </c>
      <c r="D237" s="110">
        <f>'E) Fact soc'!G243/C237</f>
        <v>16.707250966068671</v>
      </c>
      <c r="E237" s="136">
        <f>'H) Péréquation directe'!I248/C237</f>
        <v>-2.7094014059080158</v>
      </c>
      <c r="F237" s="110"/>
      <c r="G237" s="136">
        <f t="shared" si="13"/>
        <v>13.997849560160654</v>
      </c>
      <c r="H237" s="110">
        <f t="shared" si="14"/>
        <v>13.997849560160654</v>
      </c>
      <c r="I237" s="136">
        <f t="shared" si="15"/>
        <v>0</v>
      </c>
      <c r="J237" s="55">
        <f t="shared" si="16"/>
        <v>0</v>
      </c>
      <c r="K237" s="36"/>
    </row>
    <row r="238" spans="1:11" x14ac:dyDescent="0.25">
      <c r="A238" s="49">
        <f>'A) Base RI'!A240</f>
        <v>5798</v>
      </c>
      <c r="B238" s="293" t="str">
        <f>'A) Base RI'!B240</f>
        <v>Ropraz</v>
      </c>
      <c r="C238" s="95">
        <f>'B) D RI'!U240</f>
        <v>15761.261677419356</v>
      </c>
      <c r="D238" s="110">
        <f>'E) Fact soc'!G244/C238</f>
        <v>16.132516193716658</v>
      </c>
      <c r="E238" s="136">
        <f>'H) Péréquation directe'!I249/C238</f>
        <v>0.69127167612167328</v>
      </c>
      <c r="F238" s="110"/>
      <c r="G238" s="136">
        <f t="shared" si="13"/>
        <v>16.823787869838331</v>
      </c>
      <c r="H238" s="110">
        <f t="shared" si="14"/>
        <v>16.823787869838331</v>
      </c>
      <c r="I238" s="136">
        <f t="shared" si="15"/>
        <v>0</v>
      </c>
      <c r="J238" s="55">
        <f t="shared" si="16"/>
        <v>0</v>
      </c>
      <c r="K238" s="36"/>
    </row>
    <row r="239" spans="1:11" x14ac:dyDescent="0.25">
      <c r="A239" s="49">
        <f>'A) Base RI'!A241</f>
        <v>5799</v>
      </c>
      <c r="B239" s="293" t="str">
        <f>'A) Base RI'!B241</f>
        <v>Servion</v>
      </c>
      <c r="C239" s="95">
        <f>'B) D RI'!U241</f>
        <v>69387.22289855071</v>
      </c>
      <c r="D239" s="110">
        <f>'E) Fact soc'!G245/C239</f>
        <v>17.782884766338903</v>
      </c>
      <c r="E239" s="136">
        <f>'H) Péréquation directe'!I250/C239</f>
        <v>4.0356837896749767</v>
      </c>
      <c r="F239" s="110"/>
      <c r="G239" s="136">
        <f t="shared" si="13"/>
        <v>21.818568556013879</v>
      </c>
      <c r="H239" s="110">
        <f t="shared" si="14"/>
        <v>21.818568556013879</v>
      </c>
      <c r="I239" s="136">
        <f t="shared" si="15"/>
        <v>0</v>
      </c>
      <c r="J239" s="55">
        <f t="shared" si="16"/>
        <v>0</v>
      </c>
      <c r="K239" s="36"/>
    </row>
    <row r="240" spans="1:11" x14ac:dyDescent="0.25">
      <c r="A240" s="49">
        <f>'A) Base RI'!A242</f>
        <v>5803</v>
      </c>
      <c r="B240" s="293" t="str">
        <f>'A) Base RI'!B242</f>
        <v>Vulliens</v>
      </c>
      <c r="C240" s="95">
        <f>'B) D RI'!U242</f>
        <v>18875.933421052636</v>
      </c>
      <c r="D240" s="110">
        <f>'E) Fact soc'!G246/C240</f>
        <v>15.235778617970025</v>
      </c>
      <c r="E240" s="136">
        <f>'H) Péréquation directe'!I251/C240</f>
        <v>1.8063652483368366</v>
      </c>
      <c r="F240" s="110"/>
      <c r="G240" s="136">
        <f t="shared" si="13"/>
        <v>17.042143866306862</v>
      </c>
      <c r="H240" s="110">
        <f t="shared" si="14"/>
        <v>17.042143866306862</v>
      </c>
      <c r="I240" s="136">
        <f t="shared" si="15"/>
        <v>0</v>
      </c>
      <c r="J240" s="55">
        <f t="shared" si="16"/>
        <v>0</v>
      </c>
      <c r="K240" s="36"/>
    </row>
    <row r="241" spans="1:11" x14ac:dyDescent="0.25">
      <c r="A241" s="49">
        <f>'A) Base RI'!A243</f>
        <v>5804</v>
      </c>
      <c r="B241" s="293" t="str">
        <f>'A) Base RI'!B243</f>
        <v>Jorat-Menthue</v>
      </c>
      <c r="C241" s="95">
        <f>'B) D RI'!U243</f>
        <v>46692.865106382982</v>
      </c>
      <c r="D241" s="110">
        <f>'E) Fact soc'!G247/C241</f>
        <v>17.782034232950853</v>
      </c>
      <c r="E241" s="136">
        <f>'H) Péréquation directe'!I252/C241</f>
        <v>-0.51298724496022574</v>
      </c>
      <c r="F241" s="110"/>
      <c r="G241" s="136">
        <f t="shared" si="13"/>
        <v>17.269046987990627</v>
      </c>
      <c r="H241" s="110">
        <f t="shared" si="14"/>
        <v>17.269046987990627</v>
      </c>
      <c r="I241" s="136">
        <f t="shared" si="15"/>
        <v>0</v>
      </c>
      <c r="J241" s="55">
        <f t="shared" si="16"/>
        <v>0</v>
      </c>
      <c r="K241" s="36"/>
    </row>
    <row r="242" spans="1:11" x14ac:dyDescent="0.25">
      <c r="A242" s="49">
        <f>'A) Base RI'!A244</f>
        <v>5805</v>
      </c>
      <c r="B242" s="293" t="str">
        <f>'A) Base RI'!B244</f>
        <v>Oron</v>
      </c>
      <c r="C242" s="95">
        <f>'B) D RI'!U244</f>
        <v>154727.47061923583</v>
      </c>
      <c r="D242" s="110">
        <f>'E) Fact soc'!G248/C242</f>
        <v>15.83450877810742</v>
      </c>
      <c r="E242" s="136">
        <f>'H) Péréquation directe'!I253/C242</f>
        <v>-9.1912488944116646</v>
      </c>
      <c r="F242" s="110"/>
      <c r="G242" s="136">
        <f t="shared" si="13"/>
        <v>6.6432598836957553</v>
      </c>
      <c r="H242" s="110">
        <f t="shared" si="14"/>
        <v>6.6432598836957553</v>
      </c>
      <c r="I242" s="136">
        <f t="shared" si="15"/>
        <v>0</v>
      </c>
      <c r="J242" s="55">
        <f t="shared" si="16"/>
        <v>0</v>
      </c>
      <c r="K242" s="36"/>
    </row>
    <row r="243" spans="1:11" x14ac:dyDescent="0.25">
      <c r="A243" s="49">
        <f>'A) Base RI'!A245</f>
        <v>5806</v>
      </c>
      <c r="B243" s="293" t="str">
        <f>'A) Base RI'!B245</f>
        <v>Jorat-Mézières</v>
      </c>
      <c r="C243" s="95">
        <f>'B) D RI'!U245</f>
        <v>91092.386986301368</v>
      </c>
      <c r="D243" s="110">
        <f>'E) Fact soc'!G249/C243</f>
        <v>16.522516078180093</v>
      </c>
      <c r="E243" s="136">
        <f>'H) Péréquation directe'!I254/C243</f>
        <v>-1.3738019402348136</v>
      </c>
      <c r="F243" s="110"/>
      <c r="G243" s="136">
        <f t="shared" si="13"/>
        <v>15.14871413794528</v>
      </c>
      <c r="H243" s="110">
        <f t="shared" si="14"/>
        <v>15.14871413794528</v>
      </c>
      <c r="I243" s="136">
        <f t="shared" si="15"/>
        <v>0</v>
      </c>
      <c r="J243" s="55">
        <f t="shared" si="16"/>
        <v>0</v>
      </c>
      <c r="K243" s="36"/>
    </row>
    <row r="244" spans="1:11" x14ac:dyDescent="0.25">
      <c r="A244" s="49">
        <f>'A) Base RI'!A246</f>
        <v>5812</v>
      </c>
      <c r="B244" s="293" t="str">
        <f>'A) Base RI'!B246</f>
        <v>Champtauroz</v>
      </c>
      <c r="C244" s="95">
        <f>'B) D RI'!U246</f>
        <v>2487.5377597402598</v>
      </c>
      <c r="D244" s="110">
        <f>'E) Fact soc'!G250/C244</f>
        <v>18.902390699454184</v>
      </c>
      <c r="E244" s="136">
        <f>'H) Péréquation directe'!I255/C244</f>
        <v>-30.089914301361549</v>
      </c>
      <c r="F244" s="110"/>
      <c r="G244" s="136">
        <f t="shared" si="13"/>
        <v>-11.187523601907365</v>
      </c>
      <c r="H244" s="110">
        <f t="shared" si="14"/>
        <v>-11.187523601907365</v>
      </c>
      <c r="I244" s="136">
        <f t="shared" si="15"/>
        <v>-3.1875236019073654</v>
      </c>
      <c r="J244" s="55">
        <f t="shared" si="16"/>
        <v>7929.0853198078512</v>
      </c>
      <c r="K244" s="36"/>
    </row>
    <row r="245" spans="1:11" x14ac:dyDescent="0.25">
      <c r="A245" s="49">
        <f>'A) Base RI'!A247</f>
        <v>5813</v>
      </c>
      <c r="B245" s="293" t="str">
        <f>'A) Base RI'!B247</f>
        <v>Chevroux</v>
      </c>
      <c r="C245" s="95">
        <f>'B) D RI'!U247</f>
        <v>15179.777080291971</v>
      </c>
      <c r="D245" s="110">
        <f>'E) Fact soc'!G251/C245</f>
        <v>15.280840617850306</v>
      </c>
      <c r="E245" s="136">
        <f>'H) Péréquation directe'!I256/C245</f>
        <v>4.8452513101136496</v>
      </c>
      <c r="F245" s="110"/>
      <c r="G245" s="136">
        <f t="shared" si="13"/>
        <v>20.126091927963955</v>
      </c>
      <c r="H245" s="110">
        <f t="shared" si="14"/>
        <v>20.126091927963955</v>
      </c>
      <c r="I245" s="136">
        <f t="shared" si="15"/>
        <v>0</v>
      </c>
      <c r="J245" s="55">
        <f t="shared" si="16"/>
        <v>0</v>
      </c>
      <c r="K245" s="36"/>
    </row>
    <row r="246" spans="1:11" x14ac:dyDescent="0.25">
      <c r="A246" s="49">
        <f>'A) Base RI'!A248</f>
        <v>5816</v>
      </c>
      <c r="B246" s="293" t="str">
        <f>'A) Base RI'!B248</f>
        <v>Corcelles-près-Payerne</v>
      </c>
      <c r="C246" s="95">
        <f>'B) D RI'!U248</f>
        <v>60528.996913451512</v>
      </c>
      <c r="D246" s="110">
        <f>'E) Fact soc'!G252/C246</f>
        <v>16.467761385204053</v>
      </c>
      <c r="E246" s="136">
        <f>'H) Péréquation directe'!I257/C246</f>
        <v>-13.397527746795108</v>
      </c>
      <c r="F246" s="110"/>
      <c r="G246" s="136">
        <f t="shared" si="13"/>
        <v>3.0702336384089453</v>
      </c>
      <c r="H246" s="110">
        <f t="shared" si="14"/>
        <v>3.0702336384089453</v>
      </c>
      <c r="I246" s="136">
        <f t="shared" si="15"/>
        <v>0</v>
      </c>
      <c r="J246" s="55">
        <f t="shared" si="16"/>
        <v>0</v>
      </c>
      <c r="K246" s="36"/>
    </row>
    <row r="247" spans="1:11" x14ac:dyDescent="0.25">
      <c r="A247" s="49">
        <f>'A) Base RI'!A249</f>
        <v>5817</v>
      </c>
      <c r="B247" s="293" t="str">
        <f>'A) Base RI'!B249</f>
        <v>Grandcour</v>
      </c>
      <c r="C247" s="95">
        <f>'B) D RI'!U249</f>
        <v>21779.238095238095</v>
      </c>
      <c r="D247" s="110">
        <f>'E) Fact soc'!G253/C247</f>
        <v>14.781958473057129</v>
      </c>
      <c r="E247" s="136">
        <f>'H) Péréquation directe'!I258/C247</f>
        <v>-10.553918155274365</v>
      </c>
      <c r="F247" s="110"/>
      <c r="G247" s="136">
        <f t="shared" si="13"/>
        <v>4.2280403177827637</v>
      </c>
      <c r="H247" s="110">
        <f t="shared" si="14"/>
        <v>4.2280403177827637</v>
      </c>
      <c r="I247" s="136">
        <f t="shared" si="15"/>
        <v>0</v>
      </c>
      <c r="J247" s="55">
        <f t="shared" si="16"/>
        <v>0</v>
      </c>
      <c r="K247" s="36"/>
    </row>
    <row r="248" spans="1:11" x14ac:dyDescent="0.25">
      <c r="A248" s="49">
        <f>'A) Base RI'!A250</f>
        <v>5819</v>
      </c>
      <c r="B248" s="293" t="str">
        <f>'A) Base RI'!B250</f>
        <v>Henniez</v>
      </c>
      <c r="C248" s="95">
        <f>'B) D RI'!U250</f>
        <v>11468.217826086959</v>
      </c>
      <c r="D248" s="110">
        <f>'E) Fact soc'!G254/C248</f>
        <v>15.347279164084707</v>
      </c>
      <c r="E248" s="136">
        <f>'H) Péréquation directe'!I259/C248</f>
        <v>2.6819042228897993</v>
      </c>
      <c r="F248" s="110"/>
      <c r="G248" s="136">
        <f t="shared" si="13"/>
        <v>18.029183386974506</v>
      </c>
      <c r="H248" s="110">
        <f t="shared" si="14"/>
        <v>18.029183386974506</v>
      </c>
      <c r="I248" s="136">
        <f t="shared" si="15"/>
        <v>0</v>
      </c>
      <c r="J248" s="55">
        <f t="shared" si="16"/>
        <v>0</v>
      </c>
      <c r="K248" s="36"/>
    </row>
    <row r="249" spans="1:11" x14ac:dyDescent="0.25">
      <c r="A249" s="49">
        <f>'A) Base RI'!A251</f>
        <v>5821</v>
      </c>
      <c r="B249" s="293" t="str">
        <f>'A) Base RI'!B251</f>
        <v>Missy</v>
      </c>
      <c r="C249" s="95">
        <f>'B) D RI'!U251</f>
        <v>7872.7337500000012</v>
      </c>
      <c r="D249" s="110">
        <f>'E) Fact soc'!G255/C249</f>
        <v>15.563503333946464</v>
      </c>
      <c r="E249" s="136">
        <f>'H) Péréquation directe'!I260/C249</f>
        <v>-12.195297655845021</v>
      </c>
      <c r="F249" s="110"/>
      <c r="G249" s="136">
        <f t="shared" si="13"/>
        <v>3.3682056781014431</v>
      </c>
      <c r="H249" s="110">
        <f t="shared" si="14"/>
        <v>3.3682056781014431</v>
      </c>
      <c r="I249" s="136">
        <f t="shared" si="15"/>
        <v>0</v>
      </c>
      <c r="J249" s="55">
        <f t="shared" si="16"/>
        <v>0</v>
      </c>
      <c r="K249" s="36"/>
    </row>
    <row r="250" spans="1:11" x14ac:dyDescent="0.25">
      <c r="A250" s="49">
        <f>'A) Base RI'!A252</f>
        <v>5822</v>
      </c>
      <c r="B250" s="293" t="str">
        <f>'A) Base RI'!B252</f>
        <v>Payerne</v>
      </c>
      <c r="C250" s="95">
        <f>'B) D RI'!U252</f>
        <v>237851.57178082189</v>
      </c>
      <c r="D250" s="110">
        <f>'E) Fact soc'!G256/C250</f>
        <v>17.002954531824717</v>
      </c>
      <c r="E250" s="136">
        <f>'H) Péréquation directe'!I261/C250</f>
        <v>-24.301848759564532</v>
      </c>
      <c r="F250" s="110"/>
      <c r="G250" s="136">
        <f t="shared" si="13"/>
        <v>-7.2988942277398152</v>
      </c>
      <c r="H250" s="110">
        <f t="shared" si="14"/>
        <v>-7.2988942277398152</v>
      </c>
      <c r="I250" s="136">
        <f t="shared" si="15"/>
        <v>0</v>
      </c>
      <c r="J250" s="55">
        <f t="shared" si="16"/>
        <v>0</v>
      </c>
      <c r="K250" s="36"/>
    </row>
    <row r="251" spans="1:11" x14ac:dyDescent="0.25">
      <c r="A251" s="49">
        <f>'A) Base RI'!A253</f>
        <v>5827</v>
      </c>
      <c r="B251" s="293" t="str">
        <f>'A) Base RI'!B253</f>
        <v>Trey</v>
      </c>
      <c r="C251" s="95">
        <f>'B) D RI'!U253</f>
        <v>6163.6291025641031</v>
      </c>
      <c r="D251" s="110">
        <f>'E) Fact soc'!G257/C251</f>
        <v>15.632036913932135</v>
      </c>
      <c r="E251" s="136">
        <f>'H) Péréquation directe'!I262/C251</f>
        <v>-19.644529449260254</v>
      </c>
      <c r="F251" s="110"/>
      <c r="G251" s="136">
        <f t="shared" si="13"/>
        <v>-4.0124925353281196</v>
      </c>
      <c r="H251" s="110">
        <f t="shared" si="14"/>
        <v>-4.0124925353281196</v>
      </c>
      <c r="I251" s="136">
        <f t="shared" si="15"/>
        <v>0</v>
      </c>
      <c r="J251" s="55">
        <f t="shared" si="16"/>
        <v>0</v>
      </c>
      <c r="K251" s="36"/>
    </row>
    <row r="252" spans="1:11" x14ac:dyDescent="0.25">
      <c r="A252" s="49">
        <f>'A) Base RI'!A254</f>
        <v>5828</v>
      </c>
      <c r="B252" s="293" t="str">
        <f>'A) Base RI'!B254</f>
        <v>Treytorrens (Payerne)</v>
      </c>
      <c r="C252" s="95">
        <f>'B) D RI'!U254</f>
        <v>2288.4160317460314</v>
      </c>
      <c r="D252" s="110">
        <f>'E) Fact soc'!G258/C252</f>
        <v>14.850291358611312</v>
      </c>
      <c r="E252" s="136">
        <f>'H) Péréquation directe'!I263/C252</f>
        <v>-26.167922961323992</v>
      </c>
      <c r="F252" s="110"/>
      <c r="G252" s="136">
        <f t="shared" si="13"/>
        <v>-11.31763160271268</v>
      </c>
      <c r="H252" s="110">
        <f t="shared" si="14"/>
        <v>-11.31763160271268</v>
      </c>
      <c r="I252" s="136">
        <f t="shared" si="15"/>
        <v>-3.3176316027126802</v>
      </c>
      <c r="J252" s="55">
        <f t="shared" si="16"/>
        <v>7592.1213470749781</v>
      </c>
      <c r="K252" s="36"/>
    </row>
    <row r="253" spans="1:11" x14ac:dyDescent="0.25">
      <c r="A253" s="49">
        <f>'A) Base RI'!A255</f>
        <v>5830</v>
      </c>
      <c r="B253" s="293" t="str">
        <f>'A) Base RI'!B255</f>
        <v>Villarzel</v>
      </c>
      <c r="C253" s="95">
        <f>'B) D RI'!U255</f>
        <v>12470.916233766235</v>
      </c>
      <c r="D253" s="110">
        <f>'E) Fact soc'!G259/C253</f>
        <v>16.80718322948351</v>
      </c>
      <c r="E253" s="136">
        <f>'H) Péréquation directe'!I264/C253</f>
        <v>-5.149463588426908</v>
      </c>
      <c r="F253" s="110"/>
      <c r="G253" s="136">
        <f t="shared" si="13"/>
        <v>11.657719641056602</v>
      </c>
      <c r="H253" s="110">
        <f t="shared" si="14"/>
        <v>11.657719641056602</v>
      </c>
      <c r="I253" s="136">
        <f t="shared" si="15"/>
        <v>0</v>
      </c>
      <c r="J253" s="55">
        <f t="shared" si="16"/>
        <v>0</v>
      </c>
      <c r="K253" s="36"/>
    </row>
    <row r="254" spans="1:11" x14ac:dyDescent="0.25">
      <c r="A254" s="49">
        <f>'A) Base RI'!A256</f>
        <v>5831</v>
      </c>
      <c r="B254" s="293" t="str">
        <f>'A) Base RI'!B256</f>
        <v>Valbroye</v>
      </c>
      <c r="C254" s="95">
        <f>'B) D RI'!U256</f>
        <v>83756.732765957451</v>
      </c>
      <c r="D254" s="110">
        <f>'E) Fact soc'!G260/C254</f>
        <v>16.552168654709014</v>
      </c>
      <c r="E254" s="136">
        <f>'H) Péréquation directe'!I265/C254</f>
        <v>-11.088015128319057</v>
      </c>
      <c r="F254" s="110"/>
      <c r="G254" s="136">
        <f t="shared" si="13"/>
        <v>5.464153526389957</v>
      </c>
      <c r="H254" s="110">
        <f t="shared" si="14"/>
        <v>5.464153526389957</v>
      </c>
      <c r="I254" s="136">
        <f t="shared" si="15"/>
        <v>0</v>
      </c>
      <c r="J254" s="55">
        <f t="shared" si="16"/>
        <v>0</v>
      </c>
      <c r="K254" s="36"/>
    </row>
    <row r="255" spans="1:11" x14ac:dyDescent="0.25">
      <c r="A255" s="49">
        <f>'A) Base RI'!A257</f>
        <v>5841</v>
      </c>
      <c r="B255" s="293" t="str">
        <f>'A) Base RI'!B257</f>
        <v>Château-d'Oex</v>
      </c>
      <c r="C255" s="95">
        <f>'B) D RI'!U257</f>
        <v>108658.39067484663</v>
      </c>
      <c r="D255" s="110">
        <f>'E) Fact soc'!G261/C255</f>
        <v>21.036306674696533</v>
      </c>
      <c r="E255" s="136">
        <f>'H) Péréquation directe'!I266/C255</f>
        <v>-4.7820884297627497</v>
      </c>
      <c r="F255" s="110"/>
      <c r="G255" s="136">
        <f t="shared" si="13"/>
        <v>16.254218244933782</v>
      </c>
      <c r="H255" s="110">
        <f t="shared" si="14"/>
        <v>16.254218244933782</v>
      </c>
      <c r="I255" s="136">
        <f t="shared" si="15"/>
        <v>0</v>
      </c>
      <c r="J255" s="55">
        <f t="shared" si="16"/>
        <v>0</v>
      </c>
      <c r="K255" s="36"/>
    </row>
    <row r="256" spans="1:11" x14ac:dyDescent="0.25">
      <c r="A256" s="49">
        <f>'A) Base RI'!A258</f>
        <v>5842</v>
      </c>
      <c r="B256" s="293" t="str">
        <f>'A) Base RI'!B258</f>
        <v>Rossinière</v>
      </c>
      <c r="C256" s="95">
        <f>'B) D RI'!U258</f>
        <v>14509.951028806583</v>
      </c>
      <c r="D256" s="110">
        <f>'E) Fact soc'!G262/C256</f>
        <v>16.017148252628438</v>
      </c>
      <c r="E256" s="136">
        <f>'H) Péréquation directe'!I267/C256</f>
        <v>-5.5598728084850046</v>
      </c>
      <c r="F256" s="110"/>
      <c r="G256" s="136">
        <f t="shared" si="13"/>
        <v>10.457275444143434</v>
      </c>
      <c r="H256" s="110">
        <f t="shared" si="14"/>
        <v>10.457275444143434</v>
      </c>
      <c r="I256" s="136">
        <f t="shared" si="15"/>
        <v>0</v>
      </c>
      <c r="J256" s="55">
        <f t="shared" si="16"/>
        <v>0</v>
      </c>
      <c r="K256" s="36"/>
    </row>
    <row r="257" spans="1:11" x14ac:dyDescent="0.25">
      <c r="A257" s="49">
        <f>'A) Base RI'!A259</f>
        <v>5843</v>
      </c>
      <c r="B257" s="293" t="str">
        <f>'A) Base RI'!B259</f>
        <v>Rougemont</v>
      </c>
      <c r="C257" s="95">
        <f>'B) D RI'!U259</f>
        <v>100468.99797297297</v>
      </c>
      <c r="D257" s="110">
        <f>'E) Fact soc'!G263/C257</f>
        <v>36.351214828985007</v>
      </c>
      <c r="E257" s="136">
        <f>'H) Péréquation directe'!I268/C257</f>
        <v>18.570692185823066</v>
      </c>
      <c r="F257" s="110"/>
      <c r="G257" s="136">
        <f t="shared" si="13"/>
        <v>54.92190701480807</v>
      </c>
      <c r="H257" s="110">
        <f t="shared" si="14"/>
        <v>54.92190701480807</v>
      </c>
      <c r="I257" s="136">
        <f t="shared" si="15"/>
        <v>0</v>
      </c>
      <c r="J257" s="55">
        <f t="shared" si="16"/>
        <v>0</v>
      </c>
      <c r="K257" s="36"/>
    </row>
    <row r="258" spans="1:11" x14ac:dyDescent="0.25">
      <c r="A258" s="49">
        <f>'A) Base RI'!A260</f>
        <v>5851</v>
      </c>
      <c r="B258" s="293" t="str">
        <f>'A) Base RI'!B260</f>
        <v>Allaman</v>
      </c>
      <c r="C258" s="95">
        <f>'B) D RI'!U260</f>
        <v>24314.213954545452</v>
      </c>
      <c r="D258" s="110">
        <f>'E) Fact soc'!G264/C258</f>
        <v>15.910040493302198</v>
      </c>
      <c r="E258" s="136">
        <f>'H) Péréquation directe'!I269/C258</f>
        <v>17.376620290933921</v>
      </c>
      <c r="F258" s="110"/>
      <c r="G258" s="136">
        <f t="shared" si="13"/>
        <v>33.286660784236119</v>
      </c>
      <c r="H258" s="110">
        <f t="shared" si="14"/>
        <v>33.286660784236119</v>
      </c>
      <c r="I258" s="136">
        <f t="shared" si="15"/>
        <v>0</v>
      </c>
      <c r="J258" s="55">
        <f t="shared" si="16"/>
        <v>0</v>
      </c>
      <c r="K258" s="36"/>
    </row>
    <row r="259" spans="1:11" x14ac:dyDescent="0.25">
      <c r="A259" s="49">
        <f>'A) Base RI'!A261</f>
        <v>5852</v>
      </c>
      <c r="B259" s="293" t="str">
        <f>'A) Base RI'!B261</f>
        <v>Bursinel</v>
      </c>
      <c r="C259" s="95">
        <f>'B) D RI'!U261</f>
        <v>40706.215623409669</v>
      </c>
      <c r="D259" s="110">
        <f>'E) Fact soc'!G265/C259</f>
        <v>22.825196010707064</v>
      </c>
      <c r="E259" s="136">
        <f>'H) Péréquation directe'!I270/C259</f>
        <v>18.140144776156063</v>
      </c>
      <c r="F259" s="110"/>
      <c r="G259" s="136">
        <f t="shared" si="13"/>
        <v>40.965340786863123</v>
      </c>
      <c r="H259" s="110">
        <f t="shared" si="14"/>
        <v>40.965340786863123</v>
      </c>
      <c r="I259" s="136">
        <f t="shared" si="15"/>
        <v>0</v>
      </c>
      <c r="J259" s="55">
        <f t="shared" si="16"/>
        <v>0</v>
      </c>
      <c r="K259" s="36"/>
    </row>
    <row r="260" spans="1:11" x14ac:dyDescent="0.25">
      <c r="A260" s="49">
        <f>'A) Base RI'!A262</f>
        <v>5853</v>
      </c>
      <c r="B260" s="293" t="str">
        <f>'A) Base RI'!B262</f>
        <v>Bursins</v>
      </c>
      <c r="C260" s="95">
        <f>'B) D RI'!U262</f>
        <v>42015.881830985905</v>
      </c>
      <c r="D260" s="110">
        <f>'E) Fact soc'!G266/C260</f>
        <v>100.42283445027665</v>
      </c>
      <c r="E260" s="136">
        <f>'H) Péréquation directe'!I271/C260</f>
        <v>17.354548159313239</v>
      </c>
      <c r="F260" s="110"/>
      <c r="G260" s="136">
        <f t="shared" si="13"/>
        <v>117.77738260958989</v>
      </c>
      <c r="H260" s="110">
        <f t="shared" si="14"/>
        <v>117.77738260958989</v>
      </c>
      <c r="I260" s="136">
        <f t="shared" si="15"/>
        <v>0</v>
      </c>
      <c r="J260" s="55">
        <f t="shared" si="16"/>
        <v>0</v>
      </c>
      <c r="K260" s="36"/>
    </row>
    <row r="261" spans="1:11" x14ac:dyDescent="0.25">
      <c r="A261" s="49">
        <f>'A) Base RI'!A263</f>
        <v>5854</v>
      </c>
      <c r="B261" s="293" t="str">
        <f>'A) Base RI'!B263</f>
        <v>Burtigny</v>
      </c>
      <c r="C261" s="95">
        <f>'B) D RI'!U263</f>
        <v>10782.893958333336</v>
      </c>
      <c r="D261" s="110">
        <f>'E) Fact soc'!G267/C261</f>
        <v>19.130916516352876</v>
      </c>
      <c r="E261" s="136">
        <f>'H) Péréquation directe'!I272/C261</f>
        <v>-5.6770616527202105</v>
      </c>
      <c r="F261" s="110"/>
      <c r="G261" s="136">
        <f t="shared" si="13"/>
        <v>13.453854863632666</v>
      </c>
      <c r="H261" s="110">
        <f t="shared" si="14"/>
        <v>13.453854863632666</v>
      </c>
      <c r="I261" s="136">
        <f t="shared" si="15"/>
        <v>0</v>
      </c>
      <c r="J261" s="55">
        <f t="shared" si="16"/>
        <v>0</v>
      </c>
      <c r="K261" s="36"/>
    </row>
    <row r="262" spans="1:11" x14ac:dyDescent="0.25">
      <c r="A262" s="49">
        <f>'A) Base RI'!A264</f>
        <v>5855</v>
      </c>
      <c r="B262" s="293" t="str">
        <f>'A) Base RI'!B264</f>
        <v>Dully</v>
      </c>
      <c r="C262" s="95">
        <f>'B) D RI'!U264</f>
        <v>98158.514897959176</v>
      </c>
      <c r="D262" s="110">
        <f>'E) Fact soc'!G268/C262</f>
        <v>31.039702726895339</v>
      </c>
      <c r="E262" s="136">
        <f>'H) Péréquation directe'!I273/C262</f>
        <v>18.842474506308513</v>
      </c>
      <c r="F262" s="110"/>
      <c r="G262" s="136">
        <f t="shared" ref="G262:G313" si="17">SUM(D262:F262)</f>
        <v>49.882177233203848</v>
      </c>
      <c r="H262" s="110">
        <f t="shared" ref="H262:H313" si="18">G262-F262</f>
        <v>49.882177233203848</v>
      </c>
      <c r="I262" s="136">
        <f t="shared" ref="I262:I313" si="19">IF(H262&lt;I$4,H262-I$4,0)</f>
        <v>0</v>
      </c>
      <c r="J262" s="55">
        <f t="shared" ref="J262:J313" si="20">-I262*C262</f>
        <v>0</v>
      </c>
      <c r="K262" s="36"/>
    </row>
    <row r="263" spans="1:11" x14ac:dyDescent="0.25">
      <c r="A263" s="49">
        <f>'A) Base RI'!A265</f>
        <v>5856</v>
      </c>
      <c r="B263" s="293" t="str">
        <f>'A) Base RI'!B265</f>
        <v>Essertines-sur-Rolle</v>
      </c>
      <c r="C263" s="95">
        <f>'B) D RI'!U265</f>
        <v>35711.648536726432</v>
      </c>
      <c r="D263" s="110">
        <f>'E) Fact soc'!G269/C263</f>
        <v>17.468090734772996</v>
      </c>
      <c r="E263" s="136">
        <f>'H) Péréquation directe'!I274/C263</f>
        <v>17.066420271233191</v>
      </c>
      <c r="F263" s="110"/>
      <c r="G263" s="136">
        <f t="shared" si="17"/>
        <v>34.534511006006184</v>
      </c>
      <c r="H263" s="110">
        <f t="shared" si="18"/>
        <v>34.534511006006184</v>
      </c>
      <c r="I263" s="136">
        <f t="shared" si="19"/>
        <v>0</v>
      </c>
      <c r="J263" s="55">
        <f t="shared" si="20"/>
        <v>0</v>
      </c>
      <c r="K263" s="36"/>
    </row>
    <row r="264" spans="1:11" x14ac:dyDescent="0.25">
      <c r="A264" s="49">
        <f>'A) Base RI'!A266</f>
        <v>5857</v>
      </c>
      <c r="B264" s="293" t="str">
        <f>'A) Base RI'!B266</f>
        <v>Gilly</v>
      </c>
      <c r="C264" s="95">
        <f>'B) D RI'!U266</f>
        <v>82128.423720930223</v>
      </c>
      <c r="D264" s="110">
        <f>'E) Fact soc'!G270/C264</f>
        <v>17.332035719336226</v>
      </c>
      <c r="E264" s="136">
        <f>'H) Péréquation directe'!I275/C264</f>
        <v>16.316715103569702</v>
      </c>
      <c r="F264" s="110"/>
      <c r="G264" s="136">
        <f t="shared" si="17"/>
        <v>33.648750822905924</v>
      </c>
      <c r="H264" s="110">
        <f t="shared" si="18"/>
        <v>33.648750822905924</v>
      </c>
      <c r="I264" s="136">
        <f t="shared" si="19"/>
        <v>0</v>
      </c>
      <c r="J264" s="55">
        <f t="shared" si="20"/>
        <v>0</v>
      </c>
      <c r="K264" s="36"/>
    </row>
    <row r="265" spans="1:11" x14ac:dyDescent="0.25">
      <c r="A265" s="49">
        <f>'A) Base RI'!A267</f>
        <v>5858</v>
      </c>
      <c r="B265" s="293" t="str">
        <f>'A) Base RI'!B267</f>
        <v>Luins</v>
      </c>
      <c r="C265" s="95">
        <f>'B) D RI'!U267</f>
        <v>40290.677378917375</v>
      </c>
      <c r="D265" s="110">
        <f>'E) Fact soc'!G271/C265</f>
        <v>18.677446688132154</v>
      </c>
      <c r="E265" s="136">
        <f>'H) Péréquation directe'!I276/C265</f>
        <v>17.730801577985869</v>
      </c>
      <c r="F265" s="110"/>
      <c r="G265" s="136">
        <f t="shared" si="17"/>
        <v>36.408248266118022</v>
      </c>
      <c r="H265" s="110">
        <f t="shared" si="18"/>
        <v>36.408248266118022</v>
      </c>
      <c r="I265" s="136">
        <f t="shared" si="19"/>
        <v>0</v>
      </c>
      <c r="J265" s="55">
        <f t="shared" si="20"/>
        <v>0</v>
      </c>
      <c r="K265" s="36"/>
    </row>
    <row r="266" spans="1:11" x14ac:dyDescent="0.25">
      <c r="A266" s="49">
        <f>'A) Base RI'!A268</f>
        <v>5859</v>
      </c>
      <c r="B266" s="293" t="str">
        <f>'A) Base RI'!B268</f>
        <v>Mont-sur-Rolle</v>
      </c>
      <c r="C266" s="95">
        <f>'B) D RI'!U268</f>
        <v>146465.78251968499</v>
      </c>
      <c r="D266" s="110">
        <f>'E) Fact soc'!G272/C266</f>
        <v>17.644907625176028</v>
      </c>
      <c r="E266" s="136">
        <f>'H) Péréquation directe'!I277/C266</f>
        <v>14.887506783826781</v>
      </c>
      <c r="F266" s="110"/>
      <c r="G266" s="136">
        <f t="shared" si="17"/>
        <v>32.532414409002811</v>
      </c>
      <c r="H266" s="110">
        <f t="shared" si="18"/>
        <v>32.532414409002811</v>
      </c>
      <c r="I266" s="136">
        <f t="shared" si="19"/>
        <v>0</v>
      </c>
      <c r="J266" s="55">
        <f t="shared" si="20"/>
        <v>0</v>
      </c>
      <c r="K266" s="36"/>
    </row>
    <row r="267" spans="1:11" x14ac:dyDescent="0.25">
      <c r="A267" s="49">
        <f>'A) Base RI'!A269</f>
        <v>5860</v>
      </c>
      <c r="B267" s="293" t="str">
        <f>'A) Base RI'!B269</f>
        <v>Perroy</v>
      </c>
      <c r="C267" s="95">
        <f>'B) D RI'!U269</f>
        <v>187175.54426035503</v>
      </c>
      <c r="D267" s="110">
        <f>'E) Fact soc'!G273/C267</f>
        <v>30.759297350159816</v>
      </c>
      <c r="E267" s="136">
        <f>'H) Péréquation directe'!I278/C267</f>
        <v>18.012503668867272</v>
      </c>
      <c r="F267" s="110"/>
      <c r="G267" s="136">
        <f t="shared" si="17"/>
        <v>48.771801019027087</v>
      </c>
      <c r="H267" s="110">
        <f t="shared" si="18"/>
        <v>48.771801019027087</v>
      </c>
      <c r="I267" s="136">
        <f t="shared" si="19"/>
        <v>0</v>
      </c>
      <c r="J267" s="55">
        <f t="shared" si="20"/>
        <v>0</v>
      </c>
      <c r="K267" s="36"/>
    </row>
    <row r="268" spans="1:11" x14ac:dyDescent="0.25">
      <c r="A268" s="49">
        <f>'A) Base RI'!A270</f>
        <v>5861</v>
      </c>
      <c r="B268" s="293" t="str">
        <f>'A) Base RI'!B270</f>
        <v>Rolle</v>
      </c>
      <c r="C268" s="95">
        <f>'B) D RI'!U270</f>
        <v>1938335.8673949579</v>
      </c>
      <c r="D268" s="110">
        <f>'E) Fact soc'!G274/C268</f>
        <v>40.786289523460248</v>
      </c>
      <c r="E268" s="136">
        <f>'H) Péréquation directe'!I279/C268</f>
        <v>18.315234134282505</v>
      </c>
      <c r="F268" s="110"/>
      <c r="G268" s="136">
        <f t="shared" si="17"/>
        <v>59.101523657742753</v>
      </c>
      <c r="H268" s="110">
        <f t="shared" si="18"/>
        <v>59.101523657742753</v>
      </c>
      <c r="I268" s="136">
        <f t="shared" si="19"/>
        <v>0</v>
      </c>
      <c r="J268" s="55">
        <f t="shared" si="20"/>
        <v>0</v>
      </c>
      <c r="K268" s="36"/>
    </row>
    <row r="269" spans="1:11" x14ac:dyDescent="0.25">
      <c r="A269" s="49">
        <f>'A) Base RI'!A271</f>
        <v>5862</v>
      </c>
      <c r="B269" s="293" t="str">
        <f>'A) Base RI'!B271</f>
        <v>Tartegnin</v>
      </c>
      <c r="C269" s="95">
        <f>'B) D RI'!U271</f>
        <v>8096.4381012658214</v>
      </c>
      <c r="D269" s="110">
        <f>'E) Fact soc'!G275/C269</f>
        <v>13.815084010485034</v>
      </c>
      <c r="E269" s="136">
        <f>'H) Péréquation directe'!I280/C269</f>
        <v>5.9012402865370976</v>
      </c>
      <c r="F269" s="110"/>
      <c r="G269" s="136">
        <f t="shared" si="17"/>
        <v>19.716324297022133</v>
      </c>
      <c r="H269" s="110">
        <f t="shared" si="18"/>
        <v>19.716324297022133</v>
      </c>
      <c r="I269" s="136">
        <f t="shared" si="19"/>
        <v>0</v>
      </c>
      <c r="J269" s="55">
        <f t="shared" si="20"/>
        <v>0</v>
      </c>
      <c r="K269" s="36"/>
    </row>
    <row r="270" spans="1:11" x14ac:dyDescent="0.25">
      <c r="A270" s="49">
        <f>'A) Base RI'!A272</f>
        <v>5863</v>
      </c>
      <c r="B270" s="293" t="str">
        <f>'A) Base RI'!B272</f>
        <v>Vinzel</v>
      </c>
      <c r="C270" s="95">
        <f>'B) D RI'!U272</f>
        <v>21933.69492537314</v>
      </c>
      <c r="D270" s="110">
        <f>'E) Fact soc'!G276/C270</f>
        <v>18.218968144029567</v>
      </c>
      <c r="E270" s="136">
        <f>'H) Péréquation directe'!I281/C270</f>
        <v>17.459311014844157</v>
      </c>
      <c r="F270" s="110"/>
      <c r="G270" s="136">
        <f t="shared" si="17"/>
        <v>35.678279158873721</v>
      </c>
      <c r="H270" s="110">
        <f t="shared" si="18"/>
        <v>35.678279158873721</v>
      </c>
      <c r="I270" s="136">
        <f t="shared" si="19"/>
        <v>0</v>
      </c>
      <c r="J270" s="55">
        <f t="shared" si="20"/>
        <v>0</v>
      </c>
      <c r="K270" s="36"/>
    </row>
    <row r="271" spans="1:11" x14ac:dyDescent="0.25">
      <c r="A271" s="49">
        <f>'A) Base RI'!A273</f>
        <v>5871</v>
      </c>
      <c r="B271" s="293" t="str">
        <f>'A) Base RI'!B273</f>
        <v>L'Abbaye</v>
      </c>
      <c r="C271" s="95">
        <f>'B) D RI'!U273</f>
        <v>49513.521273852508</v>
      </c>
      <c r="D271" s="110">
        <f>'E) Fact soc'!G277/C271</f>
        <v>20.809800532767351</v>
      </c>
      <c r="E271" s="136">
        <f>'H) Péréquation directe'!I282/C271</f>
        <v>3.3616568895249723</v>
      </c>
      <c r="F271" s="110"/>
      <c r="G271" s="136">
        <f t="shared" si="17"/>
        <v>24.171457422292324</v>
      </c>
      <c r="H271" s="110">
        <f t="shared" si="18"/>
        <v>24.171457422292324</v>
      </c>
      <c r="I271" s="136">
        <f t="shared" si="19"/>
        <v>0</v>
      </c>
      <c r="J271" s="55">
        <f t="shared" si="20"/>
        <v>0</v>
      </c>
      <c r="K271" s="36"/>
    </row>
    <row r="272" spans="1:11" x14ac:dyDescent="0.25">
      <c r="A272" s="49">
        <f>'A) Base RI'!A274</f>
        <v>5872</v>
      </c>
      <c r="B272" s="293" t="str">
        <f>'A) Base RI'!B274</f>
        <v>Le Chenit</v>
      </c>
      <c r="C272" s="95">
        <f>'B) D RI'!U274</f>
        <v>236042.78222554145</v>
      </c>
      <c r="D272" s="110">
        <f>'E) Fact soc'!G278/C272</f>
        <v>30.479829817720898</v>
      </c>
      <c r="E272" s="136">
        <f>'H) Péréquation directe'!I283/C272</f>
        <v>12.806826906730736</v>
      </c>
      <c r="F272" s="110"/>
      <c r="G272" s="136">
        <f t="shared" si="17"/>
        <v>43.286656724451632</v>
      </c>
      <c r="H272" s="110">
        <f t="shared" si="18"/>
        <v>43.286656724451632</v>
      </c>
      <c r="I272" s="136">
        <f t="shared" si="19"/>
        <v>0</v>
      </c>
      <c r="J272" s="55">
        <f t="shared" si="20"/>
        <v>0</v>
      </c>
      <c r="K272" s="36"/>
    </row>
    <row r="273" spans="1:11" x14ac:dyDescent="0.25">
      <c r="A273" s="49">
        <f>'A) Base RI'!A275</f>
        <v>5873</v>
      </c>
      <c r="B273" s="293" t="str">
        <f>'A) Base RI'!B275</f>
        <v>Le Lieu</v>
      </c>
      <c r="C273" s="95">
        <f>'B) D RI'!U275</f>
        <v>30440.408392857149</v>
      </c>
      <c r="D273" s="110">
        <f>'E) Fact soc'!G279/C273</f>
        <v>25.690226585667613</v>
      </c>
      <c r="E273" s="136">
        <f>'H) Péréquation directe'!I284/C273</f>
        <v>8.0510039208315192</v>
      </c>
      <c r="F273" s="110"/>
      <c r="G273" s="136">
        <f t="shared" si="17"/>
        <v>33.741230506499136</v>
      </c>
      <c r="H273" s="110">
        <f t="shared" si="18"/>
        <v>33.741230506499136</v>
      </c>
      <c r="I273" s="136">
        <f t="shared" si="19"/>
        <v>0</v>
      </c>
      <c r="J273" s="55">
        <f t="shared" si="20"/>
        <v>0</v>
      </c>
      <c r="K273" s="36"/>
    </row>
    <row r="274" spans="1:11" x14ac:dyDescent="0.25">
      <c r="A274" s="49">
        <f>'A) Base RI'!A276</f>
        <v>5881</v>
      </c>
      <c r="B274" s="293" t="str">
        <f>'A) Base RI'!B276</f>
        <v>Blonay</v>
      </c>
      <c r="C274" s="95">
        <f>'B) D RI'!U276</f>
        <v>363266.43007299263</v>
      </c>
      <c r="D274" s="110">
        <f>'E) Fact soc'!G280/C274</f>
        <v>21.088338719755637</v>
      </c>
      <c r="E274" s="136">
        <f>'H) Péréquation directe'!I285/C274</f>
        <v>12.661697247000388</v>
      </c>
      <c r="F274" s="110"/>
      <c r="G274" s="136">
        <f t="shared" si="17"/>
        <v>33.750035966756023</v>
      </c>
      <c r="H274" s="110">
        <f t="shared" si="18"/>
        <v>33.750035966756023</v>
      </c>
      <c r="I274" s="136">
        <f t="shared" si="19"/>
        <v>0</v>
      </c>
      <c r="J274" s="55">
        <f t="shared" si="20"/>
        <v>0</v>
      </c>
      <c r="K274" s="36"/>
    </row>
    <row r="275" spans="1:11" x14ac:dyDescent="0.25">
      <c r="A275" s="49">
        <f>'A) Base RI'!A277</f>
        <v>5882</v>
      </c>
      <c r="B275" s="293" t="str">
        <f>'A) Base RI'!B277</f>
        <v>Chardonne</v>
      </c>
      <c r="C275" s="95">
        <f>'B) D RI'!U277</f>
        <v>179032.37397058826</v>
      </c>
      <c r="D275" s="110">
        <f>'E) Fact soc'!G281/C275</f>
        <v>19.289374396251894</v>
      </c>
      <c r="E275" s="136">
        <f>'H) Péréquation directe'!I286/C275</f>
        <v>14.807107981285473</v>
      </c>
      <c r="F275" s="110"/>
      <c r="G275" s="136">
        <f t="shared" si="17"/>
        <v>34.09648237753737</v>
      </c>
      <c r="H275" s="110">
        <f t="shared" si="18"/>
        <v>34.09648237753737</v>
      </c>
      <c r="I275" s="136">
        <f t="shared" si="19"/>
        <v>0</v>
      </c>
      <c r="J275" s="55">
        <f t="shared" si="20"/>
        <v>0</v>
      </c>
      <c r="K275" s="36"/>
    </row>
    <row r="276" spans="1:11" x14ac:dyDescent="0.25">
      <c r="A276" s="49">
        <f>'A) Base RI'!A278</f>
        <v>5883</v>
      </c>
      <c r="B276" s="293" t="str">
        <f>'A) Base RI'!B278</f>
        <v>Corseaux</v>
      </c>
      <c r="C276" s="95">
        <f>'B) D RI'!U278</f>
        <v>167893.40074074076</v>
      </c>
      <c r="D276" s="110">
        <f>'E) Fact soc'!G282/C276</f>
        <v>22.041292271559996</v>
      </c>
      <c r="E276" s="136">
        <f>'H) Péréquation directe'!I287/C276</f>
        <v>16.186248721882187</v>
      </c>
      <c r="F276" s="110"/>
      <c r="G276" s="136">
        <f t="shared" si="17"/>
        <v>38.227540993442183</v>
      </c>
      <c r="H276" s="110">
        <f t="shared" si="18"/>
        <v>38.227540993442183</v>
      </c>
      <c r="I276" s="136">
        <f t="shared" si="19"/>
        <v>0</v>
      </c>
      <c r="J276" s="55">
        <f t="shared" si="20"/>
        <v>0</v>
      </c>
      <c r="K276" s="36"/>
    </row>
    <row r="277" spans="1:11" x14ac:dyDescent="0.25">
      <c r="A277" s="49">
        <f>'A) Base RI'!A279</f>
        <v>5884</v>
      </c>
      <c r="B277" s="293" t="str">
        <f>'A) Base RI'!B279</f>
        <v>Corsier-sur-Vevey</v>
      </c>
      <c r="C277" s="95">
        <f>'B) D RI'!U279</f>
        <v>122170.7416919192</v>
      </c>
      <c r="D277" s="110">
        <f>'E) Fact soc'!G283/C277</f>
        <v>16.8433869911958</v>
      </c>
      <c r="E277" s="136">
        <f>'H) Péréquation directe'!I288/C277</f>
        <v>5.1410009043754741</v>
      </c>
      <c r="F277" s="110"/>
      <c r="G277" s="136">
        <f t="shared" si="17"/>
        <v>21.984387895571274</v>
      </c>
      <c r="H277" s="110">
        <f t="shared" si="18"/>
        <v>21.984387895571274</v>
      </c>
      <c r="I277" s="136">
        <f t="shared" si="19"/>
        <v>0</v>
      </c>
      <c r="J277" s="55">
        <f t="shared" si="20"/>
        <v>0</v>
      </c>
      <c r="K277" s="36"/>
    </row>
    <row r="278" spans="1:11" x14ac:dyDescent="0.25">
      <c r="A278" s="49">
        <f>'A) Base RI'!A280</f>
        <v>5885</v>
      </c>
      <c r="B278" s="293" t="str">
        <f>'A) Base RI'!B280</f>
        <v>Jongny</v>
      </c>
      <c r="C278" s="95">
        <f>'B) D RI'!U280</f>
        <v>85101.213069544348</v>
      </c>
      <c r="D278" s="110">
        <f>'E) Fact soc'!G284/C278</f>
        <v>18.278039572437685</v>
      </c>
      <c r="E278" s="136">
        <f>'H) Péréquation directe'!I289/C278</f>
        <v>15.445382354814321</v>
      </c>
      <c r="F278" s="110"/>
      <c r="G278" s="136">
        <f t="shared" si="17"/>
        <v>33.723421927252005</v>
      </c>
      <c r="H278" s="110">
        <f t="shared" si="18"/>
        <v>33.723421927252005</v>
      </c>
      <c r="I278" s="136">
        <f t="shared" si="19"/>
        <v>0</v>
      </c>
      <c r="J278" s="55">
        <f t="shared" si="20"/>
        <v>0</v>
      </c>
      <c r="K278" s="36"/>
    </row>
    <row r="279" spans="1:11" x14ac:dyDescent="0.25">
      <c r="A279" s="49">
        <f>'A) Base RI'!A281</f>
        <v>5886</v>
      </c>
      <c r="B279" s="293" t="str">
        <f>'A) Base RI'!B281</f>
        <v>Montreux</v>
      </c>
      <c r="C279" s="95">
        <f>'B) D RI'!U281</f>
        <v>1097075.3945128203</v>
      </c>
      <c r="D279" s="110">
        <f>'E) Fact soc'!G285/C279</f>
        <v>23.597403020009608</v>
      </c>
      <c r="E279" s="136">
        <f>'H) Péréquation directe'!I290/C279</f>
        <v>-2.3521427435524123</v>
      </c>
      <c r="F279" s="110"/>
      <c r="G279" s="136">
        <f t="shared" si="17"/>
        <v>21.245260276457195</v>
      </c>
      <c r="H279" s="110">
        <f t="shared" si="18"/>
        <v>21.245260276457195</v>
      </c>
      <c r="I279" s="136">
        <f t="shared" si="19"/>
        <v>0</v>
      </c>
      <c r="J279" s="55">
        <f t="shared" si="20"/>
        <v>0</v>
      </c>
      <c r="K279" s="36"/>
    </row>
    <row r="280" spans="1:11" x14ac:dyDescent="0.25">
      <c r="A280" s="49">
        <f>'A) Base RI'!A282</f>
        <v>5888</v>
      </c>
      <c r="B280" s="293" t="str">
        <f>'A) Base RI'!B282</f>
        <v>Saint-Légier-La Chiésaz</v>
      </c>
      <c r="C280" s="95">
        <f>'B) D RI'!U282</f>
        <v>325579.73326034058</v>
      </c>
      <c r="D280" s="110">
        <f>'E) Fact soc'!G286/C280</f>
        <v>19.369559178050977</v>
      </c>
      <c r="E280" s="136">
        <f>'H) Péréquation directe'!I291/C280</f>
        <v>13.121258858975198</v>
      </c>
      <c r="F280" s="110"/>
      <c r="G280" s="136">
        <f t="shared" si="17"/>
        <v>32.490818037026173</v>
      </c>
      <c r="H280" s="110">
        <f t="shared" si="18"/>
        <v>32.490818037026173</v>
      </c>
      <c r="I280" s="136">
        <f t="shared" si="19"/>
        <v>0</v>
      </c>
      <c r="J280" s="55">
        <f t="shared" si="20"/>
        <v>0</v>
      </c>
      <c r="K280" s="36"/>
    </row>
    <row r="281" spans="1:11" x14ac:dyDescent="0.25">
      <c r="A281" s="49">
        <f>'A) Base RI'!A283</f>
        <v>5889</v>
      </c>
      <c r="B281" s="293" t="str">
        <f>'A) Base RI'!B283</f>
        <v>La Tour-de-Peilz</v>
      </c>
      <c r="C281" s="95">
        <f>'B) D RI'!U283</f>
        <v>675962.70015625004</v>
      </c>
      <c r="D281" s="110">
        <f>'E) Fact soc'!G287/C281</f>
        <v>17.82284446202204</v>
      </c>
      <c r="E281" s="136">
        <f>'H) Péréquation directe'!I292/C281</f>
        <v>9.5645515476653653</v>
      </c>
      <c r="F281" s="110"/>
      <c r="G281" s="136">
        <f t="shared" si="17"/>
        <v>27.387396009687407</v>
      </c>
      <c r="H281" s="110">
        <f t="shared" si="18"/>
        <v>27.387396009687407</v>
      </c>
      <c r="I281" s="136">
        <f t="shared" si="19"/>
        <v>0</v>
      </c>
      <c r="J281" s="55">
        <f t="shared" si="20"/>
        <v>0</v>
      </c>
      <c r="K281" s="36"/>
    </row>
    <row r="282" spans="1:11" x14ac:dyDescent="0.25">
      <c r="A282" s="49">
        <f>'A) Base RI'!A284</f>
        <v>5890</v>
      </c>
      <c r="B282" s="293" t="str">
        <f>'A) Base RI'!B284</f>
        <v>Vevey</v>
      </c>
      <c r="C282" s="95">
        <f>'B) D RI'!U284</f>
        <v>862625.86017897108</v>
      </c>
      <c r="D282" s="110">
        <f>'E) Fact soc'!G288/C282</f>
        <v>17.460033637488202</v>
      </c>
      <c r="E282" s="136">
        <f>'H) Péréquation directe'!I293/C282</f>
        <v>0.29446690415581417</v>
      </c>
      <c r="F282" s="110"/>
      <c r="G282" s="136">
        <f t="shared" si="17"/>
        <v>17.754500541644017</v>
      </c>
      <c r="H282" s="110">
        <f t="shared" si="18"/>
        <v>17.754500541644017</v>
      </c>
      <c r="I282" s="136">
        <f t="shared" si="19"/>
        <v>0</v>
      </c>
      <c r="J282" s="55">
        <f t="shared" si="20"/>
        <v>0</v>
      </c>
      <c r="K282" s="36"/>
    </row>
    <row r="283" spans="1:11" x14ac:dyDescent="0.25">
      <c r="A283" s="49">
        <f>'A) Base RI'!A285</f>
        <v>5891</v>
      </c>
      <c r="B283" s="293" t="str">
        <f>'A) Base RI'!B285</f>
        <v>Veytaux</v>
      </c>
      <c r="C283" s="95">
        <f>'B) D RI'!U285</f>
        <v>43950.38565947242</v>
      </c>
      <c r="D283" s="110">
        <f>'E) Fact soc'!G289/C283</f>
        <v>17.109401804823687</v>
      </c>
      <c r="E283" s="136">
        <f>'H) Péréquation directe'!I294/C283</f>
        <v>16.011385777101818</v>
      </c>
      <c r="F283" s="110"/>
      <c r="G283" s="136">
        <f t="shared" si="17"/>
        <v>33.120787581925505</v>
      </c>
      <c r="H283" s="110">
        <f t="shared" si="18"/>
        <v>33.120787581925505</v>
      </c>
      <c r="I283" s="136">
        <f t="shared" si="19"/>
        <v>0</v>
      </c>
      <c r="J283" s="55">
        <f t="shared" si="20"/>
        <v>0</v>
      </c>
      <c r="K283" s="36"/>
    </row>
    <row r="284" spans="1:11" x14ac:dyDescent="0.25">
      <c r="A284" s="49">
        <f>'A) Base RI'!A286</f>
        <v>5902</v>
      </c>
      <c r="B284" s="293" t="str">
        <f>'A) Base RI'!B286</f>
        <v>Belmont-sur-Yverdon</v>
      </c>
      <c r="C284" s="95">
        <f>'B) D RI'!U286</f>
        <v>11749.165714285717</v>
      </c>
      <c r="D284" s="110">
        <f>'E) Fact soc'!G290/C284</f>
        <v>20.701049900213238</v>
      </c>
      <c r="E284" s="136">
        <f>'H) Péréquation directe'!I295/C284</f>
        <v>3.196269785604827</v>
      </c>
      <c r="F284" s="110"/>
      <c r="G284" s="136">
        <f t="shared" si="17"/>
        <v>23.897319685818065</v>
      </c>
      <c r="H284" s="110">
        <f t="shared" si="18"/>
        <v>23.897319685818065</v>
      </c>
      <c r="I284" s="136">
        <f t="shared" si="19"/>
        <v>0</v>
      </c>
      <c r="J284" s="55">
        <f t="shared" si="20"/>
        <v>0</v>
      </c>
      <c r="K284" s="36"/>
    </row>
    <row r="285" spans="1:11" x14ac:dyDescent="0.25">
      <c r="A285" s="49">
        <f>'A) Base RI'!A287</f>
        <v>5903</v>
      </c>
      <c r="B285" s="293" t="str">
        <f>'A) Base RI'!B287</f>
        <v>Bioley-Magnoux</v>
      </c>
      <c r="C285" s="95">
        <f>'B) D RI'!U287</f>
        <v>5017.2132738095233</v>
      </c>
      <c r="D285" s="110">
        <f>'E) Fact soc'!G291/C285</f>
        <v>15.71099578524524</v>
      </c>
      <c r="E285" s="136">
        <f>'H) Péréquation directe'!I296/C285</f>
        <v>-11.180360623250611</v>
      </c>
      <c r="F285" s="110"/>
      <c r="G285" s="136">
        <f t="shared" si="17"/>
        <v>4.5306351619946295</v>
      </c>
      <c r="H285" s="110">
        <f t="shared" si="18"/>
        <v>4.5306351619946295</v>
      </c>
      <c r="I285" s="136">
        <f t="shared" si="19"/>
        <v>0</v>
      </c>
      <c r="J285" s="55">
        <f t="shared" si="20"/>
        <v>0</v>
      </c>
      <c r="K285" s="36"/>
    </row>
    <row r="286" spans="1:11" x14ac:dyDescent="0.25">
      <c r="A286" s="49">
        <f>'A) Base RI'!A288</f>
        <v>5904</v>
      </c>
      <c r="B286" s="293" t="str">
        <f>'A) Base RI'!B288</f>
        <v>Chamblon</v>
      </c>
      <c r="C286" s="95">
        <f>'B) D RI'!U288</f>
        <v>21694.056363636359</v>
      </c>
      <c r="D286" s="110">
        <f>'E) Fact soc'!G292/C286</f>
        <v>15.670131796513935</v>
      </c>
      <c r="E286" s="136">
        <f>'H) Péréquation directe'!I297/C286</f>
        <v>12.223776944717644</v>
      </c>
      <c r="F286" s="110"/>
      <c r="G286" s="136">
        <f t="shared" si="17"/>
        <v>27.893908741231577</v>
      </c>
      <c r="H286" s="110">
        <f t="shared" si="18"/>
        <v>27.893908741231577</v>
      </c>
      <c r="I286" s="136">
        <f t="shared" si="19"/>
        <v>0</v>
      </c>
      <c r="J286" s="55">
        <f t="shared" si="20"/>
        <v>0</v>
      </c>
      <c r="K286" s="36"/>
    </row>
    <row r="287" spans="1:11" x14ac:dyDescent="0.25">
      <c r="A287" s="49">
        <f>'A) Base RI'!A289</f>
        <v>5905</v>
      </c>
      <c r="B287" s="293" t="str">
        <f>'A) Base RI'!B289</f>
        <v>Champvent</v>
      </c>
      <c r="C287" s="95">
        <f>'B) D RI'!U289</f>
        <v>21622.169859154932</v>
      </c>
      <c r="D287" s="110">
        <f>'E) Fact soc'!G293/C287</f>
        <v>16.83625580102153</v>
      </c>
      <c r="E287" s="136">
        <f>'H) Péréquation directe'!I298/C287</f>
        <v>4.5077392035916182</v>
      </c>
      <c r="F287" s="110"/>
      <c r="G287" s="136">
        <f t="shared" si="17"/>
        <v>21.343995004613149</v>
      </c>
      <c r="H287" s="110">
        <f t="shared" si="18"/>
        <v>21.343995004613149</v>
      </c>
      <c r="I287" s="136">
        <f t="shared" si="19"/>
        <v>0</v>
      </c>
      <c r="J287" s="55">
        <f t="shared" si="20"/>
        <v>0</v>
      </c>
      <c r="K287" s="36"/>
    </row>
    <row r="288" spans="1:11" x14ac:dyDescent="0.25">
      <c r="A288" s="49">
        <f>'A) Base RI'!A290</f>
        <v>5907</v>
      </c>
      <c r="B288" s="293" t="str">
        <f>'A) Base RI'!B290</f>
        <v>Chavannes-le-Chêne</v>
      </c>
      <c r="C288" s="95">
        <f>'B) D RI'!U290</f>
        <v>9891.0456000000013</v>
      </c>
      <c r="D288" s="110">
        <f>'E) Fact soc'!G294/C288</f>
        <v>15.363480161142105</v>
      </c>
      <c r="E288" s="136">
        <f>'H) Péréquation directe'!I299/C288</f>
        <v>2.5299528987875792</v>
      </c>
      <c r="F288" s="110"/>
      <c r="G288" s="136">
        <f t="shared" si="17"/>
        <v>17.893433059929684</v>
      </c>
      <c r="H288" s="110">
        <f t="shared" si="18"/>
        <v>17.893433059929684</v>
      </c>
      <c r="I288" s="136">
        <f t="shared" si="19"/>
        <v>0</v>
      </c>
      <c r="J288" s="55">
        <f t="shared" si="20"/>
        <v>0</v>
      </c>
      <c r="K288" s="36"/>
    </row>
    <row r="289" spans="1:11" x14ac:dyDescent="0.25">
      <c r="A289" s="49">
        <f>'A) Base RI'!A291</f>
        <v>5908</v>
      </c>
      <c r="B289" s="293" t="str">
        <f>'A) Base RI'!B291</f>
        <v>Chêne-Pâquier</v>
      </c>
      <c r="C289" s="95">
        <f>'B) D RI'!U291</f>
        <v>6502.4863291139245</v>
      </c>
      <c r="D289" s="110">
        <f>'E) Fact soc'!G295/C289</f>
        <v>14.408523322476029</v>
      </c>
      <c r="E289" s="136">
        <f>'H) Péréquation directe'!I300/C289</f>
        <v>15.217019713162628</v>
      </c>
      <c r="F289" s="110"/>
      <c r="G289" s="136">
        <f t="shared" si="17"/>
        <v>29.625543035638657</v>
      </c>
      <c r="H289" s="110">
        <f t="shared" si="18"/>
        <v>29.625543035638657</v>
      </c>
      <c r="I289" s="136">
        <f t="shared" si="19"/>
        <v>0</v>
      </c>
      <c r="J289" s="55">
        <f t="shared" si="20"/>
        <v>0</v>
      </c>
      <c r="K289" s="36"/>
    </row>
    <row r="290" spans="1:11" x14ac:dyDescent="0.25">
      <c r="A290" s="49">
        <f>'A) Base RI'!A292</f>
        <v>5909</v>
      </c>
      <c r="B290" s="293" t="str">
        <f>'A) Base RI'!B292</f>
        <v>Cheseaux-Noréaz</v>
      </c>
      <c r="C290" s="95">
        <f>'B) D RI'!U292</f>
        <v>39259.116417910453</v>
      </c>
      <c r="D290" s="110">
        <f>'E) Fact soc'!G296/C290</f>
        <v>15.968925387282793</v>
      </c>
      <c r="E290" s="136">
        <f>'H) Péréquation directe'!I301/C290</f>
        <v>17.295428829930444</v>
      </c>
      <c r="F290" s="110"/>
      <c r="G290" s="136">
        <f t="shared" si="17"/>
        <v>33.264354217213238</v>
      </c>
      <c r="H290" s="110">
        <f t="shared" si="18"/>
        <v>33.264354217213238</v>
      </c>
      <c r="I290" s="136">
        <f t="shared" si="19"/>
        <v>0</v>
      </c>
      <c r="J290" s="55">
        <f t="shared" si="20"/>
        <v>0</v>
      </c>
      <c r="K290" s="36"/>
    </row>
    <row r="291" spans="1:11" x14ac:dyDescent="0.25">
      <c r="A291" s="49">
        <f>'A) Base RI'!A293</f>
        <v>5910</v>
      </c>
      <c r="B291" s="293" t="str">
        <f>'A) Base RI'!B293</f>
        <v>Cronay</v>
      </c>
      <c r="C291" s="95">
        <f>'B) D RI'!U293</f>
        <v>9976.0020779220758</v>
      </c>
      <c r="D291" s="110">
        <f>'E) Fact soc'!G297/C291</f>
        <v>13.012060858069333</v>
      </c>
      <c r="E291" s="136">
        <f>'H) Péréquation directe'!I302/C291</f>
        <v>-6.6041998751934754</v>
      </c>
      <c r="F291" s="110"/>
      <c r="G291" s="136">
        <f t="shared" si="17"/>
        <v>6.4078609828758575</v>
      </c>
      <c r="H291" s="110">
        <f t="shared" si="18"/>
        <v>6.4078609828758575</v>
      </c>
      <c r="I291" s="136">
        <f t="shared" si="19"/>
        <v>0</v>
      </c>
      <c r="J291" s="55">
        <f t="shared" si="20"/>
        <v>0</v>
      </c>
      <c r="K291" s="36"/>
    </row>
    <row r="292" spans="1:11" x14ac:dyDescent="0.25">
      <c r="A292" s="49">
        <f>'A) Base RI'!A294</f>
        <v>5911</v>
      </c>
      <c r="B292" s="293" t="str">
        <f>'A) Base RI'!B294</f>
        <v>Cuarny</v>
      </c>
      <c r="C292" s="95">
        <f>'B) D RI'!U294</f>
        <v>6939.596883116883</v>
      </c>
      <c r="D292" s="110">
        <f>'E) Fact soc'!G298/C292</f>
        <v>13.672828845535715</v>
      </c>
      <c r="E292" s="136">
        <f>'H) Péréquation directe'!I303/C292</f>
        <v>0.60252846862935472</v>
      </c>
      <c r="F292" s="110"/>
      <c r="G292" s="136">
        <f t="shared" si="17"/>
        <v>14.27535731416507</v>
      </c>
      <c r="H292" s="110">
        <f t="shared" si="18"/>
        <v>14.27535731416507</v>
      </c>
      <c r="I292" s="136">
        <f t="shared" si="19"/>
        <v>0</v>
      </c>
      <c r="J292" s="55">
        <f t="shared" si="20"/>
        <v>0</v>
      </c>
      <c r="K292" s="36"/>
    </row>
    <row r="293" spans="1:11" x14ac:dyDescent="0.25">
      <c r="A293" s="49">
        <f>'A) Base RI'!A295</f>
        <v>5912</v>
      </c>
      <c r="B293" s="293" t="str">
        <f>'A) Base RI'!B295</f>
        <v>Démoret</v>
      </c>
      <c r="C293" s="95">
        <f>'B) D RI'!U295</f>
        <v>4059.5274074074073</v>
      </c>
      <c r="D293" s="110">
        <f>'E) Fact soc'!G299/C293</f>
        <v>16.331631371316568</v>
      </c>
      <c r="E293" s="136">
        <f>'H) Péréquation directe'!I304/C293</f>
        <v>-8.2210700491350437</v>
      </c>
      <c r="F293" s="110"/>
      <c r="G293" s="136">
        <f t="shared" si="17"/>
        <v>8.1105613221815247</v>
      </c>
      <c r="H293" s="110">
        <f t="shared" si="18"/>
        <v>8.1105613221815247</v>
      </c>
      <c r="I293" s="136">
        <f t="shared" si="19"/>
        <v>0</v>
      </c>
      <c r="J293" s="55">
        <f t="shared" si="20"/>
        <v>0</v>
      </c>
      <c r="K293" s="36"/>
    </row>
    <row r="294" spans="1:11" x14ac:dyDescent="0.25">
      <c r="A294" s="49">
        <f>'A) Base RI'!A296</f>
        <v>5913</v>
      </c>
      <c r="B294" s="293" t="str">
        <f>'A) Base RI'!B296</f>
        <v>Donneloye</v>
      </c>
      <c r="C294" s="95">
        <f>'B) D RI'!U296</f>
        <v>19880.828493150682</v>
      </c>
      <c r="D294" s="110">
        <f>'E) Fact soc'!G300/C294</f>
        <v>15.845539557415842</v>
      </c>
      <c r="E294" s="136">
        <f>'H) Péréquation directe'!I305/C294</f>
        <v>-7.1016995947187098</v>
      </c>
      <c r="F294" s="110"/>
      <c r="G294" s="136">
        <f t="shared" si="17"/>
        <v>8.7438399626971322</v>
      </c>
      <c r="H294" s="110">
        <f t="shared" si="18"/>
        <v>8.7438399626971322</v>
      </c>
      <c r="I294" s="136">
        <f t="shared" si="19"/>
        <v>0</v>
      </c>
      <c r="J294" s="55">
        <f t="shared" si="20"/>
        <v>0</v>
      </c>
      <c r="K294" s="36"/>
    </row>
    <row r="295" spans="1:11" x14ac:dyDescent="0.25">
      <c r="A295" s="49">
        <f>'A) Base RI'!A297</f>
        <v>5914</v>
      </c>
      <c r="B295" s="293" t="str">
        <f>'A) Base RI'!B297</f>
        <v>Ependes</v>
      </c>
      <c r="C295" s="95">
        <f>'B) D RI'!U297</f>
        <v>10662.074965986394</v>
      </c>
      <c r="D295" s="110">
        <f>'E) Fact soc'!G301/C295</f>
        <v>15.806478689336389</v>
      </c>
      <c r="E295" s="136">
        <f>'H) Péréquation directe'!I306/C295</f>
        <v>-1.1981041127256782</v>
      </c>
      <c r="F295" s="110"/>
      <c r="G295" s="136">
        <f t="shared" si="17"/>
        <v>14.608374576610711</v>
      </c>
      <c r="H295" s="110">
        <f t="shared" si="18"/>
        <v>14.608374576610711</v>
      </c>
      <c r="I295" s="136">
        <f t="shared" si="19"/>
        <v>0</v>
      </c>
      <c r="J295" s="55">
        <f t="shared" si="20"/>
        <v>0</v>
      </c>
      <c r="K295" s="36"/>
    </row>
    <row r="296" spans="1:11" x14ac:dyDescent="0.25">
      <c r="A296" s="49">
        <f>'A) Base RI'!A298</f>
        <v>5919</v>
      </c>
      <c r="B296" s="293" t="str">
        <f>'A) Base RI'!B298</f>
        <v>Mathod</v>
      </c>
      <c r="C296" s="95">
        <f>'B) D RI'!U298</f>
        <v>21565.598078703704</v>
      </c>
      <c r="D296" s="110">
        <f>'E) Fact soc'!G302/C296</f>
        <v>19.859079884351431</v>
      </c>
      <c r="E296" s="136">
        <f>'H) Péréquation directe'!I307/C296</f>
        <v>6.4461536483653736</v>
      </c>
      <c r="F296" s="110"/>
      <c r="G296" s="136">
        <f t="shared" si="17"/>
        <v>26.305233532716805</v>
      </c>
      <c r="H296" s="110">
        <f t="shared" si="18"/>
        <v>26.305233532716805</v>
      </c>
      <c r="I296" s="136">
        <f t="shared" si="19"/>
        <v>0</v>
      </c>
      <c r="J296" s="55">
        <f t="shared" si="20"/>
        <v>0</v>
      </c>
      <c r="K296" s="36"/>
    </row>
    <row r="297" spans="1:11" x14ac:dyDescent="0.25">
      <c r="A297" s="49">
        <f>'A) Base RI'!A299</f>
        <v>5921</v>
      </c>
      <c r="B297" s="293" t="str">
        <f>'A) Base RI'!B299</f>
        <v>Molondin</v>
      </c>
      <c r="C297" s="95">
        <f>'B) D RI'!U299</f>
        <v>5675.8933333333334</v>
      </c>
      <c r="D297" s="110">
        <f>'E) Fact soc'!G303/C297</f>
        <v>15.633358308122405</v>
      </c>
      <c r="E297" s="136">
        <f>'H) Péréquation directe'!I308/C297</f>
        <v>-15.846073111858326</v>
      </c>
      <c r="F297" s="110"/>
      <c r="G297" s="136">
        <f t="shared" si="17"/>
        <v>-0.21271480373592055</v>
      </c>
      <c r="H297" s="110">
        <f t="shared" si="18"/>
        <v>-0.21271480373592055</v>
      </c>
      <c r="I297" s="136">
        <f t="shared" si="19"/>
        <v>0</v>
      </c>
      <c r="J297" s="55">
        <f t="shared" si="20"/>
        <v>0</v>
      </c>
      <c r="K297" s="36"/>
    </row>
    <row r="298" spans="1:11" x14ac:dyDescent="0.25">
      <c r="A298" s="49">
        <f>'A) Base RI'!A300</f>
        <v>5922</v>
      </c>
      <c r="B298" s="293" t="str">
        <f>'A) Base RI'!B300</f>
        <v>Montagny-près-Yverdon</v>
      </c>
      <c r="C298" s="95">
        <f>'B) D RI'!U300</f>
        <v>33326.398149606292</v>
      </c>
      <c r="D298" s="110">
        <f>'E) Fact soc'!G304/C298</f>
        <v>17.890328254721148</v>
      </c>
      <c r="E298" s="136">
        <f>'H) Péréquation directe'!I309/C298</f>
        <v>15.836857166421307</v>
      </c>
      <c r="F298" s="110"/>
      <c r="G298" s="136">
        <f t="shared" si="17"/>
        <v>33.727185421142451</v>
      </c>
      <c r="H298" s="110">
        <f t="shared" si="18"/>
        <v>33.727185421142451</v>
      </c>
      <c r="I298" s="136">
        <f t="shared" si="19"/>
        <v>0</v>
      </c>
      <c r="J298" s="55">
        <f t="shared" si="20"/>
        <v>0</v>
      </c>
      <c r="K298" s="36"/>
    </row>
    <row r="299" spans="1:11" x14ac:dyDescent="0.25">
      <c r="A299" s="49">
        <f>'A) Base RI'!A301</f>
        <v>5923</v>
      </c>
      <c r="B299" s="293" t="str">
        <f>'A) Base RI'!B301</f>
        <v>Oppens</v>
      </c>
      <c r="C299" s="95">
        <f>'B) D RI'!U301</f>
        <v>4799.240617283951</v>
      </c>
      <c r="D299" s="110">
        <f>'E) Fact soc'!G305/C299</f>
        <v>16.881463204256622</v>
      </c>
      <c r="E299" s="136">
        <f>'H) Péréquation directe'!I310/C299</f>
        <v>-12.342724835630971</v>
      </c>
      <c r="F299" s="110"/>
      <c r="G299" s="136">
        <f t="shared" si="17"/>
        <v>4.5387383686256513</v>
      </c>
      <c r="H299" s="110">
        <f t="shared" si="18"/>
        <v>4.5387383686256513</v>
      </c>
      <c r="I299" s="136">
        <f t="shared" si="19"/>
        <v>0</v>
      </c>
      <c r="J299" s="55">
        <f t="shared" si="20"/>
        <v>0</v>
      </c>
      <c r="K299" s="36"/>
    </row>
    <row r="300" spans="1:11" x14ac:dyDescent="0.25">
      <c r="A300" s="49">
        <f>'A) Base RI'!A302</f>
        <v>5924</v>
      </c>
      <c r="B300" s="293" t="str">
        <f>'A) Base RI'!B302</f>
        <v>Orges</v>
      </c>
      <c r="C300" s="95">
        <f>'B) D RI'!U302</f>
        <v>12525.425270270271</v>
      </c>
      <c r="D300" s="110">
        <f>'E) Fact soc'!G306/C300</f>
        <v>20.670690236245417</v>
      </c>
      <c r="E300" s="136">
        <f>'H) Péréquation directe'!I311/C300</f>
        <v>9.2278017275828681</v>
      </c>
      <c r="F300" s="110"/>
      <c r="G300" s="136">
        <f t="shared" si="17"/>
        <v>29.898491963828285</v>
      </c>
      <c r="H300" s="110">
        <f t="shared" si="18"/>
        <v>29.898491963828285</v>
      </c>
      <c r="I300" s="136">
        <f t="shared" si="19"/>
        <v>0</v>
      </c>
      <c r="J300" s="55">
        <f t="shared" si="20"/>
        <v>0</v>
      </c>
      <c r="K300" s="36"/>
    </row>
    <row r="301" spans="1:11" x14ac:dyDescent="0.25">
      <c r="A301" s="49">
        <f>'A) Base RI'!A303</f>
        <v>5925</v>
      </c>
      <c r="B301" s="293" t="str">
        <f>'A) Base RI'!B303</f>
        <v>Orzens</v>
      </c>
      <c r="C301" s="95">
        <f>'B) D RI'!U303</f>
        <v>5879.4616455696196</v>
      </c>
      <c r="D301" s="110">
        <f>'E) Fact soc'!G307/C301</f>
        <v>25.176438768098663</v>
      </c>
      <c r="E301" s="136">
        <f>'H) Péréquation directe'!I312/C301</f>
        <v>-0.8005962632129846</v>
      </c>
      <c r="F301" s="110"/>
      <c r="G301" s="136">
        <f t="shared" si="17"/>
        <v>24.375842504885679</v>
      </c>
      <c r="H301" s="110">
        <f t="shared" si="18"/>
        <v>24.375842504885679</v>
      </c>
      <c r="I301" s="136">
        <f t="shared" si="19"/>
        <v>0</v>
      </c>
      <c r="J301" s="55">
        <f t="shared" si="20"/>
        <v>0</v>
      </c>
      <c r="K301" s="36"/>
    </row>
    <row r="302" spans="1:11" x14ac:dyDescent="0.25">
      <c r="A302" s="49">
        <f>'A) Base RI'!A304</f>
        <v>5926</v>
      </c>
      <c r="B302" s="293" t="str">
        <f>'A) Base RI'!B304</f>
        <v>Pomy</v>
      </c>
      <c r="C302" s="95">
        <f>'B) D RI'!U304</f>
        <v>27519.38971830986</v>
      </c>
      <c r="D302" s="110">
        <f>'E) Fact soc'!G308/C302</f>
        <v>16.760691554245838</v>
      </c>
      <c r="E302" s="136">
        <f>'H) Péréquation directe'!I313/C302</f>
        <v>7.8133010320250191</v>
      </c>
      <c r="F302" s="110"/>
      <c r="G302" s="136">
        <f t="shared" si="17"/>
        <v>24.573992586270858</v>
      </c>
      <c r="H302" s="110">
        <f t="shared" si="18"/>
        <v>24.573992586270858</v>
      </c>
      <c r="I302" s="136">
        <f t="shared" si="19"/>
        <v>0</v>
      </c>
      <c r="J302" s="55">
        <f t="shared" si="20"/>
        <v>0</v>
      </c>
      <c r="K302" s="36"/>
    </row>
    <row r="303" spans="1:11" x14ac:dyDescent="0.25">
      <c r="A303" s="49">
        <f>'A) Base RI'!A305</f>
        <v>5928</v>
      </c>
      <c r="B303" s="293" t="str">
        <f>'A) Base RI'!B305</f>
        <v>Rovray</v>
      </c>
      <c r="C303" s="95">
        <f>'B) D RI'!U305</f>
        <v>5563.4060139860139</v>
      </c>
      <c r="D303" s="110">
        <f>'E) Fact soc'!G309/C303</f>
        <v>14.245457115894316</v>
      </c>
      <c r="E303" s="136">
        <f>'H) Péréquation directe'!I314/C303</f>
        <v>-0.63055274500115377</v>
      </c>
      <c r="F303" s="110"/>
      <c r="G303" s="136">
        <f t="shared" si="17"/>
        <v>13.614904370893163</v>
      </c>
      <c r="H303" s="110">
        <f t="shared" si="18"/>
        <v>13.614904370893163</v>
      </c>
      <c r="I303" s="136">
        <f t="shared" si="19"/>
        <v>0</v>
      </c>
      <c r="J303" s="55">
        <f t="shared" si="20"/>
        <v>0</v>
      </c>
      <c r="K303" s="36"/>
    </row>
    <row r="304" spans="1:11" x14ac:dyDescent="0.25">
      <c r="A304" s="49">
        <f>'A) Base RI'!A306</f>
        <v>5929</v>
      </c>
      <c r="B304" s="293" t="str">
        <f>'A) Base RI'!B306</f>
        <v>Suchy</v>
      </c>
      <c r="C304" s="95">
        <f>'B) D RI'!U306</f>
        <v>19827.403178571429</v>
      </c>
      <c r="D304" s="110">
        <f>'E) Fact soc'!G310/C304</f>
        <v>15.950234938489368</v>
      </c>
      <c r="E304" s="136">
        <f>'H) Péréquation directe'!I315/C304</f>
        <v>3.8592353585130241</v>
      </c>
      <c r="F304" s="110"/>
      <c r="G304" s="136">
        <f t="shared" si="17"/>
        <v>19.809470297002392</v>
      </c>
      <c r="H304" s="110">
        <f t="shared" si="18"/>
        <v>19.809470297002392</v>
      </c>
      <c r="I304" s="136">
        <f t="shared" si="19"/>
        <v>0</v>
      </c>
      <c r="J304" s="55">
        <f t="shared" si="20"/>
        <v>0</v>
      </c>
      <c r="K304" s="36"/>
    </row>
    <row r="305" spans="1:13" x14ac:dyDescent="0.25">
      <c r="A305" s="49">
        <f>'A) Base RI'!A307</f>
        <v>5930</v>
      </c>
      <c r="B305" s="293" t="str">
        <f>'A) Base RI'!B307</f>
        <v>Suscévaz</v>
      </c>
      <c r="C305" s="95">
        <f>'B) D RI'!U307</f>
        <v>5769.1548611111102</v>
      </c>
      <c r="D305" s="110">
        <f>'E) Fact soc'!G311/C305</f>
        <v>13.965391856027429</v>
      </c>
      <c r="E305" s="136">
        <f>'H) Péréquation directe'!I316/C305</f>
        <v>0.62121006849067939</v>
      </c>
      <c r="F305" s="110"/>
      <c r="G305" s="136">
        <f t="shared" si="17"/>
        <v>14.586601924518108</v>
      </c>
      <c r="H305" s="110">
        <f t="shared" si="18"/>
        <v>14.586601924518108</v>
      </c>
      <c r="I305" s="136">
        <f t="shared" si="19"/>
        <v>0</v>
      </c>
      <c r="J305" s="55">
        <f t="shared" si="20"/>
        <v>0</v>
      </c>
      <c r="K305" s="36"/>
    </row>
    <row r="306" spans="1:13" x14ac:dyDescent="0.25">
      <c r="A306" s="49">
        <f>'A) Base RI'!A308</f>
        <v>5931</v>
      </c>
      <c r="B306" s="293" t="str">
        <f>'A) Base RI'!B308</f>
        <v>Treycovagnes</v>
      </c>
      <c r="C306" s="95">
        <f>'B) D RI'!U308</f>
        <v>15383.603066666663</v>
      </c>
      <c r="D306" s="110">
        <f>'E) Fact soc'!G312/C306</f>
        <v>16.635413105336145</v>
      </c>
      <c r="E306" s="136">
        <f>'H) Péréquation directe'!I317/C306</f>
        <v>4.0194607522064754</v>
      </c>
      <c r="F306" s="110"/>
      <c r="G306" s="136">
        <f t="shared" si="17"/>
        <v>20.654873857542619</v>
      </c>
      <c r="H306" s="110">
        <f t="shared" si="18"/>
        <v>20.654873857542619</v>
      </c>
      <c r="I306" s="136">
        <f t="shared" si="19"/>
        <v>0</v>
      </c>
      <c r="J306" s="55">
        <f t="shared" si="20"/>
        <v>0</v>
      </c>
      <c r="K306" s="36"/>
    </row>
    <row r="307" spans="1:13" x14ac:dyDescent="0.25">
      <c r="A307" s="49">
        <f>'A) Base RI'!A309</f>
        <v>5932</v>
      </c>
      <c r="B307" s="293" t="str">
        <f>'A) Base RI'!B309</f>
        <v>Ursins</v>
      </c>
      <c r="C307" s="95">
        <f>'B) D RI'!U309</f>
        <v>6819.4023999999999</v>
      </c>
      <c r="D307" s="110">
        <f>'E) Fact soc'!G313/C307</f>
        <v>13.52861297581642</v>
      </c>
      <c r="E307" s="136">
        <f>'H) Péréquation directe'!I318/C307</f>
        <v>-6.617532372077943E-2</v>
      </c>
      <c r="F307" s="110"/>
      <c r="G307" s="136">
        <f t="shared" si="17"/>
        <v>13.462437652095641</v>
      </c>
      <c r="H307" s="110">
        <f t="shared" si="18"/>
        <v>13.462437652095641</v>
      </c>
      <c r="I307" s="136">
        <f t="shared" si="19"/>
        <v>0</v>
      </c>
      <c r="J307" s="55">
        <f t="shared" si="20"/>
        <v>0</v>
      </c>
      <c r="K307" s="36"/>
    </row>
    <row r="308" spans="1:13" x14ac:dyDescent="0.25">
      <c r="A308" s="49">
        <f>'A) Base RI'!A310</f>
        <v>5933</v>
      </c>
      <c r="B308" s="293" t="str">
        <f>'A) Base RI'!B310</f>
        <v>Valeyres-sous-Montagny</v>
      </c>
      <c r="C308" s="95">
        <f>'B) D RI'!U310</f>
        <v>22572.377872340428</v>
      </c>
      <c r="D308" s="110">
        <f>'E) Fact soc'!G314/C308</f>
        <v>15.160153977313108</v>
      </c>
      <c r="E308" s="136">
        <f>'H) Péréquation directe'!I319/C308</f>
        <v>5.2688229305414449</v>
      </c>
      <c r="F308" s="110"/>
      <c r="G308" s="136">
        <f t="shared" si="17"/>
        <v>20.428976907854555</v>
      </c>
      <c r="H308" s="110">
        <f t="shared" si="18"/>
        <v>20.428976907854555</v>
      </c>
      <c r="I308" s="136">
        <f t="shared" si="19"/>
        <v>0</v>
      </c>
      <c r="J308" s="55">
        <f t="shared" si="20"/>
        <v>0</v>
      </c>
      <c r="K308" s="36"/>
    </row>
    <row r="309" spans="1:13" x14ac:dyDescent="0.25">
      <c r="A309" s="49">
        <f>'A) Base RI'!A311</f>
        <v>5934</v>
      </c>
      <c r="B309" s="293" t="str">
        <f>'A) Base RI'!B311</f>
        <v>Valeyres-sous-Ursins</v>
      </c>
      <c r="C309" s="95">
        <f>'B) D RI'!U311</f>
        <v>7577.3788607594925</v>
      </c>
      <c r="D309" s="110">
        <f>'E) Fact soc'!G315/C309</f>
        <v>15.887382456455606</v>
      </c>
      <c r="E309" s="136">
        <f>'H) Péréquation directe'!I320/C309</f>
        <v>2.3674429131997368</v>
      </c>
      <c r="F309" s="110"/>
      <c r="G309" s="136">
        <f t="shared" si="17"/>
        <v>18.254825369655343</v>
      </c>
      <c r="H309" s="110">
        <f t="shared" si="18"/>
        <v>18.254825369655343</v>
      </c>
      <c r="I309" s="136">
        <f t="shared" si="19"/>
        <v>0</v>
      </c>
      <c r="J309" s="55">
        <f t="shared" si="20"/>
        <v>0</v>
      </c>
      <c r="K309" s="36"/>
    </row>
    <row r="310" spans="1:13" x14ac:dyDescent="0.25">
      <c r="A310" s="49">
        <f>'A) Base RI'!A312</f>
        <v>5935</v>
      </c>
      <c r="B310" s="293" t="str">
        <f>'A) Base RI'!B312</f>
        <v>Villars-Epeney</v>
      </c>
      <c r="C310" s="95">
        <f>'B) D RI'!U312</f>
        <v>3912.8696666666669</v>
      </c>
      <c r="D310" s="110">
        <f>'E) Fact soc'!G316/C310</f>
        <v>17.21430307759935</v>
      </c>
      <c r="E310" s="136">
        <f>'H) Péréquation directe'!I321/C310</f>
        <v>12.918898366998256</v>
      </c>
      <c r="F310" s="110"/>
      <c r="G310" s="136">
        <f t="shared" si="17"/>
        <v>30.133201444597606</v>
      </c>
      <c r="H310" s="110">
        <f t="shared" si="18"/>
        <v>30.133201444597606</v>
      </c>
      <c r="I310" s="136">
        <f t="shared" si="19"/>
        <v>0</v>
      </c>
      <c r="J310" s="55">
        <f t="shared" si="20"/>
        <v>0</v>
      </c>
      <c r="K310" s="36"/>
    </row>
    <row r="311" spans="1:13" x14ac:dyDescent="0.25">
      <c r="A311" s="49">
        <f>'A) Base RI'!A313</f>
        <v>5937</v>
      </c>
      <c r="B311" s="293" t="str">
        <f>'A) Base RI'!B313</f>
        <v>Vugelles-La Mothe</v>
      </c>
      <c r="C311" s="95">
        <f>'B) D RI'!U313</f>
        <v>3187.6957755102044</v>
      </c>
      <c r="D311" s="110">
        <f>'E) Fact soc'!G317/C311</f>
        <v>16.049830672230271</v>
      </c>
      <c r="E311" s="136">
        <f>'H) Péréquation directe'!I322/C311</f>
        <v>-7.0716309134184803</v>
      </c>
      <c r="F311" s="110"/>
      <c r="G311" s="136">
        <f t="shared" si="17"/>
        <v>8.9781997588117903</v>
      </c>
      <c r="H311" s="110">
        <f t="shared" si="18"/>
        <v>8.9781997588117903</v>
      </c>
      <c r="I311" s="136">
        <f t="shared" si="19"/>
        <v>0</v>
      </c>
      <c r="J311" s="55">
        <f t="shared" si="20"/>
        <v>0</v>
      </c>
      <c r="K311" s="36"/>
    </row>
    <row r="312" spans="1:13" x14ac:dyDescent="0.25">
      <c r="A312" s="49">
        <f>'A) Base RI'!A314</f>
        <v>5938</v>
      </c>
      <c r="B312" s="293" t="str">
        <f>'A) Base RI'!B314</f>
        <v>Yverdon-les-Bains</v>
      </c>
      <c r="C312" s="95">
        <f>'B) D RI'!U314</f>
        <v>796551.402</v>
      </c>
      <c r="D312" s="110">
        <f>'E) Fact soc'!G318/C312</f>
        <v>17.788054615717019</v>
      </c>
      <c r="E312" s="136">
        <f>'H) Péréquation directe'!I323/C312</f>
        <v>-30.477102638657669</v>
      </c>
      <c r="F312" s="110"/>
      <c r="G312" s="136">
        <f t="shared" si="17"/>
        <v>-12.68904802294065</v>
      </c>
      <c r="H312" s="110">
        <f t="shared" si="18"/>
        <v>-12.68904802294065</v>
      </c>
      <c r="I312" s="136">
        <f t="shared" si="19"/>
        <v>-4.6890480229406499</v>
      </c>
      <c r="J312" s="55">
        <f t="shared" si="20"/>
        <v>3735067.7767187031</v>
      </c>
      <c r="K312" s="36"/>
    </row>
    <row r="313" spans="1:13" x14ac:dyDescent="0.25">
      <c r="A313" s="49">
        <f>'A) Base RI'!A315</f>
        <v>5939</v>
      </c>
      <c r="B313" s="293" t="str">
        <f>'A) Base RI'!B315</f>
        <v>Yvonand</v>
      </c>
      <c r="C313" s="95">
        <f>'B) D RI'!U315</f>
        <v>92890.042937062928</v>
      </c>
      <c r="D313" s="110">
        <f>'E) Fact soc'!G319/C313</f>
        <v>17.402488459368627</v>
      </c>
      <c r="E313" s="136">
        <f>'H) Péréquation directe'!I324/C313</f>
        <v>-8.0350869808768071</v>
      </c>
      <c r="F313" s="110"/>
      <c r="G313" s="136">
        <f t="shared" si="17"/>
        <v>9.3674014784918196</v>
      </c>
      <c r="H313" s="110">
        <f t="shared" si="18"/>
        <v>9.3674014784918196</v>
      </c>
      <c r="I313" s="136">
        <f t="shared" si="19"/>
        <v>0</v>
      </c>
      <c r="J313" s="55">
        <f t="shared" si="20"/>
        <v>0</v>
      </c>
      <c r="K313" s="36"/>
    </row>
    <row r="314" spans="1:13" x14ac:dyDescent="0.25">
      <c r="A314" s="30"/>
      <c r="B314" s="299">
        <f>COUNTA(B5:B313)</f>
        <v>309</v>
      </c>
      <c r="C314" s="97">
        <f>'B) D RI'!U316</f>
        <v>39275450.163217418</v>
      </c>
      <c r="D314" s="306">
        <f>'E) Fact soc'!G320/C314</f>
        <v>21.514712027193173</v>
      </c>
      <c r="E314" s="109">
        <f>'H) Péréquation directe'!I325/C314</f>
        <v>4.9356877339936807</v>
      </c>
      <c r="F314" s="306">
        <f>'I) Dépenses thématiques'!P314</f>
        <v>-4.5</v>
      </c>
      <c r="G314" s="109">
        <f t="shared" ref="G314" si="21">SUM(D314:F314)</f>
        <v>21.950399761186855</v>
      </c>
      <c r="H314" s="306">
        <f t="shared" ref="H314" si="22">G314-F314</f>
        <v>26.450399761186855</v>
      </c>
      <c r="I314" s="109"/>
      <c r="J314" s="37">
        <f>SUM(J5:J313)</f>
        <v>6646138.2455374822</v>
      </c>
      <c r="L314" s="12"/>
      <c r="M314" s="12"/>
    </row>
    <row r="315" spans="1:13" x14ac:dyDescent="0.25">
      <c r="I315" s="28"/>
    </row>
    <row r="316" spans="1:13" x14ac:dyDescent="0.25">
      <c r="I316" s="28"/>
    </row>
  </sheetData>
  <mergeCells count="9">
    <mergeCell ref="C3:C4"/>
    <mergeCell ref="B3:B4"/>
    <mergeCell ref="A3:A4"/>
    <mergeCell ref="J3:J4"/>
    <mergeCell ref="H3:H4"/>
    <mergeCell ref="G3:G4"/>
    <mergeCell ref="F3:F4"/>
    <mergeCell ref="E3:E4"/>
    <mergeCell ref="D3:D4"/>
  </mergeCells>
  <phoneticPr fontId="21" type="noConversion"/>
  <pageMargins left="0.78740157499999996" right="0.78740157499999996" top="0.984251969" bottom="0.984251969" header="0.4921259845" footer="0.4921259845"/>
  <pageSetup paperSize="9" orientation="portrait" horizontalDpi="4294967292" verticalDpi="4294967292"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5">
    <tabColor rgb="FF00B050"/>
  </sheetPr>
  <dimension ref="A1:V320"/>
  <sheetViews>
    <sheetView workbookViewId="0">
      <pane ySplit="5" topLeftCell="A240" activePane="bottomLeft" state="frozen"/>
      <selection pane="bottomLeft" activeCell="Q290" sqref="Q290"/>
    </sheetView>
  </sheetViews>
  <sheetFormatPr baseColWidth="10" defaultColWidth="10.75" defaultRowHeight="15" x14ac:dyDescent="0.25"/>
  <cols>
    <col min="1" max="1" width="7.25" style="13" customWidth="1"/>
    <col min="2" max="2" width="18" style="13" customWidth="1"/>
    <col min="3" max="3" width="11.125" style="6" customWidth="1"/>
    <col min="4" max="4" width="11.25" style="6" customWidth="1"/>
    <col min="5" max="6" width="11.25" style="6" bestFit="1" customWidth="1"/>
    <col min="7" max="7" width="11" style="6" customWidth="1"/>
    <col min="8" max="8" width="11" style="13" customWidth="1"/>
    <col min="9" max="9" width="9" style="13" bestFit="1" customWidth="1"/>
    <col min="10" max="10" width="12.125" style="13" bestFit="1" customWidth="1"/>
    <col min="11" max="11" width="10" style="13" customWidth="1"/>
    <col min="12" max="12" width="8.875" style="15" bestFit="1" customWidth="1"/>
    <col min="13" max="13" width="10.375" style="15" customWidth="1"/>
    <col min="14" max="14" width="13.375" style="15" customWidth="1"/>
    <col min="15" max="15" width="6.75" style="13" customWidth="1"/>
    <col min="16" max="16" width="12.25" style="13" customWidth="1"/>
    <col min="17" max="17" width="12.625" style="13" customWidth="1"/>
    <col min="18" max="18" width="8.25" style="13" customWidth="1"/>
    <col min="19" max="19" width="8.125" style="13" customWidth="1"/>
    <col min="20" max="20" width="9.625" style="13" customWidth="1"/>
    <col min="21" max="21" width="11.25" style="6" bestFit="1" customWidth="1"/>
    <col min="22" max="16384" width="10.75" style="13"/>
  </cols>
  <sheetData>
    <row r="1" spans="1:22" s="43" customFormat="1" ht="21" x14ac:dyDescent="0.25">
      <c r="A1" s="51" t="s">
        <v>126</v>
      </c>
      <c r="B1" s="42"/>
      <c r="C1" s="44"/>
      <c r="D1" s="44"/>
      <c r="E1" s="44"/>
      <c r="F1" s="44"/>
      <c r="G1" s="44"/>
      <c r="H1" s="68"/>
      <c r="I1" s="68"/>
      <c r="J1" s="68"/>
      <c r="K1" s="68"/>
      <c r="L1" s="134"/>
      <c r="M1" s="134"/>
      <c r="N1" s="134"/>
      <c r="O1" s="68"/>
      <c r="P1" s="68"/>
      <c r="Q1" s="68"/>
      <c r="R1" s="68"/>
      <c r="S1" s="68"/>
      <c r="T1" s="68"/>
      <c r="U1" s="6"/>
    </row>
    <row r="2" spans="1:22" x14ac:dyDescent="0.25">
      <c r="H2" s="141"/>
      <c r="I2" s="141"/>
    </row>
    <row r="3" spans="1:22" x14ac:dyDescent="0.25">
      <c r="C3" s="622" t="str">
        <f>Paramètres!B6</f>
        <v>Décompte 2019</v>
      </c>
      <c r="D3" s="623"/>
      <c r="E3" s="623"/>
      <c r="F3" s="623"/>
      <c r="G3" s="623"/>
      <c r="H3" s="623"/>
      <c r="I3" s="624"/>
    </row>
    <row r="4" spans="1:22" ht="30" x14ac:dyDescent="0.25">
      <c r="A4" s="582" t="s">
        <v>46</v>
      </c>
      <c r="B4" s="582" t="s">
        <v>96</v>
      </c>
      <c r="C4" s="585" t="s">
        <v>628</v>
      </c>
      <c r="D4" s="585" t="s">
        <v>145</v>
      </c>
      <c r="E4" s="585" t="s">
        <v>440</v>
      </c>
      <c r="F4" s="585" t="s">
        <v>253</v>
      </c>
      <c r="G4" s="585" t="s">
        <v>254</v>
      </c>
      <c r="H4" s="582" t="s">
        <v>360</v>
      </c>
      <c r="I4" s="61" t="s">
        <v>371</v>
      </c>
      <c r="J4" s="61" t="s">
        <v>371</v>
      </c>
      <c r="K4" s="607" t="s">
        <v>458</v>
      </c>
      <c r="L4" s="614" t="s">
        <v>359</v>
      </c>
      <c r="M4" s="614" t="s">
        <v>263</v>
      </c>
      <c r="N4" s="614" t="s">
        <v>264</v>
      </c>
      <c r="O4" s="609" t="s">
        <v>125</v>
      </c>
      <c r="P4" s="112" t="s">
        <v>126</v>
      </c>
      <c r="Q4" s="607" t="s">
        <v>372</v>
      </c>
      <c r="R4" s="582" t="s">
        <v>127</v>
      </c>
      <c r="S4" s="582" t="s">
        <v>257</v>
      </c>
      <c r="T4" s="142"/>
    </row>
    <row r="5" spans="1:22" ht="30" x14ac:dyDescent="0.25">
      <c r="A5" s="583"/>
      <c r="B5" s="583"/>
      <c r="C5" s="586"/>
      <c r="D5" s="587"/>
      <c r="E5" s="586"/>
      <c r="F5" s="587"/>
      <c r="G5" s="586"/>
      <c r="H5" s="583"/>
      <c r="I5" s="353" t="str">
        <f>Paramètres!B6</f>
        <v>Décompte 2019</v>
      </c>
      <c r="J5" s="360" t="str">
        <f>Paramètres!B5</f>
        <v>Décompte provisoire 2020</v>
      </c>
      <c r="K5" s="608"/>
      <c r="L5" s="615"/>
      <c r="M5" s="615"/>
      <c r="N5" s="615"/>
      <c r="O5" s="610"/>
      <c r="P5" s="386">
        <f>Paramètres!B50</f>
        <v>93.900382014800556</v>
      </c>
      <c r="Q5" s="608"/>
      <c r="R5" s="583"/>
      <c r="S5" s="583"/>
      <c r="T5" s="137"/>
    </row>
    <row r="6" spans="1:22" x14ac:dyDescent="0.25">
      <c r="A6" s="46">
        <f>'A) Base RI'!A7</f>
        <v>5401</v>
      </c>
      <c r="B6" s="356" t="str">
        <f>'A) Base RI'!B7</f>
        <v>Aigle</v>
      </c>
      <c r="C6" s="407">
        <v>5210182.734449177</v>
      </c>
      <c r="D6" s="407">
        <v>-3402725.6145400498</v>
      </c>
      <c r="E6" s="392">
        <v>0</v>
      </c>
      <c r="F6" s="392">
        <v>0</v>
      </c>
      <c r="G6" s="392">
        <v>0</v>
      </c>
      <c r="H6" s="407">
        <f>SUM(C6:G6)</f>
        <v>1807457.1199091272</v>
      </c>
      <c r="I6" s="408">
        <v>277789.63254320994</v>
      </c>
      <c r="J6" s="357">
        <f>'B) D RI'!U7</f>
        <v>284723.80196969694</v>
      </c>
      <c r="K6" s="67">
        <f>H6/I6</f>
        <v>6.5065679498603277</v>
      </c>
      <c r="L6" s="87">
        <f>'B) D RI'!S7</f>
        <v>66</v>
      </c>
      <c r="M6" s="87">
        <f>L6-K6</f>
        <v>59.493432050139674</v>
      </c>
      <c r="N6" s="87">
        <f>+'J) Plafonnement effort'!H5+'J) Plafonnement effort'!I5-'K) Plafonnement aide'!I5</f>
        <v>0.32555430703880628</v>
      </c>
      <c r="O6" s="123">
        <f>M6+N6</f>
        <v>59.818986357178481</v>
      </c>
      <c r="P6" s="47">
        <f>IF(O6&gt;$P$5,$P$5-O6,0)</f>
        <v>0</v>
      </c>
      <c r="Q6" s="100">
        <f>P6*J6</f>
        <v>0</v>
      </c>
      <c r="R6" s="143">
        <f>O6+P6</f>
        <v>59.818986357178481</v>
      </c>
      <c r="S6" s="123">
        <f>R6-L6</f>
        <v>-6.1810136428215188</v>
      </c>
      <c r="T6" s="144">
        <f>+C6+D6+E6+F6+G6-H6</f>
        <v>0</v>
      </c>
      <c r="V6" s="12"/>
    </row>
    <row r="7" spans="1:22" x14ac:dyDescent="0.25">
      <c r="A7" s="49">
        <f>'A) Base RI'!A8</f>
        <v>5402</v>
      </c>
      <c r="B7" s="354" t="str">
        <f>'A) Base RI'!B8</f>
        <v>Bex</v>
      </c>
      <c r="C7" s="407">
        <v>3363248.323230288</v>
      </c>
      <c r="D7" s="407">
        <v>-3542791.298948817</v>
      </c>
      <c r="E7" s="392">
        <v>0</v>
      </c>
      <c r="F7" s="392">
        <v>0</v>
      </c>
      <c r="G7" s="392">
        <v>0</v>
      </c>
      <c r="H7" s="407">
        <f t="shared" ref="H7:H70" si="0">SUM(C7:G7)</f>
        <v>-179542.97571852896</v>
      </c>
      <c r="I7" s="408">
        <v>185729.53788732394</v>
      </c>
      <c r="J7" s="358">
        <f>'B) D RI'!U8</f>
        <v>179259.20338028169</v>
      </c>
      <c r="K7" s="62">
        <f t="shared" ref="K7:K61" si="1">H7/I7</f>
        <v>-0.96669047778200923</v>
      </c>
      <c r="L7" s="33">
        <f>'B) D RI'!S8</f>
        <v>71</v>
      </c>
      <c r="M7" s="33">
        <f t="shared" ref="M7:M60" si="2">L7-K7</f>
        <v>71.966690477782009</v>
      </c>
      <c r="N7" s="87">
        <f>+'J) Plafonnement effort'!H6+'J) Plafonnement effort'!I6-'K) Plafonnement aide'!I6</f>
        <v>-8.6449375058922406</v>
      </c>
      <c r="O7" s="125">
        <f t="shared" ref="O7:O60" si="3">M7+N7</f>
        <v>63.321752971889765</v>
      </c>
      <c r="P7" s="47">
        <f t="shared" ref="P7:P60" si="4">IF(O7&gt;$P$5,$P$5-O7,0)</f>
        <v>0</v>
      </c>
      <c r="Q7" s="55">
        <f t="shared" ref="Q7:Q62" si="5">P7*J7</f>
        <v>0</v>
      </c>
      <c r="R7" s="145">
        <f t="shared" ref="R7:R60" si="6">O7+P7</f>
        <v>63.321752971889765</v>
      </c>
      <c r="S7" s="125">
        <f t="shared" ref="S7:S60" si="7">R7-L7</f>
        <v>-7.6782470281102349</v>
      </c>
      <c r="T7" s="144">
        <f t="shared" ref="T7:T70" si="8">+C7+D7+E7+F7+G7-H7</f>
        <v>0</v>
      </c>
      <c r="V7" s="12"/>
    </row>
    <row r="8" spans="1:22" x14ac:dyDescent="0.25">
      <c r="A8" s="49">
        <f>'A) Base RI'!A9</f>
        <v>5403</v>
      </c>
      <c r="B8" s="354" t="str">
        <f>'A) Base RI'!B9</f>
        <v>Chessel</v>
      </c>
      <c r="C8" s="407">
        <v>206354.19600788265</v>
      </c>
      <c r="D8" s="407">
        <v>-48075.693635283824</v>
      </c>
      <c r="E8" s="392">
        <v>0</v>
      </c>
      <c r="F8" s="392">
        <v>0</v>
      </c>
      <c r="G8" s="392">
        <v>0</v>
      </c>
      <c r="H8" s="407">
        <f t="shared" si="0"/>
        <v>158278.50237259883</v>
      </c>
      <c r="I8" s="408">
        <v>10653.993243243245</v>
      </c>
      <c r="J8" s="358">
        <f>'B) D RI'!U9</f>
        <v>10797.740270270273</v>
      </c>
      <c r="K8" s="62">
        <f t="shared" si="1"/>
        <v>14.856260817790451</v>
      </c>
      <c r="L8" s="33">
        <f>'B) D RI'!S9</f>
        <v>74</v>
      </c>
      <c r="M8" s="33">
        <f t="shared" si="2"/>
        <v>59.143739182209551</v>
      </c>
      <c r="N8" s="87">
        <f>+'J) Plafonnement effort'!H7+'J) Plafonnement effort'!I7-'K) Plafonnement aide'!I7</f>
        <v>6.5162732152000009</v>
      </c>
      <c r="O8" s="125">
        <f t="shared" si="3"/>
        <v>65.660012397409545</v>
      </c>
      <c r="P8" s="47">
        <f t="shared" si="4"/>
        <v>0</v>
      </c>
      <c r="Q8" s="55">
        <f t="shared" si="5"/>
        <v>0</v>
      </c>
      <c r="R8" s="145">
        <f t="shared" si="6"/>
        <v>65.660012397409545</v>
      </c>
      <c r="S8" s="125">
        <f t="shared" si="7"/>
        <v>-8.3399876025904547</v>
      </c>
      <c r="T8" s="144">
        <f t="shared" si="8"/>
        <v>0</v>
      </c>
      <c r="V8" s="12"/>
    </row>
    <row r="9" spans="1:22" x14ac:dyDescent="0.25">
      <c r="A9" s="49">
        <f>'A) Base RI'!A10</f>
        <v>5404</v>
      </c>
      <c r="B9" s="354" t="str">
        <f>'A) Base RI'!B10</f>
        <v>Corbeyrier</v>
      </c>
      <c r="C9" s="407">
        <v>309847.84535203007</v>
      </c>
      <c r="D9" s="407">
        <v>107062.79349909286</v>
      </c>
      <c r="E9" s="392">
        <v>0</v>
      </c>
      <c r="F9" s="392">
        <v>0</v>
      </c>
      <c r="G9" s="392">
        <v>0</v>
      </c>
      <c r="H9" s="407">
        <f t="shared" si="0"/>
        <v>416910.63885112293</v>
      </c>
      <c r="I9" s="408">
        <v>14595.552612612611</v>
      </c>
      <c r="J9" s="358">
        <f>'B) D RI'!U10</f>
        <v>11267.87027027027</v>
      </c>
      <c r="K9" s="62">
        <f t="shared" si="1"/>
        <v>28.564224316580756</v>
      </c>
      <c r="L9" s="33">
        <f>'B) D RI'!S10</f>
        <v>74</v>
      </c>
      <c r="M9" s="33">
        <f t="shared" si="2"/>
        <v>45.435775683419244</v>
      </c>
      <c r="N9" s="87">
        <f>+'J) Plafonnement effort'!H8+'J) Plafonnement effort'!I8-'K) Plafonnement aide'!I8</f>
        <v>8.439838049094476</v>
      </c>
      <c r="O9" s="125">
        <f t="shared" si="3"/>
        <v>53.87561373251372</v>
      </c>
      <c r="P9" s="47">
        <f t="shared" si="4"/>
        <v>0</v>
      </c>
      <c r="Q9" s="55">
        <f t="shared" si="5"/>
        <v>0</v>
      </c>
      <c r="R9" s="145">
        <f t="shared" si="6"/>
        <v>53.87561373251372</v>
      </c>
      <c r="S9" s="125">
        <f t="shared" si="7"/>
        <v>-20.12438626748628</v>
      </c>
      <c r="T9" s="144">
        <f t="shared" si="8"/>
        <v>0</v>
      </c>
      <c r="V9" s="12"/>
    </row>
    <row r="10" spans="1:22" x14ac:dyDescent="0.25">
      <c r="A10" s="49">
        <f>'A) Base RI'!A11</f>
        <v>5405</v>
      </c>
      <c r="B10" s="354" t="str">
        <f>'A) Base RI'!B11</f>
        <v>Gryon</v>
      </c>
      <c r="C10" s="407">
        <v>1312105.8004444193</v>
      </c>
      <c r="D10" s="407">
        <v>1066861.0578884447</v>
      </c>
      <c r="E10" s="392">
        <v>0</v>
      </c>
      <c r="F10" s="392">
        <v>0</v>
      </c>
      <c r="G10" s="392">
        <v>0</v>
      </c>
      <c r="H10" s="407">
        <f t="shared" si="0"/>
        <v>2378966.858332864</v>
      </c>
      <c r="I10" s="408">
        <v>65705.555822222203</v>
      </c>
      <c r="J10" s="358">
        <f>'B) D RI'!U11</f>
        <v>68185.794013605453</v>
      </c>
      <c r="K10" s="62">
        <f t="shared" si="1"/>
        <v>36.206479475945265</v>
      </c>
      <c r="L10" s="33">
        <f>'B) D RI'!S11</f>
        <v>73.5</v>
      </c>
      <c r="M10" s="33">
        <f t="shared" si="2"/>
        <v>37.293520524054735</v>
      </c>
      <c r="N10" s="87">
        <f>+'J) Plafonnement effort'!H9+'J) Plafonnement effort'!I9-'K) Plafonnement aide'!I9</f>
        <v>29.81002411901963</v>
      </c>
      <c r="O10" s="125">
        <f t="shared" si="3"/>
        <v>67.103544643074372</v>
      </c>
      <c r="P10" s="47">
        <f t="shared" si="4"/>
        <v>0</v>
      </c>
      <c r="Q10" s="55">
        <f t="shared" si="5"/>
        <v>0</v>
      </c>
      <c r="R10" s="145">
        <f t="shared" si="6"/>
        <v>67.103544643074372</v>
      </c>
      <c r="S10" s="125">
        <f t="shared" si="7"/>
        <v>-6.3964553569256282</v>
      </c>
      <c r="T10" s="144">
        <f t="shared" si="8"/>
        <v>0</v>
      </c>
      <c r="V10" s="12"/>
    </row>
    <row r="11" spans="1:22" x14ac:dyDescent="0.25">
      <c r="A11" s="49">
        <f>'A) Base RI'!A12</f>
        <v>5406</v>
      </c>
      <c r="B11" s="354" t="str">
        <f>'A) Base RI'!B12</f>
        <v>Lavey-Morcles</v>
      </c>
      <c r="C11" s="407">
        <v>386576.126299511</v>
      </c>
      <c r="D11" s="407">
        <v>804.16877104144078</v>
      </c>
      <c r="E11" s="392">
        <v>0</v>
      </c>
      <c r="F11" s="392">
        <v>0</v>
      </c>
      <c r="G11" s="392">
        <v>0</v>
      </c>
      <c r="H11" s="407">
        <f t="shared" si="0"/>
        <v>387380.29507055244</v>
      </c>
      <c r="I11" s="408">
        <v>24857.219750812561</v>
      </c>
      <c r="J11" s="358">
        <f>'B) D RI'!U12</f>
        <v>21842.545067240455</v>
      </c>
      <c r="K11" s="62">
        <f t="shared" si="1"/>
        <v>15.584216535636063</v>
      </c>
      <c r="L11" s="33">
        <f>'B) D RI'!S12</f>
        <v>71.5</v>
      </c>
      <c r="M11" s="33">
        <f t="shared" si="2"/>
        <v>55.91578346436394</v>
      </c>
      <c r="N11" s="87">
        <f>+'J) Plafonnement effort'!H10+'J) Plafonnement effort'!I10-'K) Plafonnement aide'!I10</f>
        <v>5.6138700552036411</v>
      </c>
      <c r="O11" s="125">
        <f t="shared" si="3"/>
        <v>61.529653519567582</v>
      </c>
      <c r="P11" s="47">
        <f t="shared" si="4"/>
        <v>0</v>
      </c>
      <c r="Q11" s="55">
        <f t="shared" si="5"/>
        <v>0</v>
      </c>
      <c r="R11" s="145">
        <f t="shared" si="6"/>
        <v>61.529653519567582</v>
      </c>
      <c r="S11" s="125">
        <f t="shared" si="7"/>
        <v>-9.9703464804324184</v>
      </c>
      <c r="T11" s="144">
        <f t="shared" si="8"/>
        <v>0</v>
      </c>
      <c r="V11" s="12"/>
    </row>
    <row r="12" spans="1:22" x14ac:dyDescent="0.25">
      <c r="A12" s="49">
        <f>'A) Base RI'!A13</f>
        <v>5407</v>
      </c>
      <c r="B12" s="354" t="str">
        <f>'A) Base RI'!B13</f>
        <v>Leysin</v>
      </c>
      <c r="C12" s="407">
        <v>1730472.4034701895</v>
      </c>
      <c r="D12" s="407">
        <v>-1510782.0045539604</v>
      </c>
      <c r="E12" s="392">
        <v>0</v>
      </c>
      <c r="F12" s="392">
        <v>0</v>
      </c>
      <c r="G12" s="392">
        <v>0</v>
      </c>
      <c r="H12" s="407">
        <f t="shared" si="0"/>
        <v>219690.39891622914</v>
      </c>
      <c r="I12" s="408">
        <v>90593.766196581171</v>
      </c>
      <c r="J12" s="358">
        <f>'B) D RI'!U13</f>
        <v>90407.62790598291</v>
      </c>
      <c r="K12" s="62">
        <f t="shared" si="1"/>
        <v>2.425005694536627</v>
      </c>
      <c r="L12" s="33">
        <f>'B) D RI'!S13</f>
        <v>78</v>
      </c>
      <c r="M12" s="33">
        <f t="shared" si="2"/>
        <v>75.574994305463377</v>
      </c>
      <c r="N12" s="87">
        <f>+'J) Plafonnement effort'!H11+'J) Plafonnement effort'!I11-'K) Plafonnement aide'!I11</f>
        <v>-2.4247059295101181</v>
      </c>
      <c r="O12" s="125">
        <f t="shared" si="3"/>
        <v>73.150288375953266</v>
      </c>
      <c r="P12" s="47">
        <f t="shared" si="4"/>
        <v>0</v>
      </c>
      <c r="Q12" s="55">
        <f t="shared" si="5"/>
        <v>0</v>
      </c>
      <c r="R12" s="145">
        <f t="shared" si="6"/>
        <v>73.150288375953266</v>
      </c>
      <c r="S12" s="125">
        <f t="shared" si="7"/>
        <v>-4.8497116240467335</v>
      </c>
      <c r="T12" s="144">
        <f t="shared" si="8"/>
        <v>0</v>
      </c>
      <c r="V12" s="12"/>
    </row>
    <row r="13" spans="1:22" x14ac:dyDescent="0.25">
      <c r="A13" s="49">
        <f>'A) Base RI'!A14</f>
        <v>5408</v>
      </c>
      <c r="B13" s="354" t="str">
        <f>'A) Base RI'!B14</f>
        <v>Noville</v>
      </c>
      <c r="C13" s="407">
        <v>773752.70598031348</v>
      </c>
      <c r="D13" s="407">
        <v>-252999.15894871007</v>
      </c>
      <c r="E13" s="392">
        <v>0</v>
      </c>
      <c r="F13" s="392">
        <v>0</v>
      </c>
      <c r="G13" s="392">
        <v>0</v>
      </c>
      <c r="H13" s="407">
        <f t="shared" si="0"/>
        <v>520753.5470316034</v>
      </c>
      <c r="I13" s="408">
        <v>28671.623864118894</v>
      </c>
      <c r="J13" s="358">
        <f>'B) D RI'!U14</f>
        <v>43840.045520169842</v>
      </c>
      <c r="K13" s="62">
        <f t="shared" si="1"/>
        <v>18.162680617587917</v>
      </c>
      <c r="L13" s="33">
        <f>'B) D RI'!S14</f>
        <v>78.5</v>
      </c>
      <c r="M13" s="33">
        <f t="shared" si="2"/>
        <v>60.337319382412083</v>
      </c>
      <c r="N13" s="87">
        <f>+'J) Plafonnement effort'!H12+'J) Plafonnement effort'!I12-'K) Plafonnement aide'!I12</f>
        <v>21.927866709788962</v>
      </c>
      <c r="O13" s="125">
        <f t="shared" si="3"/>
        <v>82.265186092201048</v>
      </c>
      <c r="P13" s="47">
        <f t="shared" si="4"/>
        <v>0</v>
      </c>
      <c r="Q13" s="55">
        <f t="shared" si="5"/>
        <v>0</v>
      </c>
      <c r="R13" s="145">
        <f t="shared" si="6"/>
        <v>82.265186092201048</v>
      </c>
      <c r="S13" s="125">
        <f t="shared" si="7"/>
        <v>3.7651860922010485</v>
      </c>
      <c r="T13" s="144">
        <f t="shared" si="8"/>
        <v>0</v>
      </c>
      <c r="V13" s="12"/>
    </row>
    <row r="14" spans="1:22" x14ac:dyDescent="0.25">
      <c r="A14" s="49">
        <f>'A) Base RI'!A15</f>
        <v>5409</v>
      </c>
      <c r="B14" s="354" t="str">
        <f>'A) Base RI'!B15</f>
        <v>Ollon</v>
      </c>
      <c r="C14" s="407">
        <v>8030699.6367016761</v>
      </c>
      <c r="D14" s="407">
        <v>4620289.0554518336</v>
      </c>
      <c r="E14" s="392">
        <v>0</v>
      </c>
      <c r="F14" s="392">
        <v>0</v>
      </c>
      <c r="G14" s="392">
        <v>0</v>
      </c>
      <c r="H14" s="407">
        <f t="shared" si="0"/>
        <v>12650988.69215351</v>
      </c>
      <c r="I14" s="408">
        <v>399776.03154977376</v>
      </c>
      <c r="J14" s="358">
        <f>'B) D RI'!U15</f>
        <v>389186.78990950214</v>
      </c>
      <c r="K14" s="62">
        <f t="shared" si="1"/>
        <v>31.64519054109028</v>
      </c>
      <c r="L14" s="33">
        <f>'B) D RI'!S15</f>
        <v>68</v>
      </c>
      <c r="M14" s="33">
        <f t="shared" si="2"/>
        <v>36.35480945890972</v>
      </c>
      <c r="N14" s="87">
        <f>+'J) Plafonnement effort'!H13+'J) Plafonnement effort'!I13-'K) Plafonnement aide'!I13</f>
        <v>25.233767246432919</v>
      </c>
      <c r="O14" s="125">
        <f t="shared" si="3"/>
        <v>61.588576705342639</v>
      </c>
      <c r="P14" s="47">
        <f t="shared" si="4"/>
        <v>0</v>
      </c>
      <c r="Q14" s="55">
        <f t="shared" si="5"/>
        <v>0</v>
      </c>
      <c r="R14" s="145">
        <f t="shared" si="6"/>
        <v>61.588576705342639</v>
      </c>
      <c r="S14" s="125">
        <f t="shared" si="7"/>
        <v>-6.4114232946573608</v>
      </c>
      <c r="T14" s="144">
        <f t="shared" si="8"/>
        <v>0</v>
      </c>
      <c r="V14" s="12"/>
    </row>
    <row r="15" spans="1:22" x14ac:dyDescent="0.25">
      <c r="A15" s="49">
        <f>'A) Base RI'!A16</f>
        <v>5410</v>
      </c>
      <c r="B15" s="354" t="str">
        <f>'A) Base RI'!B16</f>
        <v>Ormont-Dessous</v>
      </c>
      <c r="C15" s="407">
        <v>749270.30253441597</v>
      </c>
      <c r="D15" s="407">
        <v>219452.25443192711</v>
      </c>
      <c r="E15" s="392">
        <v>0</v>
      </c>
      <c r="F15" s="392">
        <v>0</v>
      </c>
      <c r="G15" s="392">
        <v>0</v>
      </c>
      <c r="H15" s="407">
        <f t="shared" si="0"/>
        <v>968722.55696634308</v>
      </c>
      <c r="I15" s="408">
        <v>38431.903864118896</v>
      </c>
      <c r="J15" s="358">
        <f>'B) D RI'!U16</f>
        <v>39522.545108225109</v>
      </c>
      <c r="K15" s="62">
        <f t="shared" si="1"/>
        <v>25.206207852501674</v>
      </c>
      <c r="L15" s="33">
        <f>'B) D RI'!S16</f>
        <v>77</v>
      </c>
      <c r="M15" s="33">
        <f t="shared" si="2"/>
        <v>51.793792147498323</v>
      </c>
      <c r="N15" s="87">
        <f>+'J) Plafonnement effort'!H14+'J) Plafonnement effort'!I14-'K) Plafonnement aide'!I14</f>
        <v>18.0205159229277</v>
      </c>
      <c r="O15" s="125">
        <f t="shared" si="3"/>
        <v>69.814308070426023</v>
      </c>
      <c r="P15" s="47">
        <f t="shared" si="4"/>
        <v>0</v>
      </c>
      <c r="Q15" s="55">
        <f t="shared" si="5"/>
        <v>0</v>
      </c>
      <c r="R15" s="145">
        <f t="shared" si="6"/>
        <v>69.814308070426023</v>
      </c>
      <c r="S15" s="125">
        <f t="shared" si="7"/>
        <v>-7.1856919295739772</v>
      </c>
      <c r="T15" s="144">
        <f t="shared" si="8"/>
        <v>0</v>
      </c>
      <c r="V15" s="12"/>
    </row>
    <row r="16" spans="1:22" x14ac:dyDescent="0.25">
      <c r="A16" s="49">
        <f>'A) Base RI'!A17</f>
        <v>5411</v>
      </c>
      <c r="B16" s="354" t="str">
        <f>'A) Base RI'!B17</f>
        <v>Ormont-Dessus</v>
      </c>
      <c r="C16" s="407">
        <v>1518692.2547864781</v>
      </c>
      <c r="D16" s="407">
        <v>1187198.9258265225</v>
      </c>
      <c r="E16" s="392">
        <v>0</v>
      </c>
      <c r="F16" s="392">
        <v>0</v>
      </c>
      <c r="G16" s="392">
        <v>0</v>
      </c>
      <c r="H16" s="407">
        <f t="shared" si="0"/>
        <v>2705891.1806130009</v>
      </c>
      <c r="I16" s="408">
        <v>73250.08368421052</v>
      </c>
      <c r="J16" s="358">
        <f>'B) D RI'!U17</f>
        <v>68049.385526315804</v>
      </c>
      <c r="K16" s="62">
        <f t="shared" si="1"/>
        <v>36.940451730791281</v>
      </c>
      <c r="L16" s="33">
        <f>'B) D RI'!S17</f>
        <v>76</v>
      </c>
      <c r="M16" s="33">
        <f t="shared" si="2"/>
        <v>39.059548269208719</v>
      </c>
      <c r="N16" s="87">
        <f>+'J) Plafonnement effort'!H15+'J) Plafonnement effort'!I15-'K) Plafonnement aide'!I15</f>
        <v>28.088808505527048</v>
      </c>
      <c r="O16" s="125">
        <f t="shared" si="3"/>
        <v>67.14835677473576</v>
      </c>
      <c r="P16" s="47">
        <f t="shared" si="4"/>
        <v>0</v>
      </c>
      <c r="Q16" s="55">
        <f t="shared" si="5"/>
        <v>0</v>
      </c>
      <c r="R16" s="145">
        <f t="shared" si="6"/>
        <v>67.14835677473576</v>
      </c>
      <c r="S16" s="125">
        <f t="shared" si="7"/>
        <v>-8.8516432252642403</v>
      </c>
      <c r="T16" s="144">
        <f t="shared" si="8"/>
        <v>0</v>
      </c>
      <c r="V16" s="12"/>
    </row>
    <row r="17" spans="1:22" x14ac:dyDescent="0.25">
      <c r="A17" s="49">
        <f>'A) Base RI'!A18</f>
        <v>5412</v>
      </c>
      <c r="B17" s="354" t="str">
        <f>'A) Base RI'!B18</f>
        <v>Rennaz</v>
      </c>
      <c r="C17" s="407">
        <v>415965.80905807531</v>
      </c>
      <c r="D17" s="407">
        <v>74741.997396932042</v>
      </c>
      <c r="E17" s="392">
        <v>0</v>
      </c>
      <c r="F17" s="392">
        <v>0</v>
      </c>
      <c r="G17" s="392">
        <v>0</v>
      </c>
      <c r="H17" s="407">
        <f t="shared" si="0"/>
        <v>490707.80645500735</v>
      </c>
      <c r="I17" s="408">
        <v>24302.490518518523</v>
      </c>
      <c r="J17" s="358">
        <f>'B) D RI'!U18</f>
        <v>24267.759710144928</v>
      </c>
      <c r="K17" s="62">
        <f t="shared" si="1"/>
        <v>20.191667437585767</v>
      </c>
      <c r="L17" s="33">
        <f>'B) D RI'!S18</f>
        <v>69</v>
      </c>
      <c r="M17" s="33">
        <f t="shared" si="2"/>
        <v>48.808332562414236</v>
      </c>
      <c r="N17" s="87">
        <f>+'J) Plafonnement effort'!H16+'J) Plafonnement effort'!I16-'K) Plafonnement aide'!I16</f>
        <v>14.014895666073489</v>
      </c>
      <c r="O17" s="125">
        <f t="shared" si="3"/>
        <v>62.823228228487721</v>
      </c>
      <c r="P17" s="47">
        <f t="shared" si="4"/>
        <v>0</v>
      </c>
      <c r="Q17" s="55">
        <f t="shared" si="5"/>
        <v>0</v>
      </c>
      <c r="R17" s="145">
        <f t="shared" si="6"/>
        <v>62.823228228487721</v>
      </c>
      <c r="S17" s="125">
        <f t="shared" si="7"/>
        <v>-6.1767717715122785</v>
      </c>
      <c r="T17" s="144">
        <f t="shared" si="8"/>
        <v>0</v>
      </c>
      <c r="V17" s="12"/>
    </row>
    <row r="18" spans="1:22" x14ac:dyDescent="0.25">
      <c r="A18" s="49">
        <f>'A) Base RI'!A19</f>
        <v>5413</v>
      </c>
      <c r="B18" s="354" t="str">
        <f>'A) Base RI'!B19</f>
        <v>Roche</v>
      </c>
      <c r="C18" s="407">
        <v>932862.73318605835</v>
      </c>
      <c r="D18" s="407">
        <v>-264203.43344149389</v>
      </c>
      <c r="E18" s="392">
        <v>0</v>
      </c>
      <c r="F18" s="392">
        <v>0</v>
      </c>
      <c r="G18" s="392">
        <v>0</v>
      </c>
      <c r="H18" s="407">
        <f t="shared" si="0"/>
        <v>668659.29974456446</v>
      </c>
      <c r="I18" s="408">
        <v>45084.327818627447</v>
      </c>
      <c r="J18" s="358">
        <f>'B) D RI'!U19</f>
        <v>48007.468357843129</v>
      </c>
      <c r="K18" s="62">
        <f t="shared" si="1"/>
        <v>14.831302408112984</v>
      </c>
      <c r="L18" s="33">
        <f>'B) D RI'!S19</f>
        <v>68</v>
      </c>
      <c r="M18" s="33">
        <f t="shared" si="2"/>
        <v>53.168697591887017</v>
      </c>
      <c r="N18" s="87">
        <f>+'J) Plafonnement effort'!H17+'J) Plafonnement effort'!I17-'K) Plafonnement aide'!I17</f>
        <v>8.0819175145997697</v>
      </c>
      <c r="O18" s="125">
        <f t="shared" si="3"/>
        <v>61.250615106486791</v>
      </c>
      <c r="P18" s="47">
        <f t="shared" si="4"/>
        <v>0</v>
      </c>
      <c r="Q18" s="55">
        <f t="shared" si="5"/>
        <v>0</v>
      </c>
      <c r="R18" s="145">
        <f t="shared" si="6"/>
        <v>61.250615106486791</v>
      </c>
      <c r="S18" s="125">
        <f t="shared" si="7"/>
        <v>-6.7493848935132092</v>
      </c>
      <c r="T18" s="144">
        <f t="shared" si="8"/>
        <v>0</v>
      </c>
      <c r="V18" s="12"/>
    </row>
    <row r="19" spans="1:22" x14ac:dyDescent="0.25">
      <c r="A19" s="49">
        <f>'A) Base RI'!A20</f>
        <v>5414</v>
      </c>
      <c r="B19" s="354" t="str">
        <f>'A) Base RI'!B20</f>
        <v>Villeneuve</v>
      </c>
      <c r="C19" s="407">
        <v>3791454.8488014084</v>
      </c>
      <c r="D19" s="407">
        <v>-914863.94018646423</v>
      </c>
      <c r="E19" s="392">
        <v>0</v>
      </c>
      <c r="F19" s="392">
        <v>0</v>
      </c>
      <c r="G19" s="392">
        <v>0</v>
      </c>
      <c r="H19" s="407">
        <f t="shared" si="0"/>
        <v>2876590.9086149442</v>
      </c>
      <c r="I19" s="408">
        <v>167595.35260869566</v>
      </c>
      <c r="J19" s="358">
        <f>'B) D RI'!U20</f>
        <v>159468.65911111108</v>
      </c>
      <c r="K19" s="62">
        <f t="shared" si="1"/>
        <v>17.163906181403821</v>
      </c>
      <c r="L19" s="33">
        <f>'B) D RI'!S20</f>
        <v>67.5</v>
      </c>
      <c r="M19" s="33">
        <f t="shared" si="2"/>
        <v>50.336093818596183</v>
      </c>
      <c r="N19" s="87">
        <f>+'J) Plafonnement effort'!H18+'J) Plafonnement effort'!I18-'K) Plafonnement aide'!I18</f>
        <v>4.7359050596598786</v>
      </c>
      <c r="O19" s="125">
        <f t="shared" si="3"/>
        <v>55.071998878256061</v>
      </c>
      <c r="P19" s="47">
        <f t="shared" si="4"/>
        <v>0</v>
      </c>
      <c r="Q19" s="55">
        <f t="shared" si="5"/>
        <v>0</v>
      </c>
      <c r="R19" s="145">
        <f t="shared" si="6"/>
        <v>55.071998878256061</v>
      </c>
      <c r="S19" s="125">
        <f t="shared" si="7"/>
        <v>-12.428001121743939</v>
      </c>
      <c r="T19" s="144">
        <f t="shared" si="8"/>
        <v>0</v>
      </c>
      <c r="V19" s="12"/>
    </row>
    <row r="20" spans="1:22" x14ac:dyDescent="0.25">
      <c r="A20" s="49">
        <f>'A) Base RI'!A21</f>
        <v>5415</v>
      </c>
      <c r="B20" s="354" t="str">
        <f>'A) Base RI'!B21</f>
        <v>Yvorne</v>
      </c>
      <c r="C20" s="407">
        <v>763324.50122795452</v>
      </c>
      <c r="D20" s="407">
        <v>404345.18473594345</v>
      </c>
      <c r="E20" s="392">
        <v>0</v>
      </c>
      <c r="F20" s="392">
        <v>0</v>
      </c>
      <c r="G20" s="392">
        <v>0</v>
      </c>
      <c r="H20" s="407">
        <f t="shared" si="0"/>
        <v>1167669.685963898</v>
      </c>
      <c r="I20" s="408">
        <v>39170.690675990678</v>
      </c>
      <c r="J20" s="358">
        <f>'B) D RI'!U21</f>
        <v>38155.020093240091</v>
      </c>
      <c r="K20" s="62">
        <f t="shared" si="1"/>
        <v>29.809780369270094</v>
      </c>
      <c r="L20" s="33">
        <f>'B) D RI'!S21</f>
        <v>71.5</v>
      </c>
      <c r="M20" s="33">
        <f t="shared" si="2"/>
        <v>41.690219630729906</v>
      </c>
      <c r="N20" s="87">
        <f>+'J) Plafonnement effort'!H19+'J) Plafonnement effort'!I19-'K) Plafonnement aide'!I19</f>
        <v>22.079703176652821</v>
      </c>
      <c r="O20" s="125">
        <f t="shared" si="3"/>
        <v>63.769922807382727</v>
      </c>
      <c r="P20" s="47">
        <f t="shared" si="4"/>
        <v>0</v>
      </c>
      <c r="Q20" s="55">
        <f t="shared" si="5"/>
        <v>0</v>
      </c>
      <c r="R20" s="145">
        <f t="shared" si="6"/>
        <v>63.769922807382727</v>
      </c>
      <c r="S20" s="125">
        <f t="shared" si="7"/>
        <v>-7.7300771926172729</v>
      </c>
      <c r="T20" s="144">
        <f t="shared" si="8"/>
        <v>0</v>
      </c>
      <c r="V20" s="12"/>
    </row>
    <row r="21" spans="1:22" x14ac:dyDescent="0.25">
      <c r="A21" s="49">
        <f>'A) Base RI'!A22</f>
        <v>5421</v>
      </c>
      <c r="B21" s="354" t="str">
        <f>'A) Base RI'!B22</f>
        <v>Apples</v>
      </c>
      <c r="C21" s="407">
        <v>1261252.481074976</v>
      </c>
      <c r="D21" s="407">
        <v>1125276.9615885508</v>
      </c>
      <c r="E21" s="392">
        <v>0</v>
      </c>
      <c r="F21" s="392">
        <v>0</v>
      </c>
      <c r="G21" s="392">
        <v>0</v>
      </c>
      <c r="H21" s="407">
        <f t="shared" si="0"/>
        <v>2386529.4426635271</v>
      </c>
      <c r="I21" s="408">
        <v>70612.156710526324</v>
      </c>
      <c r="J21" s="358">
        <f>'B) D RI'!U22</f>
        <v>66313.601621621623</v>
      </c>
      <c r="K21" s="62">
        <f t="shared" si="1"/>
        <v>33.797713507704849</v>
      </c>
      <c r="L21" s="33">
        <f>'B) D RI'!S22</f>
        <v>74</v>
      </c>
      <c r="M21" s="33">
        <f t="shared" si="2"/>
        <v>40.202286492295151</v>
      </c>
      <c r="N21" s="87">
        <f>+'J) Plafonnement effort'!H20+'J) Plafonnement effort'!I20-'K) Plafonnement aide'!I20</f>
        <v>27.618325941936785</v>
      </c>
      <c r="O21" s="125">
        <f t="shared" si="3"/>
        <v>67.820612434231933</v>
      </c>
      <c r="P21" s="47">
        <f t="shared" si="4"/>
        <v>0</v>
      </c>
      <c r="Q21" s="55">
        <f t="shared" si="5"/>
        <v>0</v>
      </c>
      <c r="R21" s="145">
        <f t="shared" si="6"/>
        <v>67.820612434231933</v>
      </c>
      <c r="S21" s="125">
        <f t="shared" si="7"/>
        <v>-6.1793875657680672</v>
      </c>
      <c r="T21" s="144">
        <f t="shared" si="8"/>
        <v>0</v>
      </c>
      <c r="V21" s="12"/>
    </row>
    <row r="22" spans="1:22" x14ac:dyDescent="0.25">
      <c r="A22" s="49">
        <f>'A) Base RI'!A23</f>
        <v>5422</v>
      </c>
      <c r="B22" s="354" t="str">
        <f>'A) Base RI'!B23</f>
        <v>Aubonne</v>
      </c>
      <c r="C22" s="407">
        <v>5495655.2422491331</v>
      </c>
      <c r="D22" s="407">
        <v>3657139.3613272482</v>
      </c>
      <c r="E22" s="392">
        <v>0</v>
      </c>
      <c r="F22" s="392">
        <v>0</v>
      </c>
      <c r="G22" s="392">
        <v>0</v>
      </c>
      <c r="H22" s="407">
        <f t="shared" si="0"/>
        <v>9152794.6035763808</v>
      </c>
      <c r="I22" s="408">
        <v>231171.83385714272</v>
      </c>
      <c r="J22" s="358">
        <f>'B) D RI'!U23</f>
        <v>242388.1994160584</v>
      </c>
      <c r="K22" s="62">
        <f t="shared" si="1"/>
        <v>39.593035409463134</v>
      </c>
      <c r="L22" s="33">
        <f>'B) D RI'!S23</f>
        <v>68.5</v>
      </c>
      <c r="M22" s="33">
        <f t="shared" si="2"/>
        <v>28.906964590536866</v>
      </c>
      <c r="N22" s="87">
        <f>+'J) Plafonnement effort'!H21+'J) Plafonnement effort'!I21-'K) Plafonnement aide'!I21</f>
        <v>35.957346512730268</v>
      </c>
      <c r="O22" s="125">
        <f t="shared" si="3"/>
        <v>64.864311103267141</v>
      </c>
      <c r="P22" s="47">
        <f t="shared" si="4"/>
        <v>0</v>
      </c>
      <c r="Q22" s="55">
        <f t="shared" si="5"/>
        <v>0</v>
      </c>
      <c r="R22" s="145">
        <f t="shared" si="6"/>
        <v>64.864311103267141</v>
      </c>
      <c r="S22" s="125">
        <f t="shared" si="7"/>
        <v>-3.6356888967328587</v>
      </c>
      <c r="T22" s="144">
        <f t="shared" si="8"/>
        <v>0</v>
      </c>
      <c r="V22" s="12"/>
    </row>
    <row r="23" spans="1:22" x14ac:dyDescent="0.25">
      <c r="A23" s="49">
        <f>'A) Base RI'!A24</f>
        <v>5423</v>
      </c>
      <c r="B23" s="354" t="str">
        <f>'A) Base RI'!B24</f>
        <v>Ballens</v>
      </c>
      <c r="C23" s="407">
        <v>288962.9304933555</v>
      </c>
      <c r="D23" s="407">
        <v>58118.707266307436</v>
      </c>
      <c r="E23" s="392">
        <v>0</v>
      </c>
      <c r="F23" s="392">
        <v>0</v>
      </c>
      <c r="G23" s="392">
        <v>0</v>
      </c>
      <c r="H23" s="407">
        <f t="shared" si="0"/>
        <v>347081.63775966293</v>
      </c>
      <c r="I23" s="408">
        <v>16262.42684931507</v>
      </c>
      <c r="J23" s="358">
        <f>'B) D RI'!U24</f>
        <v>17114.745479452053</v>
      </c>
      <c r="K23" s="62">
        <f t="shared" si="1"/>
        <v>21.342548745993657</v>
      </c>
      <c r="L23" s="33">
        <f>'B) D RI'!S24</f>
        <v>73</v>
      </c>
      <c r="M23" s="33">
        <f t="shared" si="2"/>
        <v>51.657451254006347</v>
      </c>
      <c r="N23" s="87">
        <f>+'J) Plafonnement effort'!H22+'J) Plafonnement effort'!I22-'K) Plafonnement aide'!I22</f>
        <v>16.652339094480869</v>
      </c>
      <c r="O23" s="125">
        <f t="shared" si="3"/>
        <v>68.309790348487212</v>
      </c>
      <c r="P23" s="47">
        <f t="shared" si="4"/>
        <v>0</v>
      </c>
      <c r="Q23" s="55">
        <f t="shared" si="5"/>
        <v>0</v>
      </c>
      <c r="R23" s="145">
        <f t="shared" si="6"/>
        <v>68.309790348487212</v>
      </c>
      <c r="S23" s="125">
        <f t="shared" si="7"/>
        <v>-4.690209651512788</v>
      </c>
      <c r="T23" s="144">
        <f t="shared" si="8"/>
        <v>0</v>
      </c>
      <c r="V23" s="12"/>
    </row>
    <row r="24" spans="1:22" x14ac:dyDescent="0.25">
      <c r="A24" s="49">
        <f>'A) Base RI'!A25</f>
        <v>5424</v>
      </c>
      <c r="B24" s="354" t="str">
        <f>'A) Base RI'!B25</f>
        <v>Berolle</v>
      </c>
      <c r="C24" s="407">
        <v>141611.621543285</v>
      </c>
      <c r="D24" s="407">
        <v>34019.548549449974</v>
      </c>
      <c r="E24" s="392">
        <v>0</v>
      </c>
      <c r="F24" s="392">
        <v>0</v>
      </c>
      <c r="G24" s="392">
        <v>0</v>
      </c>
      <c r="H24" s="407">
        <f t="shared" si="0"/>
        <v>175631.17009273497</v>
      </c>
      <c r="I24" s="408">
        <v>9281.7425974025955</v>
      </c>
      <c r="J24" s="358">
        <f>'B) D RI'!U25</f>
        <v>9114.9769536423846</v>
      </c>
      <c r="K24" s="62">
        <f t="shared" si="1"/>
        <v>18.922219426973079</v>
      </c>
      <c r="L24" s="33">
        <f>'B) D RI'!S25</f>
        <v>75.5</v>
      </c>
      <c r="M24" s="33">
        <f t="shared" si="2"/>
        <v>56.577780573026921</v>
      </c>
      <c r="N24" s="87">
        <f>+'J) Plafonnement effort'!H23+'J) Plafonnement effort'!I23-'K) Plafonnement aide'!I23</f>
        <v>13.944781839366833</v>
      </c>
      <c r="O24" s="125">
        <f t="shared" si="3"/>
        <v>70.522562412393754</v>
      </c>
      <c r="P24" s="47">
        <f t="shared" si="4"/>
        <v>0</v>
      </c>
      <c r="Q24" s="55">
        <f t="shared" si="5"/>
        <v>0</v>
      </c>
      <c r="R24" s="145">
        <f t="shared" si="6"/>
        <v>70.522562412393754</v>
      </c>
      <c r="S24" s="125">
        <f t="shared" si="7"/>
        <v>-4.9774375876062464</v>
      </c>
      <c r="T24" s="144">
        <f t="shared" si="8"/>
        <v>0</v>
      </c>
      <c r="V24" s="12"/>
    </row>
    <row r="25" spans="1:22" x14ac:dyDescent="0.25">
      <c r="A25" s="49">
        <f>'A) Base RI'!A26</f>
        <v>5425</v>
      </c>
      <c r="B25" s="354" t="str">
        <f>'A) Base RI'!B26</f>
        <v>Bière</v>
      </c>
      <c r="C25" s="407">
        <v>750863.6899306674</v>
      </c>
      <c r="D25" s="407">
        <v>-236972.43257779675</v>
      </c>
      <c r="E25" s="392">
        <v>0</v>
      </c>
      <c r="F25" s="392">
        <v>0</v>
      </c>
      <c r="G25" s="392">
        <v>0</v>
      </c>
      <c r="H25" s="407">
        <f t="shared" si="0"/>
        <v>513891.25735287066</v>
      </c>
      <c r="I25" s="408">
        <v>39522.239817733993</v>
      </c>
      <c r="J25" s="358">
        <f>'B) D RI'!U26</f>
        <v>40211.969135432286</v>
      </c>
      <c r="K25" s="62">
        <f t="shared" si="1"/>
        <v>13.002584360673884</v>
      </c>
      <c r="L25" s="33">
        <f>'B) D RI'!S26</f>
        <v>69</v>
      </c>
      <c r="M25" s="33">
        <f t="shared" si="2"/>
        <v>55.997415639326114</v>
      </c>
      <c r="N25" s="87">
        <f>+'J) Plafonnement effort'!H24+'J) Plafonnement effort'!I24-'K) Plafonnement aide'!I24</f>
        <v>6.5381743465274731</v>
      </c>
      <c r="O25" s="125">
        <f t="shared" si="3"/>
        <v>62.535589985853591</v>
      </c>
      <c r="P25" s="47">
        <f t="shared" si="4"/>
        <v>0</v>
      </c>
      <c r="Q25" s="55">
        <f t="shared" si="5"/>
        <v>0</v>
      </c>
      <c r="R25" s="145">
        <f t="shared" si="6"/>
        <v>62.535589985853591</v>
      </c>
      <c r="S25" s="125">
        <f t="shared" si="7"/>
        <v>-6.4644100141464094</v>
      </c>
      <c r="T25" s="144">
        <f t="shared" si="8"/>
        <v>0</v>
      </c>
      <c r="V25" s="12"/>
    </row>
    <row r="26" spans="1:22" x14ac:dyDescent="0.25">
      <c r="A26" s="49">
        <f>'A) Base RI'!A27</f>
        <v>5426</v>
      </c>
      <c r="B26" s="354" t="str">
        <f>'A) Base RI'!B27</f>
        <v>Bougy-Villars</v>
      </c>
      <c r="C26" s="407">
        <v>1651467.7306426382</v>
      </c>
      <c r="D26" s="407">
        <v>982137.95962206542</v>
      </c>
      <c r="E26" s="392">
        <v>0</v>
      </c>
      <c r="F26" s="392">
        <v>-290313.46753743105</v>
      </c>
      <c r="G26" s="392">
        <v>0</v>
      </c>
      <c r="H26" s="407">
        <f t="shared" si="0"/>
        <v>2343292.2227272727</v>
      </c>
      <c r="I26" s="408">
        <v>52073.160505050502</v>
      </c>
      <c r="J26" s="358">
        <f>'B) D RI'!U27</f>
        <v>55640.611447028423</v>
      </c>
      <c r="K26" s="62">
        <f t="shared" si="1"/>
        <v>45</v>
      </c>
      <c r="L26" s="33">
        <f>'B) D RI'!S27</f>
        <v>64.5</v>
      </c>
      <c r="M26" s="33">
        <f t="shared" si="2"/>
        <v>19.5</v>
      </c>
      <c r="N26" s="87">
        <f>+'J) Plafonnement effort'!H25+'J) Plafonnement effort'!I25-'K) Plafonnement aide'!I25</f>
        <v>46.504413381147401</v>
      </c>
      <c r="O26" s="125">
        <f t="shared" si="3"/>
        <v>66.004413381147401</v>
      </c>
      <c r="P26" s="47">
        <f t="shared" si="4"/>
        <v>0</v>
      </c>
      <c r="Q26" s="55">
        <f t="shared" si="5"/>
        <v>0</v>
      </c>
      <c r="R26" s="145">
        <f t="shared" si="6"/>
        <v>66.004413381147401</v>
      </c>
      <c r="S26" s="125">
        <f t="shared" si="7"/>
        <v>1.5044133811474012</v>
      </c>
      <c r="T26" s="144">
        <f t="shared" si="8"/>
        <v>0</v>
      </c>
      <c r="V26" s="12"/>
    </row>
    <row r="27" spans="1:22" x14ac:dyDescent="0.25">
      <c r="A27" s="49">
        <f>'A) Base RI'!A28</f>
        <v>5427</v>
      </c>
      <c r="B27" s="354" t="str">
        <f>'A) Base RI'!B28</f>
        <v>Féchy</v>
      </c>
      <c r="C27" s="407">
        <v>2544465.6345609678</v>
      </c>
      <c r="D27" s="407">
        <v>1627402.8618298196</v>
      </c>
      <c r="E27" s="392">
        <v>0</v>
      </c>
      <c r="F27" s="392">
        <v>-268143.68990040268</v>
      </c>
      <c r="G27" s="392">
        <v>0</v>
      </c>
      <c r="H27" s="407">
        <f t="shared" si="0"/>
        <v>3903724.806490385</v>
      </c>
      <c r="I27" s="408">
        <v>86749.440144230772</v>
      </c>
      <c r="J27" s="358">
        <f>'B) D RI'!U28</f>
        <v>77020.423605769232</v>
      </c>
      <c r="K27" s="62">
        <f t="shared" si="1"/>
        <v>45</v>
      </c>
      <c r="L27" s="33">
        <f>'B) D RI'!S28</f>
        <v>64</v>
      </c>
      <c r="M27" s="33">
        <f t="shared" si="2"/>
        <v>19</v>
      </c>
      <c r="N27" s="87">
        <f>+'J) Plafonnement effort'!H26+'J) Plafonnement effort'!I26-'K) Plafonnement aide'!I26</f>
        <v>41.016228874713164</v>
      </c>
      <c r="O27" s="125">
        <f t="shared" si="3"/>
        <v>60.016228874713164</v>
      </c>
      <c r="P27" s="47">
        <f t="shared" si="4"/>
        <v>0</v>
      </c>
      <c r="Q27" s="55">
        <f t="shared" si="5"/>
        <v>0</v>
      </c>
      <c r="R27" s="145">
        <f t="shared" si="6"/>
        <v>60.016228874713164</v>
      </c>
      <c r="S27" s="125">
        <f t="shared" si="7"/>
        <v>-3.983771125286836</v>
      </c>
      <c r="T27" s="144">
        <f t="shared" si="8"/>
        <v>0</v>
      </c>
      <c r="V27" s="12"/>
    </row>
    <row r="28" spans="1:22" x14ac:dyDescent="0.25">
      <c r="A28" s="49">
        <f>'A) Base RI'!A29</f>
        <v>5428</v>
      </c>
      <c r="B28" s="354" t="str">
        <f>'A) Base RI'!B29</f>
        <v>Gimel</v>
      </c>
      <c r="C28" s="407">
        <v>1221259.428748192</v>
      </c>
      <c r="D28" s="407">
        <v>-100763.0167446679</v>
      </c>
      <c r="E28" s="392">
        <v>0</v>
      </c>
      <c r="F28" s="392">
        <v>0</v>
      </c>
      <c r="G28" s="392">
        <v>0</v>
      </c>
      <c r="H28" s="407">
        <f t="shared" si="0"/>
        <v>1120496.4120035241</v>
      </c>
      <c r="I28" s="408">
        <v>66171.009865771834</v>
      </c>
      <c r="J28" s="358">
        <f>'B) D RI'!U29</f>
        <v>70193.222975391502</v>
      </c>
      <c r="K28" s="62">
        <f t="shared" si="1"/>
        <v>16.933343079944763</v>
      </c>
      <c r="L28" s="33">
        <f>'B) D RI'!S29</f>
        <v>74.5</v>
      </c>
      <c r="M28" s="33">
        <f t="shared" si="2"/>
        <v>57.566656920055237</v>
      </c>
      <c r="N28" s="87">
        <f>+'J) Plafonnement effort'!H27+'J) Plafonnement effort'!I27-'K) Plafonnement aide'!I27</f>
        <v>11.945056434387748</v>
      </c>
      <c r="O28" s="125">
        <f t="shared" si="3"/>
        <v>69.511713354442989</v>
      </c>
      <c r="P28" s="47">
        <f t="shared" si="4"/>
        <v>0</v>
      </c>
      <c r="Q28" s="55">
        <f t="shared" si="5"/>
        <v>0</v>
      </c>
      <c r="R28" s="145">
        <f t="shared" si="6"/>
        <v>69.511713354442989</v>
      </c>
      <c r="S28" s="125">
        <f t="shared" si="7"/>
        <v>-4.988286645557011</v>
      </c>
      <c r="T28" s="144">
        <f t="shared" si="8"/>
        <v>0</v>
      </c>
      <c r="V28" s="12"/>
    </row>
    <row r="29" spans="1:22" x14ac:dyDescent="0.25">
      <c r="A29" s="49">
        <f>'A) Base RI'!A30</f>
        <v>5429</v>
      </c>
      <c r="B29" s="354" t="str">
        <f>'A) Base RI'!B30</f>
        <v>Longirod</v>
      </c>
      <c r="C29" s="407">
        <v>263414.67188112694</v>
      </c>
      <c r="D29" s="407">
        <v>53472.406295064895</v>
      </c>
      <c r="E29" s="392">
        <v>0</v>
      </c>
      <c r="F29" s="392">
        <v>0</v>
      </c>
      <c r="G29" s="392">
        <v>0</v>
      </c>
      <c r="H29" s="407">
        <f t="shared" si="0"/>
        <v>316887.07817619183</v>
      </c>
      <c r="I29" s="408">
        <v>15311.416666666666</v>
      </c>
      <c r="J29" s="358">
        <f>'B) D RI'!U30</f>
        <v>16140.77393548387</v>
      </c>
      <c r="K29" s="62">
        <f t="shared" si="1"/>
        <v>20.696130545912375</v>
      </c>
      <c r="L29" s="33">
        <f>'B) D RI'!S30</f>
        <v>77.5</v>
      </c>
      <c r="M29" s="33">
        <f t="shared" si="2"/>
        <v>56.803869454087625</v>
      </c>
      <c r="N29" s="87">
        <f>+'J) Plafonnement effort'!H28+'J) Plafonnement effort'!I28-'K) Plafonnement aide'!I28</f>
        <v>17.938382062102558</v>
      </c>
      <c r="O29" s="125">
        <f t="shared" si="3"/>
        <v>74.74225151619018</v>
      </c>
      <c r="P29" s="47">
        <f t="shared" si="4"/>
        <v>0</v>
      </c>
      <c r="Q29" s="55">
        <f t="shared" si="5"/>
        <v>0</v>
      </c>
      <c r="R29" s="145">
        <f t="shared" si="6"/>
        <v>74.74225151619018</v>
      </c>
      <c r="S29" s="125">
        <f t="shared" si="7"/>
        <v>-2.7577484838098201</v>
      </c>
      <c r="T29" s="144">
        <f t="shared" si="8"/>
        <v>0</v>
      </c>
      <c r="V29" s="12"/>
    </row>
    <row r="30" spans="1:22" x14ac:dyDescent="0.25">
      <c r="A30" s="49">
        <f>'A) Base RI'!A31</f>
        <v>5430</v>
      </c>
      <c r="B30" s="354" t="str">
        <f>'A) Base RI'!B31</f>
        <v>Marchissy</v>
      </c>
      <c r="C30" s="407">
        <v>247706.05778232383</v>
      </c>
      <c r="D30" s="407">
        <v>54108.586386486189</v>
      </c>
      <c r="E30" s="392">
        <v>0</v>
      </c>
      <c r="F30" s="392">
        <v>0</v>
      </c>
      <c r="G30" s="392">
        <v>0</v>
      </c>
      <c r="H30" s="407">
        <f t="shared" si="0"/>
        <v>301814.64416880999</v>
      </c>
      <c r="I30" s="408">
        <v>14827.393037974683</v>
      </c>
      <c r="J30" s="358">
        <f>'B) D RI'!U31</f>
        <v>14848.450709677421</v>
      </c>
      <c r="K30" s="62">
        <f t="shared" si="1"/>
        <v>20.355206299302072</v>
      </c>
      <c r="L30" s="33">
        <f>'B) D RI'!S31</f>
        <v>77.5</v>
      </c>
      <c r="M30" s="33">
        <f t="shared" si="2"/>
        <v>57.144793700697932</v>
      </c>
      <c r="N30" s="87">
        <f>+'J) Plafonnement effort'!H29+'J) Plafonnement effort'!I29-'K) Plafonnement aide'!I29</f>
        <v>15.640792610881846</v>
      </c>
      <c r="O30" s="125">
        <f t="shared" si="3"/>
        <v>72.785586311579777</v>
      </c>
      <c r="P30" s="47">
        <f t="shared" si="4"/>
        <v>0</v>
      </c>
      <c r="Q30" s="55">
        <f t="shared" si="5"/>
        <v>0</v>
      </c>
      <c r="R30" s="145">
        <f t="shared" si="6"/>
        <v>72.785586311579777</v>
      </c>
      <c r="S30" s="125">
        <f t="shared" si="7"/>
        <v>-4.7144136884202226</v>
      </c>
      <c r="T30" s="144">
        <f t="shared" si="8"/>
        <v>0</v>
      </c>
      <c r="V30" s="12"/>
    </row>
    <row r="31" spans="1:22" x14ac:dyDescent="0.25">
      <c r="A31" s="49">
        <f>'A) Base RI'!A32</f>
        <v>5431</v>
      </c>
      <c r="B31" s="354" t="str">
        <f>'A) Base RI'!B32</f>
        <v>Mollens</v>
      </c>
      <c r="C31" s="407">
        <v>214375.62526318911</v>
      </c>
      <c r="D31" s="407">
        <v>89621.251433075406</v>
      </c>
      <c r="E31" s="392">
        <v>0</v>
      </c>
      <c r="F31" s="392">
        <v>0</v>
      </c>
      <c r="G31" s="392">
        <v>0</v>
      </c>
      <c r="H31" s="407">
        <f t="shared" si="0"/>
        <v>303996.87669626449</v>
      </c>
      <c r="I31" s="408">
        <v>10626.755405405405</v>
      </c>
      <c r="J31" s="358">
        <f>'B) D RI'!U32</f>
        <v>9333.4747297297308</v>
      </c>
      <c r="K31" s="62">
        <f t="shared" si="1"/>
        <v>28.606744495279663</v>
      </c>
      <c r="L31" s="33">
        <f>'B) D RI'!S32</f>
        <v>74</v>
      </c>
      <c r="M31" s="33">
        <f t="shared" si="2"/>
        <v>45.393255504720337</v>
      </c>
      <c r="N31" s="87">
        <f>+'J) Plafonnement effort'!H30+'J) Plafonnement effort'!I30-'K) Plafonnement aide'!I30</f>
        <v>13.330314276148082</v>
      </c>
      <c r="O31" s="125">
        <f t="shared" si="3"/>
        <v>58.723569780868417</v>
      </c>
      <c r="P31" s="47">
        <f t="shared" si="4"/>
        <v>0</v>
      </c>
      <c r="Q31" s="55">
        <f t="shared" si="5"/>
        <v>0</v>
      </c>
      <c r="R31" s="145">
        <f t="shared" si="6"/>
        <v>58.723569780868417</v>
      </c>
      <c r="S31" s="125">
        <f t="shared" si="7"/>
        <v>-15.276430219131583</v>
      </c>
      <c r="T31" s="144">
        <f t="shared" si="8"/>
        <v>0</v>
      </c>
      <c r="V31" s="12"/>
    </row>
    <row r="32" spans="1:22" x14ac:dyDescent="0.25">
      <c r="A32" s="49">
        <f>'A) Base RI'!A33</f>
        <v>5432</v>
      </c>
      <c r="B32" s="354" t="str">
        <f>'A) Base RI'!B33</f>
        <v>Montherod</v>
      </c>
      <c r="C32" s="407">
        <v>260908.09810291277</v>
      </c>
      <c r="D32" s="407">
        <v>26868.775860733702</v>
      </c>
      <c r="E32" s="392">
        <v>0</v>
      </c>
      <c r="F32" s="392">
        <v>0</v>
      </c>
      <c r="G32" s="392">
        <v>0</v>
      </c>
      <c r="H32" s="407">
        <f t="shared" si="0"/>
        <v>287776.87396364647</v>
      </c>
      <c r="I32" s="408">
        <v>16078.014230769231</v>
      </c>
      <c r="J32" s="358">
        <f>'B) D RI'!U33</f>
        <v>16429.509999999998</v>
      </c>
      <c r="K32" s="62">
        <f t="shared" si="1"/>
        <v>17.898782140204524</v>
      </c>
      <c r="L32" s="33">
        <f>'B) D RI'!S33</f>
        <v>75</v>
      </c>
      <c r="M32" s="33">
        <f t="shared" si="2"/>
        <v>57.101217859795476</v>
      </c>
      <c r="N32" s="87">
        <f>+'J) Plafonnement effort'!H31+'J) Plafonnement effort'!I31-'K) Plafonnement aide'!I31</f>
        <v>17.177594776093827</v>
      </c>
      <c r="O32" s="125">
        <f t="shared" si="3"/>
        <v>74.278812635889295</v>
      </c>
      <c r="P32" s="47">
        <f t="shared" si="4"/>
        <v>0</v>
      </c>
      <c r="Q32" s="55">
        <f t="shared" si="5"/>
        <v>0</v>
      </c>
      <c r="R32" s="145">
        <f t="shared" si="6"/>
        <v>74.278812635889295</v>
      </c>
      <c r="S32" s="125">
        <f t="shared" si="7"/>
        <v>-0.72118736411070472</v>
      </c>
      <c r="T32" s="144">
        <f t="shared" si="8"/>
        <v>0</v>
      </c>
      <c r="V32" s="12"/>
    </row>
    <row r="33" spans="1:22" x14ac:dyDescent="0.25">
      <c r="A33" s="49">
        <f>'A) Base RI'!A34</f>
        <v>5434</v>
      </c>
      <c r="B33" s="354" t="str">
        <f>'A) Base RI'!B34</f>
        <v>Saint-George</v>
      </c>
      <c r="C33" s="407">
        <v>701586.47045881464</v>
      </c>
      <c r="D33" s="407">
        <v>447257.63762540213</v>
      </c>
      <c r="E33" s="392">
        <v>0</v>
      </c>
      <c r="F33" s="392">
        <v>0</v>
      </c>
      <c r="G33" s="392">
        <v>0</v>
      </c>
      <c r="H33" s="407">
        <f t="shared" si="0"/>
        <v>1148844.1080842167</v>
      </c>
      <c r="I33" s="408">
        <v>39905.96180751174</v>
      </c>
      <c r="J33" s="358">
        <f>'B) D RI'!U34</f>
        <v>41434.234652278174</v>
      </c>
      <c r="K33" s="62">
        <f t="shared" si="1"/>
        <v>28.788783831992813</v>
      </c>
      <c r="L33" s="33">
        <f>'B) D RI'!S34</f>
        <v>69.5</v>
      </c>
      <c r="M33" s="33">
        <f t="shared" si="2"/>
        <v>40.711216168007184</v>
      </c>
      <c r="N33" s="87">
        <f>+'J) Plafonnement effort'!H32+'J) Plafonnement effort'!I32-'K) Plafonnement aide'!I32</f>
        <v>24.732684637379016</v>
      </c>
      <c r="O33" s="125">
        <f t="shared" si="3"/>
        <v>65.443900805386193</v>
      </c>
      <c r="P33" s="47">
        <f t="shared" si="4"/>
        <v>0</v>
      </c>
      <c r="Q33" s="55">
        <f t="shared" si="5"/>
        <v>0</v>
      </c>
      <c r="R33" s="145">
        <f t="shared" si="6"/>
        <v>65.443900805386193</v>
      </c>
      <c r="S33" s="125">
        <f t="shared" si="7"/>
        <v>-4.0560991946138074</v>
      </c>
      <c r="T33" s="144">
        <f t="shared" si="8"/>
        <v>0</v>
      </c>
      <c r="V33" s="12"/>
    </row>
    <row r="34" spans="1:22" x14ac:dyDescent="0.25">
      <c r="A34" s="49">
        <f>'A) Base RI'!A35</f>
        <v>5435</v>
      </c>
      <c r="B34" s="354" t="str">
        <f>'A) Base RI'!B35</f>
        <v>Saint-Livres</v>
      </c>
      <c r="C34" s="407">
        <v>391084.93466867734</v>
      </c>
      <c r="D34" s="407">
        <v>244818.10473539488</v>
      </c>
      <c r="E34" s="392">
        <v>0</v>
      </c>
      <c r="F34" s="392">
        <v>0</v>
      </c>
      <c r="G34" s="392">
        <v>0</v>
      </c>
      <c r="H34" s="407">
        <f t="shared" si="0"/>
        <v>635903.03940407222</v>
      </c>
      <c r="I34" s="408">
        <v>24331.716956521734</v>
      </c>
      <c r="J34" s="358">
        <f>'B) D RI'!U35</f>
        <v>26346.510144927532</v>
      </c>
      <c r="K34" s="62">
        <f t="shared" si="1"/>
        <v>26.134737657041025</v>
      </c>
      <c r="L34" s="33">
        <f>'B) D RI'!S35</f>
        <v>69</v>
      </c>
      <c r="M34" s="33">
        <f t="shared" si="2"/>
        <v>42.865262342958971</v>
      </c>
      <c r="N34" s="87">
        <f>+'J) Plafonnement effort'!H33+'J) Plafonnement effort'!I33-'K) Plafonnement aide'!I33</f>
        <v>25.197100935889495</v>
      </c>
      <c r="O34" s="125">
        <f t="shared" si="3"/>
        <v>68.062363278848466</v>
      </c>
      <c r="P34" s="47">
        <f t="shared" si="4"/>
        <v>0</v>
      </c>
      <c r="Q34" s="55">
        <f t="shared" si="5"/>
        <v>0</v>
      </c>
      <c r="R34" s="145">
        <f t="shared" si="6"/>
        <v>68.062363278848466</v>
      </c>
      <c r="S34" s="125">
        <f t="shared" si="7"/>
        <v>-0.9376367211515344</v>
      </c>
      <c r="T34" s="144">
        <f t="shared" si="8"/>
        <v>0</v>
      </c>
      <c r="V34" s="12"/>
    </row>
    <row r="35" spans="1:22" x14ac:dyDescent="0.25">
      <c r="A35" s="49">
        <f>'A) Base RI'!A36</f>
        <v>5436</v>
      </c>
      <c r="B35" s="354" t="str">
        <f>'A) Base RI'!B36</f>
        <v>Saint-Oyens</v>
      </c>
      <c r="C35" s="407">
        <v>267489.26799732901</v>
      </c>
      <c r="D35" s="407">
        <v>158354.13376139855</v>
      </c>
      <c r="E35" s="392">
        <v>0</v>
      </c>
      <c r="F35" s="392">
        <v>0</v>
      </c>
      <c r="G35" s="392">
        <v>0</v>
      </c>
      <c r="H35" s="407">
        <f t="shared" si="0"/>
        <v>425843.40175872756</v>
      </c>
      <c r="I35" s="408">
        <v>16564.840617283953</v>
      </c>
      <c r="J35" s="358">
        <f>'B) D RI'!U36</f>
        <v>16764.305154320984</v>
      </c>
      <c r="K35" s="62">
        <f t="shared" si="1"/>
        <v>25.707666713943354</v>
      </c>
      <c r="L35" s="33">
        <f>'B) D RI'!S36</f>
        <v>81</v>
      </c>
      <c r="M35" s="33">
        <f t="shared" si="2"/>
        <v>55.292333286056646</v>
      </c>
      <c r="N35" s="87">
        <f>+'J) Plafonnement effort'!H34+'J) Plafonnement effort'!I34-'K) Plafonnement aide'!I34</f>
        <v>21.207447516873707</v>
      </c>
      <c r="O35" s="125">
        <f t="shared" si="3"/>
        <v>76.49978080293036</v>
      </c>
      <c r="P35" s="47">
        <f t="shared" si="4"/>
        <v>0</v>
      </c>
      <c r="Q35" s="55">
        <f t="shared" si="5"/>
        <v>0</v>
      </c>
      <c r="R35" s="145">
        <f t="shared" si="6"/>
        <v>76.49978080293036</v>
      </c>
      <c r="S35" s="125">
        <f t="shared" si="7"/>
        <v>-4.5002191970696401</v>
      </c>
      <c r="T35" s="144">
        <f t="shared" si="8"/>
        <v>0</v>
      </c>
      <c r="V35" s="12"/>
    </row>
    <row r="36" spans="1:22" x14ac:dyDescent="0.25">
      <c r="A36" s="49">
        <f>'A) Base RI'!A37</f>
        <v>5437</v>
      </c>
      <c r="B36" s="354" t="str">
        <f>'A) Base RI'!B37</f>
        <v>Saubraz</v>
      </c>
      <c r="C36" s="407">
        <v>216533.2693914524</v>
      </c>
      <c r="D36" s="407">
        <v>38307.167128092871</v>
      </c>
      <c r="E36" s="392">
        <v>0</v>
      </c>
      <c r="F36" s="392">
        <v>0</v>
      </c>
      <c r="G36" s="392">
        <v>0</v>
      </c>
      <c r="H36" s="407">
        <f t="shared" si="0"/>
        <v>254840.43651954527</v>
      </c>
      <c r="I36" s="408">
        <v>13155.785124999999</v>
      </c>
      <c r="J36" s="358">
        <f>'B) D RI'!U37</f>
        <v>13391.905875</v>
      </c>
      <c r="K36" s="62">
        <f t="shared" si="1"/>
        <v>19.370978934223455</v>
      </c>
      <c r="L36" s="33">
        <f>'B) D RI'!S37</f>
        <v>80</v>
      </c>
      <c r="M36" s="33">
        <f t="shared" si="2"/>
        <v>60.629021065776541</v>
      </c>
      <c r="N36" s="87">
        <f>+'J) Plafonnement effort'!H35+'J) Plafonnement effort'!I35-'K) Plafonnement aide'!I35</f>
        <v>15.854564948261718</v>
      </c>
      <c r="O36" s="125">
        <f>M36+N36</f>
        <v>76.483586014038252</v>
      </c>
      <c r="P36" s="47">
        <f t="shared" si="4"/>
        <v>0</v>
      </c>
      <c r="Q36" s="55">
        <f t="shared" si="5"/>
        <v>0</v>
      </c>
      <c r="R36" s="145">
        <f t="shared" si="6"/>
        <v>76.483586014038252</v>
      </c>
      <c r="S36" s="125">
        <f t="shared" si="7"/>
        <v>-3.5164139859617478</v>
      </c>
      <c r="T36" s="144">
        <f t="shared" si="8"/>
        <v>0</v>
      </c>
      <c r="V36" s="12"/>
    </row>
    <row r="37" spans="1:22" x14ac:dyDescent="0.25">
      <c r="A37" s="49">
        <f>'A) Base RI'!A38</f>
        <v>5451</v>
      </c>
      <c r="B37" s="354" t="str">
        <f>'A) Base RI'!B38</f>
        <v>Avenches</v>
      </c>
      <c r="C37" s="407">
        <v>2399546.927846753</v>
      </c>
      <c r="D37" s="407">
        <v>-242050.561728484</v>
      </c>
      <c r="E37" s="392">
        <v>0</v>
      </c>
      <c r="F37" s="392">
        <v>0</v>
      </c>
      <c r="G37" s="392">
        <v>0</v>
      </c>
      <c r="H37" s="407">
        <f t="shared" si="0"/>
        <v>2157496.366118269</v>
      </c>
      <c r="I37" s="408">
        <v>129378.19823529426</v>
      </c>
      <c r="J37" s="358">
        <f>'B) D RI'!U38</f>
        <v>129500.81187969925</v>
      </c>
      <c r="K37" s="62">
        <f t="shared" si="1"/>
        <v>16.675888175490961</v>
      </c>
      <c r="L37" s="33">
        <f>'B) D RI'!S38</f>
        <v>66.5</v>
      </c>
      <c r="M37" s="33">
        <f t="shared" si="2"/>
        <v>49.824111824509039</v>
      </c>
      <c r="N37" s="87">
        <f>+'J) Plafonnement effort'!H36+'J) Plafonnement effort'!I36-'K) Plafonnement aide'!I36</f>
        <v>9.3303983463724158</v>
      </c>
      <c r="O37" s="125">
        <f t="shared" si="3"/>
        <v>59.154510170881451</v>
      </c>
      <c r="P37" s="47">
        <f t="shared" si="4"/>
        <v>0</v>
      </c>
      <c r="Q37" s="55">
        <f t="shared" si="5"/>
        <v>0</v>
      </c>
      <c r="R37" s="145">
        <f t="shared" si="6"/>
        <v>59.154510170881451</v>
      </c>
      <c r="S37" s="125">
        <f t="shared" si="7"/>
        <v>-7.3454898291185486</v>
      </c>
      <c r="T37" s="144">
        <f t="shared" si="8"/>
        <v>0</v>
      </c>
      <c r="V37" s="12"/>
    </row>
    <row r="38" spans="1:22" x14ac:dyDescent="0.25">
      <c r="A38" s="49">
        <f>'A) Base RI'!A39</f>
        <v>5456</v>
      </c>
      <c r="B38" s="354" t="str">
        <f>'A) Base RI'!B39</f>
        <v>Cudrefin</v>
      </c>
      <c r="C38" s="407">
        <v>1426049.3645792538</v>
      </c>
      <c r="D38" s="407">
        <v>440448.5661438948</v>
      </c>
      <c r="E38" s="392">
        <v>0</v>
      </c>
      <c r="F38" s="392">
        <v>0</v>
      </c>
      <c r="G38" s="392">
        <v>0</v>
      </c>
      <c r="H38" s="407">
        <f t="shared" si="0"/>
        <v>1866497.9307231486</v>
      </c>
      <c r="I38" s="408">
        <v>57755.250790960446</v>
      </c>
      <c r="J38" s="358">
        <f>'B) D RI'!U39</f>
        <v>64226.933276836171</v>
      </c>
      <c r="K38" s="62">
        <f t="shared" si="1"/>
        <v>32.317372103166129</v>
      </c>
      <c r="L38" s="33">
        <f>'B) D RI'!S39</f>
        <v>59</v>
      </c>
      <c r="M38" s="33">
        <f t="shared" si="2"/>
        <v>26.682627896833871</v>
      </c>
      <c r="N38" s="87">
        <f>+'J) Plafonnement effort'!H37+'J) Plafonnement effort'!I37-'K) Plafonnement aide'!I37</f>
        <v>22.337791643812675</v>
      </c>
      <c r="O38" s="125">
        <f t="shared" si="3"/>
        <v>49.020419540646543</v>
      </c>
      <c r="P38" s="47">
        <f t="shared" si="4"/>
        <v>0</v>
      </c>
      <c r="Q38" s="55">
        <f t="shared" si="5"/>
        <v>0</v>
      </c>
      <c r="R38" s="145">
        <f t="shared" si="6"/>
        <v>49.020419540646543</v>
      </c>
      <c r="S38" s="125">
        <f t="shared" si="7"/>
        <v>-9.9795804593534569</v>
      </c>
      <c r="T38" s="144">
        <f t="shared" si="8"/>
        <v>0</v>
      </c>
      <c r="V38" s="12"/>
    </row>
    <row r="39" spans="1:22" x14ac:dyDescent="0.25">
      <c r="A39" s="49">
        <f>'A) Base RI'!A40</f>
        <v>5458</v>
      </c>
      <c r="B39" s="354" t="str">
        <f>'A) Base RI'!B40</f>
        <v>Faoug</v>
      </c>
      <c r="C39" s="407">
        <v>711571.36706510419</v>
      </c>
      <c r="D39" s="407">
        <v>405184.04217179434</v>
      </c>
      <c r="E39" s="392">
        <v>0</v>
      </c>
      <c r="F39" s="392">
        <v>0</v>
      </c>
      <c r="G39" s="392">
        <v>0</v>
      </c>
      <c r="H39" s="407">
        <f t="shared" si="0"/>
        <v>1116755.4092368986</v>
      </c>
      <c r="I39" s="408">
        <v>33143.605656565654</v>
      </c>
      <c r="J39" s="358">
        <f>'B) D RI'!U40</f>
        <v>32198.404090909091</v>
      </c>
      <c r="K39" s="62">
        <f t="shared" si="1"/>
        <v>33.694445342149201</v>
      </c>
      <c r="L39" s="33">
        <f>'B) D RI'!S40</f>
        <v>66</v>
      </c>
      <c r="M39" s="33">
        <f t="shared" si="2"/>
        <v>32.305554657850799</v>
      </c>
      <c r="N39" s="87">
        <f>+'J) Plafonnement effort'!H38+'J) Plafonnement effort'!I38-'K) Plafonnement aide'!I38</f>
        <v>24.212589293232703</v>
      </c>
      <c r="O39" s="125">
        <f t="shared" si="3"/>
        <v>56.518143951083502</v>
      </c>
      <c r="P39" s="47">
        <f t="shared" si="4"/>
        <v>0</v>
      </c>
      <c r="Q39" s="55">
        <f t="shared" si="5"/>
        <v>0</v>
      </c>
      <c r="R39" s="145">
        <f t="shared" si="6"/>
        <v>56.518143951083502</v>
      </c>
      <c r="S39" s="125">
        <f t="shared" si="7"/>
        <v>-9.481856048916498</v>
      </c>
      <c r="T39" s="144">
        <f t="shared" si="8"/>
        <v>0</v>
      </c>
      <c r="V39" s="12"/>
    </row>
    <row r="40" spans="1:22" x14ac:dyDescent="0.25">
      <c r="A40" s="49">
        <f>'A) Base RI'!A41</f>
        <v>5464</v>
      </c>
      <c r="B40" s="354" t="str">
        <f>'A) Base RI'!B41</f>
        <v>Vully-les-Lacs</v>
      </c>
      <c r="C40" s="407">
        <v>2037221.4122604332</v>
      </c>
      <c r="D40" s="407">
        <v>544964.19790280913</v>
      </c>
      <c r="E40" s="392">
        <v>0</v>
      </c>
      <c r="F40" s="392">
        <v>0</v>
      </c>
      <c r="G40" s="392">
        <v>0</v>
      </c>
      <c r="H40" s="407">
        <f t="shared" si="0"/>
        <v>2582185.6101632426</v>
      </c>
      <c r="I40" s="408">
        <v>112741.2284079602</v>
      </c>
      <c r="J40" s="358">
        <f>'B) D RI'!U41</f>
        <v>111597.31895522389</v>
      </c>
      <c r="K40" s="62">
        <f t="shared" si="1"/>
        <v>22.903649770600911</v>
      </c>
      <c r="L40" s="33">
        <f>'B) D RI'!S41</f>
        <v>67</v>
      </c>
      <c r="M40" s="33">
        <f t="shared" si="2"/>
        <v>44.096350229399093</v>
      </c>
      <c r="N40" s="87">
        <f>+'J) Plafonnement effort'!H39+'J) Plafonnement effort'!I39-'K) Plafonnement aide'!I39</f>
        <v>16.119422695916619</v>
      </c>
      <c r="O40" s="125">
        <f t="shared" si="3"/>
        <v>60.215772925315711</v>
      </c>
      <c r="P40" s="47">
        <f t="shared" si="4"/>
        <v>0</v>
      </c>
      <c r="Q40" s="55">
        <f t="shared" si="5"/>
        <v>0</v>
      </c>
      <c r="R40" s="145">
        <f t="shared" si="6"/>
        <v>60.215772925315711</v>
      </c>
      <c r="S40" s="125">
        <f t="shared" si="7"/>
        <v>-6.7842270746842885</v>
      </c>
      <c r="T40" s="144">
        <f t="shared" si="8"/>
        <v>0</v>
      </c>
      <c r="V40" s="12"/>
    </row>
    <row r="41" spans="1:22" x14ac:dyDescent="0.25">
      <c r="A41" s="49">
        <f>'A) Base RI'!A42</f>
        <v>5471</v>
      </c>
      <c r="B41" s="354" t="str">
        <f>'A) Base RI'!B42</f>
        <v>Bettens</v>
      </c>
      <c r="C41" s="407">
        <v>349507.03270198748</v>
      </c>
      <c r="D41" s="407">
        <v>179529.63099034142</v>
      </c>
      <c r="E41" s="392">
        <v>0</v>
      </c>
      <c r="F41" s="392">
        <v>0</v>
      </c>
      <c r="G41" s="392">
        <v>0</v>
      </c>
      <c r="H41" s="407">
        <f t="shared" si="0"/>
        <v>529036.66369232885</v>
      </c>
      <c r="I41" s="408">
        <v>21708.019984126982</v>
      </c>
      <c r="J41" s="358">
        <f>'B) D RI'!U42</f>
        <v>20385.282730158731</v>
      </c>
      <c r="K41" s="62">
        <f t="shared" si="1"/>
        <v>24.370562772614139</v>
      </c>
      <c r="L41" s="33">
        <f>'B) D RI'!S42</f>
        <v>70</v>
      </c>
      <c r="M41" s="33">
        <f t="shared" si="2"/>
        <v>45.629437227385864</v>
      </c>
      <c r="N41" s="87">
        <f>+'J) Plafonnement effort'!H40+'J) Plafonnement effort'!I40-'K) Plafonnement aide'!I40</f>
        <v>19.408394263398073</v>
      </c>
      <c r="O41" s="125">
        <f t="shared" si="3"/>
        <v>65.03783149078393</v>
      </c>
      <c r="P41" s="47">
        <f t="shared" si="4"/>
        <v>0</v>
      </c>
      <c r="Q41" s="55">
        <f t="shared" si="5"/>
        <v>0</v>
      </c>
      <c r="R41" s="145">
        <f t="shared" si="6"/>
        <v>65.03783149078393</v>
      </c>
      <c r="S41" s="125">
        <f t="shared" si="7"/>
        <v>-4.9621685092160703</v>
      </c>
      <c r="T41" s="144">
        <f t="shared" si="8"/>
        <v>0</v>
      </c>
      <c r="V41" s="12"/>
    </row>
    <row r="42" spans="1:22" x14ac:dyDescent="0.25">
      <c r="A42" s="49">
        <f>'A) Base RI'!A43</f>
        <v>5472</v>
      </c>
      <c r="B42" s="354" t="str">
        <f>'A) Base RI'!B43</f>
        <v>Bournens</v>
      </c>
      <c r="C42" s="407">
        <v>251455.84549740131</v>
      </c>
      <c r="D42" s="407">
        <v>138145.00938628099</v>
      </c>
      <c r="E42" s="392">
        <v>0</v>
      </c>
      <c r="F42" s="392">
        <v>0</v>
      </c>
      <c r="G42" s="392">
        <v>0</v>
      </c>
      <c r="H42" s="407">
        <f t="shared" si="0"/>
        <v>389600.85488368233</v>
      </c>
      <c r="I42" s="408">
        <v>15065.660131578947</v>
      </c>
      <c r="J42" s="358">
        <f>'B) D RI'!U43</f>
        <v>20143.161388888886</v>
      </c>
      <c r="K42" s="62">
        <f t="shared" si="1"/>
        <v>25.860191420822293</v>
      </c>
      <c r="L42" s="33">
        <f>'B) D RI'!S43</f>
        <v>72</v>
      </c>
      <c r="M42" s="33">
        <f t="shared" si="2"/>
        <v>46.139808579177711</v>
      </c>
      <c r="N42" s="87">
        <f>+'J) Plafonnement effort'!H41+'J) Plafonnement effort'!I41-'K) Plafonnement aide'!I41</f>
        <v>26.573887278214439</v>
      </c>
      <c r="O42" s="125">
        <f t="shared" si="3"/>
        <v>72.713695857392153</v>
      </c>
      <c r="P42" s="47">
        <f t="shared" si="4"/>
        <v>0</v>
      </c>
      <c r="Q42" s="55">
        <f t="shared" si="5"/>
        <v>0</v>
      </c>
      <c r="R42" s="145">
        <f t="shared" si="6"/>
        <v>72.713695857392153</v>
      </c>
      <c r="S42" s="125">
        <f t="shared" si="7"/>
        <v>0.71369585739215324</v>
      </c>
      <c r="T42" s="144">
        <f t="shared" si="8"/>
        <v>0</v>
      </c>
      <c r="V42" s="12"/>
    </row>
    <row r="43" spans="1:22" x14ac:dyDescent="0.25">
      <c r="A43" s="49">
        <f>'A) Base RI'!A44</f>
        <v>5473</v>
      </c>
      <c r="B43" s="354" t="str">
        <f>'A) Base RI'!B44</f>
        <v>Boussens</v>
      </c>
      <c r="C43" s="407">
        <v>550039.27916090284</v>
      </c>
      <c r="D43" s="407">
        <v>327911.95227203192</v>
      </c>
      <c r="E43" s="392">
        <v>0</v>
      </c>
      <c r="F43" s="392">
        <v>0</v>
      </c>
      <c r="G43" s="392">
        <v>0</v>
      </c>
      <c r="H43" s="407">
        <f t="shared" si="0"/>
        <v>877951.23143293476</v>
      </c>
      <c r="I43" s="408">
        <v>34350.684492753629</v>
      </c>
      <c r="J43" s="358">
        <f>'B) D RI'!U44</f>
        <v>37775.140592592586</v>
      </c>
      <c r="K43" s="62">
        <f t="shared" si="1"/>
        <v>25.558478510614279</v>
      </c>
      <c r="L43" s="33">
        <f>'B) D RI'!S44</f>
        <v>67.5</v>
      </c>
      <c r="M43" s="33">
        <f t="shared" si="2"/>
        <v>41.941521489385721</v>
      </c>
      <c r="N43" s="87">
        <f>+'J) Plafonnement effort'!H42+'J) Plafonnement effort'!I42-'K) Plafonnement aide'!I42</f>
        <v>24.876876915221111</v>
      </c>
      <c r="O43" s="125">
        <f t="shared" si="3"/>
        <v>66.818398404606825</v>
      </c>
      <c r="P43" s="47">
        <f t="shared" si="4"/>
        <v>0</v>
      </c>
      <c r="Q43" s="55">
        <f t="shared" si="5"/>
        <v>0</v>
      </c>
      <c r="R43" s="145">
        <f t="shared" si="6"/>
        <v>66.818398404606825</v>
      </c>
      <c r="S43" s="125">
        <f t="shared" si="7"/>
        <v>-0.68160159539317533</v>
      </c>
      <c r="T43" s="144">
        <f t="shared" si="8"/>
        <v>0</v>
      </c>
      <c r="V43" s="12"/>
    </row>
    <row r="44" spans="1:22" x14ac:dyDescent="0.25">
      <c r="A44" s="49">
        <f>'A) Base RI'!A45</f>
        <v>5474</v>
      </c>
      <c r="B44" s="354" t="str">
        <f>'A) Base RI'!B45</f>
        <v>La Chaux (Cossonay)</v>
      </c>
      <c r="C44" s="407">
        <v>276544.39006338036</v>
      </c>
      <c r="D44" s="407">
        <v>179693.85258297157</v>
      </c>
      <c r="E44" s="392">
        <v>0</v>
      </c>
      <c r="F44" s="392">
        <v>0</v>
      </c>
      <c r="G44" s="392">
        <v>0</v>
      </c>
      <c r="H44" s="407">
        <f t="shared" si="0"/>
        <v>456238.24264635192</v>
      </c>
      <c r="I44" s="408">
        <v>15323.423073593074</v>
      </c>
      <c r="J44" s="358">
        <f>'B) D RI'!U45</f>
        <v>13182.521580086577</v>
      </c>
      <c r="K44" s="62">
        <f t="shared" si="1"/>
        <v>29.773911511494411</v>
      </c>
      <c r="L44" s="33">
        <f>'B) D RI'!S45</f>
        <v>77</v>
      </c>
      <c r="M44" s="33">
        <f t="shared" si="2"/>
        <v>47.226088488505589</v>
      </c>
      <c r="N44" s="87">
        <f>+'J) Plafonnement effort'!H43+'J) Plafonnement effort'!I43-'K) Plafonnement aide'!I43</f>
        <v>19.285763163190797</v>
      </c>
      <c r="O44" s="125">
        <f t="shared" si="3"/>
        <v>66.511851651696389</v>
      </c>
      <c r="P44" s="47">
        <f t="shared" si="4"/>
        <v>0</v>
      </c>
      <c r="Q44" s="55">
        <f t="shared" si="5"/>
        <v>0</v>
      </c>
      <c r="R44" s="145">
        <f t="shared" si="6"/>
        <v>66.511851651696389</v>
      </c>
      <c r="S44" s="125">
        <f t="shared" si="7"/>
        <v>-10.488148348303611</v>
      </c>
      <c r="T44" s="144">
        <f t="shared" si="8"/>
        <v>0</v>
      </c>
      <c r="V44" s="12"/>
    </row>
    <row r="45" spans="1:22" x14ac:dyDescent="0.25">
      <c r="A45" s="49">
        <f>'A) Base RI'!A46</f>
        <v>5475</v>
      </c>
      <c r="B45" s="354" t="str">
        <f>'A) Base RI'!B46</f>
        <v>Chavannes-le-Veyron</v>
      </c>
      <c r="C45" s="407">
        <v>57568.798438988684</v>
      </c>
      <c r="D45" s="407">
        <v>-54805.15860551985</v>
      </c>
      <c r="E45" s="392">
        <v>0</v>
      </c>
      <c r="F45" s="392">
        <v>0</v>
      </c>
      <c r="G45" s="392">
        <v>0</v>
      </c>
      <c r="H45" s="407">
        <f t="shared" si="0"/>
        <v>2763.6398334688347</v>
      </c>
      <c r="I45" s="408">
        <v>3045.9346753246755</v>
      </c>
      <c r="J45" s="358">
        <f>'B) D RI'!U46</f>
        <v>3874.6645454545451</v>
      </c>
      <c r="K45" s="62">
        <f t="shared" si="1"/>
        <v>0.90732078263439775</v>
      </c>
      <c r="L45" s="33">
        <f>'B) D RI'!S46</f>
        <v>77</v>
      </c>
      <c r="M45" s="33">
        <f t="shared" si="2"/>
        <v>76.0926792173656</v>
      </c>
      <c r="N45" s="87">
        <f>+'J) Plafonnement effort'!H44+'J) Plafonnement effort'!I44-'K) Plafonnement aide'!I44</f>
        <v>7.1343748790798021</v>
      </c>
      <c r="O45" s="125">
        <f t="shared" si="3"/>
        <v>83.2270540964454</v>
      </c>
      <c r="P45" s="47">
        <f t="shared" si="4"/>
        <v>0</v>
      </c>
      <c r="Q45" s="55">
        <f t="shared" si="5"/>
        <v>0</v>
      </c>
      <c r="R45" s="145">
        <f t="shared" si="6"/>
        <v>83.2270540964454</v>
      </c>
      <c r="S45" s="125">
        <f t="shared" si="7"/>
        <v>6.2270540964454</v>
      </c>
      <c r="T45" s="144">
        <f t="shared" si="8"/>
        <v>0</v>
      </c>
      <c r="V45" s="12"/>
    </row>
    <row r="46" spans="1:22" x14ac:dyDescent="0.25">
      <c r="A46" s="49">
        <f>'A) Base RI'!A47</f>
        <v>5476</v>
      </c>
      <c r="B46" s="354" t="str">
        <f>'A) Base RI'!B47</f>
        <v>Chevilly</v>
      </c>
      <c r="C46" s="407">
        <v>185586.88402302933</v>
      </c>
      <c r="D46" s="407">
        <v>162913.12577482525</v>
      </c>
      <c r="E46" s="392">
        <v>0</v>
      </c>
      <c r="F46" s="392">
        <v>0</v>
      </c>
      <c r="G46" s="392">
        <v>0</v>
      </c>
      <c r="H46" s="407">
        <f t="shared" si="0"/>
        <v>348500.00979785458</v>
      </c>
      <c r="I46" s="408">
        <v>12632.544999999996</v>
      </c>
      <c r="J46" s="358">
        <f>'B) D RI'!U47</f>
        <v>11839.396756756756</v>
      </c>
      <c r="K46" s="62">
        <f t="shared" si="1"/>
        <v>27.587474241956365</v>
      </c>
      <c r="L46" s="33">
        <f>'B) D RI'!S47</f>
        <v>74</v>
      </c>
      <c r="M46" s="33">
        <f t="shared" si="2"/>
        <v>46.412525758043635</v>
      </c>
      <c r="N46" s="87">
        <f>+'J) Plafonnement effort'!H45+'J) Plafonnement effort'!I45-'K) Plafonnement aide'!I45</f>
        <v>23.476808352299535</v>
      </c>
      <c r="O46" s="125">
        <f t="shared" si="3"/>
        <v>69.889334110343171</v>
      </c>
      <c r="P46" s="47">
        <f t="shared" si="4"/>
        <v>0</v>
      </c>
      <c r="Q46" s="55">
        <f t="shared" si="5"/>
        <v>0</v>
      </c>
      <c r="R46" s="145">
        <f t="shared" si="6"/>
        <v>69.889334110343171</v>
      </c>
      <c r="S46" s="125">
        <f t="shared" si="7"/>
        <v>-4.1106658896568291</v>
      </c>
      <c r="T46" s="144">
        <f t="shared" si="8"/>
        <v>0</v>
      </c>
      <c r="V46" s="12"/>
    </row>
    <row r="47" spans="1:22" x14ac:dyDescent="0.25">
      <c r="A47" s="49">
        <f>'A) Base RI'!A48</f>
        <v>5477</v>
      </c>
      <c r="B47" s="354" t="str">
        <f>'A) Base RI'!B48</f>
        <v>Cossonay</v>
      </c>
      <c r="C47" s="407">
        <v>2376203.484886907</v>
      </c>
      <c r="D47" s="407">
        <v>611744.28740440262</v>
      </c>
      <c r="E47" s="392">
        <v>0</v>
      </c>
      <c r="F47" s="392">
        <v>0</v>
      </c>
      <c r="G47" s="392">
        <v>0</v>
      </c>
      <c r="H47" s="407">
        <f t="shared" si="0"/>
        <v>2987947.7722913097</v>
      </c>
      <c r="I47" s="408">
        <v>144389.2549295775</v>
      </c>
      <c r="J47" s="358">
        <f>'B) D RI'!U48</f>
        <v>119154.03251798562</v>
      </c>
      <c r="K47" s="62">
        <f t="shared" si="1"/>
        <v>20.693698944208915</v>
      </c>
      <c r="L47" s="33">
        <f>'B) D RI'!S48</f>
        <v>69.5</v>
      </c>
      <c r="M47" s="33">
        <f t="shared" si="2"/>
        <v>48.806301055791081</v>
      </c>
      <c r="N47" s="87">
        <f>+'J) Plafonnement effort'!H46+'J) Plafonnement effort'!I46-'K) Plafonnement aide'!I46</f>
        <v>7.5101795036673451</v>
      </c>
      <c r="O47" s="125">
        <f t="shared" si="3"/>
        <v>56.316480559458427</v>
      </c>
      <c r="P47" s="47">
        <f t="shared" si="4"/>
        <v>0</v>
      </c>
      <c r="Q47" s="55">
        <f t="shared" si="5"/>
        <v>0</v>
      </c>
      <c r="R47" s="145">
        <f t="shared" si="6"/>
        <v>56.316480559458427</v>
      </c>
      <c r="S47" s="125">
        <f t="shared" si="7"/>
        <v>-13.183519440541573</v>
      </c>
      <c r="T47" s="144">
        <f t="shared" si="8"/>
        <v>0</v>
      </c>
      <c r="V47" s="12"/>
    </row>
    <row r="48" spans="1:22" x14ac:dyDescent="0.25">
      <c r="A48" s="49">
        <f>'A) Base RI'!A49</f>
        <v>5478</v>
      </c>
      <c r="B48" s="354" t="str">
        <f>'A) Base RI'!B49</f>
        <v>Cottens</v>
      </c>
      <c r="C48" s="407">
        <v>310612.24945534987</v>
      </c>
      <c r="D48" s="407">
        <v>173541.77599957169</v>
      </c>
      <c r="E48" s="392">
        <v>0</v>
      </c>
      <c r="F48" s="392">
        <v>0</v>
      </c>
      <c r="G48" s="392">
        <v>0</v>
      </c>
      <c r="H48" s="407">
        <f t="shared" si="0"/>
        <v>484154.02545492153</v>
      </c>
      <c r="I48" s="408">
        <v>17566.345945945945</v>
      </c>
      <c r="J48" s="358">
        <f>'B) D RI'!U49</f>
        <v>16291.497837837833</v>
      </c>
      <c r="K48" s="62">
        <f t="shared" si="1"/>
        <v>27.561453414656061</v>
      </c>
      <c r="L48" s="33">
        <f>'B) D RI'!S49</f>
        <v>74</v>
      </c>
      <c r="M48" s="33">
        <f t="shared" si="2"/>
        <v>46.438546585343943</v>
      </c>
      <c r="N48" s="87">
        <f>+'J) Plafonnement effort'!H47+'J) Plafonnement effort'!I47-'K) Plafonnement aide'!I47</f>
        <v>19.500066180898358</v>
      </c>
      <c r="O48" s="125">
        <f t="shared" si="3"/>
        <v>65.938612766242301</v>
      </c>
      <c r="P48" s="47">
        <f t="shared" si="4"/>
        <v>0</v>
      </c>
      <c r="Q48" s="55">
        <f t="shared" si="5"/>
        <v>0</v>
      </c>
      <c r="R48" s="145">
        <f t="shared" si="6"/>
        <v>65.938612766242301</v>
      </c>
      <c r="S48" s="125">
        <f t="shared" si="7"/>
        <v>-8.0613872337576993</v>
      </c>
      <c r="T48" s="144">
        <f t="shared" si="8"/>
        <v>0</v>
      </c>
      <c r="V48" s="12"/>
    </row>
    <row r="49" spans="1:22" x14ac:dyDescent="0.25">
      <c r="A49" s="49">
        <f>'A) Base RI'!A50</f>
        <v>5479</v>
      </c>
      <c r="B49" s="354" t="str">
        <f>'A) Base RI'!B50</f>
        <v>Cuarnens</v>
      </c>
      <c r="C49" s="407">
        <v>278749.01581062691</v>
      </c>
      <c r="D49" s="407">
        <v>152537.6059195018</v>
      </c>
      <c r="E49" s="392">
        <v>0</v>
      </c>
      <c r="F49" s="392">
        <v>0</v>
      </c>
      <c r="G49" s="392">
        <v>0</v>
      </c>
      <c r="H49" s="407">
        <f t="shared" si="0"/>
        <v>431286.62173012871</v>
      </c>
      <c r="I49" s="408">
        <v>17277.023636363636</v>
      </c>
      <c r="J49" s="358">
        <f>'B) D RI'!U50</f>
        <v>18068.978311688308</v>
      </c>
      <c r="K49" s="62">
        <f t="shared" si="1"/>
        <v>24.96301624675576</v>
      </c>
      <c r="L49" s="33">
        <f>'B) D RI'!S50</f>
        <v>77</v>
      </c>
      <c r="M49" s="33">
        <f t="shared" si="2"/>
        <v>52.036983753244243</v>
      </c>
      <c r="N49" s="87">
        <f>+'J) Plafonnement effort'!H48+'J) Plafonnement effort'!I48-'K) Plafonnement aide'!I48</f>
        <v>19.913702599668312</v>
      </c>
      <c r="O49" s="125">
        <f t="shared" si="3"/>
        <v>71.950686352912555</v>
      </c>
      <c r="P49" s="47">
        <f t="shared" si="4"/>
        <v>0</v>
      </c>
      <c r="Q49" s="55">
        <f t="shared" si="5"/>
        <v>0</v>
      </c>
      <c r="R49" s="145">
        <f t="shared" si="6"/>
        <v>71.950686352912555</v>
      </c>
      <c r="S49" s="125">
        <f t="shared" si="7"/>
        <v>-5.0493136470874447</v>
      </c>
      <c r="T49" s="144">
        <f t="shared" si="8"/>
        <v>0</v>
      </c>
      <c r="V49" s="12"/>
    </row>
    <row r="50" spans="1:22" x14ac:dyDescent="0.25">
      <c r="A50" s="49">
        <f>'A) Base RI'!A51</f>
        <v>5480</v>
      </c>
      <c r="B50" s="354" t="str">
        <f>'A) Base RI'!B51</f>
        <v>Daillens</v>
      </c>
      <c r="C50" s="407">
        <v>700785.77377627359</v>
      </c>
      <c r="D50" s="407">
        <v>533353.35770331544</v>
      </c>
      <c r="E50" s="392">
        <v>0</v>
      </c>
      <c r="F50" s="392">
        <v>0</v>
      </c>
      <c r="G50" s="392">
        <v>0</v>
      </c>
      <c r="H50" s="407">
        <f t="shared" si="0"/>
        <v>1234139.131479589</v>
      </c>
      <c r="I50" s="408">
        <v>40568.804343434349</v>
      </c>
      <c r="J50" s="358">
        <f>'B) D RI'!U51</f>
        <v>40977.441060606063</v>
      </c>
      <c r="K50" s="62">
        <f t="shared" si="1"/>
        <v>30.420889928921998</v>
      </c>
      <c r="L50" s="33">
        <f>'B) D RI'!S51</f>
        <v>66</v>
      </c>
      <c r="M50" s="33">
        <f t="shared" si="2"/>
        <v>35.579110071078006</v>
      </c>
      <c r="N50" s="87">
        <f>+'J) Plafonnement effort'!H49+'J) Plafonnement effort'!I49-'K) Plafonnement aide'!I49</f>
        <v>25.676768321333217</v>
      </c>
      <c r="O50" s="125">
        <f t="shared" si="3"/>
        <v>61.255878392411219</v>
      </c>
      <c r="P50" s="47">
        <f t="shared" si="4"/>
        <v>0</v>
      </c>
      <c r="Q50" s="55">
        <f t="shared" si="5"/>
        <v>0</v>
      </c>
      <c r="R50" s="145">
        <f t="shared" si="6"/>
        <v>61.255878392411219</v>
      </c>
      <c r="S50" s="125">
        <f t="shared" si="7"/>
        <v>-4.7441216075887809</v>
      </c>
      <c r="T50" s="144">
        <f t="shared" si="8"/>
        <v>0</v>
      </c>
      <c r="V50" s="12"/>
    </row>
    <row r="51" spans="1:22" x14ac:dyDescent="0.25">
      <c r="A51" s="49">
        <f>'A) Base RI'!A52</f>
        <v>5481</v>
      </c>
      <c r="B51" s="354" t="str">
        <f>'A) Base RI'!B52</f>
        <v>Dizy</v>
      </c>
      <c r="C51" s="407">
        <v>141967.30386319666</v>
      </c>
      <c r="D51" s="407">
        <v>130030.90696750824</v>
      </c>
      <c r="E51" s="392">
        <v>0</v>
      </c>
      <c r="F51" s="392">
        <v>0</v>
      </c>
      <c r="G51" s="392">
        <v>0</v>
      </c>
      <c r="H51" s="407">
        <f t="shared" si="0"/>
        <v>271998.21083070489</v>
      </c>
      <c r="I51" s="408">
        <v>9658.8267088607608</v>
      </c>
      <c r="J51" s="358">
        <f>'B) D RI'!U52</f>
        <v>8124.1672000000008</v>
      </c>
      <c r="K51" s="62">
        <f t="shared" si="1"/>
        <v>28.160585030600114</v>
      </c>
      <c r="L51" s="33">
        <f>'B) D RI'!S52</f>
        <v>75</v>
      </c>
      <c r="M51" s="33">
        <f t="shared" si="2"/>
        <v>46.839414969399883</v>
      </c>
      <c r="N51" s="87">
        <f>+'J) Plafonnement effort'!H50+'J) Plafonnement effort'!I50-'K) Plafonnement aide'!I50</f>
        <v>22.338205162230704</v>
      </c>
      <c r="O51" s="125">
        <f t="shared" si="3"/>
        <v>69.17762013163059</v>
      </c>
      <c r="P51" s="47">
        <f t="shared" si="4"/>
        <v>0</v>
      </c>
      <c r="Q51" s="55">
        <f t="shared" si="5"/>
        <v>0</v>
      </c>
      <c r="R51" s="145">
        <f t="shared" si="6"/>
        <v>69.17762013163059</v>
      </c>
      <c r="S51" s="125">
        <f t="shared" si="7"/>
        <v>-5.8223798683694099</v>
      </c>
      <c r="T51" s="144">
        <f t="shared" si="8"/>
        <v>0</v>
      </c>
      <c r="V51" s="12"/>
    </row>
    <row r="52" spans="1:22" x14ac:dyDescent="0.25">
      <c r="A52" s="49">
        <f>'A) Base RI'!A53</f>
        <v>5482</v>
      </c>
      <c r="B52" s="354" t="str">
        <f>'A) Base RI'!B53</f>
        <v>Eclépens</v>
      </c>
      <c r="C52" s="407">
        <v>1061436.451057265</v>
      </c>
      <c r="D52" s="407">
        <v>999016.5216840331</v>
      </c>
      <c r="E52" s="392">
        <v>0</v>
      </c>
      <c r="F52" s="392">
        <v>0</v>
      </c>
      <c r="G52" s="392">
        <v>0</v>
      </c>
      <c r="H52" s="407">
        <f t="shared" si="0"/>
        <v>2060452.9727412981</v>
      </c>
      <c r="I52" s="408">
        <v>60116.695217391316</v>
      </c>
      <c r="J52" s="358">
        <f>'B) D RI'!U53</f>
        <v>70911.930217391302</v>
      </c>
      <c r="K52" s="62">
        <f t="shared" si="1"/>
        <v>34.27422224875103</v>
      </c>
      <c r="L52" s="33">
        <f>'B) D RI'!S53</f>
        <v>46</v>
      </c>
      <c r="M52" s="33">
        <f t="shared" si="2"/>
        <v>11.72577775124897</v>
      </c>
      <c r="N52" s="87">
        <f>+'J) Plafonnement effort'!H51+'J) Plafonnement effort'!I51-'K) Plafonnement aide'!I51</f>
        <v>31.938918611025588</v>
      </c>
      <c r="O52" s="125">
        <f t="shared" si="3"/>
        <v>43.664696362274555</v>
      </c>
      <c r="P52" s="47">
        <f t="shared" si="4"/>
        <v>0</v>
      </c>
      <c r="Q52" s="55">
        <f t="shared" si="5"/>
        <v>0</v>
      </c>
      <c r="R52" s="145">
        <f t="shared" si="6"/>
        <v>43.664696362274555</v>
      </c>
      <c r="S52" s="125">
        <f t="shared" si="7"/>
        <v>-2.3353036377254455</v>
      </c>
      <c r="T52" s="144">
        <f t="shared" si="8"/>
        <v>0</v>
      </c>
      <c r="V52" s="12"/>
    </row>
    <row r="53" spans="1:22" x14ac:dyDescent="0.25">
      <c r="A53" s="49">
        <f>'A) Base RI'!A54</f>
        <v>5483</v>
      </c>
      <c r="B53" s="354" t="str">
        <f>'A) Base RI'!B54</f>
        <v>Ferreyres</v>
      </c>
      <c r="C53" s="407">
        <v>193994.36435640976</v>
      </c>
      <c r="D53" s="407">
        <v>93768.885566384444</v>
      </c>
      <c r="E53" s="392">
        <v>0</v>
      </c>
      <c r="F53" s="392">
        <v>0</v>
      </c>
      <c r="G53" s="392">
        <v>0</v>
      </c>
      <c r="H53" s="407">
        <f t="shared" si="0"/>
        <v>287763.24992279417</v>
      </c>
      <c r="I53" s="408">
        <v>11167.980394736842</v>
      </c>
      <c r="J53" s="358">
        <f>'B) D RI'!U54</f>
        <v>10820.315000000001</v>
      </c>
      <c r="K53" s="62">
        <f t="shared" si="1"/>
        <v>25.766811881081829</v>
      </c>
      <c r="L53" s="33">
        <f>'B) D RI'!S54</f>
        <v>76</v>
      </c>
      <c r="M53" s="33">
        <f t="shared" si="2"/>
        <v>50.233188118918171</v>
      </c>
      <c r="N53" s="87">
        <f>+'J) Plafonnement effort'!H52+'J) Plafonnement effort'!I52-'K) Plafonnement aide'!I52</f>
        <v>19.770902963200729</v>
      </c>
      <c r="O53" s="125">
        <f t="shared" si="3"/>
        <v>70.004091082118904</v>
      </c>
      <c r="P53" s="47">
        <f t="shared" si="4"/>
        <v>0</v>
      </c>
      <c r="Q53" s="55">
        <f t="shared" si="5"/>
        <v>0</v>
      </c>
      <c r="R53" s="145">
        <f t="shared" si="6"/>
        <v>70.004091082118904</v>
      </c>
      <c r="S53" s="125">
        <f t="shared" si="7"/>
        <v>-5.9959089178810956</v>
      </c>
      <c r="T53" s="144">
        <f t="shared" si="8"/>
        <v>0</v>
      </c>
      <c r="V53" s="12"/>
    </row>
    <row r="54" spans="1:22" x14ac:dyDescent="0.25">
      <c r="A54" s="49">
        <f>'A) Base RI'!A55</f>
        <v>5484</v>
      </c>
      <c r="B54" s="354" t="str">
        <f>'A) Base RI'!B55</f>
        <v>Gollion</v>
      </c>
      <c r="C54" s="407">
        <v>639892.83112841076</v>
      </c>
      <c r="D54" s="407">
        <v>339835.75865360675</v>
      </c>
      <c r="E54" s="392">
        <v>0</v>
      </c>
      <c r="F54" s="392">
        <v>0</v>
      </c>
      <c r="G54" s="392">
        <v>0</v>
      </c>
      <c r="H54" s="407">
        <f t="shared" si="0"/>
        <v>979728.58978201752</v>
      </c>
      <c r="I54" s="408">
        <v>33995.543783783789</v>
      </c>
      <c r="J54" s="358">
        <f>'B) D RI'!U55</f>
        <v>34996.98554054054</v>
      </c>
      <c r="K54" s="62">
        <f t="shared" si="1"/>
        <v>28.819323968259564</v>
      </c>
      <c r="L54" s="33">
        <f>'B) D RI'!S55</f>
        <v>74</v>
      </c>
      <c r="M54" s="33">
        <f t="shared" si="2"/>
        <v>45.180676031740433</v>
      </c>
      <c r="N54" s="87">
        <f>+'J) Plafonnement effort'!H53+'J) Plafonnement effort'!I53-'K) Plafonnement aide'!I53</f>
        <v>21.485034770817137</v>
      </c>
      <c r="O54" s="125">
        <f t="shared" si="3"/>
        <v>66.66571080255757</v>
      </c>
      <c r="P54" s="47">
        <f t="shared" si="4"/>
        <v>0</v>
      </c>
      <c r="Q54" s="55">
        <f t="shared" si="5"/>
        <v>0</v>
      </c>
      <c r="R54" s="145">
        <f t="shared" si="6"/>
        <v>66.66571080255757</v>
      </c>
      <c r="S54" s="125">
        <f t="shared" si="7"/>
        <v>-7.3342891974424305</v>
      </c>
      <c r="T54" s="144">
        <f t="shared" si="8"/>
        <v>0</v>
      </c>
      <c r="V54" s="12"/>
    </row>
    <row r="55" spans="1:22" x14ac:dyDescent="0.25">
      <c r="A55" s="49">
        <f>'A) Base RI'!A56</f>
        <v>5485</v>
      </c>
      <c r="B55" s="354" t="str">
        <f>'A) Base RI'!B56</f>
        <v>Grancy</v>
      </c>
      <c r="C55" s="407">
        <v>293679.87148010277</v>
      </c>
      <c r="D55" s="407">
        <v>255399.36667580483</v>
      </c>
      <c r="E55" s="392">
        <v>0</v>
      </c>
      <c r="F55" s="392">
        <v>0</v>
      </c>
      <c r="G55" s="392">
        <v>0</v>
      </c>
      <c r="H55" s="407">
        <f t="shared" si="0"/>
        <v>549079.2381559076</v>
      </c>
      <c r="I55" s="408">
        <v>16957.048857142858</v>
      </c>
      <c r="J55" s="358">
        <f>'B) D RI'!U56</f>
        <v>14542.352714285715</v>
      </c>
      <c r="K55" s="62">
        <f t="shared" si="1"/>
        <v>32.380589498898431</v>
      </c>
      <c r="L55" s="33">
        <f>'B) D RI'!S56</f>
        <v>70</v>
      </c>
      <c r="M55" s="33">
        <f t="shared" si="2"/>
        <v>37.619410501101569</v>
      </c>
      <c r="N55" s="87">
        <f>+'J) Plafonnement effort'!H54+'J) Plafonnement effort'!I54-'K) Plafonnement aide'!I54</f>
        <v>22.921935819727892</v>
      </c>
      <c r="O55" s="125">
        <f t="shared" si="3"/>
        <v>60.541346320829462</v>
      </c>
      <c r="P55" s="47">
        <f t="shared" si="4"/>
        <v>0</v>
      </c>
      <c r="Q55" s="55">
        <f t="shared" si="5"/>
        <v>0</v>
      </c>
      <c r="R55" s="145">
        <f t="shared" si="6"/>
        <v>60.541346320829462</v>
      </c>
      <c r="S55" s="125">
        <f t="shared" si="7"/>
        <v>-9.4586536791705385</v>
      </c>
      <c r="T55" s="144">
        <f t="shared" si="8"/>
        <v>0</v>
      </c>
      <c r="V55" s="12"/>
    </row>
    <row r="56" spans="1:22" x14ac:dyDescent="0.25">
      <c r="A56" s="49">
        <f>'A) Base RI'!A57</f>
        <v>5486</v>
      </c>
      <c r="B56" s="354" t="str">
        <f>'A) Base RI'!B57</f>
        <v>L'Isle</v>
      </c>
      <c r="C56" s="407">
        <v>843730.0911818879</v>
      </c>
      <c r="D56" s="407">
        <v>310219.96378457505</v>
      </c>
      <c r="E56" s="392">
        <v>0</v>
      </c>
      <c r="F56" s="392">
        <v>0</v>
      </c>
      <c r="G56" s="392">
        <v>0</v>
      </c>
      <c r="H56" s="407">
        <f t="shared" si="0"/>
        <v>1153950.054966463</v>
      </c>
      <c r="I56" s="408">
        <v>35667.648026315794</v>
      </c>
      <c r="J56" s="358">
        <f>'B) D RI'!U57</f>
        <v>37459.560399999995</v>
      </c>
      <c r="K56" s="62">
        <f t="shared" si="1"/>
        <v>32.352849678091253</v>
      </c>
      <c r="L56" s="33">
        <f>'B) D RI'!S57</f>
        <v>75</v>
      </c>
      <c r="M56" s="33">
        <f t="shared" si="2"/>
        <v>42.647150321908747</v>
      </c>
      <c r="N56" s="87">
        <f>+'J) Plafonnement effort'!H55+'J) Plafonnement effort'!I55-'K) Plafonnement aide'!I55</f>
        <v>20.911027426014424</v>
      </c>
      <c r="O56" s="125">
        <f t="shared" si="3"/>
        <v>63.558177747923168</v>
      </c>
      <c r="P56" s="47">
        <f t="shared" si="4"/>
        <v>0</v>
      </c>
      <c r="Q56" s="55">
        <f t="shared" si="5"/>
        <v>0</v>
      </c>
      <c r="R56" s="145">
        <f t="shared" si="6"/>
        <v>63.558177747923168</v>
      </c>
      <c r="S56" s="125">
        <f t="shared" si="7"/>
        <v>-11.441822252076832</v>
      </c>
      <c r="T56" s="144">
        <f t="shared" si="8"/>
        <v>0</v>
      </c>
      <c r="V56" s="12"/>
    </row>
    <row r="57" spans="1:22" x14ac:dyDescent="0.25">
      <c r="A57" s="49">
        <f>'A) Base RI'!A58</f>
        <v>5487</v>
      </c>
      <c r="B57" s="354" t="str">
        <f>'A) Base RI'!B58</f>
        <v>Lussery-Villars</v>
      </c>
      <c r="C57" s="407">
        <v>262880.14328380494</v>
      </c>
      <c r="D57" s="407">
        <v>116082.11301058633</v>
      </c>
      <c r="E57" s="392">
        <v>0</v>
      </c>
      <c r="F57" s="392">
        <v>0</v>
      </c>
      <c r="G57" s="392">
        <v>0</v>
      </c>
      <c r="H57" s="407">
        <f t="shared" si="0"/>
        <v>378962.25629439123</v>
      </c>
      <c r="I57" s="408">
        <v>15504.095066666665</v>
      </c>
      <c r="J57" s="358">
        <f>'B) D RI'!U58</f>
        <v>12889.865466666668</v>
      </c>
      <c r="K57" s="62">
        <f t="shared" si="1"/>
        <v>24.442720111356167</v>
      </c>
      <c r="L57" s="33">
        <f>'B) D RI'!S58</f>
        <v>75</v>
      </c>
      <c r="M57" s="33">
        <f t="shared" si="2"/>
        <v>50.557279888643833</v>
      </c>
      <c r="N57" s="87">
        <f>+'J) Plafonnement effort'!H56+'J) Plafonnement effort'!I56-'K) Plafonnement aide'!I56</f>
        <v>12.603788270004115</v>
      </c>
      <c r="O57" s="125">
        <f t="shared" si="3"/>
        <v>63.16106815864795</v>
      </c>
      <c r="P57" s="47">
        <f t="shared" si="4"/>
        <v>0</v>
      </c>
      <c r="Q57" s="55">
        <f t="shared" si="5"/>
        <v>0</v>
      </c>
      <c r="R57" s="145">
        <f t="shared" si="6"/>
        <v>63.16106815864795</v>
      </c>
      <c r="S57" s="125">
        <f t="shared" si="7"/>
        <v>-11.83893184135205</v>
      </c>
      <c r="T57" s="144">
        <f t="shared" si="8"/>
        <v>0</v>
      </c>
      <c r="V57" s="12"/>
    </row>
    <row r="58" spans="1:22" x14ac:dyDescent="0.25">
      <c r="A58" s="49">
        <f>'A) Base RI'!A59</f>
        <v>5488</v>
      </c>
      <c r="B58" s="354" t="str">
        <f>'A) Base RI'!B59</f>
        <v>Mauraz</v>
      </c>
      <c r="C58" s="407">
        <v>25736.907577120735</v>
      </c>
      <c r="D58" s="407">
        <v>5382.9695746357283</v>
      </c>
      <c r="E58" s="392">
        <v>0</v>
      </c>
      <c r="F58" s="392">
        <v>0</v>
      </c>
      <c r="G58" s="392">
        <v>0</v>
      </c>
      <c r="H58" s="407">
        <f t="shared" si="0"/>
        <v>31119.877151756464</v>
      </c>
      <c r="I58" s="408">
        <v>1751.8621794871794</v>
      </c>
      <c r="J58" s="358">
        <f>'B) D RI'!U59</f>
        <v>1632.1631168831173</v>
      </c>
      <c r="K58" s="62">
        <f t="shared" si="1"/>
        <v>17.763884348976671</v>
      </c>
      <c r="L58" s="33">
        <f>'B) D RI'!S59</f>
        <v>77</v>
      </c>
      <c r="M58" s="33">
        <f t="shared" si="2"/>
        <v>59.236115651023326</v>
      </c>
      <c r="N58" s="87">
        <f>+'J) Plafonnement effort'!H57+'J) Plafonnement effort'!I57-'K) Plafonnement aide'!I57</f>
        <v>11.824828642457897</v>
      </c>
      <c r="O58" s="125">
        <f t="shared" si="3"/>
        <v>71.060944293481228</v>
      </c>
      <c r="P58" s="47">
        <f t="shared" si="4"/>
        <v>0</v>
      </c>
      <c r="Q58" s="55">
        <f t="shared" si="5"/>
        <v>0</v>
      </c>
      <c r="R58" s="145">
        <f t="shared" si="6"/>
        <v>71.060944293481228</v>
      </c>
      <c r="S58" s="125">
        <f t="shared" si="7"/>
        <v>-5.9390557065187721</v>
      </c>
      <c r="T58" s="144">
        <f t="shared" si="8"/>
        <v>0</v>
      </c>
      <c r="V58" s="12"/>
    </row>
    <row r="59" spans="1:22" x14ac:dyDescent="0.25">
      <c r="A59" s="49">
        <f>'A) Base RI'!A60</f>
        <v>5489</v>
      </c>
      <c r="B59" s="354" t="str">
        <f>'A) Base RI'!B60</f>
        <v>Mex</v>
      </c>
      <c r="C59" s="407">
        <v>1570361.6297983322</v>
      </c>
      <c r="D59" s="407">
        <v>1169285.1194621297</v>
      </c>
      <c r="E59" s="392">
        <v>0</v>
      </c>
      <c r="F59" s="392">
        <v>0</v>
      </c>
      <c r="G59" s="392">
        <v>0</v>
      </c>
      <c r="H59" s="407">
        <f t="shared" si="0"/>
        <v>2739646.7492604619</v>
      </c>
      <c r="I59" s="408">
        <v>62953.268196721314</v>
      </c>
      <c r="J59" s="358">
        <f>'B) D RI'!U60</f>
        <v>57496.164201680658</v>
      </c>
      <c r="K59" s="62">
        <f t="shared" si="1"/>
        <v>43.518737433923185</v>
      </c>
      <c r="L59" s="33">
        <f>'B) D RI'!S60</f>
        <v>59.5</v>
      </c>
      <c r="M59" s="33">
        <f t="shared" si="2"/>
        <v>15.981262566076815</v>
      </c>
      <c r="N59" s="87">
        <f>+'J) Plafonnement effort'!H58+'J) Plafonnement effort'!I58-'K) Plafonnement aide'!I58</f>
        <v>36.725092991738968</v>
      </c>
      <c r="O59" s="125">
        <f t="shared" si="3"/>
        <v>52.706355557815783</v>
      </c>
      <c r="P59" s="47">
        <f t="shared" si="4"/>
        <v>0</v>
      </c>
      <c r="Q59" s="55">
        <f t="shared" si="5"/>
        <v>0</v>
      </c>
      <c r="R59" s="145">
        <f t="shared" si="6"/>
        <v>52.706355557815783</v>
      </c>
      <c r="S59" s="125">
        <f t="shared" si="7"/>
        <v>-6.7936444421842168</v>
      </c>
      <c r="T59" s="144">
        <f t="shared" si="8"/>
        <v>0</v>
      </c>
      <c r="V59" s="12"/>
    </row>
    <row r="60" spans="1:22" x14ac:dyDescent="0.25">
      <c r="A60" s="49">
        <f>'A) Base RI'!A61</f>
        <v>5490</v>
      </c>
      <c r="B60" s="354" t="str">
        <f>'A) Base RI'!B61</f>
        <v>Moiry</v>
      </c>
      <c r="C60" s="407">
        <v>131878.4508339646</v>
      </c>
      <c r="D60" s="407">
        <v>-24756.858019096922</v>
      </c>
      <c r="E60" s="392">
        <v>0</v>
      </c>
      <c r="F60" s="392">
        <v>0</v>
      </c>
      <c r="G60" s="392">
        <v>0</v>
      </c>
      <c r="H60" s="407">
        <f t="shared" si="0"/>
        <v>107121.59281486768</v>
      </c>
      <c r="I60" s="408">
        <v>8346.3239490445867</v>
      </c>
      <c r="J60" s="358">
        <f>'B) D RI'!U61</f>
        <v>8655.909290322581</v>
      </c>
      <c r="K60" s="62">
        <f t="shared" si="1"/>
        <v>12.834583640517573</v>
      </c>
      <c r="L60" s="33">
        <f>'B) D RI'!S61</f>
        <v>77.5</v>
      </c>
      <c r="M60" s="33">
        <f t="shared" si="2"/>
        <v>64.665416359482421</v>
      </c>
      <c r="N60" s="87">
        <f>+'J) Plafonnement effort'!H59+'J) Plafonnement effort'!I59-'K) Plafonnement aide'!I59</f>
        <v>11.098555505515375</v>
      </c>
      <c r="O60" s="125">
        <f t="shared" si="3"/>
        <v>75.763971864997799</v>
      </c>
      <c r="P60" s="47">
        <f t="shared" si="4"/>
        <v>0</v>
      </c>
      <c r="Q60" s="55">
        <f t="shared" si="5"/>
        <v>0</v>
      </c>
      <c r="R60" s="145">
        <f t="shared" si="6"/>
        <v>75.763971864997799</v>
      </c>
      <c r="S60" s="125">
        <f t="shared" si="7"/>
        <v>-1.7360281350022007</v>
      </c>
      <c r="T60" s="144">
        <f t="shared" si="8"/>
        <v>0</v>
      </c>
      <c r="V60" s="12"/>
    </row>
    <row r="61" spans="1:22" x14ac:dyDescent="0.25">
      <c r="A61" s="49">
        <f>'A) Base RI'!A62</f>
        <v>5491</v>
      </c>
      <c r="B61" s="354" t="str">
        <f>'A) Base RI'!B62</f>
        <v>Mont-la-Ville</v>
      </c>
      <c r="C61" s="407">
        <v>220551.92219936699</v>
      </c>
      <c r="D61" s="407">
        <v>29593.553441428958</v>
      </c>
      <c r="E61" s="392">
        <v>0</v>
      </c>
      <c r="F61" s="392">
        <v>0</v>
      </c>
      <c r="G61" s="392">
        <v>0</v>
      </c>
      <c r="H61" s="407">
        <f t="shared" si="0"/>
        <v>250145.47564079595</v>
      </c>
      <c r="I61" s="408">
        <v>14105.600657894736</v>
      </c>
      <c r="J61" s="358">
        <f>'B) D RI'!U62</f>
        <v>14323.284736842104</v>
      </c>
      <c r="K61" s="62">
        <f t="shared" si="1"/>
        <v>17.733769848417801</v>
      </c>
      <c r="L61" s="33">
        <f>'B) D RI'!S62</f>
        <v>76</v>
      </c>
      <c r="M61" s="33">
        <f t="shared" ref="M61:M114" si="9">L61-K61</f>
        <v>58.266230151582199</v>
      </c>
      <c r="N61" s="87">
        <f>+'J) Plafonnement effort'!H60+'J) Plafonnement effort'!I60-'K) Plafonnement aide'!I60</f>
        <v>13.906032754987692</v>
      </c>
      <c r="O61" s="125">
        <f t="shared" ref="O61:O114" si="10">M61+N61</f>
        <v>72.172262906569898</v>
      </c>
      <c r="P61" s="47">
        <f t="shared" ref="P61:P114" si="11">IF(O61&gt;$P$5,$P$5-O61,0)</f>
        <v>0</v>
      </c>
      <c r="Q61" s="55">
        <f t="shared" si="5"/>
        <v>0</v>
      </c>
      <c r="R61" s="145">
        <f t="shared" ref="R61:R114" si="12">O61+P61</f>
        <v>72.172262906569898</v>
      </c>
      <c r="S61" s="125">
        <f t="shared" ref="S61:S114" si="13">R61-L61</f>
        <v>-3.8277370934301018</v>
      </c>
      <c r="T61" s="144">
        <f t="shared" si="8"/>
        <v>0</v>
      </c>
      <c r="V61" s="12"/>
    </row>
    <row r="62" spans="1:22" x14ac:dyDescent="0.25">
      <c r="A62" s="49">
        <f>'A) Base RI'!A63</f>
        <v>5492</v>
      </c>
      <c r="B62" s="354" t="str">
        <f>'A) Base RI'!B63</f>
        <v>Montricher</v>
      </c>
      <c r="C62" s="407">
        <v>7340039.4074617838</v>
      </c>
      <c r="D62" s="407">
        <v>3682022.888544241</v>
      </c>
      <c r="E62" s="392">
        <v>0</v>
      </c>
      <c r="F62" s="392">
        <v>-2324886.6737488047</v>
      </c>
      <c r="G62" s="392">
        <v>0</v>
      </c>
      <c r="H62" s="407">
        <f t="shared" si="0"/>
        <v>8697175.6222572196</v>
      </c>
      <c r="I62" s="408">
        <v>190092.85661458335</v>
      </c>
      <c r="J62" s="358">
        <f>'B) D RI'!U63</f>
        <v>157154.96692708335</v>
      </c>
      <c r="K62" s="62">
        <f t="shared" ref="K62:K116" si="14">H62/I62</f>
        <v>45.752248543936076</v>
      </c>
      <c r="L62" s="33">
        <f>'B) D RI'!S63</f>
        <v>64</v>
      </c>
      <c r="M62" s="33">
        <f t="shared" si="9"/>
        <v>18.247751456063924</v>
      </c>
      <c r="N62" s="87">
        <f>+'J) Plafonnement effort'!H61+'J) Plafonnement effort'!I61-'K) Plafonnement aide'!I61</f>
        <v>48</v>
      </c>
      <c r="O62" s="125">
        <f t="shared" si="10"/>
        <v>66.247751456063924</v>
      </c>
      <c r="P62" s="47">
        <f t="shared" si="11"/>
        <v>0</v>
      </c>
      <c r="Q62" s="55">
        <f t="shared" si="5"/>
        <v>0</v>
      </c>
      <c r="R62" s="145">
        <f t="shared" si="12"/>
        <v>66.247751456063924</v>
      </c>
      <c r="S62" s="125">
        <f t="shared" si="13"/>
        <v>2.2477514560639236</v>
      </c>
      <c r="T62" s="144">
        <f t="shared" si="8"/>
        <v>0</v>
      </c>
      <c r="V62" s="12"/>
    </row>
    <row r="63" spans="1:22" x14ac:dyDescent="0.25">
      <c r="A63" s="49">
        <f>'A) Base RI'!A64</f>
        <v>5493</v>
      </c>
      <c r="B63" s="354" t="str">
        <f>'A) Base RI'!B64</f>
        <v>Orny</v>
      </c>
      <c r="C63" s="407">
        <v>242137.76610591757</v>
      </c>
      <c r="D63" s="407">
        <v>-27314.983091273927</v>
      </c>
      <c r="E63" s="392">
        <v>0</v>
      </c>
      <c r="F63" s="392">
        <v>0</v>
      </c>
      <c r="G63" s="392">
        <v>0</v>
      </c>
      <c r="H63" s="407">
        <f t="shared" si="0"/>
        <v>214822.78301464365</v>
      </c>
      <c r="I63" s="408">
        <v>10669.457639620656</v>
      </c>
      <c r="J63" s="358">
        <f>'B) D RI'!U64</f>
        <v>12885.017723919913</v>
      </c>
      <c r="K63" s="62">
        <f t="shared" si="14"/>
        <v>20.134367675532708</v>
      </c>
      <c r="L63" s="33">
        <f>'B) D RI'!S64</f>
        <v>73</v>
      </c>
      <c r="M63" s="33">
        <f t="shared" si="9"/>
        <v>52.865632324467292</v>
      </c>
      <c r="N63" s="87">
        <f>+'J) Plafonnement effort'!H62+'J) Plafonnement effort'!I62-'K) Plafonnement aide'!I62</f>
        <v>13.169255849526175</v>
      </c>
      <c r="O63" s="125">
        <f t="shared" si="10"/>
        <v>66.034888173993465</v>
      </c>
      <c r="P63" s="47">
        <f t="shared" si="11"/>
        <v>0</v>
      </c>
      <c r="Q63" s="55">
        <f t="shared" ref="Q63:Q117" si="15">P63*J63</f>
        <v>0</v>
      </c>
      <c r="R63" s="145">
        <f t="shared" si="12"/>
        <v>66.034888173993465</v>
      </c>
      <c r="S63" s="125">
        <f t="shared" si="13"/>
        <v>-6.9651118260065346</v>
      </c>
      <c r="T63" s="144">
        <f t="shared" si="8"/>
        <v>0</v>
      </c>
      <c r="V63" s="12"/>
    </row>
    <row r="64" spans="1:22" x14ac:dyDescent="0.25">
      <c r="A64" s="49">
        <f>'A) Base RI'!A65</f>
        <v>5494</v>
      </c>
      <c r="B64" s="354" t="str">
        <f>'A) Base RI'!B65</f>
        <v>Pampigny</v>
      </c>
      <c r="C64" s="407">
        <v>642545.25952480326</v>
      </c>
      <c r="D64" s="407">
        <v>245167.15715203679</v>
      </c>
      <c r="E64" s="392">
        <v>0</v>
      </c>
      <c r="F64" s="392">
        <v>0</v>
      </c>
      <c r="G64" s="392">
        <v>0</v>
      </c>
      <c r="H64" s="407">
        <f t="shared" si="0"/>
        <v>887712.41667684005</v>
      </c>
      <c r="I64" s="408">
        <v>37008.943269841264</v>
      </c>
      <c r="J64" s="358">
        <f>'B) D RI'!U65</f>
        <v>36607.87342465754</v>
      </c>
      <c r="K64" s="62">
        <f t="shared" si="14"/>
        <v>23.986429717928218</v>
      </c>
      <c r="L64" s="33">
        <f>'B) D RI'!S65</f>
        <v>73</v>
      </c>
      <c r="M64" s="33">
        <f t="shared" si="9"/>
        <v>49.013570282071782</v>
      </c>
      <c r="N64" s="87">
        <f>+'J) Plafonnement effort'!H63+'J) Plafonnement effort'!I63-'K) Plafonnement aide'!I63</f>
        <v>18.207696879659949</v>
      </c>
      <c r="O64" s="125">
        <f t="shared" si="10"/>
        <v>67.221267161731731</v>
      </c>
      <c r="P64" s="47">
        <f t="shared" si="11"/>
        <v>0</v>
      </c>
      <c r="Q64" s="55">
        <f t="shared" si="15"/>
        <v>0</v>
      </c>
      <c r="R64" s="145">
        <f t="shared" si="12"/>
        <v>67.221267161731731</v>
      </c>
      <c r="S64" s="125">
        <f t="shared" si="13"/>
        <v>-5.7787328382682688</v>
      </c>
      <c r="T64" s="144">
        <f t="shared" si="8"/>
        <v>0</v>
      </c>
      <c r="V64" s="12"/>
    </row>
    <row r="65" spans="1:22" x14ac:dyDescent="0.25">
      <c r="A65" s="49">
        <f>'A) Base RI'!A66</f>
        <v>5495</v>
      </c>
      <c r="B65" s="354" t="str">
        <f>'A) Base RI'!B66</f>
        <v>Penthalaz</v>
      </c>
      <c r="C65" s="407">
        <v>1618766.1317854149</v>
      </c>
      <c r="D65" s="407">
        <v>-311786.95478275279</v>
      </c>
      <c r="E65" s="392">
        <v>0</v>
      </c>
      <c r="F65" s="392">
        <v>0</v>
      </c>
      <c r="G65" s="392">
        <v>0</v>
      </c>
      <c r="H65" s="407">
        <f t="shared" si="0"/>
        <v>1306979.1770026621</v>
      </c>
      <c r="I65" s="408">
        <v>95334.294459459459</v>
      </c>
      <c r="J65" s="358">
        <f>'B) D RI'!U66</f>
        <v>93361.472702702697</v>
      </c>
      <c r="K65" s="62">
        <f t="shared" si="14"/>
        <v>13.709433571760998</v>
      </c>
      <c r="L65" s="33">
        <f>'B) D RI'!S66</f>
        <v>74</v>
      </c>
      <c r="M65" s="33">
        <f t="shared" si="9"/>
        <v>60.290566428239003</v>
      </c>
      <c r="N65" s="87">
        <f>+'J) Plafonnement effort'!H64+'J) Plafonnement effort'!I64-'K) Plafonnement aide'!I64</f>
        <v>8.9141217027433743</v>
      </c>
      <c r="O65" s="125">
        <f t="shared" si="10"/>
        <v>69.204688130982376</v>
      </c>
      <c r="P65" s="47">
        <f t="shared" si="11"/>
        <v>0</v>
      </c>
      <c r="Q65" s="55">
        <f t="shared" si="15"/>
        <v>0</v>
      </c>
      <c r="R65" s="145">
        <f t="shared" si="12"/>
        <v>69.204688130982376</v>
      </c>
      <c r="S65" s="125">
        <f t="shared" si="13"/>
        <v>-4.795311869017624</v>
      </c>
      <c r="T65" s="144">
        <f t="shared" si="8"/>
        <v>0</v>
      </c>
      <c r="V65" s="12"/>
    </row>
    <row r="66" spans="1:22" x14ac:dyDescent="0.25">
      <c r="A66" s="49">
        <f>'A) Base RI'!A67</f>
        <v>5496</v>
      </c>
      <c r="B66" s="354" t="str">
        <f>'A) Base RI'!B67</f>
        <v>Penthaz</v>
      </c>
      <c r="C66" s="407">
        <v>1091070.6673668462</v>
      </c>
      <c r="D66" s="407">
        <v>328423.74899712286</v>
      </c>
      <c r="E66" s="392">
        <v>0</v>
      </c>
      <c r="F66" s="392">
        <v>0</v>
      </c>
      <c r="G66" s="392">
        <v>0</v>
      </c>
      <c r="H66" s="407">
        <f t="shared" si="0"/>
        <v>1419494.416363969</v>
      </c>
      <c r="I66" s="408">
        <v>59470.759859154932</v>
      </c>
      <c r="J66" s="358">
        <f>'B) D RI'!U67</f>
        <v>60131.11913669065</v>
      </c>
      <c r="K66" s="62">
        <f t="shared" si="14"/>
        <v>23.868778870923606</v>
      </c>
      <c r="L66" s="33">
        <f>'B) D RI'!S67</f>
        <v>69.5</v>
      </c>
      <c r="M66" s="33">
        <f t="shared" si="9"/>
        <v>45.631221129076394</v>
      </c>
      <c r="N66" s="87">
        <f>+'J) Plafonnement effort'!H65+'J) Plafonnement effort'!I65-'K) Plafonnement aide'!I65</f>
        <v>16.745483779851035</v>
      </c>
      <c r="O66" s="125">
        <f t="shared" si="10"/>
        <v>62.376704908927429</v>
      </c>
      <c r="P66" s="47">
        <f t="shared" si="11"/>
        <v>0</v>
      </c>
      <c r="Q66" s="55">
        <f t="shared" si="15"/>
        <v>0</v>
      </c>
      <c r="R66" s="145">
        <f t="shared" si="12"/>
        <v>62.376704908927429</v>
      </c>
      <c r="S66" s="125">
        <f t="shared" si="13"/>
        <v>-7.1232950910725705</v>
      </c>
      <c r="T66" s="144">
        <f t="shared" si="8"/>
        <v>0</v>
      </c>
      <c r="V66" s="12"/>
    </row>
    <row r="67" spans="1:22" x14ac:dyDescent="0.25">
      <c r="A67" s="49">
        <f>'A) Base RI'!A68</f>
        <v>5497</v>
      </c>
      <c r="B67" s="354" t="str">
        <f>'A) Base RI'!B68</f>
        <v>Pompaples</v>
      </c>
      <c r="C67" s="407">
        <v>447943.86973845272</v>
      </c>
      <c r="D67" s="407">
        <v>32216.555282192072</v>
      </c>
      <c r="E67" s="392">
        <v>0</v>
      </c>
      <c r="F67" s="392">
        <v>0</v>
      </c>
      <c r="G67" s="392">
        <v>0</v>
      </c>
      <c r="H67" s="407">
        <f t="shared" si="0"/>
        <v>480160.42502064479</v>
      </c>
      <c r="I67" s="408">
        <v>22300.858484848486</v>
      </c>
      <c r="J67" s="358">
        <f>'B) D RI'!U68</f>
        <v>20396.986060606061</v>
      </c>
      <c r="K67" s="62">
        <f t="shared" si="14"/>
        <v>21.531028742542468</v>
      </c>
      <c r="L67" s="33">
        <f>'B) D RI'!S68</f>
        <v>66</v>
      </c>
      <c r="M67" s="33">
        <f t="shared" si="9"/>
        <v>44.468971257457532</v>
      </c>
      <c r="N67" s="87">
        <f>+'J) Plafonnement effort'!H66+'J) Plafonnement effort'!I66-'K) Plafonnement aide'!I66</f>
        <v>10.531590901603956</v>
      </c>
      <c r="O67" s="125">
        <f t="shared" si="10"/>
        <v>55.000562159061488</v>
      </c>
      <c r="P67" s="47">
        <f t="shared" si="11"/>
        <v>0</v>
      </c>
      <c r="Q67" s="55">
        <f t="shared" si="15"/>
        <v>0</v>
      </c>
      <c r="R67" s="145">
        <f t="shared" si="12"/>
        <v>55.000562159061488</v>
      </c>
      <c r="S67" s="125">
        <f t="shared" si="13"/>
        <v>-10.999437840938512</v>
      </c>
      <c r="T67" s="144">
        <f t="shared" si="8"/>
        <v>0</v>
      </c>
      <c r="V67" s="12"/>
    </row>
    <row r="68" spans="1:22" x14ac:dyDescent="0.25">
      <c r="A68" s="49">
        <f>'A) Base RI'!A69</f>
        <v>5498</v>
      </c>
      <c r="B68" s="354" t="str">
        <f>'A) Base RI'!B69</f>
        <v>La Sarraz</v>
      </c>
      <c r="C68" s="407">
        <v>1422827.2713115686</v>
      </c>
      <c r="D68" s="407">
        <v>31704.083587950794</v>
      </c>
      <c r="E68" s="392">
        <v>0</v>
      </c>
      <c r="F68" s="392">
        <v>0</v>
      </c>
      <c r="G68" s="392">
        <v>0</v>
      </c>
      <c r="H68" s="407">
        <f t="shared" si="0"/>
        <v>1454531.3548995194</v>
      </c>
      <c r="I68" s="408">
        <v>77649.398333333345</v>
      </c>
      <c r="J68" s="358">
        <f>'B) D RI'!U69</f>
        <v>77508.241969696974</v>
      </c>
      <c r="K68" s="62">
        <f t="shared" si="14"/>
        <v>18.732036385594476</v>
      </c>
      <c r="L68" s="33">
        <f>'B) D RI'!S69</f>
        <v>66</v>
      </c>
      <c r="M68" s="33">
        <f t="shared" si="9"/>
        <v>47.267963614405524</v>
      </c>
      <c r="N68" s="87">
        <f>+'J) Plafonnement effort'!H67+'J) Plafonnement effort'!I67-'K) Plafonnement aide'!I67</f>
        <v>13.663681120192985</v>
      </c>
      <c r="O68" s="125">
        <f t="shared" si="10"/>
        <v>60.931644734598507</v>
      </c>
      <c r="P68" s="47">
        <f t="shared" si="11"/>
        <v>0</v>
      </c>
      <c r="Q68" s="55">
        <f t="shared" si="15"/>
        <v>0</v>
      </c>
      <c r="R68" s="145">
        <f t="shared" si="12"/>
        <v>60.931644734598507</v>
      </c>
      <c r="S68" s="125">
        <f t="shared" si="13"/>
        <v>-5.0683552654014932</v>
      </c>
      <c r="T68" s="144">
        <f t="shared" si="8"/>
        <v>0</v>
      </c>
      <c r="V68" s="12"/>
    </row>
    <row r="69" spans="1:22" x14ac:dyDescent="0.25">
      <c r="A69" s="49">
        <f>'A) Base RI'!A70</f>
        <v>5499</v>
      </c>
      <c r="B69" s="354" t="str">
        <f>'A) Base RI'!B70</f>
        <v>Senarclens</v>
      </c>
      <c r="C69" s="407">
        <v>346859.86367175484</v>
      </c>
      <c r="D69" s="407">
        <v>275539.76342453941</v>
      </c>
      <c r="E69" s="392">
        <v>0</v>
      </c>
      <c r="F69" s="392">
        <v>0</v>
      </c>
      <c r="G69" s="392">
        <v>0</v>
      </c>
      <c r="H69" s="407">
        <f t="shared" si="0"/>
        <v>622399.62709629419</v>
      </c>
      <c r="I69" s="408">
        <v>19517.373430656935</v>
      </c>
      <c r="J69" s="358">
        <f>'B) D RI'!U70</f>
        <v>19654.447445255475</v>
      </c>
      <c r="K69" s="62">
        <f t="shared" si="14"/>
        <v>31.889517783097766</v>
      </c>
      <c r="L69" s="33">
        <f>'B) D RI'!S70</f>
        <v>68.5</v>
      </c>
      <c r="M69" s="33">
        <f t="shared" si="9"/>
        <v>36.610482216902234</v>
      </c>
      <c r="N69" s="87">
        <f>+'J) Plafonnement effort'!H68+'J) Plafonnement effort'!I68-'K) Plafonnement aide'!I68</f>
        <v>25.974687574488364</v>
      </c>
      <c r="O69" s="125">
        <f t="shared" si="10"/>
        <v>62.585169791390598</v>
      </c>
      <c r="P69" s="47">
        <f t="shared" si="11"/>
        <v>0</v>
      </c>
      <c r="Q69" s="55">
        <f t="shared" si="15"/>
        <v>0</v>
      </c>
      <c r="R69" s="145">
        <f t="shared" si="12"/>
        <v>62.585169791390598</v>
      </c>
      <c r="S69" s="125">
        <f t="shared" si="13"/>
        <v>-5.914830208609402</v>
      </c>
      <c r="T69" s="144">
        <f t="shared" si="8"/>
        <v>0</v>
      </c>
      <c r="V69" s="12"/>
    </row>
    <row r="70" spans="1:22" x14ac:dyDescent="0.25">
      <c r="A70" s="49">
        <f>'A) Base RI'!A71</f>
        <v>5500</v>
      </c>
      <c r="B70" s="354" t="str">
        <f>'A) Base RI'!B71</f>
        <v>Sévery</v>
      </c>
      <c r="C70" s="407">
        <v>118721.49939178079</v>
      </c>
      <c r="D70" s="407">
        <v>29142.40588487497</v>
      </c>
      <c r="E70" s="392">
        <v>0</v>
      </c>
      <c r="F70" s="392">
        <v>0</v>
      </c>
      <c r="G70" s="392">
        <v>0</v>
      </c>
      <c r="H70" s="407">
        <f t="shared" si="0"/>
        <v>147863.90527665574</v>
      </c>
      <c r="I70" s="408">
        <v>6999.0248888888891</v>
      </c>
      <c r="J70" s="358">
        <f>'B) D RI'!U71</f>
        <v>7516.1401369863015</v>
      </c>
      <c r="K70" s="62">
        <f t="shared" si="14"/>
        <v>21.12635797472203</v>
      </c>
      <c r="L70" s="33">
        <f>'B) D RI'!S71</f>
        <v>73</v>
      </c>
      <c r="M70" s="33">
        <f t="shared" si="9"/>
        <v>51.873642025277974</v>
      </c>
      <c r="N70" s="87">
        <f>+'J) Plafonnement effort'!H69+'J) Plafonnement effort'!I69-'K) Plafonnement aide'!I69</f>
        <v>21.689444686600194</v>
      </c>
      <c r="O70" s="125">
        <f t="shared" si="10"/>
        <v>73.563086711878171</v>
      </c>
      <c r="P70" s="47">
        <f t="shared" si="11"/>
        <v>0</v>
      </c>
      <c r="Q70" s="55">
        <f t="shared" si="15"/>
        <v>0</v>
      </c>
      <c r="R70" s="145">
        <f t="shared" si="12"/>
        <v>73.563086711878171</v>
      </c>
      <c r="S70" s="125">
        <f t="shared" si="13"/>
        <v>0.56308671187817083</v>
      </c>
      <c r="T70" s="144">
        <f t="shared" si="8"/>
        <v>0</v>
      </c>
      <c r="V70" s="12"/>
    </row>
    <row r="71" spans="1:22" x14ac:dyDescent="0.25">
      <c r="A71" s="49">
        <f>'A) Base RI'!A72</f>
        <v>5501</v>
      </c>
      <c r="B71" s="354" t="str">
        <f>'A) Base RI'!B72</f>
        <v>Sullens</v>
      </c>
      <c r="C71" s="407">
        <v>684993.50740045612</v>
      </c>
      <c r="D71" s="407">
        <v>510768.1589611721</v>
      </c>
      <c r="E71" s="392">
        <v>0</v>
      </c>
      <c r="F71" s="392">
        <v>0</v>
      </c>
      <c r="G71" s="392">
        <v>0</v>
      </c>
      <c r="H71" s="407">
        <f t="shared" ref="H71:H134" si="16">SUM(C71:G71)</f>
        <v>1195761.6663616281</v>
      </c>
      <c r="I71" s="408">
        <v>40473.718571428566</v>
      </c>
      <c r="J71" s="358">
        <f>'B) D RI'!U72</f>
        <v>41921.141459854021</v>
      </c>
      <c r="K71" s="62">
        <f t="shared" si="14"/>
        <v>29.544151329987923</v>
      </c>
      <c r="L71" s="33">
        <f>'B) D RI'!S72</f>
        <v>68.5</v>
      </c>
      <c r="M71" s="33">
        <f t="shared" si="9"/>
        <v>38.955848670012074</v>
      </c>
      <c r="N71" s="87">
        <f>+'J) Plafonnement effort'!H70+'J) Plafonnement effort'!I70-'K) Plafonnement aide'!I70</f>
        <v>26.172546815073787</v>
      </c>
      <c r="O71" s="125">
        <f t="shared" si="10"/>
        <v>65.128395485085861</v>
      </c>
      <c r="P71" s="47">
        <f t="shared" si="11"/>
        <v>0</v>
      </c>
      <c r="Q71" s="55">
        <f t="shared" si="15"/>
        <v>0</v>
      </c>
      <c r="R71" s="145">
        <f t="shared" si="12"/>
        <v>65.128395485085861</v>
      </c>
      <c r="S71" s="125">
        <f t="shared" si="13"/>
        <v>-3.3716045149141394</v>
      </c>
      <c r="T71" s="144">
        <f t="shared" ref="T71:T134" si="17">+C71+D71+E71+F71+G71-H71</f>
        <v>0</v>
      </c>
      <c r="V71" s="12"/>
    </row>
    <row r="72" spans="1:22" x14ac:dyDescent="0.25">
      <c r="A72" s="49">
        <f>'A) Base RI'!A73</f>
        <v>5503</v>
      </c>
      <c r="B72" s="354" t="str">
        <f>'A) Base RI'!B73</f>
        <v>Vufflens-la-Ville</v>
      </c>
      <c r="C72" s="407">
        <v>1957398.4933915893</v>
      </c>
      <c r="D72" s="407">
        <v>1529718.4967452257</v>
      </c>
      <c r="E72" s="392">
        <v>0</v>
      </c>
      <c r="F72" s="392">
        <v>0</v>
      </c>
      <c r="G72" s="392">
        <v>0</v>
      </c>
      <c r="H72" s="407">
        <f t="shared" si="16"/>
        <v>3487116.9901368152</v>
      </c>
      <c r="I72" s="408">
        <v>87926.416417910455</v>
      </c>
      <c r="J72" s="358">
        <f>'B) D RI'!U73</f>
        <v>67911.005771144279</v>
      </c>
      <c r="K72" s="62">
        <f t="shared" si="14"/>
        <v>39.659491790984625</v>
      </c>
      <c r="L72" s="33">
        <f>'B) D RI'!S73</f>
        <v>67</v>
      </c>
      <c r="M72" s="33">
        <f t="shared" si="9"/>
        <v>27.340508209015375</v>
      </c>
      <c r="N72" s="87">
        <f>+'J) Plafonnement effort'!H71+'J) Plafonnement effort'!I71-'K) Plafonnement aide'!I71</f>
        <v>30.131621873167788</v>
      </c>
      <c r="O72" s="125">
        <f t="shared" si="10"/>
        <v>57.472130082183163</v>
      </c>
      <c r="P72" s="47">
        <f t="shared" si="11"/>
        <v>0</v>
      </c>
      <c r="Q72" s="55">
        <f t="shared" si="15"/>
        <v>0</v>
      </c>
      <c r="R72" s="145">
        <f t="shared" si="12"/>
        <v>57.472130082183163</v>
      </c>
      <c r="S72" s="125">
        <f t="shared" si="13"/>
        <v>-9.5278699178168367</v>
      </c>
      <c r="T72" s="144">
        <f t="shared" si="17"/>
        <v>0</v>
      </c>
      <c r="V72" s="12"/>
    </row>
    <row r="73" spans="1:22" x14ac:dyDescent="0.25">
      <c r="A73" s="49">
        <f>'A) Base RI'!A74</f>
        <v>5511</v>
      </c>
      <c r="B73" s="354" t="str">
        <f>'A) Base RI'!B74</f>
        <v>Assens</v>
      </c>
      <c r="C73" s="407">
        <v>858907.2064305495</v>
      </c>
      <c r="D73" s="407">
        <v>839478.84071758681</v>
      </c>
      <c r="E73" s="392">
        <v>0</v>
      </c>
      <c r="F73" s="392">
        <v>0</v>
      </c>
      <c r="G73" s="392">
        <v>0</v>
      </c>
      <c r="H73" s="407">
        <f t="shared" si="16"/>
        <v>1698386.0471481364</v>
      </c>
      <c r="I73" s="408">
        <v>50067.904428571426</v>
      </c>
      <c r="J73" s="358">
        <f>'B) D RI'!U74</f>
        <v>44474.742571428564</v>
      </c>
      <c r="K73" s="62">
        <f t="shared" si="14"/>
        <v>33.921652334603131</v>
      </c>
      <c r="L73" s="33">
        <f>'B) D RI'!S74</f>
        <v>70</v>
      </c>
      <c r="M73" s="33">
        <f t="shared" si="9"/>
        <v>36.078347665396869</v>
      </c>
      <c r="N73" s="87">
        <f>+'J) Plafonnement effort'!H72+'J) Plafonnement effort'!I72-'K) Plafonnement aide'!I72</f>
        <v>24.63856647030585</v>
      </c>
      <c r="O73" s="125">
        <f t="shared" si="10"/>
        <v>60.716914135702723</v>
      </c>
      <c r="P73" s="47">
        <f t="shared" si="11"/>
        <v>0</v>
      </c>
      <c r="Q73" s="55">
        <f t="shared" si="15"/>
        <v>0</v>
      </c>
      <c r="R73" s="145">
        <f t="shared" si="12"/>
        <v>60.716914135702723</v>
      </c>
      <c r="S73" s="125">
        <f t="shared" si="13"/>
        <v>-9.2830858642972771</v>
      </c>
      <c r="T73" s="144">
        <f t="shared" si="17"/>
        <v>0</v>
      </c>
      <c r="V73" s="12"/>
    </row>
    <row r="74" spans="1:22" x14ac:dyDescent="0.25">
      <c r="A74" s="49">
        <f>'A) Base RI'!A75</f>
        <v>5512</v>
      </c>
      <c r="B74" s="354" t="str">
        <f>'A) Base RI'!B75</f>
        <v>Bercher</v>
      </c>
      <c r="C74" s="407">
        <v>675584.38176823943</v>
      </c>
      <c r="D74" s="407">
        <v>74283.341025497066</v>
      </c>
      <c r="E74" s="392">
        <v>0</v>
      </c>
      <c r="F74" s="392">
        <v>0</v>
      </c>
      <c r="G74" s="392">
        <v>0</v>
      </c>
      <c r="H74" s="407">
        <f t="shared" si="16"/>
        <v>749867.7227937365</v>
      </c>
      <c r="I74" s="408">
        <v>40005.59860759494</v>
      </c>
      <c r="J74" s="358">
        <f>'B) D RI'!U75</f>
        <v>40313.482784810127</v>
      </c>
      <c r="K74" s="62">
        <f t="shared" si="14"/>
        <v>18.744069552589483</v>
      </c>
      <c r="L74" s="33">
        <f>'B) D RI'!S75</f>
        <v>79</v>
      </c>
      <c r="M74" s="33">
        <f t="shared" si="9"/>
        <v>60.25593044741052</v>
      </c>
      <c r="N74" s="87">
        <f>+'J) Plafonnement effort'!H73+'J) Plafonnement effort'!I73-'K) Plafonnement aide'!I73</f>
        <v>12.760833658721886</v>
      </c>
      <c r="O74" s="125">
        <f t="shared" si="10"/>
        <v>73.016764106132399</v>
      </c>
      <c r="P74" s="47">
        <f t="shared" si="11"/>
        <v>0</v>
      </c>
      <c r="Q74" s="55">
        <f t="shared" si="15"/>
        <v>0</v>
      </c>
      <c r="R74" s="145">
        <f t="shared" si="12"/>
        <v>73.016764106132399</v>
      </c>
      <c r="S74" s="125">
        <f t="shared" si="13"/>
        <v>-5.9832358938676009</v>
      </c>
      <c r="T74" s="144">
        <f t="shared" si="17"/>
        <v>0</v>
      </c>
      <c r="V74" s="12"/>
    </row>
    <row r="75" spans="1:22" x14ac:dyDescent="0.25">
      <c r="A75" s="49">
        <f>'A) Base RI'!A76</f>
        <v>5513</v>
      </c>
      <c r="B75" s="354" t="str">
        <f>'A) Base RI'!B76</f>
        <v>Bioley-Orjulaz</v>
      </c>
      <c r="C75" s="407">
        <v>387219.92201140331</v>
      </c>
      <c r="D75" s="407">
        <v>329395.32820993179</v>
      </c>
      <c r="E75" s="392">
        <v>0</v>
      </c>
      <c r="F75" s="392">
        <v>0</v>
      </c>
      <c r="G75" s="392">
        <v>0</v>
      </c>
      <c r="H75" s="407">
        <f t="shared" si="16"/>
        <v>716615.2502213351</v>
      </c>
      <c r="I75" s="408">
        <v>22037.146176470589</v>
      </c>
      <c r="J75" s="358">
        <f>'B) D RI'!U76</f>
        <v>22644.962352941177</v>
      </c>
      <c r="K75" s="62">
        <f t="shared" si="14"/>
        <v>32.518514170699497</v>
      </c>
      <c r="L75" s="33">
        <f>'B) D RI'!S76</f>
        <v>68</v>
      </c>
      <c r="M75" s="33">
        <f t="shared" si="9"/>
        <v>35.481485829300503</v>
      </c>
      <c r="N75" s="87">
        <f>+'J) Plafonnement effort'!H74+'J) Plafonnement effort'!I74-'K) Plafonnement aide'!I74</f>
        <v>28.122098578769712</v>
      </c>
      <c r="O75" s="125">
        <f t="shared" si="10"/>
        <v>63.603584408070219</v>
      </c>
      <c r="P75" s="47">
        <f t="shared" si="11"/>
        <v>0</v>
      </c>
      <c r="Q75" s="55">
        <f t="shared" si="15"/>
        <v>0</v>
      </c>
      <c r="R75" s="145">
        <f t="shared" si="12"/>
        <v>63.603584408070219</v>
      </c>
      <c r="S75" s="125">
        <f t="shared" si="13"/>
        <v>-4.3964155919297809</v>
      </c>
      <c r="T75" s="144">
        <f t="shared" si="17"/>
        <v>0</v>
      </c>
      <c r="V75" s="12"/>
    </row>
    <row r="76" spans="1:22" x14ac:dyDescent="0.25">
      <c r="A76" s="49">
        <f>'A) Base RI'!A77</f>
        <v>5514</v>
      </c>
      <c r="B76" s="354" t="str">
        <f>'A) Base RI'!B77</f>
        <v>Bottens</v>
      </c>
      <c r="C76" s="407">
        <v>662454.70101008017</v>
      </c>
      <c r="D76" s="407">
        <v>142173.86714033887</v>
      </c>
      <c r="E76" s="392">
        <v>0</v>
      </c>
      <c r="F76" s="392">
        <v>0</v>
      </c>
      <c r="G76" s="392">
        <v>0</v>
      </c>
      <c r="H76" s="407">
        <f t="shared" si="16"/>
        <v>804628.56815041904</v>
      </c>
      <c r="I76" s="408">
        <v>40784.156621621616</v>
      </c>
      <c r="J76" s="358">
        <f>'B) D RI'!U77</f>
        <v>44190.368827586208</v>
      </c>
      <c r="K76" s="62">
        <f t="shared" si="14"/>
        <v>19.728949543211769</v>
      </c>
      <c r="L76" s="33">
        <f>'B) D RI'!S77</f>
        <v>72.5</v>
      </c>
      <c r="M76" s="33">
        <f t="shared" si="9"/>
        <v>52.771050456788231</v>
      </c>
      <c r="N76" s="87">
        <f>+'J) Plafonnement effort'!H75+'J) Plafonnement effort'!I75-'K) Plafonnement aide'!I75</f>
        <v>18.278889100485298</v>
      </c>
      <c r="O76" s="125">
        <f t="shared" si="10"/>
        <v>71.049939557273532</v>
      </c>
      <c r="P76" s="47">
        <f t="shared" si="11"/>
        <v>0</v>
      </c>
      <c r="Q76" s="55">
        <f t="shared" si="15"/>
        <v>0</v>
      </c>
      <c r="R76" s="145">
        <f t="shared" si="12"/>
        <v>71.049939557273532</v>
      </c>
      <c r="S76" s="125">
        <f t="shared" si="13"/>
        <v>-1.4500604427264676</v>
      </c>
      <c r="T76" s="144">
        <f t="shared" si="17"/>
        <v>0</v>
      </c>
      <c r="V76" s="12"/>
    </row>
    <row r="77" spans="1:22" x14ac:dyDescent="0.25">
      <c r="A77" s="49">
        <f>'A) Base RI'!A78</f>
        <v>5515</v>
      </c>
      <c r="B77" s="354" t="str">
        <f>'A) Base RI'!B78</f>
        <v>Bretigny-sur-Morrens</v>
      </c>
      <c r="C77" s="407">
        <v>519668.40642261767</v>
      </c>
      <c r="D77" s="407">
        <v>163343.08548496669</v>
      </c>
      <c r="E77" s="392">
        <v>0</v>
      </c>
      <c r="F77" s="392">
        <v>0</v>
      </c>
      <c r="G77" s="392">
        <v>0</v>
      </c>
      <c r="H77" s="407">
        <f t="shared" si="16"/>
        <v>683011.49190758436</v>
      </c>
      <c r="I77" s="408">
        <v>28825.846790123462</v>
      </c>
      <c r="J77" s="358">
        <f>'B) D RI'!U78</f>
        <v>29586.483086419765</v>
      </c>
      <c r="K77" s="62">
        <f t="shared" si="14"/>
        <v>23.694412062913035</v>
      </c>
      <c r="L77" s="33">
        <f>'B) D RI'!S78</f>
        <v>81</v>
      </c>
      <c r="M77" s="33">
        <f t="shared" si="9"/>
        <v>57.305587937086969</v>
      </c>
      <c r="N77" s="87">
        <f>+'J) Plafonnement effort'!H76+'J) Plafonnement effort'!I76-'K) Plafonnement aide'!I76</f>
        <v>19.071162385280381</v>
      </c>
      <c r="O77" s="125">
        <f t="shared" si="10"/>
        <v>76.376750322367343</v>
      </c>
      <c r="P77" s="47">
        <f t="shared" si="11"/>
        <v>0</v>
      </c>
      <c r="Q77" s="55">
        <f t="shared" si="15"/>
        <v>0</v>
      </c>
      <c r="R77" s="145">
        <f t="shared" si="12"/>
        <v>76.376750322367343</v>
      </c>
      <c r="S77" s="125">
        <f t="shared" si="13"/>
        <v>-4.623249677632657</v>
      </c>
      <c r="T77" s="144">
        <f t="shared" si="17"/>
        <v>0</v>
      </c>
      <c r="V77" s="12"/>
    </row>
    <row r="78" spans="1:22" x14ac:dyDescent="0.25">
      <c r="A78" s="49">
        <f>'A) Base RI'!A79</f>
        <v>5516</v>
      </c>
      <c r="B78" s="354" t="str">
        <f>'A) Base RI'!B79</f>
        <v>Cugy</v>
      </c>
      <c r="C78" s="407">
        <v>1780765.3706982615</v>
      </c>
      <c r="D78" s="407">
        <v>1012070.814756575</v>
      </c>
      <c r="E78" s="392">
        <v>0</v>
      </c>
      <c r="F78" s="392">
        <v>0</v>
      </c>
      <c r="G78" s="392">
        <v>0</v>
      </c>
      <c r="H78" s="407">
        <f t="shared" si="16"/>
        <v>2792836.1854548366</v>
      </c>
      <c r="I78" s="408">
        <v>111163.080491453</v>
      </c>
      <c r="J78" s="358">
        <f>'B) D RI'!U79</f>
        <v>107062.26318376069</v>
      </c>
      <c r="K78" s="62">
        <f t="shared" si="14"/>
        <v>25.123774666082319</v>
      </c>
      <c r="L78" s="33">
        <f>'B) D RI'!S79</f>
        <v>78</v>
      </c>
      <c r="M78" s="33">
        <f t="shared" si="9"/>
        <v>52.876225333917681</v>
      </c>
      <c r="N78" s="87">
        <f>+'J) Plafonnement effort'!H77+'J) Plafonnement effort'!I77-'K) Plafonnement aide'!I77</f>
        <v>20.394970822352953</v>
      </c>
      <c r="O78" s="125">
        <f t="shared" si="10"/>
        <v>73.271196156270634</v>
      </c>
      <c r="P78" s="47">
        <f t="shared" si="11"/>
        <v>0</v>
      </c>
      <c r="Q78" s="55">
        <f t="shared" si="15"/>
        <v>0</v>
      </c>
      <c r="R78" s="145">
        <f t="shared" si="12"/>
        <v>73.271196156270634</v>
      </c>
      <c r="S78" s="125">
        <f t="shared" si="13"/>
        <v>-4.7288038437293665</v>
      </c>
      <c r="T78" s="144">
        <f t="shared" si="17"/>
        <v>0</v>
      </c>
      <c r="V78" s="12"/>
    </row>
    <row r="79" spans="1:22" x14ac:dyDescent="0.25">
      <c r="A79" s="49">
        <f>'A) Base RI'!A80</f>
        <v>5518</v>
      </c>
      <c r="B79" s="354" t="str">
        <f>'A) Base RI'!B80</f>
        <v>Echallens</v>
      </c>
      <c r="C79" s="407">
        <v>3523749.6576180104</v>
      </c>
      <c r="D79" s="407">
        <v>-291094.01597119635</v>
      </c>
      <c r="E79" s="392">
        <v>0</v>
      </c>
      <c r="F79" s="392">
        <v>0</v>
      </c>
      <c r="G79" s="392">
        <v>0</v>
      </c>
      <c r="H79" s="407">
        <f t="shared" si="16"/>
        <v>3232655.6416468141</v>
      </c>
      <c r="I79" s="408">
        <v>187816.41499999998</v>
      </c>
      <c r="J79" s="358">
        <f>'B) D RI'!U80</f>
        <v>178756.07310344829</v>
      </c>
      <c r="K79" s="62">
        <f t="shared" si="14"/>
        <v>17.211784399392432</v>
      </c>
      <c r="L79" s="33">
        <f>'B) D RI'!S80</f>
        <v>72.5</v>
      </c>
      <c r="M79" s="33">
        <f t="shared" si="9"/>
        <v>55.288215600607572</v>
      </c>
      <c r="N79" s="87">
        <f>+'J) Plafonnement effort'!H78+'J) Plafonnement effort'!I78-'K) Plafonnement aide'!I78</f>
        <v>9.1217084412803224</v>
      </c>
      <c r="O79" s="125">
        <f t="shared" si="10"/>
        <v>64.409924041887891</v>
      </c>
      <c r="P79" s="47">
        <f t="shared" si="11"/>
        <v>0</v>
      </c>
      <c r="Q79" s="55">
        <f t="shared" si="15"/>
        <v>0</v>
      </c>
      <c r="R79" s="145">
        <f t="shared" si="12"/>
        <v>64.409924041887891</v>
      </c>
      <c r="S79" s="125">
        <f t="shared" si="13"/>
        <v>-8.0900759581121093</v>
      </c>
      <c r="T79" s="144">
        <f t="shared" si="17"/>
        <v>0</v>
      </c>
      <c r="V79" s="12"/>
    </row>
    <row r="80" spans="1:22" x14ac:dyDescent="0.25">
      <c r="A80" s="49">
        <f>'A) Base RI'!A81</f>
        <v>5520</v>
      </c>
      <c r="B80" s="354" t="str">
        <f>'A) Base RI'!B81</f>
        <v>Essertines-sur-Yverdon</v>
      </c>
      <c r="C80" s="407">
        <v>501645.79719286674</v>
      </c>
      <c r="D80" s="407">
        <v>67039.507018166711</v>
      </c>
      <c r="E80" s="392">
        <v>0</v>
      </c>
      <c r="F80" s="392">
        <v>0</v>
      </c>
      <c r="G80" s="392">
        <v>0</v>
      </c>
      <c r="H80" s="407">
        <f t="shared" si="16"/>
        <v>568685.30421103351</v>
      </c>
      <c r="I80" s="408">
        <v>29858.34041095891</v>
      </c>
      <c r="J80" s="358">
        <f>'B) D RI'!U81</f>
        <v>29733.806712328769</v>
      </c>
      <c r="K80" s="62">
        <f t="shared" si="14"/>
        <v>19.046112288354408</v>
      </c>
      <c r="L80" s="33">
        <f>'B) D RI'!S81</f>
        <v>73</v>
      </c>
      <c r="M80" s="33">
        <f t="shared" si="9"/>
        <v>53.953887711645592</v>
      </c>
      <c r="N80" s="87">
        <f>+'J) Plafonnement effort'!H79+'J) Plafonnement effort'!I79-'K) Plafonnement aide'!I79</f>
        <v>14.068094596240009</v>
      </c>
      <c r="O80" s="125">
        <f t="shared" si="10"/>
        <v>68.021982307885594</v>
      </c>
      <c r="P80" s="47">
        <f t="shared" si="11"/>
        <v>0</v>
      </c>
      <c r="Q80" s="55">
        <f t="shared" si="15"/>
        <v>0</v>
      </c>
      <c r="R80" s="145">
        <f t="shared" si="12"/>
        <v>68.021982307885594</v>
      </c>
      <c r="S80" s="125">
        <f t="shared" si="13"/>
        <v>-4.9780176921144061</v>
      </c>
      <c r="T80" s="144">
        <f t="shared" si="17"/>
        <v>0</v>
      </c>
      <c r="V80" s="12"/>
    </row>
    <row r="81" spans="1:22" x14ac:dyDescent="0.25">
      <c r="A81" s="49">
        <f>'A) Base RI'!A82</f>
        <v>5521</v>
      </c>
      <c r="B81" s="354" t="str">
        <f>'A) Base RI'!B82</f>
        <v>Etagnières</v>
      </c>
      <c r="C81" s="407">
        <v>841136.7875817311</v>
      </c>
      <c r="D81" s="407">
        <v>672128.43184623006</v>
      </c>
      <c r="E81" s="392">
        <v>0</v>
      </c>
      <c r="F81" s="392">
        <v>0</v>
      </c>
      <c r="G81" s="392">
        <v>0</v>
      </c>
      <c r="H81" s="407">
        <f t="shared" si="16"/>
        <v>1513265.2194279612</v>
      </c>
      <c r="I81" s="408">
        <v>48278.723150684935</v>
      </c>
      <c r="J81" s="358">
        <f>'B) D RI'!U82</f>
        <v>46797.314657534247</v>
      </c>
      <c r="K81" s="62">
        <f t="shared" si="14"/>
        <v>31.344350485509729</v>
      </c>
      <c r="L81" s="33">
        <f>'B) D RI'!S82</f>
        <v>73</v>
      </c>
      <c r="M81" s="33">
        <f t="shared" si="9"/>
        <v>41.655649514490271</v>
      </c>
      <c r="N81" s="87">
        <f>+'J) Plafonnement effort'!H80+'J) Plafonnement effort'!I80-'K) Plafonnement aide'!I80</f>
        <v>25.530985354908417</v>
      </c>
      <c r="O81" s="125">
        <f t="shared" si="10"/>
        <v>67.186634869398688</v>
      </c>
      <c r="P81" s="47">
        <f t="shared" si="11"/>
        <v>0</v>
      </c>
      <c r="Q81" s="55">
        <f t="shared" si="15"/>
        <v>0</v>
      </c>
      <c r="R81" s="145">
        <f t="shared" si="12"/>
        <v>67.186634869398688</v>
      </c>
      <c r="S81" s="125">
        <f t="shared" si="13"/>
        <v>-5.8133651306013121</v>
      </c>
      <c r="T81" s="144">
        <f t="shared" si="17"/>
        <v>0</v>
      </c>
      <c r="V81" s="12"/>
    </row>
    <row r="82" spans="1:22" x14ac:dyDescent="0.25">
      <c r="A82" s="49">
        <f>'A) Base RI'!A83</f>
        <v>5522</v>
      </c>
      <c r="B82" s="354" t="str">
        <f>'A) Base RI'!B83</f>
        <v>Fey</v>
      </c>
      <c r="C82" s="407">
        <v>386034.38730608206</v>
      </c>
      <c r="D82" s="407">
        <v>78326.096871598624</v>
      </c>
      <c r="E82" s="392">
        <v>0</v>
      </c>
      <c r="F82" s="392">
        <v>0</v>
      </c>
      <c r="G82" s="392">
        <v>0</v>
      </c>
      <c r="H82" s="407">
        <f t="shared" si="16"/>
        <v>464360.48417768069</v>
      </c>
      <c r="I82" s="408">
        <v>22727.539066666664</v>
      </c>
      <c r="J82" s="358">
        <f>'B) D RI'!U83</f>
        <v>23726.940933333331</v>
      </c>
      <c r="K82" s="62">
        <f t="shared" si="14"/>
        <v>20.4316218670034</v>
      </c>
      <c r="L82" s="33">
        <f>'B) D RI'!S83</f>
        <v>75</v>
      </c>
      <c r="M82" s="33">
        <f t="shared" si="9"/>
        <v>54.5683781329966</v>
      </c>
      <c r="N82" s="87">
        <f>+'J) Plafonnement effort'!H81+'J) Plafonnement effort'!I81-'K) Plafonnement aide'!I81</f>
        <v>17.499122878955788</v>
      </c>
      <c r="O82" s="125">
        <f t="shared" si="10"/>
        <v>72.067501011952388</v>
      </c>
      <c r="P82" s="47">
        <f t="shared" si="11"/>
        <v>0</v>
      </c>
      <c r="Q82" s="55">
        <f t="shared" si="15"/>
        <v>0</v>
      </c>
      <c r="R82" s="145">
        <f t="shared" si="12"/>
        <v>72.067501011952388</v>
      </c>
      <c r="S82" s="125">
        <f t="shared" si="13"/>
        <v>-2.9324989880476124</v>
      </c>
      <c r="T82" s="144">
        <f t="shared" si="17"/>
        <v>0</v>
      </c>
      <c r="V82" s="12"/>
    </row>
    <row r="83" spans="1:22" x14ac:dyDescent="0.25">
      <c r="A83" s="49">
        <f>'A) Base RI'!A84</f>
        <v>5523</v>
      </c>
      <c r="B83" s="354" t="str">
        <f>'A) Base RI'!B84</f>
        <v>Froideville</v>
      </c>
      <c r="C83" s="407">
        <v>1435787.4356365625</v>
      </c>
      <c r="D83" s="407">
        <v>281078.68080712156</v>
      </c>
      <c r="E83" s="392">
        <v>0</v>
      </c>
      <c r="F83" s="392">
        <v>0</v>
      </c>
      <c r="G83" s="392">
        <v>0</v>
      </c>
      <c r="H83" s="407">
        <f t="shared" si="16"/>
        <v>1716866.1164436841</v>
      </c>
      <c r="I83" s="408">
        <v>89231.727236842082</v>
      </c>
      <c r="J83" s="358">
        <f>'B) D RI'!U84</f>
        <v>85868.846805555557</v>
      </c>
      <c r="K83" s="62">
        <f t="shared" si="14"/>
        <v>19.240534388477272</v>
      </c>
      <c r="L83" s="33">
        <f>'B) D RI'!S84</f>
        <v>72</v>
      </c>
      <c r="M83" s="33">
        <f t="shared" si="9"/>
        <v>52.759465611522728</v>
      </c>
      <c r="N83" s="87">
        <f>+'J) Plafonnement effort'!H82+'J) Plafonnement effort'!I82-'K) Plafonnement aide'!I82</f>
        <v>14.23588631617025</v>
      </c>
      <c r="O83" s="125">
        <f t="shared" si="10"/>
        <v>66.99535192769298</v>
      </c>
      <c r="P83" s="47">
        <f t="shared" si="11"/>
        <v>0</v>
      </c>
      <c r="Q83" s="55">
        <f t="shared" si="15"/>
        <v>0</v>
      </c>
      <c r="R83" s="145">
        <f t="shared" si="12"/>
        <v>66.99535192769298</v>
      </c>
      <c r="S83" s="125">
        <f t="shared" si="13"/>
        <v>-5.0046480723070204</v>
      </c>
      <c r="T83" s="144">
        <f t="shared" si="17"/>
        <v>0</v>
      </c>
      <c r="V83" s="12"/>
    </row>
    <row r="84" spans="1:22" x14ac:dyDescent="0.25">
      <c r="A84" s="49">
        <f>'A) Base RI'!A85</f>
        <v>5527</v>
      </c>
      <c r="B84" s="354" t="str">
        <f>'A) Base RI'!B85</f>
        <v>Morrens</v>
      </c>
      <c r="C84" s="407">
        <v>708372.79663292412</v>
      </c>
      <c r="D84" s="407">
        <v>352818.4012218389</v>
      </c>
      <c r="E84" s="392">
        <v>0</v>
      </c>
      <c r="F84" s="392">
        <v>0</v>
      </c>
      <c r="G84" s="392">
        <v>0</v>
      </c>
      <c r="H84" s="407">
        <f t="shared" si="16"/>
        <v>1061191.1978547629</v>
      </c>
      <c r="I84" s="408">
        <v>40137.160945945958</v>
      </c>
      <c r="J84" s="358">
        <f>'B) D RI'!U85</f>
        <v>40564.204594594594</v>
      </c>
      <c r="K84" s="62">
        <f t="shared" si="14"/>
        <v>26.439119580079524</v>
      </c>
      <c r="L84" s="33">
        <f>'B) D RI'!S85</f>
        <v>74</v>
      </c>
      <c r="M84" s="33">
        <f t="shared" si="9"/>
        <v>47.56088041992048</v>
      </c>
      <c r="N84" s="87">
        <f>+'J) Plafonnement effort'!H83+'J) Plafonnement effort'!I83-'K) Plafonnement aide'!I83</f>
        <v>20.685206266595639</v>
      </c>
      <c r="O84" s="125">
        <f t="shared" si="10"/>
        <v>68.246086686516122</v>
      </c>
      <c r="P84" s="47">
        <f t="shared" si="11"/>
        <v>0</v>
      </c>
      <c r="Q84" s="55">
        <f t="shared" si="15"/>
        <v>0</v>
      </c>
      <c r="R84" s="145">
        <f t="shared" si="12"/>
        <v>68.246086686516122</v>
      </c>
      <c r="S84" s="125">
        <f t="shared" si="13"/>
        <v>-5.7539133134838778</v>
      </c>
      <c r="T84" s="144">
        <f t="shared" si="17"/>
        <v>0</v>
      </c>
      <c r="V84" s="12"/>
    </row>
    <row r="85" spans="1:22" x14ac:dyDescent="0.25">
      <c r="A85" s="49">
        <f>'A) Base RI'!A86</f>
        <v>5529</v>
      </c>
      <c r="B85" s="354" t="str">
        <f>'A) Base RI'!B86</f>
        <v>Oulens-sous-Echallens</v>
      </c>
      <c r="C85" s="407">
        <v>356784.05327943969</v>
      </c>
      <c r="D85" s="407">
        <v>207652.61233626801</v>
      </c>
      <c r="E85" s="392">
        <v>0</v>
      </c>
      <c r="F85" s="392">
        <v>0</v>
      </c>
      <c r="G85" s="392">
        <v>0</v>
      </c>
      <c r="H85" s="407">
        <f t="shared" si="16"/>
        <v>564436.66561570764</v>
      </c>
      <c r="I85" s="408">
        <v>21602.609436619721</v>
      </c>
      <c r="J85" s="358">
        <f>'B) D RI'!U86</f>
        <v>20201.245428571427</v>
      </c>
      <c r="K85" s="62">
        <f t="shared" si="14"/>
        <v>26.128170639371987</v>
      </c>
      <c r="L85" s="33">
        <f>'B) D RI'!S86</f>
        <v>70</v>
      </c>
      <c r="M85" s="33">
        <f t="shared" si="9"/>
        <v>43.871829360628013</v>
      </c>
      <c r="N85" s="87">
        <f>+'J) Plafonnement effort'!H84+'J) Plafonnement effort'!I84-'K) Plafonnement aide'!I84</f>
        <v>20.058301180216283</v>
      </c>
      <c r="O85" s="125">
        <f t="shared" si="10"/>
        <v>63.930130540844296</v>
      </c>
      <c r="P85" s="47">
        <f t="shared" si="11"/>
        <v>0</v>
      </c>
      <c r="Q85" s="55">
        <f t="shared" si="15"/>
        <v>0</v>
      </c>
      <c r="R85" s="145">
        <f t="shared" si="12"/>
        <v>63.930130540844296</v>
      </c>
      <c r="S85" s="125">
        <f t="shared" si="13"/>
        <v>-6.0698694591557043</v>
      </c>
      <c r="T85" s="144">
        <f t="shared" si="17"/>
        <v>0</v>
      </c>
      <c r="V85" s="12"/>
    </row>
    <row r="86" spans="1:22" x14ac:dyDescent="0.25">
      <c r="A86" s="49">
        <f>'A) Base RI'!A87</f>
        <v>5530</v>
      </c>
      <c r="B86" s="354" t="str">
        <f>'A) Base RI'!B87</f>
        <v>Pailly</v>
      </c>
      <c r="C86" s="407">
        <v>311821.76237022487</v>
      </c>
      <c r="D86" s="407">
        <v>70090.28023385728</v>
      </c>
      <c r="E86" s="392">
        <v>0</v>
      </c>
      <c r="F86" s="392">
        <v>0</v>
      </c>
      <c r="G86" s="392">
        <v>0</v>
      </c>
      <c r="H86" s="407">
        <f t="shared" si="16"/>
        <v>381912.04260408215</v>
      </c>
      <c r="I86" s="408">
        <v>17625.052150537631</v>
      </c>
      <c r="J86" s="358">
        <f>'B) D RI'!U87</f>
        <v>18302.009495614031</v>
      </c>
      <c r="K86" s="62">
        <f t="shared" si="14"/>
        <v>21.668704259262711</v>
      </c>
      <c r="L86" s="33">
        <f>'B) D RI'!S87</f>
        <v>76</v>
      </c>
      <c r="M86" s="33">
        <f t="shared" si="9"/>
        <v>54.331295740737289</v>
      </c>
      <c r="N86" s="87">
        <f>+'J) Plafonnement effort'!H85+'J) Plafonnement effort'!I85-'K) Plafonnement aide'!I85</f>
        <v>17.912105115635843</v>
      </c>
      <c r="O86" s="125">
        <f t="shared" si="10"/>
        <v>72.243400856373128</v>
      </c>
      <c r="P86" s="47">
        <f t="shared" si="11"/>
        <v>0</v>
      </c>
      <c r="Q86" s="55">
        <f t="shared" si="15"/>
        <v>0</v>
      </c>
      <c r="R86" s="145">
        <f t="shared" si="12"/>
        <v>72.243400856373128</v>
      </c>
      <c r="S86" s="125">
        <f t="shared" si="13"/>
        <v>-3.7565991436268718</v>
      </c>
      <c r="T86" s="144">
        <f t="shared" si="17"/>
        <v>0</v>
      </c>
      <c r="V86" s="12"/>
    </row>
    <row r="87" spans="1:22" x14ac:dyDescent="0.25">
      <c r="A87" s="49">
        <f>'A) Base RI'!A88</f>
        <v>5531</v>
      </c>
      <c r="B87" s="354" t="str">
        <f>'A) Base RI'!B88</f>
        <v>Penthéréaz</v>
      </c>
      <c r="C87" s="407">
        <v>222404.58966746629</v>
      </c>
      <c r="D87" s="407">
        <v>115364.58762391144</v>
      </c>
      <c r="E87" s="392">
        <v>0</v>
      </c>
      <c r="F87" s="392">
        <v>0</v>
      </c>
      <c r="G87" s="392">
        <v>0</v>
      </c>
      <c r="H87" s="407">
        <f t="shared" si="16"/>
        <v>337769.17729137774</v>
      </c>
      <c r="I87" s="408">
        <v>14653.782435897439</v>
      </c>
      <c r="J87" s="358">
        <f>'B) D RI'!U88</f>
        <v>13843.062702702704</v>
      </c>
      <c r="K87" s="62">
        <f t="shared" si="14"/>
        <v>23.049965343005436</v>
      </c>
      <c r="L87" s="33">
        <f>'B) D RI'!S88</f>
        <v>74</v>
      </c>
      <c r="M87" s="33">
        <f t="shared" si="9"/>
        <v>50.950034656994561</v>
      </c>
      <c r="N87" s="87">
        <f>+'J) Plafonnement effort'!H86+'J) Plafonnement effort'!I86-'K) Plafonnement aide'!I86</f>
        <v>19.347011874325858</v>
      </c>
      <c r="O87" s="125">
        <f t="shared" si="10"/>
        <v>70.297046531320419</v>
      </c>
      <c r="P87" s="47">
        <f t="shared" si="11"/>
        <v>0</v>
      </c>
      <c r="Q87" s="55">
        <f t="shared" si="15"/>
        <v>0</v>
      </c>
      <c r="R87" s="145">
        <f t="shared" si="12"/>
        <v>70.297046531320419</v>
      </c>
      <c r="S87" s="125">
        <f t="shared" si="13"/>
        <v>-3.7029534686795813</v>
      </c>
      <c r="T87" s="144">
        <f t="shared" si="17"/>
        <v>0</v>
      </c>
      <c r="V87" s="12"/>
    </row>
    <row r="88" spans="1:22" x14ac:dyDescent="0.25">
      <c r="A88" s="49">
        <f>'A) Base RI'!A89</f>
        <v>5533</v>
      </c>
      <c r="B88" s="354" t="str">
        <f>'A) Base RI'!B89</f>
        <v>Poliez-Pittet</v>
      </c>
      <c r="C88" s="407">
        <v>406892.42727201473</v>
      </c>
      <c r="D88" s="407">
        <v>10274.981351901137</v>
      </c>
      <c r="E88" s="392">
        <v>0</v>
      </c>
      <c r="F88" s="392">
        <v>0</v>
      </c>
      <c r="G88" s="392">
        <v>0</v>
      </c>
      <c r="H88" s="407">
        <f t="shared" si="16"/>
        <v>417167.40862391586</v>
      </c>
      <c r="I88" s="408">
        <v>22836.129452054793</v>
      </c>
      <c r="J88" s="358">
        <f>'B) D RI'!U89</f>
        <v>27190.167945205478</v>
      </c>
      <c r="K88" s="62">
        <f t="shared" si="14"/>
        <v>18.267868445034548</v>
      </c>
      <c r="L88" s="33">
        <f>'B) D RI'!S89</f>
        <v>73</v>
      </c>
      <c r="M88" s="33">
        <f t="shared" si="9"/>
        <v>54.732131554965449</v>
      </c>
      <c r="N88" s="87">
        <f>+'J) Plafonnement effort'!H87+'J) Plafonnement effort'!I87-'K) Plafonnement aide'!I87</f>
        <v>19.362053157253143</v>
      </c>
      <c r="O88" s="125">
        <f t="shared" si="10"/>
        <v>74.094184712218592</v>
      </c>
      <c r="P88" s="47">
        <f t="shared" si="11"/>
        <v>0</v>
      </c>
      <c r="Q88" s="55">
        <f t="shared" si="15"/>
        <v>0</v>
      </c>
      <c r="R88" s="145">
        <f t="shared" si="12"/>
        <v>74.094184712218592</v>
      </c>
      <c r="S88" s="125">
        <f t="shared" si="13"/>
        <v>1.0941847122185919</v>
      </c>
      <c r="T88" s="144">
        <f t="shared" si="17"/>
        <v>0</v>
      </c>
      <c r="V88" s="12"/>
    </row>
    <row r="89" spans="1:22" x14ac:dyDescent="0.25">
      <c r="A89" s="49">
        <f>'A) Base RI'!A90</f>
        <v>5534</v>
      </c>
      <c r="B89" s="354" t="str">
        <f>'A) Base RI'!B90</f>
        <v>Rueyres</v>
      </c>
      <c r="C89" s="407">
        <v>178875.26936963401</v>
      </c>
      <c r="D89" s="407">
        <v>133349.495478333</v>
      </c>
      <c r="E89" s="392">
        <v>0</v>
      </c>
      <c r="F89" s="392">
        <v>0</v>
      </c>
      <c r="G89" s="392">
        <v>0</v>
      </c>
      <c r="H89" s="407">
        <f t="shared" si="16"/>
        <v>312224.76484796702</v>
      </c>
      <c r="I89" s="408">
        <v>10463.952465753426</v>
      </c>
      <c r="J89" s="358">
        <f>'B) D RI'!U90</f>
        <v>9755.351210045661</v>
      </c>
      <c r="K89" s="62">
        <f t="shared" si="14"/>
        <v>29.838129126620245</v>
      </c>
      <c r="L89" s="33">
        <f>'B) D RI'!S90</f>
        <v>73</v>
      </c>
      <c r="M89" s="33">
        <f t="shared" si="9"/>
        <v>43.161870873379755</v>
      </c>
      <c r="N89" s="87">
        <f>+'J) Plafonnement effort'!H88+'J) Plafonnement effort'!I88-'K) Plafonnement aide'!I88</f>
        <v>23.07991865348399</v>
      </c>
      <c r="O89" s="125">
        <f t="shared" si="10"/>
        <v>66.241789526863741</v>
      </c>
      <c r="P89" s="47">
        <f t="shared" si="11"/>
        <v>0</v>
      </c>
      <c r="Q89" s="55">
        <f t="shared" si="15"/>
        <v>0</v>
      </c>
      <c r="R89" s="145">
        <f t="shared" si="12"/>
        <v>66.241789526863741</v>
      </c>
      <c r="S89" s="125">
        <f t="shared" si="13"/>
        <v>-6.7582104731362591</v>
      </c>
      <c r="T89" s="144">
        <f t="shared" si="17"/>
        <v>0</v>
      </c>
      <c r="V89" s="12"/>
    </row>
    <row r="90" spans="1:22" x14ac:dyDescent="0.25">
      <c r="A90" s="49">
        <f>'A) Base RI'!A91</f>
        <v>5535</v>
      </c>
      <c r="B90" s="354" t="str">
        <f>'A) Base RI'!B91</f>
        <v>Saint-Barthélemy</v>
      </c>
      <c r="C90" s="407">
        <v>378617.11284527974</v>
      </c>
      <c r="D90" s="407">
        <v>2998.6406285827979</v>
      </c>
      <c r="E90" s="392">
        <v>0</v>
      </c>
      <c r="F90" s="392">
        <v>0</v>
      </c>
      <c r="G90" s="392">
        <v>0</v>
      </c>
      <c r="H90" s="407">
        <f t="shared" si="16"/>
        <v>381615.75347386254</v>
      </c>
      <c r="I90" s="408">
        <v>22478.945584415589</v>
      </c>
      <c r="J90" s="358">
        <f>'B) D RI'!U91</f>
        <v>22496.850133333337</v>
      </c>
      <c r="K90" s="62">
        <f t="shared" si="14"/>
        <v>16.976586025388691</v>
      </c>
      <c r="L90" s="33">
        <f>'B) D RI'!S91</f>
        <v>75</v>
      </c>
      <c r="M90" s="33">
        <f t="shared" si="9"/>
        <v>58.023413974611309</v>
      </c>
      <c r="N90" s="87">
        <f>+'J) Plafonnement effort'!H89+'J) Plafonnement effort'!I89-'K) Plafonnement aide'!I89</f>
        <v>13.524322358278262</v>
      </c>
      <c r="O90" s="125">
        <f t="shared" si="10"/>
        <v>71.547736332889571</v>
      </c>
      <c r="P90" s="47">
        <f t="shared" si="11"/>
        <v>0</v>
      </c>
      <c r="Q90" s="55">
        <f t="shared" si="15"/>
        <v>0</v>
      </c>
      <c r="R90" s="145">
        <f t="shared" si="12"/>
        <v>71.547736332889571</v>
      </c>
      <c r="S90" s="125">
        <f t="shared" si="13"/>
        <v>-3.4522636671104294</v>
      </c>
      <c r="T90" s="144">
        <f t="shared" si="17"/>
        <v>0</v>
      </c>
      <c r="V90" s="12"/>
    </row>
    <row r="91" spans="1:22" x14ac:dyDescent="0.25">
      <c r="A91" s="49">
        <f>'A) Base RI'!A92</f>
        <v>5537</v>
      </c>
      <c r="B91" s="354" t="str">
        <f>'A) Base RI'!B92</f>
        <v>Villars-le-Terroir</v>
      </c>
      <c r="C91" s="407">
        <v>579918.97061039484</v>
      </c>
      <c r="D91" s="407">
        <v>64022.877574647893</v>
      </c>
      <c r="E91" s="392">
        <v>0</v>
      </c>
      <c r="F91" s="392">
        <v>0</v>
      </c>
      <c r="G91" s="392">
        <v>0</v>
      </c>
      <c r="H91" s="407">
        <f t="shared" si="16"/>
        <v>643941.84818504273</v>
      </c>
      <c r="I91" s="408">
        <v>36268.70386986302</v>
      </c>
      <c r="J91" s="358">
        <f>'B) D RI'!U92</f>
        <v>37963.269999999997</v>
      </c>
      <c r="K91" s="62">
        <f t="shared" si="14"/>
        <v>17.754752154794186</v>
      </c>
      <c r="L91" s="33">
        <f>'B) D RI'!S92</f>
        <v>73</v>
      </c>
      <c r="M91" s="33">
        <f t="shared" si="9"/>
        <v>55.24524784520581</v>
      </c>
      <c r="N91" s="87">
        <f>+'J) Plafonnement effort'!H90+'J) Plafonnement effort'!I90-'K) Plafonnement aide'!I90</f>
        <v>13.95488951493852</v>
      </c>
      <c r="O91" s="125">
        <f t="shared" si="10"/>
        <v>69.200137360144325</v>
      </c>
      <c r="P91" s="47">
        <f t="shared" si="11"/>
        <v>0</v>
      </c>
      <c r="Q91" s="55">
        <f t="shared" si="15"/>
        <v>0</v>
      </c>
      <c r="R91" s="145">
        <f t="shared" si="12"/>
        <v>69.200137360144325</v>
      </c>
      <c r="S91" s="125">
        <f t="shared" si="13"/>
        <v>-3.7998626398556752</v>
      </c>
      <c r="T91" s="144">
        <f t="shared" si="17"/>
        <v>0</v>
      </c>
      <c r="V91" s="12"/>
    </row>
    <row r="92" spans="1:22" x14ac:dyDescent="0.25">
      <c r="A92" s="49">
        <f>'A) Base RI'!A93</f>
        <v>5539</v>
      </c>
      <c r="B92" s="354" t="str">
        <f>'A) Base RI'!B93</f>
        <v>Vuarrens</v>
      </c>
      <c r="C92" s="407">
        <v>544086.43591579422</v>
      </c>
      <c r="D92" s="407">
        <v>17530.054797544843</v>
      </c>
      <c r="E92" s="392">
        <v>0</v>
      </c>
      <c r="F92" s="392">
        <v>0</v>
      </c>
      <c r="G92" s="392">
        <v>0</v>
      </c>
      <c r="H92" s="407">
        <f t="shared" si="16"/>
        <v>561616.49071333907</v>
      </c>
      <c r="I92" s="408">
        <v>30000.607399999997</v>
      </c>
      <c r="J92" s="358">
        <f>'B) D RI'!U93</f>
        <v>35961.61534013605</v>
      </c>
      <c r="K92" s="62">
        <f t="shared" si="14"/>
        <v>18.720170669389152</v>
      </c>
      <c r="L92" s="33">
        <f>'B) D RI'!S93</f>
        <v>73.5</v>
      </c>
      <c r="M92" s="33">
        <f t="shared" si="9"/>
        <v>54.779829330610852</v>
      </c>
      <c r="N92" s="87">
        <f>+'J) Plafonnement effort'!H91+'J) Plafonnement effort'!I91-'K) Plafonnement aide'!I91</f>
        <v>20.035309175190594</v>
      </c>
      <c r="O92" s="125">
        <f t="shared" si="10"/>
        <v>74.815138505801443</v>
      </c>
      <c r="P92" s="47">
        <f t="shared" si="11"/>
        <v>0</v>
      </c>
      <c r="Q92" s="55">
        <f t="shared" si="15"/>
        <v>0</v>
      </c>
      <c r="R92" s="145">
        <f t="shared" si="12"/>
        <v>74.815138505801443</v>
      </c>
      <c r="S92" s="125">
        <f t="shared" si="13"/>
        <v>1.3151385058014426</v>
      </c>
      <c r="T92" s="144">
        <f t="shared" si="17"/>
        <v>0</v>
      </c>
      <c r="V92" s="12"/>
    </row>
    <row r="93" spans="1:22" x14ac:dyDescent="0.25">
      <c r="A93" s="49">
        <f>'A) Base RI'!A94</f>
        <v>5540</v>
      </c>
      <c r="B93" s="354" t="str">
        <f>'A) Base RI'!B94</f>
        <v>Montilliez</v>
      </c>
      <c r="C93" s="407">
        <v>1030342.6488717753</v>
      </c>
      <c r="D93" s="407">
        <v>427540.05668446852</v>
      </c>
      <c r="E93" s="392">
        <v>0</v>
      </c>
      <c r="F93" s="392">
        <v>0</v>
      </c>
      <c r="G93" s="392">
        <v>0</v>
      </c>
      <c r="H93" s="407">
        <f t="shared" si="16"/>
        <v>1457882.7055562437</v>
      </c>
      <c r="I93" s="408">
        <v>64761.783243243241</v>
      </c>
      <c r="J93" s="358">
        <f>'B) D RI'!U94</f>
        <v>66256.548551724132</v>
      </c>
      <c r="K93" s="62">
        <f>H93/I93</f>
        <v>22.511466370227662</v>
      </c>
      <c r="L93" s="33">
        <f>'B) D RI'!S94</f>
        <v>72.5</v>
      </c>
      <c r="M93" s="33">
        <f>L93-K93</f>
        <v>49.988533629772334</v>
      </c>
      <c r="N93" s="87">
        <f>+'J) Plafonnement effort'!H92+'J) Plafonnement effort'!I92-'K) Plafonnement aide'!I92</f>
        <v>19.417887004817821</v>
      </c>
      <c r="O93" s="125">
        <f>M93+N93</f>
        <v>69.406420634590148</v>
      </c>
      <c r="P93" s="47">
        <f t="shared" si="11"/>
        <v>0</v>
      </c>
      <c r="Q93" s="55">
        <f>P93*J93</f>
        <v>0</v>
      </c>
      <c r="R93" s="145">
        <f>O93+P93</f>
        <v>69.406420634590148</v>
      </c>
      <c r="S93" s="125">
        <f>R93-L93</f>
        <v>-3.0935793654098518</v>
      </c>
      <c r="T93" s="144">
        <f t="shared" si="17"/>
        <v>0</v>
      </c>
      <c r="V93" s="12"/>
    </row>
    <row r="94" spans="1:22" x14ac:dyDescent="0.25">
      <c r="A94" s="49">
        <f>'A) Base RI'!A95</f>
        <v>5541</v>
      </c>
      <c r="B94" s="354" t="str">
        <f>'A) Base RI'!B95</f>
        <v>Goumoëns</v>
      </c>
      <c r="C94" s="407">
        <v>657867.69844688755</v>
      </c>
      <c r="D94" s="407">
        <v>189744.80739405146</v>
      </c>
      <c r="E94" s="392">
        <v>0</v>
      </c>
      <c r="F94" s="392">
        <v>0</v>
      </c>
      <c r="G94" s="392">
        <v>0</v>
      </c>
      <c r="H94" s="407">
        <f t="shared" si="16"/>
        <v>847612.505840939</v>
      </c>
      <c r="I94" s="408">
        <v>37389.402987012982</v>
      </c>
      <c r="J94" s="358">
        <f>'B) D RI'!U95</f>
        <v>36998.611258278142</v>
      </c>
      <c r="K94" s="62">
        <f>H94/I94</f>
        <v>22.669859321780368</v>
      </c>
      <c r="L94" s="33">
        <f>'B) D RI'!S95</f>
        <v>75.5</v>
      </c>
      <c r="M94" s="33">
        <f>L94-K94</f>
        <v>52.830140678219635</v>
      </c>
      <c r="N94" s="87">
        <f>+'J) Plafonnement effort'!H93+'J) Plafonnement effort'!I93-'K) Plafonnement aide'!I93</f>
        <v>16.914344584548807</v>
      </c>
      <c r="O94" s="125">
        <f>M94+N94</f>
        <v>69.74448526276845</v>
      </c>
      <c r="P94" s="47">
        <f t="shared" si="11"/>
        <v>0</v>
      </c>
      <c r="Q94" s="55">
        <f>P94*J94</f>
        <v>0</v>
      </c>
      <c r="R94" s="145">
        <f>O94+P94</f>
        <v>69.74448526276845</v>
      </c>
      <c r="S94" s="125">
        <f>R94-L94</f>
        <v>-5.7555147372315503</v>
      </c>
      <c r="T94" s="144">
        <f t="shared" si="17"/>
        <v>0</v>
      </c>
      <c r="V94" s="12"/>
    </row>
    <row r="95" spans="1:22" x14ac:dyDescent="0.25">
      <c r="A95" s="49">
        <f>'A) Base RI'!A96</f>
        <v>5551</v>
      </c>
      <c r="B95" s="354" t="str">
        <f>'A) Base RI'!B96</f>
        <v>Bonvillars</v>
      </c>
      <c r="C95" s="407">
        <v>280841.76954863907</v>
      </c>
      <c r="D95" s="407">
        <v>246610.92468057145</v>
      </c>
      <c r="E95" s="392">
        <v>0</v>
      </c>
      <c r="F95" s="392">
        <v>0</v>
      </c>
      <c r="G95" s="392">
        <v>0</v>
      </c>
      <c r="H95" s="407">
        <f t="shared" si="16"/>
        <v>527452.69422921049</v>
      </c>
      <c r="I95" s="408">
        <v>18282.205818181821</v>
      </c>
      <c r="J95" s="358">
        <f>'B) D RI'!U96</f>
        <v>19156.634727272725</v>
      </c>
      <c r="K95" s="62">
        <f t="shared" si="14"/>
        <v>28.850604761524671</v>
      </c>
      <c r="L95" s="33">
        <f>'B) D RI'!S96</f>
        <v>55</v>
      </c>
      <c r="M95" s="33">
        <f>L95-K95</f>
        <v>26.149395238475329</v>
      </c>
      <c r="N95" s="87">
        <f>+'J) Plafonnement effort'!H94+'J) Plafonnement effort'!I94-'K) Plafonnement aide'!I94</f>
        <v>27.211711335709889</v>
      </c>
      <c r="O95" s="125">
        <f>M95+N95</f>
        <v>53.361106574185214</v>
      </c>
      <c r="P95" s="47">
        <f t="shared" si="11"/>
        <v>0</v>
      </c>
      <c r="Q95" s="55">
        <f>P95*J95</f>
        <v>0</v>
      </c>
      <c r="R95" s="145">
        <f>O95+P95</f>
        <v>53.361106574185214</v>
      </c>
      <c r="S95" s="125">
        <f>R95-L95</f>
        <v>-1.6388934258147856</v>
      </c>
      <c r="T95" s="144">
        <f t="shared" si="17"/>
        <v>0</v>
      </c>
      <c r="V95" s="12"/>
    </row>
    <row r="96" spans="1:22" x14ac:dyDescent="0.25">
      <c r="A96" s="49">
        <f>'A) Base RI'!A97</f>
        <v>5552</v>
      </c>
      <c r="B96" s="354" t="str">
        <f>'A) Base RI'!B97</f>
        <v>Bullet</v>
      </c>
      <c r="C96" s="407">
        <v>336484.05356612243</v>
      </c>
      <c r="D96" s="407">
        <v>19421.106623498432</v>
      </c>
      <c r="E96" s="392">
        <v>0</v>
      </c>
      <c r="F96" s="392">
        <v>0</v>
      </c>
      <c r="G96" s="392">
        <v>0</v>
      </c>
      <c r="H96" s="407">
        <f t="shared" si="16"/>
        <v>355905.16018962086</v>
      </c>
      <c r="I96" s="408">
        <v>18372.474931506851</v>
      </c>
      <c r="J96" s="358">
        <f>'B) D RI'!U97</f>
        <v>17556.417482517485</v>
      </c>
      <c r="K96" s="62">
        <f t="shared" si="14"/>
        <v>19.371650336519505</v>
      </c>
      <c r="L96" s="33">
        <f>'B) D RI'!S97</f>
        <v>71.5</v>
      </c>
      <c r="M96" s="33">
        <f t="shared" si="9"/>
        <v>52.128349663480492</v>
      </c>
      <c r="N96" s="87">
        <f>+'J) Plafonnement effort'!H95+'J) Plafonnement effort'!I95-'K) Plafonnement aide'!I95</f>
        <v>12.059541045557143</v>
      </c>
      <c r="O96" s="125">
        <f t="shared" si="10"/>
        <v>64.187890709037632</v>
      </c>
      <c r="P96" s="47">
        <f t="shared" si="11"/>
        <v>0</v>
      </c>
      <c r="Q96" s="55">
        <f t="shared" si="15"/>
        <v>0</v>
      </c>
      <c r="R96" s="145">
        <f t="shared" si="12"/>
        <v>64.187890709037632</v>
      </c>
      <c r="S96" s="125">
        <f t="shared" si="13"/>
        <v>-7.3121092909623684</v>
      </c>
      <c r="T96" s="144">
        <f t="shared" si="17"/>
        <v>0</v>
      </c>
      <c r="V96" s="12"/>
    </row>
    <row r="97" spans="1:22" x14ac:dyDescent="0.25">
      <c r="A97" s="49">
        <f>'A) Base RI'!A98</f>
        <v>5553</v>
      </c>
      <c r="B97" s="354" t="str">
        <f>'A) Base RI'!B98</f>
        <v>Champagne</v>
      </c>
      <c r="C97" s="407">
        <v>663247.85970694618</v>
      </c>
      <c r="D97" s="407">
        <v>403516.52610124461</v>
      </c>
      <c r="E97" s="392">
        <v>0</v>
      </c>
      <c r="F97" s="392">
        <v>0</v>
      </c>
      <c r="G97" s="392">
        <v>0</v>
      </c>
      <c r="H97" s="407">
        <f t="shared" si="16"/>
        <v>1066764.3858081908</v>
      </c>
      <c r="I97" s="408">
        <v>37695.100615384617</v>
      </c>
      <c r="J97" s="358">
        <f>'B) D RI'!U98</f>
        <v>38681.377846153839</v>
      </c>
      <c r="K97" s="62">
        <f t="shared" si="14"/>
        <v>28.299815317983498</v>
      </c>
      <c r="L97" s="33">
        <f>'B) D RI'!S98</f>
        <v>65</v>
      </c>
      <c r="M97" s="33">
        <f t="shared" si="9"/>
        <v>36.700184682016499</v>
      </c>
      <c r="N97" s="87">
        <f>+'J) Plafonnement effort'!H96+'J) Plafonnement effort'!I96-'K) Plafonnement aide'!I96</f>
        <v>23.964208344438781</v>
      </c>
      <c r="O97" s="125">
        <f t="shared" si="10"/>
        <v>60.664393026455279</v>
      </c>
      <c r="P97" s="47">
        <f t="shared" si="11"/>
        <v>0</v>
      </c>
      <c r="Q97" s="55">
        <f t="shared" si="15"/>
        <v>0</v>
      </c>
      <c r="R97" s="145">
        <f t="shared" si="12"/>
        <v>60.664393026455279</v>
      </c>
      <c r="S97" s="125">
        <f t="shared" si="13"/>
        <v>-4.3356069735447207</v>
      </c>
      <c r="T97" s="144">
        <f t="shared" si="17"/>
        <v>0</v>
      </c>
      <c r="V97" s="12"/>
    </row>
    <row r="98" spans="1:22" x14ac:dyDescent="0.25">
      <c r="A98" s="49">
        <f>'A) Base RI'!A99</f>
        <v>5554</v>
      </c>
      <c r="B98" s="354" t="str">
        <f>'A) Base RI'!B99</f>
        <v>Concise</v>
      </c>
      <c r="C98" s="407">
        <v>674307.47285226046</v>
      </c>
      <c r="D98" s="407">
        <v>197146.35382772225</v>
      </c>
      <c r="E98" s="392">
        <v>0</v>
      </c>
      <c r="F98" s="392">
        <v>0</v>
      </c>
      <c r="G98" s="392">
        <v>0</v>
      </c>
      <c r="H98" s="407">
        <f t="shared" si="16"/>
        <v>871453.82667998271</v>
      </c>
      <c r="I98" s="408">
        <v>33287.826000000008</v>
      </c>
      <c r="J98" s="358">
        <f>'B) D RI'!U99</f>
        <v>32327.871066666674</v>
      </c>
      <c r="K98" s="62">
        <f t="shared" si="14"/>
        <v>26.179355379951293</v>
      </c>
      <c r="L98" s="33">
        <f>'B) D RI'!S99</f>
        <v>75</v>
      </c>
      <c r="M98" s="33">
        <f t="shared" si="9"/>
        <v>48.820644620048711</v>
      </c>
      <c r="N98" s="87">
        <f>+'J) Plafonnement effort'!H97+'J) Plafonnement effort'!I97-'K) Plafonnement aide'!I97</f>
        <v>18.223146653448115</v>
      </c>
      <c r="O98" s="125">
        <f t="shared" si="10"/>
        <v>67.043791273496822</v>
      </c>
      <c r="P98" s="47">
        <f t="shared" si="11"/>
        <v>0</v>
      </c>
      <c r="Q98" s="55">
        <f t="shared" si="15"/>
        <v>0</v>
      </c>
      <c r="R98" s="145">
        <f t="shared" si="12"/>
        <v>67.043791273496822</v>
      </c>
      <c r="S98" s="125">
        <f t="shared" si="13"/>
        <v>-7.9562087265031778</v>
      </c>
      <c r="T98" s="144">
        <f t="shared" si="17"/>
        <v>0</v>
      </c>
      <c r="V98" s="12"/>
    </row>
    <row r="99" spans="1:22" x14ac:dyDescent="0.25">
      <c r="A99" s="49">
        <f>'A) Base RI'!A100</f>
        <v>5555</v>
      </c>
      <c r="B99" s="354" t="str">
        <f>'A) Base RI'!B100</f>
        <v>Corcelles-près-Concise</v>
      </c>
      <c r="C99" s="407">
        <v>245007.34307380195</v>
      </c>
      <c r="D99" s="407">
        <v>113550.32579265349</v>
      </c>
      <c r="E99" s="392">
        <v>0</v>
      </c>
      <c r="F99" s="392">
        <v>0</v>
      </c>
      <c r="G99" s="392">
        <v>0</v>
      </c>
      <c r="H99" s="407">
        <f t="shared" si="16"/>
        <v>358557.66886645544</v>
      </c>
      <c r="I99" s="408">
        <v>13538.992394366198</v>
      </c>
      <c r="J99" s="358">
        <f>'B) D RI'!U100</f>
        <v>13570.544057971018</v>
      </c>
      <c r="K99" s="62">
        <f t="shared" si="14"/>
        <v>26.483334831893199</v>
      </c>
      <c r="L99" s="33">
        <f>'B) D RI'!S100</f>
        <v>69</v>
      </c>
      <c r="M99" s="33">
        <f t="shared" si="9"/>
        <v>42.516665168106798</v>
      </c>
      <c r="N99" s="87">
        <f>+'J) Plafonnement effort'!H98+'J) Plafonnement effort'!I98-'K) Plafonnement aide'!I98</f>
        <v>20.026436330610334</v>
      </c>
      <c r="O99" s="125">
        <f t="shared" si="10"/>
        <v>62.543101498717135</v>
      </c>
      <c r="P99" s="47">
        <f t="shared" si="11"/>
        <v>0</v>
      </c>
      <c r="Q99" s="55">
        <f t="shared" si="15"/>
        <v>0</v>
      </c>
      <c r="R99" s="145">
        <f t="shared" si="12"/>
        <v>62.543101498717135</v>
      </c>
      <c r="S99" s="125">
        <f t="shared" si="13"/>
        <v>-6.4568985012828648</v>
      </c>
      <c r="T99" s="144">
        <f t="shared" si="17"/>
        <v>0</v>
      </c>
      <c r="V99" s="12"/>
    </row>
    <row r="100" spans="1:22" x14ac:dyDescent="0.25">
      <c r="A100" s="49">
        <f>'A) Base RI'!A101</f>
        <v>5556</v>
      </c>
      <c r="B100" s="354" t="str">
        <f>'A) Base RI'!B101</f>
        <v>Fiez</v>
      </c>
      <c r="C100" s="407">
        <v>206288.48251945456</v>
      </c>
      <c r="D100" s="407">
        <v>55859.413123639504</v>
      </c>
      <c r="E100" s="392">
        <v>0</v>
      </c>
      <c r="F100" s="392">
        <v>0</v>
      </c>
      <c r="G100" s="392">
        <v>0</v>
      </c>
      <c r="H100" s="407">
        <f t="shared" si="16"/>
        <v>262147.89564309409</v>
      </c>
      <c r="I100" s="408">
        <v>13049.601497584543</v>
      </c>
      <c r="J100" s="358">
        <f>'B) D RI'!U101</f>
        <v>13816.427753623188</v>
      </c>
      <c r="K100" s="62">
        <f t="shared" si="14"/>
        <v>20.088574788403861</v>
      </c>
      <c r="L100" s="33">
        <f>'B) D RI'!S101</f>
        <v>69</v>
      </c>
      <c r="M100" s="33">
        <f t="shared" si="9"/>
        <v>48.911425211596139</v>
      </c>
      <c r="N100" s="87">
        <f>+'J) Plafonnement effort'!H99+'J) Plafonnement effort'!I99-'K) Plafonnement aide'!I99</f>
        <v>18.181808635028379</v>
      </c>
      <c r="O100" s="125">
        <f t="shared" si="10"/>
        <v>67.093233846624514</v>
      </c>
      <c r="P100" s="47">
        <f t="shared" si="11"/>
        <v>0</v>
      </c>
      <c r="Q100" s="55">
        <f t="shared" si="15"/>
        <v>0</v>
      </c>
      <c r="R100" s="145">
        <f t="shared" si="12"/>
        <v>67.093233846624514</v>
      </c>
      <c r="S100" s="125">
        <f t="shared" si="13"/>
        <v>-1.9067661533754858</v>
      </c>
      <c r="T100" s="144">
        <f t="shared" si="17"/>
        <v>0</v>
      </c>
      <c r="V100" s="12"/>
    </row>
    <row r="101" spans="1:22" x14ac:dyDescent="0.25">
      <c r="A101" s="49">
        <f>'A) Base RI'!A102</f>
        <v>5557</v>
      </c>
      <c r="B101" s="354" t="str">
        <f>'A) Base RI'!B102</f>
        <v>Fontaines-sur-Grandson</v>
      </c>
      <c r="C101" s="407">
        <v>98355.440150835449</v>
      </c>
      <c r="D101" s="407">
        <v>36366.752145585924</v>
      </c>
      <c r="E101" s="392">
        <v>0</v>
      </c>
      <c r="F101" s="392">
        <v>0</v>
      </c>
      <c r="G101" s="392">
        <v>0</v>
      </c>
      <c r="H101" s="407">
        <f t="shared" si="16"/>
        <v>134722.19229642139</v>
      </c>
      <c r="I101" s="408">
        <v>6546.22</v>
      </c>
      <c r="J101" s="358">
        <f>'B) D RI'!U102</f>
        <v>5880.3275362318818</v>
      </c>
      <c r="K101" s="62">
        <f t="shared" si="14"/>
        <v>20.580150422140012</v>
      </c>
      <c r="L101" s="33">
        <f>'B) D RI'!S102</f>
        <v>69</v>
      </c>
      <c r="M101" s="33">
        <f t="shared" si="9"/>
        <v>48.419849577859992</v>
      </c>
      <c r="N101" s="87">
        <f>+'J) Plafonnement effort'!H100+'J) Plafonnement effort'!I100-'K) Plafonnement aide'!I100</f>
        <v>13.378102983176937</v>
      </c>
      <c r="O101" s="125">
        <f t="shared" si="10"/>
        <v>61.797952561036929</v>
      </c>
      <c r="P101" s="47">
        <f t="shared" si="11"/>
        <v>0</v>
      </c>
      <c r="Q101" s="55">
        <f t="shared" si="15"/>
        <v>0</v>
      </c>
      <c r="R101" s="145">
        <f t="shared" si="12"/>
        <v>61.797952561036929</v>
      </c>
      <c r="S101" s="125">
        <f t="shared" si="13"/>
        <v>-7.2020474389630706</v>
      </c>
      <c r="T101" s="144">
        <f t="shared" si="17"/>
        <v>0</v>
      </c>
      <c r="V101" s="12"/>
    </row>
    <row r="102" spans="1:22" x14ac:dyDescent="0.25">
      <c r="A102" s="49">
        <f>'A) Base RI'!A103</f>
        <v>5559</v>
      </c>
      <c r="B102" s="354" t="str">
        <f>'A) Base RI'!B103</f>
        <v>Giez</v>
      </c>
      <c r="C102" s="407">
        <v>364295.37595705438</v>
      </c>
      <c r="D102" s="407">
        <v>364578.59115765372</v>
      </c>
      <c r="E102" s="392">
        <v>0</v>
      </c>
      <c r="F102" s="392">
        <v>0</v>
      </c>
      <c r="G102" s="392">
        <v>0</v>
      </c>
      <c r="H102" s="407">
        <f t="shared" si="16"/>
        <v>728873.96711470815</v>
      </c>
      <c r="I102" s="408">
        <v>20822.479090909092</v>
      </c>
      <c r="J102" s="358">
        <f>'B) D RI'!U103</f>
        <v>16897.618636363641</v>
      </c>
      <c r="K102" s="62">
        <f t="shared" si="14"/>
        <v>35.004187730601586</v>
      </c>
      <c r="L102" s="33">
        <f>'B) D RI'!S103</f>
        <v>66</v>
      </c>
      <c r="M102" s="33">
        <f t="shared" si="9"/>
        <v>30.995812269398414</v>
      </c>
      <c r="N102" s="87">
        <f>+'J) Plafonnement effort'!H101+'J) Plafonnement effort'!I101-'K) Plafonnement aide'!I101</f>
        <v>26.976107345325573</v>
      </c>
      <c r="O102" s="125">
        <f t="shared" si="10"/>
        <v>57.971919614723987</v>
      </c>
      <c r="P102" s="47">
        <f t="shared" si="11"/>
        <v>0</v>
      </c>
      <c r="Q102" s="55">
        <f t="shared" si="15"/>
        <v>0</v>
      </c>
      <c r="R102" s="145">
        <f t="shared" si="12"/>
        <v>57.971919614723987</v>
      </c>
      <c r="S102" s="125">
        <f t="shared" si="13"/>
        <v>-8.028080385276013</v>
      </c>
      <c r="T102" s="144">
        <f t="shared" si="17"/>
        <v>0</v>
      </c>
      <c r="V102" s="12"/>
    </row>
    <row r="103" spans="1:22" x14ac:dyDescent="0.25">
      <c r="A103" s="49">
        <f>'A) Base RI'!A104</f>
        <v>5560</v>
      </c>
      <c r="B103" s="354" t="str">
        <f>'A) Base RI'!B104</f>
        <v>Grandevent</v>
      </c>
      <c r="C103" s="407">
        <v>122977.11239867072</v>
      </c>
      <c r="D103" s="407">
        <v>64340.790759520853</v>
      </c>
      <c r="E103" s="392">
        <v>0</v>
      </c>
      <c r="F103" s="392">
        <v>0</v>
      </c>
      <c r="G103" s="392">
        <v>0</v>
      </c>
      <c r="H103" s="407">
        <f t="shared" si="16"/>
        <v>187317.90315819159</v>
      </c>
      <c r="I103" s="408">
        <v>7406.141029411765</v>
      </c>
      <c r="J103" s="358">
        <f>'B) D RI'!U104</f>
        <v>6167.8957352941179</v>
      </c>
      <c r="K103" s="62">
        <f t="shared" si="14"/>
        <v>25.292240913898635</v>
      </c>
      <c r="L103" s="33">
        <f>'B) D RI'!S104</f>
        <v>68</v>
      </c>
      <c r="M103" s="33">
        <f t="shared" si="9"/>
        <v>42.707759086101362</v>
      </c>
      <c r="N103" s="87">
        <f>+'J) Plafonnement effort'!H102+'J) Plafonnement effort'!I102-'K) Plafonnement aide'!I102</f>
        <v>14.426696505348609</v>
      </c>
      <c r="O103" s="125">
        <f t="shared" si="10"/>
        <v>57.134455591449971</v>
      </c>
      <c r="P103" s="47">
        <f t="shared" si="11"/>
        <v>0</v>
      </c>
      <c r="Q103" s="55">
        <f t="shared" si="15"/>
        <v>0</v>
      </c>
      <c r="R103" s="145">
        <f t="shared" si="12"/>
        <v>57.134455591449971</v>
      </c>
      <c r="S103" s="125">
        <f t="shared" si="13"/>
        <v>-10.865544408550029</v>
      </c>
      <c r="T103" s="144">
        <f t="shared" si="17"/>
        <v>0</v>
      </c>
      <c r="V103" s="12"/>
    </row>
    <row r="104" spans="1:22" x14ac:dyDescent="0.25">
      <c r="A104" s="49">
        <f>'A) Base RI'!A105</f>
        <v>5561</v>
      </c>
      <c r="B104" s="354" t="str">
        <f>'A) Base RI'!B105</f>
        <v>Grandson</v>
      </c>
      <c r="C104" s="407">
        <v>2986318.0711518014</v>
      </c>
      <c r="D104" s="407">
        <v>444924.22807393828</v>
      </c>
      <c r="E104" s="392">
        <v>0</v>
      </c>
      <c r="F104" s="392">
        <v>0</v>
      </c>
      <c r="G104" s="392">
        <v>0</v>
      </c>
      <c r="H104" s="407">
        <f t="shared" si="16"/>
        <v>3431242.2992257397</v>
      </c>
      <c r="I104" s="408">
        <v>113542.57695652173</v>
      </c>
      <c r="J104" s="358">
        <f>'B) D RI'!U105</f>
        <v>114985.73289855072</v>
      </c>
      <c r="K104" s="62">
        <f t="shared" si="14"/>
        <v>30.219873383177198</v>
      </c>
      <c r="L104" s="33">
        <f>'B) D RI'!S105</f>
        <v>69</v>
      </c>
      <c r="M104" s="33">
        <f t="shared" si="9"/>
        <v>38.780126616822798</v>
      </c>
      <c r="N104" s="87">
        <f>+'J) Plafonnement effort'!H103+'J) Plafonnement effort'!I103-'K) Plafonnement aide'!I103</f>
        <v>16.756817972497995</v>
      </c>
      <c r="O104" s="125">
        <f t="shared" si="10"/>
        <v>55.536944589320797</v>
      </c>
      <c r="P104" s="47">
        <f t="shared" si="11"/>
        <v>0</v>
      </c>
      <c r="Q104" s="55">
        <f t="shared" si="15"/>
        <v>0</v>
      </c>
      <c r="R104" s="145">
        <f t="shared" si="12"/>
        <v>55.536944589320797</v>
      </c>
      <c r="S104" s="125">
        <f t="shared" si="13"/>
        <v>-13.463055410679203</v>
      </c>
      <c r="T104" s="144">
        <f t="shared" si="17"/>
        <v>0</v>
      </c>
      <c r="V104" s="12"/>
    </row>
    <row r="105" spans="1:22" x14ac:dyDescent="0.25">
      <c r="A105" s="49">
        <f>'A) Base RI'!A106</f>
        <v>5562</v>
      </c>
      <c r="B105" s="354" t="str">
        <f>'A) Base RI'!B106</f>
        <v>Mauborget</v>
      </c>
      <c r="C105" s="407">
        <v>122221.8768923741</v>
      </c>
      <c r="D105" s="407">
        <v>91453.760750337038</v>
      </c>
      <c r="E105" s="392">
        <v>0</v>
      </c>
      <c r="F105" s="392">
        <v>0</v>
      </c>
      <c r="G105" s="392">
        <v>0</v>
      </c>
      <c r="H105" s="407">
        <f t="shared" si="16"/>
        <v>213675.63764271114</v>
      </c>
      <c r="I105" s="408">
        <v>5487.2855</v>
      </c>
      <c r="J105" s="358">
        <f>'B) D RI'!U106</f>
        <v>6037.1574285714287</v>
      </c>
      <c r="K105" s="62">
        <f t="shared" si="14"/>
        <v>38.940134906906366</v>
      </c>
      <c r="L105" s="33">
        <f>'B) D RI'!S106</f>
        <v>70</v>
      </c>
      <c r="M105" s="33">
        <f t="shared" si="9"/>
        <v>31.059865093093634</v>
      </c>
      <c r="N105" s="87">
        <f>+'J) Plafonnement effort'!H104+'J) Plafonnement effort'!I104-'K) Plafonnement aide'!I104</f>
        <v>30.115427580783912</v>
      </c>
      <c r="O105" s="125">
        <f t="shared" si="10"/>
        <v>61.17529267387755</v>
      </c>
      <c r="P105" s="47">
        <f t="shared" si="11"/>
        <v>0</v>
      </c>
      <c r="Q105" s="55">
        <f t="shared" si="15"/>
        <v>0</v>
      </c>
      <c r="R105" s="145">
        <f t="shared" si="12"/>
        <v>61.17529267387755</v>
      </c>
      <c r="S105" s="125">
        <f t="shared" si="13"/>
        <v>-8.82470732612245</v>
      </c>
      <c r="T105" s="144">
        <f t="shared" si="17"/>
        <v>0</v>
      </c>
      <c r="V105" s="12"/>
    </row>
    <row r="106" spans="1:22" x14ac:dyDescent="0.25">
      <c r="A106" s="49">
        <f>'A) Base RI'!A107</f>
        <v>5563</v>
      </c>
      <c r="B106" s="354" t="str">
        <f>'A) Base RI'!B107</f>
        <v>Mutrux</v>
      </c>
      <c r="C106" s="407">
        <v>61475.003017297793</v>
      </c>
      <c r="D106" s="407">
        <v>-19497.495410032207</v>
      </c>
      <c r="E106" s="392">
        <v>0</v>
      </c>
      <c r="F106" s="392">
        <v>0</v>
      </c>
      <c r="G106" s="392">
        <v>0</v>
      </c>
      <c r="H106" s="407">
        <f t="shared" si="16"/>
        <v>41977.507607265587</v>
      </c>
      <c r="I106" s="408">
        <v>4022.9622499999991</v>
      </c>
      <c r="J106" s="358">
        <f>'B) D RI'!U107</f>
        <v>4073.5824999999995</v>
      </c>
      <c r="K106" s="62">
        <f t="shared" si="14"/>
        <v>10.434477133675713</v>
      </c>
      <c r="L106" s="33">
        <f>'B) D RI'!S107</f>
        <v>80</v>
      </c>
      <c r="M106" s="33">
        <f t="shared" si="9"/>
        <v>69.565522866324287</v>
      </c>
      <c r="N106" s="87">
        <f>+'J) Plafonnement effort'!H105+'J) Plafonnement effort'!I105-'K) Plafonnement aide'!I105</f>
        <v>9.0622566875541111</v>
      </c>
      <c r="O106" s="125">
        <f t="shared" si="10"/>
        <v>78.627779553878398</v>
      </c>
      <c r="P106" s="47">
        <f t="shared" si="11"/>
        <v>0</v>
      </c>
      <c r="Q106" s="55">
        <f t="shared" si="15"/>
        <v>0</v>
      </c>
      <c r="R106" s="145">
        <f t="shared" si="12"/>
        <v>78.627779553878398</v>
      </c>
      <c r="S106" s="125">
        <f t="shared" si="13"/>
        <v>-1.3722204461216023</v>
      </c>
      <c r="T106" s="144">
        <f t="shared" si="17"/>
        <v>0</v>
      </c>
      <c r="V106" s="12"/>
    </row>
    <row r="107" spans="1:22" x14ac:dyDescent="0.25">
      <c r="A107" s="49">
        <f>'A) Base RI'!A108</f>
        <v>5564</v>
      </c>
      <c r="B107" s="354" t="str">
        <f>'A) Base RI'!B108</f>
        <v>Novalles</v>
      </c>
      <c r="C107" s="407">
        <v>33260.098682379146</v>
      </c>
      <c r="D107" s="407">
        <v>-23294.245708258917</v>
      </c>
      <c r="E107" s="392">
        <v>0</v>
      </c>
      <c r="F107" s="392">
        <v>0</v>
      </c>
      <c r="G107" s="392">
        <v>0</v>
      </c>
      <c r="H107" s="407">
        <f t="shared" si="16"/>
        <v>9965.8529741202292</v>
      </c>
      <c r="I107" s="408">
        <v>2263.2775657894736</v>
      </c>
      <c r="J107" s="358">
        <f>'B) D RI'!U108</f>
        <v>2091.5044407894734</v>
      </c>
      <c r="K107" s="62">
        <f t="shared" si="14"/>
        <v>4.4032835940049422</v>
      </c>
      <c r="L107" s="33">
        <f>'B) D RI'!S108</f>
        <v>76</v>
      </c>
      <c r="M107" s="33">
        <f t="shared" si="9"/>
        <v>71.596716405995053</v>
      </c>
      <c r="N107" s="87">
        <f>+'J) Plafonnement effort'!H106+'J) Plafonnement effort'!I106-'K) Plafonnement aide'!I106</f>
        <v>-2.3725472867899349</v>
      </c>
      <c r="O107" s="125">
        <f t="shared" si="10"/>
        <v>69.224169119205115</v>
      </c>
      <c r="P107" s="47">
        <f t="shared" si="11"/>
        <v>0</v>
      </c>
      <c r="Q107" s="55">
        <f t="shared" si="15"/>
        <v>0</v>
      </c>
      <c r="R107" s="145">
        <f t="shared" si="12"/>
        <v>69.224169119205115</v>
      </c>
      <c r="S107" s="125">
        <f t="shared" si="13"/>
        <v>-6.775830880794885</v>
      </c>
      <c r="T107" s="144">
        <f t="shared" si="17"/>
        <v>0</v>
      </c>
      <c r="V107" s="12"/>
    </row>
    <row r="108" spans="1:22" x14ac:dyDescent="0.25">
      <c r="A108" s="49">
        <f>'A) Base RI'!A109</f>
        <v>5565</v>
      </c>
      <c r="B108" s="354" t="str">
        <f>'A) Base RI'!B109</f>
        <v>Onnens</v>
      </c>
      <c r="C108" s="407">
        <v>361511.26226493128</v>
      </c>
      <c r="D108" s="407">
        <v>224880.49322337148</v>
      </c>
      <c r="E108" s="392">
        <v>0</v>
      </c>
      <c r="F108" s="392">
        <v>0</v>
      </c>
      <c r="G108" s="392">
        <v>0</v>
      </c>
      <c r="H108" s="407">
        <f t="shared" si="16"/>
        <v>586391.75548830279</v>
      </c>
      <c r="I108" s="408">
        <v>18486.800307692305</v>
      </c>
      <c r="J108" s="358">
        <f>'B) D RI'!U109</f>
        <v>19690.582047244097</v>
      </c>
      <c r="K108" s="62">
        <f t="shared" si="14"/>
        <v>31.719483400505325</v>
      </c>
      <c r="L108" s="33">
        <f>'B) D RI'!S109</f>
        <v>63.5</v>
      </c>
      <c r="M108" s="33">
        <f t="shared" si="9"/>
        <v>31.780516599494675</v>
      </c>
      <c r="N108" s="87">
        <f>+'J) Plafonnement effort'!H107+'J) Plafonnement effort'!I107-'K) Plafonnement aide'!I107</f>
        <v>26.174790972042395</v>
      </c>
      <c r="O108" s="125">
        <f t="shared" si="10"/>
        <v>57.95530757153707</v>
      </c>
      <c r="P108" s="47">
        <f t="shared" si="11"/>
        <v>0</v>
      </c>
      <c r="Q108" s="55">
        <f t="shared" si="15"/>
        <v>0</v>
      </c>
      <c r="R108" s="145">
        <f t="shared" si="12"/>
        <v>57.95530757153707</v>
      </c>
      <c r="S108" s="125">
        <f t="shared" si="13"/>
        <v>-5.5446924284629304</v>
      </c>
      <c r="T108" s="144">
        <f t="shared" si="17"/>
        <v>0</v>
      </c>
      <c r="V108" s="12"/>
    </row>
    <row r="109" spans="1:22" x14ac:dyDescent="0.25">
      <c r="A109" s="49">
        <f>'A) Base RI'!A110</f>
        <v>5566</v>
      </c>
      <c r="B109" s="354" t="str">
        <f>'A) Base RI'!B110</f>
        <v>Provence</v>
      </c>
      <c r="C109" s="407">
        <v>168501.83347285248</v>
      </c>
      <c r="D109" s="407">
        <v>-121252.90809327093</v>
      </c>
      <c r="E109" s="392">
        <v>0</v>
      </c>
      <c r="F109" s="392">
        <v>0</v>
      </c>
      <c r="G109" s="392">
        <v>0</v>
      </c>
      <c r="H109" s="407">
        <f t="shared" si="16"/>
        <v>47248.925379581546</v>
      </c>
      <c r="I109" s="408">
        <v>8488.3012345678999</v>
      </c>
      <c r="J109" s="358">
        <f>'B) D RI'!U110</f>
        <v>7598.735102880657</v>
      </c>
      <c r="K109" s="62">
        <f t="shared" si="14"/>
        <v>5.5663582233821103</v>
      </c>
      <c r="L109" s="33">
        <f>'B) D RI'!S110</f>
        <v>81</v>
      </c>
      <c r="M109" s="33">
        <f t="shared" si="9"/>
        <v>75.43364177661789</v>
      </c>
      <c r="N109" s="87">
        <f>+'J) Plafonnement effort'!H108+'J) Plafonnement effort'!I108-'K) Plafonnement aide'!I108</f>
        <v>-12.325280931142597</v>
      </c>
      <c r="O109" s="125">
        <f t="shared" si="10"/>
        <v>63.108360845475289</v>
      </c>
      <c r="P109" s="47">
        <f t="shared" si="11"/>
        <v>0</v>
      </c>
      <c r="Q109" s="55">
        <f t="shared" si="15"/>
        <v>0</v>
      </c>
      <c r="R109" s="145">
        <f t="shared" si="12"/>
        <v>63.108360845475289</v>
      </c>
      <c r="S109" s="125">
        <f t="shared" si="13"/>
        <v>-17.891639154524711</v>
      </c>
      <c r="T109" s="144">
        <f t="shared" si="17"/>
        <v>0</v>
      </c>
      <c r="V109" s="12"/>
    </row>
    <row r="110" spans="1:22" x14ac:dyDescent="0.25">
      <c r="A110" s="49">
        <f>'A) Base RI'!A111</f>
        <v>5568</v>
      </c>
      <c r="B110" s="354" t="str">
        <f>'A) Base RI'!B111</f>
        <v>Sainte-Croix</v>
      </c>
      <c r="C110" s="407">
        <v>2665555.4979151306</v>
      </c>
      <c r="D110" s="407">
        <v>-1939572.9961110265</v>
      </c>
      <c r="E110" s="392">
        <v>0</v>
      </c>
      <c r="F110" s="392">
        <v>0</v>
      </c>
      <c r="G110" s="392">
        <v>0</v>
      </c>
      <c r="H110" s="407">
        <f t="shared" si="16"/>
        <v>725982.50180410407</v>
      </c>
      <c r="I110" s="408">
        <v>109300.43271428571</v>
      </c>
      <c r="J110" s="358">
        <f>'B) D RI'!U111</f>
        <v>106515.47628571428</v>
      </c>
      <c r="K110" s="62">
        <f t="shared" si="14"/>
        <v>6.6420825954261495</v>
      </c>
      <c r="L110" s="33">
        <f>'B) D RI'!S111</f>
        <v>70</v>
      </c>
      <c r="M110" s="33">
        <f t="shared" si="9"/>
        <v>63.357917404573854</v>
      </c>
      <c r="N110" s="87">
        <f>+'J) Plafonnement effort'!H109+'J) Plafonnement effort'!I109-'K) Plafonnement aide'!I109</f>
        <v>-7.5032196566869338</v>
      </c>
      <c r="O110" s="125">
        <f t="shared" si="10"/>
        <v>55.854697747886917</v>
      </c>
      <c r="P110" s="47">
        <f t="shared" si="11"/>
        <v>0</v>
      </c>
      <c r="Q110" s="55">
        <f t="shared" si="15"/>
        <v>0</v>
      </c>
      <c r="R110" s="145">
        <f t="shared" si="12"/>
        <v>55.854697747886917</v>
      </c>
      <c r="S110" s="125">
        <f t="shared" si="13"/>
        <v>-14.145302252113083</v>
      </c>
      <c r="T110" s="144">
        <f t="shared" si="17"/>
        <v>0</v>
      </c>
      <c r="V110" s="12"/>
    </row>
    <row r="111" spans="1:22" x14ac:dyDescent="0.25">
      <c r="A111" s="49">
        <f>'A) Base RI'!A112</f>
        <v>5571</v>
      </c>
      <c r="B111" s="354" t="str">
        <f>'A) Base RI'!B112</f>
        <v>Tévenon</v>
      </c>
      <c r="C111" s="407">
        <v>434211.14091728063</v>
      </c>
      <c r="D111" s="407">
        <v>16622.248749252118</v>
      </c>
      <c r="E111" s="392">
        <v>0</v>
      </c>
      <c r="F111" s="392">
        <v>0</v>
      </c>
      <c r="G111" s="392">
        <v>0</v>
      </c>
      <c r="H111" s="407">
        <f t="shared" si="16"/>
        <v>450833.38966653275</v>
      </c>
      <c r="I111" s="408">
        <v>24815.960251141551</v>
      </c>
      <c r="J111" s="358">
        <f>'B) D RI'!U112</f>
        <v>21380.087226107229</v>
      </c>
      <c r="K111" s="62">
        <f t="shared" si="14"/>
        <v>18.16707413712891</v>
      </c>
      <c r="L111" s="33">
        <f>'B) D RI'!S112</f>
        <v>71.5</v>
      </c>
      <c r="M111" s="33">
        <f t="shared" si="9"/>
        <v>53.332925862871093</v>
      </c>
      <c r="N111" s="87">
        <f>+'J) Plafonnement effort'!H110+'J) Plafonnement effort'!I110-'K) Plafonnement aide'!I110</f>
        <v>7.1749662239502427</v>
      </c>
      <c r="O111" s="125">
        <f t="shared" si="10"/>
        <v>60.507892086821336</v>
      </c>
      <c r="P111" s="47">
        <f t="shared" si="11"/>
        <v>0</v>
      </c>
      <c r="Q111" s="55">
        <f t="shared" si="15"/>
        <v>0</v>
      </c>
      <c r="R111" s="145">
        <f t="shared" si="12"/>
        <v>60.507892086821336</v>
      </c>
      <c r="S111" s="125">
        <f t="shared" si="13"/>
        <v>-10.992107913178664</v>
      </c>
      <c r="T111" s="144">
        <f t="shared" si="17"/>
        <v>0</v>
      </c>
      <c r="V111" s="12"/>
    </row>
    <row r="112" spans="1:22" x14ac:dyDescent="0.25">
      <c r="A112" s="49">
        <f>'A) Base RI'!A113</f>
        <v>5581</v>
      </c>
      <c r="B112" s="354" t="str">
        <f>'A) Base RI'!B113</f>
        <v>Belmont-sur-Lausanne</v>
      </c>
      <c r="C112" s="407">
        <v>3272414.9370178939</v>
      </c>
      <c r="D112" s="407">
        <v>2539156.0365479374</v>
      </c>
      <c r="E112" s="392">
        <v>0</v>
      </c>
      <c r="F112" s="392">
        <v>0</v>
      </c>
      <c r="G112" s="392">
        <v>0</v>
      </c>
      <c r="H112" s="407">
        <f t="shared" si="16"/>
        <v>5811570.9735658318</v>
      </c>
      <c r="I112" s="408">
        <v>187774.68592592591</v>
      </c>
      <c r="J112" s="358">
        <f>'B) D RI'!U113</f>
        <v>212445.65069444443</v>
      </c>
      <c r="K112" s="62">
        <f t="shared" si="14"/>
        <v>30.949704135617104</v>
      </c>
      <c r="L112" s="33">
        <f>'B) D RI'!S113</f>
        <v>72</v>
      </c>
      <c r="M112" s="33">
        <f t="shared" si="9"/>
        <v>41.050295864382896</v>
      </c>
      <c r="N112" s="87">
        <f>+'J) Plafonnement effort'!H111+'J) Plafonnement effort'!I111-'K) Plafonnement aide'!I111</f>
        <v>29.68299384339192</v>
      </c>
      <c r="O112" s="125">
        <f t="shared" si="10"/>
        <v>70.733289707774816</v>
      </c>
      <c r="P112" s="47">
        <f t="shared" si="11"/>
        <v>0</v>
      </c>
      <c r="Q112" s="55">
        <f t="shared" si="15"/>
        <v>0</v>
      </c>
      <c r="R112" s="145">
        <f t="shared" si="12"/>
        <v>70.733289707774816</v>
      </c>
      <c r="S112" s="125">
        <f t="shared" si="13"/>
        <v>-1.2667102922251843</v>
      </c>
      <c r="T112" s="144">
        <f t="shared" si="17"/>
        <v>0</v>
      </c>
      <c r="V112" s="12"/>
    </row>
    <row r="113" spans="1:22" x14ac:dyDescent="0.25">
      <c r="A113" s="49">
        <f>'A) Base RI'!A114</f>
        <v>5582</v>
      </c>
      <c r="B113" s="354" t="str">
        <f>'A) Base RI'!B114</f>
        <v>Cheseaux-sur-Lausanne</v>
      </c>
      <c r="C113" s="407">
        <v>3062948.4990868662</v>
      </c>
      <c r="D113" s="407">
        <v>1023789.2528102752</v>
      </c>
      <c r="E113" s="392">
        <v>0</v>
      </c>
      <c r="F113" s="392">
        <v>0</v>
      </c>
      <c r="G113" s="392">
        <v>0</v>
      </c>
      <c r="H113" s="407">
        <f t="shared" si="16"/>
        <v>4086737.7518971413</v>
      </c>
      <c r="I113" s="408">
        <v>167195.61731543625</v>
      </c>
      <c r="J113" s="358">
        <f>'B) D RI'!U114</f>
        <v>163780.29383561644</v>
      </c>
      <c r="K113" s="62">
        <f t="shared" si="14"/>
        <v>24.442852136410846</v>
      </c>
      <c r="L113" s="33">
        <f>'B) D RI'!S114</f>
        <v>73</v>
      </c>
      <c r="M113" s="33">
        <f t="shared" si="9"/>
        <v>48.557147863589151</v>
      </c>
      <c r="N113" s="87">
        <f>+'J) Plafonnement effort'!H112+'J) Plafonnement effort'!I112-'K) Plafonnement aide'!I112</f>
        <v>17.945877772283705</v>
      </c>
      <c r="O113" s="125">
        <f t="shared" si="10"/>
        <v>66.503025635872859</v>
      </c>
      <c r="P113" s="47">
        <f t="shared" si="11"/>
        <v>0</v>
      </c>
      <c r="Q113" s="55">
        <f t="shared" si="15"/>
        <v>0</v>
      </c>
      <c r="R113" s="145">
        <f t="shared" si="12"/>
        <v>66.503025635872859</v>
      </c>
      <c r="S113" s="125">
        <f t="shared" si="13"/>
        <v>-6.4969743641271407</v>
      </c>
      <c r="T113" s="144">
        <f t="shared" si="17"/>
        <v>0</v>
      </c>
      <c r="V113" s="12"/>
    </row>
    <row r="114" spans="1:22" x14ac:dyDescent="0.25">
      <c r="A114" s="49">
        <f>'A) Base RI'!A115</f>
        <v>5583</v>
      </c>
      <c r="B114" s="354" t="str">
        <f>'A) Base RI'!B115</f>
        <v>Crissier</v>
      </c>
      <c r="C114" s="407">
        <v>6044271.6497843657</v>
      </c>
      <c r="D114" s="407">
        <v>1639038.1392702311</v>
      </c>
      <c r="E114" s="392">
        <v>0</v>
      </c>
      <c r="F114" s="392">
        <v>0</v>
      </c>
      <c r="G114" s="392">
        <v>0</v>
      </c>
      <c r="H114" s="407">
        <f t="shared" si="16"/>
        <v>7683309.7890545968</v>
      </c>
      <c r="I114" s="408">
        <v>313349.85476923082</v>
      </c>
      <c r="J114" s="358">
        <f>'B) D RI'!U115</f>
        <v>368095.30976377946</v>
      </c>
      <c r="K114" s="62">
        <f t="shared" si="14"/>
        <v>24.51990856901158</v>
      </c>
      <c r="L114" s="33">
        <f>'B) D RI'!S115</f>
        <v>63.5</v>
      </c>
      <c r="M114" s="33">
        <f t="shared" si="9"/>
        <v>38.980091430988423</v>
      </c>
      <c r="N114" s="87">
        <f>+'J) Plafonnement effort'!H113+'J) Plafonnement effort'!I113-'K) Plafonnement aide'!I113</f>
        <v>20.021962275625537</v>
      </c>
      <c r="O114" s="125">
        <f t="shared" si="10"/>
        <v>59.002053706613964</v>
      </c>
      <c r="P114" s="47">
        <f t="shared" si="11"/>
        <v>0</v>
      </c>
      <c r="Q114" s="55">
        <f t="shared" si="15"/>
        <v>0</v>
      </c>
      <c r="R114" s="145">
        <f t="shared" si="12"/>
        <v>59.002053706613964</v>
      </c>
      <c r="S114" s="125">
        <f t="shared" si="13"/>
        <v>-4.4979462933860361</v>
      </c>
      <c r="T114" s="144">
        <f t="shared" si="17"/>
        <v>0</v>
      </c>
      <c r="V114" s="12"/>
    </row>
    <row r="115" spans="1:22" x14ac:dyDescent="0.25">
      <c r="A115" s="49">
        <f>'A) Base RI'!A116</f>
        <v>5584</v>
      </c>
      <c r="B115" s="354" t="str">
        <f>'A) Base RI'!B116</f>
        <v>Epalinges</v>
      </c>
      <c r="C115" s="407">
        <v>8434738.2742269207</v>
      </c>
      <c r="D115" s="407">
        <v>4659906.7272477318</v>
      </c>
      <c r="E115" s="392">
        <v>0</v>
      </c>
      <c r="F115" s="392">
        <v>0</v>
      </c>
      <c r="G115" s="392">
        <v>0</v>
      </c>
      <c r="H115" s="407">
        <f t="shared" si="16"/>
        <v>13094645.001474652</v>
      </c>
      <c r="I115" s="408">
        <v>475091.38424242428</v>
      </c>
      <c r="J115" s="358">
        <f>'B) D RI'!U116</f>
        <v>482115.91751937981</v>
      </c>
      <c r="K115" s="62">
        <f t="shared" si="14"/>
        <v>27.562371021219917</v>
      </c>
      <c r="L115" s="33">
        <f>'B) D RI'!S116</f>
        <v>64.5</v>
      </c>
      <c r="M115" s="33">
        <f t="shared" ref="M115:M166" si="18">L115-K115</f>
        <v>36.937628978780083</v>
      </c>
      <c r="N115" s="87">
        <f>+'J) Plafonnement effort'!H114+'J) Plafonnement effort'!I114-'K) Plafonnement aide'!I114</f>
        <v>23.477179826681024</v>
      </c>
      <c r="O115" s="125">
        <f t="shared" ref="O115:O166" si="19">M115+N115</f>
        <v>60.414808805461107</v>
      </c>
      <c r="P115" s="47">
        <f t="shared" ref="P115:P166" si="20">IF(O115&gt;$P$5,$P$5-O115,0)</f>
        <v>0</v>
      </c>
      <c r="Q115" s="55">
        <f t="shared" si="15"/>
        <v>0</v>
      </c>
      <c r="R115" s="145">
        <f t="shared" ref="R115:R166" si="21">O115+P115</f>
        <v>60.414808805461107</v>
      </c>
      <c r="S115" s="125">
        <f t="shared" ref="S115:S166" si="22">R115-L115</f>
        <v>-4.0851911945388935</v>
      </c>
      <c r="T115" s="144">
        <f t="shared" si="17"/>
        <v>0</v>
      </c>
      <c r="V115" s="12"/>
    </row>
    <row r="116" spans="1:22" x14ac:dyDescent="0.25">
      <c r="A116" s="49">
        <f>'A) Base RI'!A117</f>
        <v>5585</v>
      </c>
      <c r="B116" s="354" t="str">
        <f>'A) Base RI'!B117</f>
        <v>Jouxtens-Mézery</v>
      </c>
      <c r="C116" s="407">
        <v>7887589.3596754055</v>
      </c>
      <c r="D116" s="407">
        <v>4321014.7699577641</v>
      </c>
      <c r="E116" s="392">
        <v>0</v>
      </c>
      <c r="F116" s="392">
        <v>-1872325.9948874046</v>
      </c>
      <c r="G116" s="392">
        <v>0</v>
      </c>
      <c r="H116" s="407">
        <f t="shared" si="16"/>
        <v>10336278.134745765</v>
      </c>
      <c r="I116" s="408">
        <v>229695.06966101698</v>
      </c>
      <c r="J116" s="358">
        <f>'B) D RI'!U117</f>
        <v>202487.97135593221</v>
      </c>
      <c r="K116" s="62">
        <f t="shared" si="14"/>
        <v>45.000000000000007</v>
      </c>
      <c r="L116" s="33">
        <f>'B) D RI'!S117</f>
        <v>59</v>
      </c>
      <c r="M116" s="33">
        <f t="shared" si="18"/>
        <v>13.999999999999993</v>
      </c>
      <c r="N116" s="87">
        <f>+'J) Plafonnement effort'!H115+'J) Plafonnement effort'!I115-'K) Plafonnement aide'!I115</f>
        <v>48</v>
      </c>
      <c r="O116" s="125">
        <f t="shared" si="19"/>
        <v>61.999999999999993</v>
      </c>
      <c r="P116" s="47">
        <f t="shared" si="20"/>
        <v>0</v>
      </c>
      <c r="Q116" s="55">
        <f t="shared" si="15"/>
        <v>0</v>
      </c>
      <c r="R116" s="145">
        <f t="shared" si="21"/>
        <v>61.999999999999993</v>
      </c>
      <c r="S116" s="125">
        <f t="shared" si="22"/>
        <v>2.9999999999999929</v>
      </c>
      <c r="T116" s="144">
        <f t="shared" si="17"/>
        <v>0</v>
      </c>
      <c r="V116" s="12"/>
    </row>
    <row r="117" spans="1:22" x14ac:dyDescent="0.25">
      <c r="A117" s="49">
        <f>'A) Base RI'!A118</f>
        <v>5586</v>
      </c>
      <c r="B117" s="354" t="str">
        <f>'A) Base RI'!B118</f>
        <v>Lausanne</v>
      </c>
      <c r="C117" s="407">
        <v>108920136.56291933</v>
      </c>
      <c r="D117" s="407">
        <v>-34138159.861661166</v>
      </c>
      <c r="E117" s="392">
        <v>0</v>
      </c>
      <c r="F117" s="392">
        <v>0</v>
      </c>
      <c r="G117" s="392">
        <v>0</v>
      </c>
      <c r="H117" s="407">
        <f t="shared" si="16"/>
        <v>74781976.701258168</v>
      </c>
      <c r="I117" s="408">
        <v>6038274.9810970454</v>
      </c>
      <c r="J117" s="358">
        <f>'B) D RI'!U118</f>
        <v>6272364.2800849257</v>
      </c>
      <c r="K117" s="62">
        <f t="shared" ref="K117:K167" si="23">H117/I117</f>
        <v>12.384659018571499</v>
      </c>
      <c r="L117" s="33">
        <f>'B) D RI'!S118</f>
        <v>78.5</v>
      </c>
      <c r="M117" s="33">
        <f t="shared" si="18"/>
        <v>66.115340981428503</v>
      </c>
      <c r="N117" s="87">
        <f>+'J) Plafonnement effort'!H116+'J) Plafonnement effort'!I116-'K) Plafonnement aide'!I116</f>
        <v>8.8488545585326825</v>
      </c>
      <c r="O117" s="125">
        <f t="shared" si="19"/>
        <v>74.964195539961182</v>
      </c>
      <c r="P117" s="47">
        <f t="shared" si="20"/>
        <v>0</v>
      </c>
      <c r="Q117" s="55">
        <f t="shared" si="15"/>
        <v>0</v>
      </c>
      <c r="R117" s="145">
        <f t="shared" si="21"/>
        <v>74.964195539961182</v>
      </c>
      <c r="S117" s="125">
        <f t="shared" si="22"/>
        <v>-3.5358044600388183</v>
      </c>
      <c r="T117" s="144">
        <f t="shared" si="17"/>
        <v>0</v>
      </c>
      <c r="V117" s="12"/>
    </row>
    <row r="118" spans="1:22" x14ac:dyDescent="0.25">
      <c r="A118" s="49">
        <f>'A) Base RI'!A119</f>
        <v>5587</v>
      </c>
      <c r="B118" s="354" t="str">
        <f>'A) Base RI'!B119</f>
        <v>Le Mont-sur-Lausanne</v>
      </c>
      <c r="C118" s="407">
        <v>7555978.8820711616</v>
      </c>
      <c r="D118" s="407">
        <v>4510627.8405609569</v>
      </c>
      <c r="E118" s="392">
        <v>0</v>
      </c>
      <c r="F118" s="392">
        <v>0</v>
      </c>
      <c r="G118" s="392">
        <v>0</v>
      </c>
      <c r="H118" s="407">
        <f t="shared" si="16"/>
        <v>12066606.722632118</v>
      </c>
      <c r="I118" s="408">
        <v>437426.32075555553</v>
      </c>
      <c r="J118" s="358">
        <f>'B) D RI'!U119</f>
        <v>442860.74013605446</v>
      </c>
      <c r="K118" s="62">
        <f t="shared" si="23"/>
        <v>27.585461025275684</v>
      </c>
      <c r="L118" s="33">
        <f>'B) D RI'!S119</f>
        <v>73.5</v>
      </c>
      <c r="M118" s="33">
        <f t="shared" si="18"/>
        <v>45.914538974724316</v>
      </c>
      <c r="N118" s="87">
        <f>+'J) Plafonnement effort'!H117+'J) Plafonnement effort'!I117-'K) Plafonnement aide'!I117</f>
        <v>23.533339909170046</v>
      </c>
      <c r="O118" s="125">
        <f t="shared" si="19"/>
        <v>69.447878883894361</v>
      </c>
      <c r="P118" s="47">
        <f t="shared" si="20"/>
        <v>0</v>
      </c>
      <c r="Q118" s="55">
        <f t="shared" ref="Q118:Q167" si="24">P118*J118</f>
        <v>0</v>
      </c>
      <c r="R118" s="145">
        <f t="shared" si="21"/>
        <v>69.447878883894361</v>
      </c>
      <c r="S118" s="125">
        <f t="shared" si="22"/>
        <v>-4.0521211161056385</v>
      </c>
      <c r="T118" s="144">
        <f t="shared" si="17"/>
        <v>0</v>
      </c>
      <c r="V118" s="12"/>
    </row>
    <row r="119" spans="1:22" x14ac:dyDescent="0.25">
      <c r="A119" s="49">
        <f>'A) Base RI'!A120</f>
        <v>5588</v>
      </c>
      <c r="B119" s="354" t="str">
        <f>'A) Base RI'!B120</f>
        <v>Paudex</v>
      </c>
      <c r="C119" s="407">
        <v>3415240.8549245796</v>
      </c>
      <c r="D119" s="407">
        <v>2379896.9766078112</v>
      </c>
      <c r="E119" s="392">
        <v>0</v>
      </c>
      <c r="F119" s="392">
        <v>0</v>
      </c>
      <c r="G119" s="392">
        <v>0</v>
      </c>
      <c r="H119" s="407">
        <f t="shared" si="16"/>
        <v>5795137.8315323908</v>
      </c>
      <c r="I119" s="408">
        <v>134588.09264705883</v>
      </c>
      <c r="J119" s="358">
        <f>'B) D RI'!U120</f>
        <v>135448.58760472611</v>
      </c>
      <c r="K119" s="62">
        <f t="shared" si="23"/>
        <v>43.058324979234577</v>
      </c>
      <c r="L119" s="33">
        <f>'B) D RI'!S120</f>
        <v>66.5</v>
      </c>
      <c r="M119" s="33">
        <f t="shared" si="18"/>
        <v>23.441675020765423</v>
      </c>
      <c r="N119" s="87">
        <f>+'J) Plafonnement effort'!H118+'J) Plafonnement effort'!I118-'K) Plafonnement aide'!I118</f>
        <v>40.373522870764525</v>
      </c>
      <c r="O119" s="125">
        <f t="shared" si="19"/>
        <v>63.815197891529948</v>
      </c>
      <c r="P119" s="47">
        <f t="shared" si="20"/>
        <v>0</v>
      </c>
      <c r="Q119" s="55">
        <f t="shared" si="24"/>
        <v>0</v>
      </c>
      <c r="R119" s="145">
        <f t="shared" si="21"/>
        <v>63.815197891529948</v>
      </c>
      <c r="S119" s="125">
        <f t="shared" si="22"/>
        <v>-2.684802108470052</v>
      </c>
      <c r="T119" s="144">
        <f t="shared" si="17"/>
        <v>0</v>
      </c>
      <c r="V119" s="12"/>
    </row>
    <row r="120" spans="1:22" x14ac:dyDescent="0.25">
      <c r="A120" s="49">
        <f>'A) Base RI'!A121</f>
        <v>5589</v>
      </c>
      <c r="B120" s="354" t="str">
        <f>'A) Base RI'!B121</f>
        <v>Prilly</v>
      </c>
      <c r="C120" s="407">
        <v>7233589.5168114295</v>
      </c>
      <c r="D120" s="407">
        <v>-2447992.579830314</v>
      </c>
      <c r="E120" s="392">
        <v>0</v>
      </c>
      <c r="F120" s="392">
        <v>0</v>
      </c>
      <c r="G120" s="392">
        <v>0</v>
      </c>
      <c r="H120" s="407">
        <f t="shared" si="16"/>
        <v>4785596.9369811155</v>
      </c>
      <c r="I120" s="408">
        <v>418113.86360020924</v>
      </c>
      <c r="J120" s="358">
        <f>'B) D RI'!U121</f>
        <v>455017.22467904515</v>
      </c>
      <c r="K120" s="62">
        <f t="shared" si="23"/>
        <v>11.445678686122189</v>
      </c>
      <c r="L120" s="33">
        <f>'B) D RI'!S121</f>
        <v>72.5</v>
      </c>
      <c r="M120" s="33">
        <f t="shared" si="18"/>
        <v>61.054321313877807</v>
      </c>
      <c r="N120" s="87">
        <f>+'J) Plafonnement effort'!H119+'J) Plafonnement effort'!I119-'K) Plafonnement aide'!I119</f>
        <v>11.001293787173561</v>
      </c>
      <c r="O120" s="125">
        <f t="shared" si="19"/>
        <v>72.055615101051373</v>
      </c>
      <c r="P120" s="47">
        <f t="shared" si="20"/>
        <v>0</v>
      </c>
      <c r="Q120" s="55">
        <f t="shared" si="24"/>
        <v>0</v>
      </c>
      <c r="R120" s="145">
        <f t="shared" si="21"/>
        <v>72.055615101051373</v>
      </c>
      <c r="S120" s="125">
        <f t="shared" si="22"/>
        <v>-0.44438489894862698</v>
      </c>
      <c r="T120" s="144">
        <f t="shared" si="17"/>
        <v>0</v>
      </c>
      <c r="V120" s="12"/>
    </row>
    <row r="121" spans="1:22" x14ac:dyDescent="0.25">
      <c r="A121" s="49">
        <f>'A) Base RI'!A122</f>
        <v>5590</v>
      </c>
      <c r="B121" s="354" t="str">
        <f>'A) Base RI'!B122</f>
        <v>Pully</v>
      </c>
      <c r="C121" s="407">
        <v>39946403.184118681</v>
      </c>
      <c r="D121" s="407">
        <v>17159773.672288485</v>
      </c>
      <c r="E121" s="392">
        <v>0</v>
      </c>
      <c r="F121" s="392">
        <v>0</v>
      </c>
      <c r="G121" s="392">
        <v>0</v>
      </c>
      <c r="H121" s="407">
        <f t="shared" si="16"/>
        <v>57106176.856407166</v>
      </c>
      <c r="I121" s="408">
        <v>1533094.7704683845</v>
      </c>
      <c r="J121" s="358">
        <f>'B) D RI'!U122</f>
        <v>1478979.5848477751</v>
      </c>
      <c r="K121" s="62">
        <f t="shared" si="23"/>
        <v>37.248954178455868</v>
      </c>
      <c r="L121" s="33">
        <f>'B) D RI'!S122</f>
        <v>61</v>
      </c>
      <c r="M121" s="33">
        <f t="shared" si="18"/>
        <v>23.751045821544132</v>
      </c>
      <c r="N121" s="87">
        <f>+'J) Plafonnement effort'!H120+'J) Plafonnement effort'!I120-'K) Plafonnement aide'!I120</f>
        <v>30.959593630506301</v>
      </c>
      <c r="O121" s="125">
        <f t="shared" si="19"/>
        <v>54.71063945205043</v>
      </c>
      <c r="P121" s="47">
        <f t="shared" si="20"/>
        <v>0</v>
      </c>
      <c r="Q121" s="55">
        <f t="shared" si="24"/>
        <v>0</v>
      </c>
      <c r="R121" s="145">
        <f t="shared" si="21"/>
        <v>54.71063945205043</v>
      </c>
      <c r="S121" s="125">
        <f t="shared" si="22"/>
        <v>-6.2893605479495704</v>
      </c>
      <c r="T121" s="144">
        <f t="shared" si="17"/>
        <v>0</v>
      </c>
      <c r="V121" s="12"/>
    </row>
    <row r="122" spans="1:22" x14ac:dyDescent="0.25">
      <c r="A122" s="49">
        <f>'A) Base RI'!A123</f>
        <v>5591</v>
      </c>
      <c r="B122" s="354" t="str">
        <f>'A) Base RI'!B123</f>
        <v>Renens</v>
      </c>
      <c r="C122" s="407">
        <v>10244932.356363542</v>
      </c>
      <c r="D122" s="407">
        <v>-15136672.70904661</v>
      </c>
      <c r="E122" s="392">
        <v>386713.92735094792</v>
      </c>
      <c r="F122" s="392">
        <v>0</v>
      </c>
      <c r="G122" s="392">
        <v>0</v>
      </c>
      <c r="H122" s="407">
        <f t="shared" si="16"/>
        <v>-4505026.4253321197</v>
      </c>
      <c r="I122" s="408">
        <v>563128.30316651508</v>
      </c>
      <c r="J122" s="358">
        <f>'B) D RI'!U123</f>
        <v>596748.60283858993</v>
      </c>
      <c r="K122" s="62">
        <f t="shared" si="23"/>
        <v>-7.9999999999999982</v>
      </c>
      <c r="L122" s="33">
        <f>'B) D RI'!S123</f>
        <v>77</v>
      </c>
      <c r="M122" s="33">
        <f t="shared" si="18"/>
        <v>85</v>
      </c>
      <c r="N122" s="87">
        <f>+'J) Plafonnement effort'!H121+'J) Plafonnement effort'!I121-'K) Plafonnement aide'!I121</f>
        <v>-9.5923100550354832</v>
      </c>
      <c r="O122" s="125">
        <f t="shared" si="19"/>
        <v>75.407689944964517</v>
      </c>
      <c r="P122" s="47">
        <f t="shared" si="20"/>
        <v>0</v>
      </c>
      <c r="Q122" s="55">
        <f t="shared" si="24"/>
        <v>0</v>
      </c>
      <c r="R122" s="145">
        <f t="shared" si="21"/>
        <v>75.407689944964517</v>
      </c>
      <c r="S122" s="125">
        <f t="shared" si="22"/>
        <v>-1.5923100550354832</v>
      </c>
      <c r="T122" s="144">
        <f t="shared" si="17"/>
        <v>0</v>
      </c>
      <c r="V122" s="12"/>
    </row>
    <row r="123" spans="1:22" x14ac:dyDescent="0.25">
      <c r="A123" s="49">
        <f>'A) Base RI'!A124</f>
        <v>5592</v>
      </c>
      <c r="B123" s="354" t="str">
        <f>'A) Base RI'!B124</f>
        <v>Romanel-sur-Lausanne</v>
      </c>
      <c r="C123" s="407">
        <v>2028734.5267953984</v>
      </c>
      <c r="D123" s="407">
        <v>444442.76554978546</v>
      </c>
      <c r="E123" s="392">
        <v>0</v>
      </c>
      <c r="F123" s="392">
        <v>0</v>
      </c>
      <c r="G123" s="392">
        <v>0</v>
      </c>
      <c r="H123" s="407">
        <f t="shared" si="16"/>
        <v>2473177.2923451839</v>
      </c>
      <c r="I123" s="408">
        <v>113674.73902777777</v>
      </c>
      <c r="J123" s="358">
        <f>'B) D RI'!U124</f>
        <v>121292.24695035459</v>
      </c>
      <c r="K123" s="62">
        <f t="shared" si="23"/>
        <v>21.756612889525382</v>
      </c>
      <c r="L123" s="33">
        <f>'B) D RI'!S124</f>
        <v>70.5</v>
      </c>
      <c r="M123" s="33">
        <f t="shared" si="18"/>
        <v>48.743387110474615</v>
      </c>
      <c r="N123" s="87">
        <f>+'J) Plafonnement effort'!H122+'J) Plafonnement effort'!I122-'K) Plafonnement aide'!I122</f>
        <v>19.632592127421567</v>
      </c>
      <c r="O123" s="125">
        <f t="shared" si="19"/>
        <v>68.375979237896189</v>
      </c>
      <c r="P123" s="47">
        <f t="shared" si="20"/>
        <v>0</v>
      </c>
      <c r="Q123" s="55">
        <f t="shared" si="24"/>
        <v>0</v>
      </c>
      <c r="R123" s="145">
        <f t="shared" si="21"/>
        <v>68.375979237896189</v>
      </c>
      <c r="S123" s="125">
        <f t="shared" si="22"/>
        <v>-2.124020762103811</v>
      </c>
      <c r="T123" s="144">
        <f t="shared" si="17"/>
        <v>0</v>
      </c>
      <c r="V123" s="12"/>
    </row>
    <row r="124" spans="1:22" x14ac:dyDescent="0.25">
      <c r="A124" s="49">
        <f>'A) Base RI'!A125</f>
        <v>5601</v>
      </c>
      <c r="B124" s="354" t="str">
        <f>'A) Base RI'!B125</f>
        <v>Chexbres</v>
      </c>
      <c r="C124" s="407">
        <v>1945355.1326032868</v>
      </c>
      <c r="D124" s="407">
        <v>1475132.7042704569</v>
      </c>
      <c r="E124" s="392">
        <v>0</v>
      </c>
      <c r="F124" s="392">
        <v>0</v>
      </c>
      <c r="G124" s="392">
        <v>0</v>
      </c>
      <c r="H124" s="407">
        <f t="shared" si="16"/>
        <v>3420487.8368737437</v>
      </c>
      <c r="I124" s="408">
        <v>103470.98536231882</v>
      </c>
      <c r="J124" s="358">
        <f>'B) D RI'!U125</f>
        <v>98072.029481481484</v>
      </c>
      <c r="K124" s="62">
        <f t="shared" si="23"/>
        <v>33.057458812211017</v>
      </c>
      <c r="L124" s="33">
        <f>'B) D RI'!S125</f>
        <v>67.5</v>
      </c>
      <c r="M124" s="33">
        <f t="shared" si="18"/>
        <v>34.442541187788983</v>
      </c>
      <c r="N124" s="87">
        <f>+'J) Plafonnement effort'!H123+'J) Plafonnement effort'!I123-'K) Plafonnement aide'!I123</f>
        <v>25.539382419319846</v>
      </c>
      <c r="O124" s="125">
        <f t="shared" si="19"/>
        <v>59.981923607108826</v>
      </c>
      <c r="P124" s="47">
        <f t="shared" si="20"/>
        <v>0</v>
      </c>
      <c r="Q124" s="55">
        <f t="shared" si="24"/>
        <v>0</v>
      </c>
      <c r="R124" s="145">
        <f t="shared" si="21"/>
        <v>59.981923607108826</v>
      </c>
      <c r="S124" s="125">
        <f t="shared" si="22"/>
        <v>-7.5180763928911745</v>
      </c>
      <c r="T124" s="144">
        <f t="shared" si="17"/>
        <v>0</v>
      </c>
      <c r="V124" s="12"/>
    </row>
    <row r="125" spans="1:22" x14ac:dyDescent="0.25">
      <c r="A125" s="49">
        <f>'A) Base RI'!A126</f>
        <v>5604</v>
      </c>
      <c r="B125" s="354" t="str">
        <f>'A) Base RI'!B126</f>
        <v>Forel (Lavaux)</v>
      </c>
      <c r="C125" s="407">
        <v>1284917.0365128051</v>
      </c>
      <c r="D125" s="407">
        <v>528079.62885413598</v>
      </c>
      <c r="E125" s="392">
        <v>0</v>
      </c>
      <c r="F125" s="392">
        <v>0</v>
      </c>
      <c r="G125" s="392">
        <v>0</v>
      </c>
      <c r="H125" s="407">
        <f t="shared" si="16"/>
        <v>1812996.6653669411</v>
      </c>
      <c r="I125" s="408">
        <v>73971.129714285707</v>
      </c>
      <c r="J125" s="358">
        <f>'B) D RI'!U126</f>
        <v>71309.914782608685</v>
      </c>
      <c r="K125" s="62">
        <f t="shared" si="23"/>
        <v>24.509517055771088</v>
      </c>
      <c r="L125" s="33">
        <f>'B) D RI'!S126</f>
        <v>69</v>
      </c>
      <c r="M125" s="33">
        <f t="shared" si="18"/>
        <v>44.490482944228916</v>
      </c>
      <c r="N125" s="87">
        <f>+'J) Plafonnement effort'!H124+'J) Plafonnement effort'!I124-'K) Plafonnement aide'!I124</f>
        <v>17.984532283204885</v>
      </c>
      <c r="O125" s="125">
        <f t="shared" si="19"/>
        <v>62.475015227433801</v>
      </c>
      <c r="P125" s="47">
        <f t="shared" si="20"/>
        <v>0</v>
      </c>
      <c r="Q125" s="55">
        <f t="shared" si="24"/>
        <v>0</v>
      </c>
      <c r="R125" s="145">
        <f t="shared" si="21"/>
        <v>62.475015227433801</v>
      </c>
      <c r="S125" s="125">
        <f t="shared" si="22"/>
        <v>-6.5249847725661994</v>
      </c>
      <c r="T125" s="144">
        <f t="shared" si="17"/>
        <v>0</v>
      </c>
      <c r="V125" s="12"/>
    </row>
    <row r="126" spans="1:22" x14ac:dyDescent="0.25">
      <c r="A126" s="49">
        <f>'A) Base RI'!A127</f>
        <v>5606</v>
      </c>
      <c r="B126" s="354" t="str">
        <f>'A) Base RI'!B127</f>
        <v>Lutry</v>
      </c>
      <c r="C126" s="407">
        <v>20721620.896863993</v>
      </c>
      <c r="D126" s="407">
        <v>10739862.061995743</v>
      </c>
      <c r="E126" s="392">
        <v>0</v>
      </c>
      <c r="F126" s="392">
        <v>0</v>
      </c>
      <c r="G126" s="392">
        <v>0</v>
      </c>
      <c r="H126" s="407">
        <f t="shared" si="16"/>
        <v>31461482.958859734</v>
      </c>
      <c r="I126" s="408">
        <v>806998.35454311455</v>
      </c>
      <c r="J126" s="358">
        <f>'B) D RI'!U127</f>
        <v>875230.37264550268</v>
      </c>
      <c r="K126" s="62">
        <f t="shared" si="23"/>
        <v>38.985808064840207</v>
      </c>
      <c r="L126" s="33">
        <f>'B) D RI'!S127</f>
        <v>54</v>
      </c>
      <c r="M126" s="33">
        <f t="shared" si="18"/>
        <v>15.014191935159793</v>
      </c>
      <c r="N126" s="87">
        <f>+'J) Plafonnement effort'!H125+'J) Plafonnement effort'!I125-'K) Plafonnement aide'!I125</f>
        <v>33.969398347742121</v>
      </c>
      <c r="O126" s="125">
        <f t="shared" si="19"/>
        <v>48.983590282901915</v>
      </c>
      <c r="P126" s="47">
        <f t="shared" si="20"/>
        <v>0</v>
      </c>
      <c r="Q126" s="55">
        <f t="shared" si="24"/>
        <v>0</v>
      </c>
      <c r="R126" s="145">
        <f t="shared" si="21"/>
        <v>48.983590282901915</v>
      </c>
      <c r="S126" s="125">
        <f t="shared" si="22"/>
        <v>-5.0164097170980853</v>
      </c>
      <c r="T126" s="144">
        <f t="shared" si="17"/>
        <v>0</v>
      </c>
      <c r="V126" s="12"/>
    </row>
    <row r="127" spans="1:22" x14ac:dyDescent="0.25">
      <c r="A127" s="49">
        <f>'A) Base RI'!A128</f>
        <v>5607</v>
      </c>
      <c r="B127" s="354" t="str">
        <f>'A) Base RI'!B128</f>
        <v>Puidoux</v>
      </c>
      <c r="C127" s="407">
        <v>1665842.003055369</v>
      </c>
      <c r="D127" s="407">
        <v>555653.18405925436</v>
      </c>
      <c r="E127" s="392">
        <v>0</v>
      </c>
      <c r="F127" s="392">
        <v>0</v>
      </c>
      <c r="G127" s="392">
        <v>0</v>
      </c>
      <c r="H127" s="407">
        <f t="shared" si="16"/>
        <v>2221495.1871146234</v>
      </c>
      <c r="I127" s="408">
        <v>100918.13995031056</v>
      </c>
      <c r="J127" s="358">
        <f>'B) D RI'!U128</f>
        <v>102944.97501110758</v>
      </c>
      <c r="K127" s="62">
        <f t="shared" si="23"/>
        <v>22.012843163859632</v>
      </c>
      <c r="L127" s="33">
        <f>'B) D RI'!S128</f>
        <v>68.5</v>
      </c>
      <c r="M127" s="33">
        <f t="shared" si="18"/>
        <v>46.487156836140372</v>
      </c>
      <c r="N127" s="87">
        <f>+'J) Plafonnement effort'!H126+'J) Plafonnement effort'!I126-'K) Plafonnement aide'!I126</f>
        <v>18.90351968537917</v>
      </c>
      <c r="O127" s="125">
        <f t="shared" si="19"/>
        <v>65.390676521519538</v>
      </c>
      <c r="P127" s="47">
        <f t="shared" si="20"/>
        <v>0</v>
      </c>
      <c r="Q127" s="55">
        <f t="shared" si="24"/>
        <v>0</v>
      </c>
      <c r="R127" s="145">
        <f t="shared" si="21"/>
        <v>65.390676521519538</v>
      </c>
      <c r="S127" s="125">
        <f t="shared" si="22"/>
        <v>-3.1093234784804622</v>
      </c>
      <c r="T127" s="144">
        <f t="shared" si="17"/>
        <v>0</v>
      </c>
      <c r="V127" s="12"/>
    </row>
    <row r="128" spans="1:22" x14ac:dyDescent="0.25">
      <c r="A128" s="49">
        <f>'A) Base RI'!A129</f>
        <v>5609</v>
      </c>
      <c r="B128" s="354" t="str">
        <f>'A) Base RI'!B129</f>
        <v>Rivaz</v>
      </c>
      <c r="C128" s="407">
        <v>219028.34569907488</v>
      </c>
      <c r="D128" s="407">
        <v>190442.51246051519</v>
      </c>
      <c r="E128" s="392">
        <v>0</v>
      </c>
      <c r="F128" s="392">
        <v>0</v>
      </c>
      <c r="G128" s="392">
        <v>0</v>
      </c>
      <c r="H128" s="407">
        <f t="shared" si="16"/>
        <v>409470.85815959005</v>
      </c>
      <c r="I128" s="408">
        <v>13641.583779527558</v>
      </c>
      <c r="J128" s="358">
        <f>'B) D RI'!U129</f>
        <v>16048.850483870969</v>
      </c>
      <c r="K128" s="62">
        <f t="shared" si="23"/>
        <v>30.016372349235468</v>
      </c>
      <c r="L128" s="33">
        <f>'B) D RI'!S129</f>
        <v>62</v>
      </c>
      <c r="M128" s="33">
        <f t="shared" si="18"/>
        <v>31.983627650764532</v>
      </c>
      <c r="N128" s="87">
        <f>+'J) Plafonnement effort'!H127+'J) Plafonnement effort'!I127-'K) Plafonnement aide'!I127</f>
        <v>30.382492239779506</v>
      </c>
      <c r="O128" s="125">
        <f t="shared" si="19"/>
        <v>62.366119890544041</v>
      </c>
      <c r="P128" s="47">
        <f t="shared" si="20"/>
        <v>0</v>
      </c>
      <c r="Q128" s="55">
        <f t="shared" si="24"/>
        <v>0</v>
      </c>
      <c r="R128" s="145">
        <f t="shared" si="21"/>
        <v>62.366119890544041</v>
      </c>
      <c r="S128" s="125">
        <f t="shared" si="22"/>
        <v>0.36611989054404148</v>
      </c>
      <c r="T128" s="144">
        <f t="shared" si="17"/>
        <v>0</v>
      </c>
      <c r="V128" s="12"/>
    </row>
    <row r="129" spans="1:22" x14ac:dyDescent="0.25">
      <c r="A129" s="49">
        <f>'A) Base RI'!A130</f>
        <v>5610</v>
      </c>
      <c r="B129" s="354" t="str">
        <f>'A) Base RI'!B130</f>
        <v>St-Saphorin (Lavaux)</v>
      </c>
      <c r="C129" s="407">
        <v>406706.50426759897</v>
      </c>
      <c r="D129" s="407">
        <v>397481.87603997771</v>
      </c>
      <c r="E129" s="392">
        <v>0</v>
      </c>
      <c r="F129" s="392">
        <v>0</v>
      </c>
      <c r="G129" s="392">
        <v>0</v>
      </c>
      <c r="H129" s="407">
        <f t="shared" si="16"/>
        <v>804188.38030757662</v>
      </c>
      <c r="I129" s="408">
        <v>22278.713000000003</v>
      </c>
      <c r="J129" s="358">
        <f>'B) D RI'!U130</f>
        <v>19213.723703703701</v>
      </c>
      <c r="K129" s="62">
        <f t="shared" si="23"/>
        <v>36.096716193057311</v>
      </c>
      <c r="L129" s="33">
        <f>'B) D RI'!S130</f>
        <v>72</v>
      </c>
      <c r="M129" s="33">
        <f t="shared" si="18"/>
        <v>35.903283806942689</v>
      </c>
      <c r="N129" s="87">
        <f>+'J) Plafonnement effort'!H128+'J) Plafonnement effort'!I128-'K) Plafonnement aide'!I128</f>
        <v>31.052124949358653</v>
      </c>
      <c r="O129" s="125">
        <f t="shared" si="19"/>
        <v>66.955408756301338</v>
      </c>
      <c r="P129" s="47">
        <f t="shared" si="20"/>
        <v>0</v>
      </c>
      <c r="Q129" s="55">
        <f t="shared" si="24"/>
        <v>0</v>
      </c>
      <c r="R129" s="145">
        <f t="shared" si="21"/>
        <v>66.955408756301338</v>
      </c>
      <c r="S129" s="125">
        <f t="shared" si="22"/>
        <v>-5.0445912436986617</v>
      </c>
      <c r="T129" s="144">
        <f t="shared" si="17"/>
        <v>0</v>
      </c>
      <c r="V129" s="12"/>
    </row>
    <row r="130" spans="1:22" x14ac:dyDescent="0.25">
      <c r="A130" s="49">
        <f>'A) Base RI'!A131</f>
        <v>5611</v>
      </c>
      <c r="B130" s="354" t="str">
        <f>'A) Base RI'!B131</f>
        <v>Savigny</v>
      </c>
      <c r="C130" s="407">
        <v>2637448.846702815</v>
      </c>
      <c r="D130" s="407">
        <v>1249549.1262238536</v>
      </c>
      <c r="E130" s="392">
        <v>0</v>
      </c>
      <c r="F130" s="392">
        <v>0</v>
      </c>
      <c r="G130" s="392">
        <v>0</v>
      </c>
      <c r="H130" s="407">
        <f t="shared" si="16"/>
        <v>3886997.9729266688</v>
      </c>
      <c r="I130" s="408">
        <v>134929.74355072467</v>
      </c>
      <c r="J130" s="358">
        <f>'B) D RI'!U131</f>
        <v>136715.33886473431</v>
      </c>
      <c r="K130" s="62">
        <f t="shared" si="23"/>
        <v>28.807569559082534</v>
      </c>
      <c r="L130" s="33">
        <f>'B) D RI'!S131</f>
        <v>69</v>
      </c>
      <c r="M130" s="33">
        <f t="shared" si="18"/>
        <v>40.192430440917462</v>
      </c>
      <c r="N130" s="87">
        <f>+'J) Plafonnement effort'!H129+'J) Plafonnement effort'!I129-'K) Plafonnement aide'!I129</f>
        <v>22.483495772609629</v>
      </c>
      <c r="O130" s="125">
        <f t="shared" si="19"/>
        <v>62.675926213527092</v>
      </c>
      <c r="P130" s="47">
        <f t="shared" si="20"/>
        <v>0</v>
      </c>
      <c r="Q130" s="55">
        <f t="shared" si="24"/>
        <v>0</v>
      </c>
      <c r="R130" s="145">
        <f t="shared" si="21"/>
        <v>62.675926213527092</v>
      </c>
      <c r="S130" s="125">
        <f t="shared" si="22"/>
        <v>-6.3240737864729084</v>
      </c>
      <c r="T130" s="144">
        <f t="shared" si="17"/>
        <v>0</v>
      </c>
      <c r="V130" s="12"/>
    </row>
    <row r="131" spans="1:22" x14ac:dyDescent="0.25">
      <c r="A131" s="49">
        <f>'A) Base RI'!A132</f>
        <v>5613</v>
      </c>
      <c r="B131" s="354" t="str">
        <f>'A) Base RI'!B132</f>
        <v>Bourg-en-Lavaux</v>
      </c>
      <c r="C131" s="407">
        <v>7124988.4752306249</v>
      </c>
      <c r="D131" s="407">
        <v>4622545.0732493224</v>
      </c>
      <c r="E131" s="392">
        <v>0</v>
      </c>
      <c r="F131" s="392">
        <v>0</v>
      </c>
      <c r="G131" s="392">
        <v>0</v>
      </c>
      <c r="H131" s="407">
        <f t="shared" si="16"/>
        <v>11747533.548479948</v>
      </c>
      <c r="I131" s="408">
        <v>333126.87406250008</v>
      </c>
      <c r="J131" s="358">
        <f>'B) D RI'!U132</f>
        <v>343828.17631999997</v>
      </c>
      <c r="K131" s="62">
        <f t="shared" si="23"/>
        <v>35.264442658792873</v>
      </c>
      <c r="L131" s="33">
        <f>'B) D RI'!S132</f>
        <v>62.5</v>
      </c>
      <c r="M131" s="33">
        <f t="shared" si="18"/>
        <v>27.235557341207127</v>
      </c>
      <c r="N131" s="87">
        <f>+'J) Plafonnement effort'!H130+'J) Plafonnement effort'!I130-'K) Plafonnement aide'!I130</f>
        <v>30.875032464804555</v>
      </c>
      <c r="O131" s="125">
        <f t="shared" si="19"/>
        <v>58.110589806011681</v>
      </c>
      <c r="P131" s="47">
        <f t="shared" si="20"/>
        <v>0</v>
      </c>
      <c r="Q131" s="55">
        <f t="shared" si="24"/>
        <v>0</v>
      </c>
      <c r="R131" s="145">
        <f t="shared" si="21"/>
        <v>58.110589806011681</v>
      </c>
      <c r="S131" s="125">
        <f t="shared" si="22"/>
        <v>-4.3894101939883186</v>
      </c>
      <c r="T131" s="144">
        <f t="shared" si="17"/>
        <v>0</v>
      </c>
      <c r="V131" s="12"/>
    </row>
    <row r="132" spans="1:22" x14ac:dyDescent="0.25">
      <c r="A132" s="49">
        <f>'A) Base RI'!A133</f>
        <v>5621</v>
      </c>
      <c r="B132" s="354" t="str">
        <f>'A) Base RI'!B133</f>
        <v>Aclens</v>
      </c>
      <c r="C132" s="407">
        <v>572991.88423543901</v>
      </c>
      <c r="D132" s="407">
        <v>482768.3125547283</v>
      </c>
      <c r="E132" s="392">
        <v>0</v>
      </c>
      <c r="F132" s="392">
        <v>0</v>
      </c>
      <c r="G132" s="392">
        <v>0</v>
      </c>
      <c r="H132" s="407">
        <f t="shared" si="16"/>
        <v>1055760.1967901674</v>
      </c>
      <c r="I132" s="408">
        <v>27514.906070381232</v>
      </c>
      <c r="J132" s="358">
        <f>'B) D RI'!U133</f>
        <v>32411.912521994131</v>
      </c>
      <c r="K132" s="62">
        <f t="shared" si="23"/>
        <v>38.370481588765216</v>
      </c>
      <c r="L132" s="33">
        <f>'B) D RI'!S133</f>
        <v>62</v>
      </c>
      <c r="M132" s="33">
        <f t="shared" si="18"/>
        <v>23.629518411234784</v>
      </c>
      <c r="N132" s="87">
        <f>+'J) Plafonnement effort'!H131+'J) Plafonnement effort'!I131-'K) Plafonnement aide'!I131</f>
        <v>34.174978342243406</v>
      </c>
      <c r="O132" s="125">
        <f t="shared" si="19"/>
        <v>57.80449675347819</v>
      </c>
      <c r="P132" s="47">
        <f t="shared" si="20"/>
        <v>0</v>
      </c>
      <c r="Q132" s="55">
        <f t="shared" si="24"/>
        <v>0</v>
      </c>
      <c r="R132" s="145">
        <f t="shared" si="21"/>
        <v>57.80449675347819</v>
      </c>
      <c r="S132" s="125">
        <f t="shared" si="22"/>
        <v>-4.1955032465218096</v>
      </c>
      <c r="T132" s="144">
        <f t="shared" si="17"/>
        <v>0</v>
      </c>
      <c r="V132" s="12"/>
    </row>
    <row r="133" spans="1:22" x14ac:dyDescent="0.25">
      <c r="A133" s="49">
        <f>'A) Base RI'!A134</f>
        <v>5622</v>
      </c>
      <c r="B133" s="354" t="str">
        <f>'A) Base RI'!B134</f>
        <v>Bremblens</v>
      </c>
      <c r="C133" s="407">
        <v>529390.18377926096</v>
      </c>
      <c r="D133" s="407">
        <v>477799.26585449628</v>
      </c>
      <c r="E133" s="392">
        <v>0</v>
      </c>
      <c r="F133" s="392">
        <v>0</v>
      </c>
      <c r="G133" s="392">
        <v>0</v>
      </c>
      <c r="H133" s="407">
        <f t="shared" si="16"/>
        <v>1007189.4496337572</v>
      </c>
      <c r="I133" s="408">
        <v>27505.151666666668</v>
      </c>
      <c r="J133" s="358">
        <f>'B) D RI'!U134</f>
        <v>27803.201911764703</v>
      </c>
      <c r="K133" s="62">
        <f t="shared" si="23"/>
        <v>36.618211084229877</v>
      </c>
      <c r="L133" s="33">
        <f>'B) D RI'!S134</f>
        <v>68</v>
      </c>
      <c r="M133" s="33">
        <f t="shared" si="18"/>
        <v>31.381788915770123</v>
      </c>
      <c r="N133" s="87">
        <f>+'J) Plafonnement effort'!H132+'J) Plafonnement effort'!I132-'K) Plafonnement aide'!I132</f>
        <v>30.376434502235188</v>
      </c>
      <c r="O133" s="125">
        <f t="shared" si="19"/>
        <v>61.758223418005315</v>
      </c>
      <c r="P133" s="47">
        <f t="shared" si="20"/>
        <v>0</v>
      </c>
      <c r="Q133" s="55">
        <f t="shared" si="24"/>
        <v>0</v>
      </c>
      <c r="R133" s="145">
        <f t="shared" si="21"/>
        <v>61.758223418005315</v>
      </c>
      <c r="S133" s="125">
        <f t="shared" si="22"/>
        <v>-6.2417765819946851</v>
      </c>
      <c r="T133" s="144">
        <f t="shared" si="17"/>
        <v>0</v>
      </c>
      <c r="V133" s="12"/>
    </row>
    <row r="134" spans="1:22" x14ac:dyDescent="0.25">
      <c r="A134" s="49">
        <f>'A) Base RI'!A135</f>
        <v>5623</v>
      </c>
      <c r="B134" s="354" t="str">
        <f>'A) Base RI'!B135</f>
        <v>Buchillon</v>
      </c>
      <c r="C134" s="407">
        <v>2783607.0210639983</v>
      </c>
      <c r="D134" s="407">
        <v>1710017.3178248792</v>
      </c>
      <c r="E134" s="392">
        <v>0</v>
      </c>
      <c r="F134" s="392">
        <v>-453528.95775680285</v>
      </c>
      <c r="G134" s="392">
        <v>0</v>
      </c>
      <c r="H134" s="407">
        <f t="shared" si="16"/>
        <v>4040095.3811320751</v>
      </c>
      <c r="I134" s="408">
        <v>89779.897358490547</v>
      </c>
      <c r="J134" s="358">
        <f>'B) D RI'!U135</f>
        <v>94394.012307692305</v>
      </c>
      <c r="K134" s="62">
        <f t="shared" si="23"/>
        <v>45.000000000000007</v>
      </c>
      <c r="L134" s="33">
        <f>'B) D RI'!S135</f>
        <v>52</v>
      </c>
      <c r="M134" s="33">
        <f t="shared" si="18"/>
        <v>6.9999999999999929</v>
      </c>
      <c r="N134" s="87">
        <f>+'J) Plafonnement effort'!H133+'J) Plafonnement effort'!I133-'K) Plafonnement aide'!I133</f>
        <v>46.066023606627311</v>
      </c>
      <c r="O134" s="125">
        <f t="shared" si="19"/>
        <v>53.066023606627304</v>
      </c>
      <c r="P134" s="47">
        <f t="shared" si="20"/>
        <v>0</v>
      </c>
      <c r="Q134" s="55">
        <f t="shared" si="24"/>
        <v>0</v>
      </c>
      <c r="R134" s="145">
        <f t="shared" si="21"/>
        <v>53.066023606627304</v>
      </c>
      <c r="S134" s="125">
        <f t="shared" si="22"/>
        <v>1.0660236066273043</v>
      </c>
      <c r="T134" s="144">
        <f t="shared" si="17"/>
        <v>0</v>
      </c>
      <c r="V134" s="12"/>
    </row>
    <row r="135" spans="1:22" x14ac:dyDescent="0.25">
      <c r="A135" s="49">
        <f>'A) Base RI'!A136</f>
        <v>5624</v>
      </c>
      <c r="B135" s="354" t="str">
        <f>'A) Base RI'!B136</f>
        <v>Bussigny</v>
      </c>
      <c r="C135" s="407">
        <v>7778192.9398488672</v>
      </c>
      <c r="D135" s="407">
        <v>3342940.6752898339</v>
      </c>
      <c r="E135" s="392">
        <v>0</v>
      </c>
      <c r="F135" s="392">
        <v>0</v>
      </c>
      <c r="G135" s="392">
        <v>0</v>
      </c>
      <c r="H135" s="407">
        <f t="shared" ref="H135:H198" si="25">SUM(C135:G135)</f>
        <v>11121133.615138702</v>
      </c>
      <c r="I135" s="408">
        <v>397950.93625000003</v>
      </c>
      <c r="J135" s="358">
        <f>'B) D RI'!U136</f>
        <v>354162.79119999992</v>
      </c>
      <c r="K135" s="62">
        <f t="shared" si="23"/>
        <v>27.945991834913546</v>
      </c>
      <c r="L135" s="33">
        <f>'B) D RI'!S136</f>
        <v>62.5</v>
      </c>
      <c r="M135" s="33">
        <f t="shared" si="18"/>
        <v>34.554008165086458</v>
      </c>
      <c r="N135" s="87">
        <f>+'J) Plafonnement effort'!H134+'J) Plafonnement effort'!I134-'K) Plafonnement aide'!I134</f>
        <v>15.046941986963333</v>
      </c>
      <c r="O135" s="125">
        <f t="shared" si="19"/>
        <v>49.600950152049791</v>
      </c>
      <c r="P135" s="47">
        <f t="shared" si="20"/>
        <v>0</v>
      </c>
      <c r="Q135" s="55">
        <f t="shared" si="24"/>
        <v>0</v>
      </c>
      <c r="R135" s="145">
        <f t="shared" si="21"/>
        <v>49.600950152049791</v>
      </c>
      <c r="S135" s="125">
        <f t="shared" si="22"/>
        <v>-12.899049847950209</v>
      </c>
      <c r="T135" s="144">
        <f t="shared" ref="T135:T198" si="26">+C135+D135+E135+F135+G135-H135</f>
        <v>0</v>
      </c>
      <c r="V135" s="12"/>
    </row>
    <row r="136" spans="1:22" x14ac:dyDescent="0.25">
      <c r="A136" s="49">
        <f>'A) Base RI'!A137</f>
        <v>5625</v>
      </c>
      <c r="B136" s="354" t="str">
        <f>'A) Base RI'!B137</f>
        <v>Bussy-Chardonney</v>
      </c>
      <c r="C136" s="407">
        <v>290489.98598669027</v>
      </c>
      <c r="D136" s="407">
        <v>257796.7725847199</v>
      </c>
      <c r="E136" s="392">
        <v>0</v>
      </c>
      <c r="F136" s="392">
        <v>0</v>
      </c>
      <c r="G136" s="392">
        <v>0</v>
      </c>
      <c r="H136" s="407">
        <f t="shared" si="25"/>
        <v>548286.7585714102</v>
      </c>
      <c r="I136" s="408">
        <v>16807.989913419911</v>
      </c>
      <c r="J136" s="358">
        <f>'B) D RI'!U137</f>
        <v>17740.486103896103</v>
      </c>
      <c r="K136" s="62">
        <f t="shared" si="23"/>
        <v>32.620602546509417</v>
      </c>
      <c r="L136" s="33">
        <f>'B) D RI'!S137</f>
        <v>77</v>
      </c>
      <c r="M136" s="33">
        <f t="shared" si="18"/>
        <v>44.379397453490583</v>
      </c>
      <c r="N136" s="87">
        <f>+'J) Plafonnement effort'!H135+'J) Plafonnement effort'!I135-'K) Plafonnement aide'!I135</f>
        <v>28.032529091221988</v>
      </c>
      <c r="O136" s="125">
        <f t="shared" si="19"/>
        <v>72.411926544712571</v>
      </c>
      <c r="P136" s="47">
        <f t="shared" si="20"/>
        <v>0</v>
      </c>
      <c r="Q136" s="55">
        <f t="shared" si="24"/>
        <v>0</v>
      </c>
      <c r="R136" s="145">
        <f t="shared" si="21"/>
        <v>72.411926544712571</v>
      </c>
      <c r="S136" s="125">
        <f t="shared" si="22"/>
        <v>-4.5880734552874287</v>
      </c>
      <c r="T136" s="144">
        <f t="shared" si="26"/>
        <v>0</v>
      </c>
      <c r="V136" s="12"/>
    </row>
    <row r="137" spans="1:22" x14ac:dyDescent="0.25">
      <c r="A137" s="49">
        <f>'A) Base RI'!A138</f>
        <v>5627</v>
      </c>
      <c r="B137" s="354" t="str">
        <f>'A) Base RI'!B138</f>
        <v>Chavannes-près-Renens</v>
      </c>
      <c r="C137" s="407">
        <v>4532938.7334451936</v>
      </c>
      <c r="D137" s="407">
        <v>-3280358.7566900114</v>
      </c>
      <c r="E137" s="392">
        <v>0</v>
      </c>
      <c r="F137" s="392">
        <v>0</v>
      </c>
      <c r="G137" s="392">
        <v>0</v>
      </c>
      <c r="H137" s="407">
        <f t="shared" si="25"/>
        <v>1252579.9767551823</v>
      </c>
      <c r="I137" s="408">
        <v>211976.34008438818</v>
      </c>
      <c r="J137" s="358">
        <f>'B) D RI'!U138</f>
        <v>161901.70176344088</v>
      </c>
      <c r="K137" s="62">
        <f t="shared" si="23"/>
        <v>5.9090555873194521</v>
      </c>
      <c r="L137" s="33">
        <f>'B) D RI'!S138</f>
        <v>77.5</v>
      </c>
      <c r="M137" s="33">
        <f t="shared" si="18"/>
        <v>71.590944412680543</v>
      </c>
      <c r="N137" s="87">
        <f>+'J) Plafonnement effort'!H136+'J) Plafonnement effort'!I136-'K) Plafonnement aide'!I136</f>
        <v>-11.179851103432025</v>
      </c>
      <c r="O137" s="125">
        <f t="shared" si="19"/>
        <v>60.411093309248514</v>
      </c>
      <c r="P137" s="47">
        <f t="shared" si="20"/>
        <v>0</v>
      </c>
      <c r="Q137" s="55">
        <f t="shared" si="24"/>
        <v>0</v>
      </c>
      <c r="R137" s="145">
        <f t="shared" si="21"/>
        <v>60.411093309248514</v>
      </c>
      <c r="S137" s="125">
        <f t="shared" si="22"/>
        <v>-17.088906690751486</v>
      </c>
      <c r="T137" s="144">
        <f t="shared" si="26"/>
        <v>0</v>
      </c>
      <c r="V137" s="12"/>
    </row>
    <row r="138" spans="1:22" x14ac:dyDescent="0.25">
      <c r="A138" s="49">
        <f>'A) Base RI'!A139</f>
        <v>5628</v>
      </c>
      <c r="B138" s="354" t="str">
        <f>'A) Base RI'!B139</f>
        <v>Chigny</v>
      </c>
      <c r="C138" s="407">
        <v>467814.25288006134</v>
      </c>
      <c r="D138" s="407">
        <v>399978.84075358987</v>
      </c>
      <c r="E138" s="392">
        <v>0</v>
      </c>
      <c r="F138" s="392">
        <v>0</v>
      </c>
      <c r="G138" s="392">
        <v>0</v>
      </c>
      <c r="H138" s="407">
        <f t="shared" si="25"/>
        <v>867793.09363365127</v>
      </c>
      <c r="I138" s="408">
        <v>22390.960806451614</v>
      </c>
      <c r="J138" s="358">
        <f>'B) D RI'!U139</f>
        <v>24624.530161290324</v>
      </c>
      <c r="K138" s="62">
        <f t="shared" si="23"/>
        <v>38.756402690125292</v>
      </c>
      <c r="L138" s="33">
        <f>'B) D RI'!S139</f>
        <v>62</v>
      </c>
      <c r="M138" s="33">
        <f t="shared" si="18"/>
        <v>23.243597309874708</v>
      </c>
      <c r="N138" s="87">
        <f>+'J) Plafonnement effort'!H137+'J) Plafonnement effort'!I137-'K) Plafonnement aide'!I137</f>
        <v>34.400409652288701</v>
      </c>
      <c r="O138" s="125">
        <f t="shared" si="19"/>
        <v>57.644006962163409</v>
      </c>
      <c r="P138" s="47">
        <f t="shared" si="20"/>
        <v>0</v>
      </c>
      <c r="Q138" s="55">
        <f t="shared" si="24"/>
        <v>0</v>
      </c>
      <c r="R138" s="145">
        <f t="shared" si="21"/>
        <v>57.644006962163409</v>
      </c>
      <c r="S138" s="125">
        <f t="shared" si="22"/>
        <v>-4.3559930378365905</v>
      </c>
      <c r="T138" s="144">
        <f t="shared" si="26"/>
        <v>0</v>
      </c>
      <c r="V138" s="12"/>
    </row>
    <row r="139" spans="1:22" x14ac:dyDescent="0.25">
      <c r="A139" s="49">
        <f>'A) Base RI'!A140</f>
        <v>5629</v>
      </c>
      <c r="B139" s="354" t="str">
        <f>'A) Base RI'!B140</f>
        <v>Clarmont</v>
      </c>
      <c r="C139" s="407">
        <v>150763.45955791863</v>
      </c>
      <c r="D139" s="407">
        <v>61644.395063556934</v>
      </c>
      <c r="E139" s="392">
        <v>0</v>
      </c>
      <c r="F139" s="392">
        <v>0</v>
      </c>
      <c r="G139" s="392">
        <v>0</v>
      </c>
      <c r="H139" s="407">
        <f t="shared" si="25"/>
        <v>212407.85462147556</v>
      </c>
      <c r="I139" s="408">
        <v>6767.1243999999997</v>
      </c>
      <c r="J139" s="358">
        <f>'B) D RI'!U140</f>
        <v>8521.2598639455773</v>
      </c>
      <c r="K139" s="62">
        <f t="shared" si="23"/>
        <v>31.388200078230508</v>
      </c>
      <c r="L139" s="33">
        <f>'B) D RI'!S140</f>
        <v>73.5</v>
      </c>
      <c r="M139" s="33">
        <f t="shared" si="18"/>
        <v>42.111799921769489</v>
      </c>
      <c r="N139" s="87">
        <f>+'J) Plafonnement effort'!H138+'J) Plafonnement effort'!I138-'K) Plafonnement aide'!I138</f>
        <v>27.285249525996061</v>
      </c>
      <c r="O139" s="125">
        <f t="shared" si="19"/>
        <v>69.397049447765554</v>
      </c>
      <c r="P139" s="47">
        <f t="shared" si="20"/>
        <v>0</v>
      </c>
      <c r="Q139" s="55">
        <f t="shared" si="24"/>
        <v>0</v>
      </c>
      <c r="R139" s="145">
        <f t="shared" si="21"/>
        <v>69.397049447765554</v>
      </c>
      <c r="S139" s="125">
        <f t="shared" si="22"/>
        <v>-4.1029505522344465</v>
      </c>
      <c r="T139" s="144">
        <f t="shared" si="26"/>
        <v>0</v>
      </c>
      <c r="V139" s="12"/>
    </row>
    <row r="140" spans="1:22" x14ac:dyDescent="0.25">
      <c r="A140" s="49">
        <f>'A) Base RI'!A141</f>
        <v>5631</v>
      </c>
      <c r="B140" s="354" t="str">
        <f>'A) Base RI'!B141</f>
        <v>Denens</v>
      </c>
      <c r="C140" s="407">
        <v>1105993.3915390924</v>
      </c>
      <c r="D140" s="407">
        <v>936645.33940817311</v>
      </c>
      <c r="E140" s="392">
        <v>0</v>
      </c>
      <c r="F140" s="392">
        <v>0</v>
      </c>
      <c r="G140" s="392">
        <v>0</v>
      </c>
      <c r="H140" s="407">
        <f t="shared" si="25"/>
        <v>2042638.7309472654</v>
      </c>
      <c r="I140" s="408">
        <v>51475.873428571431</v>
      </c>
      <c r="J140" s="358">
        <f>'B) D RI'!U141</f>
        <v>43455.14235294117</v>
      </c>
      <c r="K140" s="62">
        <f t="shared" si="23"/>
        <v>39.681477843822435</v>
      </c>
      <c r="L140" s="33">
        <f>'B) D RI'!S141</f>
        <v>68</v>
      </c>
      <c r="M140" s="33">
        <f t="shared" si="18"/>
        <v>28.318522156177565</v>
      </c>
      <c r="N140" s="87">
        <f>+'J) Plafonnement effort'!H139+'J) Plafonnement effort'!I139-'K) Plafonnement aide'!I139</f>
        <v>33.548312071329974</v>
      </c>
      <c r="O140" s="125">
        <f t="shared" si="19"/>
        <v>61.866834227507539</v>
      </c>
      <c r="P140" s="47">
        <f t="shared" si="20"/>
        <v>0</v>
      </c>
      <c r="Q140" s="55">
        <f t="shared" si="24"/>
        <v>0</v>
      </c>
      <c r="R140" s="145">
        <f t="shared" si="21"/>
        <v>61.866834227507539</v>
      </c>
      <c r="S140" s="125">
        <f t="shared" si="22"/>
        <v>-6.1331657724924611</v>
      </c>
      <c r="T140" s="144">
        <f t="shared" si="26"/>
        <v>0</v>
      </c>
      <c r="V140" s="12"/>
    </row>
    <row r="141" spans="1:22" x14ac:dyDescent="0.25">
      <c r="A141" s="49">
        <f>'A) Base RI'!A142</f>
        <v>5632</v>
      </c>
      <c r="B141" s="354" t="str">
        <f>'A) Base RI'!B142</f>
        <v>Denges</v>
      </c>
      <c r="C141" s="407">
        <v>1244384.0841051333</v>
      </c>
      <c r="D141" s="407">
        <v>1077379.5643599471</v>
      </c>
      <c r="E141" s="392">
        <v>0</v>
      </c>
      <c r="F141" s="392">
        <v>0</v>
      </c>
      <c r="G141" s="392">
        <v>0</v>
      </c>
      <c r="H141" s="407">
        <f t="shared" si="25"/>
        <v>2321763.6484650802</v>
      </c>
      <c r="I141" s="408">
        <v>72992.009193548365</v>
      </c>
      <c r="J141" s="358">
        <f>'B) D RI'!U142</f>
        <v>76479.966774193541</v>
      </c>
      <c r="K141" s="62">
        <f t="shared" si="23"/>
        <v>31.808463338892398</v>
      </c>
      <c r="L141" s="33">
        <f>'B) D RI'!S142</f>
        <v>62</v>
      </c>
      <c r="M141" s="33">
        <f t="shared" si="18"/>
        <v>30.191536661107602</v>
      </c>
      <c r="N141" s="87">
        <f>+'J) Plafonnement effort'!H140+'J) Plafonnement effort'!I140-'K) Plafonnement aide'!I140</f>
        <v>26.846062795081806</v>
      </c>
      <c r="O141" s="125">
        <f t="shared" si="19"/>
        <v>57.037599456189412</v>
      </c>
      <c r="P141" s="47">
        <f t="shared" si="20"/>
        <v>0</v>
      </c>
      <c r="Q141" s="55">
        <f t="shared" si="24"/>
        <v>0</v>
      </c>
      <c r="R141" s="145">
        <f t="shared" si="21"/>
        <v>57.037599456189412</v>
      </c>
      <c r="S141" s="125">
        <f t="shared" si="22"/>
        <v>-4.9624005438105883</v>
      </c>
      <c r="T141" s="144">
        <f t="shared" si="26"/>
        <v>0</v>
      </c>
      <c r="V141" s="12"/>
    </row>
    <row r="142" spans="1:22" x14ac:dyDescent="0.25">
      <c r="A142" s="49">
        <f>'A) Base RI'!A143</f>
        <v>5633</v>
      </c>
      <c r="B142" s="354" t="str">
        <f>'A) Base RI'!B143</f>
        <v>Echandens</v>
      </c>
      <c r="C142" s="407">
        <v>3100696.3006851585</v>
      </c>
      <c r="D142" s="407">
        <v>2481782.1991851283</v>
      </c>
      <c r="E142" s="392">
        <v>0</v>
      </c>
      <c r="F142" s="392">
        <v>0</v>
      </c>
      <c r="G142" s="392">
        <v>0</v>
      </c>
      <c r="H142" s="407">
        <f t="shared" si="25"/>
        <v>5582478.4998702873</v>
      </c>
      <c r="I142" s="408">
        <v>160902.30048387093</v>
      </c>
      <c r="J142" s="358">
        <f>'B) D RI'!U143</f>
        <v>148865.46909090912</v>
      </c>
      <c r="K142" s="62">
        <f t="shared" si="23"/>
        <v>34.694833343479033</v>
      </c>
      <c r="L142" s="33">
        <f>'B) D RI'!S143</f>
        <v>60.5</v>
      </c>
      <c r="M142" s="33">
        <f t="shared" si="18"/>
        <v>25.805166656520967</v>
      </c>
      <c r="N142" s="87">
        <f>+'J) Plafonnement effort'!H141+'J) Plafonnement effort'!I141-'K) Plafonnement aide'!I141</f>
        <v>29.62602621470095</v>
      </c>
      <c r="O142" s="125">
        <f t="shared" si="19"/>
        <v>55.431192871221917</v>
      </c>
      <c r="P142" s="47">
        <f t="shared" si="20"/>
        <v>0</v>
      </c>
      <c r="Q142" s="55">
        <f t="shared" si="24"/>
        <v>0</v>
      </c>
      <c r="R142" s="145">
        <f t="shared" si="21"/>
        <v>55.431192871221917</v>
      </c>
      <c r="S142" s="125">
        <f t="shared" si="22"/>
        <v>-5.0688071287780829</v>
      </c>
      <c r="T142" s="144">
        <f t="shared" si="26"/>
        <v>0</v>
      </c>
      <c r="V142" s="12"/>
    </row>
    <row r="143" spans="1:22" x14ac:dyDescent="0.25">
      <c r="A143" s="49">
        <f>'A) Base RI'!A144</f>
        <v>5634</v>
      </c>
      <c r="B143" s="354" t="str">
        <f>'A) Base RI'!B144</f>
        <v>Echichens</v>
      </c>
      <c r="C143" s="407">
        <v>3585007.2110498417</v>
      </c>
      <c r="D143" s="407">
        <v>2598375.8137741447</v>
      </c>
      <c r="E143" s="392">
        <v>0</v>
      </c>
      <c r="F143" s="392">
        <v>0</v>
      </c>
      <c r="G143" s="392">
        <v>0</v>
      </c>
      <c r="H143" s="407">
        <f t="shared" si="25"/>
        <v>6183383.024823986</v>
      </c>
      <c r="I143" s="408">
        <v>173253.00779411764</v>
      </c>
      <c r="J143" s="358">
        <f>'B) D RI'!U144</f>
        <v>164177.5981818182</v>
      </c>
      <c r="K143" s="62">
        <f t="shared" si="23"/>
        <v>35.689902897223625</v>
      </c>
      <c r="L143" s="33">
        <f>'B) D RI'!S144</f>
        <v>66</v>
      </c>
      <c r="M143" s="33">
        <f t="shared" si="18"/>
        <v>30.310097102776375</v>
      </c>
      <c r="N143" s="87">
        <f>+'J) Plafonnement effort'!H142+'J) Plafonnement effort'!I142-'K) Plafonnement aide'!I142</f>
        <v>28.884786842310476</v>
      </c>
      <c r="O143" s="125">
        <f t="shared" si="19"/>
        <v>59.19488394508685</v>
      </c>
      <c r="P143" s="47">
        <f t="shared" si="20"/>
        <v>0</v>
      </c>
      <c r="Q143" s="55">
        <f t="shared" si="24"/>
        <v>0</v>
      </c>
      <c r="R143" s="145">
        <f t="shared" si="21"/>
        <v>59.19488394508685</v>
      </c>
      <c r="S143" s="125">
        <f t="shared" si="22"/>
        <v>-6.8051160549131495</v>
      </c>
      <c r="T143" s="144">
        <f t="shared" si="26"/>
        <v>0</v>
      </c>
      <c r="V143" s="12"/>
    </row>
    <row r="144" spans="1:22" x14ac:dyDescent="0.25">
      <c r="A144" s="49">
        <f>'A) Base RI'!A145</f>
        <v>5635</v>
      </c>
      <c r="B144" s="354" t="str">
        <f>'A) Base RI'!B145</f>
        <v>Ecublens</v>
      </c>
      <c r="C144" s="407">
        <v>9118647.4423422944</v>
      </c>
      <c r="D144" s="407">
        <v>-177658.21355390549</v>
      </c>
      <c r="E144" s="392">
        <v>0</v>
      </c>
      <c r="F144" s="392">
        <v>0</v>
      </c>
      <c r="G144" s="392">
        <v>0</v>
      </c>
      <c r="H144" s="407">
        <f t="shared" si="25"/>
        <v>8940989.2287883889</v>
      </c>
      <c r="I144" s="408">
        <v>489428.14554687496</v>
      </c>
      <c r="J144" s="358">
        <f>'B) D RI'!U145</f>
        <v>681739.39309333346</v>
      </c>
      <c r="K144" s="62">
        <f t="shared" si="23"/>
        <v>18.268236737382455</v>
      </c>
      <c r="L144" s="33">
        <f>'B) D RI'!S145</f>
        <v>62.5</v>
      </c>
      <c r="M144" s="33">
        <f t="shared" si="18"/>
        <v>44.231763262617548</v>
      </c>
      <c r="N144" s="87">
        <f>+'J) Plafonnement effort'!H143+'J) Plafonnement effort'!I143-'K) Plafonnement aide'!I143</f>
        <v>22.485473179543355</v>
      </c>
      <c r="O144" s="125">
        <f t="shared" si="19"/>
        <v>66.717236442160896</v>
      </c>
      <c r="P144" s="47">
        <f t="shared" si="20"/>
        <v>0</v>
      </c>
      <c r="Q144" s="55">
        <f t="shared" si="24"/>
        <v>0</v>
      </c>
      <c r="R144" s="145">
        <f t="shared" si="21"/>
        <v>66.717236442160896</v>
      </c>
      <c r="S144" s="125">
        <f t="shared" si="22"/>
        <v>4.2172364421608961</v>
      </c>
      <c r="T144" s="144">
        <f t="shared" si="26"/>
        <v>0</v>
      </c>
      <c r="V144" s="12"/>
    </row>
    <row r="145" spans="1:22" x14ac:dyDescent="0.25">
      <c r="A145" s="49">
        <f>'A) Base RI'!A146</f>
        <v>5636</v>
      </c>
      <c r="B145" s="354" t="str">
        <f>'A) Base RI'!B146</f>
        <v>Etoy</v>
      </c>
      <c r="C145" s="407">
        <v>3759596.492169857</v>
      </c>
      <c r="D145" s="407">
        <v>2720639.380326075</v>
      </c>
      <c r="E145" s="392">
        <v>0</v>
      </c>
      <c r="F145" s="392">
        <v>0</v>
      </c>
      <c r="G145" s="392">
        <v>0</v>
      </c>
      <c r="H145" s="407">
        <f t="shared" si="25"/>
        <v>6480235.8724959325</v>
      </c>
      <c r="I145" s="408">
        <v>176252.1018032787</v>
      </c>
      <c r="J145" s="358">
        <f>'B) D RI'!U146</f>
        <v>170715.46099999998</v>
      </c>
      <c r="K145" s="62">
        <f t="shared" si="23"/>
        <v>36.766857281104976</v>
      </c>
      <c r="L145" s="33">
        <f>'B) D RI'!S146</f>
        <v>60</v>
      </c>
      <c r="M145" s="33">
        <f t="shared" si="18"/>
        <v>23.233142718895024</v>
      </c>
      <c r="N145" s="87">
        <f>+'J) Plafonnement effort'!H144+'J) Plafonnement effort'!I144-'K) Plafonnement aide'!I144</f>
        <v>30.795023907960953</v>
      </c>
      <c r="O145" s="125">
        <f t="shared" si="19"/>
        <v>54.028166626855977</v>
      </c>
      <c r="P145" s="47">
        <f t="shared" si="20"/>
        <v>0</v>
      </c>
      <c r="Q145" s="55">
        <f t="shared" si="24"/>
        <v>0</v>
      </c>
      <c r="R145" s="145">
        <f t="shared" si="21"/>
        <v>54.028166626855977</v>
      </c>
      <c r="S145" s="125">
        <f t="shared" si="22"/>
        <v>-5.9718333731440225</v>
      </c>
      <c r="T145" s="144">
        <f t="shared" si="26"/>
        <v>0</v>
      </c>
      <c r="V145" s="12"/>
    </row>
    <row r="146" spans="1:22" x14ac:dyDescent="0.25">
      <c r="A146" s="49">
        <f>'A) Base RI'!A147</f>
        <v>5637</v>
      </c>
      <c r="B146" s="354" t="str">
        <f>'A) Base RI'!B147</f>
        <v>Lavigny</v>
      </c>
      <c r="C146" s="407">
        <v>666471.21109418862</v>
      </c>
      <c r="D146" s="407">
        <v>409508.66897248948</v>
      </c>
      <c r="E146" s="392">
        <v>0</v>
      </c>
      <c r="F146" s="392">
        <v>0</v>
      </c>
      <c r="G146" s="392">
        <v>0</v>
      </c>
      <c r="H146" s="407">
        <f t="shared" si="25"/>
        <v>1075979.8800666782</v>
      </c>
      <c r="I146" s="408">
        <v>37192.899776286358</v>
      </c>
      <c r="J146" s="358">
        <f>'B) D RI'!U147</f>
        <v>41194.659315068493</v>
      </c>
      <c r="K146" s="62">
        <f t="shared" si="23"/>
        <v>28.929712029410165</v>
      </c>
      <c r="L146" s="33">
        <f>'B) D RI'!S147</f>
        <v>73</v>
      </c>
      <c r="M146" s="33">
        <f t="shared" si="18"/>
        <v>44.070287970589831</v>
      </c>
      <c r="N146" s="87">
        <f>+'J) Plafonnement effort'!H145+'J) Plafonnement effort'!I145-'K) Plafonnement aide'!I145</f>
        <v>26.265189814346037</v>
      </c>
      <c r="O146" s="125">
        <f t="shared" si="19"/>
        <v>70.335477784935875</v>
      </c>
      <c r="P146" s="47">
        <f t="shared" si="20"/>
        <v>0</v>
      </c>
      <c r="Q146" s="55">
        <f t="shared" si="24"/>
        <v>0</v>
      </c>
      <c r="R146" s="145">
        <f t="shared" si="21"/>
        <v>70.335477784935875</v>
      </c>
      <c r="S146" s="125">
        <f t="shared" si="22"/>
        <v>-2.6645222150641246</v>
      </c>
      <c r="T146" s="144">
        <f t="shared" si="26"/>
        <v>0</v>
      </c>
      <c r="V146" s="12"/>
    </row>
    <row r="147" spans="1:22" x14ac:dyDescent="0.25">
      <c r="A147" s="49">
        <f>'A) Base RI'!A148</f>
        <v>5638</v>
      </c>
      <c r="B147" s="354" t="str">
        <f>'A) Base RI'!B148</f>
        <v>Lonay</v>
      </c>
      <c r="C147" s="407">
        <v>4319933.9244946996</v>
      </c>
      <c r="D147" s="407">
        <v>2428631.6092328168</v>
      </c>
      <c r="E147" s="392">
        <v>0</v>
      </c>
      <c r="F147" s="392">
        <v>0</v>
      </c>
      <c r="G147" s="392">
        <v>0</v>
      </c>
      <c r="H147" s="407">
        <f t="shared" si="25"/>
        <v>6748565.5337275164</v>
      </c>
      <c r="I147" s="408">
        <v>157137.98454545456</v>
      </c>
      <c r="J147" s="358">
        <f>'B) D RI'!U148</f>
        <v>145490.01981818181</v>
      </c>
      <c r="K147" s="62">
        <f t="shared" si="23"/>
        <v>42.946748701459839</v>
      </c>
      <c r="L147" s="33">
        <f>'B) D RI'!S148</f>
        <v>55</v>
      </c>
      <c r="M147" s="33">
        <f t="shared" si="18"/>
        <v>12.053251298540161</v>
      </c>
      <c r="N147" s="87">
        <f>+'J) Plafonnement effort'!H146+'J) Plafonnement effort'!I146-'K) Plafonnement aide'!I146</f>
        <v>29.548085703515902</v>
      </c>
      <c r="O147" s="125">
        <f t="shared" si="19"/>
        <v>41.601337002056063</v>
      </c>
      <c r="P147" s="47">
        <f t="shared" si="20"/>
        <v>0</v>
      </c>
      <c r="Q147" s="55">
        <f t="shared" si="24"/>
        <v>0</v>
      </c>
      <c r="R147" s="145">
        <f t="shared" si="21"/>
        <v>41.601337002056063</v>
      </c>
      <c r="S147" s="125">
        <f t="shared" si="22"/>
        <v>-13.398662997943937</v>
      </c>
      <c r="T147" s="144">
        <f t="shared" si="26"/>
        <v>0</v>
      </c>
      <c r="V147" s="12"/>
    </row>
    <row r="148" spans="1:22" x14ac:dyDescent="0.25">
      <c r="A148" s="49">
        <f>'A) Base RI'!A149</f>
        <v>5639</v>
      </c>
      <c r="B148" s="354" t="str">
        <f>'A) Base RI'!B149</f>
        <v>Lully</v>
      </c>
      <c r="C148" s="407">
        <v>869096.13799074583</v>
      </c>
      <c r="D148" s="407">
        <v>841079.95303040266</v>
      </c>
      <c r="E148" s="392">
        <v>0</v>
      </c>
      <c r="F148" s="392">
        <v>0</v>
      </c>
      <c r="G148" s="392">
        <v>0</v>
      </c>
      <c r="H148" s="407">
        <f t="shared" si="25"/>
        <v>1710176.0910211485</v>
      </c>
      <c r="I148" s="408">
        <v>47176.43180327869</v>
      </c>
      <c r="J148" s="358">
        <f>'B) D RI'!U149</f>
        <v>45623.094262295082</v>
      </c>
      <c r="K148" s="62">
        <f t="shared" si="23"/>
        <v>36.250645198272366</v>
      </c>
      <c r="L148" s="33">
        <f>'B) D RI'!S149</f>
        <v>61</v>
      </c>
      <c r="M148" s="33">
        <f t="shared" si="18"/>
        <v>24.749354801727634</v>
      </c>
      <c r="N148" s="87">
        <f>+'J) Plafonnement effort'!H147+'J) Plafonnement effort'!I147-'K) Plafonnement aide'!I147</f>
        <v>32.494661040128911</v>
      </c>
      <c r="O148" s="125">
        <f t="shared" si="19"/>
        <v>57.244015841856545</v>
      </c>
      <c r="P148" s="47">
        <f t="shared" si="20"/>
        <v>0</v>
      </c>
      <c r="Q148" s="55">
        <f t="shared" si="24"/>
        <v>0</v>
      </c>
      <c r="R148" s="145">
        <f t="shared" si="21"/>
        <v>57.244015841856545</v>
      </c>
      <c r="S148" s="125">
        <f t="shared" si="22"/>
        <v>-3.7559841581434554</v>
      </c>
      <c r="T148" s="144">
        <f t="shared" si="26"/>
        <v>0</v>
      </c>
      <c r="V148" s="12"/>
    </row>
    <row r="149" spans="1:22" x14ac:dyDescent="0.25">
      <c r="A149" s="49">
        <f>'A) Base RI'!A150</f>
        <v>5640</v>
      </c>
      <c r="B149" s="354" t="str">
        <f>'A) Base RI'!B150</f>
        <v>Lussy-sur-Morges</v>
      </c>
      <c r="C149" s="407">
        <v>1736633.7301760232</v>
      </c>
      <c r="D149" s="407">
        <v>1140982.3321459931</v>
      </c>
      <c r="E149" s="392">
        <v>0</v>
      </c>
      <c r="F149" s="392">
        <v>-114595.51232201634</v>
      </c>
      <c r="G149" s="392">
        <v>0</v>
      </c>
      <c r="H149" s="407">
        <f t="shared" si="25"/>
        <v>2763020.55</v>
      </c>
      <c r="I149" s="408">
        <v>61400.456666666665</v>
      </c>
      <c r="J149" s="358">
        <f>'B) D RI'!U150</f>
        <v>57031.532424242418</v>
      </c>
      <c r="K149" s="62">
        <f t="shared" si="23"/>
        <v>45</v>
      </c>
      <c r="L149" s="33">
        <f>'B) D RI'!S150</f>
        <v>66</v>
      </c>
      <c r="M149" s="33">
        <f t="shared" si="18"/>
        <v>21</v>
      </c>
      <c r="N149" s="87">
        <f>+'J) Plafonnement effort'!H148+'J) Plafonnement effort'!I148-'K) Plafonnement aide'!I148</f>
        <v>39.076984593656547</v>
      </c>
      <c r="O149" s="125">
        <f t="shared" si="19"/>
        <v>60.076984593656547</v>
      </c>
      <c r="P149" s="47">
        <f t="shared" si="20"/>
        <v>0</v>
      </c>
      <c r="Q149" s="55">
        <f t="shared" si="24"/>
        <v>0</v>
      </c>
      <c r="R149" s="145">
        <f t="shared" si="21"/>
        <v>60.076984593656547</v>
      </c>
      <c r="S149" s="125">
        <f t="shared" si="22"/>
        <v>-5.9230154063434526</v>
      </c>
      <c r="T149" s="144">
        <f t="shared" si="26"/>
        <v>0</v>
      </c>
      <c r="V149" s="12"/>
    </row>
    <row r="150" spans="1:22" x14ac:dyDescent="0.25">
      <c r="A150" s="49">
        <f>'A) Base RI'!A151</f>
        <v>5642</v>
      </c>
      <c r="B150" s="354" t="str">
        <f>'A) Base RI'!B151</f>
        <v>Morges</v>
      </c>
      <c r="C150" s="407">
        <v>17047853.214152928</v>
      </c>
      <c r="D150" s="407">
        <v>6114107.5701209828</v>
      </c>
      <c r="E150" s="392">
        <v>0</v>
      </c>
      <c r="F150" s="392">
        <v>0</v>
      </c>
      <c r="G150" s="392">
        <v>0</v>
      </c>
      <c r="H150" s="407">
        <f t="shared" si="25"/>
        <v>23161960.784273911</v>
      </c>
      <c r="I150" s="408">
        <v>842114.79489051085</v>
      </c>
      <c r="J150" s="358">
        <f>'B) D RI'!U151</f>
        <v>787513.11402985093</v>
      </c>
      <c r="K150" s="62">
        <f t="shared" si="23"/>
        <v>27.504517109553166</v>
      </c>
      <c r="L150" s="33">
        <f>'B) D RI'!S151</f>
        <v>67</v>
      </c>
      <c r="M150" s="33">
        <f t="shared" si="18"/>
        <v>39.495482890446837</v>
      </c>
      <c r="N150" s="87">
        <f>+'J) Plafonnement effort'!H149+'J) Plafonnement effort'!I149-'K) Plafonnement aide'!I149</f>
        <v>19.610616291315061</v>
      </c>
      <c r="O150" s="125">
        <f t="shared" si="19"/>
        <v>59.106099181761898</v>
      </c>
      <c r="P150" s="47">
        <f t="shared" si="20"/>
        <v>0</v>
      </c>
      <c r="Q150" s="55">
        <f t="shared" si="24"/>
        <v>0</v>
      </c>
      <c r="R150" s="145">
        <f t="shared" si="21"/>
        <v>59.106099181761898</v>
      </c>
      <c r="S150" s="125">
        <f t="shared" si="22"/>
        <v>-7.8939008182381016</v>
      </c>
      <c r="T150" s="144">
        <f t="shared" si="26"/>
        <v>0</v>
      </c>
      <c r="V150" s="12"/>
    </row>
    <row r="151" spans="1:22" x14ac:dyDescent="0.25">
      <c r="A151" s="49">
        <f>'A) Base RI'!A152</f>
        <v>5643</v>
      </c>
      <c r="B151" s="354" t="str">
        <f>'A) Base RI'!B152</f>
        <v>Préverenges</v>
      </c>
      <c r="C151" s="407">
        <v>4895220.5829126667</v>
      </c>
      <c r="D151" s="407">
        <v>3208317.1163546713</v>
      </c>
      <c r="E151" s="392">
        <v>0</v>
      </c>
      <c r="F151" s="392">
        <v>0</v>
      </c>
      <c r="G151" s="392">
        <v>0</v>
      </c>
      <c r="H151" s="407">
        <f t="shared" si="25"/>
        <v>8103537.699267338</v>
      </c>
      <c r="I151" s="408">
        <v>259364.760625</v>
      </c>
      <c r="J151" s="358">
        <f>'B) D RI'!U152</f>
        <v>262337.37167999998</v>
      </c>
      <c r="K151" s="62">
        <f t="shared" si="23"/>
        <v>31.243788399549615</v>
      </c>
      <c r="L151" s="33">
        <f>'B) D RI'!S152</f>
        <v>62.5</v>
      </c>
      <c r="M151" s="33">
        <f t="shared" si="18"/>
        <v>31.256211600450385</v>
      </c>
      <c r="N151" s="87">
        <f>+'J) Plafonnement effort'!H150+'J) Plafonnement effort'!I150-'K) Plafonnement aide'!I150</f>
        <v>26.186855575812501</v>
      </c>
      <c r="O151" s="125">
        <f t="shared" si="19"/>
        <v>57.443067176262886</v>
      </c>
      <c r="P151" s="47">
        <f t="shared" si="20"/>
        <v>0</v>
      </c>
      <c r="Q151" s="55">
        <f t="shared" si="24"/>
        <v>0</v>
      </c>
      <c r="R151" s="145">
        <f t="shared" si="21"/>
        <v>57.443067176262886</v>
      </c>
      <c r="S151" s="125">
        <f t="shared" si="22"/>
        <v>-5.0569328237371138</v>
      </c>
      <c r="T151" s="144">
        <f t="shared" si="26"/>
        <v>0</v>
      </c>
      <c r="V151" s="12"/>
    </row>
    <row r="152" spans="1:22" x14ac:dyDescent="0.25">
      <c r="A152" s="49">
        <f>'A) Base RI'!A153</f>
        <v>5644</v>
      </c>
      <c r="B152" s="354" t="str">
        <f>'A) Base RI'!B153</f>
        <v>Reverolle</v>
      </c>
      <c r="C152" s="407">
        <v>288479.23813299288</v>
      </c>
      <c r="D152" s="407">
        <v>225898.22939567629</v>
      </c>
      <c r="E152" s="392">
        <v>0</v>
      </c>
      <c r="F152" s="392">
        <v>0</v>
      </c>
      <c r="G152" s="392">
        <v>0</v>
      </c>
      <c r="H152" s="407">
        <f t="shared" si="25"/>
        <v>514377.46752866916</v>
      </c>
      <c r="I152" s="408">
        <v>16859.730657894735</v>
      </c>
      <c r="J152" s="358">
        <f>'B) D RI'!U153</f>
        <v>16020.747027027028</v>
      </c>
      <c r="K152" s="62">
        <f t="shared" si="23"/>
        <v>30.509233982798346</v>
      </c>
      <c r="L152" s="33">
        <f>'B) D RI'!S153</f>
        <v>74</v>
      </c>
      <c r="M152" s="33">
        <f t="shared" si="18"/>
        <v>43.490766017201651</v>
      </c>
      <c r="N152" s="87">
        <f>+'J) Plafonnement effort'!H151+'J) Plafonnement effort'!I151-'K) Plafonnement aide'!I151</f>
        <v>25.097172734084367</v>
      </c>
      <c r="O152" s="125">
        <f t="shared" si="19"/>
        <v>68.587938751286018</v>
      </c>
      <c r="P152" s="47">
        <f t="shared" si="20"/>
        <v>0</v>
      </c>
      <c r="Q152" s="55">
        <f t="shared" si="24"/>
        <v>0</v>
      </c>
      <c r="R152" s="145">
        <f t="shared" si="21"/>
        <v>68.587938751286018</v>
      </c>
      <c r="S152" s="125">
        <f t="shared" si="22"/>
        <v>-5.4120612487139823</v>
      </c>
      <c r="T152" s="144">
        <f t="shared" si="26"/>
        <v>0</v>
      </c>
      <c r="V152" s="12"/>
    </row>
    <row r="153" spans="1:22" x14ac:dyDescent="0.25">
      <c r="A153" s="49">
        <f>'A) Base RI'!A154</f>
        <v>5645</v>
      </c>
      <c r="B153" s="354" t="str">
        <f>'A) Base RI'!B154</f>
        <v>Romanel-sur-Morges</v>
      </c>
      <c r="C153" s="407">
        <v>629782.76944932796</v>
      </c>
      <c r="D153" s="407">
        <v>536024.53097325924</v>
      </c>
      <c r="E153" s="392">
        <v>0</v>
      </c>
      <c r="F153" s="392">
        <v>0</v>
      </c>
      <c r="G153" s="392">
        <v>0</v>
      </c>
      <c r="H153" s="407">
        <f t="shared" si="25"/>
        <v>1165807.3004225872</v>
      </c>
      <c r="I153" s="408">
        <v>29743.552142857145</v>
      </c>
      <c r="J153" s="358">
        <f>'B) D RI'!U154</f>
        <v>27365.134464285718</v>
      </c>
      <c r="K153" s="62">
        <f t="shared" si="23"/>
        <v>39.195294994466678</v>
      </c>
      <c r="L153" s="33">
        <f>'B) D RI'!S154</f>
        <v>56</v>
      </c>
      <c r="M153" s="33">
        <f t="shared" si="18"/>
        <v>16.804705005533322</v>
      </c>
      <c r="N153" s="87">
        <f>+'J) Plafonnement effort'!H152+'J) Plafonnement effort'!I152-'K) Plafonnement aide'!I152</f>
        <v>33.152457764197557</v>
      </c>
      <c r="O153" s="125">
        <f t="shared" si="19"/>
        <v>49.957162769730878</v>
      </c>
      <c r="P153" s="47">
        <f t="shared" si="20"/>
        <v>0</v>
      </c>
      <c r="Q153" s="55">
        <f t="shared" si="24"/>
        <v>0</v>
      </c>
      <c r="R153" s="145">
        <f t="shared" si="21"/>
        <v>49.957162769730878</v>
      </c>
      <c r="S153" s="125">
        <f t="shared" si="22"/>
        <v>-6.0428372302691216</v>
      </c>
      <c r="T153" s="144">
        <f t="shared" si="26"/>
        <v>0</v>
      </c>
      <c r="V153" s="12"/>
    </row>
    <row r="154" spans="1:22" x14ac:dyDescent="0.25">
      <c r="A154" s="49">
        <f>'A) Base RI'!A155</f>
        <v>5646</v>
      </c>
      <c r="B154" s="354" t="str">
        <f>'A) Base RI'!B155</f>
        <v>Saint-Prex</v>
      </c>
      <c r="C154" s="407">
        <v>9279074.7527597435</v>
      </c>
      <c r="D154" s="407">
        <v>6083556.692325728</v>
      </c>
      <c r="E154" s="392">
        <v>0</v>
      </c>
      <c r="F154" s="392">
        <v>0</v>
      </c>
      <c r="G154" s="392">
        <v>0</v>
      </c>
      <c r="H154" s="407">
        <f t="shared" si="25"/>
        <v>15362631.445085471</v>
      </c>
      <c r="I154" s="408">
        <v>419083.43709090899</v>
      </c>
      <c r="J154" s="358">
        <f>'B) D RI'!U155</f>
        <v>541092.68090909091</v>
      </c>
      <c r="K154" s="62">
        <f t="shared" si="23"/>
        <v>36.657691727752436</v>
      </c>
      <c r="L154" s="33">
        <f>'B) D RI'!S155</f>
        <v>55</v>
      </c>
      <c r="M154" s="33">
        <f t="shared" si="18"/>
        <v>18.342308272247564</v>
      </c>
      <c r="N154" s="87">
        <f>+'J) Plafonnement effort'!H153+'J) Plafonnement effort'!I153-'K) Plafonnement aide'!I153</f>
        <v>37.369541028440459</v>
      </c>
      <c r="O154" s="125">
        <f t="shared" si="19"/>
        <v>55.711849300688023</v>
      </c>
      <c r="P154" s="47">
        <f t="shared" si="20"/>
        <v>0</v>
      </c>
      <c r="Q154" s="55">
        <f t="shared" si="24"/>
        <v>0</v>
      </c>
      <c r="R154" s="145">
        <f t="shared" si="21"/>
        <v>55.711849300688023</v>
      </c>
      <c r="S154" s="125">
        <f t="shared" si="22"/>
        <v>0.71184930068802288</v>
      </c>
      <c r="T154" s="144">
        <f t="shared" si="26"/>
        <v>0</v>
      </c>
      <c r="V154" s="12"/>
    </row>
    <row r="155" spans="1:22" x14ac:dyDescent="0.25">
      <c r="A155" s="49">
        <f>'A) Base RI'!A156</f>
        <v>5648</v>
      </c>
      <c r="B155" s="354" t="str">
        <f>'A) Base RI'!B156</f>
        <v>Saint-Sulpice</v>
      </c>
      <c r="C155" s="407">
        <v>9512323.221918229</v>
      </c>
      <c r="D155" s="407">
        <v>5980030.9496113956</v>
      </c>
      <c r="E155" s="392">
        <v>0</v>
      </c>
      <c r="F155" s="392">
        <v>0</v>
      </c>
      <c r="G155" s="392">
        <v>0</v>
      </c>
      <c r="H155" s="407">
        <f t="shared" si="25"/>
        <v>15492354.171529625</v>
      </c>
      <c r="I155" s="408">
        <v>383471.67436363641</v>
      </c>
      <c r="J155" s="358">
        <f>'B) D RI'!U156</f>
        <v>396458.15636363637</v>
      </c>
      <c r="K155" s="62">
        <f t="shared" si="23"/>
        <v>40.400256934854127</v>
      </c>
      <c r="L155" s="33">
        <f>'B) D RI'!S156</f>
        <v>55</v>
      </c>
      <c r="M155" s="33">
        <f t="shared" si="18"/>
        <v>14.599743065145873</v>
      </c>
      <c r="N155" s="87">
        <f>+'J) Plafonnement effort'!H154+'J) Plafonnement effort'!I154-'K) Plafonnement aide'!I154</f>
        <v>35.292875842354576</v>
      </c>
      <c r="O155" s="125">
        <f t="shared" si="19"/>
        <v>49.892618907500449</v>
      </c>
      <c r="P155" s="47">
        <f t="shared" si="20"/>
        <v>0</v>
      </c>
      <c r="Q155" s="55">
        <f t="shared" si="24"/>
        <v>0</v>
      </c>
      <c r="R155" s="145">
        <f t="shared" si="21"/>
        <v>49.892618907500449</v>
      </c>
      <c r="S155" s="125">
        <f t="shared" si="22"/>
        <v>-5.1073810924995513</v>
      </c>
      <c r="T155" s="144">
        <f t="shared" si="26"/>
        <v>0</v>
      </c>
      <c r="V155" s="12"/>
    </row>
    <row r="156" spans="1:22" x14ac:dyDescent="0.25">
      <c r="A156" s="49">
        <f>'A) Base RI'!A157</f>
        <v>5649</v>
      </c>
      <c r="B156" s="354" t="str">
        <f>'A) Base RI'!B157</f>
        <v>Tolochenaz</v>
      </c>
      <c r="C156" s="407">
        <v>2068987.3541509476</v>
      </c>
      <c r="D156" s="407">
        <v>1751943.6344315775</v>
      </c>
      <c r="E156" s="392">
        <v>0</v>
      </c>
      <c r="F156" s="392">
        <v>0</v>
      </c>
      <c r="G156" s="392">
        <v>0</v>
      </c>
      <c r="H156" s="407">
        <f t="shared" si="25"/>
        <v>3820930.9885825254</v>
      </c>
      <c r="I156" s="408">
        <v>109794.23076923077</v>
      </c>
      <c r="J156" s="358">
        <f>'B) D RI'!U157</f>
        <v>215548.34569230766</v>
      </c>
      <c r="K156" s="62">
        <f t="shared" si="23"/>
        <v>34.800835725271284</v>
      </c>
      <c r="L156" s="33">
        <f>'B) D RI'!S157</f>
        <v>65</v>
      </c>
      <c r="M156" s="33">
        <f t="shared" si="18"/>
        <v>30.199164274728716</v>
      </c>
      <c r="N156" s="87">
        <f>+'J) Plafonnement effort'!H155+'J) Plafonnement effort'!I155-'K) Plafonnement aide'!I155</f>
        <v>45.27156225100692</v>
      </c>
      <c r="O156" s="125">
        <f t="shared" si="19"/>
        <v>75.470726525735643</v>
      </c>
      <c r="P156" s="47">
        <f t="shared" si="20"/>
        <v>0</v>
      </c>
      <c r="Q156" s="55">
        <f t="shared" si="24"/>
        <v>0</v>
      </c>
      <c r="R156" s="145">
        <f t="shared" si="21"/>
        <v>75.470726525735643</v>
      </c>
      <c r="S156" s="125">
        <f t="shared" si="22"/>
        <v>10.470726525735643</v>
      </c>
      <c r="T156" s="144">
        <f t="shared" si="26"/>
        <v>0</v>
      </c>
      <c r="V156" s="12"/>
    </row>
    <row r="157" spans="1:22" x14ac:dyDescent="0.25">
      <c r="A157" s="49">
        <f>'A) Base RI'!A158</f>
        <v>5650</v>
      </c>
      <c r="B157" s="354" t="str">
        <f>'A) Base RI'!B158</f>
        <v>Vaux-sur-Morges</v>
      </c>
      <c r="C157" s="407">
        <v>7368678.8639374375</v>
      </c>
      <c r="D157" s="407">
        <v>3233160.1504558627</v>
      </c>
      <c r="E157" s="392">
        <v>0</v>
      </c>
      <c r="F157" s="392">
        <v>-3274277.7876075851</v>
      </c>
      <c r="G157" s="392">
        <v>0</v>
      </c>
      <c r="H157" s="407">
        <f t="shared" si="25"/>
        <v>7327561.2267857147</v>
      </c>
      <c r="I157" s="408">
        <v>162834.69392857142</v>
      </c>
      <c r="J157" s="358">
        <f>'B) D RI'!U158</f>
        <v>63002.429285714286</v>
      </c>
      <c r="K157" s="62">
        <f t="shared" si="23"/>
        <v>45.000000000000007</v>
      </c>
      <c r="L157" s="33">
        <f>'B) D RI'!S158</f>
        <v>56</v>
      </c>
      <c r="M157" s="33">
        <f t="shared" si="18"/>
        <v>10.999999999999993</v>
      </c>
      <c r="N157" s="87">
        <f>+'J) Plafonnement effort'!H156+'J) Plafonnement effort'!I156-'K) Plafonnement aide'!I156</f>
        <v>48</v>
      </c>
      <c r="O157" s="125">
        <f t="shared" si="19"/>
        <v>58.999999999999993</v>
      </c>
      <c r="P157" s="47">
        <f t="shared" si="20"/>
        <v>0</v>
      </c>
      <c r="Q157" s="55">
        <f t="shared" si="24"/>
        <v>0</v>
      </c>
      <c r="R157" s="145">
        <f t="shared" si="21"/>
        <v>58.999999999999993</v>
      </c>
      <c r="S157" s="125">
        <f t="shared" si="22"/>
        <v>2.9999999999999929</v>
      </c>
      <c r="T157" s="144">
        <f t="shared" si="26"/>
        <v>0</v>
      </c>
      <c r="V157" s="12"/>
    </row>
    <row r="158" spans="1:22" x14ac:dyDescent="0.25">
      <c r="A158" s="49">
        <f>'A) Base RI'!A159</f>
        <v>5651</v>
      </c>
      <c r="B158" s="354" t="str">
        <f>'A) Base RI'!B159</f>
        <v>Villars-Sainte-Croix</v>
      </c>
      <c r="C158" s="407">
        <v>1184718.7729052808</v>
      </c>
      <c r="D158" s="407">
        <v>1051811.9936491475</v>
      </c>
      <c r="E158" s="392">
        <v>0</v>
      </c>
      <c r="F158" s="392">
        <v>0</v>
      </c>
      <c r="G158" s="392">
        <v>0</v>
      </c>
      <c r="H158" s="407">
        <f t="shared" si="25"/>
        <v>2236530.7665544283</v>
      </c>
      <c r="I158" s="408">
        <v>58682.807419354831</v>
      </c>
      <c r="J158" s="358">
        <f>'B) D RI'!U159</f>
        <v>55737.982975206622</v>
      </c>
      <c r="K158" s="62">
        <f t="shared" si="23"/>
        <v>38.112197846498617</v>
      </c>
      <c r="L158" s="33">
        <f>'B) D RI'!S159</f>
        <v>60.5</v>
      </c>
      <c r="M158" s="33">
        <f t="shared" si="18"/>
        <v>22.387802153501383</v>
      </c>
      <c r="N158" s="87">
        <f>+'J) Plafonnement effort'!H157+'J) Plafonnement effort'!I157-'K) Plafonnement aide'!I157</f>
        <v>33.153599777592035</v>
      </c>
      <c r="O158" s="125">
        <f t="shared" si="19"/>
        <v>55.541401931093418</v>
      </c>
      <c r="P158" s="47">
        <f t="shared" si="20"/>
        <v>0</v>
      </c>
      <c r="Q158" s="55">
        <f t="shared" si="24"/>
        <v>0</v>
      </c>
      <c r="R158" s="145">
        <f t="shared" si="21"/>
        <v>55.541401931093418</v>
      </c>
      <c r="S158" s="125">
        <f t="shared" si="22"/>
        <v>-4.9585980689065821</v>
      </c>
      <c r="T158" s="144">
        <f t="shared" si="26"/>
        <v>0</v>
      </c>
      <c r="V158" s="12"/>
    </row>
    <row r="159" spans="1:22" x14ac:dyDescent="0.25">
      <c r="A159" s="49">
        <f>'A) Base RI'!A160</f>
        <v>5652</v>
      </c>
      <c r="B159" s="354" t="str">
        <f>'A) Base RI'!B160</f>
        <v>Villars-sous-Yens</v>
      </c>
      <c r="C159" s="407">
        <v>586267.14705282368</v>
      </c>
      <c r="D159" s="407">
        <v>583170.22206894436</v>
      </c>
      <c r="E159" s="392">
        <v>0</v>
      </c>
      <c r="F159" s="392">
        <v>0</v>
      </c>
      <c r="G159" s="392">
        <v>0</v>
      </c>
      <c r="H159" s="407">
        <f t="shared" si="25"/>
        <v>1169437.369121768</v>
      </c>
      <c r="I159" s="408">
        <v>32935.200285087711</v>
      </c>
      <c r="J159" s="358">
        <f>'B) D RI'!U160</f>
        <v>25662.281995614037</v>
      </c>
      <c r="K159" s="62">
        <f t="shared" si="23"/>
        <v>35.50721899363284</v>
      </c>
      <c r="L159" s="33">
        <f>'B) D RI'!S160</f>
        <v>76</v>
      </c>
      <c r="M159" s="33">
        <f t="shared" si="18"/>
        <v>40.49278100636716</v>
      </c>
      <c r="N159" s="87">
        <f>+'J) Plafonnement effort'!H158+'J) Plafonnement effort'!I158-'K) Plafonnement aide'!I158</f>
        <v>26.613159298522383</v>
      </c>
      <c r="O159" s="125">
        <f t="shared" si="19"/>
        <v>67.105940304889543</v>
      </c>
      <c r="P159" s="47">
        <f t="shared" si="20"/>
        <v>0</v>
      </c>
      <c r="Q159" s="55">
        <f t="shared" si="24"/>
        <v>0</v>
      </c>
      <c r="R159" s="145">
        <f t="shared" si="21"/>
        <v>67.105940304889543</v>
      </c>
      <c r="S159" s="125">
        <f t="shared" si="22"/>
        <v>-8.8940596951104567</v>
      </c>
      <c r="T159" s="144">
        <f t="shared" si="26"/>
        <v>0</v>
      </c>
      <c r="V159" s="12"/>
    </row>
    <row r="160" spans="1:22" x14ac:dyDescent="0.25">
      <c r="A160" s="49">
        <f>'A) Base RI'!A161</f>
        <v>5653</v>
      </c>
      <c r="B160" s="354" t="str">
        <f>'A) Base RI'!B161</f>
        <v>Vufflens-le-Château</v>
      </c>
      <c r="C160" s="407">
        <v>2520648.8416742105</v>
      </c>
      <c r="D160" s="407">
        <v>1326887.2078166173</v>
      </c>
      <c r="E160" s="392">
        <v>0</v>
      </c>
      <c r="F160" s="392">
        <v>-613528.78949082759</v>
      </c>
      <c r="G160" s="392">
        <v>0</v>
      </c>
      <c r="H160" s="407">
        <f t="shared" si="25"/>
        <v>3234007.2600000007</v>
      </c>
      <c r="I160" s="408">
        <v>71866.827999999994</v>
      </c>
      <c r="J160" s="358">
        <f>'B) D RI'!U161</f>
        <v>68786.034529914527</v>
      </c>
      <c r="K160" s="62">
        <f t="shared" si="23"/>
        <v>45.000000000000014</v>
      </c>
      <c r="L160" s="33">
        <f>'B) D RI'!S161</f>
        <v>58.5</v>
      </c>
      <c r="M160" s="33">
        <f t="shared" si="18"/>
        <v>13.499999999999986</v>
      </c>
      <c r="N160" s="87">
        <f>+'J) Plafonnement effort'!H159+'J) Plafonnement effort'!I159-'K) Plafonnement aide'!I159</f>
        <v>38.24373584922408</v>
      </c>
      <c r="O160" s="125">
        <f t="shared" si="19"/>
        <v>51.743735849224066</v>
      </c>
      <c r="P160" s="47">
        <f t="shared" si="20"/>
        <v>0</v>
      </c>
      <c r="Q160" s="55">
        <f t="shared" si="24"/>
        <v>0</v>
      </c>
      <c r="R160" s="145">
        <f t="shared" si="21"/>
        <v>51.743735849224066</v>
      </c>
      <c r="S160" s="125">
        <f t="shared" si="22"/>
        <v>-6.7562641507759338</v>
      </c>
      <c r="T160" s="144">
        <f t="shared" si="26"/>
        <v>0</v>
      </c>
      <c r="V160" s="12"/>
    </row>
    <row r="161" spans="1:22" x14ac:dyDescent="0.25">
      <c r="A161" s="49">
        <f>'A) Base RI'!A162</f>
        <v>5654</v>
      </c>
      <c r="B161" s="354" t="str">
        <f>'A) Base RI'!B162</f>
        <v>Vullierens</v>
      </c>
      <c r="C161" s="407">
        <v>292261.14718037349</v>
      </c>
      <c r="D161" s="407">
        <v>157343.54522893656</v>
      </c>
      <c r="E161" s="392">
        <v>0</v>
      </c>
      <c r="F161" s="392">
        <v>0</v>
      </c>
      <c r="G161" s="392">
        <v>0</v>
      </c>
      <c r="H161" s="407">
        <f t="shared" si="25"/>
        <v>449604.69240931002</v>
      </c>
      <c r="I161" s="408">
        <v>18067.402499999997</v>
      </c>
      <c r="J161" s="358">
        <f>'B) D RI'!U162</f>
        <v>19265.899342105262</v>
      </c>
      <c r="K161" s="62">
        <f t="shared" si="23"/>
        <v>24.884855053697404</v>
      </c>
      <c r="L161" s="33">
        <f>'B) D RI'!S162</f>
        <v>76</v>
      </c>
      <c r="M161" s="33">
        <f t="shared" si="18"/>
        <v>51.115144946302593</v>
      </c>
      <c r="N161" s="87">
        <f>+'J) Plafonnement effort'!H160+'J) Plafonnement effort'!I160-'K) Plafonnement aide'!I160</f>
        <v>21.444084714453023</v>
      </c>
      <c r="O161" s="125">
        <f t="shared" si="19"/>
        <v>72.559229660755619</v>
      </c>
      <c r="P161" s="47">
        <f t="shared" si="20"/>
        <v>0</v>
      </c>
      <c r="Q161" s="55">
        <f t="shared" si="24"/>
        <v>0</v>
      </c>
      <c r="R161" s="145">
        <f t="shared" si="21"/>
        <v>72.559229660755619</v>
      </c>
      <c r="S161" s="125">
        <f t="shared" si="22"/>
        <v>-3.4407703392443807</v>
      </c>
      <c r="T161" s="144">
        <f t="shared" si="26"/>
        <v>0</v>
      </c>
      <c r="V161" s="12"/>
    </row>
    <row r="162" spans="1:22" x14ac:dyDescent="0.25">
      <c r="A162" s="49">
        <f>'A) Base RI'!A163</f>
        <v>5655</v>
      </c>
      <c r="B162" s="354" t="str">
        <f>'A) Base RI'!B163</f>
        <v>Yens</v>
      </c>
      <c r="C162" s="407">
        <v>1510281.1106004845</v>
      </c>
      <c r="D162" s="407">
        <v>1251729.7630611965</v>
      </c>
      <c r="E162" s="392">
        <v>0</v>
      </c>
      <c r="F162" s="392">
        <v>0</v>
      </c>
      <c r="G162" s="392">
        <v>0</v>
      </c>
      <c r="H162" s="407">
        <f t="shared" si="25"/>
        <v>2762010.8736616811</v>
      </c>
      <c r="I162" s="408">
        <v>77231.578767123297</v>
      </c>
      <c r="J162" s="358">
        <f>'B) D RI'!U163</f>
        <v>90935.122097902116</v>
      </c>
      <c r="K162" s="62">
        <f t="shared" si="23"/>
        <v>35.76271413523714</v>
      </c>
      <c r="L162" s="33">
        <f>'B) D RI'!S163</f>
        <v>71.5</v>
      </c>
      <c r="M162" s="33">
        <f t="shared" si="18"/>
        <v>35.73728586476286</v>
      </c>
      <c r="N162" s="87">
        <f>+'J) Plafonnement effort'!H161+'J) Plafonnement effort'!I161-'K) Plafonnement aide'!I161</f>
        <v>33.479580502209316</v>
      </c>
      <c r="O162" s="125">
        <f t="shared" si="19"/>
        <v>69.21686636697217</v>
      </c>
      <c r="P162" s="47">
        <f t="shared" si="20"/>
        <v>0</v>
      </c>
      <c r="Q162" s="55">
        <f t="shared" si="24"/>
        <v>0</v>
      </c>
      <c r="R162" s="145">
        <f t="shared" si="21"/>
        <v>69.21686636697217</v>
      </c>
      <c r="S162" s="125">
        <f t="shared" si="22"/>
        <v>-2.2831336330278305</v>
      </c>
      <c r="T162" s="144">
        <f t="shared" si="26"/>
        <v>0</v>
      </c>
      <c r="V162" s="12"/>
    </row>
    <row r="163" spans="1:22" x14ac:dyDescent="0.25">
      <c r="A163" s="49">
        <f>'A) Base RI'!A164</f>
        <v>5661</v>
      </c>
      <c r="B163" s="354" t="str">
        <f>'A) Base RI'!B164</f>
        <v>Boulens</v>
      </c>
      <c r="C163" s="407">
        <v>154082.96105970879</v>
      </c>
      <c r="D163" s="407">
        <v>9532.3145439714426</v>
      </c>
      <c r="E163" s="392">
        <v>0</v>
      </c>
      <c r="F163" s="392">
        <v>0</v>
      </c>
      <c r="G163" s="392">
        <v>0</v>
      </c>
      <c r="H163" s="407">
        <f t="shared" si="25"/>
        <v>163615.27560368023</v>
      </c>
      <c r="I163" s="408">
        <v>10067.366438356165</v>
      </c>
      <c r="J163" s="358">
        <f>'B) D RI'!U164</f>
        <v>10167.852447552446</v>
      </c>
      <c r="K163" s="62">
        <f t="shared" si="23"/>
        <v>16.252043332833718</v>
      </c>
      <c r="L163" s="33">
        <f>'B) D RI'!S164</f>
        <v>71.5</v>
      </c>
      <c r="M163" s="33">
        <f t="shared" si="18"/>
        <v>55.247956667166278</v>
      </c>
      <c r="N163" s="87">
        <f>+'J) Plafonnement effort'!H162+'J) Plafonnement effort'!I162-'K) Plafonnement aide'!I162</f>
        <v>13.317677209008943</v>
      </c>
      <c r="O163" s="125">
        <f t="shared" si="19"/>
        <v>68.565633876175227</v>
      </c>
      <c r="P163" s="47">
        <f t="shared" si="20"/>
        <v>0</v>
      </c>
      <c r="Q163" s="55">
        <f t="shared" si="24"/>
        <v>0</v>
      </c>
      <c r="R163" s="145">
        <f t="shared" si="21"/>
        <v>68.565633876175227</v>
      </c>
      <c r="S163" s="125">
        <f t="shared" si="22"/>
        <v>-2.9343661238247734</v>
      </c>
      <c r="T163" s="144">
        <f t="shared" si="26"/>
        <v>0</v>
      </c>
      <c r="V163" s="12"/>
    </row>
    <row r="164" spans="1:22" x14ac:dyDescent="0.25">
      <c r="A164" s="49">
        <f>'A) Base RI'!A165</f>
        <v>5663</v>
      </c>
      <c r="B164" s="354" t="str">
        <f>'A) Base RI'!B165</f>
        <v>Bussy-sur-Moudon</v>
      </c>
      <c r="C164" s="407">
        <v>116096.59945191049</v>
      </c>
      <c r="D164" s="407">
        <v>582.11598697307636</v>
      </c>
      <c r="E164" s="392">
        <v>0</v>
      </c>
      <c r="F164" s="392">
        <v>0</v>
      </c>
      <c r="G164" s="392">
        <v>0</v>
      </c>
      <c r="H164" s="407">
        <f t="shared" si="25"/>
        <v>116678.71543888356</v>
      </c>
      <c r="I164" s="408">
        <v>6357.5273750000006</v>
      </c>
      <c r="J164" s="358">
        <f>'B) D RI'!U165</f>
        <v>5408.1284999999998</v>
      </c>
      <c r="K164" s="62">
        <f t="shared" si="23"/>
        <v>18.352845148210399</v>
      </c>
      <c r="L164" s="33">
        <f>'B) D RI'!S165</f>
        <v>80</v>
      </c>
      <c r="M164" s="33">
        <f t="shared" si="18"/>
        <v>61.647154851789601</v>
      </c>
      <c r="N164" s="87">
        <f>+'J) Plafonnement effort'!H163+'J) Plafonnement effort'!I163-'K) Plafonnement aide'!I163</f>
        <v>3.7308322056406018</v>
      </c>
      <c r="O164" s="125">
        <f t="shared" si="19"/>
        <v>65.377987057430204</v>
      </c>
      <c r="P164" s="47">
        <f t="shared" si="20"/>
        <v>0</v>
      </c>
      <c r="Q164" s="55">
        <f t="shared" si="24"/>
        <v>0</v>
      </c>
      <c r="R164" s="145">
        <f t="shared" si="21"/>
        <v>65.377987057430204</v>
      </c>
      <c r="S164" s="125">
        <f t="shared" si="22"/>
        <v>-14.622012942569796</v>
      </c>
      <c r="T164" s="144">
        <f t="shared" si="26"/>
        <v>0</v>
      </c>
      <c r="V164" s="12"/>
    </row>
    <row r="165" spans="1:22" x14ac:dyDescent="0.25">
      <c r="A165" s="49">
        <f>'A) Base RI'!A166</f>
        <v>5665</v>
      </c>
      <c r="B165" s="354" t="str">
        <f>'A) Base RI'!B166</f>
        <v>Chavannes-sur-Moudon</v>
      </c>
      <c r="C165" s="407">
        <v>84311.882415610526</v>
      </c>
      <c r="D165" s="407">
        <v>-40554.25434183664</v>
      </c>
      <c r="E165" s="392">
        <v>0</v>
      </c>
      <c r="F165" s="392">
        <v>0</v>
      </c>
      <c r="G165" s="392">
        <v>0</v>
      </c>
      <c r="H165" s="407">
        <f t="shared" si="25"/>
        <v>43757.628073773885</v>
      </c>
      <c r="I165" s="408">
        <v>4734.8986301369869</v>
      </c>
      <c r="J165" s="358">
        <f>'B) D RI'!U166</f>
        <v>6834.8221917808223</v>
      </c>
      <c r="K165" s="62">
        <f t="shared" si="23"/>
        <v>9.2415131752267143</v>
      </c>
      <c r="L165" s="33">
        <f>'B) D RI'!S166</f>
        <v>73</v>
      </c>
      <c r="M165" s="33">
        <f t="shared" si="18"/>
        <v>63.758486824773286</v>
      </c>
      <c r="N165" s="87">
        <f>+'J) Plafonnement effort'!H164+'J) Plafonnement effort'!I164-'K) Plafonnement aide'!I164</f>
        <v>16.894833305709252</v>
      </c>
      <c r="O165" s="125">
        <f t="shared" si="19"/>
        <v>80.653320130482541</v>
      </c>
      <c r="P165" s="47">
        <f t="shared" si="20"/>
        <v>0</v>
      </c>
      <c r="Q165" s="55">
        <f t="shared" si="24"/>
        <v>0</v>
      </c>
      <c r="R165" s="145">
        <f t="shared" si="21"/>
        <v>80.653320130482541</v>
      </c>
      <c r="S165" s="125">
        <f t="shared" si="22"/>
        <v>7.6533201304825411</v>
      </c>
      <c r="T165" s="144">
        <f t="shared" si="26"/>
        <v>0</v>
      </c>
      <c r="V165" s="12"/>
    </row>
    <row r="166" spans="1:22" x14ac:dyDescent="0.25">
      <c r="A166" s="49">
        <f>'A) Base RI'!A167</f>
        <v>5669</v>
      </c>
      <c r="B166" s="354" t="str">
        <f>'A) Base RI'!B167</f>
        <v>Curtilles</v>
      </c>
      <c r="C166" s="407">
        <v>154560.57103144846</v>
      </c>
      <c r="D166" s="407">
        <v>58572.118354149134</v>
      </c>
      <c r="E166" s="392">
        <v>0</v>
      </c>
      <c r="F166" s="392">
        <v>0</v>
      </c>
      <c r="G166" s="392">
        <v>0</v>
      </c>
      <c r="H166" s="407">
        <f t="shared" si="25"/>
        <v>213132.68938559759</v>
      </c>
      <c r="I166" s="408">
        <v>10002.199066666666</v>
      </c>
      <c r="J166" s="358">
        <f>'B) D RI'!U167</f>
        <v>10286.853972602739</v>
      </c>
      <c r="K166" s="62">
        <f t="shared" si="23"/>
        <v>21.308583039092245</v>
      </c>
      <c r="L166" s="33">
        <f>'B) D RI'!S167</f>
        <v>73</v>
      </c>
      <c r="M166" s="33">
        <f t="shared" si="18"/>
        <v>51.691416960907759</v>
      </c>
      <c r="N166" s="87">
        <f>+'J) Plafonnement effort'!H165+'J) Plafonnement effort'!I165-'K) Plafonnement aide'!I165</f>
        <v>20.779460641069672</v>
      </c>
      <c r="O166" s="125">
        <f t="shared" si="19"/>
        <v>72.470877601977435</v>
      </c>
      <c r="P166" s="47">
        <f t="shared" si="20"/>
        <v>0</v>
      </c>
      <c r="Q166" s="55">
        <f t="shared" si="24"/>
        <v>0</v>
      </c>
      <c r="R166" s="145">
        <f t="shared" si="21"/>
        <v>72.470877601977435</v>
      </c>
      <c r="S166" s="125">
        <f t="shared" si="22"/>
        <v>-0.52912239802256522</v>
      </c>
      <c r="T166" s="144">
        <f t="shared" si="26"/>
        <v>0</v>
      </c>
      <c r="V166" s="12"/>
    </row>
    <row r="167" spans="1:22" x14ac:dyDescent="0.25">
      <c r="A167" s="49">
        <f>'A) Base RI'!A168</f>
        <v>5671</v>
      </c>
      <c r="B167" s="354" t="str">
        <f>'A) Base RI'!B168</f>
        <v>Dompierre</v>
      </c>
      <c r="C167" s="407">
        <v>120548.36113394867</v>
      </c>
      <c r="D167" s="407">
        <v>-8197.0556861176447</v>
      </c>
      <c r="E167" s="392">
        <v>0</v>
      </c>
      <c r="F167" s="392">
        <v>0</v>
      </c>
      <c r="G167" s="392">
        <v>0</v>
      </c>
      <c r="H167" s="407">
        <f t="shared" si="25"/>
        <v>112351.30544783102</v>
      </c>
      <c r="I167" s="408">
        <v>6571.3844999999983</v>
      </c>
      <c r="J167" s="358">
        <f>'B) D RI'!U168</f>
        <v>6034.0657692307695</v>
      </c>
      <c r="K167" s="62">
        <f t="shared" si="23"/>
        <v>17.097052447293422</v>
      </c>
      <c r="L167" s="33">
        <f>'B) D RI'!S168</f>
        <v>78</v>
      </c>
      <c r="M167" s="33">
        <f t="shared" ref="M167:M218" si="27">L167-K167</f>
        <v>60.902947552706578</v>
      </c>
      <c r="N167" s="87">
        <f>+'J) Plafonnement effort'!H166+'J) Plafonnement effort'!I166-'K) Plafonnement aide'!I166</f>
        <v>4.7955445014100464</v>
      </c>
      <c r="O167" s="125">
        <f t="shared" ref="O167:O218" si="28">M167+N167</f>
        <v>65.698492054116628</v>
      </c>
      <c r="P167" s="47">
        <f t="shared" ref="P167:P218" si="29">IF(O167&gt;$P$5,$P$5-O167,0)</f>
        <v>0</v>
      </c>
      <c r="Q167" s="55">
        <f t="shared" si="24"/>
        <v>0</v>
      </c>
      <c r="R167" s="145">
        <f t="shared" ref="R167:R218" si="30">O167+P167</f>
        <v>65.698492054116628</v>
      </c>
      <c r="S167" s="125">
        <f t="shared" ref="S167:S218" si="31">R167-L167</f>
        <v>-12.301507945883372</v>
      </c>
      <c r="T167" s="144">
        <f t="shared" si="26"/>
        <v>0</v>
      </c>
      <c r="V167" s="12"/>
    </row>
    <row r="168" spans="1:22" x14ac:dyDescent="0.25">
      <c r="A168" s="49">
        <f>'A) Base RI'!A169</f>
        <v>5673</v>
      </c>
      <c r="B168" s="354" t="str">
        <f>'A) Base RI'!B169</f>
        <v>Hermenches</v>
      </c>
      <c r="C168" s="407">
        <v>168896.91571658928</v>
      </c>
      <c r="D168" s="407">
        <v>-12323.726686992304</v>
      </c>
      <c r="E168" s="392">
        <v>0</v>
      </c>
      <c r="F168" s="392">
        <v>0</v>
      </c>
      <c r="G168" s="392">
        <v>0</v>
      </c>
      <c r="H168" s="407">
        <f t="shared" si="25"/>
        <v>156573.18902959698</v>
      </c>
      <c r="I168" s="408">
        <v>9909.6989333333331</v>
      </c>
      <c r="J168" s="358">
        <f>'B) D RI'!U169</f>
        <v>10638.728435374151</v>
      </c>
      <c r="K168" s="62">
        <f t="shared" ref="K168:K220" si="32">H168/I168</f>
        <v>15.799994538979433</v>
      </c>
      <c r="L168" s="33">
        <f>'B) D RI'!S169</f>
        <v>73.5</v>
      </c>
      <c r="M168" s="33">
        <f t="shared" si="27"/>
        <v>57.700005461020567</v>
      </c>
      <c r="N168" s="87">
        <f>+'J) Plafonnement effort'!H167+'J) Plafonnement effort'!I167-'K) Plafonnement aide'!I167</f>
        <v>12.676414099002368</v>
      </c>
      <c r="O168" s="125">
        <f t="shared" si="28"/>
        <v>70.376419560022939</v>
      </c>
      <c r="P168" s="47">
        <f t="shared" si="29"/>
        <v>0</v>
      </c>
      <c r="Q168" s="55">
        <f t="shared" ref="Q168:Q221" si="33">P168*J168</f>
        <v>0</v>
      </c>
      <c r="R168" s="145">
        <f t="shared" si="30"/>
        <v>70.376419560022939</v>
      </c>
      <c r="S168" s="125">
        <f t="shared" si="31"/>
        <v>-3.1235804399770615</v>
      </c>
      <c r="T168" s="144">
        <f t="shared" si="26"/>
        <v>0</v>
      </c>
      <c r="V168" s="12"/>
    </row>
    <row r="169" spans="1:22" x14ac:dyDescent="0.25">
      <c r="A169" s="49">
        <f>'A) Base RI'!A170</f>
        <v>5674</v>
      </c>
      <c r="B169" s="354" t="str">
        <f>'A) Base RI'!B170</f>
        <v>Lovatens</v>
      </c>
      <c r="C169" s="407">
        <v>47327.537415906518</v>
      </c>
      <c r="D169" s="407">
        <v>-23896.862273103143</v>
      </c>
      <c r="E169" s="392">
        <v>0</v>
      </c>
      <c r="F169" s="392">
        <v>0</v>
      </c>
      <c r="G169" s="392">
        <v>0</v>
      </c>
      <c r="H169" s="407">
        <f t="shared" si="25"/>
        <v>23430.675142803375</v>
      </c>
      <c r="I169" s="408">
        <v>3215.0507999999995</v>
      </c>
      <c r="J169" s="358">
        <f>'B) D RI'!U170</f>
        <v>3430.742038095239</v>
      </c>
      <c r="K169" s="62">
        <f t="shared" si="32"/>
        <v>7.2878086849524673</v>
      </c>
      <c r="L169" s="33">
        <f>'B) D RI'!S170</f>
        <v>75</v>
      </c>
      <c r="M169" s="33">
        <f t="shared" si="27"/>
        <v>67.712191315047534</v>
      </c>
      <c r="N169" s="87">
        <f>+'J) Plafonnement effort'!H168+'J) Plafonnement effort'!I168-'K) Plafonnement aide'!I168</f>
        <v>5.6020017631470598</v>
      </c>
      <c r="O169" s="125">
        <f t="shared" si="28"/>
        <v>73.314193078194592</v>
      </c>
      <c r="P169" s="47">
        <f t="shared" si="29"/>
        <v>0</v>
      </c>
      <c r="Q169" s="55">
        <f t="shared" si="33"/>
        <v>0</v>
      </c>
      <c r="R169" s="145">
        <f t="shared" si="30"/>
        <v>73.314193078194592</v>
      </c>
      <c r="S169" s="125">
        <f t="shared" si="31"/>
        <v>-1.6858069218054084</v>
      </c>
      <c r="T169" s="144">
        <f t="shared" si="26"/>
        <v>0</v>
      </c>
      <c r="V169" s="12"/>
    </row>
    <row r="170" spans="1:22" x14ac:dyDescent="0.25">
      <c r="A170" s="49">
        <f>'A) Base RI'!A171</f>
        <v>5675</v>
      </c>
      <c r="B170" s="354" t="str">
        <f>'A) Base RI'!B171</f>
        <v>Lucens</v>
      </c>
      <c r="C170" s="407">
        <v>1895615.4201690583</v>
      </c>
      <c r="D170" s="407">
        <v>-1392359.2196683423</v>
      </c>
      <c r="E170" s="392">
        <v>0</v>
      </c>
      <c r="F170" s="392">
        <v>0</v>
      </c>
      <c r="G170" s="392">
        <v>0</v>
      </c>
      <c r="H170" s="407">
        <f t="shared" si="25"/>
        <v>503256.20050071599</v>
      </c>
      <c r="I170" s="408">
        <v>97758.400909090895</v>
      </c>
      <c r="J170" s="358">
        <f>'B) D RI'!U171</f>
        <v>97154.219717171698</v>
      </c>
      <c r="K170" s="62">
        <f t="shared" ref="K170" si="34">H170/I170</f>
        <v>5.1479585981435223</v>
      </c>
      <c r="L170" s="33">
        <f>'B) D RI'!S171</f>
        <v>67.5</v>
      </c>
      <c r="M170" s="33">
        <f t="shared" ref="M170" si="35">L170-K170</f>
        <v>62.352041401856475</v>
      </c>
      <c r="N170" s="87">
        <f>+'J) Plafonnement effort'!H169+'J) Plafonnement effort'!I169-'K) Plafonnement aide'!I169</f>
        <v>-2.7179663763409945</v>
      </c>
      <c r="O170" s="125">
        <f t="shared" ref="O170" si="36">M170+N170</f>
        <v>59.634075025515479</v>
      </c>
      <c r="P170" s="47">
        <f t="shared" ref="P170" si="37">IF(O170&gt;$P$5,$P$5-O170,0)</f>
        <v>0</v>
      </c>
      <c r="Q170" s="55">
        <f t="shared" ref="Q170" si="38">P170*J170</f>
        <v>0</v>
      </c>
      <c r="R170" s="145">
        <f t="shared" ref="R170" si="39">O170+P170</f>
        <v>59.634075025515479</v>
      </c>
      <c r="S170" s="125">
        <f t="shared" ref="S170" si="40">R170-L170</f>
        <v>-7.8659249744845212</v>
      </c>
      <c r="T170" s="144">
        <f t="shared" si="26"/>
        <v>0</v>
      </c>
      <c r="V170" s="12"/>
    </row>
    <row r="171" spans="1:22" x14ac:dyDescent="0.25">
      <c r="A171" s="49">
        <f>'A) Base RI'!A172</f>
        <v>5678</v>
      </c>
      <c r="B171" s="354" t="str">
        <f>'A) Base RI'!B172</f>
        <v>Moudon</v>
      </c>
      <c r="C171" s="407">
        <v>2606363.9719164721</v>
      </c>
      <c r="D171" s="407">
        <v>-3536220.3926691776</v>
      </c>
      <c r="E171" s="392">
        <v>0</v>
      </c>
      <c r="F171" s="392">
        <v>0</v>
      </c>
      <c r="G171" s="392">
        <v>0</v>
      </c>
      <c r="H171" s="407">
        <f t="shared" si="25"/>
        <v>-929856.42075270554</v>
      </c>
      <c r="I171" s="408">
        <v>126080.27293333331</v>
      </c>
      <c r="J171" s="358">
        <f>'B) D RI'!U172</f>
        <v>124965.41862068966</v>
      </c>
      <c r="K171" s="62">
        <f t="shared" si="32"/>
        <v>-7.3751142753662977</v>
      </c>
      <c r="L171" s="33">
        <f>'B) D RI'!S172</f>
        <v>72.5</v>
      </c>
      <c r="M171" s="33">
        <f t="shared" si="27"/>
        <v>79.8751142753663</v>
      </c>
      <c r="N171" s="87">
        <f>+'J) Plafonnement effort'!H170+'J) Plafonnement effort'!I170-'K) Plafonnement aide'!I170</f>
        <v>-13.268495414706646</v>
      </c>
      <c r="O171" s="125">
        <f t="shared" si="28"/>
        <v>66.606618860659651</v>
      </c>
      <c r="P171" s="47">
        <f t="shared" si="29"/>
        <v>0</v>
      </c>
      <c r="Q171" s="55">
        <f t="shared" si="33"/>
        <v>0</v>
      </c>
      <c r="R171" s="145">
        <f t="shared" si="30"/>
        <v>66.606618860659651</v>
      </c>
      <c r="S171" s="125">
        <f t="shared" si="31"/>
        <v>-5.8933811393403488</v>
      </c>
      <c r="T171" s="144">
        <f t="shared" si="26"/>
        <v>0</v>
      </c>
      <c r="V171" s="12"/>
    </row>
    <row r="172" spans="1:22" x14ac:dyDescent="0.25">
      <c r="A172" s="49">
        <f>'A) Base RI'!A173</f>
        <v>5680</v>
      </c>
      <c r="B172" s="354" t="str">
        <f>'A) Base RI'!B173</f>
        <v>Ogens</v>
      </c>
      <c r="C172" s="407">
        <v>129427.79098761189</v>
      </c>
      <c r="D172" s="407">
        <v>-94803.927488851987</v>
      </c>
      <c r="E172" s="392">
        <v>0</v>
      </c>
      <c r="F172" s="392">
        <v>0</v>
      </c>
      <c r="G172" s="392">
        <v>0</v>
      </c>
      <c r="H172" s="407">
        <f t="shared" si="25"/>
        <v>34623.863498759907</v>
      </c>
      <c r="I172" s="408">
        <v>6313.5037606837595</v>
      </c>
      <c r="J172" s="358">
        <f>'B) D RI'!U173</f>
        <v>8675.0652136752142</v>
      </c>
      <c r="K172" s="62">
        <f t="shared" si="32"/>
        <v>5.4840964401374022</v>
      </c>
      <c r="L172" s="33">
        <f>'B) D RI'!S173</f>
        <v>78</v>
      </c>
      <c r="M172" s="33">
        <f t="shared" si="27"/>
        <v>72.515903559862593</v>
      </c>
      <c r="N172" s="87">
        <f>+'J) Plafonnement effort'!H171+'J) Plafonnement effort'!I171-'K) Plafonnement aide'!I171</f>
        <v>12.472106460564804</v>
      </c>
      <c r="O172" s="125">
        <f t="shared" si="28"/>
        <v>84.988010020427396</v>
      </c>
      <c r="P172" s="47">
        <f t="shared" si="29"/>
        <v>0</v>
      </c>
      <c r="Q172" s="55">
        <f t="shared" si="33"/>
        <v>0</v>
      </c>
      <c r="R172" s="145">
        <f t="shared" si="30"/>
        <v>84.988010020427396</v>
      </c>
      <c r="S172" s="125">
        <f t="shared" si="31"/>
        <v>6.9880100204273958</v>
      </c>
      <c r="T172" s="144">
        <f t="shared" si="26"/>
        <v>0</v>
      </c>
      <c r="V172" s="12"/>
    </row>
    <row r="173" spans="1:22" x14ac:dyDescent="0.25">
      <c r="A173" s="49">
        <f>'A) Base RI'!A174</f>
        <v>5683</v>
      </c>
      <c r="B173" s="354" t="str">
        <f>'A) Base RI'!B174</f>
        <v>Prévonloup</v>
      </c>
      <c r="C173" s="407">
        <v>71550.125481803349</v>
      </c>
      <c r="D173" s="407">
        <v>-31266.434713486145</v>
      </c>
      <c r="E173" s="392">
        <v>0</v>
      </c>
      <c r="F173" s="392">
        <v>0</v>
      </c>
      <c r="G173" s="392">
        <v>0</v>
      </c>
      <c r="H173" s="407">
        <f t="shared" si="25"/>
        <v>40283.690768317203</v>
      </c>
      <c r="I173" s="408">
        <v>4589.3872972972958</v>
      </c>
      <c r="J173" s="358">
        <f>'B) D RI'!U174</f>
        <v>5006.0282758620697</v>
      </c>
      <c r="K173" s="62">
        <f t="shared" si="32"/>
        <v>8.7775749046153475</v>
      </c>
      <c r="L173" s="33">
        <f>'B) D RI'!S174</f>
        <v>72.5</v>
      </c>
      <c r="M173" s="33">
        <f t="shared" si="27"/>
        <v>63.722425095384651</v>
      </c>
      <c r="N173" s="87">
        <f>+'J) Plafonnement effort'!H172+'J) Plafonnement effort'!I172-'K) Plafonnement aide'!I172</f>
        <v>8.2568938211872744</v>
      </c>
      <c r="O173" s="125">
        <f t="shared" si="28"/>
        <v>71.979318916571927</v>
      </c>
      <c r="P173" s="47">
        <f t="shared" si="29"/>
        <v>0</v>
      </c>
      <c r="Q173" s="55">
        <f t="shared" si="33"/>
        <v>0</v>
      </c>
      <c r="R173" s="145">
        <f t="shared" si="30"/>
        <v>71.979318916571927</v>
      </c>
      <c r="S173" s="125">
        <f t="shared" si="31"/>
        <v>-0.52068108342807307</v>
      </c>
      <c r="T173" s="144">
        <f t="shared" si="26"/>
        <v>0</v>
      </c>
      <c r="V173" s="12"/>
    </row>
    <row r="174" spans="1:22" x14ac:dyDescent="0.25">
      <c r="A174" s="49">
        <f>'A) Base RI'!A175</f>
        <v>5684</v>
      </c>
      <c r="B174" s="354" t="str">
        <f>'A) Base RI'!B175</f>
        <v>Rossenges</v>
      </c>
      <c r="C174" s="407">
        <v>45523.841383246661</v>
      </c>
      <c r="D174" s="407">
        <v>32294.102327461704</v>
      </c>
      <c r="E174" s="392">
        <v>0</v>
      </c>
      <c r="F174" s="392">
        <v>0</v>
      </c>
      <c r="G174" s="392">
        <v>0</v>
      </c>
      <c r="H174" s="407">
        <f t="shared" si="25"/>
        <v>77817.943710708365</v>
      </c>
      <c r="I174" s="408">
        <v>3098.721</v>
      </c>
      <c r="J174" s="358">
        <f>'B) D RI'!U175</f>
        <v>4335.3234000000011</v>
      </c>
      <c r="K174" s="62">
        <f t="shared" si="32"/>
        <v>25.112923593543389</v>
      </c>
      <c r="L174" s="33">
        <f>'B) D RI'!S175</f>
        <v>75</v>
      </c>
      <c r="M174" s="33">
        <f t="shared" si="27"/>
        <v>49.887076406456615</v>
      </c>
      <c r="N174" s="87">
        <f>+'J) Plafonnement effort'!H173+'J) Plafonnement effort'!I173-'K) Plafonnement aide'!I173</f>
        <v>31.761108422366576</v>
      </c>
      <c r="O174" s="125">
        <f t="shared" si="28"/>
        <v>81.64818482882319</v>
      </c>
      <c r="P174" s="47">
        <f t="shared" si="29"/>
        <v>0</v>
      </c>
      <c r="Q174" s="55">
        <f t="shared" si="33"/>
        <v>0</v>
      </c>
      <c r="R174" s="145">
        <f t="shared" si="30"/>
        <v>81.64818482882319</v>
      </c>
      <c r="S174" s="125">
        <f t="shared" si="31"/>
        <v>6.6481848288231902</v>
      </c>
      <c r="T174" s="144">
        <f t="shared" si="26"/>
        <v>0</v>
      </c>
      <c r="V174" s="12"/>
    </row>
    <row r="175" spans="1:22" x14ac:dyDescent="0.25">
      <c r="A175" s="49">
        <f>'A) Base RI'!A176</f>
        <v>5688</v>
      </c>
      <c r="B175" s="354" t="str">
        <f>'A) Base RI'!B176</f>
        <v>Syens</v>
      </c>
      <c r="C175" s="407">
        <v>40409.612180245524</v>
      </c>
      <c r="D175" s="407">
        <v>-67843.330758204582</v>
      </c>
      <c r="E175" s="392">
        <v>5495.0910647315441</v>
      </c>
      <c r="F175" s="392">
        <v>0</v>
      </c>
      <c r="G175" s="392">
        <v>0</v>
      </c>
      <c r="H175" s="407">
        <f t="shared" si="25"/>
        <v>-21938.627513227515</v>
      </c>
      <c r="I175" s="408">
        <v>2742.3284391534398</v>
      </c>
      <c r="J175" s="358">
        <f>'B) D RI'!U176</f>
        <v>5094.0764550264557</v>
      </c>
      <c r="K175" s="62">
        <f t="shared" si="32"/>
        <v>-7.9999999999999991</v>
      </c>
      <c r="L175" s="33">
        <f>'B) D RI'!S176</f>
        <v>75.599999999999994</v>
      </c>
      <c r="M175" s="33">
        <f t="shared" si="27"/>
        <v>83.6</v>
      </c>
      <c r="N175" s="87">
        <f>+'J) Plafonnement effort'!H174+'J) Plafonnement effort'!I174-'K) Plafonnement aide'!I174</f>
        <v>18.469783610244999</v>
      </c>
      <c r="O175" s="125">
        <f t="shared" si="28"/>
        <v>102.069783610245</v>
      </c>
      <c r="P175" s="47">
        <f t="shared" si="29"/>
        <v>-8.169401595444441</v>
      </c>
      <c r="Q175" s="55">
        <f t="shared" si="33"/>
        <v>-41615.556319009091</v>
      </c>
      <c r="R175" s="145">
        <f t="shared" si="30"/>
        <v>93.900382014800556</v>
      </c>
      <c r="S175" s="125">
        <f t="shared" si="31"/>
        <v>18.300382014800562</v>
      </c>
      <c r="T175" s="144">
        <f t="shared" si="26"/>
        <v>0</v>
      </c>
      <c r="V175" s="12"/>
    </row>
    <row r="176" spans="1:22" x14ac:dyDescent="0.25">
      <c r="A176" s="49">
        <f>'A) Base RI'!A177</f>
        <v>5690</v>
      </c>
      <c r="B176" s="354" t="str">
        <f>'A) Base RI'!B177</f>
        <v>Villars-le-Comte</v>
      </c>
      <c r="C176" s="407">
        <v>123206.37203302459</v>
      </c>
      <c r="D176" s="407">
        <v>-7928.7305519157162</v>
      </c>
      <c r="E176" s="392">
        <v>0</v>
      </c>
      <c r="F176" s="392">
        <v>0</v>
      </c>
      <c r="G176" s="392">
        <v>0</v>
      </c>
      <c r="H176" s="407">
        <f t="shared" si="25"/>
        <v>115277.64148110888</v>
      </c>
      <c r="I176" s="408">
        <v>3018.1645000000003</v>
      </c>
      <c r="J176" s="358">
        <f>'B) D RI'!U177</f>
        <v>3483.7788571428573</v>
      </c>
      <c r="K176" s="62">
        <f t="shared" si="32"/>
        <v>38.194618444789498</v>
      </c>
      <c r="L176" s="33">
        <f>'B) D RI'!S177</f>
        <v>70</v>
      </c>
      <c r="M176" s="33">
        <f t="shared" si="27"/>
        <v>31.805381555210502</v>
      </c>
      <c r="N176" s="87">
        <f>+'J) Plafonnement effort'!H175+'J) Plafonnement effort'!I175-'K) Plafonnement aide'!I175</f>
        <v>15.931426728957721</v>
      </c>
      <c r="O176" s="125">
        <f t="shared" si="28"/>
        <v>47.73680828416822</v>
      </c>
      <c r="P176" s="47">
        <f t="shared" si="29"/>
        <v>0</v>
      </c>
      <c r="Q176" s="55">
        <f t="shared" si="33"/>
        <v>0</v>
      </c>
      <c r="R176" s="145">
        <f t="shared" si="30"/>
        <v>47.73680828416822</v>
      </c>
      <c r="S176" s="125">
        <f t="shared" si="31"/>
        <v>-22.26319171583178</v>
      </c>
      <c r="T176" s="144">
        <f t="shared" si="26"/>
        <v>0</v>
      </c>
      <c r="V176" s="12"/>
    </row>
    <row r="177" spans="1:22" x14ac:dyDescent="0.25">
      <c r="A177" s="49">
        <f>'A) Base RI'!A178</f>
        <v>5692</v>
      </c>
      <c r="B177" s="354" t="str">
        <f>'A) Base RI'!B178</f>
        <v>Vucherens</v>
      </c>
      <c r="C177" s="407">
        <v>285682.93876971729</v>
      </c>
      <c r="D177" s="407">
        <v>-32689.854251736426</v>
      </c>
      <c r="E177" s="392">
        <v>0</v>
      </c>
      <c r="F177" s="392">
        <v>0</v>
      </c>
      <c r="G177" s="392">
        <v>0</v>
      </c>
      <c r="H177" s="407">
        <f t="shared" si="25"/>
        <v>252993.08451798087</v>
      </c>
      <c r="I177" s="408">
        <v>16002.190506329114</v>
      </c>
      <c r="J177" s="358">
        <f>'B) D RI'!U178</f>
        <v>18084.556363636369</v>
      </c>
      <c r="K177" s="62">
        <f t="shared" si="32"/>
        <v>15.80990330154601</v>
      </c>
      <c r="L177" s="33">
        <f>'B) D RI'!S178</f>
        <v>77</v>
      </c>
      <c r="M177" s="33">
        <f t="shared" si="27"/>
        <v>61.190096698453992</v>
      </c>
      <c r="N177" s="87">
        <f>+'J) Plafonnement effort'!H176+'J) Plafonnement effort'!I176-'K) Plafonnement aide'!I176</f>
        <v>13.625755800660848</v>
      </c>
      <c r="O177" s="125">
        <f t="shared" si="28"/>
        <v>74.81585249911484</v>
      </c>
      <c r="P177" s="47">
        <f t="shared" si="29"/>
        <v>0</v>
      </c>
      <c r="Q177" s="55">
        <f t="shared" si="33"/>
        <v>0</v>
      </c>
      <c r="R177" s="145">
        <f t="shared" si="30"/>
        <v>74.81585249911484</v>
      </c>
      <c r="S177" s="125">
        <f t="shared" si="31"/>
        <v>-2.1841475008851603</v>
      </c>
      <c r="T177" s="144">
        <f t="shared" si="26"/>
        <v>0</v>
      </c>
      <c r="V177" s="12"/>
    </row>
    <row r="178" spans="1:22" x14ac:dyDescent="0.25">
      <c r="A178" s="49">
        <f>'A) Base RI'!A179</f>
        <v>5693</v>
      </c>
      <c r="B178" s="354" t="str">
        <f>'A) Base RI'!B179</f>
        <v>Montanaire</v>
      </c>
      <c r="C178" s="407">
        <v>1208818.6463697727</v>
      </c>
      <c r="D178" s="407">
        <v>-487677.83495772653</v>
      </c>
      <c r="E178" s="392">
        <v>0</v>
      </c>
      <c r="F178" s="392">
        <v>0</v>
      </c>
      <c r="G178" s="392">
        <v>0</v>
      </c>
      <c r="H178" s="407">
        <f t="shared" si="25"/>
        <v>721140.8114120462</v>
      </c>
      <c r="I178" s="408">
        <v>70807.212499999965</v>
      </c>
      <c r="J178" s="358">
        <f>'B) D RI'!U179</f>
        <v>71120.535138888881</v>
      </c>
      <c r="K178" s="62">
        <f>H178/I178</f>
        <v>10.184567164143717</v>
      </c>
      <c r="L178" s="33">
        <f>'B) D RI'!S179</f>
        <v>72</v>
      </c>
      <c r="M178" s="33">
        <f>L178-K178</f>
        <v>61.815432835856285</v>
      </c>
      <c r="N178" s="87">
        <f>+'J) Plafonnement effort'!H177+'J) Plafonnement effort'!I177-'K) Plafonnement aide'!I177</f>
        <v>4.328375235852608</v>
      </c>
      <c r="O178" s="125">
        <f>M178+N178</f>
        <v>66.143808071708889</v>
      </c>
      <c r="P178" s="47">
        <f t="shared" si="29"/>
        <v>0</v>
      </c>
      <c r="Q178" s="55">
        <f>P178*J178</f>
        <v>0</v>
      </c>
      <c r="R178" s="145">
        <f>O178+P178</f>
        <v>66.143808071708889</v>
      </c>
      <c r="S178" s="125">
        <f>R178-L178</f>
        <v>-5.8561919282911106</v>
      </c>
      <c r="T178" s="144">
        <f t="shared" si="26"/>
        <v>0</v>
      </c>
      <c r="V178" s="12"/>
    </row>
    <row r="179" spans="1:22" x14ac:dyDescent="0.25">
      <c r="A179" s="49">
        <f>'A) Base RI'!A180</f>
        <v>5701</v>
      </c>
      <c r="B179" s="354" t="str">
        <f>'A) Base RI'!B180</f>
        <v>Arnex-sur-Nyon</v>
      </c>
      <c r="C179" s="407">
        <v>216223.94082308756</v>
      </c>
      <c r="D179" s="407">
        <v>212674.44350984279</v>
      </c>
      <c r="E179" s="392">
        <v>0</v>
      </c>
      <c r="F179" s="392">
        <v>0</v>
      </c>
      <c r="G179" s="392">
        <v>0</v>
      </c>
      <c r="H179" s="407">
        <f t="shared" si="25"/>
        <v>428898.38433293032</v>
      </c>
      <c r="I179" s="408">
        <v>12068.134285714286</v>
      </c>
      <c r="J179" s="358">
        <f>'B) D RI'!U180</f>
        <v>12579.391714285715</v>
      </c>
      <c r="K179" s="62">
        <f>H179/I179</f>
        <v>35.539742447234858</v>
      </c>
      <c r="L179" s="33">
        <f>'B) D RI'!S180</f>
        <v>70</v>
      </c>
      <c r="M179" s="33">
        <f>L179-K179</f>
        <v>34.460257552765142</v>
      </c>
      <c r="N179" s="87">
        <f>+'J) Plafonnement effort'!H178+'J) Plafonnement effort'!I178-'K) Plafonnement aide'!I178</f>
        <v>31.931539213179633</v>
      </c>
      <c r="O179" s="125">
        <f>M179+N179</f>
        <v>66.391796765944775</v>
      </c>
      <c r="P179" s="47">
        <f t="shared" si="29"/>
        <v>0</v>
      </c>
      <c r="Q179" s="55">
        <f>P179*J179</f>
        <v>0</v>
      </c>
      <c r="R179" s="145">
        <f>O179+P179</f>
        <v>66.391796765944775</v>
      </c>
      <c r="S179" s="125">
        <f>R179-L179</f>
        <v>-3.6082032340552246</v>
      </c>
      <c r="T179" s="144">
        <f t="shared" si="26"/>
        <v>0</v>
      </c>
      <c r="V179" s="12"/>
    </row>
    <row r="180" spans="1:22" x14ac:dyDescent="0.25">
      <c r="A180" s="49">
        <f>'A) Base RI'!A181</f>
        <v>5702</v>
      </c>
      <c r="B180" s="354" t="str">
        <f>'A) Base RI'!B181</f>
        <v>Arzier-Le Muids</v>
      </c>
      <c r="C180" s="407">
        <v>3864330.6578436852</v>
      </c>
      <c r="D180" s="407">
        <v>2721069.734219823</v>
      </c>
      <c r="E180" s="392">
        <v>0</v>
      </c>
      <c r="F180" s="392">
        <v>0</v>
      </c>
      <c r="G180" s="392">
        <v>0</v>
      </c>
      <c r="H180" s="407">
        <f t="shared" si="25"/>
        <v>6585400.3920635078</v>
      </c>
      <c r="I180" s="408">
        <v>173952.76901041667</v>
      </c>
      <c r="J180" s="358">
        <f>'B) D RI'!U181</f>
        <v>167751.11713541666</v>
      </c>
      <c r="K180" s="62">
        <f t="shared" si="32"/>
        <v>37.85740479744338</v>
      </c>
      <c r="L180" s="33">
        <f>'B) D RI'!S181</f>
        <v>64</v>
      </c>
      <c r="M180" s="33">
        <f t="shared" si="27"/>
        <v>26.14259520255662</v>
      </c>
      <c r="N180" s="87">
        <f>+'J) Plafonnement effort'!H179+'J) Plafonnement effort'!I179-'K) Plafonnement aide'!I179</f>
        <v>30.56424599942185</v>
      </c>
      <c r="O180" s="125">
        <f t="shared" si="28"/>
        <v>56.70684120197847</v>
      </c>
      <c r="P180" s="47">
        <f t="shared" si="29"/>
        <v>0</v>
      </c>
      <c r="Q180" s="55">
        <f t="shared" si="33"/>
        <v>0</v>
      </c>
      <c r="R180" s="145">
        <f t="shared" si="30"/>
        <v>56.70684120197847</v>
      </c>
      <c r="S180" s="125">
        <f t="shared" si="31"/>
        <v>-7.2931587980215298</v>
      </c>
      <c r="T180" s="144">
        <f t="shared" si="26"/>
        <v>0</v>
      </c>
      <c r="V180" s="12"/>
    </row>
    <row r="181" spans="1:22" x14ac:dyDescent="0.25">
      <c r="A181" s="49">
        <f>'A) Base RI'!A182</f>
        <v>5703</v>
      </c>
      <c r="B181" s="354" t="str">
        <f>'A) Base RI'!B182</f>
        <v>Bassins</v>
      </c>
      <c r="C181" s="407">
        <v>1041922.7659929006</v>
      </c>
      <c r="D181" s="407">
        <v>769385.62390288245</v>
      </c>
      <c r="E181" s="392">
        <v>0</v>
      </c>
      <c r="F181" s="392">
        <v>0</v>
      </c>
      <c r="G181" s="392">
        <v>0</v>
      </c>
      <c r="H181" s="407">
        <f t="shared" si="25"/>
        <v>1811308.389895783</v>
      </c>
      <c r="I181" s="408">
        <v>58992.28158301158</v>
      </c>
      <c r="J181" s="358">
        <f>'B) D RI'!U182</f>
        <v>66904.36396059113</v>
      </c>
      <c r="K181" s="62">
        <f t="shared" si="32"/>
        <v>30.704158938944957</v>
      </c>
      <c r="L181" s="33">
        <f>'B) D RI'!S182</f>
        <v>72.5</v>
      </c>
      <c r="M181" s="33">
        <f t="shared" si="27"/>
        <v>41.795841061055043</v>
      </c>
      <c r="N181" s="87">
        <f>+'J) Plafonnement effort'!H180+'J) Plafonnement effort'!I180-'K) Plafonnement aide'!I180</f>
        <v>27.537841146072225</v>
      </c>
      <c r="O181" s="125">
        <f t="shared" si="28"/>
        <v>69.333682207127268</v>
      </c>
      <c r="P181" s="47">
        <f t="shared" si="29"/>
        <v>0</v>
      </c>
      <c r="Q181" s="55">
        <f t="shared" si="33"/>
        <v>0</v>
      </c>
      <c r="R181" s="145">
        <f t="shared" si="30"/>
        <v>69.333682207127268</v>
      </c>
      <c r="S181" s="125">
        <f t="shared" si="31"/>
        <v>-3.1663177928727322</v>
      </c>
      <c r="T181" s="144">
        <f t="shared" si="26"/>
        <v>0</v>
      </c>
      <c r="V181" s="12"/>
    </row>
    <row r="182" spans="1:22" x14ac:dyDescent="0.25">
      <c r="A182" s="49">
        <f>'A) Base RI'!A183</f>
        <v>5704</v>
      </c>
      <c r="B182" s="354" t="str">
        <f>'A) Base RI'!B183</f>
        <v>Begnins</v>
      </c>
      <c r="C182" s="407">
        <v>2842775.7944342764</v>
      </c>
      <c r="D182" s="407">
        <v>2139046.1030278727</v>
      </c>
      <c r="E182" s="392">
        <v>0</v>
      </c>
      <c r="F182" s="392">
        <v>0</v>
      </c>
      <c r="G182" s="392">
        <v>0</v>
      </c>
      <c r="H182" s="407">
        <f t="shared" si="25"/>
        <v>4981821.8974621492</v>
      </c>
      <c r="I182" s="408">
        <v>129564.85270833333</v>
      </c>
      <c r="J182" s="358">
        <f>'B) D RI'!U183</f>
        <v>141538.79477333333</v>
      </c>
      <c r="K182" s="62">
        <f t="shared" si="32"/>
        <v>38.450411460559081</v>
      </c>
      <c r="L182" s="33">
        <f>'B) D RI'!S183</f>
        <v>62.5</v>
      </c>
      <c r="M182" s="33">
        <f t="shared" si="27"/>
        <v>24.049588539440919</v>
      </c>
      <c r="N182" s="87">
        <f>+'J) Plafonnement effort'!H181+'J) Plafonnement effort'!I181-'K) Plafonnement aide'!I181</f>
        <v>35.736195110216812</v>
      </c>
      <c r="O182" s="125">
        <f t="shared" si="28"/>
        <v>59.785783649657731</v>
      </c>
      <c r="P182" s="47">
        <f t="shared" si="29"/>
        <v>0</v>
      </c>
      <c r="Q182" s="55">
        <f t="shared" si="33"/>
        <v>0</v>
      </c>
      <c r="R182" s="145">
        <f t="shared" si="30"/>
        <v>59.785783649657731</v>
      </c>
      <c r="S182" s="125">
        <f t="shared" si="31"/>
        <v>-2.7142163503422694</v>
      </c>
      <c r="T182" s="144">
        <f t="shared" si="26"/>
        <v>0</v>
      </c>
      <c r="V182" s="12"/>
    </row>
    <row r="183" spans="1:22" x14ac:dyDescent="0.25">
      <c r="A183" s="49">
        <f>'A) Base RI'!A184</f>
        <v>5705</v>
      </c>
      <c r="B183" s="354" t="str">
        <f>'A) Base RI'!B184</f>
        <v>Bogis-Bossey</v>
      </c>
      <c r="C183" s="407">
        <v>995166.48959438351</v>
      </c>
      <c r="D183" s="407">
        <v>845405.97747687006</v>
      </c>
      <c r="E183" s="392">
        <v>0</v>
      </c>
      <c r="F183" s="392">
        <v>0</v>
      </c>
      <c r="G183" s="392">
        <v>0</v>
      </c>
      <c r="H183" s="407">
        <f t="shared" si="25"/>
        <v>1840572.4670712536</v>
      </c>
      <c r="I183" s="408">
        <v>47436.61605263158</v>
      </c>
      <c r="J183" s="358">
        <f>'B) D RI'!U184</f>
        <v>56148.948053691274</v>
      </c>
      <c r="K183" s="62">
        <f t="shared" si="32"/>
        <v>38.800669614146024</v>
      </c>
      <c r="L183" s="33">
        <f>'B) D RI'!S184</f>
        <v>74.5</v>
      </c>
      <c r="M183" s="33">
        <f t="shared" si="27"/>
        <v>35.699330385853976</v>
      </c>
      <c r="N183" s="87">
        <f>+'J) Plafonnement effort'!H182+'J) Plafonnement effort'!I182-'K) Plafonnement aide'!I182</f>
        <v>36.59174295332808</v>
      </c>
      <c r="O183" s="125">
        <f t="shared" si="28"/>
        <v>72.291073339182049</v>
      </c>
      <c r="P183" s="47">
        <f t="shared" si="29"/>
        <v>0</v>
      </c>
      <c r="Q183" s="55">
        <f t="shared" si="33"/>
        <v>0</v>
      </c>
      <c r="R183" s="145">
        <f t="shared" si="30"/>
        <v>72.291073339182049</v>
      </c>
      <c r="S183" s="125">
        <f t="shared" si="31"/>
        <v>-2.2089266608179514</v>
      </c>
      <c r="T183" s="144">
        <f t="shared" si="26"/>
        <v>0</v>
      </c>
      <c r="V183" s="12"/>
    </row>
    <row r="184" spans="1:22" x14ac:dyDescent="0.25">
      <c r="A184" s="49">
        <f>'A) Base RI'!A185</f>
        <v>5706</v>
      </c>
      <c r="B184" s="354" t="str">
        <f>'A) Base RI'!B185</f>
        <v>Borex</v>
      </c>
      <c r="C184" s="407">
        <v>1591318.1194359257</v>
      </c>
      <c r="D184" s="407">
        <v>1362119.4899935434</v>
      </c>
      <c r="E184" s="392">
        <v>0</v>
      </c>
      <c r="F184" s="392">
        <v>0</v>
      </c>
      <c r="G184" s="392">
        <v>0</v>
      </c>
      <c r="H184" s="407">
        <f t="shared" si="25"/>
        <v>2953437.6094294693</v>
      </c>
      <c r="I184" s="408">
        <v>76683.378793103446</v>
      </c>
      <c r="J184" s="358">
        <f>'B) D RI'!U185</f>
        <v>84057.706842105254</v>
      </c>
      <c r="K184" s="62">
        <f t="shared" si="32"/>
        <v>38.514703654334646</v>
      </c>
      <c r="L184" s="33">
        <f>'B) D RI'!S185</f>
        <v>57</v>
      </c>
      <c r="M184" s="33">
        <f t="shared" si="27"/>
        <v>18.485296345665354</v>
      </c>
      <c r="N184" s="87">
        <f>+'J) Plafonnement effort'!H183+'J) Plafonnement effort'!I183-'K) Plafonnement aide'!I183</f>
        <v>36.077164099464731</v>
      </c>
      <c r="O184" s="125">
        <f t="shared" si="28"/>
        <v>54.562460445130085</v>
      </c>
      <c r="P184" s="47">
        <f t="shared" si="29"/>
        <v>0</v>
      </c>
      <c r="Q184" s="55">
        <f t="shared" si="33"/>
        <v>0</v>
      </c>
      <c r="R184" s="145">
        <f t="shared" si="30"/>
        <v>54.562460445130085</v>
      </c>
      <c r="S184" s="125">
        <f t="shared" si="31"/>
        <v>-2.4375395548699146</v>
      </c>
      <c r="T184" s="144">
        <f t="shared" si="26"/>
        <v>0</v>
      </c>
      <c r="V184" s="12"/>
    </row>
    <row r="185" spans="1:22" x14ac:dyDescent="0.25">
      <c r="A185" s="49">
        <f>'A) Base RI'!A186</f>
        <v>5707</v>
      </c>
      <c r="B185" s="354" t="str">
        <f>'A) Base RI'!B186</f>
        <v>Chavannes-de-Bogis</v>
      </c>
      <c r="C185" s="407">
        <v>1808981.2649503581</v>
      </c>
      <c r="D185" s="407">
        <v>1375489.5075133874</v>
      </c>
      <c r="E185" s="392">
        <v>0</v>
      </c>
      <c r="F185" s="392">
        <v>0</v>
      </c>
      <c r="G185" s="392">
        <v>0</v>
      </c>
      <c r="H185" s="407">
        <f t="shared" si="25"/>
        <v>3184470.7724637454</v>
      </c>
      <c r="I185" s="408">
        <v>81307.638983050841</v>
      </c>
      <c r="J185" s="358">
        <f>'B) D RI'!U186</f>
        <v>81835.320459770097</v>
      </c>
      <c r="K185" s="62">
        <f t="shared" si="32"/>
        <v>39.16570216886474</v>
      </c>
      <c r="L185" s="33">
        <f>'B) D RI'!S186</f>
        <v>58</v>
      </c>
      <c r="M185" s="33">
        <f t="shared" si="27"/>
        <v>18.83429783113526</v>
      </c>
      <c r="N185" s="87">
        <f>+'J) Plafonnement effort'!H184+'J) Plafonnement effort'!I184-'K) Plafonnement aide'!I184</f>
        <v>33.133468196349568</v>
      </c>
      <c r="O185" s="125">
        <f t="shared" si="28"/>
        <v>51.967766027484828</v>
      </c>
      <c r="P185" s="47">
        <f t="shared" si="29"/>
        <v>0</v>
      </c>
      <c r="Q185" s="55">
        <f t="shared" si="33"/>
        <v>0</v>
      </c>
      <c r="R185" s="145">
        <f t="shared" si="30"/>
        <v>51.967766027484828</v>
      </c>
      <c r="S185" s="125">
        <f t="shared" si="31"/>
        <v>-6.0322339725151721</v>
      </c>
      <c r="T185" s="144">
        <f t="shared" si="26"/>
        <v>0</v>
      </c>
      <c r="V185" s="12"/>
    </row>
    <row r="186" spans="1:22" x14ac:dyDescent="0.25">
      <c r="A186" s="49">
        <f>'A) Base RI'!A187</f>
        <v>5708</v>
      </c>
      <c r="B186" s="354" t="str">
        <f>'A) Base RI'!B187</f>
        <v>Chavannes-des-Bois</v>
      </c>
      <c r="C186" s="407">
        <v>1525222.8267562927</v>
      </c>
      <c r="D186" s="407">
        <v>1173919.0921540153</v>
      </c>
      <c r="E186" s="392">
        <v>0</v>
      </c>
      <c r="F186" s="392">
        <v>0</v>
      </c>
      <c r="G186" s="392">
        <v>0</v>
      </c>
      <c r="H186" s="407">
        <f t="shared" si="25"/>
        <v>2699141.9189103078</v>
      </c>
      <c r="I186" s="408">
        <v>64704.48911764707</v>
      </c>
      <c r="J186" s="358">
        <f>'B) D RI'!U187</f>
        <v>67256.112794117653</v>
      </c>
      <c r="K186" s="62">
        <f t="shared" si="32"/>
        <v>41.71490967191891</v>
      </c>
      <c r="L186" s="33">
        <f>'B) D RI'!S187</f>
        <v>68</v>
      </c>
      <c r="M186" s="33">
        <f t="shared" si="27"/>
        <v>26.28509032808109</v>
      </c>
      <c r="N186" s="87">
        <f>+'J) Plafonnement effort'!H185+'J) Plafonnement effort'!I185-'K) Plafonnement aide'!I185</f>
        <v>35.865182375485702</v>
      </c>
      <c r="O186" s="125">
        <f t="shared" si="28"/>
        <v>62.150272703566792</v>
      </c>
      <c r="P186" s="47">
        <f t="shared" si="29"/>
        <v>0</v>
      </c>
      <c r="Q186" s="55">
        <f t="shared" si="33"/>
        <v>0</v>
      </c>
      <c r="R186" s="145">
        <f t="shared" si="30"/>
        <v>62.150272703566792</v>
      </c>
      <c r="S186" s="125">
        <f t="shared" si="31"/>
        <v>-5.8497272964332083</v>
      </c>
      <c r="T186" s="144">
        <f t="shared" si="26"/>
        <v>0</v>
      </c>
      <c r="V186" s="12"/>
    </row>
    <row r="187" spans="1:22" x14ac:dyDescent="0.25">
      <c r="A187" s="49">
        <f>'A) Base RI'!A188</f>
        <v>5709</v>
      </c>
      <c r="B187" s="354" t="str">
        <f>'A) Base RI'!B188</f>
        <v>Chéserex</v>
      </c>
      <c r="C187" s="407">
        <v>2479999.2615934224</v>
      </c>
      <c r="D187" s="407">
        <v>1779851.464284305</v>
      </c>
      <c r="E187" s="392">
        <v>0</v>
      </c>
      <c r="F187" s="392">
        <v>0</v>
      </c>
      <c r="G187" s="392">
        <v>0</v>
      </c>
      <c r="H187" s="407">
        <f t="shared" si="25"/>
        <v>4259850.7258777274</v>
      </c>
      <c r="I187" s="408">
        <v>99426.699824561394</v>
      </c>
      <c r="J187" s="358">
        <f>'B) D RI'!U188</f>
        <v>97368.06631578946</v>
      </c>
      <c r="K187" s="62">
        <f t="shared" si="32"/>
        <v>42.844132746980861</v>
      </c>
      <c r="L187" s="33">
        <f>'B) D RI'!S188</f>
        <v>57</v>
      </c>
      <c r="M187" s="33">
        <f t="shared" si="27"/>
        <v>14.155867253019139</v>
      </c>
      <c r="N187" s="87">
        <f>+'J) Plafonnement effort'!H186+'J) Plafonnement effort'!I186-'K) Plafonnement aide'!I186</f>
        <v>37.265149260167647</v>
      </c>
      <c r="O187" s="125">
        <f t="shared" si="28"/>
        <v>51.421016513186785</v>
      </c>
      <c r="P187" s="47">
        <f t="shared" si="29"/>
        <v>0</v>
      </c>
      <c r="Q187" s="55">
        <f t="shared" si="33"/>
        <v>0</v>
      </c>
      <c r="R187" s="145">
        <f t="shared" si="30"/>
        <v>51.421016513186785</v>
      </c>
      <c r="S187" s="125">
        <f t="shared" si="31"/>
        <v>-5.5789834868132147</v>
      </c>
      <c r="T187" s="144">
        <f t="shared" si="26"/>
        <v>0</v>
      </c>
      <c r="V187" s="12"/>
    </row>
    <row r="188" spans="1:22" x14ac:dyDescent="0.25">
      <c r="A188" s="49">
        <f>'A) Base RI'!A189</f>
        <v>5710</v>
      </c>
      <c r="B188" s="354" t="str">
        <f>'A) Base RI'!B189</f>
        <v>Coinsins</v>
      </c>
      <c r="C188" s="407">
        <v>4001536.115234836</v>
      </c>
      <c r="D188" s="407">
        <v>2180908.0705701737</v>
      </c>
      <c r="E188" s="392">
        <v>0</v>
      </c>
      <c r="F188" s="392">
        <v>-1137452.4240403031</v>
      </c>
      <c r="G188" s="392">
        <v>0</v>
      </c>
      <c r="H188" s="407">
        <f t="shared" si="25"/>
        <v>5044991.761764707</v>
      </c>
      <c r="I188" s="408">
        <v>112110.92803921571</v>
      </c>
      <c r="J188" s="358">
        <f>'B) D RI'!U189</f>
        <v>41108.965294117646</v>
      </c>
      <c r="K188" s="62">
        <f t="shared" si="32"/>
        <v>45</v>
      </c>
      <c r="L188" s="33">
        <f>'B) D RI'!S189</f>
        <v>51</v>
      </c>
      <c r="M188" s="33">
        <f t="shared" si="27"/>
        <v>6</v>
      </c>
      <c r="N188" s="87">
        <f>+'J) Plafonnement effort'!H187+'J) Plafonnement effort'!I187-'K) Plafonnement aide'!I187</f>
        <v>37.731852365701442</v>
      </c>
      <c r="O188" s="125">
        <f t="shared" si="28"/>
        <v>43.731852365701442</v>
      </c>
      <c r="P188" s="47">
        <f t="shared" si="29"/>
        <v>0</v>
      </c>
      <c r="Q188" s="55">
        <f t="shared" si="33"/>
        <v>0</v>
      </c>
      <c r="R188" s="145">
        <f t="shared" si="30"/>
        <v>43.731852365701442</v>
      </c>
      <c r="S188" s="125">
        <f t="shared" si="31"/>
        <v>-7.2681476342985576</v>
      </c>
      <c r="T188" s="144">
        <f t="shared" si="26"/>
        <v>0</v>
      </c>
      <c r="V188" s="12"/>
    </row>
    <row r="189" spans="1:22" x14ac:dyDescent="0.25">
      <c r="A189" s="49">
        <f>'A) Base RI'!A190</f>
        <v>5711</v>
      </c>
      <c r="B189" s="354" t="str">
        <f>'A) Base RI'!B190</f>
        <v>Commugny</v>
      </c>
      <c r="C189" s="407">
        <v>6641777.1852600537</v>
      </c>
      <c r="D189" s="407">
        <v>4345182.8845916782</v>
      </c>
      <c r="E189" s="392">
        <v>0</v>
      </c>
      <c r="F189" s="392">
        <v>0</v>
      </c>
      <c r="G189" s="392">
        <v>0</v>
      </c>
      <c r="H189" s="407">
        <f t="shared" si="25"/>
        <v>10986960.069851732</v>
      </c>
      <c r="I189" s="408">
        <v>257487.27623481784</v>
      </c>
      <c r="J189" s="358">
        <f>'B) D RI'!U190</f>
        <v>252772.67295911297</v>
      </c>
      <c r="K189" s="62">
        <f t="shared" si="32"/>
        <v>42.669914531357563</v>
      </c>
      <c r="L189" s="33">
        <f>'B) D RI'!S190</f>
        <v>55.5</v>
      </c>
      <c r="M189" s="33">
        <f t="shared" si="27"/>
        <v>12.830085468642437</v>
      </c>
      <c r="N189" s="87">
        <f>+'J) Plafonnement effort'!H188+'J) Plafonnement effort'!I188-'K) Plafonnement aide'!I188</f>
        <v>37.232167610342124</v>
      </c>
      <c r="O189" s="125">
        <f t="shared" si="28"/>
        <v>50.062253078984561</v>
      </c>
      <c r="P189" s="47">
        <f t="shared" si="29"/>
        <v>0</v>
      </c>
      <c r="Q189" s="55">
        <f t="shared" si="33"/>
        <v>0</v>
      </c>
      <c r="R189" s="145">
        <f t="shared" si="30"/>
        <v>50.062253078984561</v>
      </c>
      <c r="S189" s="125">
        <f t="shared" si="31"/>
        <v>-5.4377469210154388</v>
      </c>
      <c r="T189" s="144">
        <f t="shared" si="26"/>
        <v>0</v>
      </c>
      <c r="V189" s="12"/>
    </row>
    <row r="190" spans="1:22" x14ac:dyDescent="0.25">
      <c r="A190" s="49">
        <f>'A) Base RI'!A191</f>
        <v>5712</v>
      </c>
      <c r="B190" s="354" t="str">
        <f>'A) Base RI'!B191</f>
        <v>Coppet</v>
      </c>
      <c r="C190" s="407">
        <v>11800015.109192647</v>
      </c>
      <c r="D190" s="407">
        <v>6848299.2752975617</v>
      </c>
      <c r="E190" s="392">
        <v>0</v>
      </c>
      <c r="F190" s="392">
        <v>-1141341.5759996397</v>
      </c>
      <c r="G190" s="392">
        <v>0</v>
      </c>
      <c r="H190" s="407">
        <f t="shared" si="25"/>
        <v>17506972.808490567</v>
      </c>
      <c r="I190" s="408">
        <v>389043.84018867929</v>
      </c>
      <c r="J190" s="358">
        <f>'B) D RI'!U191</f>
        <v>382004.08345911955</v>
      </c>
      <c r="K190" s="62">
        <f t="shared" si="32"/>
        <v>45</v>
      </c>
      <c r="L190" s="33">
        <f>'B) D RI'!S191</f>
        <v>53</v>
      </c>
      <c r="M190" s="33">
        <f t="shared" si="27"/>
        <v>8</v>
      </c>
      <c r="N190" s="87">
        <f>+'J) Plafonnement effort'!H189+'J) Plafonnement effort'!I189-'K) Plafonnement aide'!I189</f>
        <v>42.661260478204504</v>
      </c>
      <c r="O190" s="125">
        <f t="shared" si="28"/>
        <v>50.661260478204504</v>
      </c>
      <c r="P190" s="47">
        <f t="shared" si="29"/>
        <v>0</v>
      </c>
      <c r="Q190" s="55">
        <f t="shared" si="33"/>
        <v>0</v>
      </c>
      <c r="R190" s="145">
        <f t="shared" si="30"/>
        <v>50.661260478204504</v>
      </c>
      <c r="S190" s="125">
        <f t="shared" si="31"/>
        <v>-2.338739521795496</v>
      </c>
      <c r="T190" s="144">
        <f t="shared" si="26"/>
        <v>0</v>
      </c>
      <c r="V190" s="12"/>
    </row>
    <row r="191" spans="1:22" x14ac:dyDescent="0.25">
      <c r="A191" s="49">
        <f>'A) Base RI'!A192</f>
        <v>5713</v>
      </c>
      <c r="B191" s="354" t="str">
        <f>'A) Base RI'!B192</f>
        <v>Crans-près-Céligny</v>
      </c>
      <c r="C191" s="407">
        <v>8691804.7284708247</v>
      </c>
      <c r="D191" s="407">
        <v>5137700.0681718709</v>
      </c>
      <c r="E191" s="392">
        <v>0</v>
      </c>
      <c r="F191" s="392">
        <v>-973496.63057126792</v>
      </c>
      <c r="G191" s="392">
        <v>0</v>
      </c>
      <c r="H191" s="407">
        <f t="shared" si="25"/>
        <v>12856008.166071426</v>
      </c>
      <c r="I191" s="408">
        <v>285689.07035714283</v>
      </c>
      <c r="J191" s="358">
        <f>'B) D RI'!U192</f>
        <v>308668.8301785714</v>
      </c>
      <c r="K191" s="62">
        <f t="shared" si="32"/>
        <v>44.999999999999993</v>
      </c>
      <c r="L191" s="33">
        <f>'B) D RI'!S192</f>
        <v>56</v>
      </c>
      <c r="M191" s="33">
        <f t="shared" si="27"/>
        <v>11.000000000000007</v>
      </c>
      <c r="N191" s="87">
        <f>+'J) Plafonnement effort'!H190+'J) Plafonnement effort'!I190-'K) Plafonnement aide'!I190</f>
        <v>45.553294296072913</v>
      </c>
      <c r="O191" s="125">
        <f t="shared" si="28"/>
        <v>56.55329429607292</v>
      </c>
      <c r="P191" s="47">
        <f t="shared" si="29"/>
        <v>0</v>
      </c>
      <c r="Q191" s="55">
        <f t="shared" si="33"/>
        <v>0</v>
      </c>
      <c r="R191" s="145">
        <f t="shared" si="30"/>
        <v>56.55329429607292</v>
      </c>
      <c r="S191" s="125">
        <f t="shared" si="31"/>
        <v>0.55329429607292013</v>
      </c>
      <c r="T191" s="144">
        <f t="shared" si="26"/>
        <v>0</v>
      </c>
      <c r="V191" s="12"/>
    </row>
    <row r="192" spans="1:22" x14ac:dyDescent="0.25">
      <c r="A192" s="49">
        <f>'A) Base RI'!A193</f>
        <v>5714</v>
      </c>
      <c r="B192" s="354" t="str">
        <f>'A) Base RI'!B193</f>
        <v>Crassier</v>
      </c>
      <c r="C192" s="407">
        <v>1425891.9622207661</v>
      </c>
      <c r="D192" s="407">
        <v>1210537.5760578243</v>
      </c>
      <c r="E192" s="392">
        <v>0</v>
      </c>
      <c r="F192" s="392">
        <v>0</v>
      </c>
      <c r="G192" s="392">
        <v>0</v>
      </c>
      <c r="H192" s="407">
        <f t="shared" si="25"/>
        <v>2636429.5382785904</v>
      </c>
      <c r="I192" s="408">
        <v>69757.357205882377</v>
      </c>
      <c r="J192" s="358">
        <f>'B) D RI'!U193</f>
        <v>53429.691617647055</v>
      </c>
      <c r="K192" s="62">
        <f t="shared" si="32"/>
        <v>37.794286421967115</v>
      </c>
      <c r="L192" s="33">
        <f>'B) D RI'!S193</f>
        <v>68</v>
      </c>
      <c r="M192" s="33">
        <f t="shared" si="27"/>
        <v>30.205713578032885</v>
      </c>
      <c r="N192" s="87">
        <f>+'J) Plafonnement effort'!H191+'J) Plafonnement effort'!I191-'K) Plafonnement aide'!I191</f>
        <v>28.627842070659348</v>
      </c>
      <c r="O192" s="125">
        <f t="shared" si="28"/>
        <v>58.833555648692233</v>
      </c>
      <c r="P192" s="47">
        <f t="shared" si="29"/>
        <v>0</v>
      </c>
      <c r="Q192" s="55">
        <f t="shared" si="33"/>
        <v>0</v>
      </c>
      <c r="R192" s="145">
        <f t="shared" si="30"/>
        <v>58.833555648692233</v>
      </c>
      <c r="S192" s="125">
        <f t="shared" si="31"/>
        <v>-9.1664443513077671</v>
      </c>
      <c r="T192" s="144">
        <f t="shared" si="26"/>
        <v>0</v>
      </c>
      <c r="V192" s="12"/>
    </row>
    <row r="193" spans="1:22" x14ac:dyDescent="0.25">
      <c r="A193" s="49">
        <f>'A) Base RI'!A194</f>
        <v>5715</v>
      </c>
      <c r="B193" s="354" t="str">
        <f>'A) Base RI'!B194</f>
        <v>Duillier</v>
      </c>
      <c r="C193" s="407">
        <v>1501101.4297484469</v>
      </c>
      <c r="D193" s="407">
        <v>1245780.5971707872</v>
      </c>
      <c r="E193" s="392">
        <v>0</v>
      </c>
      <c r="F193" s="392">
        <v>0</v>
      </c>
      <c r="G193" s="392">
        <v>0</v>
      </c>
      <c r="H193" s="407">
        <f t="shared" si="25"/>
        <v>2746882.0269192341</v>
      </c>
      <c r="I193" s="408">
        <v>70129.929393939397</v>
      </c>
      <c r="J193" s="358">
        <f>'B) D RI'!U194</f>
        <v>61573.714242424234</v>
      </c>
      <c r="K193" s="62">
        <f t="shared" si="32"/>
        <v>39.168469876666073</v>
      </c>
      <c r="L193" s="33">
        <f>'B) D RI'!S194</f>
        <v>66</v>
      </c>
      <c r="M193" s="33">
        <f t="shared" si="27"/>
        <v>26.831530123333927</v>
      </c>
      <c r="N193" s="87">
        <f>+'J) Plafonnement effort'!H192+'J) Plafonnement effort'!I192-'K) Plafonnement aide'!I192</f>
        <v>31.979828068569248</v>
      </c>
      <c r="O193" s="125">
        <f t="shared" si="28"/>
        <v>58.811358191903174</v>
      </c>
      <c r="P193" s="47">
        <f t="shared" si="29"/>
        <v>0</v>
      </c>
      <c r="Q193" s="55">
        <f t="shared" si="33"/>
        <v>0</v>
      </c>
      <c r="R193" s="145">
        <f t="shared" si="30"/>
        <v>58.811358191903174</v>
      </c>
      <c r="S193" s="125">
        <f t="shared" si="31"/>
        <v>-7.1886418080968255</v>
      </c>
      <c r="T193" s="144">
        <f t="shared" si="26"/>
        <v>0</v>
      </c>
      <c r="V193" s="12"/>
    </row>
    <row r="194" spans="1:22" x14ac:dyDescent="0.25">
      <c r="A194" s="49">
        <f>'A) Base RI'!A195</f>
        <v>5716</v>
      </c>
      <c r="B194" s="354" t="str">
        <f>'A) Base RI'!B195</f>
        <v>Eysins</v>
      </c>
      <c r="C194" s="407">
        <v>6377633.2673162641</v>
      </c>
      <c r="D194" s="407">
        <v>3739435.3567804457</v>
      </c>
      <c r="E194" s="392">
        <v>0</v>
      </c>
      <c r="F194" s="392">
        <v>-840470.81999834778</v>
      </c>
      <c r="G194" s="392">
        <v>0</v>
      </c>
      <c r="H194" s="407">
        <f t="shared" si="25"/>
        <v>9276597.8040983621</v>
      </c>
      <c r="I194" s="408">
        <v>206146.61786885248</v>
      </c>
      <c r="J194" s="358">
        <f>'B) D RI'!U195</f>
        <v>311499.41949579836</v>
      </c>
      <c r="K194" s="62">
        <f t="shared" si="32"/>
        <v>45</v>
      </c>
      <c r="L194" s="33">
        <f>'B) D RI'!S195</f>
        <v>59.5</v>
      </c>
      <c r="M194" s="33">
        <f t="shared" si="27"/>
        <v>14.5</v>
      </c>
      <c r="N194" s="87">
        <f>+'J) Plafonnement effort'!H193+'J) Plafonnement effort'!I193-'K) Plafonnement aide'!I193</f>
        <v>48</v>
      </c>
      <c r="O194" s="125">
        <f t="shared" si="28"/>
        <v>62.5</v>
      </c>
      <c r="P194" s="47">
        <f t="shared" si="29"/>
        <v>0</v>
      </c>
      <c r="Q194" s="55">
        <f t="shared" si="33"/>
        <v>0</v>
      </c>
      <c r="R194" s="145">
        <f t="shared" si="30"/>
        <v>62.5</v>
      </c>
      <c r="S194" s="125">
        <f t="shared" si="31"/>
        <v>3</v>
      </c>
      <c r="T194" s="144">
        <f t="shared" si="26"/>
        <v>0</v>
      </c>
      <c r="V194" s="12"/>
    </row>
    <row r="195" spans="1:22" x14ac:dyDescent="0.25">
      <c r="A195" s="49">
        <f>'A) Base RI'!A196</f>
        <v>5717</v>
      </c>
      <c r="B195" s="354" t="str">
        <f>'A) Base RI'!B196</f>
        <v>Founex</v>
      </c>
      <c r="C195" s="407">
        <v>9407615.2036280688</v>
      </c>
      <c r="D195" s="407">
        <v>5680719.1645953385</v>
      </c>
      <c r="E195" s="392">
        <v>0</v>
      </c>
      <c r="F195" s="392">
        <v>0</v>
      </c>
      <c r="G195" s="392">
        <v>0</v>
      </c>
      <c r="H195" s="407">
        <f t="shared" si="25"/>
        <v>15088334.368223406</v>
      </c>
      <c r="I195" s="408">
        <v>344775.19280701759</v>
      </c>
      <c r="J195" s="358">
        <f>'B) D RI'!U196</f>
        <v>386801.60228070174</v>
      </c>
      <c r="K195" s="62">
        <f t="shared" si="32"/>
        <v>43.762819028191686</v>
      </c>
      <c r="L195" s="33">
        <f>'B) D RI'!S196</f>
        <v>57</v>
      </c>
      <c r="M195" s="33">
        <f t="shared" si="27"/>
        <v>13.237180971808314</v>
      </c>
      <c r="N195" s="87">
        <f>+'J) Plafonnement effort'!H194+'J) Plafonnement effort'!I194-'K) Plafonnement aide'!I194</f>
        <v>40.243790753783991</v>
      </c>
      <c r="O195" s="125">
        <f t="shared" si="28"/>
        <v>53.480971725592305</v>
      </c>
      <c r="P195" s="47">
        <f t="shared" si="29"/>
        <v>0</v>
      </c>
      <c r="Q195" s="55">
        <f t="shared" si="33"/>
        <v>0</v>
      </c>
      <c r="R195" s="145">
        <f t="shared" si="30"/>
        <v>53.480971725592305</v>
      </c>
      <c r="S195" s="125">
        <f t="shared" si="31"/>
        <v>-3.5190282744076953</v>
      </c>
      <c r="T195" s="144">
        <f t="shared" si="26"/>
        <v>0</v>
      </c>
      <c r="V195" s="12"/>
    </row>
    <row r="196" spans="1:22" x14ac:dyDescent="0.25">
      <c r="A196" s="49">
        <f>'A) Base RI'!A197</f>
        <v>5718</v>
      </c>
      <c r="B196" s="354" t="str">
        <f>'A) Base RI'!B197</f>
        <v>Genolier</v>
      </c>
      <c r="C196" s="407">
        <v>4653862.9081177805</v>
      </c>
      <c r="D196" s="407">
        <v>2953233.5567758828</v>
      </c>
      <c r="E196" s="392">
        <v>0</v>
      </c>
      <c r="F196" s="392">
        <v>0</v>
      </c>
      <c r="G196" s="392">
        <v>0</v>
      </c>
      <c r="H196" s="407">
        <f t="shared" si="25"/>
        <v>7607096.4648936633</v>
      </c>
      <c r="I196" s="408">
        <v>171473.77890909091</v>
      </c>
      <c r="J196" s="358">
        <f>'B) D RI'!U197</f>
        <v>245082.27927272729</v>
      </c>
      <c r="K196" s="62">
        <f t="shared" si="32"/>
        <v>44.363030390358787</v>
      </c>
      <c r="L196" s="33">
        <f>'B) D RI'!S197</f>
        <v>55</v>
      </c>
      <c r="M196" s="33">
        <f t="shared" si="27"/>
        <v>10.636969609641213</v>
      </c>
      <c r="N196" s="87">
        <f>+'J) Plafonnement effort'!H195+'J) Plafonnement effort'!I195-'K) Plafonnement aide'!I195</f>
        <v>44.290129887474002</v>
      </c>
      <c r="O196" s="125">
        <f t="shared" si="28"/>
        <v>54.927099497115215</v>
      </c>
      <c r="P196" s="47">
        <f t="shared" si="29"/>
        <v>0</v>
      </c>
      <c r="Q196" s="55">
        <f t="shared" si="33"/>
        <v>0</v>
      </c>
      <c r="R196" s="145">
        <f t="shared" si="30"/>
        <v>54.927099497115215</v>
      </c>
      <c r="S196" s="125">
        <f t="shared" si="31"/>
        <v>-7.2900502884785112E-2</v>
      </c>
      <c r="T196" s="144">
        <f t="shared" si="26"/>
        <v>0</v>
      </c>
      <c r="V196" s="12"/>
    </row>
    <row r="197" spans="1:22" x14ac:dyDescent="0.25">
      <c r="A197" s="49">
        <f>'A) Base RI'!A198</f>
        <v>5719</v>
      </c>
      <c r="B197" s="354" t="str">
        <f>'A) Base RI'!B198</f>
        <v>Gingins</v>
      </c>
      <c r="C197" s="407">
        <v>4110896.608271278</v>
      </c>
      <c r="D197" s="407">
        <v>2637606.2468853742</v>
      </c>
      <c r="E197" s="392">
        <v>0</v>
      </c>
      <c r="F197" s="392">
        <v>-344207.34463033732</v>
      </c>
      <c r="G197" s="392">
        <v>0</v>
      </c>
      <c r="H197" s="407">
        <f t="shared" si="25"/>
        <v>6404295.5105263153</v>
      </c>
      <c r="I197" s="408">
        <v>142317.67801169588</v>
      </c>
      <c r="J197" s="358">
        <f>'B) D RI'!U198</f>
        <v>145761.42391812865</v>
      </c>
      <c r="K197" s="62">
        <f t="shared" si="32"/>
        <v>45.000000000000007</v>
      </c>
      <c r="L197" s="33">
        <f>'B) D RI'!S198</f>
        <v>57</v>
      </c>
      <c r="M197" s="33">
        <f t="shared" si="27"/>
        <v>11.999999999999993</v>
      </c>
      <c r="N197" s="87">
        <f>+'J) Plafonnement effort'!H196+'J) Plafonnement effort'!I196-'K) Plafonnement aide'!I196</f>
        <v>44.336357769409027</v>
      </c>
      <c r="O197" s="125">
        <f t="shared" si="28"/>
        <v>56.33635776940902</v>
      </c>
      <c r="P197" s="47">
        <f t="shared" si="29"/>
        <v>0</v>
      </c>
      <c r="Q197" s="55">
        <f t="shared" si="33"/>
        <v>0</v>
      </c>
      <c r="R197" s="145">
        <f t="shared" si="30"/>
        <v>56.33635776940902</v>
      </c>
      <c r="S197" s="125">
        <f t="shared" si="31"/>
        <v>-0.66364223059098038</v>
      </c>
      <c r="T197" s="144">
        <f t="shared" si="26"/>
        <v>0</v>
      </c>
      <c r="V197" s="12"/>
    </row>
    <row r="198" spans="1:22" x14ac:dyDescent="0.25">
      <c r="A198" s="49">
        <f>'A) Base RI'!A199</f>
        <v>5720</v>
      </c>
      <c r="B198" s="354" t="str">
        <f>'A) Base RI'!B199</f>
        <v>Givrins</v>
      </c>
      <c r="C198" s="407">
        <v>2187813.2407735381</v>
      </c>
      <c r="D198" s="407">
        <v>1514954.6681908567</v>
      </c>
      <c r="E198" s="392">
        <v>0</v>
      </c>
      <c r="F198" s="392">
        <v>0</v>
      </c>
      <c r="G198" s="392">
        <v>0</v>
      </c>
      <c r="H198" s="407">
        <f t="shared" si="25"/>
        <v>3702767.9089643946</v>
      </c>
      <c r="I198" s="408">
        <v>82564.367429519058</v>
      </c>
      <c r="J198" s="358">
        <f>'B) D RI'!U199</f>
        <v>84172.254543946925</v>
      </c>
      <c r="K198" s="62">
        <f t="shared" si="32"/>
        <v>44.847045090307951</v>
      </c>
      <c r="L198" s="33">
        <f>'B) D RI'!S199</f>
        <v>67</v>
      </c>
      <c r="M198" s="33">
        <f t="shared" si="27"/>
        <v>22.152954909692049</v>
      </c>
      <c r="N198" s="87">
        <f>+'J) Plafonnement effort'!H197+'J) Plafonnement effort'!I197-'K) Plafonnement aide'!I197</f>
        <v>39.782543043639706</v>
      </c>
      <c r="O198" s="125">
        <f t="shared" si="28"/>
        <v>61.935497953331755</v>
      </c>
      <c r="P198" s="47">
        <f t="shared" si="29"/>
        <v>0</v>
      </c>
      <c r="Q198" s="55">
        <f t="shared" si="33"/>
        <v>0</v>
      </c>
      <c r="R198" s="145">
        <f t="shared" si="30"/>
        <v>61.935497953331755</v>
      </c>
      <c r="S198" s="125">
        <f t="shared" si="31"/>
        <v>-5.0645020466682453</v>
      </c>
      <c r="T198" s="144">
        <f t="shared" si="26"/>
        <v>0</v>
      </c>
      <c r="V198" s="12"/>
    </row>
    <row r="199" spans="1:22" x14ac:dyDescent="0.25">
      <c r="A199" s="49">
        <f>'A) Base RI'!A200</f>
        <v>5721</v>
      </c>
      <c r="B199" s="354" t="str">
        <f>'A) Base RI'!B200</f>
        <v>Gland</v>
      </c>
      <c r="C199" s="407">
        <v>17563431.432870831</v>
      </c>
      <c r="D199" s="407">
        <v>5096056.3646534383</v>
      </c>
      <c r="E199" s="392">
        <v>0</v>
      </c>
      <c r="F199" s="392">
        <v>0</v>
      </c>
      <c r="G199" s="392">
        <v>0</v>
      </c>
      <c r="H199" s="407">
        <f t="shared" ref="H199:H262" si="41">SUM(C199:G199)</f>
        <v>22659487.79752427</v>
      </c>
      <c r="I199" s="408">
        <v>655037.95408000017</v>
      </c>
      <c r="J199" s="358">
        <f>'B) D RI'!U200</f>
        <v>651107.04049180343</v>
      </c>
      <c r="K199" s="62">
        <f t="shared" si="32"/>
        <v>34.592633383128899</v>
      </c>
      <c r="L199" s="33">
        <f>'B) D RI'!S200</f>
        <v>61</v>
      </c>
      <c r="M199" s="33">
        <f t="shared" si="27"/>
        <v>26.407366616871101</v>
      </c>
      <c r="N199" s="87">
        <f>+'J) Plafonnement effort'!H198+'J) Plafonnement effort'!I198-'K) Plafonnement aide'!I198</f>
        <v>21.195508640418126</v>
      </c>
      <c r="O199" s="125">
        <f t="shared" si="28"/>
        <v>47.602875257289227</v>
      </c>
      <c r="P199" s="47">
        <f t="shared" si="29"/>
        <v>0</v>
      </c>
      <c r="Q199" s="55">
        <f t="shared" si="33"/>
        <v>0</v>
      </c>
      <c r="R199" s="145">
        <f t="shared" si="30"/>
        <v>47.602875257289227</v>
      </c>
      <c r="S199" s="125">
        <f t="shared" si="31"/>
        <v>-13.397124742710773</v>
      </c>
      <c r="T199" s="144">
        <f t="shared" ref="T199:T262" si="42">+C199+D199+E199+F199+G199-H199</f>
        <v>0</v>
      </c>
      <c r="V199" s="12"/>
    </row>
    <row r="200" spans="1:22" x14ac:dyDescent="0.25">
      <c r="A200" s="49">
        <f>'A) Base RI'!A201</f>
        <v>5722</v>
      </c>
      <c r="B200" s="354" t="str">
        <f>'A) Base RI'!B201</f>
        <v>Grens</v>
      </c>
      <c r="C200" s="407">
        <v>395265.79968694906</v>
      </c>
      <c r="D200" s="407">
        <v>358158.63889411406</v>
      </c>
      <c r="E200" s="392">
        <v>0</v>
      </c>
      <c r="F200" s="392">
        <v>0</v>
      </c>
      <c r="G200" s="392">
        <v>0</v>
      </c>
      <c r="H200" s="407">
        <f t="shared" si="41"/>
        <v>753424.43858106318</v>
      </c>
      <c r="I200" s="408">
        <v>20306.92935483871</v>
      </c>
      <c r="J200" s="358">
        <f>'B) D RI'!U201</f>
        <v>25525.601935483872</v>
      </c>
      <c r="K200" s="62">
        <f t="shared" si="32"/>
        <v>37.101839742281769</v>
      </c>
      <c r="L200" s="33">
        <f>'B) D RI'!S201</f>
        <v>62</v>
      </c>
      <c r="M200" s="33">
        <f t="shared" si="27"/>
        <v>24.898160257718231</v>
      </c>
      <c r="N200" s="87">
        <f>+'J) Plafonnement effort'!H199+'J) Plafonnement effort'!I199-'K) Plafonnement aide'!I199</f>
        <v>34.632665268506592</v>
      </c>
      <c r="O200" s="125">
        <f t="shared" si="28"/>
        <v>59.530825526224824</v>
      </c>
      <c r="P200" s="47">
        <f t="shared" si="29"/>
        <v>0</v>
      </c>
      <c r="Q200" s="55">
        <f t="shared" si="33"/>
        <v>0</v>
      </c>
      <c r="R200" s="145">
        <f t="shared" si="30"/>
        <v>59.530825526224824</v>
      </c>
      <c r="S200" s="125">
        <f t="shared" si="31"/>
        <v>-2.4691744737751762</v>
      </c>
      <c r="T200" s="144">
        <f t="shared" si="42"/>
        <v>0</v>
      </c>
      <c r="V200" s="12"/>
    </row>
    <row r="201" spans="1:22" x14ac:dyDescent="0.25">
      <c r="A201" s="49">
        <f>'A) Base RI'!A202</f>
        <v>5723</v>
      </c>
      <c r="B201" s="354" t="str">
        <f>'A) Base RI'!B202</f>
        <v>Mies</v>
      </c>
      <c r="C201" s="407">
        <v>22008010.394518293</v>
      </c>
      <c r="D201" s="407">
        <v>10920723.525747446</v>
      </c>
      <c r="E201" s="392">
        <v>0</v>
      </c>
      <c r="F201" s="392">
        <v>-7199777.9730959199</v>
      </c>
      <c r="G201" s="392">
        <v>0</v>
      </c>
      <c r="H201" s="407">
        <f t="shared" si="41"/>
        <v>25728955.947169822</v>
      </c>
      <c r="I201" s="408">
        <v>571754.57660377375</v>
      </c>
      <c r="J201" s="358">
        <f>'B) D RI'!U202</f>
        <v>197805.17519230774</v>
      </c>
      <c r="K201" s="62">
        <f t="shared" si="32"/>
        <v>45.000000000000007</v>
      </c>
      <c r="L201" s="33">
        <f>'B) D RI'!S202</f>
        <v>52</v>
      </c>
      <c r="M201" s="33">
        <f t="shared" si="27"/>
        <v>6.9999999999999929</v>
      </c>
      <c r="N201" s="87">
        <f>+'J) Plafonnement effort'!H200+'J) Plafonnement effort'!I200-'K) Plafonnement aide'!I200</f>
        <v>38.352587755843146</v>
      </c>
      <c r="O201" s="125">
        <f t="shared" si="28"/>
        <v>45.352587755843139</v>
      </c>
      <c r="P201" s="47">
        <f t="shared" si="29"/>
        <v>0</v>
      </c>
      <c r="Q201" s="55">
        <f t="shared" si="33"/>
        <v>0</v>
      </c>
      <c r="R201" s="145">
        <f t="shared" si="30"/>
        <v>45.352587755843139</v>
      </c>
      <c r="S201" s="125">
        <f t="shared" si="31"/>
        <v>-6.647412244156861</v>
      </c>
      <c r="T201" s="144">
        <f t="shared" si="42"/>
        <v>0</v>
      </c>
      <c r="V201" s="12"/>
    </row>
    <row r="202" spans="1:22" x14ac:dyDescent="0.25">
      <c r="A202" s="49">
        <f>'A) Base RI'!A203</f>
        <v>5724</v>
      </c>
      <c r="B202" s="354" t="str">
        <f>'A) Base RI'!B203</f>
        <v>Nyon</v>
      </c>
      <c r="C202" s="407">
        <v>32170875.128055278</v>
      </c>
      <c r="D202" s="407">
        <v>11475459.161625216</v>
      </c>
      <c r="E202" s="392">
        <v>0</v>
      </c>
      <c r="F202" s="392">
        <v>0</v>
      </c>
      <c r="G202" s="392">
        <v>0</v>
      </c>
      <c r="H202" s="407">
        <f t="shared" si="41"/>
        <v>43646334.289680496</v>
      </c>
      <c r="I202" s="408">
        <v>1403046.442824716</v>
      </c>
      <c r="J202" s="358">
        <f>'B) D RI'!U203</f>
        <v>1415730.6761202184</v>
      </c>
      <c r="K202" s="62">
        <f t="shared" si="32"/>
        <v>31.108260537554621</v>
      </c>
      <c r="L202" s="33">
        <f>'B) D RI'!S203</f>
        <v>61</v>
      </c>
      <c r="M202" s="33">
        <f t="shared" si="27"/>
        <v>29.891739462445379</v>
      </c>
      <c r="N202" s="87">
        <f>+'J) Plafonnement effort'!H201+'J) Plafonnement effort'!I201-'K) Plafonnement aide'!I201</f>
        <v>25.212744226460451</v>
      </c>
      <c r="O202" s="125">
        <f t="shared" si="28"/>
        <v>55.10448368890583</v>
      </c>
      <c r="P202" s="47">
        <f t="shared" si="29"/>
        <v>0</v>
      </c>
      <c r="Q202" s="55">
        <f t="shared" si="33"/>
        <v>0</v>
      </c>
      <c r="R202" s="145">
        <f t="shared" si="30"/>
        <v>55.10448368890583</v>
      </c>
      <c r="S202" s="125">
        <f t="shared" si="31"/>
        <v>-5.8955163110941697</v>
      </c>
      <c r="T202" s="144">
        <f t="shared" si="42"/>
        <v>0</v>
      </c>
      <c r="V202" s="12"/>
    </row>
    <row r="203" spans="1:22" x14ac:dyDescent="0.25">
      <c r="A203" s="49">
        <f>'A) Base RI'!A204</f>
        <v>5725</v>
      </c>
      <c r="B203" s="354" t="str">
        <f>'A) Base RI'!B204</f>
        <v>Prangins</v>
      </c>
      <c r="C203" s="407">
        <v>9151696.6750882342</v>
      </c>
      <c r="D203" s="407">
        <v>5408706.6878037658</v>
      </c>
      <c r="E203" s="392">
        <v>0</v>
      </c>
      <c r="F203" s="392">
        <v>0</v>
      </c>
      <c r="G203" s="392">
        <v>0</v>
      </c>
      <c r="H203" s="407">
        <f t="shared" si="41"/>
        <v>14560403.362892</v>
      </c>
      <c r="I203" s="408">
        <v>339116.20058673463</v>
      </c>
      <c r="J203" s="358">
        <f>'B) D RI'!U204</f>
        <v>312804.93402597401</v>
      </c>
      <c r="K203" s="62">
        <f t="shared" si="32"/>
        <v>42.936324887161895</v>
      </c>
      <c r="L203" s="33">
        <f>'B) D RI'!S204</f>
        <v>55</v>
      </c>
      <c r="M203" s="33">
        <f t="shared" si="27"/>
        <v>12.063675112838105</v>
      </c>
      <c r="N203" s="87">
        <f>+'J) Plafonnement effort'!H202+'J) Plafonnement effort'!I202-'K) Plafonnement aide'!I202</f>
        <v>34.476434792205801</v>
      </c>
      <c r="O203" s="125">
        <f t="shared" si="28"/>
        <v>46.540109905043906</v>
      </c>
      <c r="P203" s="47">
        <f t="shared" si="29"/>
        <v>0</v>
      </c>
      <c r="Q203" s="55">
        <f t="shared" si="33"/>
        <v>0</v>
      </c>
      <c r="R203" s="145">
        <f t="shared" si="30"/>
        <v>46.540109905043906</v>
      </c>
      <c r="S203" s="125">
        <f t="shared" si="31"/>
        <v>-8.4598900949560942</v>
      </c>
      <c r="T203" s="144">
        <f t="shared" si="42"/>
        <v>0</v>
      </c>
      <c r="V203" s="12"/>
    </row>
    <row r="204" spans="1:22" x14ac:dyDescent="0.25">
      <c r="A204" s="49">
        <f>'A) Base RI'!A205</f>
        <v>5726</v>
      </c>
      <c r="B204" s="354" t="str">
        <f>'A) Base RI'!B205</f>
        <v>La Rippe</v>
      </c>
      <c r="C204" s="407">
        <v>1135514.1320744064</v>
      </c>
      <c r="D204" s="407">
        <v>1053472.8345596576</v>
      </c>
      <c r="E204" s="392">
        <v>0</v>
      </c>
      <c r="F204" s="392">
        <v>0</v>
      </c>
      <c r="G204" s="392">
        <v>0</v>
      </c>
      <c r="H204" s="407">
        <f t="shared" si="41"/>
        <v>2188986.966634064</v>
      </c>
      <c r="I204" s="408">
        <v>61326.535692307698</v>
      </c>
      <c r="J204" s="358">
        <f>'B) D RI'!U205</f>
        <v>66324.764153846147</v>
      </c>
      <c r="K204" s="62">
        <f t="shared" si="32"/>
        <v>35.693960891853095</v>
      </c>
      <c r="L204" s="33">
        <f>'B) D RI'!S205</f>
        <v>65</v>
      </c>
      <c r="M204" s="33">
        <f t="shared" si="27"/>
        <v>29.306039108146905</v>
      </c>
      <c r="N204" s="87">
        <f>+'J) Plafonnement effort'!H203+'J) Plafonnement effort'!I203-'K) Plafonnement aide'!I203</f>
        <v>33.022615868780697</v>
      </c>
      <c r="O204" s="125">
        <f t="shared" si="28"/>
        <v>62.328654976927602</v>
      </c>
      <c r="P204" s="47">
        <f t="shared" si="29"/>
        <v>0</v>
      </c>
      <c r="Q204" s="55">
        <f t="shared" si="33"/>
        <v>0</v>
      </c>
      <c r="R204" s="145">
        <f t="shared" si="30"/>
        <v>62.328654976927602</v>
      </c>
      <c r="S204" s="125">
        <f t="shared" si="31"/>
        <v>-2.6713450230723979</v>
      </c>
      <c r="T204" s="144">
        <f t="shared" si="42"/>
        <v>0</v>
      </c>
      <c r="V204" s="12"/>
    </row>
    <row r="205" spans="1:22" x14ac:dyDescent="0.25">
      <c r="A205" s="49">
        <f>'A) Base RI'!A206</f>
        <v>5727</v>
      </c>
      <c r="B205" s="354" t="str">
        <f>'A) Base RI'!B206</f>
        <v>Saint-Cergue</v>
      </c>
      <c r="C205" s="407">
        <v>1784026.97135776</v>
      </c>
      <c r="D205" s="407">
        <v>775896.93769785343</v>
      </c>
      <c r="E205" s="392">
        <v>0</v>
      </c>
      <c r="F205" s="392">
        <v>0</v>
      </c>
      <c r="G205" s="392">
        <v>0</v>
      </c>
      <c r="H205" s="407">
        <f t="shared" si="41"/>
        <v>2559923.9090556134</v>
      </c>
      <c r="I205" s="408">
        <v>96125.190858585862</v>
      </c>
      <c r="J205" s="358">
        <f>'B) D RI'!U206</f>
        <v>105125.05141414142</v>
      </c>
      <c r="K205" s="62">
        <f t="shared" si="32"/>
        <v>26.631145136779327</v>
      </c>
      <c r="L205" s="33">
        <f>'B) D RI'!S206</f>
        <v>66</v>
      </c>
      <c r="M205" s="33">
        <f t="shared" si="27"/>
        <v>39.368854863220676</v>
      </c>
      <c r="N205" s="87">
        <f>+'J) Plafonnement effort'!H204+'J) Plafonnement effort'!I204-'K) Plafonnement aide'!I204</f>
        <v>22.518111456643741</v>
      </c>
      <c r="O205" s="125">
        <f t="shared" si="28"/>
        <v>61.886966319864413</v>
      </c>
      <c r="P205" s="47">
        <f t="shared" si="29"/>
        <v>0</v>
      </c>
      <c r="Q205" s="55">
        <f t="shared" si="33"/>
        <v>0</v>
      </c>
      <c r="R205" s="145">
        <f t="shared" si="30"/>
        <v>61.886966319864413</v>
      </c>
      <c r="S205" s="125">
        <f t="shared" si="31"/>
        <v>-4.1130336801355867</v>
      </c>
      <c r="T205" s="144">
        <f t="shared" si="42"/>
        <v>0</v>
      </c>
      <c r="V205" s="12"/>
    </row>
    <row r="206" spans="1:22" x14ac:dyDescent="0.25">
      <c r="A206" s="49">
        <f>'A) Base RI'!A207</f>
        <v>5728</v>
      </c>
      <c r="B206" s="354" t="str">
        <f>'A) Base RI'!B207</f>
        <v>Signy-Avenex</v>
      </c>
      <c r="C206" s="407">
        <v>988563.30745556601</v>
      </c>
      <c r="D206" s="407">
        <v>789177.68701722228</v>
      </c>
      <c r="E206" s="392">
        <v>0</v>
      </c>
      <c r="F206" s="392">
        <v>0</v>
      </c>
      <c r="G206" s="392">
        <v>0</v>
      </c>
      <c r="H206" s="407">
        <f t="shared" si="41"/>
        <v>1777740.9944727882</v>
      </c>
      <c r="I206" s="408">
        <v>43125.38</v>
      </c>
      <c r="J206" s="358">
        <f>'B) D RI'!U207</f>
        <v>49286.820862068969</v>
      </c>
      <c r="K206" s="62">
        <f t="shared" si="32"/>
        <v>41.222616345010486</v>
      </c>
      <c r="L206" s="33">
        <f>'B) D RI'!S207</f>
        <v>58</v>
      </c>
      <c r="M206" s="33">
        <f t="shared" si="27"/>
        <v>16.777383654989514</v>
      </c>
      <c r="N206" s="87">
        <f>+'J) Plafonnement effort'!H205+'J) Plafonnement effort'!I205-'K) Plafonnement aide'!I205</f>
        <v>39.422578730420646</v>
      </c>
      <c r="O206" s="125">
        <f t="shared" si="28"/>
        <v>56.19996238541016</v>
      </c>
      <c r="P206" s="47">
        <f t="shared" si="29"/>
        <v>0</v>
      </c>
      <c r="Q206" s="55">
        <f t="shared" si="33"/>
        <v>0</v>
      </c>
      <c r="R206" s="145">
        <f t="shared" si="30"/>
        <v>56.19996238541016</v>
      </c>
      <c r="S206" s="125">
        <f t="shared" si="31"/>
        <v>-1.80003761458984</v>
      </c>
      <c r="T206" s="144">
        <f t="shared" si="42"/>
        <v>0</v>
      </c>
      <c r="V206" s="12"/>
    </row>
    <row r="207" spans="1:22" x14ac:dyDescent="0.25">
      <c r="A207" s="49">
        <f>'A) Base RI'!A208</f>
        <v>5729</v>
      </c>
      <c r="B207" s="354" t="str">
        <f>'A) Base RI'!B208</f>
        <v>Tannay</v>
      </c>
      <c r="C207" s="407">
        <v>5390006.77563449</v>
      </c>
      <c r="D207" s="407">
        <v>3202342.4963462274</v>
      </c>
      <c r="E207" s="392">
        <v>0</v>
      </c>
      <c r="F207" s="392">
        <v>-632200.18591514311</v>
      </c>
      <c r="G207" s="392">
        <v>0</v>
      </c>
      <c r="H207" s="407">
        <f t="shared" si="41"/>
        <v>7960149.0860655745</v>
      </c>
      <c r="I207" s="408">
        <v>176892.2019125683</v>
      </c>
      <c r="J207" s="358">
        <f>'B) D RI'!U208</f>
        <v>130826.66865013774</v>
      </c>
      <c r="K207" s="62">
        <f t="shared" si="32"/>
        <v>45.000000000000007</v>
      </c>
      <c r="L207" s="33">
        <f>'B) D RI'!S208</f>
        <v>60.5</v>
      </c>
      <c r="M207" s="33">
        <f t="shared" si="27"/>
        <v>15.499999999999993</v>
      </c>
      <c r="N207" s="87">
        <f>+'J) Plafonnement effort'!H206+'J) Plafonnement effort'!I206-'K) Plafonnement aide'!I206</f>
        <v>37.59933910017515</v>
      </c>
      <c r="O207" s="125">
        <f t="shared" si="28"/>
        <v>53.099339100175143</v>
      </c>
      <c r="P207" s="47">
        <f t="shared" si="29"/>
        <v>0</v>
      </c>
      <c r="Q207" s="55">
        <f t="shared" si="33"/>
        <v>0</v>
      </c>
      <c r="R207" s="145">
        <f t="shared" si="30"/>
        <v>53.099339100175143</v>
      </c>
      <c r="S207" s="125">
        <f t="shared" si="31"/>
        <v>-7.4006608998248566</v>
      </c>
      <c r="T207" s="144">
        <f t="shared" si="42"/>
        <v>0</v>
      </c>
      <c r="V207" s="12"/>
    </row>
    <row r="208" spans="1:22" x14ac:dyDescent="0.25">
      <c r="A208" s="49">
        <f>'A) Base RI'!A209</f>
        <v>5730</v>
      </c>
      <c r="B208" s="354" t="str">
        <f>'A) Base RI'!B209</f>
        <v>Trélex</v>
      </c>
      <c r="C208" s="407">
        <v>3494413.993921712</v>
      </c>
      <c r="D208" s="407">
        <v>2412252.1417919486</v>
      </c>
      <c r="E208" s="392">
        <v>0</v>
      </c>
      <c r="F208" s="392">
        <v>0</v>
      </c>
      <c r="G208" s="392">
        <v>0</v>
      </c>
      <c r="H208" s="407">
        <f t="shared" si="41"/>
        <v>5906666.1357136611</v>
      </c>
      <c r="I208" s="408">
        <v>134482.25955165693</v>
      </c>
      <c r="J208" s="358">
        <f>'B) D RI'!U209</f>
        <v>111625.98756756757</v>
      </c>
      <c r="K208" s="62">
        <f t="shared" si="32"/>
        <v>43.921526567188664</v>
      </c>
      <c r="L208" s="33">
        <f>'B) D RI'!S209</f>
        <v>55.5</v>
      </c>
      <c r="M208" s="33">
        <f t="shared" si="27"/>
        <v>11.578473432811336</v>
      </c>
      <c r="N208" s="87">
        <f>+'J) Plafonnement effort'!H207+'J) Plafonnement effort'!I207-'K) Plafonnement aide'!I207</f>
        <v>36.60291295860366</v>
      </c>
      <c r="O208" s="125">
        <f t="shared" si="28"/>
        <v>48.181386391414996</v>
      </c>
      <c r="P208" s="47">
        <f t="shared" si="29"/>
        <v>0</v>
      </c>
      <c r="Q208" s="55">
        <f t="shared" si="33"/>
        <v>0</v>
      </c>
      <c r="R208" s="145">
        <f t="shared" si="30"/>
        <v>48.181386391414996</v>
      </c>
      <c r="S208" s="125">
        <f t="shared" si="31"/>
        <v>-7.3186136085850038</v>
      </c>
      <c r="T208" s="144">
        <f t="shared" si="42"/>
        <v>0</v>
      </c>
      <c r="V208" s="12"/>
    </row>
    <row r="209" spans="1:22" x14ac:dyDescent="0.25">
      <c r="A209" s="49">
        <f>'A) Base RI'!A210</f>
        <v>5731</v>
      </c>
      <c r="B209" s="354" t="str">
        <f>'A) Base RI'!B210</f>
        <v>Le Vaud</v>
      </c>
      <c r="C209" s="407">
        <v>1281018.5246417532</v>
      </c>
      <c r="D209" s="407">
        <v>936446.28299217345</v>
      </c>
      <c r="E209" s="392">
        <v>0</v>
      </c>
      <c r="F209" s="392">
        <v>0</v>
      </c>
      <c r="G209" s="392">
        <v>0</v>
      </c>
      <c r="H209" s="407">
        <f t="shared" si="41"/>
        <v>2217464.8076339266</v>
      </c>
      <c r="I209" s="408">
        <v>61944.089333333322</v>
      </c>
      <c r="J209" s="358">
        <f>'B) D RI'!U210</f>
        <v>63942.206576576558</v>
      </c>
      <c r="K209" s="62">
        <f t="shared" si="32"/>
        <v>35.797843369708971</v>
      </c>
      <c r="L209" s="33">
        <f>'B) D RI'!S210</f>
        <v>74</v>
      </c>
      <c r="M209" s="33">
        <f t="shared" si="27"/>
        <v>38.202156630291029</v>
      </c>
      <c r="N209" s="87">
        <f>+'J) Plafonnement effort'!H208+'J) Plafonnement effort'!I208-'K) Plafonnement aide'!I208</f>
        <v>28.598165367685827</v>
      </c>
      <c r="O209" s="125">
        <f t="shared" si="28"/>
        <v>66.800321997976852</v>
      </c>
      <c r="P209" s="47">
        <f t="shared" si="29"/>
        <v>0</v>
      </c>
      <c r="Q209" s="55">
        <f t="shared" si="33"/>
        <v>0</v>
      </c>
      <c r="R209" s="145">
        <f t="shared" si="30"/>
        <v>66.800321997976852</v>
      </c>
      <c r="S209" s="125">
        <f t="shared" si="31"/>
        <v>-7.1996780020231483</v>
      </c>
      <c r="T209" s="144">
        <f t="shared" si="42"/>
        <v>0</v>
      </c>
      <c r="V209" s="12"/>
    </row>
    <row r="210" spans="1:22" x14ac:dyDescent="0.25">
      <c r="A210" s="49">
        <f>'A) Base RI'!A211</f>
        <v>5732</v>
      </c>
      <c r="B210" s="354" t="str">
        <f>'A) Base RI'!B211</f>
        <v>Vich</v>
      </c>
      <c r="C210" s="407">
        <v>1336258.4581317299</v>
      </c>
      <c r="D210" s="407">
        <v>1125451.4343375061</v>
      </c>
      <c r="E210" s="392">
        <v>0</v>
      </c>
      <c r="F210" s="392">
        <v>0</v>
      </c>
      <c r="G210" s="392">
        <v>0</v>
      </c>
      <c r="H210" s="407">
        <f t="shared" si="41"/>
        <v>2461709.8924692357</v>
      </c>
      <c r="I210" s="408">
        <v>63992.408333333333</v>
      </c>
      <c r="J210" s="358">
        <f>'B) D RI'!U211</f>
        <v>71006.972380952371</v>
      </c>
      <c r="K210" s="62">
        <f t="shared" si="32"/>
        <v>38.468780228528189</v>
      </c>
      <c r="L210" s="33">
        <f>'B) D RI'!S211</f>
        <v>63</v>
      </c>
      <c r="M210" s="33">
        <f t="shared" si="27"/>
        <v>24.531219771471811</v>
      </c>
      <c r="N210" s="87">
        <f>+'J) Plafonnement effort'!H209+'J) Plafonnement effort'!I209-'K) Plafonnement aide'!I209</f>
        <v>33.744705691266184</v>
      </c>
      <c r="O210" s="125">
        <f t="shared" si="28"/>
        <v>58.275925462737995</v>
      </c>
      <c r="P210" s="47">
        <f t="shared" si="29"/>
        <v>0</v>
      </c>
      <c r="Q210" s="55">
        <f t="shared" si="33"/>
        <v>0</v>
      </c>
      <c r="R210" s="145">
        <f t="shared" si="30"/>
        <v>58.275925462737995</v>
      </c>
      <c r="S210" s="125">
        <f t="shared" si="31"/>
        <v>-4.7240745372620054</v>
      </c>
      <c r="T210" s="144">
        <f t="shared" si="42"/>
        <v>0</v>
      </c>
      <c r="V210" s="12"/>
    </row>
    <row r="211" spans="1:22" x14ac:dyDescent="0.25">
      <c r="A211" s="49">
        <f>'A) Base RI'!A212</f>
        <v>5741</v>
      </c>
      <c r="B211" s="354" t="str">
        <f>'A) Base RI'!B212</f>
        <v>L'Abergement</v>
      </c>
      <c r="C211" s="407">
        <v>128829.49801022008</v>
      </c>
      <c r="D211" s="407">
        <v>-827.48555318129365</v>
      </c>
      <c r="E211" s="392">
        <v>0</v>
      </c>
      <c r="F211" s="392">
        <v>0</v>
      </c>
      <c r="G211" s="392">
        <v>0</v>
      </c>
      <c r="H211" s="407">
        <f t="shared" si="41"/>
        <v>128002.01245703879</v>
      </c>
      <c r="I211" s="408">
        <v>7144.356296296296</v>
      </c>
      <c r="J211" s="358">
        <f>'B) D RI'!U212</f>
        <v>7368.9297325102852</v>
      </c>
      <c r="K211" s="62">
        <f t="shared" si="32"/>
        <v>17.916521397931437</v>
      </c>
      <c r="L211" s="33">
        <f>'B) D RI'!S212</f>
        <v>81</v>
      </c>
      <c r="M211" s="33">
        <f t="shared" si="27"/>
        <v>63.083478602068567</v>
      </c>
      <c r="N211" s="87">
        <f>+'J) Plafonnement effort'!H210+'J) Plafonnement effort'!I210-'K) Plafonnement aide'!I210</f>
        <v>11.126794352971309</v>
      </c>
      <c r="O211" s="125">
        <f t="shared" si="28"/>
        <v>74.210272955039869</v>
      </c>
      <c r="P211" s="47">
        <f t="shared" si="29"/>
        <v>0</v>
      </c>
      <c r="Q211" s="55">
        <f t="shared" si="33"/>
        <v>0</v>
      </c>
      <c r="R211" s="145">
        <f t="shared" si="30"/>
        <v>74.210272955039869</v>
      </c>
      <c r="S211" s="125">
        <f t="shared" si="31"/>
        <v>-6.7897270449601308</v>
      </c>
      <c r="T211" s="144">
        <f t="shared" si="42"/>
        <v>0</v>
      </c>
      <c r="V211" s="12"/>
    </row>
    <row r="212" spans="1:22" x14ac:dyDescent="0.25">
      <c r="A212" s="49">
        <f>'A) Base RI'!A213</f>
        <v>5742</v>
      </c>
      <c r="B212" s="354" t="str">
        <f>'A) Base RI'!B213</f>
        <v>Agiez</v>
      </c>
      <c r="C212" s="407">
        <v>166023.15167257306</v>
      </c>
      <c r="D212" s="407">
        <v>-39089.643646279292</v>
      </c>
      <c r="E212" s="392">
        <v>0</v>
      </c>
      <c r="F212" s="392">
        <v>0</v>
      </c>
      <c r="G212" s="392">
        <v>0</v>
      </c>
      <c r="H212" s="407">
        <f t="shared" si="41"/>
        <v>126933.50802629377</v>
      </c>
      <c r="I212" s="408">
        <v>9023.5640789473691</v>
      </c>
      <c r="J212" s="358">
        <f>'B) D RI'!U213</f>
        <v>8960.136710526318</v>
      </c>
      <c r="K212" s="62">
        <f t="shared" si="32"/>
        <v>14.066892739470745</v>
      </c>
      <c r="L212" s="33">
        <f>'B) D RI'!S213</f>
        <v>76</v>
      </c>
      <c r="M212" s="33">
        <f t="shared" si="27"/>
        <v>61.933107260529255</v>
      </c>
      <c r="N212" s="87">
        <f>+'J) Plafonnement effort'!H211+'J) Plafonnement effort'!I211-'K) Plafonnement aide'!I211</f>
        <v>4.1505069132704833</v>
      </c>
      <c r="O212" s="125">
        <f t="shared" si="28"/>
        <v>66.083614173799731</v>
      </c>
      <c r="P212" s="47">
        <f t="shared" si="29"/>
        <v>0</v>
      </c>
      <c r="Q212" s="55">
        <f t="shared" si="33"/>
        <v>0</v>
      </c>
      <c r="R212" s="145">
        <f t="shared" si="30"/>
        <v>66.083614173799731</v>
      </c>
      <c r="S212" s="125">
        <f t="shared" si="31"/>
        <v>-9.9163858262002691</v>
      </c>
      <c r="T212" s="144">
        <f t="shared" si="42"/>
        <v>0</v>
      </c>
      <c r="V212" s="12"/>
    </row>
    <row r="213" spans="1:22" x14ac:dyDescent="0.25">
      <c r="A213" s="49">
        <f>'A) Base RI'!A214</f>
        <v>5743</v>
      </c>
      <c r="B213" s="354" t="str">
        <f>'A) Base RI'!B214</f>
        <v>Arnex-sur-Orbe</v>
      </c>
      <c r="C213" s="407">
        <v>388144.42471080861</v>
      </c>
      <c r="D213" s="407">
        <v>72491.597070775169</v>
      </c>
      <c r="E213" s="392">
        <v>0</v>
      </c>
      <c r="F213" s="392">
        <v>0</v>
      </c>
      <c r="G213" s="392">
        <v>0</v>
      </c>
      <c r="H213" s="407">
        <f t="shared" si="41"/>
        <v>460636.02178158378</v>
      </c>
      <c r="I213" s="408">
        <v>19009.64441780822</v>
      </c>
      <c r="J213" s="358">
        <f>'B) D RI'!U214</f>
        <v>20526.64161971831</v>
      </c>
      <c r="K213" s="62">
        <f t="shared" si="32"/>
        <v>24.231701112202831</v>
      </c>
      <c r="L213" s="33">
        <f>'B) D RI'!S214</f>
        <v>71</v>
      </c>
      <c r="M213" s="33">
        <f t="shared" si="27"/>
        <v>46.768298887797172</v>
      </c>
      <c r="N213" s="87">
        <f>+'J) Plafonnement effort'!H212+'J) Plafonnement effort'!I212-'K) Plafonnement aide'!I212</f>
        <v>19.306342656660068</v>
      </c>
      <c r="O213" s="125">
        <f t="shared" si="28"/>
        <v>66.074641544457236</v>
      </c>
      <c r="P213" s="47">
        <f t="shared" si="29"/>
        <v>0</v>
      </c>
      <c r="Q213" s="55">
        <f t="shared" si="33"/>
        <v>0</v>
      </c>
      <c r="R213" s="145">
        <f t="shared" si="30"/>
        <v>66.074641544457236</v>
      </c>
      <c r="S213" s="125">
        <f t="shared" si="31"/>
        <v>-4.9253584555427636</v>
      </c>
      <c r="T213" s="144">
        <f t="shared" si="42"/>
        <v>0</v>
      </c>
      <c r="V213" s="12"/>
    </row>
    <row r="214" spans="1:22" x14ac:dyDescent="0.25">
      <c r="A214" s="49">
        <f>'A) Base RI'!A215</f>
        <v>5744</v>
      </c>
      <c r="B214" s="354" t="str">
        <f>'A) Base RI'!B215</f>
        <v>Ballaigues</v>
      </c>
      <c r="C214" s="407">
        <v>1645790.0207955574</v>
      </c>
      <c r="D214" s="407">
        <v>1105948.3963743269</v>
      </c>
      <c r="E214" s="392">
        <v>0</v>
      </c>
      <c r="F214" s="392">
        <v>0</v>
      </c>
      <c r="G214" s="392">
        <v>0</v>
      </c>
      <c r="H214" s="407">
        <f t="shared" si="41"/>
        <v>2751738.4171698843</v>
      </c>
      <c r="I214" s="408">
        <v>63457.136212121215</v>
      </c>
      <c r="J214" s="358">
        <f>'B) D RI'!U215</f>
        <v>40453.358769230777</v>
      </c>
      <c r="K214" s="62">
        <f t="shared" si="32"/>
        <v>43.363734662899319</v>
      </c>
      <c r="L214" s="33">
        <f>'B) D RI'!S215</f>
        <v>65</v>
      </c>
      <c r="M214" s="33">
        <f t="shared" si="27"/>
        <v>21.636265337100681</v>
      </c>
      <c r="N214" s="87">
        <f>+'J) Plafonnement effort'!H213+'J) Plafonnement effort'!I213-'K) Plafonnement aide'!I213</f>
        <v>22.750734403601093</v>
      </c>
      <c r="O214" s="125">
        <f t="shared" si="28"/>
        <v>44.386999740701775</v>
      </c>
      <c r="P214" s="47">
        <f t="shared" si="29"/>
        <v>0</v>
      </c>
      <c r="Q214" s="55">
        <f t="shared" si="33"/>
        <v>0</v>
      </c>
      <c r="R214" s="145">
        <f t="shared" si="30"/>
        <v>44.386999740701775</v>
      </c>
      <c r="S214" s="125">
        <f t="shared" si="31"/>
        <v>-20.613000259298225</v>
      </c>
      <c r="T214" s="144">
        <f t="shared" si="42"/>
        <v>0</v>
      </c>
      <c r="V214" s="12"/>
    </row>
    <row r="215" spans="1:22" x14ac:dyDescent="0.25">
      <c r="A215" s="49">
        <f>'A) Base RI'!A216</f>
        <v>5745</v>
      </c>
      <c r="B215" s="354" t="str">
        <f>'A) Base RI'!B216</f>
        <v>Baulmes</v>
      </c>
      <c r="C215" s="407">
        <v>523058.70162877341</v>
      </c>
      <c r="D215" s="407">
        <v>-99209.69771068159</v>
      </c>
      <c r="E215" s="392">
        <v>0</v>
      </c>
      <c r="F215" s="392">
        <v>0</v>
      </c>
      <c r="G215" s="392">
        <v>0</v>
      </c>
      <c r="H215" s="407">
        <f t="shared" si="41"/>
        <v>423849.00391809182</v>
      </c>
      <c r="I215" s="408">
        <v>27759.177948717952</v>
      </c>
      <c r="J215" s="358">
        <f>'B) D RI'!U216</f>
        <v>26827.589150326792</v>
      </c>
      <c r="K215" s="62">
        <f t="shared" si="32"/>
        <v>15.26878802755278</v>
      </c>
      <c r="L215" s="33">
        <f>'B) D RI'!S216</f>
        <v>76.5</v>
      </c>
      <c r="M215" s="33">
        <f t="shared" si="27"/>
        <v>61.23121197244722</v>
      </c>
      <c r="N215" s="87">
        <f>+'J) Plafonnement effort'!H214+'J) Plafonnement effort'!I214-'K) Plafonnement aide'!I214</f>
        <v>5.7833824966577518</v>
      </c>
      <c r="O215" s="125">
        <f t="shared" si="28"/>
        <v>67.014594469104978</v>
      </c>
      <c r="P215" s="47">
        <f t="shared" si="29"/>
        <v>0</v>
      </c>
      <c r="Q215" s="55">
        <f t="shared" si="33"/>
        <v>0</v>
      </c>
      <c r="R215" s="145">
        <f t="shared" si="30"/>
        <v>67.014594469104978</v>
      </c>
      <c r="S215" s="125">
        <f t="shared" si="31"/>
        <v>-9.4854055308950223</v>
      </c>
      <c r="T215" s="144">
        <f t="shared" si="42"/>
        <v>0</v>
      </c>
      <c r="V215" s="12"/>
    </row>
    <row r="216" spans="1:22" x14ac:dyDescent="0.25">
      <c r="A216" s="49">
        <f>'A) Base RI'!A217</f>
        <v>5746</v>
      </c>
      <c r="B216" s="354" t="str">
        <f>'A) Base RI'!B217</f>
        <v>Bavois</v>
      </c>
      <c r="C216" s="407">
        <v>491285.32843917364</v>
      </c>
      <c r="D216" s="407">
        <v>15031.314066253835</v>
      </c>
      <c r="E216" s="392">
        <v>0</v>
      </c>
      <c r="F216" s="392">
        <v>0</v>
      </c>
      <c r="G216" s="392">
        <v>0</v>
      </c>
      <c r="H216" s="407">
        <f t="shared" si="41"/>
        <v>506316.64250542747</v>
      </c>
      <c r="I216" s="408">
        <v>26302.981735159818</v>
      </c>
      <c r="J216" s="358">
        <f>'B) D RI'!U217</f>
        <v>30466.611141552505</v>
      </c>
      <c r="K216" s="62">
        <f t="shared" si="32"/>
        <v>19.2494009843995</v>
      </c>
      <c r="L216" s="33">
        <f>'B) D RI'!S217</f>
        <v>73</v>
      </c>
      <c r="M216" s="33">
        <f t="shared" si="27"/>
        <v>53.7505990156005</v>
      </c>
      <c r="N216" s="87">
        <f>+'J) Plafonnement effort'!H215+'J) Plafonnement effort'!I215-'K) Plafonnement aide'!I215</f>
        <v>16.89616896977131</v>
      </c>
      <c r="O216" s="125">
        <f t="shared" si="28"/>
        <v>70.64676798537181</v>
      </c>
      <c r="P216" s="47">
        <f t="shared" si="29"/>
        <v>0</v>
      </c>
      <c r="Q216" s="55">
        <f t="shared" si="33"/>
        <v>0</v>
      </c>
      <c r="R216" s="145">
        <f t="shared" si="30"/>
        <v>70.64676798537181</v>
      </c>
      <c r="S216" s="125">
        <f t="shared" si="31"/>
        <v>-2.3532320146281904</v>
      </c>
      <c r="T216" s="144">
        <f t="shared" si="42"/>
        <v>0</v>
      </c>
      <c r="V216" s="12"/>
    </row>
    <row r="217" spans="1:22" x14ac:dyDescent="0.25">
      <c r="A217" s="49">
        <f>'A) Base RI'!A218</f>
        <v>5747</v>
      </c>
      <c r="B217" s="354" t="str">
        <f>'A) Base RI'!B218</f>
        <v>Bofflens</v>
      </c>
      <c r="C217" s="407">
        <v>94332.197466748679</v>
      </c>
      <c r="D217" s="407">
        <v>34053.391900700444</v>
      </c>
      <c r="E217" s="392">
        <v>0</v>
      </c>
      <c r="F217" s="392">
        <v>0</v>
      </c>
      <c r="G217" s="392">
        <v>0</v>
      </c>
      <c r="H217" s="407">
        <f t="shared" si="41"/>
        <v>128385.58936744912</v>
      </c>
      <c r="I217" s="408">
        <v>5938.7008695652166</v>
      </c>
      <c r="J217" s="358">
        <f>'B) D RI'!U218</f>
        <v>5608.7786956521741</v>
      </c>
      <c r="K217" s="62">
        <f t="shared" si="32"/>
        <v>21.61846373259889</v>
      </c>
      <c r="L217" s="33">
        <f>'B) D RI'!S218</f>
        <v>69</v>
      </c>
      <c r="M217" s="33">
        <f t="shared" si="27"/>
        <v>47.38153626740111</v>
      </c>
      <c r="N217" s="87">
        <f>+'J) Plafonnement effort'!H216+'J) Plafonnement effort'!I216-'K) Plafonnement aide'!I216</f>
        <v>13.915519273878775</v>
      </c>
      <c r="O217" s="125">
        <f t="shared" si="28"/>
        <v>61.297055541279889</v>
      </c>
      <c r="P217" s="47">
        <f t="shared" si="29"/>
        <v>0</v>
      </c>
      <c r="Q217" s="55">
        <f t="shared" si="33"/>
        <v>0</v>
      </c>
      <c r="R217" s="145">
        <f t="shared" si="30"/>
        <v>61.297055541279889</v>
      </c>
      <c r="S217" s="125">
        <f t="shared" si="31"/>
        <v>-7.7029444587201112</v>
      </c>
      <c r="T217" s="144">
        <f t="shared" si="42"/>
        <v>0</v>
      </c>
      <c r="V217" s="12"/>
    </row>
    <row r="218" spans="1:22" x14ac:dyDescent="0.25">
      <c r="A218" s="49">
        <f>'A) Base RI'!A219</f>
        <v>5748</v>
      </c>
      <c r="B218" s="354" t="str">
        <f>'A) Base RI'!B219</f>
        <v>Bretonnières</v>
      </c>
      <c r="C218" s="407">
        <v>123795.88284568535</v>
      </c>
      <c r="D218" s="407">
        <v>2658.2228384172195</v>
      </c>
      <c r="E218" s="392">
        <v>0</v>
      </c>
      <c r="F218" s="392">
        <v>0</v>
      </c>
      <c r="G218" s="392">
        <v>0</v>
      </c>
      <c r="H218" s="407">
        <f t="shared" si="41"/>
        <v>126454.10568410257</v>
      </c>
      <c r="I218" s="408">
        <v>7318.7627314814808</v>
      </c>
      <c r="J218" s="358">
        <f>'B) D RI'!U219</f>
        <v>5789.9884160756492</v>
      </c>
      <c r="K218" s="62">
        <f t="shared" si="32"/>
        <v>17.278071488800052</v>
      </c>
      <c r="L218" s="33">
        <f>'B) D RI'!S219</f>
        <v>70.5</v>
      </c>
      <c r="M218" s="33">
        <f t="shared" si="27"/>
        <v>53.221928511199948</v>
      </c>
      <c r="N218" s="87">
        <f>+'J) Plafonnement effort'!H217+'J) Plafonnement effort'!I217-'K) Plafonnement aide'!I217</f>
        <v>2.9022796115137717</v>
      </c>
      <c r="O218" s="125">
        <f t="shared" si="28"/>
        <v>56.124208122713718</v>
      </c>
      <c r="P218" s="47">
        <f t="shared" si="29"/>
        <v>0</v>
      </c>
      <c r="Q218" s="55">
        <f t="shared" si="33"/>
        <v>0</v>
      </c>
      <c r="R218" s="145">
        <f t="shared" si="30"/>
        <v>56.124208122713718</v>
      </c>
      <c r="S218" s="125">
        <f t="shared" si="31"/>
        <v>-14.375791877286282</v>
      </c>
      <c r="T218" s="144">
        <f t="shared" si="42"/>
        <v>0</v>
      </c>
      <c r="V218" s="12"/>
    </row>
    <row r="219" spans="1:22" x14ac:dyDescent="0.25">
      <c r="A219" s="49">
        <f>'A) Base RI'!A220</f>
        <v>5749</v>
      </c>
      <c r="B219" s="354" t="str">
        <f>'A) Base RI'!B220</f>
        <v>Chavornay</v>
      </c>
      <c r="C219" s="407">
        <v>2571598.1346419598</v>
      </c>
      <c r="D219" s="407">
        <v>-1482118.5041314373</v>
      </c>
      <c r="E219" s="392">
        <v>0</v>
      </c>
      <c r="F219" s="392">
        <v>0</v>
      </c>
      <c r="G219" s="392">
        <v>0</v>
      </c>
      <c r="H219" s="407">
        <f t="shared" si="41"/>
        <v>1089479.6305105225</v>
      </c>
      <c r="I219" s="408">
        <v>133236.15722222222</v>
      </c>
      <c r="J219" s="358">
        <f>'B) D RI'!U220</f>
        <v>140676.80723404256</v>
      </c>
      <c r="K219" s="62">
        <f t="shared" ref="K219" si="43">H219/I219</f>
        <v>8.1770568382079567</v>
      </c>
      <c r="L219" s="33">
        <f>'B) D RI'!S220</f>
        <v>70.5</v>
      </c>
      <c r="M219" s="33">
        <f t="shared" ref="M219" si="44">L219-K219</f>
        <v>62.32294316179204</v>
      </c>
      <c r="N219" s="87">
        <f>+'J) Plafonnement effort'!H218+'J) Plafonnement effort'!I218-'K) Plafonnement aide'!I218</f>
        <v>3.5836702381090264</v>
      </c>
      <c r="O219" s="125">
        <f t="shared" ref="O219" si="45">M219+N219</f>
        <v>65.906613399901062</v>
      </c>
      <c r="P219" s="47">
        <f t="shared" ref="P219" si="46">IF(O219&gt;$P$5,$P$5-O219,0)</f>
        <v>0</v>
      </c>
      <c r="Q219" s="55">
        <f t="shared" ref="Q219" si="47">P219*J219</f>
        <v>0</v>
      </c>
      <c r="R219" s="145">
        <f t="shared" ref="R219" si="48">O219+P219</f>
        <v>65.906613399901062</v>
      </c>
      <c r="S219" s="125">
        <f t="shared" ref="S219" si="49">R219-L219</f>
        <v>-4.5933866000989383</v>
      </c>
      <c r="T219" s="144">
        <f t="shared" si="42"/>
        <v>0</v>
      </c>
      <c r="V219" s="12"/>
    </row>
    <row r="220" spans="1:22" x14ac:dyDescent="0.25">
      <c r="A220" s="49">
        <f>'A) Base RI'!A221</f>
        <v>5750</v>
      </c>
      <c r="B220" s="354" t="str">
        <f>'A) Base RI'!B221</f>
        <v>Les Clées</v>
      </c>
      <c r="C220" s="407">
        <v>77966.649104431359</v>
      </c>
      <c r="D220" s="407">
        <v>-15027.204585952597</v>
      </c>
      <c r="E220" s="392">
        <v>0</v>
      </c>
      <c r="F220" s="392">
        <v>0</v>
      </c>
      <c r="G220" s="392">
        <v>0</v>
      </c>
      <c r="H220" s="407">
        <f t="shared" si="41"/>
        <v>62939.444518478762</v>
      </c>
      <c r="I220" s="408">
        <v>5052.8727083333342</v>
      </c>
      <c r="J220" s="358">
        <f>'B) D RI'!U221</f>
        <v>6037.9437500000004</v>
      </c>
      <c r="K220" s="62">
        <f t="shared" si="32"/>
        <v>12.456170608588126</v>
      </c>
      <c r="L220" s="33">
        <f>'B) D RI'!S221</f>
        <v>80</v>
      </c>
      <c r="M220" s="33">
        <f t="shared" ref="M220:M261" si="50">L220-K220</f>
        <v>67.543829391411876</v>
      </c>
      <c r="N220" s="87">
        <f>+'J) Plafonnement effort'!H219+'J) Plafonnement effort'!I219-'K) Plafonnement aide'!I219</f>
        <v>16.692134576559631</v>
      </c>
      <c r="O220" s="125">
        <f t="shared" ref="O220:O261" si="51">M220+N220</f>
        <v>84.235963967971514</v>
      </c>
      <c r="P220" s="47">
        <f t="shared" ref="P220:P261" si="52">IF(O220&gt;$P$5,$P$5-O220,0)</f>
        <v>0</v>
      </c>
      <c r="Q220" s="55">
        <f t="shared" si="33"/>
        <v>0</v>
      </c>
      <c r="R220" s="145">
        <f t="shared" ref="R220:R261" si="53">O220+P220</f>
        <v>84.235963967971514</v>
      </c>
      <c r="S220" s="125">
        <f t="shared" ref="S220:S261" si="54">R220-L220</f>
        <v>4.2359639679715144</v>
      </c>
      <c r="T220" s="144">
        <f t="shared" si="42"/>
        <v>0</v>
      </c>
      <c r="V220" s="12"/>
    </row>
    <row r="221" spans="1:22" x14ac:dyDescent="0.25">
      <c r="A221" s="49">
        <f>'A) Base RI'!A222</f>
        <v>5752</v>
      </c>
      <c r="B221" s="354" t="str">
        <f>'A) Base RI'!B222</f>
        <v>Croy</v>
      </c>
      <c r="C221" s="407">
        <v>167561.08822422492</v>
      </c>
      <c r="D221" s="407">
        <v>-56974.041100716771</v>
      </c>
      <c r="E221" s="392">
        <v>0</v>
      </c>
      <c r="F221" s="392">
        <v>0</v>
      </c>
      <c r="G221" s="392">
        <v>0</v>
      </c>
      <c r="H221" s="407">
        <f t="shared" si="41"/>
        <v>110587.04712350815</v>
      </c>
      <c r="I221" s="408">
        <v>9724.9561776061801</v>
      </c>
      <c r="J221" s="358">
        <f>'B) D RI'!U222</f>
        <v>9416.7971235521236</v>
      </c>
      <c r="K221" s="62">
        <f t="shared" ref="K221:K265" si="55">H221/I221</f>
        <v>11.371469969001897</v>
      </c>
      <c r="L221" s="33">
        <f>'B) D RI'!S222</f>
        <v>74</v>
      </c>
      <c r="M221" s="33">
        <f t="shared" si="50"/>
        <v>62.628530030998107</v>
      </c>
      <c r="N221" s="87">
        <f>+'J) Plafonnement effort'!H220+'J) Plafonnement effort'!I220-'K) Plafonnement aide'!I220</f>
        <v>5.2878140274312404</v>
      </c>
      <c r="O221" s="125">
        <f t="shared" si="51"/>
        <v>67.916344058429345</v>
      </c>
      <c r="P221" s="47">
        <f t="shared" si="52"/>
        <v>0</v>
      </c>
      <c r="Q221" s="55">
        <f t="shared" si="33"/>
        <v>0</v>
      </c>
      <c r="R221" s="145">
        <f t="shared" si="53"/>
        <v>67.916344058429345</v>
      </c>
      <c r="S221" s="125">
        <f t="shared" si="54"/>
        <v>-6.0836559415706546</v>
      </c>
      <c r="T221" s="144">
        <f t="shared" si="42"/>
        <v>0</v>
      </c>
      <c r="V221" s="12"/>
    </row>
    <row r="222" spans="1:22" x14ac:dyDescent="0.25">
      <c r="A222" s="49">
        <f>'A) Base RI'!A223</f>
        <v>5754</v>
      </c>
      <c r="B222" s="354" t="str">
        <f>'A) Base RI'!B223</f>
        <v>Juriens</v>
      </c>
      <c r="C222" s="407">
        <v>138621.41611477477</v>
      </c>
      <c r="D222" s="407">
        <v>-10091.112136569427</v>
      </c>
      <c r="E222" s="392">
        <v>0</v>
      </c>
      <c r="F222" s="392">
        <v>0</v>
      </c>
      <c r="G222" s="392">
        <v>0</v>
      </c>
      <c r="H222" s="407">
        <f t="shared" si="41"/>
        <v>128530.30397820534</v>
      </c>
      <c r="I222" s="408">
        <v>9237.2617721518982</v>
      </c>
      <c r="J222" s="358">
        <f>'B) D RI'!U223</f>
        <v>8043.7859493670894</v>
      </c>
      <c r="K222" s="62">
        <f t="shared" si="55"/>
        <v>13.914329500295532</v>
      </c>
      <c r="L222" s="33">
        <f>'B) D RI'!S223</f>
        <v>79</v>
      </c>
      <c r="M222" s="33">
        <f t="shared" si="50"/>
        <v>65.085670499704463</v>
      </c>
      <c r="N222" s="87">
        <f>+'J) Plafonnement effort'!H221+'J) Plafonnement effort'!I221-'K) Plafonnement aide'!I221</f>
        <v>2.6389514785703687</v>
      </c>
      <c r="O222" s="125">
        <f t="shared" si="51"/>
        <v>67.724621978274826</v>
      </c>
      <c r="P222" s="47">
        <f t="shared" si="52"/>
        <v>0</v>
      </c>
      <c r="Q222" s="55">
        <f t="shared" ref="Q222:Q266" si="56">P222*J222</f>
        <v>0</v>
      </c>
      <c r="R222" s="145">
        <f t="shared" si="53"/>
        <v>67.724621978274826</v>
      </c>
      <c r="S222" s="125">
        <f t="shared" si="54"/>
        <v>-11.275378021725174</v>
      </c>
      <c r="T222" s="144">
        <f t="shared" si="42"/>
        <v>0</v>
      </c>
      <c r="V222" s="12"/>
    </row>
    <row r="223" spans="1:22" x14ac:dyDescent="0.25">
      <c r="A223" s="49">
        <f>'A) Base RI'!A224</f>
        <v>5755</v>
      </c>
      <c r="B223" s="354" t="str">
        <f>'A) Base RI'!B224</f>
        <v>Lignerolle</v>
      </c>
      <c r="C223" s="407">
        <v>201685.79863653483</v>
      </c>
      <c r="D223" s="407">
        <v>-130233.99331738765</v>
      </c>
      <c r="E223" s="392">
        <v>0</v>
      </c>
      <c r="F223" s="392">
        <v>0</v>
      </c>
      <c r="G223" s="392">
        <v>0</v>
      </c>
      <c r="H223" s="407">
        <f t="shared" si="41"/>
        <v>71451.805319147184</v>
      </c>
      <c r="I223" s="408">
        <v>9846.5387499999997</v>
      </c>
      <c r="J223" s="358">
        <f>'B) D RI'!U224</f>
        <v>9055.2737033666963</v>
      </c>
      <c r="K223" s="62">
        <f t="shared" si="55"/>
        <v>7.2565403065262082</v>
      </c>
      <c r="L223" s="33">
        <f>'B) D RI'!S224</f>
        <v>78.5</v>
      </c>
      <c r="M223" s="33">
        <f t="shared" si="50"/>
        <v>71.243459693473795</v>
      </c>
      <c r="N223" s="87">
        <f>+'J) Plafonnement effort'!H222+'J) Plafonnement effort'!I222-'K) Plafonnement aide'!I222</f>
        <v>-5.2821703887152882</v>
      </c>
      <c r="O223" s="125">
        <f t="shared" si="51"/>
        <v>65.961289304758509</v>
      </c>
      <c r="P223" s="47">
        <f t="shared" si="52"/>
        <v>0</v>
      </c>
      <c r="Q223" s="55">
        <f t="shared" si="56"/>
        <v>0</v>
      </c>
      <c r="R223" s="145">
        <f t="shared" si="53"/>
        <v>65.961289304758509</v>
      </c>
      <c r="S223" s="125">
        <f t="shared" si="54"/>
        <v>-12.538710695241491</v>
      </c>
      <c r="T223" s="144">
        <f t="shared" si="42"/>
        <v>0</v>
      </c>
      <c r="V223" s="12"/>
    </row>
    <row r="224" spans="1:22" x14ac:dyDescent="0.25">
      <c r="A224" s="49">
        <f>'A) Base RI'!A225</f>
        <v>5756</v>
      </c>
      <c r="B224" s="354" t="str">
        <f>'A) Base RI'!B225</f>
        <v>Montcherand</v>
      </c>
      <c r="C224" s="407">
        <v>269757.22788697167</v>
      </c>
      <c r="D224" s="407">
        <v>113997.07629537606</v>
      </c>
      <c r="E224" s="392">
        <v>0</v>
      </c>
      <c r="F224" s="392">
        <v>0</v>
      </c>
      <c r="G224" s="392">
        <v>0</v>
      </c>
      <c r="H224" s="407">
        <f t="shared" si="41"/>
        <v>383754.30418234773</v>
      </c>
      <c r="I224" s="408">
        <v>16429.064166666663</v>
      </c>
      <c r="J224" s="358">
        <f>'B) D RI'!U225</f>
        <v>15758.308611111112</v>
      </c>
      <c r="K224" s="62">
        <f t="shared" si="55"/>
        <v>23.358257067432749</v>
      </c>
      <c r="L224" s="33">
        <f>'B) D RI'!S225</f>
        <v>72</v>
      </c>
      <c r="M224" s="33">
        <f t="shared" si="50"/>
        <v>48.641742932567254</v>
      </c>
      <c r="N224" s="87">
        <f>+'J) Plafonnement effort'!H223+'J) Plafonnement effort'!I223-'K) Plafonnement aide'!I223</f>
        <v>17.809535209452061</v>
      </c>
      <c r="O224" s="125">
        <f t="shared" si="51"/>
        <v>66.451278142019319</v>
      </c>
      <c r="P224" s="47">
        <f t="shared" si="52"/>
        <v>0</v>
      </c>
      <c r="Q224" s="55">
        <f t="shared" si="56"/>
        <v>0</v>
      </c>
      <c r="R224" s="145">
        <f t="shared" si="53"/>
        <v>66.451278142019319</v>
      </c>
      <c r="S224" s="125">
        <f t="shared" si="54"/>
        <v>-5.5487218579806807</v>
      </c>
      <c r="T224" s="144">
        <f t="shared" si="42"/>
        <v>0</v>
      </c>
      <c r="V224" s="12"/>
    </row>
    <row r="225" spans="1:22" x14ac:dyDescent="0.25">
      <c r="A225" s="49">
        <f>'A) Base RI'!A226</f>
        <v>5757</v>
      </c>
      <c r="B225" s="354" t="str">
        <f>'A) Base RI'!B226</f>
        <v>Orbe</v>
      </c>
      <c r="C225" s="407">
        <v>4213510.0680503491</v>
      </c>
      <c r="D225" s="407">
        <v>-1981444.2866234905</v>
      </c>
      <c r="E225" s="392">
        <v>0</v>
      </c>
      <c r="F225" s="392">
        <v>0</v>
      </c>
      <c r="G225" s="392">
        <v>0</v>
      </c>
      <c r="H225" s="407">
        <f t="shared" si="41"/>
        <v>2232065.7814268586</v>
      </c>
      <c r="I225" s="408">
        <v>203622.90168831171</v>
      </c>
      <c r="J225" s="358">
        <f>'B) D RI'!U226</f>
        <v>203783.43483443707</v>
      </c>
      <c r="K225" s="62">
        <f t="shared" si="55"/>
        <v>10.96176197726281</v>
      </c>
      <c r="L225" s="33">
        <f>'B) D RI'!S226</f>
        <v>75.5</v>
      </c>
      <c r="M225" s="33">
        <f t="shared" si="50"/>
        <v>64.53823802273719</v>
      </c>
      <c r="N225" s="87">
        <f>+'J) Plafonnement effort'!H224+'J) Plafonnement effort'!I224-'K) Plafonnement aide'!I224</f>
        <v>2.4331405820579208</v>
      </c>
      <c r="O225" s="125">
        <f t="shared" si="51"/>
        <v>66.971378604795106</v>
      </c>
      <c r="P225" s="47">
        <f t="shared" si="52"/>
        <v>0</v>
      </c>
      <c r="Q225" s="55">
        <f t="shared" si="56"/>
        <v>0</v>
      </c>
      <c r="R225" s="145">
        <f t="shared" si="53"/>
        <v>66.971378604795106</v>
      </c>
      <c r="S225" s="125">
        <f t="shared" si="54"/>
        <v>-8.5286213952048939</v>
      </c>
      <c r="T225" s="144">
        <f t="shared" si="42"/>
        <v>0</v>
      </c>
      <c r="V225" s="12"/>
    </row>
    <row r="226" spans="1:22" x14ac:dyDescent="0.25">
      <c r="A226" s="49">
        <f>'A) Base RI'!A227</f>
        <v>5758</v>
      </c>
      <c r="B226" s="354" t="str">
        <f>'A) Base RI'!B227</f>
        <v>La Praz</v>
      </c>
      <c r="C226" s="407">
        <v>96198.371629264817</v>
      </c>
      <c r="D226" s="407">
        <v>-19392.469022454068</v>
      </c>
      <c r="E226" s="392">
        <v>0</v>
      </c>
      <c r="F226" s="392">
        <v>0</v>
      </c>
      <c r="G226" s="392">
        <v>0</v>
      </c>
      <c r="H226" s="407">
        <f t="shared" si="41"/>
        <v>76805.902606810749</v>
      </c>
      <c r="I226" s="408">
        <v>4513.7940160642565</v>
      </c>
      <c r="J226" s="358">
        <f>'B) D RI'!U227</f>
        <v>4313.3939759036139</v>
      </c>
      <c r="K226" s="62">
        <f t="shared" si="55"/>
        <v>17.015819138725487</v>
      </c>
      <c r="L226" s="33">
        <f>'B) D RI'!S227</f>
        <v>83</v>
      </c>
      <c r="M226" s="33">
        <f t="shared" si="50"/>
        <v>65.98418086127451</v>
      </c>
      <c r="N226" s="87">
        <f>+'J) Plafonnement effort'!H225+'J) Plafonnement effort'!I225-'K) Plafonnement aide'!I225</f>
        <v>1.7539349583657717</v>
      </c>
      <c r="O226" s="125">
        <f t="shared" si="51"/>
        <v>67.738115819640285</v>
      </c>
      <c r="P226" s="47">
        <f t="shared" si="52"/>
        <v>0</v>
      </c>
      <c r="Q226" s="55">
        <f t="shared" si="56"/>
        <v>0</v>
      </c>
      <c r="R226" s="145">
        <f t="shared" si="53"/>
        <v>67.738115819640285</v>
      </c>
      <c r="S226" s="125">
        <f t="shared" si="54"/>
        <v>-15.261884180359715</v>
      </c>
      <c r="T226" s="144">
        <f t="shared" si="42"/>
        <v>0</v>
      </c>
      <c r="V226" s="12"/>
    </row>
    <row r="227" spans="1:22" x14ac:dyDescent="0.25">
      <c r="A227" s="49">
        <f>'A) Base RI'!A228</f>
        <v>5759</v>
      </c>
      <c r="B227" s="354" t="str">
        <f>'A) Base RI'!B228</f>
        <v>Premier</v>
      </c>
      <c r="C227" s="407">
        <v>89865.879315744372</v>
      </c>
      <c r="D227" s="407">
        <v>-48045.258922796173</v>
      </c>
      <c r="E227" s="392">
        <v>0</v>
      </c>
      <c r="F227" s="392">
        <v>0</v>
      </c>
      <c r="G227" s="392">
        <v>0</v>
      </c>
      <c r="H227" s="407">
        <f t="shared" si="41"/>
        <v>41820.6203929482</v>
      </c>
      <c r="I227" s="408">
        <v>5266.2719753086421</v>
      </c>
      <c r="J227" s="358">
        <f>'B) D RI'!U228</f>
        <v>5307.4840251572332</v>
      </c>
      <c r="K227" s="62">
        <f t="shared" si="55"/>
        <v>7.9412192513086461</v>
      </c>
      <c r="L227" s="33">
        <f>'B) D RI'!S228</f>
        <v>79.5</v>
      </c>
      <c r="M227" s="33">
        <f t="shared" si="50"/>
        <v>71.558780748691348</v>
      </c>
      <c r="N227" s="87">
        <f>+'J) Plafonnement effort'!H226+'J) Plafonnement effort'!I226-'K) Plafonnement aide'!I226</f>
        <v>3.2553348803908366</v>
      </c>
      <c r="O227" s="125">
        <f t="shared" si="51"/>
        <v>74.814115629082181</v>
      </c>
      <c r="P227" s="47">
        <f t="shared" si="52"/>
        <v>0</v>
      </c>
      <c r="Q227" s="55">
        <f t="shared" si="56"/>
        <v>0</v>
      </c>
      <c r="R227" s="145">
        <f t="shared" si="53"/>
        <v>74.814115629082181</v>
      </c>
      <c r="S227" s="125">
        <f t="shared" si="54"/>
        <v>-4.6858843709178188</v>
      </c>
      <c r="T227" s="144">
        <f t="shared" si="42"/>
        <v>0</v>
      </c>
      <c r="V227" s="12"/>
    </row>
    <row r="228" spans="1:22" x14ac:dyDescent="0.25">
      <c r="A228" s="49">
        <f>'A) Base RI'!A229</f>
        <v>5760</v>
      </c>
      <c r="B228" s="354" t="str">
        <f>'A) Base RI'!B229</f>
        <v>Rances</v>
      </c>
      <c r="C228" s="407">
        <v>198380.46947498462</v>
      </c>
      <c r="D228" s="407">
        <v>-90228.428507242323</v>
      </c>
      <c r="E228" s="392">
        <v>0</v>
      </c>
      <c r="F228" s="392">
        <v>0</v>
      </c>
      <c r="G228" s="392">
        <v>0</v>
      </c>
      <c r="H228" s="407">
        <f t="shared" si="41"/>
        <v>108152.0409677423</v>
      </c>
      <c r="I228" s="408">
        <v>12393.154658119658</v>
      </c>
      <c r="J228" s="358">
        <f>'B) D RI'!U229</f>
        <v>12826.018997821348</v>
      </c>
      <c r="K228" s="62">
        <f t="shared" si="55"/>
        <v>8.7267563385795413</v>
      </c>
      <c r="L228" s="33">
        <f>'B) D RI'!S229</f>
        <v>76.5</v>
      </c>
      <c r="M228" s="33">
        <f t="shared" si="50"/>
        <v>67.773243661420452</v>
      </c>
      <c r="N228" s="87">
        <f>+'J) Plafonnement effort'!H227+'J) Plafonnement effort'!I227-'K) Plafonnement aide'!I227</f>
        <v>6.4449435928401568</v>
      </c>
      <c r="O228" s="125">
        <f t="shared" si="51"/>
        <v>74.218187254260613</v>
      </c>
      <c r="P228" s="47">
        <f t="shared" si="52"/>
        <v>0</v>
      </c>
      <c r="Q228" s="55">
        <f t="shared" si="56"/>
        <v>0</v>
      </c>
      <c r="R228" s="145">
        <f t="shared" si="53"/>
        <v>74.218187254260613</v>
      </c>
      <c r="S228" s="125">
        <f t="shared" si="54"/>
        <v>-2.2818127457393871</v>
      </c>
      <c r="T228" s="144">
        <f t="shared" si="42"/>
        <v>0</v>
      </c>
      <c r="V228" s="12"/>
    </row>
    <row r="229" spans="1:22" x14ac:dyDescent="0.25">
      <c r="A229" s="49">
        <f>'A) Base RI'!A230</f>
        <v>5761</v>
      </c>
      <c r="B229" s="354" t="str">
        <f>'A) Base RI'!B230</f>
        <v>Romainmôtier-Envy</v>
      </c>
      <c r="C229" s="407">
        <v>252542.98191184737</v>
      </c>
      <c r="D229" s="407">
        <v>-156530.44942238284</v>
      </c>
      <c r="E229" s="392">
        <v>0</v>
      </c>
      <c r="F229" s="392">
        <v>0</v>
      </c>
      <c r="G229" s="392">
        <v>0</v>
      </c>
      <c r="H229" s="407">
        <f t="shared" si="41"/>
        <v>96012.532489464531</v>
      </c>
      <c r="I229" s="408">
        <v>12300.346363636363</v>
      </c>
      <c r="J229" s="358">
        <f>'B) D RI'!U230</f>
        <v>12135.004377104378</v>
      </c>
      <c r="K229" s="62">
        <f t="shared" si="55"/>
        <v>7.8056771452637577</v>
      </c>
      <c r="L229" s="33">
        <f>'B) D RI'!S230</f>
        <v>81</v>
      </c>
      <c r="M229" s="33">
        <f t="shared" si="50"/>
        <v>73.194322854736242</v>
      </c>
      <c r="N229" s="87">
        <f>+'J) Plafonnement effort'!H228+'J) Plafonnement effort'!I228-'K) Plafonnement aide'!I228</f>
        <v>-0.73744155222129493</v>
      </c>
      <c r="O229" s="125">
        <f t="shared" si="51"/>
        <v>72.456881302514944</v>
      </c>
      <c r="P229" s="47">
        <f t="shared" si="52"/>
        <v>0</v>
      </c>
      <c r="Q229" s="55">
        <f t="shared" si="56"/>
        <v>0</v>
      </c>
      <c r="R229" s="145">
        <f t="shared" si="53"/>
        <v>72.456881302514944</v>
      </c>
      <c r="S229" s="125">
        <f t="shared" si="54"/>
        <v>-8.5431186974850561</v>
      </c>
      <c r="T229" s="144">
        <f t="shared" si="42"/>
        <v>0</v>
      </c>
      <c r="V229" s="12"/>
    </row>
    <row r="230" spans="1:22" x14ac:dyDescent="0.25">
      <c r="A230" s="49">
        <f>'A) Base RI'!A231</f>
        <v>5762</v>
      </c>
      <c r="B230" s="354" t="str">
        <f>'A) Base RI'!B231</f>
        <v>Sergey</v>
      </c>
      <c r="C230" s="407">
        <v>62495.94970040935</v>
      </c>
      <c r="D230" s="407">
        <v>-6051.2152451623115</v>
      </c>
      <c r="E230" s="392">
        <v>0</v>
      </c>
      <c r="F230" s="392">
        <v>0</v>
      </c>
      <c r="G230" s="392">
        <v>0</v>
      </c>
      <c r="H230" s="407">
        <f t="shared" si="41"/>
        <v>56444.734455247039</v>
      </c>
      <c r="I230" s="408">
        <v>4008.7221794871789</v>
      </c>
      <c r="J230" s="358">
        <f>'B) D RI'!U231</f>
        <v>3773.0282051282052</v>
      </c>
      <c r="K230" s="62">
        <f t="shared" si="55"/>
        <v>14.080480494277557</v>
      </c>
      <c r="L230" s="33">
        <f>'B) D RI'!S231</f>
        <v>78</v>
      </c>
      <c r="M230" s="33">
        <f t="shared" si="50"/>
        <v>63.919519505722441</v>
      </c>
      <c r="N230" s="87">
        <f>+'J) Plafonnement effort'!H229+'J) Plafonnement effort'!I229-'K) Plafonnement aide'!I229</f>
        <v>7.6190286674435317</v>
      </c>
      <c r="O230" s="125">
        <f t="shared" si="51"/>
        <v>71.538548173165978</v>
      </c>
      <c r="P230" s="47">
        <f t="shared" si="52"/>
        <v>0</v>
      </c>
      <c r="Q230" s="55">
        <f t="shared" si="56"/>
        <v>0</v>
      </c>
      <c r="R230" s="145">
        <f t="shared" si="53"/>
        <v>71.538548173165978</v>
      </c>
      <c r="S230" s="125">
        <f t="shared" si="54"/>
        <v>-6.461451826834022</v>
      </c>
      <c r="T230" s="144">
        <f t="shared" si="42"/>
        <v>0</v>
      </c>
      <c r="V230" s="12"/>
    </row>
    <row r="231" spans="1:22" x14ac:dyDescent="0.25">
      <c r="A231" s="49">
        <f>'A) Base RI'!A232</f>
        <v>5763</v>
      </c>
      <c r="B231" s="354" t="str">
        <f>'A) Base RI'!B232</f>
        <v>Valeyres-sous-Rances</v>
      </c>
      <c r="C231" s="407">
        <v>351134.31905957498</v>
      </c>
      <c r="D231" s="407">
        <v>226902.25184272492</v>
      </c>
      <c r="E231" s="392">
        <v>0</v>
      </c>
      <c r="F231" s="392">
        <v>0</v>
      </c>
      <c r="G231" s="392">
        <v>0</v>
      </c>
      <c r="H231" s="407">
        <f t="shared" si="41"/>
        <v>578036.57090229983</v>
      </c>
      <c r="I231" s="408">
        <v>21916.016764705884</v>
      </c>
      <c r="J231" s="358">
        <f>'B) D RI'!U232</f>
        <v>20452.974117647056</v>
      </c>
      <c r="K231" s="62">
        <f t="shared" si="55"/>
        <v>26.375074317025746</v>
      </c>
      <c r="L231" s="33">
        <f>'B) D RI'!S232</f>
        <v>68</v>
      </c>
      <c r="M231" s="33">
        <f t="shared" si="50"/>
        <v>41.624925682974251</v>
      </c>
      <c r="N231" s="87">
        <f>+'J) Plafonnement effort'!H230+'J) Plafonnement effort'!I230-'K) Plafonnement aide'!I230</f>
        <v>21.413855581348621</v>
      </c>
      <c r="O231" s="125">
        <f t="shared" si="51"/>
        <v>63.038781264322871</v>
      </c>
      <c r="P231" s="47">
        <f t="shared" si="52"/>
        <v>0</v>
      </c>
      <c r="Q231" s="55">
        <f t="shared" si="56"/>
        <v>0</v>
      </c>
      <c r="R231" s="145">
        <f t="shared" si="53"/>
        <v>63.038781264322871</v>
      </c>
      <c r="S231" s="125">
        <f t="shared" si="54"/>
        <v>-4.9612187356771287</v>
      </c>
      <c r="T231" s="144">
        <f t="shared" si="42"/>
        <v>0</v>
      </c>
      <c r="V231" s="12"/>
    </row>
    <row r="232" spans="1:22" x14ac:dyDescent="0.25">
      <c r="A232" s="49">
        <f>'A) Base RI'!A233</f>
        <v>5764</v>
      </c>
      <c r="B232" s="354" t="str">
        <f>'A) Base RI'!B233</f>
        <v>Vallorbe</v>
      </c>
      <c r="C232" s="407">
        <v>2288638.4919502418</v>
      </c>
      <c r="D232" s="407">
        <v>-1475841.5313847905</v>
      </c>
      <c r="E232" s="392">
        <v>0</v>
      </c>
      <c r="F232" s="392">
        <v>0</v>
      </c>
      <c r="G232" s="392">
        <v>0</v>
      </c>
      <c r="H232" s="407">
        <f t="shared" si="41"/>
        <v>812796.9605654513</v>
      </c>
      <c r="I232" s="408">
        <v>88041.024794520548</v>
      </c>
      <c r="J232" s="358">
        <f>'B) D RI'!U233</f>
        <v>84310.704615384602</v>
      </c>
      <c r="K232" s="62">
        <f t="shared" si="55"/>
        <v>9.2320252116833341</v>
      </c>
      <c r="L232" s="33">
        <f>'B) D RI'!S233</f>
        <v>71.5</v>
      </c>
      <c r="M232" s="33">
        <f t="shared" si="50"/>
        <v>62.267974788316664</v>
      </c>
      <c r="N232" s="87">
        <f>+'J) Plafonnement effort'!H231+'J) Plafonnement effort'!I231-'K) Plafonnement aide'!I231</f>
        <v>-6.573353974876861</v>
      </c>
      <c r="O232" s="125">
        <f t="shared" si="51"/>
        <v>55.694620813439805</v>
      </c>
      <c r="P232" s="47">
        <f t="shared" si="52"/>
        <v>0</v>
      </c>
      <c r="Q232" s="55">
        <f t="shared" si="56"/>
        <v>0</v>
      </c>
      <c r="R232" s="145">
        <f t="shared" si="53"/>
        <v>55.694620813439805</v>
      </c>
      <c r="S232" s="125">
        <f t="shared" si="54"/>
        <v>-15.805379186560195</v>
      </c>
      <c r="T232" s="144">
        <f t="shared" si="42"/>
        <v>0</v>
      </c>
      <c r="V232" s="12"/>
    </row>
    <row r="233" spans="1:22" x14ac:dyDescent="0.25">
      <c r="A233" s="49">
        <f>'A) Base RI'!A234</f>
        <v>5765</v>
      </c>
      <c r="B233" s="354" t="str">
        <f>'A) Base RI'!B234</f>
        <v>Vaulion</v>
      </c>
      <c r="C233" s="407">
        <v>225929.08548712567</v>
      </c>
      <c r="D233" s="407">
        <v>-119104.2297086913</v>
      </c>
      <c r="E233" s="392">
        <v>0</v>
      </c>
      <c r="F233" s="392">
        <v>0</v>
      </c>
      <c r="G233" s="392">
        <v>0</v>
      </c>
      <c r="H233" s="407">
        <f t="shared" si="41"/>
        <v>106824.85577843437</v>
      </c>
      <c r="I233" s="408">
        <v>11969.433580246912</v>
      </c>
      <c r="J233" s="358">
        <f>'B) D RI'!U234</f>
        <v>11314.597037037036</v>
      </c>
      <c r="K233" s="62">
        <f t="shared" si="55"/>
        <v>8.9248045918168444</v>
      </c>
      <c r="L233" s="33">
        <f>'B) D RI'!S234</f>
        <v>81</v>
      </c>
      <c r="M233" s="33">
        <f t="shared" si="50"/>
        <v>72.075195408183163</v>
      </c>
      <c r="N233" s="87">
        <f>+'J) Plafonnement effort'!H232+'J) Plafonnement effort'!I232-'K) Plafonnement aide'!I232</f>
        <v>-2.7666687858009089</v>
      </c>
      <c r="O233" s="125">
        <f t="shared" si="51"/>
        <v>69.30852662238226</v>
      </c>
      <c r="P233" s="47">
        <f t="shared" si="52"/>
        <v>0</v>
      </c>
      <c r="Q233" s="55">
        <f t="shared" si="56"/>
        <v>0</v>
      </c>
      <c r="R233" s="145">
        <f t="shared" si="53"/>
        <v>69.30852662238226</v>
      </c>
      <c r="S233" s="125">
        <f t="shared" si="54"/>
        <v>-11.69147337761774</v>
      </c>
      <c r="T233" s="144">
        <f t="shared" si="42"/>
        <v>0</v>
      </c>
      <c r="V233" s="12"/>
    </row>
    <row r="234" spans="1:22" x14ac:dyDescent="0.25">
      <c r="A234" s="49">
        <f>'A) Base RI'!A235</f>
        <v>5766</v>
      </c>
      <c r="B234" s="354" t="str">
        <f>'A) Base RI'!B235</f>
        <v>Vuiteboeuf</v>
      </c>
      <c r="C234" s="407">
        <v>252685.96149867956</v>
      </c>
      <c r="D234" s="407">
        <v>-102425.44293869013</v>
      </c>
      <c r="E234" s="392">
        <v>0</v>
      </c>
      <c r="F234" s="392">
        <v>0</v>
      </c>
      <c r="G234" s="392">
        <v>0</v>
      </c>
      <c r="H234" s="407">
        <f t="shared" si="41"/>
        <v>150260.51855998943</v>
      </c>
      <c r="I234" s="408">
        <v>13963.194675324676</v>
      </c>
      <c r="J234" s="358">
        <f>'B) D RI'!U235</f>
        <v>15993.559610389608</v>
      </c>
      <c r="K234" s="62">
        <f t="shared" si="55"/>
        <v>10.761184818652222</v>
      </c>
      <c r="L234" s="33">
        <f>'B) D RI'!S235</f>
        <v>77</v>
      </c>
      <c r="M234" s="33">
        <f t="shared" si="50"/>
        <v>66.238815181347775</v>
      </c>
      <c r="N234" s="87">
        <f>+'J) Plafonnement effort'!H233+'J) Plafonnement effort'!I233-'K) Plafonnement aide'!I233</f>
        <v>10.581545478040248</v>
      </c>
      <c r="O234" s="125">
        <f t="shared" si="51"/>
        <v>76.820360659388029</v>
      </c>
      <c r="P234" s="47">
        <f t="shared" si="52"/>
        <v>0</v>
      </c>
      <c r="Q234" s="55">
        <f t="shared" si="56"/>
        <v>0</v>
      </c>
      <c r="R234" s="145">
        <f t="shared" si="53"/>
        <v>76.820360659388029</v>
      </c>
      <c r="S234" s="125">
        <f t="shared" si="54"/>
        <v>-0.17963934061197051</v>
      </c>
      <c r="T234" s="144">
        <f t="shared" si="42"/>
        <v>0</v>
      </c>
      <c r="V234" s="12"/>
    </row>
    <row r="235" spans="1:22" x14ac:dyDescent="0.25">
      <c r="A235" s="49">
        <f>'A) Base RI'!A236</f>
        <v>5785</v>
      </c>
      <c r="B235" s="354" t="str">
        <f>'A) Base RI'!B236</f>
        <v>Corcelles-le-Jorat</v>
      </c>
      <c r="C235" s="407">
        <v>294991.75356166507</v>
      </c>
      <c r="D235" s="407">
        <v>174206.92988789707</v>
      </c>
      <c r="E235" s="392">
        <v>0</v>
      </c>
      <c r="F235" s="392">
        <v>0</v>
      </c>
      <c r="G235" s="392">
        <v>0</v>
      </c>
      <c r="H235" s="407">
        <f t="shared" si="41"/>
        <v>469198.68344956217</v>
      </c>
      <c r="I235" s="408">
        <v>16982.100779220782</v>
      </c>
      <c r="J235" s="358">
        <f>'B) D RI'!U236</f>
        <v>17518.145584415586</v>
      </c>
      <c r="K235" s="62">
        <f t="shared" si="55"/>
        <v>27.629013014907525</v>
      </c>
      <c r="L235" s="33">
        <f>'B) D RI'!S236</f>
        <v>77</v>
      </c>
      <c r="M235" s="33">
        <f t="shared" si="50"/>
        <v>49.370986985092472</v>
      </c>
      <c r="N235" s="87">
        <f>+'J) Plafonnement effort'!H234+'J) Plafonnement effort'!I234-'K) Plafonnement aide'!I234</f>
        <v>24.258407722873812</v>
      </c>
      <c r="O235" s="125">
        <f t="shared" si="51"/>
        <v>73.629394707966284</v>
      </c>
      <c r="P235" s="47">
        <f t="shared" si="52"/>
        <v>0</v>
      </c>
      <c r="Q235" s="55">
        <f t="shared" si="56"/>
        <v>0</v>
      </c>
      <c r="R235" s="145">
        <f t="shared" si="53"/>
        <v>73.629394707966284</v>
      </c>
      <c r="S235" s="125">
        <f t="shared" si="54"/>
        <v>-3.3706052920337157</v>
      </c>
      <c r="T235" s="144">
        <f t="shared" si="42"/>
        <v>0</v>
      </c>
      <c r="V235" s="12"/>
    </row>
    <row r="236" spans="1:22" x14ac:dyDescent="0.25">
      <c r="A236" s="49">
        <f>'A) Base RI'!A237</f>
        <v>5788</v>
      </c>
      <c r="B236" s="354" t="str">
        <f>'A) Base RI'!B237</f>
        <v>Essertes</v>
      </c>
      <c r="C236" s="407">
        <v>231442.62027811864</v>
      </c>
      <c r="D236" s="407">
        <v>86219.040369582828</v>
      </c>
      <c r="E236" s="392">
        <v>0</v>
      </c>
      <c r="F236" s="392">
        <v>0</v>
      </c>
      <c r="G236" s="392">
        <v>0</v>
      </c>
      <c r="H236" s="407">
        <f t="shared" si="41"/>
        <v>317661.66064770147</v>
      </c>
      <c r="I236" s="408">
        <v>12373.296527777777</v>
      </c>
      <c r="J236" s="358">
        <f>'B) D RI'!U237</f>
        <v>16224.893706293702</v>
      </c>
      <c r="K236" s="62">
        <f t="shared" si="55"/>
        <v>25.673163165091701</v>
      </c>
      <c r="L236" s="33">
        <f>'B) D RI'!S237</f>
        <v>71.5</v>
      </c>
      <c r="M236" s="33">
        <f t="shared" si="50"/>
        <v>45.826836834908299</v>
      </c>
      <c r="N236" s="87">
        <f>+'J) Plafonnement effort'!H235+'J) Plafonnement effort'!I235-'K) Plafonnement aide'!I235</f>
        <v>27.012986726570144</v>
      </c>
      <c r="O236" s="125">
        <f t="shared" si="51"/>
        <v>72.83982356147844</v>
      </c>
      <c r="P236" s="47">
        <f t="shared" si="52"/>
        <v>0</v>
      </c>
      <c r="Q236" s="55">
        <f t="shared" si="56"/>
        <v>0</v>
      </c>
      <c r="R236" s="145">
        <f t="shared" si="53"/>
        <v>72.83982356147844</v>
      </c>
      <c r="S236" s="125">
        <f t="shared" si="54"/>
        <v>1.3398235614784397</v>
      </c>
      <c r="T236" s="144">
        <f t="shared" si="42"/>
        <v>0</v>
      </c>
      <c r="V236" s="12"/>
    </row>
    <row r="237" spans="1:22" x14ac:dyDescent="0.25">
      <c r="A237" s="49">
        <f>'A) Base RI'!A238</f>
        <v>5790</v>
      </c>
      <c r="B237" s="354" t="str">
        <f>'A) Base RI'!B238</f>
        <v>Maracon</v>
      </c>
      <c r="C237" s="407">
        <v>333771.81783047819</v>
      </c>
      <c r="D237" s="407">
        <v>-28574.657858833438</v>
      </c>
      <c r="E237" s="392">
        <v>0</v>
      </c>
      <c r="F237" s="392">
        <v>0</v>
      </c>
      <c r="G237" s="392">
        <v>0</v>
      </c>
      <c r="H237" s="407">
        <f t="shared" si="41"/>
        <v>305197.15997164475</v>
      </c>
      <c r="I237" s="408">
        <v>14432.888421052632</v>
      </c>
      <c r="J237" s="358">
        <f>'B) D RI'!U238</f>
        <v>13398.084966442953</v>
      </c>
      <c r="K237" s="62">
        <f t="shared" si="55"/>
        <v>21.145951598050658</v>
      </c>
      <c r="L237" s="33">
        <f>'B) D RI'!S238</f>
        <v>74.5</v>
      </c>
      <c r="M237" s="33">
        <f t="shared" si="50"/>
        <v>53.354048401949342</v>
      </c>
      <c r="N237" s="87">
        <f>+'J) Plafonnement effort'!H236+'J) Plafonnement effort'!I236-'K) Plafonnement aide'!I236</f>
        <v>7.3785687266988811</v>
      </c>
      <c r="O237" s="125">
        <f t="shared" si="51"/>
        <v>60.732617128648222</v>
      </c>
      <c r="P237" s="47">
        <f t="shared" si="52"/>
        <v>0</v>
      </c>
      <c r="Q237" s="55">
        <f t="shared" si="56"/>
        <v>0</v>
      </c>
      <c r="R237" s="145">
        <f t="shared" si="53"/>
        <v>60.732617128648222</v>
      </c>
      <c r="S237" s="125">
        <f t="shared" si="54"/>
        <v>-13.767382871351778</v>
      </c>
      <c r="T237" s="144">
        <f t="shared" si="42"/>
        <v>0</v>
      </c>
      <c r="V237" s="12"/>
    </row>
    <row r="238" spans="1:22" x14ac:dyDescent="0.25">
      <c r="A238" s="49">
        <f>'A) Base RI'!A239</f>
        <v>5792</v>
      </c>
      <c r="B238" s="354" t="str">
        <f>'A) Base RI'!B239</f>
        <v>Montpreveyres</v>
      </c>
      <c r="C238" s="407">
        <v>356510.59103289084</v>
      </c>
      <c r="D238" s="407">
        <v>66575.249611900188</v>
      </c>
      <c r="E238" s="392">
        <v>0</v>
      </c>
      <c r="F238" s="392">
        <v>0</v>
      </c>
      <c r="G238" s="392">
        <v>0</v>
      </c>
      <c r="H238" s="407">
        <f t="shared" si="41"/>
        <v>423085.84064479102</v>
      </c>
      <c r="I238" s="408">
        <v>20144.698311688313</v>
      </c>
      <c r="J238" s="358">
        <f>'B) D RI'!U239</f>
        <v>17609.230799999998</v>
      </c>
      <c r="K238" s="62">
        <f t="shared" si="55"/>
        <v>21.002341861794431</v>
      </c>
      <c r="L238" s="33">
        <f>'B) D RI'!S239</f>
        <v>75</v>
      </c>
      <c r="M238" s="33">
        <f t="shared" si="50"/>
        <v>53.997658138205566</v>
      </c>
      <c r="N238" s="87">
        <f>+'J) Plafonnement effort'!H237+'J) Plafonnement effort'!I237-'K) Plafonnement aide'!I237</f>
        <v>10.819211569908404</v>
      </c>
      <c r="O238" s="125">
        <f t="shared" si="51"/>
        <v>64.81686970811397</v>
      </c>
      <c r="P238" s="47">
        <f t="shared" si="52"/>
        <v>0</v>
      </c>
      <c r="Q238" s="55">
        <f t="shared" si="56"/>
        <v>0</v>
      </c>
      <c r="R238" s="145">
        <f t="shared" si="53"/>
        <v>64.81686970811397</v>
      </c>
      <c r="S238" s="125">
        <f t="shared" si="54"/>
        <v>-10.18313029188603</v>
      </c>
      <c r="T238" s="144">
        <f t="shared" si="42"/>
        <v>0</v>
      </c>
      <c r="V238" s="12"/>
    </row>
    <row r="239" spans="1:22" x14ac:dyDescent="0.25">
      <c r="A239" s="49">
        <f>'A) Base RI'!A240</f>
        <v>5798</v>
      </c>
      <c r="B239" s="354" t="str">
        <f>'A) Base RI'!B240</f>
        <v>Ropraz</v>
      </c>
      <c r="C239" s="407">
        <v>219484.49404045855</v>
      </c>
      <c r="D239" s="407">
        <v>21145.956026323605</v>
      </c>
      <c r="E239" s="392">
        <v>0</v>
      </c>
      <c r="F239" s="392">
        <v>0</v>
      </c>
      <c r="G239" s="392">
        <v>0</v>
      </c>
      <c r="H239" s="407">
        <f t="shared" si="41"/>
        <v>240630.45006678216</v>
      </c>
      <c r="I239" s="408">
        <v>14372.607741935482</v>
      </c>
      <c r="J239" s="358">
        <f>'B) D RI'!U240</f>
        <v>15761.261677419356</v>
      </c>
      <c r="K239" s="62">
        <f t="shared" si="55"/>
        <v>16.742295788445258</v>
      </c>
      <c r="L239" s="33">
        <f>'B) D RI'!S240</f>
        <v>77.5</v>
      </c>
      <c r="M239" s="33">
        <f t="shared" si="50"/>
        <v>60.757704211554739</v>
      </c>
      <c r="N239" s="87">
        <f>+'J) Plafonnement effort'!H238+'J) Plafonnement effort'!I238-'K) Plafonnement aide'!I238</f>
        <v>14.219884651938091</v>
      </c>
      <c r="O239" s="125">
        <f t="shared" si="51"/>
        <v>74.977588863492826</v>
      </c>
      <c r="P239" s="47">
        <f t="shared" si="52"/>
        <v>0</v>
      </c>
      <c r="Q239" s="55">
        <f t="shared" si="56"/>
        <v>0</v>
      </c>
      <c r="R239" s="145">
        <f t="shared" si="53"/>
        <v>74.977588863492826</v>
      </c>
      <c r="S239" s="125">
        <f t="shared" si="54"/>
        <v>-2.5224111365071735</v>
      </c>
      <c r="T239" s="144">
        <f t="shared" si="42"/>
        <v>0</v>
      </c>
      <c r="V239" s="12"/>
    </row>
    <row r="240" spans="1:22" x14ac:dyDescent="0.25">
      <c r="A240" s="49">
        <f>'A) Base RI'!A241</f>
        <v>5799</v>
      </c>
      <c r="B240" s="354" t="str">
        <f>'A) Base RI'!B241</f>
        <v>Servion</v>
      </c>
      <c r="C240" s="407">
        <v>1267341.143629571</v>
      </c>
      <c r="D240" s="407">
        <v>513595.81857270352</v>
      </c>
      <c r="E240" s="392">
        <v>0</v>
      </c>
      <c r="F240" s="392">
        <v>0</v>
      </c>
      <c r="G240" s="392">
        <v>0</v>
      </c>
      <c r="H240" s="407">
        <f t="shared" si="41"/>
        <v>1780936.9622022745</v>
      </c>
      <c r="I240" s="408">
        <v>71130.218550724647</v>
      </c>
      <c r="J240" s="358">
        <f>'B) D RI'!U241</f>
        <v>69387.22289855071</v>
      </c>
      <c r="K240" s="62">
        <f t="shared" si="55"/>
        <v>25.037698442220393</v>
      </c>
      <c r="L240" s="33">
        <f>'B) D RI'!S241</f>
        <v>69</v>
      </c>
      <c r="M240" s="33">
        <f t="shared" si="50"/>
        <v>43.962301557779611</v>
      </c>
      <c r="N240" s="87">
        <f>+'J) Plafonnement effort'!H239+'J) Plafonnement effort'!I239-'K) Plafonnement aide'!I239</f>
        <v>17.564296765491395</v>
      </c>
      <c r="O240" s="125">
        <f t="shared" si="51"/>
        <v>61.526598323271003</v>
      </c>
      <c r="P240" s="47">
        <f t="shared" si="52"/>
        <v>0</v>
      </c>
      <c r="Q240" s="55">
        <f t="shared" si="56"/>
        <v>0</v>
      </c>
      <c r="R240" s="145">
        <f t="shared" si="53"/>
        <v>61.526598323271003</v>
      </c>
      <c r="S240" s="125">
        <f t="shared" si="54"/>
        <v>-7.4734016767289972</v>
      </c>
      <c r="T240" s="144">
        <f t="shared" si="42"/>
        <v>0</v>
      </c>
      <c r="V240" s="12"/>
    </row>
    <row r="241" spans="1:22" x14ac:dyDescent="0.25">
      <c r="A241" s="49">
        <f>'A) Base RI'!A242</f>
        <v>5803</v>
      </c>
      <c r="B241" s="354" t="str">
        <f>'A) Base RI'!B242</f>
        <v>Vulliens</v>
      </c>
      <c r="C241" s="407">
        <v>266904.68023783161</v>
      </c>
      <c r="D241" s="407">
        <v>-3704.2141411641496</v>
      </c>
      <c r="E241" s="392">
        <v>0</v>
      </c>
      <c r="F241" s="392">
        <v>0</v>
      </c>
      <c r="G241" s="392">
        <v>0</v>
      </c>
      <c r="H241" s="407">
        <f t="shared" si="41"/>
        <v>263200.46609666746</v>
      </c>
      <c r="I241" s="408">
        <v>17471.95461538462</v>
      </c>
      <c r="J241" s="358">
        <f>'B) D RI'!U242</f>
        <v>18875.933421052636</v>
      </c>
      <c r="K241" s="62">
        <f t="shared" si="55"/>
        <v>15.064168371002461</v>
      </c>
      <c r="L241" s="33">
        <f>'B) D RI'!S242</f>
        <v>76</v>
      </c>
      <c r="M241" s="33">
        <f t="shared" si="50"/>
        <v>60.935831628997541</v>
      </c>
      <c r="N241" s="87">
        <f>+'J) Plafonnement effort'!H240+'J) Plafonnement effort'!I240-'K) Plafonnement aide'!I240</f>
        <v>15.334978224153257</v>
      </c>
      <c r="O241" s="125">
        <f t="shared" si="51"/>
        <v>76.270809853150794</v>
      </c>
      <c r="P241" s="47">
        <f t="shared" si="52"/>
        <v>0</v>
      </c>
      <c r="Q241" s="55">
        <f t="shared" si="56"/>
        <v>0</v>
      </c>
      <c r="R241" s="145">
        <f t="shared" si="53"/>
        <v>76.270809853150794</v>
      </c>
      <c r="S241" s="125">
        <f t="shared" si="54"/>
        <v>0.27080985315079431</v>
      </c>
      <c r="T241" s="144">
        <f t="shared" si="42"/>
        <v>0</v>
      </c>
      <c r="V241" s="12"/>
    </row>
    <row r="242" spans="1:22" x14ac:dyDescent="0.25">
      <c r="A242" s="49">
        <f>'A) Base RI'!A243</f>
        <v>5804</v>
      </c>
      <c r="B242" s="354" t="str">
        <f>'A) Base RI'!B243</f>
        <v>Jorat-Menthue</v>
      </c>
      <c r="C242" s="407">
        <v>740529.7434254376</v>
      </c>
      <c r="D242" s="407">
        <v>-78775.643015543232</v>
      </c>
      <c r="E242" s="392">
        <v>0</v>
      </c>
      <c r="F242" s="392">
        <v>0</v>
      </c>
      <c r="G242" s="392">
        <v>0</v>
      </c>
      <c r="H242" s="407">
        <f t="shared" si="41"/>
        <v>661754.10040989437</v>
      </c>
      <c r="I242" s="408">
        <v>44252.610972222225</v>
      </c>
      <c r="J242" s="358">
        <f>'B) D RI'!U243</f>
        <v>46692.865106382982</v>
      </c>
      <c r="K242" s="62">
        <f>H242/I242</f>
        <v>14.954012562677569</v>
      </c>
      <c r="L242" s="33">
        <f>'B) D RI'!S243</f>
        <v>70.5</v>
      </c>
      <c r="M242" s="33">
        <f>L242-K242</f>
        <v>55.545987437322431</v>
      </c>
      <c r="N242" s="87">
        <f>+'J) Plafonnement effort'!H241+'J) Plafonnement effort'!I241-'K) Plafonnement aide'!I241</f>
        <v>13.015625730856193</v>
      </c>
      <c r="O242" s="125">
        <f>M242+N242</f>
        <v>68.561613168178624</v>
      </c>
      <c r="P242" s="47">
        <f t="shared" si="52"/>
        <v>0</v>
      </c>
      <c r="Q242" s="55">
        <f>P242*J242</f>
        <v>0</v>
      </c>
      <c r="R242" s="145">
        <f>O242+P242</f>
        <v>68.561613168178624</v>
      </c>
      <c r="S242" s="125">
        <f>R242-L242</f>
        <v>-1.9383868318213757</v>
      </c>
      <c r="T242" s="144">
        <f t="shared" si="42"/>
        <v>0</v>
      </c>
      <c r="V242" s="12"/>
    </row>
    <row r="243" spans="1:22" x14ac:dyDescent="0.25">
      <c r="A243" s="49">
        <f>'A) Base RI'!A244</f>
        <v>5805</v>
      </c>
      <c r="B243" s="354" t="str">
        <f>'A) Base RI'!B244</f>
        <v>Oron</v>
      </c>
      <c r="C243" s="407">
        <v>3014928.6689878069</v>
      </c>
      <c r="D243" s="407">
        <v>-1105433.8953294479</v>
      </c>
      <c r="E243" s="392">
        <v>0</v>
      </c>
      <c r="F243" s="392">
        <v>0</v>
      </c>
      <c r="G243" s="392">
        <v>0</v>
      </c>
      <c r="H243" s="407">
        <f t="shared" si="41"/>
        <v>1909494.773658359</v>
      </c>
      <c r="I243" s="408">
        <v>158737.86322793149</v>
      </c>
      <c r="J243" s="358">
        <f>'B) D RI'!U244</f>
        <v>154727.47061923583</v>
      </c>
      <c r="K243" s="62">
        <f>H243/I243</f>
        <v>12.029233195085396</v>
      </c>
      <c r="L243" s="33">
        <f>'B) D RI'!S244</f>
        <v>69</v>
      </c>
      <c r="M243" s="33">
        <f>L243-K243</f>
        <v>56.970766804914604</v>
      </c>
      <c r="N243" s="87">
        <f>+'J) Plafonnement effort'!H242+'J) Plafonnement effort'!I242-'K) Plafonnement aide'!I242</f>
        <v>4.3373640814047549</v>
      </c>
      <c r="O243" s="125">
        <f>M243+N243</f>
        <v>61.308130886319361</v>
      </c>
      <c r="P243" s="47">
        <f t="shared" si="52"/>
        <v>0</v>
      </c>
      <c r="Q243" s="55">
        <f>P243*J243</f>
        <v>0</v>
      </c>
      <c r="R243" s="145">
        <f>O243+P243</f>
        <v>61.308130886319361</v>
      </c>
      <c r="S243" s="125">
        <f>R243-L243</f>
        <v>-7.6918691136806387</v>
      </c>
      <c r="T243" s="144">
        <f t="shared" si="42"/>
        <v>0</v>
      </c>
      <c r="V243" s="12"/>
    </row>
    <row r="244" spans="1:22" x14ac:dyDescent="0.25">
      <c r="A244" s="49">
        <f>'A) Base RI'!A245</f>
        <v>5806</v>
      </c>
      <c r="B244" s="354" t="str">
        <f>'A) Base RI'!B245</f>
        <v>Jorat-Mézières</v>
      </c>
      <c r="C244" s="407">
        <v>1533111.8792992453</v>
      </c>
      <c r="D244" s="407">
        <v>-40485.24606956495</v>
      </c>
      <c r="E244" s="392">
        <v>0</v>
      </c>
      <c r="F244" s="392">
        <v>0</v>
      </c>
      <c r="G244" s="392">
        <v>0</v>
      </c>
      <c r="H244" s="407">
        <f t="shared" si="41"/>
        <v>1492626.6332296804</v>
      </c>
      <c r="I244" s="408">
        <v>92100.572236842127</v>
      </c>
      <c r="J244" s="358">
        <f>'B) D RI'!U245</f>
        <v>91092.386986301368</v>
      </c>
      <c r="K244" s="62">
        <f>H244/I244</f>
        <v>16.206485985682061</v>
      </c>
      <c r="L244" s="33">
        <f>'B) D RI'!S245</f>
        <v>73</v>
      </c>
      <c r="M244" s="33">
        <f>L244-K244</f>
        <v>56.793514014317935</v>
      </c>
      <c r="N244" s="87">
        <f>+'J) Plafonnement effort'!H243+'J) Plafonnement effort'!I243-'K) Plafonnement aide'!I243</f>
        <v>12.154811035581606</v>
      </c>
      <c r="O244" s="125">
        <f>M244+N244</f>
        <v>68.948325049899537</v>
      </c>
      <c r="P244" s="47">
        <f t="shared" ref="P244" si="57">IF(O244&gt;$P$5,$P$5-O244,0)</f>
        <v>0</v>
      </c>
      <c r="Q244" s="55">
        <f>P244*J244</f>
        <v>0</v>
      </c>
      <c r="R244" s="145">
        <f>O244+P244</f>
        <v>68.948325049899537</v>
      </c>
      <c r="S244" s="125">
        <f>R244-L244</f>
        <v>-4.0516749501004625</v>
      </c>
      <c r="T244" s="144">
        <f t="shared" si="42"/>
        <v>0</v>
      </c>
      <c r="V244" s="12"/>
    </row>
    <row r="245" spans="1:22" x14ac:dyDescent="0.25">
      <c r="A245" s="49">
        <f>'A) Base RI'!A246</f>
        <v>5812</v>
      </c>
      <c r="B245" s="354" t="str">
        <f>'A) Base RI'!B246</f>
        <v>Champtauroz</v>
      </c>
      <c r="C245" s="407">
        <v>85540.196112842095</v>
      </c>
      <c r="D245" s="407">
        <v>644.57297461686539</v>
      </c>
      <c r="E245" s="392">
        <v>0</v>
      </c>
      <c r="F245" s="392">
        <v>0</v>
      </c>
      <c r="G245" s="392">
        <v>-764.78735964255941</v>
      </c>
      <c r="H245" s="407">
        <f t="shared" si="41"/>
        <v>85419.981727816397</v>
      </c>
      <c r="I245" s="408">
        <v>3697.8804870129875</v>
      </c>
      <c r="J245" s="358">
        <f>'B) D RI'!U246</f>
        <v>2487.5377597402598</v>
      </c>
      <c r="K245" s="62">
        <f>H245/I245</f>
        <v>23.09971401937209</v>
      </c>
      <c r="L245" s="33">
        <f>'B) D RI'!S246</f>
        <v>77</v>
      </c>
      <c r="M245" s="33">
        <f>L245-K245</f>
        <v>53.900285980627913</v>
      </c>
      <c r="N245" s="87">
        <f>+'J) Plafonnement effort'!H244+'J) Plafonnement effort'!I244-'K) Plafonnement aide'!I244</f>
        <v>-13.373777723637765</v>
      </c>
      <c r="O245" s="125">
        <f>M245+N245</f>
        <v>40.526508256990148</v>
      </c>
      <c r="P245" s="47">
        <f t="shared" si="52"/>
        <v>0</v>
      </c>
      <c r="Q245" s="55">
        <f>P245*J245</f>
        <v>0</v>
      </c>
      <c r="R245" s="145">
        <f>O245+P245</f>
        <v>40.526508256990148</v>
      </c>
      <c r="S245" s="125">
        <f>R245-L245</f>
        <v>-36.473491743009852</v>
      </c>
      <c r="T245" s="144">
        <f t="shared" si="42"/>
        <v>0</v>
      </c>
      <c r="V245" s="12"/>
    </row>
    <row r="246" spans="1:22" x14ac:dyDescent="0.25">
      <c r="A246" s="49">
        <f>'A) Base RI'!A247</f>
        <v>5813</v>
      </c>
      <c r="B246" s="354" t="str">
        <f>'A) Base RI'!B247</f>
        <v>Chevroux</v>
      </c>
      <c r="C246" s="407">
        <v>236276.66440006034</v>
      </c>
      <c r="D246" s="407">
        <v>68365.54511603486</v>
      </c>
      <c r="E246" s="392">
        <v>0</v>
      </c>
      <c r="F246" s="392">
        <v>0</v>
      </c>
      <c r="G246" s="392">
        <v>0</v>
      </c>
      <c r="H246" s="407">
        <f t="shared" si="41"/>
        <v>304642.20951609523</v>
      </c>
      <c r="I246" s="408">
        <v>14717.819857142857</v>
      </c>
      <c r="J246" s="358">
        <f>'B) D RI'!U247</f>
        <v>15179.777080291971</v>
      </c>
      <c r="K246" s="62">
        <f t="shared" si="55"/>
        <v>20.698867935134167</v>
      </c>
      <c r="L246" s="33">
        <f>'B) D RI'!S247</f>
        <v>68.5</v>
      </c>
      <c r="M246" s="33">
        <f t="shared" si="50"/>
        <v>47.801132064865833</v>
      </c>
      <c r="N246" s="87">
        <f>+'J) Plafonnement effort'!H245+'J) Plafonnement effort'!I245-'K) Plafonnement aide'!I245</f>
        <v>18.373864285930072</v>
      </c>
      <c r="O246" s="125">
        <f t="shared" si="51"/>
        <v>66.174996350795908</v>
      </c>
      <c r="P246" s="47">
        <f t="shared" si="52"/>
        <v>0</v>
      </c>
      <c r="Q246" s="55">
        <f t="shared" si="56"/>
        <v>0</v>
      </c>
      <c r="R246" s="145">
        <f t="shared" si="53"/>
        <v>66.174996350795908</v>
      </c>
      <c r="S246" s="125">
        <f t="shared" si="54"/>
        <v>-2.325003649204092</v>
      </c>
      <c r="T246" s="144">
        <f t="shared" si="42"/>
        <v>0</v>
      </c>
      <c r="V246" s="12"/>
    </row>
    <row r="247" spans="1:22" x14ac:dyDescent="0.25">
      <c r="A247" s="49">
        <f>'A) Base RI'!A248</f>
        <v>5816</v>
      </c>
      <c r="B247" s="354" t="str">
        <f>'A) Base RI'!B248</f>
        <v>Corcelles-près-Payerne</v>
      </c>
      <c r="C247" s="407">
        <v>1321205.9238283176</v>
      </c>
      <c r="D247" s="407">
        <v>-634680.45972403185</v>
      </c>
      <c r="E247" s="392">
        <v>0</v>
      </c>
      <c r="F247" s="392">
        <v>0</v>
      </c>
      <c r="G247" s="392">
        <v>0</v>
      </c>
      <c r="H247" s="407">
        <f t="shared" si="41"/>
        <v>686525.4641042857</v>
      </c>
      <c r="I247" s="408">
        <v>60753.42418367348</v>
      </c>
      <c r="J247" s="358">
        <f>'B) D RI'!U248</f>
        <v>60528.996913451512</v>
      </c>
      <c r="K247" s="62">
        <f t="shared" si="55"/>
        <v>11.300193747577746</v>
      </c>
      <c r="L247" s="33">
        <f>'B) D RI'!S248</f>
        <v>68.5</v>
      </c>
      <c r="M247" s="33">
        <f t="shared" si="50"/>
        <v>57.199806252422256</v>
      </c>
      <c r="N247" s="87">
        <f>+'J) Plafonnement effort'!H246+'J) Plafonnement effort'!I246-'K) Plafonnement aide'!I246</f>
        <v>0.13108522902131181</v>
      </c>
      <c r="O247" s="125">
        <f t="shared" si="51"/>
        <v>57.330891481443565</v>
      </c>
      <c r="P247" s="47">
        <f t="shared" si="52"/>
        <v>0</v>
      </c>
      <c r="Q247" s="55">
        <f t="shared" si="56"/>
        <v>0</v>
      </c>
      <c r="R247" s="145">
        <f t="shared" si="53"/>
        <v>57.330891481443565</v>
      </c>
      <c r="S247" s="125">
        <f t="shared" si="54"/>
        <v>-11.169108518556435</v>
      </c>
      <c r="T247" s="144">
        <f t="shared" si="42"/>
        <v>0</v>
      </c>
      <c r="V247" s="12"/>
    </row>
    <row r="248" spans="1:22" x14ac:dyDescent="0.25">
      <c r="A248" s="49">
        <f>'A) Base RI'!A249</f>
        <v>5817</v>
      </c>
      <c r="B248" s="354" t="str">
        <f>'A) Base RI'!B249</f>
        <v>Grandcour</v>
      </c>
      <c r="C248" s="407">
        <v>344885.36966232589</v>
      </c>
      <c r="D248" s="407">
        <v>-224164.1731652118</v>
      </c>
      <c r="E248" s="392">
        <v>0</v>
      </c>
      <c r="F248" s="392">
        <v>0</v>
      </c>
      <c r="G248" s="392">
        <v>0</v>
      </c>
      <c r="H248" s="407">
        <f t="shared" si="41"/>
        <v>120721.19649711408</v>
      </c>
      <c r="I248" s="408">
        <v>21844.312857142857</v>
      </c>
      <c r="J248" s="358">
        <f>'B) D RI'!U249</f>
        <v>21779.238095238095</v>
      </c>
      <c r="K248" s="62">
        <f t="shared" si="55"/>
        <v>5.5264359783988146</v>
      </c>
      <c r="L248" s="33">
        <f>'B) D RI'!S249</f>
        <v>73.5</v>
      </c>
      <c r="M248" s="33">
        <f t="shared" si="50"/>
        <v>67.973564021601192</v>
      </c>
      <c r="N248" s="87">
        <f>+'J) Plafonnement effort'!H247+'J) Plafonnement effort'!I247-'K) Plafonnement aide'!I247</f>
        <v>2.9746948205420538</v>
      </c>
      <c r="O248" s="125">
        <f t="shared" si="51"/>
        <v>70.948258842143247</v>
      </c>
      <c r="P248" s="47">
        <f t="shared" si="52"/>
        <v>0</v>
      </c>
      <c r="Q248" s="55">
        <f t="shared" si="56"/>
        <v>0</v>
      </c>
      <c r="R248" s="145">
        <f t="shared" si="53"/>
        <v>70.948258842143247</v>
      </c>
      <c r="S248" s="125">
        <f t="shared" si="54"/>
        <v>-2.5517411578567533</v>
      </c>
      <c r="T248" s="144">
        <f t="shared" si="42"/>
        <v>0</v>
      </c>
      <c r="V248" s="12"/>
    </row>
    <row r="249" spans="1:22" x14ac:dyDescent="0.25">
      <c r="A249" s="49">
        <f>'A) Base RI'!A250</f>
        <v>5819</v>
      </c>
      <c r="B249" s="354" t="str">
        <f>'A) Base RI'!B250</f>
        <v>Henniez</v>
      </c>
      <c r="C249" s="407">
        <v>216048.28321543051</v>
      </c>
      <c r="D249" s="407">
        <v>105429.39157116972</v>
      </c>
      <c r="E249" s="392">
        <v>0</v>
      </c>
      <c r="F249" s="392">
        <v>0</v>
      </c>
      <c r="G249" s="392">
        <v>0</v>
      </c>
      <c r="H249" s="407">
        <f t="shared" si="41"/>
        <v>321477.67478660023</v>
      </c>
      <c r="I249" s="408">
        <v>12524.767971014497</v>
      </c>
      <c r="J249" s="358">
        <f>'B) D RI'!U250</f>
        <v>11468.217826086959</v>
      </c>
      <c r="K249" s="62">
        <f t="shared" si="55"/>
        <v>25.667355717134356</v>
      </c>
      <c r="L249" s="33">
        <f>'B) D RI'!S250</f>
        <v>69</v>
      </c>
      <c r="M249" s="33">
        <f t="shared" si="50"/>
        <v>43.332644282865644</v>
      </c>
      <c r="N249" s="87">
        <f>+'J) Plafonnement effort'!H248+'J) Plafonnement effort'!I248-'K) Plafonnement aide'!I248</f>
        <v>16.210517198706217</v>
      </c>
      <c r="O249" s="125">
        <f t="shared" si="51"/>
        <v>59.543161481571858</v>
      </c>
      <c r="P249" s="47">
        <f t="shared" si="52"/>
        <v>0</v>
      </c>
      <c r="Q249" s="55">
        <f t="shared" si="56"/>
        <v>0</v>
      </c>
      <c r="R249" s="145">
        <f t="shared" si="53"/>
        <v>59.543161481571858</v>
      </c>
      <c r="S249" s="125">
        <f t="shared" si="54"/>
        <v>-9.4568385184281425</v>
      </c>
      <c r="T249" s="144">
        <f t="shared" si="42"/>
        <v>0</v>
      </c>
      <c r="V249" s="12"/>
    </row>
    <row r="250" spans="1:22" x14ac:dyDescent="0.25">
      <c r="A250" s="49">
        <f>'A) Base RI'!A251</f>
        <v>5821</v>
      </c>
      <c r="B250" s="354" t="str">
        <f>'A) Base RI'!B251</f>
        <v>Missy</v>
      </c>
      <c r="C250" s="407">
        <v>124621.84411293354</v>
      </c>
      <c r="D250" s="407">
        <v>-56808.340967688913</v>
      </c>
      <c r="E250" s="392">
        <v>0</v>
      </c>
      <c r="F250" s="392">
        <v>0</v>
      </c>
      <c r="G250" s="392">
        <v>0</v>
      </c>
      <c r="H250" s="407">
        <f t="shared" si="41"/>
        <v>67813.503145244627</v>
      </c>
      <c r="I250" s="408">
        <v>8359.2275000000009</v>
      </c>
      <c r="J250" s="358">
        <f>'B) D RI'!U251</f>
        <v>7872.7337500000012</v>
      </c>
      <c r="K250" s="62">
        <f t="shared" si="55"/>
        <v>8.1124126775165077</v>
      </c>
      <c r="L250" s="33">
        <f>'B) D RI'!S251</f>
        <v>72</v>
      </c>
      <c r="M250" s="33">
        <f t="shared" si="50"/>
        <v>63.88758732248349</v>
      </c>
      <c r="N250" s="87">
        <f>+'J) Plafonnement effort'!H249+'J) Plafonnement effort'!I249-'K) Plafonnement aide'!I249</f>
        <v>1.3333153199713972</v>
      </c>
      <c r="O250" s="125">
        <f t="shared" si="51"/>
        <v>65.220902642454888</v>
      </c>
      <c r="P250" s="47">
        <f t="shared" si="52"/>
        <v>0</v>
      </c>
      <c r="Q250" s="55">
        <f t="shared" si="56"/>
        <v>0</v>
      </c>
      <c r="R250" s="145">
        <f t="shared" si="53"/>
        <v>65.220902642454888</v>
      </c>
      <c r="S250" s="125">
        <f t="shared" si="54"/>
        <v>-6.7790973575451119</v>
      </c>
      <c r="T250" s="144">
        <f t="shared" si="42"/>
        <v>0</v>
      </c>
      <c r="V250" s="12"/>
    </row>
    <row r="251" spans="1:22" x14ac:dyDescent="0.25">
      <c r="A251" s="49">
        <f>'A) Base RI'!A252</f>
        <v>5822</v>
      </c>
      <c r="B251" s="354" t="str">
        <f>'A) Base RI'!B252</f>
        <v>Payerne</v>
      </c>
      <c r="C251" s="407">
        <v>4231175.2014104445</v>
      </c>
      <c r="D251" s="407">
        <v>-5304608.3465838786</v>
      </c>
      <c r="E251" s="392">
        <v>0</v>
      </c>
      <c r="F251" s="392">
        <v>0</v>
      </c>
      <c r="G251" s="392">
        <v>0</v>
      </c>
      <c r="H251" s="407">
        <f t="shared" si="41"/>
        <v>-1073433.1451734342</v>
      </c>
      <c r="I251" s="408">
        <v>246662.05359999998</v>
      </c>
      <c r="J251" s="358">
        <f>'B) D RI'!U252</f>
        <v>237851.57178082189</v>
      </c>
      <c r="K251" s="62">
        <f t="shared" si="55"/>
        <v>-4.3518373803624018</v>
      </c>
      <c r="L251" s="33">
        <f>'B) D RI'!S252</f>
        <v>73</v>
      </c>
      <c r="M251" s="33">
        <f t="shared" si="50"/>
        <v>77.351837380362397</v>
      </c>
      <c r="N251" s="87">
        <f>+'J) Plafonnement effort'!H250+'J) Plafonnement effort'!I250-'K) Plafonnement aide'!I250</f>
        <v>-10.773235783748113</v>
      </c>
      <c r="O251" s="125">
        <f t="shared" si="51"/>
        <v>66.578601596614277</v>
      </c>
      <c r="P251" s="47">
        <f t="shared" si="52"/>
        <v>0</v>
      </c>
      <c r="Q251" s="55">
        <f t="shared" si="56"/>
        <v>0</v>
      </c>
      <c r="R251" s="145">
        <f t="shared" si="53"/>
        <v>66.578601596614277</v>
      </c>
      <c r="S251" s="125">
        <f t="shared" si="54"/>
        <v>-6.421398403385723</v>
      </c>
      <c r="T251" s="144">
        <f t="shared" si="42"/>
        <v>0</v>
      </c>
      <c r="V251" s="12"/>
    </row>
    <row r="252" spans="1:22" x14ac:dyDescent="0.25">
      <c r="A252" s="49">
        <f>'A) Base RI'!A253</f>
        <v>5827</v>
      </c>
      <c r="B252" s="354" t="str">
        <f>'A) Base RI'!B253</f>
        <v>Trey</v>
      </c>
      <c r="C252" s="407">
        <v>109589.40734711097</v>
      </c>
      <c r="D252" s="407">
        <v>-69188.784032565571</v>
      </c>
      <c r="E252" s="392">
        <v>0</v>
      </c>
      <c r="F252" s="392">
        <v>0</v>
      </c>
      <c r="G252" s="392">
        <v>0</v>
      </c>
      <c r="H252" s="407">
        <f t="shared" si="41"/>
        <v>40400.623314545403</v>
      </c>
      <c r="I252" s="408">
        <v>6768.899124999999</v>
      </c>
      <c r="J252" s="358">
        <f>'B) D RI'!U253</f>
        <v>6163.6291025641031</v>
      </c>
      <c r="K252" s="62">
        <f t="shared" si="55"/>
        <v>5.9685663160987659</v>
      </c>
      <c r="L252" s="33">
        <f>'B) D RI'!S253</f>
        <v>78</v>
      </c>
      <c r="M252" s="33">
        <f t="shared" si="50"/>
        <v>72.031433683901241</v>
      </c>
      <c r="N252" s="87">
        <f>+'J) Plafonnement effort'!H251+'J) Plafonnement effort'!I251-'K) Plafonnement aide'!I251</f>
        <v>-6.115916473443832</v>
      </c>
      <c r="O252" s="125">
        <f t="shared" si="51"/>
        <v>65.915517210457409</v>
      </c>
      <c r="P252" s="47">
        <f t="shared" si="52"/>
        <v>0</v>
      </c>
      <c r="Q252" s="55">
        <f t="shared" si="56"/>
        <v>0</v>
      </c>
      <c r="R252" s="145">
        <f t="shared" si="53"/>
        <v>65.915517210457409</v>
      </c>
      <c r="S252" s="125">
        <f t="shared" si="54"/>
        <v>-12.084482789542591</v>
      </c>
      <c r="T252" s="144">
        <f t="shared" si="42"/>
        <v>0</v>
      </c>
      <c r="V252" s="12"/>
    </row>
    <row r="253" spans="1:22" x14ac:dyDescent="0.25">
      <c r="A253" s="49">
        <f>'A) Base RI'!A254</f>
        <v>5828</v>
      </c>
      <c r="B253" s="354" t="str">
        <f>'A) Base RI'!B254</f>
        <v>Treytorrens (Payerne)</v>
      </c>
      <c r="C253" s="407">
        <v>51598.7842645317</v>
      </c>
      <c r="D253" s="407">
        <v>-43841.63637617229</v>
      </c>
      <c r="E253" s="392">
        <v>0</v>
      </c>
      <c r="F253" s="392">
        <v>0</v>
      </c>
      <c r="G253" s="392">
        <v>0</v>
      </c>
      <c r="H253" s="407">
        <f t="shared" si="41"/>
        <v>7757.14788835941</v>
      </c>
      <c r="I253" s="408">
        <v>2424.4907539682545</v>
      </c>
      <c r="J253" s="358">
        <f>'B) D RI'!U254</f>
        <v>2288.4160317460314</v>
      </c>
      <c r="K253" s="62">
        <f t="shared" si="55"/>
        <v>3.1994957603624581</v>
      </c>
      <c r="L253" s="33">
        <f>'B) D RI'!S254</f>
        <v>84</v>
      </c>
      <c r="M253" s="33">
        <f t="shared" si="50"/>
        <v>80.800504239637547</v>
      </c>
      <c r="N253" s="87">
        <f>+'J) Plafonnement effort'!H252+'J) Plafonnement effort'!I252-'K) Plafonnement aide'!I252</f>
        <v>-9.321678382794893</v>
      </c>
      <c r="O253" s="125">
        <f t="shared" si="51"/>
        <v>71.478825856842661</v>
      </c>
      <c r="P253" s="47">
        <f t="shared" si="52"/>
        <v>0</v>
      </c>
      <c r="Q253" s="55">
        <f t="shared" si="56"/>
        <v>0</v>
      </c>
      <c r="R253" s="145">
        <f t="shared" si="53"/>
        <v>71.478825856842661</v>
      </c>
      <c r="S253" s="125">
        <f t="shared" si="54"/>
        <v>-12.521174143157339</v>
      </c>
      <c r="T253" s="144">
        <f t="shared" si="42"/>
        <v>0</v>
      </c>
      <c r="V253" s="12"/>
    </row>
    <row r="254" spans="1:22" x14ac:dyDescent="0.25">
      <c r="A254" s="49">
        <f>'A) Base RI'!A255</f>
        <v>5830</v>
      </c>
      <c r="B254" s="354" t="str">
        <f>'A) Base RI'!B255</f>
        <v>Villarzel</v>
      </c>
      <c r="C254" s="407">
        <v>241388.55564379145</v>
      </c>
      <c r="D254" s="407">
        <v>38065.449178154493</v>
      </c>
      <c r="E254" s="392">
        <v>0</v>
      </c>
      <c r="F254" s="392">
        <v>0</v>
      </c>
      <c r="G254" s="392">
        <v>0</v>
      </c>
      <c r="H254" s="407">
        <f t="shared" si="41"/>
        <v>279454.00482194591</v>
      </c>
      <c r="I254" s="408">
        <v>13652.802077922079</v>
      </c>
      <c r="J254" s="358">
        <f>'B) D RI'!U255</f>
        <v>12470.916233766235</v>
      </c>
      <c r="K254" s="62">
        <f t="shared" si="55"/>
        <v>20.468619059075827</v>
      </c>
      <c r="L254" s="33">
        <f>'B) D RI'!S255</f>
        <v>77</v>
      </c>
      <c r="M254" s="33">
        <f t="shared" si="50"/>
        <v>56.531380940924173</v>
      </c>
      <c r="N254" s="87">
        <f>+'J) Plafonnement effort'!H253+'J) Plafonnement effort'!I253-'K) Plafonnement aide'!I253</f>
        <v>8.3791493873895107</v>
      </c>
      <c r="O254" s="125">
        <f t="shared" si="51"/>
        <v>64.910530328313683</v>
      </c>
      <c r="P254" s="47">
        <f t="shared" si="52"/>
        <v>0</v>
      </c>
      <c r="Q254" s="55">
        <f t="shared" si="56"/>
        <v>0</v>
      </c>
      <c r="R254" s="145">
        <f t="shared" si="53"/>
        <v>64.910530328313683</v>
      </c>
      <c r="S254" s="125">
        <f t="shared" si="54"/>
        <v>-12.089469671686317</v>
      </c>
      <c r="T254" s="144">
        <f t="shared" si="42"/>
        <v>0</v>
      </c>
      <c r="V254" s="12"/>
    </row>
    <row r="255" spans="1:22" x14ac:dyDescent="0.25">
      <c r="A255" s="49">
        <f>'A) Base RI'!A256</f>
        <v>5831</v>
      </c>
      <c r="B255" s="354" t="str">
        <f>'A) Base RI'!B256</f>
        <v>Valbroye</v>
      </c>
      <c r="C255" s="407">
        <v>1625782.543091658</v>
      </c>
      <c r="D255" s="407">
        <v>-532017.83167512552</v>
      </c>
      <c r="E255" s="392">
        <v>0</v>
      </c>
      <c r="F255" s="392">
        <v>0</v>
      </c>
      <c r="G255" s="392">
        <v>0</v>
      </c>
      <c r="H255" s="407">
        <f t="shared" si="41"/>
        <v>1093764.7114165325</v>
      </c>
      <c r="I255" s="408">
        <v>90573.475753424646</v>
      </c>
      <c r="J255" s="358">
        <f>'B) D RI'!U256</f>
        <v>83756.732765957451</v>
      </c>
      <c r="K255" s="62">
        <f>H255/I255</f>
        <v>12.075993576686567</v>
      </c>
      <c r="L255" s="33">
        <f>'B) D RI'!S256</f>
        <v>70.5</v>
      </c>
      <c r="M255" s="33">
        <f>L255-K255</f>
        <v>58.424006423313429</v>
      </c>
      <c r="N255" s="87">
        <f>+'J) Plafonnement effort'!H254+'J) Plafonnement effort'!I254-'K) Plafonnement aide'!I254</f>
        <v>2.4405978474973637</v>
      </c>
      <c r="O255" s="125">
        <f>M255+N255</f>
        <v>60.864604270810794</v>
      </c>
      <c r="P255" s="47">
        <f t="shared" si="52"/>
        <v>0</v>
      </c>
      <c r="Q255" s="55">
        <f>P255*J255</f>
        <v>0</v>
      </c>
      <c r="R255" s="145">
        <f>O255+P255</f>
        <v>60.864604270810794</v>
      </c>
      <c r="S255" s="125">
        <f>R255-L255</f>
        <v>-9.6353957291892058</v>
      </c>
      <c r="T255" s="144">
        <f t="shared" si="42"/>
        <v>0</v>
      </c>
      <c r="V255" s="12"/>
    </row>
    <row r="256" spans="1:22" x14ac:dyDescent="0.25">
      <c r="A256" s="49">
        <f>'A) Base RI'!A257</f>
        <v>5841</v>
      </c>
      <c r="B256" s="354" t="str">
        <f>'A) Base RI'!B257</f>
        <v>Château-d'Oex</v>
      </c>
      <c r="C256" s="407">
        <v>2084887.5131062164</v>
      </c>
      <c r="D256" s="407">
        <v>87767.006578425877</v>
      </c>
      <c r="E256" s="392">
        <v>0</v>
      </c>
      <c r="F256" s="392">
        <v>0</v>
      </c>
      <c r="G256" s="392">
        <v>0</v>
      </c>
      <c r="H256" s="407">
        <f t="shared" si="41"/>
        <v>2172654.5196846426</v>
      </c>
      <c r="I256" s="408">
        <v>118643.61518072287</v>
      </c>
      <c r="J256" s="358">
        <f>'B) D RI'!U257</f>
        <v>108658.39067484663</v>
      </c>
      <c r="K256" s="62">
        <f>H256/I256</f>
        <v>18.312443669009621</v>
      </c>
      <c r="L256" s="33">
        <f>'B) D RI'!S257</f>
        <v>81.5</v>
      </c>
      <c r="M256" s="33">
        <f>L256-K256</f>
        <v>63.187556330990375</v>
      </c>
      <c r="N256" s="87">
        <f>+'J) Plafonnement effort'!H255+'J) Plafonnement effort'!I255-'K) Plafonnement aide'!I255</f>
        <v>8.7465245460536636</v>
      </c>
      <c r="O256" s="125">
        <f>M256+N256</f>
        <v>71.934080877044039</v>
      </c>
      <c r="P256" s="47">
        <f t="shared" si="52"/>
        <v>0</v>
      </c>
      <c r="Q256" s="55">
        <f>P256*J256</f>
        <v>0</v>
      </c>
      <c r="R256" s="145">
        <f>O256+P256</f>
        <v>71.934080877044039</v>
      </c>
      <c r="S256" s="125">
        <f>R256-L256</f>
        <v>-9.565919122955961</v>
      </c>
      <c r="T256" s="144">
        <f t="shared" si="42"/>
        <v>0</v>
      </c>
      <c r="V256" s="12"/>
    </row>
    <row r="257" spans="1:22" x14ac:dyDescent="0.25">
      <c r="A257" s="49">
        <f>'A) Base RI'!A258</f>
        <v>5842</v>
      </c>
      <c r="B257" s="354" t="str">
        <f>'A) Base RI'!B258</f>
        <v>Rossinière</v>
      </c>
      <c r="C257" s="407">
        <v>225562.52392227901</v>
      </c>
      <c r="D257" s="407">
        <v>-108452.42678374844</v>
      </c>
      <c r="E257" s="392">
        <v>0</v>
      </c>
      <c r="F257" s="392">
        <v>0</v>
      </c>
      <c r="G257" s="392">
        <v>0</v>
      </c>
      <c r="H257" s="407">
        <f t="shared" si="41"/>
        <v>117110.09713853057</v>
      </c>
      <c r="I257" s="408">
        <v>13727.475720164608</v>
      </c>
      <c r="J257" s="358">
        <f>'B) D RI'!U258</f>
        <v>14509.951028806583</v>
      </c>
      <c r="K257" s="62">
        <f t="shared" si="55"/>
        <v>8.5310729755292769</v>
      </c>
      <c r="L257" s="33">
        <f>'B) D RI'!S258</f>
        <v>81</v>
      </c>
      <c r="M257" s="33">
        <f t="shared" si="50"/>
        <v>72.46892702447073</v>
      </c>
      <c r="N257" s="87">
        <f>+'J) Plafonnement effort'!H256+'J) Plafonnement effort'!I256-'K) Plafonnement aide'!I256</f>
        <v>7.9687401673314167</v>
      </c>
      <c r="O257" s="125">
        <f t="shared" si="51"/>
        <v>80.437667191802149</v>
      </c>
      <c r="P257" s="47">
        <f t="shared" si="52"/>
        <v>0</v>
      </c>
      <c r="Q257" s="55">
        <f t="shared" si="56"/>
        <v>0</v>
      </c>
      <c r="R257" s="145">
        <f t="shared" si="53"/>
        <v>80.437667191802149</v>
      </c>
      <c r="S257" s="125">
        <f t="shared" si="54"/>
        <v>-0.56233280819785136</v>
      </c>
      <c r="T257" s="144">
        <f t="shared" si="42"/>
        <v>0</v>
      </c>
      <c r="V257" s="12"/>
    </row>
    <row r="258" spans="1:22" x14ac:dyDescent="0.25">
      <c r="A258" s="49">
        <f>'A) Base RI'!A259</f>
        <v>5843</v>
      </c>
      <c r="B258" s="354" t="str">
        <f>'A) Base RI'!B259</f>
        <v>Rougemont</v>
      </c>
      <c r="C258" s="407">
        <v>3358896.2963533308</v>
      </c>
      <c r="D258" s="407">
        <v>1617283.7909211256</v>
      </c>
      <c r="E258" s="392">
        <v>0</v>
      </c>
      <c r="F258" s="392">
        <v>-762598.45543038833</v>
      </c>
      <c r="G258" s="392">
        <v>0</v>
      </c>
      <c r="H258" s="407">
        <f t="shared" si="41"/>
        <v>4213581.6318440679</v>
      </c>
      <c r="I258" s="408">
        <v>86224.81779279279</v>
      </c>
      <c r="J258" s="358">
        <f>'B) D RI'!U259</f>
        <v>100468.99797297297</v>
      </c>
      <c r="K258" s="62">
        <f t="shared" si="55"/>
        <v>48.867388064185221</v>
      </c>
      <c r="L258" s="33">
        <f>'B) D RI'!S259</f>
        <v>74</v>
      </c>
      <c r="M258" s="33">
        <f t="shared" si="50"/>
        <v>25.132611935814779</v>
      </c>
      <c r="N258" s="87">
        <f>+'J) Plafonnement effort'!H257+'J) Plafonnement effort'!I257-'K) Plafonnement aide'!I257</f>
        <v>48</v>
      </c>
      <c r="O258" s="125">
        <f t="shared" si="51"/>
        <v>73.132611935814779</v>
      </c>
      <c r="P258" s="47">
        <f t="shared" si="52"/>
        <v>0</v>
      </c>
      <c r="Q258" s="55">
        <f t="shared" si="56"/>
        <v>0</v>
      </c>
      <c r="R258" s="145">
        <f t="shared" si="53"/>
        <v>73.132611935814779</v>
      </c>
      <c r="S258" s="125">
        <f t="shared" si="54"/>
        <v>-0.86738806418522074</v>
      </c>
      <c r="T258" s="144">
        <f t="shared" si="42"/>
        <v>0</v>
      </c>
      <c r="V258" s="12"/>
    </row>
    <row r="259" spans="1:22" x14ac:dyDescent="0.25">
      <c r="A259" s="49">
        <f>'A) Base RI'!A260</f>
        <v>5851</v>
      </c>
      <c r="B259" s="354" t="str">
        <f>'A) Base RI'!B260</f>
        <v>Allaman</v>
      </c>
      <c r="C259" s="407">
        <v>574358.11985506513</v>
      </c>
      <c r="D259" s="407">
        <v>416741.20549322665</v>
      </c>
      <c r="E259" s="392">
        <v>0</v>
      </c>
      <c r="F259" s="392">
        <v>0</v>
      </c>
      <c r="G259" s="392">
        <v>0</v>
      </c>
      <c r="H259" s="407">
        <f t="shared" si="41"/>
        <v>991099.32534829178</v>
      </c>
      <c r="I259" s="408">
        <v>23662.073064516131</v>
      </c>
      <c r="J259" s="358">
        <f>'B) D RI'!U260</f>
        <v>24314.213954545452</v>
      </c>
      <c r="K259" s="62">
        <f t="shared" si="55"/>
        <v>41.8855660975265</v>
      </c>
      <c r="L259" s="33">
        <f>'B) D RI'!S260</f>
        <v>60</v>
      </c>
      <c r="M259" s="33">
        <f t="shared" si="50"/>
        <v>18.1144339024735</v>
      </c>
      <c r="N259" s="87">
        <f>+'J) Plafonnement effort'!H258+'J) Plafonnement effort'!I258-'K) Plafonnement aide'!I258</f>
        <v>32.372806030735191</v>
      </c>
      <c r="O259" s="125">
        <f t="shared" si="51"/>
        <v>50.487239933208691</v>
      </c>
      <c r="P259" s="47">
        <f t="shared" si="52"/>
        <v>0</v>
      </c>
      <c r="Q259" s="55">
        <f t="shared" si="56"/>
        <v>0</v>
      </c>
      <c r="R259" s="145">
        <f t="shared" si="53"/>
        <v>50.487239933208691</v>
      </c>
      <c r="S259" s="125">
        <f t="shared" si="54"/>
        <v>-9.5127600667913086</v>
      </c>
      <c r="T259" s="144">
        <f t="shared" si="42"/>
        <v>0</v>
      </c>
      <c r="V259" s="12"/>
    </row>
    <row r="260" spans="1:22" x14ac:dyDescent="0.25">
      <c r="A260" s="49">
        <f>'A) Base RI'!A261</f>
        <v>5852</v>
      </c>
      <c r="B260" s="354" t="str">
        <f>'A) Base RI'!B261</f>
        <v>Bursinel</v>
      </c>
      <c r="C260" s="407">
        <v>1169762.0125436024</v>
      </c>
      <c r="D260" s="407">
        <v>734580.00978140929</v>
      </c>
      <c r="E260" s="392">
        <v>0</v>
      </c>
      <c r="F260" s="392">
        <v>-118434.04598913316</v>
      </c>
      <c r="G260" s="392">
        <v>0</v>
      </c>
      <c r="H260" s="407">
        <f t="shared" si="41"/>
        <v>1785907.9763358785</v>
      </c>
      <c r="I260" s="408">
        <v>39686.843918575076</v>
      </c>
      <c r="J260" s="358">
        <f>'B) D RI'!U261</f>
        <v>40706.215623409669</v>
      </c>
      <c r="K260" s="62">
        <f t="shared" si="55"/>
        <v>45</v>
      </c>
      <c r="L260" s="33">
        <f>'B) D RI'!S261</f>
        <v>65.5</v>
      </c>
      <c r="M260" s="33">
        <f t="shared" si="50"/>
        <v>20.5</v>
      </c>
      <c r="N260" s="87">
        <f>+'J) Plafonnement effort'!H259+'J) Plafonnement effort'!I259-'K) Plafonnement aide'!I259</f>
        <v>39.980680965601096</v>
      </c>
      <c r="O260" s="125">
        <f t="shared" si="51"/>
        <v>60.480680965601096</v>
      </c>
      <c r="P260" s="47">
        <f t="shared" si="52"/>
        <v>0</v>
      </c>
      <c r="Q260" s="55">
        <f t="shared" si="56"/>
        <v>0</v>
      </c>
      <c r="R260" s="145">
        <f t="shared" si="53"/>
        <v>60.480680965601096</v>
      </c>
      <c r="S260" s="125">
        <f t="shared" si="54"/>
        <v>-5.0193190343989045</v>
      </c>
      <c r="T260" s="144">
        <f t="shared" si="42"/>
        <v>0</v>
      </c>
      <c r="V260" s="12"/>
    </row>
    <row r="261" spans="1:22" x14ac:dyDescent="0.25">
      <c r="A261" s="49">
        <f>'A) Base RI'!A262</f>
        <v>5853</v>
      </c>
      <c r="B261" s="354" t="str">
        <f>'A) Base RI'!B262</f>
        <v>Bursins</v>
      </c>
      <c r="C261" s="407">
        <v>716199.57109592855</v>
      </c>
      <c r="D261" s="407">
        <v>622179.62095638388</v>
      </c>
      <c r="E261" s="392">
        <v>0</v>
      </c>
      <c r="F261" s="392">
        <v>0</v>
      </c>
      <c r="G261" s="392">
        <v>0</v>
      </c>
      <c r="H261" s="407">
        <f t="shared" si="41"/>
        <v>1338379.1920523124</v>
      </c>
      <c r="I261" s="408">
        <v>36429.778873239433</v>
      </c>
      <c r="J261" s="358">
        <f>'B) D RI'!U262</f>
        <v>42015.881830985905</v>
      </c>
      <c r="K261" s="62">
        <f t="shared" si="55"/>
        <v>36.738603237459074</v>
      </c>
      <c r="L261" s="33">
        <f>'B) D RI'!S262</f>
        <v>71</v>
      </c>
      <c r="M261" s="33">
        <f t="shared" si="50"/>
        <v>34.261396762540926</v>
      </c>
      <c r="N261" s="87">
        <f>+'J) Plafonnement effort'!H260+'J) Plafonnement effort'!I260-'K) Plafonnement aide'!I260</f>
        <v>32.498020167230251</v>
      </c>
      <c r="O261" s="125">
        <f t="shared" si="51"/>
        <v>66.759416929771177</v>
      </c>
      <c r="P261" s="47">
        <f t="shared" si="52"/>
        <v>0</v>
      </c>
      <c r="Q261" s="55">
        <f t="shared" si="56"/>
        <v>0</v>
      </c>
      <c r="R261" s="145">
        <f t="shared" si="53"/>
        <v>66.759416929771177</v>
      </c>
      <c r="S261" s="125">
        <f t="shared" si="54"/>
        <v>-4.2405830702288227</v>
      </c>
      <c r="T261" s="144">
        <f t="shared" si="42"/>
        <v>0</v>
      </c>
      <c r="V261" s="12"/>
    </row>
    <row r="262" spans="1:22" x14ac:dyDescent="0.25">
      <c r="A262" s="49">
        <f>'A) Base RI'!A263</f>
        <v>5854</v>
      </c>
      <c r="B262" s="354" t="str">
        <f>'A) Base RI'!B263</f>
        <v>Burtigny</v>
      </c>
      <c r="C262" s="407">
        <v>260699.07416849735</v>
      </c>
      <c r="D262" s="407">
        <v>-11687.060082480486</v>
      </c>
      <c r="E262" s="392">
        <v>0</v>
      </c>
      <c r="F262" s="392">
        <v>0</v>
      </c>
      <c r="G262" s="392">
        <v>0</v>
      </c>
      <c r="H262" s="407">
        <f t="shared" si="41"/>
        <v>249012.01408601686</v>
      </c>
      <c r="I262" s="408">
        <v>11092.867583333333</v>
      </c>
      <c r="J262" s="358">
        <f>'B) D RI'!U263</f>
        <v>10782.893958333336</v>
      </c>
      <c r="K262" s="62">
        <f t="shared" si="55"/>
        <v>22.447938931512098</v>
      </c>
      <c r="L262" s="33">
        <f>'B) D RI'!S263</f>
        <v>80</v>
      </c>
      <c r="M262" s="33">
        <f t="shared" ref="M262:M291" si="58">L262-K262</f>
        <v>57.552061068487902</v>
      </c>
      <c r="N262" s="87">
        <f>+'J) Plafonnement effort'!H261+'J) Plafonnement effort'!I261-'K) Plafonnement aide'!I261</f>
        <v>7.85155132309621</v>
      </c>
      <c r="O262" s="125">
        <f t="shared" ref="O262:O314" si="59">M262+N262</f>
        <v>65.403612391584119</v>
      </c>
      <c r="P262" s="47">
        <f t="shared" ref="P262:P314" si="60">IF(O262&gt;$P$5,$P$5-O262,0)</f>
        <v>0</v>
      </c>
      <c r="Q262" s="55">
        <f t="shared" si="56"/>
        <v>0</v>
      </c>
      <c r="R262" s="145">
        <f t="shared" ref="R262:R314" si="61">O262+P262</f>
        <v>65.403612391584119</v>
      </c>
      <c r="S262" s="125">
        <f t="shared" ref="S262:S314" si="62">R262-L262</f>
        <v>-14.596387608415881</v>
      </c>
      <c r="T262" s="144">
        <f t="shared" si="42"/>
        <v>0</v>
      </c>
      <c r="V262" s="12"/>
    </row>
    <row r="263" spans="1:22" x14ac:dyDescent="0.25">
      <c r="A263" s="49">
        <f>'A) Base RI'!A264</f>
        <v>5855</v>
      </c>
      <c r="B263" s="354" t="str">
        <f>'A) Base RI'!B264</f>
        <v>Dully</v>
      </c>
      <c r="C263" s="407">
        <v>2423509.0171489548</v>
      </c>
      <c r="D263" s="407">
        <v>1513772.9176232468</v>
      </c>
      <c r="E263" s="392">
        <v>0</v>
      </c>
      <c r="F263" s="392">
        <v>-351869.58477220143</v>
      </c>
      <c r="G263" s="392">
        <v>0</v>
      </c>
      <c r="H263" s="407">
        <f t="shared" ref="H263:H314" si="63">SUM(C263:G263)</f>
        <v>3585412.3500000006</v>
      </c>
      <c r="I263" s="408">
        <v>79675.83</v>
      </c>
      <c r="J263" s="358">
        <f>'B) D RI'!U264</f>
        <v>98158.514897959176</v>
      </c>
      <c r="K263" s="62">
        <f t="shared" si="55"/>
        <v>45.000000000000007</v>
      </c>
      <c r="L263" s="33">
        <f>'B) D RI'!S264</f>
        <v>49</v>
      </c>
      <c r="M263" s="33">
        <f t="shared" si="58"/>
        <v>3.9999999999999929</v>
      </c>
      <c r="N263" s="87">
        <f>+'J) Plafonnement effort'!H262+'J) Plafonnement effort'!I262-'K) Plafonnement aide'!I262</f>
        <v>47.122248405005649</v>
      </c>
      <c r="O263" s="125">
        <f t="shared" si="59"/>
        <v>51.122248405005642</v>
      </c>
      <c r="P263" s="47">
        <f t="shared" si="60"/>
        <v>0</v>
      </c>
      <c r="Q263" s="55">
        <f t="shared" si="56"/>
        <v>0</v>
      </c>
      <c r="R263" s="145">
        <f t="shared" si="61"/>
        <v>51.122248405005642</v>
      </c>
      <c r="S263" s="125">
        <f t="shared" si="62"/>
        <v>2.1222484050056423</v>
      </c>
      <c r="T263" s="144">
        <f t="shared" ref="T263:T314" si="64">+C263+D263+E263+F263+G263-H263</f>
        <v>0</v>
      </c>
      <c r="V263" s="12"/>
    </row>
    <row r="264" spans="1:22" x14ac:dyDescent="0.25">
      <c r="A264" s="49">
        <f>'A) Base RI'!A265</f>
        <v>5856</v>
      </c>
      <c r="B264" s="354" t="str">
        <f>'A) Base RI'!B265</f>
        <v>Essertines-sur-Rolle</v>
      </c>
      <c r="C264" s="407">
        <v>634079.35806197778</v>
      </c>
      <c r="D264" s="407">
        <v>639635.78787426127</v>
      </c>
      <c r="E264" s="392">
        <v>0</v>
      </c>
      <c r="F264" s="392">
        <v>0</v>
      </c>
      <c r="G264" s="392">
        <v>0</v>
      </c>
      <c r="H264" s="407">
        <f t="shared" si="63"/>
        <v>1273715.145936239</v>
      </c>
      <c r="I264" s="408">
        <v>36504.775588235294</v>
      </c>
      <c r="J264" s="358">
        <f>'B) D RI'!U265</f>
        <v>35711.648536726432</v>
      </c>
      <c r="K264" s="62">
        <f t="shared" si="55"/>
        <v>34.8917402014308</v>
      </c>
      <c r="L264" s="33">
        <f>'B) D RI'!S265</f>
        <v>66.5</v>
      </c>
      <c r="M264" s="33">
        <f t="shared" si="58"/>
        <v>31.6082597985692</v>
      </c>
      <c r="N264" s="87">
        <f>+'J) Plafonnement effort'!H263+'J) Plafonnement effort'!I263-'K) Plafonnement aide'!I263</f>
        <v>30.618729160869933</v>
      </c>
      <c r="O264" s="125">
        <f t="shared" si="59"/>
        <v>62.226988959439133</v>
      </c>
      <c r="P264" s="47">
        <f t="shared" si="60"/>
        <v>0</v>
      </c>
      <c r="Q264" s="55">
        <f t="shared" si="56"/>
        <v>0</v>
      </c>
      <c r="R264" s="145">
        <f t="shared" si="61"/>
        <v>62.226988959439133</v>
      </c>
      <c r="S264" s="125">
        <f t="shared" si="62"/>
        <v>-4.273011040560867</v>
      </c>
      <c r="T264" s="144">
        <f t="shared" si="64"/>
        <v>0</v>
      </c>
      <c r="V264" s="12"/>
    </row>
    <row r="265" spans="1:22" x14ac:dyDescent="0.25">
      <c r="A265" s="49">
        <f>'A) Base RI'!A266</f>
        <v>5857</v>
      </c>
      <c r="B265" s="354" t="str">
        <f>'A) Base RI'!B266</f>
        <v>Gilly</v>
      </c>
      <c r="C265" s="407">
        <v>1813931.7549246312</v>
      </c>
      <c r="D265" s="407">
        <v>1451681.6783278394</v>
      </c>
      <c r="E265" s="392">
        <v>0</v>
      </c>
      <c r="F265" s="392">
        <v>0</v>
      </c>
      <c r="G265" s="392">
        <v>0</v>
      </c>
      <c r="H265" s="407">
        <f t="shared" si="63"/>
        <v>3265613.4332524706</v>
      </c>
      <c r="I265" s="408">
        <v>85344.541363636366</v>
      </c>
      <c r="J265" s="358">
        <f>'B) D RI'!U266</f>
        <v>82128.423720930223</v>
      </c>
      <c r="K265" s="62">
        <f t="shared" si="55"/>
        <v>38.263881685629215</v>
      </c>
      <c r="L265" s="33">
        <f>'B) D RI'!S266</f>
        <v>64.5</v>
      </c>
      <c r="M265" s="33">
        <f t="shared" si="58"/>
        <v>26.236118314370785</v>
      </c>
      <c r="N265" s="87">
        <f>+'J) Plafonnement effort'!H264+'J) Plafonnement effort'!I264-'K) Plafonnement aide'!I264</f>
        <v>31.94024378426127</v>
      </c>
      <c r="O265" s="125">
        <f t="shared" si="59"/>
        <v>58.176362098632055</v>
      </c>
      <c r="P265" s="47">
        <f t="shared" si="60"/>
        <v>0</v>
      </c>
      <c r="Q265" s="55">
        <f t="shared" si="56"/>
        <v>0</v>
      </c>
      <c r="R265" s="145">
        <f t="shared" si="61"/>
        <v>58.176362098632055</v>
      </c>
      <c r="S265" s="125">
        <f t="shared" si="62"/>
        <v>-6.3236379013679453</v>
      </c>
      <c r="T265" s="144">
        <f t="shared" si="64"/>
        <v>0</v>
      </c>
      <c r="V265" s="12"/>
    </row>
    <row r="266" spans="1:22" x14ac:dyDescent="0.25">
      <c r="A266" s="49">
        <f>'A) Base RI'!A267</f>
        <v>5858</v>
      </c>
      <c r="B266" s="354" t="str">
        <f>'A) Base RI'!B267</f>
        <v>Luins</v>
      </c>
      <c r="C266" s="407">
        <v>1006534.4563330754</v>
      </c>
      <c r="D266" s="407">
        <v>856273.21501650801</v>
      </c>
      <c r="E266" s="392">
        <v>0</v>
      </c>
      <c r="F266" s="392">
        <v>0</v>
      </c>
      <c r="G266" s="392">
        <v>0</v>
      </c>
      <c r="H266" s="407">
        <f t="shared" si="63"/>
        <v>1862807.6713495834</v>
      </c>
      <c r="I266" s="408">
        <v>46698.811277777771</v>
      </c>
      <c r="J266" s="358">
        <f>'B) D RI'!U267</f>
        <v>40290.677378917375</v>
      </c>
      <c r="K266" s="62">
        <f t="shared" ref="K266:K314" si="65">H266/I266</f>
        <v>39.889830605517453</v>
      </c>
      <c r="L266" s="33">
        <f>'B) D RI'!S267</f>
        <v>58.5</v>
      </c>
      <c r="M266" s="33">
        <f t="shared" si="58"/>
        <v>18.610169394482547</v>
      </c>
      <c r="N266" s="87">
        <f>+'J) Plafonnement effort'!H265+'J) Plafonnement effort'!I265-'K) Plafonnement aide'!I265</f>
        <v>34.954761533957907</v>
      </c>
      <c r="O266" s="125">
        <f t="shared" si="59"/>
        <v>53.564930928440454</v>
      </c>
      <c r="P266" s="47">
        <f t="shared" si="60"/>
        <v>0</v>
      </c>
      <c r="Q266" s="55">
        <f t="shared" si="56"/>
        <v>0</v>
      </c>
      <c r="R266" s="145">
        <f t="shared" si="61"/>
        <v>53.564930928440454</v>
      </c>
      <c r="S266" s="125">
        <f t="shared" si="62"/>
        <v>-4.9350690715595462</v>
      </c>
      <c r="T266" s="144">
        <f t="shared" si="64"/>
        <v>0</v>
      </c>
      <c r="V266" s="12"/>
    </row>
    <row r="267" spans="1:22" x14ac:dyDescent="0.25">
      <c r="A267" s="49">
        <f>'A) Base RI'!A268</f>
        <v>5859</v>
      </c>
      <c r="B267" s="354" t="str">
        <f>'A) Base RI'!B268</f>
        <v>Mont-sur-Rolle</v>
      </c>
      <c r="C267" s="407">
        <v>2815314.4013417601</v>
      </c>
      <c r="D267" s="407">
        <v>2013436.8265842558</v>
      </c>
      <c r="E267" s="392">
        <v>0</v>
      </c>
      <c r="F267" s="392">
        <v>0</v>
      </c>
      <c r="G267" s="392">
        <v>0</v>
      </c>
      <c r="H267" s="407">
        <f t="shared" si="63"/>
        <v>4828751.2279260159</v>
      </c>
      <c r="I267" s="408">
        <v>136402.77030769232</v>
      </c>
      <c r="J267" s="358">
        <f>'B) D RI'!U268</f>
        <v>146465.78251968499</v>
      </c>
      <c r="K267" s="62">
        <f t="shared" si="65"/>
        <v>35.400682970246848</v>
      </c>
      <c r="L267" s="33">
        <f>'B) D RI'!S268</f>
        <v>63.5</v>
      </c>
      <c r="M267" s="33">
        <f t="shared" si="58"/>
        <v>28.099317029753152</v>
      </c>
      <c r="N267" s="87">
        <f>+'J) Plafonnement effort'!H266+'J) Plafonnement effort'!I266-'K) Plafonnement aide'!I266</f>
        <v>30.06360474042782</v>
      </c>
      <c r="O267" s="125">
        <f t="shared" si="59"/>
        <v>58.162921770180972</v>
      </c>
      <c r="P267" s="47">
        <f t="shared" si="60"/>
        <v>0</v>
      </c>
      <c r="Q267" s="55">
        <f t="shared" ref="Q267:Q314" si="66">P267*J267</f>
        <v>0</v>
      </c>
      <c r="R267" s="145">
        <f t="shared" si="61"/>
        <v>58.162921770180972</v>
      </c>
      <c r="S267" s="125">
        <f t="shared" si="62"/>
        <v>-5.3370782298190278</v>
      </c>
      <c r="T267" s="144">
        <f t="shared" si="64"/>
        <v>0</v>
      </c>
      <c r="V267" s="12"/>
    </row>
    <row r="268" spans="1:22" x14ac:dyDescent="0.25">
      <c r="A268" s="49">
        <f>'A) Base RI'!A269</f>
        <v>5860</v>
      </c>
      <c r="B268" s="354" t="str">
        <f>'A) Base RI'!B269</f>
        <v>Perroy</v>
      </c>
      <c r="C268" s="407">
        <v>2240967.6650723205</v>
      </c>
      <c r="D268" s="407">
        <v>1751900.9180328608</v>
      </c>
      <c r="E268" s="392">
        <v>0</v>
      </c>
      <c r="F268" s="392">
        <v>0</v>
      </c>
      <c r="G268" s="392">
        <v>0</v>
      </c>
      <c r="H268" s="407">
        <f t="shared" si="63"/>
        <v>3992868.5831051813</v>
      </c>
      <c r="I268" s="408">
        <v>102583.41574358974</v>
      </c>
      <c r="J268" s="358">
        <f>'B) D RI'!U269</f>
        <v>187175.54426035503</v>
      </c>
      <c r="K268" s="62">
        <f t="shared" si="65"/>
        <v>38.92313932191022</v>
      </c>
      <c r="L268" s="33">
        <f>'B) D RI'!S269</f>
        <v>58.5</v>
      </c>
      <c r="M268" s="33">
        <f t="shared" si="58"/>
        <v>19.57686067808978</v>
      </c>
      <c r="N268" s="87">
        <f>+'J) Plafonnement effort'!H267+'J) Plafonnement effort'!I267-'K) Plafonnement aide'!I267</f>
        <v>45.478230096414983</v>
      </c>
      <c r="O268" s="125">
        <f t="shared" si="59"/>
        <v>65.055090774504762</v>
      </c>
      <c r="P268" s="47">
        <f t="shared" si="60"/>
        <v>0</v>
      </c>
      <c r="Q268" s="55">
        <f t="shared" si="66"/>
        <v>0</v>
      </c>
      <c r="R268" s="145">
        <f t="shared" si="61"/>
        <v>65.055090774504762</v>
      </c>
      <c r="S268" s="125">
        <f t="shared" si="62"/>
        <v>6.5550907745047624</v>
      </c>
      <c r="T268" s="144">
        <f t="shared" si="64"/>
        <v>0</v>
      </c>
      <c r="V268" s="12"/>
    </row>
    <row r="269" spans="1:22" x14ac:dyDescent="0.25">
      <c r="A269" s="49">
        <f>'A) Base RI'!A270</f>
        <v>5861</v>
      </c>
      <c r="B269" s="354" t="str">
        <f>'A) Base RI'!B270</f>
        <v>Rolle</v>
      </c>
      <c r="C269" s="407">
        <v>23640879.72220901</v>
      </c>
      <c r="D269" s="407">
        <v>12669067.13937814</v>
      </c>
      <c r="E269" s="392">
        <v>0</v>
      </c>
      <c r="F269" s="392">
        <v>-1999914.3968812721</v>
      </c>
      <c r="G269" s="392">
        <v>0</v>
      </c>
      <c r="H269" s="407">
        <f t="shared" si="63"/>
        <v>34310032.464705877</v>
      </c>
      <c r="I269" s="408">
        <v>762445.16588235286</v>
      </c>
      <c r="J269" s="358">
        <f>'B) D RI'!U270</f>
        <v>1938335.8673949579</v>
      </c>
      <c r="K269" s="62">
        <f t="shared" si="65"/>
        <v>45</v>
      </c>
      <c r="L269" s="33">
        <f>'B) D RI'!S270</f>
        <v>59.5</v>
      </c>
      <c r="M269" s="33">
        <f t="shared" si="58"/>
        <v>14.5</v>
      </c>
      <c r="N269" s="87">
        <f>+'J) Plafonnement effort'!H268+'J) Plafonnement effort'!I268-'K) Plafonnement aide'!I268</f>
        <v>48</v>
      </c>
      <c r="O269" s="125">
        <f t="shared" si="59"/>
        <v>62.5</v>
      </c>
      <c r="P269" s="47">
        <f t="shared" si="60"/>
        <v>0</v>
      </c>
      <c r="Q269" s="55">
        <f t="shared" si="66"/>
        <v>0</v>
      </c>
      <c r="R269" s="145">
        <f t="shared" si="61"/>
        <v>62.5</v>
      </c>
      <c r="S269" s="125">
        <f t="shared" si="62"/>
        <v>3</v>
      </c>
      <c r="T269" s="144">
        <f t="shared" si="64"/>
        <v>0</v>
      </c>
      <c r="V269" s="12"/>
    </row>
    <row r="270" spans="1:22" x14ac:dyDescent="0.25">
      <c r="A270" s="49">
        <f>'A) Base RI'!A271</f>
        <v>5862</v>
      </c>
      <c r="B270" s="354" t="str">
        <f>'A) Base RI'!B271</f>
        <v>Tartegnin</v>
      </c>
      <c r="C270" s="407">
        <v>164066.26154078403</v>
      </c>
      <c r="D270" s="407">
        <v>189292.98902486256</v>
      </c>
      <c r="E270" s="392">
        <v>0</v>
      </c>
      <c r="F270" s="392">
        <v>0</v>
      </c>
      <c r="G270" s="392">
        <v>0</v>
      </c>
      <c r="H270" s="407">
        <f t="shared" si="63"/>
        <v>353359.25056564657</v>
      </c>
      <c r="I270" s="408">
        <v>10955.91814814815</v>
      </c>
      <c r="J270" s="358">
        <f>'B) D RI'!U271</f>
        <v>8096.4381012658214</v>
      </c>
      <c r="K270" s="62">
        <f t="shared" si="65"/>
        <v>32.252819506996218</v>
      </c>
      <c r="L270" s="33">
        <f>'B) D RI'!S271</f>
        <v>79</v>
      </c>
      <c r="M270" s="33">
        <f t="shared" si="58"/>
        <v>46.747180493003782</v>
      </c>
      <c r="N270" s="87">
        <f>+'J) Plafonnement effort'!H269+'J) Plafonnement effort'!I269-'K) Plafonnement aide'!I269</f>
        <v>19.429853262353522</v>
      </c>
      <c r="O270" s="125">
        <f t="shared" si="59"/>
        <v>66.1770337553573</v>
      </c>
      <c r="P270" s="47">
        <f t="shared" si="60"/>
        <v>0</v>
      </c>
      <c r="Q270" s="55">
        <f t="shared" si="66"/>
        <v>0</v>
      </c>
      <c r="R270" s="145">
        <f t="shared" si="61"/>
        <v>66.1770337553573</v>
      </c>
      <c r="S270" s="125">
        <f t="shared" si="62"/>
        <v>-12.8229662446427</v>
      </c>
      <c r="T270" s="144">
        <f t="shared" si="64"/>
        <v>0</v>
      </c>
      <c r="V270" s="12"/>
    </row>
    <row r="271" spans="1:22" x14ac:dyDescent="0.25">
      <c r="A271" s="49">
        <f>'A) Base RI'!A272</f>
        <v>5863</v>
      </c>
      <c r="B271" s="354" t="str">
        <f>'A) Base RI'!B272</f>
        <v>Vinzel</v>
      </c>
      <c r="C271" s="407">
        <v>327322.23319290107</v>
      </c>
      <c r="D271" s="407">
        <v>313230.10916050262</v>
      </c>
      <c r="E271" s="392">
        <v>0</v>
      </c>
      <c r="F271" s="392">
        <v>0</v>
      </c>
      <c r="G271" s="392">
        <v>0</v>
      </c>
      <c r="H271" s="407">
        <f t="shared" si="63"/>
        <v>640552.34235340368</v>
      </c>
      <c r="I271" s="408">
        <v>17885.432686567161</v>
      </c>
      <c r="J271" s="358">
        <f>'B) D RI'!U272</f>
        <v>21933.69492537314</v>
      </c>
      <c r="K271" s="62">
        <f t="shared" si="65"/>
        <v>35.814193236403497</v>
      </c>
      <c r="L271" s="33">
        <f>'B) D RI'!S272</f>
        <v>67</v>
      </c>
      <c r="M271" s="33">
        <f t="shared" si="58"/>
        <v>31.185806763596503</v>
      </c>
      <c r="N271" s="87">
        <f>+'J) Plafonnement effort'!H270+'J) Plafonnement effort'!I270-'K) Plafonnement aide'!I270</f>
        <v>33.057205272526595</v>
      </c>
      <c r="O271" s="125">
        <f t="shared" si="59"/>
        <v>64.243012036123105</v>
      </c>
      <c r="P271" s="47">
        <f t="shared" si="60"/>
        <v>0</v>
      </c>
      <c r="Q271" s="55">
        <f t="shared" si="66"/>
        <v>0</v>
      </c>
      <c r="R271" s="145">
        <f t="shared" si="61"/>
        <v>64.243012036123105</v>
      </c>
      <c r="S271" s="125">
        <f t="shared" si="62"/>
        <v>-2.7569879638768953</v>
      </c>
      <c r="T271" s="144">
        <f t="shared" si="64"/>
        <v>0</v>
      </c>
      <c r="V271" s="12"/>
    </row>
    <row r="272" spans="1:22" x14ac:dyDescent="0.25">
      <c r="A272" s="49">
        <f>'A) Base RI'!A273</f>
        <v>5871</v>
      </c>
      <c r="B272" s="354" t="str">
        <f>'A) Base RI'!B273</f>
        <v>L'Abbaye</v>
      </c>
      <c r="C272" s="407">
        <v>1016993.5154968603</v>
      </c>
      <c r="D272" s="407">
        <v>91687.212898201426</v>
      </c>
      <c r="E272" s="392">
        <v>0</v>
      </c>
      <c r="F272" s="392">
        <v>0</v>
      </c>
      <c r="G272" s="392">
        <v>0</v>
      </c>
      <c r="H272" s="407">
        <f t="shared" si="63"/>
        <v>1108680.7283950616</v>
      </c>
      <c r="I272" s="408">
        <v>46763.12603092783</v>
      </c>
      <c r="J272" s="358">
        <f>'B) D RI'!U273</f>
        <v>49513.521273852508</v>
      </c>
      <c r="K272" s="62">
        <f t="shared" si="65"/>
        <v>23.708439159131729</v>
      </c>
      <c r="L272" s="33">
        <f>'B) D RI'!S273</f>
        <v>77.56</v>
      </c>
      <c r="M272" s="33">
        <f t="shared" si="58"/>
        <v>53.851560840868274</v>
      </c>
      <c r="N272" s="87">
        <f>+'J) Plafonnement effort'!H271+'J) Plafonnement effort'!I271-'K) Plafonnement aide'!I271</f>
        <v>16.890269865341395</v>
      </c>
      <c r="O272" s="125">
        <f t="shared" si="59"/>
        <v>70.741830706209669</v>
      </c>
      <c r="P272" s="47">
        <f t="shared" si="60"/>
        <v>0</v>
      </c>
      <c r="Q272" s="55">
        <f t="shared" si="66"/>
        <v>0</v>
      </c>
      <c r="R272" s="145">
        <f t="shared" si="61"/>
        <v>70.741830706209669</v>
      </c>
      <c r="S272" s="125">
        <f t="shared" si="62"/>
        <v>-6.8181692937903335</v>
      </c>
      <c r="T272" s="144">
        <f t="shared" si="64"/>
        <v>0</v>
      </c>
      <c r="V272" s="12"/>
    </row>
    <row r="273" spans="1:22" x14ac:dyDescent="0.25">
      <c r="A273" s="49">
        <f>'A) Base RI'!A274</f>
        <v>5872</v>
      </c>
      <c r="B273" s="354" t="str">
        <f>'A) Base RI'!B274</f>
        <v>Le Chenit</v>
      </c>
      <c r="C273" s="407">
        <v>7340747.1085846201</v>
      </c>
      <c r="D273" s="407">
        <v>3722558.4528423506</v>
      </c>
      <c r="E273" s="392">
        <v>0</v>
      </c>
      <c r="F273" s="392">
        <v>0</v>
      </c>
      <c r="G273" s="392">
        <v>0</v>
      </c>
      <c r="H273" s="407">
        <f t="shared" si="63"/>
        <v>11063305.561426971</v>
      </c>
      <c r="I273" s="408">
        <v>269128.75712823507</v>
      </c>
      <c r="J273" s="358">
        <f>'B) D RI'!U274</f>
        <v>236042.78222554145</v>
      </c>
      <c r="K273" s="62">
        <f t="shared" si="65"/>
        <v>41.107853651460601</v>
      </c>
      <c r="L273" s="33">
        <f>'B) D RI'!S274</f>
        <v>66.95</v>
      </c>
      <c r="M273" s="33">
        <f t="shared" si="58"/>
        <v>25.842146348539401</v>
      </c>
      <c r="N273" s="87">
        <f>+'J) Plafonnement effort'!H272+'J) Plafonnement effort'!I272-'K) Plafonnement aide'!I272</f>
        <v>27.154972865710988</v>
      </c>
      <c r="O273" s="125">
        <f t="shared" si="59"/>
        <v>52.99711921425039</v>
      </c>
      <c r="P273" s="47">
        <f t="shared" si="60"/>
        <v>0</v>
      </c>
      <c r="Q273" s="55">
        <f t="shared" si="66"/>
        <v>0</v>
      </c>
      <c r="R273" s="145">
        <f t="shared" si="61"/>
        <v>52.99711921425039</v>
      </c>
      <c r="S273" s="125">
        <f t="shared" si="62"/>
        <v>-13.952880785749613</v>
      </c>
      <c r="T273" s="144">
        <f t="shared" si="64"/>
        <v>0</v>
      </c>
      <c r="V273" s="12"/>
    </row>
    <row r="274" spans="1:22" x14ac:dyDescent="0.25">
      <c r="A274" s="49">
        <f>'A) Base RI'!A275</f>
        <v>5873</v>
      </c>
      <c r="B274" s="354" t="str">
        <f>'A) Base RI'!B275</f>
        <v>Le Lieu</v>
      </c>
      <c r="C274" s="407">
        <v>709807.83668312069</v>
      </c>
      <c r="D274" s="407">
        <v>205567.20095852279</v>
      </c>
      <c r="E274" s="392">
        <v>0</v>
      </c>
      <c r="F274" s="392">
        <v>0</v>
      </c>
      <c r="G274" s="392">
        <v>0</v>
      </c>
      <c r="H274" s="407">
        <f t="shared" si="63"/>
        <v>915375.03764164355</v>
      </c>
      <c r="I274" s="408">
        <v>28965.792761904762</v>
      </c>
      <c r="J274" s="358">
        <f>'B) D RI'!U275</f>
        <v>30440.408392857149</v>
      </c>
      <c r="K274" s="62">
        <f t="shared" si="65"/>
        <v>31.601932844231584</v>
      </c>
      <c r="L274" s="33">
        <f>'B) D RI'!S275</f>
        <v>70</v>
      </c>
      <c r="M274" s="33">
        <f t="shared" si="58"/>
        <v>38.398067155768416</v>
      </c>
      <c r="N274" s="87">
        <f>+'J) Plafonnement effort'!H273+'J) Plafonnement effort'!I273-'K) Plafonnement aide'!I273</f>
        <v>21.579616896647941</v>
      </c>
      <c r="O274" s="125">
        <f t="shared" si="59"/>
        <v>59.977684052416357</v>
      </c>
      <c r="P274" s="47">
        <f t="shared" si="60"/>
        <v>0</v>
      </c>
      <c r="Q274" s="55">
        <f t="shared" si="66"/>
        <v>0</v>
      </c>
      <c r="R274" s="145">
        <f t="shared" si="61"/>
        <v>59.977684052416357</v>
      </c>
      <c r="S274" s="125">
        <f t="shared" si="62"/>
        <v>-10.022315947583643</v>
      </c>
      <c r="T274" s="144">
        <f t="shared" si="64"/>
        <v>0</v>
      </c>
      <c r="V274" s="12"/>
    </row>
    <row r="275" spans="1:22" x14ac:dyDescent="0.25">
      <c r="A275" s="49">
        <f>'A) Base RI'!A276</f>
        <v>5881</v>
      </c>
      <c r="B275" s="354" t="str">
        <f>'A) Base RI'!B276</f>
        <v>Blonay</v>
      </c>
      <c r="C275" s="407">
        <v>7550811.868422417</v>
      </c>
      <c r="D275" s="407">
        <v>4592101.8635547571</v>
      </c>
      <c r="E275" s="392">
        <v>0</v>
      </c>
      <c r="F275" s="392">
        <v>0</v>
      </c>
      <c r="G275" s="392">
        <v>0</v>
      </c>
      <c r="H275" s="407">
        <f t="shared" si="63"/>
        <v>12142913.731977174</v>
      </c>
      <c r="I275" s="408">
        <v>355898.72514285718</v>
      </c>
      <c r="J275" s="358">
        <f>'B) D RI'!U276</f>
        <v>363266.43007299263</v>
      </c>
      <c r="K275" s="62">
        <f t="shared" si="65"/>
        <v>34.119014410919924</v>
      </c>
      <c r="L275" s="33">
        <f>'B) D RI'!S276</f>
        <v>68.5</v>
      </c>
      <c r="M275" s="33">
        <f t="shared" si="58"/>
        <v>34.380985589080076</v>
      </c>
      <c r="N275" s="87">
        <f>+'J) Plafonnement effort'!H274+'J) Plafonnement effort'!I274-'K) Plafonnement aide'!I274</f>
        <v>28.674387593110502</v>
      </c>
      <c r="O275" s="125">
        <f t="shared" si="59"/>
        <v>63.055373182190579</v>
      </c>
      <c r="P275" s="47">
        <f t="shared" si="60"/>
        <v>0</v>
      </c>
      <c r="Q275" s="55">
        <f t="shared" si="66"/>
        <v>0</v>
      </c>
      <c r="R275" s="145">
        <f t="shared" si="61"/>
        <v>63.055373182190579</v>
      </c>
      <c r="S275" s="125">
        <f t="shared" si="62"/>
        <v>-5.4446268178094215</v>
      </c>
      <c r="T275" s="144">
        <f t="shared" si="64"/>
        <v>0</v>
      </c>
      <c r="V275" s="12"/>
    </row>
    <row r="276" spans="1:22" x14ac:dyDescent="0.25">
      <c r="A276" s="49">
        <f>'A) Base RI'!A277</f>
        <v>5882</v>
      </c>
      <c r="B276" s="354" t="str">
        <f>'A) Base RI'!B277</f>
        <v>Chardonne</v>
      </c>
      <c r="C276" s="407">
        <v>4519780.8246623008</v>
      </c>
      <c r="D276" s="407">
        <v>2837656.5213369462</v>
      </c>
      <c r="E276" s="392">
        <v>0</v>
      </c>
      <c r="F276" s="392">
        <v>0</v>
      </c>
      <c r="G276" s="392">
        <v>0</v>
      </c>
      <c r="H276" s="407">
        <f t="shared" si="63"/>
        <v>7357437.3459992465</v>
      </c>
      <c r="I276" s="408">
        <v>184082.76117647055</v>
      </c>
      <c r="J276" s="358">
        <f>'B) D RI'!U277</f>
        <v>179032.37397058826</v>
      </c>
      <c r="K276" s="62">
        <f t="shared" si="65"/>
        <v>39.968095322875207</v>
      </c>
      <c r="L276" s="33">
        <f>'B) D RI'!S277</f>
        <v>68</v>
      </c>
      <c r="M276" s="33">
        <f t="shared" si="58"/>
        <v>28.031904677124793</v>
      </c>
      <c r="N276" s="87">
        <f>+'J) Plafonnement effort'!H275+'J) Plafonnement effort'!I275-'K) Plafonnement aide'!I275</f>
        <v>30.626032892786238</v>
      </c>
      <c r="O276" s="125">
        <f t="shared" si="59"/>
        <v>58.657937569911027</v>
      </c>
      <c r="P276" s="47">
        <f t="shared" si="60"/>
        <v>0</v>
      </c>
      <c r="Q276" s="55">
        <f t="shared" si="66"/>
        <v>0</v>
      </c>
      <c r="R276" s="145">
        <f t="shared" si="61"/>
        <v>58.657937569911027</v>
      </c>
      <c r="S276" s="125">
        <f t="shared" si="62"/>
        <v>-9.3420624300889727</v>
      </c>
      <c r="T276" s="144">
        <f t="shared" si="64"/>
        <v>0</v>
      </c>
      <c r="V276" s="12"/>
    </row>
    <row r="277" spans="1:22" x14ac:dyDescent="0.25">
      <c r="A277" s="49">
        <f>'A) Base RI'!A278</f>
        <v>5883</v>
      </c>
      <c r="B277" s="354" t="str">
        <f>'A) Base RI'!B278</f>
        <v>Corseaux</v>
      </c>
      <c r="C277" s="407">
        <v>3805231.3502226472</v>
      </c>
      <c r="D277" s="407">
        <v>2713875.5727472645</v>
      </c>
      <c r="E277" s="392">
        <v>0</v>
      </c>
      <c r="F277" s="392">
        <v>0</v>
      </c>
      <c r="G277" s="392">
        <v>0</v>
      </c>
      <c r="H277" s="407">
        <f t="shared" si="63"/>
        <v>6519106.9229699112</v>
      </c>
      <c r="I277" s="408">
        <v>164555.95811594205</v>
      </c>
      <c r="J277" s="358">
        <f>'B) D RI'!U278</f>
        <v>167893.40074074076</v>
      </c>
      <c r="K277" s="62">
        <f t="shared" si="65"/>
        <v>39.616352987818956</v>
      </c>
      <c r="L277" s="33">
        <f>'B) D RI'!S278</f>
        <v>67.5</v>
      </c>
      <c r="M277" s="33">
        <f t="shared" si="58"/>
        <v>27.883647012181044</v>
      </c>
      <c r="N277" s="87">
        <f>+'J) Plafonnement effort'!H276+'J) Plafonnement effort'!I276-'K) Plafonnement aide'!I276</f>
        <v>35.678449140446268</v>
      </c>
      <c r="O277" s="125">
        <f t="shared" si="59"/>
        <v>63.562096152627312</v>
      </c>
      <c r="P277" s="47">
        <f t="shared" si="60"/>
        <v>0</v>
      </c>
      <c r="Q277" s="55">
        <f t="shared" si="66"/>
        <v>0</v>
      </c>
      <c r="R277" s="145">
        <f t="shared" si="61"/>
        <v>63.562096152627312</v>
      </c>
      <c r="S277" s="125">
        <f t="shared" si="62"/>
        <v>-3.9379038473726879</v>
      </c>
      <c r="T277" s="144">
        <f t="shared" si="64"/>
        <v>0</v>
      </c>
      <c r="V277" s="12"/>
    </row>
    <row r="278" spans="1:22" x14ac:dyDescent="0.25">
      <c r="A278" s="49">
        <f>'A) Base RI'!A279</f>
        <v>5884</v>
      </c>
      <c r="B278" s="354" t="str">
        <f>'A) Base RI'!B279</f>
        <v>Corsier-sur-Vevey</v>
      </c>
      <c r="C278" s="407">
        <v>2245108.7980423095</v>
      </c>
      <c r="D278" s="407">
        <v>990294.05418044375</v>
      </c>
      <c r="E278" s="392">
        <v>0</v>
      </c>
      <c r="F278" s="392">
        <v>0</v>
      </c>
      <c r="G278" s="392">
        <v>0</v>
      </c>
      <c r="H278" s="407">
        <f t="shared" si="63"/>
        <v>3235402.8522227532</v>
      </c>
      <c r="I278" s="408">
        <v>127106.22217171718</v>
      </c>
      <c r="J278" s="358">
        <f>'B) D RI'!U279</f>
        <v>122170.7416919192</v>
      </c>
      <c r="K278" s="62">
        <f t="shared" si="65"/>
        <v>25.454323139679257</v>
      </c>
      <c r="L278" s="33">
        <f>'B) D RI'!S279</f>
        <v>66</v>
      </c>
      <c r="M278" s="33">
        <f t="shared" si="58"/>
        <v>40.545676860320739</v>
      </c>
      <c r="N278" s="87">
        <f>+'J) Plafonnement effort'!H277+'J) Plafonnement effort'!I277-'K) Plafonnement aide'!I277</f>
        <v>18.669613880191896</v>
      </c>
      <c r="O278" s="125">
        <f t="shared" si="59"/>
        <v>59.215290740512636</v>
      </c>
      <c r="P278" s="47">
        <f t="shared" si="60"/>
        <v>0</v>
      </c>
      <c r="Q278" s="55">
        <f t="shared" si="66"/>
        <v>0</v>
      </c>
      <c r="R278" s="145">
        <f t="shared" si="61"/>
        <v>59.215290740512636</v>
      </c>
      <c r="S278" s="125">
        <f t="shared" si="62"/>
        <v>-6.7847092594873644</v>
      </c>
      <c r="T278" s="144">
        <f t="shared" si="64"/>
        <v>0</v>
      </c>
      <c r="V278" s="12"/>
    </row>
    <row r="279" spans="1:22" x14ac:dyDescent="0.25">
      <c r="A279" s="49">
        <f>'A) Base RI'!A280</f>
        <v>5885</v>
      </c>
      <c r="B279" s="354" t="str">
        <f>'A) Base RI'!B280</f>
        <v>Jongny</v>
      </c>
      <c r="C279" s="407">
        <v>1546213.8518320988</v>
      </c>
      <c r="D279" s="407">
        <v>1265957.7758380305</v>
      </c>
      <c r="E279" s="392">
        <v>0</v>
      </c>
      <c r="F279" s="392">
        <v>0</v>
      </c>
      <c r="G279" s="392">
        <v>0</v>
      </c>
      <c r="H279" s="407">
        <f t="shared" si="63"/>
        <v>2812171.6276701293</v>
      </c>
      <c r="I279" s="408">
        <v>79120.74528169015</v>
      </c>
      <c r="J279" s="358">
        <f>'B) D RI'!U280</f>
        <v>85101.213069544348</v>
      </c>
      <c r="K279" s="62">
        <f t="shared" si="65"/>
        <v>35.542784862024199</v>
      </c>
      <c r="L279" s="33">
        <f>'B) D RI'!S280</f>
        <v>69.5</v>
      </c>
      <c r="M279" s="33">
        <f t="shared" si="58"/>
        <v>33.957215137975801</v>
      </c>
      <c r="N279" s="87">
        <f>+'J) Plafonnement effort'!H278+'J) Plafonnement effort'!I278-'K) Plafonnement aide'!I278</f>
        <v>29.733877797927434</v>
      </c>
      <c r="O279" s="125">
        <f t="shared" si="59"/>
        <v>63.691092935903235</v>
      </c>
      <c r="P279" s="47">
        <f t="shared" si="60"/>
        <v>0</v>
      </c>
      <c r="Q279" s="55">
        <f t="shared" si="66"/>
        <v>0</v>
      </c>
      <c r="R279" s="145">
        <f t="shared" si="61"/>
        <v>63.691092935903235</v>
      </c>
      <c r="S279" s="125">
        <f t="shared" si="62"/>
        <v>-5.8089070640967648</v>
      </c>
      <c r="T279" s="144">
        <f t="shared" si="64"/>
        <v>0</v>
      </c>
      <c r="V279" s="12"/>
    </row>
    <row r="280" spans="1:22" x14ac:dyDescent="0.25">
      <c r="A280" s="49">
        <f>'A) Base RI'!A281</f>
        <v>5886</v>
      </c>
      <c r="B280" s="354" t="str">
        <f>'A) Base RI'!B281</f>
        <v>Montreux</v>
      </c>
      <c r="C280" s="407">
        <v>24889310.001661122</v>
      </c>
      <c r="D280" s="407">
        <v>-94803.718430891633</v>
      </c>
      <c r="E280" s="392">
        <v>0</v>
      </c>
      <c r="F280" s="392">
        <v>0</v>
      </c>
      <c r="G280" s="392">
        <v>0</v>
      </c>
      <c r="H280" s="407">
        <f t="shared" si="63"/>
        <v>24794506.28323023</v>
      </c>
      <c r="I280" s="408">
        <v>1142059.586051282</v>
      </c>
      <c r="J280" s="358">
        <f>'B) D RI'!U281</f>
        <v>1097075.3945128203</v>
      </c>
      <c r="K280" s="62">
        <f t="shared" si="65"/>
        <v>21.710343826243125</v>
      </c>
      <c r="L280" s="33">
        <f>'B) D RI'!S281</f>
        <v>65</v>
      </c>
      <c r="M280" s="33">
        <f t="shared" si="58"/>
        <v>43.289656173756875</v>
      </c>
      <c r="N280" s="87">
        <f>+'J) Plafonnement effort'!H279+'J) Plafonnement effort'!I279-'K) Plafonnement aide'!I279</f>
        <v>11.176470232264007</v>
      </c>
      <c r="O280" s="125">
        <f t="shared" si="59"/>
        <v>54.466126406020884</v>
      </c>
      <c r="P280" s="47">
        <f t="shared" si="60"/>
        <v>0</v>
      </c>
      <c r="Q280" s="55">
        <f t="shared" si="66"/>
        <v>0</v>
      </c>
      <c r="R280" s="145">
        <f t="shared" si="61"/>
        <v>54.466126406020884</v>
      </c>
      <c r="S280" s="125">
        <f t="shared" si="62"/>
        <v>-10.533873593979116</v>
      </c>
      <c r="T280" s="144">
        <f t="shared" si="64"/>
        <v>0</v>
      </c>
      <c r="V280" s="12"/>
    </row>
    <row r="281" spans="1:22" x14ac:dyDescent="0.25">
      <c r="A281" s="49">
        <f>'A) Base RI'!A282</f>
        <v>5888</v>
      </c>
      <c r="B281" s="354" t="str">
        <f>'A) Base RI'!B282</f>
        <v>Saint-Légier-La Chiésaz</v>
      </c>
      <c r="C281" s="407">
        <v>7471028.40582739</v>
      </c>
      <c r="D281" s="407">
        <v>4786531.1145380586</v>
      </c>
      <c r="E281" s="392">
        <v>0</v>
      </c>
      <c r="F281" s="392">
        <v>0</v>
      </c>
      <c r="G281" s="392">
        <v>0</v>
      </c>
      <c r="H281" s="407">
        <f t="shared" si="63"/>
        <v>12257559.520365449</v>
      </c>
      <c r="I281" s="408">
        <v>338249.0701666667</v>
      </c>
      <c r="J281" s="358">
        <f>'B) D RI'!U282</f>
        <v>325579.73326034058</v>
      </c>
      <c r="K281" s="62">
        <f t="shared" si="65"/>
        <v>36.238265235513396</v>
      </c>
      <c r="L281" s="33">
        <f>'B) D RI'!S282</f>
        <v>68.5</v>
      </c>
      <c r="M281" s="33">
        <f t="shared" si="58"/>
        <v>32.261734764486604</v>
      </c>
      <c r="N281" s="87">
        <f>+'J) Plafonnement effort'!H280+'J) Plafonnement effort'!I280-'K) Plafonnement aide'!I280</f>
        <v>29.290377734537209</v>
      </c>
      <c r="O281" s="125">
        <f t="shared" si="59"/>
        <v>61.552112499023814</v>
      </c>
      <c r="P281" s="47">
        <f t="shared" si="60"/>
        <v>0</v>
      </c>
      <c r="Q281" s="55">
        <f t="shared" si="66"/>
        <v>0</v>
      </c>
      <c r="R281" s="145">
        <f t="shared" si="61"/>
        <v>61.552112499023814</v>
      </c>
      <c r="S281" s="125">
        <f t="shared" si="62"/>
        <v>-6.9478875009761865</v>
      </c>
      <c r="T281" s="144">
        <f t="shared" si="64"/>
        <v>0</v>
      </c>
      <c r="V281" s="12"/>
    </row>
    <row r="282" spans="1:22" x14ac:dyDescent="0.25">
      <c r="A282" s="49">
        <f>'A) Base RI'!A283</f>
        <v>5889</v>
      </c>
      <c r="B282" s="354" t="str">
        <f>'A) Base RI'!B283</f>
        <v>La Tour-de-Peilz</v>
      </c>
      <c r="C282" s="407">
        <v>13955976.078285433</v>
      </c>
      <c r="D282" s="407">
        <v>7138995.1048888732</v>
      </c>
      <c r="E282" s="392">
        <v>0</v>
      </c>
      <c r="F282" s="392">
        <v>0</v>
      </c>
      <c r="G282" s="392">
        <v>0</v>
      </c>
      <c r="H282" s="407">
        <f t="shared" si="63"/>
        <v>21094971.183174305</v>
      </c>
      <c r="I282" s="408">
        <v>693156.74124999996</v>
      </c>
      <c r="J282" s="358">
        <f>'B) D RI'!U283</f>
        <v>675962.70015625004</v>
      </c>
      <c r="K282" s="62">
        <f t="shared" si="65"/>
        <v>30.43319054379074</v>
      </c>
      <c r="L282" s="33">
        <f>'B) D RI'!S283</f>
        <v>64</v>
      </c>
      <c r="M282" s="33">
        <f t="shared" si="58"/>
        <v>33.566809456209256</v>
      </c>
      <c r="N282" s="87">
        <f>+'J) Plafonnement effort'!H281+'J) Plafonnement effort'!I281-'K) Plafonnement aide'!I281</f>
        <v>24.866468102561608</v>
      </c>
      <c r="O282" s="125">
        <f t="shared" si="59"/>
        <v>58.433277558770868</v>
      </c>
      <c r="P282" s="47">
        <f t="shared" si="60"/>
        <v>0</v>
      </c>
      <c r="Q282" s="55">
        <f t="shared" si="66"/>
        <v>0</v>
      </c>
      <c r="R282" s="145">
        <f t="shared" si="61"/>
        <v>58.433277558770868</v>
      </c>
      <c r="S282" s="125">
        <f t="shared" si="62"/>
        <v>-5.5667224412291318</v>
      </c>
      <c r="T282" s="144">
        <f t="shared" si="64"/>
        <v>0</v>
      </c>
      <c r="V282" s="12"/>
    </row>
    <row r="283" spans="1:22" x14ac:dyDescent="0.25">
      <c r="A283" s="49">
        <f>'A) Base RI'!A284</f>
        <v>5890</v>
      </c>
      <c r="B283" s="354" t="str">
        <f>'A) Base RI'!B284</f>
        <v>Vevey</v>
      </c>
      <c r="C283" s="407">
        <v>16686685.000984279</v>
      </c>
      <c r="D283" s="407">
        <v>4578881.5522728469</v>
      </c>
      <c r="E283" s="392">
        <v>0</v>
      </c>
      <c r="F283" s="392">
        <v>0</v>
      </c>
      <c r="G283" s="392">
        <v>0</v>
      </c>
      <c r="H283" s="407">
        <f t="shared" si="63"/>
        <v>21265566.553257126</v>
      </c>
      <c r="I283" s="408">
        <v>976839.63723684219</v>
      </c>
      <c r="J283" s="358">
        <f>'B) D RI'!U284</f>
        <v>862625.86017897108</v>
      </c>
      <c r="K283" s="62">
        <f t="shared" si="65"/>
        <v>21.769762141727188</v>
      </c>
      <c r="L283" s="33">
        <f>'B) D RI'!S284</f>
        <v>74.5</v>
      </c>
      <c r="M283" s="33">
        <f t="shared" si="58"/>
        <v>52.730237858272815</v>
      </c>
      <c r="N283" s="87">
        <f>+'J) Plafonnement effort'!H282+'J) Plafonnement effort'!I282-'K) Plafonnement aide'!I282</f>
        <v>13.823079879972235</v>
      </c>
      <c r="O283" s="125">
        <f t="shared" si="59"/>
        <v>66.553317738245056</v>
      </c>
      <c r="P283" s="47">
        <f t="shared" si="60"/>
        <v>0</v>
      </c>
      <c r="Q283" s="55">
        <f t="shared" si="66"/>
        <v>0</v>
      </c>
      <c r="R283" s="145">
        <f t="shared" si="61"/>
        <v>66.553317738245056</v>
      </c>
      <c r="S283" s="125">
        <f t="shared" si="62"/>
        <v>-7.946682261754944</v>
      </c>
      <c r="T283" s="144">
        <f t="shared" si="64"/>
        <v>0</v>
      </c>
      <c r="V283" s="12"/>
    </row>
    <row r="284" spans="1:22" x14ac:dyDescent="0.25">
      <c r="A284" s="49">
        <f>'A) Base RI'!A285</f>
        <v>5891</v>
      </c>
      <c r="B284" s="354" t="str">
        <f>'A) Base RI'!B285</f>
        <v>Veytaux</v>
      </c>
      <c r="C284" s="407">
        <v>657131.67224249791</v>
      </c>
      <c r="D284" s="407">
        <v>503611.80047016119</v>
      </c>
      <c r="E284" s="392">
        <v>0</v>
      </c>
      <c r="F284" s="392">
        <v>0</v>
      </c>
      <c r="G284" s="392">
        <v>0</v>
      </c>
      <c r="H284" s="407">
        <f t="shared" si="63"/>
        <v>1160743.472712659</v>
      </c>
      <c r="I284" s="408">
        <v>37197.97126760563</v>
      </c>
      <c r="J284" s="358">
        <f>'B) D RI'!U285</f>
        <v>43950.38565947242</v>
      </c>
      <c r="K284" s="62">
        <f t="shared" si="65"/>
        <v>31.204483286525591</v>
      </c>
      <c r="L284" s="33">
        <f>'B) D RI'!S285</f>
        <v>69.5</v>
      </c>
      <c r="M284" s="33">
        <f t="shared" si="58"/>
        <v>38.295516713474413</v>
      </c>
      <c r="N284" s="87">
        <f>+'J) Plafonnement effort'!H283+'J) Plafonnement effort'!I283-'K) Plafonnement aide'!I283</f>
        <v>29.539998752918237</v>
      </c>
      <c r="O284" s="125">
        <f t="shared" si="59"/>
        <v>67.83551546639265</v>
      </c>
      <c r="P284" s="47">
        <f t="shared" si="60"/>
        <v>0</v>
      </c>
      <c r="Q284" s="55">
        <f t="shared" si="66"/>
        <v>0</v>
      </c>
      <c r="R284" s="145">
        <f t="shared" si="61"/>
        <v>67.83551546639265</v>
      </c>
      <c r="S284" s="125">
        <f t="shared" si="62"/>
        <v>-1.6644845336073502</v>
      </c>
      <c r="T284" s="144">
        <f t="shared" si="64"/>
        <v>0</v>
      </c>
      <c r="V284" s="12"/>
    </row>
    <row r="285" spans="1:22" x14ac:dyDescent="0.25">
      <c r="A285" s="49">
        <f>'A) Base RI'!A286</f>
        <v>5902</v>
      </c>
      <c r="B285" s="354" t="str">
        <f>'A) Base RI'!B286</f>
        <v>Belmont-sur-Yverdon</v>
      </c>
      <c r="C285" s="407">
        <v>385873.34319812362</v>
      </c>
      <c r="D285" s="407">
        <v>12053.712463275122</v>
      </c>
      <c r="E285" s="392">
        <v>0</v>
      </c>
      <c r="F285" s="392">
        <v>0</v>
      </c>
      <c r="G285" s="392">
        <v>-45319.162017875293</v>
      </c>
      <c r="H285" s="407">
        <f t="shared" si="63"/>
        <v>352607.89364352345</v>
      </c>
      <c r="I285" s="408">
        <v>10777.690131578949</v>
      </c>
      <c r="J285" s="358">
        <f>'B) D RI'!U286</f>
        <v>11749.165714285717</v>
      </c>
      <c r="K285" s="62">
        <f t="shared" si="65"/>
        <v>32.716462371688714</v>
      </c>
      <c r="L285" s="33">
        <f>'B) D RI'!S286</f>
        <v>70</v>
      </c>
      <c r="M285" s="33">
        <f t="shared" si="58"/>
        <v>37.283537628311286</v>
      </c>
      <c r="N285" s="87">
        <f>+'J) Plafonnement effort'!H284+'J) Plafonnement effort'!I284-'K) Plafonnement aide'!I284</f>
        <v>16.724882761421245</v>
      </c>
      <c r="O285" s="125">
        <f t="shared" si="59"/>
        <v>54.008420389732535</v>
      </c>
      <c r="P285" s="47">
        <f t="shared" si="60"/>
        <v>0</v>
      </c>
      <c r="Q285" s="55">
        <f t="shared" si="66"/>
        <v>0</v>
      </c>
      <c r="R285" s="145">
        <f t="shared" si="61"/>
        <v>54.008420389732535</v>
      </c>
      <c r="S285" s="125">
        <f t="shared" si="62"/>
        <v>-15.991579610267465</v>
      </c>
      <c r="T285" s="144">
        <f t="shared" si="64"/>
        <v>0</v>
      </c>
      <c r="V285" s="12"/>
    </row>
    <row r="286" spans="1:22" x14ac:dyDescent="0.25">
      <c r="A286" s="49">
        <f>'A) Base RI'!A287</f>
        <v>5903</v>
      </c>
      <c r="B286" s="354" t="str">
        <f>'A) Base RI'!B287</f>
        <v>Bioley-Magnoux</v>
      </c>
      <c r="C286" s="407">
        <v>102735.50322359994</v>
      </c>
      <c r="D286" s="407">
        <v>8655.0740067920851</v>
      </c>
      <c r="E286" s="392">
        <v>0</v>
      </c>
      <c r="F286" s="392">
        <v>0</v>
      </c>
      <c r="G286" s="392">
        <v>0</v>
      </c>
      <c r="H286" s="407">
        <f t="shared" si="63"/>
        <v>111390.57723039202</v>
      </c>
      <c r="I286" s="408">
        <v>6482.7722393822396</v>
      </c>
      <c r="J286" s="358">
        <f>'B) D RI'!U287</f>
        <v>5017.2132738095233</v>
      </c>
      <c r="K286" s="62">
        <f t="shared" si="65"/>
        <v>17.182552944511084</v>
      </c>
      <c r="L286" s="33">
        <f>'B) D RI'!S287</f>
        <v>72</v>
      </c>
      <c r="M286" s="33">
        <f t="shared" si="58"/>
        <v>54.817447055488913</v>
      </c>
      <c r="N286" s="87">
        <f>+'J) Plafonnement effort'!H285+'J) Plafonnement effort'!I285-'K) Plafonnement aide'!I285</f>
        <v>2.3482523525658086</v>
      </c>
      <c r="O286" s="125">
        <f t="shared" si="59"/>
        <v>57.165699408054721</v>
      </c>
      <c r="P286" s="47">
        <f t="shared" si="60"/>
        <v>0</v>
      </c>
      <c r="Q286" s="55">
        <f t="shared" si="66"/>
        <v>0</v>
      </c>
      <c r="R286" s="145">
        <f t="shared" si="61"/>
        <v>57.165699408054721</v>
      </c>
      <c r="S286" s="125">
        <f t="shared" si="62"/>
        <v>-14.834300591945279</v>
      </c>
      <c r="T286" s="144">
        <f t="shared" si="64"/>
        <v>0</v>
      </c>
      <c r="V286" s="12"/>
    </row>
    <row r="287" spans="1:22" x14ac:dyDescent="0.25">
      <c r="A287" s="49">
        <f>'A) Base RI'!A288</f>
        <v>5904</v>
      </c>
      <c r="B287" s="354" t="str">
        <f>'A) Base RI'!B288</f>
        <v>Chamblon</v>
      </c>
      <c r="C287" s="407">
        <v>349310.58205497119</v>
      </c>
      <c r="D287" s="407">
        <v>312008.90521760349</v>
      </c>
      <c r="E287" s="392">
        <v>0</v>
      </c>
      <c r="F287" s="392">
        <v>0</v>
      </c>
      <c r="G287" s="392">
        <v>0</v>
      </c>
      <c r="H287" s="407">
        <f t="shared" si="63"/>
        <v>661319.48727257468</v>
      </c>
      <c r="I287" s="408">
        <v>21977.410303030305</v>
      </c>
      <c r="J287" s="358">
        <f>'B) D RI'!U288</f>
        <v>21694.056363636359</v>
      </c>
      <c r="K287" s="62">
        <f t="shared" si="65"/>
        <v>30.090874136403148</v>
      </c>
      <c r="L287" s="33">
        <f>'B) D RI'!S288</f>
        <v>66</v>
      </c>
      <c r="M287" s="33">
        <f t="shared" si="58"/>
        <v>35.909125863596856</v>
      </c>
      <c r="N287" s="87">
        <f>+'J) Plafonnement effort'!H286+'J) Plafonnement effort'!I286-'K) Plafonnement aide'!I286</f>
        <v>25.752389920534061</v>
      </c>
      <c r="O287" s="125">
        <f t="shared" si="59"/>
        <v>61.661515784130913</v>
      </c>
      <c r="P287" s="47">
        <f t="shared" si="60"/>
        <v>0</v>
      </c>
      <c r="Q287" s="55">
        <f t="shared" si="66"/>
        <v>0</v>
      </c>
      <c r="R287" s="145">
        <f t="shared" si="61"/>
        <v>61.661515784130913</v>
      </c>
      <c r="S287" s="125">
        <f t="shared" si="62"/>
        <v>-4.3384842158690873</v>
      </c>
      <c r="T287" s="144">
        <f t="shared" si="64"/>
        <v>0</v>
      </c>
      <c r="V287" s="12"/>
    </row>
    <row r="288" spans="1:22" x14ac:dyDescent="0.25">
      <c r="A288" s="49">
        <f>'A) Base RI'!A289</f>
        <v>5905</v>
      </c>
      <c r="B288" s="354" t="str">
        <f>'A) Base RI'!B289</f>
        <v>Champvent</v>
      </c>
      <c r="C288" s="407">
        <v>524215.59171682061</v>
      </c>
      <c r="D288" s="407">
        <v>211032.53575112729</v>
      </c>
      <c r="E288" s="392">
        <v>0</v>
      </c>
      <c r="F288" s="392">
        <v>0</v>
      </c>
      <c r="G288" s="392">
        <v>0</v>
      </c>
      <c r="H288" s="407">
        <f t="shared" si="63"/>
        <v>735248.1274679479</v>
      </c>
      <c r="I288" s="408">
        <v>23661.341690140842</v>
      </c>
      <c r="J288" s="358">
        <f>'B) D RI'!U289</f>
        <v>21622.169859154932</v>
      </c>
      <c r="K288" s="62">
        <f t="shared" si="65"/>
        <v>31.073813864676556</v>
      </c>
      <c r="L288" s="33">
        <f>'B) D RI'!S289</f>
        <v>71</v>
      </c>
      <c r="M288" s="33">
        <f t="shared" si="58"/>
        <v>39.926186135323448</v>
      </c>
      <c r="N288" s="87">
        <f>+'J) Plafonnement effort'!H287+'J) Plafonnement effort'!I287-'K) Plafonnement aide'!I287</f>
        <v>18.036352179408038</v>
      </c>
      <c r="O288" s="125">
        <f t="shared" si="59"/>
        <v>57.962538314731489</v>
      </c>
      <c r="P288" s="47">
        <f t="shared" si="60"/>
        <v>0</v>
      </c>
      <c r="Q288" s="55">
        <f t="shared" si="66"/>
        <v>0</v>
      </c>
      <c r="R288" s="145">
        <f t="shared" si="61"/>
        <v>57.962538314731489</v>
      </c>
      <c r="S288" s="125">
        <f t="shared" si="62"/>
        <v>-13.037461685268511</v>
      </c>
      <c r="T288" s="144">
        <f t="shared" si="64"/>
        <v>0</v>
      </c>
      <c r="V288" s="12"/>
    </row>
    <row r="289" spans="1:22" x14ac:dyDescent="0.25">
      <c r="A289" s="49">
        <f>'A) Base RI'!A290</f>
        <v>5907</v>
      </c>
      <c r="B289" s="354" t="str">
        <f>'A) Base RI'!B290</f>
        <v>Chavannes-le-Chêne</v>
      </c>
      <c r="C289" s="407">
        <v>144803.43237457945</v>
      </c>
      <c r="D289" s="407">
        <v>25981.069086945907</v>
      </c>
      <c r="E289" s="392">
        <v>0</v>
      </c>
      <c r="F289" s="392">
        <v>0</v>
      </c>
      <c r="G289" s="392">
        <v>0</v>
      </c>
      <c r="H289" s="407">
        <f t="shared" si="63"/>
        <v>170784.50146152536</v>
      </c>
      <c r="I289" s="408">
        <v>9481.5466666666634</v>
      </c>
      <c r="J289" s="358">
        <f>'B) D RI'!U290</f>
        <v>9891.0456000000013</v>
      </c>
      <c r="K289" s="62">
        <f t="shared" si="65"/>
        <v>18.012304053929888</v>
      </c>
      <c r="L289" s="33">
        <f>'B) D RI'!S290</f>
        <v>75</v>
      </c>
      <c r="M289" s="33">
        <f t="shared" si="58"/>
        <v>56.987695946070112</v>
      </c>
      <c r="N289" s="87">
        <f>+'J) Plafonnement effort'!H288+'J) Plafonnement effort'!I288-'K) Plafonnement aide'!I288</f>
        <v>16.058565874604</v>
      </c>
      <c r="O289" s="125">
        <f t="shared" si="59"/>
        <v>73.046261820674118</v>
      </c>
      <c r="P289" s="47">
        <f t="shared" si="60"/>
        <v>0</v>
      </c>
      <c r="Q289" s="55">
        <f t="shared" si="66"/>
        <v>0</v>
      </c>
      <c r="R289" s="145">
        <f t="shared" si="61"/>
        <v>73.046261820674118</v>
      </c>
      <c r="S289" s="125">
        <f t="shared" si="62"/>
        <v>-1.9537381793258817</v>
      </c>
      <c r="T289" s="144">
        <f t="shared" si="64"/>
        <v>0</v>
      </c>
      <c r="V289" s="12"/>
    </row>
    <row r="290" spans="1:22" x14ac:dyDescent="0.25">
      <c r="A290" s="49">
        <f>'A) Base RI'!A291</f>
        <v>5908</v>
      </c>
      <c r="B290" s="354" t="str">
        <f>'A) Base RI'!B291</f>
        <v>Chêne-Pâquier</v>
      </c>
      <c r="C290" s="407">
        <v>51924.688683510503</v>
      </c>
      <c r="D290" s="407">
        <v>-46448.09879836702</v>
      </c>
      <c r="E290" s="392">
        <v>0</v>
      </c>
      <c r="F290" s="392">
        <v>0</v>
      </c>
      <c r="G290" s="392">
        <v>0</v>
      </c>
      <c r="H290" s="407">
        <f t="shared" si="63"/>
        <v>5476.5898851434831</v>
      </c>
      <c r="I290" s="408">
        <v>3375.4056962025325</v>
      </c>
      <c r="J290" s="358">
        <f>'B) D RI'!U291</f>
        <v>6502.4863291139245</v>
      </c>
      <c r="K290" s="62">
        <f t="shared" si="65"/>
        <v>1.6224982648174315</v>
      </c>
      <c r="L290" s="33">
        <f>'B) D RI'!S291</f>
        <v>79</v>
      </c>
      <c r="M290" s="33">
        <f>L290-K290</f>
        <v>77.377501735182562</v>
      </c>
      <c r="N290" s="87">
        <f>+'J) Plafonnement effort'!H289+'J) Plafonnement effort'!I289-'K) Plafonnement aide'!I289</f>
        <v>28.745632688979047</v>
      </c>
      <c r="O290" s="125">
        <f t="shared" si="59"/>
        <v>106.12313442416161</v>
      </c>
      <c r="P290" s="47">
        <f t="shared" si="60"/>
        <v>-12.22275240936105</v>
      </c>
      <c r="Q290" s="55">
        <f t="shared" si="66"/>
        <v>-79478.280446014513</v>
      </c>
      <c r="R290" s="145">
        <f t="shared" si="61"/>
        <v>93.900382014800556</v>
      </c>
      <c r="S290" s="125">
        <f t="shared" si="62"/>
        <v>14.900382014800556</v>
      </c>
      <c r="T290" s="144">
        <f t="shared" si="64"/>
        <v>0</v>
      </c>
      <c r="V290" s="12"/>
    </row>
    <row r="291" spans="1:22" x14ac:dyDescent="0.25">
      <c r="A291" s="49">
        <f>'A) Base RI'!A292</f>
        <v>5909</v>
      </c>
      <c r="B291" s="354" t="str">
        <f>'A) Base RI'!B292</f>
        <v>Cheseaux-Noréaz</v>
      </c>
      <c r="C291" s="407">
        <v>586823.87853651529</v>
      </c>
      <c r="D291" s="407">
        <v>520888.34346467338</v>
      </c>
      <c r="E291" s="392">
        <v>0</v>
      </c>
      <c r="F291" s="392">
        <v>0</v>
      </c>
      <c r="G291" s="392">
        <v>0</v>
      </c>
      <c r="H291" s="407">
        <f t="shared" si="63"/>
        <v>1107712.2220011887</v>
      </c>
      <c r="I291" s="408">
        <v>32349.342000000001</v>
      </c>
      <c r="J291" s="358">
        <f>'B) D RI'!U292</f>
        <v>39259.116417910453</v>
      </c>
      <c r="K291" s="62">
        <f t="shared" si="65"/>
        <v>34.242187120875244</v>
      </c>
      <c r="L291" s="33">
        <f>'B) D RI'!S292</f>
        <v>67</v>
      </c>
      <c r="M291" s="33">
        <f t="shared" si="58"/>
        <v>32.757812879124756</v>
      </c>
      <c r="N291" s="87">
        <f>+'J) Plafonnement effort'!H290+'J) Plafonnement effort'!I290-'K) Plafonnement aide'!I290</f>
        <v>32.040144928130161</v>
      </c>
      <c r="O291" s="125">
        <f t="shared" si="59"/>
        <v>64.797957807254917</v>
      </c>
      <c r="P291" s="47">
        <f t="shared" si="60"/>
        <v>0</v>
      </c>
      <c r="Q291" s="55">
        <f t="shared" si="66"/>
        <v>0</v>
      </c>
      <c r="R291" s="145">
        <f t="shared" si="61"/>
        <v>64.797957807254917</v>
      </c>
      <c r="S291" s="125">
        <f t="shared" si="62"/>
        <v>-2.2020421927450826</v>
      </c>
      <c r="T291" s="144">
        <f t="shared" si="64"/>
        <v>0</v>
      </c>
      <c r="V291" s="12"/>
    </row>
    <row r="292" spans="1:22" x14ac:dyDescent="0.25">
      <c r="A292" s="49">
        <f>'A) Base RI'!A293</f>
        <v>5910</v>
      </c>
      <c r="B292" s="354" t="str">
        <f>'A) Base RI'!B293</f>
        <v>Cronay</v>
      </c>
      <c r="C292" s="407">
        <v>226686.41271492222</v>
      </c>
      <c r="D292" s="407">
        <v>-52161.656123398512</v>
      </c>
      <c r="E292" s="392">
        <v>0</v>
      </c>
      <c r="F292" s="392">
        <v>0</v>
      </c>
      <c r="G292" s="392">
        <v>0</v>
      </c>
      <c r="H292" s="407">
        <f t="shared" si="63"/>
        <v>174524.75659152371</v>
      </c>
      <c r="I292" s="408">
        <v>10200.577848101264</v>
      </c>
      <c r="J292" s="358">
        <f>'B) D RI'!U293</f>
        <v>9976.0020779220758</v>
      </c>
      <c r="K292" s="62">
        <f t="shared" si="65"/>
        <v>17.109300981807589</v>
      </c>
      <c r="L292" s="33">
        <f>'B) D RI'!S293</f>
        <v>77</v>
      </c>
      <c r="M292" s="33">
        <f t="shared" ref="M292:M314" si="67">L292-K292</f>
        <v>59.890699018192407</v>
      </c>
      <c r="N292" s="87">
        <f>+'J) Plafonnement effort'!H291+'J) Plafonnement effort'!I291-'K) Plafonnement aide'!I291</f>
        <v>6.9244131006229459</v>
      </c>
      <c r="O292" s="125">
        <f t="shared" si="59"/>
        <v>66.81511211881535</v>
      </c>
      <c r="P292" s="47">
        <f t="shared" si="60"/>
        <v>0</v>
      </c>
      <c r="Q292" s="55">
        <f t="shared" si="66"/>
        <v>0</v>
      </c>
      <c r="R292" s="145">
        <f t="shared" si="61"/>
        <v>66.81511211881535</v>
      </c>
      <c r="S292" s="125">
        <f t="shared" si="62"/>
        <v>-10.18488788118465</v>
      </c>
      <c r="T292" s="144">
        <f t="shared" si="64"/>
        <v>0</v>
      </c>
      <c r="V292" s="12"/>
    </row>
    <row r="293" spans="1:22" x14ac:dyDescent="0.25">
      <c r="A293" s="49">
        <f>'A) Base RI'!A294</f>
        <v>5911</v>
      </c>
      <c r="B293" s="354" t="str">
        <f>'A) Base RI'!B294</f>
        <v>Cuarny</v>
      </c>
      <c r="C293" s="407">
        <v>107482.91467349989</v>
      </c>
      <c r="D293" s="407">
        <v>42112.325316297269</v>
      </c>
      <c r="E293" s="392">
        <v>0</v>
      </c>
      <c r="F293" s="392">
        <v>0</v>
      </c>
      <c r="G293" s="392">
        <v>0</v>
      </c>
      <c r="H293" s="407">
        <f t="shared" si="63"/>
        <v>149595.23998979718</v>
      </c>
      <c r="I293" s="408">
        <v>7836.9853164556971</v>
      </c>
      <c r="J293" s="358">
        <f>'B) D RI'!U294</f>
        <v>6939.596883116883</v>
      </c>
      <c r="K293" s="62">
        <f t="shared" si="65"/>
        <v>19.088365481007706</v>
      </c>
      <c r="L293" s="33">
        <f>'B) D RI'!S294</f>
        <v>77</v>
      </c>
      <c r="M293" s="33">
        <f t="shared" si="67"/>
        <v>57.911634518992294</v>
      </c>
      <c r="N293" s="87">
        <f>+'J) Plafonnement effort'!H292+'J) Plafonnement effort'!I292-'K) Plafonnement aide'!I292</f>
        <v>14.131141444445777</v>
      </c>
      <c r="O293" s="125">
        <f t="shared" si="59"/>
        <v>72.042775963438075</v>
      </c>
      <c r="P293" s="47">
        <f t="shared" si="60"/>
        <v>0</v>
      </c>
      <c r="Q293" s="55">
        <f t="shared" si="66"/>
        <v>0</v>
      </c>
      <c r="R293" s="145">
        <f t="shared" si="61"/>
        <v>72.042775963438075</v>
      </c>
      <c r="S293" s="125">
        <f t="shared" si="62"/>
        <v>-4.9572240365619251</v>
      </c>
      <c r="T293" s="144">
        <f t="shared" si="64"/>
        <v>0</v>
      </c>
      <c r="V293" s="12"/>
    </row>
    <row r="294" spans="1:22" x14ac:dyDescent="0.25">
      <c r="A294" s="49">
        <f>'A) Base RI'!A295</f>
        <v>5912</v>
      </c>
      <c r="B294" s="354" t="str">
        <f>'A) Base RI'!B295</f>
        <v>Démoret</v>
      </c>
      <c r="C294" s="407">
        <v>58257.568193833831</v>
      </c>
      <c r="D294" s="407">
        <v>-28221.860710228822</v>
      </c>
      <c r="E294" s="392">
        <v>0</v>
      </c>
      <c r="F294" s="392">
        <v>0</v>
      </c>
      <c r="G294" s="392">
        <v>0</v>
      </c>
      <c r="H294" s="407">
        <f t="shared" si="63"/>
        <v>30035.707483605009</v>
      </c>
      <c r="I294" s="408">
        <v>3965.4814814814822</v>
      </c>
      <c r="J294" s="358">
        <f>'B) D RI'!U295</f>
        <v>4059.5274074074073</v>
      </c>
      <c r="K294" s="62">
        <f t="shared" si="65"/>
        <v>7.5742901899478374</v>
      </c>
      <c r="L294" s="33">
        <f>'B) D RI'!S295</f>
        <v>81</v>
      </c>
      <c r="M294" s="33">
        <f t="shared" si="67"/>
        <v>73.425709810052169</v>
      </c>
      <c r="N294" s="87">
        <f>+'J) Plafonnement effort'!H293+'J) Plafonnement effort'!I293-'K) Plafonnement aide'!I293</f>
        <v>5.3075429266813732</v>
      </c>
      <c r="O294" s="125">
        <f t="shared" si="59"/>
        <v>78.733252736733547</v>
      </c>
      <c r="P294" s="47">
        <f t="shared" si="60"/>
        <v>0</v>
      </c>
      <c r="Q294" s="55">
        <f t="shared" si="66"/>
        <v>0</v>
      </c>
      <c r="R294" s="145">
        <f t="shared" si="61"/>
        <v>78.733252736733547</v>
      </c>
      <c r="S294" s="125">
        <f t="shared" si="62"/>
        <v>-2.2667472632664527</v>
      </c>
      <c r="T294" s="144">
        <f t="shared" si="64"/>
        <v>0</v>
      </c>
      <c r="V294" s="12"/>
    </row>
    <row r="295" spans="1:22" x14ac:dyDescent="0.25">
      <c r="A295" s="49">
        <f>'A) Base RI'!A296</f>
        <v>5913</v>
      </c>
      <c r="B295" s="354" t="str">
        <f>'A) Base RI'!B296</f>
        <v>Donneloye</v>
      </c>
      <c r="C295" s="407">
        <v>400404.90661387151</v>
      </c>
      <c r="D295" s="407">
        <v>-33688.776539580896</v>
      </c>
      <c r="E295" s="392">
        <v>0</v>
      </c>
      <c r="F295" s="392">
        <v>0</v>
      </c>
      <c r="G295" s="392">
        <v>0</v>
      </c>
      <c r="H295" s="407">
        <f t="shared" si="63"/>
        <v>366716.13007429062</v>
      </c>
      <c r="I295" s="408">
        <v>21603.148082191776</v>
      </c>
      <c r="J295" s="358">
        <f>'B) D RI'!U296</f>
        <v>19880.828493150682</v>
      </c>
      <c r="K295" s="62">
        <f t="shared" si="65"/>
        <v>16.975124582726323</v>
      </c>
      <c r="L295" s="33">
        <f>'B) D RI'!S296</f>
        <v>73</v>
      </c>
      <c r="M295" s="33">
        <f t="shared" si="67"/>
        <v>56.024875417273677</v>
      </c>
      <c r="N295" s="87">
        <f>+'J) Plafonnement effort'!H294+'J) Plafonnement effort'!I294-'K) Plafonnement aide'!I294</f>
        <v>6.4269133810977106</v>
      </c>
      <c r="O295" s="125">
        <f t="shared" si="59"/>
        <v>62.451788798371389</v>
      </c>
      <c r="P295" s="47">
        <f t="shared" si="60"/>
        <v>0</v>
      </c>
      <c r="Q295" s="55">
        <f t="shared" si="66"/>
        <v>0</v>
      </c>
      <c r="R295" s="145">
        <f t="shared" si="61"/>
        <v>62.451788798371389</v>
      </c>
      <c r="S295" s="125">
        <f t="shared" si="62"/>
        <v>-10.548211201628611</v>
      </c>
      <c r="T295" s="144">
        <f t="shared" si="64"/>
        <v>0</v>
      </c>
      <c r="V295" s="12"/>
    </row>
    <row r="296" spans="1:22" x14ac:dyDescent="0.25">
      <c r="A296" s="49">
        <f>'A) Base RI'!A297</f>
        <v>5914</v>
      </c>
      <c r="B296" s="354" t="str">
        <f>'A) Base RI'!B297</f>
        <v>Ependes</v>
      </c>
      <c r="C296" s="407">
        <v>159845.17356497375</v>
      </c>
      <c r="D296" s="407">
        <v>8126.7788560951594</v>
      </c>
      <c r="E296" s="392">
        <v>0</v>
      </c>
      <c r="F296" s="392">
        <v>0</v>
      </c>
      <c r="G296" s="392">
        <v>0</v>
      </c>
      <c r="H296" s="407">
        <f t="shared" si="63"/>
        <v>167971.95242106891</v>
      </c>
      <c r="I296" s="408">
        <v>10115.447866666666</v>
      </c>
      <c r="J296" s="358">
        <f>'B) D RI'!U297</f>
        <v>10662.074965986394</v>
      </c>
      <c r="K296" s="62">
        <f t="shared" si="65"/>
        <v>16.605488420793034</v>
      </c>
      <c r="L296" s="33">
        <f>'B) D RI'!S297</f>
        <v>73.5</v>
      </c>
      <c r="M296" s="33">
        <f t="shared" si="67"/>
        <v>56.894511579206963</v>
      </c>
      <c r="N296" s="87">
        <f>+'J) Plafonnement effort'!H295+'J) Plafonnement effort'!I295-'K) Plafonnement aide'!I295</f>
        <v>12.330508863090742</v>
      </c>
      <c r="O296" s="125">
        <f t="shared" si="59"/>
        <v>69.225020442297705</v>
      </c>
      <c r="P296" s="47">
        <f t="shared" si="60"/>
        <v>0</v>
      </c>
      <c r="Q296" s="55">
        <f t="shared" si="66"/>
        <v>0</v>
      </c>
      <c r="R296" s="145">
        <f t="shared" si="61"/>
        <v>69.225020442297705</v>
      </c>
      <c r="S296" s="125">
        <f t="shared" si="62"/>
        <v>-4.2749795577022951</v>
      </c>
      <c r="T296" s="144">
        <f t="shared" si="64"/>
        <v>0</v>
      </c>
      <c r="V296" s="12"/>
    </row>
    <row r="297" spans="1:22" x14ac:dyDescent="0.25">
      <c r="A297" s="49">
        <f>'A) Base RI'!A298</f>
        <v>5919</v>
      </c>
      <c r="B297" s="354" t="str">
        <f>'A) Base RI'!B298</f>
        <v>Mathod</v>
      </c>
      <c r="C297" s="407">
        <v>287394.81815006572</v>
      </c>
      <c r="D297" s="407">
        <v>51491.544452363392</v>
      </c>
      <c r="E297" s="392">
        <v>0</v>
      </c>
      <c r="F297" s="392">
        <v>0</v>
      </c>
      <c r="G297" s="392">
        <v>0</v>
      </c>
      <c r="H297" s="407">
        <f t="shared" si="63"/>
        <v>338886.36260242912</v>
      </c>
      <c r="I297" s="408">
        <v>17475.442962962959</v>
      </c>
      <c r="J297" s="358">
        <f>'B) D RI'!U298</f>
        <v>21565.598078703704</v>
      </c>
      <c r="K297" s="62">
        <f t="shared" si="65"/>
        <v>19.392147215990853</v>
      </c>
      <c r="L297" s="33">
        <f>'B) D RI'!S298</f>
        <v>72</v>
      </c>
      <c r="M297" s="33">
        <f t="shared" si="67"/>
        <v>52.607852784009147</v>
      </c>
      <c r="N297" s="87">
        <f>+'J) Plafonnement effort'!H296+'J) Plafonnement effort'!I296-'K) Plafonnement aide'!I296</f>
        <v>19.974766624181797</v>
      </c>
      <c r="O297" s="125">
        <f t="shared" si="59"/>
        <v>72.582619408190936</v>
      </c>
      <c r="P297" s="47">
        <f t="shared" si="60"/>
        <v>0</v>
      </c>
      <c r="Q297" s="55">
        <f t="shared" si="66"/>
        <v>0</v>
      </c>
      <c r="R297" s="145">
        <f t="shared" si="61"/>
        <v>72.582619408190936</v>
      </c>
      <c r="S297" s="125">
        <f t="shared" si="62"/>
        <v>0.58261940819093638</v>
      </c>
      <c r="T297" s="144">
        <f t="shared" si="64"/>
        <v>0</v>
      </c>
      <c r="V297" s="12"/>
    </row>
    <row r="298" spans="1:22" x14ac:dyDescent="0.25">
      <c r="A298" s="49">
        <f>'A) Base RI'!A299</f>
        <v>5921</v>
      </c>
      <c r="B298" s="354" t="str">
        <f>'A) Base RI'!B299</f>
        <v>Molondin</v>
      </c>
      <c r="C298" s="407">
        <v>104839.66661120014</v>
      </c>
      <c r="D298" s="407">
        <v>-63427.263265973859</v>
      </c>
      <c r="E298" s="392">
        <v>0</v>
      </c>
      <c r="F298" s="392">
        <v>0</v>
      </c>
      <c r="G298" s="392">
        <v>0</v>
      </c>
      <c r="H298" s="407">
        <f t="shared" si="63"/>
        <v>41412.403345226281</v>
      </c>
      <c r="I298" s="408">
        <v>5665.6146913580242</v>
      </c>
      <c r="J298" s="358">
        <f>'B) D RI'!U299</f>
        <v>5675.8933333333334</v>
      </c>
      <c r="K298" s="62">
        <f t="shared" si="65"/>
        <v>7.3094281205522469</v>
      </c>
      <c r="L298" s="33">
        <f>'B) D RI'!S299</f>
        <v>81</v>
      </c>
      <c r="M298" s="33">
        <f t="shared" si="67"/>
        <v>73.690571879447759</v>
      </c>
      <c r="N298" s="87">
        <f>+'J) Plafonnement effort'!H297+'J) Plafonnement effort'!I297-'K) Plafonnement aide'!I297</f>
        <v>-2.3174601360419067</v>
      </c>
      <c r="O298" s="125">
        <f t="shared" si="59"/>
        <v>71.373111743405858</v>
      </c>
      <c r="P298" s="47">
        <f t="shared" si="60"/>
        <v>0</v>
      </c>
      <c r="Q298" s="55">
        <f t="shared" si="66"/>
        <v>0</v>
      </c>
      <c r="R298" s="145">
        <f t="shared" si="61"/>
        <v>71.373111743405858</v>
      </c>
      <c r="S298" s="125">
        <f t="shared" si="62"/>
        <v>-9.6268882565941425</v>
      </c>
      <c r="T298" s="144">
        <f t="shared" si="64"/>
        <v>0</v>
      </c>
      <c r="V298" s="12"/>
    </row>
    <row r="299" spans="1:22" x14ac:dyDescent="0.25">
      <c r="A299" s="49">
        <f>'A) Base RI'!A300</f>
        <v>5922</v>
      </c>
      <c r="B299" s="354" t="str">
        <f>'A) Base RI'!B300</f>
        <v>Montagny-près-Yverdon</v>
      </c>
      <c r="C299" s="407">
        <v>747041.01154707849</v>
      </c>
      <c r="D299" s="407">
        <v>658794.44598699093</v>
      </c>
      <c r="E299" s="392">
        <v>0</v>
      </c>
      <c r="F299" s="392">
        <v>0</v>
      </c>
      <c r="G299" s="392">
        <v>0</v>
      </c>
      <c r="H299" s="407">
        <f t="shared" si="63"/>
        <v>1405835.4575340694</v>
      </c>
      <c r="I299" s="408">
        <v>37619.371576923077</v>
      </c>
      <c r="J299" s="358">
        <f>'B) D RI'!U300</f>
        <v>33326.398149606292</v>
      </c>
      <c r="K299" s="62">
        <f t="shared" si="65"/>
        <v>37.369987817565082</v>
      </c>
      <c r="L299" s="33">
        <f>'B) D RI'!S300</f>
        <v>63.5</v>
      </c>
      <c r="M299" s="33">
        <f t="shared" si="67"/>
        <v>26.130012182434918</v>
      </c>
      <c r="N299" s="87">
        <f>+'J) Plafonnement effort'!H298+'J) Plafonnement effort'!I298-'K) Plafonnement aide'!I298</f>
        <v>29.365470142237722</v>
      </c>
      <c r="O299" s="125">
        <f t="shared" si="59"/>
        <v>55.495482324672636</v>
      </c>
      <c r="P299" s="47">
        <f t="shared" si="60"/>
        <v>0</v>
      </c>
      <c r="Q299" s="55">
        <f t="shared" si="66"/>
        <v>0</v>
      </c>
      <c r="R299" s="145">
        <f t="shared" si="61"/>
        <v>55.495482324672636</v>
      </c>
      <c r="S299" s="125">
        <f t="shared" si="62"/>
        <v>-8.0045176753273637</v>
      </c>
      <c r="T299" s="144">
        <f t="shared" si="64"/>
        <v>0</v>
      </c>
      <c r="V299" s="12"/>
    </row>
    <row r="300" spans="1:22" x14ac:dyDescent="0.25">
      <c r="A300" s="49">
        <f>'A) Base RI'!A301</f>
        <v>5923</v>
      </c>
      <c r="B300" s="354" t="str">
        <f>'A) Base RI'!B301</f>
        <v>Oppens</v>
      </c>
      <c r="C300" s="407">
        <v>93606.158152203527</v>
      </c>
      <c r="D300" s="407">
        <v>-24371.043890447138</v>
      </c>
      <c r="E300" s="392">
        <v>0</v>
      </c>
      <c r="F300" s="392">
        <v>0</v>
      </c>
      <c r="G300" s="392">
        <v>0</v>
      </c>
      <c r="H300" s="407">
        <f t="shared" si="63"/>
        <v>69235.114261756389</v>
      </c>
      <c r="I300" s="408">
        <v>5399.502592592592</v>
      </c>
      <c r="J300" s="358">
        <f>'B) D RI'!U301</f>
        <v>4799.240617283951</v>
      </c>
      <c r="K300" s="62">
        <f t="shared" si="65"/>
        <v>12.822498568060301</v>
      </c>
      <c r="L300" s="33">
        <f>'B) D RI'!S301</f>
        <v>81</v>
      </c>
      <c r="M300" s="33">
        <f t="shared" si="67"/>
        <v>68.177501431939703</v>
      </c>
      <c r="N300" s="87">
        <f>+'J) Plafonnement effort'!H299+'J) Plafonnement effort'!I299-'K) Plafonnement aide'!I299</f>
        <v>1.185888140185448</v>
      </c>
      <c r="O300" s="125">
        <f t="shared" si="59"/>
        <v>69.363389572125158</v>
      </c>
      <c r="P300" s="47">
        <f t="shared" si="60"/>
        <v>0</v>
      </c>
      <c r="Q300" s="55">
        <f t="shared" si="66"/>
        <v>0</v>
      </c>
      <c r="R300" s="145">
        <f t="shared" si="61"/>
        <v>69.363389572125158</v>
      </c>
      <c r="S300" s="125">
        <f t="shared" si="62"/>
        <v>-11.636610427874842</v>
      </c>
      <c r="T300" s="144">
        <f t="shared" si="64"/>
        <v>0</v>
      </c>
      <c r="V300" s="12"/>
    </row>
    <row r="301" spans="1:22" x14ac:dyDescent="0.25">
      <c r="A301" s="49">
        <f>'A) Base RI'!A302</f>
        <v>5924</v>
      </c>
      <c r="B301" s="354" t="str">
        <f>'A) Base RI'!B302</f>
        <v>Orges</v>
      </c>
      <c r="C301" s="407">
        <v>222774.89730027039</v>
      </c>
      <c r="D301" s="407">
        <v>115637.1267969508</v>
      </c>
      <c r="E301" s="392">
        <v>0</v>
      </c>
      <c r="F301" s="392">
        <v>0</v>
      </c>
      <c r="G301" s="392">
        <v>0</v>
      </c>
      <c r="H301" s="407">
        <f t="shared" si="63"/>
        <v>338412.02409722121</v>
      </c>
      <c r="I301" s="408">
        <v>11911.353243243244</v>
      </c>
      <c r="J301" s="358">
        <f>'B) D RI'!U302</f>
        <v>12525.425270270271</v>
      </c>
      <c r="K301" s="62">
        <f t="shared" si="65"/>
        <v>28.410879703293713</v>
      </c>
      <c r="L301" s="33">
        <f>'B) D RI'!S302</f>
        <v>74</v>
      </c>
      <c r="M301" s="33">
        <f t="shared" si="67"/>
        <v>45.589120296706284</v>
      </c>
      <c r="N301" s="87">
        <f>+'J) Plafonnement effort'!H300+'J) Plafonnement effort'!I300-'K) Plafonnement aide'!I300</f>
        <v>22.75641470339929</v>
      </c>
      <c r="O301" s="125">
        <f t="shared" si="59"/>
        <v>68.345535000105571</v>
      </c>
      <c r="P301" s="47">
        <f t="shared" si="60"/>
        <v>0</v>
      </c>
      <c r="Q301" s="55">
        <f t="shared" si="66"/>
        <v>0</v>
      </c>
      <c r="R301" s="145">
        <f t="shared" si="61"/>
        <v>68.345535000105571</v>
      </c>
      <c r="S301" s="125">
        <f t="shared" si="62"/>
        <v>-5.6544649998944294</v>
      </c>
      <c r="T301" s="144">
        <f t="shared" si="64"/>
        <v>0</v>
      </c>
      <c r="V301" s="12"/>
    </row>
    <row r="302" spans="1:22" x14ac:dyDescent="0.25">
      <c r="A302" s="49">
        <f>'A) Base RI'!A303</f>
        <v>5925</v>
      </c>
      <c r="B302" s="354" t="str">
        <f>'A) Base RI'!B303</f>
        <v>Orzens</v>
      </c>
      <c r="C302" s="407">
        <v>173932.65511753311</v>
      </c>
      <c r="D302" s="407">
        <v>-29177.722279884401</v>
      </c>
      <c r="E302" s="392">
        <v>0</v>
      </c>
      <c r="F302" s="392">
        <v>0</v>
      </c>
      <c r="G302" s="392">
        <v>0</v>
      </c>
      <c r="H302" s="407">
        <f t="shared" si="63"/>
        <v>144754.93283764872</v>
      </c>
      <c r="I302" s="408">
        <v>5348.3883544303808</v>
      </c>
      <c r="J302" s="358">
        <f>'B) D RI'!U303</f>
        <v>5879.4616455696196</v>
      </c>
      <c r="K302" s="62">
        <f t="shared" si="65"/>
        <v>27.065149956386357</v>
      </c>
      <c r="L302" s="33">
        <f>'B) D RI'!S303</f>
        <v>79</v>
      </c>
      <c r="M302" s="33">
        <f t="shared" si="67"/>
        <v>51.934850043613643</v>
      </c>
      <c r="N302" s="87">
        <f>+'J) Plafonnement effort'!H301+'J) Plafonnement effort'!I301-'K) Plafonnement aide'!I301</f>
        <v>12.728016712603436</v>
      </c>
      <c r="O302" s="125">
        <f t="shared" si="59"/>
        <v>64.662866756217085</v>
      </c>
      <c r="P302" s="47">
        <f t="shared" si="60"/>
        <v>0</v>
      </c>
      <c r="Q302" s="55">
        <f t="shared" si="66"/>
        <v>0</v>
      </c>
      <c r="R302" s="145">
        <f t="shared" si="61"/>
        <v>64.662866756217085</v>
      </c>
      <c r="S302" s="125">
        <f t="shared" si="62"/>
        <v>-14.337133243782915</v>
      </c>
      <c r="T302" s="144">
        <f t="shared" si="64"/>
        <v>0</v>
      </c>
      <c r="V302" s="12"/>
    </row>
    <row r="303" spans="1:22" x14ac:dyDescent="0.25">
      <c r="A303" s="49">
        <f>'A) Base RI'!A304</f>
        <v>5926</v>
      </c>
      <c r="B303" s="354" t="str">
        <f>'A) Base RI'!B304</f>
        <v>Pomy</v>
      </c>
      <c r="C303" s="407">
        <v>452181.22679011256</v>
      </c>
      <c r="D303" s="407">
        <v>256118.87882049294</v>
      </c>
      <c r="E303" s="392">
        <v>0</v>
      </c>
      <c r="F303" s="392">
        <v>0</v>
      </c>
      <c r="G303" s="392">
        <v>0</v>
      </c>
      <c r="H303" s="407">
        <f t="shared" si="63"/>
        <v>708300.10561060556</v>
      </c>
      <c r="I303" s="408">
        <v>27563.954929577467</v>
      </c>
      <c r="J303" s="358">
        <f>'B) D RI'!U304</f>
        <v>27519.38971830986</v>
      </c>
      <c r="K303" s="62">
        <f t="shared" si="65"/>
        <v>25.69660657986946</v>
      </c>
      <c r="L303" s="33">
        <f>'B) D RI'!S304</f>
        <v>71</v>
      </c>
      <c r="M303" s="33">
        <f t="shared" si="67"/>
        <v>45.30339342013054</v>
      </c>
      <c r="N303" s="87">
        <f>+'J) Plafonnement effort'!H302+'J) Plafonnement effort'!I302-'K) Plafonnement aide'!I302</f>
        <v>21.341914007841442</v>
      </c>
      <c r="O303" s="125">
        <f t="shared" si="59"/>
        <v>66.645307427971986</v>
      </c>
      <c r="P303" s="47">
        <f t="shared" si="60"/>
        <v>0</v>
      </c>
      <c r="Q303" s="55">
        <f t="shared" si="66"/>
        <v>0</v>
      </c>
      <c r="R303" s="145">
        <f t="shared" si="61"/>
        <v>66.645307427971986</v>
      </c>
      <c r="S303" s="125">
        <f t="shared" si="62"/>
        <v>-4.3546925720280143</v>
      </c>
      <c r="T303" s="144">
        <f t="shared" si="64"/>
        <v>0</v>
      </c>
      <c r="V303" s="12"/>
    </row>
    <row r="304" spans="1:22" x14ac:dyDescent="0.25">
      <c r="A304" s="49">
        <f>'A) Base RI'!A305</f>
        <v>5928</v>
      </c>
      <c r="B304" s="354" t="str">
        <f>'A) Base RI'!B305</f>
        <v>Rovray</v>
      </c>
      <c r="C304" s="407">
        <v>116876.04460347054</v>
      </c>
      <c r="D304" s="407">
        <v>39531.218146684536</v>
      </c>
      <c r="E304" s="392">
        <v>0</v>
      </c>
      <c r="F304" s="392">
        <v>0</v>
      </c>
      <c r="G304" s="392">
        <v>0</v>
      </c>
      <c r="H304" s="407">
        <f t="shared" si="63"/>
        <v>156407.26275015506</v>
      </c>
      <c r="I304" s="408">
        <v>6002.0193150684927</v>
      </c>
      <c r="J304" s="358">
        <f>'B) D RI'!U305</f>
        <v>5563.4060139860139</v>
      </c>
      <c r="K304" s="62">
        <f t="shared" si="65"/>
        <v>26.059106867164456</v>
      </c>
      <c r="L304" s="33">
        <f>'B) D RI'!S305</f>
        <v>71.5</v>
      </c>
      <c r="M304" s="33">
        <f t="shared" si="67"/>
        <v>45.440893132835541</v>
      </c>
      <c r="N304" s="87">
        <f>+'J) Plafonnement effort'!H303+'J) Plafonnement effort'!I303-'K) Plafonnement aide'!I303</f>
        <v>12.898060230815267</v>
      </c>
      <c r="O304" s="125">
        <f t="shared" si="59"/>
        <v>58.338953363650809</v>
      </c>
      <c r="P304" s="47">
        <f t="shared" si="60"/>
        <v>0</v>
      </c>
      <c r="Q304" s="55">
        <f t="shared" si="66"/>
        <v>0</v>
      </c>
      <c r="R304" s="145">
        <f t="shared" si="61"/>
        <v>58.338953363650809</v>
      </c>
      <c r="S304" s="125">
        <f t="shared" si="62"/>
        <v>-13.161046636349191</v>
      </c>
      <c r="T304" s="144">
        <f t="shared" si="64"/>
        <v>0</v>
      </c>
      <c r="V304" s="12"/>
    </row>
    <row r="305" spans="1:22" x14ac:dyDescent="0.25">
      <c r="A305" s="49">
        <f>'A) Base RI'!A306</f>
        <v>5929</v>
      </c>
      <c r="B305" s="354" t="str">
        <f>'A) Base RI'!B306</f>
        <v>Suchy</v>
      </c>
      <c r="C305" s="407">
        <v>359492.71739480132</v>
      </c>
      <c r="D305" s="407">
        <v>9381.6688808439649</v>
      </c>
      <c r="E305" s="392">
        <v>0</v>
      </c>
      <c r="F305" s="392">
        <v>0</v>
      </c>
      <c r="G305" s="392">
        <v>0</v>
      </c>
      <c r="H305" s="407">
        <f t="shared" si="63"/>
        <v>368874.38627564529</v>
      </c>
      <c r="I305" s="408">
        <v>17258.460214285715</v>
      </c>
      <c r="J305" s="358">
        <f>'B) D RI'!U306</f>
        <v>19827.403178571429</v>
      </c>
      <c r="K305" s="62">
        <f t="shared" si="65"/>
        <v>21.373539799935859</v>
      </c>
      <c r="L305" s="33">
        <f>'B) D RI'!S306</f>
        <v>70</v>
      </c>
      <c r="M305" s="33">
        <f t="shared" si="67"/>
        <v>48.626460200064145</v>
      </c>
      <c r="N305" s="87">
        <f>+'J) Plafonnement effort'!H304+'J) Plafonnement effort'!I304-'K) Plafonnement aide'!I304</f>
        <v>17.387848334329444</v>
      </c>
      <c r="O305" s="125">
        <f t="shared" si="59"/>
        <v>66.014308534393592</v>
      </c>
      <c r="P305" s="47">
        <f t="shared" si="60"/>
        <v>0</v>
      </c>
      <c r="Q305" s="55">
        <f t="shared" si="66"/>
        <v>0</v>
      </c>
      <c r="R305" s="145">
        <f t="shared" si="61"/>
        <v>66.014308534393592</v>
      </c>
      <c r="S305" s="125">
        <f t="shared" si="62"/>
        <v>-3.9856914656064077</v>
      </c>
      <c r="T305" s="144">
        <f t="shared" si="64"/>
        <v>0</v>
      </c>
      <c r="V305" s="12"/>
    </row>
    <row r="306" spans="1:22" x14ac:dyDescent="0.25">
      <c r="A306" s="49">
        <f>'A) Base RI'!A307</f>
        <v>5930</v>
      </c>
      <c r="B306" s="354" t="str">
        <f>'A) Base RI'!B307</f>
        <v>Suscévaz</v>
      </c>
      <c r="C306" s="407">
        <v>87333.527148583991</v>
      </c>
      <c r="D306" s="407">
        <v>2250.9904617767024</v>
      </c>
      <c r="E306" s="392">
        <v>0</v>
      </c>
      <c r="F306" s="392">
        <v>0</v>
      </c>
      <c r="G306" s="392">
        <v>0</v>
      </c>
      <c r="H306" s="407">
        <f t="shared" si="63"/>
        <v>89584.517610360694</v>
      </c>
      <c r="I306" s="408">
        <v>5852.6869444444428</v>
      </c>
      <c r="J306" s="358">
        <f>'B) D RI'!U307</f>
        <v>5769.1548611111102</v>
      </c>
      <c r="K306" s="62">
        <f t="shared" si="65"/>
        <v>15.306562346615374</v>
      </c>
      <c r="L306" s="33">
        <f>'B) D RI'!S307</f>
        <v>72</v>
      </c>
      <c r="M306" s="33">
        <f t="shared" si="67"/>
        <v>56.693437653384628</v>
      </c>
      <c r="N306" s="87">
        <f>+'J) Plafonnement effort'!H305+'J) Plafonnement effort'!I305-'K) Plafonnement aide'!I305</f>
        <v>14.149823044307102</v>
      </c>
      <c r="O306" s="125">
        <f t="shared" si="59"/>
        <v>70.843260697691733</v>
      </c>
      <c r="P306" s="47">
        <f t="shared" si="60"/>
        <v>0</v>
      </c>
      <c r="Q306" s="55">
        <f t="shared" si="66"/>
        <v>0</v>
      </c>
      <c r="R306" s="145">
        <f t="shared" si="61"/>
        <v>70.843260697691733</v>
      </c>
      <c r="S306" s="125">
        <f t="shared" si="62"/>
        <v>-1.1567393023082673</v>
      </c>
      <c r="T306" s="144">
        <f t="shared" si="64"/>
        <v>0</v>
      </c>
      <c r="V306" s="12"/>
    </row>
    <row r="307" spans="1:22" x14ac:dyDescent="0.25">
      <c r="A307" s="49">
        <f>'A) Base RI'!A308</f>
        <v>5931</v>
      </c>
      <c r="B307" s="354" t="str">
        <f>'A) Base RI'!B308</f>
        <v>Treycovagnes</v>
      </c>
      <c r="C307" s="407">
        <v>202169.62888370399</v>
      </c>
      <c r="D307" s="407">
        <v>-62301.132169400516</v>
      </c>
      <c r="E307" s="392">
        <v>0</v>
      </c>
      <c r="F307" s="392">
        <v>0</v>
      </c>
      <c r="G307" s="392">
        <v>0</v>
      </c>
      <c r="H307" s="407">
        <f t="shared" si="63"/>
        <v>139868.49671430347</v>
      </c>
      <c r="I307" s="408">
        <v>12202.115733333332</v>
      </c>
      <c r="J307" s="358">
        <f>'B) D RI'!U308</f>
        <v>15383.603066666663</v>
      </c>
      <c r="K307" s="62">
        <f t="shared" si="65"/>
        <v>11.462643017900199</v>
      </c>
      <c r="L307" s="33">
        <f>'B) D RI'!S308</f>
        <v>75</v>
      </c>
      <c r="M307" s="33">
        <f t="shared" si="67"/>
        <v>63.537356982099801</v>
      </c>
      <c r="N307" s="87">
        <f>+'J) Plafonnement effort'!H306+'J) Plafonnement effort'!I306-'K) Plafonnement aide'!I306</f>
        <v>17.548073728022896</v>
      </c>
      <c r="O307" s="125">
        <f t="shared" si="59"/>
        <v>81.085430710122694</v>
      </c>
      <c r="P307" s="47">
        <f t="shared" si="60"/>
        <v>0</v>
      </c>
      <c r="Q307" s="55">
        <f t="shared" si="66"/>
        <v>0</v>
      </c>
      <c r="R307" s="145">
        <f t="shared" si="61"/>
        <v>81.085430710122694</v>
      </c>
      <c r="S307" s="125">
        <f t="shared" si="62"/>
        <v>6.0854307101226937</v>
      </c>
      <c r="T307" s="144">
        <f t="shared" si="64"/>
        <v>0</v>
      </c>
      <c r="V307" s="12"/>
    </row>
    <row r="308" spans="1:22" x14ac:dyDescent="0.25">
      <c r="A308" s="49">
        <f>'A) Base RI'!A309</f>
        <v>5932</v>
      </c>
      <c r="B308" s="354" t="str">
        <f>'A) Base RI'!B309</f>
        <v>Ursins</v>
      </c>
      <c r="C308" s="407">
        <v>144880.91357761036</v>
      </c>
      <c r="D308" s="407">
        <v>82783.533880939503</v>
      </c>
      <c r="E308" s="392">
        <v>0</v>
      </c>
      <c r="F308" s="392">
        <v>0</v>
      </c>
      <c r="G308" s="392">
        <v>0</v>
      </c>
      <c r="H308" s="407">
        <f t="shared" si="63"/>
        <v>227664.44745854987</v>
      </c>
      <c r="I308" s="408">
        <v>8278.3758441558457</v>
      </c>
      <c r="J308" s="358">
        <f>'B) D RI'!U309</f>
        <v>6819.4023999999999</v>
      </c>
      <c r="K308" s="62">
        <f t="shared" si="65"/>
        <v>27.501100668106357</v>
      </c>
      <c r="L308" s="33">
        <f>'B) D RI'!S309</f>
        <v>75</v>
      </c>
      <c r="M308" s="33">
        <f t="shared" si="67"/>
        <v>47.498899331893639</v>
      </c>
      <c r="N308" s="87">
        <f>+'J) Plafonnement effort'!H307+'J) Plafonnement effort'!I307-'K) Plafonnement aide'!I307</f>
        <v>13.462437652095641</v>
      </c>
      <c r="O308" s="125">
        <f t="shared" si="59"/>
        <v>60.961336983989284</v>
      </c>
      <c r="P308" s="47">
        <f t="shared" si="60"/>
        <v>0</v>
      </c>
      <c r="Q308" s="55">
        <f t="shared" si="66"/>
        <v>0</v>
      </c>
      <c r="R308" s="145">
        <f t="shared" si="61"/>
        <v>60.961336983989284</v>
      </c>
      <c r="S308" s="125">
        <f t="shared" si="62"/>
        <v>-14.038663016010716</v>
      </c>
      <c r="T308" s="144">
        <f t="shared" si="64"/>
        <v>0</v>
      </c>
      <c r="V308" s="12"/>
    </row>
    <row r="309" spans="1:22" x14ac:dyDescent="0.25">
      <c r="A309" s="49">
        <f>'A) Base RI'!A310</f>
        <v>5933</v>
      </c>
      <c r="B309" s="354" t="str">
        <f>'A) Base RI'!B310</f>
        <v>Valeyres-sous-Montagny</v>
      </c>
      <c r="C309" s="407">
        <v>393691.37522251782</v>
      </c>
      <c r="D309" s="407">
        <v>122347.74270144349</v>
      </c>
      <c r="E309" s="392">
        <v>0</v>
      </c>
      <c r="F309" s="392">
        <v>0</v>
      </c>
      <c r="G309" s="392">
        <v>0</v>
      </c>
      <c r="H309" s="407">
        <f t="shared" si="63"/>
        <v>516039.11792396131</v>
      </c>
      <c r="I309" s="408">
        <v>22135.641944444447</v>
      </c>
      <c r="J309" s="358">
        <f>'B) D RI'!U310</f>
        <v>22572.377872340428</v>
      </c>
      <c r="K309" s="62">
        <f t="shared" si="65"/>
        <v>23.312588775112332</v>
      </c>
      <c r="L309" s="33">
        <f>'B) D RI'!S310</f>
        <v>70.5</v>
      </c>
      <c r="M309" s="33">
        <f t="shared" si="67"/>
        <v>47.187411224887668</v>
      </c>
      <c r="N309" s="87">
        <f>+'J) Plafonnement effort'!H308+'J) Plafonnement effort'!I308-'K) Plafonnement aide'!I308</f>
        <v>18.797435906357865</v>
      </c>
      <c r="O309" s="125">
        <f t="shared" si="59"/>
        <v>65.98484713124553</v>
      </c>
      <c r="P309" s="47">
        <f t="shared" si="60"/>
        <v>0</v>
      </c>
      <c r="Q309" s="55">
        <f t="shared" si="66"/>
        <v>0</v>
      </c>
      <c r="R309" s="145">
        <f t="shared" si="61"/>
        <v>65.98484713124553</v>
      </c>
      <c r="S309" s="125">
        <f t="shared" si="62"/>
        <v>-4.5151528687544698</v>
      </c>
      <c r="T309" s="144">
        <f t="shared" si="64"/>
        <v>0</v>
      </c>
      <c r="V309" s="12"/>
    </row>
    <row r="310" spans="1:22" x14ac:dyDescent="0.25">
      <c r="A310" s="49">
        <f>'A) Base RI'!A311</f>
        <v>5934</v>
      </c>
      <c r="B310" s="354" t="str">
        <f>'A) Base RI'!B311</f>
        <v>Valeyres-sous-Ursins</v>
      </c>
      <c r="C310" s="407">
        <v>129869.26873665741</v>
      </c>
      <c r="D310" s="407">
        <v>45344.110601627413</v>
      </c>
      <c r="E310" s="392">
        <v>0</v>
      </c>
      <c r="F310" s="392">
        <v>0</v>
      </c>
      <c r="G310" s="392">
        <v>0</v>
      </c>
      <c r="H310" s="407">
        <f t="shared" si="63"/>
        <v>175213.37933828484</v>
      </c>
      <c r="I310" s="408">
        <v>7563.0520253164568</v>
      </c>
      <c r="J310" s="358">
        <f>'B) D RI'!U311</f>
        <v>7577.3788607594925</v>
      </c>
      <c r="K310" s="62">
        <f t="shared" si="65"/>
        <v>23.167020238890064</v>
      </c>
      <c r="L310" s="33">
        <f>'B) D RI'!S311</f>
        <v>79</v>
      </c>
      <c r="M310" s="33">
        <f t="shared" si="67"/>
        <v>55.832979761109939</v>
      </c>
      <c r="N310" s="87">
        <f>+'J) Plafonnement effort'!H309+'J) Plafonnement effort'!I309-'K) Plafonnement aide'!I309</f>
        <v>15.896055889016159</v>
      </c>
      <c r="O310" s="125">
        <f t="shared" si="59"/>
        <v>71.729035650126093</v>
      </c>
      <c r="P310" s="47">
        <f t="shared" si="60"/>
        <v>0</v>
      </c>
      <c r="Q310" s="55">
        <f t="shared" si="66"/>
        <v>0</v>
      </c>
      <c r="R310" s="145">
        <f t="shared" si="61"/>
        <v>71.729035650126093</v>
      </c>
      <c r="S310" s="125">
        <f t="shared" si="62"/>
        <v>-7.2709643498739069</v>
      </c>
      <c r="T310" s="144">
        <f t="shared" si="64"/>
        <v>0</v>
      </c>
      <c r="V310" s="12"/>
    </row>
    <row r="311" spans="1:22" x14ac:dyDescent="0.25">
      <c r="A311" s="49">
        <f>'A) Base RI'!A312</f>
        <v>5935</v>
      </c>
      <c r="B311" s="354" t="str">
        <f>'A) Base RI'!B312</f>
        <v>Villars-Epeney</v>
      </c>
      <c r="C311" s="407">
        <v>72559.340643015399</v>
      </c>
      <c r="D311" s="407">
        <v>84396.579026430685</v>
      </c>
      <c r="E311" s="392">
        <v>0</v>
      </c>
      <c r="F311" s="392">
        <v>0</v>
      </c>
      <c r="G311" s="392">
        <v>0</v>
      </c>
      <c r="H311" s="407">
        <f t="shared" si="63"/>
        <v>156955.91966944607</v>
      </c>
      <c r="I311" s="408">
        <v>4858.9101666666666</v>
      </c>
      <c r="J311" s="358">
        <f>'B) D RI'!U312</f>
        <v>3912.8696666666669</v>
      </c>
      <c r="K311" s="62">
        <f t="shared" si="65"/>
        <v>32.302700458675439</v>
      </c>
      <c r="L311" s="33">
        <f>'B) D RI'!S312</f>
        <v>60</v>
      </c>
      <c r="M311" s="33">
        <f t="shared" si="67"/>
        <v>27.697299541324561</v>
      </c>
      <c r="N311" s="87">
        <f>+'J) Plafonnement effort'!H310+'J) Plafonnement effort'!I310-'K) Plafonnement aide'!I310</f>
        <v>26.447511342814678</v>
      </c>
      <c r="O311" s="125">
        <f t="shared" si="59"/>
        <v>54.14481088413924</v>
      </c>
      <c r="P311" s="47">
        <f t="shared" si="60"/>
        <v>0</v>
      </c>
      <c r="Q311" s="55">
        <f t="shared" si="66"/>
        <v>0</v>
      </c>
      <c r="R311" s="145">
        <f t="shared" si="61"/>
        <v>54.14481088413924</v>
      </c>
      <c r="S311" s="125">
        <f t="shared" si="62"/>
        <v>-5.8551891158607603</v>
      </c>
      <c r="T311" s="144">
        <f t="shared" si="64"/>
        <v>0</v>
      </c>
      <c r="V311" s="12"/>
    </row>
    <row r="312" spans="1:22" x14ac:dyDescent="0.25">
      <c r="A312" s="49">
        <f>'A) Base RI'!A313</f>
        <v>5937</v>
      </c>
      <c r="B312" s="354" t="str">
        <f>'A) Base RI'!B313</f>
        <v>Vugelles-La Mothe</v>
      </c>
      <c r="C312" s="407">
        <v>61070.213679869732</v>
      </c>
      <c r="D312" s="407">
        <v>-22778.505209008261</v>
      </c>
      <c r="E312" s="392">
        <v>0</v>
      </c>
      <c r="F312" s="392">
        <v>0</v>
      </c>
      <c r="G312" s="392">
        <v>0</v>
      </c>
      <c r="H312" s="407">
        <f t="shared" si="63"/>
        <v>38291.708470861471</v>
      </c>
      <c r="I312" s="408">
        <v>2984.3882040816329</v>
      </c>
      <c r="J312" s="358">
        <f>'B) D RI'!U313</f>
        <v>3187.6957755102044</v>
      </c>
      <c r="K312" s="62">
        <f t="shared" si="65"/>
        <v>12.830672771890525</v>
      </c>
      <c r="L312" s="33">
        <f>'B) D RI'!S313</f>
        <v>70</v>
      </c>
      <c r="M312" s="33">
        <f t="shared" si="67"/>
        <v>57.169327228109474</v>
      </c>
      <c r="N312" s="87">
        <f>+'J) Plafonnement effort'!H311+'J) Plafonnement effort'!I311-'K) Plafonnement aide'!I311</f>
        <v>6.4569820623979393</v>
      </c>
      <c r="O312" s="125">
        <f t="shared" si="59"/>
        <v>63.626309290507415</v>
      </c>
      <c r="P312" s="47">
        <f t="shared" si="60"/>
        <v>0</v>
      </c>
      <c r="Q312" s="55">
        <f t="shared" si="66"/>
        <v>0</v>
      </c>
      <c r="R312" s="145">
        <f t="shared" si="61"/>
        <v>63.626309290507415</v>
      </c>
      <c r="S312" s="125">
        <f t="shared" si="62"/>
        <v>-6.3736907094925854</v>
      </c>
      <c r="T312" s="144">
        <f t="shared" si="64"/>
        <v>0</v>
      </c>
      <c r="V312" s="12"/>
    </row>
    <row r="313" spans="1:22" x14ac:dyDescent="0.25">
      <c r="A313" s="49">
        <f>'A) Base RI'!A314</f>
        <v>5938</v>
      </c>
      <c r="B313" s="354" t="str">
        <f>'A) Base RI'!B314</f>
        <v>Yverdon-les-Bains</v>
      </c>
      <c r="C313" s="407">
        <v>14771659.955779977</v>
      </c>
      <c r="D313" s="407">
        <v>-24775081.759365395</v>
      </c>
      <c r="E313" s="392">
        <v>3696043.2958730017</v>
      </c>
      <c r="F313" s="392">
        <v>0</v>
      </c>
      <c r="G313" s="392">
        <v>0</v>
      </c>
      <c r="H313" s="407">
        <f t="shared" si="63"/>
        <v>-6307378.5077124164</v>
      </c>
      <c r="I313" s="408">
        <v>788422.31346405216</v>
      </c>
      <c r="J313" s="358">
        <f>'B) D RI'!U314</f>
        <v>796551.402</v>
      </c>
      <c r="K313" s="62">
        <f t="shared" si="65"/>
        <v>-7.9999999999999991</v>
      </c>
      <c r="L313" s="33">
        <f>'B) D RI'!S314</f>
        <v>75</v>
      </c>
      <c r="M313" s="33">
        <f t="shared" si="67"/>
        <v>83</v>
      </c>
      <c r="N313" s="87">
        <f>+'J) Plafonnement effort'!H312+'J) Plafonnement effort'!I312-'K) Plafonnement aide'!I312</f>
        <v>-12.259441639900597</v>
      </c>
      <c r="O313" s="125">
        <f t="shared" si="59"/>
        <v>70.740558360099399</v>
      </c>
      <c r="P313" s="47">
        <f t="shared" si="60"/>
        <v>0</v>
      </c>
      <c r="Q313" s="55">
        <f t="shared" si="66"/>
        <v>0</v>
      </c>
      <c r="R313" s="145">
        <f t="shared" si="61"/>
        <v>70.740558360099399</v>
      </c>
      <c r="S313" s="125">
        <f t="shared" si="62"/>
        <v>-4.2594416399006008</v>
      </c>
      <c r="T313" s="144">
        <f t="shared" si="64"/>
        <v>0</v>
      </c>
      <c r="V313" s="12"/>
    </row>
    <row r="314" spans="1:22" x14ac:dyDescent="0.25">
      <c r="A314" s="50">
        <f>'A) Base RI'!A315</f>
        <v>5939</v>
      </c>
      <c r="B314" s="355" t="str">
        <f>'A) Base RI'!B315</f>
        <v>Yvonand</v>
      </c>
      <c r="C314" s="407">
        <v>2051859.3401681427</v>
      </c>
      <c r="D314" s="407">
        <v>-551575.95128377853</v>
      </c>
      <c r="E314" s="392">
        <v>0</v>
      </c>
      <c r="F314" s="392">
        <v>0</v>
      </c>
      <c r="G314" s="392">
        <v>0</v>
      </c>
      <c r="H314" s="407">
        <f t="shared" si="63"/>
        <v>1500283.3888843642</v>
      </c>
      <c r="I314" s="408">
        <v>95122.764246575331</v>
      </c>
      <c r="J314" s="359">
        <f>'B) D RI'!U315</f>
        <v>92890.042937062928</v>
      </c>
      <c r="K314" s="62">
        <f t="shared" si="65"/>
        <v>15.772075178506793</v>
      </c>
      <c r="L314" s="88">
        <f>'B) D RI'!S315</f>
        <v>71.5</v>
      </c>
      <c r="M314" s="88">
        <f t="shared" si="67"/>
        <v>55.727924821493204</v>
      </c>
      <c r="N314" s="87">
        <f>+'J) Plafonnement effort'!H313+'J) Plafonnement effort'!I313-'K) Plafonnement aide'!I313</f>
        <v>5.4935259949396116</v>
      </c>
      <c r="O314" s="127">
        <f t="shared" si="59"/>
        <v>61.221450816432814</v>
      </c>
      <c r="P314" s="47">
        <f t="shared" si="60"/>
        <v>0</v>
      </c>
      <c r="Q314" s="55">
        <f t="shared" si="66"/>
        <v>0</v>
      </c>
      <c r="R314" s="146">
        <f t="shared" si="61"/>
        <v>61.221450816432814</v>
      </c>
      <c r="S314" s="127">
        <f t="shared" si="62"/>
        <v>-10.278549183567186</v>
      </c>
      <c r="T314" s="144">
        <f t="shared" si="64"/>
        <v>0</v>
      </c>
      <c r="V314" s="12"/>
    </row>
    <row r="315" spans="1:22" x14ac:dyDescent="0.25">
      <c r="A315" s="30"/>
      <c r="B315" s="118">
        <f>COUNTA(B6:B314)</f>
        <v>309</v>
      </c>
      <c r="C315" s="38">
        <f>SUM(C6:C314)</f>
        <v>825655960</v>
      </c>
      <c r="D315" s="303">
        <f t="shared" ref="D315:J315" si="68">SUM(D6:D314)</f>
        <v>192061235.68211231</v>
      </c>
      <c r="E315" s="303">
        <f t="shared" si="68"/>
        <v>4088252.3142886814</v>
      </c>
      <c r="F315" s="303">
        <f t="shared" si="68"/>
        <v>-24713364.310575232</v>
      </c>
      <c r="G315" s="303">
        <f t="shared" si="68"/>
        <v>-46083.949377517849</v>
      </c>
      <c r="H315" s="149">
        <f t="shared" si="68"/>
        <v>997045999.73644733</v>
      </c>
      <c r="I315" s="406">
        <f t="shared" si="68"/>
        <v>37986675.400474928</v>
      </c>
      <c r="J315" s="96">
        <f t="shared" si="68"/>
        <v>39275450.163217418</v>
      </c>
      <c r="K315" s="59">
        <f>H315/I315</f>
        <v>26.247256155614551</v>
      </c>
      <c r="L315" s="19">
        <f>'B) D RI'!S316</f>
        <v>67.297192189640256</v>
      </c>
      <c r="M315" s="19"/>
      <c r="N315" s="19">
        <f>SUM(N6:N314)</f>
        <v>6184.9077311999463</v>
      </c>
      <c r="O315" s="97"/>
      <c r="P315" s="114"/>
      <c r="Q315" s="37">
        <f>SUM(Q6:Q314)</f>
        <v>-121093.8367650236</v>
      </c>
      <c r="R315" s="117"/>
      <c r="S315" s="97"/>
      <c r="T315" s="148"/>
    </row>
    <row r="316" spans="1:22" x14ac:dyDescent="0.25">
      <c r="T316" s="22"/>
    </row>
    <row r="317" spans="1:22" s="6" customFormat="1" x14ac:dyDescent="0.25">
      <c r="K317" s="281"/>
      <c r="N317" s="15"/>
    </row>
    <row r="320" spans="1:22" s="6" customFormat="1" x14ac:dyDescent="0.25">
      <c r="K320" s="281"/>
      <c r="M320" s="281"/>
      <c r="N320" s="15"/>
      <c r="O320" s="281"/>
      <c r="P320" s="281"/>
    </row>
  </sheetData>
  <mergeCells count="17">
    <mergeCell ref="M4:M5"/>
    <mergeCell ref="L4:L5"/>
    <mergeCell ref="H4:H5"/>
    <mergeCell ref="G4:G5"/>
    <mergeCell ref="F4:F5"/>
    <mergeCell ref="S4:S5"/>
    <mergeCell ref="R4:R5"/>
    <mergeCell ref="Q4:Q5"/>
    <mergeCell ref="O4:O5"/>
    <mergeCell ref="N4:N5"/>
    <mergeCell ref="C3:I3"/>
    <mergeCell ref="C4:C5"/>
    <mergeCell ref="B4:B5"/>
    <mergeCell ref="A4:A5"/>
    <mergeCell ref="K4:K5"/>
    <mergeCell ref="E4:E5"/>
    <mergeCell ref="D4:D5"/>
  </mergeCells>
  <phoneticPr fontId="0" type="noConversion"/>
  <printOptions horizontalCentered="1"/>
  <pageMargins left="0" right="0" top="0" bottom="0" header="0.51181102362204722" footer="0.51181102362204722"/>
  <pageSetup paperSize="9" scale="63" orientation="landscape" horizontalDpi="4294967292" verticalDpi="4294967292"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F0"/>
  </sheetPr>
  <dimension ref="A1:Q317"/>
  <sheetViews>
    <sheetView workbookViewId="0">
      <selection activeCell="E6" sqref="E6"/>
    </sheetView>
  </sheetViews>
  <sheetFormatPr baseColWidth="10" defaultColWidth="10.75" defaultRowHeight="15" x14ac:dyDescent="0.25"/>
  <cols>
    <col min="1" max="1" width="7.5" style="414" customWidth="1"/>
    <col min="2" max="2" width="20.25" style="414" bestFit="1" customWidth="1"/>
    <col min="3" max="3" width="6.125" style="480" bestFit="1" customWidth="1"/>
    <col min="4" max="4" width="6.5" style="150" bestFit="1" customWidth="1"/>
    <col min="5" max="5" width="8.625" style="150" bestFit="1" customWidth="1"/>
    <col min="6" max="6" width="9.5" style="414" bestFit="1" customWidth="1"/>
    <col min="7" max="7" width="10.625" style="414" customWidth="1"/>
    <col min="8" max="8" width="10.75" style="414" customWidth="1"/>
    <col min="9" max="10" width="9.375" style="414" bestFit="1" customWidth="1"/>
    <col min="11" max="11" width="9.625" style="414" bestFit="1" customWidth="1"/>
    <col min="12" max="12" width="11.25" style="414" bestFit="1" customWidth="1"/>
    <col min="13" max="13" width="8.625" style="414" bestFit="1" customWidth="1"/>
    <col min="14" max="14" width="9.5" style="414" bestFit="1" customWidth="1"/>
    <col min="15" max="15" width="10.75" style="414" customWidth="1"/>
    <col min="16" max="16" width="10.75" style="414"/>
    <col min="17" max="17" width="15.125" style="414" bestFit="1" customWidth="1"/>
    <col min="18" max="16384" width="10.75" style="414"/>
  </cols>
  <sheetData>
    <row r="1" spans="1:17" s="43" customFormat="1" ht="20.25" customHeight="1" x14ac:dyDescent="0.2">
      <c r="A1" s="632" t="s">
        <v>473</v>
      </c>
      <c r="B1" s="633"/>
      <c r="C1" s="633"/>
      <c r="D1" s="633"/>
      <c r="E1" s="633"/>
      <c r="F1" s="418"/>
      <c r="G1" s="418"/>
      <c r="H1" s="418"/>
      <c r="I1" s="418"/>
      <c r="J1" s="418"/>
      <c r="K1" s="418"/>
      <c r="L1" s="418"/>
      <c r="M1" s="418"/>
      <c r="N1" s="418"/>
    </row>
    <row r="2" spans="1:17" s="43" customFormat="1" ht="20.25" customHeight="1" x14ac:dyDescent="0.2">
      <c r="A2" s="282" t="str">
        <f>[1]Paramètres!B5</f>
        <v>Décompte 2019</v>
      </c>
      <c r="C2" s="134"/>
      <c r="D2" s="528"/>
      <c r="E2" s="528"/>
      <c r="F2" s="418"/>
      <c r="G2" s="418"/>
      <c r="H2" s="418"/>
      <c r="I2" s="418"/>
      <c r="J2" s="418"/>
      <c r="K2" s="418"/>
      <c r="L2" s="418"/>
      <c r="M2" s="418"/>
      <c r="N2" s="418"/>
    </row>
    <row r="3" spans="1:17" x14ac:dyDescent="0.25">
      <c r="D3" s="414"/>
      <c r="E3" s="414"/>
    </row>
    <row r="4" spans="1:17" ht="53.25" customHeight="1" x14ac:dyDescent="0.25">
      <c r="A4" s="582" t="s">
        <v>46</v>
      </c>
      <c r="B4" s="582" t="s">
        <v>96</v>
      </c>
      <c r="C4" s="614" t="s">
        <v>361</v>
      </c>
      <c r="D4" s="625" t="s">
        <v>362</v>
      </c>
      <c r="E4" s="625" t="s">
        <v>546</v>
      </c>
      <c r="F4" s="625" t="s">
        <v>93</v>
      </c>
      <c r="G4" s="625" t="s">
        <v>145</v>
      </c>
      <c r="H4" s="625" t="s">
        <v>139</v>
      </c>
      <c r="I4" s="625" t="s">
        <v>412</v>
      </c>
      <c r="J4" s="625" t="s">
        <v>211</v>
      </c>
      <c r="K4" s="625" t="s">
        <v>126</v>
      </c>
      <c r="L4" s="625" t="s">
        <v>212</v>
      </c>
      <c r="M4" s="625" t="s">
        <v>490</v>
      </c>
      <c r="N4" s="627" t="s">
        <v>138</v>
      </c>
      <c r="O4" s="629" t="s">
        <v>627</v>
      </c>
    </row>
    <row r="5" spans="1:17" ht="14.25" customHeight="1" x14ac:dyDescent="0.25">
      <c r="A5" s="583"/>
      <c r="B5" s="583"/>
      <c r="C5" s="615"/>
      <c r="D5" s="631"/>
      <c r="E5" s="626"/>
      <c r="F5" s="631"/>
      <c r="G5" s="626"/>
      <c r="H5" s="626"/>
      <c r="I5" s="626"/>
      <c r="J5" s="631"/>
      <c r="K5" s="626"/>
      <c r="L5" s="626"/>
      <c r="M5" s="626"/>
      <c r="N5" s="628"/>
      <c r="O5" s="630"/>
    </row>
    <row r="6" spans="1:17" s="154" customFormat="1" x14ac:dyDescent="0.25">
      <c r="A6" s="311">
        <f>'[1]B) D RI'!A7</f>
        <v>5401</v>
      </c>
      <c r="B6" s="152" t="str">
        <f>'[1]B) D RI'!B7</f>
        <v>Aigle</v>
      </c>
      <c r="C6" s="316">
        <f>'[1]B) D RI'!S7</f>
        <v>67.5</v>
      </c>
      <c r="D6" s="317">
        <f>'[1]B) D RI'!AA7</f>
        <v>10217</v>
      </c>
      <c r="E6" s="314">
        <f>'[1]D) Ecrêtage'!C5</f>
        <v>277789.63254320994</v>
      </c>
      <c r="F6" s="157">
        <f>'[1]E) Fact soc'!G11</f>
        <v>5210182.734449177</v>
      </c>
      <c r="G6" s="315">
        <f>'[1]H) Péréquation directe'!I16</f>
        <v>-3402725.6145400498</v>
      </c>
      <c r="H6" s="157">
        <f>+'[1]I) Dépenses thématiques'!O5</f>
        <v>-2980978.384066138</v>
      </c>
      <c r="I6" s="315">
        <f>'[1]K) Plafonnement aide'!J5</f>
        <v>0</v>
      </c>
      <c r="J6" s="157">
        <f>'[1]J) Plafonnement effort'!I5</f>
        <v>0</v>
      </c>
      <c r="K6" s="315">
        <f>'[1]L) Plafonnement taux'!Q6</f>
        <v>0</v>
      </c>
      <c r="L6" s="312">
        <f>F6+G6+H6+I6+J6+K6</f>
        <v>-1173521.2641570107</v>
      </c>
      <c r="M6" s="234">
        <f>'[1]M) Police'!O6</f>
        <v>331187.90492672863</v>
      </c>
      <c r="N6" s="233">
        <f>L6+M6</f>
        <v>-842333.35923028202</v>
      </c>
      <c r="O6" s="318">
        <f>SUM(G6:K6)</f>
        <v>-6383703.9986061882</v>
      </c>
      <c r="P6" s="320"/>
      <c r="Q6" s="529"/>
    </row>
    <row r="7" spans="1:17" s="154" customFormat="1" x14ac:dyDescent="0.25">
      <c r="A7" s="151">
        <f>'[1]B) D RI'!A8</f>
        <v>5402</v>
      </c>
      <c r="B7" s="152" t="str">
        <f>'[1]B) D RI'!B8</f>
        <v>Bex</v>
      </c>
      <c r="C7" s="316">
        <f>'[1]B) D RI'!S8</f>
        <v>71</v>
      </c>
      <c r="D7" s="153">
        <f>'[1]B) D RI'!AA8</f>
        <v>7869</v>
      </c>
      <c r="E7" s="314">
        <f>'[1]D) Ecrêtage'!C6</f>
        <v>185729.53788732394</v>
      </c>
      <c r="F7" s="318">
        <f>'[1]E) Fact soc'!G12</f>
        <v>3363248.323230288</v>
      </c>
      <c r="G7" s="315">
        <f>'[1]H) Péréquation directe'!I17</f>
        <v>-3542791.298948817</v>
      </c>
      <c r="H7" s="318">
        <f>+'[1]I) Dépenses thématiques'!O6</f>
        <v>-1938370.0772425835</v>
      </c>
      <c r="I7" s="315">
        <f>'[1]K) Plafonnement aide'!J6</f>
        <v>0</v>
      </c>
      <c r="J7" s="318">
        <f>'[1]J) Plafonnement effort'!I6</f>
        <v>0</v>
      </c>
      <c r="K7" s="315">
        <f>'[1]L) Plafonnement taux'!Q7</f>
        <v>0</v>
      </c>
      <c r="L7" s="313">
        <f t="shared" ref="L7:L70" si="0">F7+G7+H7+I7+J7+K7</f>
        <v>-2117913.0529611125</v>
      </c>
      <c r="M7" s="234">
        <f>'[1]M) Police'!O7</f>
        <v>221431.50546248065</v>
      </c>
      <c r="N7" s="234">
        <f t="shared" ref="N7:N70" si="1">L7+M7</f>
        <v>-1896481.5474986318</v>
      </c>
      <c r="O7" s="318">
        <f t="shared" ref="O7:O70" si="2">SUM(G7:K7)</f>
        <v>-5481161.3761914</v>
      </c>
      <c r="P7" s="320"/>
      <c r="Q7" s="529"/>
    </row>
    <row r="8" spans="1:17" s="154" customFormat="1" x14ac:dyDescent="0.25">
      <c r="A8" s="151">
        <f>'[1]B) D RI'!A9</f>
        <v>5403</v>
      </c>
      <c r="B8" s="152" t="str">
        <f>'[1]B) D RI'!B9</f>
        <v>Chessel</v>
      </c>
      <c r="C8" s="316">
        <f>'[1]B) D RI'!S9</f>
        <v>74</v>
      </c>
      <c r="D8" s="153">
        <f>'[1]B) D RI'!AA9</f>
        <v>429</v>
      </c>
      <c r="E8" s="314">
        <f>'[1]D) Ecrêtage'!C7</f>
        <v>10653.993243243245</v>
      </c>
      <c r="F8" s="318">
        <f>'[1]E) Fact soc'!G13</f>
        <v>206354.19600788265</v>
      </c>
      <c r="G8" s="315">
        <f>'[1]H) Péréquation directe'!I18</f>
        <v>-48075.693635283824</v>
      </c>
      <c r="H8" s="318">
        <f>+'[1]I) Dépenses thématiques'!O7</f>
        <v>-48694.75422131391</v>
      </c>
      <c r="I8" s="315">
        <f>'[1]K) Plafonnement aide'!J7</f>
        <v>0</v>
      </c>
      <c r="J8" s="318">
        <f>'[1]J) Plafonnement effort'!I7</f>
        <v>0</v>
      </c>
      <c r="K8" s="315">
        <f>'[1]L) Plafonnement taux'!Q8</f>
        <v>0</v>
      </c>
      <c r="L8" s="313">
        <f t="shared" si="0"/>
        <v>109583.74815128492</v>
      </c>
      <c r="M8" s="234">
        <f>'[1]M) Police'!O8</f>
        <v>32082.884862760227</v>
      </c>
      <c r="N8" s="234">
        <f t="shared" si="1"/>
        <v>141666.63301404513</v>
      </c>
      <c r="O8" s="318">
        <f t="shared" si="2"/>
        <v>-96770.447856597733</v>
      </c>
      <c r="P8" s="320"/>
      <c r="Q8" s="529"/>
    </row>
    <row r="9" spans="1:17" s="154" customFormat="1" x14ac:dyDescent="0.25">
      <c r="A9" s="151">
        <f>'[1]B) D RI'!A10</f>
        <v>5404</v>
      </c>
      <c r="B9" s="152" t="str">
        <f>'[1]B) D RI'!B10</f>
        <v>Corbeyrier</v>
      </c>
      <c r="C9" s="316">
        <f>'[1]B) D RI'!S10</f>
        <v>74</v>
      </c>
      <c r="D9" s="153">
        <f>'[1]B) D RI'!AA10</f>
        <v>437</v>
      </c>
      <c r="E9" s="314">
        <f>'[1]D) Ecrêtage'!C8</f>
        <v>14595.552612612611</v>
      </c>
      <c r="F9" s="318">
        <f>'[1]E) Fact soc'!G14</f>
        <v>309847.84535203007</v>
      </c>
      <c r="G9" s="315">
        <f>'[1]H) Péréquation directe'!I19</f>
        <v>107062.79349909286</v>
      </c>
      <c r="H9" s="318">
        <f>+'[1]I) Dépenses thématiques'!O8</f>
        <v>-140399.93651511351</v>
      </c>
      <c r="I9" s="315">
        <f>'[1]K) Plafonnement aide'!J8</f>
        <v>0</v>
      </c>
      <c r="J9" s="318">
        <f>'[1]J) Plafonnement effort'!I8</f>
        <v>0</v>
      </c>
      <c r="K9" s="315">
        <f>'[1]L) Plafonnement taux'!Q9</f>
        <v>0</v>
      </c>
      <c r="L9" s="313">
        <f t="shared" si="0"/>
        <v>276510.70233600942</v>
      </c>
      <c r="M9" s="234">
        <f>'[1]M) Police'!O9</f>
        <v>44326.723837030244</v>
      </c>
      <c r="N9" s="234">
        <f t="shared" si="1"/>
        <v>320837.42617303965</v>
      </c>
      <c r="O9" s="318">
        <f t="shared" si="2"/>
        <v>-33337.143016020651</v>
      </c>
      <c r="P9" s="320"/>
      <c r="Q9" s="529"/>
    </row>
    <row r="10" spans="1:17" s="154" customFormat="1" x14ac:dyDescent="0.25">
      <c r="A10" s="151">
        <f>'[1]B) D RI'!A11</f>
        <v>5405</v>
      </c>
      <c r="B10" s="152" t="str">
        <f>'[1]B) D RI'!B11</f>
        <v>Gryon</v>
      </c>
      <c r="C10" s="316">
        <f>'[1]B) D RI'!S11</f>
        <v>75</v>
      </c>
      <c r="D10" s="153">
        <f>'[1]B) D RI'!AA11</f>
        <v>1347</v>
      </c>
      <c r="E10" s="314">
        <f>'[1]D) Ecrêtage'!C9</f>
        <v>65705.555822222203</v>
      </c>
      <c r="F10" s="318">
        <f>'[1]E) Fact soc'!G15</f>
        <v>1312105.8004444193</v>
      </c>
      <c r="G10" s="315">
        <f>'[1]H) Péréquation directe'!I20</f>
        <v>1066861.0578884447</v>
      </c>
      <c r="H10" s="318">
        <f>+'[1]I) Dépenses thématiques'!O9</f>
        <v>-1048812.6748973592</v>
      </c>
      <c r="I10" s="315">
        <f>'[1]K) Plafonnement aide'!J9</f>
        <v>0</v>
      </c>
      <c r="J10" s="318">
        <f>'[1]J) Plafonnement effort'!I9</f>
        <v>0</v>
      </c>
      <c r="K10" s="315">
        <f>'[1]L) Plafonnement taux'!Q10</f>
        <v>0</v>
      </c>
      <c r="L10" s="313">
        <f t="shared" si="0"/>
        <v>1330154.1834355048</v>
      </c>
      <c r="M10" s="234">
        <f>'[1]M) Police'!O10</f>
        <v>195582.36206496696</v>
      </c>
      <c r="N10" s="234">
        <f t="shared" si="1"/>
        <v>1525736.5455004717</v>
      </c>
      <c r="O10" s="318">
        <f t="shared" si="2"/>
        <v>18048.382991085527</v>
      </c>
      <c r="P10" s="320"/>
      <c r="Q10" s="529"/>
    </row>
    <row r="11" spans="1:17" s="154" customFormat="1" x14ac:dyDescent="0.25">
      <c r="A11" s="151">
        <f>'[1]B) D RI'!A12</f>
        <v>5406</v>
      </c>
      <c r="B11" s="152" t="str">
        <f>'[1]B) D RI'!B12</f>
        <v>Lavey-Morcles</v>
      </c>
      <c r="C11" s="316">
        <f>'[1]B) D RI'!S12</f>
        <v>71</v>
      </c>
      <c r="D11" s="153">
        <f>'[1]B) D RI'!AA12</f>
        <v>931</v>
      </c>
      <c r="E11" s="314">
        <f>'[1]D) Ecrêtage'!C10</f>
        <v>24857.219750812561</v>
      </c>
      <c r="F11" s="318">
        <f>'[1]E) Fact soc'!G16</f>
        <v>386576.126299511</v>
      </c>
      <c r="G11" s="315">
        <f>'[1]H) Péréquation directe'!I21</f>
        <v>804.16877104144078</v>
      </c>
      <c r="H11" s="318">
        <f>+'[1]I) Dépenses thématiques'!O10</f>
        <v>-116706.83922416078</v>
      </c>
      <c r="I11" s="315">
        <f>'[1]K) Plafonnement aide'!J10</f>
        <v>0</v>
      </c>
      <c r="J11" s="318">
        <f>'[1]J) Plafonnement effort'!I10</f>
        <v>0</v>
      </c>
      <c r="K11" s="315">
        <f>'[1]L) Plafonnement taux'!Q11</f>
        <v>0</v>
      </c>
      <c r="L11" s="313">
        <f t="shared" si="0"/>
        <v>270673.45584639168</v>
      </c>
      <c r="M11" s="234">
        <f>'[1]M) Police'!O11</f>
        <v>74863.848651490087</v>
      </c>
      <c r="N11" s="234">
        <f t="shared" si="1"/>
        <v>345537.30449788179</v>
      </c>
      <c r="O11" s="318">
        <f t="shared" si="2"/>
        <v>-115902.67045311934</v>
      </c>
      <c r="P11" s="320"/>
      <c r="Q11" s="529"/>
    </row>
    <row r="12" spans="1:17" s="154" customFormat="1" x14ac:dyDescent="0.25">
      <c r="A12" s="151">
        <f>'[1]B) D RI'!A13</f>
        <v>5407</v>
      </c>
      <c r="B12" s="152" t="str">
        <f>'[1]B) D RI'!B13</f>
        <v>Leysin</v>
      </c>
      <c r="C12" s="316">
        <f>'[1]B) D RI'!S13</f>
        <v>78</v>
      </c>
      <c r="D12" s="153">
        <f>'[1]B) D RI'!AA13</f>
        <v>3776</v>
      </c>
      <c r="E12" s="314">
        <f>'[1]D) Ecrêtage'!C11</f>
        <v>90593.766196581171</v>
      </c>
      <c r="F12" s="318">
        <f>'[1]E) Fact soc'!G17</f>
        <v>1730472.4034701895</v>
      </c>
      <c r="G12" s="315">
        <f>'[1]H) Péréquation directe'!I22</f>
        <v>-1510782.0045539604</v>
      </c>
      <c r="H12" s="318">
        <f>+'[1]I) Dépenses thématiques'!O11</f>
        <v>-2159045.7562066987</v>
      </c>
      <c r="I12" s="315">
        <f>'[1]K) Plafonnement aide'!J11</f>
        <v>0</v>
      </c>
      <c r="J12" s="318">
        <f>'[1]J) Plafonnement effort'!I11</f>
        <v>0</v>
      </c>
      <c r="K12" s="315">
        <f>'[1]L) Plafonnement taux'!Q12</f>
        <v>0</v>
      </c>
      <c r="L12" s="313">
        <f t="shared" si="0"/>
        <v>-1939355.3572904696</v>
      </c>
      <c r="M12" s="234">
        <f>'[1]M) Police'!O12</f>
        <v>267041.59568369051</v>
      </c>
      <c r="N12" s="234">
        <f t="shared" si="1"/>
        <v>-1672313.7616067789</v>
      </c>
      <c r="O12" s="318">
        <f t="shared" si="2"/>
        <v>-3669827.7607606594</v>
      </c>
      <c r="P12" s="320"/>
      <c r="Q12" s="529"/>
    </row>
    <row r="13" spans="1:17" s="154" customFormat="1" x14ac:dyDescent="0.25">
      <c r="A13" s="151">
        <f>'[1]B) D RI'!A14</f>
        <v>5408</v>
      </c>
      <c r="B13" s="152" t="str">
        <f>'[1]B) D RI'!B14</f>
        <v>Noville</v>
      </c>
      <c r="C13" s="316">
        <f>'[1]B) D RI'!S14</f>
        <v>78.5</v>
      </c>
      <c r="D13" s="153">
        <f>'[1]B) D RI'!AA14</f>
        <v>1167</v>
      </c>
      <c r="E13" s="314">
        <f>'[1]D) Ecrêtage'!C12</f>
        <v>28671.623864118894</v>
      </c>
      <c r="F13" s="318">
        <f>'[1]E) Fact soc'!G18</f>
        <v>773752.70598031348</v>
      </c>
      <c r="G13" s="315">
        <f>'[1]H) Péréquation directe'!I23</f>
        <v>-252999.15894871007</v>
      </c>
      <c r="H13" s="318">
        <f>+'[1]I) Dépenses thématiques'!O12</f>
        <v>-278987.68781439052</v>
      </c>
      <c r="I13" s="315">
        <f>'[1]K) Plafonnement aide'!J12</f>
        <v>0</v>
      </c>
      <c r="J13" s="318">
        <f>'[1]J) Plafonnement effort'!I12</f>
        <v>0</v>
      </c>
      <c r="K13" s="315">
        <f>'[1]L) Plafonnement taux'!Q13</f>
        <v>0</v>
      </c>
      <c r="L13" s="313">
        <f t="shared" si="0"/>
        <v>241765.85921721288</v>
      </c>
      <c r="M13" s="234">
        <f>'[1]M) Police'!O13</f>
        <v>84051.527124856657</v>
      </c>
      <c r="N13" s="234">
        <f t="shared" si="1"/>
        <v>325817.38634206954</v>
      </c>
      <c r="O13" s="318">
        <f t="shared" si="2"/>
        <v>-531986.84676310059</v>
      </c>
      <c r="P13" s="320"/>
      <c r="Q13" s="529"/>
    </row>
    <row r="14" spans="1:17" s="154" customFormat="1" x14ac:dyDescent="0.25">
      <c r="A14" s="151">
        <f>'[1]B) D RI'!A15</f>
        <v>5409</v>
      </c>
      <c r="B14" s="152" t="str">
        <f>'[1]B) D RI'!B15</f>
        <v>Ollon</v>
      </c>
      <c r="C14" s="316">
        <f>'[1]B) D RI'!S15</f>
        <v>68</v>
      </c>
      <c r="D14" s="153">
        <f>'[1]B) D RI'!AA15</f>
        <v>7560</v>
      </c>
      <c r="E14" s="314">
        <f>'[1]D) Ecrêtage'!C13</f>
        <v>399776.03154977376</v>
      </c>
      <c r="F14" s="318">
        <f>'[1]E) Fact soc'!G19</f>
        <v>8030699.6367016761</v>
      </c>
      <c r="G14" s="315">
        <f>'[1]H) Péréquation directe'!I24</f>
        <v>4620289.0554518336</v>
      </c>
      <c r="H14" s="318">
        <f>+'[1]I) Dépenses thématiques'!O13</f>
        <v>-2371989.5309431036</v>
      </c>
      <c r="I14" s="315">
        <f>'[1]K) Plafonnement aide'!J13</f>
        <v>0</v>
      </c>
      <c r="J14" s="318">
        <f>'[1]J) Plafonnement effort'!I13</f>
        <v>0</v>
      </c>
      <c r="K14" s="315">
        <f>'[1]L) Plafonnement taux'!Q14</f>
        <v>0</v>
      </c>
      <c r="L14" s="313">
        <f t="shared" si="0"/>
        <v>10278999.161210407</v>
      </c>
      <c r="M14" s="234">
        <f>'[1]M) Police'!O14</f>
        <v>476623.20986114012</v>
      </c>
      <c r="N14" s="234">
        <f t="shared" si="1"/>
        <v>10755622.371071547</v>
      </c>
      <c r="O14" s="318">
        <f t="shared" si="2"/>
        <v>2248299.52450873</v>
      </c>
      <c r="P14" s="320"/>
      <c r="Q14" s="529"/>
    </row>
    <row r="15" spans="1:17" s="154" customFormat="1" x14ac:dyDescent="0.25">
      <c r="A15" s="151">
        <f>'[1]B) D RI'!A16</f>
        <v>5410</v>
      </c>
      <c r="B15" s="152" t="str">
        <f>'[1]B) D RI'!B16</f>
        <v>Ormont-Dessous</v>
      </c>
      <c r="C15" s="316">
        <f>'[1]B) D RI'!S16</f>
        <v>78.5</v>
      </c>
      <c r="D15" s="153">
        <f>'[1]B) D RI'!AA16</f>
        <v>1141</v>
      </c>
      <c r="E15" s="314">
        <f>'[1]D) Ecrêtage'!C14</f>
        <v>38431.903864118896</v>
      </c>
      <c r="F15" s="318">
        <f>'[1]E) Fact soc'!G20</f>
        <v>749270.30253441597</v>
      </c>
      <c r="G15" s="315">
        <f>'[1]H) Péréquation directe'!I25</f>
        <v>219452.25443192711</v>
      </c>
      <c r="H15" s="318">
        <f>+'[1]I) Dépenses thématiques'!O14</f>
        <v>-996578.86033393291</v>
      </c>
      <c r="I15" s="315">
        <f>'[1]K) Plafonnement aide'!J14</f>
        <v>0</v>
      </c>
      <c r="J15" s="318">
        <f>'[1]J) Plafonnement effort'!I14</f>
        <v>0</v>
      </c>
      <c r="K15" s="315">
        <f>'[1]L) Plafonnement taux'!Q15</f>
        <v>0</v>
      </c>
      <c r="L15" s="313">
        <f t="shared" si="0"/>
        <v>-27856.303367589833</v>
      </c>
      <c r="M15" s="234">
        <f>'[1]M) Police'!O15</f>
        <v>112629.47226047951</v>
      </c>
      <c r="N15" s="234">
        <f t="shared" si="1"/>
        <v>84773.168892889676</v>
      </c>
      <c r="O15" s="318">
        <f t="shared" si="2"/>
        <v>-777126.6059020058</v>
      </c>
      <c r="P15" s="320"/>
      <c r="Q15" s="529"/>
    </row>
    <row r="16" spans="1:17" s="154" customFormat="1" x14ac:dyDescent="0.25">
      <c r="A16" s="151">
        <f>'[1]B) D RI'!A17</f>
        <v>5411</v>
      </c>
      <c r="B16" s="152" t="str">
        <f>'[1]B) D RI'!B17</f>
        <v>Ormont-Dessus</v>
      </c>
      <c r="C16" s="316">
        <f>'[1]B) D RI'!S17</f>
        <v>76</v>
      </c>
      <c r="D16" s="153">
        <f>'[1]B) D RI'!AA17</f>
        <v>1434</v>
      </c>
      <c r="E16" s="314">
        <f>'[1]D) Ecrêtage'!C15</f>
        <v>73250.08368421052</v>
      </c>
      <c r="F16" s="318">
        <f>'[1]E) Fact soc'!G21</f>
        <v>1518692.2547864781</v>
      </c>
      <c r="G16" s="315">
        <f>'[1]H) Péréquation directe'!I26</f>
        <v>1187198.9258265225</v>
      </c>
      <c r="H16" s="318">
        <f>+'[1]I) Dépenses thématiques'!O15</f>
        <v>-932421.12260084273</v>
      </c>
      <c r="I16" s="315">
        <f>'[1]K) Plafonnement aide'!J15</f>
        <v>0</v>
      </c>
      <c r="J16" s="318">
        <f>'[1]J) Plafonnement effort'!I15</f>
        <v>0</v>
      </c>
      <c r="K16" s="315">
        <f>'[1]L) Plafonnement taux'!Q16</f>
        <v>0</v>
      </c>
      <c r="L16" s="313">
        <f t="shared" si="0"/>
        <v>1773470.0580121581</v>
      </c>
      <c r="M16" s="234">
        <f>'[1]M) Police'!O16</f>
        <v>211270.34591287683</v>
      </c>
      <c r="N16" s="234">
        <f t="shared" si="1"/>
        <v>1984740.4039250349</v>
      </c>
      <c r="O16" s="318">
        <f t="shared" si="2"/>
        <v>254777.80322567979</v>
      </c>
      <c r="P16" s="320"/>
      <c r="Q16" s="529"/>
    </row>
    <row r="17" spans="1:17" s="154" customFormat="1" x14ac:dyDescent="0.25">
      <c r="A17" s="151">
        <f>'[1]B) D RI'!A18</f>
        <v>5412</v>
      </c>
      <c r="B17" s="152" t="str">
        <f>'[1]B) D RI'!B18</f>
        <v>Rennaz</v>
      </c>
      <c r="C17" s="316">
        <f>'[1]B) D RI'!S18</f>
        <v>67.5</v>
      </c>
      <c r="D17" s="153">
        <f>'[1]B) D RI'!AA18</f>
        <v>871</v>
      </c>
      <c r="E17" s="314">
        <f>'[1]D) Ecrêtage'!C16</f>
        <v>24302.490518518523</v>
      </c>
      <c r="F17" s="318">
        <f>'[1]E) Fact soc'!G22</f>
        <v>415965.80905807531</v>
      </c>
      <c r="G17" s="315">
        <f>'[1]H) Péréquation directe'!I27</f>
        <v>74741.997396932042</v>
      </c>
      <c r="H17" s="318">
        <f>+'[1]I) Dépenses thématiques'!O16</f>
        <v>-87730.488967625322</v>
      </c>
      <c r="I17" s="315">
        <f>'[1]K) Plafonnement aide'!J16</f>
        <v>0</v>
      </c>
      <c r="J17" s="318">
        <f>'[1]J) Plafonnement effort'!I16</f>
        <v>0</v>
      </c>
      <c r="K17" s="315">
        <f>'[1]L) Plafonnement taux'!Q17</f>
        <v>0</v>
      </c>
      <c r="L17" s="313">
        <f t="shared" si="0"/>
        <v>402977.31748738204</v>
      </c>
      <c r="M17" s="234">
        <f>'[1]M) Police'!O17</f>
        <v>73715.888112848566</v>
      </c>
      <c r="N17" s="234">
        <f t="shared" si="1"/>
        <v>476693.20560023061</v>
      </c>
      <c r="O17" s="318">
        <f t="shared" si="2"/>
        <v>-12988.491570693281</v>
      </c>
      <c r="P17" s="320"/>
      <c r="Q17" s="529"/>
    </row>
    <row r="18" spans="1:17" s="154" customFormat="1" x14ac:dyDescent="0.25">
      <c r="A18" s="151">
        <f>'[1]B) D RI'!A19</f>
        <v>5413</v>
      </c>
      <c r="B18" s="152" t="str">
        <f>'[1]B) D RI'!B19</f>
        <v>Roche</v>
      </c>
      <c r="C18" s="316">
        <f>'[1]B) D RI'!S19</f>
        <v>68</v>
      </c>
      <c r="D18" s="153">
        <f>'[1]B) D RI'!AA19</f>
        <v>1826</v>
      </c>
      <c r="E18" s="314">
        <f>'[1]D) Ecrêtage'!C17</f>
        <v>45084.327818627447</v>
      </c>
      <c r="F18" s="318">
        <f>'[1]E) Fact soc'!G23</f>
        <v>932862.73318605835</v>
      </c>
      <c r="G18" s="315">
        <f>'[1]H) Péréquation directe'!I28</f>
        <v>-264203.43344149389</v>
      </c>
      <c r="H18" s="318">
        <f>+'[1]I) Dépenses thématiques'!O17</f>
        <v>0</v>
      </c>
      <c r="I18" s="315">
        <f>'[1]K) Plafonnement aide'!J17</f>
        <v>0</v>
      </c>
      <c r="J18" s="318">
        <f>'[1]J) Plafonnement effort'!I17</f>
        <v>0</v>
      </c>
      <c r="K18" s="315">
        <f>'[1]L) Plafonnement taux'!Q18</f>
        <v>0</v>
      </c>
      <c r="L18" s="313">
        <f t="shared" si="0"/>
        <v>668659.29974456446</v>
      </c>
      <c r="M18" s="234">
        <f>'[1]M) Police'!O18</f>
        <v>135882.10933274229</v>
      </c>
      <c r="N18" s="234">
        <f t="shared" si="1"/>
        <v>804541.40907730674</v>
      </c>
      <c r="O18" s="318">
        <f t="shared" si="2"/>
        <v>-264203.43344149389</v>
      </c>
      <c r="P18" s="320"/>
      <c r="Q18" s="529"/>
    </row>
    <row r="19" spans="1:17" s="154" customFormat="1" x14ac:dyDescent="0.25">
      <c r="A19" s="151">
        <f>'[1]B) D RI'!A20</f>
        <v>5414</v>
      </c>
      <c r="B19" s="152" t="str">
        <f>'[1]B) D RI'!B20</f>
        <v>Villeneuve</v>
      </c>
      <c r="C19" s="316">
        <f>'[1]B) D RI'!S20</f>
        <v>69</v>
      </c>
      <c r="D19" s="153">
        <f>'[1]B) D RI'!AA20</f>
        <v>5772</v>
      </c>
      <c r="E19" s="314">
        <f>'[1]D) Ecrêtage'!C18</f>
        <v>167595.35260869566</v>
      </c>
      <c r="F19" s="318">
        <f>'[1]E) Fact soc'!G24</f>
        <v>3791454.8488014084</v>
      </c>
      <c r="G19" s="315">
        <f>'[1]H) Péréquation directe'!I29</f>
        <v>-914863.94018646423</v>
      </c>
      <c r="H19" s="318">
        <f>+'[1]I) Dépenses thématiques'!O18</f>
        <v>-1912795.9805848359</v>
      </c>
      <c r="I19" s="315">
        <f>'[1]K) Plafonnement aide'!J18</f>
        <v>0</v>
      </c>
      <c r="J19" s="318">
        <f>'[1]J) Plafonnement effort'!I18</f>
        <v>0</v>
      </c>
      <c r="K19" s="315">
        <f>'[1]L) Plafonnement taux'!Q19</f>
        <v>0</v>
      </c>
      <c r="L19" s="313">
        <f t="shared" si="0"/>
        <v>963794.92803010833</v>
      </c>
      <c r="M19" s="234">
        <f>'[1]M) Police'!O19</f>
        <v>496398.56247807364</v>
      </c>
      <c r="N19" s="234">
        <f t="shared" si="1"/>
        <v>1460193.490508182</v>
      </c>
      <c r="O19" s="318">
        <f t="shared" si="2"/>
        <v>-2827659.9207712999</v>
      </c>
      <c r="P19" s="320"/>
      <c r="Q19" s="529"/>
    </row>
    <row r="20" spans="1:17" s="154" customFormat="1" x14ac:dyDescent="0.25">
      <c r="A20" s="151">
        <f>'[1]B) D RI'!A21</f>
        <v>5415</v>
      </c>
      <c r="B20" s="152" t="str">
        <f>'[1]B) D RI'!B21</f>
        <v>Yvorne</v>
      </c>
      <c r="C20" s="316">
        <f>'[1]B) D RI'!S21</f>
        <v>71.5</v>
      </c>
      <c r="D20" s="153">
        <f>'[1]B) D RI'!AA21</f>
        <v>1071</v>
      </c>
      <c r="E20" s="314">
        <f>'[1]D) Ecrêtage'!C19</f>
        <v>39170.690675990678</v>
      </c>
      <c r="F20" s="318">
        <f>'[1]E) Fact soc'!G25</f>
        <v>763324.50122795452</v>
      </c>
      <c r="G20" s="315">
        <f>'[1]H) Péréquation directe'!I30</f>
        <v>404345.18473594345</v>
      </c>
      <c r="H20" s="318">
        <f>+'[1]I) Dépenses thématiques'!O19</f>
        <v>-179397.17132212708</v>
      </c>
      <c r="I20" s="315">
        <f>'[1]K) Plafonnement aide'!J19</f>
        <v>0</v>
      </c>
      <c r="J20" s="318">
        <f>'[1]J) Plafonnement effort'!I19</f>
        <v>0</v>
      </c>
      <c r="K20" s="315">
        <f>'[1]L) Plafonnement taux'!Q20</f>
        <v>0</v>
      </c>
      <c r="L20" s="313">
        <f t="shared" si="0"/>
        <v>988272.51464177086</v>
      </c>
      <c r="M20" s="234">
        <f>'[1]M) Police'!O20</f>
        <v>118651.34544416031</v>
      </c>
      <c r="N20" s="234">
        <f t="shared" si="1"/>
        <v>1106923.8600859311</v>
      </c>
      <c r="O20" s="318">
        <f t="shared" si="2"/>
        <v>224948.01341381637</v>
      </c>
      <c r="P20" s="320"/>
      <c r="Q20" s="529"/>
    </row>
    <row r="21" spans="1:17" s="154" customFormat="1" x14ac:dyDescent="0.25">
      <c r="A21" s="151">
        <f>'[1]B) D RI'!A22</f>
        <v>5421</v>
      </c>
      <c r="B21" s="152" t="str">
        <f>'[1]B) D RI'!B22</f>
        <v>Apples</v>
      </c>
      <c r="C21" s="316">
        <f>'[1]B) D RI'!S22</f>
        <v>76</v>
      </c>
      <c r="D21" s="153">
        <f>'[1]B) D RI'!AA22</f>
        <v>1460</v>
      </c>
      <c r="E21" s="314">
        <f>'[1]D) Ecrêtage'!C20</f>
        <v>70612.156710526324</v>
      </c>
      <c r="F21" s="318">
        <f>'[1]E) Fact soc'!G26</f>
        <v>1261252.481074976</v>
      </c>
      <c r="G21" s="315">
        <f>'[1]H) Péréquation directe'!I31</f>
        <v>1125276.9615885508</v>
      </c>
      <c r="H21" s="318">
        <f>+'[1]I) Dépenses thématiques'!O20</f>
        <v>-254533.01856888458</v>
      </c>
      <c r="I21" s="315">
        <f>'[1]K) Plafonnement aide'!J20</f>
        <v>0</v>
      </c>
      <c r="J21" s="318">
        <f>'[1]J) Plafonnement effort'!I20</f>
        <v>0</v>
      </c>
      <c r="K21" s="315">
        <f>'[1]L) Plafonnement taux'!Q21</f>
        <v>0</v>
      </c>
      <c r="L21" s="313">
        <f t="shared" si="0"/>
        <v>2131996.4240946425</v>
      </c>
      <c r="M21" s="234">
        <f>'[1]M) Police'!O21</f>
        <v>211767.23986847172</v>
      </c>
      <c r="N21" s="234">
        <f t="shared" si="1"/>
        <v>2343763.6639631144</v>
      </c>
      <c r="O21" s="318">
        <f t="shared" si="2"/>
        <v>870743.94301966624</v>
      </c>
      <c r="P21" s="320"/>
      <c r="Q21" s="529"/>
    </row>
    <row r="22" spans="1:17" s="154" customFormat="1" x14ac:dyDescent="0.25">
      <c r="A22" s="151">
        <f>'[1]B) D RI'!A23</f>
        <v>5422</v>
      </c>
      <c r="B22" s="152" t="str">
        <f>'[1]B) D RI'!B23</f>
        <v>Aubonne</v>
      </c>
      <c r="C22" s="316">
        <f>'[1]B) D RI'!S23</f>
        <v>70</v>
      </c>
      <c r="D22" s="153">
        <f>'[1]B) D RI'!AA23</f>
        <v>3276</v>
      </c>
      <c r="E22" s="314">
        <f>'[1]D) Ecrêtage'!C21</f>
        <v>231171.83385714272</v>
      </c>
      <c r="F22" s="318">
        <f>'[1]E) Fact soc'!G27</f>
        <v>5495655.2422491331</v>
      </c>
      <c r="G22" s="315">
        <f>'[1]H) Péréquation directe'!I32</f>
        <v>3657139.3613272482</v>
      </c>
      <c r="H22" s="318">
        <f>+'[1]I) Dépenses thématiques'!O21</f>
        <v>0</v>
      </c>
      <c r="I22" s="315">
        <f>'[1]K) Plafonnement aide'!J21</f>
        <v>0</v>
      </c>
      <c r="J22" s="318">
        <f>'[1]J) Plafonnement effort'!I21</f>
        <v>0</v>
      </c>
      <c r="K22" s="315">
        <f>'[1]L) Plafonnement taux'!Q22</f>
        <v>0</v>
      </c>
      <c r="L22" s="313">
        <f t="shared" si="0"/>
        <v>9152794.6035763808</v>
      </c>
      <c r="M22" s="234">
        <f>'[1]M) Police'!O22</f>
        <v>561881.15728722629</v>
      </c>
      <c r="N22" s="234">
        <f t="shared" si="1"/>
        <v>9714675.7608636077</v>
      </c>
      <c r="O22" s="318">
        <f t="shared" si="2"/>
        <v>3657139.3613272482</v>
      </c>
      <c r="P22" s="320"/>
      <c r="Q22" s="529"/>
    </row>
    <row r="23" spans="1:17" s="154" customFormat="1" x14ac:dyDescent="0.25">
      <c r="A23" s="151">
        <f>'[1]B) D RI'!A24</f>
        <v>5423</v>
      </c>
      <c r="B23" s="152" t="str">
        <f>'[1]B) D RI'!B24</f>
        <v>Ballens</v>
      </c>
      <c r="C23" s="316">
        <f>'[1]B) D RI'!S24</f>
        <v>73</v>
      </c>
      <c r="D23" s="153">
        <f>'[1]B) D RI'!AA24</f>
        <v>545</v>
      </c>
      <c r="E23" s="314">
        <f>'[1]D) Ecrêtage'!C22</f>
        <v>16262.42684931507</v>
      </c>
      <c r="F23" s="318">
        <f>'[1]E) Fact soc'!G28</f>
        <v>288962.9304933555</v>
      </c>
      <c r="G23" s="315">
        <f>'[1]H) Péréquation directe'!I33</f>
        <v>58118.707266307436</v>
      </c>
      <c r="H23" s="318">
        <f>+'[1]I) Dépenses thématiques'!O22</f>
        <v>-80876.415743834703</v>
      </c>
      <c r="I23" s="315">
        <f>'[1]K) Plafonnement aide'!J22</f>
        <v>0</v>
      </c>
      <c r="J23" s="318">
        <f>'[1]J) Plafonnement effort'!I22</f>
        <v>0</v>
      </c>
      <c r="K23" s="315">
        <f>'[1]L) Plafonnement taux'!Q23</f>
        <v>0</v>
      </c>
      <c r="L23" s="313">
        <f t="shared" si="0"/>
        <v>266205.22201582824</v>
      </c>
      <c r="M23" s="234">
        <f>'[1]M) Police'!O23</f>
        <v>49636.256849304613</v>
      </c>
      <c r="N23" s="234">
        <f t="shared" si="1"/>
        <v>315841.47886513284</v>
      </c>
      <c r="O23" s="318">
        <f t="shared" si="2"/>
        <v>-22757.708477527267</v>
      </c>
      <c r="P23" s="320"/>
      <c r="Q23" s="529"/>
    </row>
    <row r="24" spans="1:17" s="154" customFormat="1" x14ac:dyDescent="0.25">
      <c r="A24" s="151">
        <f>'[1]B) D RI'!A25</f>
        <v>5424</v>
      </c>
      <c r="B24" s="152" t="str">
        <f>'[1]B) D RI'!B25</f>
        <v>Berolle</v>
      </c>
      <c r="C24" s="316">
        <f>'[1]B) D RI'!S25</f>
        <v>77</v>
      </c>
      <c r="D24" s="153">
        <f>'[1]B) D RI'!AA25</f>
        <v>300</v>
      </c>
      <c r="E24" s="314">
        <f>'[1]D) Ecrêtage'!C23</f>
        <v>9281.7425974025955</v>
      </c>
      <c r="F24" s="318">
        <f>'[1]E) Fact soc'!G29</f>
        <v>141611.621543285</v>
      </c>
      <c r="G24" s="315">
        <f>'[1]H) Péréquation directe'!I34</f>
        <v>34019.548549449974</v>
      </c>
      <c r="H24" s="318">
        <f>+'[1]I) Dépenses thématiques'!O23</f>
        <v>-40563.913492354957</v>
      </c>
      <c r="I24" s="315">
        <f>'[1]K) Plafonnement aide'!J23</f>
        <v>0</v>
      </c>
      <c r="J24" s="318">
        <f>'[1]J) Plafonnement effort'!I23</f>
        <v>0</v>
      </c>
      <c r="K24" s="315">
        <f>'[1]L) Plafonnement taux'!Q24</f>
        <v>0</v>
      </c>
      <c r="L24" s="313">
        <f t="shared" si="0"/>
        <v>135067.25660038</v>
      </c>
      <c r="M24" s="234">
        <f>'[1]M) Police'!O24</f>
        <v>28307.052481636754</v>
      </c>
      <c r="N24" s="234">
        <f t="shared" si="1"/>
        <v>163374.30908201676</v>
      </c>
      <c r="O24" s="318">
        <f t="shared" si="2"/>
        <v>-6544.3649429049838</v>
      </c>
      <c r="P24" s="320"/>
      <c r="Q24" s="529"/>
    </row>
    <row r="25" spans="1:17" s="154" customFormat="1" x14ac:dyDescent="0.25">
      <c r="A25" s="151">
        <f>'[1]B) D RI'!A26</f>
        <v>5425</v>
      </c>
      <c r="B25" s="152" t="str">
        <f>'[1]B) D RI'!B26</f>
        <v>Bière</v>
      </c>
      <c r="C25" s="316">
        <f>'[1]B) D RI'!S26</f>
        <v>70</v>
      </c>
      <c r="D25" s="153">
        <f>'[1]B) D RI'!AA26</f>
        <v>1596</v>
      </c>
      <c r="E25" s="314">
        <f>'[1]D) Ecrêtage'!C24</f>
        <v>39522.239817733993</v>
      </c>
      <c r="F25" s="318">
        <f>'[1]E) Fact soc'!G30</f>
        <v>750863.6899306674</v>
      </c>
      <c r="G25" s="315">
        <f>'[1]H) Péréquation directe'!I35</f>
        <v>-236972.43257779675</v>
      </c>
      <c r="H25" s="318">
        <f>+'[1]I) Dépenses thématiques'!O24</f>
        <v>-580914.55960819568</v>
      </c>
      <c r="I25" s="315">
        <f>'[1]K) Plafonnement aide'!J24</f>
        <v>0</v>
      </c>
      <c r="J25" s="318">
        <f>'[1]J) Plafonnement effort'!I24</f>
        <v>0</v>
      </c>
      <c r="K25" s="315">
        <f>'[1]L) Plafonnement taux'!Q25</f>
        <v>0</v>
      </c>
      <c r="L25" s="313">
        <f t="shared" si="0"/>
        <v>-67023.302255325019</v>
      </c>
      <c r="M25" s="234">
        <f>'[1]M) Police'!O25</f>
        <v>119997.72716865179</v>
      </c>
      <c r="N25" s="234">
        <f t="shared" si="1"/>
        <v>52974.424913326773</v>
      </c>
      <c r="O25" s="318">
        <f t="shared" si="2"/>
        <v>-817886.99218599242</v>
      </c>
      <c r="P25" s="320"/>
      <c r="Q25" s="529"/>
    </row>
    <row r="26" spans="1:17" s="154" customFormat="1" x14ac:dyDescent="0.25">
      <c r="A26" s="151">
        <f>'[1]B) D RI'!A27</f>
        <v>5426</v>
      </c>
      <c r="B26" s="152" t="str">
        <f>'[1]B) D RI'!B27</f>
        <v>Bougy-Villars</v>
      </c>
      <c r="C26" s="316">
        <f>'[1]B) D RI'!S27</f>
        <v>66</v>
      </c>
      <c r="D26" s="153">
        <f>'[1]B) D RI'!AA27</f>
        <v>475</v>
      </c>
      <c r="E26" s="314">
        <f>'[1]D) Ecrêtage'!C25</f>
        <v>52073.160505050502</v>
      </c>
      <c r="F26" s="318">
        <f>'[1]E) Fact soc'!G31</f>
        <v>1651467.7306426382</v>
      </c>
      <c r="G26" s="315">
        <f>'[1]H) Péréquation directe'!I36</f>
        <v>982137.95962206542</v>
      </c>
      <c r="H26" s="318">
        <f>+'[1]I) Dépenses thématiques'!O25</f>
        <v>0</v>
      </c>
      <c r="I26" s="315">
        <f>'[1]K) Plafonnement aide'!J25</f>
        <v>0</v>
      </c>
      <c r="J26" s="318">
        <f>'[1]J) Plafonnement effort'!I25</f>
        <v>-290313.46753743105</v>
      </c>
      <c r="K26" s="315">
        <f>'[1]L) Plafonnement taux'!Q26</f>
        <v>0</v>
      </c>
      <c r="L26" s="313">
        <f t="shared" si="0"/>
        <v>2343292.2227272727</v>
      </c>
      <c r="M26" s="234">
        <f>'[1]M) Police'!O26</f>
        <v>103590.67285550627</v>
      </c>
      <c r="N26" s="234">
        <f t="shared" si="1"/>
        <v>2446882.8955827788</v>
      </c>
      <c r="O26" s="318">
        <f t="shared" si="2"/>
        <v>691824.49208463437</v>
      </c>
      <c r="P26" s="320"/>
      <c r="Q26" s="529"/>
    </row>
    <row r="27" spans="1:17" s="154" customFormat="1" x14ac:dyDescent="0.25">
      <c r="A27" s="151">
        <f>'[1]B) D RI'!A28</f>
        <v>5427</v>
      </c>
      <c r="B27" s="152" t="str">
        <f>'[1]B) D RI'!B28</f>
        <v>Féchy</v>
      </c>
      <c r="C27" s="316">
        <f>'[1]B) D RI'!S28</f>
        <v>64</v>
      </c>
      <c r="D27" s="153">
        <f>'[1]B) D RI'!AA28</f>
        <v>861</v>
      </c>
      <c r="E27" s="314">
        <f>'[1]D) Ecrêtage'!C26</f>
        <v>86749.440144230772</v>
      </c>
      <c r="F27" s="318">
        <f>'[1]E) Fact soc'!G32</f>
        <v>2544465.6345609678</v>
      </c>
      <c r="G27" s="315">
        <f>'[1]H) Péréquation directe'!I37</f>
        <v>1627402.8618298196</v>
      </c>
      <c r="H27" s="318">
        <f>+'[1]I) Dépenses thématiques'!O26</f>
        <v>0</v>
      </c>
      <c r="I27" s="315">
        <f>'[1]K) Plafonnement aide'!J26</f>
        <v>0</v>
      </c>
      <c r="J27" s="318">
        <f>'[1]J) Plafonnement effort'!I26</f>
        <v>-268143.68990040268</v>
      </c>
      <c r="K27" s="315">
        <f>'[1]L) Plafonnement taux'!Q27</f>
        <v>0</v>
      </c>
      <c r="L27" s="313">
        <f t="shared" si="0"/>
        <v>3903724.806490385</v>
      </c>
      <c r="M27" s="234">
        <f>'[1]M) Police'!O27</f>
        <v>178663.10360773228</v>
      </c>
      <c r="N27" s="234">
        <f t="shared" si="1"/>
        <v>4082387.9100981173</v>
      </c>
      <c r="O27" s="318">
        <f t="shared" si="2"/>
        <v>1359259.1719294169</v>
      </c>
      <c r="P27" s="320"/>
      <c r="Q27" s="529"/>
    </row>
    <row r="28" spans="1:17" s="154" customFormat="1" x14ac:dyDescent="0.25">
      <c r="A28" s="151">
        <f>'[1]B) D RI'!A29</f>
        <v>5428</v>
      </c>
      <c r="B28" s="152" t="str">
        <f>'[1]B) D RI'!B29</f>
        <v>Gimel</v>
      </c>
      <c r="C28" s="316">
        <f>'[1]B) D RI'!S29</f>
        <v>74.5</v>
      </c>
      <c r="D28" s="153">
        <f>'[1]B) D RI'!AA29</f>
        <v>2238</v>
      </c>
      <c r="E28" s="314">
        <f>'[1]D) Ecrêtage'!C27</f>
        <v>66171.009865771834</v>
      </c>
      <c r="F28" s="318">
        <f>'[1]E) Fact soc'!G33</f>
        <v>1221259.428748192</v>
      </c>
      <c r="G28" s="315">
        <f>'[1]H) Péréquation directe'!I38</f>
        <v>-100763.0167446679</v>
      </c>
      <c r="H28" s="318">
        <f>+'[1]I) Dépenses thématiques'!O27</f>
        <v>-262726.02437352511</v>
      </c>
      <c r="I28" s="315">
        <f>'[1]K) Plafonnement aide'!J27</f>
        <v>0</v>
      </c>
      <c r="J28" s="318">
        <f>'[1]J) Plafonnement effort'!I27</f>
        <v>0</v>
      </c>
      <c r="K28" s="315">
        <f>'[1]L) Plafonnement taux'!Q28</f>
        <v>0</v>
      </c>
      <c r="L28" s="313">
        <f t="shared" si="0"/>
        <v>857770.38762999908</v>
      </c>
      <c r="M28" s="234">
        <f>'[1]M) Police'!O28</f>
        <v>201074.96397095727</v>
      </c>
      <c r="N28" s="234">
        <f t="shared" si="1"/>
        <v>1058845.3516009564</v>
      </c>
      <c r="O28" s="318">
        <f t="shared" si="2"/>
        <v>-363489.04111819301</v>
      </c>
      <c r="P28" s="320"/>
      <c r="Q28" s="529"/>
    </row>
    <row r="29" spans="1:17" s="154" customFormat="1" x14ac:dyDescent="0.25">
      <c r="A29" s="151">
        <f>'[1]B) D RI'!A30</f>
        <v>5429</v>
      </c>
      <c r="B29" s="152" t="str">
        <f>'[1]B) D RI'!B30</f>
        <v>Longirod</v>
      </c>
      <c r="C29" s="316">
        <f>'[1]B) D RI'!S30</f>
        <v>81</v>
      </c>
      <c r="D29" s="153">
        <f>'[1]B) D RI'!AA30</f>
        <v>482</v>
      </c>
      <c r="E29" s="314">
        <f>'[1]D) Ecrêtage'!C28</f>
        <v>15311.416666666666</v>
      </c>
      <c r="F29" s="318">
        <f>'[1]E) Fact soc'!G34</f>
        <v>263414.67188112694</v>
      </c>
      <c r="G29" s="315">
        <f>'[1]H) Péréquation directe'!I39</f>
        <v>53472.406295064895</v>
      </c>
      <c r="H29" s="318">
        <f>+'[1]I) Dépenses thématiques'!O28</f>
        <v>-72546.873567125862</v>
      </c>
      <c r="I29" s="315">
        <f>'[1]K) Plafonnement aide'!J28</f>
        <v>0</v>
      </c>
      <c r="J29" s="318">
        <f>'[1]J) Plafonnement effort'!I28</f>
        <v>0</v>
      </c>
      <c r="K29" s="315">
        <f>'[1]L) Plafonnement taux'!Q29</f>
        <v>0</v>
      </c>
      <c r="L29" s="313">
        <f t="shared" si="0"/>
        <v>244340.20460906596</v>
      </c>
      <c r="M29" s="234">
        <f>'[1]M) Police'!O29</f>
        <v>46401.308248194968</v>
      </c>
      <c r="N29" s="234">
        <f t="shared" si="1"/>
        <v>290741.51285726094</v>
      </c>
      <c r="O29" s="318">
        <f t="shared" si="2"/>
        <v>-19074.467272060967</v>
      </c>
      <c r="P29" s="320"/>
      <c r="Q29" s="529"/>
    </row>
    <row r="30" spans="1:17" s="154" customFormat="1" x14ac:dyDescent="0.25">
      <c r="A30" s="151">
        <f>'[1]B) D RI'!A31</f>
        <v>5430</v>
      </c>
      <c r="B30" s="152" t="str">
        <f>'[1]B) D RI'!B31</f>
        <v>Marchissy</v>
      </c>
      <c r="C30" s="316">
        <f>'[1]B) D RI'!S31</f>
        <v>79</v>
      </c>
      <c r="D30" s="153">
        <f>'[1]B) D RI'!AA31</f>
        <v>472</v>
      </c>
      <c r="E30" s="314">
        <f>'[1]D) Ecrêtage'!C29</f>
        <v>14827.393037974683</v>
      </c>
      <c r="F30" s="318">
        <f>'[1]E) Fact soc'!G35</f>
        <v>247706.05778232383</v>
      </c>
      <c r="G30" s="315">
        <f>'[1]H) Péréquation directe'!I40</f>
        <v>54108.586386486189</v>
      </c>
      <c r="H30" s="318">
        <f>+'[1]I) Dépenses thématiques'!O29</f>
        <v>-72072.524279598641</v>
      </c>
      <c r="I30" s="315">
        <f>'[1]K) Plafonnement aide'!J29</f>
        <v>0</v>
      </c>
      <c r="J30" s="318">
        <f>'[1]J) Plafonnement effort'!I29</f>
        <v>0</v>
      </c>
      <c r="K30" s="315">
        <f>'[1]L) Plafonnement taux'!Q30</f>
        <v>0</v>
      </c>
      <c r="L30" s="313">
        <f t="shared" si="0"/>
        <v>229742.11988921135</v>
      </c>
      <c r="M30" s="234">
        <f>'[1]M) Police'!O30</f>
        <v>45121.838991364712</v>
      </c>
      <c r="N30" s="234">
        <f t="shared" si="1"/>
        <v>274863.95888057607</v>
      </c>
      <c r="O30" s="318">
        <f t="shared" si="2"/>
        <v>-17963.937893112452</v>
      </c>
      <c r="P30" s="320"/>
      <c r="Q30" s="529"/>
    </row>
    <row r="31" spans="1:17" s="154" customFormat="1" x14ac:dyDescent="0.25">
      <c r="A31" s="151">
        <f>'[1]B) D RI'!A32</f>
        <v>5431</v>
      </c>
      <c r="B31" s="152" t="str">
        <f>'[1]B) D RI'!B32</f>
        <v>Mollens</v>
      </c>
      <c r="C31" s="316">
        <f>'[1]B) D RI'!S32</f>
        <v>74</v>
      </c>
      <c r="D31" s="153">
        <f>'[1]B) D RI'!AA32</f>
        <v>308</v>
      </c>
      <c r="E31" s="314">
        <f>'[1]D) Ecrêtage'!C30</f>
        <v>10626.755405405405</v>
      </c>
      <c r="F31" s="318">
        <f>'[1]E) Fact soc'!G36</f>
        <v>214375.62526318911</v>
      </c>
      <c r="G31" s="315">
        <f>'[1]H) Péréquation directe'!I41</f>
        <v>89621.251433075406</v>
      </c>
      <c r="H31" s="318">
        <f>+'[1]I) Dépenses thématiques'!O30</f>
        <v>-27355.275762547051</v>
      </c>
      <c r="I31" s="315">
        <f>'[1]K) Plafonnement aide'!J30</f>
        <v>0</v>
      </c>
      <c r="J31" s="318">
        <f>'[1]J) Plafonnement effort'!I30</f>
        <v>0</v>
      </c>
      <c r="K31" s="315">
        <f>'[1]L) Plafonnement taux'!Q31</f>
        <v>0</v>
      </c>
      <c r="L31" s="313">
        <f t="shared" si="0"/>
        <v>276641.60093371745</v>
      </c>
      <c r="M31" s="234">
        <f>'[1]M) Police'!O31</f>
        <v>32521.627432045632</v>
      </c>
      <c r="N31" s="234">
        <f t="shared" si="1"/>
        <v>309163.22836576309</v>
      </c>
      <c r="O31" s="318">
        <f t="shared" si="2"/>
        <v>62265.975670528351</v>
      </c>
      <c r="P31" s="320"/>
      <c r="Q31" s="529"/>
    </row>
    <row r="32" spans="1:17" s="154" customFormat="1" x14ac:dyDescent="0.25">
      <c r="A32" s="151">
        <f>'[1]B) D RI'!A33</f>
        <v>5432</v>
      </c>
      <c r="B32" s="152" t="str">
        <f>'[1]B) D RI'!B33</f>
        <v>Montherod</v>
      </c>
      <c r="C32" s="316">
        <f>'[1]B) D RI'!S33</f>
        <v>78</v>
      </c>
      <c r="D32" s="153">
        <f>'[1]B) D RI'!AA33</f>
        <v>541</v>
      </c>
      <c r="E32" s="314">
        <f>'[1]D) Ecrêtage'!C31</f>
        <v>16078.014230769231</v>
      </c>
      <c r="F32" s="318">
        <f>'[1]E) Fact soc'!G37</f>
        <v>260908.09810291277</v>
      </c>
      <c r="G32" s="315">
        <f>'[1]H) Péréquation directe'!I42</f>
        <v>26868.775860733702</v>
      </c>
      <c r="H32" s="318">
        <f>+'[1]I) Dépenses thématiques'!O31</f>
        <v>-42030.942117929073</v>
      </c>
      <c r="I32" s="315">
        <f>'[1]K) Plafonnement aide'!J31</f>
        <v>0</v>
      </c>
      <c r="J32" s="318">
        <f>'[1]J) Plafonnement effort'!I31</f>
        <v>0</v>
      </c>
      <c r="K32" s="315">
        <f>'[1]L) Plafonnement taux'!Q32</f>
        <v>0</v>
      </c>
      <c r="L32" s="313">
        <f t="shared" si="0"/>
        <v>245745.93184571739</v>
      </c>
      <c r="M32" s="234">
        <f>'[1]M) Police'!O32</f>
        <v>48782.827741043409</v>
      </c>
      <c r="N32" s="234">
        <f t="shared" si="1"/>
        <v>294528.75958676077</v>
      </c>
      <c r="O32" s="318">
        <f t="shared" si="2"/>
        <v>-15162.166257195371</v>
      </c>
      <c r="P32" s="320"/>
      <c r="Q32" s="529"/>
    </row>
    <row r="33" spans="1:17" s="154" customFormat="1" x14ac:dyDescent="0.25">
      <c r="A33" s="151">
        <f>'[1]B) D RI'!A34</f>
        <v>5434</v>
      </c>
      <c r="B33" s="152" t="str">
        <f>'[1]B) D RI'!B34</f>
        <v>Saint-George</v>
      </c>
      <c r="C33" s="316">
        <f>'[1]B) D RI'!S34</f>
        <v>71</v>
      </c>
      <c r="D33" s="153">
        <f>'[1]B) D RI'!AA34</f>
        <v>1063</v>
      </c>
      <c r="E33" s="314">
        <f>'[1]D) Ecrêtage'!C32</f>
        <v>39905.96180751174</v>
      </c>
      <c r="F33" s="318">
        <f>'[1]E) Fact soc'!G38</f>
        <v>701586.47045881464</v>
      </c>
      <c r="G33" s="315">
        <f>'[1]H) Péréquation directe'!I43</f>
        <v>447257.63762540213</v>
      </c>
      <c r="H33" s="318">
        <f>+'[1]I) Dépenses thématiques'!O32</f>
        <v>-61374.553693589871</v>
      </c>
      <c r="I33" s="315">
        <f>'[1]K) Plafonnement aide'!J32</f>
        <v>0</v>
      </c>
      <c r="J33" s="318">
        <f>'[1]J) Plafonnement effort'!I32</f>
        <v>0</v>
      </c>
      <c r="K33" s="315">
        <f>'[1]L) Plafonnement taux'!Q33</f>
        <v>0</v>
      </c>
      <c r="L33" s="313">
        <f t="shared" si="0"/>
        <v>1087469.554390627</v>
      </c>
      <c r="M33" s="234">
        <f>'[1]M) Police'!O33</f>
        <v>120795.65848014411</v>
      </c>
      <c r="N33" s="234">
        <f t="shared" si="1"/>
        <v>1208265.2128707711</v>
      </c>
      <c r="O33" s="318">
        <f t="shared" si="2"/>
        <v>385883.08393181226</v>
      </c>
      <c r="P33" s="320"/>
      <c r="Q33" s="529"/>
    </row>
    <row r="34" spans="1:17" s="154" customFormat="1" x14ac:dyDescent="0.25">
      <c r="A34" s="151">
        <f>'[1]B) D RI'!A35</f>
        <v>5435</v>
      </c>
      <c r="B34" s="152" t="str">
        <f>'[1]B) D RI'!B35</f>
        <v>Saint-Livres</v>
      </c>
      <c r="C34" s="316">
        <f>'[1]B) D RI'!S35</f>
        <v>69</v>
      </c>
      <c r="D34" s="153">
        <f>'[1]B) D RI'!AA35</f>
        <v>691</v>
      </c>
      <c r="E34" s="314">
        <f>'[1]D) Ecrêtage'!C33</f>
        <v>24331.716956521734</v>
      </c>
      <c r="F34" s="318">
        <f>'[1]E) Fact soc'!G39</f>
        <v>391084.93466867734</v>
      </c>
      <c r="G34" s="315">
        <f>'[1]H) Péréquation directe'!I44</f>
        <v>244818.10473539488</v>
      </c>
      <c r="H34" s="318">
        <f>+'[1]I) Dépenses thématiques'!O33</f>
        <v>-68687.650152748713</v>
      </c>
      <c r="I34" s="315">
        <f>'[1]K) Plafonnement aide'!J33</f>
        <v>0</v>
      </c>
      <c r="J34" s="318">
        <f>'[1]J) Plafonnement effort'!I33</f>
        <v>0</v>
      </c>
      <c r="K34" s="315">
        <f>'[1]L) Plafonnement taux'!Q34</f>
        <v>0</v>
      </c>
      <c r="L34" s="313">
        <f t="shared" si="0"/>
        <v>567215.38925132353</v>
      </c>
      <c r="M34" s="234">
        <f>'[1]M) Police'!O34</f>
        <v>74097.821953092149</v>
      </c>
      <c r="N34" s="234">
        <f t="shared" si="1"/>
        <v>641313.21120441565</v>
      </c>
      <c r="O34" s="318">
        <f t="shared" si="2"/>
        <v>176130.45458264617</v>
      </c>
      <c r="P34" s="320"/>
      <c r="Q34" s="529"/>
    </row>
    <row r="35" spans="1:17" s="154" customFormat="1" x14ac:dyDescent="0.25">
      <c r="A35" s="151">
        <f>'[1]B) D RI'!A36</f>
        <v>5436</v>
      </c>
      <c r="B35" s="152" t="str">
        <f>'[1]B) D RI'!B36</f>
        <v>Saint-Oyens</v>
      </c>
      <c r="C35" s="316">
        <f>'[1]B) D RI'!S36</f>
        <v>81</v>
      </c>
      <c r="D35" s="153">
        <f>'[1]B) D RI'!AA36</f>
        <v>447</v>
      </c>
      <c r="E35" s="314">
        <f>'[1]D) Ecrêtage'!C34</f>
        <v>16564.840617283953</v>
      </c>
      <c r="F35" s="318">
        <f>'[1]E) Fact soc'!G40</f>
        <v>267489.26799732901</v>
      </c>
      <c r="G35" s="315">
        <f>'[1]H) Péréquation directe'!I45</f>
        <v>158354.13376139855</v>
      </c>
      <c r="H35" s="318">
        <f>+'[1]I) Dépenses thématiques'!O34</f>
        <v>0</v>
      </c>
      <c r="I35" s="315">
        <f>'[1]K) Plafonnement aide'!J34</f>
        <v>0</v>
      </c>
      <c r="J35" s="318">
        <f>'[1]J) Plafonnement effort'!I34</f>
        <v>0</v>
      </c>
      <c r="K35" s="315">
        <f>'[1]L) Plafonnement taux'!Q35</f>
        <v>0</v>
      </c>
      <c r="L35" s="313">
        <f t="shared" si="0"/>
        <v>425843.40175872756</v>
      </c>
      <c r="M35" s="234">
        <f>'[1]M) Police'!O35</f>
        <v>50884.800489018002</v>
      </c>
      <c r="N35" s="234">
        <f t="shared" si="1"/>
        <v>476728.20224774559</v>
      </c>
      <c r="O35" s="318">
        <f t="shared" si="2"/>
        <v>158354.13376139855</v>
      </c>
      <c r="P35" s="320"/>
      <c r="Q35" s="529"/>
    </row>
    <row r="36" spans="1:17" s="154" customFormat="1" x14ac:dyDescent="0.25">
      <c r="A36" s="151">
        <f>'[1]B) D RI'!A37</f>
        <v>5437</v>
      </c>
      <c r="B36" s="152" t="str">
        <f>'[1]B) D RI'!B37</f>
        <v>Saubraz</v>
      </c>
      <c r="C36" s="316">
        <f>'[1]B) D RI'!S37</f>
        <v>80</v>
      </c>
      <c r="D36" s="153">
        <f>'[1]B) D RI'!AA37</f>
        <v>423</v>
      </c>
      <c r="E36" s="314">
        <f>'[1]D) Ecrêtage'!C35</f>
        <v>13155.785124999999</v>
      </c>
      <c r="F36" s="318">
        <f>'[1]E) Fact soc'!G41</f>
        <v>216533.2693914524</v>
      </c>
      <c r="G36" s="315">
        <f>'[1]H) Péréquation directe'!I46</f>
        <v>38307.167128092871</v>
      </c>
      <c r="H36" s="318">
        <f>+'[1]I) Dépenses thématiques'!O35</f>
        <v>-16705.106838367716</v>
      </c>
      <c r="I36" s="315">
        <f>'[1]K) Plafonnement aide'!J35</f>
        <v>0</v>
      </c>
      <c r="J36" s="318">
        <f>'[1]J) Plafonnement effort'!I35</f>
        <v>0</v>
      </c>
      <c r="K36" s="315">
        <f>'[1]L) Plafonnement taux'!Q36</f>
        <v>0</v>
      </c>
      <c r="L36" s="313">
        <f t="shared" si="0"/>
        <v>238135.32968117757</v>
      </c>
      <c r="M36" s="234">
        <f>'[1]M) Police'!O36</f>
        <v>40313.921260749405</v>
      </c>
      <c r="N36" s="234">
        <f t="shared" si="1"/>
        <v>278449.25094192696</v>
      </c>
      <c r="O36" s="318">
        <f t="shared" si="2"/>
        <v>21602.060289725156</v>
      </c>
      <c r="P36" s="320"/>
      <c r="Q36" s="529"/>
    </row>
    <row r="37" spans="1:17" s="154" customFormat="1" x14ac:dyDescent="0.25">
      <c r="A37" s="151">
        <f>'[1]B) D RI'!A38</f>
        <v>5451</v>
      </c>
      <c r="B37" s="152" t="str">
        <f>'[1]B) D RI'!B38</f>
        <v>Avenches</v>
      </c>
      <c r="C37" s="316">
        <f>'[1]B) D RI'!S38</f>
        <v>68</v>
      </c>
      <c r="D37" s="153">
        <f>'[1]B) D RI'!AA38</f>
        <v>4305</v>
      </c>
      <c r="E37" s="314">
        <f>'[1]D) Ecrêtage'!C36</f>
        <v>129378.19823529426</v>
      </c>
      <c r="F37" s="318">
        <f>'[1]E) Fact soc'!G42</f>
        <v>2399546.927846753</v>
      </c>
      <c r="G37" s="315">
        <f>'[1]H) Péréquation directe'!I47</f>
        <v>-242050.561728484</v>
      </c>
      <c r="H37" s="318">
        <f>+'[1]I) Dépenses thématiques'!O36</f>
        <v>-1378171.014164017</v>
      </c>
      <c r="I37" s="315">
        <f>'[1]K) Plafonnement aide'!J36</f>
        <v>0</v>
      </c>
      <c r="J37" s="318">
        <f>'[1]J) Plafonnement effort'!I36</f>
        <v>0</v>
      </c>
      <c r="K37" s="315">
        <f>'[1]L) Plafonnement taux'!Q37</f>
        <v>0</v>
      </c>
      <c r="L37" s="313">
        <f t="shared" si="0"/>
        <v>779325.35195425199</v>
      </c>
      <c r="M37" s="234">
        <f>'[1]M) Police'!O37</f>
        <v>383990.96703450818</v>
      </c>
      <c r="N37" s="234">
        <f t="shared" si="1"/>
        <v>1163316.3189887602</v>
      </c>
      <c r="O37" s="318">
        <f t="shared" si="2"/>
        <v>-1620221.575892501</v>
      </c>
      <c r="P37" s="320"/>
      <c r="Q37" s="529"/>
    </row>
    <row r="38" spans="1:17" s="154" customFormat="1" x14ac:dyDescent="0.25">
      <c r="A38" s="151">
        <f>'[1]B) D RI'!A39</f>
        <v>5456</v>
      </c>
      <c r="B38" s="152" t="str">
        <f>'[1]B) D RI'!B39</f>
        <v>Cudrefin</v>
      </c>
      <c r="C38" s="316">
        <f>'[1]B) D RI'!S39</f>
        <v>59</v>
      </c>
      <c r="D38" s="153">
        <f>'[1]B) D RI'!AA39</f>
        <v>1735</v>
      </c>
      <c r="E38" s="314">
        <f>'[1]D) Ecrêtage'!C37</f>
        <v>57755.250790960446</v>
      </c>
      <c r="F38" s="318">
        <f>'[1]E) Fact soc'!G43</f>
        <v>1426049.3645792538</v>
      </c>
      <c r="G38" s="315">
        <f>'[1]H) Péréquation directe'!I48</f>
        <v>440448.5661438948</v>
      </c>
      <c r="H38" s="318">
        <f>+'[1]I) Dépenses thématiques'!O37</f>
        <v>-339002.92821700295</v>
      </c>
      <c r="I38" s="315">
        <f>'[1]K) Plafonnement aide'!J37</f>
        <v>0</v>
      </c>
      <c r="J38" s="318">
        <f>'[1]J) Plafonnement effort'!I37</f>
        <v>0</v>
      </c>
      <c r="K38" s="315">
        <f>'[1]L) Plafonnement taux'!Q38</f>
        <v>0</v>
      </c>
      <c r="L38" s="313">
        <f t="shared" si="0"/>
        <v>1527495.0025061457</v>
      </c>
      <c r="M38" s="234">
        <f>'[1]M) Police'!O38</f>
        <v>173452.62211081095</v>
      </c>
      <c r="N38" s="234">
        <f t="shared" si="1"/>
        <v>1700947.6246169568</v>
      </c>
      <c r="O38" s="318">
        <f t="shared" si="2"/>
        <v>101445.63792689185</v>
      </c>
      <c r="P38" s="320"/>
      <c r="Q38" s="529"/>
    </row>
    <row r="39" spans="1:17" s="154" customFormat="1" x14ac:dyDescent="0.25">
      <c r="A39" s="151">
        <f>'[1]B) D RI'!A40</f>
        <v>5458</v>
      </c>
      <c r="B39" s="152" t="str">
        <f>'[1]B) D RI'!B40</f>
        <v>Faoug</v>
      </c>
      <c r="C39" s="316">
        <f>'[1]B) D RI'!S40</f>
        <v>66</v>
      </c>
      <c r="D39" s="153">
        <f>'[1]B) D RI'!AA40</f>
        <v>884</v>
      </c>
      <c r="E39" s="314">
        <f>'[1]D) Ecrêtage'!C38</f>
        <v>33143.605656565654</v>
      </c>
      <c r="F39" s="318">
        <f>'[1]E) Fact soc'!G44</f>
        <v>711571.36706510419</v>
      </c>
      <c r="G39" s="315">
        <f>'[1]H) Péréquation directe'!I49</f>
        <v>405184.04217179434</v>
      </c>
      <c r="H39" s="318">
        <f>+'[1]I) Dépenses thématiques'!O38</f>
        <v>-63682.903050690329</v>
      </c>
      <c r="I39" s="315">
        <f>'[1]K) Plafonnement aide'!J38</f>
        <v>0</v>
      </c>
      <c r="J39" s="318">
        <f>'[1]J) Plafonnement effort'!I38</f>
        <v>0</v>
      </c>
      <c r="K39" s="315">
        <f>'[1]L) Plafonnement taux'!Q39</f>
        <v>0</v>
      </c>
      <c r="L39" s="313">
        <f t="shared" si="0"/>
        <v>1053072.5061862082</v>
      </c>
      <c r="M39" s="234">
        <f>'[1]M) Police'!O39</f>
        <v>100262.98740606784</v>
      </c>
      <c r="N39" s="234">
        <f t="shared" si="1"/>
        <v>1153335.493592276</v>
      </c>
      <c r="O39" s="318">
        <f t="shared" si="2"/>
        <v>341501.13912110403</v>
      </c>
      <c r="P39" s="320"/>
      <c r="Q39" s="529"/>
    </row>
    <row r="40" spans="1:17" s="154" customFormat="1" x14ac:dyDescent="0.25">
      <c r="A40" s="151">
        <f>'[1]B) D RI'!A41</f>
        <v>5464</v>
      </c>
      <c r="B40" s="152" t="str">
        <f>'[1]B) D RI'!B41</f>
        <v>Vully-les-Lacs</v>
      </c>
      <c r="C40" s="316">
        <f>'[1]B) D RI'!S41</f>
        <v>67</v>
      </c>
      <c r="D40" s="153">
        <f>'[1]B) D RI'!AA41</f>
        <v>3278</v>
      </c>
      <c r="E40" s="314">
        <f>'[1]D) Ecrêtage'!C39</f>
        <v>112741.2284079602</v>
      </c>
      <c r="F40" s="318">
        <f>'[1]E) Fact soc'!G45</f>
        <v>2037221.4122604332</v>
      </c>
      <c r="G40" s="315">
        <f>'[1]H) Péréquation directe'!I50</f>
        <v>544964.19790280913</v>
      </c>
      <c r="H40" s="318">
        <f>+'[1]I) Dépenses thématiques'!O39</f>
        <v>-507436.55378276884</v>
      </c>
      <c r="I40" s="315">
        <f>'[1]K) Plafonnement aide'!J39</f>
        <v>0</v>
      </c>
      <c r="J40" s="318">
        <f>'[1]J) Plafonnement effort'!I39</f>
        <v>0</v>
      </c>
      <c r="K40" s="315">
        <f>'[1]L) Plafonnement taux'!Q40</f>
        <v>0</v>
      </c>
      <c r="L40" s="313">
        <f t="shared" si="0"/>
        <v>2074749.0563804738</v>
      </c>
      <c r="M40" s="234">
        <f>'[1]M) Police'!O40</f>
        <v>339757.88712836034</v>
      </c>
      <c r="N40" s="234">
        <f t="shared" si="1"/>
        <v>2414506.9435088341</v>
      </c>
      <c r="O40" s="318">
        <f t="shared" si="2"/>
        <v>37527.644120040291</v>
      </c>
      <c r="P40" s="320"/>
      <c r="Q40" s="529"/>
    </row>
    <row r="41" spans="1:17" s="154" customFormat="1" x14ac:dyDescent="0.25">
      <c r="A41" s="151">
        <f>'[1]B) D RI'!A42</f>
        <v>5471</v>
      </c>
      <c r="B41" s="152" t="str">
        <f>'[1]B) D RI'!B42</f>
        <v>Bettens</v>
      </c>
      <c r="C41" s="316">
        <f>'[1]B) D RI'!S42</f>
        <v>70</v>
      </c>
      <c r="D41" s="153">
        <f>'[1]B) D RI'!AA42</f>
        <v>650</v>
      </c>
      <c r="E41" s="314">
        <f>'[1]D) Ecrêtage'!C40</f>
        <v>21708.019984126982</v>
      </c>
      <c r="F41" s="318">
        <f>'[1]E) Fact soc'!G46</f>
        <v>349507.03270198748</v>
      </c>
      <c r="G41" s="315">
        <f>'[1]H) Péréquation directe'!I51</f>
        <v>179529.63099034142</v>
      </c>
      <c r="H41" s="318">
        <f>+'[1]I) Dépenses thématiques'!O40</f>
        <v>-73.508838802048729</v>
      </c>
      <c r="I41" s="315">
        <f>'[1]K) Plafonnement aide'!J40</f>
        <v>0</v>
      </c>
      <c r="J41" s="318">
        <f>'[1]J) Plafonnement effort'!I40</f>
        <v>0</v>
      </c>
      <c r="K41" s="315">
        <f>'[1]L) Plafonnement taux'!Q41</f>
        <v>0</v>
      </c>
      <c r="L41" s="313">
        <f t="shared" si="0"/>
        <v>528963.15485352685</v>
      </c>
      <c r="M41" s="234">
        <f>'[1]M) Police'!O41</f>
        <v>65859.678364082618</v>
      </c>
      <c r="N41" s="234">
        <f t="shared" si="1"/>
        <v>594822.83321760944</v>
      </c>
      <c r="O41" s="318">
        <f t="shared" si="2"/>
        <v>179456.12215153937</v>
      </c>
      <c r="P41" s="320"/>
      <c r="Q41" s="529"/>
    </row>
    <row r="42" spans="1:17" s="154" customFormat="1" x14ac:dyDescent="0.25">
      <c r="A42" s="151">
        <f>'[1]B) D RI'!A43</f>
        <v>5472</v>
      </c>
      <c r="B42" s="152" t="str">
        <f>'[1]B) D RI'!B43</f>
        <v>Bournens</v>
      </c>
      <c r="C42" s="316">
        <f>'[1]B) D RI'!S43</f>
        <v>76</v>
      </c>
      <c r="D42" s="153">
        <f>'[1]B) D RI'!AA43</f>
        <v>422</v>
      </c>
      <c r="E42" s="314">
        <f>'[1]D) Ecrêtage'!C41</f>
        <v>15065.660131578947</v>
      </c>
      <c r="F42" s="318">
        <f>'[1]E) Fact soc'!G47</f>
        <v>251455.84549740131</v>
      </c>
      <c r="G42" s="315">
        <f>'[1]H) Péréquation directe'!I52</f>
        <v>138145.00938628099</v>
      </c>
      <c r="H42" s="318">
        <f>+'[1]I) Dépenses thématiques'!O41</f>
        <v>-4616.4888664145892</v>
      </c>
      <c r="I42" s="315">
        <f>'[1]K) Plafonnement aide'!J41</f>
        <v>0</v>
      </c>
      <c r="J42" s="318">
        <f>'[1]J) Plafonnement effort'!I41</f>
        <v>0</v>
      </c>
      <c r="K42" s="315">
        <f>'[1]L) Plafonnement taux'!Q42</f>
        <v>0</v>
      </c>
      <c r="L42" s="313">
        <f t="shared" si="0"/>
        <v>384984.36601726775</v>
      </c>
      <c r="M42" s="234">
        <f>'[1]M) Police'!O42</f>
        <v>45684.00271077198</v>
      </c>
      <c r="N42" s="234">
        <f t="shared" si="1"/>
        <v>430668.36872803973</v>
      </c>
      <c r="O42" s="318">
        <f t="shared" si="2"/>
        <v>133528.5205198664</v>
      </c>
      <c r="P42" s="320"/>
      <c r="Q42" s="529"/>
    </row>
    <row r="43" spans="1:17" s="154" customFormat="1" x14ac:dyDescent="0.25">
      <c r="A43" s="151">
        <f>'[1]B) D RI'!A44</f>
        <v>5473</v>
      </c>
      <c r="B43" s="152" t="str">
        <f>'[1]B) D RI'!B44</f>
        <v>Boussens</v>
      </c>
      <c r="C43" s="316">
        <f>'[1]B) D RI'!S44</f>
        <v>69</v>
      </c>
      <c r="D43" s="153">
        <f>'[1]B) D RI'!AA44</f>
        <v>993</v>
      </c>
      <c r="E43" s="314">
        <f>'[1]D) Ecrêtage'!C42</f>
        <v>34350.684492753629</v>
      </c>
      <c r="F43" s="318">
        <f>'[1]E) Fact soc'!G48</f>
        <v>550039.27916090284</v>
      </c>
      <c r="G43" s="315">
        <f>'[1]H) Péréquation directe'!I53</f>
        <v>327911.95227203192</v>
      </c>
      <c r="H43" s="318">
        <f>+'[1]I) Dépenses thématiques'!O42</f>
        <v>0</v>
      </c>
      <c r="I43" s="315">
        <f>'[1]K) Plafonnement aide'!J42</f>
        <v>0</v>
      </c>
      <c r="J43" s="318">
        <f>'[1]J) Plafonnement effort'!I42</f>
        <v>0</v>
      </c>
      <c r="K43" s="315">
        <f>'[1]L) Plafonnement taux'!Q43</f>
        <v>0</v>
      </c>
      <c r="L43" s="313">
        <f t="shared" si="0"/>
        <v>877951.23143293476</v>
      </c>
      <c r="M43" s="234">
        <f>'[1]M) Police'!O43</f>
        <v>104360.87565214363</v>
      </c>
      <c r="N43" s="234">
        <f t="shared" si="1"/>
        <v>982312.10708507837</v>
      </c>
      <c r="O43" s="318">
        <f t="shared" si="2"/>
        <v>327911.95227203192</v>
      </c>
      <c r="P43" s="320"/>
      <c r="Q43" s="529"/>
    </row>
    <row r="44" spans="1:17" s="154" customFormat="1" x14ac:dyDescent="0.25">
      <c r="A44" s="151">
        <f>'[1]B) D RI'!A45</f>
        <v>5474</v>
      </c>
      <c r="B44" s="152" t="str">
        <f>'[1]B) D RI'!B45</f>
        <v>La Chaux (Cossonay)</v>
      </c>
      <c r="C44" s="316">
        <f>'[1]B) D RI'!S45</f>
        <v>77</v>
      </c>
      <c r="D44" s="153">
        <f>'[1]B) D RI'!AA45</f>
        <v>395</v>
      </c>
      <c r="E44" s="314">
        <f>'[1]D) Ecrêtage'!C43</f>
        <v>15323.423073593074</v>
      </c>
      <c r="F44" s="318">
        <f>'[1]E) Fact soc'!G49</f>
        <v>276544.39006338036</v>
      </c>
      <c r="G44" s="315">
        <f>'[1]H) Péréquation directe'!I54</f>
        <v>179693.85258297157</v>
      </c>
      <c r="H44" s="318">
        <f>+'[1]I) Dépenses thématiques'!O43</f>
        <v>-149638.05271140952</v>
      </c>
      <c r="I44" s="315">
        <f>'[1]K) Plafonnement aide'!J43</f>
        <v>0</v>
      </c>
      <c r="J44" s="318">
        <f>'[1]J) Plafonnement effort'!I43</f>
        <v>0</v>
      </c>
      <c r="K44" s="315">
        <f>'[1]L) Plafonnement taux'!Q44</f>
        <v>0</v>
      </c>
      <c r="L44" s="313">
        <f t="shared" si="0"/>
        <v>306600.18993494241</v>
      </c>
      <c r="M44" s="234">
        <f>'[1]M) Police'!O44</f>
        <v>47079.948602919118</v>
      </c>
      <c r="N44" s="234">
        <f t="shared" si="1"/>
        <v>353680.13853786152</v>
      </c>
      <c r="O44" s="318">
        <f t="shared" si="2"/>
        <v>30055.799871562049</v>
      </c>
      <c r="P44" s="320"/>
      <c r="Q44" s="529"/>
    </row>
    <row r="45" spans="1:17" s="154" customFormat="1" x14ac:dyDescent="0.25">
      <c r="A45" s="151">
        <f>'[1]B) D RI'!A46</f>
        <v>5475</v>
      </c>
      <c r="B45" s="152" t="str">
        <f>'[1]B) D RI'!B46</f>
        <v>Chavannes-le-Veyron</v>
      </c>
      <c r="C45" s="316">
        <f>'[1]B) D RI'!S46</f>
        <v>77</v>
      </c>
      <c r="D45" s="153">
        <f>'[1]B) D RI'!AA46</f>
        <v>152</v>
      </c>
      <c r="E45" s="314">
        <f>'[1]D) Ecrêtage'!C44</f>
        <v>3045.9346753246755</v>
      </c>
      <c r="F45" s="318">
        <f>'[1]E) Fact soc'!G50</f>
        <v>57568.798438988684</v>
      </c>
      <c r="G45" s="315">
        <f>'[1]H) Péréquation directe'!I55</f>
        <v>-54805.15860551985</v>
      </c>
      <c r="H45" s="318">
        <f>+'[1]I) Dépenses thématiques'!O44</f>
        <v>-18072.651795607409</v>
      </c>
      <c r="I45" s="315">
        <f>'[1]K) Plafonnement aide'!J44</f>
        <v>0</v>
      </c>
      <c r="J45" s="318">
        <f>'[1]J) Plafonnement effort'!I44</f>
        <v>0</v>
      </c>
      <c r="K45" s="315">
        <f>'[1]L) Plafonnement taux'!Q45</f>
        <v>0</v>
      </c>
      <c r="L45" s="313">
        <f t="shared" si="0"/>
        <v>-15309.011962138575</v>
      </c>
      <c r="M45" s="234">
        <f>'[1]M) Police'!O45</f>
        <v>9137.5884983372325</v>
      </c>
      <c r="N45" s="234">
        <f t="shared" si="1"/>
        <v>-6171.4234638013422</v>
      </c>
      <c r="O45" s="318">
        <f t="shared" si="2"/>
        <v>-72877.810401127266</v>
      </c>
      <c r="P45" s="320"/>
      <c r="Q45" s="529"/>
    </row>
    <row r="46" spans="1:17" s="154" customFormat="1" x14ac:dyDescent="0.25">
      <c r="A46" s="151">
        <f>'[1]B) D RI'!A47</f>
        <v>5476</v>
      </c>
      <c r="B46" s="152" t="str">
        <f>'[1]B) D RI'!B47</f>
        <v>Chevilly</v>
      </c>
      <c r="C46" s="316">
        <f>'[1]B) D RI'!S47</f>
        <v>74</v>
      </c>
      <c r="D46" s="153">
        <f>'[1]B) D RI'!AA47</f>
        <v>317</v>
      </c>
      <c r="E46" s="314">
        <f>'[1]D) Ecrêtage'!C45</f>
        <v>12632.544999999996</v>
      </c>
      <c r="F46" s="318">
        <f>'[1]E) Fact soc'!G51</f>
        <v>185586.88402302933</v>
      </c>
      <c r="G46" s="315">
        <f>'[1]H) Péréquation directe'!I56</f>
        <v>162913.12577482525</v>
      </c>
      <c r="H46" s="318">
        <f>+'[1]I) Dépenses thématiques'!O45</f>
        <v>-10518.086891594234</v>
      </c>
      <c r="I46" s="315">
        <f>'[1]K) Plafonnement aide'!J45</f>
        <v>0</v>
      </c>
      <c r="J46" s="318">
        <f>'[1]J) Plafonnement effort'!I45</f>
        <v>0</v>
      </c>
      <c r="K46" s="315">
        <f>'[1]L) Plafonnement taux'!Q46</f>
        <v>0</v>
      </c>
      <c r="L46" s="313">
        <f t="shared" si="0"/>
        <v>337981.92290626036</v>
      </c>
      <c r="M46" s="234">
        <f>'[1]M) Police'!O46</f>
        <v>38724.88730489726</v>
      </c>
      <c r="N46" s="234">
        <f t="shared" si="1"/>
        <v>376706.8102111576</v>
      </c>
      <c r="O46" s="318">
        <f t="shared" si="2"/>
        <v>152395.03888323103</v>
      </c>
      <c r="P46" s="320"/>
      <c r="Q46" s="529"/>
    </row>
    <row r="47" spans="1:17" s="154" customFormat="1" x14ac:dyDescent="0.25">
      <c r="A47" s="151">
        <f>'[1]B) D RI'!A48</f>
        <v>5477</v>
      </c>
      <c r="B47" s="152" t="str">
        <f>'[1]B) D RI'!B48</f>
        <v>Cossonay</v>
      </c>
      <c r="C47" s="316">
        <f>'[1]B) D RI'!S48</f>
        <v>71</v>
      </c>
      <c r="D47" s="153">
        <f>'[1]B) D RI'!AA48</f>
        <v>4045</v>
      </c>
      <c r="E47" s="314">
        <f>'[1]D) Ecrêtage'!C46</f>
        <v>144389.2549295775</v>
      </c>
      <c r="F47" s="318">
        <f>'[1]E) Fact soc'!G52</f>
        <v>2376203.484886907</v>
      </c>
      <c r="G47" s="315">
        <f>'[1]H) Péréquation directe'!I57</f>
        <v>611744.28740440262</v>
      </c>
      <c r="H47" s="318">
        <f>+'[1]I) Dépenses thématiques'!O46</f>
        <v>-546177.97339774342</v>
      </c>
      <c r="I47" s="315">
        <f>'[1]K) Plafonnement aide'!J46</f>
        <v>0</v>
      </c>
      <c r="J47" s="318">
        <f>'[1]J) Plafonnement effort'!I46</f>
        <v>0</v>
      </c>
      <c r="K47" s="315">
        <f>'[1]L) Plafonnement taux'!Q47</f>
        <v>0</v>
      </c>
      <c r="L47" s="313">
        <f t="shared" si="0"/>
        <v>2441769.7988935662</v>
      </c>
      <c r="M47" s="234">
        <f>'[1]M) Police'!O47</f>
        <v>441735.13459331205</v>
      </c>
      <c r="N47" s="234">
        <f t="shared" si="1"/>
        <v>2883504.9334868784</v>
      </c>
      <c r="O47" s="318">
        <f t="shared" si="2"/>
        <v>65566.314006659202</v>
      </c>
      <c r="P47" s="320"/>
      <c r="Q47" s="529"/>
    </row>
    <row r="48" spans="1:17" s="154" customFormat="1" x14ac:dyDescent="0.25">
      <c r="A48" s="151">
        <f>'[1]B) D RI'!A49</f>
        <v>5478</v>
      </c>
      <c r="B48" s="152" t="str">
        <f>'[1]B) D RI'!B49</f>
        <v>Cottens</v>
      </c>
      <c r="C48" s="316">
        <f>'[1]B) D RI'!S49</f>
        <v>74</v>
      </c>
      <c r="D48" s="153">
        <f>'[1]B) D RI'!AA49</f>
        <v>487</v>
      </c>
      <c r="E48" s="314">
        <f>'[1]D) Ecrêtage'!C47</f>
        <v>17566.345945945945</v>
      </c>
      <c r="F48" s="318">
        <f>'[1]E) Fact soc'!G53</f>
        <v>310612.24945534987</v>
      </c>
      <c r="G48" s="315">
        <f>'[1]H) Péréquation directe'!I58</f>
        <v>173541.77599957169</v>
      </c>
      <c r="H48" s="318">
        <f>+'[1]I) Dépenses thématiques'!O47</f>
        <v>-547798.72955636017</v>
      </c>
      <c r="I48" s="315">
        <f>'[1]K) Plafonnement aide'!J47</f>
        <v>0</v>
      </c>
      <c r="J48" s="318">
        <f>'[1]J) Plafonnement effort'!I47</f>
        <v>0</v>
      </c>
      <c r="K48" s="315">
        <f>'[1]L) Plafonnement taux'!Q48</f>
        <v>0</v>
      </c>
      <c r="L48" s="313">
        <f t="shared" si="0"/>
        <v>-63644.704101438634</v>
      </c>
      <c r="M48" s="234">
        <f>'[1]M) Police'!O48</f>
        <v>53905.218551751459</v>
      </c>
      <c r="N48" s="234">
        <f t="shared" si="1"/>
        <v>-9739.4855496871751</v>
      </c>
      <c r="O48" s="318">
        <f t="shared" si="2"/>
        <v>-374256.9535567885</v>
      </c>
      <c r="P48" s="320"/>
      <c r="Q48" s="529"/>
    </row>
    <row r="49" spans="1:17" s="154" customFormat="1" x14ac:dyDescent="0.25">
      <c r="A49" s="151">
        <f>'[1]B) D RI'!A50</f>
        <v>5479</v>
      </c>
      <c r="B49" s="152" t="str">
        <f>'[1]B) D RI'!B50</f>
        <v>Cuarnens</v>
      </c>
      <c r="C49" s="316">
        <f>'[1]B) D RI'!S50</f>
        <v>77</v>
      </c>
      <c r="D49" s="153">
        <f>'[1]B) D RI'!AA50</f>
        <v>486</v>
      </c>
      <c r="E49" s="314">
        <f>'[1]D) Ecrêtage'!C48</f>
        <v>17277.023636363636</v>
      </c>
      <c r="F49" s="318">
        <f>'[1]E) Fact soc'!G54</f>
        <v>278749.01581062691</v>
      </c>
      <c r="G49" s="315">
        <f>'[1]H) Péréquation directe'!I59</f>
        <v>152537.6059195018</v>
      </c>
      <c r="H49" s="318">
        <f>+'[1]I) Dépenses thématiques'!O48</f>
        <v>-302756.35955906921</v>
      </c>
      <c r="I49" s="315">
        <f>'[1]K) Plafonnement aide'!J48</f>
        <v>0</v>
      </c>
      <c r="J49" s="318">
        <f>'[1]J) Plafonnement effort'!I48</f>
        <v>0</v>
      </c>
      <c r="K49" s="315">
        <f>'[1]L) Plafonnement taux'!Q49</f>
        <v>0</v>
      </c>
      <c r="L49" s="313">
        <f t="shared" si="0"/>
        <v>128530.2621710595</v>
      </c>
      <c r="M49" s="234">
        <f>'[1]M) Police'!O49</f>
        <v>52976.555446692495</v>
      </c>
      <c r="N49" s="234">
        <f t="shared" si="1"/>
        <v>181506.81761775201</v>
      </c>
      <c r="O49" s="318">
        <f t="shared" si="2"/>
        <v>-150218.75363956741</v>
      </c>
      <c r="P49" s="320"/>
      <c r="Q49" s="529"/>
    </row>
    <row r="50" spans="1:17" s="154" customFormat="1" x14ac:dyDescent="0.25">
      <c r="A50" s="151">
        <f>'[1]B) D RI'!A51</f>
        <v>5480</v>
      </c>
      <c r="B50" s="152" t="str">
        <f>'[1]B) D RI'!B51</f>
        <v>Daillens</v>
      </c>
      <c r="C50" s="316">
        <f>'[1]B) D RI'!S51</f>
        <v>66</v>
      </c>
      <c r="D50" s="153">
        <f>'[1]B) D RI'!AA51</f>
        <v>1034</v>
      </c>
      <c r="E50" s="314">
        <f>'[1]D) Ecrêtage'!C49</f>
        <v>40568.804343434349</v>
      </c>
      <c r="F50" s="318">
        <f>'[1]E) Fact soc'!G55</f>
        <v>700785.77377627359</v>
      </c>
      <c r="G50" s="315">
        <f>'[1]H) Péréquation directe'!I60</f>
        <v>533353.35770331544</v>
      </c>
      <c r="H50" s="318">
        <f>+'[1]I) Dépenses thématiques'!O49</f>
        <v>-422971.69885239034</v>
      </c>
      <c r="I50" s="315">
        <f>'[1]K) Plafonnement aide'!J49</f>
        <v>0</v>
      </c>
      <c r="J50" s="318">
        <f>'[1]J) Plafonnement effort'!I49</f>
        <v>0</v>
      </c>
      <c r="K50" s="315">
        <f>'[1]L) Plafonnement taux'!Q50</f>
        <v>0</v>
      </c>
      <c r="L50" s="313">
        <f t="shared" si="0"/>
        <v>811167.43262719875</v>
      </c>
      <c r="M50" s="234">
        <f>'[1]M) Police'!O50</f>
        <v>121093.98495198843</v>
      </c>
      <c r="N50" s="234">
        <f t="shared" si="1"/>
        <v>932261.4175791872</v>
      </c>
      <c r="O50" s="318">
        <f t="shared" si="2"/>
        <v>110381.6588509251</v>
      </c>
      <c r="P50" s="320"/>
      <c r="Q50" s="529"/>
    </row>
    <row r="51" spans="1:17" s="154" customFormat="1" x14ac:dyDescent="0.25">
      <c r="A51" s="151">
        <f>'[1]B) D RI'!A52</f>
        <v>5481</v>
      </c>
      <c r="B51" s="152" t="str">
        <f>'[1]B) D RI'!B52</f>
        <v>Dizy</v>
      </c>
      <c r="C51" s="316">
        <f>'[1]B) D RI'!S52</f>
        <v>79</v>
      </c>
      <c r="D51" s="153">
        <f>'[1]B) D RI'!AA52</f>
        <v>234</v>
      </c>
      <c r="E51" s="314">
        <f>'[1]D) Ecrêtage'!C50</f>
        <v>9658.8267088607608</v>
      </c>
      <c r="F51" s="318">
        <f>'[1]E) Fact soc'!G56</f>
        <v>141967.30386319666</v>
      </c>
      <c r="G51" s="315">
        <f>'[1]H) Péréquation directe'!I61</f>
        <v>130030.90696750824</v>
      </c>
      <c r="H51" s="318">
        <f>+'[1]I) Dépenses thématiques'!O50</f>
        <v>-14272.169191387311</v>
      </c>
      <c r="I51" s="315">
        <f>'[1]K) Plafonnement aide'!J50</f>
        <v>0</v>
      </c>
      <c r="J51" s="318">
        <f>'[1]J) Plafonnement effort'!I50</f>
        <v>0</v>
      </c>
      <c r="K51" s="315">
        <f>'[1]L) Plafonnement taux'!Q51</f>
        <v>0</v>
      </c>
      <c r="L51" s="313">
        <f t="shared" si="0"/>
        <v>257726.04163931758</v>
      </c>
      <c r="M51" s="234">
        <f>'[1]M) Police'!O51</f>
        <v>29912.909359457306</v>
      </c>
      <c r="N51" s="234">
        <f t="shared" si="1"/>
        <v>287638.9509987749</v>
      </c>
      <c r="O51" s="318">
        <f t="shared" si="2"/>
        <v>115758.73777612094</v>
      </c>
      <c r="P51" s="320"/>
      <c r="Q51" s="529"/>
    </row>
    <row r="52" spans="1:17" s="154" customFormat="1" x14ac:dyDescent="0.25">
      <c r="A52" s="151">
        <f>'[1]B) D RI'!A53</f>
        <v>5482</v>
      </c>
      <c r="B52" s="152" t="str">
        <f>'[1]B) D RI'!B53</f>
        <v>Eclépens</v>
      </c>
      <c r="C52" s="316">
        <f>'[1]B) D RI'!S53</f>
        <v>46</v>
      </c>
      <c r="D52" s="153">
        <f>'[1]B) D RI'!AA53</f>
        <v>1222</v>
      </c>
      <c r="E52" s="314">
        <f>'[1]D) Ecrêtage'!C51</f>
        <v>60116.695217391316</v>
      </c>
      <c r="F52" s="318">
        <f>'[1]E) Fact soc'!G57</f>
        <v>1061436.451057265</v>
      </c>
      <c r="G52" s="315">
        <f>'[1]H) Péréquation directe'!I62</f>
        <v>999016.5216840331</v>
      </c>
      <c r="H52" s="318">
        <f>+'[1]I) Dépenses thématiques'!O51</f>
        <v>-60825.989342286288</v>
      </c>
      <c r="I52" s="315">
        <f>'[1]K) Plafonnement aide'!J51</f>
        <v>0</v>
      </c>
      <c r="J52" s="318">
        <f>'[1]J) Plafonnement effort'!I51</f>
        <v>0</v>
      </c>
      <c r="K52" s="315">
        <f>'[1]L) Plafonnement taux'!Q52</f>
        <v>0</v>
      </c>
      <c r="L52" s="313">
        <f t="shared" si="0"/>
        <v>1999626.9833990119</v>
      </c>
      <c r="M52" s="234">
        <f>'[1]M) Police'!O52</f>
        <v>171487.27598709569</v>
      </c>
      <c r="N52" s="234">
        <f t="shared" si="1"/>
        <v>2171114.2593861078</v>
      </c>
      <c r="O52" s="318">
        <f t="shared" si="2"/>
        <v>938190.53234174685</v>
      </c>
      <c r="P52" s="320"/>
      <c r="Q52" s="529"/>
    </row>
    <row r="53" spans="1:17" s="154" customFormat="1" x14ac:dyDescent="0.25">
      <c r="A53" s="151">
        <f>'[1]B) D RI'!A54</f>
        <v>5483</v>
      </c>
      <c r="B53" s="152" t="str">
        <f>'[1]B) D RI'!B54</f>
        <v>Ferreyres</v>
      </c>
      <c r="C53" s="316">
        <f>'[1]B) D RI'!S54</f>
        <v>76</v>
      </c>
      <c r="D53" s="153">
        <f>'[1]B) D RI'!AA54</f>
        <v>320</v>
      </c>
      <c r="E53" s="314">
        <f>'[1]D) Ecrêtage'!C52</f>
        <v>11167.980394736842</v>
      </c>
      <c r="F53" s="318">
        <f>'[1]E) Fact soc'!G58</f>
        <v>193994.36435640976</v>
      </c>
      <c r="G53" s="315">
        <f>'[1]H) Péréquation directe'!I63</f>
        <v>93768.885566384444</v>
      </c>
      <c r="H53" s="318">
        <f>+'[1]I) Dépenses thématiques'!O52</f>
        <v>-1924.1061405399323</v>
      </c>
      <c r="I53" s="315">
        <f>'[1]K) Plafonnement aide'!J52</f>
        <v>0</v>
      </c>
      <c r="J53" s="318">
        <f>'[1]J) Plafonnement effort'!I52</f>
        <v>0</v>
      </c>
      <c r="K53" s="315">
        <f>'[1]L) Plafonnement taux'!Q53</f>
        <v>0</v>
      </c>
      <c r="L53" s="313">
        <f t="shared" si="0"/>
        <v>285839.14378225425</v>
      </c>
      <c r="M53" s="234">
        <f>'[1]M) Police'!O53</f>
        <v>34231.261343051927</v>
      </c>
      <c r="N53" s="234">
        <f t="shared" si="1"/>
        <v>320070.40512530616</v>
      </c>
      <c r="O53" s="318">
        <f t="shared" si="2"/>
        <v>91844.779425844506</v>
      </c>
      <c r="P53" s="320"/>
      <c r="Q53" s="529"/>
    </row>
    <row r="54" spans="1:17" s="154" customFormat="1" x14ac:dyDescent="0.25">
      <c r="A54" s="151">
        <f>'[1]B) D RI'!A55</f>
        <v>5484</v>
      </c>
      <c r="B54" s="152" t="str">
        <f>'[1]B) D RI'!B55</f>
        <v>Gollion</v>
      </c>
      <c r="C54" s="316">
        <f>'[1]B) D RI'!S55</f>
        <v>74</v>
      </c>
      <c r="D54" s="153">
        <f>'[1]B) D RI'!AA55</f>
        <v>939</v>
      </c>
      <c r="E54" s="314">
        <f>'[1]D) Ecrêtage'!C53</f>
        <v>33995.543783783789</v>
      </c>
      <c r="F54" s="318">
        <f>'[1]E) Fact soc'!G59</f>
        <v>639892.83112841076</v>
      </c>
      <c r="G54" s="315">
        <f>'[1]H) Péréquation directe'!I64</f>
        <v>339835.75865360675</v>
      </c>
      <c r="H54" s="318">
        <f>+'[1]I) Dépenses thématiques'!O53</f>
        <v>-118298.28714251418</v>
      </c>
      <c r="I54" s="315">
        <f>'[1]K) Plafonnement aide'!J53</f>
        <v>0</v>
      </c>
      <c r="J54" s="318">
        <f>'[1]J) Plafonnement effort'!I53</f>
        <v>0</v>
      </c>
      <c r="K54" s="315">
        <f>'[1]L) Plafonnement taux'!Q54</f>
        <v>0</v>
      </c>
      <c r="L54" s="313">
        <f t="shared" si="0"/>
        <v>861430.30263950338</v>
      </c>
      <c r="M54" s="234">
        <f>'[1]M) Police'!O54</f>
        <v>103573.37815235584</v>
      </c>
      <c r="N54" s="234">
        <f t="shared" si="1"/>
        <v>965003.68079185928</v>
      </c>
      <c r="O54" s="318">
        <f t="shared" si="2"/>
        <v>221537.47151109256</v>
      </c>
      <c r="P54" s="320"/>
      <c r="Q54" s="529"/>
    </row>
    <row r="55" spans="1:17" s="154" customFormat="1" x14ac:dyDescent="0.25">
      <c r="A55" s="151">
        <f>'[1]B) D RI'!A56</f>
        <v>5485</v>
      </c>
      <c r="B55" s="152" t="str">
        <f>'[1]B) D RI'!B56</f>
        <v>Grancy</v>
      </c>
      <c r="C55" s="316">
        <f>'[1]B) D RI'!S56</f>
        <v>70</v>
      </c>
      <c r="D55" s="153">
        <f>'[1]B) D RI'!AA56</f>
        <v>397</v>
      </c>
      <c r="E55" s="314">
        <f>'[1]D) Ecrêtage'!C54</f>
        <v>16957.048857142858</v>
      </c>
      <c r="F55" s="318">
        <f>'[1]E) Fact soc'!G60</f>
        <v>293679.87148010277</v>
      </c>
      <c r="G55" s="315">
        <f>'[1]H) Péréquation directe'!I65</f>
        <v>255399.36667580483</v>
      </c>
      <c r="H55" s="318">
        <f>+'[1]I) Dépenses thématiques'!O54</f>
        <v>-28895.504383582986</v>
      </c>
      <c r="I55" s="315">
        <f>'[1]K) Plafonnement aide'!J54</f>
        <v>0</v>
      </c>
      <c r="J55" s="318">
        <f>'[1]J) Plafonnement effort'!I54</f>
        <v>0</v>
      </c>
      <c r="K55" s="315">
        <f>'[1]L) Plafonnement taux'!Q55</f>
        <v>0</v>
      </c>
      <c r="L55" s="313">
        <f t="shared" si="0"/>
        <v>520183.73377232463</v>
      </c>
      <c r="M55" s="234">
        <f>'[1]M) Police'!O55</f>
        <v>52031.786499760972</v>
      </c>
      <c r="N55" s="234">
        <f t="shared" si="1"/>
        <v>572215.52027208556</v>
      </c>
      <c r="O55" s="318">
        <f t="shared" si="2"/>
        <v>226503.86229222186</v>
      </c>
      <c r="P55" s="320"/>
      <c r="Q55" s="529"/>
    </row>
    <row r="56" spans="1:17" s="154" customFormat="1" x14ac:dyDescent="0.25">
      <c r="A56" s="151">
        <f>'[1]B) D RI'!A57</f>
        <v>5486</v>
      </c>
      <c r="B56" s="152" t="str">
        <f>'[1]B) D RI'!B57</f>
        <v>L'Isle</v>
      </c>
      <c r="C56" s="316">
        <f>'[1]B) D RI'!S57</f>
        <v>76</v>
      </c>
      <c r="D56" s="153">
        <f>'[1]B) D RI'!AA57</f>
        <v>1011</v>
      </c>
      <c r="E56" s="314">
        <f>'[1]D) Ecrêtage'!C55</f>
        <v>35667.648026315794</v>
      </c>
      <c r="F56" s="318">
        <f>'[1]E) Fact soc'!G61</f>
        <v>843730.0911818879</v>
      </c>
      <c r="G56" s="315">
        <f>'[1]H) Péréquation directe'!I66</f>
        <v>310219.96378457505</v>
      </c>
      <c r="H56" s="318">
        <f>+'[1]I) Dépenses thématiques'!O55</f>
        <v>-287257.63168439991</v>
      </c>
      <c r="I56" s="315">
        <f>'[1]K) Plafonnement aide'!J55</f>
        <v>0</v>
      </c>
      <c r="J56" s="318">
        <f>'[1]J) Plafonnement effort'!I55</f>
        <v>0</v>
      </c>
      <c r="K56" s="315">
        <f>'[1]L) Plafonnement taux'!Q56</f>
        <v>0</v>
      </c>
      <c r="L56" s="313">
        <f t="shared" si="0"/>
        <v>866692.4232820631</v>
      </c>
      <c r="M56" s="234">
        <f>'[1]M) Police'!O56</f>
        <v>108847.08487783969</v>
      </c>
      <c r="N56" s="234">
        <f t="shared" si="1"/>
        <v>975539.50815990276</v>
      </c>
      <c r="O56" s="318">
        <f t="shared" si="2"/>
        <v>22962.332100175146</v>
      </c>
      <c r="P56" s="320"/>
      <c r="Q56" s="529"/>
    </row>
    <row r="57" spans="1:17" s="154" customFormat="1" x14ac:dyDescent="0.25">
      <c r="A57" s="151">
        <f>'[1]B) D RI'!A58</f>
        <v>5487</v>
      </c>
      <c r="B57" s="152" t="str">
        <f>'[1]B) D RI'!B58</f>
        <v>Lussery-Villars</v>
      </c>
      <c r="C57" s="316">
        <f>'[1]B) D RI'!S58</f>
        <v>75</v>
      </c>
      <c r="D57" s="153">
        <f>'[1]B) D RI'!AA58</f>
        <v>459</v>
      </c>
      <c r="E57" s="314">
        <f>'[1]D) Ecrêtage'!C56</f>
        <v>15504.095066666665</v>
      </c>
      <c r="F57" s="318">
        <f>'[1]E) Fact soc'!G62</f>
        <v>262880.14328380494</v>
      </c>
      <c r="G57" s="315">
        <f>'[1]H) Péréquation directe'!I67</f>
        <v>116082.11301058633</v>
      </c>
      <c r="H57" s="318">
        <f>+'[1]I) Dépenses thématiques'!O56</f>
        <v>-40706.649299969838</v>
      </c>
      <c r="I57" s="315">
        <f>'[1]K) Plafonnement aide'!J56</f>
        <v>0</v>
      </c>
      <c r="J57" s="318">
        <f>'[1]J) Plafonnement effort'!I56</f>
        <v>0</v>
      </c>
      <c r="K57" s="315">
        <f>'[1]L) Plafonnement taux'!Q57</f>
        <v>0</v>
      </c>
      <c r="L57" s="313">
        <f t="shared" si="0"/>
        <v>338255.6069944214</v>
      </c>
      <c r="M57" s="234">
        <f>'[1]M) Police'!O57</f>
        <v>47427.760819119787</v>
      </c>
      <c r="N57" s="234">
        <f t="shared" si="1"/>
        <v>385683.3678135412</v>
      </c>
      <c r="O57" s="318">
        <f t="shared" si="2"/>
        <v>75375.463710616488</v>
      </c>
      <c r="P57" s="320"/>
      <c r="Q57" s="529"/>
    </row>
    <row r="58" spans="1:17" s="154" customFormat="1" x14ac:dyDescent="0.25">
      <c r="A58" s="151">
        <f>'[1]B) D RI'!A59</f>
        <v>5488</v>
      </c>
      <c r="B58" s="152" t="str">
        <f>'[1]B) D RI'!B59</f>
        <v>Mauraz</v>
      </c>
      <c r="C58" s="316">
        <f>'[1]B) D RI'!S59</f>
        <v>78</v>
      </c>
      <c r="D58" s="153">
        <f>'[1]B) D RI'!AA59</f>
        <v>57</v>
      </c>
      <c r="E58" s="314">
        <f>'[1]D) Ecrêtage'!C57</f>
        <v>1751.8621794871794</v>
      </c>
      <c r="F58" s="318">
        <f>'[1]E) Fact soc'!G63</f>
        <v>25736.907577120735</v>
      </c>
      <c r="G58" s="315">
        <f>'[1]H) Péréquation directe'!I68</f>
        <v>5382.9695746357283</v>
      </c>
      <c r="H58" s="318">
        <f>+'[1]I) Dépenses thématiques'!O57</f>
        <v>0</v>
      </c>
      <c r="I58" s="315">
        <f>'[1]K) Plafonnement aide'!J57</f>
        <v>0</v>
      </c>
      <c r="J58" s="318">
        <f>'[1]J) Plafonnement effort'!I57</f>
        <v>0</v>
      </c>
      <c r="K58" s="315">
        <f>'[1]L) Plafonnement taux'!Q58</f>
        <v>0</v>
      </c>
      <c r="L58" s="313">
        <f t="shared" si="0"/>
        <v>31119.877151756464</v>
      </c>
      <c r="M58" s="234">
        <f>'[1]M) Police'!O58</f>
        <v>5376.2879745812279</v>
      </c>
      <c r="N58" s="234">
        <f t="shared" si="1"/>
        <v>36496.165126337692</v>
      </c>
      <c r="O58" s="318">
        <f t="shared" si="2"/>
        <v>5382.9695746357283</v>
      </c>
      <c r="P58" s="320"/>
      <c r="Q58" s="529"/>
    </row>
    <row r="59" spans="1:17" s="154" customFormat="1" x14ac:dyDescent="0.25">
      <c r="A59" s="151">
        <f>'[1]B) D RI'!A60</f>
        <v>5489</v>
      </c>
      <c r="B59" s="152" t="str">
        <f>'[1]B) D RI'!B60</f>
        <v>Mex</v>
      </c>
      <c r="C59" s="316">
        <f>'[1]B) D RI'!S60</f>
        <v>61</v>
      </c>
      <c r="D59" s="153">
        <f>'[1]B) D RI'!AA60</f>
        <v>718</v>
      </c>
      <c r="E59" s="314">
        <f>'[1]D) Ecrêtage'!C58</f>
        <v>62953.268196721314</v>
      </c>
      <c r="F59" s="318">
        <f>'[1]E) Fact soc'!G64</f>
        <v>1570361.6297983322</v>
      </c>
      <c r="G59" s="315">
        <f>'[1]H) Péréquation directe'!I69</f>
        <v>1169285.1194621297</v>
      </c>
      <c r="H59" s="318">
        <f>+'[1]I) Dépenses thématiques'!O58</f>
        <v>0</v>
      </c>
      <c r="I59" s="315">
        <f>'[1]K) Plafonnement aide'!J58</f>
        <v>0</v>
      </c>
      <c r="J59" s="318">
        <f>'[1]J) Plafonnement effort'!I58</f>
        <v>0</v>
      </c>
      <c r="K59" s="315">
        <f>'[1]L) Plafonnement taux'!Q59</f>
        <v>0</v>
      </c>
      <c r="L59" s="313">
        <f t="shared" si="0"/>
        <v>2739646.7492604619</v>
      </c>
      <c r="M59" s="234">
        <f>'[1]M) Police'!O59</f>
        <v>137796.69073404558</v>
      </c>
      <c r="N59" s="234">
        <f t="shared" si="1"/>
        <v>2877443.4399945075</v>
      </c>
      <c r="O59" s="318">
        <f t="shared" si="2"/>
        <v>1169285.1194621297</v>
      </c>
      <c r="P59" s="320"/>
      <c r="Q59" s="529"/>
    </row>
    <row r="60" spans="1:17" s="154" customFormat="1" x14ac:dyDescent="0.25">
      <c r="A60" s="151">
        <f>'[1]B) D RI'!A61</f>
        <v>5490</v>
      </c>
      <c r="B60" s="152" t="str">
        <f>'[1]B) D RI'!B61</f>
        <v>Moiry</v>
      </c>
      <c r="C60" s="316">
        <f>'[1]B) D RI'!S61</f>
        <v>78.5</v>
      </c>
      <c r="D60" s="153">
        <f>'[1]B) D RI'!AA61</f>
        <v>310</v>
      </c>
      <c r="E60" s="314">
        <f>'[1]D) Ecrêtage'!C59</f>
        <v>8346.3239490445867</v>
      </c>
      <c r="F60" s="318">
        <f>'[1]E) Fact soc'!G65</f>
        <v>131878.4508339646</v>
      </c>
      <c r="G60" s="315">
        <f>'[1]H) Péréquation directe'!I70</f>
        <v>-24756.858019096922</v>
      </c>
      <c r="H60" s="318">
        <f>+'[1]I) Dépenses thématiques'!O59</f>
        <v>-63400.480179210026</v>
      </c>
      <c r="I60" s="315">
        <f>'[1]K) Plafonnement aide'!J59</f>
        <v>0</v>
      </c>
      <c r="J60" s="318">
        <f>'[1]J) Plafonnement effort'!I59</f>
        <v>0</v>
      </c>
      <c r="K60" s="315">
        <f>'[1]L) Plafonnement taux'!Q60</f>
        <v>0</v>
      </c>
      <c r="L60" s="313">
        <f t="shared" si="0"/>
        <v>43721.11263565765</v>
      </c>
      <c r="M60" s="234">
        <f>'[1]M) Police'!O60</f>
        <v>25495.138592482675</v>
      </c>
      <c r="N60" s="234">
        <f t="shared" si="1"/>
        <v>69216.251228140318</v>
      </c>
      <c r="O60" s="318">
        <f t="shared" si="2"/>
        <v>-88157.338198306941</v>
      </c>
      <c r="P60" s="320"/>
      <c r="Q60" s="529"/>
    </row>
    <row r="61" spans="1:17" s="154" customFormat="1" x14ac:dyDescent="0.25">
      <c r="A61" s="151">
        <f>'[1]B) D RI'!A62</f>
        <v>5491</v>
      </c>
      <c r="B61" s="152" t="str">
        <f>'[1]B) D RI'!B62</f>
        <v>Mont-la-Ville</v>
      </c>
      <c r="C61" s="316">
        <f>'[1]B) D RI'!S62</f>
        <v>76</v>
      </c>
      <c r="D61" s="153">
        <f>'[1]B) D RI'!AA62</f>
        <v>478</v>
      </c>
      <c r="E61" s="314">
        <f>'[1]D) Ecrêtage'!C60</f>
        <v>14105.600657894736</v>
      </c>
      <c r="F61" s="318">
        <f>'[1]E) Fact soc'!G66</f>
        <v>220551.92219936699</v>
      </c>
      <c r="G61" s="315">
        <f>'[1]H) Péréquation directe'!I71</f>
        <v>29593.553441428958</v>
      </c>
      <c r="H61" s="318">
        <f>+'[1]I) Dépenses thématiques'!O60</f>
        <v>-96842.485920311738</v>
      </c>
      <c r="I61" s="315">
        <f>'[1]K) Plafonnement aide'!J60</f>
        <v>0</v>
      </c>
      <c r="J61" s="318">
        <f>'[1]J) Plafonnement effort'!I60</f>
        <v>0</v>
      </c>
      <c r="K61" s="315">
        <f>'[1]L) Plafonnement taux'!Q61</f>
        <v>0</v>
      </c>
      <c r="L61" s="313">
        <f t="shared" si="0"/>
        <v>153302.98972048421</v>
      </c>
      <c r="M61" s="234">
        <f>'[1]M) Police'!O61</f>
        <v>42859.980250862282</v>
      </c>
      <c r="N61" s="234">
        <f t="shared" si="1"/>
        <v>196162.96997134649</v>
      </c>
      <c r="O61" s="318">
        <f t="shared" si="2"/>
        <v>-67248.93247888278</v>
      </c>
      <c r="P61" s="320"/>
      <c r="Q61" s="529"/>
    </row>
    <row r="62" spans="1:17" s="154" customFormat="1" x14ac:dyDescent="0.25">
      <c r="A62" s="151">
        <f>'[1]B) D RI'!A63</f>
        <v>5492</v>
      </c>
      <c r="B62" s="152" t="str">
        <f>'[1]B) D RI'!B63</f>
        <v>Montricher</v>
      </c>
      <c r="C62" s="316">
        <f>'[1]B) D RI'!S63</f>
        <v>64</v>
      </c>
      <c r="D62" s="153">
        <f>'[1]B) D RI'!AA63</f>
        <v>964</v>
      </c>
      <c r="E62" s="314">
        <f>'[1]D) Ecrêtage'!C61</f>
        <v>190092.85661458335</v>
      </c>
      <c r="F62" s="318">
        <f>'[1]E) Fact soc'!G67</f>
        <v>7340039.4074617838</v>
      </c>
      <c r="G62" s="315">
        <f>'[1]H) Péréquation directe'!I72</f>
        <v>3682022.888544241</v>
      </c>
      <c r="H62" s="318">
        <f>+'[1]I) Dépenses thématiques'!O61</f>
        <v>-142997.07460096962</v>
      </c>
      <c r="I62" s="315">
        <f>'[1]K) Plafonnement aide'!J61</f>
        <v>0</v>
      </c>
      <c r="J62" s="318">
        <f>'[1]J) Plafonnement effort'!I61</f>
        <v>-2324886.6737488047</v>
      </c>
      <c r="K62" s="315">
        <f>'[1]L) Plafonnement taux'!Q62</f>
        <v>0</v>
      </c>
      <c r="L62" s="313">
        <f t="shared" si="0"/>
        <v>8554178.5476562493</v>
      </c>
      <c r="M62" s="234">
        <f>'[1]M) Police'!O62</f>
        <v>310872.38911101379</v>
      </c>
      <c r="N62" s="234">
        <f t="shared" si="1"/>
        <v>8865050.9367672633</v>
      </c>
      <c r="O62" s="318">
        <f t="shared" si="2"/>
        <v>1214139.1401944668</v>
      </c>
      <c r="P62" s="320"/>
      <c r="Q62" s="529"/>
    </row>
    <row r="63" spans="1:17" s="154" customFormat="1" x14ac:dyDescent="0.25">
      <c r="A63" s="151">
        <f>'[1]B) D RI'!A64</f>
        <v>5493</v>
      </c>
      <c r="B63" s="152" t="str">
        <f>'[1]B) D RI'!B64</f>
        <v>Orny</v>
      </c>
      <c r="C63" s="316">
        <f>'[1]B) D RI'!S64</f>
        <v>73</v>
      </c>
      <c r="D63" s="153">
        <f>'[1]B) D RI'!AA64</f>
        <v>416</v>
      </c>
      <c r="E63" s="314">
        <f>'[1]D) Ecrêtage'!C62</f>
        <v>10669.457639620656</v>
      </c>
      <c r="F63" s="318">
        <f>'[1]E) Fact soc'!G68</f>
        <v>242137.76610591757</v>
      </c>
      <c r="G63" s="315">
        <f>'[1]H) Péréquation directe'!I73</f>
        <v>-27314.983091273927</v>
      </c>
      <c r="H63" s="318">
        <f>+'[1]I) Dépenses thématiques'!O62</f>
        <v>0</v>
      </c>
      <c r="I63" s="315">
        <f>'[1]K) Plafonnement aide'!J62</f>
        <v>0</v>
      </c>
      <c r="J63" s="318">
        <f>'[1]J) Plafonnement effort'!I62</f>
        <v>0</v>
      </c>
      <c r="K63" s="315">
        <f>'[1]L) Plafonnement taux'!Q63</f>
        <v>0</v>
      </c>
      <c r="L63" s="313">
        <f t="shared" si="0"/>
        <v>214822.78301464365</v>
      </c>
      <c r="M63" s="234">
        <f>'[1]M) Police'!O63</f>
        <v>32556.187961264572</v>
      </c>
      <c r="N63" s="234">
        <f t="shared" si="1"/>
        <v>247378.97097590822</v>
      </c>
      <c r="O63" s="318">
        <f t="shared" si="2"/>
        <v>-27314.983091273927</v>
      </c>
      <c r="P63" s="320"/>
      <c r="Q63" s="529"/>
    </row>
    <row r="64" spans="1:17" s="154" customFormat="1" x14ac:dyDescent="0.25">
      <c r="A64" s="151">
        <f>'[1]B) D RI'!A65</f>
        <v>5494</v>
      </c>
      <c r="B64" s="152" t="str">
        <f>'[1]B) D RI'!B65</f>
        <v>Pampigny</v>
      </c>
      <c r="C64" s="316">
        <f>'[1]B) D RI'!S65</f>
        <v>75</v>
      </c>
      <c r="D64" s="153">
        <f>'[1]B) D RI'!AA65</f>
        <v>1103</v>
      </c>
      <c r="E64" s="314">
        <f>'[1]D) Ecrêtage'!C63</f>
        <v>37008.943269841264</v>
      </c>
      <c r="F64" s="318">
        <f>'[1]E) Fact soc'!G69</f>
        <v>642545.25952480326</v>
      </c>
      <c r="G64" s="315">
        <f>'[1]H) Péréquation directe'!I74</f>
        <v>245167.15715203679</v>
      </c>
      <c r="H64" s="318">
        <f>+'[1]I) Dépenses thématiques'!O63</f>
        <v>-234631.15890875048</v>
      </c>
      <c r="I64" s="315">
        <f>'[1]K) Plafonnement aide'!J63</f>
        <v>0</v>
      </c>
      <c r="J64" s="318">
        <f>'[1]J) Plafonnement effort'!I63</f>
        <v>0</v>
      </c>
      <c r="K64" s="315">
        <f>'[1]L) Plafonnement taux'!Q64</f>
        <v>0</v>
      </c>
      <c r="L64" s="313">
        <f t="shared" si="0"/>
        <v>653081.25776808953</v>
      </c>
      <c r="M64" s="234">
        <f>'[1]M) Police'!O64</f>
        <v>112420.34474181951</v>
      </c>
      <c r="N64" s="234">
        <f t="shared" si="1"/>
        <v>765501.60250990908</v>
      </c>
      <c r="O64" s="318">
        <f t="shared" si="2"/>
        <v>10535.998243286303</v>
      </c>
      <c r="P64" s="320"/>
      <c r="Q64" s="529"/>
    </row>
    <row r="65" spans="1:17" s="154" customFormat="1" x14ac:dyDescent="0.25">
      <c r="A65" s="151">
        <f>'[1]B) D RI'!A66</f>
        <v>5495</v>
      </c>
      <c r="B65" s="152" t="str">
        <f>'[1]B) D RI'!B66</f>
        <v>Penthalaz</v>
      </c>
      <c r="C65" s="316">
        <f>'[1]B) D RI'!S66</f>
        <v>74</v>
      </c>
      <c r="D65" s="153">
        <f>'[1]B) D RI'!AA66</f>
        <v>3257</v>
      </c>
      <c r="E65" s="314">
        <f>'[1]D) Ecrêtage'!C64</f>
        <v>95334.294459459459</v>
      </c>
      <c r="F65" s="318">
        <f>'[1]E) Fact soc'!G70</f>
        <v>1618766.1317854149</v>
      </c>
      <c r="G65" s="315">
        <f>'[1]H) Péréquation directe'!I75</f>
        <v>-311786.95478275279</v>
      </c>
      <c r="H65" s="318">
        <f>+'[1]I) Dépenses thématiques'!O64</f>
        <v>-574835.29027520993</v>
      </c>
      <c r="I65" s="315">
        <f>'[1]K) Plafonnement aide'!J64</f>
        <v>0</v>
      </c>
      <c r="J65" s="318">
        <f>'[1]J) Plafonnement effort'!I64</f>
        <v>0</v>
      </c>
      <c r="K65" s="315">
        <f>'[1]L) Plafonnement taux'!Q65</f>
        <v>0</v>
      </c>
      <c r="L65" s="313">
        <f t="shared" si="0"/>
        <v>732143.88672745216</v>
      </c>
      <c r="M65" s="234">
        <f>'[1]M) Police'!O65</f>
        <v>289338.14340326877</v>
      </c>
      <c r="N65" s="234">
        <f t="shared" si="1"/>
        <v>1021482.0301307209</v>
      </c>
      <c r="O65" s="318">
        <f t="shared" si="2"/>
        <v>-886622.24505796272</v>
      </c>
      <c r="P65" s="320"/>
      <c r="Q65" s="529"/>
    </row>
    <row r="66" spans="1:17" s="154" customFormat="1" x14ac:dyDescent="0.25">
      <c r="A66" s="151">
        <f>'[1]B) D RI'!A67</f>
        <v>5496</v>
      </c>
      <c r="B66" s="152" t="str">
        <f>'[1]B) D RI'!B67</f>
        <v>Penthaz</v>
      </c>
      <c r="C66" s="316">
        <f>'[1]B) D RI'!S67</f>
        <v>71</v>
      </c>
      <c r="D66" s="153">
        <f>'[1]B) D RI'!AA67</f>
        <v>1760</v>
      </c>
      <c r="E66" s="314">
        <f>'[1]D) Ecrêtage'!C65</f>
        <v>59470.759859154932</v>
      </c>
      <c r="F66" s="318">
        <f>'[1]E) Fact soc'!G71</f>
        <v>1091070.6673668462</v>
      </c>
      <c r="G66" s="315">
        <f>'[1]H) Péréquation directe'!I76</f>
        <v>328423.74899712286</v>
      </c>
      <c r="H66" s="318">
        <f>+'[1]I) Dépenses thématiques'!O65</f>
        <v>-258601.56221357977</v>
      </c>
      <c r="I66" s="315">
        <f>'[1]K) Plafonnement aide'!J65</f>
        <v>0</v>
      </c>
      <c r="J66" s="318">
        <f>'[1]J) Plafonnement effort'!I65</f>
        <v>0</v>
      </c>
      <c r="K66" s="315">
        <f>'[1]L) Plafonnement taux'!Q66</f>
        <v>0</v>
      </c>
      <c r="L66" s="313">
        <f t="shared" si="0"/>
        <v>1160892.8541503893</v>
      </c>
      <c r="M66" s="234">
        <f>'[1]M) Police'!O66</f>
        <v>180347.6440827219</v>
      </c>
      <c r="N66" s="234">
        <f t="shared" si="1"/>
        <v>1341240.4982331111</v>
      </c>
      <c r="O66" s="318">
        <f t="shared" si="2"/>
        <v>69822.186783543089</v>
      </c>
      <c r="P66" s="320"/>
      <c r="Q66" s="529"/>
    </row>
    <row r="67" spans="1:17" s="154" customFormat="1" x14ac:dyDescent="0.25">
      <c r="A67" s="151">
        <f>'[1]B) D RI'!A68</f>
        <v>5497</v>
      </c>
      <c r="B67" s="152" t="str">
        <f>'[1]B) D RI'!B68</f>
        <v>Pompaples</v>
      </c>
      <c r="C67" s="316">
        <f>'[1]B) D RI'!S68</f>
        <v>66</v>
      </c>
      <c r="D67" s="153">
        <f>'[1]B) D RI'!AA68</f>
        <v>851</v>
      </c>
      <c r="E67" s="314">
        <f>'[1]D) Ecrêtage'!C66</f>
        <v>22300.858484848486</v>
      </c>
      <c r="F67" s="318">
        <f>'[1]E) Fact soc'!G72</f>
        <v>447943.86973845272</v>
      </c>
      <c r="G67" s="315">
        <f>'[1]H) Péréquation directe'!I77</f>
        <v>32216.555282192072</v>
      </c>
      <c r="H67" s="318">
        <f>+'[1]I) Dépenses thématiques'!O66</f>
        <v>-174819.86734168441</v>
      </c>
      <c r="I67" s="315">
        <f>'[1]K) Plafonnement aide'!J66</f>
        <v>0</v>
      </c>
      <c r="J67" s="318">
        <f>'[1]J) Plafonnement effort'!I66</f>
        <v>0</v>
      </c>
      <c r="K67" s="315">
        <f>'[1]L) Plafonnement taux'!Q67</f>
        <v>0</v>
      </c>
      <c r="L67" s="313">
        <f t="shared" si="0"/>
        <v>305340.55767896038</v>
      </c>
      <c r="M67" s="234">
        <f>'[1]M) Police'!O67</f>
        <v>67896.867812745681</v>
      </c>
      <c r="N67" s="234">
        <f t="shared" si="1"/>
        <v>373237.42549170606</v>
      </c>
      <c r="O67" s="318">
        <f t="shared" si="2"/>
        <v>-142603.31205949234</v>
      </c>
      <c r="P67" s="320"/>
      <c r="Q67" s="529"/>
    </row>
    <row r="68" spans="1:17" s="154" customFormat="1" x14ac:dyDescent="0.25">
      <c r="A68" s="151">
        <f>'[1]B) D RI'!A69</f>
        <v>5498</v>
      </c>
      <c r="B68" s="152" t="str">
        <f>'[1]B) D RI'!B69</f>
        <v>La Sarraz</v>
      </c>
      <c r="C68" s="316">
        <f>'[1]B) D RI'!S69</f>
        <v>66</v>
      </c>
      <c r="D68" s="153">
        <f>'[1]B) D RI'!AA69</f>
        <v>2651</v>
      </c>
      <c r="E68" s="314">
        <f>'[1]D) Ecrêtage'!C67</f>
        <v>77649.398333333345</v>
      </c>
      <c r="F68" s="318">
        <f>'[1]E) Fact soc'!G73</f>
        <v>1422827.2713115686</v>
      </c>
      <c r="G68" s="315">
        <f>'[1]H) Péréquation directe'!I78</f>
        <v>31704.083587950794</v>
      </c>
      <c r="H68" s="318">
        <f>+'[1]I) Dépenses thématiques'!O67</f>
        <v>-566467.14005341416</v>
      </c>
      <c r="I68" s="315">
        <f>'[1]K) Plafonnement aide'!J67</f>
        <v>0</v>
      </c>
      <c r="J68" s="318">
        <f>'[1]J) Plafonnement effort'!I67</f>
        <v>0</v>
      </c>
      <c r="K68" s="315">
        <f>'[1]L) Plafonnement taux'!Q68</f>
        <v>0</v>
      </c>
      <c r="L68" s="313">
        <f t="shared" si="0"/>
        <v>888064.2148461052</v>
      </c>
      <c r="M68" s="234">
        <f>'[1]M) Police'!O68</f>
        <v>235517.5014542609</v>
      </c>
      <c r="N68" s="234">
        <f t="shared" si="1"/>
        <v>1123581.716300366</v>
      </c>
      <c r="O68" s="318">
        <f t="shared" si="2"/>
        <v>-534763.05646546336</v>
      </c>
      <c r="P68" s="320"/>
      <c r="Q68" s="529"/>
    </row>
    <row r="69" spans="1:17" s="154" customFormat="1" x14ac:dyDescent="0.25">
      <c r="A69" s="151">
        <f>'[1]B) D RI'!A70</f>
        <v>5499</v>
      </c>
      <c r="B69" s="152" t="str">
        <f>'[1]B) D RI'!B70</f>
        <v>Senarclens</v>
      </c>
      <c r="C69" s="316">
        <f>'[1]B) D RI'!S70</f>
        <v>68.5</v>
      </c>
      <c r="D69" s="153">
        <f>'[1]B) D RI'!AA70</f>
        <v>477</v>
      </c>
      <c r="E69" s="314">
        <f>'[1]D) Ecrêtage'!C68</f>
        <v>19517.373430656935</v>
      </c>
      <c r="F69" s="318">
        <f>'[1]E) Fact soc'!G74</f>
        <v>346859.86367175484</v>
      </c>
      <c r="G69" s="315">
        <f>'[1]H) Péréquation directe'!I79</f>
        <v>275539.76342453941</v>
      </c>
      <c r="H69" s="318">
        <f>+'[1]I) Dépenses thématiques'!O68</f>
        <v>0</v>
      </c>
      <c r="I69" s="315">
        <f>'[1]K) Plafonnement aide'!J68</f>
        <v>0</v>
      </c>
      <c r="J69" s="318">
        <f>'[1]J) Plafonnement effort'!I68</f>
        <v>0</v>
      </c>
      <c r="K69" s="315">
        <f>'[1]L) Plafonnement taux'!Q69</f>
        <v>0</v>
      </c>
      <c r="L69" s="313">
        <f t="shared" si="0"/>
        <v>622399.62709629419</v>
      </c>
      <c r="M69" s="234">
        <f>'[1]M) Police'!O69</f>
        <v>59544.337492145503</v>
      </c>
      <c r="N69" s="234">
        <f t="shared" si="1"/>
        <v>681943.96458843967</v>
      </c>
      <c r="O69" s="318">
        <f t="shared" si="2"/>
        <v>275539.76342453941</v>
      </c>
      <c r="P69" s="320"/>
      <c r="Q69" s="529"/>
    </row>
    <row r="70" spans="1:17" s="154" customFormat="1" x14ac:dyDescent="0.25">
      <c r="A70" s="151">
        <f>'[1]B) D RI'!A71</f>
        <v>5500</v>
      </c>
      <c r="B70" s="152" t="str">
        <f>'[1]B) D RI'!B71</f>
        <v>Sévery</v>
      </c>
      <c r="C70" s="316">
        <f>'[1]B) D RI'!S71</f>
        <v>75</v>
      </c>
      <c r="D70" s="153">
        <f>'[1]B) D RI'!AA71</f>
        <v>227</v>
      </c>
      <c r="E70" s="314">
        <f>'[1]D) Ecrêtage'!C69</f>
        <v>6999.0248888888891</v>
      </c>
      <c r="F70" s="318">
        <f>'[1]E) Fact soc'!G75</f>
        <v>118721.49939178079</v>
      </c>
      <c r="G70" s="315">
        <f>'[1]H) Péréquation directe'!I80</f>
        <v>29142.40588487497</v>
      </c>
      <c r="H70" s="318">
        <f>+'[1]I) Dépenses thématiques'!O69</f>
        <v>-17795.434734293071</v>
      </c>
      <c r="I70" s="315">
        <f>'[1]K) Plafonnement aide'!J69</f>
        <v>0</v>
      </c>
      <c r="J70" s="318">
        <f>'[1]J) Plafonnement effort'!I69</f>
        <v>0</v>
      </c>
      <c r="K70" s="315">
        <f>'[1]L) Plafonnement taux'!Q70</f>
        <v>0</v>
      </c>
      <c r="L70" s="313">
        <f t="shared" si="0"/>
        <v>130068.47054236267</v>
      </c>
      <c r="M70" s="234">
        <f>'[1]M) Police'!O70</f>
        <v>21211.469819505037</v>
      </c>
      <c r="N70" s="234">
        <f t="shared" si="1"/>
        <v>151279.94036186772</v>
      </c>
      <c r="O70" s="318">
        <f t="shared" si="2"/>
        <v>11346.9711505819</v>
      </c>
      <c r="P70" s="320"/>
      <c r="Q70" s="529"/>
    </row>
    <row r="71" spans="1:17" s="154" customFormat="1" x14ac:dyDescent="0.25">
      <c r="A71" s="151">
        <f>'[1]B) D RI'!A72</f>
        <v>5501</v>
      </c>
      <c r="B71" s="152" t="str">
        <f>'[1]B) D RI'!B72</f>
        <v>Sullens</v>
      </c>
      <c r="C71" s="316">
        <f>'[1]B) D RI'!S72</f>
        <v>70</v>
      </c>
      <c r="D71" s="153">
        <f>'[1]B) D RI'!AA72</f>
        <v>1035</v>
      </c>
      <c r="E71" s="314">
        <f>'[1]D) Ecrêtage'!C70</f>
        <v>40473.718571428566</v>
      </c>
      <c r="F71" s="318">
        <f>'[1]E) Fact soc'!G76</f>
        <v>684993.50740045612</v>
      </c>
      <c r="G71" s="315">
        <f>'[1]H) Péréquation directe'!I81</f>
        <v>510768.1589611721</v>
      </c>
      <c r="H71" s="318">
        <f>+'[1]I) Dépenses thématiques'!O70</f>
        <v>-6250.386231080327</v>
      </c>
      <c r="I71" s="315">
        <f>'[1]K) Plafonnement aide'!J70</f>
        <v>0</v>
      </c>
      <c r="J71" s="318">
        <f>'[1]J) Plafonnement effort'!I70</f>
        <v>0</v>
      </c>
      <c r="K71" s="315">
        <f>'[1]L) Plafonnement taux'!Q71</f>
        <v>0</v>
      </c>
      <c r="L71" s="313">
        <f t="shared" ref="L71:L134" si="3">F71+G71+H71+I71+J71+K71</f>
        <v>1189511.2801305477</v>
      </c>
      <c r="M71" s="234">
        <f>'[1]M) Police'!O71</f>
        <v>122864.16104614985</v>
      </c>
      <c r="N71" s="234">
        <f t="shared" ref="N71:N134" si="4">L71+M71</f>
        <v>1312375.4411766976</v>
      </c>
      <c r="O71" s="318">
        <f t="shared" ref="O71:O134" si="5">SUM(G71:K71)</f>
        <v>504517.77273009176</v>
      </c>
      <c r="P71" s="320"/>
      <c r="Q71" s="529"/>
    </row>
    <row r="72" spans="1:17" s="154" customFormat="1" x14ac:dyDescent="0.25">
      <c r="A72" s="151">
        <f>'[1]B) D RI'!A73</f>
        <v>5503</v>
      </c>
      <c r="B72" s="152" t="str">
        <f>'[1]B) D RI'!B73</f>
        <v>Vufflens-la-Ville</v>
      </c>
      <c r="C72" s="316">
        <f>'[1]B) D RI'!S73</f>
        <v>67</v>
      </c>
      <c r="D72" s="153">
        <f>'[1]B) D RI'!AA73</f>
        <v>1295</v>
      </c>
      <c r="E72" s="314">
        <f>'[1]D) Ecrêtage'!C71</f>
        <v>87926.416417910455</v>
      </c>
      <c r="F72" s="318">
        <f>'[1]E) Fact soc'!G77</f>
        <v>1957398.4933915893</v>
      </c>
      <c r="G72" s="315">
        <f>'[1]H) Péréquation directe'!I82</f>
        <v>1529718.4967452257</v>
      </c>
      <c r="H72" s="318">
        <f>+'[1]I) Dépenses thématiques'!O71</f>
        <v>0</v>
      </c>
      <c r="I72" s="315">
        <f>'[1]K) Plafonnement aide'!J71</f>
        <v>0</v>
      </c>
      <c r="J72" s="318">
        <f>'[1]J) Plafonnement effort'!I71</f>
        <v>0</v>
      </c>
      <c r="K72" s="315">
        <f>'[1]L) Plafonnement taux'!Q72</f>
        <v>0</v>
      </c>
      <c r="L72" s="313">
        <f t="shared" si="3"/>
        <v>3487116.9901368152</v>
      </c>
      <c r="M72" s="234">
        <f>'[1]M) Police'!O72</f>
        <v>217991.27231669193</v>
      </c>
      <c r="N72" s="234">
        <f t="shared" si="4"/>
        <v>3705108.2624535072</v>
      </c>
      <c r="O72" s="318">
        <f t="shared" si="5"/>
        <v>1529718.4967452257</v>
      </c>
      <c r="P72" s="320"/>
      <c r="Q72" s="529"/>
    </row>
    <row r="73" spans="1:17" s="154" customFormat="1" x14ac:dyDescent="0.25">
      <c r="A73" s="151">
        <f>'[1]B) D RI'!A74</f>
        <v>5511</v>
      </c>
      <c r="B73" s="152" t="str">
        <f>'[1]B) D RI'!B74</f>
        <v>Assens</v>
      </c>
      <c r="C73" s="316">
        <f>'[1]B) D RI'!S74</f>
        <v>70</v>
      </c>
      <c r="D73" s="153">
        <f>'[1]B) D RI'!AA74</f>
        <v>1074</v>
      </c>
      <c r="E73" s="314">
        <f>'[1]D) Ecrêtage'!C72</f>
        <v>50067.904428571426</v>
      </c>
      <c r="F73" s="318">
        <f>'[1]E) Fact soc'!G78</f>
        <v>858907.2064305495</v>
      </c>
      <c r="G73" s="315">
        <f>'[1]H) Péréquation directe'!I83</f>
        <v>839478.84071758681</v>
      </c>
      <c r="H73" s="318">
        <f>+'[1]I) Dépenses thématiques'!O72</f>
        <v>-213323.18275033904</v>
      </c>
      <c r="I73" s="315">
        <f>'[1]K) Plafonnement aide'!J72</f>
        <v>0</v>
      </c>
      <c r="J73" s="318">
        <f>'[1]J) Plafonnement effort'!I72</f>
        <v>0</v>
      </c>
      <c r="K73" s="315">
        <f>'[1]L) Plafonnement taux'!Q73</f>
        <v>0</v>
      </c>
      <c r="L73" s="313">
        <f t="shared" si="3"/>
        <v>1485062.8643977973</v>
      </c>
      <c r="M73" s="234">
        <f>'[1]M) Police'!O73</f>
        <v>152978.47224352125</v>
      </c>
      <c r="N73" s="234">
        <f t="shared" si="4"/>
        <v>1638041.3366413186</v>
      </c>
      <c r="O73" s="318">
        <f t="shared" si="5"/>
        <v>626155.65796724777</v>
      </c>
      <c r="P73" s="320"/>
      <c r="Q73" s="529"/>
    </row>
    <row r="74" spans="1:17" s="154" customFormat="1" x14ac:dyDescent="0.25">
      <c r="A74" s="151">
        <f>'[1]B) D RI'!A75</f>
        <v>5512</v>
      </c>
      <c r="B74" s="152" t="str">
        <f>'[1]B) D RI'!B75</f>
        <v>Bercher</v>
      </c>
      <c r="C74" s="316">
        <f>'[1]B) D RI'!S75</f>
        <v>79</v>
      </c>
      <c r="D74" s="153">
        <f>'[1]B) D RI'!AA75</f>
        <v>1280</v>
      </c>
      <c r="E74" s="314">
        <f>'[1]D) Ecrêtage'!C73</f>
        <v>40005.59860759494</v>
      </c>
      <c r="F74" s="318">
        <f>'[1]E) Fact soc'!G79</f>
        <v>675584.38176823943</v>
      </c>
      <c r="G74" s="315">
        <f>'[1]H) Péréquation directe'!I84</f>
        <v>74283.341025497066</v>
      </c>
      <c r="H74" s="318">
        <f>+'[1]I) Dépenses thématiques'!O73</f>
        <v>-235545.70509127987</v>
      </c>
      <c r="I74" s="315">
        <f>'[1]K) Plafonnement aide'!J73</f>
        <v>0</v>
      </c>
      <c r="J74" s="318">
        <f>'[1]J) Plafonnement effort'!I73</f>
        <v>0</v>
      </c>
      <c r="K74" s="315">
        <f>'[1]L) Plafonnement taux'!Q74</f>
        <v>0</v>
      </c>
      <c r="L74" s="313">
        <f t="shared" si="3"/>
        <v>514322.01770245662</v>
      </c>
      <c r="M74" s="234">
        <f>'[1]M) Police'!O74</f>
        <v>121184.92800734495</v>
      </c>
      <c r="N74" s="234">
        <f t="shared" si="4"/>
        <v>635506.94570980151</v>
      </c>
      <c r="O74" s="318">
        <f t="shared" si="5"/>
        <v>-161262.36406578281</v>
      </c>
      <c r="P74" s="320"/>
      <c r="Q74" s="529"/>
    </row>
    <row r="75" spans="1:17" s="154" customFormat="1" x14ac:dyDescent="0.25">
      <c r="A75" s="151">
        <f>'[1]B) D RI'!A76</f>
        <v>5513</v>
      </c>
      <c r="B75" s="152" t="str">
        <f>'[1]B) D RI'!B76</f>
        <v>Bioley-Orjulaz</v>
      </c>
      <c r="C75" s="316">
        <f>'[1]B) D RI'!S76</f>
        <v>68</v>
      </c>
      <c r="D75" s="153">
        <f>'[1]B) D RI'!AA76</f>
        <v>521</v>
      </c>
      <c r="E75" s="314">
        <f>'[1]D) Ecrêtage'!C74</f>
        <v>22037.146176470589</v>
      </c>
      <c r="F75" s="318">
        <f>'[1]E) Fact soc'!G80</f>
        <v>387219.92201140331</v>
      </c>
      <c r="G75" s="315">
        <f>'[1]H) Péréquation directe'!I85</f>
        <v>329395.32820993179</v>
      </c>
      <c r="H75" s="318">
        <f>+'[1]I) Dépenses thématiques'!O74</f>
        <v>0</v>
      </c>
      <c r="I75" s="315">
        <f>'[1]K) Plafonnement aide'!J74</f>
        <v>0</v>
      </c>
      <c r="J75" s="318">
        <f>'[1]J) Plafonnement effort'!I74</f>
        <v>0</v>
      </c>
      <c r="K75" s="315">
        <f>'[1]L) Plafonnement taux'!Q75</f>
        <v>0</v>
      </c>
      <c r="L75" s="313">
        <f t="shared" si="3"/>
        <v>716615.2502213351</v>
      </c>
      <c r="M75" s="234">
        <f>'[1]M) Police'!O75</f>
        <v>66664.060784938003</v>
      </c>
      <c r="N75" s="234">
        <f t="shared" si="4"/>
        <v>783279.31100627314</v>
      </c>
      <c r="O75" s="318">
        <f t="shared" si="5"/>
        <v>329395.32820993179</v>
      </c>
      <c r="P75" s="320"/>
      <c r="Q75" s="529"/>
    </row>
    <row r="76" spans="1:17" s="154" customFormat="1" x14ac:dyDescent="0.25">
      <c r="A76" s="151">
        <f>'[1]B) D RI'!A77</f>
        <v>5514</v>
      </c>
      <c r="B76" s="152" t="str">
        <f>'[1]B) D RI'!B77</f>
        <v>Bottens</v>
      </c>
      <c r="C76" s="316">
        <f>'[1]B) D RI'!S77</f>
        <v>74</v>
      </c>
      <c r="D76" s="153">
        <f>'[1]B) D RI'!AA77</f>
        <v>1299</v>
      </c>
      <c r="E76" s="314">
        <f>'[1]D) Ecrêtage'!C75</f>
        <v>40784.156621621616</v>
      </c>
      <c r="F76" s="318">
        <f>'[1]E) Fact soc'!G81</f>
        <v>662454.70101008017</v>
      </c>
      <c r="G76" s="315">
        <f>'[1]H) Péréquation directe'!I86</f>
        <v>142173.86714033887</v>
      </c>
      <c r="H76" s="318">
        <f>+'[1]I) Dépenses thématiques'!O75</f>
        <v>0</v>
      </c>
      <c r="I76" s="315">
        <f>'[1]K) Plafonnement aide'!J75</f>
        <v>0</v>
      </c>
      <c r="J76" s="318">
        <f>'[1]J) Plafonnement effort'!I75</f>
        <v>0</v>
      </c>
      <c r="K76" s="315">
        <f>'[1]L) Plafonnement taux'!Q76</f>
        <v>0</v>
      </c>
      <c r="L76" s="313">
        <f t="shared" si="3"/>
        <v>804628.56815041904</v>
      </c>
      <c r="M76" s="234">
        <f>'[1]M) Police'!O76</f>
        <v>123699.38195551404</v>
      </c>
      <c r="N76" s="234">
        <f t="shared" si="4"/>
        <v>928327.95010593312</v>
      </c>
      <c r="O76" s="318">
        <f t="shared" si="5"/>
        <v>142173.86714033887</v>
      </c>
      <c r="P76" s="320"/>
      <c r="Q76" s="529"/>
    </row>
    <row r="77" spans="1:17" s="154" customFormat="1" x14ac:dyDescent="0.25">
      <c r="A77" s="151">
        <f>'[1]B) D RI'!A78</f>
        <v>5515</v>
      </c>
      <c r="B77" s="152" t="str">
        <f>'[1]B) D RI'!B78</f>
        <v>Bretigny-sur-Morrens</v>
      </c>
      <c r="C77" s="316">
        <f>'[1]B) D RI'!S78</f>
        <v>81</v>
      </c>
      <c r="D77" s="153">
        <f>'[1]B) D RI'!AA78</f>
        <v>861</v>
      </c>
      <c r="E77" s="314">
        <f>'[1]D) Ecrêtage'!C76</f>
        <v>28825.846790123462</v>
      </c>
      <c r="F77" s="318">
        <f>'[1]E) Fact soc'!G82</f>
        <v>519668.40642261767</v>
      </c>
      <c r="G77" s="315">
        <f>'[1]H) Péréquation directe'!I87</f>
        <v>163343.08548496669</v>
      </c>
      <c r="H77" s="318">
        <f>+'[1]I) Dépenses thématiques'!O76</f>
        <v>-59008.823913075263</v>
      </c>
      <c r="I77" s="315">
        <f>'[1]K) Plafonnement aide'!J76</f>
        <v>0</v>
      </c>
      <c r="J77" s="318">
        <f>'[1]J) Plafonnement effort'!I76</f>
        <v>0</v>
      </c>
      <c r="K77" s="315">
        <f>'[1]L) Plafonnement taux'!Q77</f>
        <v>0</v>
      </c>
      <c r="L77" s="313">
        <f t="shared" si="3"/>
        <v>624002.6679945091</v>
      </c>
      <c r="M77" s="234">
        <f>'[1]M) Police'!O77</f>
        <v>87903.296758405369</v>
      </c>
      <c r="N77" s="234">
        <f t="shared" si="4"/>
        <v>711905.9647529145</v>
      </c>
      <c r="O77" s="318">
        <f t="shared" si="5"/>
        <v>104334.26157189143</v>
      </c>
      <c r="P77" s="320"/>
      <c r="Q77" s="529"/>
    </row>
    <row r="78" spans="1:17" s="154" customFormat="1" x14ac:dyDescent="0.25">
      <c r="A78" s="151">
        <f>'[1]B) D RI'!A79</f>
        <v>5516</v>
      </c>
      <c r="B78" s="152" t="str">
        <f>'[1]B) D RI'!B79</f>
        <v>Cugy</v>
      </c>
      <c r="C78" s="316">
        <f>'[1]B) D RI'!S79</f>
        <v>78</v>
      </c>
      <c r="D78" s="153">
        <f>'[1]B) D RI'!AA79</f>
        <v>2768</v>
      </c>
      <c r="E78" s="314">
        <f>'[1]D) Ecrêtage'!C77</f>
        <v>111163.080491453</v>
      </c>
      <c r="F78" s="318">
        <f>'[1]E) Fact soc'!G83</f>
        <v>1780765.3706982615</v>
      </c>
      <c r="G78" s="315">
        <f>'[1]H) Péréquation directe'!I88</f>
        <v>1012070.814756575</v>
      </c>
      <c r="H78" s="318">
        <f>+'[1]I) Dépenses thématiques'!O77</f>
        <v>-200095.17227107228</v>
      </c>
      <c r="I78" s="315">
        <f>'[1]K) Plafonnement aide'!J77</f>
        <v>0</v>
      </c>
      <c r="J78" s="318">
        <f>'[1]J) Plafonnement effort'!I77</f>
        <v>0</v>
      </c>
      <c r="K78" s="315">
        <f>'[1]L) Plafonnement taux'!Q78</f>
        <v>0</v>
      </c>
      <c r="L78" s="313">
        <f t="shared" si="3"/>
        <v>2592741.0131837642</v>
      </c>
      <c r="M78" s="234">
        <f>'[1]M) Police'!O78</f>
        <v>339400.40033743263</v>
      </c>
      <c r="N78" s="234">
        <f t="shared" si="4"/>
        <v>2932141.4135211967</v>
      </c>
      <c r="O78" s="318">
        <f t="shared" si="5"/>
        <v>811975.64248550276</v>
      </c>
      <c r="P78" s="320"/>
      <c r="Q78" s="529"/>
    </row>
    <row r="79" spans="1:17" s="154" customFormat="1" x14ac:dyDescent="0.25">
      <c r="A79" s="151">
        <f>'[1]B) D RI'!A80</f>
        <v>5518</v>
      </c>
      <c r="B79" s="152" t="str">
        <f>'[1]B) D RI'!B80</f>
        <v>Echallens</v>
      </c>
      <c r="C79" s="316">
        <f>'[1]B) D RI'!S80</f>
        <v>74</v>
      </c>
      <c r="D79" s="153">
        <f>'[1]B) D RI'!AA80</f>
        <v>5725</v>
      </c>
      <c r="E79" s="314">
        <f>'[1]D) Ecrêtage'!C78</f>
        <v>187816.41499999998</v>
      </c>
      <c r="F79" s="318">
        <f>'[1]E) Fact soc'!G84</f>
        <v>3523749.6576180104</v>
      </c>
      <c r="G79" s="315">
        <f>'[1]H) Péréquation directe'!I89</f>
        <v>-291094.01597119635</v>
      </c>
      <c r="H79" s="318">
        <f>+'[1]I) Dépenses thématiques'!O78</f>
        <v>-1008331.643333217</v>
      </c>
      <c r="I79" s="315">
        <f>'[1]K) Plafonnement aide'!J78</f>
        <v>0</v>
      </c>
      <c r="J79" s="318">
        <f>'[1]J) Plafonnement effort'!I78</f>
        <v>0</v>
      </c>
      <c r="K79" s="315">
        <f>'[1]L) Plafonnement taux'!Q79</f>
        <v>0</v>
      </c>
      <c r="L79" s="313">
        <f t="shared" si="3"/>
        <v>2224323.9983135969</v>
      </c>
      <c r="M79" s="234">
        <f>'[1]M) Police'!O79</f>
        <v>569732.41102944058</v>
      </c>
      <c r="N79" s="234">
        <f t="shared" si="4"/>
        <v>2794056.4093430378</v>
      </c>
      <c r="O79" s="318">
        <f t="shared" si="5"/>
        <v>-1299425.6593044135</v>
      </c>
      <c r="P79" s="320"/>
      <c r="Q79" s="529"/>
    </row>
    <row r="80" spans="1:17" s="154" customFormat="1" x14ac:dyDescent="0.25">
      <c r="A80" s="151">
        <f>'[1]B) D RI'!A81</f>
        <v>5520</v>
      </c>
      <c r="B80" s="152" t="str">
        <f>'[1]B) D RI'!B81</f>
        <v>Essertines-sur-Yverdon</v>
      </c>
      <c r="C80" s="316">
        <f>'[1]B) D RI'!S81</f>
        <v>73</v>
      </c>
      <c r="D80" s="153">
        <f>'[1]B) D RI'!AA81</f>
        <v>1030</v>
      </c>
      <c r="E80" s="314">
        <f>'[1]D) Ecrêtage'!C79</f>
        <v>29858.34041095891</v>
      </c>
      <c r="F80" s="318">
        <f>'[1]E) Fact soc'!G85</f>
        <v>501645.79719286674</v>
      </c>
      <c r="G80" s="315">
        <f>'[1]H) Péréquation directe'!I90</f>
        <v>67039.507018166711</v>
      </c>
      <c r="H80" s="318">
        <f>+'[1]I) Dépenses thématiques'!O79</f>
        <v>-76427.776527363487</v>
      </c>
      <c r="I80" s="315">
        <f>'[1]K) Plafonnement aide'!J79</f>
        <v>0</v>
      </c>
      <c r="J80" s="318">
        <f>'[1]J) Plafonnement effort'!I79</f>
        <v>0</v>
      </c>
      <c r="K80" s="315">
        <f>'[1]L) Plafonnement taux'!Q80</f>
        <v>0</v>
      </c>
      <c r="L80" s="313">
        <f t="shared" si="3"/>
        <v>492257.52768367005</v>
      </c>
      <c r="M80" s="234">
        <f>'[1]M) Police'!O80</f>
        <v>90236.957944838796</v>
      </c>
      <c r="N80" s="234">
        <f t="shared" si="4"/>
        <v>582494.48562850885</v>
      </c>
      <c r="O80" s="318">
        <f t="shared" si="5"/>
        <v>-9388.2695091967762</v>
      </c>
      <c r="P80" s="320"/>
      <c r="Q80" s="529"/>
    </row>
    <row r="81" spans="1:17" s="154" customFormat="1" x14ac:dyDescent="0.25">
      <c r="A81" s="151">
        <f>'[1]B) D RI'!A82</f>
        <v>5521</v>
      </c>
      <c r="B81" s="152" t="str">
        <f>'[1]B) D RI'!B82</f>
        <v>Etagnières</v>
      </c>
      <c r="C81" s="316">
        <f>'[1]B) D RI'!S82</f>
        <v>73</v>
      </c>
      <c r="D81" s="153">
        <f>'[1]B) D RI'!AA82</f>
        <v>1143</v>
      </c>
      <c r="E81" s="314">
        <f>'[1]D) Ecrêtage'!C80</f>
        <v>48278.723150684935</v>
      </c>
      <c r="F81" s="318">
        <f>'[1]E) Fact soc'!G86</f>
        <v>841136.7875817311</v>
      </c>
      <c r="G81" s="315">
        <f>'[1]H) Péréquation directe'!I91</f>
        <v>672128.43184623006</v>
      </c>
      <c r="H81" s="318">
        <f>+'[1]I) Dépenses thématiques'!O80</f>
        <v>-6885.4688848623664</v>
      </c>
      <c r="I81" s="315">
        <f>'[1]K) Plafonnement aide'!J80</f>
        <v>0</v>
      </c>
      <c r="J81" s="318">
        <f>'[1]J) Plafonnement effort'!I80</f>
        <v>0</v>
      </c>
      <c r="K81" s="315">
        <f>'[1]L) Plafonnement taux'!Q81</f>
        <v>0</v>
      </c>
      <c r="L81" s="313">
        <f t="shared" si="3"/>
        <v>1506379.7505430989</v>
      </c>
      <c r="M81" s="234">
        <f>'[1]M) Police'!O81</f>
        <v>146871.50774032529</v>
      </c>
      <c r="N81" s="234">
        <f t="shared" si="4"/>
        <v>1653251.2582834242</v>
      </c>
      <c r="O81" s="318">
        <f t="shared" si="5"/>
        <v>665242.96296136768</v>
      </c>
      <c r="P81" s="320"/>
      <c r="Q81" s="529"/>
    </row>
    <row r="82" spans="1:17" s="154" customFormat="1" x14ac:dyDescent="0.25">
      <c r="A82" s="151">
        <f>'[1]B) D RI'!A83</f>
        <v>5522</v>
      </c>
      <c r="B82" s="152" t="str">
        <f>'[1]B) D RI'!B83</f>
        <v>Fey</v>
      </c>
      <c r="C82" s="316">
        <f>'[1]B) D RI'!S83</f>
        <v>75</v>
      </c>
      <c r="D82" s="153">
        <f>'[1]B) D RI'!AA83</f>
        <v>751</v>
      </c>
      <c r="E82" s="314">
        <f>'[1]D) Ecrêtage'!C81</f>
        <v>22727.539066666664</v>
      </c>
      <c r="F82" s="318">
        <f>'[1]E) Fact soc'!G87</f>
        <v>386034.38730608206</v>
      </c>
      <c r="G82" s="315">
        <f>'[1]H) Péréquation directe'!I92</f>
        <v>78326.096871598624</v>
      </c>
      <c r="H82" s="318">
        <f>+'[1]I) Dépenses thématiques'!O81</f>
        <v>-15795.520513695685</v>
      </c>
      <c r="I82" s="315">
        <f>'[1]K) Plafonnement aide'!J81</f>
        <v>0</v>
      </c>
      <c r="J82" s="318">
        <f>'[1]J) Plafonnement effort'!I81</f>
        <v>0</v>
      </c>
      <c r="K82" s="315">
        <f>'[1]L) Plafonnement taux'!Q82</f>
        <v>0</v>
      </c>
      <c r="L82" s="313">
        <f t="shared" si="3"/>
        <v>448564.96366398502</v>
      </c>
      <c r="M82" s="234">
        <f>'[1]M) Police'!O82</f>
        <v>68955.070176178924</v>
      </c>
      <c r="N82" s="234">
        <f t="shared" si="4"/>
        <v>517520.03384016396</v>
      </c>
      <c r="O82" s="318">
        <f t="shared" si="5"/>
        <v>62530.576357902937</v>
      </c>
      <c r="P82" s="320"/>
      <c r="Q82" s="529"/>
    </row>
    <row r="83" spans="1:17" s="154" customFormat="1" x14ac:dyDescent="0.25">
      <c r="A83" s="151">
        <f>'[1]B) D RI'!A84</f>
        <v>5523</v>
      </c>
      <c r="B83" s="152" t="str">
        <f>'[1]B) D RI'!B84</f>
        <v>Froideville</v>
      </c>
      <c r="C83" s="316">
        <f>'[1]B) D RI'!S84</f>
        <v>76</v>
      </c>
      <c r="D83" s="153">
        <f>'[1]B) D RI'!AA84</f>
        <v>2638</v>
      </c>
      <c r="E83" s="314">
        <f>'[1]D) Ecrêtage'!C82</f>
        <v>89231.727236842082</v>
      </c>
      <c r="F83" s="318">
        <f>'[1]E) Fact soc'!G88</f>
        <v>1435787.4356365625</v>
      </c>
      <c r="G83" s="315">
        <f>'[1]H) Péréquation directe'!I93</f>
        <v>281078.68080712156</v>
      </c>
      <c r="H83" s="318">
        <f>+'[1]I) Dépenses thématiques'!O82</f>
        <v>-54698.851848166567</v>
      </c>
      <c r="I83" s="315">
        <f>'[1]K) Plafonnement aide'!J82</f>
        <v>0</v>
      </c>
      <c r="J83" s="318">
        <f>'[1]J) Plafonnement effort'!I82</f>
        <v>0</v>
      </c>
      <c r="K83" s="315">
        <f>'[1]L) Plafonnement taux'!Q83</f>
        <v>0</v>
      </c>
      <c r="L83" s="313">
        <f t="shared" si="3"/>
        <v>1662167.2645955174</v>
      </c>
      <c r="M83" s="234">
        <f>'[1]M) Police'!O83</f>
        <v>270782.76248628052</v>
      </c>
      <c r="N83" s="234">
        <f t="shared" si="4"/>
        <v>1932950.0270817978</v>
      </c>
      <c r="O83" s="318">
        <f t="shared" si="5"/>
        <v>226379.82895895501</v>
      </c>
      <c r="P83" s="320"/>
      <c r="Q83" s="529"/>
    </row>
    <row r="84" spans="1:17" s="154" customFormat="1" x14ac:dyDescent="0.25">
      <c r="A84" s="151">
        <f>'[1]B) D RI'!A85</f>
        <v>5527</v>
      </c>
      <c r="B84" s="152" t="str">
        <f>'[1]B) D RI'!B85</f>
        <v>Morrens</v>
      </c>
      <c r="C84" s="316">
        <f>'[1]B) D RI'!S85</f>
        <v>74</v>
      </c>
      <c r="D84" s="153">
        <f>'[1]B) D RI'!AA85</f>
        <v>1126</v>
      </c>
      <c r="E84" s="314">
        <f>'[1]D) Ecrêtage'!C83</f>
        <v>40137.160945945958</v>
      </c>
      <c r="F84" s="318">
        <f>'[1]E) Fact soc'!G89</f>
        <v>708372.79663292412</v>
      </c>
      <c r="G84" s="315">
        <f>'[1]H) Péréquation directe'!I94</f>
        <v>352818.4012218389</v>
      </c>
      <c r="H84" s="318">
        <f>+'[1]I) Dépenses thématiques'!O83</f>
        <v>0</v>
      </c>
      <c r="I84" s="315">
        <f>'[1]K) Plafonnement aide'!J83</f>
        <v>0</v>
      </c>
      <c r="J84" s="318">
        <f>'[1]J) Plafonnement effort'!I83</f>
        <v>0</v>
      </c>
      <c r="K84" s="315">
        <f>'[1]L) Plafonnement taux'!Q84</f>
        <v>0</v>
      </c>
      <c r="L84" s="313">
        <f t="shared" si="3"/>
        <v>1061191.1978547629</v>
      </c>
      <c r="M84" s="234">
        <f>'[1]M) Police'!O84</f>
        <v>121876.10013577706</v>
      </c>
      <c r="N84" s="234">
        <f t="shared" si="4"/>
        <v>1183067.29799054</v>
      </c>
      <c r="O84" s="318">
        <f t="shared" si="5"/>
        <v>352818.4012218389</v>
      </c>
      <c r="P84" s="320"/>
      <c r="Q84" s="529"/>
    </row>
    <row r="85" spans="1:17" s="154" customFormat="1" x14ac:dyDescent="0.25">
      <c r="A85" s="151">
        <f>'[1]B) D RI'!A86</f>
        <v>5529</v>
      </c>
      <c r="B85" s="152" t="str">
        <f>'[1]B) D RI'!B86</f>
        <v>Oulens-sous-Echallens</v>
      </c>
      <c r="C85" s="316">
        <f>'[1]B) D RI'!S86</f>
        <v>71</v>
      </c>
      <c r="D85" s="153">
        <f>'[1]B) D RI'!AA86</f>
        <v>615</v>
      </c>
      <c r="E85" s="314">
        <f>'[1]D) Ecrêtage'!C84</f>
        <v>21602.609436619721</v>
      </c>
      <c r="F85" s="318">
        <f>'[1]E) Fact soc'!G90</f>
        <v>356784.05327943969</v>
      </c>
      <c r="G85" s="315">
        <f>'[1]H) Péréquation directe'!I95</f>
        <v>207652.61233626801</v>
      </c>
      <c r="H85" s="318">
        <f>+'[1]I) Dépenses thématiques'!O84</f>
        <v>-53932.039328840037</v>
      </c>
      <c r="I85" s="315">
        <f>'[1]K) Plafonnement aide'!J84</f>
        <v>0</v>
      </c>
      <c r="J85" s="318">
        <f>'[1]J) Plafonnement effort'!I84</f>
        <v>0</v>
      </c>
      <c r="K85" s="315">
        <f>'[1]L) Plafonnement taux'!Q85</f>
        <v>0</v>
      </c>
      <c r="L85" s="313">
        <f t="shared" si="3"/>
        <v>510504.6262868676</v>
      </c>
      <c r="M85" s="234">
        <f>'[1]M) Police'!O85</f>
        <v>65503.054484895008</v>
      </c>
      <c r="N85" s="234">
        <f t="shared" si="4"/>
        <v>576007.68077176262</v>
      </c>
      <c r="O85" s="318">
        <f t="shared" si="5"/>
        <v>153720.57300742797</v>
      </c>
      <c r="P85" s="320"/>
      <c r="Q85" s="529"/>
    </row>
    <row r="86" spans="1:17" s="154" customFormat="1" x14ac:dyDescent="0.25">
      <c r="A86" s="151">
        <f>'[1]B) D RI'!A87</f>
        <v>5530</v>
      </c>
      <c r="B86" s="152" t="str">
        <f>'[1]B) D RI'!B87</f>
        <v>Pailly</v>
      </c>
      <c r="C86" s="316">
        <f>'[1]B) D RI'!S87</f>
        <v>77.5</v>
      </c>
      <c r="D86" s="153">
        <f>'[1]B) D RI'!AA87</f>
        <v>563</v>
      </c>
      <c r="E86" s="314">
        <f>'[1]D) Ecrêtage'!C85</f>
        <v>17625.052150537631</v>
      </c>
      <c r="F86" s="318">
        <f>'[1]E) Fact soc'!G91</f>
        <v>311821.76237022487</v>
      </c>
      <c r="G86" s="315">
        <f>'[1]H) Péréquation directe'!I96</f>
        <v>70090.28023385728</v>
      </c>
      <c r="H86" s="318">
        <f>+'[1]I) Dépenses thématiques'!O85</f>
        <v>-369982.75641007</v>
      </c>
      <c r="I86" s="315">
        <f>'[1]K) Plafonnement aide'!J85</f>
        <v>0</v>
      </c>
      <c r="J86" s="318">
        <f>'[1]J) Plafonnement effort'!I85</f>
        <v>0</v>
      </c>
      <c r="K86" s="315">
        <f>'[1]L) Plafonnement taux'!Q86</f>
        <v>0</v>
      </c>
      <c r="L86" s="313">
        <f t="shared" si="3"/>
        <v>11929.286194012151</v>
      </c>
      <c r="M86" s="234">
        <f>'[1]M) Police'!O86</f>
        <v>53612.80571070459</v>
      </c>
      <c r="N86" s="234">
        <f t="shared" si="4"/>
        <v>65542.091904716741</v>
      </c>
      <c r="O86" s="318">
        <f t="shared" si="5"/>
        <v>-299892.47617621272</v>
      </c>
      <c r="P86" s="320"/>
      <c r="Q86" s="529"/>
    </row>
    <row r="87" spans="1:17" s="154" customFormat="1" x14ac:dyDescent="0.25">
      <c r="A87" s="151">
        <f>'[1]B) D RI'!A88</f>
        <v>5531</v>
      </c>
      <c r="B87" s="152" t="str">
        <f>'[1]B) D RI'!B88</f>
        <v>Penthéréaz</v>
      </c>
      <c r="C87" s="316">
        <f>'[1]B) D RI'!S88</f>
        <v>78</v>
      </c>
      <c r="D87" s="153">
        <f>'[1]B) D RI'!AA88</f>
        <v>421</v>
      </c>
      <c r="E87" s="314">
        <f>'[1]D) Ecrêtage'!C86</f>
        <v>14653.782435897439</v>
      </c>
      <c r="F87" s="318">
        <f>'[1]E) Fact soc'!G92</f>
        <v>222404.58966746629</v>
      </c>
      <c r="G87" s="315">
        <f>'[1]H) Péréquation directe'!I97</f>
        <v>115364.58762391144</v>
      </c>
      <c r="H87" s="318">
        <f>+'[1]I) Dépenses thématiques'!O86</f>
        <v>-65281.743028160978</v>
      </c>
      <c r="I87" s="315">
        <f>'[1]K) Plafonnement aide'!J86</f>
        <v>0</v>
      </c>
      <c r="J87" s="318">
        <f>'[1]J) Plafonnement effort'!I86</f>
        <v>0</v>
      </c>
      <c r="K87" s="315">
        <f>'[1]L) Plafonnement taux'!Q87</f>
        <v>0</v>
      </c>
      <c r="L87" s="313">
        <f t="shared" si="3"/>
        <v>272487.43426321674</v>
      </c>
      <c r="M87" s="234">
        <f>'[1]M) Police'!O87</f>
        <v>44789.397039501229</v>
      </c>
      <c r="N87" s="234">
        <f t="shared" si="4"/>
        <v>317276.83130271797</v>
      </c>
      <c r="O87" s="318">
        <f t="shared" si="5"/>
        <v>50082.844595750466</v>
      </c>
      <c r="P87" s="320"/>
      <c r="Q87" s="529"/>
    </row>
    <row r="88" spans="1:17" s="154" customFormat="1" x14ac:dyDescent="0.25">
      <c r="A88" s="151">
        <f>'[1]B) D RI'!A89</f>
        <v>5533</v>
      </c>
      <c r="B88" s="152" t="str">
        <f>'[1]B) D RI'!B89</f>
        <v>Poliez-Pittet</v>
      </c>
      <c r="C88" s="316">
        <f>'[1]B) D RI'!S89</f>
        <v>73</v>
      </c>
      <c r="D88" s="153">
        <f>'[1]B) D RI'!AA89</f>
        <v>829</v>
      </c>
      <c r="E88" s="314">
        <f>'[1]D) Ecrêtage'!C87</f>
        <v>22836.129452054793</v>
      </c>
      <c r="F88" s="318">
        <f>'[1]E) Fact soc'!G93</f>
        <v>406892.42727201473</v>
      </c>
      <c r="G88" s="315">
        <f>'[1]H) Péréquation directe'!I98</f>
        <v>10274.981351901137</v>
      </c>
      <c r="H88" s="318">
        <f>+'[1]I) Dépenses thématiques'!O87</f>
        <v>-77264.379985842024</v>
      </c>
      <c r="I88" s="315">
        <f>'[1]K) Plafonnement aide'!J87</f>
        <v>0</v>
      </c>
      <c r="J88" s="318">
        <f>'[1]J) Plafonnement effort'!I87</f>
        <v>0</v>
      </c>
      <c r="K88" s="315">
        <f>'[1]L) Plafonnement taux'!Q88</f>
        <v>0</v>
      </c>
      <c r="L88" s="313">
        <f t="shared" si="3"/>
        <v>339903.02863807383</v>
      </c>
      <c r="M88" s="234">
        <f>'[1]M) Police'!O88</f>
        <v>69084.24226858266</v>
      </c>
      <c r="N88" s="234">
        <f t="shared" si="4"/>
        <v>408987.27090665651</v>
      </c>
      <c r="O88" s="318">
        <f t="shared" si="5"/>
        <v>-66989.398633940888</v>
      </c>
      <c r="P88" s="320"/>
      <c r="Q88" s="529"/>
    </row>
    <row r="89" spans="1:17" s="154" customFormat="1" x14ac:dyDescent="0.25">
      <c r="A89" s="151">
        <f>'[1]B) D RI'!A90</f>
        <v>5534</v>
      </c>
      <c r="B89" s="152" t="str">
        <f>'[1]B) D RI'!B90</f>
        <v>Rueyres</v>
      </c>
      <c r="C89" s="316">
        <f>'[1]B) D RI'!S90</f>
        <v>73</v>
      </c>
      <c r="D89" s="153">
        <f>'[1]B) D RI'!AA90</f>
        <v>265</v>
      </c>
      <c r="E89" s="314">
        <f>'[1]D) Ecrêtage'!C88</f>
        <v>10463.952465753426</v>
      </c>
      <c r="F89" s="318">
        <f>'[1]E) Fact soc'!G94</f>
        <v>178875.26936963401</v>
      </c>
      <c r="G89" s="315">
        <f>'[1]H) Péréquation directe'!I99</f>
        <v>133349.495478333</v>
      </c>
      <c r="H89" s="318">
        <f>+'[1]I) Dépenses thématiques'!O88</f>
        <v>-2026.657452139772</v>
      </c>
      <c r="I89" s="315">
        <f>'[1]K) Plafonnement aide'!J88</f>
        <v>0</v>
      </c>
      <c r="J89" s="318">
        <f>'[1]J) Plafonnement effort'!I88</f>
        <v>0</v>
      </c>
      <c r="K89" s="315">
        <f>'[1]L) Plafonnement taux'!Q89</f>
        <v>0</v>
      </c>
      <c r="L89" s="313">
        <f t="shared" si="3"/>
        <v>310198.10739582725</v>
      </c>
      <c r="M89" s="234">
        <f>'[1]M) Police'!O89</f>
        <v>31220.814505279741</v>
      </c>
      <c r="N89" s="234">
        <f t="shared" si="4"/>
        <v>341418.92190110701</v>
      </c>
      <c r="O89" s="318">
        <f t="shared" si="5"/>
        <v>131322.83802619323</v>
      </c>
      <c r="P89" s="320"/>
      <c r="Q89" s="529"/>
    </row>
    <row r="90" spans="1:17" s="154" customFormat="1" x14ac:dyDescent="0.25">
      <c r="A90" s="151">
        <f>'[1]B) D RI'!A91</f>
        <v>5535</v>
      </c>
      <c r="B90" s="152" t="str">
        <f>'[1]B) D RI'!B91</f>
        <v>Saint-Barthélemy</v>
      </c>
      <c r="C90" s="316">
        <f>'[1]B) D RI'!S91</f>
        <v>77</v>
      </c>
      <c r="D90" s="153">
        <f>'[1]B) D RI'!AA91</f>
        <v>791</v>
      </c>
      <c r="E90" s="314">
        <f>'[1]D) Ecrêtage'!C89</f>
        <v>22478.945584415589</v>
      </c>
      <c r="F90" s="318">
        <f>'[1]E) Fact soc'!G95</f>
        <v>378617.11284527974</v>
      </c>
      <c r="G90" s="315">
        <f>'[1]H) Péréquation directe'!I100</f>
        <v>2998.6406285827979</v>
      </c>
      <c r="H90" s="318">
        <f>+'[1]I) Dépenses thématiques'!O89</f>
        <v>-18560.463622731393</v>
      </c>
      <c r="I90" s="315">
        <f>'[1]K) Plafonnement aide'!J89</f>
        <v>0</v>
      </c>
      <c r="J90" s="318">
        <f>'[1]J) Plafonnement effort'!I89</f>
        <v>0</v>
      </c>
      <c r="K90" s="315">
        <f>'[1]L) Plafonnement taux'!Q90</f>
        <v>0</v>
      </c>
      <c r="L90" s="313">
        <f t="shared" si="3"/>
        <v>363055.28985113115</v>
      </c>
      <c r="M90" s="234">
        <f>'[1]M) Police'!O90</f>
        <v>67906.63386837866</v>
      </c>
      <c r="N90" s="234">
        <f t="shared" si="4"/>
        <v>430961.9237195098</v>
      </c>
      <c r="O90" s="318">
        <f t="shared" si="5"/>
        <v>-15561.822994148595</v>
      </c>
      <c r="P90" s="320"/>
      <c r="Q90" s="529"/>
    </row>
    <row r="91" spans="1:17" s="154" customFormat="1" x14ac:dyDescent="0.25">
      <c r="A91" s="151">
        <f>'[1]B) D RI'!A92</f>
        <v>5537</v>
      </c>
      <c r="B91" s="152" t="str">
        <f>'[1]B) D RI'!B92</f>
        <v>Villars-le-Terroir</v>
      </c>
      <c r="C91" s="316">
        <f>'[1]B) D RI'!S92</f>
        <v>73</v>
      </c>
      <c r="D91" s="153">
        <f>'[1]B) D RI'!AA92</f>
        <v>1228</v>
      </c>
      <c r="E91" s="314">
        <f>'[1]D) Ecrêtage'!C90</f>
        <v>36268.70386986302</v>
      </c>
      <c r="F91" s="318">
        <f>'[1]E) Fact soc'!G96</f>
        <v>579918.97061039484</v>
      </c>
      <c r="G91" s="315">
        <f>'[1]H) Péréquation directe'!I101</f>
        <v>64022.877574647893</v>
      </c>
      <c r="H91" s="318">
        <f>+'[1]I) Dépenses thématiques'!O90</f>
        <v>-32567.533826019975</v>
      </c>
      <c r="I91" s="315">
        <f>'[1]K) Plafonnement aide'!J90</f>
        <v>0</v>
      </c>
      <c r="J91" s="318">
        <f>'[1]J) Plafonnement effort'!I90</f>
        <v>0</v>
      </c>
      <c r="K91" s="315">
        <f>'[1]L) Plafonnement taux'!Q91</f>
        <v>0</v>
      </c>
      <c r="L91" s="313">
        <f t="shared" si="3"/>
        <v>611374.31435902277</v>
      </c>
      <c r="M91" s="234">
        <f>'[1]M) Police'!O91</f>
        <v>109402.56735501098</v>
      </c>
      <c r="N91" s="234">
        <f t="shared" si="4"/>
        <v>720776.88171403378</v>
      </c>
      <c r="O91" s="318">
        <f t="shared" si="5"/>
        <v>31455.343748627918</v>
      </c>
      <c r="P91" s="320"/>
      <c r="Q91" s="529"/>
    </row>
    <row r="92" spans="1:17" s="154" customFormat="1" x14ac:dyDescent="0.25">
      <c r="A92" s="151">
        <f>'[1]B) D RI'!A93</f>
        <v>5539</v>
      </c>
      <c r="B92" s="152" t="str">
        <f>'[1]B) D RI'!B93</f>
        <v>Vuarrens</v>
      </c>
      <c r="C92" s="316">
        <f>'[1]B) D RI'!S93</f>
        <v>75</v>
      </c>
      <c r="D92" s="153">
        <f>'[1]B) D RI'!AA93</f>
        <v>1054</v>
      </c>
      <c r="E92" s="314">
        <f>'[1]D) Ecrêtage'!C91</f>
        <v>30000.607399999997</v>
      </c>
      <c r="F92" s="318">
        <f>'[1]E) Fact soc'!G97</f>
        <v>544086.43591579422</v>
      </c>
      <c r="G92" s="315">
        <f>'[1]H) Péréquation directe'!I102</f>
        <v>17530.054797544843</v>
      </c>
      <c r="H92" s="318">
        <f>+'[1]I) Dépenses thématiques'!O91</f>
        <v>-22440.390562227833</v>
      </c>
      <c r="I92" s="315">
        <f>'[1]K) Plafonnement aide'!J91</f>
        <v>0</v>
      </c>
      <c r="J92" s="318">
        <f>'[1]J) Plafonnement effort'!I91</f>
        <v>0</v>
      </c>
      <c r="K92" s="315">
        <f>'[1]L) Plafonnement taux'!Q92</f>
        <v>0</v>
      </c>
      <c r="L92" s="313">
        <f t="shared" si="3"/>
        <v>539176.10015111126</v>
      </c>
      <c r="M92" s="234">
        <f>'[1]M) Police'!O92</f>
        <v>90879.612266009994</v>
      </c>
      <c r="N92" s="234">
        <f t="shared" si="4"/>
        <v>630055.71241712128</v>
      </c>
      <c r="O92" s="318">
        <f t="shared" si="5"/>
        <v>-4910.33576468299</v>
      </c>
      <c r="P92" s="320"/>
      <c r="Q92" s="529"/>
    </row>
    <row r="93" spans="1:17" s="154" customFormat="1" x14ac:dyDescent="0.25">
      <c r="A93" s="151">
        <f>'[1]B) D RI'!A94</f>
        <v>5540</v>
      </c>
      <c r="B93" s="152" t="str">
        <f>'[1]B) D RI'!B94</f>
        <v>Montilliez</v>
      </c>
      <c r="C93" s="316">
        <f>'[1]B) D RI'!S94</f>
        <v>74</v>
      </c>
      <c r="D93" s="153">
        <f>'[1]B) D RI'!AA94</f>
        <v>1819</v>
      </c>
      <c r="E93" s="314">
        <f>'[1]D) Ecrêtage'!C92</f>
        <v>64761.783243243241</v>
      </c>
      <c r="F93" s="318">
        <f>'[1]E) Fact soc'!G98</f>
        <v>1030342.6488717753</v>
      </c>
      <c r="G93" s="315">
        <f>'[1]H) Péréquation directe'!I103</f>
        <v>427540.05668446852</v>
      </c>
      <c r="H93" s="318">
        <f>+'[1]I) Dépenses thématiques'!O92</f>
        <v>-292871.02762279019</v>
      </c>
      <c r="I93" s="315">
        <f>'[1]K) Plafonnement aide'!J92</f>
        <v>0</v>
      </c>
      <c r="J93" s="318">
        <f>'[1]J) Plafonnement effort'!I92</f>
        <v>0</v>
      </c>
      <c r="K93" s="315">
        <f>'[1]L) Plafonnement taux'!Q93</f>
        <v>0</v>
      </c>
      <c r="L93" s="313">
        <f>F93+G93+H93+I93+J93+K93</f>
        <v>1165011.6779334536</v>
      </c>
      <c r="M93" s="234">
        <f>'[1]M) Police'!O93</f>
        <v>197489.38033677312</v>
      </c>
      <c r="N93" s="234">
        <f t="shared" si="4"/>
        <v>1362501.0582702267</v>
      </c>
      <c r="O93" s="318">
        <f t="shared" si="5"/>
        <v>134669.02906167833</v>
      </c>
      <c r="P93" s="320"/>
      <c r="Q93" s="529"/>
    </row>
    <row r="94" spans="1:17" s="154" customFormat="1" x14ac:dyDescent="0.25">
      <c r="A94" s="151">
        <f>'[1]B) D RI'!A95</f>
        <v>5541</v>
      </c>
      <c r="B94" s="152" t="str">
        <f>'[1]B) D RI'!B95</f>
        <v>Goumoëns</v>
      </c>
      <c r="C94" s="316">
        <f>'[1]B) D RI'!S95</f>
        <v>77</v>
      </c>
      <c r="D94" s="153">
        <f>'[1]B) D RI'!AA95</f>
        <v>1140</v>
      </c>
      <c r="E94" s="314">
        <f>'[1]D) Ecrêtage'!C93</f>
        <v>37389.402987012982</v>
      </c>
      <c r="F94" s="318">
        <f>'[1]E) Fact soc'!G99</f>
        <v>657867.69844688755</v>
      </c>
      <c r="G94" s="315">
        <f>'[1]H) Péréquation directe'!I104</f>
        <v>189744.80739405146</v>
      </c>
      <c r="H94" s="318">
        <f>+'[1]I) Dépenses thématiques'!O93</f>
        <v>-2383.4385608970065</v>
      </c>
      <c r="I94" s="315">
        <f>'[1]K) Plafonnement aide'!J93</f>
        <v>0</v>
      </c>
      <c r="J94" s="318">
        <f>'[1]J) Plafonnement effort'!I93</f>
        <v>0</v>
      </c>
      <c r="K94" s="315">
        <f>'[1]L) Plafonnement taux'!Q94</f>
        <v>0</v>
      </c>
      <c r="L94" s="313">
        <f>F94+G94+H94+I94+J94+K94</f>
        <v>845229.06728004199</v>
      </c>
      <c r="M94" s="234">
        <f>'[1]M) Police'!O94</f>
        <v>113930.25267749705</v>
      </c>
      <c r="N94" s="234">
        <f t="shared" si="4"/>
        <v>959159.31995753897</v>
      </c>
      <c r="O94" s="318">
        <f t="shared" si="5"/>
        <v>187361.36883315444</v>
      </c>
      <c r="P94" s="320"/>
      <c r="Q94" s="529"/>
    </row>
    <row r="95" spans="1:17" s="154" customFormat="1" x14ac:dyDescent="0.25">
      <c r="A95" s="151">
        <f>'[1]B) D RI'!A96</f>
        <v>5551</v>
      </c>
      <c r="B95" s="152" t="str">
        <f>'[1]B) D RI'!B96</f>
        <v>Bonvillars</v>
      </c>
      <c r="C95" s="316">
        <f>'[1]B) D RI'!S96</f>
        <v>55</v>
      </c>
      <c r="D95" s="153">
        <f>'[1]B) D RI'!AA96</f>
        <v>490</v>
      </c>
      <c r="E95" s="314">
        <f>'[1]D) Ecrêtage'!C94</f>
        <v>18282.205818181821</v>
      </c>
      <c r="F95" s="318">
        <f>'[1]E) Fact soc'!G100</f>
        <v>280841.76954863907</v>
      </c>
      <c r="G95" s="315">
        <f>'[1]H) Péréquation directe'!I105</f>
        <v>246610.92468057145</v>
      </c>
      <c r="H95" s="318">
        <f>+'[1]I) Dépenses thématiques'!O94</f>
        <v>-92844.688283929354</v>
      </c>
      <c r="I95" s="315">
        <f>'[1]K) Plafonnement aide'!J94</f>
        <v>0</v>
      </c>
      <c r="J95" s="318">
        <f>'[1]J) Plafonnement effort'!I94</f>
        <v>0</v>
      </c>
      <c r="K95" s="315">
        <f>'[1]L) Plafonnement taux'!Q95</f>
        <v>0</v>
      </c>
      <c r="L95" s="313">
        <f t="shared" si="3"/>
        <v>434608.00594528113</v>
      </c>
      <c r="M95" s="234">
        <f>'[1]M) Police'!O95</f>
        <v>54008.125015677972</v>
      </c>
      <c r="N95" s="234">
        <f t="shared" si="4"/>
        <v>488616.13096095913</v>
      </c>
      <c r="O95" s="318">
        <f t="shared" si="5"/>
        <v>153766.23639664211</v>
      </c>
      <c r="P95" s="320"/>
      <c r="Q95" s="529"/>
    </row>
    <row r="96" spans="1:17" s="154" customFormat="1" x14ac:dyDescent="0.25">
      <c r="A96" s="151">
        <f>'[1]B) D RI'!A97</f>
        <v>5552</v>
      </c>
      <c r="B96" s="152" t="str">
        <f>'[1]B) D RI'!B97</f>
        <v>Bullet</v>
      </c>
      <c r="C96" s="316">
        <f>'[1]B) D RI'!S97</f>
        <v>73</v>
      </c>
      <c r="D96" s="153">
        <f>'[1]B) D RI'!AA97</f>
        <v>657</v>
      </c>
      <c r="E96" s="314">
        <f>'[1]D) Ecrêtage'!C95</f>
        <v>18372.474931506851</v>
      </c>
      <c r="F96" s="318">
        <f>'[1]E) Fact soc'!G101</f>
        <v>336484.05356612243</v>
      </c>
      <c r="G96" s="315">
        <f>'[1]H) Péréquation directe'!I106</f>
        <v>19421.106623498432</v>
      </c>
      <c r="H96" s="318">
        <f>+'[1]I) Dépenses thématiques'!O95</f>
        <v>-211306.94368216765</v>
      </c>
      <c r="I96" s="315">
        <f>'[1]K) Plafonnement aide'!J95</f>
        <v>0</v>
      </c>
      <c r="J96" s="318">
        <f>'[1]J) Plafonnement effort'!I95</f>
        <v>0</v>
      </c>
      <c r="K96" s="315">
        <f>'[1]L) Plafonnement taux'!Q96</f>
        <v>0</v>
      </c>
      <c r="L96" s="313">
        <f t="shared" si="3"/>
        <v>144598.21650745321</v>
      </c>
      <c r="M96" s="234">
        <f>'[1]M) Police'!O96</f>
        <v>55346.856990781533</v>
      </c>
      <c r="N96" s="234">
        <f t="shared" si="4"/>
        <v>199945.07349823473</v>
      </c>
      <c r="O96" s="318">
        <f t="shared" si="5"/>
        <v>-191885.83705866922</v>
      </c>
      <c r="P96" s="320"/>
      <c r="Q96" s="529"/>
    </row>
    <row r="97" spans="1:17" s="154" customFormat="1" x14ac:dyDescent="0.25">
      <c r="A97" s="151">
        <f>'[1]B) D RI'!A98</f>
        <v>5553</v>
      </c>
      <c r="B97" s="152" t="str">
        <f>'[1]B) D RI'!B98</f>
        <v>Champagne</v>
      </c>
      <c r="C97" s="316">
        <f>'[1]B) D RI'!S98</f>
        <v>65</v>
      </c>
      <c r="D97" s="153">
        <f>'[1]B) D RI'!AA98</f>
        <v>1059</v>
      </c>
      <c r="E97" s="314">
        <f>'[1]D) Ecrêtage'!C96</f>
        <v>37695.100615384617</v>
      </c>
      <c r="F97" s="318">
        <f>'[1]E) Fact soc'!G102</f>
        <v>663247.85970694618</v>
      </c>
      <c r="G97" s="315">
        <f>'[1]H) Péréquation directe'!I107</f>
        <v>403516.52610124461</v>
      </c>
      <c r="H97" s="318">
        <f>+'[1]I) Dépenses thématiques'!O96</f>
        <v>-179050.90613641564</v>
      </c>
      <c r="I97" s="315">
        <f>'[1]K) Plafonnement aide'!J96</f>
        <v>0</v>
      </c>
      <c r="J97" s="318">
        <f>'[1]J) Plafonnement effort'!I96</f>
        <v>0</v>
      </c>
      <c r="K97" s="315">
        <f>'[1]L) Plafonnement taux'!Q97</f>
        <v>0</v>
      </c>
      <c r="L97" s="313">
        <f t="shared" si="3"/>
        <v>887713.47967177513</v>
      </c>
      <c r="M97" s="234">
        <f>'[1]M) Police'!O97</f>
        <v>112434.64123282759</v>
      </c>
      <c r="N97" s="234">
        <f t="shared" si="4"/>
        <v>1000148.1209046027</v>
      </c>
      <c r="O97" s="318">
        <f t="shared" si="5"/>
        <v>224465.61996482898</v>
      </c>
      <c r="P97" s="320"/>
      <c r="Q97" s="529"/>
    </row>
    <row r="98" spans="1:17" s="154" customFormat="1" x14ac:dyDescent="0.25">
      <c r="A98" s="151">
        <f>'[1]B) D RI'!A99</f>
        <v>5554</v>
      </c>
      <c r="B98" s="152" t="str">
        <f>'[1]B) D RI'!B99</f>
        <v>Concise</v>
      </c>
      <c r="C98" s="316">
        <f>'[1]B) D RI'!S99</f>
        <v>75</v>
      </c>
      <c r="D98" s="153">
        <f>'[1]B) D RI'!AA99</f>
        <v>1025</v>
      </c>
      <c r="E98" s="314">
        <f>'[1]D) Ecrêtage'!C97</f>
        <v>33287.826000000008</v>
      </c>
      <c r="F98" s="318">
        <f>'[1]E) Fact soc'!G103</f>
        <v>674307.47285226046</v>
      </c>
      <c r="G98" s="315">
        <f>'[1]H) Péréquation directe'!I108</f>
        <v>197146.35382772225</v>
      </c>
      <c r="H98" s="318">
        <f>+'[1]I) Dépenses thématiques'!O97</f>
        <v>-151910.67816759835</v>
      </c>
      <c r="I98" s="315">
        <f>'[1]K) Plafonnement aide'!J97</f>
        <v>0</v>
      </c>
      <c r="J98" s="318">
        <f>'[1]J) Plafonnement effort'!I97</f>
        <v>0</v>
      </c>
      <c r="K98" s="315">
        <f>'[1]L) Plafonnement taux'!Q98</f>
        <v>0</v>
      </c>
      <c r="L98" s="313">
        <f t="shared" si="3"/>
        <v>719543.14851238439</v>
      </c>
      <c r="M98" s="234">
        <f>'[1]M) Police'!O98</f>
        <v>101585.64822458898</v>
      </c>
      <c r="N98" s="234">
        <f t="shared" si="4"/>
        <v>821128.79673697334</v>
      </c>
      <c r="O98" s="318">
        <f t="shared" si="5"/>
        <v>45235.675660123903</v>
      </c>
      <c r="P98" s="320"/>
      <c r="Q98" s="529"/>
    </row>
    <row r="99" spans="1:17" s="154" customFormat="1" x14ac:dyDescent="0.25">
      <c r="A99" s="151">
        <f>'[1]B) D RI'!A100</f>
        <v>5555</v>
      </c>
      <c r="B99" s="152" t="str">
        <f>'[1]B) D RI'!B100</f>
        <v>Corcelles-près-Concise</v>
      </c>
      <c r="C99" s="316">
        <f>'[1]B) D RI'!S100</f>
        <v>71</v>
      </c>
      <c r="D99" s="153">
        <f>'[1]B) D RI'!AA100</f>
        <v>401</v>
      </c>
      <c r="E99" s="314">
        <f>'[1]D) Ecrêtage'!C98</f>
        <v>13538.992394366198</v>
      </c>
      <c r="F99" s="318">
        <f>'[1]E) Fact soc'!G104</f>
        <v>245007.34307380195</v>
      </c>
      <c r="G99" s="315">
        <f>'[1]H) Péréquation directe'!I109</f>
        <v>113550.32579265349</v>
      </c>
      <c r="H99" s="318">
        <f>+'[1]I) Dépenses thématiques'!O98</f>
        <v>-111511.11477953129</v>
      </c>
      <c r="I99" s="315">
        <f>'[1]K) Plafonnement aide'!J98</f>
        <v>0</v>
      </c>
      <c r="J99" s="318">
        <f>'[1]J) Plafonnement effort'!I98</f>
        <v>0</v>
      </c>
      <c r="K99" s="315">
        <f>'[1]L) Plafonnement taux'!Q99</f>
        <v>0</v>
      </c>
      <c r="L99" s="313">
        <f t="shared" si="3"/>
        <v>247046.55408692415</v>
      </c>
      <c r="M99" s="234">
        <f>'[1]M) Police'!O99</f>
        <v>40607.412173486635</v>
      </c>
      <c r="N99" s="234">
        <f t="shared" si="4"/>
        <v>287653.96626041079</v>
      </c>
      <c r="O99" s="318">
        <f t="shared" si="5"/>
        <v>2039.2110131221998</v>
      </c>
      <c r="P99" s="320"/>
      <c r="Q99" s="529"/>
    </row>
    <row r="100" spans="1:17" s="154" customFormat="1" x14ac:dyDescent="0.25">
      <c r="A100" s="151">
        <f>'[1]B) D RI'!A101</f>
        <v>5556</v>
      </c>
      <c r="B100" s="152" t="str">
        <f>'[1]B) D RI'!B101</f>
        <v>Fiez</v>
      </c>
      <c r="C100" s="316">
        <f>'[1]B) D RI'!S101</f>
        <v>69</v>
      </c>
      <c r="D100" s="153">
        <f>'[1]B) D RI'!AA101</f>
        <v>445</v>
      </c>
      <c r="E100" s="314">
        <f>'[1]D) Ecrêtage'!C99</f>
        <v>13049.601497584543</v>
      </c>
      <c r="F100" s="318">
        <f>'[1]E) Fact soc'!G105</f>
        <v>206288.48251945456</v>
      </c>
      <c r="G100" s="315">
        <f>'[1]H) Péréquation directe'!I110</f>
        <v>55859.413123639504</v>
      </c>
      <c r="H100" s="318">
        <f>+'[1]I) Dépenses thématiques'!O99</f>
        <v>-133853.43399456187</v>
      </c>
      <c r="I100" s="315">
        <f>'[1]K) Plafonnement aide'!J99</f>
        <v>0</v>
      </c>
      <c r="J100" s="318">
        <f>'[1]J) Plafonnement effort'!I99</f>
        <v>0</v>
      </c>
      <c r="K100" s="315">
        <f>'[1]L) Plafonnement taux'!Q100</f>
        <v>0</v>
      </c>
      <c r="L100" s="313">
        <f t="shared" si="3"/>
        <v>128294.46164853222</v>
      </c>
      <c r="M100" s="234">
        <f>'[1]M) Police'!O100</f>
        <v>39531.970703277955</v>
      </c>
      <c r="N100" s="234">
        <f t="shared" si="4"/>
        <v>167826.43235181016</v>
      </c>
      <c r="O100" s="318">
        <f t="shared" si="5"/>
        <v>-77994.020870922366</v>
      </c>
      <c r="P100" s="320"/>
      <c r="Q100" s="529"/>
    </row>
    <row r="101" spans="1:17" s="154" customFormat="1" x14ac:dyDescent="0.25">
      <c r="A101" s="151">
        <f>'[1]B) D RI'!A102</f>
        <v>5557</v>
      </c>
      <c r="B101" s="152" t="str">
        <f>'[1]B) D RI'!B102</f>
        <v>Fontaines-sur-Grandson</v>
      </c>
      <c r="C101" s="316">
        <f>'[1]B) D RI'!S102</f>
        <v>69</v>
      </c>
      <c r="D101" s="153">
        <f>'[1]B) D RI'!AA102</f>
        <v>215</v>
      </c>
      <c r="E101" s="314">
        <f>'[1]D) Ecrêtage'!C100</f>
        <v>6546.22</v>
      </c>
      <c r="F101" s="318">
        <f>'[1]E) Fact soc'!G106</f>
        <v>98355.440150835449</v>
      </c>
      <c r="G101" s="315">
        <f>'[1]H) Péréquation directe'!I111</f>
        <v>36366.752145585924</v>
      </c>
      <c r="H101" s="318">
        <f>+'[1]I) Dépenses thématiques'!O100</f>
        <v>-35815.81931570993</v>
      </c>
      <c r="I101" s="315">
        <f>'[1]K) Plafonnement aide'!J100</f>
        <v>0</v>
      </c>
      <c r="J101" s="318">
        <f>'[1]J) Plafonnement effort'!I100</f>
        <v>0</v>
      </c>
      <c r="K101" s="315">
        <f>'[1]L) Plafonnement taux'!Q101</f>
        <v>0</v>
      </c>
      <c r="L101" s="313">
        <f t="shared" si="3"/>
        <v>98906.372980711458</v>
      </c>
      <c r="M101" s="234">
        <f>'[1]M) Police'!O101</f>
        <v>19789.997872796717</v>
      </c>
      <c r="N101" s="234">
        <f t="shared" si="4"/>
        <v>118696.37085350818</v>
      </c>
      <c r="O101" s="318">
        <f t="shared" si="5"/>
        <v>550.93282987599378</v>
      </c>
      <c r="P101" s="320"/>
      <c r="Q101" s="529"/>
    </row>
    <row r="102" spans="1:17" s="154" customFormat="1" x14ac:dyDescent="0.25">
      <c r="A102" s="151">
        <f>'[1]B) D RI'!A103</f>
        <v>5559</v>
      </c>
      <c r="B102" s="152" t="str">
        <f>'[1]B) D RI'!B103</f>
        <v>Giez</v>
      </c>
      <c r="C102" s="316">
        <f>'[1]B) D RI'!S103</f>
        <v>66</v>
      </c>
      <c r="D102" s="153">
        <f>'[1]B) D RI'!AA103</f>
        <v>414</v>
      </c>
      <c r="E102" s="314">
        <f>'[1]D) Ecrêtage'!C101</f>
        <v>20822.479090909092</v>
      </c>
      <c r="F102" s="318">
        <f>'[1]E) Fact soc'!G107</f>
        <v>364295.37595705438</v>
      </c>
      <c r="G102" s="315">
        <f>'[1]H) Péréquation directe'!I112</f>
        <v>364578.59115765372</v>
      </c>
      <c r="H102" s="318">
        <f>+'[1]I) Dépenses thématiques'!O101</f>
        <v>0</v>
      </c>
      <c r="I102" s="315">
        <f>'[1]K) Plafonnement aide'!J101</f>
        <v>0</v>
      </c>
      <c r="J102" s="318">
        <f>'[1]J) Plafonnement effort'!I101</f>
        <v>0</v>
      </c>
      <c r="K102" s="315">
        <f>'[1]L) Plafonnement taux'!Q102</f>
        <v>0</v>
      </c>
      <c r="L102" s="313">
        <f t="shared" si="3"/>
        <v>728873.96711470815</v>
      </c>
      <c r="M102" s="234">
        <f>'[1]M) Police'!O102</f>
        <v>61002.346206691494</v>
      </c>
      <c r="N102" s="234">
        <f t="shared" si="4"/>
        <v>789876.31332139962</v>
      </c>
      <c r="O102" s="318">
        <f t="shared" si="5"/>
        <v>364578.59115765372</v>
      </c>
      <c r="P102" s="320"/>
      <c r="Q102" s="529"/>
    </row>
    <row r="103" spans="1:17" s="154" customFormat="1" x14ac:dyDescent="0.25">
      <c r="A103" s="151">
        <f>'[1]B) D RI'!A104</f>
        <v>5560</v>
      </c>
      <c r="B103" s="152" t="str">
        <f>'[1]B) D RI'!B104</f>
        <v>Grandevent</v>
      </c>
      <c r="C103" s="316">
        <f>'[1]B) D RI'!S104</f>
        <v>68</v>
      </c>
      <c r="D103" s="153">
        <f>'[1]B) D RI'!AA104</f>
        <v>222</v>
      </c>
      <c r="E103" s="314">
        <f>'[1]D) Ecrêtage'!C102</f>
        <v>7406.141029411765</v>
      </c>
      <c r="F103" s="318">
        <f>'[1]E) Fact soc'!G108</f>
        <v>122977.11239867072</v>
      </c>
      <c r="G103" s="315">
        <f>'[1]H) Péréquation directe'!I113</f>
        <v>64340.790759520853</v>
      </c>
      <c r="H103" s="318">
        <f>+'[1]I) Dépenses thématiques'!O102</f>
        <v>-10224.38713253423</v>
      </c>
      <c r="I103" s="315">
        <f>'[1]K) Plafonnement aide'!J102</f>
        <v>0</v>
      </c>
      <c r="J103" s="318">
        <f>'[1]J) Plafonnement effort'!I102</f>
        <v>0</v>
      </c>
      <c r="K103" s="315">
        <f>'[1]L) Plafonnement taux'!Q103</f>
        <v>0</v>
      </c>
      <c r="L103" s="313">
        <f t="shared" si="3"/>
        <v>177093.51602565736</v>
      </c>
      <c r="M103" s="234">
        <f>'[1]M) Police'!O103</f>
        <v>22398.971349923399</v>
      </c>
      <c r="N103" s="234">
        <f t="shared" si="4"/>
        <v>199492.48737558076</v>
      </c>
      <c r="O103" s="318">
        <f t="shared" si="5"/>
        <v>54116.403626986619</v>
      </c>
      <c r="P103" s="320"/>
      <c r="Q103" s="529"/>
    </row>
    <row r="104" spans="1:17" s="154" customFormat="1" x14ac:dyDescent="0.25">
      <c r="A104" s="151">
        <f>'[1]B) D RI'!A105</f>
        <v>5561</v>
      </c>
      <c r="B104" s="152" t="str">
        <f>'[1]B) D RI'!B105</f>
        <v>Grandson</v>
      </c>
      <c r="C104" s="316">
        <f>'[1]B) D RI'!S105</f>
        <v>69</v>
      </c>
      <c r="D104" s="153">
        <f>'[1]B) D RI'!AA105</f>
        <v>3340</v>
      </c>
      <c r="E104" s="314">
        <f>'[1]D) Ecrêtage'!C103</f>
        <v>113542.57695652173</v>
      </c>
      <c r="F104" s="318">
        <f>'[1]E) Fact soc'!G109</f>
        <v>2986318.0711518014</v>
      </c>
      <c r="G104" s="315">
        <f>'[1]H) Péréquation directe'!I114</f>
        <v>444924.22807393828</v>
      </c>
      <c r="H104" s="318">
        <f>+'[1]I) Dépenses thématiques'!O103</f>
        <v>-1063013.0344319942</v>
      </c>
      <c r="I104" s="315">
        <f>'[1]K) Plafonnement aide'!J103</f>
        <v>0</v>
      </c>
      <c r="J104" s="318">
        <f>'[1]J) Plafonnement effort'!I103</f>
        <v>0</v>
      </c>
      <c r="K104" s="315">
        <f>'[1]L) Plafonnement taux'!Q104</f>
        <v>0</v>
      </c>
      <c r="L104" s="313">
        <f t="shared" si="3"/>
        <v>2368229.2647937452</v>
      </c>
      <c r="M104" s="234">
        <f>'[1]M) Police'!O104</f>
        <v>344441.10953661415</v>
      </c>
      <c r="N104" s="234">
        <f t="shared" si="4"/>
        <v>2712670.3743303595</v>
      </c>
      <c r="O104" s="318">
        <f t="shared" si="5"/>
        <v>-618088.80635805591</v>
      </c>
      <c r="P104" s="320"/>
      <c r="Q104" s="529"/>
    </row>
    <row r="105" spans="1:17" s="154" customFormat="1" x14ac:dyDescent="0.25">
      <c r="A105" s="151">
        <f>'[1]B) D RI'!A106</f>
        <v>5562</v>
      </c>
      <c r="B105" s="152" t="str">
        <f>'[1]B) D RI'!B106</f>
        <v>Mauborget</v>
      </c>
      <c r="C105" s="316">
        <f>'[1]B) D RI'!S106</f>
        <v>70</v>
      </c>
      <c r="D105" s="153">
        <f>'[1]B) D RI'!AA106</f>
        <v>120</v>
      </c>
      <c r="E105" s="314">
        <f>'[1]D) Ecrêtage'!C104</f>
        <v>5487.2855</v>
      </c>
      <c r="F105" s="318">
        <f>'[1]E) Fact soc'!G110</f>
        <v>122221.8768923741</v>
      </c>
      <c r="G105" s="315">
        <f>'[1]H) Péréquation directe'!I115</f>
        <v>91453.760750337038</v>
      </c>
      <c r="H105" s="318">
        <f>+'[1]I) Dépenses thématiques'!O104</f>
        <v>-856.54792616083864</v>
      </c>
      <c r="I105" s="315">
        <f>'[1]K) Plafonnement aide'!J104</f>
        <v>0</v>
      </c>
      <c r="J105" s="318">
        <f>'[1]J) Plafonnement effort'!I104</f>
        <v>0</v>
      </c>
      <c r="K105" s="315">
        <f>'[1]L) Plafonnement taux'!Q105</f>
        <v>0</v>
      </c>
      <c r="L105" s="313">
        <f t="shared" si="3"/>
        <v>212819.08971655031</v>
      </c>
      <c r="M105" s="234">
        <f>'[1]M) Police'!O105</f>
        <v>16602.056692499573</v>
      </c>
      <c r="N105" s="234">
        <f t="shared" si="4"/>
        <v>229421.14640904989</v>
      </c>
      <c r="O105" s="318">
        <f t="shared" si="5"/>
        <v>90597.212824176197</v>
      </c>
      <c r="P105" s="320"/>
      <c r="Q105" s="529"/>
    </row>
    <row r="106" spans="1:17" s="154" customFormat="1" x14ac:dyDescent="0.25">
      <c r="A106" s="151">
        <f>'[1]B) D RI'!A107</f>
        <v>5563</v>
      </c>
      <c r="B106" s="152" t="str">
        <f>'[1]B) D RI'!B107</f>
        <v>Mutrux</v>
      </c>
      <c r="C106" s="316">
        <f>'[1]B) D RI'!S107</f>
        <v>80</v>
      </c>
      <c r="D106" s="153">
        <f>'[1]B) D RI'!AA107</f>
        <v>153</v>
      </c>
      <c r="E106" s="314">
        <f>'[1]D) Ecrêtage'!C105</f>
        <v>4022.9622499999991</v>
      </c>
      <c r="F106" s="318">
        <f>'[1]E) Fact soc'!G111</f>
        <v>61475.003017297793</v>
      </c>
      <c r="G106" s="315">
        <f>'[1]H) Péréquation directe'!I116</f>
        <v>-19497.495410032207</v>
      </c>
      <c r="H106" s="318">
        <f>+'[1]I) Dépenses thématiques'!O105</f>
        <v>-29359.12754991958</v>
      </c>
      <c r="I106" s="315">
        <f>'[1]K) Plafonnement aide'!J105</f>
        <v>0</v>
      </c>
      <c r="J106" s="318">
        <f>'[1]J) Plafonnement effort'!I105</f>
        <v>0</v>
      </c>
      <c r="K106" s="315">
        <f>'[1]L) Plafonnement taux'!Q106</f>
        <v>0</v>
      </c>
      <c r="L106" s="313">
        <f t="shared" si="3"/>
        <v>12618.380057346007</v>
      </c>
      <c r="M106" s="234">
        <f>'[1]M) Police'!O106</f>
        <v>12284.044239513358</v>
      </c>
      <c r="N106" s="234">
        <f t="shared" si="4"/>
        <v>24902.424296859364</v>
      </c>
      <c r="O106" s="318">
        <f t="shared" si="5"/>
        <v>-48856.622959951783</v>
      </c>
      <c r="P106" s="320"/>
      <c r="Q106" s="529"/>
    </row>
    <row r="107" spans="1:17" s="154" customFormat="1" x14ac:dyDescent="0.25">
      <c r="A107" s="151">
        <f>'[1]B) D RI'!A108</f>
        <v>5564</v>
      </c>
      <c r="B107" s="152" t="str">
        <f>'[1]B) D RI'!B108</f>
        <v>Novalles</v>
      </c>
      <c r="C107" s="316">
        <f>'[1]B) D RI'!S108</f>
        <v>76</v>
      </c>
      <c r="D107" s="153">
        <f>'[1]B) D RI'!AA108</f>
        <v>100</v>
      </c>
      <c r="E107" s="314">
        <f>'[1]D) Ecrêtage'!C106</f>
        <v>2263.2775657894736</v>
      </c>
      <c r="F107" s="318">
        <f>'[1]E) Fact soc'!G112</f>
        <v>33260.098682379146</v>
      </c>
      <c r="G107" s="315">
        <f>'[1]H) Péréquation directe'!I117</f>
        <v>-23294.245708258917</v>
      </c>
      <c r="H107" s="318">
        <f>+'[1]I) Dépenses thématiques'!O106</f>
        <v>-10201.905514306116</v>
      </c>
      <c r="I107" s="315">
        <f>'[1]K) Plafonnement aide'!J106</f>
        <v>0</v>
      </c>
      <c r="J107" s="318">
        <f>'[1]J) Plafonnement effort'!I106</f>
        <v>0</v>
      </c>
      <c r="K107" s="315">
        <f>'[1]L) Plafonnement taux'!Q107</f>
        <v>0</v>
      </c>
      <c r="L107" s="313">
        <f t="shared" si="3"/>
        <v>-236.05254018588676</v>
      </c>
      <c r="M107" s="234">
        <f>'[1]M) Police'!O107</f>
        <v>6866.3826648061977</v>
      </c>
      <c r="N107" s="234">
        <f t="shared" si="4"/>
        <v>6630.3301246203109</v>
      </c>
      <c r="O107" s="318">
        <f t="shared" si="5"/>
        <v>-33496.151222565037</v>
      </c>
      <c r="P107" s="320"/>
      <c r="Q107" s="529"/>
    </row>
    <row r="108" spans="1:17" s="154" customFormat="1" x14ac:dyDescent="0.25">
      <c r="A108" s="151">
        <f>'[1]B) D RI'!A109</f>
        <v>5565</v>
      </c>
      <c r="B108" s="152" t="str">
        <f>'[1]B) D RI'!B109</f>
        <v>Onnens</v>
      </c>
      <c r="C108" s="316">
        <f>'[1]B) D RI'!S109</f>
        <v>65</v>
      </c>
      <c r="D108" s="153">
        <f>'[1]B) D RI'!AA109</f>
        <v>497</v>
      </c>
      <c r="E108" s="314">
        <f>'[1]D) Ecrêtage'!C107</f>
        <v>18486.800307692305</v>
      </c>
      <c r="F108" s="318">
        <f>'[1]E) Fact soc'!G113</f>
        <v>361511.26226493128</v>
      </c>
      <c r="G108" s="315">
        <f>'[1]H) Péréquation directe'!I118</f>
        <v>224880.49322337148</v>
      </c>
      <c r="H108" s="318">
        <f>+'[1]I) Dépenses thématiques'!O107</f>
        <v>-63746.596610089662</v>
      </c>
      <c r="I108" s="315">
        <f>'[1]K) Plafonnement aide'!J107</f>
        <v>0</v>
      </c>
      <c r="J108" s="318">
        <f>'[1]J) Plafonnement effort'!I107</f>
        <v>0</v>
      </c>
      <c r="K108" s="315">
        <f>'[1]L) Plafonnement taux'!Q108</f>
        <v>0</v>
      </c>
      <c r="L108" s="313">
        <f t="shared" si="3"/>
        <v>522645.15887821314</v>
      </c>
      <c r="M108" s="234">
        <f>'[1]M) Police'!O108</f>
        <v>54351.41985491736</v>
      </c>
      <c r="N108" s="234">
        <f t="shared" si="4"/>
        <v>576996.57873313047</v>
      </c>
      <c r="O108" s="318">
        <f t="shared" si="5"/>
        <v>161133.8966132818</v>
      </c>
      <c r="P108" s="320"/>
      <c r="Q108" s="529"/>
    </row>
    <row r="109" spans="1:17" s="154" customFormat="1" x14ac:dyDescent="0.25">
      <c r="A109" s="151">
        <f>'[1]B) D RI'!A110</f>
        <v>5566</v>
      </c>
      <c r="B109" s="152" t="str">
        <f>'[1]B) D RI'!B110</f>
        <v>Provence</v>
      </c>
      <c r="C109" s="316">
        <f>'[1]B) D RI'!S110</f>
        <v>81</v>
      </c>
      <c r="D109" s="153">
        <f>'[1]B) D RI'!AA110</f>
        <v>379</v>
      </c>
      <c r="E109" s="314">
        <f>'[1]D) Ecrêtage'!C108</f>
        <v>8488.3012345678999</v>
      </c>
      <c r="F109" s="318">
        <f>'[1]E) Fact soc'!G114</f>
        <v>168501.83347285248</v>
      </c>
      <c r="G109" s="315">
        <f>'[1]H) Péréquation directe'!I119</f>
        <v>-121252.90809327093</v>
      </c>
      <c r="H109" s="318">
        <f>+'[1]I) Dépenses thématiques'!O108</f>
        <v>-218641.1315980439</v>
      </c>
      <c r="I109" s="315">
        <f>'[1]K) Plafonnement aide'!J108</f>
        <v>0</v>
      </c>
      <c r="J109" s="318">
        <f>'[1]J) Plafonnement effort'!I108</f>
        <v>0</v>
      </c>
      <c r="K109" s="315">
        <f>'[1]L) Plafonnement taux'!Q109</f>
        <v>0</v>
      </c>
      <c r="L109" s="313">
        <f t="shared" si="3"/>
        <v>-171392.20621846235</v>
      </c>
      <c r="M109" s="234">
        <f>'[1]M) Police'!O109</f>
        <v>25698.772305757488</v>
      </c>
      <c r="N109" s="234">
        <f t="shared" si="4"/>
        <v>-145693.43391270487</v>
      </c>
      <c r="O109" s="318">
        <f t="shared" si="5"/>
        <v>-339894.0396913148</v>
      </c>
      <c r="P109" s="320"/>
      <c r="Q109" s="529"/>
    </row>
    <row r="110" spans="1:17" s="154" customFormat="1" x14ac:dyDescent="0.25">
      <c r="A110" s="151">
        <f>'[1]B) D RI'!A111</f>
        <v>5568</v>
      </c>
      <c r="B110" s="152" t="str">
        <f>'[1]B) D RI'!B111</f>
        <v>Sainte-Croix</v>
      </c>
      <c r="C110" s="316">
        <f>'[1]B) D RI'!S111</f>
        <v>70</v>
      </c>
      <c r="D110" s="153">
        <f>'[1]B) D RI'!AA111</f>
        <v>4888</v>
      </c>
      <c r="E110" s="314">
        <f>'[1]D) Ecrêtage'!C109</f>
        <v>109300.43271428571</v>
      </c>
      <c r="F110" s="318">
        <f>'[1]E) Fact soc'!G115</f>
        <v>2665555.4979151306</v>
      </c>
      <c r="G110" s="315">
        <f>'[1]H) Péréquation directe'!I120</f>
        <v>-1939572.9961110265</v>
      </c>
      <c r="H110" s="318">
        <f>+'[1]I) Dépenses thématiques'!O109</f>
        <v>-1351440.5187934819</v>
      </c>
      <c r="I110" s="315">
        <f>'[1]K) Plafonnement aide'!J109</f>
        <v>0</v>
      </c>
      <c r="J110" s="318">
        <f>'[1]J) Plafonnement effort'!I109</f>
        <v>0</v>
      </c>
      <c r="K110" s="315">
        <f>'[1]L) Plafonnement taux'!Q110</f>
        <v>0</v>
      </c>
      <c r="L110" s="313">
        <f t="shared" si="3"/>
        <v>-625458.01698937779</v>
      </c>
      <c r="M110" s="234">
        <f>'[1]M) Police'!O110</f>
        <v>330296.47973827535</v>
      </c>
      <c r="N110" s="234">
        <f t="shared" si="4"/>
        <v>-295161.53725110245</v>
      </c>
      <c r="O110" s="318">
        <f t="shared" si="5"/>
        <v>-3291013.5149045084</v>
      </c>
      <c r="P110" s="320"/>
      <c r="Q110" s="529"/>
    </row>
    <row r="111" spans="1:17" s="154" customFormat="1" x14ac:dyDescent="0.25">
      <c r="A111" s="151">
        <f>'[1]B) D RI'!A112</f>
        <v>5571</v>
      </c>
      <c r="B111" s="152" t="str">
        <f>'[1]B) D RI'!B112</f>
        <v>Tévenon</v>
      </c>
      <c r="C111" s="316">
        <f>'[1]B) D RI'!S112</f>
        <v>73</v>
      </c>
      <c r="D111" s="153">
        <f>'[1]B) D RI'!AA112</f>
        <v>896</v>
      </c>
      <c r="E111" s="314">
        <f>'[1]D) Ecrêtage'!C110</f>
        <v>24815.960251141551</v>
      </c>
      <c r="F111" s="318">
        <f>'[1]E) Fact soc'!G116</f>
        <v>434211.14091728063</v>
      </c>
      <c r="G111" s="315">
        <f>'[1]H) Péréquation directe'!I121</f>
        <v>16622.248749252118</v>
      </c>
      <c r="H111" s="318">
        <f>+'[1]I) Dépenses thématiques'!O110</f>
        <v>-122084.72508860943</v>
      </c>
      <c r="I111" s="315">
        <f>'[1]K) Plafonnement aide'!J110</f>
        <v>0</v>
      </c>
      <c r="J111" s="318">
        <f>'[1]J) Plafonnement effort'!I110</f>
        <v>0</v>
      </c>
      <c r="K111" s="315">
        <f>'[1]L) Plafonnement taux'!Q111</f>
        <v>0</v>
      </c>
      <c r="L111" s="313">
        <f t="shared" si="3"/>
        <v>328748.66457792331</v>
      </c>
      <c r="M111" s="234">
        <f>'[1]M) Police'!O111</f>
        <v>74502.741431842427</v>
      </c>
      <c r="N111" s="234">
        <f t="shared" si="4"/>
        <v>403251.40600976575</v>
      </c>
      <c r="O111" s="318">
        <f t="shared" si="5"/>
        <v>-105462.47633935731</v>
      </c>
      <c r="P111" s="320"/>
      <c r="Q111" s="529"/>
    </row>
    <row r="112" spans="1:17" s="154" customFormat="1" x14ac:dyDescent="0.25">
      <c r="A112" s="151">
        <f>'[1]B) D RI'!A113</f>
        <v>5581</v>
      </c>
      <c r="B112" s="152" t="str">
        <f>'[1]B) D RI'!B113</f>
        <v>Belmont-sur-Lausanne</v>
      </c>
      <c r="C112" s="316">
        <f>'[1]B) D RI'!S113</f>
        <v>72</v>
      </c>
      <c r="D112" s="153">
        <f>'[1]B) D RI'!AA113</f>
        <v>3773</v>
      </c>
      <c r="E112" s="314">
        <f>'[1]D) Ecrêtage'!C111</f>
        <v>187774.68592592591</v>
      </c>
      <c r="F112" s="318">
        <f>'[1]E) Fact soc'!G117</f>
        <v>3272414.9370178939</v>
      </c>
      <c r="G112" s="315">
        <f>'[1]H) Péréquation directe'!I122</f>
        <v>2539156.0365479374</v>
      </c>
      <c r="H112" s="318">
        <f>+'[1]I) Dépenses thématiques'!O111</f>
        <v>-1023656.5004802936</v>
      </c>
      <c r="I112" s="315">
        <f>'[1]K) Plafonnement aide'!J111</f>
        <v>0</v>
      </c>
      <c r="J112" s="318">
        <f>'[1]J) Plafonnement effort'!I111</f>
        <v>0</v>
      </c>
      <c r="K112" s="315">
        <f>'[1]L) Plafonnement taux'!Q112</f>
        <v>0</v>
      </c>
      <c r="L112" s="313">
        <f t="shared" si="3"/>
        <v>4787914.4730855385</v>
      </c>
      <c r="M112" s="234">
        <f>'[1]M) Police'!O112</f>
        <v>223869.78326273023</v>
      </c>
      <c r="N112" s="234">
        <f t="shared" si="4"/>
        <v>5011784.2563482691</v>
      </c>
      <c r="O112" s="318">
        <f t="shared" si="5"/>
        <v>1515499.5360676437</v>
      </c>
      <c r="P112" s="320"/>
      <c r="Q112" s="529"/>
    </row>
    <row r="113" spans="1:17" s="154" customFormat="1" x14ac:dyDescent="0.25">
      <c r="A113" s="151">
        <f>'[1]B) D RI'!A114</f>
        <v>5582</v>
      </c>
      <c r="B113" s="152" t="str">
        <f>'[1]B) D RI'!B114</f>
        <v>Cheseaux-sur-Lausanne</v>
      </c>
      <c r="C113" s="316">
        <f>'[1]B) D RI'!S114</f>
        <v>74.5</v>
      </c>
      <c r="D113" s="153">
        <f>'[1]B) D RI'!AA114</f>
        <v>4339</v>
      </c>
      <c r="E113" s="314">
        <f>'[1]D) Ecrêtage'!C112</f>
        <v>167195.61731543625</v>
      </c>
      <c r="F113" s="318">
        <f>'[1]E) Fact soc'!G118</f>
        <v>3062948.4990868662</v>
      </c>
      <c r="G113" s="315">
        <f>'[1]H) Péréquation directe'!I123</f>
        <v>1023789.2528102752</v>
      </c>
      <c r="H113" s="318">
        <f>+'[1]I) Dépenses thématiques'!O112</f>
        <v>-356289.1355157622</v>
      </c>
      <c r="I113" s="315">
        <f>'[1]K) Plafonnement aide'!J112</f>
        <v>0</v>
      </c>
      <c r="J113" s="318">
        <f>'[1]J) Plafonnement effort'!I112</f>
        <v>0</v>
      </c>
      <c r="K113" s="315">
        <f>'[1]L) Plafonnement taux'!Q113</f>
        <v>0</v>
      </c>
      <c r="L113" s="313">
        <f t="shared" si="3"/>
        <v>3730448.6163813793</v>
      </c>
      <c r="M113" s="234">
        <f>'[1]M) Police'!O113</f>
        <v>508573.44004053733</v>
      </c>
      <c r="N113" s="234">
        <f t="shared" si="4"/>
        <v>4239022.0564219169</v>
      </c>
      <c r="O113" s="318">
        <f t="shared" si="5"/>
        <v>667500.11729451292</v>
      </c>
      <c r="P113" s="320"/>
      <c r="Q113" s="529"/>
    </row>
    <row r="114" spans="1:17" s="154" customFormat="1" x14ac:dyDescent="0.25">
      <c r="A114" s="151">
        <f>'[1]B) D RI'!A115</f>
        <v>5583</v>
      </c>
      <c r="B114" s="152" t="str">
        <f>'[1]B) D RI'!B115</f>
        <v>Crissier</v>
      </c>
      <c r="C114" s="316">
        <f>'[1]B) D RI'!S115</f>
        <v>65</v>
      </c>
      <c r="D114" s="153">
        <f>'[1]B) D RI'!AA115</f>
        <v>7944</v>
      </c>
      <c r="E114" s="314">
        <f>'[1]D) Ecrêtage'!C113</f>
        <v>313349.85476923082</v>
      </c>
      <c r="F114" s="318">
        <f>'[1]E) Fact soc'!G119</f>
        <v>6044271.6497843657</v>
      </c>
      <c r="G114" s="315">
        <f>'[1]H) Péréquation directe'!I124</f>
        <v>1639038.1392702311</v>
      </c>
      <c r="H114" s="318">
        <f>+'[1]I) Dépenses thématiques'!O113</f>
        <v>-2392156.4257416511</v>
      </c>
      <c r="I114" s="315">
        <f>'[1]K) Plafonnement aide'!J113</f>
        <v>0</v>
      </c>
      <c r="J114" s="318">
        <f>'[1]J) Plafonnement effort'!I113</f>
        <v>0</v>
      </c>
      <c r="K114" s="315">
        <f>'[1]L) Plafonnement taux'!Q114</f>
        <v>0</v>
      </c>
      <c r="L114" s="313">
        <f t="shared" si="3"/>
        <v>5291153.3633129457</v>
      </c>
      <c r="M114" s="234">
        <f>'[1]M) Police'!O114</f>
        <v>373583.71138625452</v>
      </c>
      <c r="N114" s="234">
        <f t="shared" si="4"/>
        <v>5664737.0746992007</v>
      </c>
      <c r="O114" s="318">
        <f t="shared" si="5"/>
        <v>-753118.28647141997</v>
      </c>
      <c r="P114" s="320"/>
      <c r="Q114" s="529"/>
    </row>
    <row r="115" spans="1:17" s="154" customFormat="1" x14ac:dyDescent="0.25">
      <c r="A115" s="151">
        <f>'[1]B) D RI'!A116</f>
        <v>5584</v>
      </c>
      <c r="B115" s="152" t="str">
        <f>'[1]B) D RI'!B116</f>
        <v>Epalinges</v>
      </c>
      <c r="C115" s="316">
        <f>'[1]B) D RI'!S116</f>
        <v>66</v>
      </c>
      <c r="D115" s="153">
        <f>'[1]B) D RI'!AA116</f>
        <v>9701</v>
      </c>
      <c r="E115" s="314">
        <f>'[1]D) Ecrêtage'!C114</f>
        <v>475091.38424242428</v>
      </c>
      <c r="F115" s="318">
        <f>'[1]E) Fact soc'!G120</f>
        <v>8434738.2742269207</v>
      </c>
      <c r="G115" s="315">
        <f>'[1]H) Péréquation directe'!I125</f>
        <v>4659906.7272477318</v>
      </c>
      <c r="H115" s="318">
        <f>+'[1]I) Dépenses thématiques'!O114</f>
        <v>-3623895.5148903932</v>
      </c>
      <c r="I115" s="315">
        <f>'[1]K) Plafonnement aide'!J114</f>
        <v>0</v>
      </c>
      <c r="J115" s="318">
        <f>'[1]J) Plafonnement effort'!I114</f>
        <v>0</v>
      </c>
      <c r="K115" s="315">
        <f>'[1]L) Plafonnement taux'!Q115</f>
        <v>0</v>
      </c>
      <c r="L115" s="313">
        <f t="shared" si="3"/>
        <v>9470749.4865842592</v>
      </c>
      <c r="M115" s="234">
        <f>'[1]M) Police'!O115</f>
        <v>1414134.7992631786</v>
      </c>
      <c r="N115" s="234">
        <f t="shared" si="4"/>
        <v>10884884.285847438</v>
      </c>
      <c r="O115" s="318">
        <f t="shared" si="5"/>
        <v>1036011.2123573385</v>
      </c>
      <c r="P115" s="320"/>
      <c r="Q115" s="529"/>
    </row>
    <row r="116" spans="1:17" s="154" customFormat="1" x14ac:dyDescent="0.25">
      <c r="A116" s="151">
        <f>'[1]B) D RI'!A117</f>
        <v>5585</v>
      </c>
      <c r="B116" s="152" t="str">
        <f>'[1]B) D RI'!B117</f>
        <v>Jouxtens-Mézery</v>
      </c>
      <c r="C116" s="316">
        <f>'[1]B) D RI'!S117</f>
        <v>59</v>
      </c>
      <c r="D116" s="153">
        <f>'[1]B) D RI'!AA117</f>
        <v>1423</v>
      </c>
      <c r="E116" s="314">
        <f>'[1]D) Ecrêtage'!C115</f>
        <v>229695.06966101698</v>
      </c>
      <c r="F116" s="318">
        <f>'[1]E) Fact soc'!G121</f>
        <v>7887589.3596754055</v>
      </c>
      <c r="G116" s="315">
        <f>'[1]H) Péréquation directe'!I126</f>
        <v>4321014.7699577641</v>
      </c>
      <c r="H116" s="318">
        <f>+'[1]I) Dépenses thématiques'!O115</f>
        <v>0</v>
      </c>
      <c r="I116" s="315">
        <f>'[1]K) Plafonnement aide'!J115</f>
        <v>0</v>
      </c>
      <c r="J116" s="318">
        <f>'[1]J) Plafonnement effort'!I115</f>
        <v>-1872325.9948874046</v>
      </c>
      <c r="K116" s="315">
        <f>'[1]L) Plafonnement taux'!Q116</f>
        <v>0</v>
      </c>
      <c r="L116" s="313">
        <f t="shared" si="3"/>
        <v>10336278.134745765</v>
      </c>
      <c r="M116" s="234">
        <f>'[1]M) Police'!O116</f>
        <v>398196.72469143459</v>
      </c>
      <c r="N116" s="234">
        <f t="shared" si="4"/>
        <v>10734474.859437199</v>
      </c>
      <c r="O116" s="318">
        <f t="shared" si="5"/>
        <v>2448688.7750703595</v>
      </c>
      <c r="P116" s="320"/>
      <c r="Q116" s="529"/>
    </row>
    <row r="117" spans="1:17" s="154" customFormat="1" x14ac:dyDescent="0.25">
      <c r="A117" s="151">
        <f>'[1]B) D RI'!A118</f>
        <v>5586</v>
      </c>
      <c r="B117" s="152" t="str">
        <f>'[1]B) D RI'!B118</f>
        <v>Lausanne</v>
      </c>
      <c r="C117" s="316">
        <f>'[1]B) D RI'!S118</f>
        <v>79</v>
      </c>
      <c r="D117" s="153">
        <f>'[1]B) D RI'!AA118</f>
        <v>139726</v>
      </c>
      <c r="E117" s="314">
        <f>'[1]D) Ecrêtage'!C116</f>
        <v>6038274.9810970454</v>
      </c>
      <c r="F117" s="318">
        <f>'[1]E) Fact soc'!G122</f>
        <v>108920136.56291933</v>
      </c>
      <c r="G117" s="315">
        <f>'[1]H) Péréquation directe'!I127</f>
        <v>-34138159.861661166</v>
      </c>
      <c r="H117" s="318">
        <f>+'[1]I) Dépenses thématiques'!O116</f>
        <v>-57807078.107040443</v>
      </c>
      <c r="I117" s="315">
        <f>'[1]K) Plafonnement aide'!J116</f>
        <v>0</v>
      </c>
      <c r="J117" s="318">
        <f>'[1]J) Plafonnement effort'!I116</f>
        <v>0</v>
      </c>
      <c r="K117" s="315">
        <f>'[1]L) Plafonnement taux'!Q117</f>
        <v>0</v>
      </c>
      <c r="L117" s="313">
        <f t="shared" si="3"/>
        <v>16974898.594217725</v>
      </c>
      <c r="M117" s="234">
        <f>'[1]M) Police'!O117</f>
        <v>7198985.8730596965</v>
      </c>
      <c r="N117" s="234">
        <f t="shared" si="4"/>
        <v>24173884.467277423</v>
      </c>
      <c r="O117" s="318">
        <f t="shared" si="5"/>
        <v>-91945237.968701601</v>
      </c>
      <c r="P117" s="320"/>
      <c r="Q117" s="529"/>
    </row>
    <row r="118" spans="1:17" s="154" customFormat="1" x14ac:dyDescent="0.25">
      <c r="A118" s="151">
        <f>'[1]B) D RI'!A119</f>
        <v>5587</v>
      </c>
      <c r="B118" s="152" t="str">
        <f>'[1]B) D RI'!B119</f>
        <v>Le Mont-sur-Lausanne</v>
      </c>
      <c r="C118" s="316">
        <f>'[1]B) D RI'!S119</f>
        <v>75</v>
      </c>
      <c r="D118" s="153">
        <f>'[1]B) D RI'!AA119</f>
        <v>8991</v>
      </c>
      <c r="E118" s="314">
        <f>'[1]D) Ecrêtage'!C117</f>
        <v>437426.32075555553</v>
      </c>
      <c r="F118" s="318">
        <f>'[1]E) Fact soc'!G123</f>
        <v>7555978.8820711616</v>
      </c>
      <c r="G118" s="315">
        <f>'[1]H) Péréquation directe'!I128</f>
        <v>4510627.8405609569</v>
      </c>
      <c r="H118" s="318">
        <f>+'[1]I) Dépenses thématiques'!O117</f>
        <v>-2572059.6860221359</v>
      </c>
      <c r="I118" s="315">
        <f>'[1]K) Plafonnement aide'!J117</f>
        <v>0</v>
      </c>
      <c r="J118" s="318">
        <f>'[1]J) Plafonnement effort'!I117</f>
        <v>0</v>
      </c>
      <c r="K118" s="315">
        <f>'[1]L) Plafonnement taux'!Q118</f>
        <v>0</v>
      </c>
      <c r="L118" s="313">
        <f t="shared" si="3"/>
        <v>9494547.0366099812</v>
      </c>
      <c r="M118" s="234">
        <f>'[1]M) Police'!O118</f>
        <v>1307186.4303522343</v>
      </c>
      <c r="N118" s="234">
        <f t="shared" si="4"/>
        <v>10801733.466962215</v>
      </c>
      <c r="O118" s="318">
        <f t="shared" si="5"/>
        <v>1938568.154538821</v>
      </c>
      <c r="P118" s="320"/>
      <c r="Q118" s="529"/>
    </row>
    <row r="119" spans="1:17" s="154" customFormat="1" x14ac:dyDescent="0.25">
      <c r="A119" s="151">
        <f>'[1]B) D RI'!A120</f>
        <v>5588</v>
      </c>
      <c r="B119" s="152" t="str">
        <f>'[1]B) D RI'!B120</f>
        <v>Paudex</v>
      </c>
      <c r="C119" s="316">
        <f>'[1]B) D RI'!S120</f>
        <v>68</v>
      </c>
      <c r="D119" s="153">
        <f>'[1]B) D RI'!AA120</f>
        <v>1532</v>
      </c>
      <c r="E119" s="314">
        <f>'[1]D) Ecrêtage'!C118</f>
        <v>134588.09264705883</v>
      </c>
      <c r="F119" s="318">
        <f>'[1]E) Fact soc'!G124</f>
        <v>3415240.8549245796</v>
      </c>
      <c r="G119" s="315">
        <f>'[1]H) Péréquation directe'!I129</f>
        <v>2379896.9766078112</v>
      </c>
      <c r="H119" s="318">
        <f>+'[1]I) Dépenses thématiques'!O118</f>
        <v>0</v>
      </c>
      <c r="I119" s="315">
        <f>'[1]K) Plafonnement aide'!J118</f>
        <v>0</v>
      </c>
      <c r="J119" s="318">
        <f>'[1]J) Plafonnement effort'!I118</f>
        <v>0</v>
      </c>
      <c r="K119" s="315">
        <f>'[1]L) Plafonnement taux'!Q119</f>
        <v>0</v>
      </c>
      <c r="L119" s="313">
        <f t="shared" si="3"/>
        <v>5795137.8315323908</v>
      </c>
      <c r="M119" s="234">
        <f>'[1]M) Police'!O119</f>
        <v>160459.36640536945</v>
      </c>
      <c r="N119" s="234">
        <f t="shared" si="4"/>
        <v>5955597.1979377605</v>
      </c>
      <c r="O119" s="318">
        <f t="shared" si="5"/>
        <v>2379896.9766078112</v>
      </c>
      <c r="P119" s="320"/>
      <c r="Q119" s="529"/>
    </row>
    <row r="120" spans="1:17" s="154" customFormat="1" x14ac:dyDescent="0.25">
      <c r="A120" s="151">
        <f>'[1]B) D RI'!A121</f>
        <v>5589</v>
      </c>
      <c r="B120" s="152" t="str">
        <f>'[1]B) D RI'!B121</f>
        <v>Prilly</v>
      </c>
      <c r="C120" s="316">
        <f>'[1]B) D RI'!S121</f>
        <v>73.5</v>
      </c>
      <c r="D120" s="153">
        <f>'[1]B) D RI'!AA121</f>
        <v>12423</v>
      </c>
      <c r="E120" s="314">
        <f>'[1]D) Ecrêtage'!C119</f>
        <v>418113.86360020924</v>
      </c>
      <c r="F120" s="318">
        <f>'[1]E) Fact soc'!G125</f>
        <v>7233589.5168114295</v>
      </c>
      <c r="G120" s="315">
        <f>'[1]H) Péréquation directe'!I130</f>
        <v>-2447992.579830314</v>
      </c>
      <c r="H120" s="318">
        <f>+'[1]I) Dépenses thématiques'!O119</f>
        <v>-2827013.6973192398</v>
      </c>
      <c r="I120" s="315">
        <f>'[1]K) Plafonnement aide'!J119</f>
        <v>0</v>
      </c>
      <c r="J120" s="318">
        <f>'[1]J) Plafonnement effort'!I119</f>
        <v>0</v>
      </c>
      <c r="K120" s="315">
        <f>'[1]L) Plafonnement taux'!Q120</f>
        <v>0</v>
      </c>
      <c r="L120" s="313">
        <f t="shared" si="3"/>
        <v>1958583.2396618756</v>
      </c>
      <c r="M120" s="234">
        <f>'[1]M) Police'!O120</f>
        <v>498486.04225729604</v>
      </c>
      <c r="N120" s="234">
        <f t="shared" si="4"/>
        <v>2457069.2819191716</v>
      </c>
      <c r="O120" s="318">
        <f t="shared" si="5"/>
        <v>-5275006.2771495543</v>
      </c>
      <c r="P120" s="320"/>
      <c r="Q120" s="529"/>
    </row>
    <row r="121" spans="1:17" s="154" customFormat="1" x14ac:dyDescent="0.25">
      <c r="A121" s="151">
        <f>'[1]B) D RI'!A122</f>
        <v>5590</v>
      </c>
      <c r="B121" s="152" t="str">
        <f>'[1]B) D RI'!B122</f>
        <v>Pully</v>
      </c>
      <c r="C121" s="316">
        <f>'[1]B) D RI'!S122</f>
        <v>61</v>
      </c>
      <c r="D121" s="153">
        <f>'[1]B) D RI'!AA122</f>
        <v>18495</v>
      </c>
      <c r="E121" s="314">
        <f>'[1]D) Ecrêtage'!C120</f>
        <v>1533094.7704683845</v>
      </c>
      <c r="F121" s="318">
        <f>'[1]E) Fact soc'!G126</f>
        <v>39946403.184118681</v>
      </c>
      <c r="G121" s="315">
        <f>'[1]H) Péréquation directe'!I131</f>
        <v>17159773.672288485</v>
      </c>
      <c r="H121" s="318">
        <f>+'[1]I) Dépenses thématiques'!O120</f>
        <v>-2084073.182346225</v>
      </c>
      <c r="I121" s="315">
        <f>'[1]K) Plafonnement aide'!J120</f>
        <v>0</v>
      </c>
      <c r="J121" s="318">
        <f>'[1]J) Plafonnement effort'!I120</f>
        <v>0</v>
      </c>
      <c r="K121" s="315">
        <f>'[1]L) Plafonnement taux'!Q121</f>
        <v>0</v>
      </c>
      <c r="L121" s="313">
        <f t="shared" si="3"/>
        <v>55022103.674060941</v>
      </c>
      <c r="M121" s="234">
        <f>'[1]M) Police'!O121</f>
        <v>1827794.7972250883</v>
      </c>
      <c r="N121" s="234">
        <f t="shared" si="4"/>
        <v>56849898.471286029</v>
      </c>
      <c r="O121" s="318">
        <f t="shared" si="5"/>
        <v>15075700.48994226</v>
      </c>
      <c r="P121" s="320"/>
      <c r="Q121" s="529"/>
    </row>
    <row r="122" spans="1:17" s="154" customFormat="1" x14ac:dyDescent="0.25">
      <c r="A122" s="151">
        <f>'[1]B) D RI'!A123</f>
        <v>5591</v>
      </c>
      <c r="B122" s="152" t="str">
        <f>'[1]B) D RI'!B123</f>
        <v>Renens</v>
      </c>
      <c r="C122" s="316">
        <f>'[1]B) D RI'!S123</f>
        <v>78.5</v>
      </c>
      <c r="D122" s="153">
        <f>'[1]B) D RI'!AA123</f>
        <v>20928</v>
      </c>
      <c r="E122" s="314">
        <f>'[1]D) Ecrêtage'!C121</f>
        <v>563128.30316651508</v>
      </c>
      <c r="F122" s="318">
        <f>'[1]E) Fact soc'!G127</f>
        <v>10244932.356363542</v>
      </c>
      <c r="G122" s="315">
        <f>'[1]H) Péréquation directe'!I132</f>
        <v>-15136672.70904661</v>
      </c>
      <c r="H122" s="318">
        <f>+'[1]I) Dépenses thématiques'!O121</f>
        <v>-6209586.1604981907</v>
      </c>
      <c r="I122" s="315">
        <f>'[1]K) Plafonnement aide'!J121</f>
        <v>386713.92735094792</v>
      </c>
      <c r="J122" s="318">
        <f>'[1]J) Plafonnement effort'!I121</f>
        <v>0</v>
      </c>
      <c r="K122" s="315">
        <f>'[1]L) Plafonnement taux'!Q122</f>
        <v>0</v>
      </c>
      <c r="L122" s="313">
        <f t="shared" si="3"/>
        <v>-10714612.58583031</v>
      </c>
      <c r="M122" s="234">
        <f>'[1]M) Police'!O122</f>
        <v>671375.96613383945</v>
      </c>
      <c r="N122" s="234">
        <f t="shared" si="4"/>
        <v>-10043236.619696472</v>
      </c>
      <c r="O122" s="318">
        <f t="shared" si="5"/>
        <v>-20959544.942193851</v>
      </c>
      <c r="P122" s="320"/>
      <c r="Q122" s="529"/>
    </row>
    <row r="123" spans="1:17" s="154" customFormat="1" x14ac:dyDescent="0.25">
      <c r="A123" s="151">
        <f>'[1]B) D RI'!A124</f>
        <v>5592</v>
      </c>
      <c r="B123" s="152" t="str">
        <f>'[1]B) D RI'!B124</f>
        <v>Romanel-sur-Lausanne</v>
      </c>
      <c r="C123" s="316">
        <f>'[1]B) D RI'!S124</f>
        <v>72</v>
      </c>
      <c r="D123" s="153">
        <f>'[1]B) D RI'!AA124</f>
        <v>3294</v>
      </c>
      <c r="E123" s="314">
        <f>'[1]D) Ecrêtage'!C122</f>
        <v>113674.73902777777</v>
      </c>
      <c r="F123" s="318">
        <f>'[1]E) Fact soc'!G128</f>
        <v>2028734.5267953984</v>
      </c>
      <c r="G123" s="315">
        <f>'[1]H) Péréquation directe'!I133</f>
        <v>444442.76554978546</v>
      </c>
      <c r="H123" s="318">
        <f>+'[1]I) Dépenses thématiques'!O122</f>
        <v>-274982.56384424132</v>
      </c>
      <c r="I123" s="315">
        <f>'[1]K) Plafonnement aide'!J122</f>
        <v>0</v>
      </c>
      <c r="J123" s="318">
        <f>'[1]J) Plafonnement effort'!I122</f>
        <v>0</v>
      </c>
      <c r="K123" s="315">
        <f>'[1]L) Plafonnement taux'!Q123</f>
        <v>0</v>
      </c>
      <c r="L123" s="313">
        <f t="shared" si="3"/>
        <v>2198194.7285009427</v>
      </c>
      <c r="M123" s="234">
        <f>'[1]M) Police'!O123</f>
        <v>336294.57132087566</v>
      </c>
      <c r="N123" s="234">
        <f t="shared" si="4"/>
        <v>2534489.2998218182</v>
      </c>
      <c r="O123" s="318">
        <f t="shared" si="5"/>
        <v>169460.20170554414</v>
      </c>
      <c r="P123" s="320"/>
      <c r="Q123" s="529"/>
    </row>
    <row r="124" spans="1:17" s="154" customFormat="1" x14ac:dyDescent="0.25">
      <c r="A124" s="151">
        <f>'[1]B) D RI'!A125</f>
        <v>5601</v>
      </c>
      <c r="B124" s="152" t="str">
        <f>'[1]B) D RI'!B125</f>
        <v>Chexbres</v>
      </c>
      <c r="C124" s="316">
        <f>'[1]B) D RI'!S125</f>
        <v>69</v>
      </c>
      <c r="D124" s="153">
        <f>'[1]B) D RI'!AA125</f>
        <v>2235</v>
      </c>
      <c r="E124" s="314">
        <f>'[1]D) Ecrêtage'!C123</f>
        <v>103470.98536231882</v>
      </c>
      <c r="F124" s="318">
        <f>'[1]E) Fact soc'!G129</f>
        <v>1945355.1326032868</v>
      </c>
      <c r="G124" s="315">
        <f>'[1]H) Péréquation directe'!I134</f>
        <v>1475132.7042704569</v>
      </c>
      <c r="H124" s="318">
        <f>+'[1]I) Dépenses thématiques'!O123</f>
        <v>-302656.94711016893</v>
      </c>
      <c r="I124" s="315">
        <f>'[1]K) Plafonnement aide'!J123</f>
        <v>0</v>
      </c>
      <c r="J124" s="318">
        <f>'[1]J) Plafonnement effort'!I123</f>
        <v>0</v>
      </c>
      <c r="K124" s="315">
        <f>'[1]L) Plafonnement taux'!Q124</f>
        <v>0</v>
      </c>
      <c r="L124" s="313">
        <f t="shared" si="3"/>
        <v>3117830.8897635746</v>
      </c>
      <c r="M124" s="234">
        <f>'[1]M) Police'!O124</f>
        <v>123360.75522012207</v>
      </c>
      <c r="N124" s="234">
        <f t="shared" si="4"/>
        <v>3241191.6449836968</v>
      </c>
      <c r="O124" s="318">
        <f t="shared" si="5"/>
        <v>1172475.757160288</v>
      </c>
      <c r="P124" s="320"/>
      <c r="Q124" s="529"/>
    </row>
    <row r="125" spans="1:17" s="154" customFormat="1" x14ac:dyDescent="0.25">
      <c r="A125" s="151">
        <f>'[1]B) D RI'!A126</f>
        <v>5604</v>
      </c>
      <c r="B125" s="152" t="str">
        <f>'[1]B) D RI'!B126</f>
        <v>Forel (Lavaux)</v>
      </c>
      <c r="C125" s="316">
        <f>'[1]B) D RI'!S126</f>
        <v>70</v>
      </c>
      <c r="D125" s="153">
        <f>'[1]B) D RI'!AA126</f>
        <v>2064</v>
      </c>
      <c r="E125" s="314">
        <f>'[1]D) Ecrêtage'!C124</f>
        <v>73971.129714285707</v>
      </c>
      <c r="F125" s="318">
        <f>'[1]E) Fact soc'!G130</f>
        <v>1284917.0365128051</v>
      </c>
      <c r="G125" s="315">
        <f>'[1]H) Péréquation directe'!I135</f>
        <v>528079.62885413598</v>
      </c>
      <c r="H125" s="318">
        <f>+'[1]I) Dépenses thématiques'!O124</f>
        <v>-349092.8799326127</v>
      </c>
      <c r="I125" s="315">
        <f>'[1]K) Plafonnement aide'!J124</f>
        <v>0</v>
      </c>
      <c r="J125" s="318">
        <f>'[1]J) Plafonnement effort'!I124</f>
        <v>0</v>
      </c>
      <c r="K125" s="315">
        <f>'[1]L) Plafonnement taux'!Q125</f>
        <v>0</v>
      </c>
      <c r="L125" s="313">
        <f t="shared" si="3"/>
        <v>1463903.7854343285</v>
      </c>
      <c r="M125" s="234">
        <f>'[1]M) Police'!O125</f>
        <v>223820.98365764727</v>
      </c>
      <c r="N125" s="234">
        <f t="shared" si="4"/>
        <v>1687724.7690919759</v>
      </c>
      <c r="O125" s="318">
        <f t="shared" si="5"/>
        <v>178986.74892152328</v>
      </c>
      <c r="P125" s="320"/>
      <c r="Q125" s="529"/>
    </row>
    <row r="126" spans="1:17" s="154" customFormat="1" x14ac:dyDescent="0.25">
      <c r="A126" s="151">
        <f>'[1]B) D RI'!A127</f>
        <v>5606</v>
      </c>
      <c r="B126" s="152" t="str">
        <f>'[1]B) D RI'!B127</f>
        <v>Lutry</v>
      </c>
      <c r="C126" s="316">
        <f>'[1]B) D RI'!S127</f>
        <v>55.5</v>
      </c>
      <c r="D126" s="153">
        <f>'[1]B) D RI'!AA127</f>
        <v>10357</v>
      </c>
      <c r="E126" s="314">
        <f>'[1]D) Ecrêtage'!C125</f>
        <v>806998.35454311455</v>
      </c>
      <c r="F126" s="318">
        <f>'[1]E) Fact soc'!G131</f>
        <v>20721620.896863993</v>
      </c>
      <c r="G126" s="315">
        <f>'[1]H) Péréquation directe'!I136</f>
        <v>10739862.061995743</v>
      </c>
      <c r="H126" s="318">
        <f>+'[1]I) Dépenses thématiques'!O125</f>
        <v>-2564048.9357694807</v>
      </c>
      <c r="I126" s="315">
        <f>'[1]K) Plafonnement aide'!J125</f>
        <v>0</v>
      </c>
      <c r="J126" s="318">
        <f>'[1]J) Plafonnement effort'!I125</f>
        <v>0</v>
      </c>
      <c r="K126" s="315">
        <f>'[1]L) Plafonnement taux'!Q126</f>
        <v>0</v>
      </c>
      <c r="L126" s="313">
        <f t="shared" si="3"/>
        <v>28897434.023090255</v>
      </c>
      <c r="M126" s="234">
        <f>'[1]M) Police'!O126</f>
        <v>962124.07883464894</v>
      </c>
      <c r="N126" s="234">
        <f t="shared" si="4"/>
        <v>29859558.101924904</v>
      </c>
      <c r="O126" s="318">
        <f t="shared" si="5"/>
        <v>8175813.1262262622</v>
      </c>
      <c r="P126" s="320"/>
      <c r="Q126" s="529"/>
    </row>
    <row r="127" spans="1:17" s="154" customFormat="1" x14ac:dyDescent="0.25">
      <c r="A127" s="151">
        <f>'[1]B) D RI'!A128</f>
        <v>5607</v>
      </c>
      <c r="B127" s="152" t="str">
        <f>'[1]B) D RI'!B128</f>
        <v>Puidoux</v>
      </c>
      <c r="C127" s="316">
        <f>'[1]B) D RI'!S128</f>
        <v>70</v>
      </c>
      <c r="D127" s="153">
        <f>'[1]B) D RI'!AA128</f>
        <v>2881</v>
      </c>
      <c r="E127" s="314">
        <f>'[1]D) Ecrêtage'!C126</f>
        <v>100918.13995031056</v>
      </c>
      <c r="F127" s="318">
        <f>'[1]E) Fact soc'!G132</f>
        <v>1665842.003055369</v>
      </c>
      <c r="G127" s="315">
        <f>'[1]H) Péréquation directe'!I137</f>
        <v>555653.18405925436</v>
      </c>
      <c r="H127" s="318">
        <f>+'[1]I) Dépenses thématiques'!O126</f>
        <v>-812285.66682718112</v>
      </c>
      <c r="I127" s="315">
        <f>'[1]K) Plafonnement aide'!J126</f>
        <v>0</v>
      </c>
      <c r="J127" s="318">
        <f>'[1]J) Plafonnement effort'!I126</f>
        <v>0</v>
      </c>
      <c r="K127" s="315">
        <f>'[1]L) Plafonnement taux'!Q127</f>
        <v>0</v>
      </c>
      <c r="L127" s="313">
        <f t="shared" si="3"/>
        <v>1409209.5202874423</v>
      </c>
      <c r="M127" s="234">
        <f>'[1]M) Police'!O127</f>
        <v>120317.18762595236</v>
      </c>
      <c r="N127" s="234">
        <f t="shared" si="4"/>
        <v>1529526.7079133946</v>
      </c>
      <c r="O127" s="318">
        <f t="shared" si="5"/>
        <v>-256632.48276792676</v>
      </c>
      <c r="P127" s="320"/>
      <c r="Q127" s="529"/>
    </row>
    <row r="128" spans="1:17" s="154" customFormat="1" x14ac:dyDescent="0.25">
      <c r="A128" s="151">
        <f>'[1]B) D RI'!A129</f>
        <v>5609</v>
      </c>
      <c r="B128" s="152" t="str">
        <f>'[1]B) D RI'!B129</f>
        <v>Rivaz</v>
      </c>
      <c r="C128" s="316">
        <f>'[1]B) D RI'!S129</f>
        <v>63.5</v>
      </c>
      <c r="D128" s="153">
        <f>'[1]B) D RI'!AA129</f>
        <v>342</v>
      </c>
      <c r="E128" s="314">
        <f>'[1]D) Ecrêtage'!C127</f>
        <v>13641.583779527558</v>
      </c>
      <c r="F128" s="318">
        <f>'[1]E) Fact soc'!G133</f>
        <v>219028.34569907488</v>
      </c>
      <c r="G128" s="315">
        <f>'[1]H) Péréquation directe'!I138</f>
        <v>190442.51246051519</v>
      </c>
      <c r="H128" s="318">
        <f>+'[1]I) Dépenses thématiques'!O127</f>
        <v>-51322.807237002104</v>
      </c>
      <c r="I128" s="315">
        <f>'[1]K) Plafonnement aide'!J127</f>
        <v>0</v>
      </c>
      <c r="J128" s="318">
        <f>'[1]J) Plafonnement effort'!I127</f>
        <v>0</v>
      </c>
      <c r="K128" s="315">
        <f>'[1]L) Plafonnement taux'!Q128</f>
        <v>0</v>
      </c>
      <c r="L128" s="313">
        <f t="shared" si="3"/>
        <v>358148.05092258792</v>
      </c>
      <c r="M128" s="234">
        <f>'[1]M) Police'!O128</f>
        <v>16263.845091920113</v>
      </c>
      <c r="N128" s="234">
        <f t="shared" si="4"/>
        <v>374411.89601450803</v>
      </c>
      <c r="O128" s="318">
        <f t="shared" si="5"/>
        <v>139119.7052235131</v>
      </c>
      <c r="P128" s="320"/>
      <c r="Q128" s="529"/>
    </row>
    <row r="129" spans="1:17" s="154" customFormat="1" x14ac:dyDescent="0.25">
      <c r="A129" s="151">
        <f>'[1]B) D RI'!A130</f>
        <v>5610</v>
      </c>
      <c r="B129" s="152" t="str">
        <f>'[1]B) D RI'!B130</f>
        <v>St-Saphorin (Lavaux)</v>
      </c>
      <c r="C129" s="316">
        <f>'[1]B) D RI'!S130</f>
        <v>70</v>
      </c>
      <c r="D129" s="153">
        <f>'[1]B) D RI'!AA130</f>
        <v>384</v>
      </c>
      <c r="E129" s="314">
        <f>'[1]D) Ecrêtage'!C128</f>
        <v>22278.713000000003</v>
      </c>
      <c r="F129" s="318">
        <f>'[1]E) Fact soc'!G134</f>
        <v>406706.50426759897</v>
      </c>
      <c r="G129" s="315">
        <f>'[1]H) Péréquation directe'!I139</f>
        <v>397481.87603997771</v>
      </c>
      <c r="H129" s="318">
        <f>+'[1]I) Dépenses thématiques'!O128</f>
        <v>-22361.484978991393</v>
      </c>
      <c r="I129" s="315">
        <f>'[1]K) Plafonnement aide'!J128</f>
        <v>0</v>
      </c>
      <c r="J129" s="318">
        <f>'[1]J) Plafonnement effort'!I128</f>
        <v>0</v>
      </c>
      <c r="K129" s="315">
        <f>'[1]L) Plafonnement taux'!Q129</f>
        <v>0</v>
      </c>
      <c r="L129" s="313">
        <f t="shared" si="3"/>
        <v>781826.89532858517</v>
      </c>
      <c r="M129" s="234">
        <f>'[1]M) Police'!O129</f>
        <v>26561.251459901636</v>
      </c>
      <c r="N129" s="234">
        <f t="shared" si="4"/>
        <v>808388.14678848686</v>
      </c>
      <c r="O129" s="318">
        <f t="shared" si="5"/>
        <v>375120.39106098632</v>
      </c>
      <c r="P129" s="320"/>
      <c r="Q129" s="529"/>
    </row>
    <row r="130" spans="1:17" s="154" customFormat="1" x14ac:dyDescent="0.25">
      <c r="A130" s="151">
        <f>'[1]B) D RI'!A131</f>
        <v>5611</v>
      </c>
      <c r="B130" s="152" t="str">
        <f>'[1]B) D RI'!B131</f>
        <v>Savigny</v>
      </c>
      <c r="C130" s="316">
        <f>'[1]B) D RI'!S131</f>
        <v>69</v>
      </c>
      <c r="D130" s="153">
        <f>'[1]B) D RI'!AA131</f>
        <v>3359</v>
      </c>
      <c r="E130" s="314">
        <f>'[1]D) Ecrêtage'!C129</f>
        <v>134929.74355072467</v>
      </c>
      <c r="F130" s="318">
        <f>'[1]E) Fact soc'!G135</f>
        <v>2637448.846702815</v>
      </c>
      <c r="G130" s="315">
        <f>'[1]H) Péréquation directe'!I140</f>
        <v>1249549.1262238536</v>
      </c>
      <c r="H130" s="318">
        <f>+'[1]I) Dépenses thématiques'!O129</f>
        <v>-492701.99137578084</v>
      </c>
      <c r="I130" s="315">
        <f>'[1]K) Plafonnement aide'!J129</f>
        <v>0</v>
      </c>
      <c r="J130" s="318">
        <f>'[1]J) Plafonnement effort'!I129</f>
        <v>0</v>
      </c>
      <c r="K130" s="315">
        <f>'[1]L) Plafonnement taux'!Q130</f>
        <v>0</v>
      </c>
      <c r="L130" s="313">
        <f t="shared" si="3"/>
        <v>3394295.9815508882</v>
      </c>
      <c r="M130" s="234">
        <f>'[1]M) Police'!O130</f>
        <v>160866.69135110447</v>
      </c>
      <c r="N130" s="234">
        <f t="shared" si="4"/>
        <v>3555162.6729019927</v>
      </c>
      <c r="O130" s="318">
        <f t="shared" si="5"/>
        <v>756847.13484807266</v>
      </c>
      <c r="P130" s="320"/>
      <c r="Q130" s="529"/>
    </row>
    <row r="131" spans="1:17" s="154" customFormat="1" x14ac:dyDescent="0.25">
      <c r="A131" s="151">
        <f>'[1]B) D RI'!A132</f>
        <v>5613</v>
      </c>
      <c r="B131" s="152" t="str">
        <f>'[1]B) D RI'!B132</f>
        <v>Bourg-en-Lavaux</v>
      </c>
      <c r="C131" s="316">
        <f>'[1]B) D RI'!S132</f>
        <v>64</v>
      </c>
      <c r="D131" s="153">
        <f>'[1]B) D RI'!AA132</f>
        <v>5345</v>
      </c>
      <c r="E131" s="314">
        <f>'[1]D) Ecrêtage'!C130</f>
        <v>333126.87406250008</v>
      </c>
      <c r="F131" s="318">
        <f>'[1]E) Fact soc'!G136</f>
        <v>7124988.4752306249</v>
      </c>
      <c r="G131" s="315">
        <f>'[1]H) Péréquation directe'!I141</f>
        <v>4622545.0732493224</v>
      </c>
      <c r="H131" s="318">
        <f>+'[1]I) Dépenses thématiques'!O130</f>
        <v>0</v>
      </c>
      <c r="I131" s="315">
        <f>'[1]K) Plafonnement aide'!J130</f>
        <v>0</v>
      </c>
      <c r="J131" s="318">
        <f>'[1]J) Plafonnement effort'!I130</f>
        <v>0</v>
      </c>
      <c r="K131" s="315">
        <f>'[1]L) Plafonnement taux'!Q131</f>
        <v>0</v>
      </c>
      <c r="L131" s="313">
        <f t="shared" si="3"/>
        <v>11747533.548479948</v>
      </c>
      <c r="M131" s="234">
        <f>'[1]M) Police'!O131</f>
        <v>397162.3796233224</v>
      </c>
      <c r="N131" s="234">
        <f t="shared" si="4"/>
        <v>12144695.92810327</v>
      </c>
      <c r="O131" s="318">
        <f t="shared" si="5"/>
        <v>4622545.0732493224</v>
      </c>
      <c r="P131" s="320"/>
      <c r="Q131" s="529"/>
    </row>
    <row r="132" spans="1:17" s="154" customFormat="1" x14ac:dyDescent="0.25">
      <c r="A132" s="151">
        <f>'[1]B) D RI'!A133</f>
        <v>5621</v>
      </c>
      <c r="B132" s="152" t="str">
        <f>'[1]B) D RI'!B133</f>
        <v>Aclens</v>
      </c>
      <c r="C132" s="316">
        <f>'[1]B) D RI'!S133</f>
        <v>62</v>
      </c>
      <c r="D132" s="153">
        <f>'[1]B) D RI'!AA133</f>
        <v>539</v>
      </c>
      <c r="E132" s="314">
        <f>'[1]D) Ecrêtage'!C131</f>
        <v>27514.906070381232</v>
      </c>
      <c r="F132" s="318">
        <f>'[1]E) Fact soc'!G137</f>
        <v>572991.88423543901</v>
      </c>
      <c r="G132" s="315">
        <f>'[1]H) Péréquation directe'!I142</f>
        <v>482768.3125547283</v>
      </c>
      <c r="H132" s="318">
        <f>+'[1]I) Dépenses thématiques'!O131</f>
        <v>-3174.2434802283024</v>
      </c>
      <c r="I132" s="315">
        <f>'[1]K) Plafonnement aide'!J131</f>
        <v>0</v>
      </c>
      <c r="J132" s="318">
        <f>'[1]J) Plafonnement effort'!I131</f>
        <v>0</v>
      </c>
      <c r="K132" s="315">
        <f>'[1]L) Plafonnement taux'!Q132</f>
        <v>0</v>
      </c>
      <c r="L132" s="313">
        <f t="shared" si="3"/>
        <v>1052585.953309939</v>
      </c>
      <c r="M132" s="234">
        <f>'[1]M) Police'!O132</f>
        <v>77758.261538398729</v>
      </c>
      <c r="N132" s="234">
        <f t="shared" si="4"/>
        <v>1130344.2148483377</v>
      </c>
      <c r="O132" s="318">
        <f t="shared" si="5"/>
        <v>479594.0690745</v>
      </c>
      <c r="P132" s="320"/>
      <c r="Q132" s="529"/>
    </row>
    <row r="133" spans="1:17" s="154" customFormat="1" x14ac:dyDescent="0.25">
      <c r="A133" s="151">
        <f>'[1]B) D RI'!A134</f>
        <v>5622</v>
      </c>
      <c r="B133" s="152" t="str">
        <f>'[1]B) D RI'!B134</f>
        <v>Bremblens</v>
      </c>
      <c r="C133" s="316">
        <f>'[1]B) D RI'!S134</f>
        <v>66</v>
      </c>
      <c r="D133" s="153">
        <f>'[1]B) D RI'!AA134</f>
        <v>577</v>
      </c>
      <c r="E133" s="314">
        <f>'[1]D) Ecrêtage'!C132</f>
        <v>27505.151666666668</v>
      </c>
      <c r="F133" s="318">
        <f>'[1]E) Fact soc'!G138</f>
        <v>529390.18377926096</v>
      </c>
      <c r="G133" s="315">
        <f>'[1]H) Péréquation directe'!I143</f>
        <v>477799.26585449628</v>
      </c>
      <c r="H133" s="318">
        <f>+'[1]I) Dépenses thématiques'!O132</f>
        <v>0</v>
      </c>
      <c r="I133" s="315">
        <f>'[1]K) Plafonnement aide'!J132</f>
        <v>0</v>
      </c>
      <c r="J133" s="318">
        <f>'[1]J) Plafonnement effort'!I132</f>
        <v>0</v>
      </c>
      <c r="K133" s="315">
        <f>'[1]L) Plafonnement taux'!Q133</f>
        <v>0</v>
      </c>
      <c r="L133" s="313">
        <f t="shared" si="3"/>
        <v>1007189.4496337572</v>
      </c>
      <c r="M133" s="234">
        <f>'[1]M) Police'!O133</f>
        <v>83213.300851244407</v>
      </c>
      <c r="N133" s="234">
        <f t="shared" si="4"/>
        <v>1090402.7504850016</v>
      </c>
      <c r="O133" s="318">
        <f t="shared" si="5"/>
        <v>477799.26585449628</v>
      </c>
      <c r="P133" s="320"/>
      <c r="Q133" s="529"/>
    </row>
    <row r="134" spans="1:17" s="154" customFormat="1" x14ac:dyDescent="0.25">
      <c r="A134" s="151">
        <f>'[1]B) D RI'!A135</f>
        <v>5623</v>
      </c>
      <c r="B134" s="152" t="str">
        <f>'[1]B) D RI'!B135</f>
        <v>Buchillon</v>
      </c>
      <c r="C134" s="316">
        <f>'[1]B) D RI'!S135</f>
        <v>53</v>
      </c>
      <c r="D134" s="153">
        <f>'[1]B) D RI'!AA135</f>
        <v>686</v>
      </c>
      <c r="E134" s="314">
        <f>'[1]D) Ecrêtage'!C133</f>
        <v>89779.897358490547</v>
      </c>
      <c r="F134" s="318">
        <f>'[1]E) Fact soc'!G139</f>
        <v>2783607.0210639983</v>
      </c>
      <c r="G134" s="315">
        <f>'[1]H) Péréquation directe'!I144</f>
        <v>1710017.3178248792</v>
      </c>
      <c r="H134" s="318">
        <f>+'[1]I) Dépenses thématiques'!O133</f>
        <v>0</v>
      </c>
      <c r="I134" s="315">
        <f>'[1]K) Plafonnement aide'!J133</f>
        <v>0</v>
      </c>
      <c r="J134" s="318">
        <f>'[1]J) Plafonnement effort'!I133</f>
        <v>-453528.95775680285</v>
      </c>
      <c r="K134" s="315">
        <f>'[1]L) Plafonnement taux'!Q134</f>
        <v>0</v>
      </c>
      <c r="L134" s="313">
        <f t="shared" si="3"/>
        <v>4040095.3811320751</v>
      </c>
      <c r="M134" s="234">
        <f>'[1]M) Police'!O134</f>
        <v>107037.88992582407</v>
      </c>
      <c r="N134" s="234">
        <f t="shared" si="4"/>
        <v>4147133.2710578991</v>
      </c>
      <c r="O134" s="318">
        <f t="shared" si="5"/>
        <v>1256488.3600680763</v>
      </c>
      <c r="P134" s="320"/>
      <c r="Q134" s="529"/>
    </row>
    <row r="135" spans="1:17" s="154" customFormat="1" x14ac:dyDescent="0.25">
      <c r="A135" s="151">
        <f>'[1]B) D RI'!A136</f>
        <v>5624</v>
      </c>
      <c r="B135" s="152" t="str">
        <f>'[1]B) D RI'!B136</f>
        <v>Bussigny</v>
      </c>
      <c r="C135" s="316">
        <f>'[1]B) D RI'!S136</f>
        <v>64</v>
      </c>
      <c r="D135" s="153">
        <f>'[1]B) D RI'!AA136</f>
        <v>8962</v>
      </c>
      <c r="E135" s="314">
        <f>'[1]D) Ecrêtage'!C134</f>
        <v>397950.93625000003</v>
      </c>
      <c r="F135" s="318">
        <f>'[1]E) Fact soc'!G140</f>
        <v>7778192.9398488672</v>
      </c>
      <c r="G135" s="315">
        <f>'[1]H) Péréquation directe'!I145</f>
        <v>3342940.6752898339</v>
      </c>
      <c r="H135" s="318">
        <f>+'[1]I) Dépenses thématiques'!O134</f>
        <v>-1048032.4860593491</v>
      </c>
      <c r="I135" s="315">
        <f>'[1]K) Plafonnement aide'!J134</f>
        <v>0</v>
      </c>
      <c r="J135" s="318">
        <f>'[1]J) Plafonnement effort'!I134</f>
        <v>0</v>
      </c>
      <c r="K135" s="315">
        <f>'[1]L) Plafonnement taux'!Q135</f>
        <v>0</v>
      </c>
      <c r="L135" s="313">
        <f t="shared" ref="L135:L198" si="6">F135+G135+H135+I135+J135+K135</f>
        <v>10073101.129079353</v>
      </c>
      <c r="M135" s="234">
        <f>'[1]M) Police'!O135</f>
        <v>474447.28456439718</v>
      </c>
      <c r="N135" s="234">
        <f t="shared" ref="N135:N198" si="7">L135+M135</f>
        <v>10547548.413643749</v>
      </c>
      <c r="O135" s="318">
        <f t="shared" ref="O135:O198" si="8">SUM(G135:K135)</f>
        <v>2294908.1892304849</v>
      </c>
      <c r="P135" s="320"/>
      <c r="Q135" s="529"/>
    </row>
    <row r="136" spans="1:17" s="154" customFormat="1" x14ac:dyDescent="0.25">
      <c r="A136" s="151">
        <f>'[1]B) D RI'!A137</f>
        <v>5625</v>
      </c>
      <c r="B136" s="152" t="str">
        <f>'[1]B) D RI'!B137</f>
        <v>Bussy-Chardonney</v>
      </c>
      <c r="C136" s="316">
        <f>'[1]B) D RI'!S137</f>
        <v>77</v>
      </c>
      <c r="D136" s="153">
        <f>'[1]B) D RI'!AA137</f>
        <v>384</v>
      </c>
      <c r="E136" s="314">
        <f>'[1]D) Ecrêtage'!C135</f>
        <v>16807.989913419911</v>
      </c>
      <c r="F136" s="318">
        <f>'[1]E) Fact soc'!G141</f>
        <v>290489.98598669027</v>
      </c>
      <c r="G136" s="315">
        <f>'[1]H) Péréquation directe'!I146</f>
        <v>257796.7725847199</v>
      </c>
      <c r="H136" s="318">
        <f>+'[1]I) Dépenses thématiques'!O135</f>
        <v>-34533.70060020563</v>
      </c>
      <c r="I136" s="315">
        <f>'[1]K) Plafonnement aide'!J135</f>
        <v>0</v>
      </c>
      <c r="J136" s="318">
        <f>'[1]J) Plafonnement effort'!I135</f>
        <v>0</v>
      </c>
      <c r="K136" s="315">
        <f>'[1]L) Plafonnement taux'!Q136</f>
        <v>0</v>
      </c>
      <c r="L136" s="313">
        <f t="shared" si="6"/>
        <v>513753.05797120457</v>
      </c>
      <c r="M136" s="234">
        <f>'[1]M) Police'!O136</f>
        <v>51050.133393803626</v>
      </c>
      <c r="N136" s="234">
        <f t="shared" si="7"/>
        <v>564803.19136500824</v>
      </c>
      <c r="O136" s="318">
        <f t="shared" si="8"/>
        <v>223263.07198451427</v>
      </c>
      <c r="P136" s="320"/>
      <c r="Q136" s="529"/>
    </row>
    <row r="137" spans="1:17" s="154" customFormat="1" x14ac:dyDescent="0.25">
      <c r="A137" s="151">
        <f>'[1]B) D RI'!A138</f>
        <v>5627</v>
      </c>
      <c r="B137" s="152" t="str">
        <f>'[1]B) D RI'!B138</f>
        <v>Chavannes-près-Renens</v>
      </c>
      <c r="C137" s="316">
        <f>'[1]B) D RI'!S138</f>
        <v>79</v>
      </c>
      <c r="D137" s="153">
        <f>'[1]B) D RI'!AA138</f>
        <v>7887</v>
      </c>
      <c r="E137" s="314">
        <f>'[1]D) Ecrêtage'!C136</f>
        <v>211976.34008438818</v>
      </c>
      <c r="F137" s="318">
        <f>'[1]E) Fact soc'!G142</f>
        <v>4532938.7334451936</v>
      </c>
      <c r="G137" s="315">
        <f>'[1]H) Péréquation directe'!I147</f>
        <v>-3280358.7566900114</v>
      </c>
      <c r="H137" s="318">
        <f>+'[1]I) Dépenses thématiques'!O136</f>
        <v>-1313403.0464514729</v>
      </c>
      <c r="I137" s="315">
        <f>'[1]K) Plafonnement aide'!J136</f>
        <v>0</v>
      </c>
      <c r="J137" s="318">
        <f>'[1]J) Plafonnement effort'!I136</f>
        <v>0</v>
      </c>
      <c r="K137" s="315">
        <f>'[1]L) Plafonnement taux'!Q137</f>
        <v>0</v>
      </c>
      <c r="L137" s="313">
        <f t="shared" si="6"/>
        <v>-60823.069696290651</v>
      </c>
      <c r="M137" s="234">
        <f>'[1]M) Police'!O137</f>
        <v>252723.61435470087</v>
      </c>
      <c r="N137" s="234">
        <f t="shared" si="7"/>
        <v>191900.54465841022</v>
      </c>
      <c r="O137" s="318">
        <f t="shared" si="8"/>
        <v>-4593761.803141484</v>
      </c>
      <c r="P137" s="320"/>
      <c r="Q137" s="529"/>
    </row>
    <row r="138" spans="1:17" s="154" customFormat="1" x14ac:dyDescent="0.25">
      <c r="A138" s="151">
        <f>'[1]B) D RI'!A139</f>
        <v>5628</v>
      </c>
      <c r="B138" s="152" t="str">
        <f>'[1]B) D RI'!B139</f>
        <v>Chigny</v>
      </c>
      <c r="C138" s="316">
        <f>'[1]B) D RI'!S139</f>
        <v>62</v>
      </c>
      <c r="D138" s="153">
        <f>'[1]B) D RI'!AA139</f>
        <v>382</v>
      </c>
      <c r="E138" s="314">
        <f>'[1]D) Ecrêtage'!C137</f>
        <v>22390.960806451614</v>
      </c>
      <c r="F138" s="318">
        <f>'[1]E) Fact soc'!G143</f>
        <v>467814.25288006134</v>
      </c>
      <c r="G138" s="315">
        <f>'[1]H) Péréquation directe'!I148</f>
        <v>399978.84075358987</v>
      </c>
      <c r="H138" s="318">
        <f>+'[1]I) Dépenses thématiques'!O137</f>
        <v>0</v>
      </c>
      <c r="I138" s="315">
        <f>'[1]K) Plafonnement aide'!J137</f>
        <v>0</v>
      </c>
      <c r="J138" s="318">
        <f>'[1]J) Plafonnement effort'!I137</f>
        <v>0</v>
      </c>
      <c r="K138" s="315">
        <f>'[1]L) Plafonnement taux'!Q138</f>
        <v>0</v>
      </c>
      <c r="L138" s="313">
        <f t="shared" si="6"/>
        <v>867793.09363365127</v>
      </c>
      <c r="M138" s="234">
        <f>'[1]M) Police'!O138</f>
        <v>60076.020732424004</v>
      </c>
      <c r="N138" s="234">
        <f t="shared" si="7"/>
        <v>927869.11436607526</v>
      </c>
      <c r="O138" s="318">
        <f t="shared" si="8"/>
        <v>399978.84075358987</v>
      </c>
      <c r="P138" s="320"/>
      <c r="Q138" s="529"/>
    </row>
    <row r="139" spans="1:17" s="154" customFormat="1" x14ac:dyDescent="0.25">
      <c r="A139" s="151">
        <f>'[1]B) D RI'!A140</f>
        <v>5629</v>
      </c>
      <c r="B139" s="152" t="str">
        <f>'[1]B) D RI'!B140</f>
        <v>Clarmont</v>
      </c>
      <c r="C139" s="316">
        <f>'[1]B) D RI'!S140</f>
        <v>75</v>
      </c>
      <c r="D139" s="153">
        <f>'[1]B) D RI'!AA140</f>
        <v>191</v>
      </c>
      <c r="E139" s="314">
        <f>'[1]D) Ecrêtage'!C138</f>
        <v>6767.1243999999997</v>
      </c>
      <c r="F139" s="318">
        <f>'[1]E) Fact soc'!G144</f>
        <v>150763.45955791863</v>
      </c>
      <c r="G139" s="315">
        <f>'[1]H) Péréquation directe'!I149</f>
        <v>61644.395063556934</v>
      </c>
      <c r="H139" s="318">
        <f>+'[1]I) Dépenses thématiques'!O138</f>
        <v>-46869.637103254834</v>
      </c>
      <c r="I139" s="315">
        <f>'[1]K) Plafonnement aide'!J138</f>
        <v>0</v>
      </c>
      <c r="J139" s="318">
        <f>'[1]J) Plafonnement effort'!I138</f>
        <v>0</v>
      </c>
      <c r="K139" s="315">
        <f>'[1]L) Plafonnement taux'!Q139</f>
        <v>0</v>
      </c>
      <c r="L139" s="313">
        <f t="shared" si="6"/>
        <v>165538.21751822071</v>
      </c>
      <c r="M139" s="234">
        <f>'[1]M) Police'!O139</f>
        <v>20608.143592013523</v>
      </c>
      <c r="N139" s="234">
        <f t="shared" si="7"/>
        <v>186146.36111023423</v>
      </c>
      <c r="O139" s="318">
        <f t="shared" si="8"/>
        <v>14774.7579603021</v>
      </c>
      <c r="P139" s="320"/>
      <c r="Q139" s="529"/>
    </row>
    <row r="140" spans="1:17" s="154" customFormat="1" x14ac:dyDescent="0.25">
      <c r="A140" s="151">
        <f>'[1]B) D RI'!A141</f>
        <v>5631</v>
      </c>
      <c r="B140" s="152" t="str">
        <f>'[1]B) D RI'!B141</f>
        <v>Denens</v>
      </c>
      <c r="C140" s="316">
        <f>'[1]B) D RI'!S141</f>
        <v>70</v>
      </c>
      <c r="D140" s="153">
        <f>'[1]B) D RI'!AA141</f>
        <v>742</v>
      </c>
      <c r="E140" s="314">
        <f>'[1]D) Ecrêtage'!C139</f>
        <v>51475.873428571431</v>
      </c>
      <c r="F140" s="318">
        <f>'[1]E) Fact soc'!G145</f>
        <v>1105993.3915390924</v>
      </c>
      <c r="G140" s="315">
        <f>'[1]H) Péréquation directe'!I150</f>
        <v>936645.33940817311</v>
      </c>
      <c r="H140" s="318">
        <f>+'[1]I) Dépenses thématiques'!O139</f>
        <v>0</v>
      </c>
      <c r="I140" s="315">
        <f>'[1]K) Plafonnement aide'!J139</f>
        <v>0</v>
      </c>
      <c r="J140" s="318">
        <f>'[1]J) Plafonnement effort'!I139</f>
        <v>0</v>
      </c>
      <c r="K140" s="315">
        <f>'[1]L) Plafonnement taux'!Q140</f>
        <v>0</v>
      </c>
      <c r="L140" s="313">
        <f t="shared" si="6"/>
        <v>2042638.7309472654</v>
      </c>
      <c r="M140" s="234">
        <f>'[1]M) Police'!O140</f>
        <v>126210.27925419684</v>
      </c>
      <c r="N140" s="234">
        <f t="shared" si="7"/>
        <v>2168849.0102014621</v>
      </c>
      <c r="O140" s="318">
        <f t="shared" si="8"/>
        <v>936645.33940817311</v>
      </c>
      <c r="P140" s="320"/>
      <c r="Q140" s="529"/>
    </row>
    <row r="141" spans="1:17" s="154" customFormat="1" x14ac:dyDescent="0.25">
      <c r="A141" s="151">
        <f>'[1]B) D RI'!A142</f>
        <v>5632</v>
      </c>
      <c r="B141" s="152" t="str">
        <f>'[1]B) D RI'!B142</f>
        <v>Denges</v>
      </c>
      <c r="C141" s="316">
        <f>'[1]B) D RI'!S142</f>
        <v>62</v>
      </c>
      <c r="D141" s="153">
        <f>'[1]B) D RI'!AA142</f>
        <v>1609</v>
      </c>
      <c r="E141" s="314">
        <f>'[1]D) Ecrêtage'!C140</f>
        <v>72992.009193548365</v>
      </c>
      <c r="F141" s="318">
        <f>'[1]E) Fact soc'!G146</f>
        <v>1244384.0841051333</v>
      </c>
      <c r="G141" s="315">
        <f>'[1]H) Péréquation directe'!I151</f>
        <v>1077379.5643599471</v>
      </c>
      <c r="H141" s="318">
        <f>+'[1]I) Dépenses thématiques'!O140</f>
        <v>-158736.88762351027</v>
      </c>
      <c r="I141" s="315">
        <f>'[1]K) Plafonnement aide'!J140</f>
        <v>0</v>
      </c>
      <c r="J141" s="318">
        <f>'[1]J) Plafonnement effort'!I140</f>
        <v>0</v>
      </c>
      <c r="K141" s="315">
        <f>'[1]L) Plafonnement taux'!Q141</f>
        <v>0</v>
      </c>
      <c r="L141" s="313">
        <f t="shared" si="6"/>
        <v>2163026.7608415699</v>
      </c>
      <c r="M141" s="234">
        <f>'[1]M) Police'!O141</f>
        <v>221175.23607922631</v>
      </c>
      <c r="N141" s="234">
        <f t="shared" si="7"/>
        <v>2384201.9969207961</v>
      </c>
      <c r="O141" s="318">
        <f t="shared" si="8"/>
        <v>918642.67673643678</v>
      </c>
      <c r="P141" s="320"/>
      <c r="Q141" s="529"/>
    </row>
    <row r="142" spans="1:17" s="154" customFormat="1" x14ac:dyDescent="0.25">
      <c r="A142" s="151">
        <f>'[1]B) D RI'!A143</f>
        <v>5633</v>
      </c>
      <c r="B142" s="152" t="str">
        <f>'[1]B) D RI'!B143</f>
        <v>Echandens</v>
      </c>
      <c r="C142" s="316">
        <f>'[1]B) D RI'!S143</f>
        <v>62</v>
      </c>
      <c r="D142" s="153">
        <f>'[1]B) D RI'!AA143</f>
        <v>2739</v>
      </c>
      <c r="E142" s="314">
        <f>'[1]D) Ecrêtage'!C141</f>
        <v>160902.30048387093</v>
      </c>
      <c r="F142" s="318">
        <f>'[1]E) Fact soc'!G147</f>
        <v>3100696.3006851585</v>
      </c>
      <c r="G142" s="315">
        <f>'[1]H) Péréquation directe'!I152</f>
        <v>2481782.1991851283</v>
      </c>
      <c r="H142" s="318">
        <f>+'[1]I) Dépenses thématiques'!O141</f>
        <v>-551586.73815527325</v>
      </c>
      <c r="I142" s="315">
        <f>'[1]K) Plafonnement aide'!J141</f>
        <v>0</v>
      </c>
      <c r="J142" s="318">
        <f>'[1]J) Plafonnement effort'!I141</f>
        <v>0</v>
      </c>
      <c r="K142" s="315">
        <f>'[1]L) Plafonnement taux'!Q142</f>
        <v>0</v>
      </c>
      <c r="L142" s="313">
        <f t="shared" si="6"/>
        <v>5030891.7617150135</v>
      </c>
      <c r="M142" s="234">
        <f>'[1]M) Police'!O142</f>
        <v>431178.45364897471</v>
      </c>
      <c r="N142" s="234">
        <f t="shared" si="7"/>
        <v>5462070.2153639887</v>
      </c>
      <c r="O142" s="318">
        <f t="shared" si="8"/>
        <v>1930195.4610298551</v>
      </c>
      <c r="P142" s="320"/>
      <c r="Q142" s="529"/>
    </row>
    <row r="143" spans="1:17" s="154" customFormat="1" x14ac:dyDescent="0.25">
      <c r="A143" s="151">
        <f>'[1]B) D RI'!A144</f>
        <v>5634</v>
      </c>
      <c r="B143" s="152" t="str">
        <f>'[1]B) D RI'!B144</f>
        <v>Echichens</v>
      </c>
      <c r="C143" s="316">
        <f>'[1]B) D RI'!S144</f>
        <v>68</v>
      </c>
      <c r="D143" s="153">
        <f>'[1]B) D RI'!AA144</f>
        <v>3077</v>
      </c>
      <c r="E143" s="314">
        <f>'[1]D) Ecrêtage'!C142</f>
        <v>173253.00779411764</v>
      </c>
      <c r="F143" s="318">
        <f>'[1]E) Fact soc'!G148</f>
        <v>3585007.2110498417</v>
      </c>
      <c r="G143" s="315">
        <f>'[1]H) Péréquation directe'!I153</f>
        <v>2598375.8137741447</v>
      </c>
      <c r="H143" s="318">
        <f>+'[1]I) Dépenses thématiques'!O142</f>
        <v>0</v>
      </c>
      <c r="I143" s="315">
        <f>'[1]K) Plafonnement aide'!J142</f>
        <v>0</v>
      </c>
      <c r="J143" s="318">
        <f>'[1]J) Plafonnement effort'!I142</f>
        <v>0</v>
      </c>
      <c r="K143" s="315">
        <f>'[1]L) Plafonnement taux'!Q143</f>
        <v>0</v>
      </c>
      <c r="L143" s="313">
        <f t="shared" si="6"/>
        <v>6183383.024823986</v>
      </c>
      <c r="M143" s="234">
        <f>'[1]M) Police'!O143</f>
        <v>475439.30181207671</v>
      </c>
      <c r="N143" s="234">
        <f t="shared" si="7"/>
        <v>6658822.3266360629</v>
      </c>
      <c r="O143" s="318">
        <f t="shared" si="8"/>
        <v>2598375.8137741447</v>
      </c>
      <c r="P143" s="320"/>
      <c r="Q143" s="529"/>
    </row>
    <row r="144" spans="1:17" s="154" customFormat="1" x14ac:dyDescent="0.25">
      <c r="A144" s="151">
        <f>'[1]B) D RI'!A145</f>
        <v>5635</v>
      </c>
      <c r="B144" s="152" t="str">
        <f>'[1]B) D RI'!B145</f>
        <v>Ecublens</v>
      </c>
      <c r="C144" s="316">
        <f>'[1]B) D RI'!S145</f>
        <v>64</v>
      </c>
      <c r="D144" s="153">
        <f>'[1]B) D RI'!AA145</f>
        <v>13089</v>
      </c>
      <c r="E144" s="314">
        <f>'[1]D) Ecrêtage'!C143</f>
        <v>489428.14554687496</v>
      </c>
      <c r="F144" s="318">
        <f>'[1]E) Fact soc'!G149</f>
        <v>9118647.4423422944</v>
      </c>
      <c r="G144" s="315">
        <f>'[1]H) Péréquation directe'!I154</f>
        <v>-177658.21355390549</v>
      </c>
      <c r="H144" s="318">
        <f>+'[1]I) Dépenses thématiques'!O143</f>
        <v>-2895169.738119537</v>
      </c>
      <c r="I144" s="315">
        <f>'[1]K) Plafonnement aide'!J143</f>
        <v>0</v>
      </c>
      <c r="J144" s="318">
        <f>'[1]J) Plafonnement effort'!I143</f>
        <v>0</v>
      </c>
      <c r="K144" s="315">
        <f>'[1]L) Plafonnement taux'!Q144</f>
        <v>0</v>
      </c>
      <c r="L144" s="313">
        <f t="shared" si="6"/>
        <v>6045819.4906688519</v>
      </c>
      <c r="M144" s="234">
        <f>'[1]M) Police'!O144</f>
        <v>583508.7531952085</v>
      </c>
      <c r="N144" s="234">
        <f t="shared" si="7"/>
        <v>6629328.2438640604</v>
      </c>
      <c r="O144" s="318">
        <f t="shared" si="8"/>
        <v>-3072827.9516734425</v>
      </c>
      <c r="P144" s="320"/>
      <c r="Q144" s="529"/>
    </row>
    <row r="145" spans="1:17" s="154" customFormat="1" x14ac:dyDescent="0.25">
      <c r="A145" s="151">
        <f>'[1]B) D RI'!A146</f>
        <v>5636</v>
      </c>
      <c r="B145" s="152" t="str">
        <f>'[1]B) D RI'!B146</f>
        <v>Etoy</v>
      </c>
      <c r="C145" s="316">
        <f>'[1]B) D RI'!S146</f>
        <v>61</v>
      </c>
      <c r="D145" s="153">
        <f>'[1]B) D RI'!AA146</f>
        <v>2933</v>
      </c>
      <c r="E145" s="314">
        <f>'[1]D) Ecrêtage'!C144</f>
        <v>176252.1018032787</v>
      </c>
      <c r="F145" s="318">
        <f>'[1]E) Fact soc'!G150</f>
        <v>3759596.492169857</v>
      </c>
      <c r="G145" s="315">
        <f>'[1]H) Péréquation directe'!I155</f>
        <v>2720639.380326075</v>
      </c>
      <c r="H145" s="318">
        <f>+'[1]I) Dépenses thématiques'!O144</f>
        <v>-182306.13757619794</v>
      </c>
      <c r="I145" s="315">
        <f>'[1]K) Plafonnement aide'!J144</f>
        <v>0</v>
      </c>
      <c r="J145" s="318">
        <f>'[1]J) Plafonnement effort'!I144</f>
        <v>0</v>
      </c>
      <c r="K145" s="315">
        <f>'[1]L) Plafonnement taux'!Q145</f>
        <v>0</v>
      </c>
      <c r="L145" s="313">
        <f t="shared" si="6"/>
        <v>6297929.7349197343</v>
      </c>
      <c r="M145" s="234">
        <f>'[1]M) Police'!O145</f>
        <v>466431.50568119675</v>
      </c>
      <c r="N145" s="234">
        <f t="shared" si="7"/>
        <v>6764361.2406009315</v>
      </c>
      <c r="O145" s="318">
        <f t="shared" si="8"/>
        <v>2538333.2427498773</v>
      </c>
      <c r="P145" s="320"/>
      <c r="Q145" s="529"/>
    </row>
    <row r="146" spans="1:17" s="154" customFormat="1" x14ac:dyDescent="0.25">
      <c r="A146" s="151">
        <f>'[1]B) D RI'!A147</f>
        <v>5637</v>
      </c>
      <c r="B146" s="152" t="str">
        <f>'[1]B) D RI'!B147</f>
        <v>Lavigny</v>
      </c>
      <c r="C146" s="316">
        <f>'[1]B) D RI'!S147</f>
        <v>74.5</v>
      </c>
      <c r="D146" s="153">
        <f>'[1]B) D RI'!AA147</f>
        <v>992</v>
      </c>
      <c r="E146" s="314">
        <f>'[1]D) Ecrêtage'!C145</f>
        <v>37192.899776286358</v>
      </c>
      <c r="F146" s="318">
        <f>'[1]E) Fact soc'!G151</f>
        <v>666471.21109418862</v>
      </c>
      <c r="G146" s="315">
        <f>'[1]H) Péréquation directe'!I156</f>
        <v>409508.66897248948</v>
      </c>
      <c r="H146" s="318">
        <f>+'[1]I) Dépenses thématiques'!O145</f>
        <v>-183051.05411167315</v>
      </c>
      <c r="I146" s="315">
        <f>'[1]K) Plafonnement aide'!J145</f>
        <v>0</v>
      </c>
      <c r="J146" s="318">
        <f>'[1]J) Plafonnement effort'!I145</f>
        <v>0</v>
      </c>
      <c r="K146" s="315">
        <f>'[1]L) Plafonnement taux'!Q146</f>
        <v>0</v>
      </c>
      <c r="L146" s="313">
        <f t="shared" si="6"/>
        <v>892928.82595500501</v>
      </c>
      <c r="M146" s="234">
        <f>'[1]M) Police'!O146</f>
        <v>113495.68612539148</v>
      </c>
      <c r="N146" s="234">
        <f t="shared" si="7"/>
        <v>1006424.5120803965</v>
      </c>
      <c r="O146" s="318">
        <f t="shared" si="8"/>
        <v>226457.61486081633</v>
      </c>
      <c r="P146" s="320"/>
      <c r="Q146" s="529"/>
    </row>
    <row r="147" spans="1:17" s="154" customFormat="1" x14ac:dyDescent="0.25">
      <c r="A147" s="151">
        <f>'[1]B) D RI'!A148</f>
        <v>5638</v>
      </c>
      <c r="B147" s="152" t="str">
        <f>'[1]B) D RI'!B148</f>
        <v>Lonay</v>
      </c>
      <c r="C147" s="316">
        <f>'[1]B) D RI'!S148</f>
        <v>55</v>
      </c>
      <c r="D147" s="153">
        <f>'[1]B) D RI'!AA148</f>
        <v>2676</v>
      </c>
      <c r="E147" s="314">
        <f>'[1]D) Ecrêtage'!C146</f>
        <v>157137.98454545456</v>
      </c>
      <c r="F147" s="318">
        <f>'[1]E) Fact soc'!G152</f>
        <v>4319933.9244946996</v>
      </c>
      <c r="G147" s="315">
        <f>'[1]H) Péréquation directe'!I157</f>
        <v>2428631.6092328168</v>
      </c>
      <c r="H147" s="318">
        <f>+'[1]I) Dépenses thématiques'!O146</f>
        <v>-384623.2179924919</v>
      </c>
      <c r="I147" s="315">
        <f>'[1]K) Plafonnement aide'!J146</f>
        <v>0</v>
      </c>
      <c r="J147" s="318">
        <f>'[1]J) Plafonnement effort'!I146</f>
        <v>0</v>
      </c>
      <c r="K147" s="315">
        <f>'[1]L) Plafonnement taux'!Q147</f>
        <v>0</v>
      </c>
      <c r="L147" s="313">
        <f t="shared" si="6"/>
        <v>6363942.3157350244</v>
      </c>
      <c r="M147" s="234">
        <f>'[1]M) Police'!O147</f>
        <v>421185.3055941537</v>
      </c>
      <c r="N147" s="234">
        <f t="shared" si="7"/>
        <v>6785127.6213291781</v>
      </c>
      <c r="O147" s="318">
        <f t="shared" si="8"/>
        <v>2044008.3912403248</v>
      </c>
      <c r="P147" s="320"/>
      <c r="Q147" s="529"/>
    </row>
    <row r="148" spans="1:17" s="154" customFormat="1" x14ac:dyDescent="0.25">
      <c r="A148" s="151">
        <f>'[1]B) D RI'!A149</f>
        <v>5639</v>
      </c>
      <c r="B148" s="152" t="str">
        <f>'[1]B) D RI'!B149</f>
        <v>Lully</v>
      </c>
      <c r="C148" s="316">
        <f>'[1]B) D RI'!S149</f>
        <v>61</v>
      </c>
      <c r="D148" s="153">
        <f>'[1]B) D RI'!AA149</f>
        <v>818</v>
      </c>
      <c r="E148" s="314">
        <f>'[1]D) Ecrêtage'!C147</f>
        <v>47176.43180327869</v>
      </c>
      <c r="F148" s="318">
        <f>'[1]E) Fact soc'!G153</f>
        <v>869096.13799074583</v>
      </c>
      <c r="G148" s="315">
        <f>'[1]H) Péréquation directe'!I158</f>
        <v>841079.95303040266</v>
      </c>
      <c r="H148" s="318">
        <f>+'[1]I) Dépenses thématiques'!O147</f>
        <v>0</v>
      </c>
      <c r="I148" s="315">
        <f>'[1]K) Plafonnement aide'!J147</f>
        <v>0</v>
      </c>
      <c r="J148" s="318">
        <f>'[1]J) Plafonnement effort'!I147</f>
        <v>0</v>
      </c>
      <c r="K148" s="315">
        <f>'[1]L) Plafonnement taux'!Q148</f>
        <v>0</v>
      </c>
      <c r="L148" s="313">
        <f t="shared" si="6"/>
        <v>1710176.0910211485</v>
      </c>
      <c r="M148" s="234">
        <f>'[1]M) Police'!O148</f>
        <v>127725.61002664996</v>
      </c>
      <c r="N148" s="234">
        <f t="shared" si="7"/>
        <v>1837901.7010477984</v>
      </c>
      <c r="O148" s="318">
        <f t="shared" si="8"/>
        <v>841079.95303040266</v>
      </c>
      <c r="P148" s="320"/>
      <c r="Q148" s="529"/>
    </row>
    <row r="149" spans="1:17" s="154" customFormat="1" x14ac:dyDescent="0.25">
      <c r="A149" s="151">
        <f>'[1]B) D RI'!A150</f>
        <v>5640</v>
      </c>
      <c r="B149" s="152" t="str">
        <f>'[1]B) D RI'!B150</f>
        <v>Lussy-sur-Morges</v>
      </c>
      <c r="C149" s="316">
        <f>'[1]B) D RI'!S150</f>
        <v>66</v>
      </c>
      <c r="D149" s="153">
        <f>'[1]B) D RI'!AA150</f>
        <v>696</v>
      </c>
      <c r="E149" s="314">
        <f>'[1]D) Ecrêtage'!C148</f>
        <v>61400.456666666665</v>
      </c>
      <c r="F149" s="318">
        <f>'[1]E) Fact soc'!G154</f>
        <v>1736633.7301760232</v>
      </c>
      <c r="G149" s="315">
        <f>'[1]H) Péréquation directe'!I159</f>
        <v>1140982.3321459931</v>
      </c>
      <c r="H149" s="318">
        <f>+'[1]I) Dépenses thématiques'!O148</f>
        <v>0</v>
      </c>
      <c r="I149" s="315">
        <f>'[1]K) Plafonnement aide'!J148</f>
        <v>0</v>
      </c>
      <c r="J149" s="318">
        <f>'[1]J) Plafonnement effort'!I148</f>
        <v>-114595.51232201634</v>
      </c>
      <c r="K149" s="315">
        <f>'[1]L) Plafonnement taux'!Q149</f>
        <v>0</v>
      </c>
      <c r="L149" s="313">
        <f t="shared" si="6"/>
        <v>2763020.55</v>
      </c>
      <c r="M149" s="234">
        <f>'[1]M) Police'!O149</f>
        <v>73203.194873784989</v>
      </c>
      <c r="N149" s="234">
        <f t="shared" si="7"/>
        <v>2836223.7448737849</v>
      </c>
      <c r="O149" s="318">
        <f t="shared" si="8"/>
        <v>1026386.8198239768</v>
      </c>
      <c r="P149" s="320"/>
      <c r="Q149" s="529"/>
    </row>
    <row r="150" spans="1:17" s="154" customFormat="1" x14ac:dyDescent="0.25">
      <c r="A150" s="151">
        <f>'[1]B) D RI'!A151</f>
        <v>5642</v>
      </c>
      <c r="B150" s="152" t="str">
        <f>'[1]B) D RI'!B151</f>
        <v>Morges</v>
      </c>
      <c r="C150" s="316">
        <f>'[1]B) D RI'!S151</f>
        <v>68.5</v>
      </c>
      <c r="D150" s="153">
        <f>'[1]B) D RI'!AA151</f>
        <v>15862</v>
      </c>
      <c r="E150" s="314">
        <f>'[1]D) Ecrêtage'!C149</f>
        <v>842114.79489051085</v>
      </c>
      <c r="F150" s="318">
        <f>'[1]E) Fact soc'!G155</f>
        <v>17047853.214152928</v>
      </c>
      <c r="G150" s="315">
        <f>'[1]H) Péréquation directe'!I160</f>
        <v>6114107.5701209828</v>
      </c>
      <c r="H150" s="318">
        <f>+'[1]I) Dépenses thématiques'!O149</f>
        <v>-972367.81060273899</v>
      </c>
      <c r="I150" s="315">
        <f>'[1]K) Plafonnement aide'!J149</f>
        <v>0</v>
      </c>
      <c r="J150" s="318">
        <f>'[1]J) Plafonnement effort'!I149</f>
        <v>0</v>
      </c>
      <c r="K150" s="315">
        <f>'[1]L) Plafonnement taux'!Q150</f>
        <v>0</v>
      </c>
      <c r="L150" s="313">
        <f t="shared" si="6"/>
        <v>22189592.973671172</v>
      </c>
      <c r="M150" s="234">
        <f>'[1]M) Police'!O150</f>
        <v>1003990.7971878962</v>
      </c>
      <c r="N150" s="234">
        <f t="shared" si="7"/>
        <v>23193583.770859066</v>
      </c>
      <c r="O150" s="318">
        <f t="shared" si="8"/>
        <v>5141739.7595182434</v>
      </c>
      <c r="P150" s="320"/>
      <c r="Q150" s="529"/>
    </row>
    <row r="151" spans="1:17" s="154" customFormat="1" x14ac:dyDescent="0.25">
      <c r="A151" s="151">
        <f>'[1]B) D RI'!A152</f>
        <v>5643</v>
      </c>
      <c r="B151" s="152" t="str">
        <f>'[1]B) D RI'!B152</f>
        <v>Préverenges</v>
      </c>
      <c r="C151" s="316">
        <f>'[1]B) D RI'!S152</f>
        <v>64</v>
      </c>
      <c r="D151" s="153">
        <f>'[1]B) D RI'!AA152</f>
        <v>5243</v>
      </c>
      <c r="E151" s="314">
        <f>'[1]D) Ecrêtage'!C150</f>
        <v>259364.760625</v>
      </c>
      <c r="F151" s="318">
        <f>'[1]E) Fact soc'!G156</f>
        <v>4895220.5829126667</v>
      </c>
      <c r="G151" s="315">
        <f>'[1]H) Péréquation directe'!I161</f>
        <v>3208317.1163546713</v>
      </c>
      <c r="H151" s="318">
        <f>+'[1]I) Dépenses thématiques'!O150</f>
        <v>0</v>
      </c>
      <c r="I151" s="315">
        <f>'[1]K) Plafonnement aide'!J150</f>
        <v>0</v>
      </c>
      <c r="J151" s="318">
        <f>'[1]J) Plafonnement effort'!I150</f>
        <v>0</v>
      </c>
      <c r="K151" s="315">
        <f>'[1]L) Plafonnement taux'!Q151</f>
        <v>0</v>
      </c>
      <c r="L151" s="313">
        <f t="shared" si="6"/>
        <v>8103537.699267338</v>
      </c>
      <c r="M151" s="234">
        <f>'[1]M) Police'!O151</f>
        <v>309221.30137399852</v>
      </c>
      <c r="N151" s="234">
        <f t="shared" si="7"/>
        <v>8412759.0006413367</v>
      </c>
      <c r="O151" s="318">
        <f t="shared" si="8"/>
        <v>3208317.1163546713</v>
      </c>
      <c r="P151" s="320"/>
      <c r="Q151" s="529"/>
    </row>
    <row r="152" spans="1:17" s="154" customFormat="1" x14ac:dyDescent="0.25">
      <c r="A152" s="151">
        <f>'[1]B) D RI'!A153</f>
        <v>5644</v>
      </c>
      <c r="B152" s="152" t="str">
        <f>'[1]B) D RI'!B153</f>
        <v>Reverolle</v>
      </c>
      <c r="C152" s="316">
        <f>'[1]B) D RI'!S153</f>
        <v>76</v>
      </c>
      <c r="D152" s="153">
        <f>'[1]B) D RI'!AA153</f>
        <v>413</v>
      </c>
      <c r="E152" s="314">
        <f>'[1]D) Ecrêtage'!C151</f>
        <v>16859.730657894735</v>
      </c>
      <c r="F152" s="318">
        <f>'[1]E) Fact soc'!G157</f>
        <v>288479.23813299288</v>
      </c>
      <c r="G152" s="315">
        <f>'[1]H) Péréquation directe'!I162</f>
        <v>225898.22939567629</v>
      </c>
      <c r="H152" s="318">
        <f>+'[1]I) Dépenses thématiques'!O151</f>
        <v>-50055.82166938416</v>
      </c>
      <c r="I152" s="315">
        <f>'[1]K) Plafonnement aide'!J151</f>
        <v>0</v>
      </c>
      <c r="J152" s="318">
        <f>'[1]J) Plafonnement effort'!I151</f>
        <v>0</v>
      </c>
      <c r="K152" s="315">
        <f>'[1]L) Plafonnement taux'!Q152</f>
        <v>0</v>
      </c>
      <c r="L152" s="313">
        <f t="shared" si="6"/>
        <v>464321.64585928502</v>
      </c>
      <c r="M152" s="234">
        <f>'[1]M) Police'!O152</f>
        <v>51730.656847500592</v>
      </c>
      <c r="N152" s="234">
        <f t="shared" si="7"/>
        <v>516052.30270678562</v>
      </c>
      <c r="O152" s="318">
        <f t="shared" si="8"/>
        <v>175842.40772629212</v>
      </c>
      <c r="P152" s="320"/>
      <c r="Q152" s="529"/>
    </row>
    <row r="153" spans="1:17" s="154" customFormat="1" x14ac:dyDescent="0.25">
      <c r="A153" s="151">
        <f>'[1]B) D RI'!A154</f>
        <v>5645</v>
      </c>
      <c r="B153" s="152" t="str">
        <f>'[1]B) D RI'!B154</f>
        <v>Romanel-sur-Morges</v>
      </c>
      <c r="C153" s="316">
        <f>'[1]B) D RI'!S154</f>
        <v>56</v>
      </c>
      <c r="D153" s="153">
        <f>'[1]B) D RI'!AA154</f>
        <v>470</v>
      </c>
      <c r="E153" s="314">
        <f>'[1]D) Ecrêtage'!C152</f>
        <v>29743.552142857145</v>
      </c>
      <c r="F153" s="318">
        <f>'[1]E) Fact soc'!G158</f>
        <v>629782.76944932796</v>
      </c>
      <c r="G153" s="315">
        <f>'[1]H) Péréquation directe'!I163</f>
        <v>536024.53097325924</v>
      </c>
      <c r="H153" s="318">
        <f>+'[1]I) Dépenses thématiques'!O152</f>
        <v>0</v>
      </c>
      <c r="I153" s="315">
        <f>'[1]K) Plafonnement aide'!J152</f>
        <v>0</v>
      </c>
      <c r="J153" s="318">
        <f>'[1]J) Plafonnement effort'!I152</f>
        <v>0</v>
      </c>
      <c r="K153" s="315">
        <f>'[1]L) Plafonnement taux'!Q153</f>
        <v>0</v>
      </c>
      <c r="L153" s="313">
        <f t="shared" si="6"/>
        <v>1165807.3004225872</v>
      </c>
      <c r="M153" s="234">
        <f>'[1]M) Police'!O153</f>
        <v>76531.819284847035</v>
      </c>
      <c r="N153" s="234">
        <f t="shared" si="7"/>
        <v>1242339.1197074342</v>
      </c>
      <c r="O153" s="318">
        <f t="shared" si="8"/>
        <v>536024.53097325924</v>
      </c>
      <c r="P153" s="320"/>
      <c r="Q153" s="529"/>
    </row>
    <row r="154" spans="1:17" s="154" customFormat="1" x14ac:dyDescent="0.25">
      <c r="A154" s="151">
        <f>'[1]B) D RI'!A155</f>
        <v>5646</v>
      </c>
      <c r="B154" s="152" t="str">
        <f>'[1]B) D RI'!B155</f>
        <v>Saint-Prex</v>
      </c>
      <c r="C154" s="316">
        <f>'[1]B) D RI'!S155</f>
        <v>55</v>
      </c>
      <c r="D154" s="153">
        <f>'[1]B) D RI'!AA155</f>
        <v>5774</v>
      </c>
      <c r="E154" s="314">
        <f>'[1]D) Ecrêtage'!C153</f>
        <v>419083.43709090899</v>
      </c>
      <c r="F154" s="318">
        <f>'[1]E) Fact soc'!G159</f>
        <v>9279074.7527597435</v>
      </c>
      <c r="G154" s="315">
        <f>'[1]H) Péréquation directe'!I164</f>
        <v>6083556.692325728</v>
      </c>
      <c r="H154" s="318">
        <f>+'[1]I) Dépenses thématiques'!O153</f>
        <v>0</v>
      </c>
      <c r="I154" s="315">
        <f>'[1]K) Plafonnement aide'!J153</f>
        <v>0</v>
      </c>
      <c r="J154" s="318">
        <f>'[1]J) Plafonnement effort'!I153</f>
        <v>0</v>
      </c>
      <c r="K154" s="315">
        <f>'[1]L) Plafonnement taux'!Q154</f>
        <v>0</v>
      </c>
      <c r="L154" s="313">
        <f t="shared" si="6"/>
        <v>15362631.445085471</v>
      </c>
      <c r="M154" s="234">
        <f>'[1]M) Police'!O154</f>
        <v>499641.9925716311</v>
      </c>
      <c r="N154" s="234">
        <f t="shared" si="7"/>
        <v>15862273.437657103</v>
      </c>
      <c r="O154" s="318">
        <f t="shared" si="8"/>
        <v>6083556.692325728</v>
      </c>
      <c r="P154" s="320"/>
      <c r="Q154" s="529"/>
    </row>
    <row r="155" spans="1:17" s="154" customFormat="1" x14ac:dyDescent="0.25">
      <c r="A155" s="151">
        <f>'[1]B) D RI'!A156</f>
        <v>5648</v>
      </c>
      <c r="B155" s="152" t="str">
        <f>'[1]B) D RI'!B156</f>
        <v>Saint-Sulpice</v>
      </c>
      <c r="C155" s="316">
        <f>'[1]B) D RI'!S156</f>
        <v>55</v>
      </c>
      <c r="D155" s="153">
        <f>'[1]B) D RI'!AA156</f>
        <v>4717</v>
      </c>
      <c r="E155" s="314">
        <f>'[1]D) Ecrêtage'!C154</f>
        <v>383471.67436363641</v>
      </c>
      <c r="F155" s="318">
        <f>'[1]E) Fact soc'!G160</f>
        <v>9512323.221918229</v>
      </c>
      <c r="G155" s="315">
        <f>'[1]H) Péréquation directe'!I165</f>
        <v>5980030.9496113956</v>
      </c>
      <c r="H155" s="318">
        <f>+'[1]I) Dépenses thématiques'!O154</f>
        <v>0</v>
      </c>
      <c r="I155" s="315">
        <f>'[1]K) Plafonnement aide'!J154</f>
        <v>0</v>
      </c>
      <c r="J155" s="318">
        <f>'[1]J) Plafonnement effort'!I154</f>
        <v>0</v>
      </c>
      <c r="K155" s="315">
        <f>'[1]L) Plafonnement taux'!Q155</f>
        <v>0</v>
      </c>
      <c r="L155" s="313">
        <f t="shared" si="6"/>
        <v>15492354.171529625</v>
      </c>
      <c r="M155" s="234">
        <f>'[1]M) Police'!O155</f>
        <v>457184.73820826464</v>
      </c>
      <c r="N155" s="234">
        <f t="shared" si="7"/>
        <v>15949538.909737889</v>
      </c>
      <c r="O155" s="318">
        <f t="shared" si="8"/>
        <v>5980030.9496113956</v>
      </c>
      <c r="P155" s="320"/>
      <c r="Q155" s="529"/>
    </row>
    <row r="156" spans="1:17" s="154" customFormat="1" x14ac:dyDescent="0.25">
      <c r="A156" s="151">
        <f>'[1]B) D RI'!A157</f>
        <v>5649</v>
      </c>
      <c r="B156" s="152" t="str">
        <f>'[1]B) D RI'!B157</f>
        <v>Tolochenaz</v>
      </c>
      <c r="C156" s="316">
        <f>'[1]B) D RI'!S157</f>
        <v>65</v>
      </c>
      <c r="D156" s="153">
        <f>'[1]B) D RI'!AA157</f>
        <v>1907</v>
      </c>
      <c r="E156" s="314">
        <f>'[1]D) Ecrêtage'!C155</f>
        <v>109794.23076923077</v>
      </c>
      <c r="F156" s="318">
        <f>'[1]E) Fact soc'!G161</f>
        <v>2068987.3541509476</v>
      </c>
      <c r="G156" s="315">
        <f>'[1]H) Péréquation directe'!I166</f>
        <v>1751943.6344315775</v>
      </c>
      <c r="H156" s="318">
        <f>+'[1]I) Dépenses thématiques'!O155</f>
        <v>-476507.68348350923</v>
      </c>
      <c r="I156" s="315">
        <f>'[1]K) Plafonnement aide'!J155</f>
        <v>0</v>
      </c>
      <c r="J156" s="318">
        <f>'[1]J) Plafonnement effort'!I155</f>
        <v>0</v>
      </c>
      <c r="K156" s="315">
        <f>'[1]L) Plafonnement taux'!Q156</f>
        <v>0</v>
      </c>
      <c r="L156" s="313">
        <f t="shared" si="6"/>
        <v>3344423.3050990161</v>
      </c>
      <c r="M156" s="234">
        <f>'[1]M) Police'!O156</f>
        <v>130899.49012350972</v>
      </c>
      <c r="N156" s="234">
        <f t="shared" si="7"/>
        <v>3475322.795222526</v>
      </c>
      <c r="O156" s="318">
        <f t="shared" si="8"/>
        <v>1275435.9509480684</v>
      </c>
      <c r="P156" s="320"/>
      <c r="Q156" s="529"/>
    </row>
    <row r="157" spans="1:17" s="154" customFormat="1" x14ac:dyDescent="0.25">
      <c r="A157" s="151">
        <f>'[1]B) D RI'!A158</f>
        <v>5650</v>
      </c>
      <c r="B157" s="152" t="str">
        <f>'[1]B) D RI'!B158</f>
        <v>Vaux-sur-Morges</v>
      </c>
      <c r="C157" s="316">
        <f>'[1]B) D RI'!S158</f>
        <v>56</v>
      </c>
      <c r="D157" s="153">
        <f>'[1]B) D RI'!AA158</f>
        <v>196</v>
      </c>
      <c r="E157" s="314">
        <f>'[1]D) Ecrêtage'!C156</f>
        <v>162834.69392857142</v>
      </c>
      <c r="F157" s="318">
        <f>'[1]E) Fact soc'!G162</f>
        <v>7368678.8639374375</v>
      </c>
      <c r="G157" s="315">
        <f>'[1]H) Péréquation directe'!I167</f>
        <v>3233160.1504558627</v>
      </c>
      <c r="H157" s="318">
        <f>+'[1]I) Dépenses thématiques'!O156</f>
        <v>0</v>
      </c>
      <c r="I157" s="315">
        <f>'[1]K) Plafonnement aide'!J156</f>
        <v>0</v>
      </c>
      <c r="J157" s="318">
        <f>'[1]J) Plafonnement effort'!I156</f>
        <v>-3274277.7876075851</v>
      </c>
      <c r="K157" s="315">
        <f>'[1]L) Plafonnement taux'!Q157</f>
        <v>0</v>
      </c>
      <c r="L157" s="313">
        <f t="shared" si="6"/>
        <v>7327561.2267857147</v>
      </c>
      <c r="M157" s="234">
        <f>'[1]M) Police'!O157</f>
        <v>211263.08255637059</v>
      </c>
      <c r="N157" s="234">
        <f t="shared" si="7"/>
        <v>7538824.3093420854</v>
      </c>
      <c r="O157" s="318">
        <f t="shared" si="8"/>
        <v>-41117.637151722331</v>
      </c>
      <c r="P157" s="320"/>
      <c r="Q157" s="529"/>
    </row>
    <row r="158" spans="1:17" s="154" customFormat="1" x14ac:dyDescent="0.25">
      <c r="A158" s="151">
        <f>'[1]B) D RI'!A159</f>
        <v>5651</v>
      </c>
      <c r="B158" s="152" t="str">
        <f>'[1]B) D RI'!B159</f>
        <v>Villars-Sainte-Croix</v>
      </c>
      <c r="C158" s="316">
        <f>'[1]B) D RI'!S159</f>
        <v>62</v>
      </c>
      <c r="D158" s="153">
        <f>'[1]B) D RI'!AA159</f>
        <v>973</v>
      </c>
      <c r="E158" s="314">
        <f>'[1]D) Ecrêtage'!C157</f>
        <v>58682.807419354831</v>
      </c>
      <c r="F158" s="318">
        <f>'[1]E) Fact soc'!G163</f>
        <v>1184718.7729052808</v>
      </c>
      <c r="G158" s="315">
        <f>'[1]H) Péréquation directe'!I168</f>
        <v>1051811.9936491475</v>
      </c>
      <c r="H158" s="318">
        <f>+'[1]I) Dépenses thématiques'!O157</f>
        <v>0</v>
      </c>
      <c r="I158" s="315">
        <f>'[1]K) Plafonnement aide'!J157</f>
        <v>0</v>
      </c>
      <c r="J158" s="318">
        <f>'[1]J) Plafonnement effort'!I157</f>
        <v>0</v>
      </c>
      <c r="K158" s="315">
        <f>'[1]L) Plafonnement taux'!Q158</f>
        <v>0</v>
      </c>
      <c r="L158" s="313">
        <f t="shared" si="6"/>
        <v>2236530.7665544283</v>
      </c>
      <c r="M158" s="234">
        <f>'[1]M) Police'!O158</f>
        <v>69963.143931988569</v>
      </c>
      <c r="N158" s="234">
        <f t="shared" si="7"/>
        <v>2306493.9104864169</v>
      </c>
      <c r="O158" s="318">
        <f t="shared" si="8"/>
        <v>1051811.9936491475</v>
      </c>
      <c r="P158" s="320"/>
      <c r="Q158" s="529"/>
    </row>
    <row r="159" spans="1:17" s="154" customFormat="1" x14ac:dyDescent="0.25">
      <c r="A159" s="151">
        <f>'[1]B) D RI'!A160</f>
        <v>5652</v>
      </c>
      <c r="B159" s="152" t="str">
        <f>'[1]B) D RI'!B160</f>
        <v>Villars-sous-Yens</v>
      </c>
      <c r="C159" s="316">
        <f>'[1]B) D RI'!S160</f>
        <v>76</v>
      </c>
      <c r="D159" s="153">
        <f>'[1]B) D RI'!AA160</f>
        <v>603</v>
      </c>
      <c r="E159" s="314">
        <f>'[1]D) Ecrêtage'!C158</f>
        <v>32935.200285087711</v>
      </c>
      <c r="F159" s="318">
        <f>'[1]E) Fact soc'!G164</f>
        <v>586267.14705282368</v>
      </c>
      <c r="G159" s="315">
        <f>'[1]H) Péréquation directe'!I169</f>
        <v>583170.22206894436</v>
      </c>
      <c r="H159" s="318">
        <f>+'[1]I) Dépenses thématiques'!O158</f>
        <v>0</v>
      </c>
      <c r="I159" s="315">
        <f>'[1]K) Plafonnement aide'!J158</f>
        <v>0</v>
      </c>
      <c r="J159" s="318">
        <f>'[1]J) Plafonnement effort'!I158</f>
        <v>0</v>
      </c>
      <c r="K159" s="315">
        <f>'[1]L) Plafonnement taux'!Q159</f>
        <v>0</v>
      </c>
      <c r="L159" s="313">
        <f t="shared" si="6"/>
        <v>1169437.369121768</v>
      </c>
      <c r="M159" s="234">
        <f>'[1]M) Police'!O159</f>
        <v>91959.145160808708</v>
      </c>
      <c r="N159" s="234">
        <f t="shared" si="7"/>
        <v>1261396.5142825767</v>
      </c>
      <c r="O159" s="318">
        <f t="shared" si="8"/>
        <v>583170.22206894436</v>
      </c>
      <c r="P159" s="320"/>
      <c r="Q159" s="529"/>
    </row>
    <row r="160" spans="1:17" s="154" customFormat="1" x14ac:dyDescent="0.25">
      <c r="A160" s="151">
        <f>'[1]B) D RI'!A161</f>
        <v>5653</v>
      </c>
      <c r="B160" s="152" t="str">
        <f>'[1]B) D RI'!B161</f>
        <v>Vufflens-le-Château</v>
      </c>
      <c r="C160" s="316">
        <f>'[1]B) D RI'!S161</f>
        <v>60</v>
      </c>
      <c r="D160" s="153">
        <f>'[1]B) D RI'!AA161</f>
        <v>883</v>
      </c>
      <c r="E160" s="314">
        <f>'[1]D) Ecrêtage'!C159</f>
        <v>71866.827999999994</v>
      </c>
      <c r="F160" s="318">
        <f>'[1]E) Fact soc'!G165</f>
        <v>2520648.8416742105</v>
      </c>
      <c r="G160" s="315">
        <f>'[1]H) Péréquation directe'!I170</f>
        <v>1326887.2078166173</v>
      </c>
      <c r="H160" s="318">
        <f>+'[1]I) Dépenses thématiques'!O159</f>
        <v>0</v>
      </c>
      <c r="I160" s="315">
        <f>'[1]K) Plafonnement aide'!J159</f>
        <v>0</v>
      </c>
      <c r="J160" s="318">
        <f>'[1]J) Plafonnement effort'!I159</f>
        <v>-613528.78949082759</v>
      </c>
      <c r="K160" s="315">
        <f>'[1]L) Plafonnement taux'!Q160</f>
        <v>0</v>
      </c>
      <c r="L160" s="313">
        <f t="shared" si="6"/>
        <v>3234007.2600000007</v>
      </c>
      <c r="M160" s="234">
        <f>'[1]M) Police'!O160</f>
        <v>162842.13553379878</v>
      </c>
      <c r="N160" s="234">
        <f t="shared" si="7"/>
        <v>3396849.3955337997</v>
      </c>
      <c r="O160" s="318">
        <f t="shared" si="8"/>
        <v>713358.41832578974</v>
      </c>
      <c r="P160" s="320"/>
      <c r="Q160" s="529"/>
    </row>
    <row r="161" spans="1:17" s="154" customFormat="1" x14ac:dyDescent="0.25">
      <c r="A161" s="151">
        <f>'[1]B) D RI'!A162</f>
        <v>5654</v>
      </c>
      <c r="B161" s="152" t="str">
        <f>'[1]B) D RI'!B162</f>
        <v>Vullierens</v>
      </c>
      <c r="C161" s="316">
        <f>'[1]B) D RI'!S162</f>
        <v>76</v>
      </c>
      <c r="D161" s="153">
        <f>'[1]B) D RI'!AA162</f>
        <v>513</v>
      </c>
      <c r="E161" s="314">
        <f>'[1]D) Ecrêtage'!C160</f>
        <v>18067.402499999997</v>
      </c>
      <c r="F161" s="318">
        <f>'[1]E) Fact soc'!G166</f>
        <v>292261.14718037349</v>
      </c>
      <c r="G161" s="315">
        <f>'[1]H) Péréquation directe'!I171</f>
        <v>157343.54522893656</v>
      </c>
      <c r="H161" s="318">
        <f>+'[1]I) Dépenses thématiques'!O160</f>
        <v>-20015.425587751593</v>
      </c>
      <c r="I161" s="315">
        <f>'[1]K) Plafonnement aide'!J160</f>
        <v>0</v>
      </c>
      <c r="J161" s="318">
        <f>'[1]J) Plafonnement effort'!I160</f>
        <v>0</v>
      </c>
      <c r="K161" s="315">
        <f>'[1]L) Plafonnement taux'!Q161</f>
        <v>0</v>
      </c>
      <c r="L161" s="313">
        <f t="shared" si="6"/>
        <v>429589.26682155841</v>
      </c>
      <c r="M161" s="234">
        <f>'[1]M) Police'!O161</f>
        <v>54953.815158840094</v>
      </c>
      <c r="N161" s="234">
        <f t="shared" si="7"/>
        <v>484543.08198039851</v>
      </c>
      <c r="O161" s="318">
        <f t="shared" si="8"/>
        <v>137328.11964118498</v>
      </c>
      <c r="P161" s="320"/>
      <c r="Q161" s="529"/>
    </row>
    <row r="162" spans="1:17" s="154" customFormat="1" x14ac:dyDescent="0.25">
      <c r="A162" s="151">
        <f>'[1]B) D RI'!A163</f>
        <v>5655</v>
      </c>
      <c r="B162" s="152" t="str">
        <f>'[1]B) D RI'!B163</f>
        <v>Yens</v>
      </c>
      <c r="C162" s="316">
        <f>'[1]B) D RI'!S163</f>
        <v>73</v>
      </c>
      <c r="D162" s="153">
        <f>'[1]B) D RI'!AA163</f>
        <v>1477</v>
      </c>
      <c r="E162" s="314">
        <f>'[1]D) Ecrêtage'!C161</f>
        <v>77231.578767123297</v>
      </c>
      <c r="F162" s="318">
        <f>'[1]E) Fact soc'!G167</f>
        <v>1510281.1106004845</v>
      </c>
      <c r="G162" s="315">
        <f>'[1]H) Péréquation directe'!I172</f>
        <v>1251729.7630611965</v>
      </c>
      <c r="H162" s="318">
        <f>+'[1]I) Dépenses thématiques'!O161</f>
        <v>0</v>
      </c>
      <c r="I162" s="315">
        <f>'[1]K) Plafonnement aide'!J161</f>
        <v>0</v>
      </c>
      <c r="J162" s="318">
        <f>'[1]J) Plafonnement effort'!I161</f>
        <v>0</v>
      </c>
      <c r="K162" s="315">
        <f>'[1]L) Plafonnement taux'!Q162</f>
        <v>0</v>
      </c>
      <c r="L162" s="313">
        <f t="shared" si="6"/>
        <v>2762010.8736616811</v>
      </c>
      <c r="M162" s="234">
        <f>'[1]M) Police'!O162</f>
        <v>221144.62356679668</v>
      </c>
      <c r="N162" s="234">
        <f t="shared" si="7"/>
        <v>2983155.4972284776</v>
      </c>
      <c r="O162" s="318">
        <f t="shared" si="8"/>
        <v>1251729.7630611965</v>
      </c>
      <c r="P162" s="320"/>
      <c r="Q162" s="529"/>
    </row>
    <row r="163" spans="1:17" s="154" customFormat="1" x14ac:dyDescent="0.25">
      <c r="A163" s="151">
        <f>'[1]B) D RI'!A164</f>
        <v>5661</v>
      </c>
      <c r="B163" s="152" t="str">
        <f>'[1]B) D RI'!B164</f>
        <v>Boulens</v>
      </c>
      <c r="C163" s="316">
        <f>'[1]B) D RI'!S164</f>
        <v>73</v>
      </c>
      <c r="D163" s="153">
        <f>'[1]B) D RI'!AA164</f>
        <v>361</v>
      </c>
      <c r="E163" s="314">
        <f>'[1]D) Ecrêtage'!C162</f>
        <v>10067.366438356165</v>
      </c>
      <c r="F163" s="318">
        <f>'[1]E) Fact soc'!G168</f>
        <v>154082.96105970879</v>
      </c>
      <c r="G163" s="315">
        <f>'[1]H) Péréquation directe'!I173</f>
        <v>9532.3145439714426</v>
      </c>
      <c r="H163" s="318">
        <f>+'[1]I) Dépenses thématiques'!O162</f>
        <v>-76262.497688634176</v>
      </c>
      <c r="I163" s="315">
        <f>'[1]K) Plafonnement aide'!J162</f>
        <v>0</v>
      </c>
      <c r="J163" s="318">
        <f>'[1]J) Plafonnement effort'!I162</f>
        <v>0</v>
      </c>
      <c r="K163" s="315">
        <f>'[1]L) Plafonnement taux'!Q163</f>
        <v>0</v>
      </c>
      <c r="L163" s="313">
        <f t="shared" si="6"/>
        <v>87352.777915046056</v>
      </c>
      <c r="M163" s="234">
        <f>'[1]M) Police'!O163</f>
        <v>30612.975869822785</v>
      </c>
      <c r="N163" s="234">
        <f t="shared" si="7"/>
        <v>117965.75378486884</v>
      </c>
      <c r="O163" s="318">
        <f t="shared" si="8"/>
        <v>-66730.183144662733</v>
      </c>
      <c r="P163" s="320"/>
      <c r="Q163" s="529"/>
    </row>
    <row r="164" spans="1:17" s="154" customFormat="1" x14ac:dyDescent="0.25">
      <c r="A164" s="151">
        <f>'[1]B) D RI'!A165</f>
        <v>5663</v>
      </c>
      <c r="B164" s="152" t="str">
        <f>'[1]B) D RI'!B165</f>
        <v>Bussy-sur-Moudon</v>
      </c>
      <c r="C164" s="316">
        <f>'[1]B) D RI'!S165</f>
        <v>80</v>
      </c>
      <c r="D164" s="153">
        <f>'[1]B) D RI'!AA165</f>
        <v>218</v>
      </c>
      <c r="E164" s="314">
        <f>'[1]D) Ecrêtage'!C163</f>
        <v>6357.5273750000006</v>
      </c>
      <c r="F164" s="318">
        <f>'[1]E) Fact soc'!G169</f>
        <v>116096.59945191049</v>
      </c>
      <c r="G164" s="315">
        <f>'[1]H) Péréquation directe'!I174</f>
        <v>582.11598697307636</v>
      </c>
      <c r="H164" s="318">
        <f>+'[1]I) Dépenses thématiques'!O163</f>
        <v>-29801.965860612585</v>
      </c>
      <c r="I164" s="315">
        <f>'[1]K) Plafonnement aide'!J163</f>
        <v>0</v>
      </c>
      <c r="J164" s="318">
        <f>'[1]J) Plafonnement effort'!I163</f>
        <v>0</v>
      </c>
      <c r="K164" s="315">
        <f>'[1]L) Plafonnement taux'!Q164</f>
        <v>0</v>
      </c>
      <c r="L164" s="313">
        <f t="shared" si="6"/>
        <v>86876.749578270974</v>
      </c>
      <c r="M164" s="234">
        <f>'[1]M) Police'!O164</f>
        <v>19498.902742570066</v>
      </c>
      <c r="N164" s="234">
        <f t="shared" si="7"/>
        <v>106375.65232084104</v>
      </c>
      <c r="O164" s="318">
        <f t="shared" si="8"/>
        <v>-29219.849873639509</v>
      </c>
      <c r="P164" s="320"/>
      <c r="Q164" s="529"/>
    </row>
    <row r="165" spans="1:17" s="154" customFormat="1" x14ac:dyDescent="0.25">
      <c r="A165" s="151">
        <f>'[1]B) D RI'!A166</f>
        <v>5665</v>
      </c>
      <c r="B165" s="152" t="str">
        <f>'[1]B) D RI'!B166</f>
        <v>Chavannes-sur-Moudon</v>
      </c>
      <c r="C165" s="316">
        <f>'[1]B) D RI'!S166</f>
        <v>73</v>
      </c>
      <c r="D165" s="153">
        <f>'[1]B) D RI'!AA166</f>
        <v>210</v>
      </c>
      <c r="E165" s="314">
        <f>'[1]D) Ecrêtage'!C164</f>
        <v>4734.8986301369869</v>
      </c>
      <c r="F165" s="318">
        <f>'[1]E) Fact soc'!G170</f>
        <v>84311.882415610526</v>
      </c>
      <c r="G165" s="315">
        <f>'[1]H) Péréquation directe'!I175</f>
        <v>-40554.25434183664</v>
      </c>
      <c r="H165" s="318">
        <f>+'[1]I) Dépenses thématiques'!O164</f>
        <v>-20781.549970738964</v>
      </c>
      <c r="I165" s="315">
        <f>'[1]K) Plafonnement aide'!J164</f>
        <v>0</v>
      </c>
      <c r="J165" s="318">
        <f>'[1]J) Plafonnement effort'!I164</f>
        <v>0</v>
      </c>
      <c r="K165" s="315">
        <f>'[1]L) Plafonnement taux'!Q165</f>
        <v>0</v>
      </c>
      <c r="L165" s="313">
        <f t="shared" si="6"/>
        <v>22976.078103034921</v>
      </c>
      <c r="M165" s="234">
        <f>'[1]M) Police'!O165</f>
        <v>14443.023415450189</v>
      </c>
      <c r="N165" s="234">
        <f t="shared" si="7"/>
        <v>37419.101518485113</v>
      </c>
      <c r="O165" s="318">
        <f t="shared" si="8"/>
        <v>-61335.804312575608</v>
      </c>
      <c r="P165" s="320"/>
      <c r="Q165" s="529"/>
    </row>
    <row r="166" spans="1:17" s="154" customFormat="1" x14ac:dyDescent="0.25">
      <c r="A166" s="151">
        <f>'[1]B) D RI'!A167</f>
        <v>5669</v>
      </c>
      <c r="B166" s="152" t="str">
        <f>'[1]B) D RI'!B167</f>
        <v>Curtilles</v>
      </c>
      <c r="C166" s="316">
        <f>'[1]B) D RI'!S167</f>
        <v>75</v>
      </c>
      <c r="D166" s="153">
        <f>'[1]B) D RI'!AA167</f>
        <v>310</v>
      </c>
      <c r="E166" s="314">
        <f>'[1]D) Ecrêtage'!C165</f>
        <v>10002.199066666666</v>
      </c>
      <c r="F166" s="318">
        <f>'[1]E) Fact soc'!G171</f>
        <v>154560.57103144846</v>
      </c>
      <c r="G166" s="315">
        <f>'[1]H) Péréquation directe'!I176</f>
        <v>58572.118354149134</v>
      </c>
      <c r="H166" s="318">
        <f>+'[1]I) Dépenses thématiques'!O165</f>
        <v>0</v>
      </c>
      <c r="I166" s="315">
        <f>'[1]K) Plafonnement aide'!J165</f>
        <v>0</v>
      </c>
      <c r="J166" s="318">
        <f>'[1]J) Plafonnement effort'!I165</f>
        <v>0</v>
      </c>
      <c r="K166" s="315">
        <f>'[1]L) Plafonnement taux'!Q166</f>
        <v>0</v>
      </c>
      <c r="L166" s="313">
        <f t="shared" si="6"/>
        <v>213132.68938559759</v>
      </c>
      <c r="M166" s="234">
        <f>'[1]M) Police'!O166</f>
        <v>30676.571686256913</v>
      </c>
      <c r="N166" s="234">
        <f t="shared" si="7"/>
        <v>243809.2610718545</v>
      </c>
      <c r="O166" s="318">
        <f t="shared" si="8"/>
        <v>58572.118354149134</v>
      </c>
      <c r="P166" s="320"/>
      <c r="Q166" s="529"/>
    </row>
    <row r="167" spans="1:17" s="154" customFormat="1" x14ac:dyDescent="0.25">
      <c r="A167" s="151">
        <f>'[1]B) D RI'!A168</f>
        <v>5671</v>
      </c>
      <c r="B167" s="152" t="str">
        <f>'[1]B) D RI'!B168</f>
        <v>Dompierre</v>
      </c>
      <c r="C167" s="316">
        <f>'[1]B) D RI'!S168</f>
        <v>80</v>
      </c>
      <c r="D167" s="153">
        <f>'[1]B) D RI'!AA168</f>
        <v>232</v>
      </c>
      <c r="E167" s="314">
        <f>'[1]D) Ecrêtage'!C166</f>
        <v>6571.3844999999983</v>
      </c>
      <c r="F167" s="318">
        <f>'[1]E) Fact soc'!G172</f>
        <v>120548.36113394867</v>
      </c>
      <c r="G167" s="315">
        <f>'[1]H) Péréquation directe'!I177</f>
        <v>-8197.0556861176447</v>
      </c>
      <c r="H167" s="318">
        <f>+'[1]I) Dépenses thématiques'!O166</f>
        <v>-39737.354647376073</v>
      </c>
      <c r="I167" s="315">
        <f>'[1]K) Plafonnement aide'!J166</f>
        <v>0</v>
      </c>
      <c r="J167" s="318">
        <f>'[1]J) Plafonnement effort'!I166</f>
        <v>0</v>
      </c>
      <c r="K167" s="315">
        <f>'[1]L) Plafonnement taux'!Q167</f>
        <v>0</v>
      </c>
      <c r="L167" s="313">
        <f t="shared" si="6"/>
        <v>72613.950800454943</v>
      </c>
      <c r="M167" s="234">
        <f>'[1]M) Police'!O167</f>
        <v>20156.524176805877</v>
      </c>
      <c r="N167" s="234">
        <f t="shared" si="7"/>
        <v>92770.474977260819</v>
      </c>
      <c r="O167" s="318">
        <f t="shared" si="8"/>
        <v>-47934.410333493717</v>
      </c>
      <c r="P167" s="320"/>
      <c r="Q167" s="529"/>
    </row>
    <row r="168" spans="1:17" s="154" customFormat="1" x14ac:dyDescent="0.25">
      <c r="A168" s="151">
        <f>'[1]B) D RI'!A169</f>
        <v>5673</v>
      </c>
      <c r="B168" s="152" t="str">
        <f>'[1]B) D RI'!B169</f>
        <v>Hermenches</v>
      </c>
      <c r="C168" s="316">
        <f>'[1]B) D RI'!S169</f>
        <v>75</v>
      </c>
      <c r="D168" s="153">
        <f>'[1]B) D RI'!AA169</f>
        <v>367</v>
      </c>
      <c r="E168" s="314">
        <f>'[1]D) Ecrêtage'!C167</f>
        <v>9909.6989333333331</v>
      </c>
      <c r="F168" s="318">
        <f>'[1]E) Fact soc'!G173</f>
        <v>168896.91571658928</v>
      </c>
      <c r="G168" s="315">
        <f>'[1]H) Péréquation directe'!I178</f>
        <v>-12323.726686992304</v>
      </c>
      <c r="H168" s="318">
        <f>+'[1]I) Dépenses thématiques'!O167</f>
        <v>-92114.034839305183</v>
      </c>
      <c r="I168" s="315">
        <f>'[1]K) Plafonnement aide'!J167</f>
        <v>0</v>
      </c>
      <c r="J168" s="318">
        <f>'[1]J) Plafonnement effort'!I167</f>
        <v>0</v>
      </c>
      <c r="K168" s="315">
        <f>'[1]L) Plafonnement taux'!Q168</f>
        <v>0</v>
      </c>
      <c r="L168" s="313">
        <f t="shared" si="6"/>
        <v>64459.154190291796</v>
      </c>
      <c r="M168" s="234">
        <f>'[1]M) Police'!O168</f>
        <v>30333.447728093233</v>
      </c>
      <c r="N168" s="234">
        <f t="shared" si="7"/>
        <v>94792.601918385029</v>
      </c>
      <c r="O168" s="318">
        <f t="shared" si="8"/>
        <v>-104437.76152629749</v>
      </c>
      <c r="P168" s="320"/>
      <c r="Q168" s="529"/>
    </row>
    <row r="169" spans="1:17" s="154" customFormat="1" x14ac:dyDescent="0.25">
      <c r="A169" s="151">
        <f>'[1]B) D RI'!A170</f>
        <v>5674</v>
      </c>
      <c r="B169" s="152" t="str">
        <f>'[1]B) D RI'!B170</f>
        <v>Lovatens</v>
      </c>
      <c r="C169" s="316">
        <f>'[1]B) D RI'!S170</f>
        <v>75</v>
      </c>
      <c r="D169" s="153">
        <f>'[1]B) D RI'!AA170</f>
        <v>136</v>
      </c>
      <c r="E169" s="314">
        <f>'[1]D) Ecrêtage'!C168</f>
        <v>3215.0507999999995</v>
      </c>
      <c r="F169" s="318">
        <f>'[1]E) Fact soc'!G174</f>
        <v>47327.537415906518</v>
      </c>
      <c r="G169" s="315">
        <f>'[1]H) Péréquation directe'!I179</f>
        <v>-23896.862273103143</v>
      </c>
      <c r="H169" s="318">
        <f>+'[1]I) Dépenses thématiques'!O168</f>
        <v>-12427.911301915214</v>
      </c>
      <c r="I169" s="315">
        <f>'[1]K) Plafonnement aide'!J168</f>
        <v>0</v>
      </c>
      <c r="J169" s="318">
        <f>'[1]J) Plafonnement effort'!I168</f>
        <v>0</v>
      </c>
      <c r="K169" s="315">
        <f>'[1]L) Plafonnement taux'!Q169</f>
        <v>0</v>
      </c>
      <c r="L169" s="313">
        <f t="shared" si="6"/>
        <v>11002.763840888161</v>
      </c>
      <c r="M169" s="234">
        <f>'[1]M) Police'!O169</f>
        <v>9779.6447282541558</v>
      </c>
      <c r="N169" s="234">
        <f t="shared" si="7"/>
        <v>20782.408569142317</v>
      </c>
      <c r="O169" s="318">
        <f t="shared" si="8"/>
        <v>-36324.773575018356</v>
      </c>
      <c r="P169" s="320"/>
      <c r="Q169" s="529"/>
    </row>
    <row r="170" spans="1:17" s="154" customFormat="1" x14ac:dyDescent="0.25">
      <c r="A170" s="151">
        <f>'[1]B) D RI'!A171</f>
        <v>5675</v>
      </c>
      <c r="B170" s="152" t="str">
        <f>'[1]B) D RI'!B171</f>
        <v>Lucens</v>
      </c>
      <c r="C170" s="316">
        <f>'[1]B) D RI'!S171</f>
        <v>69</v>
      </c>
      <c r="D170" s="153">
        <f>'[1]B) D RI'!AA171</f>
        <v>4220</v>
      </c>
      <c r="E170" s="314">
        <f>'[1]D) Ecrêtage'!C169</f>
        <v>97758.400909090895</v>
      </c>
      <c r="F170" s="318">
        <f>'[1]E) Fact soc'!G175</f>
        <v>1895615.4201690583</v>
      </c>
      <c r="G170" s="315">
        <f>'[1]H) Péréquation directe'!I180</f>
        <v>-1392359.2196683423</v>
      </c>
      <c r="H170" s="318">
        <f>+'[1]I) Dépenses thématiques'!O169</f>
        <v>-477088.99967832561</v>
      </c>
      <c r="I170" s="315">
        <f>'[1]K) Plafonnement aide'!J169</f>
        <v>0</v>
      </c>
      <c r="J170" s="318">
        <f>'[1]J) Plafonnement effort'!I169</f>
        <v>0</v>
      </c>
      <c r="K170" s="315">
        <f>'[1]L) Plafonnement taux'!Q170</f>
        <v>0</v>
      </c>
      <c r="L170" s="313">
        <f t="shared" si="6"/>
        <v>26167.200822390383</v>
      </c>
      <c r="M170" s="234">
        <f>'[1]M) Police'!O170</f>
        <v>291639.96853325062</v>
      </c>
      <c r="N170" s="234">
        <f t="shared" si="7"/>
        <v>317807.169355641</v>
      </c>
      <c r="O170" s="318">
        <f t="shared" si="8"/>
        <v>-1869448.2193466679</v>
      </c>
      <c r="P170" s="320"/>
      <c r="Q170" s="529"/>
    </row>
    <row r="171" spans="1:17" s="154" customFormat="1" x14ac:dyDescent="0.25">
      <c r="A171" s="151">
        <f>'[1]B) D RI'!A172</f>
        <v>5678</v>
      </c>
      <c r="B171" s="152" t="str">
        <f>'[1]B) D RI'!B172</f>
        <v>Moudon</v>
      </c>
      <c r="C171" s="316">
        <f>'[1]B) D RI'!S172</f>
        <v>75</v>
      </c>
      <c r="D171" s="153">
        <f>'[1]B) D RI'!AA172</f>
        <v>6080</v>
      </c>
      <c r="E171" s="314">
        <f>'[1]D) Ecrêtage'!C170</f>
        <v>126080.27293333331</v>
      </c>
      <c r="F171" s="318">
        <f>'[1]E) Fact soc'!G176</f>
        <v>2606363.9719164721</v>
      </c>
      <c r="G171" s="315">
        <f>'[1]H) Péréquation directe'!I181</f>
        <v>-3536220.3926691776</v>
      </c>
      <c r="H171" s="318">
        <f>+'[1]I) Dépenses thématiques'!O170</f>
        <v>-1108823.9398942168</v>
      </c>
      <c r="I171" s="315">
        <f>'[1]K) Plafonnement aide'!J170</f>
        <v>0</v>
      </c>
      <c r="J171" s="318">
        <f>'[1]J) Plafonnement effort'!I170</f>
        <v>0</v>
      </c>
      <c r="K171" s="315">
        <f>'[1]L) Plafonnement taux'!Q171</f>
        <v>0</v>
      </c>
      <c r="L171" s="313">
        <f t="shared" si="6"/>
        <v>-2038680.3606469224</v>
      </c>
      <c r="M171" s="234">
        <f>'[1]M) Police'!O171</f>
        <v>378583.52667200641</v>
      </c>
      <c r="N171" s="234">
        <f t="shared" si="7"/>
        <v>-1660096.833974916</v>
      </c>
      <c r="O171" s="318">
        <f t="shared" si="8"/>
        <v>-4645044.3325633947</v>
      </c>
      <c r="P171" s="320"/>
      <c r="Q171" s="529"/>
    </row>
    <row r="172" spans="1:17" s="154" customFormat="1" x14ac:dyDescent="0.25">
      <c r="A172" s="151">
        <f>'[1]B) D RI'!A173</f>
        <v>5680</v>
      </c>
      <c r="B172" s="152" t="str">
        <f>'[1]B) D RI'!B173</f>
        <v>Ogens</v>
      </c>
      <c r="C172" s="316">
        <f>'[1]B) D RI'!S173</f>
        <v>78</v>
      </c>
      <c r="D172" s="153">
        <f>'[1]B) D RI'!AA173</f>
        <v>296</v>
      </c>
      <c r="E172" s="314">
        <f>'[1]D) Ecrêtage'!C171</f>
        <v>6313.5037606837595</v>
      </c>
      <c r="F172" s="318">
        <f>'[1]E) Fact soc'!G177</f>
        <v>129427.79098761189</v>
      </c>
      <c r="G172" s="315">
        <f>'[1]H) Péréquation directe'!I182</f>
        <v>-94803.927488851987</v>
      </c>
      <c r="H172" s="318">
        <f>+'[1]I) Dépenses thématiques'!O171</f>
        <v>-28312.071496967135</v>
      </c>
      <c r="I172" s="315">
        <f>'[1]K) Plafonnement aide'!J171</f>
        <v>0</v>
      </c>
      <c r="J172" s="318">
        <f>'[1]J) Plafonnement effort'!I171</f>
        <v>0</v>
      </c>
      <c r="K172" s="315">
        <f>'[1]L) Plafonnement taux'!Q172</f>
        <v>0</v>
      </c>
      <c r="L172" s="313">
        <f t="shared" si="6"/>
        <v>6311.7920017927718</v>
      </c>
      <c r="M172" s="234">
        <f>'[1]M) Police'!O172</f>
        <v>18896.763227695468</v>
      </c>
      <c r="N172" s="234">
        <f t="shared" si="7"/>
        <v>25208.55522948824</v>
      </c>
      <c r="O172" s="318">
        <f t="shared" si="8"/>
        <v>-123115.99898581913</v>
      </c>
      <c r="P172" s="320"/>
      <c r="Q172" s="529"/>
    </row>
    <row r="173" spans="1:17" s="154" customFormat="1" x14ac:dyDescent="0.25">
      <c r="A173" s="151">
        <f>'[1]B) D RI'!A174</f>
        <v>5683</v>
      </c>
      <c r="B173" s="152" t="str">
        <f>'[1]B) D RI'!B174</f>
        <v>Prévonloup</v>
      </c>
      <c r="C173" s="316">
        <f>'[1]B) D RI'!S174</f>
        <v>74</v>
      </c>
      <c r="D173" s="153">
        <f>'[1]B) D RI'!AA174</f>
        <v>194</v>
      </c>
      <c r="E173" s="314">
        <f>'[1]D) Ecrêtage'!C172</f>
        <v>4589.3872972972958</v>
      </c>
      <c r="F173" s="318">
        <f>'[1]E) Fact soc'!G178</f>
        <v>71550.125481803349</v>
      </c>
      <c r="G173" s="315">
        <f>'[1]H) Péréquation directe'!I183</f>
        <v>-31266.434713486145</v>
      </c>
      <c r="H173" s="318">
        <f>+'[1]I) Dépenses thématiques'!O172</f>
        <v>-21874.058655472887</v>
      </c>
      <c r="I173" s="315">
        <f>'[1]K) Plafonnement aide'!J172</f>
        <v>0</v>
      </c>
      <c r="J173" s="318">
        <f>'[1]J) Plafonnement effort'!I172</f>
        <v>0</v>
      </c>
      <c r="K173" s="315">
        <f>'[1]L) Plafonnement taux'!Q173</f>
        <v>0</v>
      </c>
      <c r="L173" s="313">
        <f t="shared" si="6"/>
        <v>18409.632112844316</v>
      </c>
      <c r="M173" s="234">
        <f>'[1]M) Police'!O173</f>
        <v>13818.487891293513</v>
      </c>
      <c r="N173" s="234">
        <f t="shared" si="7"/>
        <v>32228.120004137829</v>
      </c>
      <c r="O173" s="318">
        <f t="shared" si="8"/>
        <v>-53140.493368959033</v>
      </c>
      <c r="P173" s="320"/>
      <c r="Q173" s="529"/>
    </row>
    <row r="174" spans="1:17" s="154" customFormat="1" x14ac:dyDescent="0.25">
      <c r="A174" s="151">
        <f>'[1]B) D RI'!A175</f>
        <v>5684</v>
      </c>
      <c r="B174" s="152" t="str">
        <f>'[1]B) D RI'!B175</f>
        <v>Rossenges</v>
      </c>
      <c r="C174" s="316">
        <f>'[1]B) D RI'!S175</f>
        <v>75</v>
      </c>
      <c r="D174" s="153">
        <f>'[1]B) D RI'!AA175</f>
        <v>84</v>
      </c>
      <c r="E174" s="314">
        <f>'[1]D) Ecrêtage'!C173</f>
        <v>3098.721</v>
      </c>
      <c r="F174" s="318">
        <f>'[1]E) Fact soc'!G179</f>
        <v>45523.841383246661</v>
      </c>
      <c r="G174" s="315">
        <f>'[1]H) Péréquation directe'!I184</f>
        <v>32294.102327461704</v>
      </c>
      <c r="H174" s="318">
        <f>+'[1]I) Dépenses thématiques'!O173</f>
        <v>-11738.219003396134</v>
      </c>
      <c r="I174" s="315">
        <f>'[1]K) Plafonnement aide'!J173</f>
        <v>0</v>
      </c>
      <c r="J174" s="318">
        <f>'[1]J) Plafonnement effort'!I173</f>
        <v>0</v>
      </c>
      <c r="K174" s="315">
        <f>'[1]L) Plafonnement taux'!Q174</f>
        <v>0</v>
      </c>
      <c r="L174" s="313">
        <f t="shared" si="6"/>
        <v>66079.724707312227</v>
      </c>
      <c r="M174" s="234">
        <f>'[1]M) Police'!O174</f>
        <v>9676.4197653338651</v>
      </c>
      <c r="N174" s="234">
        <f t="shared" si="7"/>
        <v>75756.14447264609</v>
      </c>
      <c r="O174" s="318">
        <f t="shared" si="8"/>
        <v>20555.883324065569</v>
      </c>
      <c r="P174" s="320"/>
      <c r="Q174" s="529"/>
    </row>
    <row r="175" spans="1:17" s="154" customFormat="1" x14ac:dyDescent="0.25">
      <c r="A175" s="151">
        <f>'[1]B) D RI'!A176</f>
        <v>5688</v>
      </c>
      <c r="B175" s="152" t="str">
        <f>'[1]B) D RI'!B176</f>
        <v>Syens</v>
      </c>
      <c r="C175" s="316">
        <f>'[1]B) D RI'!S176</f>
        <v>75.599999999999994</v>
      </c>
      <c r="D175" s="153">
        <f>'[1]B) D RI'!AA176</f>
        <v>155</v>
      </c>
      <c r="E175" s="314">
        <f>'[1]D) Ecrêtage'!C174</f>
        <v>2742.3284391534398</v>
      </c>
      <c r="F175" s="318">
        <f>'[1]E) Fact soc'!G180</f>
        <v>40409.612180245524</v>
      </c>
      <c r="G175" s="315">
        <f>'[1]H) Péréquation directe'!I185</f>
        <v>-67843.330758204582</v>
      </c>
      <c r="H175" s="318">
        <f>+'[1]I) Dépenses thématiques'!O174</f>
        <v>-41915.783793332375</v>
      </c>
      <c r="I175" s="315">
        <f>'[1]K) Plafonnement aide'!J174</f>
        <v>5495.0910647315441</v>
      </c>
      <c r="J175" s="318">
        <f>'[1]J) Plafonnement effort'!I174</f>
        <v>0</v>
      </c>
      <c r="K175" s="315">
        <f>'[1]L) Plafonnement taux'!Q175</f>
        <v>0</v>
      </c>
      <c r="L175" s="313">
        <f t="shared" si="6"/>
        <v>-63854.411306559879</v>
      </c>
      <c r="M175" s="234">
        <f>'[1]M) Police'!O175</f>
        <v>8125.5066452107221</v>
      </c>
      <c r="N175" s="234">
        <f t="shared" si="7"/>
        <v>-55728.904661349159</v>
      </c>
      <c r="O175" s="318">
        <f t="shared" si="8"/>
        <v>-104264.02348680541</v>
      </c>
      <c r="P175" s="320"/>
      <c r="Q175" s="529"/>
    </row>
    <row r="176" spans="1:17" s="154" customFormat="1" x14ac:dyDescent="0.25">
      <c r="A176" s="151">
        <f>'[1]B) D RI'!A177</f>
        <v>5690</v>
      </c>
      <c r="B176" s="152" t="str">
        <f>'[1]B) D RI'!B177</f>
        <v>Villars-le-Comte</v>
      </c>
      <c r="C176" s="316">
        <f>'[1]B) D RI'!S177</f>
        <v>70</v>
      </c>
      <c r="D176" s="153">
        <f>'[1]B) D RI'!AA177</f>
        <v>122</v>
      </c>
      <c r="E176" s="314">
        <f>'[1]D) Ecrêtage'!C175</f>
        <v>3018.1645000000003</v>
      </c>
      <c r="F176" s="318">
        <f>'[1]E) Fact soc'!G181</f>
        <v>123206.37203302459</v>
      </c>
      <c r="G176" s="315">
        <f>'[1]H) Péréquation directe'!I186</f>
        <v>-7928.7305519157162</v>
      </c>
      <c r="H176" s="318">
        <f>+'[1]I) Dépenses thématiques'!O175</f>
        <v>0</v>
      </c>
      <c r="I176" s="315">
        <f>'[1]K) Plafonnement aide'!J175</f>
        <v>0</v>
      </c>
      <c r="J176" s="318">
        <f>'[1]J) Plafonnement effort'!I175</f>
        <v>0</v>
      </c>
      <c r="K176" s="315">
        <f>'[1]L) Plafonnement taux'!Q176</f>
        <v>0</v>
      </c>
      <c r="L176" s="313">
        <f t="shared" si="6"/>
        <v>115277.64148110888</v>
      </c>
      <c r="M176" s="234">
        <f>'[1]M) Police'!O176</f>
        <v>9019.8269123117789</v>
      </c>
      <c r="N176" s="234">
        <f t="shared" si="7"/>
        <v>124297.46839342066</v>
      </c>
      <c r="O176" s="318">
        <f t="shared" si="8"/>
        <v>-7928.7305519157162</v>
      </c>
      <c r="P176" s="320"/>
      <c r="Q176" s="529"/>
    </row>
    <row r="177" spans="1:17" s="154" customFormat="1" x14ac:dyDescent="0.25">
      <c r="A177" s="151">
        <f>'[1]B) D RI'!A178</f>
        <v>5692</v>
      </c>
      <c r="B177" s="152" t="str">
        <f>'[1]B) D RI'!B178</f>
        <v>Vucherens</v>
      </c>
      <c r="C177" s="316">
        <f>'[1]B) D RI'!S178</f>
        <v>79</v>
      </c>
      <c r="D177" s="153">
        <f>'[1]B) D RI'!AA178</f>
        <v>580</v>
      </c>
      <c r="E177" s="314">
        <f>'[1]D) Ecrêtage'!C176</f>
        <v>16002.190506329114</v>
      </c>
      <c r="F177" s="318">
        <f>'[1]E) Fact soc'!G182</f>
        <v>285682.93876971729</v>
      </c>
      <c r="G177" s="315">
        <f>'[1]H) Péréquation directe'!I187</f>
        <v>-32689.854251736426</v>
      </c>
      <c r="H177" s="318">
        <f>+'[1]I) Dépenses thématiques'!O176</f>
        <v>-67612.185806788577</v>
      </c>
      <c r="I177" s="315">
        <f>'[1]K) Plafonnement aide'!J176</f>
        <v>0</v>
      </c>
      <c r="J177" s="318">
        <f>'[1]J) Plafonnement effort'!I176</f>
        <v>0</v>
      </c>
      <c r="K177" s="315">
        <f>'[1]L) Plafonnement taux'!Q177</f>
        <v>0</v>
      </c>
      <c r="L177" s="313">
        <f t="shared" si="6"/>
        <v>185380.89871119231</v>
      </c>
      <c r="M177" s="234">
        <f>'[1]M) Police'!O177</f>
        <v>48670.66637832937</v>
      </c>
      <c r="N177" s="234">
        <f t="shared" si="7"/>
        <v>234051.56508952167</v>
      </c>
      <c r="O177" s="318">
        <f t="shared" si="8"/>
        <v>-100302.040058525</v>
      </c>
      <c r="P177" s="320"/>
      <c r="Q177" s="529"/>
    </row>
    <row r="178" spans="1:17" s="154" customFormat="1" x14ac:dyDescent="0.25">
      <c r="A178" s="151">
        <f>'[1]B) D RI'!A179</f>
        <v>5693</v>
      </c>
      <c r="B178" s="152" t="str">
        <f>'[1]B) D RI'!B179</f>
        <v>Montanaire</v>
      </c>
      <c r="C178" s="316">
        <f>'[1]B) D RI'!S179</f>
        <v>72</v>
      </c>
      <c r="D178" s="153">
        <f>'[1]B) D RI'!AA179</f>
        <v>2717</v>
      </c>
      <c r="E178" s="314">
        <f>'[1]D) Ecrêtage'!C177</f>
        <v>70807.212499999965</v>
      </c>
      <c r="F178" s="318">
        <f>'[1]E) Fact soc'!G183</f>
        <v>1208818.6463697727</v>
      </c>
      <c r="G178" s="315">
        <f>'[1]H) Péréquation directe'!I188</f>
        <v>-487677.83495772653</v>
      </c>
      <c r="H178" s="318">
        <f>+'[1]I) Dépenses thématiques'!O177</f>
        <v>-574374.51686143992</v>
      </c>
      <c r="I178" s="315">
        <f>'[1]K) Plafonnement aide'!J177</f>
        <v>0</v>
      </c>
      <c r="J178" s="318">
        <f>'[1]J) Plafonnement effort'!I177</f>
        <v>0</v>
      </c>
      <c r="K178" s="315">
        <f>'[1]L) Plafonnement taux'!Q178</f>
        <v>0</v>
      </c>
      <c r="L178" s="313">
        <f>F178+G178+H178+I178+J178+K178</f>
        <v>146766.29455060628</v>
      </c>
      <c r="M178" s="234">
        <f>'[1]M) Police'!O178</f>
        <v>215473.59199653496</v>
      </c>
      <c r="N178" s="234">
        <f t="shared" si="7"/>
        <v>362239.88654714124</v>
      </c>
      <c r="O178" s="318">
        <f t="shared" si="8"/>
        <v>-1062052.3518191664</v>
      </c>
      <c r="P178" s="320"/>
      <c r="Q178" s="529"/>
    </row>
    <row r="179" spans="1:17" s="154" customFormat="1" x14ac:dyDescent="0.25">
      <c r="A179" s="151">
        <f>'[1]B) D RI'!A180</f>
        <v>5701</v>
      </c>
      <c r="B179" s="152" t="str">
        <f>'[1]B) D RI'!B180</f>
        <v>Arnex-sur-Nyon</v>
      </c>
      <c r="C179" s="316">
        <f>'[1]B) D RI'!S180</f>
        <v>70</v>
      </c>
      <c r="D179" s="153">
        <f>'[1]B) D RI'!AA180</f>
        <v>229</v>
      </c>
      <c r="E179" s="314">
        <f>'[1]D) Ecrêtage'!C178</f>
        <v>12068.134285714286</v>
      </c>
      <c r="F179" s="318">
        <f>'[1]E) Fact soc'!G184</f>
        <v>216223.94082308756</v>
      </c>
      <c r="G179" s="315">
        <f>'[1]H) Péréquation directe'!I189</f>
        <v>212674.44350984279</v>
      </c>
      <c r="H179" s="318">
        <f>+'[1]I) Dépenses thématiques'!O178</f>
        <v>-172362.4810194833</v>
      </c>
      <c r="I179" s="315">
        <f>'[1]K) Plafonnement aide'!J178</f>
        <v>0</v>
      </c>
      <c r="J179" s="318">
        <f>'[1]J) Plafonnement effort'!I178</f>
        <v>0</v>
      </c>
      <c r="K179" s="315">
        <f>'[1]L) Plafonnement taux'!Q179</f>
        <v>0</v>
      </c>
      <c r="L179" s="313">
        <f>F179+G179+H179+I179+J179+K179</f>
        <v>256535.90331344702</v>
      </c>
      <c r="M179" s="234">
        <f>'[1]M) Police'!O179</f>
        <v>34399.028167074022</v>
      </c>
      <c r="N179" s="234">
        <f t="shared" si="7"/>
        <v>290934.93148052105</v>
      </c>
      <c r="O179" s="318">
        <f t="shared" si="8"/>
        <v>40311.962490359496</v>
      </c>
      <c r="P179" s="320"/>
      <c r="Q179" s="529"/>
    </row>
    <row r="180" spans="1:17" s="154" customFormat="1" x14ac:dyDescent="0.25">
      <c r="A180" s="151">
        <f>'[1]B) D RI'!A181</f>
        <v>5702</v>
      </c>
      <c r="B180" s="152" t="str">
        <f>'[1]B) D RI'!B181</f>
        <v>Arzier-Le Muids</v>
      </c>
      <c r="C180" s="316">
        <f>'[1]B) D RI'!S181</f>
        <v>64</v>
      </c>
      <c r="D180" s="153">
        <f>'[1]B) D RI'!AA181</f>
        <v>2801</v>
      </c>
      <c r="E180" s="314">
        <f>'[1]D) Ecrêtage'!C179</f>
        <v>173952.76901041667</v>
      </c>
      <c r="F180" s="318">
        <f>'[1]E) Fact soc'!G185</f>
        <v>3864330.6578436852</v>
      </c>
      <c r="G180" s="315">
        <f>'[1]H) Péréquation directe'!I190</f>
        <v>2721069.734219823</v>
      </c>
      <c r="H180" s="318">
        <f>+'[1]I) Dépenses thématiques'!O179</f>
        <v>-275671.3500097543</v>
      </c>
      <c r="I180" s="315">
        <f>'[1]K) Plafonnement aide'!J179</f>
        <v>0</v>
      </c>
      <c r="J180" s="318">
        <f>'[1]J) Plafonnement effort'!I179</f>
        <v>0</v>
      </c>
      <c r="K180" s="315">
        <f>'[1]L) Plafonnement taux'!Q180</f>
        <v>0</v>
      </c>
      <c r="L180" s="313">
        <f t="shared" si="6"/>
        <v>6309729.0420537535</v>
      </c>
      <c r="M180" s="234">
        <f>'[1]M) Police'!O180</f>
        <v>452155.40565908886</v>
      </c>
      <c r="N180" s="234">
        <f t="shared" si="7"/>
        <v>6761884.4477128424</v>
      </c>
      <c r="O180" s="318">
        <f t="shared" si="8"/>
        <v>2445398.3842100687</v>
      </c>
      <c r="P180" s="320"/>
      <c r="Q180" s="529"/>
    </row>
    <row r="181" spans="1:17" s="154" customFormat="1" x14ac:dyDescent="0.25">
      <c r="A181" s="151">
        <f>'[1]B) D RI'!A182</f>
        <v>5703</v>
      </c>
      <c r="B181" s="152" t="str">
        <f>'[1]B) D RI'!B182</f>
        <v>Bassins</v>
      </c>
      <c r="C181" s="316">
        <f>'[1]B) D RI'!S182</f>
        <v>74</v>
      </c>
      <c r="D181" s="153">
        <f>'[1]B) D RI'!AA182</f>
        <v>1395</v>
      </c>
      <c r="E181" s="314">
        <f>'[1]D) Ecrêtage'!C180</f>
        <v>58992.28158301158</v>
      </c>
      <c r="F181" s="318">
        <f>'[1]E) Fact soc'!G186</f>
        <v>1041922.7659929006</v>
      </c>
      <c r="G181" s="315">
        <f>'[1]H) Péréquation directe'!I191</f>
        <v>769385.62390288245</v>
      </c>
      <c r="H181" s="318">
        <f>+'[1]I) Dépenses thématiques'!O180</f>
        <v>-351042.53015735361</v>
      </c>
      <c r="I181" s="315">
        <f>'[1]K) Plafonnement aide'!J180</f>
        <v>0</v>
      </c>
      <c r="J181" s="318">
        <f>'[1]J) Plafonnement effort'!I180</f>
        <v>0</v>
      </c>
      <c r="K181" s="315">
        <f>'[1]L) Plafonnement taux'!Q181</f>
        <v>0</v>
      </c>
      <c r="L181" s="313">
        <f t="shared" si="6"/>
        <v>1460265.8597384295</v>
      </c>
      <c r="M181" s="234">
        <f>'[1]M) Police'!O181</f>
        <v>179871.23343178869</v>
      </c>
      <c r="N181" s="234">
        <f t="shared" si="7"/>
        <v>1640137.0931702182</v>
      </c>
      <c r="O181" s="318">
        <f t="shared" si="8"/>
        <v>418343.09374552884</v>
      </c>
      <c r="P181" s="320"/>
      <c r="Q181" s="529"/>
    </row>
    <row r="182" spans="1:17" s="154" customFormat="1" x14ac:dyDescent="0.25">
      <c r="A182" s="151">
        <f>'[1]B) D RI'!A183</f>
        <v>5704</v>
      </c>
      <c r="B182" s="152" t="str">
        <f>'[1]B) D RI'!B183</f>
        <v>Begnins</v>
      </c>
      <c r="C182" s="316">
        <f>'[1]B) D RI'!S183</f>
        <v>64</v>
      </c>
      <c r="D182" s="153">
        <f>'[1]B) D RI'!AA183</f>
        <v>1931</v>
      </c>
      <c r="E182" s="314">
        <f>'[1]D) Ecrêtage'!C181</f>
        <v>129564.85270833333</v>
      </c>
      <c r="F182" s="318">
        <f>'[1]E) Fact soc'!G187</f>
        <v>2842775.7944342764</v>
      </c>
      <c r="G182" s="315">
        <f>'[1]H) Péréquation directe'!I192</f>
        <v>2139046.1030278727</v>
      </c>
      <c r="H182" s="318">
        <f>+'[1]I) Dépenses thématiques'!O181</f>
        <v>0</v>
      </c>
      <c r="I182" s="315">
        <f>'[1]K) Plafonnement aide'!J181</f>
        <v>0</v>
      </c>
      <c r="J182" s="318">
        <f>'[1]J) Plafonnement effort'!I181</f>
        <v>0</v>
      </c>
      <c r="K182" s="315">
        <f>'[1]L) Plafonnement taux'!Q182</f>
        <v>0</v>
      </c>
      <c r="L182" s="313">
        <f t="shared" si="6"/>
        <v>4981821.8974621492</v>
      </c>
      <c r="M182" s="234">
        <f>'[1]M) Police'!O182</f>
        <v>323210.33220934507</v>
      </c>
      <c r="N182" s="234">
        <f t="shared" si="7"/>
        <v>5305032.2296714941</v>
      </c>
      <c r="O182" s="318">
        <f t="shared" si="8"/>
        <v>2139046.1030278727</v>
      </c>
      <c r="P182" s="320"/>
      <c r="Q182" s="529"/>
    </row>
    <row r="183" spans="1:17" s="154" customFormat="1" x14ac:dyDescent="0.25">
      <c r="A183" s="151">
        <f>'[1]B) D RI'!A184</f>
        <v>5705</v>
      </c>
      <c r="B183" s="152" t="str">
        <f>'[1]B) D RI'!B184</f>
        <v>Bogis-Bossey</v>
      </c>
      <c r="C183" s="316">
        <f>'[1]B) D RI'!S184</f>
        <v>76</v>
      </c>
      <c r="D183" s="153">
        <f>'[1]B) D RI'!AA184</f>
        <v>825</v>
      </c>
      <c r="E183" s="314">
        <f>'[1]D) Ecrêtage'!C182</f>
        <v>47436.61605263158</v>
      </c>
      <c r="F183" s="318">
        <f>'[1]E) Fact soc'!G188</f>
        <v>995166.48959438351</v>
      </c>
      <c r="G183" s="315">
        <f>'[1]H) Péréquation directe'!I193</f>
        <v>845405.97747687006</v>
      </c>
      <c r="H183" s="318">
        <f>+'[1]I) Dépenses thématiques'!O182</f>
        <v>0</v>
      </c>
      <c r="I183" s="315">
        <f>'[1]K) Plafonnement aide'!J182</f>
        <v>0</v>
      </c>
      <c r="J183" s="318">
        <f>'[1]J) Plafonnement effort'!I182</f>
        <v>0</v>
      </c>
      <c r="K183" s="315">
        <f>'[1]L) Plafonnement taux'!Q183</f>
        <v>0</v>
      </c>
      <c r="L183" s="313">
        <f t="shared" si="6"/>
        <v>1840572.4670712536</v>
      </c>
      <c r="M183" s="234">
        <f>'[1]M) Police'!O183</f>
        <v>128647.50104492967</v>
      </c>
      <c r="N183" s="234">
        <f t="shared" si="7"/>
        <v>1969219.9681161833</v>
      </c>
      <c r="O183" s="318">
        <f t="shared" si="8"/>
        <v>845405.97747687006</v>
      </c>
      <c r="P183" s="320"/>
      <c r="Q183" s="529"/>
    </row>
    <row r="184" spans="1:17" s="154" customFormat="1" x14ac:dyDescent="0.25">
      <c r="A184" s="151">
        <f>'[1]B) D RI'!A185</f>
        <v>5706</v>
      </c>
      <c r="B184" s="152" t="str">
        <f>'[1]B) D RI'!B185</f>
        <v>Borex</v>
      </c>
      <c r="C184" s="316">
        <f>'[1]B) D RI'!S185</f>
        <v>58</v>
      </c>
      <c r="D184" s="153">
        <f>'[1]B) D RI'!AA185</f>
        <v>1132</v>
      </c>
      <c r="E184" s="314">
        <f>'[1]D) Ecrêtage'!C183</f>
        <v>76683.378793103446</v>
      </c>
      <c r="F184" s="318">
        <f>'[1]E) Fact soc'!G189</f>
        <v>1591318.1194359257</v>
      </c>
      <c r="G184" s="315">
        <f>'[1]H) Péréquation directe'!I194</f>
        <v>1362119.4899935434</v>
      </c>
      <c r="H184" s="318">
        <f>+'[1]I) Dépenses thématiques'!O183</f>
        <v>0</v>
      </c>
      <c r="I184" s="315">
        <f>'[1]K) Plafonnement aide'!J183</f>
        <v>0</v>
      </c>
      <c r="J184" s="318">
        <f>'[1]J) Plafonnement effort'!I183</f>
        <v>0</v>
      </c>
      <c r="K184" s="315">
        <f>'[1]L) Plafonnement taux'!Q184</f>
        <v>0</v>
      </c>
      <c r="L184" s="313">
        <f t="shared" si="6"/>
        <v>2953437.6094294693</v>
      </c>
      <c r="M184" s="234">
        <f>'[1]M) Police'!O184</f>
        <v>190343.33382047989</v>
      </c>
      <c r="N184" s="234">
        <f t="shared" si="7"/>
        <v>3143780.9432499493</v>
      </c>
      <c r="O184" s="318">
        <f t="shared" si="8"/>
        <v>1362119.4899935434</v>
      </c>
      <c r="P184" s="320"/>
      <c r="Q184" s="529"/>
    </row>
    <row r="185" spans="1:17" s="154" customFormat="1" x14ac:dyDescent="0.25">
      <c r="A185" s="151">
        <f>'[1]B) D RI'!A186</f>
        <v>5707</v>
      </c>
      <c r="B185" s="152" t="str">
        <f>'[1]B) D RI'!B186</f>
        <v>Chavannes-de-Bogis</v>
      </c>
      <c r="C185" s="316">
        <f>'[1]B) D RI'!S186</f>
        <v>59</v>
      </c>
      <c r="D185" s="153">
        <f>'[1]B) D RI'!AA186</f>
        <v>1357</v>
      </c>
      <c r="E185" s="314">
        <f>'[1]D) Ecrêtage'!C184</f>
        <v>81307.638983050841</v>
      </c>
      <c r="F185" s="318">
        <f>'[1]E) Fact soc'!G190</f>
        <v>1808981.2649503581</v>
      </c>
      <c r="G185" s="315">
        <f>'[1]H) Péréquation directe'!I195</f>
        <v>1375489.5075133874</v>
      </c>
      <c r="H185" s="318">
        <f>+'[1]I) Dépenses thématiques'!O184</f>
        <v>0</v>
      </c>
      <c r="I185" s="315">
        <f>'[1]K) Plafonnement aide'!J184</f>
        <v>0</v>
      </c>
      <c r="J185" s="318">
        <f>'[1]J) Plafonnement effort'!I184</f>
        <v>0</v>
      </c>
      <c r="K185" s="315">
        <f>'[1]L) Plafonnement taux'!Q185</f>
        <v>0</v>
      </c>
      <c r="L185" s="313">
        <f t="shared" si="6"/>
        <v>3184470.7724637454</v>
      </c>
      <c r="M185" s="234">
        <f>'[1]M) Police'!O185</f>
        <v>215518.04621249839</v>
      </c>
      <c r="N185" s="234">
        <f t="shared" si="7"/>
        <v>3399988.818676244</v>
      </c>
      <c r="O185" s="318">
        <f t="shared" si="8"/>
        <v>1375489.5075133874</v>
      </c>
      <c r="P185" s="320"/>
      <c r="Q185" s="529"/>
    </row>
    <row r="186" spans="1:17" s="154" customFormat="1" x14ac:dyDescent="0.25">
      <c r="A186" s="151">
        <f>'[1]B) D RI'!A187</f>
        <v>5708</v>
      </c>
      <c r="B186" s="152" t="str">
        <f>'[1]B) D RI'!B187</f>
        <v>Chavannes-des-Bois</v>
      </c>
      <c r="C186" s="316">
        <f>'[1]B) D RI'!S187</f>
        <v>68</v>
      </c>
      <c r="D186" s="153">
        <f>'[1]B) D RI'!AA187</f>
        <v>960</v>
      </c>
      <c r="E186" s="314">
        <f>'[1]D) Ecrêtage'!C185</f>
        <v>64704.48911764707</v>
      </c>
      <c r="F186" s="318">
        <f>'[1]E) Fact soc'!G191</f>
        <v>1525222.8267562927</v>
      </c>
      <c r="G186" s="315">
        <f>'[1]H) Péréquation directe'!I196</f>
        <v>1173919.0921540153</v>
      </c>
      <c r="H186" s="318">
        <f>+'[1]I) Dépenses thématiques'!O185</f>
        <v>0</v>
      </c>
      <c r="I186" s="315">
        <f>'[1]K) Plafonnement aide'!J185</f>
        <v>0</v>
      </c>
      <c r="J186" s="318">
        <f>'[1]J) Plafonnement effort'!I185</f>
        <v>0</v>
      </c>
      <c r="K186" s="315">
        <f>'[1]L) Plafonnement taux'!Q186</f>
        <v>0</v>
      </c>
      <c r="L186" s="313">
        <f t="shared" si="6"/>
        <v>2699141.9189103078</v>
      </c>
      <c r="M186" s="234">
        <f>'[1]M) Police'!O186</f>
        <v>161031.63164387451</v>
      </c>
      <c r="N186" s="234">
        <f t="shared" si="7"/>
        <v>2860173.5505541824</v>
      </c>
      <c r="O186" s="318">
        <f t="shared" si="8"/>
        <v>1173919.0921540153</v>
      </c>
      <c r="P186" s="320"/>
      <c r="Q186" s="529"/>
    </row>
    <row r="187" spans="1:17" s="154" customFormat="1" x14ac:dyDescent="0.25">
      <c r="A187" s="151">
        <f>'[1]B) D RI'!A188</f>
        <v>5709</v>
      </c>
      <c r="B187" s="152" t="str">
        <f>'[1]B) D RI'!B188</f>
        <v>Chéserex</v>
      </c>
      <c r="C187" s="316">
        <f>'[1]B) D RI'!S188</f>
        <v>57</v>
      </c>
      <c r="D187" s="153">
        <f>'[1]B) D RI'!AA188</f>
        <v>1238</v>
      </c>
      <c r="E187" s="314">
        <f>'[1]D) Ecrêtage'!C186</f>
        <v>99426.699824561394</v>
      </c>
      <c r="F187" s="318">
        <f>'[1]E) Fact soc'!G192</f>
        <v>2479999.2615934224</v>
      </c>
      <c r="G187" s="315">
        <f>'[1]H) Péréquation directe'!I197</f>
        <v>1779851.464284305</v>
      </c>
      <c r="H187" s="318">
        <f>+'[1]I) Dépenses thématiques'!O186</f>
        <v>0</v>
      </c>
      <c r="I187" s="315">
        <f>'[1]K) Plafonnement aide'!J186</f>
        <v>0</v>
      </c>
      <c r="J187" s="318">
        <f>'[1]J) Plafonnement effort'!I186</f>
        <v>0</v>
      </c>
      <c r="K187" s="315">
        <f>'[1]L) Plafonnement taux'!Q187</f>
        <v>0</v>
      </c>
      <c r="L187" s="313">
        <f t="shared" si="6"/>
        <v>4259850.7258777274</v>
      </c>
      <c r="M187" s="234">
        <f>'[1]M) Police'!O187</f>
        <v>226721.27805264265</v>
      </c>
      <c r="N187" s="234">
        <f t="shared" si="7"/>
        <v>4486572.0039303703</v>
      </c>
      <c r="O187" s="318">
        <f t="shared" si="8"/>
        <v>1779851.464284305</v>
      </c>
      <c r="P187" s="320"/>
      <c r="Q187" s="529"/>
    </row>
    <row r="188" spans="1:17" s="154" customFormat="1" x14ac:dyDescent="0.25">
      <c r="A188" s="151">
        <f>'[1]B) D RI'!A189</f>
        <v>5710</v>
      </c>
      <c r="B188" s="152" t="str">
        <f>'[1]B) D RI'!B189</f>
        <v>Coinsins</v>
      </c>
      <c r="C188" s="316">
        <f>'[1]B) D RI'!S189</f>
        <v>51</v>
      </c>
      <c r="D188" s="153">
        <f>'[1]B) D RI'!AA189</f>
        <v>494</v>
      </c>
      <c r="E188" s="314">
        <f>'[1]D) Ecrêtage'!C187</f>
        <v>112110.92803921571</v>
      </c>
      <c r="F188" s="318">
        <f>'[1]E) Fact soc'!G193</f>
        <v>4001536.115234836</v>
      </c>
      <c r="G188" s="315">
        <f>'[1]H) Péréquation directe'!I198</f>
        <v>2180908.0705701737</v>
      </c>
      <c r="H188" s="318">
        <f>+'[1]I) Dépenses thématiques'!O187</f>
        <v>0</v>
      </c>
      <c r="I188" s="315">
        <f>'[1]K) Plafonnement aide'!J187</f>
        <v>0</v>
      </c>
      <c r="J188" s="318">
        <f>'[1]J) Plafonnement effort'!I187</f>
        <v>-1137452.4240403031</v>
      </c>
      <c r="K188" s="315">
        <f>'[1]L) Plafonnement taux'!Q188</f>
        <v>0</v>
      </c>
      <c r="L188" s="313">
        <f t="shared" si="6"/>
        <v>5044991.761764707</v>
      </c>
      <c r="M188" s="234">
        <f>'[1]M) Police'!O188</f>
        <v>176829.54365327678</v>
      </c>
      <c r="N188" s="234">
        <f t="shared" si="7"/>
        <v>5221821.3054179838</v>
      </c>
      <c r="O188" s="318">
        <f t="shared" si="8"/>
        <v>1043455.6465298706</v>
      </c>
      <c r="P188" s="320"/>
      <c r="Q188" s="529"/>
    </row>
    <row r="189" spans="1:17" s="154" customFormat="1" x14ac:dyDescent="0.25">
      <c r="A189" s="151">
        <f>'[1]B) D RI'!A190</f>
        <v>5711</v>
      </c>
      <c r="B189" s="152" t="str">
        <f>'[1]B) D RI'!B190</f>
        <v>Commugny</v>
      </c>
      <c r="C189" s="316">
        <f>'[1]B) D RI'!S190</f>
        <v>57</v>
      </c>
      <c r="D189" s="153">
        <f>'[1]B) D RI'!AA190</f>
        <v>2935</v>
      </c>
      <c r="E189" s="314">
        <f>'[1]D) Ecrêtage'!C188</f>
        <v>257487.27623481784</v>
      </c>
      <c r="F189" s="318">
        <f>'[1]E) Fact soc'!G194</f>
        <v>6641777.1852600537</v>
      </c>
      <c r="G189" s="315">
        <f>'[1]H) Péréquation directe'!I199</f>
        <v>4345182.8845916782</v>
      </c>
      <c r="H189" s="318">
        <f>+'[1]I) Dépenses thématiques'!O188</f>
        <v>0</v>
      </c>
      <c r="I189" s="315">
        <f>'[1]K) Plafonnement aide'!J188</f>
        <v>0</v>
      </c>
      <c r="J189" s="318">
        <f>'[1]J) Plafonnement effort'!I188</f>
        <v>0</v>
      </c>
      <c r="K189" s="315">
        <f>'[1]L) Plafonnement taux'!Q189</f>
        <v>0</v>
      </c>
      <c r="L189" s="313">
        <f t="shared" si="6"/>
        <v>10986960.069851732</v>
      </c>
      <c r="M189" s="234">
        <f>'[1]M) Police'!O189</f>
        <v>563456.92772892653</v>
      </c>
      <c r="N189" s="234">
        <f t="shared" si="7"/>
        <v>11550416.997580659</v>
      </c>
      <c r="O189" s="318">
        <f t="shared" si="8"/>
        <v>4345182.8845916782</v>
      </c>
      <c r="P189" s="320"/>
      <c r="Q189" s="529"/>
    </row>
    <row r="190" spans="1:17" s="154" customFormat="1" x14ac:dyDescent="0.25">
      <c r="A190" s="151">
        <f>'[1]B) D RI'!A191</f>
        <v>5712</v>
      </c>
      <c r="B190" s="152" t="str">
        <f>'[1]B) D RI'!B191</f>
        <v>Coppet</v>
      </c>
      <c r="C190" s="316">
        <f>'[1]B) D RI'!S191</f>
        <v>53</v>
      </c>
      <c r="D190" s="153">
        <f>'[1]B) D RI'!AA191</f>
        <v>3211</v>
      </c>
      <c r="E190" s="314">
        <f>'[1]D) Ecrêtage'!C189</f>
        <v>389043.84018867929</v>
      </c>
      <c r="F190" s="318">
        <f>'[1]E) Fact soc'!G195</f>
        <v>11800015.109192647</v>
      </c>
      <c r="G190" s="315">
        <f>'[1]H) Péréquation directe'!I200</f>
        <v>6848299.2752975617</v>
      </c>
      <c r="H190" s="318">
        <f>+'[1]I) Dépenses thématiques'!O189</f>
        <v>0</v>
      </c>
      <c r="I190" s="315">
        <f>'[1]K) Plafonnement aide'!J189</f>
        <v>0</v>
      </c>
      <c r="J190" s="318">
        <f>'[1]J) Plafonnement effort'!I189</f>
        <v>-1141341.5759996397</v>
      </c>
      <c r="K190" s="315">
        <f>'[1]L) Plafonnement taux'!Q190</f>
        <v>0</v>
      </c>
      <c r="L190" s="313">
        <f t="shared" si="6"/>
        <v>17506972.808490567</v>
      </c>
      <c r="M190" s="234">
        <f>'[1]M) Police'!O190</f>
        <v>744420.19746184908</v>
      </c>
      <c r="N190" s="234">
        <f t="shared" si="7"/>
        <v>18251393.005952418</v>
      </c>
      <c r="O190" s="318">
        <f t="shared" si="8"/>
        <v>5706957.6992979217</v>
      </c>
      <c r="P190" s="320"/>
      <c r="Q190" s="529"/>
    </row>
    <row r="191" spans="1:17" s="154" customFormat="1" x14ac:dyDescent="0.25">
      <c r="A191" s="151">
        <f>'[1]B) D RI'!A192</f>
        <v>5713</v>
      </c>
      <c r="B191" s="152" t="str">
        <f>'[1]B) D RI'!B192</f>
        <v>Crans-près-Céligny</v>
      </c>
      <c r="C191" s="316">
        <f>'[1]B) D RI'!S192</f>
        <v>56</v>
      </c>
      <c r="D191" s="153">
        <f>'[1]B) D RI'!AA192</f>
        <v>2286</v>
      </c>
      <c r="E191" s="314">
        <f>'[1]D) Ecrêtage'!C190</f>
        <v>285689.07035714283</v>
      </c>
      <c r="F191" s="318">
        <f>'[1]E) Fact soc'!G196</f>
        <v>8691804.7284708247</v>
      </c>
      <c r="G191" s="315">
        <f>'[1]H) Péréquation directe'!I201</f>
        <v>5137700.0681718709</v>
      </c>
      <c r="H191" s="318">
        <f>+'[1]I) Dépenses thématiques'!O190</f>
        <v>0</v>
      </c>
      <c r="I191" s="315">
        <f>'[1]K) Plafonnement aide'!J190</f>
        <v>0</v>
      </c>
      <c r="J191" s="318">
        <f>'[1]J) Plafonnement effort'!I190</f>
        <v>-973496.63057126792</v>
      </c>
      <c r="K191" s="315">
        <f>'[1]L) Plafonnement taux'!Q191</f>
        <v>0</v>
      </c>
      <c r="L191" s="313">
        <f t="shared" si="6"/>
        <v>12856008.166071426</v>
      </c>
      <c r="M191" s="234">
        <f>'[1]M) Police'!O191</f>
        <v>340605.81673194497</v>
      </c>
      <c r="N191" s="234">
        <f t="shared" si="7"/>
        <v>13196613.982803371</v>
      </c>
      <c r="O191" s="318">
        <f t="shared" si="8"/>
        <v>4164203.4376006029</v>
      </c>
      <c r="P191" s="320"/>
      <c r="Q191" s="529"/>
    </row>
    <row r="192" spans="1:17" s="154" customFormat="1" x14ac:dyDescent="0.25">
      <c r="A192" s="151">
        <f>'[1]B) D RI'!A193</f>
        <v>5714</v>
      </c>
      <c r="B192" s="152" t="str">
        <f>'[1]B) D RI'!B193</f>
        <v>Crassier</v>
      </c>
      <c r="C192" s="316">
        <f>'[1]B) D RI'!S193</f>
        <v>68</v>
      </c>
      <c r="D192" s="153">
        <f>'[1]B) D RI'!AA193</f>
        <v>1169</v>
      </c>
      <c r="E192" s="314">
        <f>'[1]D) Ecrêtage'!C191</f>
        <v>69757.357205882377</v>
      </c>
      <c r="F192" s="318">
        <f>'[1]E) Fact soc'!G197</f>
        <v>1425891.9622207661</v>
      </c>
      <c r="G192" s="315">
        <f>'[1]H) Péréquation directe'!I202</f>
        <v>1210537.5760578243</v>
      </c>
      <c r="H192" s="318">
        <f>+'[1]I) Dépenses thématiques'!O191</f>
        <v>0</v>
      </c>
      <c r="I192" s="315">
        <f>'[1]K) Plafonnement aide'!J191</f>
        <v>0</v>
      </c>
      <c r="J192" s="318">
        <f>'[1]J) Plafonnement effort'!I191</f>
        <v>0</v>
      </c>
      <c r="K192" s="315">
        <f>'[1]L) Plafonnement taux'!Q192</f>
        <v>0</v>
      </c>
      <c r="L192" s="313">
        <f t="shared" si="6"/>
        <v>2636429.5382785904</v>
      </c>
      <c r="M192" s="234">
        <f>'[1]M) Police'!O192</f>
        <v>185319.1865884604</v>
      </c>
      <c r="N192" s="234">
        <f t="shared" si="7"/>
        <v>2821748.724867051</v>
      </c>
      <c r="O192" s="318">
        <f t="shared" si="8"/>
        <v>1210537.5760578243</v>
      </c>
      <c r="P192" s="320"/>
      <c r="Q192" s="529"/>
    </row>
    <row r="193" spans="1:17" s="154" customFormat="1" x14ac:dyDescent="0.25">
      <c r="A193" s="151">
        <f>'[1]B) D RI'!A194</f>
        <v>5715</v>
      </c>
      <c r="B193" s="152" t="str">
        <f>'[1]B) D RI'!B194</f>
        <v>Duillier</v>
      </c>
      <c r="C193" s="316">
        <f>'[1]B) D RI'!S194</f>
        <v>66</v>
      </c>
      <c r="D193" s="153">
        <f>'[1]B) D RI'!AA194</f>
        <v>1090</v>
      </c>
      <c r="E193" s="314">
        <f>'[1]D) Ecrêtage'!C192</f>
        <v>70129.929393939397</v>
      </c>
      <c r="F193" s="318">
        <f>'[1]E) Fact soc'!G198</f>
        <v>1501101.4297484469</v>
      </c>
      <c r="G193" s="315">
        <f>'[1]H) Péréquation directe'!I203</f>
        <v>1245780.5971707872</v>
      </c>
      <c r="H193" s="318">
        <f>+'[1]I) Dépenses thématiques'!O192</f>
        <v>0</v>
      </c>
      <c r="I193" s="315">
        <f>'[1]K) Plafonnement aide'!J192</f>
        <v>0</v>
      </c>
      <c r="J193" s="318">
        <f>'[1]J) Plafonnement effort'!I192</f>
        <v>0</v>
      </c>
      <c r="K193" s="315">
        <f>'[1]L) Plafonnement taux'!Q193</f>
        <v>0</v>
      </c>
      <c r="L193" s="313">
        <f t="shared" si="6"/>
        <v>2746882.0269192341</v>
      </c>
      <c r="M193" s="234">
        <f>'[1]M) Police'!O193</f>
        <v>178859.98762070975</v>
      </c>
      <c r="N193" s="234">
        <f t="shared" si="7"/>
        <v>2925742.014539944</v>
      </c>
      <c r="O193" s="318">
        <f t="shared" si="8"/>
        <v>1245780.5971707872</v>
      </c>
      <c r="P193" s="320"/>
      <c r="Q193" s="529"/>
    </row>
    <row r="194" spans="1:17" s="154" customFormat="1" x14ac:dyDescent="0.25">
      <c r="A194" s="151">
        <f>'[1]B) D RI'!A195</f>
        <v>5716</v>
      </c>
      <c r="B194" s="152" t="str">
        <f>'[1]B) D RI'!B195</f>
        <v>Eysins</v>
      </c>
      <c r="C194" s="316">
        <f>'[1]B) D RI'!S195</f>
        <v>61</v>
      </c>
      <c r="D194" s="153">
        <f>'[1]B) D RI'!AA195</f>
        <v>1737</v>
      </c>
      <c r="E194" s="314">
        <f>'[1]D) Ecrêtage'!C193</f>
        <v>206146.61786885248</v>
      </c>
      <c r="F194" s="318">
        <f>'[1]E) Fact soc'!G199</f>
        <v>6377633.2673162641</v>
      </c>
      <c r="G194" s="315">
        <f>'[1]H) Péréquation directe'!I204</f>
        <v>3739435.3567804457</v>
      </c>
      <c r="H194" s="318">
        <f>+'[1]I) Dépenses thématiques'!O193</f>
        <v>0</v>
      </c>
      <c r="I194" s="315">
        <f>'[1]K) Plafonnement aide'!J193</f>
        <v>0</v>
      </c>
      <c r="J194" s="318">
        <f>'[1]J) Plafonnement effort'!I193</f>
        <v>-840470.81999834778</v>
      </c>
      <c r="K194" s="315">
        <f>'[1]L) Plafonnement taux'!Q194</f>
        <v>0</v>
      </c>
      <c r="L194" s="313">
        <f t="shared" si="6"/>
        <v>9276597.8040983621</v>
      </c>
      <c r="M194" s="234">
        <f>'[1]M) Police'!O194</f>
        <v>397560.44506263523</v>
      </c>
      <c r="N194" s="234">
        <f t="shared" si="7"/>
        <v>9674158.2491609976</v>
      </c>
      <c r="O194" s="318">
        <f t="shared" si="8"/>
        <v>2898964.536782098</v>
      </c>
      <c r="P194" s="320"/>
      <c r="Q194" s="529"/>
    </row>
    <row r="195" spans="1:17" s="154" customFormat="1" x14ac:dyDescent="0.25">
      <c r="A195" s="151">
        <f>'[1]B) D RI'!A196</f>
        <v>5717</v>
      </c>
      <c r="B195" s="152" t="str">
        <f>'[1]B) D RI'!B196</f>
        <v>Founex</v>
      </c>
      <c r="C195" s="316">
        <f>'[1]B) D RI'!S196</f>
        <v>57</v>
      </c>
      <c r="D195" s="153">
        <f>'[1]B) D RI'!AA196</f>
        <v>3772</v>
      </c>
      <c r="E195" s="314">
        <f>'[1]D) Ecrêtage'!C194</f>
        <v>344775.19280701759</v>
      </c>
      <c r="F195" s="318">
        <f>'[1]E) Fact soc'!G200</f>
        <v>9407615.2036280688</v>
      </c>
      <c r="G195" s="315">
        <f>'[1]H) Péréquation directe'!I205</f>
        <v>5680719.1645953385</v>
      </c>
      <c r="H195" s="318">
        <f>+'[1]I) Dépenses thématiques'!O194</f>
        <v>0</v>
      </c>
      <c r="I195" s="315">
        <f>'[1]K) Plafonnement aide'!J194</f>
        <v>0</v>
      </c>
      <c r="J195" s="318">
        <f>'[1]J) Plafonnement effort'!I194</f>
        <v>0</v>
      </c>
      <c r="K195" s="315">
        <f>'[1]L) Plafonnement taux'!Q195</f>
        <v>0</v>
      </c>
      <c r="L195" s="313">
        <f t="shared" si="6"/>
        <v>15088334.368223406</v>
      </c>
      <c r="M195" s="234">
        <f>'[1]M) Police'!O195</f>
        <v>740664.78458728781</v>
      </c>
      <c r="N195" s="234">
        <f t="shared" si="7"/>
        <v>15828999.152810695</v>
      </c>
      <c r="O195" s="318">
        <f t="shared" si="8"/>
        <v>5680719.1645953385</v>
      </c>
      <c r="P195" s="320"/>
      <c r="Q195" s="529"/>
    </row>
    <row r="196" spans="1:17" s="154" customFormat="1" x14ac:dyDescent="0.25">
      <c r="A196" s="151">
        <f>'[1]B) D RI'!A197</f>
        <v>5718</v>
      </c>
      <c r="B196" s="152" t="str">
        <f>'[1]B) D RI'!B197</f>
        <v>Genolier</v>
      </c>
      <c r="C196" s="316">
        <f>'[1]B) D RI'!S197</f>
        <v>55</v>
      </c>
      <c r="D196" s="153">
        <f>'[1]B) D RI'!AA197</f>
        <v>2000</v>
      </c>
      <c r="E196" s="314">
        <f>'[1]D) Ecrêtage'!C195</f>
        <v>171473.77890909091</v>
      </c>
      <c r="F196" s="318">
        <f>'[1]E) Fact soc'!G201</f>
        <v>4653862.9081177805</v>
      </c>
      <c r="G196" s="315">
        <f>'[1]H) Péréquation directe'!I206</f>
        <v>2953233.5567758828</v>
      </c>
      <c r="H196" s="318">
        <f>+'[1]I) Dépenses thématiques'!O195</f>
        <v>0</v>
      </c>
      <c r="I196" s="315">
        <f>'[1]K) Plafonnement aide'!J195</f>
        <v>0</v>
      </c>
      <c r="J196" s="318">
        <f>'[1]J) Plafonnement effort'!I195</f>
        <v>0</v>
      </c>
      <c r="K196" s="315">
        <f>'[1]L) Plafonnement taux'!Q196</f>
        <v>0</v>
      </c>
      <c r="L196" s="313">
        <f t="shared" si="6"/>
        <v>7607096.4648936633</v>
      </c>
      <c r="M196" s="234">
        <f>'[1]M) Police'!O196</f>
        <v>379204.76827117411</v>
      </c>
      <c r="N196" s="234">
        <f t="shared" si="7"/>
        <v>7986301.2331648376</v>
      </c>
      <c r="O196" s="318">
        <f t="shared" si="8"/>
        <v>2953233.5567758828</v>
      </c>
      <c r="P196" s="320"/>
      <c r="Q196" s="529"/>
    </row>
    <row r="197" spans="1:17" s="154" customFormat="1" x14ac:dyDescent="0.25">
      <c r="A197" s="151">
        <f>'[1]B) D RI'!A198</f>
        <v>5719</v>
      </c>
      <c r="B197" s="152" t="str">
        <f>'[1]B) D RI'!B198</f>
        <v>Gingins</v>
      </c>
      <c r="C197" s="316">
        <f>'[1]B) D RI'!S198</f>
        <v>57</v>
      </c>
      <c r="D197" s="153">
        <f>'[1]B) D RI'!AA198</f>
        <v>1239</v>
      </c>
      <c r="E197" s="314">
        <f>'[1]D) Ecrêtage'!C196</f>
        <v>142317.67801169588</v>
      </c>
      <c r="F197" s="318">
        <f>'[1]E) Fact soc'!G202</f>
        <v>4110896.608271278</v>
      </c>
      <c r="G197" s="315">
        <f>'[1]H) Péréquation directe'!I207</f>
        <v>2637606.2468853742</v>
      </c>
      <c r="H197" s="318">
        <f>+'[1]I) Dépenses thématiques'!O196</f>
        <v>0</v>
      </c>
      <c r="I197" s="315">
        <f>'[1]K) Plafonnement aide'!J196</f>
        <v>0</v>
      </c>
      <c r="J197" s="318">
        <f>'[1]J) Plafonnement effort'!I196</f>
        <v>-344207.34463033732</v>
      </c>
      <c r="K197" s="315">
        <f>'[1]L) Plafonnement taux'!Q197</f>
        <v>0</v>
      </c>
      <c r="L197" s="313">
        <f t="shared" si="6"/>
        <v>6404295.5105263153</v>
      </c>
      <c r="M197" s="234">
        <f>'[1]M) Police'!O197</f>
        <v>277944.38393895287</v>
      </c>
      <c r="N197" s="234">
        <f t="shared" si="7"/>
        <v>6682239.8944652686</v>
      </c>
      <c r="O197" s="318">
        <f t="shared" si="8"/>
        <v>2293398.9022550369</v>
      </c>
      <c r="P197" s="320"/>
      <c r="Q197" s="529"/>
    </row>
    <row r="198" spans="1:17" s="154" customFormat="1" x14ac:dyDescent="0.25">
      <c r="A198" s="151">
        <f>'[1]B) D RI'!A199</f>
        <v>5720</v>
      </c>
      <c r="B198" s="152" t="str">
        <f>'[1]B) D RI'!B199</f>
        <v>Givrins</v>
      </c>
      <c r="C198" s="316">
        <f>'[1]B) D RI'!S199</f>
        <v>67</v>
      </c>
      <c r="D198" s="153">
        <f>'[1]B) D RI'!AA199</f>
        <v>1032</v>
      </c>
      <c r="E198" s="314">
        <f>'[1]D) Ecrêtage'!C197</f>
        <v>82564.367429519058</v>
      </c>
      <c r="F198" s="318">
        <f>'[1]E) Fact soc'!G203</f>
        <v>2187813.2407735381</v>
      </c>
      <c r="G198" s="315">
        <f>'[1]H) Péréquation directe'!I208</f>
        <v>1514954.6681908567</v>
      </c>
      <c r="H198" s="318">
        <f>+'[1]I) Dépenses thématiques'!O197</f>
        <v>-40005.618853129818</v>
      </c>
      <c r="I198" s="315">
        <f>'[1]K) Plafonnement aide'!J197</f>
        <v>0</v>
      </c>
      <c r="J198" s="318">
        <f>'[1]J) Plafonnement effort'!I197</f>
        <v>0</v>
      </c>
      <c r="K198" s="315">
        <f>'[1]L) Plafonnement taux'!Q198</f>
        <v>0</v>
      </c>
      <c r="L198" s="313">
        <f t="shared" si="6"/>
        <v>3662762.2901112647</v>
      </c>
      <c r="M198" s="234">
        <f>'[1]M) Police'!O198</f>
        <v>188616.33172644541</v>
      </c>
      <c r="N198" s="234">
        <f t="shared" si="7"/>
        <v>3851378.62183771</v>
      </c>
      <c r="O198" s="318">
        <f t="shared" si="8"/>
        <v>1474949.0493377268</v>
      </c>
      <c r="P198" s="320"/>
      <c r="Q198" s="529"/>
    </row>
    <row r="199" spans="1:17" s="154" customFormat="1" x14ac:dyDescent="0.25">
      <c r="A199" s="151">
        <f>'[1]B) D RI'!A200</f>
        <v>5721</v>
      </c>
      <c r="B199" s="152" t="str">
        <f>'[1]B) D RI'!B200</f>
        <v>Gland</v>
      </c>
      <c r="C199" s="316">
        <f>'[1]B) D RI'!S200</f>
        <v>62.5</v>
      </c>
      <c r="D199" s="153">
        <f>'[1]B) D RI'!AA200</f>
        <v>13194</v>
      </c>
      <c r="E199" s="314">
        <f>'[1]D) Ecrêtage'!C198</f>
        <v>655037.95408000017</v>
      </c>
      <c r="F199" s="318">
        <f>'[1]E) Fact soc'!G204</f>
        <v>17563431.432870831</v>
      </c>
      <c r="G199" s="315">
        <f>'[1]H) Péréquation directe'!I209</f>
        <v>5096056.3646534383</v>
      </c>
      <c r="H199" s="318">
        <f>+'[1]I) Dépenses thématiques'!O198</f>
        <v>0</v>
      </c>
      <c r="I199" s="315">
        <f>'[1]K) Plafonnement aide'!J198</f>
        <v>0</v>
      </c>
      <c r="J199" s="318">
        <f>'[1]J) Plafonnement effort'!I198</f>
        <v>0</v>
      </c>
      <c r="K199" s="315">
        <f>'[1]L) Plafonnement taux'!Q199</f>
        <v>0</v>
      </c>
      <c r="L199" s="313">
        <f t="shared" ref="L199:L262" si="9">F199+G199+H199+I199+J199+K199</f>
        <v>22659487.79752427</v>
      </c>
      <c r="M199" s="234">
        <f>'[1]M) Police'!O199</f>
        <v>1933906.360346796</v>
      </c>
      <c r="N199" s="234">
        <f t="shared" ref="N199:N262" si="10">L199+M199</f>
        <v>24593394.157871068</v>
      </c>
      <c r="O199" s="318">
        <f t="shared" ref="O199:O262" si="11">SUM(G199:K199)</f>
        <v>5096056.3646534383</v>
      </c>
      <c r="P199" s="320"/>
      <c r="Q199" s="529"/>
    </row>
    <row r="200" spans="1:17" s="154" customFormat="1" x14ac:dyDescent="0.25">
      <c r="A200" s="151">
        <f>'[1]B) D RI'!A201</f>
        <v>5722</v>
      </c>
      <c r="B200" s="152" t="str">
        <f>'[1]B) D RI'!B201</f>
        <v>Grens</v>
      </c>
      <c r="C200" s="316">
        <f>'[1]B) D RI'!S201</f>
        <v>62</v>
      </c>
      <c r="D200" s="153">
        <f>'[1]B) D RI'!AA201</f>
        <v>383</v>
      </c>
      <c r="E200" s="314">
        <f>'[1]D) Ecrêtage'!C199</f>
        <v>20306.92935483871</v>
      </c>
      <c r="F200" s="318">
        <f>'[1]E) Fact soc'!G205</f>
        <v>395265.79968694906</v>
      </c>
      <c r="G200" s="315">
        <f>'[1]H) Péréquation directe'!I210</f>
        <v>358158.63889411406</v>
      </c>
      <c r="H200" s="318">
        <f>+'[1]I) Dépenses thématiques'!O199</f>
        <v>-207385.96133561325</v>
      </c>
      <c r="I200" s="315">
        <f>'[1]K) Plafonnement aide'!J199</f>
        <v>0</v>
      </c>
      <c r="J200" s="318">
        <f>'[1]J) Plafonnement effort'!I199</f>
        <v>0</v>
      </c>
      <c r="K200" s="315">
        <f>'[1]L) Plafonnement taux'!Q200</f>
        <v>0</v>
      </c>
      <c r="L200" s="313">
        <f t="shared" si="9"/>
        <v>546038.4772454499</v>
      </c>
      <c r="M200" s="234">
        <f>'[1]M) Police'!O200</f>
        <v>57678.769804304706</v>
      </c>
      <c r="N200" s="234">
        <f t="shared" si="10"/>
        <v>603717.2470497546</v>
      </c>
      <c r="O200" s="318">
        <f t="shared" si="11"/>
        <v>150772.67755850081</v>
      </c>
      <c r="P200" s="320"/>
      <c r="Q200" s="529"/>
    </row>
    <row r="201" spans="1:17" s="154" customFormat="1" x14ac:dyDescent="0.25">
      <c r="A201" s="151">
        <f>'[1]B) D RI'!A202</f>
        <v>5723</v>
      </c>
      <c r="B201" s="152" t="str">
        <f>'[1]B) D RI'!B202</f>
        <v>Mies</v>
      </c>
      <c r="C201" s="316">
        <f>'[1]B) D RI'!S202</f>
        <v>53</v>
      </c>
      <c r="D201" s="153">
        <f>'[1]B) D RI'!AA202</f>
        <v>2116</v>
      </c>
      <c r="E201" s="314">
        <f>'[1]D) Ecrêtage'!C200</f>
        <v>571754.57660377375</v>
      </c>
      <c r="F201" s="318">
        <f>'[1]E) Fact soc'!G206</f>
        <v>22008010.394518293</v>
      </c>
      <c r="G201" s="315">
        <f>'[1]H) Péréquation directe'!I211</f>
        <v>10920723.525747446</v>
      </c>
      <c r="H201" s="318">
        <f>+'[1]I) Dépenses thématiques'!O200</f>
        <v>0</v>
      </c>
      <c r="I201" s="315">
        <f>'[1]K) Plafonnement aide'!J200</f>
        <v>0</v>
      </c>
      <c r="J201" s="318">
        <f>'[1]J) Plafonnement effort'!I200</f>
        <v>-7199777.9730959199</v>
      </c>
      <c r="K201" s="315">
        <f>'[1]L) Plafonnement taux'!Q201</f>
        <v>0</v>
      </c>
      <c r="L201" s="313">
        <f t="shared" si="9"/>
        <v>25728955.947169822</v>
      </c>
      <c r="M201" s="234">
        <f>'[1]M) Police'!O201</f>
        <v>866566.39515095961</v>
      </c>
      <c r="N201" s="234">
        <f t="shared" si="10"/>
        <v>26595522.342320781</v>
      </c>
      <c r="O201" s="318">
        <f t="shared" si="11"/>
        <v>3720945.5526515264</v>
      </c>
      <c r="P201" s="320"/>
      <c r="Q201" s="529"/>
    </row>
    <row r="202" spans="1:17" s="154" customFormat="1" x14ac:dyDescent="0.25">
      <c r="A202" s="151">
        <f>'[1]B) D RI'!A203</f>
        <v>5724</v>
      </c>
      <c r="B202" s="152" t="str">
        <f>'[1]B) D RI'!B203</f>
        <v>Nyon</v>
      </c>
      <c r="C202" s="316">
        <f>'[1]B) D RI'!S203</f>
        <v>61</v>
      </c>
      <c r="D202" s="153">
        <f>'[1]B) D RI'!AA203</f>
        <v>21416</v>
      </c>
      <c r="E202" s="314">
        <f>'[1]D) Ecrêtage'!C201</f>
        <v>1403046.442824716</v>
      </c>
      <c r="F202" s="318">
        <f>'[1]E) Fact soc'!G207</f>
        <v>32170875.128055278</v>
      </c>
      <c r="G202" s="315">
        <f>'[1]H) Péréquation directe'!I212</f>
        <v>11475459.161625216</v>
      </c>
      <c r="H202" s="318">
        <f>+'[1]I) Dépenses thématiques'!O201</f>
        <v>-594768.18815043836</v>
      </c>
      <c r="I202" s="315">
        <f>'[1]K) Plafonnement aide'!J201</f>
        <v>0</v>
      </c>
      <c r="J202" s="318">
        <f>'[1]J) Plafonnement effort'!I201</f>
        <v>0</v>
      </c>
      <c r="K202" s="315">
        <f>'[1]L) Plafonnement taux'!Q202</f>
        <v>0</v>
      </c>
      <c r="L202" s="313">
        <f t="shared" si="9"/>
        <v>43051566.10153006</v>
      </c>
      <c r="M202" s="234">
        <f>'[1]M) Police'!O202</f>
        <v>1672747.8547700569</v>
      </c>
      <c r="N202" s="234">
        <f t="shared" si="10"/>
        <v>44724313.956300117</v>
      </c>
      <c r="O202" s="318">
        <f t="shared" si="11"/>
        <v>10880690.973474778</v>
      </c>
      <c r="P202" s="320"/>
      <c r="Q202" s="529"/>
    </row>
    <row r="203" spans="1:17" s="154" customFormat="1" x14ac:dyDescent="0.25">
      <c r="A203" s="151">
        <f>'[1]B) D RI'!A204</f>
        <v>5725</v>
      </c>
      <c r="B203" s="152" t="str">
        <f>'[1]B) D RI'!B204</f>
        <v>Prangins</v>
      </c>
      <c r="C203" s="316">
        <f>'[1]B) D RI'!S204</f>
        <v>56</v>
      </c>
      <c r="D203" s="153">
        <f>'[1]B) D RI'!AA204</f>
        <v>4088</v>
      </c>
      <c r="E203" s="314">
        <f>'[1]D) Ecrêtage'!C202</f>
        <v>339116.20058673463</v>
      </c>
      <c r="F203" s="318">
        <f>'[1]E) Fact soc'!G208</f>
        <v>9151696.6750882342</v>
      </c>
      <c r="G203" s="315">
        <f>'[1]H) Péréquation directe'!I213</f>
        <v>5408706.6878037658</v>
      </c>
      <c r="H203" s="318">
        <f>+'[1]I) Dépenses thématiques'!O202</f>
        <v>0</v>
      </c>
      <c r="I203" s="315">
        <f>'[1]K) Plafonnement aide'!J202</f>
        <v>0</v>
      </c>
      <c r="J203" s="318">
        <f>'[1]J) Plafonnement effort'!I202</f>
        <v>0</v>
      </c>
      <c r="K203" s="315">
        <f>'[1]L) Plafonnement taux'!Q203</f>
        <v>0</v>
      </c>
      <c r="L203" s="313">
        <f t="shared" si="9"/>
        <v>14560403.362892</v>
      </c>
      <c r="M203" s="234">
        <f>'[1]M) Police'!O203</f>
        <v>404303.00789415889</v>
      </c>
      <c r="N203" s="234">
        <f t="shared" si="10"/>
        <v>14964706.370786158</v>
      </c>
      <c r="O203" s="318">
        <f t="shared" si="11"/>
        <v>5408706.6878037658</v>
      </c>
      <c r="P203" s="320"/>
      <c r="Q203" s="529"/>
    </row>
    <row r="204" spans="1:17" s="154" customFormat="1" x14ac:dyDescent="0.25">
      <c r="A204" s="151">
        <f>'[1]B) D RI'!A205</f>
        <v>5726</v>
      </c>
      <c r="B204" s="152" t="str">
        <f>'[1]B) D RI'!B205</f>
        <v>La Rippe</v>
      </c>
      <c r="C204" s="316">
        <f>'[1]B) D RI'!S205</f>
        <v>65</v>
      </c>
      <c r="D204" s="153">
        <f>'[1]B) D RI'!AA205</f>
        <v>1136</v>
      </c>
      <c r="E204" s="314">
        <f>'[1]D) Ecrêtage'!C203</f>
        <v>61326.535692307698</v>
      </c>
      <c r="F204" s="318">
        <f>'[1]E) Fact soc'!G209</f>
        <v>1135514.1320744064</v>
      </c>
      <c r="G204" s="315">
        <f>'[1]H) Péréquation directe'!I214</f>
        <v>1053472.8345596576</v>
      </c>
      <c r="H204" s="318">
        <f>+'[1]I) Dépenses thématiques'!O203</f>
        <v>-684.0050105154944</v>
      </c>
      <c r="I204" s="315">
        <f>'[1]K) Plafonnement aide'!J203</f>
        <v>0</v>
      </c>
      <c r="J204" s="318">
        <f>'[1]J) Plafonnement effort'!I203</f>
        <v>0</v>
      </c>
      <c r="K204" s="315">
        <f>'[1]L) Plafonnement taux'!Q204</f>
        <v>0</v>
      </c>
      <c r="L204" s="313">
        <f t="shared" si="9"/>
        <v>2188302.9616235485</v>
      </c>
      <c r="M204" s="234">
        <f>'[1]M) Police'!O204</f>
        <v>172384.05138122186</v>
      </c>
      <c r="N204" s="234">
        <f t="shared" si="10"/>
        <v>2360687.0130047705</v>
      </c>
      <c r="O204" s="318">
        <f t="shared" si="11"/>
        <v>1052788.8295491422</v>
      </c>
      <c r="P204" s="320"/>
      <c r="Q204" s="529"/>
    </row>
    <row r="205" spans="1:17" s="154" customFormat="1" x14ac:dyDescent="0.25">
      <c r="A205" s="151">
        <f>'[1]B) D RI'!A206</f>
        <v>5727</v>
      </c>
      <c r="B205" s="152" t="str">
        <f>'[1]B) D RI'!B206</f>
        <v>Saint-Cergue</v>
      </c>
      <c r="C205" s="316">
        <f>'[1]B) D RI'!S206</f>
        <v>66</v>
      </c>
      <c r="D205" s="153">
        <f>'[1]B) D RI'!AA206</f>
        <v>2603</v>
      </c>
      <c r="E205" s="314">
        <f>'[1]D) Ecrêtage'!C204</f>
        <v>96125.190858585862</v>
      </c>
      <c r="F205" s="318">
        <f>'[1]E) Fact soc'!G210</f>
        <v>1784026.97135776</v>
      </c>
      <c r="G205" s="315">
        <f>'[1]H) Péréquation directe'!I215</f>
        <v>775896.93769785343</v>
      </c>
      <c r="H205" s="318">
        <f>+'[1]I) Dépenses thématiques'!O204</f>
        <v>-353010.26235267235</v>
      </c>
      <c r="I205" s="315">
        <f>'[1]K) Plafonnement aide'!J204</f>
        <v>0</v>
      </c>
      <c r="J205" s="318">
        <f>'[1]J) Plafonnement effort'!I204</f>
        <v>0</v>
      </c>
      <c r="K205" s="315">
        <f>'[1]L) Plafonnement taux'!Q205</f>
        <v>0</v>
      </c>
      <c r="L205" s="313">
        <f t="shared" si="9"/>
        <v>2206913.646702941</v>
      </c>
      <c r="M205" s="234">
        <f>'[1]M) Police'!O205</f>
        <v>291055.57112982764</v>
      </c>
      <c r="N205" s="234">
        <f t="shared" si="10"/>
        <v>2497969.2178327688</v>
      </c>
      <c r="O205" s="318">
        <f t="shared" si="11"/>
        <v>422886.67534518108</v>
      </c>
      <c r="P205" s="320"/>
      <c r="Q205" s="529"/>
    </row>
    <row r="206" spans="1:17" s="154" customFormat="1" x14ac:dyDescent="0.25">
      <c r="A206" s="151">
        <f>'[1]B) D RI'!A207</f>
        <v>5728</v>
      </c>
      <c r="B206" s="152" t="str">
        <f>'[1]B) D RI'!B207</f>
        <v>Signy-Avenex</v>
      </c>
      <c r="C206" s="316">
        <f>'[1]B) D RI'!S207</f>
        <v>58</v>
      </c>
      <c r="D206" s="153">
        <f>'[1]B) D RI'!AA207</f>
        <v>586</v>
      </c>
      <c r="E206" s="314">
        <f>'[1]D) Ecrêtage'!C205</f>
        <v>43125.38</v>
      </c>
      <c r="F206" s="318">
        <f>'[1]E) Fact soc'!G211</f>
        <v>988563.30745556601</v>
      </c>
      <c r="G206" s="315">
        <f>'[1]H) Péréquation directe'!I216</f>
        <v>789177.68701722228</v>
      </c>
      <c r="H206" s="318">
        <f>+'[1]I) Dépenses thématiques'!O205</f>
        <v>0</v>
      </c>
      <c r="I206" s="315">
        <f>'[1]K) Plafonnement aide'!J205</f>
        <v>0</v>
      </c>
      <c r="J206" s="318">
        <f>'[1]J) Plafonnement effort'!I205</f>
        <v>0</v>
      </c>
      <c r="K206" s="315">
        <f>'[1]L) Plafonnement taux'!Q206</f>
        <v>0</v>
      </c>
      <c r="L206" s="313">
        <f t="shared" si="9"/>
        <v>1777740.9944727882</v>
      </c>
      <c r="M206" s="234">
        <f>'[1]M) Police'!O206</f>
        <v>102622.59863264998</v>
      </c>
      <c r="N206" s="234">
        <f t="shared" si="10"/>
        <v>1880363.5931054382</v>
      </c>
      <c r="O206" s="318">
        <f t="shared" si="11"/>
        <v>789177.68701722228</v>
      </c>
      <c r="P206" s="320"/>
      <c r="Q206" s="529"/>
    </row>
    <row r="207" spans="1:17" s="154" customFormat="1" x14ac:dyDescent="0.25">
      <c r="A207" s="151">
        <f>'[1]B) D RI'!A208</f>
        <v>5729</v>
      </c>
      <c r="B207" s="152" t="str">
        <f>'[1]B) D RI'!B208</f>
        <v>Tannay</v>
      </c>
      <c r="C207" s="316">
        <f>'[1]B) D RI'!S208</f>
        <v>61</v>
      </c>
      <c r="D207" s="153">
        <f>'[1]B) D RI'!AA208</f>
        <v>1600</v>
      </c>
      <c r="E207" s="314">
        <f>'[1]D) Ecrêtage'!C206</f>
        <v>176892.2019125683</v>
      </c>
      <c r="F207" s="318">
        <f>'[1]E) Fact soc'!G212</f>
        <v>5390006.77563449</v>
      </c>
      <c r="G207" s="315">
        <f>'[1]H) Péréquation directe'!I217</f>
        <v>3202342.4963462274</v>
      </c>
      <c r="H207" s="318">
        <f>+'[1]I) Dépenses thématiques'!O206</f>
        <v>0</v>
      </c>
      <c r="I207" s="315">
        <f>'[1]K) Plafonnement aide'!J206</f>
        <v>0</v>
      </c>
      <c r="J207" s="318">
        <f>'[1]J) Plafonnement effort'!I206</f>
        <v>-632200.18591514311</v>
      </c>
      <c r="K207" s="315">
        <f>'[1]L) Plafonnement taux'!Q207</f>
        <v>0</v>
      </c>
      <c r="L207" s="313">
        <f t="shared" si="9"/>
        <v>7960149.0860655745</v>
      </c>
      <c r="M207" s="234">
        <f>'[1]M) Police'!O207</f>
        <v>350710.88210635248</v>
      </c>
      <c r="N207" s="234">
        <f t="shared" si="10"/>
        <v>8310859.9681719271</v>
      </c>
      <c r="O207" s="318">
        <f t="shared" si="11"/>
        <v>2570142.3104310841</v>
      </c>
      <c r="P207" s="320"/>
      <c r="Q207" s="529"/>
    </row>
    <row r="208" spans="1:17" s="154" customFormat="1" x14ac:dyDescent="0.25">
      <c r="A208" s="151">
        <f>'[1]B) D RI'!A209</f>
        <v>5730</v>
      </c>
      <c r="B208" s="152" t="str">
        <f>'[1]B) D RI'!B209</f>
        <v>Trélex</v>
      </c>
      <c r="C208" s="316">
        <f>'[1]B) D RI'!S209</f>
        <v>57</v>
      </c>
      <c r="D208" s="153">
        <f>'[1]B) D RI'!AA209</f>
        <v>1434</v>
      </c>
      <c r="E208" s="314">
        <f>'[1]D) Ecrêtage'!C207</f>
        <v>134482.25955165693</v>
      </c>
      <c r="F208" s="318">
        <f>'[1]E) Fact soc'!G213</f>
        <v>3494413.993921712</v>
      </c>
      <c r="G208" s="315">
        <f>'[1]H) Péréquation directe'!I218</f>
        <v>2412252.1417919486</v>
      </c>
      <c r="H208" s="318">
        <f>+'[1]I) Dépenses thématiques'!O207</f>
        <v>0</v>
      </c>
      <c r="I208" s="315">
        <f>'[1]K) Plafonnement aide'!J207</f>
        <v>0</v>
      </c>
      <c r="J208" s="318">
        <f>'[1]J) Plafonnement effort'!I207</f>
        <v>0</v>
      </c>
      <c r="K208" s="315">
        <f>'[1]L) Plafonnement taux'!Q208</f>
        <v>0</v>
      </c>
      <c r="L208" s="313">
        <f t="shared" si="9"/>
        <v>5906666.1357136611</v>
      </c>
      <c r="M208" s="234">
        <f>'[1]M) Police'!O208</f>
        <v>285642.80861478817</v>
      </c>
      <c r="N208" s="234">
        <f t="shared" si="10"/>
        <v>6192308.9443284497</v>
      </c>
      <c r="O208" s="318">
        <f t="shared" si="11"/>
        <v>2412252.1417919486</v>
      </c>
      <c r="P208" s="320"/>
      <c r="Q208" s="529"/>
    </row>
    <row r="209" spans="1:17" s="154" customFormat="1" x14ac:dyDescent="0.25">
      <c r="A209" s="151">
        <f>'[1]B) D RI'!A210</f>
        <v>5731</v>
      </c>
      <c r="B209" s="152" t="str">
        <f>'[1]B) D RI'!B210</f>
        <v>Le Vaud</v>
      </c>
      <c r="C209" s="316">
        <f>'[1]B) D RI'!S210</f>
        <v>75</v>
      </c>
      <c r="D209" s="153">
        <f>'[1]B) D RI'!AA210</f>
        <v>1362</v>
      </c>
      <c r="E209" s="314">
        <f>'[1]D) Ecrêtage'!C208</f>
        <v>61944.089333333322</v>
      </c>
      <c r="F209" s="318">
        <f>'[1]E) Fact soc'!G214</f>
        <v>1281018.5246417532</v>
      </c>
      <c r="G209" s="315">
        <f>'[1]H) Péréquation directe'!I219</f>
        <v>936446.28299217345</v>
      </c>
      <c r="H209" s="318">
        <f>+'[1]I) Dépenses thématiques'!O208</f>
        <v>-106723.24757644707</v>
      </c>
      <c r="I209" s="315">
        <f>'[1]K) Plafonnement aide'!J208</f>
        <v>0</v>
      </c>
      <c r="J209" s="318">
        <f>'[1]J) Plafonnement effort'!I208</f>
        <v>0</v>
      </c>
      <c r="K209" s="315">
        <f>'[1]L) Plafonnement taux'!Q209</f>
        <v>0</v>
      </c>
      <c r="L209" s="313">
        <f t="shared" si="9"/>
        <v>2110741.5600574794</v>
      </c>
      <c r="M209" s="234">
        <f>'[1]M) Police'!O209</f>
        <v>190593.70097677829</v>
      </c>
      <c r="N209" s="234">
        <f t="shared" si="10"/>
        <v>2301335.2610342577</v>
      </c>
      <c r="O209" s="318">
        <f t="shared" si="11"/>
        <v>829723.03541572636</v>
      </c>
      <c r="P209" s="320"/>
      <c r="Q209" s="529"/>
    </row>
    <row r="210" spans="1:17" s="154" customFormat="1" x14ac:dyDescent="0.25">
      <c r="A210" s="151">
        <f>'[1]B) D RI'!A211</f>
        <v>5732</v>
      </c>
      <c r="B210" s="152" t="str">
        <f>'[1]B) D RI'!B211</f>
        <v>Vich</v>
      </c>
      <c r="C210" s="316">
        <f>'[1]B) D RI'!S211</f>
        <v>66</v>
      </c>
      <c r="D210" s="153">
        <f>'[1]B) D RI'!AA211</f>
        <v>1083</v>
      </c>
      <c r="E210" s="314">
        <f>'[1]D) Ecrêtage'!C209</f>
        <v>63992.408333333333</v>
      </c>
      <c r="F210" s="318">
        <f>'[1]E) Fact soc'!G215</f>
        <v>1336258.4581317299</v>
      </c>
      <c r="G210" s="315">
        <f>'[1]H) Péréquation directe'!I220</f>
        <v>1125451.4343375061</v>
      </c>
      <c r="H210" s="318">
        <f>+'[1]I) Dépenses thématiques'!O209</f>
        <v>0</v>
      </c>
      <c r="I210" s="315">
        <f>'[1]K) Plafonnement aide'!J209</f>
        <v>0</v>
      </c>
      <c r="J210" s="318">
        <f>'[1]J) Plafonnement effort'!I209</f>
        <v>0</v>
      </c>
      <c r="K210" s="315">
        <f>'[1]L) Plafonnement taux'!Q210</f>
        <v>0</v>
      </c>
      <c r="L210" s="313">
        <f t="shared" si="9"/>
        <v>2461709.8924692357</v>
      </c>
      <c r="M210" s="234">
        <f>'[1]M) Police'!O210</f>
        <v>170930.9853317641</v>
      </c>
      <c r="N210" s="234">
        <f t="shared" si="10"/>
        <v>2632640.8778009997</v>
      </c>
      <c r="O210" s="318">
        <f t="shared" si="11"/>
        <v>1125451.4343375061</v>
      </c>
      <c r="P210" s="320"/>
      <c r="Q210" s="529"/>
    </row>
    <row r="211" spans="1:17" s="154" customFormat="1" x14ac:dyDescent="0.25">
      <c r="A211" s="151">
        <f>'[1]B) D RI'!A212</f>
        <v>5741</v>
      </c>
      <c r="B211" s="152" t="str">
        <f>'[1]B) D RI'!B212</f>
        <v>L'Abergement</v>
      </c>
      <c r="C211" s="316">
        <f>'[1]B) D RI'!S212</f>
        <v>81</v>
      </c>
      <c r="D211" s="153">
        <f>'[1]B) D RI'!AA212</f>
        <v>244</v>
      </c>
      <c r="E211" s="314">
        <f>'[1]D) Ecrêtage'!C210</f>
        <v>7144.356296296296</v>
      </c>
      <c r="F211" s="318">
        <f>'[1]E) Fact soc'!G216</f>
        <v>128829.49801022008</v>
      </c>
      <c r="G211" s="315">
        <f>'[1]H) Péréquation directe'!I221</f>
        <v>-827.48555318129365</v>
      </c>
      <c r="H211" s="318">
        <f>+'[1]I) Dépenses thématiques'!O210</f>
        <v>-119029.12603311837</v>
      </c>
      <c r="I211" s="315">
        <f>'[1]K) Plafonnement aide'!J210</f>
        <v>0</v>
      </c>
      <c r="J211" s="318">
        <f>'[1]J) Plafonnement effort'!I210</f>
        <v>0</v>
      </c>
      <c r="K211" s="315">
        <f>'[1]L) Plafonnement taux'!Q211</f>
        <v>0</v>
      </c>
      <c r="L211" s="313">
        <f t="shared" si="9"/>
        <v>8972.8864239204122</v>
      </c>
      <c r="M211" s="234">
        <f>'[1]M) Police'!O211</f>
        <v>21817.014183758685</v>
      </c>
      <c r="N211" s="234">
        <f t="shared" si="10"/>
        <v>30789.900607679097</v>
      </c>
      <c r="O211" s="318">
        <f t="shared" si="11"/>
        <v>-119856.61158629967</v>
      </c>
      <c r="P211" s="320"/>
      <c r="Q211" s="529"/>
    </row>
    <row r="212" spans="1:17" s="154" customFormat="1" x14ac:dyDescent="0.25">
      <c r="A212" s="151">
        <f>'[1]B) D RI'!A213</f>
        <v>5742</v>
      </c>
      <c r="B212" s="152" t="str">
        <f>'[1]B) D RI'!B213</f>
        <v>Agiez</v>
      </c>
      <c r="C212" s="316">
        <f>'[1]B) D RI'!S213</f>
        <v>76</v>
      </c>
      <c r="D212" s="153">
        <f>'[1]B) D RI'!AA213</f>
        <v>354</v>
      </c>
      <c r="E212" s="314">
        <f>'[1]D) Ecrêtage'!C211</f>
        <v>9023.5640789473691</v>
      </c>
      <c r="F212" s="318">
        <f>'[1]E) Fact soc'!G217</f>
        <v>166023.15167257306</v>
      </c>
      <c r="G212" s="315">
        <f>'[1]H) Péréquation directe'!I222</f>
        <v>-39089.643646279292</v>
      </c>
      <c r="H212" s="318">
        <f>+'[1]I) Dépenses thématiques'!O211</f>
        <v>-16768.112043677316</v>
      </c>
      <c r="I212" s="315">
        <f>'[1]K) Plafonnement aide'!J211</f>
        <v>0</v>
      </c>
      <c r="J212" s="318">
        <f>'[1]J) Plafonnement effort'!I211</f>
        <v>0</v>
      </c>
      <c r="K212" s="315">
        <f>'[1]L) Plafonnement taux'!Q212</f>
        <v>0</v>
      </c>
      <c r="L212" s="313">
        <f t="shared" si="9"/>
        <v>110165.39598261645</v>
      </c>
      <c r="M212" s="234">
        <f>'[1]M) Police'!O212</f>
        <v>27407.017837444873</v>
      </c>
      <c r="N212" s="234">
        <f t="shared" si="10"/>
        <v>137572.41382006131</v>
      </c>
      <c r="O212" s="318">
        <f t="shared" si="11"/>
        <v>-55857.755689956612</v>
      </c>
      <c r="P212" s="320"/>
      <c r="Q212" s="529"/>
    </row>
    <row r="213" spans="1:17" s="154" customFormat="1" x14ac:dyDescent="0.25">
      <c r="A213" s="151">
        <f>'[1]B) D RI'!A214</f>
        <v>5743</v>
      </c>
      <c r="B213" s="152" t="str">
        <f>'[1]B) D RI'!B214</f>
        <v>Arnex-sur-Orbe</v>
      </c>
      <c r="C213" s="316">
        <f>'[1]B) D RI'!S214</f>
        <v>73</v>
      </c>
      <c r="D213" s="153">
        <f>'[1]B) D RI'!AA214</f>
        <v>633</v>
      </c>
      <c r="E213" s="314">
        <f>'[1]D) Ecrêtage'!C212</f>
        <v>19009.64441780822</v>
      </c>
      <c r="F213" s="318">
        <f>'[1]E) Fact soc'!G218</f>
        <v>388144.42471080861</v>
      </c>
      <c r="G213" s="315">
        <f>'[1]H) Péréquation directe'!I223</f>
        <v>72491.597070775169</v>
      </c>
      <c r="H213" s="318">
        <f>+'[1]I) Dépenses thématiques'!O212</f>
        <v>-74427.116278908186</v>
      </c>
      <c r="I213" s="315">
        <f>'[1]K) Plafonnement aide'!J212</f>
        <v>0</v>
      </c>
      <c r="J213" s="318">
        <f>'[1]J) Plafonnement effort'!I212</f>
        <v>0</v>
      </c>
      <c r="K213" s="315">
        <f>'[1]L) Plafonnement taux'!Q213</f>
        <v>0</v>
      </c>
      <c r="L213" s="313">
        <f t="shared" si="9"/>
        <v>386208.90550267557</v>
      </c>
      <c r="M213" s="234">
        <f>'[1]M) Police'!O213</f>
        <v>58335.948119058645</v>
      </c>
      <c r="N213" s="234">
        <f t="shared" si="10"/>
        <v>444544.85362173419</v>
      </c>
      <c r="O213" s="318">
        <f t="shared" si="11"/>
        <v>-1935.5192081330169</v>
      </c>
      <c r="P213" s="320"/>
      <c r="Q213" s="529"/>
    </row>
    <row r="214" spans="1:17" s="154" customFormat="1" x14ac:dyDescent="0.25">
      <c r="A214" s="151">
        <f>'[1]B) D RI'!A215</f>
        <v>5744</v>
      </c>
      <c r="B214" s="152" t="str">
        <f>'[1]B) D RI'!B215</f>
        <v>Ballaigues</v>
      </c>
      <c r="C214" s="316">
        <f>'[1]B) D RI'!S215</f>
        <v>66</v>
      </c>
      <c r="D214" s="153">
        <f>'[1]B) D RI'!AA215</f>
        <v>1108</v>
      </c>
      <c r="E214" s="314">
        <f>'[1]D) Ecrêtage'!C213</f>
        <v>63457.136212121215</v>
      </c>
      <c r="F214" s="318">
        <f>'[1]E) Fact soc'!G219</f>
        <v>1645790.0207955574</v>
      </c>
      <c r="G214" s="315">
        <f>'[1]H) Péréquation directe'!I224</f>
        <v>1105948.3963743269</v>
      </c>
      <c r="H214" s="318">
        <f>+'[1]I) Dépenses thématiques'!O213</f>
        <v>-268883.87138676416</v>
      </c>
      <c r="I214" s="315">
        <f>'[1]K) Plafonnement aide'!J213</f>
        <v>0</v>
      </c>
      <c r="J214" s="318">
        <f>'[1]J) Plafonnement effort'!I213</f>
        <v>0</v>
      </c>
      <c r="K214" s="315">
        <f>'[1]L) Plafonnement taux'!Q214</f>
        <v>0</v>
      </c>
      <c r="L214" s="313">
        <f t="shared" si="9"/>
        <v>2482854.5457831202</v>
      </c>
      <c r="M214" s="234">
        <f>'[1]M) Police'!O214</f>
        <v>172477.43700924757</v>
      </c>
      <c r="N214" s="234">
        <f t="shared" si="10"/>
        <v>2655331.9827923677</v>
      </c>
      <c r="O214" s="318">
        <f t="shared" si="11"/>
        <v>837064.52498756279</v>
      </c>
      <c r="P214" s="320"/>
      <c r="Q214" s="529"/>
    </row>
    <row r="215" spans="1:17" s="154" customFormat="1" x14ac:dyDescent="0.25">
      <c r="A215" s="151">
        <f>'[1]B) D RI'!A216</f>
        <v>5745</v>
      </c>
      <c r="B215" s="152" t="str">
        <f>'[1]B) D RI'!B216</f>
        <v>Baulmes</v>
      </c>
      <c r="C215" s="316">
        <f>'[1]B) D RI'!S216</f>
        <v>78</v>
      </c>
      <c r="D215" s="153">
        <f>'[1]B) D RI'!AA216</f>
        <v>1042</v>
      </c>
      <c r="E215" s="314">
        <f>'[1]D) Ecrêtage'!C214</f>
        <v>27759.177948717952</v>
      </c>
      <c r="F215" s="318">
        <f>'[1]E) Fact soc'!G220</f>
        <v>523058.70162877341</v>
      </c>
      <c r="G215" s="315">
        <f>'[1]H) Péréquation directe'!I225</f>
        <v>-99209.69771068159</v>
      </c>
      <c r="H215" s="318">
        <f>+'[1]I) Dépenses thématiques'!O214</f>
        <v>-286299.15522613947</v>
      </c>
      <c r="I215" s="315">
        <f>'[1]K) Plafonnement aide'!J214</f>
        <v>0</v>
      </c>
      <c r="J215" s="318">
        <f>'[1]J) Plafonnement effort'!I214</f>
        <v>0</v>
      </c>
      <c r="K215" s="315">
        <f>'[1]L) Plafonnement taux'!Q215</f>
        <v>0</v>
      </c>
      <c r="L215" s="313">
        <f t="shared" si="9"/>
        <v>137549.84869195236</v>
      </c>
      <c r="M215" s="234">
        <f>'[1]M) Police'!O215</f>
        <v>85240.58091964433</v>
      </c>
      <c r="N215" s="234">
        <f t="shared" si="10"/>
        <v>222790.42961159669</v>
      </c>
      <c r="O215" s="318">
        <f t="shared" si="11"/>
        <v>-385508.85293682106</v>
      </c>
      <c r="P215" s="320"/>
      <c r="Q215" s="529"/>
    </row>
    <row r="216" spans="1:17" s="154" customFormat="1" x14ac:dyDescent="0.25">
      <c r="A216" s="151">
        <f>'[1]B) D RI'!A217</f>
        <v>5746</v>
      </c>
      <c r="B216" s="152" t="str">
        <f>'[1]B) D RI'!B217</f>
        <v>Bavois</v>
      </c>
      <c r="C216" s="316">
        <f>'[1]B) D RI'!S217</f>
        <v>73</v>
      </c>
      <c r="D216" s="153">
        <f>'[1]B) D RI'!AA217</f>
        <v>952</v>
      </c>
      <c r="E216" s="314">
        <f>'[1]D) Ecrêtage'!C215</f>
        <v>26302.981735159818</v>
      </c>
      <c r="F216" s="318">
        <f>'[1]E) Fact soc'!G221</f>
        <v>491285.32843917364</v>
      </c>
      <c r="G216" s="315">
        <f>'[1]H) Péréquation directe'!I226</f>
        <v>15031.314066253835</v>
      </c>
      <c r="H216" s="318">
        <f>+'[1]I) Dépenses thématiques'!O215</f>
        <v>-197349.23565942844</v>
      </c>
      <c r="I216" s="315">
        <f>'[1]K) Plafonnement aide'!J215</f>
        <v>0</v>
      </c>
      <c r="J216" s="318">
        <f>'[1]J) Plafonnement effort'!I215</f>
        <v>0</v>
      </c>
      <c r="K216" s="315">
        <f>'[1]L) Plafonnement taux'!Q216</f>
        <v>0</v>
      </c>
      <c r="L216" s="313">
        <f t="shared" si="9"/>
        <v>308967.40684599907</v>
      </c>
      <c r="M216" s="234">
        <f>'[1]M) Police'!O216</f>
        <v>79140.382094986373</v>
      </c>
      <c r="N216" s="234">
        <f t="shared" si="10"/>
        <v>388107.78894098545</v>
      </c>
      <c r="O216" s="318">
        <f t="shared" si="11"/>
        <v>-182317.9215931746</v>
      </c>
      <c r="P216" s="320"/>
      <c r="Q216" s="529"/>
    </row>
    <row r="217" spans="1:17" s="154" customFormat="1" x14ac:dyDescent="0.25">
      <c r="A217" s="151">
        <f>'[1]B) D RI'!A218</f>
        <v>5747</v>
      </c>
      <c r="B217" s="152" t="str">
        <f>'[1]B) D RI'!B218</f>
        <v>Bofflens</v>
      </c>
      <c r="C217" s="316">
        <f>'[1]B) D RI'!S218</f>
        <v>69</v>
      </c>
      <c r="D217" s="153">
        <f>'[1]B) D RI'!AA218</f>
        <v>194</v>
      </c>
      <c r="E217" s="314">
        <f>'[1]D) Ecrêtage'!C216</f>
        <v>5938.7008695652166</v>
      </c>
      <c r="F217" s="318">
        <f>'[1]E) Fact soc'!G222</f>
        <v>94332.197466748679</v>
      </c>
      <c r="G217" s="315">
        <f>'[1]H) Péréquation directe'!I227</f>
        <v>34053.391900700444</v>
      </c>
      <c r="H217" s="318">
        <f>+'[1]I) Dépenses thématiques'!O216</f>
        <v>-233743.82006459788</v>
      </c>
      <c r="I217" s="315">
        <f>'[1]K) Plafonnement aide'!J216</f>
        <v>0</v>
      </c>
      <c r="J217" s="318">
        <f>'[1]J) Plafonnement effort'!I216</f>
        <v>0</v>
      </c>
      <c r="K217" s="315">
        <f>'[1]L) Plafonnement taux'!Q217</f>
        <v>0</v>
      </c>
      <c r="L217" s="313">
        <f t="shared" si="9"/>
        <v>-105358.23069714876</v>
      </c>
      <c r="M217" s="234">
        <f>'[1]M) Police'!O217</f>
        <v>18040.322084983145</v>
      </c>
      <c r="N217" s="234">
        <f t="shared" si="10"/>
        <v>-87317.908612165615</v>
      </c>
      <c r="O217" s="318">
        <f t="shared" si="11"/>
        <v>-199690.42816389742</v>
      </c>
      <c r="P217" s="320"/>
      <c r="Q217" s="529"/>
    </row>
    <row r="218" spans="1:17" s="154" customFormat="1" x14ac:dyDescent="0.25">
      <c r="A218" s="151">
        <f>'[1]B) D RI'!A219</f>
        <v>5748</v>
      </c>
      <c r="B218" s="152" t="str">
        <f>'[1]B) D RI'!B219</f>
        <v>Bretonnières</v>
      </c>
      <c r="C218" s="316">
        <f>'[1]B) D RI'!S219</f>
        <v>72</v>
      </c>
      <c r="D218" s="153">
        <f>'[1]B) D RI'!AA219</f>
        <v>269</v>
      </c>
      <c r="E218" s="314">
        <f>'[1]D) Ecrêtage'!C217</f>
        <v>7318.7627314814808</v>
      </c>
      <c r="F218" s="318">
        <f>'[1]E) Fact soc'!G223</f>
        <v>123795.88284568535</v>
      </c>
      <c r="G218" s="315">
        <f>'[1]H) Péréquation directe'!I228</f>
        <v>2658.2228384172195</v>
      </c>
      <c r="H218" s="318">
        <f>+'[1]I) Dépenses thématiques'!O217</f>
        <v>-52428.256658389146</v>
      </c>
      <c r="I218" s="315">
        <f>'[1]K) Plafonnement aide'!J217</f>
        <v>0</v>
      </c>
      <c r="J218" s="318">
        <f>'[1]J) Plafonnement effort'!I217</f>
        <v>0</v>
      </c>
      <c r="K218" s="315">
        <f>'[1]L) Plafonnement taux'!Q218</f>
        <v>0</v>
      </c>
      <c r="L218" s="313">
        <f t="shared" si="9"/>
        <v>74025.849025713425</v>
      </c>
      <c r="M218" s="234">
        <f>'[1]M) Police'!O218</f>
        <v>22291.005008915039</v>
      </c>
      <c r="N218" s="234">
        <f t="shared" si="10"/>
        <v>96316.854034628457</v>
      </c>
      <c r="O218" s="318">
        <f t="shared" si="11"/>
        <v>-49770.033819971926</v>
      </c>
      <c r="P218" s="320"/>
      <c r="Q218" s="529"/>
    </row>
    <row r="219" spans="1:17" s="154" customFormat="1" x14ac:dyDescent="0.25">
      <c r="A219" s="151">
        <f>'[1]B) D RI'!A220</f>
        <v>5749</v>
      </c>
      <c r="B219" s="152" t="str">
        <f>'[1]B) D RI'!B220</f>
        <v>Chavornay</v>
      </c>
      <c r="C219" s="316">
        <f>'[1]B) D RI'!S220</f>
        <v>72</v>
      </c>
      <c r="D219" s="153">
        <f>'[1]B) D RI'!AA220</f>
        <v>5135</v>
      </c>
      <c r="E219" s="314">
        <f>'[1]D) Ecrêtage'!C218</f>
        <v>133236.15722222222</v>
      </c>
      <c r="F219" s="318">
        <f>'[1]E) Fact soc'!G224</f>
        <v>2571598.1346419598</v>
      </c>
      <c r="G219" s="315">
        <f>'[1]H) Péréquation directe'!I229</f>
        <v>-1482118.5041314373</v>
      </c>
      <c r="H219" s="318">
        <f>+'[1]I) Dépenses thématiques'!O218</f>
        <v>-614815.85197655589</v>
      </c>
      <c r="I219" s="315">
        <f>'[1]K) Plafonnement aide'!J218</f>
        <v>0</v>
      </c>
      <c r="J219" s="318">
        <f>'[1]J) Plafonnement effort'!I218</f>
        <v>0</v>
      </c>
      <c r="K219" s="315">
        <f>'[1]L) Plafonnement taux'!Q219</f>
        <v>0</v>
      </c>
      <c r="L219" s="313">
        <f t="shared" si="9"/>
        <v>474663.77853396663</v>
      </c>
      <c r="M219" s="234">
        <f>'[1]M) Police'!O219</f>
        <v>400510.11469128611</v>
      </c>
      <c r="N219" s="234">
        <f t="shared" si="10"/>
        <v>875173.89322525274</v>
      </c>
      <c r="O219" s="318">
        <f t="shared" si="11"/>
        <v>-2096934.3561079931</v>
      </c>
      <c r="P219" s="320"/>
      <c r="Q219" s="529"/>
    </row>
    <row r="220" spans="1:17" s="154" customFormat="1" x14ac:dyDescent="0.25">
      <c r="A220" s="151">
        <f>'[1]B) D RI'!A221</f>
        <v>5750</v>
      </c>
      <c r="B220" s="152" t="str">
        <f>'[1]B) D RI'!B221</f>
        <v>Les Clées</v>
      </c>
      <c r="C220" s="316">
        <f>'[1]B) D RI'!S221</f>
        <v>80</v>
      </c>
      <c r="D220" s="153">
        <f>'[1]B) D RI'!AA221</f>
        <v>185</v>
      </c>
      <c r="E220" s="314">
        <f>'[1]D) Ecrêtage'!C219</f>
        <v>5052.8727083333342</v>
      </c>
      <c r="F220" s="318">
        <f>'[1]E) Fact soc'!G225</f>
        <v>77966.649104431359</v>
      </c>
      <c r="G220" s="315">
        <f>'[1]H) Péréquation directe'!I230</f>
        <v>-15027.204585952597</v>
      </c>
      <c r="H220" s="318">
        <f>+'[1]I) Dépenses thématiques'!O219</f>
        <v>-57872.254626138194</v>
      </c>
      <c r="I220" s="315">
        <f>'[1]K) Plafonnement aide'!J219</f>
        <v>0</v>
      </c>
      <c r="J220" s="318">
        <f>'[1]J) Plafonnement effort'!I219</f>
        <v>0</v>
      </c>
      <c r="K220" s="315">
        <f>'[1]L) Plafonnement taux'!Q220</f>
        <v>0</v>
      </c>
      <c r="L220" s="313">
        <f t="shared" si="9"/>
        <v>5067.1898923405679</v>
      </c>
      <c r="M220" s="234">
        <f>'[1]M) Police'!O220</f>
        <v>15542.930329896173</v>
      </c>
      <c r="N220" s="234">
        <f t="shared" si="10"/>
        <v>20610.120222236743</v>
      </c>
      <c r="O220" s="318">
        <f t="shared" si="11"/>
        <v>-72899.459212090791</v>
      </c>
      <c r="P220" s="320"/>
      <c r="Q220" s="529"/>
    </row>
    <row r="221" spans="1:17" s="154" customFormat="1" x14ac:dyDescent="0.25">
      <c r="A221" s="151">
        <f>'[1]B) D RI'!A222</f>
        <v>5752</v>
      </c>
      <c r="B221" s="152" t="str">
        <f>'[1]B) D RI'!B222</f>
        <v>Croy</v>
      </c>
      <c r="C221" s="316">
        <f>'[1]B) D RI'!S222</f>
        <v>74</v>
      </c>
      <c r="D221" s="153">
        <f>'[1]B) D RI'!AA222</f>
        <v>403</v>
      </c>
      <c r="E221" s="314">
        <f>'[1]D) Ecrêtage'!C220</f>
        <v>9724.9561776061801</v>
      </c>
      <c r="F221" s="318">
        <f>'[1]E) Fact soc'!G226</f>
        <v>167561.08822422492</v>
      </c>
      <c r="G221" s="315">
        <f>'[1]H) Péréquation directe'!I231</f>
        <v>-56974.041100716771</v>
      </c>
      <c r="H221" s="318">
        <f>+'[1]I) Dépenses thématiques'!O220</f>
        <v>-85517.763644249702</v>
      </c>
      <c r="I221" s="315">
        <f>'[1]K) Plafonnement aide'!J220</f>
        <v>0</v>
      </c>
      <c r="J221" s="318">
        <f>'[1]J) Plafonnement effort'!I220</f>
        <v>0</v>
      </c>
      <c r="K221" s="315">
        <f>'[1]L) Plafonnement taux'!Q221</f>
        <v>0</v>
      </c>
      <c r="L221" s="313">
        <f t="shared" si="9"/>
        <v>25069.283479258447</v>
      </c>
      <c r="M221" s="234">
        <f>'[1]M) Police'!O221</f>
        <v>29384.895543615035</v>
      </c>
      <c r="N221" s="234">
        <f t="shared" si="10"/>
        <v>54454.179022873483</v>
      </c>
      <c r="O221" s="318">
        <f t="shared" si="11"/>
        <v>-142491.80474496647</v>
      </c>
      <c r="P221" s="320"/>
      <c r="Q221" s="529"/>
    </row>
    <row r="222" spans="1:17" s="154" customFormat="1" x14ac:dyDescent="0.25">
      <c r="A222" s="151">
        <f>'[1]B) D RI'!A223</f>
        <v>5754</v>
      </c>
      <c r="B222" s="152" t="str">
        <f>'[1]B) D RI'!B223</f>
        <v>Juriens</v>
      </c>
      <c r="C222" s="316">
        <f>'[1]B) D RI'!S223</f>
        <v>79</v>
      </c>
      <c r="D222" s="153">
        <f>'[1]B) D RI'!AA223</f>
        <v>328</v>
      </c>
      <c r="E222" s="314">
        <f>'[1]D) Ecrêtage'!C221</f>
        <v>9237.2617721518982</v>
      </c>
      <c r="F222" s="318">
        <f>'[1]E) Fact soc'!G227</f>
        <v>138621.41611477477</v>
      </c>
      <c r="G222" s="315">
        <f>'[1]H) Péréquation directe'!I232</f>
        <v>-10091.112136569427</v>
      </c>
      <c r="H222" s="318">
        <f>+'[1]I) Dépenses thématiques'!O221</f>
        <v>-33992.695398293719</v>
      </c>
      <c r="I222" s="315">
        <f>'[1]K) Plafonnement aide'!J221</f>
        <v>0</v>
      </c>
      <c r="J222" s="318">
        <f>'[1]J) Plafonnement effort'!I221</f>
        <v>0</v>
      </c>
      <c r="K222" s="315">
        <f>'[1]L) Plafonnement taux'!Q222</f>
        <v>0</v>
      </c>
      <c r="L222" s="313">
        <f t="shared" si="9"/>
        <v>94537.608579911612</v>
      </c>
      <c r="M222" s="234">
        <f>'[1]M) Police'!O222</f>
        <v>28439.256201344127</v>
      </c>
      <c r="N222" s="234">
        <f t="shared" si="10"/>
        <v>122976.86478125575</v>
      </c>
      <c r="O222" s="318">
        <f t="shared" si="11"/>
        <v>-44083.807534863146</v>
      </c>
      <c r="P222" s="320"/>
      <c r="Q222" s="529"/>
    </row>
    <row r="223" spans="1:17" s="154" customFormat="1" x14ac:dyDescent="0.25">
      <c r="A223" s="151">
        <f>'[1]B) D RI'!A224</f>
        <v>5755</v>
      </c>
      <c r="B223" s="152" t="str">
        <f>'[1]B) D RI'!B224</f>
        <v>Lignerolle</v>
      </c>
      <c r="C223" s="316">
        <f>'[1]B) D RI'!S224</f>
        <v>80</v>
      </c>
      <c r="D223" s="153">
        <f>'[1]B) D RI'!AA224</f>
        <v>437</v>
      </c>
      <c r="E223" s="314">
        <f>'[1]D) Ecrêtage'!C222</f>
        <v>9846.5387499999997</v>
      </c>
      <c r="F223" s="318">
        <f>'[1]E) Fact soc'!G228</f>
        <v>201685.79863653483</v>
      </c>
      <c r="G223" s="315">
        <f>'[1]H) Péréquation directe'!I233</f>
        <v>-130233.99331738765</v>
      </c>
      <c r="H223" s="318">
        <f>+'[1]I) Dépenses thématiques'!O222</f>
        <v>-135198.48986538377</v>
      </c>
      <c r="I223" s="315">
        <f>'[1]K) Plafonnement aide'!J222</f>
        <v>0</v>
      </c>
      <c r="J223" s="318">
        <f>'[1]J) Plafonnement effort'!I222</f>
        <v>0</v>
      </c>
      <c r="K223" s="315">
        <f>'[1]L) Plafonnement taux'!Q223</f>
        <v>0</v>
      </c>
      <c r="L223" s="313">
        <f t="shared" si="9"/>
        <v>-63746.684546236589</v>
      </c>
      <c r="M223" s="234">
        <f>'[1]M) Police'!O223</f>
        <v>29829.507842079031</v>
      </c>
      <c r="N223" s="234">
        <f t="shared" si="10"/>
        <v>-33917.176704157559</v>
      </c>
      <c r="O223" s="318">
        <f t="shared" si="11"/>
        <v>-265432.48318277142</v>
      </c>
      <c r="P223" s="320"/>
      <c r="Q223" s="529"/>
    </row>
    <row r="224" spans="1:17" s="154" customFormat="1" x14ac:dyDescent="0.25">
      <c r="A224" s="151">
        <f>'[1]B) D RI'!A225</f>
        <v>5756</v>
      </c>
      <c r="B224" s="152" t="str">
        <f>'[1]B) D RI'!B225</f>
        <v>Montcherand</v>
      </c>
      <c r="C224" s="316">
        <f>'[1]B) D RI'!S225</f>
        <v>72</v>
      </c>
      <c r="D224" s="153">
        <f>'[1]B) D RI'!AA225</f>
        <v>505</v>
      </c>
      <c r="E224" s="314">
        <f>'[1]D) Ecrêtage'!C223</f>
        <v>16429.064166666663</v>
      </c>
      <c r="F224" s="318">
        <f>'[1]E) Fact soc'!G229</f>
        <v>269757.22788697167</v>
      </c>
      <c r="G224" s="315">
        <f>'[1]H) Péréquation directe'!I234</f>
        <v>113997.07629537606</v>
      </c>
      <c r="H224" s="318">
        <f>+'[1]I) Dépenses thématiques'!O223</f>
        <v>-62293.891157677688</v>
      </c>
      <c r="I224" s="315">
        <f>'[1]K) Plafonnement aide'!J223</f>
        <v>0</v>
      </c>
      <c r="J224" s="318">
        <f>'[1]J) Plafonnement effort'!I223</f>
        <v>0</v>
      </c>
      <c r="K224" s="315">
        <f>'[1]L) Plafonnement taux'!Q224</f>
        <v>0</v>
      </c>
      <c r="L224" s="313">
        <f t="shared" si="9"/>
        <v>321460.41302467004</v>
      </c>
      <c r="M224" s="234">
        <f>'[1]M) Police'!O224</f>
        <v>19587.150504685462</v>
      </c>
      <c r="N224" s="234">
        <f t="shared" si="10"/>
        <v>341047.56352935551</v>
      </c>
      <c r="O224" s="318">
        <f t="shared" si="11"/>
        <v>51703.185137698369</v>
      </c>
      <c r="P224" s="320"/>
      <c r="Q224" s="529"/>
    </row>
    <row r="225" spans="1:17" s="154" customFormat="1" x14ac:dyDescent="0.25">
      <c r="A225" s="151">
        <f>'[1]B) D RI'!A226</f>
        <v>5757</v>
      </c>
      <c r="B225" s="152" t="str">
        <f>'[1]B) D RI'!B226</f>
        <v>Orbe</v>
      </c>
      <c r="C225" s="316">
        <f>'[1]B) D RI'!S226</f>
        <v>77</v>
      </c>
      <c r="D225" s="153">
        <f>'[1]B) D RI'!AA226</f>
        <v>7030</v>
      </c>
      <c r="E225" s="314">
        <f>'[1]D) Ecrêtage'!C224</f>
        <v>203622.90168831171</v>
      </c>
      <c r="F225" s="318">
        <f>'[1]E) Fact soc'!G230</f>
        <v>4213510.0680503491</v>
      </c>
      <c r="G225" s="315">
        <f>'[1]H) Péréquation directe'!I235</f>
        <v>-1981444.2866234905</v>
      </c>
      <c r="H225" s="318">
        <f>+'[1]I) Dépenses thématiques'!O224</f>
        <v>-1558656.6774928318</v>
      </c>
      <c r="I225" s="315">
        <f>'[1]K) Plafonnement aide'!J224</f>
        <v>0</v>
      </c>
      <c r="J225" s="318">
        <f>'[1]J) Plafonnement effort'!I224</f>
        <v>0</v>
      </c>
      <c r="K225" s="315">
        <f>'[1]L) Plafonnement taux'!Q225</f>
        <v>0</v>
      </c>
      <c r="L225" s="313">
        <f t="shared" si="9"/>
        <v>673409.10393402679</v>
      </c>
      <c r="M225" s="234">
        <f>'[1]M) Police'!O225</f>
        <v>242764.43144350738</v>
      </c>
      <c r="N225" s="234">
        <f t="shared" si="10"/>
        <v>916173.53537753411</v>
      </c>
      <c r="O225" s="318">
        <f t="shared" si="11"/>
        <v>-3540100.9641163223</v>
      </c>
      <c r="P225" s="320"/>
      <c r="Q225" s="529"/>
    </row>
    <row r="226" spans="1:17" s="154" customFormat="1" x14ac:dyDescent="0.25">
      <c r="A226" s="151">
        <f>'[1]B) D RI'!A227</f>
        <v>5758</v>
      </c>
      <c r="B226" s="152" t="str">
        <f>'[1]B) D RI'!B227</f>
        <v>La Praz</v>
      </c>
      <c r="C226" s="316">
        <f>'[1]B) D RI'!S227</f>
        <v>83</v>
      </c>
      <c r="D226" s="153">
        <f>'[1]B) D RI'!AA227</f>
        <v>165</v>
      </c>
      <c r="E226" s="314">
        <f>'[1]D) Ecrêtage'!C225</f>
        <v>4513.7940160642565</v>
      </c>
      <c r="F226" s="318">
        <f>'[1]E) Fact soc'!G231</f>
        <v>96198.371629264817</v>
      </c>
      <c r="G226" s="315">
        <f>'[1]H) Péréquation directe'!I236</f>
        <v>-19392.469022454068</v>
      </c>
      <c r="H226" s="318">
        <f>+'[1]I) Dépenses thématiques'!O225</f>
        <v>-31696.260957747658</v>
      </c>
      <c r="I226" s="315">
        <f>'[1]K) Plafonnement aide'!J225</f>
        <v>0</v>
      </c>
      <c r="J226" s="318">
        <f>'[1]J) Plafonnement effort'!I225</f>
        <v>0</v>
      </c>
      <c r="K226" s="315">
        <f>'[1]L) Plafonnement taux'!Q226</f>
        <v>0</v>
      </c>
      <c r="L226" s="313">
        <f t="shared" si="9"/>
        <v>45109.641649063095</v>
      </c>
      <c r="M226" s="234">
        <f>'[1]M) Police'!O226</f>
        <v>13752.317783423443</v>
      </c>
      <c r="N226" s="234">
        <f t="shared" si="10"/>
        <v>58861.959432486539</v>
      </c>
      <c r="O226" s="318">
        <f t="shared" si="11"/>
        <v>-51088.729980201722</v>
      </c>
      <c r="P226" s="320"/>
      <c r="Q226" s="529"/>
    </row>
    <row r="227" spans="1:17" s="154" customFormat="1" x14ac:dyDescent="0.25">
      <c r="A227" s="151">
        <f>'[1]B) D RI'!A228</f>
        <v>5759</v>
      </c>
      <c r="B227" s="152" t="str">
        <f>'[1]B) D RI'!B228</f>
        <v>Premier</v>
      </c>
      <c r="C227" s="316">
        <f>'[1]B) D RI'!S228</f>
        <v>81</v>
      </c>
      <c r="D227" s="153">
        <f>'[1]B) D RI'!AA228</f>
        <v>215</v>
      </c>
      <c r="E227" s="314">
        <f>'[1]D) Ecrêtage'!C226</f>
        <v>5266.2719753086421</v>
      </c>
      <c r="F227" s="318">
        <f>'[1]E) Fact soc'!G232</f>
        <v>89865.879315744372</v>
      </c>
      <c r="G227" s="315">
        <f>'[1]H) Péréquation directe'!I237</f>
        <v>-48045.258922796173</v>
      </c>
      <c r="H227" s="318">
        <f>+'[1]I) Dépenses thématiques'!O226</f>
        <v>-51720.008965546047</v>
      </c>
      <c r="I227" s="315">
        <f>'[1]K) Plafonnement aide'!J226</f>
        <v>0</v>
      </c>
      <c r="J227" s="318">
        <f>'[1]J) Plafonnement effort'!I226</f>
        <v>0</v>
      </c>
      <c r="K227" s="315">
        <f>'[1]L) Plafonnement taux'!Q227</f>
        <v>0</v>
      </c>
      <c r="L227" s="313">
        <f t="shared" si="9"/>
        <v>-9899.3885725978471</v>
      </c>
      <c r="M227" s="234">
        <f>'[1]M) Police'!O227</f>
        <v>16099.195995936196</v>
      </c>
      <c r="N227" s="234">
        <f t="shared" si="10"/>
        <v>6199.8074233383486</v>
      </c>
      <c r="O227" s="318">
        <f t="shared" si="11"/>
        <v>-99765.26788834222</v>
      </c>
      <c r="P227" s="320"/>
      <c r="Q227" s="529"/>
    </row>
    <row r="228" spans="1:17" s="154" customFormat="1" x14ac:dyDescent="0.25">
      <c r="A228" s="151">
        <f>'[1]B) D RI'!A229</f>
        <v>5760</v>
      </c>
      <c r="B228" s="152" t="str">
        <f>'[1]B) D RI'!B229</f>
        <v>Rances</v>
      </c>
      <c r="C228" s="316">
        <f>'[1]B) D RI'!S229</f>
        <v>78</v>
      </c>
      <c r="D228" s="153">
        <f>'[1]B) D RI'!AA229</f>
        <v>505</v>
      </c>
      <c r="E228" s="314">
        <f>'[1]D) Ecrêtage'!C227</f>
        <v>12393.154658119658</v>
      </c>
      <c r="F228" s="318">
        <f>'[1]E) Fact soc'!G233</f>
        <v>198380.46947498462</v>
      </c>
      <c r="G228" s="315">
        <f>'[1]H) Péréquation directe'!I238</f>
        <v>-90228.428507242323</v>
      </c>
      <c r="H228" s="318">
        <f>+'[1]I) Dépenses thématiques'!O227</f>
        <v>-118615.48297533378</v>
      </c>
      <c r="I228" s="315">
        <f>'[1]K) Plafonnement aide'!J227</f>
        <v>0</v>
      </c>
      <c r="J228" s="318">
        <f>'[1]J) Plafonnement effort'!I227</f>
        <v>0</v>
      </c>
      <c r="K228" s="315">
        <f>'[1]L) Plafonnement taux'!Q228</f>
        <v>0</v>
      </c>
      <c r="L228" s="313">
        <f t="shared" si="9"/>
        <v>-10463.442007591482</v>
      </c>
      <c r="M228" s="234">
        <f>'[1]M) Police'!O228</f>
        <v>37760.744423919568</v>
      </c>
      <c r="N228" s="234">
        <f t="shared" si="10"/>
        <v>27297.302416328086</v>
      </c>
      <c r="O228" s="318">
        <f t="shared" si="11"/>
        <v>-208843.91148257611</v>
      </c>
      <c r="P228" s="320"/>
      <c r="Q228" s="529"/>
    </row>
    <row r="229" spans="1:17" s="154" customFormat="1" x14ac:dyDescent="0.25">
      <c r="A229" s="151">
        <f>'[1]B) D RI'!A230</f>
        <v>5761</v>
      </c>
      <c r="B229" s="152" t="str">
        <f>'[1]B) D RI'!B230</f>
        <v>Romainmôtier-Envy</v>
      </c>
      <c r="C229" s="316">
        <f>'[1]B) D RI'!S230</f>
        <v>81</v>
      </c>
      <c r="D229" s="153">
        <f>'[1]B) D RI'!AA230</f>
        <v>535</v>
      </c>
      <c r="E229" s="314">
        <f>'[1]D) Ecrêtage'!C228</f>
        <v>12300.346363636363</v>
      </c>
      <c r="F229" s="318">
        <f>'[1]E) Fact soc'!G234</f>
        <v>252542.98191184737</v>
      </c>
      <c r="G229" s="315">
        <f>'[1]H) Péréquation directe'!I239</f>
        <v>-156530.44942238284</v>
      </c>
      <c r="H229" s="318">
        <f>+'[1]I) Dépenses thématiques'!O228</f>
        <v>-135311.33477002283</v>
      </c>
      <c r="I229" s="315">
        <f>'[1]K) Plafonnement aide'!J228</f>
        <v>0</v>
      </c>
      <c r="J229" s="318">
        <f>'[1]J) Plafonnement effort'!I228</f>
        <v>0</v>
      </c>
      <c r="K229" s="315">
        <f>'[1]L) Plafonnement taux'!Q229</f>
        <v>0</v>
      </c>
      <c r="L229" s="313">
        <f t="shared" si="9"/>
        <v>-39298.802280558302</v>
      </c>
      <c r="M229" s="234">
        <f>'[1]M) Police'!O229</f>
        <v>37033.835935007686</v>
      </c>
      <c r="N229" s="234">
        <f t="shared" si="10"/>
        <v>-2264.9663455506161</v>
      </c>
      <c r="O229" s="318">
        <f t="shared" si="11"/>
        <v>-291841.78419240564</v>
      </c>
      <c r="P229" s="320"/>
      <c r="Q229" s="529"/>
    </row>
    <row r="230" spans="1:17" s="154" customFormat="1" x14ac:dyDescent="0.25">
      <c r="A230" s="151">
        <f>'[1]B) D RI'!A231</f>
        <v>5762</v>
      </c>
      <c r="B230" s="152" t="str">
        <f>'[1]B) D RI'!B231</f>
        <v>Sergey</v>
      </c>
      <c r="C230" s="316">
        <f>'[1]B) D RI'!S231</f>
        <v>78</v>
      </c>
      <c r="D230" s="153">
        <f>'[1]B) D RI'!AA231</f>
        <v>145</v>
      </c>
      <c r="E230" s="314">
        <f>'[1]D) Ecrêtage'!C229</f>
        <v>4008.7221794871789</v>
      </c>
      <c r="F230" s="318">
        <f>'[1]E) Fact soc'!G235</f>
        <v>62495.94970040935</v>
      </c>
      <c r="G230" s="315">
        <f>'[1]H) Péréquation directe'!I240</f>
        <v>-6051.2152451623115</v>
      </c>
      <c r="H230" s="318">
        <f>+'[1]I) Dépenses thématiques'!O229</f>
        <v>-1517.384264829361</v>
      </c>
      <c r="I230" s="315">
        <f>'[1]K) Plafonnement aide'!J229</f>
        <v>0</v>
      </c>
      <c r="J230" s="318">
        <f>'[1]J) Plafonnement effort'!I229</f>
        <v>0</v>
      </c>
      <c r="K230" s="315">
        <f>'[1]L) Plafonnement taux'!Q230</f>
        <v>0</v>
      </c>
      <c r="L230" s="313">
        <f t="shared" si="9"/>
        <v>54927.350190417681</v>
      </c>
      <c r="M230" s="234">
        <f>'[1]M) Police'!O230</f>
        <v>12285.371113230547</v>
      </c>
      <c r="N230" s="234">
        <f t="shared" si="10"/>
        <v>67212.721303648228</v>
      </c>
      <c r="O230" s="318">
        <f t="shared" si="11"/>
        <v>-7568.5995099916727</v>
      </c>
      <c r="P230" s="320"/>
      <c r="Q230" s="529"/>
    </row>
    <row r="231" spans="1:17" s="154" customFormat="1" x14ac:dyDescent="0.25">
      <c r="A231" s="151">
        <f>'[1]B) D RI'!A232</f>
        <v>5763</v>
      </c>
      <c r="B231" s="152" t="str">
        <f>'[1]B) D RI'!B232</f>
        <v>Valeyres-sous-Rances</v>
      </c>
      <c r="C231" s="316">
        <f>'[1]B) D RI'!S232</f>
        <v>68</v>
      </c>
      <c r="D231" s="153">
        <f>'[1]B) D RI'!AA232</f>
        <v>620</v>
      </c>
      <c r="E231" s="314">
        <f>'[1]D) Ecrêtage'!C230</f>
        <v>21916.016764705884</v>
      </c>
      <c r="F231" s="318">
        <f>'[1]E) Fact soc'!G236</f>
        <v>351134.31905957498</v>
      </c>
      <c r="G231" s="315">
        <f>'[1]H) Péréquation directe'!I241</f>
        <v>226902.25184272492</v>
      </c>
      <c r="H231" s="318">
        <f>+'[1]I) Dépenses thématiques'!O230</f>
        <v>-99575.826502113487</v>
      </c>
      <c r="I231" s="315">
        <f>'[1]K) Plafonnement aide'!J230</f>
        <v>0</v>
      </c>
      <c r="J231" s="318">
        <f>'[1]J) Plafonnement effort'!I230</f>
        <v>0</v>
      </c>
      <c r="K231" s="315">
        <f>'[1]L) Plafonnement taux'!Q231</f>
        <v>0</v>
      </c>
      <c r="L231" s="313">
        <f t="shared" si="9"/>
        <v>478460.74440018635</v>
      </c>
      <c r="M231" s="234">
        <f>'[1]M) Police'!O231</f>
        <v>67157.506025641851</v>
      </c>
      <c r="N231" s="234">
        <f t="shared" si="10"/>
        <v>545618.25042582816</v>
      </c>
      <c r="O231" s="318">
        <f t="shared" si="11"/>
        <v>127326.42534061143</v>
      </c>
      <c r="P231" s="320"/>
      <c r="Q231" s="529"/>
    </row>
    <row r="232" spans="1:17" s="154" customFormat="1" x14ac:dyDescent="0.25">
      <c r="A232" s="151">
        <f>'[1]B) D RI'!A233</f>
        <v>5764</v>
      </c>
      <c r="B232" s="152" t="str">
        <f>'[1]B) D RI'!B233</f>
        <v>Vallorbe</v>
      </c>
      <c r="C232" s="316">
        <f>'[1]B) D RI'!S233</f>
        <v>73</v>
      </c>
      <c r="D232" s="153">
        <f>'[1]B) D RI'!AA233</f>
        <v>3857</v>
      </c>
      <c r="E232" s="314">
        <f>'[1]D) Ecrêtage'!C231</f>
        <v>88041.024794520548</v>
      </c>
      <c r="F232" s="318">
        <f>'[1]E) Fact soc'!G237</f>
        <v>2288638.4919502418</v>
      </c>
      <c r="G232" s="315">
        <f>'[1]H) Péréquation directe'!I242</f>
        <v>-1475841.5313847905</v>
      </c>
      <c r="H232" s="318">
        <f>+'[1]I) Dépenses thématiques'!O231</f>
        <v>-2233171.5401521726</v>
      </c>
      <c r="I232" s="315">
        <f>'[1]K) Plafonnement aide'!J231</f>
        <v>0</v>
      </c>
      <c r="J232" s="318">
        <f>'[1]J) Plafonnement effort'!I231</f>
        <v>0</v>
      </c>
      <c r="K232" s="315">
        <f>'[1]L) Plafonnement taux'!Q232</f>
        <v>0</v>
      </c>
      <c r="L232" s="313">
        <f t="shared" si="9"/>
        <v>-1420374.5795867213</v>
      </c>
      <c r="M232" s="234">
        <f>'[1]M) Police'!O232</f>
        <v>267613.98240193789</v>
      </c>
      <c r="N232" s="234">
        <f t="shared" si="10"/>
        <v>-1152760.5971847833</v>
      </c>
      <c r="O232" s="318">
        <f t="shared" si="11"/>
        <v>-3709013.0715369629</v>
      </c>
      <c r="P232" s="320"/>
      <c r="Q232" s="529"/>
    </row>
    <row r="233" spans="1:17" s="154" customFormat="1" x14ac:dyDescent="0.25">
      <c r="A233" s="151">
        <f>'[1]B) D RI'!A234</f>
        <v>5765</v>
      </c>
      <c r="B233" s="152" t="str">
        <f>'[1]B) D RI'!B234</f>
        <v>Vaulion</v>
      </c>
      <c r="C233" s="316">
        <f>'[1]B) D RI'!S234</f>
        <v>81</v>
      </c>
      <c r="D233" s="153">
        <f>'[1]B) D RI'!AA234</f>
        <v>496</v>
      </c>
      <c r="E233" s="314">
        <f>'[1]D) Ecrêtage'!C232</f>
        <v>11969.433580246912</v>
      </c>
      <c r="F233" s="318">
        <f>'[1]E) Fact soc'!G238</f>
        <v>225929.08548712567</v>
      </c>
      <c r="G233" s="315">
        <f>'[1]H) Péréquation directe'!I243</f>
        <v>-119104.2297086913</v>
      </c>
      <c r="H233" s="318">
        <f>+'[1]I) Dépenses thématiques'!O232</f>
        <v>-131970.3077729895</v>
      </c>
      <c r="I233" s="315">
        <f>'[1]K) Plafonnement aide'!J232</f>
        <v>0</v>
      </c>
      <c r="J233" s="318">
        <f>'[1]J) Plafonnement effort'!I232</f>
        <v>0</v>
      </c>
      <c r="K233" s="315">
        <f>'[1]L) Plafonnement taux'!Q233</f>
        <v>0</v>
      </c>
      <c r="L233" s="313">
        <f t="shared" si="9"/>
        <v>-25145.451994555129</v>
      </c>
      <c r="M233" s="234">
        <f>'[1]M) Police'!O233</f>
        <v>36639.946831161353</v>
      </c>
      <c r="N233" s="234">
        <f t="shared" si="10"/>
        <v>11494.494836606224</v>
      </c>
      <c r="O233" s="318">
        <f t="shared" si="11"/>
        <v>-251074.5374816808</v>
      </c>
      <c r="P233" s="320"/>
      <c r="Q233" s="529"/>
    </row>
    <row r="234" spans="1:17" s="154" customFormat="1" x14ac:dyDescent="0.25">
      <c r="A234" s="151">
        <f>'[1]B) D RI'!A235</f>
        <v>5766</v>
      </c>
      <c r="B234" s="152" t="str">
        <f>'[1]B) D RI'!B235</f>
        <v>Vuiteboeuf</v>
      </c>
      <c r="C234" s="316">
        <f>'[1]B) D RI'!S235</f>
        <v>77</v>
      </c>
      <c r="D234" s="153">
        <f>'[1]B) D RI'!AA235</f>
        <v>576</v>
      </c>
      <c r="E234" s="314">
        <f>'[1]D) Ecrêtage'!C233</f>
        <v>13963.194675324676</v>
      </c>
      <c r="F234" s="318">
        <f>'[1]E) Fact soc'!G239</f>
        <v>252685.96149867956</v>
      </c>
      <c r="G234" s="315">
        <f>'[1]H) Péréquation directe'!I244</f>
        <v>-102425.44293869013</v>
      </c>
      <c r="H234" s="318">
        <f>+'[1]I) Dépenses thématiques'!O233</f>
        <v>-96347.658314508211</v>
      </c>
      <c r="I234" s="315">
        <f>'[1]K) Plafonnement aide'!J233</f>
        <v>0</v>
      </c>
      <c r="J234" s="318">
        <f>'[1]J) Plafonnement effort'!I233</f>
        <v>0</v>
      </c>
      <c r="K234" s="315">
        <f>'[1]L) Plafonnement taux'!Q234</f>
        <v>0</v>
      </c>
      <c r="L234" s="313">
        <f t="shared" si="9"/>
        <v>53912.860245481221</v>
      </c>
      <c r="M234" s="234">
        <f>'[1]M) Police'!O234</f>
        <v>42375.000944595078</v>
      </c>
      <c r="N234" s="234">
        <f t="shared" si="10"/>
        <v>96287.861190076306</v>
      </c>
      <c r="O234" s="318">
        <f t="shared" si="11"/>
        <v>-198773.10125319834</v>
      </c>
      <c r="P234" s="320"/>
      <c r="Q234" s="529"/>
    </row>
    <row r="235" spans="1:17" s="154" customFormat="1" x14ac:dyDescent="0.25">
      <c r="A235" s="151">
        <f>'[1]B) D RI'!A236</f>
        <v>5785</v>
      </c>
      <c r="B235" s="152" t="str">
        <f>'[1]B) D RI'!B236</f>
        <v>Corcelles-le-Jorat</v>
      </c>
      <c r="C235" s="316">
        <f>'[1]B) D RI'!S236</f>
        <v>77</v>
      </c>
      <c r="D235" s="153">
        <f>'[1]B) D RI'!AA236</f>
        <v>458</v>
      </c>
      <c r="E235" s="314">
        <f>'[1]D) Ecrêtage'!C234</f>
        <v>16982.100779220782</v>
      </c>
      <c r="F235" s="318">
        <f>'[1]E) Fact soc'!G240</f>
        <v>294991.75356166507</v>
      </c>
      <c r="G235" s="315">
        <f>'[1]H) Péréquation directe'!I245</f>
        <v>174206.92988789707</v>
      </c>
      <c r="H235" s="318">
        <f>+'[1]I) Dépenses thématiques'!O234</f>
        <v>-75632.193458276291</v>
      </c>
      <c r="I235" s="315">
        <f>'[1]K) Plafonnement aide'!J234</f>
        <v>0</v>
      </c>
      <c r="J235" s="318">
        <f>'[1]J) Plafonnement effort'!I234</f>
        <v>0</v>
      </c>
      <c r="K235" s="315">
        <f>'[1]L) Plafonnement taux'!Q235</f>
        <v>0</v>
      </c>
      <c r="L235" s="313">
        <f t="shared" si="9"/>
        <v>393566.4899912859</v>
      </c>
      <c r="M235" s="234">
        <f>'[1]M) Police'!O235</f>
        <v>52374.986067987811</v>
      </c>
      <c r="N235" s="234">
        <f t="shared" si="10"/>
        <v>445941.4760592737</v>
      </c>
      <c r="O235" s="318">
        <f t="shared" si="11"/>
        <v>98574.736429620782</v>
      </c>
      <c r="P235" s="320"/>
      <c r="Q235" s="529"/>
    </row>
    <row r="236" spans="1:17" s="154" customFormat="1" x14ac:dyDescent="0.25">
      <c r="A236" s="151">
        <f>'[1]B) D RI'!A237</f>
        <v>5788</v>
      </c>
      <c r="B236" s="152" t="str">
        <f>'[1]B) D RI'!B237</f>
        <v>Essertes</v>
      </c>
      <c r="C236" s="316">
        <f>'[1]B) D RI'!S237</f>
        <v>72</v>
      </c>
      <c r="D236" s="153">
        <f>'[1]B) D RI'!AA237</f>
        <v>380</v>
      </c>
      <c r="E236" s="314">
        <f>'[1]D) Ecrêtage'!C235</f>
        <v>12373.296527777777</v>
      </c>
      <c r="F236" s="318">
        <f>'[1]E) Fact soc'!G241</f>
        <v>231442.62027811864</v>
      </c>
      <c r="G236" s="315">
        <f>'[1]H) Péréquation directe'!I246</f>
        <v>86219.040369582828</v>
      </c>
      <c r="H236" s="318">
        <f>+'[1]I) Dépenses thématiques'!O235</f>
        <v>-31845.579441489564</v>
      </c>
      <c r="I236" s="315">
        <f>'[1]K) Plafonnement aide'!J235</f>
        <v>0</v>
      </c>
      <c r="J236" s="318">
        <f>'[1]J) Plafonnement effort'!I235</f>
        <v>0</v>
      </c>
      <c r="K236" s="315">
        <f>'[1]L) Plafonnement taux'!Q236</f>
        <v>0</v>
      </c>
      <c r="L236" s="313">
        <f t="shared" si="9"/>
        <v>285816.08120621194</v>
      </c>
      <c r="M236" s="234">
        <f>'[1]M) Police'!O236</f>
        <v>37385.164758143976</v>
      </c>
      <c r="N236" s="234">
        <f t="shared" si="10"/>
        <v>323201.24596435588</v>
      </c>
      <c r="O236" s="318">
        <f t="shared" si="11"/>
        <v>54373.460928093264</v>
      </c>
      <c r="P236" s="320"/>
      <c r="Q236" s="529"/>
    </row>
    <row r="237" spans="1:17" s="154" customFormat="1" x14ac:dyDescent="0.25">
      <c r="A237" s="151">
        <f>'[1]B) D RI'!A238</f>
        <v>5790</v>
      </c>
      <c r="B237" s="152" t="str">
        <f>'[1]B) D RI'!B238</f>
        <v>Maracon</v>
      </c>
      <c r="C237" s="316">
        <f>'[1]B) D RI'!S238</f>
        <v>76</v>
      </c>
      <c r="D237" s="153">
        <f>'[1]B) D RI'!AA238</f>
        <v>538</v>
      </c>
      <c r="E237" s="314">
        <f>'[1]D) Ecrêtage'!C236</f>
        <v>14432.888421052632</v>
      </c>
      <c r="F237" s="318">
        <f>'[1]E) Fact soc'!G242</f>
        <v>333771.81783047819</v>
      </c>
      <c r="G237" s="315">
        <f>'[1]H) Péréquation directe'!I247</f>
        <v>-28574.657858833438</v>
      </c>
      <c r="H237" s="318">
        <f>+'[1]I) Dépenses thématiques'!O236</f>
        <v>-96862.788250611717</v>
      </c>
      <c r="I237" s="315">
        <f>'[1]K) Plafonnement aide'!J236</f>
        <v>0</v>
      </c>
      <c r="J237" s="318">
        <f>'[1]J) Plafonnement effort'!I236</f>
        <v>0</v>
      </c>
      <c r="K237" s="315">
        <f>'[1]L) Plafonnement taux'!Q237</f>
        <v>0</v>
      </c>
      <c r="L237" s="313">
        <f t="shared" si="9"/>
        <v>208334.37172103304</v>
      </c>
      <c r="M237" s="234">
        <f>'[1]M) Police'!O237</f>
        <v>43921.226356276442</v>
      </c>
      <c r="N237" s="234">
        <f t="shared" si="10"/>
        <v>252255.59807730949</v>
      </c>
      <c r="O237" s="318">
        <f t="shared" si="11"/>
        <v>-125437.44610944515</v>
      </c>
      <c r="P237" s="320"/>
      <c r="Q237" s="529"/>
    </row>
    <row r="238" spans="1:17" s="154" customFormat="1" x14ac:dyDescent="0.25">
      <c r="A238" s="151">
        <f>'[1]B) D RI'!A239</f>
        <v>5792</v>
      </c>
      <c r="B238" s="152" t="str">
        <f>'[1]B) D RI'!B239</f>
        <v>Montpreveyres</v>
      </c>
      <c r="C238" s="316">
        <f>'[1]B) D RI'!S239</f>
        <v>77</v>
      </c>
      <c r="D238" s="153">
        <f>'[1]B) D RI'!AA239</f>
        <v>657</v>
      </c>
      <c r="E238" s="314">
        <f>'[1]D) Ecrêtage'!C237</f>
        <v>20144.698311688313</v>
      </c>
      <c r="F238" s="318">
        <f>'[1]E) Fact soc'!G243</f>
        <v>356510.59103289084</v>
      </c>
      <c r="G238" s="315">
        <f>'[1]H) Péréquation directe'!I248</f>
        <v>66575.249611900188</v>
      </c>
      <c r="H238" s="318">
        <f>+'[1]I) Dépenses thématiques'!O237</f>
        <v>-127477.44063610658</v>
      </c>
      <c r="I238" s="315">
        <f>'[1]K) Plafonnement aide'!J237</f>
        <v>0</v>
      </c>
      <c r="J238" s="318">
        <f>'[1]J) Plafonnement effort'!I237</f>
        <v>0</v>
      </c>
      <c r="K238" s="315">
        <f>'[1]L) Plafonnement taux'!Q238</f>
        <v>0</v>
      </c>
      <c r="L238" s="313">
        <f t="shared" si="9"/>
        <v>295608.40000868443</v>
      </c>
      <c r="M238" s="234">
        <f>'[1]M) Police'!O238</f>
        <v>61249.028982515607</v>
      </c>
      <c r="N238" s="234">
        <f t="shared" si="10"/>
        <v>356857.42899120005</v>
      </c>
      <c r="O238" s="318">
        <f t="shared" si="11"/>
        <v>-60902.19102420639</v>
      </c>
      <c r="P238" s="320"/>
      <c r="Q238" s="529"/>
    </row>
    <row r="239" spans="1:17" s="154" customFormat="1" x14ac:dyDescent="0.25">
      <c r="A239" s="151">
        <f>'[1]B) D RI'!A240</f>
        <v>5798</v>
      </c>
      <c r="B239" s="152" t="str">
        <f>'[1]B) D RI'!B240</f>
        <v>Ropraz</v>
      </c>
      <c r="C239" s="316">
        <f>'[1]B) D RI'!S240</f>
        <v>77.5</v>
      </c>
      <c r="D239" s="153">
        <f>'[1]B) D RI'!AA240</f>
        <v>488</v>
      </c>
      <c r="E239" s="314">
        <f>'[1]D) Ecrêtage'!C238</f>
        <v>14372.607741935482</v>
      </c>
      <c r="F239" s="318">
        <f>'[1]E) Fact soc'!G244</f>
        <v>219484.49404045855</v>
      </c>
      <c r="G239" s="315">
        <f>'[1]H) Péréquation directe'!I249</f>
        <v>21145.956026323605</v>
      </c>
      <c r="H239" s="318">
        <f>+'[1]I) Dépenses thématiques'!O238</f>
        <v>-55343.619593835429</v>
      </c>
      <c r="I239" s="315">
        <f>'[1]K) Plafonnement aide'!J238</f>
        <v>0</v>
      </c>
      <c r="J239" s="318">
        <f>'[1]J) Plafonnement effort'!I238</f>
        <v>0</v>
      </c>
      <c r="K239" s="315">
        <f>'[1]L) Plafonnement taux'!Q239</f>
        <v>0</v>
      </c>
      <c r="L239" s="313">
        <f t="shared" si="9"/>
        <v>185286.83047294672</v>
      </c>
      <c r="M239" s="234">
        <f>'[1]M) Police'!O239</f>
        <v>43791.812492742603</v>
      </c>
      <c r="N239" s="234">
        <f t="shared" si="10"/>
        <v>229078.64296568933</v>
      </c>
      <c r="O239" s="318">
        <f t="shared" si="11"/>
        <v>-34197.663567511823</v>
      </c>
      <c r="P239" s="320"/>
      <c r="Q239" s="529"/>
    </row>
    <row r="240" spans="1:17" s="154" customFormat="1" x14ac:dyDescent="0.25">
      <c r="A240" s="151">
        <f>'[1]B) D RI'!A241</f>
        <v>5799</v>
      </c>
      <c r="B240" s="152" t="str">
        <f>'[1]B) D RI'!B241</f>
        <v>Servion</v>
      </c>
      <c r="C240" s="316">
        <f>'[1]B) D RI'!S241</f>
        <v>69</v>
      </c>
      <c r="D240" s="153">
        <f>'[1]B) D RI'!AA241</f>
        <v>1997</v>
      </c>
      <c r="E240" s="314">
        <f>'[1]D) Ecrêtage'!C239</f>
        <v>71130.218550724647</v>
      </c>
      <c r="F240" s="318">
        <f>'[1]E) Fact soc'!G245</f>
        <v>1267341.143629571</v>
      </c>
      <c r="G240" s="315">
        <f>'[1]H) Péréquation directe'!I250</f>
        <v>513595.81857270352</v>
      </c>
      <c r="H240" s="318">
        <f>+'[1]I) Dépenses thématiques'!O239</f>
        <v>-246716.32745178361</v>
      </c>
      <c r="I240" s="315">
        <f>'[1]K) Plafonnement aide'!J239</f>
        <v>0</v>
      </c>
      <c r="J240" s="318">
        <f>'[1]J) Plafonnement effort'!I239</f>
        <v>0</v>
      </c>
      <c r="K240" s="315">
        <f>'[1]L) Plafonnement taux'!Q240</f>
        <v>0</v>
      </c>
      <c r="L240" s="313">
        <f t="shared" si="9"/>
        <v>1534220.6347504908</v>
      </c>
      <c r="M240" s="234">
        <f>'[1]M) Police'!O240</f>
        <v>214849.60440021771</v>
      </c>
      <c r="N240" s="234">
        <f t="shared" si="10"/>
        <v>1749070.2391507085</v>
      </c>
      <c r="O240" s="318">
        <f t="shared" si="11"/>
        <v>266879.49112091993</v>
      </c>
      <c r="P240" s="320"/>
      <c r="Q240" s="529"/>
    </row>
    <row r="241" spans="1:17" s="154" customFormat="1" x14ac:dyDescent="0.25">
      <c r="A241" s="151">
        <f>'[1]B) D RI'!A242</f>
        <v>5803</v>
      </c>
      <c r="B241" s="152" t="str">
        <f>'[1]B) D RI'!B242</f>
        <v>Vulliens</v>
      </c>
      <c r="C241" s="316">
        <f>'[1]B) D RI'!S242</f>
        <v>78</v>
      </c>
      <c r="D241" s="153">
        <f>'[1]B) D RI'!AA242</f>
        <v>614</v>
      </c>
      <c r="E241" s="314">
        <f>'[1]D) Ecrêtage'!C240</f>
        <v>17471.95461538462</v>
      </c>
      <c r="F241" s="318">
        <f>'[1]E) Fact soc'!G246</f>
        <v>266904.68023783161</v>
      </c>
      <c r="G241" s="315">
        <f>'[1]H) Péréquation directe'!I251</f>
        <v>-3704.2141411641496</v>
      </c>
      <c r="H241" s="318">
        <f>+'[1]I) Dépenses thématiques'!O240</f>
        <v>-104001.34396085085</v>
      </c>
      <c r="I241" s="315">
        <f>'[1]K) Plafonnement aide'!J240</f>
        <v>0</v>
      </c>
      <c r="J241" s="318">
        <f>'[1]J) Plafonnement effort'!I240</f>
        <v>0</v>
      </c>
      <c r="K241" s="315">
        <f>'[1]L) Plafonnement taux'!Q241</f>
        <v>0</v>
      </c>
      <c r="L241" s="313">
        <f t="shared" si="9"/>
        <v>159199.12213581661</v>
      </c>
      <c r="M241" s="234">
        <f>'[1]M) Police'!O241</f>
        <v>53087.962710054802</v>
      </c>
      <c r="N241" s="234">
        <f t="shared" si="10"/>
        <v>212287.0848458714</v>
      </c>
      <c r="O241" s="318">
        <f t="shared" si="11"/>
        <v>-107705.558102015</v>
      </c>
      <c r="P241" s="320"/>
      <c r="Q241" s="529"/>
    </row>
    <row r="242" spans="1:17" s="154" customFormat="1" x14ac:dyDescent="0.25">
      <c r="A242" s="151">
        <f>'[1]B) D RI'!A243</f>
        <v>5804</v>
      </c>
      <c r="B242" s="152" t="str">
        <f>'[1]B) D RI'!B243</f>
        <v>Jorat-Menthue</v>
      </c>
      <c r="C242" s="316">
        <f>'[1]B) D RI'!S243</f>
        <v>72</v>
      </c>
      <c r="D242" s="153">
        <f>'[1]B) D RI'!AA243</f>
        <v>1591</v>
      </c>
      <c r="E242" s="314">
        <f>'[1]D) Ecrêtage'!C241</f>
        <v>44252.610972222225</v>
      </c>
      <c r="F242" s="318">
        <f>'[1]E) Fact soc'!G247</f>
        <v>740529.7434254376</v>
      </c>
      <c r="G242" s="315">
        <f>'[1]H) Péréquation directe'!I252</f>
        <v>-78775.643015543232</v>
      </c>
      <c r="H242" s="318">
        <f>+'[1]I) Dépenses thématiques'!O241</f>
        <v>-1190850.9560272719</v>
      </c>
      <c r="I242" s="315">
        <f>'[1]K) Plafonnement aide'!J241</f>
        <v>0</v>
      </c>
      <c r="J242" s="318">
        <f>'[1]J) Plafonnement effort'!I241</f>
        <v>0</v>
      </c>
      <c r="K242" s="315">
        <f>'[1]L) Plafonnement taux'!Q242</f>
        <v>0</v>
      </c>
      <c r="L242" s="313">
        <f>F242+G242+H242+I242+J242+K242</f>
        <v>-529096.85561737756</v>
      </c>
      <c r="M242" s="234">
        <f>'[1]M) Police'!O242</f>
        <v>133697.87492522877</v>
      </c>
      <c r="N242" s="234">
        <f t="shared" si="10"/>
        <v>-395398.98069214879</v>
      </c>
      <c r="O242" s="318">
        <f t="shared" si="11"/>
        <v>-1269626.5990428152</v>
      </c>
      <c r="P242" s="320"/>
      <c r="Q242" s="529"/>
    </row>
    <row r="243" spans="1:17" s="154" customFormat="1" x14ac:dyDescent="0.25">
      <c r="A243" s="151">
        <f>'[1]B) D RI'!A244</f>
        <v>5805</v>
      </c>
      <c r="B243" s="152" t="str">
        <f>'[1]B) D RI'!B244</f>
        <v>Oron</v>
      </c>
      <c r="C243" s="316">
        <f>'[1]B) D RI'!S244</f>
        <v>69</v>
      </c>
      <c r="D243" s="153">
        <f>'[1]B) D RI'!AA244</f>
        <v>5669</v>
      </c>
      <c r="E243" s="314">
        <f>'[1]D) Ecrêtage'!C242</f>
        <v>158737.86322793149</v>
      </c>
      <c r="F243" s="318">
        <f>'[1]E) Fact soc'!G248</f>
        <v>3014928.6689878069</v>
      </c>
      <c r="G243" s="315">
        <f>'[1]H) Péréquation directe'!I253</f>
        <v>-1105433.8953294479</v>
      </c>
      <c r="H243" s="318">
        <f>+'[1]I) Dépenses thématiques'!O242</f>
        <v>-794074.48806790938</v>
      </c>
      <c r="I243" s="315">
        <f>'[1]K) Plafonnement aide'!J242</f>
        <v>0</v>
      </c>
      <c r="J243" s="318">
        <f>'[1]J) Plafonnement effort'!I242</f>
        <v>0</v>
      </c>
      <c r="K243" s="315">
        <f>'[1]L) Plafonnement taux'!Q243</f>
        <v>0</v>
      </c>
      <c r="L243" s="313">
        <f>F243+G243+H243+I243+J243+K243</f>
        <v>1115420.2855904496</v>
      </c>
      <c r="M243" s="234">
        <f>'[1]M) Police'!O243</f>
        <v>478573.52288795513</v>
      </c>
      <c r="N243" s="234">
        <f t="shared" si="10"/>
        <v>1593993.8084784048</v>
      </c>
      <c r="O243" s="318">
        <f t="shared" si="11"/>
        <v>-1899508.3833973573</v>
      </c>
      <c r="P243" s="320"/>
      <c r="Q243" s="529"/>
    </row>
    <row r="244" spans="1:17" s="154" customFormat="1" x14ac:dyDescent="0.25">
      <c r="A244" s="151">
        <f>'[1]B) D RI'!A245</f>
        <v>5806</v>
      </c>
      <c r="B244" s="152" t="str">
        <f>'[1]B) D RI'!B245</f>
        <v>Jorat-Mézières</v>
      </c>
      <c r="C244" s="316">
        <f>'[1]B) D RI'!S245</f>
        <v>76</v>
      </c>
      <c r="D244" s="153">
        <f>'[1]B) D RI'!AA245</f>
        <v>2949</v>
      </c>
      <c r="E244" s="314">
        <f>'[1]D) Ecrêtage'!C243</f>
        <v>92100.572236842127</v>
      </c>
      <c r="F244" s="318">
        <f>'[1]E) Fact soc'!G249</f>
        <v>1533111.8792992453</v>
      </c>
      <c r="G244" s="315">
        <f>'[1]H) Péréquation directe'!I254</f>
        <v>-40485.24606956495</v>
      </c>
      <c r="H244" s="318">
        <f>+'[1]I) Dépenses thématiques'!O243</f>
        <v>-345188.72061307245</v>
      </c>
      <c r="I244" s="315">
        <f>'[1]K) Plafonnement aide'!J243</f>
        <v>0</v>
      </c>
      <c r="J244" s="318">
        <f>'[1]J) Plafonnement effort'!I243</f>
        <v>0</v>
      </c>
      <c r="K244" s="315">
        <f>'[1]L) Plafonnement taux'!Q244</f>
        <v>0</v>
      </c>
      <c r="L244" s="313">
        <f>F244+G244+H244+I244+J244+K244</f>
        <v>1147437.912616608</v>
      </c>
      <c r="M244" s="234">
        <f>'[1]M) Police'!O244</f>
        <v>280270.01681892498</v>
      </c>
      <c r="N244" s="234">
        <f t="shared" si="10"/>
        <v>1427707.929435533</v>
      </c>
      <c r="O244" s="318">
        <f t="shared" si="11"/>
        <v>-385673.9666826374</v>
      </c>
      <c r="P244" s="320"/>
      <c r="Q244" s="529"/>
    </row>
    <row r="245" spans="1:17" s="154" customFormat="1" x14ac:dyDescent="0.25">
      <c r="A245" s="151">
        <f>'[1]B) D RI'!A246</f>
        <v>5812</v>
      </c>
      <c r="B245" s="152" t="str">
        <f>'[1]B) D RI'!B246</f>
        <v>Champtauroz</v>
      </c>
      <c r="C245" s="316">
        <f>'[1]B) D RI'!S246</f>
        <v>77</v>
      </c>
      <c r="D245" s="153">
        <f>'[1]B) D RI'!AA246</f>
        <v>130</v>
      </c>
      <c r="E245" s="314">
        <f>'[1]D) Ecrêtage'!C244</f>
        <v>3697.8804870129875</v>
      </c>
      <c r="F245" s="318">
        <f>'[1]E) Fact soc'!G250</f>
        <v>85540.196112842095</v>
      </c>
      <c r="G245" s="315">
        <f>'[1]H) Péréquation directe'!I255</f>
        <v>644.57297461686539</v>
      </c>
      <c r="H245" s="318">
        <f>+'[1]I) Dépenses thématiques'!O244</f>
        <v>-13381.622931603975</v>
      </c>
      <c r="I245" s="315">
        <f>'[1]K) Plafonnement aide'!J244</f>
        <v>0</v>
      </c>
      <c r="J245" s="318">
        <f>'[1]J) Plafonnement effort'!I244</f>
        <v>0</v>
      </c>
      <c r="K245" s="315">
        <f>'[1]L) Plafonnement taux'!Q245</f>
        <v>-764.78735964255941</v>
      </c>
      <c r="L245" s="313">
        <f t="shared" si="9"/>
        <v>72038.358796212415</v>
      </c>
      <c r="M245" s="234">
        <f>'[1]M) Police'!O245</f>
        <v>11305.210554226414</v>
      </c>
      <c r="N245" s="234">
        <f t="shared" si="10"/>
        <v>83343.569350438833</v>
      </c>
      <c r="O245" s="318">
        <f t="shared" si="11"/>
        <v>-13501.83731662967</v>
      </c>
      <c r="P245" s="320"/>
      <c r="Q245" s="529"/>
    </row>
    <row r="246" spans="1:17" s="154" customFormat="1" x14ac:dyDescent="0.25">
      <c r="A246" s="151">
        <f>'[1]B) D RI'!A247</f>
        <v>5813</v>
      </c>
      <c r="B246" s="152" t="str">
        <f>'[1]B) D RI'!B247</f>
        <v>Chevroux</v>
      </c>
      <c r="C246" s="316">
        <f>'[1]B) D RI'!S247</f>
        <v>70</v>
      </c>
      <c r="D246" s="153">
        <f>'[1]B) D RI'!AA247</f>
        <v>492</v>
      </c>
      <c r="E246" s="314">
        <f>'[1]D) Ecrêtage'!C245</f>
        <v>14717.819857142857</v>
      </c>
      <c r="F246" s="318">
        <f>'[1]E) Fact soc'!G251</f>
        <v>236276.66440006034</v>
      </c>
      <c r="G246" s="315">
        <f>'[1]H) Péréquation directe'!I256</f>
        <v>68365.54511603486</v>
      </c>
      <c r="H246" s="318">
        <f>+'[1]I) Dépenses thématiques'!O245</f>
        <v>-50697.116600451242</v>
      </c>
      <c r="I246" s="315">
        <f>'[1]K) Plafonnement aide'!J245</f>
        <v>0</v>
      </c>
      <c r="J246" s="318">
        <f>'[1]J) Plafonnement effort'!I245</f>
        <v>0</v>
      </c>
      <c r="K246" s="315">
        <f>'[1]L) Plafonnement taux'!Q246</f>
        <v>0</v>
      </c>
      <c r="L246" s="313">
        <f t="shared" si="9"/>
        <v>253945.092915644</v>
      </c>
      <c r="M246" s="234">
        <f>'[1]M) Police'!O246</f>
        <v>44315.022413335602</v>
      </c>
      <c r="N246" s="234">
        <f t="shared" si="10"/>
        <v>298260.11532897962</v>
      </c>
      <c r="O246" s="318">
        <f t="shared" si="11"/>
        <v>17668.428515583619</v>
      </c>
      <c r="P246" s="320"/>
      <c r="Q246" s="529"/>
    </row>
    <row r="247" spans="1:17" s="154" customFormat="1" x14ac:dyDescent="0.25">
      <c r="A247" s="151">
        <f>'[1]B) D RI'!A248</f>
        <v>5816</v>
      </c>
      <c r="B247" s="152" t="str">
        <f>'[1]B) D RI'!B248</f>
        <v>Corcelles-près-Payerne</v>
      </c>
      <c r="C247" s="316">
        <f>'[1]B) D RI'!S248</f>
        <v>70</v>
      </c>
      <c r="D247" s="153">
        <f>'[1]B) D RI'!AA248</f>
        <v>2571</v>
      </c>
      <c r="E247" s="314">
        <f>'[1]D) Ecrêtage'!C246</f>
        <v>60753.42418367348</v>
      </c>
      <c r="F247" s="318">
        <f>'[1]E) Fact soc'!G252</f>
        <v>1321205.9238283176</v>
      </c>
      <c r="G247" s="315">
        <f>'[1]H) Péréquation directe'!I257</f>
        <v>-634680.45972403185</v>
      </c>
      <c r="H247" s="318">
        <f>+'[1]I) Dépenses thématiques'!O246</f>
        <v>-470115.05003277602</v>
      </c>
      <c r="I247" s="315">
        <f>'[1]K) Plafonnement aide'!J246</f>
        <v>0</v>
      </c>
      <c r="J247" s="318">
        <f>'[1]J) Plafonnement effort'!I246</f>
        <v>0</v>
      </c>
      <c r="K247" s="315">
        <f>'[1]L) Plafonnement taux'!Q247</f>
        <v>0</v>
      </c>
      <c r="L247" s="313">
        <f t="shared" si="9"/>
        <v>216410.41407150967</v>
      </c>
      <c r="M247" s="234">
        <f>'[1]M) Police'!O247</f>
        <v>182915.30476987822</v>
      </c>
      <c r="N247" s="234">
        <f t="shared" si="10"/>
        <v>399325.71884138789</v>
      </c>
      <c r="O247" s="318">
        <f t="shared" si="11"/>
        <v>-1104795.5097568079</v>
      </c>
      <c r="P247" s="320"/>
      <c r="Q247" s="529"/>
    </row>
    <row r="248" spans="1:17" s="154" customFormat="1" x14ac:dyDescent="0.25">
      <c r="A248" s="151">
        <f>'[1]B) D RI'!A249</f>
        <v>5817</v>
      </c>
      <c r="B248" s="152" t="str">
        <f>'[1]B) D RI'!B249</f>
        <v>Grandcour</v>
      </c>
      <c r="C248" s="316">
        <f>'[1]B) D RI'!S249</f>
        <v>77</v>
      </c>
      <c r="D248" s="153">
        <f>'[1]B) D RI'!AA249</f>
        <v>953</v>
      </c>
      <c r="E248" s="314">
        <f>'[1]D) Ecrêtage'!C247</f>
        <v>21844.312857142857</v>
      </c>
      <c r="F248" s="318">
        <f>'[1]E) Fact soc'!G253</f>
        <v>344885.36966232589</v>
      </c>
      <c r="G248" s="315">
        <f>'[1]H) Péréquation directe'!I258</f>
        <v>-224164.1731652118</v>
      </c>
      <c r="H248" s="318">
        <f>+'[1]I) Dépenses thématiques'!O247</f>
        <v>-150789.00217291637</v>
      </c>
      <c r="I248" s="315">
        <f>'[1]K) Plafonnement aide'!J247</f>
        <v>0</v>
      </c>
      <c r="J248" s="318">
        <f>'[1]J) Plafonnement effort'!I247</f>
        <v>0</v>
      </c>
      <c r="K248" s="315">
        <f>'[1]L) Plafonnement taux'!Q248</f>
        <v>0</v>
      </c>
      <c r="L248" s="313">
        <f t="shared" si="9"/>
        <v>-30067.805675802287</v>
      </c>
      <c r="M248" s="234">
        <f>'[1]M) Police'!O248</f>
        <v>66174.549537922081</v>
      </c>
      <c r="N248" s="234">
        <f t="shared" si="10"/>
        <v>36106.743862119794</v>
      </c>
      <c r="O248" s="318">
        <f t="shared" si="11"/>
        <v>-374953.17533812817</v>
      </c>
      <c r="P248" s="320"/>
      <c r="Q248" s="529"/>
    </row>
    <row r="249" spans="1:17" s="154" customFormat="1" x14ac:dyDescent="0.25">
      <c r="A249" s="151">
        <f>'[1]B) D RI'!A250</f>
        <v>5819</v>
      </c>
      <c r="B249" s="152" t="str">
        <f>'[1]B) D RI'!B250</f>
        <v>Henniez</v>
      </c>
      <c r="C249" s="316">
        <f>'[1]B) D RI'!S250</f>
        <v>69</v>
      </c>
      <c r="D249" s="153">
        <f>'[1]B) D RI'!AA250</f>
        <v>376</v>
      </c>
      <c r="E249" s="314">
        <f>'[1]D) Ecrêtage'!C248</f>
        <v>12524.767971014497</v>
      </c>
      <c r="F249" s="318">
        <f>'[1]E) Fact soc'!G254</f>
        <v>216048.28321543051</v>
      </c>
      <c r="G249" s="315">
        <f>'[1]H) Péréquation directe'!I259</f>
        <v>105429.39157116972</v>
      </c>
      <c r="H249" s="318">
        <f>+'[1]I) Dépenses thématiques'!O248</f>
        <v>-74973.755068083221</v>
      </c>
      <c r="I249" s="315">
        <f>'[1]K) Plafonnement aide'!J248</f>
        <v>0</v>
      </c>
      <c r="J249" s="318">
        <f>'[1]J) Plafonnement effort'!I248</f>
        <v>0</v>
      </c>
      <c r="K249" s="315">
        <f>'[1]L) Plafonnement taux'!Q249</f>
        <v>0</v>
      </c>
      <c r="L249" s="313">
        <f t="shared" si="9"/>
        <v>246503.91971851699</v>
      </c>
      <c r="M249" s="234">
        <f>'[1]M) Police'!O249</f>
        <v>37521.803502888819</v>
      </c>
      <c r="N249" s="234">
        <f t="shared" si="10"/>
        <v>284025.72322140582</v>
      </c>
      <c r="O249" s="318">
        <f t="shared" si="11"/>
        <v>30455.636503086498</v>
      </c>
      <c r="P249" s="320"/>
      <c r="Q249" s="529"/>
    </row>
    <row r="250" spans="1:17" s="154" customFormat="1" x14ac:dyDescent="0.25">
      <c r="A250" s="151">
        <f>'[1]B) D RI'!A251</f>
        <v>5821</v>
      </c>
      <c r="B250" s="152" t="str">
        <f>'[1]B) D RI'!B251</f>
        <v>Missy</v>
      </c>
      <c r="C250" s="316">
        <f>'[1]B) D RI'!S251</f>
        <v>72</v>
      </c>
      <c r="D250" s="153">
        <f>'[1]B) D RI'!AA251</f>
        <v>362</v>
      </c>
      <c r="E250" s="314">
        <f>'[1]D) Ecrêtage'!C249</f>
        <v>8359.2275000000009</v>
      </c>
      <c r="F250" s="318">
        <f>'[1]E) Fact soc'!G255</f>
        <v>124621.84411293354</v>
      </c>
      <c r="G250" s="315">
        <f>'[1]H) Péréquation directe'!I260</f>
        <v>-56808.340967688913</v>
      </c>
      <c r="H250" s="318">
        <f>+'[1]I) Dépenses thématiques'!O249</f>
        <v>-18397.400251509367</v>
      </c>
      <c r="I250" s="315">
        <f>'[1]K) Plafonnement aide'!J249</f>
        <v>0</v>
      </c>
      <c r="J250" s="318">
        <f>'[1]J) Plafonnement effort'!I249</f>
        <v>0</v>
      </c>
      <c r="K250" s="315">
        <f>'[1]L) Plafonnement taux'!Q250</f>
        <v>0</v>
      </c>
      <c r="L250" s="313">
        <f t="shared" si="9"/>
        <v>49416.10289373526</v>
      </c>
      <c r="M250" s="234">
        <f>'[1]M) Police'!O250</f>
        <v>25187.513440069808</v>
      </c>
      <c r="N250" s="234">
        <f t="shared" si="10"/>
        <v>74603.616333805068</v>
      </c>
      <c r="O250" s="318">
        <f t="shared" si="11"/>
        <v>-75205.741219198273</v>
      </c>
      <c r="P250" s="320"/>
      <c r="Q250" s="529"/>
    </row>
    <row r="251" spans="1:17" s="154" customFormat="1" x14ac:dyDescent="0.25">
      <c r="A251" s="151">
        <f>'[1]B) D RI'!A252</f>
        <v>5822</v>
      </c>
      <c r="B251" s="152" t="str">
        <f>'[1]B) D RI'!B252</f>
        <v>Payerne</v>
      </c>
      <c r="C251" s="316">
        <f>'[1]B) D RI'!S252</f>
        <v>75</v>
      </c>
      <c r="D251" s="153">
        <f>'[1]B) D RI'!AA252</f>
        <v>10072</v>
      </c>
      <c r="E251" s="314">
        <f>'[1]D) Ecrêtage'!C250</f>
        <v>246662.05359999998</v>
      </c>
      <c r="F251" s="318">
        <f>'[1]E) Fact soc'!G256</f>
        <v>4231175.2014104445</v>
      </c>
      <c r="G251" s="315">
        <f>'[1]H) Péréquation directe'!I261</f>
        <v>-5304608.3465838786</v>
      </c>
      <c r="H251" s="318">
        <f>+'[1]I) Dépenses thématiques'!O250</f>
        <v>-1687042.4696395826</v>
      </c>
      <c r="I251" s="315">
        <f>'[1]K) Plafonnement aide'!J250</f>
        <v>0</v>
      </c>
      <c r="J251" s="318">
        <f>'[1]J) Plafonnement effort'!I250</f>
        <v>0</v>
      </c>
      <c r="K251" s="315">
        <f>'[1]L) Plafonnement taux'!Q251</f>
        <v>0</v>
      </c>
      <c r="L251" s="313">
        <f t="shared" si="9"/>
        <v>-2760475.6148130167</v>
      </c>
      <c r="M251" s="234">
        <f>'[1]M) Police'!O251</f>
        <v>744352.13902908703</v>
      </c>
      <c r="N251" s="234">
        <f t="shared" si="10"/>
        <v>-2016123.4757839297</v>
      </c>
      <c r="O251" s="318">
        <f t="shared" si="11"/>
        <v>-6991650.8162234612</v>
      </c>
      <c r="P251" s="320"/>
      <c r="Q251" s="529"/>
    </row>
    <row r="252" spans="1:17" s="154" customFormat="1" x14ac:dyDescent="0.25">
      <c r="A252" s="151">
        <f>'[1]B) D RI'!A253</f>
        <v>5827</v>
      </c>
      <c r="B252" s="152" t="str">
        <f>'[1]B) D RI'!B253</f>
        <v>Trey</v>
      </c>
      <c r="C252" s="316">
        <f>'[1]B) D RI'!S253</f>
        <v>80</v>
      </c>
      <c r="D252" s="153">
        <f>'[1]B) D RI'!AA253</f>
        <v>285</v>
      </c>
      <c r="E252" s="314">
        <f>'[1]D) Ecrêtage'!C251</f>
        <v>6768.899124999999</v>
      </c>
      <c r="F252" s="318">
        <f>'[1]E) Fact soc'!G257</f>
        <v>109589.40734711097</v>
      </c>
      <c r="G252" s="315">
        <f>'[1]H) Péréquation directe'!I262</f>
        <v>-69188.784032565571</v>
      </c>
      <c r="H252" s="318">
        <f>+'[1]I) Dépenses thématiques'!O251</f>
        <v>-53583.076100842911</v>
      </c>
      <c r="I252" s="315">
        <f>'[1]K) Plafonnement aide'!J251</f>
        <v>0</v>
      </c>
      <c r="J252" s="318">
        <f>'[1]J) Plafonnement effort'!I251</f>
        <v>0</v>
      </c>
      <c r="K252" s="315">
        <f>'[1]L) Plafonnement taux'!Q252</f>
        <v>0</v>
      </c>
      <c r="L252" s="313">
        <f t="shared" si="9"/>
        <v>-13182.452786297508</v>
      </c>
      <c r="M252" s="234">
        <f>'[1]M) Police'!O252</f>
        <v>20647.630414550556</v>
      </c>
      <c r="N252" s="234">
        <f t="shared" si="10"/>
        <v>7465.1776282530482</v>
      </c>
      <c r="O252" s="318">
        <f t="shared" si="11"/>
        <v>-122771.86013340848</v>
      </c>
      <c r="P252" s="320"/>
      <c r="Q252" s="529"/>
    </row>
    <row r="253" spans="1:17" s="154" customFormat="1" x14ac:dyDescent="0.25">
      <c r="A253" s="151">
        <f>'[1]B) D RI'!A254</f>
        <v>5828</v>
      </c>
      <c r="B253" s="152" t="str">
        <f>'[1]B) D RI'!B254</f>
        <v>Treytorrens (Payerne)</v>
      </c>
      <c r="C253" s="316">
        <f>'[1]B) D RI'!S254</f>
        <v>84</v>
      </c>
      <c r="D253" s="153">
        <f>'[1]B) D RI'!AA254</f>
        <v>111</v>
      </c>
      <c r="E253" s="314">
        <f>'[1]D) Ecrêtage'!C252</f>
        <v>2424.4907539682545</v>
      </c>
      <c r="F253" s="318">
        <f>'[1]E) Fact soc'!G258</f>
        <v>51598.7842645317</v>
      </c>
      <c r="G253" s="315">
        <f>'[1]H) Péréquation directe'!I263</f>
        <v>-43841.63637617229</v>
      </c>
      <c r="H253" s="318">
        <f>+'[1]I) Dépenses thématiques'!O252</f>
        <v>-31924.380039385509</v>
      </c>
      <c r="I253" s="315">
        <f>'[1]K) Plafonnement aide'!J252</f>
        <v>0</v>
      </c>
      <c r="J253" s="318">
        <f>'[1]J) Plafonnement effort'!I252</f>
        <v>0</v>
      </c>
      <c r="K253" s="315">
        <f>'[1]L) Plafonnement taux'!Q253</f>
        <v>0</v>
      </c>
      <c r="L253" s="313">
        <f t="shared" si="9"/>
        <v>-24167.232151026099</v>
      </c>
      <c r="M253" s="234">
        <f>'[1]M) Police'!O253</f>
        <v>7365.1182212683916</v>
      </c>
      <c r="N253" s="234">
        <f t="shared" si="10"/>
        <v>-16802.113929757707</v>
      </c>
      <c r="O253" s="318">
        <f t="shared" si="11"/>
        <v>-75766.016415557795</v>
      </c>
      <c r="P253" s="320"/>
      <c r="Q253" s="529"/>
    </row>
    <row r="254" spans="1:17" s="154" customFormat="1" x14ac:dyDescent="0.25">
      <c r="A254" s="151">
        <f>'[1]B) D RI'!A255</f>
        <v>5830</v>
      </c>
      <c r="B254" s="152" t="str">
        <f>'[1]B) D RI'!B255</f>
        <v>Villarzel</v>
      </c>
      <c r="C254" s="316">
        <f>'[1]B) D RI'!S255</f>
        <v>77</v>
      </c>
      <c r="D254" s="153">
        <f>'[1]B) D RI'!AA255</f>
        <v>451</v>
      </c>
      <c r="E254" s="314">
        <f>'[1]D) Ecrêtage'!C253</f>
        <v>13652.802077922079</v>
      </c>
      <c r="F254" s="318">
        <f>'[1]E) Fact soc'!G259</f>
        <v>241388.55564379145</v>
      </c>
      <c r="G254" s="315">
        <f>'[1]H) Péréquation directe'!I264</f>
        <v>38065.449178154493</v>
      </c>
      <c r="H254" s="318">
        <f>+'[1]I) Dépenses thématiques'!O253</f>
        <v>-87930.546721552018</v>
      </c>
      <c r="I254" s="315">
        <f>'[1]K) Plafonnement aide'!J253</f>
        <v>0</v>
      </c>
      <c r="J254" s="318">
        <f>'[1]J) Plafonnement effort'!I253</f>
        <v>0</v>
      </c>
      <c r="K254" s="315">
        <f>'[1]L) Plafonnement taux'!Q254</f>
        <v>0</v>
      </c>
      <c r="L254" s="313">
        <f t="shared" si="9"/>
        <v>191523.45810039388</v>
      </c>
      <c r="M254" s="234">
        <f>'[1]M) Police'!O254</f>
        <v>42042.23048354646</v>
      </c>
      <c r="N254" s="234">
        <f t="shared" si="10"/>
        <v>233565.68858394033</v>
      </c>
      <c r="O254" s="318">
        <f t="shared" si="11"/>
        <v>-49865.097543397525</v>
      </c>
      <c r="P254" s="320"/>
      <c r="Q254" s="529"/>
    </row>
    <row r="255" spans="1:17" s="154" customFormat="1" x14ac:dyDescent="0.25">
      <c r="A255" s="151">
        <f>'[1]B) D RI'!A256</f>
        <v>5831</v>
      </c>
      <c r="B255" s="152" t="str">
        <f>'[1]B) D RI'!B256</f>
        <v>Valbroye</v>
      </c>
      <c r="C255" s="316">
        <f>'[1]B) D RI'!S256</f>
        <v>73</v>
      </c>
      <c r="D255" s="153">
        <f>'[1]B) D RI'!AA256</f>
        <v>3296</v>
      </c>
      <c r="E255" s="314">
        <f>'[1]D) Ecrêtage'!C254</f>
        <v>90573.475753424646</v>
      </c>
      <c r="F255" s="318">
        <f>'[1]E) Fact soc'!G260</f>
        <v>1625782.543091658</v>
      </c>
      <c r="G255" s="315">
        <f>'[1]H) Péréquation directe'!I265</f>
        <v>-532017.83167512552</v>
      </c>
      <c r="H255" s="318">
        <f>+'[1]I) Dépenses thématiques'!O254</f>
        <v>-894259.60320506501</v>
      </c>
      <c r="I255" s="315">
        <f>'[1]K) Plafonnement aide'!J254</f>
        <v>0</v>
      </c>
      <c r="J255" s="318">
        <f>'[1]J) Plafonnement effort'!I254</f>
        <v>0</v>
      </c>
      <c r="K255" s="315">
        <f>'[1]L) Plafonnement taux'!Q255</f>
        <v>0</v>
      </c>
      <c r="L255" s="313">
        <f>F255+G255+H255+I255+J255+K255</f>
        <v>199505.10821146751</v>
      </c>
      <c r="M255" s="234">
        <f>'[1]M) Police'!O255</f>
        <v>267568.76452255761</v>
      </c>
      <c r="N255" s="234">
        <f t="shared" si="10"/>
        <v>467073.87273402512</v>
      </c>
      <c r="O255" s="318">
        <f t="shared" si="11"/>
        <v>-1426277.4348801905</v>
      </c>
      <c r="P255" s="320"/>
      <c r="Q255" s="529"/>
    </row>
    <row r="256" spans="1:17" s="154" customFormat="1" x14ac:dyDescent="0.25">
      <c r="A256" s="151">
        <f>'[1]B) D RI'!A257</f>
        <v>5841</v>
      </c>
      <c r="B256" s="152" t="str">
        <f>'[1]B) D RI'!B257</f>
        <v>Château-d'Oex</v>
      </c>
      <c r="C256" s="316">
        <f>'[1]B) D RI'!S257</f>
        <v>83</v>
      </c>
      <c r="D256" s="153">
        <f>'[1]B) D RI'!AA257</f>
        <v>3468</v>
      </c>
      <c r="E256" s="314">
        <f>'[1]D) Ecrêtage'!C255</f>
        <v>118643.61518072287</v>
      </c>
      <c r="F256" s="318">
        <f>'[1]E) Fact soc'!G261</f>
        <v>2084887.5131062164</v>
      </c>
      <c r="G256" s="315">
        <f>'[1]H) Péréquation directe'!I266</f>
        <v>87767.006578425877</v>
      </c>
      <c r="H256" s="318">
        <f>+'[1]I) Dépenses thématiques'!O255</f>
        <v>-2119286.0145050273</v>
      </c>
      <c r="I256" s="315">
        <f>'[1]K) Plafonnement aide'!J255</f>
        <v>0</v>
      </c>
      <c r="J256" s="318">
        <f>'[1]J) Plafonnement effort'!I255</f>
        <v>0</v>
      </c>
      <c r="K256" s="315">
        <f>'[1]L) Plafonnement taux'!Q256</f>
        <v>0</v>
      </c>
      <c r="L256" s="313">
        <f t="shared" si="9"/>
        <v>53368.505179615226</v>
      </c>
      <c r="M256" s="234">
        <f>'[1]M) Police'!O256</f>
        <v>354212.43954701489</v>
      </c>
      <c r="N256" s="234">
        <f t="shared" si="10"/>
        <v>407580.94472663011</v>
      </c>
      <c r="O256" s="318">
        <f t="shared" si="11"/>
        <v>-2031519.0079266015</v>
      </c>
      <c r="P256" s="320"/>
      <c r="Q256" s="529"/>
    </row>
    <row r="257" spans="1:17" s="154" customFormat="1" x14ac:dyDescent="0.25">
      <c r="A257" s="151">
        <f>'[1]B) D RI'!A258</f>
        <v>5842</v>
      </c>
      <c r="B257" s="152" t="str">
        <f>'[1]B) D RI'!B258</f>
        <v>Rossinière</v>
      </c>
      <c r="C257" s="316">
        <f>'[1]B) D RI'!S258</f>
        <v>81</v>
      </c>
      <c r="D257" s="153">
        <f>'[1]B) D RI'!AA258</f>
        <v>548</v>
      </c>
      <c r="E257" s="314">
        <f>'[1]D) Ecrêtage'!C256</f>
        <v>13727.475720164608</v>
      </c>
      <c r="F257" s="318">
        <f>'[1]E) Fact soc'!G262</f>
        <v>225562.52392227901</v>
      </c>
      <c r="G257" s="315">
        <f>'[1]H) Péréquation directe'!I267</f>
        <v>-108452.42678374844</v>
      </c>
      <c r="H257" s="318">
        <f>+'[1]I) Dépenses thématiques'!O256</f>
        <v>-279441.21164126939</v>
      </c>
      <c r="I257" s="315">
        <f>'[1]K) Plafonnement aide'!J256</f>
        <v>0</v>
      </c>
      <c r="J257" s="318">
        <f>'[1]J) Plafonnement effort'!I256</f>
        <v>0</v>
      </c>
      <c r="K257" s="315">
        <f>'[1]L) Plafonnement taux'!Q257</f>
        <v>0</v>
      </c>
      <c r="L257" s="313">
        <f t="shared" si="9"/>
        <v>-162331.11450273881</v>
      </c>
      <c r="M257" s="234">
        <f>'[1]M) Police'!O257</f>
        <v>41472.87111719072</v>
      </c>
      <c r="N257" s="234">
        <f t="shared" si="10"/>
        <v>-120858.24338554809</v>
      </c>
      <c r="O257" s="318">
        <f t="shared" si="11"/>
        <v>-387893.63842501782</v>
      </c>
      <c r="P257" s="320"/>
      <c r="Q257" s="529"/>
    </row>
    <row r="258" spans="1:17" s="154" customFormat="1" x14ac:dyDescent="0.25">
      <c r="A258" s="151">
        <f>'[1]B) D RI'!A259</f>
        <v>5843</v>
      </c>
      <c r="B258" s="152" t="str">
        <f>'[1]B) D RI'!B259</f>
        <v>Rougemont</v>
      </c>
      <c r="C258" s="316">
        <f>'[1]B) D RI'!S259</f>
        <v>74</v>
      </c>
      <c r="D258" s="153">
        <f>'[1]B) D RI'!AA259</f>
        <v>858</v>
      </c>
      <c r="E258" s="314">
        <f>'[1]D) Ecrêtage'!C257</f>
        <v>86224.81779279279</v>
      </c>
      <c r="F258" s="318">
        <f>'[1]E) Fact soc'!G263</f>
        <v>3358896.2963533308</v>
      </c>
      <c r="G258" s="315">
        <f>'[1]H) Péréquation directe'!I268</f>
        <v>1617283.7909211256</v>
      </c>
      <c r="H258" s="318">
        <f>+'[1]I) Dépenses thématiques'!O257</f>
        <v>-333464.83116839203</v>
      </c>
      <c r="I258" s="315">
        <f>'[1]K) Plafonnement aide'!J257</f>
        <v>0</v>
      </c>
      <c r="J258" s="318">
        <f>'[1]J) Plafonnement effort'!I257</f>
        <v>-762598.45543038833</v>
      </c>
      <c r="K258" s="315">
        <f>'[1]L) Plafonnement taux'!Q258</f>
        <v>0</v>
      </c>
      <c r="L258" s="313">
        <f t="shared" si="9"/>
        <v>3880116.8006756762</v>
      </c>
      <c r="M258" s="234">
        <f>'[1]M) Police'!O258</f>
        <v>177775.48140719178</v>
      </c>
      <c r="N258" s="234">
        <f t="shared" si="10"/>
        <v>4057892.2820828678</v>
      </c>
      <c r="O258" s="318">
        <f t="shared" si="11"/>
        <v>521220.50432234525</v>
      </c>
      <c r="P258" s="320"/>
      <c r="Q258" s="529"/>
    </row>
    <row r="259" spans="1:17" s="154" customFormat="1" x14ac:dyDescent="0.25">
      <c r="A259" s="151">
        <f>'[1]B) D RI'!A260</f>
        <v>5851</v>
      </c>
      <c r="B259" s="152" t="str">
        <f>'[1]B) D RI'!B260</f>
        <v>Allaman</v>
      </c>
      <c r="C259" s="316">
        <f>'[1]B) D RI'!S260</f>
        <v>62</v>
      </c>
      <c r="D259" s="153">
        <f>'[1]B) D RI'!AA260</f>
        <v>451</v>
      </c>
      <c r="E259" s="314">
        <f>'[1]D) Ecrêtage'!C258</f>
        <v>23662.073064516131</v>
      </c>
      <c r="F259" s="318">
        <f>'[1]E) Fact soc'!G264</f>
        <v>574358.11985506513</v>
      </c>
      <c r="G259" s="315">
        <f>'[1]H) Péréquation directe'!I269</f>
        <v>416741.20549322665</v>
      </c>
      <c r="H259" s="318">
        <f>+'[1]I) Dépenses thématiques'!O258</f>
        <v>0</v>
      </c>
      <c r="I259" s="315">
        <f>'[1]K) Plafonnement aide'!J258</f>
        <v>0</v>
      </c>
      <c r="J259" s="318">
        <f>'[1]J) Plafonnement effort'!I258</f>
        <v>0</v>
      </c>
      <c r="K259" s="315">
        <f>'[1]L) Plafonnement taux'!Q259</f>
        <v>0</v>
      </c>
      <c r="L259" s="313">
        <f t="shared" si="9"/>
        <v>991099.32534829178</v>
      </c>
      <c r="M259" s="234">
        <f>'[1]M) Police'!O259</f>
        <v>67621.015620852777</v>
      </c>
      <c r="N259" s="234">
        <f t="shared" si="10"/>
        <v>1058720.3409691446</v>
      </c>
      <c r="O259" s="318">
        <f t="shared" si="11"/>
        <v>416741.20549322665</v>
      </c>
      <c r="P259" s="320"/>
      <c r="Q259" s="529"/>
    </row>
    <row r="260" spans="1:17" s="154" customFormat="1" x14ac:dyDescent="0.25">
      <c r="A260" s="151">
        <f>'[1]B) D RI'!A261</f>
        <v>5852</v>
      </c>
      <c r="B260" s="152" t="str">
        <f>'[1]B) D RI'!B261</f>
        <v>Bursinel</v>
      </c>
      <c r="C260" s="316">
        <f>'[1]B) D RI'!S261</f>
        <v>65.5</v>
      </c>
      <c r="D260" s="153">
        <f>'[1]B) D RI'!AA261</f>
        <v>473</v>
      </c>
      <c r="E260" s="314">
        <f>'[1]D) Ecrêtage'!C259</f>
        <v>39686.843918575076</v>
      </c>
      <c r="F260" s="318">
        <f>'[1]E) Fact soc'!G265</f>
        <v>1169762.0125436024</v>
      </c>
      <c r="G260" s="315">
        <f>'[1]H) Péréquation directe'!I270</f>
        <v>734580.00978140929</v>
      </c>
      <c r="H260" s="318">
        <f>+'[1]I) Dépenses thématiques'!O259</f>
        <v>0</v>
      </c>
      <c r="I260" s="315">
        <f>'[1]K) Plafonnement aide'!J259</f>
        <v>0</v>
      </c>
      <c r="J260" s="318">
        <f>'[1]J) Plafonnement effort'!I259</f>
        <v>-118434.04598913316</v>
      </c>
      <c r="K260" s="315">
        <f>'[1]L) Plafonnement taux'!Q260</f>
        <v>0</v>
      </c>
      <c r="L260" s="313">
        <f t="shared" si="9"/>
        <v>1785907.9763358785</v>
      </c>
      <c r="M260" s="234">
        <f>'[1]M) Police'!O260</f>
        <v>88648.620073755141</v>
      </c>
      <c r="N260" s="234">
        <f t="shared" si="10"/>
        <v>1874556.5964096335</v>
      </c>
      <c r="O260" s="318">
        <f t="shared" si="11"/>
        <v>616145.9637922761</v>
      </c>
      <c r="P260" s="320"/>
      <c r="Q260" s="529"/>
    </row>
    <row r="261" spans="1:17" s="154" customFormat="1" x14ac:dyDescent="0.25">
      <c r="A261" s="151">
        <f>'[1]B) D RI'!A262</f>
        <v>5853</v>
      </c>
      <c r="B261" s="152" t="str">
        <f>'[1]B) D RI'!B262</f>
        <v>Bursins</v>
      </c>
      <c r="C261" s="316">
        <f>'[1]B) D RI'!S262</f>
        <v>71</v>
      </c>
      <c r="D261" s="153">
        <f>'[1]B) D RI'!AA262</f>
        <v>782</v>
      </c>
      <c r="E261" s="314">
        <f>'[1]D) Ecrêtage'!C260</f>
        <v>36429.778873239433</v>
      </c>
      <c r="F261" s="318">
        <f>'[1]E) Fact soc'!G266</f>
        <v>716199.57109592855</v>
      </c>
      <c r="G261" s="315">
        <f>'[1]H) Péréquation directe'!I271</f>
        <v>622179.62095638388</v>
      </c>
      <c r="H261" s="318">
        <f>+'[1]I) Dépenses thématiques'!O260</f>
        <v>-25258.769324522604</v>
      </c>
      <c r="I261" s="315">
        <f>'[1]K) Plafonnement aide'!J260</f>
        <v>0</v>
      </c>
      <c r="J261" s="318">
        <f>'[1]J) Plafonnement effort'!I260</f>
        <v>0</v>
      </c>
      <c r="K261" s="315">
        <f>'[1]L) Plafonnement taux'!Q261</f>
        <v>0</v>
      </c>
      <c r="L261" s="313">
        <f t="shared" si="9"/>
        <v>1313120.4227277897</v>
      </c>
      <c r="M261" s="234">
        <f>'[1]M) Police'!O261</f>
        <v>110272.70709268437</v>
      </c>
      <c r="N261" s="234">
        <f t="shared" si="10"/>
        <v>1423393.1298204742</v>
      </c>
      <c r="O261" s="318">
        <f t="shared" si="11"/>
        <v>596920.8516318613</v>
      </c>
      <c r="P261" s="320"/>
      <c r="Q261" s="529"/>
    </row>
    <row r="262" spans="1:17" s="154" customFormat="1" x14ac:dyDescent="0.25">
      <c r="A262" s="151">
        <f>'[1]B) D RI'!A263</f>
        <v>5854</v>
      </c>
      <c r="B262" s="152" t="str">
        <f>'[1]B) D RI'!B263</f>
        <v>Burtigny</v>
      </c>
      <c r="C262" s="316">
        <f>'[1]B) D RI'!S263</f>
        <v>80</v>
      </c>
      <c r="D262" s="153">
        <f>'[1]B) D RI'!AA263</f>
        <v>390</v>
      </c>
      <c r="E262" s="314">
        <f>'[1]D) Ecrêtage'!C261</f>
        <v>11092.867583333333</v>
      </c>
      <c r="F262" s="318">
        <f>'[1]E) Fact soc'!G267</f>
        <v>260699.07416849735</v>
      </c>
      <c r="G262" s="315">
        <f>'[1]H) Péréquation directe'!I272</f>
        <v>-11687.060082480486</v>
      </c>
      <c r="H262" s="318">
        <f>+'[1]I) Dépenses thématiques'!O261</f>
        <v>-52633.563765193452</v>
      </c>
      <c r="I262" s="315">
        <f>'[1]K) Plafonnement aide'!J261</f>
        <v>0</v>
      </c>
      <c r="J262" s="318">
        <f>'[1]J) Plafonnement effort'!I261</f>
        <v>0</v>
      </c>
      <c r="K262" s="315">
        <f>'[1]L) Plafonnement taux'!Q262</f>
        <v>0</v>
      </c>
      <c r="L262" s="313">
        <f t="shared" si="9"/>
        <v>196378.45032082341</v>
      </c>
      <c r="M262" s="234">
        <f>'[1]M) Police'!O262</f>
        <v>33626.298954456593</v>
      </c>
      <c r="N262" s="234">
        <f t="shared" si="10"/>
        <v>230004.74927527999</v>
      </c>
      <c r="O262" s="318">
        <f t="shared" si="11"/>
        <v>-64320.623847673938</v>
      </c>
      <c r="P262" s="320"/>
      <c r="Q262" s="529"/>
    </row>
    <row r="263" spans="1:17" s="154" customFormat="1" x14ac:dyDescent="0.25">
      <c r="A263" s="151">
        <f>'[1]B) D RI'!A264</f>
        <v>5855</v>
      </c>
      <c r="B263" s="152" t="str">
        <f>'[1]B) D RI'!B264</f>
        <v>Dully</v>
      </c>
      <c r="C263" s="316">
        <f>'[1]B) D RI'!S264</f>
        <v>49</v>
      </c>
      <c r="D263" s="153">
        <f>'[1]B) D RI'!AA264</f>
        <v>639</v>
      </c>
      <c r="E263" s="314">
        <f>'[1]D) Ecrêtage'!C262</f>
        <v>79675.83</v>
      </c>
      <c r="F263" s="318">
        <f>'[1]E) Fact soc'!G268</f>
        <v>2423509.0171489548</v>
      </c>
      <c r="G263" s="315">
        <f>'[1]H) Péréquation directe'!I273</f>
        <v>1513772.9176232468</v>
      </c>
      <c r="H263" s="318">
        <f>+'[1]I) Dépenses thématiques'!O262</f>
        <v>0</v>
      </c>
      <c r="I263" s="315">
        <f>'[1]K) Plafonnement aide'!J262</f>
        <v>0</v>
      </c>
      <c r="J263" s="318">
        <f>'[1]J) Plafonnement effort'!I262</f>
        <v>-351869.58477220143</v>
      </c>
      <c r="K263" s="315">
        <f>'[1]L) Plafonnement taux'!Q263</f>
        <v>0</v>
      </c>
      <c r="L263" s="313">
        <f t="shared" ref="L263:L315" si="12">F263+G263+H263+I263+J263+K263</f>
        <v>3585412.3500000006</v>
      </c>
      <c r="M263" s="234">
        <f>'[1]M) Police'!O263</f>
        <v>150830.36756826262</v>
      </c>
      <c r="N263" s="234">
        <f t="shared" ref="N263:N314" si="13">L263+M263</f>
        <v>3736242.7175682634</v>
      </c>
      <c r="O263" s="318">
        <f t="shared" ref="O263:O314" si="14">SUM(G263:K263)</f>
        <v>1161903.3328510453</v>
      </c>
      <c r="P263" s="320"/>
      <c r="Q263" s="529"/>
    </row>
    <row r="264" spans="1:17" s="154" customFormat="1" x14ac:dyDescent="0.25">
      <c r="A264" s="151">
        <f>'[1]B) D RI'!A265</f>
        <v>5856</v>
      </c>
      <c r="B264" s="152" t="str">
        <f>'[1]B) D RI'!B265</f>
        <v>Essertines-sur-Rolle</v>
      </c>
      <c r="C264" s="316">
        <f>'[1]B) D RI'!S265</f>
        <v>68</v>
      </c>
      <c r="D264" s="153">
        <f>'[1]B) D RI'!AA265</f>
        <v>722</v>
      </c>
      <c r="E264" s="314">
        <f>'[1]D) Ecrêtage'!C263</f>
        <v>36504.775588235294</v>
      </c>
      <c r="F264" s="318">
        <f>'[1]E) Fact soc'!G269</f>
        <v>634079.35806197778</v>
      </c>
      <c r="G264" s="315">
        <f>'[1]H) Péréquation directe'!I274</f>
        <v>639635.78787426127</v>
      </c>
      <c r="H264" s="318">
        <f>+'[1]I) Dépenses thématiques'!O263</f>
        <v>0</v>
      </c>
      <c r="I264" s="315">
        <f>'[1]K) Plafonnement aide'!J263</f>
        <v>0</v>
      </c>
      <c r="J264" s="318">
        <f>'[1]J) Plafonnement effort'!I263</f>
        <v>0</v>
      </c>
      <c r="K264" s="315">
        <f>'[1]L) Plafonnement taux'!Q264</f>
        <v>0</v>
      </c>
      <c r="L264" s="313">
        <f t="shared" si="12"/>
        <v>1273715.145936239</v>
      </c>
      <c r="M264" s="234">
        <f>'[1]M) Police'!O264</f>
        <v>106613.66006126729</v>
      </c>
      <c r="N264" s="234">
        <f t="shared" si="13"/>
        <v>1380328.8059975062</v>
      </c>
      <c r="O264" s="318">
        <f t="shared" si="14"/>
        <v>639635.78787426127</v>
      </c>
      <c r="P264" s="320"/>
      <c r="Q264" s="529"/>
    </row>
    <row r="265" spans="1:17" s="154" customFormat="1" x14ac:dyDescent="0.25">
      <c r="A265" s="151">
        <f>'[1]B) D RI'!A266</f>
        <v>5857</v>
      </c>
      <c r="B265" s="152" t="str">
        <f>'[1]B) D RI'!B266</f>
        <v>Gilly</v>
      </c>
      <c r="C265" s="316">
        <f>'[1]B) D RI'!S266</f>
        <v>66</v>
      </c>
      <c r="D265" s="153">
        <f>'[1]B) D RI'!AA266</f>
        <v>1370</v>
      </c>
      <c r="E265" s="314">
        <f>'[1]D) Ecrêtage'!C264</f>
        <v>85344.541363636366</v>
      </c>
      <c r="F265" s="318">
        <f>'[1]E) Fact soc'!G270</f>
        <v>1813931.7549246312</v>
      </c>
      <c r="G265" s="315">
        <f>'[1]H) Péréquation directe'!I275</f>
        <v>1451681.6783278394</v>
      </c>
      <c r="H265" s="318">
        <f>+'[1]I) Dépenses thématiques'!O264</f>
        <v>0</v>
      </c>
      <c r="I265" s="315">
        <f>'[1]K) Plafonnement aide'!J264</f>
        <v>0</v>
      </c>
      <c r="J265" s="318">
        <f>'[1]J) Plafonnement effort'!I264</f>
        <v>0</v>
      </c>
      <c r="K265" s="315">
        <f>'[1]L) Plafonnement taux'!Q265</f>
        <v>0</v>
      </c>
      <c r="L265" s="313">
        <f t="shared" si="12"/>
        <v>3265613.4332524706</v>
      </c>
      <c r="M265" s="234">
        <f>'[1]M) Police'!O265</f>
        <v>221466.94521356971</v>
      </c>
      <c r="N265" s="234">
        <f t="shared" si="13"/>
        <v>3487080.3784660404</v>
      </c>
      <c r="O265" s="318">
        <f t="shared" si="14"/>
        <v>1451681.6783278394</v>
      </c>
      <c r="P265" s="320"/>
      <c r="Q265" s="529"/>
    </row>
    <row r="266" spans="1:17" s="154" customFormat="1" x14ac:dyDescent="0.25">
      <c r="A266" s="151">
        <f>'[1]B) D RI'!A267</f>
        <v>5858</v>
      </c>
      <c r="B266" s="152" t="str">
        <f>'[1]B) D RI'!B267</f>
        <v>Luins</v>
      </c>
      <c r="C266" s="316">
        <f>'[1]B) D RI'!S267</f>
        <v>60</v>
      </c>
      <c r="D266" s="153">
        <f>'[1]B) D RI'!AA267</f>
        <v>621</v>
      </c>
      <c r="E266" s="314">
        <f>'[1]D) Ecrêtage'!C265</f>
        <v>46698.811277777771</v>
      </c>
      <c r="F266" s="318">
        <f>'[1]E) Fact soc'!G271</f>
        <v>1006534.4563330754</v>
      </c>
      <c r="G266" s="315">
        <f>'[1]H) Péréquation directe'!I276</f>
        <v>856273.21501650801</v>
      </c>
      <c r="H266" s="318">
        <f>+'[1]I) Dépenses thématiques'!O265</f>
        <v>0</v>
      </c>
      <c r="I266" s="315">
        <f>'[1]K) Plafonnement aide'!J265</f>
        <v>0</v>
      </c>
      <c r="J266" s="318">
        <f>'[1]J) Plafonnement effort'!I265</f>
        <v>0</v>
      </c>
      <c r="K266" s="315">
        <f>'[1]L) Plafonnement taux'!Q266</f>
        <v>0</v>
      </c>
      <c r="L266" s="313">
        <f t="shared" si="12"/>
        <v>1862807.6713495834</v>
      </c>
      <c r="M266" s="234">
        <f>'[1]M) Police'!O266</f>
        <v>109941.39830687494</v>
      </c>
      <c r="N266" s="234">
        <f t="shared" si="13"/>
        <v>1972749.0696564585</v>
      </c>
      <c r="O266" s="318">
        <f t="shared" si="14"/>
        <v>856273.21501650801</v>
      </c>
      <c r="P266" s="320"/>
      <c r="Q266" s="529"/>
    </row>
    <row r="267" spans="1:17" s="154" customFormat="1" x14ac:dyDescent="0.25">
      <c r="A267" s="151">
        <f>'[1]B) D RI'!A268</f>
        <v>5859</v>
      </c>
      <c r="B267" s="152" t="str">
        <f>'[1]B) D RI'!B268</f>
        <v>Mont-sur-Rolle</v>
      </c>
      <c r="C267" s="316">
        <f>'[1]B) D RI'!S268</f>
        <v>65</v>
      </c>
      <c r="D267" s="153">
        <f>'[1]B) D RI'!AA268</f>
        <v>2677</v>
      </c>
      <c r="E267" s="314">
        <f>'[1]D) Ecrêtage'!C266</f>
        <v>136402.77030769232</v>
      </c>
      <c r="F267" s="318">
        <f>'[1]E) Fact soc'!G272</f>
        <v>2815314.4013417601</v>
      </c>
      <c r="G267" s="315">
        <f>'[1]H) Péréquation directe'!I277</f>
        <v>2013436.8265842558</v>
      </c>
      <c r="H267" s="318">
        <f>+'[1]I) Dépenses thématiques'!O266</f>
        <v>0</v>
      </c>
      <c r="I267" s="315">
        <f>'[1]K) Plafonnement aide'!J266</f>
        <v>0</v>
      </c>
      <c r="J267" s="318">
        <f>'[1]J) Plafonnement effort'!I266</f>
        <v>0</v>
      </c>
      <c r="K267" s="315">
        <f>'[1]L) Plafonnement taux'!Q267</f>
        <v>0</v>
      </c>
      <c r="L267" s="313">
        <f t="shared" si="12"/>
        <v>4828751.2279260159</v>
      </c>
      <c r="M267" s="234">
        <f>'[1]M) Police'!O267</f>
        <v>396551.63750820747</v>
      </c>
      <c r="N267" s="234">
        <f t="shared" si="13"/>
        <v>5225302.8654342238</v>
      </c>
      <c r="O267" s="318">
        <f t="shared" si="14"/>
        <v>2013436.8265842558</v>
      </c>
      <c r="P267" s="320"/>
      <c r="Q267" s="529"/>
    </row>
    <row r="268" spans="1:17" s="154" customFormat="1" x14ac:dyDescent="0.25">
      <c r="A268" s="151">
        <f>'[1]B) D RI'!A269</f>
        <v>5860</v>
      </c>
      <c r="B268" s="152" t="str">
        <f>'[1]B) D RI'!B269</f>
        <v>Perroy</v>
      </c>
      <c r="C268" s="316">
        <f>'[1]B) D RI'!S269</f>
        <v>60</v>
      </c>
      <c r="D268" s="153">
        <f>'[1]B) D RI'!AA269</f>
        <v>1497</v>
      </c>
      <c r="E268" s="314">
        <f>'[1]D) Ecrêtage'!C267</f>
        <v>102583.41574358974</v>
      </c>
      <c r="F268" s="318">
        <f>'[1]E) Fact soc'!G273</f>
        <v>2240967.6650723205</v>
      </c>
      <c r="G268" s="315">
        <f>'[1]H) Péréquation directe'!I278</f>
        <v>1751900.9180328608</v>
      </c>
      <c r="H268" s="318">
        <f>+'[1]I) Dépenses thématiques'!O267</f>
        <v>-2021140.6817147464</v>
      </c>
      <c r="I268" s="315">
        <f>'[1]K) Plafonnement aide'!J267</f>
        <v>0</v>
      </c>
      <c r="J268" s="318">
        <f>'[1]J) Plafonnement effort'!I267</f>
        <v>0</v>
      </c>
      <c r="K268" s="315">
        <f>'[1]L) Plafonnement taux'!Q268</f>
        <v>0</v>
      </c>
      <c r="L268" s="313">
        <f t="shared" si="12"/>
        <v>1971727.9013904349</v>
      </c>
      <c r="M268" s="234">
        <f>'[1]M) Police'!O268</f>
        <v>253117.42546536092</v>
      </c>
      <c r="N268" s="234">
        <f t="shared" si="13"/>
        <v>2224845.3268557959</v>
      </c>
      <c r="O268" s="318">
        <f t="shared" si="14"/>
        <v>-269239.76368188555</v>
      </c>
      <c r="P268" s="320"/>
      <c r="Q268" s="529"/>
    </row>
    <row r="269" spans="1:17" s="154" customFormat="1" x14ac:dyDescent="0.25">
      <c r="A269" s="151">
        <f>'[1]B) D RI'!A270</f>
        <v>5861</v>
      </c>
      <c r="B269" s="152" t="str">
        <f>'[1]B) D RI'!B270</f>
        <v>Rolle</v>
      </c>
      <c r="C269" s="316">
        <f>'[1]B) D RI'!S270</f>
        <v>59.5</v>
      </c>
      <c r="D269" s="153">
        <f>'[1]B) D RI'!AA270</f>
        <v>6245</v>
      </c>
      <c r="E269" s="314">
        <f>'[1]D) Ecrêtage'!C268</f>
        <v>762445.16588235286</v>
      </c>
      <c r="F269" s="318">
        <f>'[1]E) Fact soc'!G274</f>
        <v>23640879.72220901</v>
      </c>
      <c r="G269" s="315">
        <f>'[1]H) Péréquation directe'!I279</f>
        <v>12669067.13937814</v>
      </c>
      <c r="H269" s="318">
        <f>+'[1]I) Dépenses thématiques'!O268</f>
        <v>0</v>
      </c>
      <c r="I269" s="315">
        <f>'[1]K) Plafonnement aide'!J268</f>
        <v>0</v>
      </c>
      <c r="J269" s="318">
        <f>'[1]J) Plafonnement effort'!I268</f>
        <v>-1999914.3968812721</v>
      </c>
      <c r="K269" s="315">
        <f>'[1]L) Plafonnement taux'!Q269</f>
        <v>0</v>
      </c>
      <c r="L269" s="313">
        <f t="shared" si="12"/>
        <v>34310032.464705877</v>
      </c>
      <c r="M269" s="234">
        <f>'[1]M) Police'!O269</f>
        <v>1454723.9021747117</v>
      </c>
      <c r="N269" s="234">
        <f t="shared" si="13"/>
        <v>35764756.366880588</v>
      </c>
      <c r="O269" s="318">
        <f t="shared" si="14"/>
        <v>10669152.742496867</v>
      </c>
      <c r="P269" s="320"/>
      <c r="Q269" s="529"/>
    </row>
    <row r="270" spans="1:17" s="154" customFormat="1" x14ac:dyDescent="0.25">
      <c r="A270" s="151">
        <f>'[1]B) D RI'!A271</f>
        <v>5862</v>
      </c>
      <c r="B270" s="152" t="str">
        <f>'[1]B) D RI'!B271</f>
        <v>Tartegnin</v>
      </c>
      <c r="C270" s="316">
        <f>'[1]B) D RI'!S271</f>
        <v>81</v>
      </c>
      <c r="D270" s="153">
        <f>'[1]B) D RI'!AA271</f>
        <v>233</v>
      </c>
      <c r="E270" s="314">
        <f>'[1]D) Ecrêtage'!C269</f>
        <v>10955.91814814815</v>
      </c>
      <c r="F270" s="318">
        <f>'[1]E) Fact soc'!G275</f>
        <v>164066.26154078403</v>
      </c>
      <c r="G270" s="315">
        <f>'[1]H) Péréquation directe'!I280</f>
        <v>189292.98902486256</v>
      </c>
      <c r="H270" s="318">
        <f>+'[1]I) Dépenses thématiques'!O269</f>
        <v>0</v>
      </c>
      <c r="I270" s="315">
        <f>'[1]K) Plafonnement aide'!J269</f>
        <v>0</v>
      </c>
      <c r="J270" s="318">
        <f>'[1]J) Plafonnement effort'!I269</f>
        <v>0</v>
      </c>
      <c r="K270" s="315">
        <f>'[1]L) Plafonnement taux'!Q270</f>
        <v>0</v>
      </c>
      <c r="L270" s="313">
        <f t="shared" si="12"/>
        <v>353359.25056564657</v>
      </c>
      <c r="M270" s="234">
        <f>'[1]M) Police'!O270</f>
        <v>33422.554327344922</v>
      </c>
      <c r="N270" s="234">
        <f t="shared" si="13"/>
        <v>386781.80489299149</v>
      </c>
      <c r="O270" s="318">
        <f t="shared" si="14"/>
        <v>189292.98902486256</v>
      </c>
      <c r="P270" s="320"/>
      <c r="Q270" s="529"/>
    </row>
    <row r="271" spans="1:17" s="154" customFormat="1" x14ac:dyDescent="0.25">
      <c r="A271" s="151">
        <f>'[1]B) D RI'!A272</f>
        <v>5863</v>
      </c>
      <c r="B271" s="152" t="str">
        <f>'[1]B) D RI'!B272</f>
        <v>Vinzel</v>
      </c>
      <c r="C271" s="316">
        <f>'[1]B) D RI'!S272</f>
        <v>67</v>
      </c>
      <c r="D271" s="153">
        <f>'[1]B) D RI'!AA272</f>
        <v>355</v>
      </c>
      <c r="E271" s="314">
        <f>'[1]D) Ecrêtage'!C270</f>
        <v>17885.432686567161</v>
      </c>
      <c r="F271" s="318">
        <f>'[1]E) Fact soc'!G276</f>
        <v>327322.23319290107</v>
      </c>
      <c r="G271" s="315">
        <f>'[1]H) Péréquation directe'!I281</f>
        <v>313230.10916050262</v>
      </c>
      <c r="H271" s="318">
        <f>+'[1]I) Dépenses thématiques'!O270</f>
        <v>0</v>
      </c>
      <c r="I271" s="315">
        <f>'[1]K) Plafonnement aide'!J270</f>
        <v>0</v>
      </c>
      <c r="J271" s="318">
        <f>'[1]J) Plafonnement effort'!I270</f>
        <v>0</v>
      </c>
      <c r="K271" s="315">
        <f>'[1]L) Plafonnement taux'!Q271</f>
        <v>0</v>
      </c>
      <c r="L271" s="313">
        <f t="shared" si="12"/>
        <v>640552.34235340368</v>
      </c>
      <c r="M271" s="234">
        <f>'[1]M) Police'!O271</f>
        <v>52345.028735979562</v>
      </c>
      <c r="N271" s="234">
        <f t="shared" si="13"/>
        <v>692897.37108938326</v>
      </c>
      <c r="O271" s="318">
        <f t="shared" si="14"/>
        <v>313230.10916050262</v>
      </c>
      <c r="P271" s="320"/>
      <c r="Q271" s="529"/>
    </row>
    <row r="272" spans="1:17" s="154" customFormat="1" x14ac:dyDescent="0.25">
      <c r="A272" s="151">
        <f>'[1]B) D RI'!A273</f>
        <v>5871</v>
      </c>
      <c r="B272" s="152" t="str">
        <f>'[1]B) D RI'!B273</f>
        <v>L'Abbaye</v>
      </c>
      <c r="C272" s="316">
        <f>'[1]B) D RI'!S273</f>
        <v>77.599999999999994</v>
      </c>
      <c r="D272" s="153">
        <f>'[1]B) D RI'!AA273</f>
        <v>1481</v>
      </c>
      <c r="E272" s="314">
        <f>'[1]D) Ecrêtage'!C271</f>
        <v>46763.12603092783</v>
      </c>
      <c r="F272" s="318">
        <f>'[1]E) Fact soc'!G277</f>
        <v>1016993.5154968603</v>
      </c>
      <c r="G272" s="315">
        <f>'[1]H) Péréquation directe'!I282</f>
        <v>91687.212898201426</v>
      </c>
      <c r="H272" s="318">
        <f>+'[1]I) Dépenses thématiques'!O271</f>
        <v>-393819.15009918768</v>
      </c>
      <c r="I272" s="315">
        <f>'[1]K) Plafonnement aide'!J271</f>
        <v>0</v>
      </c>
      <c r="J272" s="318">
        <f>'[1]J) Plafonnement effort'!I271</f>
        <v>0</v>
      </c>
      <c r="K272" s="315">
        <f>'[1]L) Plafonnement taux'!Q272</f>
        <v>0</v>
      </c>
      <c r="L272" s="313">
        <f t="shared" si="12"/>
        <v>714861.57829587394</v>
      </c>
      <c r="M272" s="234">
        <f>'[1]M) Police'!O272</f>
        <v>142478.49207668082</v>
      </c>
      <c r="N272" s="234">
        <f t="shared" si="13"/>
        <v>857340.07037255471</v>
      </c>
      <c r="O272" s="318">
        <f t="shared" si="14"/>
        <v>-302131.93720098626</v>
      </c>
      <c r="P272" s="320"/>
      <c r="Q272" s="529"/>
    </row>
    <row r="273" spans="1:17" s="154" customFormat="1" x14ac:dyDescent="0.25">
      <c r="A273" s="151">
        <f>'[1]B) D RI'!A274</f>
        <v>5872</v>
      </c>
      <c r="B273" s="152" t="str">
        <f>'[1]B) D RI'!B274</f>
        <v>Le Chenit</v>
      </c>
      <c r="C273" s="316">
        <f>'[1]B) D RI'!S274</f>
        <v>68.39</v>
      </c>
      <c r="D273" s="153">
        <f>'[1]B) D RI'!AA274</f>
        <v>4657</v>
      </c>
      <c r="E273" s="314">
        <f>'[1]D) Ecrêtage'!C272</f>
        <v>269128.75712823507</v>
      </c>
      <c r="F273" s="318">
        <f>'[1]E) Fact soc'!G278</f>
        <v>7340747.1085846201</v>
      </c>
      <c r="G273" s="315">
        <f>'[1]H) Péréquation directe'!I283</f>
        <v>3722558.4528423506</v>
      </c>
      <c r="H273" s="318">
        <f>+'[1]I) Dépenses thématiques'!O272</f>
        <v>-1173815.9400967343</v>
      </c>
      <c r="I273" s="315">
        <f>'[1]K) Plafonnement aide'!J272</f>
        <v>0</v>
      </c>
      <c r="J273" s="318">
        <f>'[1]J) Plafonnement effort'!I272</f>
        <v>0</v>
      </c>
      <c r="K273" s="315">
        <f>'[1]L) Plafonnement taux'!Q273</f>
        <v>0</v>
      </c>
      <c r="L273" s="313">
        <f t="shared" si="12"/>
        <v>9889489.621330237</v>
      </c>
      <c r="M273" s="234">
        <f>'[1]M) Police'!O273</f>
        <v>727812.6035686559</v>
      </c>
      <c r="N273" s="234">
        <f t="shared" si="13"/>
        <v>10617302.224898893</v>
      </c>
      <c r="O273" s="318">
        <f t="shared" si="14"/>
        <v>2548742.512745616</v>
      </c>
      <c r="P273" s="320"/>
      <c r="Q273" s="529"/>
    </row>
    <row r="274" spans="1:17" s="154" customFormat="1" x14ac:dyDescent="0.25">
      <c r="A274" s="151">
        <f>'[1]B) D RI'!A275</f>
        <v>5873</v>
      </c>
      <c r="B274" s="152" t="str">
        <f>'[1]B) D RI'!B275</f>
        <v>Le Lieu</v>
      </c>
      <c r="C274" s="316">
        <f>'[1]B) D RI'!S275</f>
        <v>70</v>
      </c>
      <c r="D274" s="153">
        <f>'[1]B) D RI'!AA275</f>
        <v>900</v>
      </c>
      <c r="E274" s="314">
        <f>'[1]D) Ecrêtage'!C273</f>
        <v>28965.792761904762</v>
      </c>
      <c r="F274" s="318">
        <f>'[1]E) Fact soc'!G279</f>
        <v>709807.83668312069</v>
      </c>
      <c r="G274" s="315">
        <f>'[1]H) Péréquation directe'!I284</f>
        <v>205567.20095852279</v>
      </c>
      <c r="H274" s="318">
        <f>+'[1]I) Dépenses thématiques'!O273</f>
        <v>-685970.94819057174</v>
      </c>
      <c r="I274" s="315">
        <f>'[1]K) Plafonnement aide'!J273</f>
        <v>0</v>
      </c>
      <c r="J274" s="318">
        <f>'[1]J) Plafonnement effort'!I273</f>
        <v>0</v>
      </c>
      <c r="K274" s="315">
        <f>'[1]L) Plafonnement taux'!Q274</f>
        <v>0</v>
      </c>
      <c r="L274" s="313">
        <f t="shared" si="12"/>
        <v>229404.08945107181</v>
      </c>
      <c r="M274" s="234">
        <f>'[1]M) Police'!O274</f>
        <v>88426.463558509698</v>
      </c>
      <c r="N274" s="234">
        <f t="shared" si="13"/>
        <v>317830.55300958152</v>
      </c>
      <c r="O274" s="318">
        <f t="shared" si="14"/>
        <v>-480403.74723204895</v>
      </c>
      <c r="P274" s="320"/>
      <c r="Q274" s="529"/>
    </row>
    <row r="275" spans="1:17" s="154" customFormat="1" x14ac:dyDescent="0.25">
      <c r="A275" s="151">
        <f>'[1]B) D RI'!A276</f>
        <v>5881</v>
      </c>
      <c r="B275" s="152" t="str">
        <f>'[1]B) D RI'!B276</f>
        <v>Blonay</v>
      </c>
      <c r="C275" s="316">
        <f>'[1]B) D RI'!S276</f>
        <v>70</v>
      </c>
      <c r="D275" s="153">
        <f>'[1]B) D RI'!AA276</f>
        <v>6151</v>
      </c>
      <c r="E275" s="314">
        <f>'[1]D) Ecrêtage'!C274</f>
        <v>355898.72514285718</v>
      </c>
      <c r="F275" s="318">
        <f>'[1]E) Fact soc'!G280</f>
        <v>7550811.868422417</v>
      </c>
      <c r="G275" s="315">
        <f>'[1]H) Péréquation directe'!I285</f>
        <v>4592101.8635547571</v>
      </c>
      <c r="H275" s="318">
        <f>+'[1]I) Dépenses thématiques'!O274</f>
        <v>-582543.02080170764</v>
      </c>
      <c r="I275" s="315">
        <f>'[1]K) Plafonnement aide'!J274</f>
        <v>0</v>
      </c>
      <c r="J275" s="318">
        <f>'[1]J) Plafonnement effort'!I274</f>
        <v>0</v>
      </c>
      <c r="K275" s="315">
        <f>'[1]L) Plafonnement taux'!Q275</f>
        <v>0</v>
      </c>
      <c r="L275" s="313">
        <f t="shared" si="12"/>
        <v>11560370.711175466</v>
      </c>
      <c r="M275" s="234">
        <f>'[1]M) Police'!O275</f>
        <v>424311.56291558879</v>
      </c>
      <c r="N275" s="234">
        <f t="shared" si="13"/>
        <v>11984682.274091056</v>
      </c>
      <c r="O275" s="318">
        <f t="shared" si="14"/>
        <v>4009558.8427530495</v>
      </c>
      <c r="P275" s="320"/>
      <c r="Q275" s="529"/>
    </row>
    <row r="276" spans="1:17" s="154" customFormat="1" x14ac:dyDescent="0.25">
      <c r="A276" s="151">
        <f>'[1]B) D RI'!A277</f>
        <v>5882</v>
      </c>
      <c r="B276" s="152" t="str">
        <f>'[1]B) D RI'!B277</f>
        <v>Chardonne</v>
      </c>
      <c r="C276" s="316">
        <f>'[1]B) D RI'!S277</f>
        <v>68</v>
      </c>
      <c r="D276" s="153">
        <f>'[1]B) D RI'!AA277</f>
        <v>3032</v>
      </c>
      <c r="E276" s="314">
        <f>'[1]D) Ecrêtage'!C275</f>
        <v>184082.76117647055</v>
      </c>
      <c r="F276" s="318">
        <f>'[1]E) Fact soc'!G281</f>
        <v>4519780.8246623008</v>
      </c>
      <c r="G276" s="315">
        <f>'[1]H) Péréquation directe'!I286</f>
        <v>2837656.5213369462</v>
      </c>
      <c r="H276" s="318">
        <f>+'[1]I) Dépenses thématiques'!O275</f>
        <v>-396354.41257633799</v>
      </c>
      <c r="I276" s="315">
        <f>'[1]K) Plafonnement aide'!J275</f>
        <v>0</v>
      </c>
      <c r="J276" s="318">
        <f>'[1]J) Plafonnement effort'!I275</f>
        <v>0</v>
      </c>
      <c r="K276" s="315">
        <f>'[1]L) Plafonnement taux'!Q276</f>
        <v>0</v>
      </c>
      <c r="L276" s="313">
        <f t="shared" si="12"/>
        <v>6961082.9334229082</v>
      </c>
      <c r="M276" s="234">
        <f>'[1]M) Police'!O276</f>
        <v>219468.1761482924</v>
      </c>
      <c r="N276" s="234">
        <f t="shared" si="13"/>
        <v>7180551.1095712008</v>
      </c>
      <c r="O276" s="318">
        <f t="shared" si="14"/>
        <v>2441302.1087606084</v>
      </c>
      <c r="P276" s="320"/>
      <c r="Q276" s="529"/>
    </row>
    <row r="277" spans="1:17" s="154" customFormat="1" x14ac:dyDescent="0.25">
      <c r="A277" s="151">
        <f>'[1]B) D RI'!A278</f>
        <v>5883</v>
      </c>
      <c r="B277" s="152" t="str">
        <f>'[1]B) D RI'!B278</f>
        <v>Corseaux</v>
      </c>
      <c r="C277" s="316">
        <f>'[1]B) D RI'!S278</f>
        <v>69</v>
      </c>
      <c r="D277" s="153">
        <f>'[1]B) D RI'!AA278</f>
        <v>2287</v>
      </c>
      <c r="E277" s="314">
        <f>'[1]D) Ecrêtage'!C276</f>
        <v>164555.95811594205</v>
      </c>
      <c r="F277" s="318">
        <f>'[1]E) Fact soc'!G282</f>
        <v>3805231.3502226472</v>
      </c>
      <c r="G277" s="315">
        <f>'[1]H) Péréquation directe'!I287</f>
        <v>2713875.5727472645</v>
      </c>
      <c r="H277" s="318">
        <f>+'[1]I) Dépenses thématiques'!O276</f>
        <v>0</v>
      </c>
      <c r="I277" s="315">
        <f>'[1]K) Plafonnement aide'!J276</f>
        <v>0</v>
      </c>
      <c r="J277" s="318">
        <f>'[1]J) Plafonnement effort'!I276</f>
        <v>0</v>
      </c>
      <c r="K277" s="315">
        <f>'[1]L) Plafonnement taux'!Q277</f>
        <v>0</v>
      </c>
      <c r="L277" s="313">
        <f t="shared" si="12"/>
        <v>6519106.9229699112</v>
      </c>
      <c r="M277" s="234">
        <f>'[1]M) Police'!O277</f>
        <v>196187.82210366361</v>
      </c>
      <c r="N277" s="234">
        <f t="shared" si="13"/>
        <v>6715294.7450735746</v>
      </c>
      <c r="O277" s="318">
        <f t="shared" si="14"/>
        <v>2713875.5727472645</v>
      </c>
      <c r="P277" s="320"/>
      <c r="Q277" s="529"/>
    </row>
    <row r="278" spans="1:17" s="154" customFormat="1" x14ac:dyDescent="0.25">
      <c r="A278" s="151">
        <f>'[1]B) D RI'!A279</f>
        <v>5884</v>
      </c>
      <c r="B278" s="152" t="str">
        <f>'[1]B) D RI'!B279</f>
        <v>Corsier-sur-Vevey</v>
      </c>
      <c r="C278" s="316">
        <f>'[1]B) D RI'!S279</f>
        <v>66</v>
      </c>
      <c r="D278" s="153">
        <f>'[1]B) D RI'!AA279</f>
        <v>3363</v>
      </c>
      <c r="E278" s="314">
        <f>'[1]D) Ecrêtage'!C277</f>
        <v>127106.22217171718</v>
      </c>
      <c r="F278" s="318">
        <f>'[1]E) Fact soc'!G283</f>
        <v>2245108.7980423095</v>
      </c>
      <c r="G278" s="315">
        <f>'[1]H) Péréquation directe'!I288</f>
        <v>990294.05418044375</v>
      </c>
      <c r="H278" s="318">
        <f>+'[1]I) Dépenses thématiques'!O277</f>
        <v>-1421229.7120195532</v>
      </c>
      <c r="I278" s="315">
        <f>'[1]K) Plafonnement aide'!J277</f>
        <v>0</v>
      </c>
      <c r="J278" s="318">
        <f>'[1]J) Plafonnement effort'!I277</f>
        <v>0</v>
      </c>
      <c r="K278" s="315">
        <f>'[1]L) Plafonnement taux'!Q278</f>
        <v>0</v>
      </c>
      <c r="L278" s="313">
        <f t="shared" si="12"/>
        <v>1814173.1402032</v>
      </c>
      <c r="M278" s="234">
        <f>'[1]M) Police'!O278</f>
        <v>151539.28906131626</v>
      </c>
      <c r="N278" s="234">
        <f t="shared" si="13"/>
        <v>1965712.4292645163</v>
      </c>
      <c r="O278" s="318">
        <f t="shared" si="14"/>
        <v>-430935.65783910942</v>
      </c>
      <c r="P278" s="320"/>
      <c r="Q278" s="529"/>
    </row>
    <row r="279" spans="1:17" s="154" customFormat="1" x14ac:dyDescent="0.25">
      <c r="A279" s="151">
        <f>'[1]B) D RI'!A280</f>
        <v>5885</v>
      </c>
      <c r="B279" s="152" t="str">
        <f>'[1]B) D RI'!B280</f>
        <v>Jongny</v>
      </c>
      <c r="C279" s="316">
        <f>'[1]B) D RI'!S280</f>
        <v>71</v>
      </c>
      <c r="D279" s="153">
        <f>'[1]B) D RI'!AA280</f>
        <v>1544</v>
      </c>
      <c r="E279" s="314">
        <f>'[1]D) Ecrêtage'!C278</f>
        <v>79120.74528169015</v>
      </c>
      <c r="F279" s="318">
        <f>'[1]E) Fact soc'!G284</f>
        <v>1546213.8518320988</v>
      </c>
      <c r="G279" s="315">
        <f>'[1]H) Péréquation directe'!I289</f>
        <v>1265957.7758380305</v>
      </c>
      <c r="H279" s="318">
        <f>+'[1]I) Dépenses thématiques'!O278</f>
        <v>-116467.95495784891</v>
      </c>
      <c r="I279" s="315">
        <f>'[1]K) Plafonnement aide'!J278</f>
        <v>0</v>
      </c>
      <c r="J279" s="318">
        <f>'[1]J) Plafonnement effort'!I278</f>
        <v>0</v>
      </c>
      <c r="K279" s="315">
        <f>'[1]L) Plafonnement taux'!Q279</f>
        <v>0</v>
      </c>
      <c r="L279" s="313">
        <f t="shared" si="12"/>
        <v>2695703.6727122804</v>
      </c>
      <c r="M279" s="234">
        <f>'[1]M) Police'!O279</f>
        <v>94329.776191371464</v>
      </c>
      <c r="N279" s="234">
        <f t="shared" si="13"/>
        <v>2790033.4489036519</v>
      </c>
      <c r="O279" s="318">
        <f t="shared" si="14"/>
        <v>1149489.8208801816</v>
      </c>
      <c r="P279" s="320"/>
      <c r="Q279" s="529"/>
    </row>
    <row r="280" spans="1:17" s="154" customFormat="1" x14ac:dyDescent="0.25">
      <c r="A280" s="151">
        <f>'[1]B) D RI'!A281</f>
        <v>5886</v>
      </c>
      <c r="B280" s="152" t="str">
        <f>'[1]B) D RI'!B281</f>
        <v>Montreux</v>
      </c>
      <c r="C280" s="316">
        <f>'[1]B) D RI'!S281</f>
        <v>65</v>
      </c>
      <c r="D280" s="153">
        <f>'[1]B) D RI'!AA281</f>
        <v>26065</v>
      </c>
      <c r="E280" s="314">
        <f>'[1]D) Ecrêtage'!C279</f>
        <v>1142059.586051282</v>
      </c>
      <c r="F280" s="318">
        <f>'[1]E) Fact soc'!G285</f>
        <v>24889310.001661122</v>
      </c>
      <c r="G280" s="315">
        <f>'[1]H) Péréquation directe'!I290</f>
        <v>-94803.718430891633</v>
      </c>
      <c r="H280" s="318">
        <f>+'[1]I) Dépenses thématiques'!O279</f>
        <v>-5311381.4081647228</v>
      </c>
      <c r="I280" s="315">
        <f>'[1]K) Plafonnement aide'!J279</f>
        <v>0</v>
      </c>
      <c r="J280" s="318">
        <f>'[1]J) Plafonnement effort'!I279</f>
        <v>0</v>
      </c>
      <c r="K280" s="315">
        <f>'[1]L) Plafonnement taux'!Q280</f>
        <v>0</v>
      </c>
      <c r="L280" s="313">
        <f t="shared" si="12"/>
        <v>19483124.875065506</v>
      </c>
      <c r="M280" s="234">
        <f>'[1]M) Police'!O280</f>
        <v>1361592.64887964</v>
      </c>
      <c r="N280" s="234">
        <f t="shared" si="13"/>
        <v>20844717.523945145</v>
      </c>
      <c r="O280" s="318">
        <f t="shared" si="14"/>
        <v>-5406185.1265956145</v>
      </c>
      <c r="P280" s="320"/>
      <c r="Q280" s="529"/>
    </row>
    <row r="281" spans="1:17" s="154" customFormat="1" x14ac:dyDescent="0.25">
      <c r="A281" s="151">
        <f>'[1]B) D RI'!A282</f>
        <v>5888</v>
      </c>
      <c r="B281" s="152" t="str">
        <f>'[1]B) D RI'!B282</f>
        <v>Saint-Légier-La Chiésaz</v>
      </c>
      <c r="C281" s="316">
        <f>'[1]B) D RI'!S282</f>
        <v>70</v>
      </c>
      <c r="D281" s="153">
        <f>'[1]B) D RI'!AA282</f>
        <v>5243</v>
      </c>
      <c r="E281" s="314">
        <f>'[1]D) Ecrêtage'!C280</f>
        <v>338249.0701666667</v>
      </c>
      <c r="F281" s="318">
        <f>'[1]E) Fact soc'!G286</f>
        <v>7471028.40582739</v>
      </c>
      <c r="G281" s="315">
        <f>'[1]H) Péréquation directe'!I291</f>
        <v>4786531.1145380586</v>
      </c>
      <c r="H281" s="318">
        <f>+'[1]I) Dépenses thématiques'!O280</f>
        <v>-208737.14438075075</v>
      </c>
      <c r="I281" s="315">
        <f>'[1]K) Plafonnement aide'!J280</f>
        <v>0</v>
      </c>
      <c r="J281" s="318">
        <f>'[1]J) Plafonnement effort'!I280</f>
        <v>0</v>
      </c>
      <c r="K281" s="315">
        <f>'[1]L) Plafonnement taux'!Q281</f>
        <v>0</v>
      </c>
      <c r="L281" s="313">
        <f t="shared" si="12"/>
        <v>12048822.375984699</v>
      </c>
      <c r="M281" s="234">
        <f>'[1]M) Police'!O281</f>
        <v>403269.19282881136</v>
      </c>
      <c r="N281" s="234">
        <f t="shared" si="13"/>
        <v>12452091.56881351</v>
      </c>
      <c r="O281" s="318">
        <f t="shared" si="14"/>
        <v>4577793.9701573076</v>
      </c>
      <c r="P281" s="320"/>
      <c r="Q281" s="529"/>
    </row>
    <row r="282" spans="1:17" s="154" customFormat="1" x14ac:dyDescent="0.25">
      <c r="A282" s="151">
        <f>'[1]B) D RI'!A283</f>
        <v>5889</v>
      </c>
      <c r="B282" s="152" t="str">
        <f>'[1]B) D RI'!B283</f>
        <v>La Tour-de-Peilz</v>
      </c>
      <c r="C282" s="316">
        <f>'[1]B) D RI'!S283</f>
        <v>64</v>
      </c>
      <c r="D282" s="153">
        <f>'[1]B) D RI'!AA283</f>
        <v>11906</v>
      </c>
      <c r="E282" s="314">
        <f>'[1]D) Ecrêtage'!C281</f>
        <v>693156.74124999996</v>
      </c>
      <c r="F282" s="318">
        <f>'[1]E) Fact soc'!G287</f>
        <v>13955976.078285433</v>
      </c>
      <c r="G282" s="315">
        <f>'[1]H) Péréquation directe'!I292</f>
        <v>7138995.1048888732</v>
      </c>
      <c r="H282" s="318">
        <f>+'[1]I) Dépenses thématiques'!O281</f>
        <v>0</v>
      </c>
      <c r="I282" s="315">
        <f>'[1]K) Plafonnement aide'!J281</f>
        <v>0</v>
      </c>
      <c r="J282" s="318">
        <f>'[1]J) Plafonnement effort'!I281</f>
        <v>0</v>
      </c>
      <c r="K282" s="315">
        <f>'[1]L) Plafonnement taux'!Q282</f>
        <v>0</v>
      </c>
      <c r="L282" s="313">
        <f t="shared" si="12"/>
        <v>21094971.183174305</v>
      </c>
      <c r="M282" s="234">
        <f>'[1]M) Police'!O282</f>
        <v>826399.19574650563</v>
      </c>
      <c r="N282" s="234">
        <f t="shared" si="13"/>
        <v>21921370.378920808</v>
      </c>
      <c r="O282" s="318">
        <f t="shared" si="14"/>
        <v>7138995.1048888732</v>
      </c>
      <c r="P282" s="320"/>
      <c r="Q282" s="529"/>
    </row>
    <row r="283" spans="1:17" s="154" customFormat="1" x14ac:dyDescent="0.25">
      <c r="A283" s="151">
        <f>'[1]B) D RI'!A284</f>
        <v>5890</v>
      </c>
      <c r="B283" s="152" t="str">
        <f>'[1]B) D RI'!B284</f>
        <v>Vevey</v>
      </c>
      <c r="C283" s="316">
        <f>'[1]B) D RI'!S284</f>
        <v>76</v>
      </c>
      <c r="D283" s="153">
        <f>'[1]B) D RI'!AA284</f>
        <v>19871</v>
      </c>
      <c r="E283" s="314">
        <f>'[1]D) Ecrêtage'!C282</f>
        <v>976839.63723684219</v>
      </c>
      <c r="F283" s="318">
        <f>'[1]E) Fact soc'!G288</f>
        <v>16686685.000984279</v>
      </c>
      <c r="G283" s="315">
        <f>'[1]H) Péréquation directe'!I293</f>
        <v>4578881.5522728469</v>
      </c>
      <c r="H283" s="318">
        <f>+'[1]I) Dépenses thématiques'!O282</f>
        <v>-2728048.951317932</v>
      </c>
      <c r="I283" s="315">
        <f>'[1]K) Plafonnement aide'!J282</f>
        <v>0</v>
      </c>
      <c r="J283" s="318">
        <f>'[1]J) Plafonnement effort'!I282</f>
        <v>0</v>
      </c>
      <c r="K283" s="315">
        <f>'[1]L) Plafonnement taux'!Q283</f>
        <v>0</v>
      </c>
      <c r="L283" s="313">
        <f t="shared" si="12"/>
        <v>18537517.601939194</v>
      </c>
      <c r="M283" s="234">
        <f>'[1]M) Police'!O283</f>
        <v>1164613.2000823771</v>
      </c>
      <c r="N283" s="234">
        <f t="shared" si="13"/>
        <v>19702130.802021571</v>
      </c>
      <c r="O283" s="318">
        <f t="shared" si="14"/>
        <v>1850832.6009549149</v>
      </c>
      <c r="P283" s="320"/>
      <c r="Q283" s="529"/>
    </row>
    <row r="284" spans="1:17" s="154" customFormat="1" x14ac:dyDescent="0.25">
      <c r="A284" s="151">
        <f>'[1]B) D RI'!A285</f>
        <v>5891</v>
      </c>
      <c r="B284" s="152" t="str">
        <f>'[1]B) D RI'!B285</f>
        <v>Veytaux</v>
      </c>
      <c r="C284" s="316">
        <f>'[1]B) D RI'!S285</f>
        <v>71</v>
      </c>
      <c r="D284" s="153">
        <f>'[1]B) D RI'!AA285</f>
        <v>922</v>
      </c>
      <c r="E284" s="314">
        <f>'[1]D) Ecrêtage'!C283</f>
        <v>37197.97126760563</v>
      </c>
      <c r="F284" s="318">
        <f>'[1]E) Fact soc'!G289</f>
        <v>657131.67224249791</v>
      </c>
      <c r="G284" s="315">
        <f>'[1]H) Péréquation directe'!I294</f>
        <v>503611.80047016119</v>
      </c>
      <c r="H284" s="318">
        <f>+'[1]I) Dépenses thématiques'!O283</f>
        <v>-880503.16356111411</v>
      </c>
      <c r="I284" s="315">
        <f>'[1]K) Plafonnement aide'!J283</f>
        <v>0</v>
      </c>
      <c r="J284" s="318">
        <f>'[1]J) Plafonnement effort'!I283</f>
        <v>0</v>
      </c>
      <c r="K284" s="315">
        <f>'[1]L) Plafonnement taux'!Q284</f>
        <v>0</v>
      </c>
      <c r="L284" s="313">
        <f t="shared" si="12"/>
        <v>280240.30915154493</v>
      </c>
      <c r="M284" s="234">
        <f>'[1]M) Police'!O284</f>
        <v>44348.372755511911</v>
      </c>
      <c r="N284" s="234">
        <f t="shared" si="13"/>
        <v>324588.68190705683</v>
      </c>
      <c r="O284" s="318">
        <f t="shared" si="14"/>
        <v>-376891.36309095292</v>
      </c>
      <c r="P284" s="320"/>
      <c r="Q284" s="529"/>
    </row>
    <row r="285" spans="1:17" s="154" customFormat="1" x14ac:dyDescent="0.25">
      <c r="A285" s="151">
        <f>'[1]B) D RI'!A286</f>
        <v>5902</v>
      </c>
      <c r="B285" s="152" t="str">
        <f>'[1]B) D RI'!B286</f>
        <v>Belmont-sur-Yverdon</v>
      </c>
      <c r="C285" s="316">
        <f>'[1]B) D RI'!S286</f>
        <v>76</v>
      </c>
      <c r="D285" s="153">
        <f>'[1]B) D RI'!AA286</f>
        <v>374</v>
      </c>
      <c r="E285" s="314">
        <f>'[1]D) Ecrêtage'!C284</f>
        <v>10777.690131578949</v>
      </c>
      <c r="F285" s="318">
        <f>'[1]E) Fact soc'!G290</f>
        <v>385873.34319812362</v>
      </c>
      <c r="G285" s="315">
        <f>'[1]H) Péréquation directe'!I295</f>
        <v>12053.712463275122</v>
      </c>
      <c r="H285" s="318">
        <f>+'[1]I) Dépenses thématiques'!O284</f>
        <v>-9280.3003863698832</v>
      </c>
      <c r="I285" s="315">
        <f>'[1]K) Plafonnement aide'!J284</f>
        <v>0</v>
      </c>
      <c r="J285" s="318">
        <f>'[1]J) Plafonnement effort'!I284</f>
        <v>0</v>
      </c>
      <c r="K285" s="315">
        <f>'[1]L) Plafonnement taux'!Q285</f>
        <v>-45319.162017875293</v>
      </c>
      <c r="L285" s="313">
        <f t="shared" si="12"/>
        <v>343327.59325715358</v>
      </c>
      <c r="M285" s="234">
        <f>'[1]M) Police'!O285</f>
        <v>32930.254940463463</v>
      </c>
      <c r="N285" s="234">
        <f t="shared" si="13"/>
        <v>376257.84819761704</v>
      </c>
      <c r="O285" s="318">
        <f t="shared" si="14"/>
        <v>-42545.749940970054</v>
      </c>
      <c r="P285" s="320"/>
      <c r="Q285" s="529"/>
    </row>
    <row r="286" spans="1:17" s="154" customFormat="1" x14ac:dyDescent="0.25">
      <c r="A286" s="151">
        <f>'[1]B) D RI'!A287</f>
        <v>5903</v>
      </c>
      <c r="B286" s="152" t="str">
        <f>'[1]B) D RI'!B287</f>
        <v>Bioley-Magnoux</v>
      </c>
      <c r="C286" s="316">
        <f>'[1]B) D RI'!S287</f>
        <v>74</v>
      </c>
      <c r="D286" s="153">
        <f>'[1]B) D RI'!AA287</f>
        <v>228</v>
      </c>
      <c r="E286" s="314">
        <f>'[1]D) Ecrêtage'!C285</f>
        <v>6482.7722393822396</v>
      </c>
      <c r="F286" s="318">
        <f>'[1]E) Fact soc'!G291</f>
        <v>102735.50322359994</v>
      </c>
      <c r="G286" s="315">
        <f>'[1]H) Péréquation directe'!I296</f>
        <v>8655.0740067920851</v>
      </c>
      <c r="H286" s="318">
        <f>+'[1]I) Dépenses thématiques'!O285</f>
        <v>-209109.50837344251</v>
      </c>
      <c r="I286" s="315">
        <f>'[1]K) Plafonnement aide'!J285</f>
        <v>0</v>
      </c>
      <c r="J286" s="318">
        <f>'[1]J) Plafonnement effort'!I285</f>
        <v>0</v>
      </c>
      <c r="K286" s="315">
        <f>'[1]L) Plafonnement taux'!Q286</f>
        <v>0</v>
      </c>
      <c r="L286" s="313">
        <f t="shared" si="12"/>
        <v>-97718.931143050489</v>
      </c>
      <c r="M286" s="234">
        <f>'[1]M) Police'!O286</f>
        <v>19704.801467861522</v>
      </c>
      <c r="N286" s="234">
        <f t="shared" si="13"/>
        <v>-78014.129675188975</v>
      </c>
      <c r="O286" s="318">
        <f t="shared" si="14"/>
        <v>-200454.43436665041</v>
      </c>
      <c r="P286" s="320"/>
      <c r="Q286" s="529"/>
    </row>
    <row r="287" spans="1:17" s="154" customFormat="1" x14ac:dyDescent="0.25">
      <c r="A287" s="151">
        <f>'[1]B) D RI'!A288</f>
        <v>5904</v>
      </c>
      <c r="B287" s="152" t="str">
        <f>'[1]B) D RI'!B288</f>
        <v>Chamblon</v>
      </c>
      <c r="C287" s="316">
        <f>'[1]B) D RI'!S288</f>
        <v>66</v>
      </c>
      <c r="D287" s="153">
        <f>'[1]B) D RI'!AA288</f>
        <v>540</v>
      </c>
      <c r="E287" s="314">
        <f>'[1]D) Ecrêtage'!C286</f>
        <v>21977.410303030305</v>
      </c>
      <c r="F287" s="318">
        <f>'[1]E) Fact soc'!G292</f>
        <v>349310.58205497119</v>
      </c>
      <c r="G287" s="315">
        <f>'[1]H) Péréquation directe'!I297</f>
        <v>312008.90521760349</v>
      </c>
      <c r="H287" s="318">
        <f>+'[1]I) Dépenses thématiques'!O286</f>
        <v>0</v>
      </c>
      <c r="I287" s="315">
        <f>'[1]K) Plafonnement aide'!J286</f>
        <v>0</v>
      </c>
      <c r="J287" s="318">
        <f>'[1]J) Plafonnement effort'!I286</f>
        <v>0</v>
      </c>
      <c r="K287" s="315">
        <f>'[1]L) Plafonnement taux'!Q287</f>
        <v>0</v>
      </c>
      <c r="L287" s="313">
        <f t="shared" si="12"/>
        <v>661319.48727257468</v>
      </c>
      <c r="M287" s="234">
        <f>'[1]M) Police'!O287</f>
        <v>26202.030678173414</v>
      </c>
      <c r="N287" s="234">
        <f t="shared" si="13"/>
        <v>687521.51795074809</v>
      </c>
      <c r="O287" s="318">
        <f t="shared" si="14"/>
        <v>312008.90521760349</v>
      </c>
      <c r="P287" s="320"/>
      <c r="Q287" s="529"/>
    </row>
    <row r="288" spans="1:17" s="154" customFormat="1" x14ac:dyDescent="0.25">
      <c r="A288" s="151">
        <f>'[1]B) D RI'!A289</f>
        <v>5905</v>
      </c>
      <c r="B288" s="152" t="str">
        <f>'[1]B) D RI'!B289</f>
        <v>Champvent</v>
      </c>
      <c r="C288" s="316">
        <f>'[1]B) D RI'!S289</f>
        <v>71</v>
      </c>
      <c r="D288" s="153">
        <f>'[1]B) D RI'!AA289</f>
        <v>689</v>
      </c>
      <c r="E288" s="314">
        <f>'[1]D) Ecrêtage'!C287</f>
        <v>23661.341690140842</v>
      </c>
      <c r="F288" s="318">
        <f>'[1]E) Fact soc'!G293</f>
        <v>524215.59171682061</v>
      </c>
      <c r="G288" s="315">
        <f>'[1]H) Péréquation directe'!I298</f>
        <v>211032.53575112729</v>
      </c>
      <c r="H288" s="318">
        <f>+'[1]I) Dépenses thématiques'!O287</f>
        <v>-30487.57941285515</v>
      </c>
      <c r="I288" s="315">
        <f>'[1]K) Plafonnement aide'!J287</f>
        <v>0</v>
      </c>
      <c r="J288" s="318">
        <f>'[1]J) Plafonnement effort'!I287</f>
        <v>0</v>
      </c>
      <c r="K288" s="315">
        <f>'[1]L) Plafonnement taux'!Q288</f>
        <v>0</v>
      </c>
      <c r="L288" s="313">
        <f t="shared" si="12"/>
        <v>704760.5480550928</v>
      </c>
      <c r="M288" s="234">
        <f>'[1]M) Police'!O288</f>
        <v>72663.514775867356</v>
      </c>
      <c r="N288" s="234">
        <f t="shared" si="13"/>
        <v>777424.06283096015</v>
      </c>
      <c r="O288" s="318">
        <f t="shared" si="14"/>
        <v>180544.95633827214</v>
      </c>
      <c r="P288" s="320"/>
      <c r="Q288" s="529"/>
    </row>
    <row r="289" spans="1:17" s="154" customFormat="1" x14ac:dyDescent="0.25">
      <c r="A289" s="151">
        <f>'[1]B) D RI'!A290</f>
        <v>5907</v>
      </c>
      <c r="B289" s="152" t="str">
        <f>'[1]B) D RI'!B290</f>
        <v>Chavannes-le-Chêne</v>
      </c>
      <c r="C289" s="316">
        <f>'[1]B) D RI'!S290</f>
        <v>78</v>
      </c>
      <c r="D289" s="153">
        <f>'[1]B) D RI'!AA290</f>
        <v>311</v>
      </c>
      <c r="E289" s="314">
        <f>'[1]D) Ecrêtage'!C288</f>
        <v>9481.5466666666634</v>
      </c>
      <c r="F289" s="318">
        <f>'[1]E) Fact soc'!G294</f>
        <v>144803.43237457945</v>
      </c>
      <c r="G289" s="315">
        <f>'[1]H) Péréquation directe'!I299</f>
        <v>25981.069086945907</v>
      </c>
      <c r="H289" s="318">
        <f>+'[1]I) Dépenses thématiques'!O288</f>
        <v>-80996.928333337681</v>
      </c>
      <c r="I289" s="315">
        <f>'[1]K) Plafonnement aide'!J288</f>
        <v>0</v>
      </c>
      <c r="J289" s="318">
        <f>'[1]J) Plafonnement effort'!I288</f>
        <v>0</v>
      </c>
      <c r="K289" s="315">
        <f>'[1]L) Plafonnement taux'!Q289</f>
        <v>0</v>
      </c>
      <c r="L289" s="313">
        <f t="shared" si="12"/>
        <v>89787.57312818768</v>
      </c>
      <c r="M289" s="234">
        <f>'[1]M) Police'!O289</f>
        <v>28993.358855204882</v>
      </c>
      <c r="N289" s="234">
        <f t="shared" si="13"/>
        <v>118780.93198339257</v>
      </c>
      <c r="O289" s="318">
        <f t="shared" si="14"/>
        <v>-55015.859246391774</v>
      </c>
      <c r="P289" s="320"/>
      <c r="Q289" s="529"/>
    </row>
    <row r="290" spans="1:17" s="154" customFormat="1" x14ac:dyDescent="0.25">
      <c r="A290" s="151">
        <f>'[1]B) D RI'!A291</f>
        <v>5908</v>
      </c>
      <c r="B290" s="152" t="str">
        <f>'[1]B) D RI'!B291</f>
        <v>Chêne-Pâquier</v>
      </c>
      <c r="C290" s="316">
        <f>'[1]B) D RI'!S291</f>
        <v>79</v>
      </c>
      <c r="D290" s="153">
        <f>'[1]B) D RI'!AA291</f>
        <v>153</v>
      </c>
      <c r="E290" s="314">
        <f>'[1]D) Ecrêtage'!C289</f>
        <v>3375.4056962025325</v>
      </c>
      <c r="F290" s="318">
        <f>'[1]E) Fact soc'!G295</f>
        <v>51924.688683510503</v>
      </c>
      <c r="G290" s="315">
        <f>'[1]H) Péréquation directe'!I300</f>
        <v>-46448.09879836702</v>
      </c>
      <c r="H290" s="318">
        <f>+'[1]I) Dépenses thématiques'!O289</f>
        <v>-23953.073297061419</v>
      </c>
      <c r="I290" s="315">
        <f>'[1]K) Plafonnement aide'!J289</f>
        <v>0</v>
      </c>
      <c r="J290" s="318">
        <f>'[1]J) Plafonnement effort'!I289</f>
        <v>0</v>
      </c>
      <c r="K290" s="315">
        <f>'[1]L) Plafonnement taux'!Q290</f>
        <v>0</v>
      </c>
      <c r="L290" s="313">
        <f t="shared" si="12"/>
        <v>-18476.483411917936</v>
      </c>
      <c r="M290" s="234">
        <f>'[1]M) Police'!O290</f>
        <v>10314.433611155951</v>
      </c>
      <c r="N290" s="234">
        <f t="shared" si="13"/>
        <v>-8162.0498007619844</v>
      </c>
      <c r="O290" s="318">
        <f t="shared" si="14"/>
        <v>-70401.172095428439</v>
      </c>
      <c r="P290" s="320"/>
      <c r="Q290" s="529"/>
    </row>
    <row r="291" spans="1:17" s="154" customFormat="1" x14ac:dyDescent="0.25">
      <c r="A291" s="151">
        <f>'[1]B) D RI'!A292</f>
        <v>5909</v>
      </c>
      <c r="B291" s="152" t="str">
        <f>'[1]B) D RI'!B292</f>
        <v>Cheseaux-Noréaz</v>
      </c>
      <c r="C291" s="316">
        <f>'[1]B) D RI'!S292</f>
        <v>70</v>
      </c>
      <c r="D291" s="153">
        <f>'[1]B) D RI'!AA292</f>
        <v>725</v>
      </c>
      <c r="E291" s="314">
        <f>'[1]D) Ecrêtage'!C290</f>
        <v>32349.342000000001</v>
      </c>
      <c r="F291" s="318">
        <f>'[1]E) Fact soc'!G296</f>
        <v>586823.87853651529</v>
      </c>
      <c r="G291" s="315">
        <f>'[1]H) Péréquation directe'!I301</f>
        <v>520888.34346467338</v>
      </c>
      <c r="H291" s="318">
        <f>+'[1]I) Dépenses thématiques'!O290</f>
        <v>-109205.0071044698</v>
      </c>
      <c r="I291" s="315">
        <f>'[1]K) Plafonnement aide'!J290</f>
        <v>0</v>
      </c>
      <c r="J291" s="318">
        <f>'[1]J) Plafonnement effort'!I290</f>
        <v>0</v>
      </c>
      <c r="K291" s="315">
        <f>'[1]L) Plafonnement taux'!Q291</f>
        <v>0</v>
      </c>
      <c r="L291" s="313">
        <f t="shared" si="12"/>
        <v>998507.21489671886</v>
      </c>
      <c r="M291" s="234">
        <f>'[1]M) Police'!O291</f>
        <v>38567.712929573499</v>
      </c>
      <c r="N291" s="234">
        <f t="shared" si="13"/>
        <v>1037074.9278262923</v>
      </c>
      <c r="O291" s="318">
        <f t="shared" si="14"/>
        <v>411683.33636020357</v>
      </c>
      <c r="P291" s="320"/>
      <c r="Q291" s="529"/>
    </row>
    <row r="292" spans="1:17" s="154" customFormat="1" x14ac:dyDescent="0.25">
      <c r="A292" s="151">
        <f>'[1]B) D RI'!A293</f>
        <v>5910</v>
      </c>
      <c r="B292" s="152" t="str">
        <f>'[1]B) D RI'!B293</f>
        <v>Cronay</v>
      </c>
      <c r="C292" s="316">
        <f>'[1]B) D RI'!S293</f>
        <v>79</v>
      </c>
      <c r="D292" s="153">
        <f>'[1]B) D RI'!AA293</f>
        <v>394</v>
      </c>
      <c r="E292" s="314">
        <f>'[1]D) Ecrêtage'!C291</f>
        <v>10200.577848101264</v>
      </c>
      <c r="F292" s="318">
        <f>'[1]E) Fact soc'!G297</f>
        <v>226686.41271492222</v>
      </c>
      <c r="G292" s="315">
        <f>'[1]H) Péréquation directe'!I302</f>
        <v>-52161.656123398512</v>
      </c>
      <c r="H292" s="318">
        <f>+'[1]I) Dépenses thématiques'!O291</f>
        <v>-970.11771048341825</v>
      </c>
      <c r="I292" s="315">
        <f>'[1]K) Plafonnement aide'!J291</f>
        <v>0</v>
      </c>
      <c r="J292" s="318">
        <f>'[1]J) Plafonnement effort'!I291</f>
        <v>0</v>
      </c>
      <c r="K292" s="315">
        <f>'[1]L) Plafonnement taux'!Q292</f>
        <v>0</v>
      </c>
      <c r="L292" s="313">
        <f t="shared" si="12"/>
        <v>173554.6388810403</v>
      </c>
      <c r="M292" s="234">
        <f>'[1]M) Police'!O292</f>
        <v>31204.327784755606</v>
      </c>
      <c r="N292" s="234">
        <f t="shared" si="13"/>
        <v>204758.96666579592</v>
      </c>
      <c r="O292" s="318">
        <f t="shared" si="14"/>
        <v>-53131.773833881933</v>
      </c>
      <c r="P292" s="320"/>
      <c r="Q292" s="529"/>
    </row>
    <row r="293" spans="1:17" s="154" customFormat="1" x14ac:dyDescent="0.25">
      <c r="A293" s="151">
        <f>'[1]B) D RI'!A294</f>
        <v>5911</v>
      </c>
      <c r="B293" s="152" t="str">
        <f>'[1]B) D RI'!B294</f>
        <v>Cuarny</v>
      </c>
      <c r="C293" s="316">
        <f>'[1]B) D RI'!S294</f>
        <v>79</v>
      </c>
      <c r="D293" s="153">
        <f>'[1]B) D RI'!AA294</f>
        <v>239</v>
      </c>
      <c r="E293" s="314">
        <f>'[1]D) Ecrêtage'!C292</f>
        <v>7836.9853164556971</v>
      </c>
      <c r="F293" s="318">
        <f>'[1]E) Fact soc'!G298</f>
        <v>107482.91467349989</v>
      </c>
      <c r="G293" s="315">
        <f>'[1]H) Péréquation directe'!I303</f>
        <v>42112.325316297269</v>
      </c>
      <c r="H293" s="318">
        <f>+'[1]I) Dépenses thématiques'!O292</f>
        <v>-14502.444298156637</v>
      </c>
      <c r="I293" s="315">
        <f>'[1]K) Plafonnement aide'!J292</f>
        <v>0</v>
      </c>
      <c r="J293" s="318">
        <f>'[1]J) Plafonnement effort'!I292</f>
        <v>0</v>
      </c>
      <c r="K293" s="315">
        <f>'[1]L) Plafonnement taux'!Q293</f>
        <v>0</v>
      </c>
      <c r="L293" s="313">
        <f t="shared" si="12"/>
        <v>135092.79569164055</v>
      </c>
      <c r="M293" s="234">
        <f>'[1]M) Police'!O293</f>
        <v>24147.193327722052</v>
      </c>
      <c r="N293" s="234">
        <f t="shared" si="13"/>
        <v>159239.98901936261</v>
      </c>
      <c r="O293" s="318">
        <f t="shared" si="14"/>
        <v>27609.88101814063</v>
      </c>
      <c r="P293" s="320"/>
      <c r="Q293" s="529"/>
    </row>
    <row r="294" spans="1:17" s="154" customFormat="1" x14ac:dyDescent="0.25">
      <c r="A294" s="151">
        <f>'[1]B) D RI'!A295</f>
        <v>5912</v>
      </c>
      <c r="B294" s="152" t="str">
        <f>'[1]B) D RI'!B295</f>
        <v>Démoret</v>
      </c>
      <c r="C294" s="316">
        <f>'[1]B) D RI'!S295</f>
        <v>81</v>
      </c>
      <c r="D294" s="153">
        <f>'[1]B) D RI'!AA295</f>
        <v>156</v>
      </c>
      <c r="E294" s="314">
        <f>'[1]D) Ecrêtage'!C293</f>
        <v>3965.4814814814822</v>
      </c>
      <c r="F294" s="318">
        <f>'[1]E) Fact soc'!G299</f>
        <v>58257.568193833831</v>
      </c>
      <c r="G294" s="315">
        <f>'[1]H) Péréquation directe'!I304</f>
        <v>-28221.860710228822</v>
      </c>
      <c r="H294" s="318">
        <f>+'[1]I) Dépenses thématiques'!O293</f>
        <v>-17174.985321723372</v>
      </c>
      <c r="I294" s="315">
        <f>'[1]K) Plafonnement aide'!J293</f>
        <v>0</v>
      </c>
      <c r="J294" s="318">
        <f>'[1]J) Plafonnement effort'!I293</f>
        <v>0</v>
      </c>
      <c r="K294" s="315">
        <f>'[1]L) Plafonnement taux'!Q294</f>
        <v>0</v>
      </c>
      <c r="L294" s="313">
        <f t="shared" si="12"/>
        <v>12860.722161881637</v>
      </c>
      <c r="M294" s="234">
        <f>'[1]M) Police'!O294</f>
        <v>12153.933632288612</v>
      </c>
      <c r="N294" s="234">
        <f t="shared" si="13"/>
        <v>25014.655794170249</v>
      </c>
      <c r="O294" s="318">
        <f t="shared" si="14"/>
        <v>-45396.846031952198</v>
      </c>
      <c r="P294" s="320"/>
      <c r="Q294" s="529"/>
    </row>
    <row r="295" spans="1:17" s="154" customFormat="1" x14ac:dyDescent="0.25">
      <c r="A295" s="151">
        <f>'[1]B) D RI'!A296</f>
        <v>5913</v>
      </c>
      <c r="B295" s="152" t="str">
        <f>'[1]B) D RI'!B296</f>
        <v>Donneloye</v>
      </c>
      <c r="C295" s="316">
        <f>'[1]B) D RI'!S296</f>
        <v>73</v>
      </c>
      <c r="D295" s="153">
        <f>'[1]B) D RI'!AA296</f>
        <v>823</v>
      </c>
      <c r="E295" s="314">
        <f>'[1]D) Ecrêtage'!C294</f>
        <v>21603.148082191776</v>
      </c>
      <c r="F295" s="318">
        <f>'[1]E) Fact soc'!G300</f>
        <v>400404.90661387151</v>
      </c>
      <c r="G295" s="315">
        <f>'[1]H) Péréquation directe'!I305</f>
        <v>-33688.776539580896</v>
      </c>
      <c r="H295" s="318">
        <f>+'[1]I) Dépenses thématiques'!O294</f>
        <v>-55292.696861689532</v>
      </c>
      <c r="I295" s="315">
        <f>'[1]K) Plafonnement aide'!J294</f>
        <v>0</v>
      </c>
      <c r="J295" s="318">
        <f>'[1]J) Plafonnement effort'!I294</f>
        <v>0</v>
      </c>
      <c r="K295" s="315">
        <f>'[1]L) Plafonnement taux'!Q295</f>
        <v>0</v>
      </c>
      <c r="L295" s="313">
        <f t="shared" si="12"/>
        <v>311423.43321260111</v>
      </c>
      <c r="M295" s="234">
        <f>'[1]M) Police'!O295</f>
        <v>65788.023220253992</v>
      </c>
      <c r="N295" s="234">
        <f t="shared" si="13"/>
        <v>377211.45643285511</v>
      </c>
      <c r="O295" s="318">
        <f t="shared" si="14"/>
        <v>-88981.473401270428</v>
      </c>
      <c r="P295" s="320"/>
      <c r="Q295" s="529"/>
    </row>
    <row r="296" spans="1:17" s="154" customFormat="1" x14ac:dyDescent="0.25">
      <c r="A296" s="151">
        <f>'[1]B) D RI'!A297</f>
        <v>5914</v>
      </c>
      <c r="B296" s="152" t="str">
        <f>'[1]B) D RI'!B297</f>
        <v>Ependes</v>
      </c>
      <c r="C296" s="316">
        <f>'[1]B) D RI'!S297</f>
        <v>75</v>
      </c>
      <c r="D296" s="153">
        <f>'[1]B) D RI'!AA297</f>
        <v>357</v>
      </c>
      <c r="E296" s="314">
        <f>'[1]D) Ecrêtage'!C295</f>
        <v>10115.447866666666</v>
      </c>
      <c r="F296" s="318">
        <f>'[1]E) Fact soc'!G301</f>
        <v>159845.17356497375</v>
      </c>
      <c r="G296" s="315">
        <f>'[1]H) Péréquation directe'!I306</f>
        <v>8126.7788560951594</v>
      </c>
      <c r="H296" s="318">
        <f>+'[1]I) Dépenses thématiques'!O295</f>
        <v>-46879.278915936025</v>
      </c>
      <c r="I296" s="315">
        <f>'[1]K) Plafonnement aide'!J295</f>
        <v>0</v>
      </c>
      <c r="J296" s="318">
        <f>'[1]J) Plafonnement effort'!I295</f>
        <v>0</v>
      </c>
      <c r="K296" s="315">
        <f>'[1]L) Plafonnement taux'!Q296</f>
        <v>0</v>
      </c>
      <c r="L296" s="313">
        <f t="shared" si="12"/>
        <v>121092.67350513289</v>
      </c>
      <c r="M296" s="234">
        <f>'[1]M) Police'!O296</f>
        <v>12059.895668841322</v>
      </c>
      <c r="N296" s="234">
        <f t="shared" si="13"/>
        <v>133152.56917397422</v>
      </c>
      <c r="O296" s="318">
        <f t="shared" si="14"/>
        <v>-38752.500059840866</v>
      </c>
      <c r="P296" s="320"/>
      <c r="Q296" s="529"/>
    </row>
    <row r="297" spans="1:17" s="154" customFormat="1" x14ac:dyDescent="0.25">
      <c r="A297" s="151">
        <f>'[1]B) D RI'!A298</f>
        <v>5919</v>
      </c>
      <c r="B297" s="152" t="str">
        <f>'[1]B) D RI'!B298</f>
        <v>Mathod</v>
      </c>
      <c r="C297" s="316">
        <f>'[1]B) D RI'!S298</f>
        <v>72</v>
      </c>
      <c r="D297" s="153">
        <f>'[1]B) D RI'!AA298</f>
        <v>601</v>
      </c>
      <c r="E297" s="314">
        <f>'[1]D) Ecrêtage'!C296</f>
        <v>17475.442962962959</v>
      </c>
      <c r="F297" s="318">
        <f>'[1]E) Fact soc'!G302</f>
        <v>287394.81815006572</v>
      </c>
      <c r="G297" s="315">
        <f>'[1]H) Péréquation directe'!I307</f>
        <v>51491.544452363392</v>
      </c>
      <c r="H297" s="318">
        <f>+'[1]I) Dépenses thématiques'!O296</f>
        <v>-90776.647724774113</v>
      </c>
      <c r="I297" s="315">
        <f>'[1]K) Plafonnement aide'!J296</f>
        <v>0</v>
      </c>
      <c r="J297" s="318">
        <f>'[1]J) Plafonnement effort'!I296</f>
        <v>0</v>
      </c>
      <c r="K297" s="315">
        <f>'[1]L) Plafonnement taux'!Q297</f>
        <v>0</v>
      </c>
      <c r="L297" s="313">
        <f t="shared" si="12"/>
        <v>248109.714877655</v>
      </c>
      <c r="M297" s="234">
        <f>'[1]M) Police'!O297</f>
        <v>20834.670068797404</v>
      </c>
      <c r="N297" s="234">
        <f t="shared" si="13"/>
        <v>268944.3849464524</v>
      </c>
      <c r="O297" s="318">
        <f t="shared" si="14"/>
        <v>-39285.103272410721</v>
      </c>
      <c r="P297" s="320"/>
      <c r="Q297" s="529"/>
    </row>
    <row r="298" spans="1:17" s="154" customFormat="1" x14ac:dyDescent="0.25">
      <c r="A298" s="151">
        <f>'[1]B) D RI'!A299</f>
        <v>5921</v>
      </c>
      <c r="B298" s="152" t="str">
        <f>'[1]B) D RI'!B299</f>
        <v>Molondin</v>
      </c>
      <c r="C298" s="316">
        <f>'[1]B) D RI'!S299</f>
        <v>81</v>
      </c>
      <c r="D298" s="153">
        <f>'[1]B) D RI'!AA299</f>
        <v>240</v>
      </c>
      <c r="E298" s="314">
        <f>'[1]D) Ecrêtage'!C297</f>
        <v>5665.6146913580242</v>
      </c>
      <c r="F298" s="318">
        <f>'[1]E) Fact soc'!G303</f>
        <v>104839.66661120014</v>
      </c>
      <c r="G298" s="315">
        <f>'[1]H) Péréquation directe'!I308</f>
        <v>-63427.263265973859</v>
      </c>
      <c r="H298" s="318">
        <f>+'[1]I) Dépenses thématiques'!O297</f>
        <v>-36991.159961922902</v>
      </c>
      <c r="I298" s="315">
        <f>'[1]K) Plafonnement aide'!J297</f>
        <v>0</v>
      </c>
      <c r="J298" s="318">
        <f>'[1]J) Plafonnement effort'!I297</f>
        <v>0</v>
      </c>
      <c r="K298" s="315">
        <f>'[1]L) Plafonnement taux'!Q298</f>
        <v>0</v>
      </c>
      <c r="L298" s="313">
        <f t="shared" si="12"/>
        <v>4421.2433833033792</v>
      </c>
      <c r="M298" s="234">
        <f>'[1]M) Police'!O298</f>
        <v>17296.654694740315</v>
      </c>
      <c r="N298" s="234">
        <f t="shared" si="13"/>
        <v>21717.898078043694</v>
      </c>
      <c r="O298" s="318">
        <f t="shared" si="14"/>
        <v>-100418.42322789677</v>
      </c>
      <c r="P298" s="320"/>
      <c r="Q298" s="529"/>
    </row>
    <row r="299" spans="1:17" s="154" customFormat="1" x14ac:dyDescent="0.25">
      <c r="A299" s="151">
        <f>'[1]B) D RI'!A300</f>
        <v>5922</v>
      </c>
      <c r="B299" s="152" t="str">
        <f>'[1]B) D RI'!B300</f>
        <v>Montagny-près-Yverdon</v>
      </c>
      <c r="C299" s="316">
        <f>'[1]B) D RI'!S300</f>
        <v>65</v>
      </c>
      <c r="D299" s="153">
        <f>'[1]B) D RI'!AA300</f>
        <v>747</v>
      </c>
      <c r="E299" s="314">
        <f>'[1]D) Ecrêtage'!C298</f>
        <v>37619.371576923077</v>
      </c>
      <c r="F299" s="318">
        <f>'[1]E) Fact soc'!G304</f>
        <v>747041.01154707849</v>
      </c>
      <c r="G299" s="315">
        <f>'[1]H) Péréquation directe'!I309</f>
        <v>658794.44598699093</v>
      </c>
      <c r="H299" s="318">
        <f>+'[1]I) Dépenses thématiques'!O298</f>
        <v>-201287.84593382289</v>
      </c>
      <c r="I299" s="315">
        <f>'[1]K) Plafonnement aide'!J298</f>
        <v>0</v>
      </c>
      <c r="J299" s="318">
        <f>'[1]J) Plafonnement effort'!I298</f>
        <v>0</v>
      </c>
      <c r="K299" s="315">
        <f>'[1]L) Plafonnement taux'!Q299</f>
        <v>0</v>
      </c>
      <c r="L299" s="313">
        <f t="shared" si="12"/>
        <v>1204547.6116002465</v>
      </c>
      <c r="M299" s="234">
        <f>'[1]M) Police'!O299</f>
        <v>108091.40898241052</v>
      </c>
      <c r="N299" s="234">
        <f t="shared" si="13"/>
        <v>1312639.0205826571</v>
      </c>
      <c r="O299" s="318">
        <f t="shared" si="14"/>
        <v>457506.60005316802</v>
      </c>
      <c r="P299" s="320"/>
      <c r="Q299" s="529"/>
    </row>
    <row r="300" spans="1:17" s="154" customFormat="1" x14ac:dyDescent="0.25">
      <c r="A300" s="151">
        <f>'[1]B) D RI'!A301</f>
        <v>5923</v>
      </c>
      <c r="B300" s="152" t="str">
        <f>'[1]B) D RI'!B301</f>
        <v>Oppens</v>
      </c>
      <c r="C300" s="316">
        <f>'[1]B) D RI'!S301</f>
        <v>81</v>
      </c>
      <c r="D300" s="153">
        <f>'[1]B) D RI'!AA301</f>
        <v>202</v>
      </c>
      <c r="E300" s="314">
        <f>'[1]D) Ecrêtage'!C299</f>
        <v>5399.502592592592</v>
      </c>
      <c r="F300" s="318">
        <f>'[1]E) Fact soc'!G305</f>
        <v>93606.158152203527</v>
      </c>
      <c r="G300" s="315">
        <f>'[1]H) Péréquation directe'!I310</f>
        <v>-24371.043890447138</v>
      </c>
      <c r="H300" s="318">
        <f>+'[1]I) Dépenses thématiques'!O299</f>
        <v>-30692.709533058889</v>
      </c>
      <c r="I300" s="315">
        <f>'[1]K) Plafonnement aide'!J299</f>
        <v>0</v>
      </c>
      <c r="J300" s="318">
        <f>'[1]J) Plafonnement effort'!I299</f>
        <v>0</v>
      </c>
      <c r="K300" s="315">
        <f>'[1]L) Plafonnement taux'!Q300</f>
        <v>0</v>
      </c>
      <c r="L300" s="313">
        <f t="shared" si="12"/>
        <v>38542.404728697496</v>
      </c>
      <c r="M300" s="234">
        <f>'[1]M) Police'!O300</f>
        <v>16598.652501049153</v>
      </c>
      <c r="N300" s="234">
        <f t="shared" si="13"/>
        <v>55141.05722974665</v>
      </c>
      <c r="O300" s="318">
        <f t="shared" si="14"/>
        <v>-55063.75342350603</v>
      </c>
      <c r="P300" s="320"/>
      <c r="Q300" s="529"/>
    </row>
    <row r="301" spans="1:17" s="154" customFormat="1" x14ac:dyDescent="0.25">
      <c r="A301" s="151">
        <f>'[1]B) D RI'!A302</f>
        <v>5924</v>
      </c>
      <c r="B301" s="152" t="str">
        <f>'[1]B) D RI'!B302</f>
        <v>Orges</v>
      </c>
      <c r="C301" s="316">
        <f>'[1]B) D RI'!S302</f>
        <v>74</v>
      </c>
      <c r="D301" s="153">
        <f>'[1]B) D RI'!AA302</f>
        <v>332</v>
      </c>
      <c r="E301" s="314">
        <f>'[1]D) Ecrêtage'!C300</f>
        <v>11911.353243243244</v>
      </c>
      <c r="F301" s="318">
        <f>'[1]E) Fact soc'!G306</f>
        <v>222774.89730027039</v>
      </c>
      <c r="G301" s="315">
        <f>'[1]H) Péréquation directe'!I311</f>
        <v>115637.1267969508</v>
      </c>
      <c r="H301" s="318">
        <f>+'[1]I) Dépenses thématiques'!O300</f>
        <v>0</v>
      </c>
      <c r="I301" s="315">
        <f>'[1]K) Plafonnement aide'!J300</f>
        <v>0</v>
      </c>
      <c r="J301" s="318">
        <f>'[1]J) Plafonnement effort'!I300</f>
        <v>0</v>
      </c>
      <c r="K301" s="315">
        <f>'[1]L) Plafonnement taux'!Q301</f>
        <v>0</v>
      </c>
      <c r="L301" s="313">
        <f t="shared" si="12"/>
        <v>338412.02409722121</v>
      </c>
      <c r="M301" s="234">
        <f>'[1]M) Police'!O301</f>
        <v>36587.084587154248</v>
      </c>
      <c r="N301" s="234">
        <f t="shared" si="13"/>
        <v>374999.10868437547</v>
      </c>
      <c r="O301" s="318">
        <f t="shared" si="14"/>
        <v>115637.1267969508</v>
      </c>
      <c r="P301" s="320"/>
      <c r="Q301" s="529"/>
    </row>
    <row r="302" spans="1:17" s="154" customFormat="1" x14ac:dyDescent="0.25">
      <c r="A302" s="151">
        <f>'[1]B) D RI'!A303</f>
        <v>5925</v>
      </c>
      <c r="B302" s="152" t="str">
        <f>'[1]B) D RI'!B303</f>
        <v>Orzens</v>
      </c>
      <c r="C302" s="316">
        <f>'[1]B) D RI'!S303</f>
        <v>79</v>
      </c>
      <c r="D302" s="153">
        <f>'[1]B) D RI'!AA303</f>
        <v>208</v>
      </c>
      <c r="E302" s="314">
        <f>'[1]D) Ecrêtage'!C301</f>
        <v>5348.3883544303808</v>
      </c>
      <c r="F302" s="318">
        <f>'[1]E) Fact soc'!G307</f>
        <v>173932.65511753311</v>
      </c>
      <c r="G302" s="315">
        <f>'[1]H) Péréquation directe'!I312</f>
        <v>-29177.722279884401</v>
      </c>
      <c r="H302" s="318">
        <f>+'[1]I) Dépenses thématiques'!O301</f>
        <v>-43133.587158307404</v>
      </c>
      <c r="I302" s="315">
        <f>'[1]K) Plafonnement aide'!J301</f>
        <v>0</v>
      </c>
      <c r="J302" s="318">
        <f>'[1]J) Plafonnement effort'!I301</f>
        <v>0</v>
      </c>
      <c r="K302" s="315">
        <f>'[1]L) Plafonnement taux'!Q302</f>
        <v>0</v>
      </c>
      <c r="L302" s="313">
        <f t="shared" si="12"/>
        <v>101621.34567934132</v>
      </c>
      <c r="M302" s="234">
        <f>'[1]M) Police'!O302</f>
        <v>16266.65197383745</v>
      </c>
      <c r="N302" s="234">
        <f t="shared" si="13"/>
        <v>117887.99765317877</v>
      </c>
      <c r="O302" s="318">
        <f t="shared" si="14"/>
        <v>-72311.309438191805</v>
      </c>
      <c r="P302" s="320"/>
      <c r="Q302" s="529"/>
    </row>
    <row r="303" spans="1:17" s="154" customFormat="1" x14ac:dyDescent="0.25">
      <c r="A303" s="151">
        <f>'[1]B) D RI'!A304</f>
        <v>5926</v>
      </c>
      <c r="B303" s="152" t="str">
        <f>'[1]B) D RI'!B304</f>
        <v>Pomy</v>
      </c>
      <c r="C303" s="316">
        <f>'[1]B) D RI'!S304</f>
        <v>71</v>
      </c>
      <c r="D303" s="153">
        <f>'[1]B) D RI'!AA304</f>
        <v>793</v>
      </c>
      <c r="E303" s="314">
        <f>'[1]D) Ecrêtage'!C302</f>
        <v>27563.954929577467</v>
      </c>
      <c r="F303" s="318">
        <f>'[1]E) Fact soc'!G308</f>
        <v>452181.22679011256</v>
      </c>
      <c r="G303" s="315">
        <f>'[1]H) Péréquation directe'!I313</f>
        <v>256118.87882049294</v>
      </c>
      <c r="H303" s="318">
        <f>+'[1]I) Dépenses thématiques'!O302</f>
        <v>-34314.546476672629</v>
      </c>
      <c r="I303" s="315">
        <f>'[1]K) Plafonnement aide'!J302</f>
        <v>0</v>
      </c>
      <c r="J303" s="318">
        <f>'[1]J) Plafonnement effort'!I302</f>
        <v>0</v>
      </c>
      <c r="K303" s="315">
        <f>'[1]L) Plafonnement taux'!Q303</f>
        <v>0</v>
      </c>
      <c r="L303" s="313">
        <f t="shared" si="12"/>
        <v>673985.55913393293</v>
      </c>
      <c r="M303" s="234">
        <f>'[1]M) Police'!O303</f>
        <v>32862.452068658647</v>
      </c>
      <c r="N303" s="234">
        <f t="shared" si="13"/>
        <v>706848.01120259159</v>
      </c>
      <c r="O303" s="318">
        <f t="shared" si="14"/>
        <v>221804.33234382031</v>
      </c>
      <c r="P303" s="320"/>
      <c r="Q303" s="529"/>
    </row>
    <row r="304" spans="1:17" s="154" customFormat="1" x14ac:dyDescent="0.25">
      <c r="A304" s="151">
        <f>'[1]B) D RI'!A305</f>
        <v>5928</v>
      </c>
      <c r="B304" s="152" t="str">
        <f>'[1]B) D RI'!B305</f>
        <v>Rovray</v>
      </c>
      <c r="C304" s="316">
        <f>'[1]B) D RI'!S305</f>
        <v>73</v>
      </c>
      <c r="D304" s="153">
        <f>'[1]B) D RI'!AA305</f>
        <v>185</v>
      </c>
      <c r="E304" s="314">
        <f>'[1]D) Ecrêtage'!C303</f>
        <v>6002.0193150684927</v>
      </c>
      <c r="F304" s="318">
        <f>'[1]E) Fact soc'!G309</f>
        <v>116876.04460347054</v>
      </c>
      <c r="G304" s="315">
        <f>'[1]H) Péréquation directe'!I314</f>
        <v>39531.218146684536</v>
      </c>
      <c r="H304" s="318">
        <f>+'[1]I) Dépenses thématiques'!O303</f>
        <v>-2405.8015924719493</v>
      </c>
      <c r="I304" s="315">
        <f>'[1]K) Plafonnement aide'!J303</f>
        <v>0</v>
      </c>
      <c r="J304" s="318">
        <f>'[1]J) Plafonnement effort'!I303</f>
        <v>0</v>
      </c>
      <c r="K304" s="315">
        <f>'[1]L) Plafonnement taux'!Q304</f>
        <v>0</v>
      </c>
      <c r="L304" s="313">
        <f t="shared" si="12"/>
        <v>154001.46115768311</v>
      </c>
      <c r="M304" s="234">
        <f>'[1]M) Police'!O304</f>
        <v>18530.676283177221</v>
      </c>
      <c r="N304" s="234">
        <f t="shared" si="13"/>
        <v>172532.13744086033</v>
      </c>
      <c r="O304" s="318">
        <f t="shared" si="14"/>
        <v>37125.416554212585</v>
      </c>
      <c r="P304" s="320"/>
      <c r="Q304" s="529"/>
    </row>
    <row r="305" spans="1:17" s="154" customFormat="1" x14ac:dyDescent="0.25">
      <c r="A305" s="151">
        <f>'[1]B) D RI'!A306</f>
        <v>5929</v>
      </c>
      <c r="B305" s="152" t="str">
        <f>'[1]B) D RI'!B306</f>
        <v>Suchy</v>
      </c>
      <c r="C305" s="316">
        <f>'[1]B) D RI'!S306</f>
        <v>70</v>
      </c>
      <c r="D305" s="153">
        <f>'[1]B) D RI'!AA306</f>
        <v>645</v>
      </c>
      <c r="E305" s="314">
        <f>'[1]D) Ecrêtage'!C304</f>
        <v>17258.460214285715</v>
      </c>
      <c r="F305" s="318">
        <f>'[1]E) Fact soc'!G310</f>
        <v>359492.71739480132</v>
      </c>
      <c r="G305" s="315">
        <f>'[1]H) Péréquation directe'!I315</f>
        <v>9381.6688808439649</v>
      </c>
      <c r="H305" s="318">
        <f>+'[1]I) Dépenses thématiques'!O304</f>
        <v>-26586.201542545321</v>
      </c>
      <c r="I305" s="315">
        <f>'[1]K) Plafonnement aide'!J304</f>
        <v>0</v>
      </c>
      <c r="J305" s="318">
        <f>'[1]J) Plafonnement effort'!I304</f>
        <v>0</v>
      </c>
      <c r="K305" s="315">
        <f>'[1]L) Plafonnement taux'!Q305</f>
        <v>0</v>
      </c>
      <c r="L305" s="313">
        <f t="shared" si="12"/>
        <v>342288.18473309994</v>
      </c>
      <c r="M305" s="234">
        <f>'[1]M) Police'!O305</f>
        <v>20575.977686069687</v>
      </c>
      <c r="N305" s="234">
        <f t="shared" si="13"/>
        <v>362864.16241916962</v>
      </c>
      <c r="O305" s="318">
        <f t="shared" si="14"/>
        <v>-17204.532661701356</v>
      </c>
      <c r="P305" s="320"/>
      <c r="Q305" s="529"/>
    </row>
    <row r="306" spans="1:17" s="154" customFormat="1" x14ac:dyDescent="0.25">
      <c r="A306" s="151">
        <f>'[1]B) D RI'!A307</f>
        <v>5930</v>
      </c>
      <c r="B306" s="152" t="str">
        <f>'[1]B) D RI'!B307</f>
        <v>Suscévaz</v>
      </c>
      <c r="C306" s="316">
        <f>'[1]B) D RI'!S307</f>
        <v>72</v>
      </c>
      <c r="D306" s="153">
        <f>'[1]B) D RI'!AA307</f>
        <v>215</v>
      </c>
      <c r="E306" s="314">
        <f>'[1]D) Ecrêtage'!C305</f>
        <v>5852.6869444444428</v>
      </c>
      <c r="F306" s="318">
        <f>'[1]E) Fact soc'!G311</f>
        <v>87333.527148583991</v>
      </c>
      <c r="G306" s="315">
        <f>'[1]H) Péréquation directe'!I316</f>
        <v>2250.9904617767024</v>
      </c>
      <c r="H306" s="318">
        <f>+'[1]I) Dépenses thématiques'!O305</f>
        <v>-33912.270401665577</v>
      </c>
      <c r="I306" s="315">
        <f>'[1]K) Plafonnement aide'!J305</f>
        <v>0</v>
      </c>
      <c r="J306" s="318">
        <f>'[1]J) Plafonnement effort'!I305</f>
        <v>0</v>
      </c>
      <c r="K306" s="315">
        <f>'[1]L) Plafonnement taux'!Q306</f>
        <v>0</v>
      </c>
      <c r="L306" s="313">
        <f t="shared" si="12"/>
        <v>55672.247208695117</v>
      </c>
      <c r="M306" s="234">
        <f>'[1]M) Police'!O306</f>
        <v>6977.7230689884191</v>
      </c>
      <c r="N306" s="234">
        <f t="shared" si="13"/>
        <v>62649.970277683533</v>
      </c>
      <c r="O306" s="318">
        <f t="shared" si="14"/>
        <v>-31661.279939888875</v>
      </c>
      <c r="P306" s="320"/>
      <c r="Q306" s="529"/>
    </row>
    <row r="307" spans="1:17" s="154" customFormat="1" x14ac:dyDescent="0.25">
      <c r="A307" s="151">
        <f>'[1]B) D RI'!A308</f>
        <v>5931</v>
      </c>
      <c r="B307" s="152" t="str">
        <f>'[1]B) D RI'!B308</f>
        <v>Treycovagnes</v>
      </c>
      <c r="C307" s="316">
        <f>'[1]B) D RI'!S308</f>
        <v>75</v>
      </c>
      <c r="D307" s="153">
        <f>'[1]B) D RI'!AA308</f>
        <v>492</v>
      </c>
      <c r="E307" s="314">
        <f>'[1]D) Ecrêtage'!C306</f>
        <v>12202.115733333332</v>
      </c>
      <c r="F307" s="318">
        <f>'[1]E) Fact soc'!G312</f>
        <v>202169.62888370399</v>
      </c>
      <c r="G307" s="315">
        <f>'[1]H) Péréquation directe'!I317</f>
        <v>-62301.132169400516</v>
      </c>
      <c r="H307" s="318">
        <f>+'[1]I) Dépenses thématiques'!O306</f>
        <v>-6723.9782196071556</v>
      </c>
      <c r="I307" s="315">
        <f>'[1]K) Plafonnement aide'!J306</f>
        <v>0</v>
      </c>
      <c r="J307" s="318">
        <f>'[1]J) Plafonnement effort'!I306</f>
        <v>0</v>
      </c>
      <c r="K307" s="315">
        <f>'[1]L) Plafonnement taux'!Q307</f>
        <v>0</v>
      </c>
      <c r="L307" s="313">
        <f t="shared" si="12"/>
        <v>133144.51849469633</v>
      </c>
      <c r="M307" s="234">
        <f>'[1]M) Police'!O307</f>
        <v>14547.674470059768</v>
      </c>
      <c r="N307" s="234">
        <f t="shared" si="13"/>
        <v>147692.1929647561</v>
      </c>
      <c r="O307" s="318">
        <f t="shared" si="14"/>
        <v>-69025.110389007677</v>
      </c>
      <c r="P307" s="320"/>
      <c r="Q307" s="529"/>
    </row>
    <row r="308" spans="1:17" s="154" customFormat="1" x14ac:dyDescent="0.25">
      <c r="A308" s="151">
        <f>'[1]B) D RI'!A309</f>
        <v>5932</v>
      </c>
      <c r="B308" s="152" t="str">
        <f>'[1]B) D RI'!B309</f>
        <v>Ursins</v>
      </c>
      <c r="C308" s="316">
        <f>'[1]B) D RI'!S309</f>
        <v>77</v>
      </c>
      <c r="D308" s="153">
        <f>'[1]B) D RI'!AA309</f>
        <v>225</v>
      </c>
      <c r="E308" s="314">
        <f>'[1]D) Ecrêtage'!C307</f>
        <v>8278.3758441558457</v>
      </c>
      <c r="F308" s="318">
        <f>'[1]E) Fact soc'!G313</f>
        <v>144880.91357761036</v>
      </c>
      <c r="G308" s="315">
        <f>'[1]H) Péréquation directe'!I318</f>
        <v>82783.533880939503</v>
      </c>
      <c r="H308" s="318">
        <f>+'[1]I) Dépenses thématiques'!O307</f>
        <v>-11303.437654062576</v>
      </c>
      <c r="I308" s="315">
        <f>'[1]K) Plafonnement aide'!J307</f>
        <v>0</v>
      </c>
      <c r="J308" s="318">
        <f>'[1]J) Plafonnement effort'!I307</f>
        <v>0</v>
      </c>
      <c r="K308" s="315">
        <f>'[1]L) Plafonnement taux'!Q308</f>
        <v>0</v>
      </c>
      <c r="L308" s="313">
        <f t="shared" si="12"/>
        <v>216361.00980448729</v>
      </c>
      <c r="M308" s="234">
        <f>'[1]M) Police'!O308</f>
        <v>25580.404144196087</v>
      </c>
      <c r="N308" s="234">
        <f t="shared" si="13"/>
        <v>241941.41394868336</v>
      </c>
      <c r="O308" s="318">
        <f t="shared" si="14"/>
        <v>71480.096226876922</v>
      </c>
      <c r="P308" s="320"/>
      <c r="Q308" s="529"/>
    </row>
    <row r="309" spans="1:17" s="154" customFormat="1" x14ac:dyDescent="0.25">
      <c r="A309" s="151">
        <f>'[1]B) D RI'!A310</f>
        <v>5933</v>
      </c>
      <c r="B309" s="152" t="str">
        <f>'[1]B) D RI'!B310</f>
        <v>Valeyres-sous-Montagny</v>
      </c>
      <c r="C309" s="316">
        <f>'[1]B) D RI'!S310</f>
        <v>72</v>
      </c>
      <c r="D309" s="153">
        <f>'[1]B) D RI'!AA310</f>
        <v>709</v>
      </c>
      <c r="E309" s="314">
        <f>'[1]D) Ecrêtage'!C308</f>
        <v>22135.641944444447</v>
      </c>
      <c r="F309" s="318">
        <f>'[1]E) Fact soc'!G314</f>
        <v>393691.37522251782</v>
      </c>
      <c r="G309" s="315">
        <f>'[1]H) Péréquation directe'!I319</f>
        <v>122347.74270144349</v>
      </c>
      <c r="H309" s="318">
        <f>+'[1]I) Dépenses thématiques'!O308</f>
        <v>-116466.3386415431</v>
      </c>
      <c r="I309" s="315">
        <f>'[1]K) Plafonnement aide'!J308</f>
        <v>0</v>
      </c>
      <c r="J309" s="318">
        <f>'[1]J) Plafonnement effort'!I308</f>
        <v>0</v>
      </c>
      <c r="K309" s="315">
        <f>'[1]L) Plafonnement taux'!Q309</f>
        <v>0</v>
      </c>
      <c r="L309" s="313">
        <f t="shared" si="12"/>
        <v>399572.7792824182</v>
      </c>
      <c r="M309" s="234">
        <f>'[1]M) Police'!O309</f>
        <v>67292.295710370759</v>
      </c>
      <c r="N309" s="234">
        <f t="shared" si="13"/>
        <v>466865.07499278896</v>
      </c>
      <c r="O309" s="318">
        <f t="shared" si="14"/>
        <v>5881.4040599003929</v>
      </c>
      <c r="P309" s="320"/>
      <c r="Q309" s="529"/>
    </row>
    <row r="310" spans="1:17" s="154" customFormat="1" x14ac:dyDescent="0.25">
      <c r="A310" s="151">
        <f>'[1]B) D RI'!A311</f>
        <v>5934</v>
      </c>
      <c r="B310" s="152" t="str">
        <f>'[1]B) D RI'!B311</f>
        <v>Valeyres-sous-Ursins</v>
      </c>
      <c r="C310" s="316">
        <f>'[1]B) D RI'!S311</f>
        <v>79</v>
      </c>
      <c r="D310" s="153">
        <f>'[1]B) D RI'!AA311</f>
        <v>227</v>
      </c>
      <c r="E310" s="314">
        <f>'[1]D) Ecrêtage'!C309</f>
        <v>7563.0520253164568</v>
      </c>
      <c r="F310" s="318">
        <f>'[1]E) Fact soc'!G315</f>
        <v>129869.26873665741</v>
      </c>
      <c r="G310" s="315">
        <f>'[1]H) Péréquation directe'!I320</f>
        <v>45344.110601627413</v>
      </c>
      <c r="H310" s="318">
        <f>+'[1]I) Dépenses thématiques'!O309</f>
        <v>-150556.47795505289</v>
      </c>
      <c r="I310" s="315">
        <f>'[1]K) Plafonnement aide'!J309</f>
        <v>0</v>
      </c>
      <c r="J310" s="318">
        <f>'[1]J) Plafonnement effort'!I309</f>
        <v>0</v>
      </c>
      <c r="K310" s="315">
        <f>'[1]L) Plafonnement taux'!Q310</f>
        <v>0</v>
      </c>
      <c r="L310" s="313">
        <f t="shared" si="12"/>
        <v>24656.901383231947</v>
      </c>
      <c r="M310" s="234">
        <f>'[1]M) Police'!O310</f>
        <v>23400.050393422702</v>
      </c>
      <c r="N310" s="234">
        <f t="shared" si="13"/>
        <v>48056.951776654649</v>
      </c>
      <c r="O310" s="318">
        <f t="shared" si="14"/>
        <v>-105212.36735342548</v>
      </c>
      <c r="P310" s="320"/>
      <c r="Q310" s="529"/>
    </row>
    <row r="311" spans="1:17" s="154" customFormat="1" x14ac:dyDescent="0.25">
      <c r="A311" s="151">
        <f>'[1]B) D RI'!A312</f>
        <v>5935</v>
      </c>
      <c r="B311" s="152" t="str">
        <f>'[1]B) D RI'!B312</f>
        <v>Villars-Epeney</v>
      </c>
      <c r="C311" s="316">
        <f>'[1]B) D RI'!S312</f>
        <v>60</v>
      </c>
      <c r="D311" s="153">
        <f>'[1]B) D RI'!AA312</f>
        <v>102</v>
      </c>
      <c r="E311" s="314">
        <f>'[1]D) Ecrêtage'!C310</f>
        <v>4858.9101666666666</v>
      </c>
      <c r="F311" s="318">
        <f>'[1]E) Fact soc'!G316</f>
        <v>72559.340643015399</v>
      </c>
      <c r="G311" s="315">
        <f>'[1]H) Péréquation directe'!I321</f>
        <v>84396.579026430685</v>
      </c>
      <c r="H311" s="318">
        <f>+'[1]I) Dépenses thématiques'!O310</f>
        <v>-2150.8892374617626</v>
      </c>
      <c r="I311" s="315">
        <f>'[1]K) Plafonnement aide'!J310</f>
        <v>0</v>
      </c>
      <c r="J311" s="318">
        <f>'[1]J) Plafonnement effort'!I310</f>
        <v>0</v>
      </c>
      <c r="K311" s="315">
        <f>'[1]L) Plafonnement taux'!Q311</f>
        <v>0</v>
      </c>
      <c r="L311" s="313">
        <f t="shared" si="12"/>
        <v>154805.03043198431</v>
      </c>
      <c r="M311" s="234">
        <f>'[1]M) Police'!O311</f>
        <v>14706.153484095765</v>
      </c>
      <c r="N311" s="234">
        <f t="shared" si="13"/>
        <v>169511.18391608007</v>
      </c>
      <c r="O311" s="318">
        <f t="shared" si="14"/>
        <v>82245.689788968928</v>
      </c>
      <c r="P311" s="320"/>
      <c r="Q311" s="529"/>
    </row>
    <row r="312" spans="1:17" s="154" customFormat="1" x14ac:dyDescent="0.25">
      <c r="A312" s="151">
        <f>'[1]B) D RI'!A313</f>
        <v>5937</v>
      </c>
      <c r="B312" s="152" t="str">
        <f>'[1]B) D RI'!B313</f>
        <v>Vugelles-La Mothe</v>
      </c>
      <c r="C312" s="316">
        <f>'[1]B) D RI'!S313</f>
        <v>70</v>
      </c>
      <c r="D312" s="153">
        <f>'[1]B) D RI'!AA313</f>
        <v>135</v>
      </c>
      <c r="E312" s="314">
        <f>'[1]D) Ecrêtage'!C311</f>
        <v>2984.3882040816329</v>
      </c>
      <c r="F312" s="318">
        <f>'[1]E) Fact soc'!G317</f>
        <v>61070.213679869732</v>
      </c>
      <c r="G312" s="315">
        <f>'[1]H) Péréquation directe'!I322</f>
        <v>-22778.505209008261</v>
      </c>
      <c r="H312" s="318">
        <f>+'[1]I) Dépenses thématiques'!O311</f>
        <v>-30483.003972029106</v>
      </c>
      <c r="I312" s="315">
        <f>'[1]K) Plafonnement aide'!J311</f>
        <v>0</v>
      </c>
      <c r="J312" s="318">
        <f>'[1]J) Plafonnement effort'!I311</f>
        <v>0</v>
      </c>
      <c r="K312" s="315">
        <f>'[1]L) Plafonnement taux'!Q312</f>
        <v>0</v>
      </c>
      <c r="L312" s="313">
        <f t="shared" si="12"/>
        <v>7808.7044988323651</v>
      </c>
      <c r="M312" s="234">
        <f>'[1]M) Police'!O312</f>
        <v>9060.7199484236153</v>
      </c>
      <c r="N312" s="234">
        <f t="shared" si="13"/>
        <v>16869.42444725598</v>
      </c>
      <c r="O312" s="318">
        <f t="shared" si="14"/>
        <v>-53261.509181037371</v>
      </c>
      <c r="P312" s="320"/>
      <c r="Q312" s="529"/>
    </row>
    <row r="313" spans="1:17" s="154" customFormat="1" x14ac:dyDescent="0.25">
      <c r="A313" s="151">
        <f>'[1]B) D RI'!A314</f>
        <v>5938</v>
      </c>
      <c r="B313" s="152" t="str">
        <f>'[1]B) D RI'!B314</f>
        <v>Yverdon-les-Bains</v>
      </c>
      <c r="C313" s="316">
        <f>'[1]B) D RI'!S314</f>
        <v>76.5</v>
      </c>
      <c r="D313" s="153">
        <f>'[1]B) D RI'!AA314</f>
        <v>30189</v>
      </c>
      <c r="E313" s="314">
        <f>'[1]D) Ecrêtage'!C312</f>
        <v>788422.31346405216</v>
      </c>
      <c r="F313" s="318">
        <f>'[1]E) Fact soc'!G318</f>
        <v>14771659.955779977</v>
      </c>
      <c r="G313" s="315">
        <f>'[1]H) Péréquation directe'!I323</f>
        <v>-24775081.759365395</v>
      </c>
      <c r="H313" s="318">
        <f>+'[1]I) Dépenses thématiques'!O312</f>
        <v>-10018680.718203487</v>
      </c>
      <c r="I313" s="315">
        <f>'[1]K) Plafonnement aide'!J312</f>
        <v>3696043.2958730017</v>
      </c>
      <c r="J313" s="318">
        <f>'[1]J) Plafonnement effort'!I312</f>
        <v>0</v>
      </c>
      <c r="K313" s="315">
        <f>'[1]L) Plafonnement taux'!Q313</f>
        <v>0</v>
      </c>
      <c r="L313" s="313">
        <f t="shared" si="12"/>
        <v>-16326059.225915901</v>
      </c>
      <c r="M313" s="234">
        <f>'[1]M) Police'!O313</f>
        <v>939977.24754190596</v>
      </c>
      <c r="N313" s="234">
        <f t="shared" si="13"/>
        <v>-15386081.978373995</v>
      </c>
      <c r="O313" s="318">
        <f t="shared" si="14"/>
        <v>-31097719.181695879</v>
      </c>
      <c r="P313" s="320"/>
      <c r="Q313" s="529"/>
    </row>
    <row r="314" spans="1:17" s="154" customFormat="1" x14ac:dyDescent="0.25">
      <c r="A314" s="151">
        <f>'[1]B) D RI'!A315</f>
        <v>5939</v>
      </c>
      <c r="B314" s="152" t="str">
        <f>'[1]B) D RI'!B315</f>
        <v>Yvonand</v>
      </c>
      <c r="C314" s="316">
        <f>'[1]B) D RI'!S315</f>
        <v>73</v>
      </c>
      <c r="D314" s="153">
        <f>'[1]B) D RI'!AA315</f>
        <v>3434</v>
      </c>
      <c r="E314" s="314">
        <f>'[1]D) Ecrêtage'!C313</f>
        <v>95122.764246575331</v>
      </c>
      <c r="F314" s="318">
        <f>'[1]E) Fact soc'!G319</f>
        <v>2051859.3401681427</v>
      </c>
      <c r="G314" s="315">
        <f>'[1]H) Péréquation directe'!I324</f>
        <v>-551575.95128377853</v>
      </c>
      <c r="H314" s="364">
        <f>+'[1]I) Dépenses thématiques'!O313</f>
        <v>-340802.81266107078</v>
      </c>
      <c r="I314" s="315">
        <f>'[1]K) Plafonnement aide'!J313</f>
        <v>0</v>
      </c>
      <c r="J314" s="318">
        <f>'[1]J) Plafonnement effort'!I313</f>
        <v>0</v>
      </c>
      <c r="K314" s="315">
        <f>'[1]L) Plafonnement taux'!Q314</f>
        <v>0</v>
      </c>
      <c r="L314" s="313">
        <f t="shared" si="12"/>
        <v>1159480.5762232933</v>
      </c>
      <c r="M314" s="234">
        <f>'[1]M) Police'!O314</f>
        <v>287184.23604562745</v>
      </c>
      <c r="N314" s="236">
        <f t="shared" si="13"/>
        <v>1446664.8122689207</v>
      </c>
      <c r="O314" s="364">
        <f t="shared" si="14"/>
        <v>-892378.76394484937</v>
      </c>
      <c r="P314" s="320"/>
      <c r="Q314" s="529"/>
    </row>
    <row r="315" spans="1:17" x14ac:dyDescent="0.25">
      <c r="A315" s="30"/>
      <c r="B315" s="24">
        <f>COUNTA(B6:B314)</f>
        <v>309</v>
      </c>
      <c r="C315" s="258"/>
      <c r="D315" s="156">
        <f>SUM(D6:D314)</f>
        <v>806088</v>
      </c>
      <c r="E315" s="156">
        <f>SUM(E6:E314)</f>
        <v>37986675.400474928</v>
      </c>
      <c r="F315" s="147">
        <f>'[1]E) Fact soc'!G320</f>
        <v>825655960</v>
      </c>
      <c r="G315" s="147">
        <f>'[1]H) Péréquation directe'!I325</f>
        <v>192061235.68211234</v>
      </c>
      <c r="H315" s="363">
        <f>'[1]I) Dépenses thématiques'!O314</f>
        <v>-170940039.30213711</v>
      </c>
      <c r="I315" s="147">
        <f>'[1]K) Plafonnement aide'!J314</f>
        <v>4088252.3142886814</v>
      </c>
      <c r="J315" s="147">
        <f>'[1]J) Plafonnement effort'!I314</f>
        <v>-24713364.310575232</v>
      </c>
      <c r="K315" s="147">
        <f>+'[1]L) Plafonnement taux'!Q315</f>
        <v>-46083.949377517849</v>
      </c>
      <c r="L315" s="235">
        <f t="shared" si="12"/>
        <v>826105960.43431115</v>
      </c>
      <c r="M315" s="235">
        <f>SUM(M6:M314)</f>
        <v>67922836.702568084</v>
      </c>
      <c r="N315" s="235">
        <f>SUM(N6:N314)</f>
        <v>894028797.13687932</v>
      </c>
      <c r="O315" s="147">
        <f>SUM(O6:O314)</f>
        <v>450000.43431089818</v>
      </c>
    </row>
    <row r="316" spans="1:17" x14ac:dyDescent="0.25">
      <c r="D316" s="414"/>
      <c r="E316" s="414"/>
      <c r="L316" s="6"/>
      <c r="M316" s="6"/>
      <c r="N316" s="6"/>
    </row>
    <row r="317" spans="1:17" x14ac:dyDescent="0.25">
      <c r="H317" s="155"/>
      <c r="I317" s="155"/>
      <c r="J317" s="155"/>
      <c r="K317" s="155"/>
      <c r="L317" s="6"/>
      <c r="M317" s="6"/>
      <c r="N317" s="6"/>
    </row>
  </sheetData>
  <mergeCells count="16">
    <mergeCell ref="A1:E1"/>
    <mergeCell ref="A4:A5"/>
    <mergeCell ref="B4:B5"/>
    <mergeCell ref="C4:C5"/>
    <mergeCell ref="D4:D5"/>
    <mergeCell ref="E4:E5"/>
    <mergeCell ref="L4:L5"/>
    <mergeCell ref="M4:M5"/>
    <mergeCell ref="N4:N5"/>
    <mergeCell ref="O4:O5"/>
    <mergeCell ref="F4:F5"/>
    <mergeCell ref="G4:G5"/>
    <mergeCell ref="H4:H5"/>
    <mergeCell ref="I4:I5"/>
    <mergeCell ref="J4:J5"/>
    <mergeCell ref="K4:K5"/>
  </mergeCells>
  <printOptions horizontalCentered="1" verticalCentered="1"/>
  <pageMargins left="0.19685039370078741" right="0.19685039370078741" top="0" bottom="0" header="0.51181102362204722" footer="0.51181102362204722"/>
  <pageSetup paperSize="9" fitToHeight="7" orientation="landscape" horizontalDpi="1200" verticalDpi="1200" r:id="rId1"/>
  <headerFooter alignWithMargins="0">
    <oddFooter>&amp;LSCL - Division finances communales&amp;C- &amp;P -</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16">
    <tabColor rgb="FF00B050"/>
    <pageSetUpPr fitToPage="1"/>
  </sheetPr>
  <dimension ref="A1:V317"/>
  <sheetViews>
    <sheetView topLeftCell="A65" workbookViewId="0">
      <selection activeCell="O79" sqref="O79"/>
    </sheetView>
  </sheetViews>
  <sheetFormatPr baseColWidth="10" defaultColWidth="9.375" defaultRowHeight="15" x14ac:dyDescent="0.25"/>
  <cols>
    <col min="1" max="1" width="8.125" style="213" customWidth="1"/>
    <col min="2" max="2" width="17.875" style="213" bestFit="1" customWidth="1"/>
    <col min="3" max="3" width="9.875" style="213" customWidth="1"/>
    <col min="4" max="4" width="10.5" style="213" customWidth="1"/>
    <col min="5" max="5" width="5.625" style="213" bestFit="1" customWidth="1"/>
    <col min="6" max="6" width="12" style="213" bestFit="1" customWidth="1"/>
    <col min="7" max="7" width="10.875" style="213" bestFit="1" customWidth="1"/>
    <col min="8" max="8" width="12" style="213" bestFit="1" customWidth="1"/>
    <col min="9" max="9" width="13.625" style="213" customWidth="1"/>
    <col min="10" max="10" width="11.375" style="213" bestFit="1" customWidth="1"/>
    <col min="11" max="11" width="11.75" style="213" customWidth="1"/>
    <col min="12" max="12" width="11.375" style="213" bestFit="1" customWidth="1"/>
    <col min="13" max="13" width="9.75" style="213" bestFit="1" customWidth="1"/>
    <col min="14" max="14" width="11.375" style="213" bestFit="1" customWidth="1"/>
    <col min="15" max="15" width="10.75" style="213" bestFit="1" customWidth="1"/>
    <col min="16" max="16" width="13.125" style="215" customWidth="1"/>
    <col min="17" max="17" width="9.375" style="214"/>
    <col min="18" max="18" width="9.875" style="215" customWidth="1"/>
    <col min="19" max="19" width="11.75" style="215" bestFit="1" customWidth="1"/>
    <col min="20" max="22" width="9.375" style="214"/>
    <col min="23" max="249" width="9.375" style="213"/>
    <col min="250" max="250" width="5" style="213" customWidth="1"/>
    <col min="251" max="251" width="17.875" style="213" bestFit="1" customWidth="1"/>
    <col min="252" max="252" width="9.875" style="213" customWidth="1"/>
    <col min="253" max="253" width="8.875" style="213" customWidth="1"/>
    <col min="254" max="254" width="7.375" style="213" bestFit="1" customWidth="1"/>
    <col min="255" max="255" width="10.125" style="213" bestFit="1" customWidth="1"/>
    <col min="256" max="256" width="9.375" style="213"/>
    <col min="257" max="257" width="10.125" style="213" bestFit="1" customWidth="1"/>
    <col min="258" max="258" width="10.75" style="213" customWidth="1"/>
    <col min="259" max="261" width="9.375" style="213"/>
    <col min="262" max="263" width="10.75" style="213" customWidth="1"/>
    <col min="264" max="268" width="9.375" style="213"/>
    <col min="269" max="269" width="1.625" style="213" bestFit="1" customWidth="1"/>
    <col min="270" max="270" width="9.375" style="213"/>
    <col min="271" max="271" width="8.875" style="213" customWidth="1"/>
    <col min="272" max="272" width="13.125" style="213" customWidth="1"/>
    <col min="273" max="273" width="9.375" style="213"/>
    <col min="274" max="274" width="9.875" style="213" customWidth="1"/>
    <col min="275" max="275" width="11.75" style="213" bestFit="1" customWidth="1"/>
    <col min="276" max="505" width="9.375" style="213"/>
    <col min="506" max="506" width="5" style="213" customWidth="1"/>
    <col min="507" max="507" width="17.875" style="213" bestFit="1" customWidth="1"/>
    <col min="508" max="508" width="9.875" style="213" customWidth="1"/>
    <col min="509" max="509" width="8.875" style="213" customWidth="1"/>
    <col min="510" max="510" width="7.375" style="213" bestFit="1" customWidth="1"/>
    <col min="511" max="511" width="10.125" style="213" bestFit="1" customWidth="1"/>
    <col min="512" max="512" width="9.375" style="213"/>
    <col min="513" max="513" width="10.125" style="213" bestFit="1" customWidth="1"/>
    <col min="514" max="514" width="10.75" style="213" customWidth="1"/>
    <col min="515" max="517" width="9.375" style="213"/>
    <col min="518" max="519" width="10.75" style="213" customWidth="1"/>
    <col min="520" max="524" width="9.375" style="213"/>
    <col min="525" max="525" width="1.625" style="213" bestFit="1" customWidth="1"/>
    <col min="526" max="526" width="9.375" style="213"/>
    <col min="527" max="527" width="8.875" style="213" customWidth="1"/>
    <col min="528" max="528" width="13.125" style="213" customWidth="1"/>
    <col min="529" max="529" width="9.375" style="213"/>
    <col min="530" max="530" width="9.875" style="213" customWidth="1"/>
    <col min="531" max="531" width="11.75" style="213" bestFit="1" customWidth="1"/>
    <col min="532" max="761" width="9.375" style="213"/>
    <col min="762" max="762" width="5" style="213" customWidth="1"/>
    <col min="763" max="763" width="17.875" style="213" bestFit="1" customWidth="1"/>
    <col min="764" max="764" width="9.875" style="213" customWidth="1"/>
    <col min="765" max="765" width="8.875" style="213" customWidth="1"/>
    <col min="766" max="766" width="7.375" style="213" bestFit="1" customWidth="1"/>
    <col min="767" max="767" width="10.125" style="213" bestFit="1" customWidth="1"/>
    <col min="768" max="768" width="9.375" style="213"/>
    <col min="769" max="769" width="10.125" style="213" bestFit="1" customWidth="1"/>
    <col min="770" max="770" width="10.75" style="213" customWidth="1"/>
    <col min="771" max="773" width="9.375" style="213"/>
    <col min="774" max="775" width="10.75" style="213" customWidth="1"/>
    <col min="776" max="780" width="9.375" style="213"/>
    <col min="781" max="781" width="1.625" style="213" bestFit="1" customWidth="1"/>
    <col min="782" max="782" width="9.375" style="213"/>
    <col min="783" max="783" width="8.875" style="213" customWidth="1"/>
    <col min="784" max="784" width="13.125" style="213" customWidth="1"/>
    <col min="785" max="785" width="9.375" style="213"/>
    <col min="786" max="786" width="9.875" style="213" customWidth="1"/>
    <col min="787" max="787" width="11.75" style="213" bestFit="1" customWidth="1"/>
    <col min="788" max="1017" width="9.375" style="213"/>
    <col min="1018" max="1018" width="5" style="213" customWidth="1"/>
    <col min="1019" max="1019" width="17.875" style="213" bestFit="1" customWidth="1"/>
    <col min="1020" max="1020" width="9.875" style="213" customWidth="1"/>
    <col min="1021" max="1021" width="8.875" style="213" customWidth="1"/>
    <col min="1022" max="1022" width="7.375" style="213" bestFit="1" customWidth="1"/>
    <col min="1023" max="1023" width="10.125" style="213" bestFit="1" customWidth="1"/>
    <col min="1024" max="1024" width="9.375" style="213"/>
    <col min="1025" max="1025" width="10.125" style="213" bestFit="1" customWidth="1"/>
    <col min="1026" max="1026" width="10.75" style="213" customWidth="1"/>
    <col min="1027" max="1029" width="9.375" style="213"/>
    <col min="1030" max="1031" width="10.75" style="213" customWidth="1"/>
    <col min="1032" max="1036" width="9.375" style="213"/>
    <col min="1037" max="1037" width="1.625" style="213" bestFit="1" customWidth="1"/>
    <col min="1038" max="1038" width="9.375" style="213"/>
    <col min="1039" max="1039" width="8.875" style="213" customWidth="1"/>
    <col min="1040" max="1040" width="13.125" style="213" customWidth="1"/>
    <col min="1041" max="1041" width="9.375" style="213"/>
    <col min="1042" max="1042" width="9.875" style="213" customWidth="1"/>
    <col min="1043" max="1043" width="11.75" style="213" bestFit="1" customWidth="1"/>
    <col min="1044" max="1273" width="9.375" style="213"/>
    <col min="1274" max="1274" width="5" style="213" customWidth="1"/>
    <col min="1275" max="1275" width="17.875" style="213" bestFit="1" customWidth="1"/>
    <col min="1276" max="1276" width="9.875" style="213" customWidth="1"/>
    <col min="1277" max="1277" width="8.875" style="213" customWidth="1"/>
    <col min="1278" max="1278" width="7.375" style="213" bestFit="1" customWidth="1"/>
    <col min="1279" max="1279" width="10.125" style="213" bestFit="1" customWidth="1"/>
    <col min="1280" max="1280" width="9.375" style="213"/>
    <col min="1281" max="1281" width="10.125" style="213" bestFit="1" customWidth="1"/>
    <col min="1282" max="1282" width="10.75" style="213" customWidth="1"/>
    <col min="1283" max="1285" width="9.375" style="213"/>
    <col min="1286" max="1287" width="10.75" style="213" customWidth="1"/>
    <col min="1288" max="1292" width="9.375" style="213"/>
    <col min="1293" max="1293" width="1.625" style="213" bestFit="1" customWidth="1"/>
    <col min="1294" max="1294" width="9.375" style="213"/>
    <col min="1295" max="1295" width="8.875" style="213" customWidth="1"/>
    <col min="1296" max="1296" width="13.125" style="213" customWidth="1"/>
    <col min="1297" max="1297" width="9.375" style="213"/>
    <col min="1298" max="1298" width="9.875" style="213" customWidth="1"/>
    <col min="1299" max="1299" width="11.75" style="213" bestFit="1" customWidth="1"/>
    <col min="1300" max="1529" width="9.375" style="213"/>
    <col min="1530" max="1530" width="5" style="213" customWidth="1"/>
    <col min="1531" max="1531" width="17.875" style="213" bestFit="1" customWidth="1"/>
    <col min="1532" max="1532" width="9.875" style="213" customWidth="1"/>
    <col min="1533" max="1533" width="8.875" style="213" customWidth="1"/>
    <col min="1534" max="1534" width="7.375" style="213" bestFit="1" customWidth="1"/>
    <col min="1535" max="1535" width="10.125" style="213" bestFit="1" customWidth="1"/>
    <col min="1536" max="1536" width="9.375" style="213"/>
    <col min="1537" max="1537" width="10.125" style="213" bestFit="1" customWidth="1"/>
    <col min="1538" max="1538" width="10.75" style="213" customWidth="1"/>
    <col min="1539" max="1541" width="9.375" style="213"/>
    <col min="1542" max="1543" width="10.75" style="213" customWidth="1"/>
    <col min="1544" max="1548" width="9.375" style="213"/>
    <col min="1549" max="1549" width="1.625" style="213" bestFit="1" customWidth="1"/>
    <col min="1550" max="1550" width="9.375" style="213"/>
    <col min="1551" max="1551" width="8.875" style="213" customWidth="1"/>
    <col min="1552" max="1552" width="13.125" style="213" customWidth="1"/>
    <col min="1553" max="1553" width="9.375" style="213"/>
    <col min="1554" max="1554" width="9.875" style="213" customWidth="1"/>
    <col min="1555" max="1555" width="11.75" style="213" bestFit="1" customWidth="1"/>
    <col min="1556" max="1785" width="9.375" style="213"/>
    <col min="1786" max="1786" width="5" style="213" customWidth="1"/>
    <col min="1787" max="1787" width="17.875" style="213" bestFit="1" customWidth="1"/>
    <col min="1788" max="1788" width="9.875" style="213" customWidth="1"/>
    <col min="1789" max="1789" width="8.875" style="213" customWidth="1"/>
    <col min="1790" max="1790" width="7.375" style="213" bestFit="1" customWidth="1"/>
    <col min="1791" max="1791" width="10.125" style="213" bestFit="1" customWidth="1"/>
    <col min="1792" max="1792" width="9.375" style="213"/>
    <col min="1793" max="1793" width="10.125" style="213" bestFit="1" customWidth="1"/>
    <col min="1794" max="1794" width="10.75" style="213" customWidth="1"/>
    <col min="1795" max="1797" width="9.375" style="213"/>
    <col min="1798" max="1799" width="10.75" style="213" customWidth="1"/>
    <col min="1800" max="1804" width="9.375" style="213"/>
    <col min="1805" max="1805" width="1.625" style="213" bestFit="1" customWidth="1"/>
    <col min="1806" max="1806" width="9.375" style="213"/>
    <col min="1807" max="1807" width="8.875" style="213" customWidth="1"/>
    <col min="1808" max="1808" width="13.125" style="213" customWidth="1"/>
    <col min="1809" max="1809" width="9.375" style="213"/>
    <col min="1810" max="1810" width="9.875" style="213" customWidth="1"/>
    <col min="1811" max="1811" width="11.75" style="213" bestFit="1" customWidth="1"/>
    <col min="1812" max="2041" width="9.375" style="213"/>
    <col min="2042" max="2042" width="5" style="213" customWidth="1"/>
    <col min="2043" max="2043" width="17.875" style="213" bestFit="1" customWidth="1"/>
    <col min="2044" max="2044" width="9.875" style="213" customWidth="1"/>
    <col min="2045" max="2045" width="8.875" style="213" customWidth="1"/>
    <col min="2046" max="2046" width="7.375" style="213" bestFit="1" customWidth="1"/>
    <col min="2047" max="2047" width="10.125" style="213" bestFit="1" customWidth="1"/>
    <col min="2048" max="2048" width="9.375" style="213"/>
    <col min="2049" max="2049" width="10.125" style="213" bestFit="1" customWidth="1"/>
    <col min="2050" max="2050" width="10.75" style="213" customWidth="1"/>
    <col min="2051" max="2053" width="9.375" style="213"/>
    <col min="2054" max="2055" width="10.75" style="213" customWidth="1"/>
    <col min="2056" max="2060" width="9.375" style="213"/>
    <col min="2061" max="2061" width="1.625" style="213" bestFit="1" customWidth="1"/>
    <col min="2062" max="2062" width="9.375" style="213"/>
    <col min="2063" max="2063" width="8.875" style="213" customWidth="1"/>
    <col min="2064" max="2064" width="13.125" style="213" customWidth="1"/>
    <col min="2065" max="2065" width="9.375" style="213"/>
    <col min="2066" max="2066" width="9.875" style="213" customWidth="1"/>
    <col min="2067" max="2067" width="11.75" style="213" bestFit="1" customWidth="1"/>
    <col min="2068" max="2297" width="9.375" style="213"/>
    <col min="2298" max="2298" width="5" style="213" customWidth="1"/>
    <col min="2299" max="2299" width="17.875" style="213" bestFit="1" customWidth="1"/>
    <col min="2300" max="2300" width="9.875" style="213" customWidth="1"/>
    <col min="2301" max="2301" width="8.875" style="213" customWidth="1"/>
    <col min="2302" max="2302" width="7.375" style="213" bestFit="1" customWidth="1"/>
    <col min="2303" max="2303" width="10.125" style="213" bestFit="1" customWidth="1"/>
    <col min="2304" max="2304" width="9.375" style="213"/>
    <col min="2305" max="2305" width="10.125" style="213" bestFit="1" customWidth="1"/>
    <col min="2306" max="2306" width="10.75" style="213" customWidth="1"/>
    <col min="2307" max="2309" width="9.375" style="213"/>
    <col min="2310" max="2311" width="10.75" style="213" customWidth="1"/>
    <col min="2312" max="2316" width="9.375" style="213"/>
    <col min="2317" max="2317" width="1.625" style="213" bestFit="1" customWidth="1"/>
    <col min="2318" max="2318" width="9.375" style="213"/>
    <col min="2319" max="2319" width="8.875" style="213" customWidth="1"/>
    <col min="2320" max="2320" width="13.125" style="213" customWidth="1"/>
    <col min="2321" max="2321" width="9.375" style="213"/>
    <col min="2322" max="2322" width="9.875" style="213" customWidth="1"/>
    <col min="2323" max="2323" width="11.75" style="213" bestFit="1" customWidth="1"/>
    <col min="2324" max="2553" width="9.375" style="213"/>
    <col min="2554" max="2554" width="5" style="213" customWidth="1"/>
    <col min="2555" max="2555" width="17.875" style="213" bestFit="1" customWidth="1"/>
    <col min="2556" max="2556" width="9.875" style="213" customWidth="1"/>
    <col min="2557" max="2557" width="8.875" style="213" customWidth="1"/>
    <col min="2558" max="2558" width="7.375" style="213" bestFit="1" customWidth="1"/>
    <col min="2559" max="2559" width="10.125" style="213" bestFit="1" customWidth="1"/>
    <col min="2560" max="2560" width="9.375" style="213"/>
    <col min="2561" max="2561" width="10.125" style="213" bestFit="1" customWidth="1"/>
    <col min="2562" max="2562" width="10.75" style="213" customWidth="1"/>
    <col min="2563" max="2565" width="9.375" style="213"/>
    <col min="2566" max="2567" width="10.75" style="213" customWidth="1"/>
    <col min="2568" max="2572" width="9.375" style="213"/>
    <col min="2573" max="2573" width="1.625" style="213" bestFit="1" customWidth="1"/>
    <col min="2574" max="2574" width="9.375" style="213"/>
    <col min="2575" max="2575" width="8.875" style="213" customWidth="1"/>
    <col min="2576" max="2576" width="13.125" style="213" customWidth="1"/>
    <col min="2577" max="2577" width="9.375" style="213"/>
    <col min="2578" max="2578" width="9.875" style="213" customWidth="1"/>
    <col min="2579" max="2579" width="11.75" style="213" bestFit="1" customWidth="1"/>
    <col min="2580" max="2809" width="9.375" style="213"/>
    <col min="2810" max="2810" width="5" style="213" customWidth="1"/>
    <col min="2811" max="2811" width="17.875" style="213" bestFit="1" customWidth="1"/>
    <col min="2812" max="2812" width="9.875" style="213" customWidth="1"/>
    <col min="2813" max="2813" width="8.875" style="213" customWidth="1"/>
    <col min="2814" max="2814" width="7.375" style="213" bestFit="1" customWidth="1"/>
    <col min="2815" max="2815" width="10.125" style="213" bestFit="1" customWidth="1"/>
    <col min="2816" max="2816" width="9.375" style="213"/>
    <col min="2817" max="2817" width="10.125" style="213" bestFit="1" customWidth="1"/>
    <col min="2818" max="2818" width="10.75" style="213" customWidth="1"/>
    <col min="2819" max="2821" width="9.375" style="213"/>
    <col min="2822" max="2823" width="10.75" style="213" customWidth="1"/>
    <col min="2824" max="2828" width="9.375" style="213"/>
    <col min="2829" max="2829" width="1.625" style="213" bestFit="1" customWidth="1"/>
    <col min="2830" max="2830" width="9.375" style="213"/>
    <col min="2831" max="2831" width="8.875" style="213" customWidth="1"/>
    <col min="2832" max="2832" width="13.125" style="213" customWidth="1"/>
    <col min="2833" max="2833" width="9.375" style="213"/>
    <col min="2834" max="2834" width="9.875" style="213" customWidth="1"/>
    <col min="2835" max="2835" width="11.75" style="213" bestFit="1" customWidth="1"/>
    <col min="2836" max="3065" width="9.375" style="213"/>
    <col min="3066" max="3066" width="5" style="213" customWidth="1"/>
    <col min="3067" max="3067" width="17.875" style="213" bestFit="1" customWidth="1"/>
    <col min="3068" max="3068" width="9.875" style="213" customWidth="1"/>
    <col min="3069" max="3069" width="8.875" style="213" customWidth="1"/>
    <col min="3070" max="3070" width="7.375" style="213" bestFit="1" customWidth="1"/>
    <col min="3071" max="3071" width="10.125" style="213" bestFit="1" customWidth="1"/>
    <col min="3072" max="3072" width="9.375" style="213"/>
    <col min="3073" max="3073" width="10.125" style="213" bestFit="1" customWidth="1"/>
    <col min="3074" max="3074" width="10.75" style="213" customWidth="1"/>
    <col min="3075" max="3077" width="9.375" style="213"/>
    <col min="3078" max="3079" width="10.75" style="213" customWidth="1"/>
    <col min="3080" max="3084" width="9.375" style="213"/>
    <col min="3085" max="3085" width="1.625" style="213" bestFit="1" customWidth="1"/>
    <col min="3086" max="3086" width="9.375" style="213"/>
    <col min="3087" max="3087" width="8.875" style="213" customWidth="1"/>
    <col min="3088" max="3088" width="13.125" style="213" customWidth="1"/>
    <col min="3089" max="3089" width="9.375" style="213"/>
    <col min="3090" max="3090" width="9.875" style="213" customWidth="1"/>
    <col min="3091" max="3091" width="11.75" style="213" bestFit="1" customWidth="1"/>
    <col min="3092" max="3321" width="9.375" style="213"/>
    <col min="3322" max="3322" width="5" style="213" customWidth="1"/>
    <col min="3323" max="3323" width="17.875" style="213" bestFit="1" customWidth="1"/>
    <col min="3324" max="3324" width="9.875" style="213" customWidth="1"/>
    <col min="3325" max="3325" width="8.875" style="213" customWidth="1"/>
    <col min="3326" max="3326" width="7.375" style="213" bestFit="1" customWidth="1"/>
    <col min="3327" max="3327" width="10.125" style="213" bestFit="1" customWidth="1"/>
    <col min="3328" max="3328" width="9.375" style="213"/>
    <col min="3329" max="3329" width="10.125" style="213" bestFit="1" customWidth="1"/>
    <col min="3330" max="3330" width="10.75" style="213" customWidth="1"/>
    <col min="3331" max="3333" width="9.375" style="213"/>
    <col min="3334" max="3335" width="10.75" style="213" customWidth="1"/>
    <col min="3336" max="3340" width="9.375" style="213"/>
    <col min="3341" max="3341" width="1.625" style="213" bestFit="1" customWidth="1"/>
    <col min="3342" max="3342" width="9.375" style="213"/>
    <col min="3343" max="3343" width="8.875" style="213" customWidth="1"/>
    <col min="3344" max="3344" width="13.125" style="213" customWidth="1"/>
    <col min="3345" max="3345" width="9.375" style="213"/>
    <col min="3346" max="3346" width="9.875" style="213" customWidth="1"/>
    <col min="3347" max="3347" width="11.75" style="213" bestFit="1" customWidth="1"/>
    <col min="3348" max="3577" width="9.375" style="213"/>
    <col min="3578" max="3578" width="5" style="213" customWidth="1"/>
    <col min="3579" max="3579" width="17.875" style="213" bestFit="1" customWidth="1"/>
    <col min="3580" max="3580" width="9.875" style="213" customWidth="1"/>
    <col min="3581" max="3581" width="8.875" style="213" customWidth="1"/>
    <col min="3582" max="3582" width="7.375" style="213" bestFit="1" customWidth="1"/>
    <col min="3583" max="3583" width="10.125" style="213" bestFit="1" customWidth="1"/>
    <col min="3584" max="3584" width="9.375" style="213"/>
    <col min="3585" max="3585" width="10.125" style="213" bestFit="1" customWidth="1"/>
    <col min="3586" max="3586" width="10.75" style="213" customWidth="1"/>
    <col min="3587" max="3589" width="9.375" style="213"/>
    <col min="3590" max="3591" width="10.75" style="213" customWidth="1"/>
    <col min="3592" max="3596" width="9.375" style="213"/>
    <col min="3597" max="3597" width="1.625" style="213" bestFit="1" customWidth="1"/>
    <col min="3598" max="3598" width="9.375" style="213"/>
    <col min="3599" max="3599" width="8.875" style="213" customWidth="1"/>
    <col min="3600" max="3600" width="13.125" style="213" customWidth="1"/>
    <col min="3601" max="3601" width="9.375" style="213"/>
    <col min="3602" max="3602" width="9.875" style="213" customWidth="1"/>
    <col min="3603" max="3603" width="11.75" style="213" bestFit="1" customWidth="1"/>
    <col min="3604" max="3833" width="9.375" style="213"/>
    <col min="3834" max="3834" width="5" style="213" customWidth="1"/>
    <col min="3835" max="3835" width="17.875" style="213" bestFit="1" customWidth="1"/>
    <col min="3836" max="3836" width="9.875" style="213" customWidth="1"/>
    <col min="3837" max="3837" width="8.875" style="213" customWidth="1"/>
    <col min="3838" max="3838" width="7.375" style="213" bestFit="1" customWidth="1"/>
    <col min="3839" max="3839" width="10.125" style="213" bestFit="1" customWidth="1"/>
    <col min="3840" max="3840" width="9.375" style="213"/>
    <col min="3841" max="3841" width="10.125" style="213" bestFit="1" customWidth="1"/>
    <col min="3842" max="3842" width="10.75" style="213" customWidth="1"/>
    <col min="3843" max="3845" width="9.375" style="213"/>
    <col min="3846" max="3847" width="10.75" style="213" customWidth="1"/>
    <col min="3848" max="3852" width="9.375" style="213"/>
    <col min="3853" max="3853" width="1.625" style="213" bestFit="1" customWidth="1"/>
    <col min="3854" max="3854" width="9.375" style="213"/>
    <col min="3855" max="3855" width="8.875" style="213" customWidth="1"/>
    <col min="3856" max="3856" width="13.125" style="213" customWidth="1"/>
    <col min="3857" max="3857" width="9.375" style="213"/>
    <col min="3858" max="3858" width="9.875" style="213" customWidth="1"/>
    <col min="3859" max="3859" width="11.75" style="213" bestFit="1" customWidth="1"/>
    <col min="3860" max="4089" width="9.375" style="213"/>
    <col min="4090" max="4090" width="5" style="213" customWidth="1"/>
    <col min="4091" max="4091" width="17.875" style="213" bestFit="1" customWidth="1"/>
    <col min="4092" max="4092" width="9.875" style="213" customWidth="1"/>
    <col min="4093" max="4093" width="8.875" style="213" customWidth="1"/>
    <col min="4094" max="4094" width="7.375" style="213" bestFit="1" customWidth="1"/>
    <col min="4095" max="4095" width="10.125" style="213" bestFit="1" customWidth="1"/>
    <col min="4096" max="4096" width="9.375" style="213"/>
    <col min="4097" max="4097" width="10.125" style="213" bestFit="1" customWidth="1"/>
    <col min="4098" max="4098" width="10.75" style="213" customWidth="1"/>
    <col min="4099" max="4101" width="9.375" style="213"/>
    <col min="4102" max="4103" width="10.75" style="213" customWidth="1"/>
    <col min="4104" max="4108" width="9.375" style="213"/>
    <col min="4109" max="4109" width="1.625" style="213" bestFit="1" customWidth="1"/>
    <col min="4110" max="4110" width="9.375" style="213"/>
    <col min="4111" max="4111" width="8.875" style="213" customWidth="1"/>
    <col min="4112" max="4112" width="13.125" style="213" customWidth="1"/>
    <col min="4113" max="4113" width="9.375" style="213"/>
    <col min="4114" max="4114" width="9.875" style="213" customWidth="1"/>
    <col min="4115" max="4115" width="11.75" style="213" bestFit="1" customWidth="1"/>
    <col min="4116" max="4345" width="9.375" style="213"/>
    <col min="4346" max="4346" width="5" style="213" customWidth="1"/>
    <col min="4347" max="4347" width="17.875" style="213" bestFit="1" customWidth="1"/>
    <col min="4348" max="4348" width="9.875" style="213" customWidth="1"/>
    <col min="4349" max="4349" width="8.875" style="213" customWidth="1"/>
    <col min="4350" max="4350" width="7.375" style="213" bestFit="1" customWidth="1"/>
    <col min="4351" max="4351" width="10.125" style="213" bestFit="1" customWidth="1"/>
    <col min="4352" max="4352" width="9.375" style="213"/>
    <col min="4353" max="4353" width="10.125" style="213" bestFit="1" customWidth="1"/>
    <col min="4354" max="4354" width="10.75" style="213" customWidth="1"/>
    <col min="4355" max="4357" width="9.375" style="213"/>
    <col min="4358" max="4359" width="10.75" style="213" customWidth="1"/>
    <col min="4360" max="4364" width="9.375" style="213"/>
    <col min="4365" max="4365" width="1.625" style="213" bestFit="1" customWidth="1"/>
    <col min="4366" max="4366" width="9.375" style="213"/>
    <col min="4367" max="4367" width="8.875" style="213" customWidth="1"/>
    <col min="4368" max="4368" width="13.125" style="213" customWidth="1"/>
    <col min="4369" max="4369" width="9.375" style="213"/>
    <col min="4370" max="4370" width="9.875" style="213" customWidth="1"/>
    <col min="4371" max="4371" width="11.75" style="213" bestFit="1" customWidth="1"/>
    <col min="4372" max="4601" width="9.375" style="213"/>
    <col min="4602" max="4602" width="5" style="213" customWidth="1"/>
    <col min="4603" max="4603" width="17.875" style="213" bestFit="1" customWidth="1"/>
    <col min="4604" max="4604" width="9.875" style="213" customWidth="1"/>
    <col min="4605" max="4605" width="8.875" style="213" customWidth="1"/>
    <col min="4606" max="4606" width="7.375" style="213" bestFit="1" customWidth="1"/>
    <col min="4607" max="4607" width="10.125" style="213" bestFit="1" customWidth="1"/>
    <col min="4608" max="4608" width="9.375" style="213"/>
    <col min="4609" max="4609" width="10.125" style="213" bestFit="1" customWidth="1"/>
    <col min="4610" max="4610" width="10.75" style="213" customWidth="1"/>
    <col min="4611" max="4613" width="9.375" style="213"/>
    <col min="4614" max="4615" width="10.75" style="213" customWidth="1"/>
    <col min="4616" max="4620" width="9.375" style="213"/>
    <col min="4621" max="4621" width="1.625" style="213" bestFit="1" customWidth="1"/>
    <col min="4622" max="4622" width="9.375" style="213"/>
    <col min="4623" max="4623" width="8.875" style="213" customWidth="1"/>
    <col min="4624" max="4624" width="13.125" style="213" customWidth="1"/>
    <col min="4625" max="4625" width="9.375" style="213"/>
    <col min="4626" max="4626" width="9.875" style="213" customWidth="1"/>
    <col min="4627" max="4627" width="11.75" style="213" bestFit="1" customWidth="1"/>
    <col min="4628" max="4857" width="9.375" style="213"/>
    <col min="4858" max="4858" width="5" style="213" customWidth="1"/>
    <col min="4859" max="4859" width="17.875" style="213" bestFit="1" customWidth="1"/>
    <col min="4860" max="4860" width="9.875" style="213" customWidth="1"/>
    <col min="4861" max="4861" width="8.875" style="213" customWidth="1"/>
    <col min="4862" max="4862" width="7.375" style="213" bestFit="1" customWidth="1"/>
    <col min="4863" max="4863" width="10.125" style="213" bestFit="1" customWidth="1"/>
    <col min="4864" max="4864" width="9.375" style="213"/>
    <col min="4865" max="4865" width="10.125" style="213" bestFit="1" customWidth="1"/>
    <col min="4866" max="4866" width="10.75" style="213" customWidth="1"/>
    <col min="4867" max="4869" width="9.375" style="213"/>
    <col min="4870" max="4871" width="10.75" style="213" customWidth="1"/>
    <col min="4872" max="4876" width="9.375" style="213"/>
    <col min="4877" max="4877" width="1.625" style="213" bestFit="1" customWidth="1"/>
    <col min="4878" max="4878" width="9.375" style="213"/>
    <col min="4879" max="4879" width="8.875" style="213" customWidth="1"/>
    <col min="4880" max="4880" width="13.125" style="213" customWidth="1"/>
    <col min="4881" max="4881" width="9.375" style="213"/>
    <col min="4882" max="4882" width="9.875" style="213" customWidth="1"/>
    <col min="4883" max="4883" width="11.75" style="213" bestFit="1" customWidth="1"/>
    <col min="4884" max="5113" width="9.375" style="213"/>
    <col min="5114" max="5114" width="5" style="213" customWidth="1"/>
    <col min="5115" max="5115" width="17.875" style="213" bestFit="1" customWidth="1"/>
    <col min="5116" max="5116" width="9.875" style="213" customWidth="1"/>
    <col min="5117" max="5117" width="8.875" style="213" customWidth="1"/>
    <col min="5118" max="5118" width="7.375" style="213" bestFit="1" customWidth="1"/>
    <col min="5119" max="5119" width="10.125" style="213" bestFit="1" customWidth="1"/>
    <col min="5120" max="5120" width="9.375" style="213"/>
    <col min="5121" max="5121" width="10.125" style="213" bestFit="1" customWidth="1"/>
    <col min="5122" max="5122" width="10.75" style="213" customWidth="1"/>
    <col min="5123" max="5125" width="9.375" style="213"/>
    <col min="5126" max="5127" width="10.75" style="213" customWidth="1"/>
    <col min="5128" max="5132" width="9.375" style="213"/>
    <col min="5133" max="5133" width="1.625" style="213" bestFit="1" customWidth="1"/>
    <col min="5134" max="5134" width="9.375" style="213"/>
    <col min="5135" max="5135" width="8.875" style="213" customWidth="1"/>
    <col min="5136" max="5136" width="13.125" style="213" customWidth="1"/>
    <col min="5137" max="5137" width="9.375" style="213"/>
    <col min="5138" max="5138" width="9.875" style="213" customWidth="1"/>
    <col min="5139" max="5139" width="11.75" style="213" bestFit="1" customWidth="1"/>
    <col min="5140" max="5369" width="9.375" style="213"/>
    <col min="5370" max="5370" width="5" style="213" customWidth="1"/>
    <col min="5371" max="5371" width="17.875" style="213" bestFit="1" customWidth="1"/>
    <col min="5372" max="5372" width="9.875" style="213" customWidth="1"/>
    <col min="5373" max="5373" width="8.875" style="213" customWidth="1"/>
    <col min="5374" max="5374" width="7.375" style="213" bestFit="1" customWidth="1"/>
    <col min="5375" max="5375" width="10.125" style="213" bestFit="1" customWidth="1"/>
    <col min="5376" max="5376" width="9.375" style="213"/>
    <col min="5377" max="5377" width="10.125" style="213" bestFit="1" customWidth="1"/>
    <col min="5378" max="5378" width="10.75" style="213" customWidth="1"/>
    <col min="5379" max="5381" width="9.375" style="213"/>
    <col min="5382" max="5383" width="10.75" style="213" customWidth="1"/>
    <col min="5384" max="5388" width="9.375" style="213"/>
    <col min="5389" max="5389" width="1.625" style="213" bestFit="1" customWidth="1"/>
    <col min="5390" max="5390" width="9.375" style="213"/>
    <col min="5391" max="5391" width="8.875" style="213" customWidth="1"/>
    <col min="5392" max="5392" width="13.125" style="213" customWidth="1"/>
    <col min="5393" max="5393" width="9.375" style="213"/>
    <col min="5394" max="5394" width="9.875" style="213" customWidth="1"/>
    <col min="5395" max="5395" width="11.75" style="213" bestFit="1" customWidth="1"/>
    <col min="5396" max="5625" width="9.375" style="213"/>
    <col min="5626" max="5626" width="5" style="213" customWidth="1"/>
    <col min="5627" max="5627" width="17.875" style="213" bestFit="1" customWidth="1"/>
    <col min="5628" max="5628" width="9.875" style="213" customWidth="1"/>
    <col min="5629" max="5629" width="8.875" style="213" customWidth="1"/>
    <col min="5630" max="5630" width="7.375" style="213" bestFit="1" customWidth="1"/>
    <col min="5631" max="5631" width="10.125" style="213" bestFit="1" customWidth="1"/>
    <col min="5632" max="5632" width="9.375" style="213"/>
    <col min="5633" max="5633" width="10.125" style="213" bestFit="1" customWidth="1"/>
    <col min="5634" max="5634" width="10.75" style="213" customWidth="1"/>
    <col min="5635" max="5637" width="9.375" style="213"/>
    <col min="5638" max="5639" width="10.75" style="213" customWidth="1"/>
    <col min="5640" max="5644" width="9.375" style="213"/>
    <col min="5645" max="5645" width="1.625" style="213" bestFit="1" customWidth="1"/>
    <col min="5646" max="5646" width="9.375" style="213"/>
    <col min="5647" max="5647" width="8.875" style="213" customWidth="1"/>
    <col min="5648" max="5648" width="13.125" style="213" customWidth="1"/>
    <col min="5649" max="5649" width="9.375" style="213"/>
    <col min="5650" max="5650" width="9.875" style="213" customWidth="1"/>
    <col min="5651" max="5651" width="11.75" style="213" bestFit="1" customWidth="1"/>
    <col min="5652" max="5881" width="9.375" style="213"/>
    <col min="5882" max="5882" width="5" style="213" customWidth="1"/>
    <col min="5883" max="5883" width="17.875" style="213" bestFit="1" customWidth="1"/>
    <col min="5884" max="5884" width="9.875" style="213" customWidth="1"/>
    <col min="5885" max="5885" width="8.875" style="213" customWidth="1"/>
    <col min="5886" max="5886" width="7.375" style="213" bestFit="1" customWidth="1"/>
    <col min="5887" max="5887" width="10.125" style="213" bestFit="1" customWidth="1"/>
    <col min="5888" max="5888" width="9.375" style="213"/>
    <col min="5889" max="5889" width="10.125" style="213" bestFit="1" customWidth="1"/>
    <col min="5890" max="5890" width="10.75" style="213" customWidth="1"/>
    <col min="5891" max="5893" width="9.375" style="213"/>
    <col min="5894" max="5895" width="10.75" style="213" customWidth="1"/>
    <col min="5896" max="5900" width="9.375" style="213"/>
    <col min="5901" max="5901" width="1.625" style="213" bestFit="1" customWidth="1"/>
    <col min="5902" max="5902" width="9.375" style="213"/>
    <col min="5903" max="5903" width="8.875" style="213" customWidth="1"/>
    <col min="5904" max="5904" width="13.125" style="213" customWidth="1"/>
    <col min="5905" max="5905" width="9.375" style="213"/>
    <col min="5906" max="5906" width="9.875" style="213" customWidth="1"/>
    <col min="5907" max="5907" width="11.75" style="213" bestFit="1" customWidth="1"/>
    <col min="5908" max="6137" width="9.375" style="213"/>
    <col min="6138" max="6138" width="5" style="213" customWidth="1"/>
    <col min="6139" max="6139" width="17.875" style="213" bestFit="1" customWidth="1"/>
    <col min="6140" max="6140" width="9.875" style="213" customWidth="1"/>
    <col min="6141" max="6141" width="8.875" style="213" customWidth="1"/>
    <col min="6142" max="6142" width="7.375" style="213" bestFit="1" customWidth="1"/>
    <col min="6143" max="6143" width="10.125" style="213" bestFit="1" customWidth="1"/>
    <col min="6144" max="6144" width="9.375" style="213"/>
    <col min="6145" max="6145" width="10.125" style="213" bestFit="1" customWidth="1"/>
    <col min="6146" max="6146" width="10.75" style="213" customWidth="1"/>
    <col min="6147" max="6149" width="9.375" style="213"/>
    <col min="6150" max="6151" width="10.75" style="213" customWidth="1"/>
    <col min="6152" max="6156" width="9.375" style="213"/>
    <col min="6157" max="6157" width="1.625" style="213" bestFit="1" customWidth="1"/>
    <col min="6158" max="6158" width="9.375" style="213"/>
    <col min="6159" max="6159" width="8.875" style="213" customWidth="1"/>
    <col min="6160" max="6160" width="13.125" style="213" customWidth="1"/>
    <col min="6161" max="6161" width="9.375" style="213"/>
    <col min="6162" max="6162" width="9.875" style="213" customWidth="1"/>
    <col min="6163" max="6163" width="11.75" style="213" bestFit="1" customWidth="1"/>
    <col min="6164" max="6393" width="9.375" style="213"/>
    <col min="6394" max="6394" width="5" style="213" customWidth="1"/>
    <col min="6395" max="6395" width="17.875" style="213" bestFit="1" customWidth="1"/>
    <col min="6396" max="6396" width="9.875" style="213" customWidth="1"/>
    <col min="6397" max="6397" width="8.875" style="213" customWidth="1"/>
    <col min="6398" max="6398" width="7.375" style="213" bestFit="1" customWidth="1"/>
    <col min="6399" max="6399" width="10.125" style="213" bestFit="1" customWidth="1"/>
    <col min="6400" max="6400" width="9.375" style="213"/>
    <col min="6401" max="6401" width="10.125" style="213" bestFit="1" customWidth="1"/>
    <col min="6402" max="6402" width="10.75" style="213" customWidth="1"/>
    <col min="6403" max="6405" width="9.375" style="213"/>
    <col min="6406" max="6407" width="10.75" style="213" customWidth="1"/>
    <col min="6408" max="6412" width="9.375" style="213"/>
    <col min="6413" max="6413" width="1.625" style="213" bestFit="1" customWidth="1"/>
    <col min="6414" max="6414" width="9.375" style="213"/>
    <col min="6415" max="6415" width="8.875" style="213" customWidth="1"/>
    <col min="6416" max="6416" width="13.125" style="213" customWidth="1"/>
    <col min="6417" max="6417" width="9.375" style="213"/>
    <col min="6418" max="6418" width="9.875" style="213" customWidth="1"/>
    <col min="6419" max="6419" width="11.75" style="213" bestFit="1" customWidth="1"/>
    <col min="6420" max="6649" width="9.375" style="213"/>
    <col min="6650" max="6650" width="5" style="213" customWidth="1"/>
    <col min="6651" max="6651" width="17.875" style="213" bestFit="1" customWidth="1"/>
    <col min="6652" max="6652" width="9.875" style="213" customWidth="1"/>
    <col min="6653" max="6653" width="8.875" style="213" customWidth="1"/>
    <col min="6654" max="6654" width="7.375" style="213" bestFit="1" customWidth="1"/>
    <col min="6655" max="6655" width="10.125" style="213" bestFit="1" customWidth="1"/>
    <col min="6656" max="6656" width="9.375" style="213"/>
    <col min="6657" max="6657" width="10.125" style="213" bestFit="1" customWidth="1"/>
    <col min="6658" max="6658" width="10.75" style="213" customWidth="1"/>
    <col min="6659" max="6661" width="9.375" style="213"/>
    <col min="6662" max="6663" width="10.75" style="213" customWidth="1"/>
    <col min="6664" max="6668" width="9.375" style="213"/>
    <col min="6669" max="6669" width="1.625" style="213" bestFit="1" customWidth="1"/>
    <col min="6670" max="6670" width="9.375" style="213"/>
    <col min="6671" max="6671" width="8.875" style="213" customWidth="1"/>
    <col min="6672" max="6672" width="13.125" style="213" customWidth="1"/>
    <col min="6673" max="6673" width="9.375" style="213"/>
    <col min="6674" max="6674" width="9.875" style="213" customWidth="1"/>
    <col min="6675" max="6675" width="11.75" style="213" bestFit="1" customWidth="1"/>
    <col min="6676" max="6905" width="9.375" style="213"/>
    <col min="6906" max="6906" width="5" style="213" customWidth="1"/>
    <col min="6907" max="6907" width="17.875" style="213" bestFit="1" customWidth="1"/>
    <col min="6908" max="6908" width="9.875" style="213" customWidth="1"/>
    <col min="6909" max="6909" width="8.875" style="213" customWidth="1"/>
    <col min="6910" max="6910" width="7.375" style="213" bestFit="1" customWidth="1"/>
    <col min="6911" max="6911" width="10.125" style="213" bestFit="1" customWidth="1"/>
    <col min="6912" max="6912" width="9.375" style="213"/>
    <col min="6913" max="6913" width="10.125" style="213" bestFit="1" customWidth="1"/>
    <col min="6914" max="6914" width="10.75" style="213" customWidth="1"/>
    <col min="6915" max="6917" width="9.375" style="213"/>
    <col min="6918" max="6919" width="10.75" style="213" customWidth="1"/>
    <col min="6920" max="6924" width="9.375" style="213"/>
    <col min="6925" max="6925" width="1.625" style="213" bestFit="1" customWidth="1"/>
    <col min="6926" max="6926" width="9.375" style="213"/>
    <col min="6927" max="6927" width="8.875" style="213" customWidth="1"/>
    <col min="6928" max="6928" width="13.125" style="213" customWidth="1"/>
    <col min="6929" max="6929" width="9.375" style="213"/>
    <col min="6930" max="6930" width="9.875" style="213" customWidth="1"/>
    <col min="6931" max="6931" width="11.75" style="213" bestFit="1" customWidth="1"/>
    <col min="6932" max="7161" width="9.375" style="213"/>
    <col min="7162" max="7162" width="5" style="213" customWidth="1"/>
    <col min="7163" max="7163" width="17.875" style="213" bestFit="1" customWidth="1"/>
    <col min="7164" max="7164" width="9.875" style="213" customWidth="1"/>
    <col min="7165" max="7165" width="8.875" style="213" customWidth="1"/>
    <col min="7166" max="7166" width="7.375" style="213" bestFit="1" customWidth="1"/>
    <col min="7167" max="7167" width="10.125" style="213" bestFit="1" customWidth="1"/>
    <col min="7168" max="7168" width="9.375" style="213"/>
    <col min="7169" max="7169" width="10.125" style="213" bestFit="1" customWidth="1"/>
    <col min="7170" max="7170" width="10.75" style="213" customWidth="1"/>
    <col min="7171" max="7173" width="9.375" style="213"/>
    <col min="7174" max="7175" width="10.75" style="213" customWidth="1"/>
    <col min="7176" max="7180" width="9.375" style="213"/>
    <col min="7181" max="7181" width="1.625" style="213" bestFit="1" customWidth="1"/>
    <col min="7182" max="7182" width="9.375" style="213"/>
    <col min="7183" max="7183" width="8.875" style="213" customWidth="1"/>
    <col min="7184" max="7184" width="13.125" style="213" customWidth="1"/>
    <col min="7185" max="7185" width="9.375" style="213"/>
    <col min="7186" max="7186" width="9.875" style="213" customWidth="1"/>
    <col min="7187" max="7187" width="11.75" style="213" bestFit="1" customWidth="1"/>
    <col min="7188" max="7417" width="9.375" style="213"/>
    <col min="7418" max="7418" width="5" style="213" customWidth="1"/>
    <col min="7419" max="7419" width="17.875" style="213" bestFit="1" customWidth="1"/>
    <col min="7420" max="7420" width="9.875" style="213" customWidth="1"/>
    <col min="7421" max="7421" width="8.875" style="213" customWidth="1"/>
    <col min="7422" max="7422" width="7.375" style="213" bestFit="1" customWidth="1"/>
    <col min="7423" max="7423" width="10.125" style="213" bestFit="1" customWidth="1"/>
    <col min="7424" max="7424" width="9.375" style="213"/>
    <col min="7425" max="7425" width="10.125" style="213" bestFit="1" customWidth="1"/>
    <col min="7426" max="7426" width="10.75" style="213" customWidth="1"/>
    <col min="7427" max="7429" width="9.375" style="213"/>
    <col min="7430" max="7431" width="10.75" style="213" customWidth="1"/>
    <col min="7432" max="7436" width="9.375" style="213"/>
    <col min="7437" max="7437" width="1.625" style="213" bestFit="1" customWidth="1"/>
    <col min="7438" max="7438" width="9.375" style="213"/>
    <col min="7439" max="7439" width="8.875" style="213" customWidth="1"/>
    <col min="7440" max="7440" width="13.125" style="213" customWidth="1"/>
    <col min="7441" max="7441" width="9.375" style="213"/>
    <col min="7442" max="7442" width="9.875" style="213" customWidth="1"/>
    <col min="7443" max="7443" width="11.75" style="213" bestFit="1" customWidth="1"/>
    <col min="7444" max="7673" width="9.375" style="213"/>
    <col min="7674" max="7674" width="5" style="213" customWidth="1"/>
    <col min="7675" max="7675" width="17.875" style="213" bestFit="1" customWidth="1"/>
    <col min="7676" max="7676" width="9.875" style="213" customWidth="1"/>
    <col min="7677" max="7677" width="8.875" style="213" customWidth="1"/>
    <col min="7678" max="7678" width="7.375" style="213" bestFit="1" customWidth="1"/>
    <col min="7679" max="7679" width="10.125" style="213" bestFit="1" customWidth="1"/>
    <col min="7680" max="7680" width="9.375" style="213"/>
    <col min="7681" max="7681" width="10.125" style="213" bestFit="1" customWidth="1"/>
    <col min="7682" max="7682" width="10.75" style="213" customWidth="1"/>
    <col min="7683" max="7685" width="9.375" style="213"/>
    <col min="7686" max="7687" width="10.75" style="213" customWidth="1"/>
    <col min="7688" max="7692" width="9.375" style="213"/>
    <col min="7693" max="7693" width="1.625" style="213" bestFit="1" customWidth="1"/>
    <col min="7694" max="7694" width="9.375" style="213"/>
    <col min="7695" max="7695" width="8.875" style="213" customWidth="1"/>
    <col min="7696" max="7696" width="13.125" style="213" customWidth="1"/>
    <col min="7697" max="7697" width="9.375" style="213"/>
    <col min="7698" max="7698" width="9.875" style="213" customWidth="1"/>
    <col min="7699" max="7699" width="11.75" style="213" bestFit="1" customWidth="1"/>
    <col min="7700" max="7929" width="9.375" style="213"/>
    <col min="7930" max="7930" width="5" style="213" customWidth="1"/>
    <col min="7931" max="7931" width="17.875" style="213" bestFit="1" customWidth="1"/>
    <col min="7932" max="7932" width="9.875" style="213" customWidth="1"/>
    <col min="7933" max="7933" width="8.875" style="213" customWidth="1"/>
    <col min="7934" max="7934" width="7.375" style="213" bestFit="1" customWidth="1"/>
    <col min="7935" max="7935" width="10.125" style="213" bestFit="1" customWidth="1"/>
    <col min="7936" max="7936" width="9.375" style="213"/>
    <col min="7937" max="7937" width="10.125" style="213" bestFit="1" customWidth="1"/>
    <col min="7938" max="7938" width="10.75" style="213" customWidth="1"/>
    <col min="7939" max="7941" width="9.375" style="213"/>
    <col min="7942" max="7943" width="10.75" style="213" customWidth="1"/>
    <col min="7944" max="7948" width="9.375" style="213"/>
    <col min="7949" max="7949" width="1.625" style="213" bestFit="1" customWidth="1"/>
    <col min="7950" max="7950" width="9.375" style="213"/>
    <col min="7951" max="7951" width="8.875" style="213" customWidth="1"/>
    <col min="7952" max="7952" width="13.125" style="213" customWidth="1"/>
    <col min="7953" max="7953" width="9.375" style="213"/>
    <col min="7954" max="7954" width="9.875" style="213" customWidth="1"/>
    <col min="7955" max="7955" width="11.75" style="213" bestFit="1" customWidth="1"/>
    <col min="7956" max="8185" width="9.375" style="213"/>
    <col min="8186" max="8186" width="5" style="213" customWidth="1"/>
    <col min="8187" max="8187" width="17.875" style="213" bestFit="1" customWidth="1"/>
    <col min="8188" max="8188" width="9.875" style="213" customWidth="1"/>
    <col min="8189" max="8189" width="8.875" style="213" customWidth="1"/>
    <col min="8190" max="8190" width="7.375" style="213" bestFit="1" customWidth="1"/>
    <col min="8191" max="8191" width="10.125" style="213" bestFit="1" customWidth="1"/>
    <col min="8192" max="8192" width="9.375" style="213"/>
    <col min="8193" max="8193" width="10.125" style="213" bestFit="1" customWidth="1"/>
    <col min="8194" max="8194" width="10.75" style="213" customWidth="1"/>
    <col min="8195" max="8197" width="9.375" style="213"/>
    <col min="8198" max="8199" width="10.75" style="213" customWidth="1"/>
    <col min="8200" max="8204" width="9.375" style="213"/>
    <col min="8205" max="8205" width="1.625" style="213" bestFit="1" customWidth="1"/>
    <col min="8206" max="8206" width="9.375" style="213"/>
    <col min="8207" max="8207" width="8.875" style="213" customWidth="1"/>
    <col min="8208" max="8208" width="13.125" style="213" customWidth="1"/>
    <col min="8209" max="8209" width="9.375" style="213"/>
    <col min="8210" max="8210" width="9.875" style="213" customWidth="1"/>
    <col min="8211" max="8211" width="11.75" style="213" bestFit="1" customWidth="1"/>
    <col min="8212" max="8441" width="9.375" style="213"/>
    <col min="8442" max="8442" width="5" style="213" customWidth="1"/>
    <col min="8443" max="8443" width="17.875" style="213" bestFit="1" customWidth="1"/>
    <col min="8444" max="8444" width="9.875" style="213" customWidth="1"/>
    <col min="8445" max="8445" width="8.875" style="213" customWidth="1"/>
    <col min="8446" max="8446" width="7.375" style="213" bestFit="1" customWidth="1"/>
    <col min="8447" max="8447" width="10.125" style="213" bestFit="1" customWidth="1"/>
    <col min="8448" max="8448" width="9.375" style="213"/>
    <col min="8449" max="8449" width="10.125" style="213" bestFit="1" customWidth="1"/>
    <col min="8450" max="8450" width="10.75" style="213" customWidth="1"/>
    <col min="8451" max="8453" width="9.375" style="213"/>
    <col min="8454" max="8455" width="10.75" style="213" customWidth="1"/>
    <col min="8456" max="8460" width="9.375" style="213"/>
    <col min="8461" max="8461" width="1.625" style="213" bestFit="1" customWidth="1"/>
    <col min="8462" max="8462" width="9.375" style="213"/>
    <col min="8463" max="8463" width="8.875" style="213" customWidth="1"/>
    <col min="8464" max="8464" width="13.125" style="213" customWidth="1"/>
    <col min="8465" max="8465" width="9.375" style="213"/>
    <col min="8466" max="8466" width="9.875" style="213" customWidth="1"/>
    <col min="8467" max="8467" width="11.75" style="213" bestFit="1" customWidth="1"/>
    <col min="8468" max="8697" width="9.375" style="213"/>
    <col min="8698" max="8698" width="5" style="213" customWidth="1"/>
    <col min="8699" max="8699" width="17.875" style="213" bestFit="1" customWidth="1"/>
    <col min="8700" max="8700" width="9.875" style="213" customWidth="1"/>
    <col min="8701" max="8701" width="8.875" style="213" customWidth="1"/>
    <col min="8702" max="8702" width="7.375" style="213" bestFit="1" customWidth="1"/>
    <col min="8703" max="8703" width="10.125" style="213" bestFit="1" customWidth="1"/>
    <col min="8704" max="8704" width="9.375" style="213"/>
    <col min="8705" max="8705" width="10.125" style="213" bestFit="1" customWidth="1"/>
    <col min="8706" max="8706" width="10.75" style="213" customWidth="1"/>
    <col min="8707" max="8709" width="9.375" style="213"/>
    <col min="8710" max="8711" width="10.75" style="213" customWidth="1"/>
    <col min="8712" max="8716" width="9.375" style="213"/>
    <col min="8717" max="8717" width="1.625" style="213" bestFit="1" customWidth="1"/>
    <col min="8718" max="8718" width="9.375" style="213"/>
    <col min="8719" max="8719" width="8.875" style="213" customWidth="1"/>
    <col min="8720" max="8720" width="13.125" style="213" customWidth="1"/>
    <col min="8721" max="8721" width="9.375" style="213"/>
    <col min="8722" max="8722" width="9.875" style="213" customWidth="1"/>
    <col min="8723" max="8723" width="11.75" style="213" bestFit="1" customWidth="1"/>
    <col min="8724" max="8953" width="9.375" style="213"/>
    <col min="8954" max="8954" width="5" style="213" customWidth="1"/>
    <col min="8955" max="8955" width="17.875" style="213" bestFit="1" customWidth="1"/>
    <col min="8956" max="8956" width="9.875" style="213" customWidth="1"/>
    <col min="8957" max="8957" width="8.875" style="213" customWidth="1"/>
    <col min="8958" max="8958" width="7.375" style="213" bestFit="1" customWidth="1"/>
    <col min="8959" max="8959" width="10.125" style="213" bestFit="1" customWidth="1"/>
    <col min="8960" max="8960" width="9.375" style="213"/>
    <col min="8961" max="8961" width="10.125" style="213" bestFit="1" customWidth="1"/>
    <col min="8962" max="8962" width="10.75" style="213" customWidth="1"/>
    <col min="8963" max="8965" width="9.375" style="213"/>
    <col min="8966" max="8967" width="10.75" style="213" customWidth="1"/>
    <col min="8968" max="8972" width="9.375" style="213"/>
    <col min="8973" max="8973" width="1.625" style="213" bestFit="1" customWidth="1"/>
    <col min="8974" max="8974" width="9.375" style="213"/>
    <col min="8975" max="8975" width="8.875" style="213" customWidth="1"/>
    <col min="8976" max="8976" width="13.125" style="213" customWidth="1"/>
    <col min="8977" max="8977" width="9.375" style="213"/>
    <col min="8978" max="8978" width="9.875" style="213" customWidth="1"/>
    <col min="8979" max="8979" width="11.75" style="213" bestFit="1" customWidth="1"/>
    <col min="8980" max="9209" width="9.375" style="213"/>
    <col min="9210" max="9210" width="5" style="213" customWidth="1"/>
    <col min="9211" max="9211" width="17.875" style="213" bestFit="1" customWidth="1"/>
    <col min="9212" max="9212" width="9.875" style="213" customWidth="1"/>
    <col min="9213" max="9213" width="8.875" style="213" customWidth="1"/>
    <col min="9214" max="9214" width="7.375" style="213" bestFit="1" customWidth="1"/>
    <col min="9215" max="9215" width="10.125" style="213" bestFit="1" customWidth="1"/>
    <col min="9216" max="9216" width="9.375" style="213"/>
    <col min="9217" max="9217" width="10.125" style="213" bestFit="1" customWidth="1"/>
    <col min="9218" max="9218" width="10.75" style="213" customWidth="1"/>
    <col min="9219" max="9221" width="9.375" style="213"/>
    <col min="9222" max="9223" width="10.75" style="213" customWidth="1"/>
    <col min="9224" max="9228" width="9.375" style="213"/>
    <col min="9229" max="9229" width="1.625" style="213" bestFit="1" customWidth="1"/>
    <col min="9230" max="9230" width="9.375" style="213"/>
    <col min="9231" max="9231" width="8.875" style="213" customWidth="1"/>
    <col min="9232" max="9232" width="13.125" style="213" customWidth="1"/>
    <col min="9233" max="9233" width="9.375" style="213"/>
    <col min="9234" max="9234" width="9.875" style="213" customWidth="1"/>
    <col min="9235" max="9235" width="11.75" style="213" bestFit="1" customWidth="1"/>
    <col min="9236" max="9465" width="9.375" style="213"/>
    <col min="9466" max="9466" width="5" style="213" customWidth="1"/>
    <col min="9467" max="9467" width="17.875" style="213" bestFit="1" customWidth="1"/>
    <col min="9468" max="9468" width="9.875" style="213" customWidth="1"/>
    <col min="9469" max="9469" width="8.875" style="213" customWidth="1"/>
    <col min="9470" max="9470" width="7.375" style="213" bestFit="1" customWidth="1"/>
    <col min="9471" max="9471" width="10.125" style="213" bestFit="1" customWidth="1"/>
    <col min="9472" max="9472" width="9.375" style="213"/>
    <col min="9473" max="9473" width="10.125" style="213" bestFit="1" customWidth="1"/>
    <col min="9474" max="9474" width="10.75" style="213" customWidth="1"/>
    <col min="9475" max="9477" width="9.375" style="213"/>
    <col min="9478" max="9479" width="10.75" style="213" customWidth="1"/>
    <col min="9480" max="9484" width="9.375" style="213"/>
    <col min="9485" max="9485" width="1.625" style="213" bestFit="1" customWidth="1"/>
    <col min="9486" max="9486" width="9.375" style="213"/>
    <col min="9487" max="9487" width="8.875" style="213" customWidth="1"/>
    <col min="9488" max="9488" width="13.125" style="213" customWidth="1"/>
    <col min="9489" max="9489" width="9.375" style="213"/>
    <col min="9490" max="9490" width="9.875" style="213" customWidth="1"/>
    <col min="9491" max="9491" width="11.75" style="213" bestFit="1" customWidth="1"/>
    <col min="9492" max="9721" width="9.375" style="213"/>
    <col min="9722" max="9722" width="5" style="213" customWidth="1"/>
    <col min="9723" max="9723" width="17.875" style="213" bestFit="1" customWidth="1"/>
    <col min="9724" max="9724" width="9.875" style="213" customWidth="1"/>
    <col min="9725" max="9725" width="8.875" style="213" customWidth="1"/>
    <col min="9726" max="9726" width="7.375" style="213" bestFit="1" customWidth="1"/>
    <col min="9727" max="9727" width="10.125" style="213" bestFit="1" customWidth="1"/>
    <col min="9728" max="9728" width="9.375" style="213"/>
    <col min="9729" max="9729" width="10.125" style="213" bestFit="1" customWidth="1"/>
    <col min="9730" max="9730" width="10.75" style="213" customWidth="1"/>
    <col min="9731" max="9733" width="9.375" style="213"/>
    <col min="9734" max="9735" width="10.75" style="213" customWidth="1"/>
    <col min="9736" max="9740" width="9.375" style="213"/>
    <col min="9741" max="9741" width="1.625" style="213" bestFit="1" customWidth="1"/>
    <col min="9742" max="9742" width="9.375" style="213"/>
    <col min="9743" max="9743" width="8.875" style="213" customWidth="1"/>
    <col min="9744" max="9744" width="13.125" style="213" customWidth="1"/>
    <col min="9745" max="9745" width="9.375" style="213"/>
    <col min="9746" max="9746" width="9.875" style="213" customWidth="1"/>
    <col min="9747" max="9747" width="11.75" style="213" bestFit="1" customWidth="1"/>
    <col min="9748" max="9977" width="9.375" style="213"/>
    <col min="9978" max="9978" width="5" style="213" customWidth="1"/>
    <col min="9979" max="9979" width="17.875" style="213" bestFit="1" customWidth="1"/>
    <col min="9980" max="9980" width="9.875" style="213" customWidth="1"/>
    <col min="9981" max="9981" width="8.875" style="213" customWidth="1"/>
    <col min="9982" max="9982" width="7.375" style="213" bestFit="1" customWidth="1"/>
    <col min="9983" max="9983" width="10.125" style="213" bestFit="1" customWidth="1"/>
    <col min="9984" max="9984" width="9.375" style="213"/>
    <col min="9985" max="9985" width="10.125" style="213" bestFit="1" customWidth="1"/>
    <col min="9986" max="9986" width="10.75" style="213" customWidth="1"/>
    <col min="9987" max="9989" width="9.375" style="213"/>
    <col min="9990" max="9991" width="10.75" style="213" customWidth="1"/>
    <col min="9992" max="9996" width="9.375" style="213"/>
    <col min="9997" max="9997" width="1.625" style="213" bestFit="1" customWidth="1"/>
    <col min="9998" max="9998" width="9.375" style="213"/>
    <col min="9999" max="9999" width="8.875" style="213" customWidth="1"/>
    <col min="10000" max="10000" width="13.125" style="213" customWidth="1"/>
    <col min="10001" max="10001" width="9.375" style="213"/>
    <col min="10002" max="10002" width="9.875" style="213" customWidth="1"/>
    <col min="10003" max="10003" width="11.75" style="213" bestFit="1" customWidth="1"/>
    <col min="10004" max="10233" width="9.375" style="213"/>
    <col min="10234" max="10234" width="5" style="213" customWidth="1"/>
    <col min="10235" max="10235" width="17.875" style="213" bestFit="1" customWidth="1"/>
    <col min="10236" max="10236" width="9.875" style="213" customWidth="1"/>
    <col min="10237" max="10237" width="8.875" style="213" customWidth="1"/>
    <col min="10238" max="10238" width="7.375" style="213" bestFit="1" customWidth="1"/>
    <col min="10239" max="10239" width="10.125" style="213" bestFit="1" customWidth="1"/>
    <col min="10240" max="10240" width="9.375" style="213"/>
    <col min="10241" max="10241" width="10.125" style="213" bestFit="1" customWidth="1"/>
    <col min="10242" max="10242" width="10.75" style="213" customWidth="1"/>
    <col min="10243" max="10245" width="9.375" style="213"/>
    <col min="10246" max="10247" width="10.75" style="213" customWidth="1"/>
    <col min="10248" max="10252" width="9.375" style="213"/>
    <col min="10253" max="10253" width="1.625" style="213" bestFit="1" customWidth="1"/>
    <col min="10254" max="10254" width="9.375" style="213"/>
    <col min="10255" max="10255" width="8.875" style="213" customWidth="1"/>
    <col min="10256" max="10256" width="13.125" style="213" customWidth="1"/>
    <col min="10257" max="10257" width="9.375" style="213"/>
    <col min="10258" max="10258" width="9.875" style="213" customWidth="1"/>
    <col min="10259" max="10259" width="11.75" style="213" bestFit="1" customWidth="1"/>
    <col min="10260" max="10489" width="9.375" style="213"/>
    <col min="10490" max="10490" width="5" style="213" customWidth="1"/>
    <col min="10491" max="10491" width="17.875" style="213" bestFit="1" customWidth="1"/>
    <col min="10492" max="10492" width="9.875" style="213" customWidth="1"/>
    <col min="10493" max="10493" width="8.875" style="213" customWidth="1"/>
    <col min="10494" max="10494" width="7.375" style="213" bestFit="1" customWidth="1"/>
    <col min="10495" max="10495" width="10.125" style="213" bestFit="1" customWidth="1"/>
    <col min="10496" max="10496" width="9.375" style="213"/>
    <col min="10497" max="10497" width="10.125" style="213" bestFit="1" customWidth="1"/>
    <col min="10498" max="10498" width="10.75" style="213" customWidth="1"/>
    <col min="10499" max="10501" width="9.375" style="213"/>
    <col min="10502" max="10503" width="10.75" style="213" customWidth="1"/>
    <col min="10504" max="10508" width="9.375" style="213"/>
    <col min="10509" max="10509" width="1.625" style="213" bestFit="1" customWidth="1"/>
    <col min="10510" max="10510" width="9.375" style="213"/>
    <col min="10511" max="10511" width="8.875" style="213" customWidth="1"/>
    <col min="10512" max="10512" width="13.125" style="213" customWidth="1"/>
    <col min="10513" max="10513" width="9.375" style="213"/>
    <col min="10514" max="10514" width="9.875" style="213" customWidth="1"/>
    <col min="10515" max="10515" width="11.75" style="213" bestFit="1" customWidth="1"/>
    <col min="10516" max="10745" width="9.375" style="213"/>
    <col min="10746" max="10746" width="5" style="213" customWidth="1"/>
    <col min="10747" max="10747" width="17.875" style="213" bestFit="1" customWidth="1"/>
    <col min="10748" max="10748" width="9.875" style="213" customWidth="1"/>
    <col min="10749" max="10749" width="8.875" style="213" customWidth="1"/>
    <col min="10750" max="10750" width="7.375" style="213" bestFit="1" customWidth="1"/>
    <col min="10751" max="10751" width="10.125" style="213" bestFit="1" customWidth="1"/>
    <col min="10752" max="10752" width="9.375" style="213"/>
    <col min="10753" max="10753" width="10.125" style="213" bestFit="1" customWidth="1"/>
    <col min="10754" max="10754" width="10.75" style="213" customWidth="1"/>
    <col min="10755" max="10757" width="9.375" style="213"/>
    <col min="10758" max="10759" width="10.75" style="213" customWidth="1"/>
    <col min="10760" max="10764" width="9.375" style="213"/>
    <col min="10765" max="10765" width="1.625" style="213" bestFit="1" customWidth="1"/>
    <col min="10766" max="10766" width="9.375" style="213"/>
    <col min="10767" max="10767" width="8.875" style="213" customWidth="1"/>
    <col min="10768" max="10768" width="13.125" style="213" customWidth="1"/>
    <col min="10769" max="10769" width="9.375" style="213"/>
    <col min="10770" max="10770" width="9.875" style="213" customWidth="1"/>
    <col min="10771" max="10771" width="11.75" style="213" bestFit="1" customWidth="1"/>
    <col min="10772" max="11001" width="9.375" style="213"/>
    <col min="11002" max="11002" width="5" style="213" customWidth="1"/>
    <col min="11003" max="11003" width="17.875" style="213" bestFit="1" customWidth="1"/>
    <col min="11004" max="11004" width="9.875" style="213" customWidth="1"/>
    <col min="11005" max="11005" width="8.875" style="213" customWidth="1"/>
    <col min="11006" max="11006" width="7.375" style="213" bestFit="1" customWidth="1"/>
    <col min="11007" max="11007" width="10.125" style="213" bestFit="1" customWidth="1"/>
    <col min="11008" max="11008" width="9.375" style="213"/>
    <col min="11009" max="11009" width="10.125" style="213" bestFit="1" customWidth="1"/>
    <col min="11010" max="11010" width="10.75" style="213" customWidth="1"/>
    <col min="11011" max="11013" width="9.375" style="213"/>
    <col min="11014" max="11015" width="10.75" style="213" customWidth="1"/>
    <col min="11016" max="11020" width="9.375" style="213"/>
    <col min="11021" max="11021" width="1.625" style="213" bestFit="1" customWidth="1"/>
    <col min="11022" max="11022" width="9.375" style="213"/>
    <col min="11023" max="11023" width="8.875" style="213" customWidth="1"/>
    <col min="11024" max="11024" width="13.125" style="213" customWidth="1"/>
    <col min="11025" max="11025" width="9.375" style="213"/>
    <col min="11026" max="11026" width="9.875" style="213" customWidth="1"/>
    <col min="11027" max="11027" width="11.75" style="213" bestFit="1" customWidth="1"/>
    <col min="11028" max="11257" width="9.375" style="213"/>
    <col min="11258" max="11258" width="5" style="213" customWidth="1"/>
    <col min="11259" max="11259" width="17.875" style="213" bestFit="1" customWidth="1"/>
    <col min="11260" max="11260" width="9.875" style="213" customWidth="1"/>
    <col min="11261" max="11261" width="8.875" style="213" customWidth="1"/>
    <col min="11262" max="11262" width="7.375" style="213" bestFit="1" customWidth="1"/>
    <col min="11263" max="11263" width="10.125" style="213" bestFit="1" customWidth="1"/>
    <col min="11264" max="11264" width="9.375" style="213"/>
    <col min="11265" max="11265" width="10.125" style="213" bestFit="1" customWidth="1"/>
    <col min="11266" max="11266" width="10.75" style="213" customWidth="1"/>
    <col min="11267" max="11269" width="9.375" style="213"/>
    <col min="11270" max="11271" width="10.75" style="213" customWidth="1"/>
    <col min="11272" max="11276" width="9.375" style="213"/>
    <col min="11277" max="11277" width="1.625" style="213" bestFit="1" customWidth="1"/>
    <col min="11278" max="11278" width="9.375" style="213"/>
    <col min="11279" max="11279" width="8.875" style="213" customWidth="1"/>
    <col min="11280" max="11280" width="13.125" style="213" customWidth="1"/>
    <col min="11281" max="11281" width="9.375" style="213"/>
    <col min="11282" max="11282" width="9.875" style="213" customWidth="1"/>
    <col min="11283" max="11283" width="11.75" style="213" bestFit="1" customWidth="1"/>
    <col min="11284" max="11513" width="9.375" style="213"/>
    <col min="11514" max="11514" width="5" style="213" customWidth="1"/>
    <col min="11515" max="11515" width="17.875" style="213" bestFit="1" customWidth="1"/>
    <col min="11516" max="11516" width="9.875" style="213" customWidth="1"/>
    <col min="11517" max="11517" width="8.875" style="213" customWidth="1"/>
    <col min="11518" max="11518" width="7.375" style="213" bestFit="1" customWidth="1"/>
    <col min="11519" max="11519" width="10.125" style="213" bestFit="1" customWidth="1"/>
    <col min="11520" max="11520" width="9.375" style="213"/>
    <col min="11521" max="11521" width="10.125" style="213" bestFit="1" customWidth="1"/>
    <col min="11522" max="11522" width="10.75" style="213" customWidth="1"/>
    <col min="11523" max="11525" width="9.375" style="213"/>
    <col min="11526" max="11527" width="10.75" style="213" customWidth="1"/>
    <col min="11528" max="11532" width="9.375" style="213"/>
    <col min="11533" max="11533" width="1.625" style="213" bestFit="1" customWidth="1"/>
    <col min="11534" max="11534" width="9.375" style="213"/>
    <col min="11535" max="11535" width="8.875" style="213" customWidth="1"/>
    <col min="11536" max="11536" width="13.125" style="213" customWidth="1"/>
    <col min="11537" max="11537" width="9.375" style="213"/>
    <col min="11538" max="11538" width="9.875" style="213" customWidth="1"/>
    <col min="11539" max="11539" width="11.75" style="213" bestFit="1" customWidth="1"/>
    <col min="11540" max="11769" width="9.375" style="213"/>
    <col min="11770" max="11770" width="5" style="213" customWidth="1"/>
    <col min="11771" max="11771" width="17.875" style="213" bestFit="1" customWidth="1"/>
    <col min="11772" max="11772" width="9.875" style="213" customWidth="1"/>
    <col min="11773" max="11773" width="8.875" style="213" customWidth="1"/>
    <col min="11774" max="11774" width="7.375" style="213" bestFit="1" customWidth="1"/>
    <col min="11775" max="11775" width="10.125" style="213" bestFit="1" customWidth="1"/>
    <col min="11776" max="11776" width="9.375" style="213"/>
    <col min="11777" max="11777" width="10.125" style="213" bestFit="1" customWidth="1"/>
    <col min="11778" max="11778" width="10.75" style="213" customWidth="1"/>
    <col min="11779" max="11781" width="9.375" style="213"/>
    <col min="11782" max="11783" width="10.75" style="213" customWidth="1"/>
    <col min="11784" max="11788" width="9.375" style="213"/>
    <col min="11789" max="11789" width="1.625" style="213" bestFit="1" customWidth="1"/>
    <col min="11790" max="11790" width="9.375" style="213"/>
    <col min="11791" max="11791" width="8.875" style="213" customWidth="1"/>
    <col min="11792" max="11792" width="13.125" style="213" customWidth="1"/>
    <col min="11793" max="11793" width="9.375" style="213"/>
    <col min="11794" max="11794" width="9.875" style="213" customWidth="1"/>
    <col min="11795" max="11795" width="11.75" style="213" bestFit="1" customWidth="1"/>
    <col min="11796" max="12025" width="9.375" style="213"/>
    <col min="12026" max="12026" width="5" style="213" customWidth="1"/>
    <col min="12027" max="12027" width="17.875" style="213" bestFit="1" customWidth="1"/>
    <col min="12028" max="12028" width="9.875" style="213" customWidth="1"/>
    <col min="12029" max="12029" width="8.875" style="213" customWidth="1"/>
    <col min="12030" max="12030" width="7.375" style="213" bestFit="1" customWidth="1"/>
    <col min="12031" max="12031" width="10.125" style="213" bestFit="1" customWidth="1"/>
    <col min="12032" max="12032" width="9.375" style="213"/>
    <col min="12033" max="12033" width="10.125" style="213" bestFit="1" customWidth="1"/>
    <col min="12034" max="12034" width="10.75" style="213" customWidth="1"/>
    <col min="12035" max="12037" width="9.375" style="213"/>
    <col min="12038" max="12039" width="10.75" style="213" customWidth="1"/>
    <col min="12040" max="12044" width="9.375" style="213"/>
    <col min="12045" max="12045" width="1.625" style="213" bestFit="1" customWidth="1"/>
    <col min="12046" max="12046" width="9.375" style="213"/>
    <col min="12047" max="12047" width="8.875" style="213" customWidth="1"/>
    <col min="12048" max="12048" width="13.125" style="213" customWidth="1"/>
    <col min="12049" max="12049" width="9.375" style="213"/>
    <col min="12050" max="12050" width="9.875" style="213" customWidth="1"/>
    <col min="12051" max="12051" width="11.75" style="213" bestFit="1" customWidth="1"/>
    <col min="12052" max="12281" width="9.375" style="213"/>
    <col min="12282" max="12282" width="5" style="213" customWidth="1"/>
    <col min="12283" max="12283" width="17.875" style="213" bestFit="1" customWidth="1"/>
    <col min="12284" max="12284" width="9.875" style="213" customWidth="1"/>
    <col min="12285" max="12285" width="8.875" style="213" customWidth="1"/>
    <col min="12286" max="12286" width="7.375" style="213" bestFit="1" customWidth="1"/>
    <col min="12287" max="12287" width="10.125" style="213" bestFit="1" customWidth="1"/>
    <col min="12288" max="12288" width="9.375" style="213"/>
    <col min="12289" max="12289" width="10.125" style="213" bestFit="1" customWidth="1"/>
    <col min="12290" max="12290" width="10.75" style="213" customWidth="1"/>
    <col min="12291" max="12293" width="9.375" style="213"/>
    <col min="12294" max="12295" width="10.75" style="213" customWidth="1"/>
    <col min="12296" max="12300" width="9.375" style="213"/>
    <col min="12301" max="12301" width="1.625" style="213" bestFit="1" customWidth="1"/>
    <col min="12302" max="12302" width="9.375" style="213"/>
    <col min="12303" max="12303" width="8.875" style="213" customWidth="1"/>
    <col min="12304" max="12304" width="13.125" style="213" customWidth="1"/>
    <col min="12305" max="12305" width="9.375" style="213"/>
    <col min="12306" max="12306" width="9.875" style="213" customWidth="1"/>
    <col min="12307" max="12307" width="11.75" style="213" bestFit="1" customWidth="1"/>
    <col min="12308" max="12537" width="9.375" style="213"/>
    <col min="12538" max="12538" width="5" style="213" customWidth="1"/>
    <col min="12539" max="12539" width="17.875" style="213" bestFit="1" customWidth="1"/>
    <col min="12540" max="12540" width="9.875" style="213" customWidth="1"/>
    <col min="12541" max="12541" width="8.875" style="213" customWidth="1"/>
    <col min="12542" max="12542" width="7.375" style="213" bestFit="1" customWidth="1"/>
    <col min="12543" max="12543" width="10.125" style="213" bestFit="1" customWidth="1"/>
    <col min="12544" max="12544" width="9.375" style="213"/>
    <col min="12545" max="12545" width="10.125" style="213" bestFit="1" customWidth="1"/>
    <col min="12546" max="12546" width="10.75" style="213" customWidth="1"/>
    <col min="12547" max="12549" width="9.375" style="213"/>
    <col min="12550" max="12551" width="10.75" style="213" customWidth="1"/>
    <col min="12552" max="12556" width="9.375" style="213"/>
    <col min="12557" max="12557" width="1.625" style="213" bestFit="1" customWidth="1"/>
    <col min="12558" max="12558" width="9.375" style="213"/>
    <col min="12559" max="12559" width="8.875" style="213" customWidth="1"/>
    <col min="12560" max="12560" width="13.125" style="213" customWidth="1"/>
    <col min="12561" max="12561" width="9.375" style="213"/>
    <col min="12562" max="12562" width="9.875" style="213" customWidth="1"/>
    <col min="12563" max="12563" width="11.75" style="213" bestFit="1" customWidth="1"/>
    <col min="12564" max="12793" width="9.375" style="213"/>
    <col min="12794" max="12794" width="5" style="213" customWidth="1"/>
    <col min="12795" max="12795" width="17.875" style="213" bestFit="1" customWidth="1"/>
    <col min="12796" max="12796" width="9.875" style="213" customWidth="1"/>
    <col min="12797" max="12797" width="8.875" style="213" customWidth="1"/>
    <col min="12798" max="12798" width="7.375" style="213" bestFit="1" customWidth="1"/>
    <col min="12799" max="12799" width="10.125" style="213" bestFit="1" customWidth="1"/>
    <col min="12800" max="12800" width="9.375" style="213"/>
    <col min="12801" max="12801" width="10.125" style="213" bestFit="1" customWidth="1"/>
    <col min="12802" max="12802" width="10.75" style="213" customWidth="1"/>
    <col min="12803" max="12805" width="9.375" style="213"/>
    <col min="12806" max="12807" width="10.75" style="213" customWidth="1"/>
    <col min="12808" max="12812" width="9.375" style="213"/>
    <col min="12813" max="12813" width="1.625" style="213" bestFit="1" customWidth="1"/>
    <col min="12814" max="12814" width="9.375" style="213"/>
    <col min="12815" max="12815" width="8.875" style="213" customWidth="1"/>
    <col min="12816" max="12816" width="13.125" style="213" customWidth="1"/>
    <col min="12817" max="12817" width="9.375" style="213"/>
    <col min="12818" max="12818" width="9.875" style="213" customWidth="1"/>
    <col min="12819" max="12819" width="11.75" style="213" bestFit="1" customWidth="1"/>
    <col min="12820" max="13049" width="9.375" style="213"/>
    <col min="13050" max="13050" width="5" style="213" customWidth="1"/>
    <col min="13051" max="13051" width="17.875" style="213" bestFit="1" customWidth="1"/>
    <col min="13052" max="13052" width="9.875" style="213" customWidth="1"/>
    <col min="13053" max="13053" width="8.875" style="213" customWidth="1"/>
    <col min="13054" max="13054" width="7.375" style="213" bestFit="1" customWidth="1"/>
    <col min="13055" max="13055" width="10.125" style="213" bestFit="1" customWidth="1"/>
    <col min="13056" max="13056" width="9.375" style="213"/>
    <col min="13057" max="13057" width="10.125" style="213" bestFit="1" customWidth="1"/>
    <col min="13058" max="13058" width="10.75" style="213" customWidth="1"/>
    <col min="13059" max="13061" width="9.375" style="213"/>
    <col min="13062" max="13063" width="10.75" style="213" customWidth="1"/>
    <col min="13064" max="13068" width="9.375" style="213"/>
    <col min="13069" max="13069" width="1.625" style="213" bestFit="1" customWidth="1"/>
    <col min="13070" max="13070" width="9.375" style="213"/>
    <col min="13071" max="13071" width="8.875" style="213" customWidth="1"/>
    <col min="13072" max="13072" width="13.125" style="213" customWidth="1"/>
    <col min="13073" max="13073" width="9.375" style="213"/>
    <col min="13074" max="13074" width="9.875" style="213" customWidth="1"/>
    <col min="13075" max="13075" width="11.75" style="213" bestFit="1" customWidth="1"/>
    <col min="13076" max="13305" width="9.375" style="213"/>
    <col min="13306" max="13306" width="5" style="213" customWidth="1"/>
    <col min="13307" max="13307" width="17.875" style="213" bestFit="1" customWidth="1"/>
    <col min="13308" max="13308" width="9.875" style="213" customWidth="1"/>
    <col min="13309" max="13309" width="8.875" style="213" customWidth="1"/>
    <col min="13310" max="13310" width="7.375" style="213" bestFit="1" customWidth="1"/>
    <col min="13311" max="13311" width="10.125" style="213" bestFit="1" customWidth="1"/>
    <col min="13312" max="13312" width="9.375" style="213"/>
    <col min="13313" max="13313" width="10.125" style="213" bestFit="1" customWidth="1"/>
    <col min="13314" max="13314" width="10.75" style="213" customWidth="1"/>
    <col min="13315" max="13317" width="9.375" style="213"/>
    <col min="13318" max="13319" width="10.75" style="213" customWidth="1"/>
    <col min="13320" max="13324" width="9.375" style="213"/>
    <col min="13325" max="13325" width="1.625" style="213" bestFit="1" customWidth="1"/>
    <col min="13326" max="13326" width="9.375" style="213"/>
    <col min="13327" max="13327" width="8.875" style="213" customWidth="1"/>
    <col min="13328" max="13328" width="13.125" style="213" customWidth="1"/>
    <col min="13329" max="13329" width="9.375" style="213"/>
    <col min="13330" max="13330" width="9.875" style="213" customWidth="1"/>
    <col min="13331" max="13331" width="11.75" style="213" bestFit="1" customWidth="1"/>
    <col min="13332" max="13561" width="9.375" style="213"/>
    <col min="13562" max="13562" width="5" style="213" customWidth="1"/>
    <col min="13563" max="13563" width="17.875" style="213" bestFit="1" customWidth="1"/>
    <col min="13564" max="13564" width="9.875" style="213" customWidth="1"/>
    <col min="13565" max="13565" width="8.875" style="213" customWidth="1"/>
    <col min="13566" max="13566" width="7.375" style="213" bestFit="1" customWidth="1"/>
    <col min="13567" max="13567" width="10.125" style="213" bestFit="1" customWidth="1"/>
    <col min="13568" max="13568" width="9.375" style="213"/>
    <col min="13569" max="13569" width="10.125" style="213" bestFit="1" customWidth="1"/>
    <col min="13570" max="13570" width="10.75" style="213" customWidth="1"/>
    <col min="13571" max="13573" width="9.375" style="213"/>
    <col min="13574" max="13575" width="10.75" style="213" customWidth="1"/>
    <col min="13576" max="13580" width="9.375" style="213"/>
    <col min="13581" max="13581" width="1.625" style="213" bestFit="1" customWidth="1"/>
    <col min="13582" max="13582" width="9.375" style="213"/>
    <col min="13583" max="13583" width="8.875" style="213" customWidth="1"/>
    <col min="13584" max="13584" width="13.125" style="213" customWidth="1"/>
    <col min="13585" max="13585" width="9.375" style="213"/>
    <col min="13586" max="13586" width="9.875" style="213" customWidth="1"/>
    <col min="13587" max="13587" width="11.75" style="213" bestFit="1" customWidth="1"/>
    <col min="13588" max="13817" width="9.375" style="213"/>
    <col min="13818" max="13818" width="5" style="213" customWidth="1"/>
    <col min="13819" max="13819" width="17.875" style="213" bestFit="1" customWidth="1"/>
    <col min="13820" max="13820" width="9.875" style="213" customWidth="1"/>
    <col min="13821" max="13821" width="8.875" style="213" customWidth="1"/>
    <col min="13822" max="13822" width="7.375" style="213" bestFit="1" customWidth="1"/>
    <col min="13823" max="13823" width="10.125" style="213" bestFit="1" customWidth="1"/>
    <col min="13824" max="13824" width="9.375" style="213"/>
    <col min="13825" max="13825" width="10.125" style="213" bestFit="1" customWidth="1"/>
    <col min="13826" max="13826" width="10.75" style="213" customWidth="1"/>
    <col min="13827" max="13829" width="9.375" style="213"/>
    <col min="13830" max="13831" width="10.75" style="213" customWidth="1"/>
    <col min="13832" max="13836" width="9.375" style="213"/>
    <col min="13837" max="13837" width="1.625" style="213" bestFit="1" customWidth="1"/>
    <col min="13838" max="13838" width="9.375" style="213"/>
    <col min="13839" max="13839" width="8.875" style="213" customWidth="1"/>
    <col min="13840" max="13840" width="13.125" style="213" customWidth="1"/>
    <col min="13841" max="13841" width="9.375" style="213"/>
    <col min="13842" max="13842" width="9.875" style="213" customWidth="1"/>
    <col min="13843" max="13843" width="11.75" style="213" bestFit="1" customWidth="1"/>
    <col min="13844" max="14073" width="9.375" style="213"/>
    <col min="14074" max="14074" width="5" style="213" customWidth="1"/>
    <col min="14075" max="14075" width="17.875" style="213" bestFit="1" customWidth="1"/>
    <col min="14076" max="14076" width="9.875" style="213" customWidth="1"/>
    <col min="14077" max="14077" width="8.875" style="213" customWidth="1"/>
    <col min="14078" max="14078" width="7.375" style="213" bestFit="1" customWidth="1"/>
    <col min="14079" max="14079" width="10.125" style="213" bestFit="1" customWidth="1"/>
    <col min="14080" max="14080" width="9.375" style="213"/>
    <col min="14081" max="14081" width="10.125" style="213" bestFit="1" customWidth="1"/>
    <col min="14082" max="14082" width="10.75" style="213" customWidth="1"/>
    <col min="14083" max="14085" width="9.375" style="213"/>
    <col min="14086" max="14087" width="10.75" style="213" customWidth="1"/>
    <col min="14088" max="14092" width="9.375" style="213"/>
    <col min="14093" max="14093" width="1.625" style="213" bestFit="1" customWidth="1"/>
    <col min="14094" max="14094" width="9.375" style="213"/>
    <col min="14095" max="14095" width="8.875" style="213" customWidth="1"/>
    <col min="14096" max="14096" width="13.125" style="213" customWidth="1"/>
    <col min="14097" max="14097" width="9.375" style="213"/>
    <col min="14098" max="14098" width="9.875" style="213" customWidth="1"/>
    <col min="14099" max="14099" width="11.75" style="213" bestFit="1" customWidth="1"/>
    <col min="14100" max="14329" width="9.375" style="213"/>
    <col min="14330" max="14330" width="5" style="213" customWidth="1"/>
    <col min="14331" max="14331" width="17.875" style="213" bestFit="1" customWidth="1"/>
    <col min="14332" max="14332" width="9.875" style="213" customWidth="1"/>
    <col min="14333" max="14333" width="8.875" style="213" customWidth="1"/>
    <col min="14334" max="14334" width="7.375" style="213" bestFit="1" customWidth="1"/>
    <col min="14335" max="14335" width="10.125" style="213" bestFit="1" customWidth="1"/>
    <col min="14336" max="14336" width="9.375" style="213"/>
    <col min="14337" max="14337" width="10.125" style="213" bestFit="1" customWidth="1"/>
    <col min="14338" max="14338" width="10.75" style="213" customWidth="1"/>
    <col min="14339" max="14341" width="9.375" style="213"/>
    <col min="14342" max="14343" width="10.75" style="213" customWidth="1"/>
    <col min="14344" max="14348" width="9.375" style="213"/>
    <col min="14349" max="14349" width="1.625" style="213" bestFit="1" customWidth="1"/>
    <col min="14350" max="14350" width="9.375" style="213"/>
    <col min="14351" max="14351" width="8.875" style="213" customWidth="1"/>
    <col min="14352" max="14352" width="13.125" style="213" customWidth="1"/>
    <col min="14353" max="14353" width="9.375" style="213"/>
    <col min="14354" max="14354" width="9.875" style="213" customWidth="1"/>
    <col min="14355" max="14355" width="11.75" style="213" bestFit="1" customWidth="1"/>
    <col min="14356" max="14585" width="9.375" style="213"/>
    <col min="14586" max="14586" width="5" style="213" customWidth="1"/>
    <col min="14587" max="14587" width="17.875" style="213" bestFit="1" customWidth="1"/>
    <col min="14588" max="14588" width="9.875" style="213" customWidth="1"/>
    <col min="14589" max="14589" width="8.875" style="213" customWidth="1"/>
    <col min="14590" max="14590" width="7.375" style="213" bestFit="1" customWidth="1"/>
    <col min="14591" max="14591" width="10.125" style="213" bestFit="1" customWidth="1"/>
    <col min="14592" max="14592" width="9.375" style="213"/>
    <col min="14593" max="14593" width="10.125" style="213" bestFit="1" customWidth="1"/>
    <col min="14594" max="14594" width="10.75" style="213" customWidth="1"/>
    <col min="14595" max="14597" width="9.375" style="213"/>
    <col min="14598" max="14599" width="10.75" style="213" customWidth="1"/>
    <col min="14600" max="14604" width="9.375" style="213"/>
    <col min="14605" max="14605" width="1.625" style="213" bestFit="1" customWidth="1"/>
    <col min="14606" max="14606" width="9.375" style="213"/>
    <col min="14607" max="14607" width="8.875" style="213" customWidth="1"/>
    <col min="14608" max="14608" width="13.125" style="213" customWidth="1"/>
    <col min="14609" max="14609" width="9.375" style="213"/>
    <col min="14610" max="14610" width="9.875" style="213" customWidth="1"/>
    <col min="14611" max="14611" width="11.75" style="213" bestFit="1" customWidth="1"/>
    <col min="14612" max="14841" width="9.375" style="213"/>
    <col min="14842" max="14842" width="5" style="213" customWidth="1"/>
    <col min="14843" max="14843" width="17.875" style="213" bestFit="1" customWidth="1"/>
    <col min="14844" max="14844" width="9.875" style="213" customWidth="1"/>
    <col min="14845" max="14845" width="8.875" style="213" customWidth="1"/>
    <col min="14846" max="14846" width="7.375" style="213" bestFit="1" customWidth="1"/>
    <col min="14847" max="14847" width="10.125" style="213" bestFit="1" customWidth="1"/>
    <col min="14848" max="14848" width="9.375" style="213"/>
    <col min="14849" max="14849" width="10.125" style="213" bestFit="1" customWidth="1"/>
    <col min="14850" max="14850" width="10.75" style="213" customWidth="1"/>
    <col min="14851" max="14853" width="9.375" style="213"/>
    <col min="14854" max="14855" width="10.75" style="213" customWidth="1"/>
    <col min="14856" max="14860" width="9.375" style="213"/>
    <col min="14861" max="14861" width="1.625" style="213" bestFit="1" customWidth="1"/>
    <col min="14862" max="14862" width="9.375" style="213"/>
    <col min="14863" max="14863" width="8.875" style="213" customWidth="1"/>
    <col min="14864" max="14864" width="13.125" style="213" customWidth="1"/>
    <col min="14865" max="14865" width="9.375" style="213"/>
    <col min="14866" max="14866" width="9.875" style="213" customWidth="1"/>
    <col min="14867" max="14867" width="11.75" style="213" bestFit="1" customWidth="1"/>
    <col min="14868" max="15097" width="9.375" style="213"/>
    <col min="15098" max="15098" width="5" style="213" customWidth="1"/>
    <col min="15099" max="15099" width="17.875" style="213" bestFit="1" customWidth="1"/>
    <col min="15100" max="15100" width="9.875" style="213" customWidth="1"/>
    <col min="15101" max="15101" width="8.875" style="213" customWidth="1"/>
    <col min="15102" max="15102" width="7.375" style="213" bestFit="1" customWidth="1"/>
    <col min="15103" max="15103" width="10.125" style="213" bestFit="1" customWidth="1"/>
    <col min="15104" max="15104" width="9.375" style="213"/>
    <col min="15105" max="15105" width="10.125" style="213" bestFit="1" customWidth="1"/>
    <col min="15106" max="15106" width="10.75" style="213" customWidth="1"/>
    <col min="15107" max="15109" width="9.375" style="213"/>
    <col min="15110" max="15111" width="10.75" style="213" customWidth="1"/>
    <col min="15112" max="15116" width="9.375" style="213"/>
    <col min="15117" max="15117" width="1.625" style="213" bestFit="1" customWidth="1"/>
    <col min="15118" max="15118" width="9.375" style="213"/>
    <col min="15119" max="15119" width="8.875" style="213" customWidth="1"/>
    <col min="15120" max="15120" width="13.125" style="213" customWidth="1"/>
    <col min="15121" max="15121" width="9.375" style="213"/>
    <col min="15122" max="15122" width="9.875" style="213" customWidth="1"/>
    <col min="15123" max="15123" width="11.75" style="213" bestFit="1" customWidth="1"/>
    <col min="15124" max="15353" width="9.375" style="213"/>
    <col min="15354" max="15354" width="5" style="213" customWidth="1"/>
    <col min="15355" max="15355" width="17.875" style="213" bestFit="1" customWidth="1"/>
    <col min="15356" max="15356" width="9.875" style="213" customWidth="1"/>
    <col min="15357" max="15357" width="8.875" style="213" customWidth="1"/>
    <col min="15358" max="15358" width="7.375" style="213" bestFit="1" customWidth="1"/>
    <col min="15359" max="15359" width="10.125" style="213" bestFit="1" customWidth="1"/>
    <col min="15360" max="15360" width="9.375" style="213"/>
    <col min="15361" max="15361" width="10.125" style="213" bestFit="1" customWidth="1"/>
    <col min="15362" max="15362" width="10.75" style="213" customWidth="1"/>
    <col min="15363" max="15365" width="9.375" style="213"/>
    <col min="15366" max="15367" width="10.75" style="213" customWidth="1"/>
    <col min="15368" max="15372" width="9.375" style="213"/>
    <col min="15373" max="15373" width="1.625" style="213" bestFit="1" customWidth="1"/>
    <col min="15374" max="15374" width="9.375" style="213"/>
    <col min="15375" max="15375" width="8.875" style="213" customWidth="1"/>
    <col min="15376" max="15376" width="13.125" style="213" customWidth="1"/>
    <col min="15377" max="15377" width="9.375" style="213"/>
    <col min="15378" max="15378" width="9.875" style="213" customWidth="1"/>
    <col min="15379" max="15379" width="11.75" style="213" bestFit="1" customWidth="1"/>
    <col min="15380" max="15609" width="9.375" style="213"/>
    <col min="15610" max="15610" width="5" style="213" customWidth="1"/>
    <col min="15611" max="15611" width="17.875" style="213" bestFit="1" customWidth="1"/>
    <col min="15612" max="15612" width="9.875" style="213" customWidth="1"/>
    <col min="15613" max="15613" width="8.875" style="213" customWidth="1"/>
    <col min="15614" max="15614" width="7.375" style="213" bestFit="1" customWidth="1"/>
    <col min="15615" max="15615" width="10.125" style="213" bestFit="1" customWidth="1"/>
    <col min="15616" max="15616" width="9.375" style="213"/>
    <col min="15617" max="15617" width="10.125" style="213" bestFit="1" customWidth="1"/>
    <col min="15618" max="15618" width="10.75" style="213" customWidth="1"/>
    <col min="15619" max="15621" width="9.375" style="213"/>
    <col min="15622" max="15623" width="10.75" style="213" customWidth="1"/>
    <col min="15624" max="15628" width="9.375" style="213"/>
    <col min="15629" max="15629" width="1.625" style="213" bestFit="1" customWidth="1"/>
    <col min="15630" max="15630" width="9.375" style="213"/>
    <col min="15631" max="15631" width="8.875" style="213" customWidth="1"/>
    <col min="15632" max="15632" width="13.125" style="213" customWidth="1"/>
    <col min="15633" max="15633" width="9.375" style="213"/>
    <col min="15634" max="15634" width="9.875" style="213" customWidth="1"/>
    <col min="15635" max="15635" width="11.75" style="213" bestFit="1" customWidth="1"/>
    <col min="15636" max="15865" width="9.375" style="213"/>
    <col min="15866" max="15866" width="5" style="213" customWidth="1"/>
    <col min="15867" max="15867" width="17.875" style="213" bestFit="1" customWidth="1"/>
    <col min="15868" max="15868" width="9.875" style="213" customWidth="1"/>
    <col min="15869" max="15869" width="8.875" style="213" customWidth="1"/>
    <col min="15870" max="15870" width="7.375" style="213" bestFit="1" customWidth="1"/>
    <col min="15871" max="15871" width="10.125" style="213" bestFit="1" customWidth="1"/>
    <col min="15872" max="15872" width="9.375" style="213"/>
    <col min="15873" max="15873" width="10.125" style="213" bestFit="1" customWidth="1"/>
    <col min="15874" max="15874" width="10.75" style="213" customWidth="1"/>
    <col min="15875" max="15877" width="9.375" style="213"/>
    <col min="15878" max="15879" width="10.75" style="213" customWidth="1"/>
    <col min="15880" max="15884" width="9.375" style="213"/>
    <col min="15885" max="15885" width="1.625" style="213" bestFit="1" customWidth="1"/>
    <col min="15886" max="15886" width="9.375" style="213"/>
    <col min="15887" max="15887" width="8.875" style="213" customWidth="1"/>
    <col min="15888" max="15888" width="13.125" style="213" customWidth="1"/>
    <col min="15889" max="15889" width="9.375" style="213"/>
    <col min="15890" max="15890" width="9.875" style="213" customWidth="1"/>
    <col min="15891" max="15891" width="11.75" style="213" bestFit="1" customWidth="1"/>
    <col min="15892" max="16121" width="9.375" style="213"/>
    <col min="16122" max="16122" width="5" style="213" customWidth="1"/>
    <col min="16123" max="16123" width="17.875" style="213" bestFit="1" customWidth="1"/>
    <col min="16124" max="16124" width="9.875" style="213" customWidth="1"/>
    <col min="16125" max="16125" width="8.875" style="213" customWidth="1"/>
    <col min="16126" max="16126" width="7.375" style="213" bestFit="1" customWidth="1"/>
    <col min="16127" max="16127" width="10.125" style="213" bestFit="1" customWidth="1"/>
    <col min="16128" max="16128" width="9.375" style="213"/>
    <col min="16129" max="16129" width="10.125" style="213" bestFit="1" customWidth="1"/>
    <col min="16130" max="16130" width="10.75" style="213" customWidth="1"/>
    <col min="16131" max="16133" width="9.375" style="213"/>
    <col min="16134" max="16135" width="10.75" style="213" customWidth="1"/>
    <col min="16136" max="16140" width="9.375" style="213"/>
    <col min="16141" max="16141" width="1.625" style="213" bestFit="1" customWidth="1"/>
    <col min="16142" max="16142" width="9.375" style="213"/>
    <col min="16143" max="16143" width="8.875" style="213" customWidth="1"/>
    <col min="16144" max="16144" width="13.125" style="213" customWidth="1"/>
    <col min="16145" max="16145" width="9.375" style="213"/>
    <col min="16146" max="16146" width="9.875" style="213" customWidth="1"/>
    <col min="16147" max="16147" width="11.75" style="213" bestFit="1" customWidth="1"/>
    <col min="16148" max="16384" width="9.375" style="213"/>
  </cols>
  <sheetData>
    <row r="1" spans="1:22" s="43" customFormat="1" ht="21" x14ac:dyDescent="0.2">
      <c r="A1" s="202" t="s">
        <v>490</v>
      </c>
      <c r="B1" s="42"/>
      <c r="C1" s="42"/>
      <c r="D1" s="208"/>
      <c r="E1" s="208"/>
      <c r="F1" s="208"/>
      <c r="G1" s="208"/>
      <c r="H1" s="209"/>
      <c r="I1" s="209"/>
      <c r="J1" s="209"/>
      <c r="K1" s="209"/>
      <c r="L1" s="209"/>
      <c r="M1" s="209"/>
      <c r="O1" s="209"/>
      <c r="P1" s="210"/>
      <c r="Q1" s="56"/>
      <c r="R1" s="210"/>
      <c r="S1" s="210"/>
      <c r="T1" s="56"/>
      <c r="U1" s="56"/>
      <c r="V1" s="56"/>
    </row>
    <row r="2" spans="1:22" s="53" customFormat="1" ht="21" x14ac:dyDescent="0.35">
      <c r="A2" s="25" t="str">
        <f>Paramètres!B5</f>
        <v>Décompte provisoire 2020</v>
      </c>
      <c r="P2" s="212"/>
      <c r="Q2" s="211"/>
      <c r="R2" s="212"/>
      <c r="S2" s="212"/>
      <c r="T2" s="211"/>
      <c r="U2" s="211"/>
      <c r="V2" s="211"/>
    </row>
    <row r="4" spans="1:22" s="225" customFormat="1" ht="120" x14ac:dyDescent="0.2">
      <c r="A4" s="634" t="s">
        <v>46</v>
      </c>
      <c r="B4" s="634" t="s">
        <v>96</v>
      </c>
      <c r="C4" s="634" t="s">
        <v>485</v>
      </c>
      <c r="D4" s="634" t="s">
        <v>304</v>
      </c>
      <c r="E4" s="634" t="s">
        <v>481</v>
      </c>
      <c r="F4" s="634" t="s">
        <v>486</v>
      </c>
      <c r="G4" s="634" t="s">
        <v>452</v>
      </c>
      <c r="H4" s="636" t="s">
        <v>341</v>
      </c>
      <c r="I4" s="228" t="s">
        <v>491</v>
      </c>
      <c r="J4" s="634" t="s">
        <v>534</v>
      </c>
      <c r="K4" s="634" t="s">
        <v>487</v>
      </c>
      <c r="L4" s="634" t="s">
        <v>488</v>
      </c>
      <c r="M4" s="634" t="s">
        <v>545</v>
      </c>
      <c r="N4" s="228" t="s">
        <v>544</v>
      </c>
      <c r="O4" s="634" t="s">
        <v>489</v>
      </c>
      <c r="P4" s="223"/>
      <c r="Q4" s="222"/>
      <c r="R4" s="223"/>
      <c r="S4" s="224"/>
      <c r="T4" s="222"/>
      <c r="U4" s="222"/>
      <c r="V4" s="222"/>
    </row>
    <row r="5" spans="1:22" s="225" customFormat="1" x14ac:dyDescent="0.2">
      <c r="A5" s="635"/>
      <c r="B5" s="635"/>
      <c r="C5" s="635"/>
      <c r="D5" s="635"/>
      <c r="E5" s="635"/>
      <c r="F5" s="635"/>
      <c r="G5" s="635"/>
      <c r="H5" s="637"/>
      <c r="I5" s="442">
        <f>Paramètres!B66</f>
        <v>2</v>
      </c>
      <c r="J5" s="635"/>
      <c r="K5" s="635"/>
      <c r="L5" s="635"/>
      <c r="M5" s="635"/>
      <c r="N5" s="441">
        <f>+N315/M315</f>
        <v>1.1745149135822899</v>
      </c>
      <c r="O5" s="635"/>
      <c r="P5" s="224"/>
      <c r="Q5" s="222"/>
      <c r="R5" s="224"/>
      <c r="S5" s="224"/>
      <c r="T5" s="222"/>
      <c r="U5" s="222"/>
      <c r="V5" s="222"/>
    </row>
    <row r="6" spans="1:22" x14ac:dyDescent="0.25">
      <c r="A6" s="308">
        <f>'A) Base RI'!A7</f>
        <v>5401</v>
      </c>
      <c r="B6" s="226" t="str">
        <f>'A) Base RI'!B7</f>
        <v>Aigle</v>
      </c>
      <c r="C6" s="242">
        <v>1</v>
      </c>
      <c r="D6" s="216">
        <f>'B) D RI'!AA7</f>
        <v>10518</v>
      </c>
      <c r="E6" s="217">
        <f>'B) D RI'!S7</f>
        <v>66</v>
      </c>
      <c r="F6" s="10">
        <f>'B) D RI'!R7</f>
        <v>18791770.93</v>
      </c>
      <c r="G6" s="10">
        <f>'B) D RI'!U7</f>
        <v>284723.80196969694</v>
      </c>
      <c r="H6" s="41">
        <f>'B) D RI'!T7</f>
        <v>16819663.030000001</v>
      </c>
      <c r="I6" s="54">
        <f>+H6/E6*$I$5</f>
        <v>509686.75848484854</v>
      </c>
      <c r="J6" s="86">
        <f>+$I$315/$D$315*D6</f>
        <v>936392.23413798516</v>
      </c>
      <c r="K6" s="54">
        <f t="shared" ref="K6:K69" si="0">IF(C6=1,0,IF(J6&gt;I6,I6,J6))</f>
        <v>0</v>
      </c>
      <c r="L6" s="54">
        <f>+J6-K6</f>
        <v>936392.23413798516</v>
      </c>
      <c r="M6" s="54">
        <f>'D) Ecrêtage'!C5</f>
        <v>284723.80196969694</v>
      </c>
      <c r="N6" s="54">
        <f t="shared" ref="N6:N37" si="1">+$N$5*M6</f>
        <v>334412.35166525963</v>
      </c>
      <c r="O6" s="100">
        <f>+N6+K6</f>
        <v>334412.35166525963</v>
      </c>
      <c r="P6" s="432"/>
      <c r="Q6" s="219"/>
      <c r="T6" s="220"/>
    </row>
    <row r="7" spans="1:22" x14ac:dyDescent="0.25">
      <c r="A7" s="309">
        <f>'A) Base RI'!A8</f>
        <v>5402</v>
      </c>
      <c r="B7" s="227" t="str">
        <f>'A) Base RI'!B8</f>
        <v>Bex</v>
      </c>
      <c r="C7" s="243">
        <v>1</v>
      </c>
      <c r="D7" s="216">
        <f>'B) D RI'!AA8</f>
        <v>7828</v>
      </c>
      <c r="E7" s="217">
        <f>'B) D RI'!S8</f>
        <v>71</v>
      </c>
      <c r="F7" s="10">
        <f>'B) D RI'!R8</f>
        <v>12727403.439999999</v>
      </c>
      <c r="G7" s="10">
        <f>'B) D RI'!U8</f>
        <v>179259.20338028169</v>
      </c>
      <c r="H7" s="41">
        <f>'B) D RI'!T8</f>
        <v>11289216.689999999</v>
      </c>
      <c r="I7" s="10">
        <f t="shared" ref="I7:I70" si="2">+H7/E7*$I$5</f>
        <v>318006.10394366196</v>
      </c>
      <c r="J7" s="31">
        <f t="shared" ref="J7:J37" si="3">+$I$315/$D$315*D7</f>
        <v>696908.00616392354</v>
      </c>
      <c r="K7" s="10">
        <f t="shared" si="0"/>
        <v>0</v>
      </c>
      <c r="L7" s="10">
        <f t="shared" ref="L7:L70" si="4">+J7-K7</f>
        <v>696908.00616392354</v>
      </c>
      <c r="M7" s="10">
        <f>'D) Ecrêtage'!C6</f>
        <v>179259.20338028169</v>
      </c>
      <c r="N7" s="10">
        <f t="shared" si="1"/>
        <v>210542.60776702166</v>
      </c>
      <c r="O7" s="55">
        <f t="shared" ref="O7:O69" si="5">+N7+K7</f>
        <v>210542.60776702166</v>
      </c>
      <c r="P7" s="218"/>
      <c r="Q7" s="219"/>
      <c r="T7" s="220"/>
    </row>
    <row r="8" spans="1:22" x14ac:dyDescent="0.25">
      <c r="A8" s="309">
        <f>'A) Base RI'!A9</f>
        <v>5403</v>
      </c>
      <c r="B8" s="227" t="str">
        <f>'A) Base RI'!B9</f>
        <v>Chessel</v>
      </c>
      <c r="C8" s="243">
        <v>0</v>
      </c>
      <c r="D8" s="216">
        <f>'B) D RI'!AA9</f>
        <v>444</v>
      </c>
      <c r="E8" s="217">
        <f>'B) D RI'!S9</f>
        <v>74</v>
      </c>
      <c r="F8" s="10">
        <f>'B) D RI'!R9</f>
        <v>799032.78000000014</v>
      </c>
      <c r="G8" s="10">
        <f>'B) D RI'!U9</f>
        <v>10797.740270270273</v>
      </c>
      <c r="H8" s="41">
        <f>'B) D RI'!T9</f>
        <v>709235.9800000001</v>
      </c>
      <c r="I8" s="10">
        <f t="shared" si="2"/>
        <v>19168.54</v>
      </c>
      <c r="J8" s="31">
        <f t="shared" si="3"/>
        <v>39528.251754826524</v>
      </c>
      <c r="K8" s="10">
        <f t="shared" si="0"/>
        <v>19168.54</v>
      </c>
      <c r="L8" s="10">
        <f t="shared" si="4"/>
        <v>20359.711754826523</v>
      </c>
      <c r="M8" s="10">
        <f>'D) Ecrêtage'!C7</f>
        <v>10797.740270270273</v>
      </c>
      <c r="N8" s="10">
        <f t="shared" si="1"/>
        <v>12682.106980420502</v>
      </c>
      <c r="O8" s="55">
        <f t="shared" si="5"/>
        <v>31850.646980420504</v>
      </c>
      <c r="P8" s="433"/>
      <c r="Q8" s="219"/>
      <c r="T8" s="220"/>
    </row>
    <row r="9" spans="1:22" x14ac:dyDescent="0.25">
      <c r="A9" s="309">
        <f>'A) Base RI'!A10</f>
        <v>5404</v>
      </c>
      <c r="B9" s="227" t="str">
        <f>'A) Base RI'!B10</f>
        <v>Corbeyrier</v>
      </c>
      <c r="C9" s="243">
        <v>0</v>
      </c>
      <c r="D9" s="216">
        <f>'B) D RI'!AA10</f>
        <v>445</v>
      </c>
      <c r="E9" s="217">
        <f>'B) D RI'!S10</f>
        <v>74</v>
      </c>
      <c r="F9" s="10">
        <f>'B) D RI'!R10</f>
        <v>833822.4</v>
      </c>
      <c r="G9" s="10">
        <f>'B) D RI'!U10</f>
        <v>11267.87027027027</v>
      </c>
      <c r="H9" s="41">
        <f>'B) D RI'!T10</f>
        <v>742332.35</v>
      </c>
      <c r="I9" s="10">
        <f t="shared" si="2"/>
        <v>20063.036486486486</v>
      </c>
      <c r="J9" s="31">
        <f t="shared" si="3"/>
        <v>39617.279348868928</v>
      </c>
      <c r="K9" s="10">
        <f t="shared" si="0"/>
        <v>20063.036486486486</v>
      </c>
      <c r="L9" s="10">
        <f t="shared" si="4"/>
        <v>19554.242862382442</v>
      </c>
      <c r="M9" s="10">
        <f>'D) Ecrêtage'!C8</f>
        <v>11267.87027027027</v>
      </c>
      <c r="N9" s="10">
        <f t="shared" si="1"/>
        <v>13234.281676742939</v>
      </c>
      <c r="O9" s="55">
        <f t="shared" si="5"/>
        <v>33297.318163229429</v>
      </c>
      <c r="P9" s="218"/>
      <c r="Q9" s="219"/>
      <c r="T9" s="220"/>
    </row>
    <row r="10" spans="1:22" x14ac:dyDescent="0.25">
      <c r="A10" s="309">
        <f>'A) Base RI'!A11</f>
        <v>5405</v>
      </c>
      <c r="B10" s="227" t="str">
        <f>'A) Base RI'!B11</f>
        <v>Gryon</v>
      </c>
      <c r="C10" s="243">
        <v>0</v>
      </c>
      <c r="D10" s="216">
        <f>'B) D RI'!AA11</f>
        <v>1378</v>
      </c>
      <c r="E10" s="217">
        <f>'B) D RI'!S11</f>
        <v>73.5</v>
      </c>
      <c r="F10" s="10">
        <f>'B) D RI'!R11</f>
        <v>5011655.8600000013</v>
      </c>
      <c r="G10" s="10">
        <f>'B) D RI'!U11</f>
        <v>68185.794013605453</v>
      </c>
      <c r="H10" s="41">
        <f>'B) D RI'!T11</f>
        <v>4474442.7100000009</v>
      </c>
      <c r="I10" s="10">
        <f t="shared" si="2"/>
        <v>121753.54312925173</v>
      </c>
      <c r="J10" s="31">
        <f t="shared" si="3"/>
        <v>122680.02459043007</v>
      </c>
      <c r="K10" s="10">
        <f t="shared" si="0"/>
        <v>121753.54312925173</v>
      </c>
      <c r="L10" s="10">
        <f t="shared" si="4"/>
        <v>926.48146117833676</v>
      </c>
      <c r="M10" s="10">
        <f>'D) Ecrêtage'!C9</f>
        <v>68185.794013605453</v>
      </c>
      <c r="N10" s="10">
        <f t="shared" si="1"/>
        <v>80085.231963429629</v>
      </c>
      <c r="O10" s="55">
        <f t="shared" si="5"/>
        <v>201838.77509268135</v>
      </c>
      <c r="P10" s="218"/>
      <c r="Q10" s="219"/>
      <c r="T10" s="220"/>
    </row>
    <row r="11" spans="1:22" x14ac:dyDescent="0.25">
      <c r="A11" s="309">
        <f>'A) Base RI'!A12</f>
        <v>5406</v>
      </c>
      <c r="B11" s="227" t="str">
        <f>'A) Base RI'!B12</f>
        <v>Lavey-Morcles</v>
      </c>
      <c r="C11" s="243">
        <v>0</v>
      </c>
      <c r="D11" s="216">
        <f>'B) D RI'!AA12</f>
        <v>944</v>
      </c>
      <c r="E11" s="217">
        <f>'B) D RI'!S12</f>
        <v>71.5</v>
      </c>
      <c r="F11" s="10">
        <f>'B) D RI'!R12</f>
        <v>1561741.9723076925</v>
      </c>
      <c r="G11" s="10">
        <f>'B) D RI'!U12</f>
        <v>21842.545067240455</v>
      </c>
      <c r="H11" s="41">
        <f>'B) D RI'!T12</f>
        <v>1401606.2300000002</v>
      </c>
      <c r="I11" s="10">
        <f t="shared" si="2"/>
        <v>39205.768671328675</v>
      </c>
      <c r="J11" s="31">
        <f t="shared" si="3"/>
        <v>84042.048776027572</v>
      </c>
      <c r="K11" s="10">
        <f t="shared" si="0"/>
        <v>39205.768671328675</v>
      </c>
      <c r="L11" s="10">
        <f t="shared" si="4"/>
        <v>44836.280104698897</v>
      </c>
      <c r="M11" s="10">
        <f>'D) Ecrêtage'!C10</f>
        <v>21842.545067240455</v>
      </c>
      <c r="N11" s="10">
        <f t="shared" si="1"/>
        <v>25654.394932067196</v>
      </c>
      <c r="O11" s="55">
        <f t="shared" si="5"/>
        <v>64860.163603395871</v>
      </c>
      <c r="P11" s="218"/>
      <c r="Q11" s="219"/>
      <c r="T11" s="220"/>
    </row>
    <row r="12" spans="1:22" x14ac:dyDescent="0.25">
      <c r="A12" s="309">
        <f>'A) Base RI'!A13</f>
        <v>5407</v>
      </c>
      <c r="B12" s="227" t="str">
        <f>'A) Base RI'!B13</f>
        <v>Leysin</v>
      </c>
      <c r="C12" s="243">
        <v>0</v>
      </c>
      <c r="D12" s="216">
        <f>'B) D RI'!AA13</f>
        <v>3645</v>
      </c>
      <c r="E12" s="217">
        <f>'B) D RI'!S13</f>
        <v>78</v>
      </c>
      <c r="F12" s="10">
        <f>'B) D RI'!R13</f>
        <v>7051794.9766666675</v>
      </c>
      <c r="G12" s="10">
        <f>'B) D RI'!U13</f>
        <v>90407.62790598291</v>
      </c>
      <c r="H12" s="41">
        <f>'B) D RI'!T13</f>
        <v>6156860.8100000005</v>
      </c>
      <c r="I12" s="10">
        <f t="shared" si="2"/>
        <v>157868.22589743591</v>
      </c>
      <c r="J12" s="31">
        <f t="shared" si="3"/>
        <v>324505.58028455562</v>
      </c>
      <c r="K12" s="10">
        <f t="shared" si="0"/>
        <v>157868.22589743591</v>
      </c>
      <c r="L12" s="10">
        <f t="shared" si="4"/>
        <v>166637.3543871197</v>
      </c>
      <c r="M12" s="10">
        <f>'D) Ecrêtage'!C11</f>
        <v>90407.62790598291</v>
      </c>
      <c r="N12" s="10">
        <f t="shared" si="1"/>
        <v>106185.10727717534</v>
      </c>
      <c r="O12" s="55">
        <f t="shared" si="5"/>
        <v>264053.33317461127</v>
      </c>
      <c r="P12" s="218"/>
      <c r="Q12" s="219"/>
      <c r="T12" s="220"/>
    </row>
    <row r="13" spans="1:22" x14ac:dyDescent="0.25">
      <c r="A13" s="309">
        <f>'A) Base RI'!A14</f>
        <v>5408</v>
      </c>
      <c r="B13" s="227" t="str">
        <f>'A) Base RI'!B14</f>
        <v>Noville</v>
      </c>
      <c r="C13" s="243">
        <v>0</v>
      </c>
      <c r="D13" s="216">
        <f>'B) D RI'!AA14</f>
        <v>1170</v>
      </c>
      <c r="E13" s="217">
        <f>'B) D RI'!S14</f>
        <v>78.5</v>
      </c>
      <c r="F13" s="10">
        <f>'B) D RI'!R14</f>
        <v>3441443.5733333328</v>
      </c>
      <c r="G13" s="10">
        <f>'B) D RI'!U14</f>
        <v>43840.045520169842</v>
      </c>
      <c r="H13" s="41">
        <f>'B) D RI'!T14</f>
        <v>3072148.0399999996</v>
      </c>
      <c r="I13" s="10">
        <f t="shared" si="2"/>
        <v>78271.287643312098</v>
      </c>
      <c r="J13" s="31">
        <f t="shared" si="3"/>
        <v>104162.28502961044</v>
      </c>
      <c r="K13" s="10">
        <f t="shared" si="0"/>
        <v>78271.287643312098</v>
      </c>
      <c r="L13" s="10">
        <f t="shared" si="4"/>
        <v>25890.997386298346</v>
      </c>
      <c r="M13" s="10">
        <f>'D) Ecrêtage'!C12</f>
        <v>43840.045520169842</v>
      </c>
      <c r="N13" s="10">
        <f t="shared" si="1"/>
        <v>51490.787275565934</v>
      </c>
      <c r="O13" s="55">
        <f t="shared" si="5"/>
        <v>129762.07491887803</v>
      </c>
      <c r="P13" s="218"/>
      <c r="Q13" s="219"/>
      <c r="T13" s="220"/>
    </row>
    <row r="14" spans="1:22" x14ac:dyDescent="0.25">
      <c r="A14" s="309">
        <f>'A) Base RI'!A15</f>
        <v>5409</v>
      </c>
      <c r="B14" s="227" t="str">
        <f>'A) Base RI'!B15</f>
        <v>Ollon</v>
      </c>
      <c r="C14" s="243">
        <v>1</v>
      </c>
      <c r="D14" s="216">
        <f>'B) D RI'!AA15</f>
        <v>7634</v>
      </c>
      <c r="E14" s="217">
        <f>'B) D RI'!S15</f>
        <v>68</v>
      </c>
      <c r="F14" s="10">
        <f>'B) D RI'!R15</f>
        <v>26464701.713846147</v>
      </c>
      <c r="G14" s="10">
        <f>'B) D RI'!U15</f>
        <v>389186.78990950214</v>
      </c>
      <c r="H14" s="41">
        <f>'B) D RI'!T15</f>
        <v>23181464.559999995</v>
      </c>
      <c r="I14" s="10">
        <f t="shared" si="2"/>
        <v>681807.78117647045</v>
      </c>
      <c r="J14" s="31">
        <f t="shared" si="3"/>
        <v>679636.65291969758</v>
      </c>
      <c r="K14" s="10">
        <f t="shared" si="0"/>
        <v>0</v>
      </c>
      <c r="L14" s="10">
        <f t="shared" si="4"/>
        <v>679636.65291969758</v>
      </c>
      <c r="M14" s="10">
        <f>'D) Ecrêtage'!C13</f>
        <v>389186.78990950214</v>
      </c>
      <c r="N14" s="10">
        <f t="shared" si="1"/>
        <v>457105.68891792774</v>
      </c>
      <c r="O14" s="55">
        <f t="shared" si="5"/>
        <v>457105.68891792774</v>
      </c>
      <c r="P14" s="218"/>
      <c r="Q14" s="219"/>
      <c r="T14" s="220"/>
    </row>
    <row r="15" spans="1:22" x14ac:dyDescent="0.25">
      <c r="A15" s="309">
        <f>'A) Base RI'!A16</f>
        <v>5410</v>
      </c>
      <c r="B15" s="227" t="str">
        <f>'A) Base RI'!B16</f>
        <v>Ormont-Dessous</v>
      </c>
      <c r="C15" s="243">
        <v>0</v>
      </c>
      <c r="D15" s="216">
        <f>'B) D RI'!AA16</f>
        <v>1180</v>
      </c>
      <c r="E15" s="217">
        <f>'B) D RI'!S16</f>
        <v>77</v>
      </c>
      <c r="F15" s="10">
        <f>'B) D RI'!R16</f>
        <v>3043235.9733333332</v>
      </c>
      <c r="G15" s="10">
        <f>'B) D RI'!U16</f>
        <v>39522.545108225109</v>
      </c>
      <c r="H15" s="41">
        <f>'B) D RI'!T16</f>
        <v>2649350.69</v>
      </c>
      <c r="I15" s="10">
        <f t="shared" si="2"/>
        <v>68814.303636363635</v>
      </c>
      <c r="J15" s="31">
        <f t="shared" si="3"/>
        <v>105052.56097003446</v>
      </c>
      <c r="K15" s="10">
        <f t="shared" si="0"/>
        <v>68814.303636363635</v>
      </c>
      <c r="L15" s="10">
        <f t="shared" si="4"/>
        <v>36238.25733367083</v>
      </c>
      <c r="M15" s="10">
        <f>'D) Ecrêtage'!C14</f>
        <v>39522.545108225109</v>
      </c>
      <c r="N15" s="10">
        <f t="shared" si="1"/>
        <v>46419.818652339171</v>
      </c>
      <c r="O15" s="55">
        <f t="shared" si="5"/>
        <v>115234.12228870281</v>
      </c>
      <c r="P15" s="218"/>
      <c r="Q15" s="219"/>
      <c r="T15" s="220"/>
    </row>
    <row r="16" spans="1:22" s="214" customFormat="1" x14ac:dyDescent="0.25">
      <c r="A16" s="309">
        <f>'A) Base RI'!A17</f>
        <v>5411</v>
      </c>
      <c r="B16" s="227" t="str">
        <f>'A) Base RI'!B17</f>
        <v>Ormont-Dessus</v>
      </c>
      <c r="C16" s="243">
        <v>0</v>
      </c>
      <c r="D16" s="216">
        <f>'B) D RI'!AA17</f>
        <v>1466</v>
      </c>
      <c r="E16" s="217">
        <f>'B) D RI'!S17</f>
        <v>76</v>
      </c>
      <c r="F16" s="10">
        <f>'B) D RI'!R17</f>
        <v>5171753.3000000007</v>
      </c>
      <c r="G16" s="10">
        <f>'B) D RI'!U17</f>
        <v>68049.385526315804</v>
      </c>
      <c r="H16" s="41">
        <f>'B) D RI'!T17</f>
        <v>4337735.8500000006</v>
      </c>
      <c r="I16" s="10">
        <f t="shared" si="2"/>
        <v>114150.94342105265</v>
      </c>
      <c r="J16" s="31">
        <f t="shared" si="3"/>
        <v>130514.45286616146</v>
      </c>
      <c r="K16" s="10">
        <f t="shared" si="0"/>
        <v>114150.94342105265</v>
      </c>
      <c r="L16" s="10">
        <f t="shared" si="4"/>
        <v>16363.509445108808</v>
      </c>
      <c r="M16" s="10">
        <f>'D) Ecrêtage'!C15</f>
        <v>68049.385526315804</v>
      </c>
      <c r="N16" s="10">
        <f t="shared" si="1"/>
        <v>79925.018160768741</v>
      </c>
      <c r="O16" s="55">
        <f t="shared" si="5"/>
        <v>194075.96158182138</v>
      </c>
      <c r="P16" s="218"/>
      <c r="Q16" s="219"/>
      <c r="R16" s="215"/>
      <c r="S16" s="215"/>
      <c r="T16" s="220"/>
    </row>
    <row r="17" spans="1:20" s="214" customFormat="1" x14ac:dyDescent="0.25">
      <c r="A17" s="309">
        <f>'A) Base RI'!A18</f>
        <v>5412</v>
      </c>
      <c r="B17" s="227" t="str">
        <f>'A) Base RI'!B18</f>
        <v>Rennaz</v>
      </c>
      <c r="C17" s="243">
        <v>0</v>
      </c>
      <c r="D17" s="216">
        <f>'B) D RI'!AA18</f>
        <v>889</v>
      </c>
      <c r="E17" s="217">
        <f>'B) D RI'!S18</f>
        <v>69</v>
      </c>
      <c r="F17" s="10">
        <f>'B) D RI'!R18</f>
        <v>1674475.42</v>
      </c>
      <c r="G17" s="10">
        <f>'B) D RI'!U18</f>
        <v>24267.759710144928</v>
      </c>
      <c r="H17" s="41">
        <f>'B) D RI'!T18</f>
        <v>1416477.77</v>
      </c>
      <c r="I17" s="10">
        <f t="shared" si="2"/>
        <v>41057.326666666668</v>
      </c>
      <c r="J17" s="31">
        <f t="shared" si="3"/>
        <v>79145.531103695452</v>
      </c>
      <c r="K17" s="10">
        <f t="shared" si="0"/>
        <v>41057.326666666668</v>
      </c>
      <c r="L17" s="10">
        <f t="shared" si="4"/>
        <v>38088.204437028784</v>
      </c>
      <c r="M17" s="10">
        <f>'D) Ecrêtage'!C16</f>
        <v>24267.759710144928</v>
      </c>
      <c r="N17" s="10">
        <f t="shared" si="1"/>
        <v>28502.845698796646</v>
      </c>
      <c r="O17" s="55">
        <f t="shared" si="5"/>
        <v>69560.17236546331</v>
      </c>
      <c r="P17" s="218"/>
      <c r="Q17" s="219"/>
      <c r="R17" s="215"/>
      <c r="S17" s="215"/>
      <c r="T17" s="220"/>
    </row>
    <row r="18" spans="1:20" s="214" customFormat="1" x14ac:dyDescent="0.25">
      <c r="A18" s="309">
        <f>'A) Base RI'!A19</f>
        <v>5413</v>
      </c>
      <c r="B18" s="227" t="str">
        <f>'A) Base RI'!B19</f>
        <v>Roche</v>
      </c>
      <c r="C18" s="243">
        <v>0</v>
      </c>
      <c r="D18" s="216">
        <f>'B) D RI'!AA19</f>
        <v>1868</v>
      </c>
      <c r="E18" s="217">
        <f>'B) D RI'!S19</f>
        <v>68</v>
      </c>
      <c r="F18" s="10">
        <f>'B) D RI'!R19</f>
        <v>3264507.8483333327</v>
      </c>
      <c r="G18" s="10">
        <f>'B) D RI'!U19</f>
        <v>48007.468357843129</v>
      </c>
      <c r="H18" s="41">
        <f>'B) D RI'!T19</f>
        <v>2931197.3399999994</v>
      </c>
      <c r="I18" s="10">
        <f t="shared" si="2"/>
        <v>86211.686470588218</v>
      </c>
      <c r="J18" s="31">
        <f t="shared" si="3"/>
        <v>166303.5456712071</v>
      </c>
      <c r="K18" s="10">
        <f t="shared" si="0"/>
        <v>86211.686470588218</v>
      </c>
      <c r="L18" s="10">
        <f t="shared" si="4"/>
        <v>80091.859200618885</v>
      </c>
      <c r="M18" s="10">
        <f>'D) Ecrêtage'!C17</f>
        <v>48007.468357843129</v>
      </c>
      <c r="N18" s="10">
        <f t="shared" si="1"/>
        <v>56385.487549616635</v>
      </c>
      <c r="O18" s="55">
        <f t="shared" si="5"/>
        <v>142597.17402020487</v>
      </c>
      <c r="P18" s="218"/>
      <c r="Q18" s="219"/>
      <c r="R18" s="215"/>
      <c r="S18" s="215"/>
      <c r="T18" s="220"/>
    </row>
    <row r="19" spans="1:20" s="214" customFormat="1" x14ac:dyDescent="0.25">
      <c r="A19" s="309">
        <f>'A) Base RI'!A20</f>
        <v>5414</v>
      </c>
      <c r="B19" s="227" t="str">
        <f>'A) Base RI'!B20</f>
        <v>Villeneuve</v>
      </c>
      <c r="C19" s="243">
        <v>0</v>
      </c>
      <c r="D19" s="216">
        <f>'B) D RI'!AA20</f>
        <v>5837</v>
      </c>
      <c r="E19" s="217">
        <f>'B) D RI'!S20</f>
        <v>67.5</v>
      </c>
      <c r="F19" s="10">
        <f>'B) D RI'!R20</f>
        <v>10764134.489999998</v>
      </c>
      <c r="G19" s="10">
        <f>'B) D RI'!U20</f>
        <v>159468.65911111108</v>
      </c>
      <c r="H19" s="41">
        <f>'B) D RI'!T20</f>
        <v>9360798.589999998</v>
      </c>
      <c r="I19" s="10">
        <f t="shared" si="2"/>
        <v>277356.99525925919</v>
      </c>
      <c r="J19" s="31">
        <f t="shared" si="3"/>
        <v>519654.06642550096</v>
      </c>
      <c r="K19" s="10">
        <f t="shared" si="0"/>
        <v>277356.99525925919</v>
      </c>
      <c r="L19" s="10">
        <f t="shared" si="4"/>
        <v>242297.07116624177</v>
      </c>
      <c r="M19" s="10">
        <f>'D) Ecrêtage'!C18</f>
        <v>159468.65911111108</v>
      </c>
      <c r="N19" s="10">
        <f t="shared" si="1"/>
        <v>187298.31837497026</v>
      </c>
      <c r="O19" s="55">
        <f t="shared" si="5"/>
        <v>464655.31363422947</v>
      </c>
      <c r="P19" s="218"/>
      <c r="Q19" s="219"/>
      <c r="R19" s="215"/>
      <c r="S19" s="215"/>
      <c r="T19" s="220"/>
    </row>
    <row r="20" spans="1:20" s="214" customFormat="1" x14ac:dyDescent="0.25">
      <c r="A20" s="309">
        <f>'A) Base RI'!A21</f>
        <v>5415</v>
      </c>
      <c r="B20" s="227" t="str">
        <f>'A) Base RI'!B21</f>
        <v>Yvorne</v>
      </c>
      <c r="C20" s="243">
        <v>0</v>
      </c>
      <c r="D20" s="216">
        <f>'B) D RI'!AA21</f>
        <v>1070</v>
      </c>
      <c r="E20" s="217">
        <f>'B) D RI'!S21</f>
        <v>71.5</v>
      </c>
      <c r="F20" s="10">
        <f>'B) D RI'!R21</f>
        <v>2728083.9366666665</v>
      </c>
      <c r="G20" s="10">
        <f>'B) D RI'!U21</f>
        <v>38155.020093240091</v>
      </c>
      <c r="H20" s="41">
        <f>'B) D RI'!T21</f>
        <v>2477102.9699999997</v>
      </c>
      <c r="I20" s="10">
        <f t="shared" si="2"/>
        <v>69289.593566433556</v>
      </c>
      <c r="J20" s="31">
        <f t="shared" si="3"/>
        <v>95259.525625370239</v>
      </c>
      <c r="K20" s="10">
        <f t="shared" si="0"/>
        <v>69289.593566433556</v>
      </c>
      <c r="L20" s="10">
        <f t="shared" si="4"/>
        <v>25969.932058936683</v>
      </c>
      <c r="M20" s="10">
        <f>'D) Ecrêtage'!C19</f>
        <v>38155.020093240091</v>
      </c>
      <c r="N20" s="10">
        <f t="shared" si="1"/>
        <v>44813.640127542421</v>
      </c>
      <c r="O20" s="55">
        <f t="shared" si="5"/>
        <v>114103.23369397598</v>
      </c>
      <c r="P20" s="218"/>
      <c r="Q20" s="219"/>
      <c r="R20" s="215"/>
      <c r="S20" s="215"/>
      <c r="T20" s="220"/>
    </row>
    <row r="21" spans="1:20" s="214" customFormat="1" x14ac:dyDescent="0.25">
      <c r="A21" s="309">
        <f>'A) Base RI'!A22</f>
        <v>5421</v>
      </c>
      <c r="B21" s="227" t="str">
        <f>'A) Base RI'!B22</f>
        <v>Apples</v>
      </c>
      <c r="C21" s="243">
        <v>0</v>
      </c>
      <c r="D21" s="216">
        <f>'B) D RI'!AA22</f>
        <v>1457</v>
      </c>
      <c r="E21" s="217">
        <f>'B) D RI'!S22</f>
        <v>74</v>
      </c>
      <c r="F21" s="10">
        <f>'B) D RI'!R22</f>
        <v>4907206.5200000005</v>
      </c>
      <c r="G21" s="10">
        <f>'B) D RI'!U22</f>
        <v>66313.601621621623</v>
      </c>
      <c r="H21" s="41">
        <f>'B) D RI'!T22</f>
        <v>4593091.5200000005</v>
      </c>
      <c r="I21" s="10">
        <f t="shared" si="2"/>
        <v>124137.60864864866</v>
      </c>
      <c r="J21" s="31">
        <f t="shared" si="3"/>
        <v>129713.20451977984</v>
      </c>
      <c r="K21" s="10">
        <f t="shared" si="0"/>
        <v>124137.60864864866</v>
      </c>
      <c r="L21" s="10">
        <f t="shared" si="4"/>
        <v>5575.5958711311832</v>
      </c>
      <c r="M21" s="10">
        <f>'D) Ecrêtage'!C20</f>
        <v>66313.601621621623</v>
      </c>
      <c r="N21" s="10">
        <f t="shared" si="1"/>
        <v>77886.314077949311</v>
      </c>
      <c r="O21" s="55">
        <f t="shared" si="5"/>
        <v>202023.92272659799</v>
      </c>
      <c r="P21" s="218"/>
      <c r="Q21" s="219"/>
      <c r="R21" s="215"/>
      <c r="S21" s="215"/>
      <c r="T21" s="220"/>
    </row>
    <row r="22" spans="1:20" s="214" customFormat="1" x14ac:dyDescent="0.25">
      <c r="A22" s="309">
        <f>'A) Base RI'!A23</f>
        <v>5422</v>
      </c>
      <c r="B22" s="227" t="str">
        <f>'A) Base RI'!B23</f>
        <v>Aubonne</v>
      </c>
      <c r="C22" s="243">
        <v>0</v>
      </c>
      <c r="D22" s="216">
        <f>'B) D RI'!AA23</f>
        <v>3241</v>
      </c>
      <c r="E22" s="217">
        <f>'B) D RI'!S23</f>
        <v>68.5</v>
      </c>
      <c r="F22" s="10">
        <f>'B) D RI'!R23</f>
        <v>16603591.66</v>
      </c>
      <c r="G22" s="10">
        <f>'B) D RI'!U23</f>
        <v>242388.1994160584</v>
      </c>
      <c r="H22" s="41">
        <f>'B) D RI'!T23</f>
        <v>15426261.48</v>
      </c>
      <c r="I22" s="10">
        <f t="shared" si="2"/>
        <v>450401.79503649636</v>
      </c>
      <c r="J22" s="31">
        <f t="shared" si="3"/>
        <v>288538.43229142518</v>
      </c>
      <c r="K22" s="10">
        <f t="shared" si="0"/>
        <v>288538.43229142518</v>
      </c>
      <c r="L22" s="10">
        <f t="shared" si="4"/>
        <v>0</v>
      </c>
      <c r="M22" s="10">
        <f>'D) Ecrêtage'!C21</f>
        <v>242388.1994160584</v>
      </c>
      <c r="N22" s="10">
        <f t="shared" si="1"/>
        <v>284688.55509051867</v>
      </c>
      <c r="O22" s="55">
        <f t="shared" si="5"/>
        <v>573226.98738194385</v>
      </c>
      <c r="P22" s="218"/>
      <c r="Q22" s="219"/>
      <c r="R22" s="215"/>
      <c r="S22" s="215"/>
      <c r="T22" s="220"/>
    </row>
    <row r="23" spans="1:20" s="214" customFormat="1" x14ac:dyDescent="0.25">
      <c r="A23" s="309">
        <f>'A) Base RI'!A24</f>
        <v>5423</v>
      </c>
      <c r="B23" s="227" t="str">
        <f>'A) Base RI'!B24</f>
        <v>Ballens</v>
      </c>
      <c r="C23" s="243">
        <v>0</v>
      </c>
      <c r="D23" s="216">
        <f>'B) D RI'!AA24</f>
        <v>562</v>
      </c>
      <c r="E23" s="217">
        <f>'B) D RI'!S24</f>
        <v>73</v>
      </c>
      <c r="F23" s="10">
        <f>'B) D RI'!R24</f>
        <v>1249376.42</v>
      </c>
      <c r="G23" s="10">
        <f>'B) D RI'!U24</f>
        <v>17114.745479452053</v>
      </c>
      <c r="H23" s="41">
        <f>'B) D RI'!T24</f>
        <v>1164046.0699999998</v>
      </c>
      <c r="I23" s="10">
        <f t="shared" si="2"/>
        <v>31891.673150684928</v>
      </c>
      <c r="J23" s="31">
        <f t="shared" si="3"/>
        <v>50033.507851829971</v>
      </c>
      <c r="K23" s="10">
        <f t="shared" si="0"/>
        <v>31891.673150684928</v>
      </c>
      <c r="L23" s="10">
        <f t="shared" si="4"/>
        <v>18141.834701145042</v>
      </c>
      <c r="M23" s="10">
        <f>'D) Ecrêtage'!C22</f>
        <v>17114.745479452053</v>
      </c>
      <c r="N23" s="10">
        <f t="shared" si="1"/>
        <v>20101.523807781516</v>
      </c>
      <c r="O23" s="55">
        <f t="shared" si="5"/>
        <v>51993.196958466448</v>
      </c>
      <c r="P23" s="218"/>
      <c r="Q23" s="219"/>
      <c r="R23" s="215"/>
      <c r="S23" s="215"/>
      <c r="T23" s="220"/>
    </row>
    <row r="24" spans="1:20" s="214" customFormat="1" x14ac:dyDescent="0.25">
      <c r="A24" s="309">
        <f>'A) Base RI'!A25</f>
        <v>5424</v>
      </c>
      <c r="B24" s="227" t="str">
        <f>'A) Base RI'!B25</f>
        <v>Berolle</v>
      </c>
      <c r="C24" s="243">
        <v>0</v>
      </c>
      <c r="D24" s="216">
        <f>'B) D RI'!AA25</f>
        <v>313</v>
      </c>
      <c r="E24" s="217">
        <f>'B) D RI'!S25</f>
        <v>75.5</v>
      </c>
      <c r="F24" s="10">
        <f>'B) D RI'!R25</f>
        <v>688180.76</v>
      </c>
      <c r="G24" s="10">
        <f>'B) D RI'!U25</f>
        <v>9114.9769536423846</v>
      </c>
      <c r="H24" s="41">
        <f>'B) D RI'!T25</f>
        <v>636991.36</v>
      </c>
      <c r="I24" s="10">
        <f t="shared" si="2"/>
        <v>16873.943311258277</v>
      </c>
      <c r="J24" s="31">
        <f t="shared" si="3"/>
        <v>27865.636935271854</v>
      </c>
      <c r="K24" s="10">
        <f t="shared" si="0"/>
        <v>16873.943311258277</v>
      </c>
      <c r="L24" s="10">
        <f t="shared" si="4"/>
        <v>10991.693624013576</v>
      </c>
      <c r="M24" s="10">
        <f>'D) Ecrêtage'!C23</f>
        <v>9114.9769536423846</v>
      </c>
      <c r="N24" s="10">
        <f t="shared" si="1"/>
        <v>10705.67636901185</v>
      </c>
      <c r="O24" s="55">
        <f t="shared" si="5"/>
        <v>27579.619680270127</v>
      </c>
      <c r="P24" s="218"/>
      <c r="Q24" s="219"/>
      <c r="R24" s="215"/>
      <c r="S24" s="215"/>
      <c r="T24" s="220"/>
    </row>
    <row r="25" spans="1:20" s="214" customFormat="1" x14ac:dyDescent="0.25">
      <c r="A25" s="309">
        <f>'A) Base RI'!A26</f>
        <v>5425</v>
      </c>
      <c r="B25" s="227" t="str">
        <f>'A) Base RI'!B26</f>
        <v>Bière</v>
      </c>
      <c r="C25" s="243">
        <v>0</v>
      </c>
      <c r="D25" s="216">
        <f>'B) D RI'!AA26</f>
        <v>1627</v>
      </c>
      <c r="E25" s="217">
        <f>'B) D RI'!S26</f>
        <v>69</v>
      </c>
      <c r="F25" s="10">
        <f>'B) D RI'!R26</f>
        <v>2774625.8703448279</v>
      </c>
      <c r="G25" s="10">
        <f>'B) D RI'!U26</f>
        <v>40211.969135432286</v>
      </c>
      <c r="H25" s="41">
        <f>'B) D RI'!T26</f>
        <v>2578947.1600000006</v>
      </c>
      <c r="I25" s="10">
        <f t="shared" si="2"/>
        <v>74752.09159420291</v>
      </c>
      <c r="J25" s="31">
        <f t="shared" si="3"/>
        <v>144847.89550698819</v>
      </c>
      <c r="K25" s="10">
        <f t="shared" si="0"/>
        <v>74752.09159420291</v>
      </c>
      <c r="L25" s="10">
        <f t="shared" si="4"/>
        <v>70095.803912785283</v>
      </c>
      <c r="M25" s="10">
        <f>'D) Ecrêtage'!C24</f>
        <v>40211.969135432286</v>
      </c>
      <c r="N25" s="10">
        <f t="shared" si="1"/>
        <v>47229.557454075963</v>
      </c>
      <c r="O25" s="55">
        <f t="shared" si="5"/>
        <v>121981.64904827886</v>
      </c>
      <c r="P25" s="218"/>
      <c r="Q25" s="219"/>
      <c r="R25" s="215"/>
      <c r="S25" s="215"/>
      <c r="T25" s="220"/>
    </row>
    <row r="26" spans="1:20" s="214" customFormat="1" x14ac:dyDescent="0.25">
      <c r="A26" s="309">
        <f>'A) Base RI'!A27</f>
        <v>5426</v>
      </c>
      <c r="B26" s="227" t="str">
        <f>'A) Base RI'!B27</f>
        <v>Bougy-Villars</v>
      </c>
      <c r="C26" s="243">
        <v>0</v>
      </c>
      <c r="D26" s="216">
        <f>'B) D RI'!AA27</f>
        <v>477</v>
      </c>
      <c r="E26" s="217">
        <f>'B) D RI'!S27</f>
        <v>64.5</v>
      </c>
      <c r="F26" s="10">
        <f>'B) D RI'!R27</f>
        <v>3588819.4383333335</v>
      </c>
      <c r="G26" s="10">
        <f>'B) D RI'!U27</f>
        <v>55640.611447028423</v>
      </c>
      <c r="H26" s="41">
        <f>'B) D RI'!T27</f>
        <v>3346302.43</v>
      </c>
      <c r="I26" s="10">
        <f t="shared" si="2"/>
        <v>103761.31565891474</v>
      </c>
      <c r="J26" s="31">
        <f t="shared" si="3"/>
        <v>42466.162358225796</v>
      </c>
      <c r="K26" s="10">
        <f t="shared" si="0"/>
        <v>42466.162358225796</v>
      </c>
      <c r="L26" s="10">
        <f t="shared" si="4"/>
        <v>0</v>
      </c>
      <c r="M26" s="10">
        <f>'D) Ecrêtage'!C25</f>
        <v>55640.611447028423</v>
      </c>
      <c r="N26" s="10">
        <f t="shared" si="1"/>
        <v>65350.72794537236</v>
      </c>
      <c r="O26" s="55">
        <f t="shared" si="5"/>
        <v>107816.89030359816</v>
      </c>
      <c r="P26" s="218"/>
      <c r="Q26" s="219"/>
      <c r="R26" s="215"/>
      <c r="S26" s="215"/>
      <c r="T26" s="220"/>
    </row>
    <row r="27" spans="1:20" s="214" customFormat="1" x14ac:dyDescent="0.25">
      <c r="A27" s="309">
        <f>'A) Base RI'!A28</f>
        <v>5427</v>
      </c>
      <c r="B27" s="227" t="str">
        <f>'A) Base RI'!B28</f>
        <v>Féchy</v>
      </c>
      <c r="C27" s="243">
        <v>0</v>
      </c>
      <c r="D27" s="216">
        <f>'B) D RI'!AA28</f>
        <v>869</v>
      </c>
      <c r="E27" s="217">
        <f>'B) D RI'!S28</f>
        <v>64</v>
      </c>
      <c r="F27" s="10">
        <f>'B) D RI'!R28</f>
        <v>4929307.1107692309</v>
      </c>
      <c r="G27" s="10">
        <f>'B) D RI'!U28</f>
        <v>77020.423605769232</v>
      </c>
      <c r="H27" s="41">
        <f>'B) D RI'!T28</f>
        <v>4568012.63</v>
      </c>
      <c r="I27" s="10">
        <f t="shared" si="2"/>
        <v>142750.3946875</v>
      </c>
      <c r="J27" s="31">
        <f t="shared" si="3"/>
        <v>77364.979222847411</v>
      </c>
      <c r="K27" s="10">
        <f t="shared" si="0"/>
        <v>77364.979222847411</v>
      </c>
      <c r="L27" s="10">
        <f t="shared" si="4"/>
        <v>0</v>
      </c>
      <c r="M27" s="10">
        <f>'D) Ecrêtage'!C26</f>
        <v>77020.423605769232</v>
      </c>
      <c r="N27" s="10">
        <f t="shared" si="1"/>
        <v>90461.636175401407</v>
      </c>
      <c r="O27" s="55">
        <f t="shared" si="5"/>
        <v>167826.61539824883</v>
      </c>
      <c r="P27" s="218"/>
      <c r="Q27" s="219"/>
      <c r="R27" s="215"/>
      <c r="S27" s="215"/>
      <c r="T27" s="220"/>
    </row>
    <row r="28" spans="1:20" s="214" customFormat="1" x14ac:dyDescent="0.25">
      <c r="A28" s="309">
        <f>'A) Base RI'!A29</f>
        <v>5428</v>
      </c>
      <c r="B28" s="227" t="str">
        <f>'A) Base RI'!B29</f>
        <v>Gimel</v>
      </c>
      <c r="C28" s="243">
        <v>0</v>
      </c>
      <c r="D28" s="216">
        <f>'B) D RI'!AA29</f>
        <v>2307</v>
      </c>
      <c r="E28" s="217">
        <f>'B) D RI'!S29</f>
        <v>74.5</v>
      </c>
      <c r="F28" s="10">
        <f>'B) D RI'!R29</f>
        <v>5229395.1116666673</v>
      </c>
      <c r="G28" s="10">
        <f>'B) D RI'!U29</f>
        <v>70193.222975391502</v>
      </c>
      <c r="H28" s="41">
        <f>'B) D RI'!T29</f>
        <v>4832410.32</v>
      </c>
      <c r="I28" s="10">
        <f t="shared" si="2"/>
        <v>129729.13610738255</v>
      </c>
      <c r="J28" s="31">
        <f t="shared" si="3"/>
        <v>205386.65945582162</v>
      </c>
      <c r="K28" s="10">
        <f t="shared" si="0"/>
        <v>129729.13610738255</v>
      </c>
      <c r="L28" s="10">
        <f t="shared" si="4"/>
        <v>75657.523348439063</v>
      </c>
      <c r="M28" s="10">
        <f>'D) Ecrêtage'!C27</f>
        <v>70193.222975391502</v>
      </c>
      <c r="N28" s="10">
        <f t="shared" si="1"/>
        <v>82442.987217004353</v>
      </c>
      <c r="O28" s="55">
        <f t="shared" si="5"/>
        <v>212172.12332438689</v>
      </c>
      <c r="P28" s="218"/>
      <c r="Q28" s="219"/>
      <c r="R28" s="215"/>
      <c r="S28" s="215"/>
      <c r="T28" s="220"/>
    </row>
    <row r="29" spans="1:20" s="214" customFormat="1" x14ac:dyDescent="0.25">
      <c r="A29" s="309">
        <f>'A) Base RI'!A30</f>
        <v>5429</v>
      </c>
      <c r="B29" s="227" t="str">
        <f>'A) Base RI'!B30</f>
        <v>Longirod</v>
      </c>
      <c r="C29" s="243">
        <v>0</v>
      </c>
      <c r="D29" s="216">
        <f>'B) D RI'!AA30</f>
        <v>494</v>
      </c>
      <c r="E29" s="217">
        <f>'B) D RI'!S30</f>
        <v>77.5</v>
      </c>
      <c r="F29" s="10">
        <f>'B) D RI'!R30</f>
        <v>1250909.98</v>
      </c>
      <c r="G29" s="10">
        <f>'B) D RI'!U30</f>
        <v>16140.77393548387</v>
      </c>
      <c r="H29" s="41">
        <f>'B) D RI'!T30</f>
        <v>1145234.78</v>
      </c>
      <c r="I29" s="10">
        <f t="shared" si="2"/>
        <v>29554.445935483873</v>
      </c>
      <c r="J29" s="31">
        <f t="shared" si="3"/>
        <v>43979.631456946634</v>
      </c>
      <c r="K29" s="10">
        <f t="shared" si="0"/>
        <v>29554.445935483873</v>
      </c>
      <c r="L29" s="10">
        <f t="shared" si="4"/>
        <v>14425.185521462761</v>
      </c>
      <c r="M29" s="10">
        <f>'D) Ecrêtage'!C28</f>
        <v>16140.77393548387</v>
      </c>
      <c r="N29" s="10">
        <f t="shared" si="1"/>
        <v>18957.579703986114</v>
      </c>
      <c r="O29" s="55">
        <f t="shared" si="5"/>
        <v>48512.025639469983</v>
      </c>
      <c r="P29" s="218"/>
      <c r="Q29" s="219"/>
      <c r="R29" s="215"/>
      <c r="S29" s="215"/>
      <c r="T29" s="220"/>
    </row>
    <row r="30" spans="1:20" s="214" customFormat="1" x14ac:dyDescent="0.25">
      <c r="A30" s="309">
        <f>'A) Base RI'!A31</f>
        <v>5430</v>
      </c>
      <c r="B30" s="227" t="str">
        <f>'A) Base RI'!B31</f>
        <v>Marchissy</v>
      </c>
      <c r="C30" s="243">
        <v>0</v>
      </c>
      <c r="D30" s="216">
        <f>'B) D RI'!AA31</f>
        <v>481</v>
      </c>
      <c r="E30" s="217">
        <f>'B) D RI'!S31</f>
        <v>77.5</v>
      </c>
      <c r="F30" s="10">
        <f>'B) D RI'!R31</f>
        <v>1150754.9300000002</v>
      </c>
      <c r="G30" s="10">
        <f>'B) D RI'!U31</f>
        <v>14848.450709677421</v>
      </c>
      <c r="H30" s="41">
        <f>'B) D RI'!T31</f>
        <v>1055842.33</v>
      </c>
      <c r="I30" s="10">
        <f t="shared" si="2"/>
        <v>27247.544000000002</v>
      </c>
      <c r="J30" s="31">
        <f t="shared" si="3"/>
        <v>42822.272734395403</v>
      </c>
      <c r="K30" s="10">
        <f t="shared" si="0"/>
        <v>27247.544000000002</v>
      </c>
      <c r="L30" s="10">
        <f t="shared" si="4"/>
        <v>15574.728734395401</v>
      </c>
      <c r="M30" s="10">
        <f>'D) Ecrêtage'!C29</f>
        <v>14848.450709677421</v>
      </c>
      <c r="N30" s="10">
        <f t="shared" si="1"/>
        <v>17439.726802107667</v>
      </c>
      <c r="O30" s="55">
        <f t="shared" si="5"/>
        <v>44687.270802107669</v>
      </c>
      <c r="P30" s="218"/>
      <c r="Q30" s="219"/>
      <c r="R30" s="215"/>
      <c r="S30" s="215"/>
      <c r="T30" s="220"/>
    </row>
    <row r="31" spans="1:20" s="214" customFormat="1" x14ac:dyDescent="0.25">
      <c r="A31" s="309">
        <f>'A) Base RI'!A32</f>
        <v>5431</v>
      </c>
      <c r="B31" s="227" t="str">
        <f>'A) Base RI'!B32</f>
        <v>Mollens</v>
      </c>
      <c r="C31" s="243">
        <v>0</v>
      </c>
      <c r="D31" s="216">
        <f>'B) D RI'!AA32</f>
        <v>330</v>
      </c>
      <c r="E31" s="217">
        <f>'B) D RI'!S32</f>
        <v>74</v>
      </c>
      <c r="F31" s="10">
        <f>'B) D RI'!R32</f>
        <v>690677.13000000012</v>
      </c>
      <c r="G31" s="10">
        <f>'B) D RI'!U32</f>
        <v>9333.4747297297308</v>
      </c>
      <c r="H31" s="41">
        <f>'B) D RI'!T32</f>
        <v>638555.9800000001</v>
      </c>
      <c r="I31" s="10">
        <f t="shared" si="2"/>
        <v>17258.269729729731</v>
      </c>
      <c r="J31" s="31">
        <f t="shared" si="3"/>
        <v>29379.106033992688</v>
      </c>
      <c r="K31" s="10">
        <f t="shared" si="0"/>
        <v>17258.269729729731</v>
      </c>
      <c r="L31" s="10">
        <f t="shared" si="4"/>
        <v>12120.836304262957</v>
      </c>
      <c r="M31" s="10">
        <f>'D) Ecrêtage'!C30</f>
        <v>9333.4747297297308</v>
      </c>
      <c r="N31" s="10">
        <f t="shared" si="1"/>
        <v>10962.305265611001</v>
      </c>
      <c r="O31" s="55">
        <f t="shared" si="5"/>
        <v>28220.574995340732</v>
      </c>
      <c r="P31" s="218"/>
      <c r="Q31" s="219"/>
      <c r="R31" s="215"/>
      <c r="S31" s="215"/>
      <c r="T31" s="220"/>
    </row>
    <row r="32" spans="1:20" s="214" customFormat="1" x14ac:dyDescent="0.25">
      <c r="A32" s="309">
        <f>'A) Base RI'!A33</f>
        <v>5432</v>
      </c>
      <c r="B32" s="227" t="str">
        <f>'A) Base RI'!B33</f>
        <v>Montherod</v>
      </c>
      <c r="C32" s="243">
        <v>0</v>
      </c>
      <c r="D32" s="216">
        <f>'B) D RI'!AA33</f>
        <v>523</v>
      </c>
      <c r="E32" s="217">
        <f>'B) D RI'!S33</f>
        <v>75</v>
      </c>
      <c r="F32" s="10">
        <f>'B) D RI'!R33</f>
        <v>1232213.25</v>
      </c>
      <c r="G32" s="10">
        <f>'B) D RI'!U33</f>
        <v>16429.509999999998</v>
      </c>
      <c r="H32" s="41">
        <f>'B) D RI'!T33</f>
        <v>1131440.45</v>
      </c>
      <c r="I32" s="10">
        <f t="shared" si="2"/>
        <v>30171.745333333332</v>
      </c>
      <c r="J32" s="31">
        <f t="shared" si="3"/>
        <v>46561.431684176292</v>
      </c>
      <c r="K32" s="10">
        <f t="shared" si="0"/>
        <v>30171.745333333332</v>
      </c>
      <c r="L32" s="10">
        <f t="shared" si="4"/>
        <v>16389.68635084296</v>
      </c>
      <c r="M32" s="10">
        <f>'D) Ecrêtage'!C31</f>
        <v>16429.509999999998</v>
      </c>
      <c r="N32" s="10">
        <f t="shared" si="1"/>
        <v>19296.704517849364</v>
      </c>
      <c r="O32" s="55">
        <f t="shared" si="5"/>
        <v>49468.449851182697</v>
      </c>
      <c r="P32" s="218"/>
      <c r="Q32" s="219"/>
      <c r="R32" s="215"/>
      <c r="S32" s="215"/>
      <c r="T32" s="220"/>
    </row>
    <row r="33" spans="1:20" s="214" customFormat="1" x14ac:dyDescent="0.25">
      <c r="A33" s="309">
        <f>'A) Base RI'!A34</f>
        <v>5434</v>
      </c>
      <c r="B33" s="227" t="str">
        <f>'A) Base RI'!B34</f>
        <v>Saint-George</v>
      </c>
      <c r="C33" s="243">
        <v>0</v>
      </c>
      <c r="D33" s="216">
        <f>'B) D RI'!AA34</f>
        <v>1074</v>
      </c>
      <c r="E33" s="217">
        <f>'B) D RI'!S34</f>
        <v>69.5</v>
      </c>
      <c r="F33" s="10">
        <f>'B) D RI'!R34</f>
        <v>2879679.3083333331</v>
      </c>
      <c r="G33" s="10">
        <f>'B) D RI'!U34</f>
        <v>41434.234652278174</v>
      </c>
      <c r="H33" s="41">
        <f>'B) D RI'!T34</f>
        <v>2642246.3999999994</v>
      </c>
      <c r="I33" s="10">
        <f t="shared" si="2"/>
        <v>76035.867625899264</v>
      </c>
      <c r="J33" s="31">
        <f t="shared" si="3"/>
        <v>95615.636001539839</v>
      </c>
      <c r="K33" s="10">
        <f t="shared" si="0"/>
        <v>76035.867625899264</v>
      </c>
      <c r="L33" s="10">
        <f t="shared" si="4"/>
        <v>19579.768375640575</v>
      </c>
      <c r="M33" s="10">
        <f>'D) Ecrêtage'!C32</f>
        <v>41434.234652278174</v>
      </c>
      <c r="N33" s="10">
        <f t="shared" si="1"/>
        <v>48665.126531968817</v>
      </c>
      <c r="O33" s="55">
        <f t="shared" si="5"/>
        <v>124700.99415786809</v>
      </c>
      <c r="P33" s="218"/>
      <c r="Q33" s="219"/>
      <c r="R33" s="215"/>
      <c r="S33" s="215"/>
      <c r="T33" s="220"/>
    </row>
    <row r="34" spans="1:20" s="214" customFormat="1" x14ac:dyDescent="0.25">
      <c r="A34" s="309">
        <f>'A) Base RI'!A35</f>
        <v>5435</v>
      </c>
      <c r="B34" s="227" t="str">
        <f>'A) Base RI'!B35</f>
        <v>Saint-Livres</v>
      </c>
      <c r="C34" s="243">
        <v>0</v>
      </c>
      <c r="D34" s="216">
        <f>'B) D RI'!AA35</f>
        <v>683</v>
      </c>
      <c r="E34" s="217">
        <f>'B) D RI'!S35</f>
        <v>69</v>
      </c>
      <c r="F34" s="10">
        <f>'B) D RI'!R35</f>
        <v>1817909.1999999997</v>
      </c>
      <c r="G34" s="10">
        <f>'B) D RI'!U35</f>
        <v>26346.510144927532</v>
      </c>
      <c r="H34" s="41">
        <f>'B) D RI'!T35</f>
        <v>1692040.2999999998</v>
      </c>
      <c r="I34" s="10">
        <f t="shared" si="2"/>
        <v>49044.646376811586</v>
      </c>
      <c r="J34" s="31">
        <f t="shared" si="3"/>
        <v>60805.846730960628</v>
      </c>
      <c r="K34" s="10">
        <f t="shared" si="0"/>
        <v>49044.646376811586</v>
      </c>
      <c r="L34" s="10">
        <f t="shared" si="4"/>
        <v>11761.200354149041</v>
      </c>
      <c r="M34" s="10">
        <f>'D) Ecrêtage'!C33</f>
        <v>26346.510144927532</v>
      </c>
      <c r="N34" s="10">
        <f t="shared" si="1"/>
        <v>30944.369086064482</v>
      </c>
      <c r="O34" s="55">
        <f t="shared" si="5"/>
        <v>79989.015462876065</v>
      </c>
      <c r="P34" s="218"/>
      <c r="Q34" s="219"/>
      <c r="R34" s="215"/>
      <c r="S34" s="215"/>
      <c r="T34" s="220"/>
    </row>
    <row r="35" spans="1:20" s="214" customFormat="1" x14ac:dyDescent="0.25">
      <c r="A35" s="309">
        <f>'A) Base RI'!A36</f>
        <v>5436</v>
      </c>
      <c r="B35" s="227" t="str">
        <f>'A) Base RI'!B36</f>
        <v>Saint-Oyens</v>
      </c>
      <c r="C35" s="243">
        <v>0</v>
      </c>
      <c r="D35" s="216">
        <f>'B) D RI'!AA36</f>
        <v>461</v>
      </c>
      <c r="E35" s="217">
        <f>'B) D RI'!S36</f>
        <v>81</v>
      </c>
      <c r="F35" s="10">
        <f>'B) D RI'!R36</f>
        <v>1357908.7174999998</v>
      </c>
      <c r="G35" s="10">
        <f>'B) D RI'!U36</f>
        <v>16764.305154320984</v>
      </c>
      <c r="H35" s="41">
        <f>'B) D RI'!T36</f>
        <v>1270562.5299999998</v>
      </c>
      <c r="I35" s="10">
        <f t="shared" si="2"/>
        <v>31371.914320987649</v>
      </c>
      <c r="J35" s="31">
        <f t="shared" si="3"/>
        <v>41041.720853547362</v>
      </c>
      <c r="K35" s="10">
        <f t="shared" si="0"/>
        <v>31371.914320987649</v>
      </c>
      <c r="L35" s="10">
        <f t="shared" si="4"/>
        <v>9669.8065325597127</v>
      </c>
      <c r="M35" s="10">
        <f>'D) Ecrêtage'!C34</f>
        <v>16764.305154320984</v>
      </c>
      <c r="N35" s="10">
        <f t="shared" si="1"/>
        <v>19689.926419594449</v>
      </c>
      <c r="O35" s="55">
        <f t="shared" si="5"/>
        <v>51061.840740582098</v>
      </c>
      <c r="P35" s="218"/>
      <c r="Q35" s="219"/>
      <c r="R35" s="215"/>
      <c r="S35" s="215"/>
      <c r="T35" s="220"/>
    </row>
    <row r="36" spans="1:20" s="214" customFormat="1" x14ac:dyDescent="0.25">
      <c r="A36" s="309">
        <f>'A) Base RI'!A37</f>
        <v>5437</v>
      </c>
      <c r="B36" s="227" t="str">
        <f>'A) Base RI'!B37</f>
        <v>Saubraz</v>
      </c>
      <c r="C36" s="243">
        <v>0</v>
      </c>
      <c r="D36" s="216">
        <f>'B) D RI'!AA37</f>
        <v>423</v>
      </c>
      <c r="E36" s="217">
        <f>'B) D RI'!S37</f>
        <v>80</v>
      </c>
      <c r="F36" s="10">
        <f>'B) D RI'!R37</f>
        <v>1071352.47</v>
      </c>
      <c r="G36" s="10">
        <f>'B) D RI'!U37</f>
        <v>13391.905875</v>
      </c>
      <c r="H36" s="41">
        <f>'B) D RI'!T37</f>
        <v>1001595.07</v>
      </c>
      <c r="I36" s="10">
        <f t="shared" si="2"/>
        <v>25039.876749999999</v>
      </c>
      <c r="J36" s="31">
        <f t="shared" si="3"/>
        <v>37658.67227993608</v>
      </c>
      <c r="K36" s="10">
        <f t="shared" si="0"/>
        <v>25039.876749999999</v>
      </c>
      <c r="L36" s="10">
        <f t="shared" si="4"/>
        <v>12618.79552993608</v>
      </c>
      <c r="M36" s="10">
        <f>'D) Ecrêtage'!C35</f>
        <v>13391.905875</v>
      </c>
      <c r="N36" s="10">
        <f t="shared" si="1"/>
        <v>15728.993171477785</v>
      </c>
      <c r="O36" s="55">
        <f t="shared" si="5"/>
        <v>40768.869921477788</v>
      </c>
      <c r="P36" s="218"/>
      <c r="Q36" s="219"/>
      <c r="R36" s="215"/>
      <c r="S36" s="215"/>
      <c r="T36" s="220"/>
    </row>
    <row r="37" spans="1:20" s="214" customFormat="1" x14ac:dyDescent="0.25">
      <c r="A37" s="309">
        <f>'A) Base RI'!A38</f>
        <v>5451</v>
      </c>
      <c r="B37" s="227" t="str">
        <f>'A) Base RI'!B38</f>
        <v>Avenches</v>
      </c>
      <c r="C37" s="243">
        <v>0</v>
      </c>
      <c r="D37" s="216">
        <f>'B) D RI'!AA38</f>
        <v>4482</v>
      </c>
      <c r="E37" s="217">
        <f>'B) D RI'!S38</f>
        <v>66.5</v>
      </c>
      <c r="F37" s="10">
        <f>'B) D RI'!R38</f>
        <v>8611803.9900000002</v>
      </c>
      <c r="G37" s="10">
        <f>'B) D RI'!U38</f>
        <v>129500.81187969925</v>
      </c>
      <c r="H37" s="41">
        <f>'B) D RI'!T38</f>
        <v>7463259.04</v>
      </c>
      <c r="I37" s="10">
        <f t="shared" si="2"/>
        <v>224458.9184962406</v>
      </c>
      <c r="J37" s="31">
        <f t="shared" si="3"/>
        <v>399021.67649804614</v>
      </c>
      <c r="K37" s="10">
        <f t="shared" si="0"/>
        <v>224458.9184962406</v>
      </c>
      <c r="L37" s="10">
        <f t="shared" si="4"/>
        <v>174562.75800180555</v>
      </c>
      <c r="M37" s="10">
        <f>'D) Ecrêtage'!C36</f>
        <v>129500.81187969925</v>
      </c>
      <c r="N37" s="10">
        <f t="shared" si="1"/>
        <v>152100.63487372134</v>
      </c>
      <c r="O37" s="55">
        <f t="shared" si="5"/>
        <v>376559.55336996191</v>
      </c>
      <c r="P37" s="218"/>
      <c r="Q37" s="219"/>
      <c r="R37" s="215"/>
      <c r="S37" s="215"/>
      <c r="T37" s="220"/>
    </row>
    <row r="38" spans="1:20" s="214" customFormat="1" x14ac:dyDescent="0.25">
      <c r="A38" s="309">
        <f>'A) Base RI'!A39</f>
        <v>5456</v>
      </c>
      <c r="B38" s="227" t="str">
        <f>'A) Base RI'!B39</f>
        <v>Cudrefin</v>
      </c>
      <c r="C38" s="243">
        <v>0</v>
      </c>
      <c r="D38" s="216">
        <f>'B) D RI'!AA39</f>
        <v>1780</v>
      </c>
      <c r="E38" s="217">
        <f>'B) D RI'!S39</f>
        <v>59</v>
      </c>
      <c r="F38" s="10">
        <f>'B) D RI'!R39</f>
        <v>3789389.0633333339</v>
      </c>
      <c r="G38" s="10">
        <f>'B) D RI'!U39</f>
        <v>64226.933276836171</v>
      </c>
      <c r="H38" s="41">
        <f>'B) D RI'!T39</f>
        <v>3455093.6800000006</v>
      </c>
      <c r="I38" s="10">
        <f t="shared" si="2"/>
        <v>117121.81966101697</v>
      </c>
      <c r="J38" s="31">
        <f t="shared" ref="J38:J69" si="6">+$I$315/$D$315*D38</f>
        <v>158469.11739547571</v>
      </c>
      <c r="K38" s="10">
        <f t="shared" si="0"/>
        <v>117121.81966101697</v>
      </c>
      <c r="L38" s="10">
        <f t="shared" si="4"/>
        <v>41347.297734458742</v>
      </c>
      <c r="M38" s="10">
        <f>'D) Ecrêtage'!C37</f>
        <v>64226.933276836171</v>
      </c>
      <c r="N38" s="10">
        <f t="shared" ref="N38:N69" si="7">+$N$5*M38</f>
        <v>75435.490987298734</v>
      </c>
      <c r="O38" s="55">
        <f t="shared" si="5"/>
        <v>192557.3106483157</v>
      </c>
      <c r="P38" s="218"/>
      <c r="Q38" s="219"/>
      <c r="R38" s="215"/>
      <c r="S38" s="215"/>
      <c r="T38" s="220"/>
    </row>
    <row r="39" spans="1:20" s="214" customFormat="1" x14ac:dyDescent="0.25">
      <c r="A39" s="309">
        <f>'A) Base RI'!A40</f>
        <v>5458</v>
      </c>
      <c r="B39" s="227" t="str">
        <f>'A) Base RI'!B40</f>
        <v>Faoug</v>
      </c>
      <c r="C39" s="243">
        <v>0</v>
      </c>
      <c r="D39" s="216">
        <f>'B) D RI'!AA40</f>
        <v>881</v>
      </c>
      <c r="E39" s="217">
        <f>'B) D RI'!S40</f>
        <v>66</v>
      </c>
      <c r="F39" s="10">
        <f>'B) D RI'!R40</f>
        <v>2125094.67</v>
      </c>
      <c r="G39" s="10">
        <f>'B) D RI'!U40</f>
        <v>32198.404090909091</v>
      </c>
      <c r="H39" s="41">
        <f>'B) D RI'!T40</f>
        <v>1898775.6199999999</v>
      </c>
      <c r="I39" s="10">
        <f t="shared" si="2"/>
        <v>57538.655151515151</v>
      </c>
      <c r="J39" s="31">
        <f t="shared" si="6"/>
        <v>78433.310351356238</v>
      </c>
      <c r="K39" s="10">
        <f t="shared" si="0"/>
        <v>57538.655151515151</v>
      </c>
      <c r="L39" s="10">
        <f t="shared" si="4"/>
        <v>20894.655199841087</v>
      </c>
      <c r="M39" s="10">
        <f>'D) Ecrêtage'!C38</f>
        <v>32198.404090909091</v>
      </c>
      <c r="N39" s="10">
        <f t="shared" si="7"/>
        <v>37817.505798321741</v>
      </c>
      <c r="O39" s="55">
        <f t="shared" si="5"/>
        <v>95356.160949836893</v>
      </c>
      <c r="P39" s="218"/>
      <c r="Q39" s="219"/>
      <c r="R39" s="215"/>
      <c r="S39" s="215"/>
      <c r="T39" s="220"/>
    </row>
    <row r="40" spans="1:20" s="214" customFormat="1" x14ac:dyDescent="0.25">
      <c r="A40" s="309">
        <f>'A) Base RI'!A41</f>
        <v>5464</v>
      </c>
      <c r="B40" s="227" t="str">
        <f>'A) Base RI'!B41</f>
        <v>Vully-les-Lacs</v>
      </c>
      <c r="C40" s="243">
        <v>0</v>
      </c>
      <c r="D40" s="216">
        <f>'B) D RI'!AA41</f>
        <v>3360</v>
      </c>
      <c r="E40" s="217">
        <f>'B) D RI'!S41</f>
        <v>67</v>
      </c>
      <c r="F40" s="10">
        <f>'B) D RI'!R41</f>
        <v>7477020.370000001</v>
      </c>
      <c r="G40" s="10">
        <f>'B) D RI'!U41</f>
        <v>111597.31895522389</v>
      </c>
      <c r="H40" s="41">
        <f>'B) D RI'!T41</f>
        <v>6779518.6700000009</v>
      </c>
      <c r="I40" s="10">
        <f t="shared" si="2"/>
        <v>202373.69164179108</v>
      </c>
      <c r="J40" s="31">
        <f t="shared" si="6"/>
        <v>299132.71598247101</v>
      </c>
      <c r="K40" s="10">
        <f t="shared" si="0"/>
        <v>202373.69164179108</v>
      </c>
      <c r="L40" s="10">
        <f t="shared" si="4"/>
        <v>96759.024340679927</v>
      </c>
      <c r="M40" s="10">
        <f>'D) Ecrêtage'!C39</f>
        <v>111597.31895522389</v>
      </c>
      <c r="N40" s="10">
        <f t="shared" si="7"/>
        <v>131072.71542871004</v>
      </c>
      <c r="O40" s="55">
        <f t="shared" si="5"/>
        <v>333446.40707050113</v>
      </c>
      <c r="P40" s="218"/>
      <c r="Q40" s="219"/>
      <c r="R40" s="215"/>
      <c r="S40" s="215"/>
      <c r="T40" s="220"/>
    </row>
    <row r="41" spans="1:20" s="214" customFormat="1" x14ac:dyDescent="0.25">
      <c r="A41" s="309">
        <f>'A) Base RI'!A42</f>
        <v>5471</v>
      </c>
      <c r="B41" s="227" t="str">
        <f>'A) Base RI'!B42</f>
        <v>Bettens</v>
      </c>
      <c r="C41" s="243">
        <v>0</v>
      </c>
      <c r="D41" s="216">
        <f>'B) D RI'!AA42</f>
        <v>636</v>
      </c>
      <c r="E41" s="217">
        <f>'B) D RI'!S42</f>
        <v>70</v>
      </c>
      <c r="F41" s="10">
        <f>'B) D RI'!R42</f>
        <v>1426969.7911111112</v>
      </c>
      <c r="G41" s="10">
        <f>'B) D RI'!U42</f>
        <v>20385.282730158731</v>
      </c>
      <c r="H41" s="41">
        <f>'B) D RI'!T42</f>
        <v>1291201.43</v>
      </c>
      <c r="I41" s="10">
        <f t="shared" si="2"/>
        <v>36891.469428571429</v>
      </c>
      <c r="J41" s="31">
        <f t="shared" si="6"/>
        <v>56621.549810967728</v>
      </c>
      <c r="K41" s="10">
        <f t="shared" si="0"/>
        <v>36891.469428571429</v>
      </c>
      <c r="L41" s="10">
        <f t="shared" si="4"/>
        <v>19730.0803823963</v>
      </c>
      <c r="M41" s="10">
        <f>'D) Ecrêtage'!C40</f>
        <v>20385.282730158731</v>
      </c>
      <c r="N41" s="10">
        <f t="shared" si="7"/>
        <v>23942.818584162927</v>
      </c>
      <c r="O41" s="55">
        <f t="shared" si="5"/>
        <v>60834.288012734352</v>
      </c>
      <c r="P41" s="218"/>
      <c r="Q41" s="219"/>
      <c r="R41" s="215"/>
      <c r="S41" s="215"/>
      <c r="T41" s="220"/>
    </row>
    <row r="42" spans="1:20" s="214" customFormat="1" x14ac:dyDescent="0.25">
      <c r="A42" s="309">
        <f>'A) Base RI'!A43</f>
        <v>5472</v>
      </c>
      <c r="B42" s="227" t="str">
        <f>'A) Base RI'!B43</f>
        <v>Bournens</v>
      </c>
      <c r="C42" s="243">
        <v>0</v>
      </c>
      <c r="D42" s="216">
        <f>'B) D RI'!AA43</f>
        <v>490</v>
      </c>
      <c r="E42" s="217">
        <f>'B) D RI'!S43</f>
        <v>72</v>
      </c>
      <c r="F42" s="10">
        <f>'B) D RI'!R43</f>
        <v>1450307.6199999999</v>
      </c>
      <c r="G42" s="10">
        <f>'B) D RI'!U43</f>
        <v>20143.161388888886</v>
      </c>
      <c r="H42" s="41">
        <f>'B) D RI'!T43</f>
        <v>1357629.72</v>
      </c>
      <c r="I42" s="10">
        <f t="shared" si="2"/>
        <v>37711.936666666668</v>
      </c>
      <c r="J42" s="31">
        <f t="shared" si="6"/>
        <v>43623.52108077702</v>
      </c>
      <c r="K42" s="10">
        <f t="shared" si="0"/>
        <v>37711.936666666668</v>
      </c>
      <c r="L42" s="10">
        <f t="shared" si="4"/>
        <v>5911.5844141103516</v>
      </c>
      <c r="M42" s="10">
        <f>'D) Ecrêtage'!C41</f>
        <v>20143.161388888886</v>
      </c>
      <c r="N42" s="10">
        <f t="shared" si="7"/>
        <v>23658.443457944948</v>
      </c>
      <c r="O42" s="55">
        <f t="shared" si="5"/>
        <v>61370.38012461162</v>
      </c>
      <c r="P42" s="218"/>
      <c r="Q42" s="219"/>
      <c r="R42" s="215"/>
      <c r="S42" s="215"/>
      <c r="T42" s="220"/>
    </row>
    <row r="43" spans="1:20" s="214" customFormat="1" x14ac:dyDescent="0.25">
      <c r="A43" s="309">
        <f>'A) Base RI'!A44</f>
        <v>5473</v>
      </c>
      <c r="B43" s="227" t="str">
        <f>'A) Base RI'!B44</f>
        <v>Boussens</v>
      </c>
      <c r="C43" s="243">
        <v>0</v>
      </c>
      <c r="D43" s="216">
        <f>'B) D RI'!AA44</f>
        <v>999</v>
      </c>
      <c r="E43" s="217">
        <f>'B) D RI'!S44</f>
        <v>67.5</v>
      </c>
      <c r="F43" s="10">
        <f>'B) D RI'!R44</f>
        <v>2549821.9899999998</v>
      </c>
      <c r="G43" s="10">
        <f>'B) D RI'!U44</f>
        <v>37775.140592592586</v>
      </c>
      <c r="H43" s="41">
        <f>'B) D RI'!T44</f>
        <v>2357305.8899999997</v>
      </c>
      <c r="I43" s="10">
        <f t="shared" si="2"/>
        <v>69846.100444444441</v>
      </c>
      <c r="J43" s="31">
        <f t="shared" si="6"/>
        <v>88938.566448359677</v>
      </c>
      <c r="K43" s="10">
        <f t="shared" si="0"/>
        <v>69846.100444444441</v>
      </c>
      <c r="L43" s="10">
        <f t="shared" si="4"/>
        <v>19092.466003915237</v>
      </c>
      <c r="M43" s="10">
        <f>'D) Ecrêtage'!C42</f>
        <v>37775.140592592586</v>
      </c>
      <c r="N43" s="10">
        <f t="shared" si="7"/>
        <v>44367.465988667733</v>
      </c>
      <c r="O43" s="55">
        <f t="shared" si="5"/>
        <v>114213.56643311217</v>
      </c>
      <c r="P43" s="218"/>
      <c r="Q43" s="219"/>
      <c r="R43" s="215"/>
      <c r="S43" s="215"/>
      <c r="T43" s="220"/>
    </row>
    <row r="44" spans="1:20" s="214" customFormat="1" x14ac:dyDescent="0.25">
      <c r="A44" s="309">
        <f>'A) Base RI'!A45</f>
        <v>5474</v>
      </c>
      <c r="B44" s="227" t="str">
        <f>'A) Base RI'!B45</f>
        <v>La Chaux (Cossonay)</v>
      </c>
      <c r="C44" s="243">
        <v>0</v>
      </c>
      <c r="D44" s="216">
        <f>'B) D RI'!AA45</f>
        <v>391</v>
      </c>
      <c r="E44" s="217">
        <f>'B) D RI'!S45</f>
        <v>77</v>
      </c>
      <c r="F44" s="10">
        <f>'B) D RI'!R45</f>
        <v>1015054.1616666665</v>
      </c>
      <c r="G44" s="10">
        <f>'B) D RI'!U45</f>
        <v>13182.521580086577</v>
      </c>
      <c r="H44" s="41">
        <f>'B) D RI'!T45</f>
        <v>942999.86999999988</v>
      </c>
      <c r="I44" s="10">
        <f t="shared" si="2"/>
        <v>24493.503116883112</v>
      </c>
      <c r="J44" s="31">
        <f t="shared" si="6"/>
        <v>34809.789270579218</v>
      </c>
      <c r="K44" s="10">
        <f t="shared" si="0"/>
        <v>24493.503116883112</v>
      </c>
      <c r="L44" s="10">
        <f t="shared" si="4"/>
        <v>10316.286153696106</v>
      </c>
      <c r="M44" s="10">
        <f>'D) Ecrêtage'!C43</f>
        <v>13182.521580086577</v>
      </c>
      <c r="N44" s="10">
        <f t="shared" si="7"/>
        <v>15483.068194432057</v>
      </c>
      <c r="O44" s="55">
        <f t="shared" si="5"/>
        <v>39976.571311315172</v>
      </c>
      <c r="P44" s="218"/>
      <c r="Q44" s="219"/>
      <c r="R44" s="215"/>
      <c r="S44" s="215"/>
      <c r="T44" s="220"/>
    </row>
    <row r="45" spans="1:20" s="214" customFormat="1" x14ac:dyDescent="0.25">
      <c r="A45" s="309">
        <f>'A) Base RI'!A46</f>
        <v>5475</v>
      </c>
      <c r="B45" s="227" t="str">
        <f>'A) Base RI'!B46</f>
        <v>Chavannes-le-Veyron</v>
      </c>
      <c r="C45" s="243">
        <v>0</v>
      </c>
      <c r="D45" s="216">
        <f>'B) D RI'!AA46</f>
        <v>152</v>
      </c>
      <c r="E45" s="217">
        <f>'B) D RI'!S46</f>
        <v>77</v>
      </c>
      <c r="F45" s="10">
        <f>'B) D RI'!R46</f>
        <v>298349.17</v>
      </c>
      <c r="G45" s="10">
        <f>'B) D RI'!U46</f>
        <v>3874.6645454545451</v>
      </c>
      <c r="H45" s="41">
        <f>'B) D RI'!T46</f>
        <v>275560.87</v>
      </c>
      <c r="I45" s="10">
        <f t="shared" si="2"/>
        <v>7157.4251948051951</v>
      </c>
      <c r="J45" s="31">
        <f t="shared" si="6"/>
        <v>13532.194294445117</v>
      </c>
      <c r="K45" s="10">
        <f t="shared" si="0"/>
        <v>7157.4251948051951</v>
      </c>
      <c r="L45" s="10">
        <f t="shared" si="4"/>
        <v>6374.7690996399215</v>
      </c>
      <c r="M45" s="10">
        <f>'D) Ecrêtage'!C44</f>
        <v>3874.6645454545451</v>
      </c>
      <c r="N45" s="10">
        <f t="shared" si="7"/>
        <v>4550.8512937649075</v>
      </c>
      <c r="O45" s="55">
        <f t="shared" si="5"/>
        <v>11708.276488570104</v>
      </c>
      <c r="P45" s="218"/>
      <c r="Q45" s="219"/>
      <c r="R45" s="215"/>
      <c r="S45" s="215"/>
      <c r="T45" s="220"/>
    </row>
    <row r="46" spans="1:20" s="214" customFormat="1" x14ac:dyDescent="0.25">
      <c r="A46" s="309">
        <f>'A) Base RI'!A47</f>
        <v>5476</v>
      </c>
      <c r="B46" s="227" t="str">
        <f>'A) Base RI'!B47</f>
        <v>Chevilly</v>
      </c>
      <c r="C46" s="243">
        <v>0</v>
      </c>
      <c r="D46" s="216">
        <f>'B) D RI'!AA47</f>
        <v>317</v>
      </c>
      <c r="E46" s="217">
        <f>'B) D RI'!S47</f>
        <v>74</v>
      </c>
      <c r="F46" s="10">
        <f>'B) D RI'!R47</f>
        <v>876115.36</v>
      </c>
      <c r="G46" s="10">
        <f>'B) D RI'!U47</f>
        <v>11839.396756756756</v>
      </c>
      <c r="H46" s="41">
        <f>'B) D RI'!T47</f>
        <v>815034.21</v>
      </c>
      <c r="I46" s="10">
        <f t="shared" si="2"/>
        <v>22027.951621621622</v>
      </c>
      <c r="J46" s="31">
        <f t="shared" si="6"/>
        <v>28221.747311441461</v>
      </c>
      <c r="K46" s="10">
        <f t="shared" si="0"/>
        <v>22027.951621621622</v>
      </c>
      <c r="L46" s="10">
        <f t="shared" si="4"/>
        <v>6193.795689819839</v>
      </c>
      <c r="M46" s="10">
        <f>'D) Ecrêtage'!C45</f>
        <v>11839.396756756756</v>
      </c>
      <c r="N46" s="10">
        <f t="shared" si="7"/>
        <v>13905.548058628605</v>
      </c>
      <c r="O46" s="55">
        <f t="shared" si="5"/>
        <v>35933.499680250228</v>
      </c>
      <c r="P46" s="218"/>
      <c r="Q46" s="219"/>
      <c r="R46" s="215"/>
      <c r="S46" s="215"/>
      <c r="T46" s="220"/>
    </row>
    <row r="47" spans="1:20" s="214" customFormat="1" x14ac:dyDescent="0.25">
      <c r="A47" s="309">
        <f>'A) Base RI'!A48</f>
        <v>5477</v>
      </c>
      <c r="B47" s="227" t="str">
        <f>'A) Base RI'!B48</f>
        <v>Cossonay</v>
      </c>
      <c r="C47" s="243">
        <v>0</v>
      </c>
      <c r="D47" s="216">
        <f>'B) D RI'!AA48</f>
        <v>4222</v>
      </c>
      <c r="E47" s="217">
        <f>'B) D RI'!S48</f>
        <v>69.5</v>
      </c>
      <c r="F47" s="10">
        <f>'B) D RI'!R48</f>
        <v>8281205.2600000007</v>
      </c>
      <c r="G47" s="10">
        <f>'B) D RI'!U48</f>
        <v>119154.03251798562</v>
      </c>
      <c r="H47" s="41">
        <f>'B) D RI'!T48</f>
        <v>7514147.9100000011</v>
      </c>
      <c r="I47" s="10">
        <f t="shared" si="2"/>
        <v>216234.47223021585</v>
      </c>
      <c r="J47" s="31">
        <f t="shared" si="6"/>
        <v>375874.50204702158</v>
      </c>
      <c r="K47" s="10">
        <f t="shared" si="0"/>
        <v>216234.47223021585</v>
      </c>
      <c r="L47" s="10">
        <f t="shared" si="4"/>
        <v>159640.02981680573</v>
      </c>
      <c r="M47" s="10">
        <f>'D) Ecrêtage'!C46</f>
        <v>119154.03251798562</v>
      </c>
      <c r="N47" s="10">
        <f t="shared" si="7"/>
        <v>139948.18820584324</v>
      </c>
      <c r="O47" s="55">
        <f t="shared" si="5"/>
        <v>356182.66043605912</v>
      </c>
      <c r="P47" s="218"/>
      <c r="Q47" s="219"/>
      <c r="R47" s="215"/>
      <c r="S47" s="215"/>
      <c r="T47" s="220"/>
    </row>
    <row r="48" spans="1:20" s="214" customFormat="1" x14ac:dyDescent="0.25">
      <c r="A48" s="309">
        <f>'A) Base RI'!A49</f>
        <v>5478</v>
      </c>
      <c r="B48" s="227" t="str">
        <f>'A) Base RI'!B49</f>
        <v>Cottens</v>
      </c>
      <c r="C48" s="243">
        <v>0</v>
      </c>
      <c r="D48" s="216">
        <f>'B) D RI'!AA49</f>
        <v>491</v>
      </c>
      <c r="E48" s="217">
        <f>'B) D RI'!S49</f>
        <v>74</v>
      </c>
      <c r="F48" s="10">
        <f>'B) D RI'!R49</f>
        <v>1205570.8399999996</v>
      </c>
      <c r="G48" s="10">
        <f>'B) D RI'!U49</f>
        <v>16291.497837837833</v>
      </c>
      <c r="H48" s="41">
        <f>'B) D RI'!T49</f>
        <v>1124770.5899999996</v>
      </c>
      <c r="I48" s="10">
        <f t="shared" si="2"/>
        <v>30399.205135135126</v>
      </c>
      <c r="J48" s="31">
        <f t="shared" si="6"/>
        <v>43712.548674819423</v>
      </c>
      <c r="K48" s="10">
        <f t="shared" si="0"/>
        <v>30399.205135135126</v>
      </c>
      <c r="L48" s="10">
        <f t="shared" si="4"/>
        <v>13313.343539684298</v>
      </c>
      <c r="M48" s="10">
        <f>'D) Ecrêtage'!C47</f>
        <v>16291.497837837833</v>
      </c>
      <c r="N48" s="10">
        <f t="shared" si="7"/>
        <v>19134.607175134166</v>
      </c>
      <c r="O48" s="55">
        <f t="shared" si="5"/>
        <v>49533.812310269292</v>
      </c>
      <c r="P48" s="218"/>
      <c r="Q48" s="219"/>
      <c r="R48" s="215"/>
      <c r="S48" s="215"/>
      <c r="T48" s="220"/>
    </row>
    <row r="49" spans="1:20" s="214" customFormat="1" x14ac:dyDescent="0.25">
      <c r="A49" s="309">
        <f>'A) Base RI'!A50</f>
        <v>5479</v>
      </c>
      <c r="B49" s="227" t="str">
        <f>'A) Base RI'!B50</f>
        <v>Cuarnens</v>
      </c>
      <c r="C49" s="243">
        <v>0</v>
      </c>
      <c r="D49" s="216">
        <f>'B) D RI'!AA50</f>
        <v>527</v>
      </c>
      <c r="E49" s="217">
        <f>'B) D RI'!S50</f>
        <v>77</v>
      </c>
      <c r="F49" s="10">
        <f>'B) D RI'!R50</f>
        <v>1391311.3299999998</v>
      </c>
      <c r="G49" s="10">
        <f>'B) D RI'!U50</f>
        <v>18068.978311688308</v>
      </c>
      <c r="H49" s="41">
        <f>'B) D RI'!T50</f>
        <v>1303573.3299999998</v>
      </c>
      <c r="I49" s="10">
        <f t="shared" si="2"/>
        <v>33859.047532467528</v>
      </c>
      <c r="J49" s="31">
        <f t="shared" si="6"/>
        <v>46917.542060345899</v>
      </c>
      <c r="K49" s="10">
        <f t="shared" si="0"/>
        <v>33859.047532467528</v>
      </c>
      <c r="L49" s="10">
        <f t="shared" si="4"/>
        <v>13058.494527878371</v>
      </c>
      <c r="M49" s="10">
        <f>'D) Ecrêtage'!C48</f>
        <v>18068.978311688308</v>
      </c>
      <c r="N49" s="10">
        <f t="shared" si="7"/>
        <v>21222.284500272865</v>
      </c>
      <c r="O49" s="55">
        <f t="shared" si="5"/>
        <v>55081.332032740393</v>
      </c>
      <c r="P49" s="218"/>
      <c r="Q49" s="219"/>
      <c r="R49" s="215"/>
      <c r="S49" s="215"/>
      <c r="T49" s="220"/>
    </row>
    <row r="50" spans="1:20" s="214" customFormat="1" x14ac:dyDescent="0.25">
      <c r="A50" s="309">
        <f>'A) Base RI'!A51</f>
        <v>5480</v>
      </c>
      <c r="B50" s="227" t="str">
        <f>'A) Base RI'!B51</f>
        <v>Daillens</v>
      </c>
      <c r="C50" s="243">
        <v>0</v>
      </c>
      <c r="D50" s="216">
        <f>'B) D RI'!AA51</f>
        <v>1048</v>
      </c>
      <c r="E50" s="217">
        <f>'B) D RI'!S51</f>
        <v>66</v>
      </c>
      <c r="F50" s="10">
        <f>'B) D RI'!R51</f>
        <v>2704511.1100000003</v>
      </c>
      <c r="G50" s="10">
        <f>'B) D RI'!U51</f>
        <v>40977.441060606063</v>
      </c>
      <c r="H50" s="41">
        <f>'B) D RI'!T51</f>
        <v>2386281.7100000004</v>
      </c>
      <c r="I50" s="10">
        <f t="shared" si="2"/>
        <v>72311.566969696985</v>
      </c>
      <c r="J50" s="31">
        <f t="shared" si="6"/>
        <v>93300.918556437391</v>
      </c>
      <c r="K50" s="10">
        <f t="shared" si="0"/>
        <v>72311.566969696985</v>
      </c>
      <c r="L50" s="10">
        <f t="shared" si="4"/>
        <v>20989.351586740406</v>
      </c>
      <c r="M50" s="10">
        <f>'D) Ecrêtage'!C49</f>
        <v>40977.441060606063</v>
      </c>
      <c r="N50" s="10">
        <f t="shared" si="7"/>
        <v>48128.615646121107</v>
      </c>
      <c r="O50" s="55">
        <f t="shared" si="5"/>
        <v>120440.18261581809</v>
      </c>
      <c r="P50" s="218"/>
      <c r="Q50" s="219"/>
      <c r="R50" s="215"/>
      <c r="S50" s="215"/>
      <c r="T50" s="220"/>
    </row>
    <row r="51" spans="1:20" s="214" customFormat="1" x14ac:dyDescent="0.25">
      <c r="A51" s="309">
        <f>'A) Base RI'!A52</f>
        <v>5481</v>
      </c>
      <c r="B51" s="227" t="str">
        <f>'A) Base RI'!B52</f>
        <v>Dizy</v>
      </c>
      <c r="C51" s="243">
        <v>0</v>
      </c>
      <c r="D51" s="216">
        <f>'B) D RI'!AA52</f>
        <v>224</v>
      </c>
      <c r="E51" s="217">
        <f>'B) D RI'!S52</f>
        <v>75</v>
      </c>
      <c r="F51" s="10">
        <f>'B) D RI'!R52</f>
        <v>609312.54</v>
      </c>
      <c r="G51" s="10">
        <f>'B) D RI'!U52</f>
        <v>8124.1672000000008</v>
      </c>
      <c r="H51" s="41">
        <f>'B) D RI'!T52</f>
        <v>570146.49</v>
      </c>
      <c r="I51" s="10">
        <f t="shared" si="2"/>
        <v>15203.9064</v>
      </c>
      <c r="J51" s="31">
        <f t="shared" si="6"/>
        <v>19942.181065498065</v>
      </c>
      <c r="K51" s="10">
        <f t="shared" si="0"/>
        <v>15203.9064</v>
      </c>
      <c r="L51" s="10">
        <f t="shared" si="4"/>
        <v>4738.2746654980656</v>
      </c>
      <c r="M51" s="10">
        <f>'D) Ecrêtage'!C50</f>
        <v>8124.1672000000008</v>
      </c>
      <c r="N51" s="10">
        <f t="shared" si="7"/>
        <v>9541.9555368360743</v>
      </c>
      <c r="O51" s="55">
        <f t="shared" si="5"/>
        <v>24745.861936836074</v>
      </c>
      <c r="P51" s="218"/>
      <c r="Q51" s="219"/>
      <c r="R51" s="215"/>
      <c r="S51" s="215"/>
      <c r="T51" s="220"/>
    </row>
    <row r="52" spans="1:20" s="214" customFormat="1" x14ac:dyDescent="0.25">
      <c r="A52" s="309">
        <f>'A) Base RI'!A53</f>
        <v>5482</v>
      </c>
      <c r="B52" s="227" t="str">
        <f>'A) Base RI'!B53</f>
        <v>Eclépens</v>
      </c>
      <c r="C52" s="243">
        <v>0</v>
      </c>
      <c r="D52" s="216">
        <f>'B) D RI'!AA53</f>
        <v>1220</v>
      </c>
      <c r="E52" s="217">
        <f>'B) D RI'!S53</f>
        <v>46</v>
      </c>
      <c r="F52" s="10">
        <f>'B) D RI'!R53</f>
        <v>3261948.79</v>
      </c>
      <c r="G52" s="10">
        <f>'B) D RI'!U53</f>
        <v>70911.930217391302</v>
      </c>
      <c r="H52" s="41">
        <f>'B) D RI'!T53</f>
        <v>2793749.64</v>
      </c>
      <c r="I52" s="10">
        <f t="shared" si="2"/>
        <v>121467.37565217391</v>
      </c>
      <c r="J52" s="31">
        <f t="shared" si="6"/>
        <v>108613.66473173055</v>
      </c>
      <c r="K52" s="10">
        <f t="shared" si="0"/>
        <v>108613.66473173055</v>
      </c>
      <c r="L52" s="10">
        <f t="shared" si="4"/>
        <v>0</v>
      </c>
      <c r="M52" s="10">
        <f>'D) Ecrêtage'!C51</f>
        <v>70911.930217391302</v>
      </c>
      <c r="N52" s="10">
        <f t="shared" si="7"/>
        <v>83287.119591232709</v>
      </c>
      <c r="O52" s="55">
        <f t="shared" si="5"/>
        <v>191900.78432296327</v>
      </c>
      <c r="P52" s="218"/>
      <c r="Q52" s="219"/>
      <c r="R52" s="215"/>
      <c r="S52" s="215"/>
      <c r="T52" s="220"/>
    </row>
    <row r="53" spans="1:20" s="214" customFormat="1" x14ac:dyDescent="0.25">
      <c r="A53" s="309">
        <f>'A) Base RI'!A54</f>
        <v>5483</v>
      </c>
      <c r="B53" s="227" t="str">
        <f>'A) Base RI'!B54</f>
        <v>Ferreyres</v>
      </c>
      <c r="C53" s="243">
        <v>0</v>
      </c>
      <c r="D53" s="216">
        <f>'B) D RI'!AA54</f>
        <v>319</v>
      </c>
      <c r="E53" s="217">
        <f>'B) D RI'!S54</f>
        <v>76</v>
      </c>
      <c r="F53" s="10">
        <f>'B) D RI'!R54</f>
        <v>822343.94000000006</v>
      </c>
      <c r="G53" s="10">
        <f>'B) D RI'!U54</f>
        <v>10820.315000000001</v>
      </c>
      <c r="H53" s="41">
        <f>'B) D RI'!T54</f>
        <v>764768.29</v>
      </c>
      <c r="I53" s="10">
        <f t="shared" si="2"/>
        <v>20125.481315789475</v>
      </c>
      <c r="J53" s="31">
        <f t="shared" si="6"/>
        <v>28399.802499526264</v>
      </c>
      <c r="K53" s="10">
        <f t="shared" si="0"/>
        <v>20125.481315789475</v>
      </c>
      <c r="L53" s="10">
        <f t="shared" si="4"/>
        <v>8274.321183736789</v>
      </c>
      <c r="M53" s="10">
        <f>'D) Ecrêtage'!C52</f>
        <v>10820.315000000001</v>
      </c>
      <c r="N53" s="10">
        <f t="shared" si="7"/>
        <v>12708.621337158156</v>
      </c>
      <c r="O53" s="55">
        <f t="shared" si="5"/>
        <v>32834.102652947629</v>
      </c>
      <c r="P53" s="218"/>
      <c r="Q53" s="219"/>
      <c r="R53" s="215"/>
      <c r="S53" s="215"/>
      <c r="T53" s="220"/>
    </row>
    <row r="54" spans="1:20" s="214" customFormat="1" x14ac:dyDescent="0.25">
      <c r="A54" s="309">
        <f>'A) Base RI'!A55</f>
        <v>5484</v>
      </c>
      <c r="B54" s="227" t="str">
        <f>'A) Base RI'!B55</f>
        <v>Gollion</v>
      </c>
      <c r="C54" s="243">
        <v>0</v>
      </c>
      <c r="D54" s="216">
        <f>'B) D RI'!AA55</f>
        <v>996</v>
      </c>
      <c r="E54" s="217">
        <f>'B) D RI'!S55</f>
        <v>74</v>
      </c>
      <c r="F54" s="10">
        <f>'B) D RI'!R55</f>
        <v>2589776.9300000002</v>
      </c>
      <c r="G54" s="10">
        <f>'B) D RI'!U55</f>
        <v>34996.98554054054</v>
      </c>
      <c r="H54" s="41">
        <f>'B) D RI'!T55</f>
        <v>2398528.9300000002</v>
      </c>
      <c r="I54" s="10">
        <f t="shared" si="2"/>
        <v>64825.10621621622</v>
      </c>
      <c r="J54" s="31">
        <f t="shared" si="6"/>
        <v>88671.483666232481</v>
      </c>
      <c r="K54" s="10">
        <f t="shared" si="0"/>
        <v>64825.10621621622</v>
      </c>
      <c r="L54" s="10">
        <f t="shared" si="4"/>
        <v>23846.377450016262</v>
      </c>
      <c r="M54" s="10">
        <f>'D) Ecrêtage'!C53</f>
        <v>34996.98554054054</v>
      </c>
      <c r="N54" s="10">
        <f t="shared" si="7"/>
        <v>41104.481447788618</v>
      </c>
      <c r="O54" s="55">
        <f t="shared" si="5"/>
        <v>105929.58766400484</v>
      </c>
      <c r="P54" s="218"/>
      <c r="Q54" s="219"/>
      <c r="R54" s="215"/>
      <c r="S54" s="215"/>
      <c r="T54" s="220"/>
    </row>
    <row r="55" spans="1:20" s="214" customFormat="1" x14ac:dyDescent="0.25">
      <c r="A55" s="309">
        <f>'A) Base RI'!A56</f>
        <v>5485</v>
      </c>
      <c r="B55" s="227" t="str">
        <f>'A) Base RI'!B56</f>
        <v>Grancy</v>
      </c>
      <c r="C55" s="243">
        <v>0</v>
      </c>
      <c r="D55" s="216">
        <f>'B) D RI'!AA56</f>
        <v>406</v>
      </c>
      <c r="E55" s="217">
        <f>'B) D RI'!S56</f>
        <v>70</v>
      </c>
      <c r="F55" s="10">
        <f>'B) D RI'!R56</f>
        <v>1017964.6900000001</v>
      </c>
      <c r="G55" s="10">
        <f>'B) D RI'!U56</f>
        <v>14542.352714285715</v>
      </c>
      <c r="H55" s="41">
        <f>'B) D RI'!T56</f>
        <v>941448.84000000008</v>
      </c>
      <c r="I55" s="10">
        <f t="shared" si="2"/>
        <v>26898.538285714287</v>
      </c>
      <c r="J55" s="31">
        <f t="shared" si="6"/>
        <v>36145.203181215249</v>
      </c>
      <c r="K55" s="10">
        <f t="shared" si="0"/>
        <v>26898.538285714287</v>
      </c>
      <c r="L55" s="10">
        <f t="shared" si="4"/>
        <v>9246.6648955009623</v>
      </c>
      <c r="M55" s="10">
        <f>'D) Ecrêtage'!C54</f>
        <v>14542.352714285715</v>
      </c>
      <c r="N55" s="10">
        <f t="shared" si="7"/>
        <v>17080.210141502466</v>
      </c>
      <c r="O55" s="55">
        <f t="shared" si="5"/>
        <v>43978.748427216749</v>
      </c>
      <c r="P55" s="218"/>
      <c r="Q55" s="219"/>
      <c r="R55" s="215"/>
      <c r="S55" s="215"/>
      <c r="T55" s="220"/>
    </row>
    <row r="56" spans="1:20" s="214" customFormat="1" x14ac:dyDescent="0.25">
      <c r="A56" s="309">
        <f>'A) Base RI'!A57</f>
        <v>5486</v>
      </c>
      <c r="B56" s="227" t="str">
        <f>'A) Base RI'!B57</f>
        <v>L'Isle</v>
      </c>
      <c r="C56" s="243">
        <v>0</v>
      </c>
      <c r="D56" s="216">
        <f>'B) D RI'!AA57</f>
        <v>1065</v>
      </c>
      <c r="E56" s="217">
        <f>'B) D RI'!S57</f>
        <v>75</v>
      </c>
      <c r="F56" s="10">
        <f>'B) D RI'!R57</f>
        <v>2809467.03</v>
      </c>
      <c r="G56" s="10">
        <f>'B) D RI'!U57</f>
        <v>37459.560399999995</v>
      </c>
      <c r="H56" s="41">
        <f>'B) D RI'!T57</f>
        <v>2606815.9300000002</v>
      </c>
      <c r="I56" s="10">
        <f t="shared" si="2"/>
        <v>69515.091466666665</v>
      </c>
      <c r="J56" s="31">
        <f t="shared" si="6"/>
        <v>94814.387655158222</v>
      </c>
      <c r="K56" s="10">
        <f t="shared" si="0"/>
        <v>69515.091466666665</v>
      </c>
      <c r="L56" s="10">
        <f t="shared" si="4"/>
        <v>25299.296188491557</v>
      </c>
      <c r="M56" s="10">
        <f>'D) Ecrêtage'!C55</f>
        <v>37459.560399999995</v>
      </c>
      <c r="N56" s="10">
        <f t="shared" si="7"/>
        <v>43996.81234603656</v>
      </c>
      <c r="O56" s="55">
        <f t="shared" si="5"/>
        <v>113511.90381270323</v>
      </c>
      <c r="P56" s="218"/>
      <c r="Q56" s="219"/>
      <c r="R56" s="215"/>
      <c r="S56" s="215"/>
      <c r="T56" s="220"/>
    </row>
    <row r="57" spans="1:20" s="214" customFormat="1" x14ac:dyDescent="0.25">
      <c r="A57" s="309">
        <f>'A) Base RI'!A58</f>
        <v>5487</v>
      </c>
      <c r="B57" s="227" t="str">
        <f>'A) Base RI'!B58</f>
        <v>Lussery-Villars</v>
      </c>
      <c r="C57" s="243">
        <v>0</v>
      </c>
      <c r="D57" s="216">
        <f>'B) D RI'!AA58</f>
        <v>459</v>
      </c>
      <c r="E57" s="217">
        <f>'B) D RI'!S58</f>
        <v>75</v>
      </c>
      <c r="F57" s="10">
        <f>'B) D RI'!R58</f>
        <v>966739.91</v>
      </c>
      <c r="G57" s="10">
        <f>'B) D RI'!U58</f>
        <v>12889.865466666668</v>
      </c>
      <c r="H57" s="41">
        <f>'B) D RI'!T58</f>
        <v>886733.11</v>
      </c>
      <c r="I57" s="10">
        <f t="shared" si="2"/>
        <v>23646.216266666666</v>
      </c>
      <c r="J57" s="31">
        <f t="shared" si="6"/>
        <v>40863.665665462555</v>
      </c>
      <c r="K57" s="10">
        <f t="shared" si="0"/>
        <v>23646.216266666666</v>
      </c>
      <c r="L57" s="10">
        <f t="shared" si="4"/>
        <v>17217.449398795889</v>
      </c>
      <c r="M57" s="10">
        <f>'D) Ecrêtage'!C56</f>
        <v>12889.865466666668</v>
      </c>
      <c r="N57" s="10">
        <f t="shared" si="7"/>
        <v>15139.339224669344</v>
      </c>
      <c r="O57" s="55">
        <f t="shared" si="5"/>
        <v>38785.55549133601</v>
      </c>
      <c r="P57" s="218"/>
      <c r="Q57" s="219"/>
      <c r="R57" s="215"/>
      <c r="S57" s="215"/>
      <c r="T57" s="220"/>
    </row>
    <row r="58" spans="1:20" s="214" customFormat="1" x14ac:dyDescent="0.25">
      <c r="A58" s="309">
        <f>'A) Base RI'!A59</f>
        <v>5488</v>
      </c>
      <c r="B58" s="227" t="str">
        <f>'A) Base RI'!B59</f>
        <v>Mauraz</v>
      </c>
      <c r="C58" s="243">
        <v>0</v>
      </c>
      <c r="D58" s="216">
        <f>'B) D RI'!AA59</f>
        <v>58</v>
      </c>
      <c r="E58" s="217">
        <f>'B) D RI'!S59</f>
        <v>77</v>
      </c>
      <c r="F58" s="10">
        <f>'B) D RI'!R59</f>
        <v>125676.56000000003</v>
      </c>
      <c r="G58" s="10">
        <f>'B) D RI'!U59</f>
        <v>1632.1631168831173</v>
      </c>
      <c r="H58" s="41">
        <f>'B) D RI'!T59</f>
        <v>117250.56000000003</v>
      </c>
      <c r="I58" s="10">
        <f t="shared" si="2"/>
        <v>3045.4690909090914</v>
      </c>
      <c r="J58" s="31">
        <f t="shared" si="6"/>
        <v>5163.6004544593206</v>
      </c>
      <c r="K58" s="10">
        <f t="shared" si="0"/>
        <v>3045.4690909090914</v>
      </c>
      <c r="L58" s="10">
        <f t="shared" si="4"/>
        <v>2118.1313635502293</v>
      </c>
      <c r="M58" s="10">
        <f>'D) Ecrêtage'!C57</f>
        <v>1632.1631168831173</v>
      </c>
      <c r="N58" s="10">
        <f t="shared" si="7"/>
        <v>1916.9999221781754</v>
      </c>
      <c r="O58" s="55">
        <f t="shared" si="5"/>
        <v>4962.4690130872668</v>
      </c>
      <c r="P58" s="218"/>
      <c r="Q58" s="219"/>
      <c r="R58" s="215"/>
      <c r="S58" s="215"/>
      <c r="T58" s="220"/>
    </row>
    <row r="59" spans="1:20" s="214" customFormat="1" x14ac:dyDescent="0.25">
      <c r="A59" s="309">
        <f>'A) Base RI'!A60</f>
        <v>5489</v>
      </c>
      <c r="B59" s="227" t="str">
        <f>'A) Base RI'!B60</f>
        <v>Mex</v>
      </c>
      <c r="C59" s="243">
        <v>0</v>
      </c>
      <c r="D59" s="216">
        <f>'B) D RI'!AA60</f>
        <v>791</v>
      </c>
      <c r="E59" s="217">
        <f>'B) D RI'!S60</f>
        <v>59.5</v>
      </c>
      <c r="F59" s="10">
        <f>'B) D RI'!R60</f>
        <v>3421021.7699999991</v>
      </c>
      <c r="G59" s="10">
        <f>'B) D RI'!U60</f>
        <v>57496.164201680658</v>
      </c>
      <c r="H59" s="41">
        <f>'B) D RI'!T60</f>
        <v>3121084.7199999993</v>
      </c>
      <c r="I59" s="10">
        <f t="shared" si="2"/>
        <v>104910.4107563025</v>
      </c>
      <c r="J59" s="31">
        <f t="shared" si="6"/>
        <v>70420.826887540054</v>
      </c>
      <c r="K59" s="10">
        <f t="shared" si="0"/>
        <v>70420.826887540054</v>
      </c>
      <c r="L59" s="10">
        <f t="shared" si="4"/>
        <v>0</v>
      </c>
      <c r="M59" s="10">
        <f>'D) Ecrêtage'!C58</f>
        <v>57496.164201680658</v>
      </c>
      <c r="N59" s="10">
        <f t="shared" si="7"/>
        <v>67530.1023286501</v>
      </c>
      <c r="O59" s="55">
        <f t="shared" si="5"/>
        <v>137950.92921619015</v>
      </c>
      <c r="P59" s="218"/>
      <c r="Q59" s="219"/>
      <c r="R59" s="215"/>
      <c r="S59" s="215"/>
      <c r="T59" s="220"/>
    </row>
    <row r="60" spans="1:20" s="214" customFormat="1" x14ac:dyDescent="0.25">
      <c r="A60" s="309">
        <f>'A) Base RI'!A61</f>
        <v>5490</v>
      </c>
      <c r="B60" s="227" t="str">
        <f>'A) Base RI'!B61</f>
        <v>Moiry</v>
      </c>
      <c r="C60" s="243">
        <v>0</v>
      </c>
      <c r="D60" s="216">
        <f>'B) D RI'!AA61</f>
        <v>311</v>
      </c>
      <c r="E60" s="217">
        <f>'B) D RI'!S61</f>
        <v>77.5</v>
      </c>
      <c r="F60" s="10">
        <f>'B) D RI'!R61</f>
        <v>670832.97</v>
      </c>
      <c r="G60" s="10">
        <f>'B) D RI'!U61</f>
        <v>8655.909290322581</v>
      </c>
      <c r="H60" s="41">
        <f>'B) D RI'!T61</f>
        <v>624732.72</v>
      </c>
      <c r="I60" s="10">
        <f t="shared" si="2"/>
        <v>16122.134709677419</v>
      </c>
      <c r="J60" s="31">
        <f t="shared" si="6"/>
        <v>27687.58174718705</v>
      </c>
      <c r="K60" s="10">
        <f t="shared" si="0"/>
        <v>16122.134709677419</v>
      </c>
      <c r="L60" s="10">
        <f t="shared" si="4"/>
        <v>11565.447037509632</v>
      </c>
      <c r="M60" s="10">
        <f>'D) Ecrêtage'!C59</f>
        <v>8655.909290322581</v>
      </c>
      <c r="N60" s="10">
        <f t="shared" si="7"/>
        <v>10166.494552099366</v>
      </c>
      <c r="O60" s="55">
        <f t="shared" si="5"/>
        <v>26288.629261776783</v>
      </c>
      <c r="P60" s="218"/>
      <c r="Q60" s="219"/>
      <c r="R60" s="215"/>
      <c r="S60" s="215"/>
      <c r="T60" s="220"/>
    </row>
    <row r="61" spans="1:20" s="214" customFormat="1" x14ac:dyDescent="0.25">
      <c r="A61" s="309">
        <f>'A) Base RI'!A62</f>
        <v>5491</v>
      </c>
      <c r="B61" s="227" t="str">
        <f>'A) Base RI'!B62</f>
        <v>Mont-la-Ville</v>
      </c>
      <c r="C61" s="243">
        <v>0</v>
      </c>
      <c r="D61" s="216">
        <f>'B) D RI'!AA62</f>
        <v>490</v>
      </c>
      <c r="E61" s="217">
        <f>'B) D RI'!S62</f>
        <v>76</v>
      </c>
      <c r="F61" s="10">
        <f>'B) D RI'!R62</f>
        <v>1088569.6399999999</v>
      </c>
      <c r="G61" s="10">
        <f>'B) D RI'!U62</f>
        <v>14323.284736842104</v>
      </c>
      <c r="H61" s="41">
        <f>'B) D RI'!T62</f>
        <v>995691.78999999992</v>
      </c>
      <c r="I61" s="10">
        <f t="shared" si="2"/>
        <v>26202.415526315788</v>
      </c>
      <c r="J61" s="31">
        <f t="shared" si="6"/>
        <v>43623.52108077702</v>
      </c>
      <c r="K61" s="10">
        <f t="shared" si="0"/>
        <v>26202.415526315788</v>
      </c>
      <c r="L61" s="10">
        <f t="shared" si="4"/>
        <v>17421.105554461232</v>
      </c>
      <c r="M61" s="10">
        <f>'D) Ecrêtage'!C60</f>
        <v>14323.284736842104</v>
      </c>
      <c r="N61" s="10">
        <f t="shared" si="7"/>
        <v>16822.911534906634</v>
      </c>
      <c r="O61" s="55">
        <f t="shared" si="5"/>
        <v>43025.327061222422</v>
      </c>
      <c r="P61" s="218"/>
      <c r="Q61" s="219"/>
      <c r="R61" s="215"/>
      <c r="S61" s="215"/>
      <c r="T61" s="220"/>
    </row>
    <row r="62" spans="1:20" s="214" customFormat="1" x14ac:dyDescent="0.25">
      <c r="A62" s="309">
        <f>'A) Base RI'!A63</f>
        <v>5492</v>
      </c>
      <c r="B62" s="227" t="str">
        <f>'A) Base RI'!B63</f>
        <v>Montricher</v>
      </c>
      <c r="C62" s="243">
        <v>0</v>
      </c>
      <c r="D62" s="216">
        <f>'B) D RI'!AA63</f>
        <v>964</v>
      </c>
      <c r="E62" s="217">
        <f>'B) D RI'!S63</f>
        <v>64</v>
      </c>
      <c r="F62" s="10">
        <f>'B) D RI'!R63</f>
        <v>10057917.883333335</v>
      </c>
      <c r="G62" s="10">
        <f>'B) D RI'!U63</f>
        <v>157154.96692708335</v>
      </c>
      <c r="H62" s="41">
        <f>'B) D RI'!T63</f>
        <v>9808717.6000000015</v>
      </c>
      <c r="I62" s="10">
        <f t="shared" si="2"/>
        <v>306522.42500000005</v>
      </c>
      <c r="J62" s="31">
        <f t="shared" si="6"/>
        <v>85822.600656875613</v>
      </c>
      <c r="K62" s="10">
        <f t="shared" si="0"/>
        <v>85822.600656875613</v>
      </c>
      <c r="L62" s="10">
        <f t="shared" si="4"/>
        <v>0</v>
      </c>
      <c r="M62" s="10">
        <f>'D) Ecrêtage'!C61</f>
        <v>157154.96692708335</v>
      </c>
      <c r="N62" s="10">
        <f t="shared" si="7"/>
        <v>184580.85239939092</v>
      </c>
      <c r="O62" s="55">
        <f t="shared" si="5"/>
        <v>270403.45305626653</v>
      </c>
      <c r="P62" s="218"/>
      <c r="Q62" s="219"/>
      <c r="R62" s="215"/>
      <c r="S62" s="215"/>
      <c r="T62" s="220"/>
    </row>
    <row r="63" spans="1:20" s="214" customFormat="1" x14ac:dyDescent="0.25">
      <c r="A63" s="309">
        <f>'A) Base RI'!A64</f>
        <v>5493</v>
      </c>
      <c r="B63" s="227" t="str">
        <f>'A) Base RI'!B64</f>
        <v>Orny</v>
      </c>
      <c r="C63" s="243">
        <v>0</v>
      </c>
      <c r="D63" s="216">
        <f>'B) D RI'!AA64</f>
        <v>462</v>
      </c>
      <c r="E63" s="217">
        <f>'B) D RI'!S64</f>
        <v>73</v>
      </c>
      <c r="F63" s="10">
        <f>'B) D RI'!R64</f>
        <v>940606.29384615365</v>
      </c>
      <c r="G63" s="10">
        <f>'B) D RI'!U64</f>
        <v>12885.017723919913</v>
      </c>
      <c r="H63" s="41">
        <f>'B) D RI'!T64</f>
        <v>879660.2899999998</v>
      </c>
      <c r="I63" s="10">
        <f t="shared" si="2"/>
        <v>24100.281917808214</v>
      </c>
      <c r="J63" s="31">
        <f t="shared" si="6"/>
        <v>41130.748447589765</v>
      </c>
      <c r="K63" s="10">
        <f t="shared" si="0"/>
        <v>24100.281917808214</v>
      </c>
      <c r="L63" s="10">
        <f t="shared" si="4"/>
        <v>17030.466529781552</v>
      </c>
      <c r="M63" s="10">
        <f>'D) Ecrêtage'!C62</f>
        <v>12885.017723919913</v>
      </c>
      <c r="N63" s="10">
        <f t="shared" si="7"/>
        <v>15133.645478516069</v>
      </c>
      <c r="O63" s="55">
        <f t="shared" si="5"/>
        <v>39233.927396324281</v>
      </c>
      <c r="P63" s="218"/>
      <c r="Q63" s="219"/>
      <c r="R63" s="215"/>
      <c r="S63" s="215"/>
      <c r="T63" s="220"/>
    </row>
    <row r="64" spans="1:20" s="214" customFormat="1" x14ac:dyDescent="0.25">
      <c r="A64" s="309">
        <f>'A) Base RI'!A65</f>
        <v>5494</v>
      </c>
      <c r="B64" s="227" t="str">
        <f>'A) Base RI'!B65</f>
        <v>Pampigny</v>
      </c>
      <c r="C64" s="243">
        <v>0</v>
      </c>
      <c r="D64" s="216">
        <f>'B) D RI'!AA65</f>
        <v>1128</v>
      </c>
      <c r="E64" s="217">
        <f>'B) D RI'!S65</f>
        <v>73</v>
      </c>
      <c r="F64" s="10">
        <f>'B) D RI'!R65</f>
        <v>2672374.7600000007</v>
      </c>
      <c r="G64" s="10">
        <f>'B) D RI'!U65</f>
        <v>36607.87342465754</v>
      </c>
      <c r="H64" s="41">
        <f>'B) D RI'!T65</f>
        <v>2450092.3100000005</v>
      </c>
      <c r="I64" s="10">
        <f t="shared" si="2"/>
        <v>67125.816712328786</v>
      </c>
      <c r="J64" s="31">
        <f t="shared" si="6"/>
        <v>100423.12607982956</v>
      </c>
      <c r="K64" s="10">
        <f t="shared" si="0"/>
        <v>67125.816712328786</v>
      </c>
      <c r="L64" s="10">
        <f t="shared" si="4"/>
        <v>33297.309367500769</v>
      </c>
      <c r="M64" s="10">
        <f>'D) Ecrêtage'!C63</f>
        <v>36607.87342465754</v>
      </c>
      <c r="N64" s="10">
        <f t="shared" si="7"/>
        <v>42996.493291793056</v>
      </c>
      <c r="O64" s="55">
        <f t="shared" si="5"/>
        <v>110122.31000412184</v>
      </c>
      <c r="P64" s="218"/>
      <c r="Q64" s="219"/>
      <c r="R64" s="215"/>
      <c r="S64" s="215"/>
      <c r="T64" s="220"/>
    </row>
    <row r="65" spans="1:20" s="214" customFormat="1" x14ac:dyDescent="0.25">
      <c r="A65" s="309">
        <f>'A) Base RI'!A66</f>
        <v>5495</v>
      </c>
      <c r="B65" s="227" t="str">
        <f>'A) Base RI'!B66</f>
        <v>Penthalaz</v>
      </c>
      <c r="C65" s="243">
        <v>0</v>
      </c>
      <c r="D65" s="216">
        <f>'B) D RI'!AA66</f>
        <v>3207</v>
      </c>
      <c r="E65" s="217">
        <f>'B) D RI'!S66</f>
        <v>74</v>
      </c>
      <c r="F65" s="10">
        <f>'B) D RI'!R66</f>
        <v>6908748.9799999995</v>
      </c>
      <c r="G65" s="10">
        <f>'B) D RI'!U66</f>
        <v>93361.472702702697</v>
      </c>
      <c r="H65" s="41">
        <f>'B) D RI'!T66</f>
        <v>6357072.1799999997</v>
      </c>
      <c r="I65" s="10">
        <f t="shared" si="2"/>
        <v>171812.76162162161</v>
      </c>
      <c r="J65" s="31">
        <f t="shared" si="6"/>
        <v>285511.49409398349</v>
      </c>
      <c r="K65" s="10">
        <f t="shared" si="0"/>
        <v>171812.76162162161</v>
      </c>
      <c r="L65" s="10">
        <f t="shared" si="4"/>
        <v>113698.73247236188</v>
      </c>
      <c r="M65" s="10">
        <f>'D) Ecrêtage'!C64</f>
        <v>93361.472702702697</v>
      </c>
      <c r="N65" s="10">
        <f t="shared" si="7"/>
        <v>109654.44204333017</v>
      </c>
      <c r="O65" s="55">
        <f t="shared" si="5"/>
        <v>281467.20366495178</v>
      </c>
      <c r="P65" s="218"/>
      <c r="Q65" s="219"/>
      <c r="R65" s="215"/>
      <c r="S65" s="215"/>
      <c r="T65" s="220"/>
    </row>
    <row r="66" spans="1:20" s="214" customFormat="1" x14ac:dyDescent="0.25">
      <c r="A66" s="309">
        <f>'A) Base RI'!A67</f>
        <v>5496</v>
      </c>
      <c r="B66" s="227" t="str">
        <f>'A) Base RI'!B67</f>
        <v>Penthaz</v>
      </c>
      <c r="C66" s="243">
        <v>0</v>
      </c>
      <c r="D66" s="216">
        <f>'B) D RI'!AA67</f>
        <v>1855</v>
      </c>
      <c r="E66" s="217">
        <f>'B) D RI'!S67</f>
        <v>69.5</v>
      </c>
      <c r="F66" s="10">
        <f>'B) D RI'!R67</f>
        <v>4179112.7800000003</v>
      </c>
      <c r="G66" s="10">
        <f>'B) D RI'!U67</f>
        <v>60131.11913669065</v>
      </c>
      <c r="H66" s="41">
        <f>'B) D RI'!T67</f>
        <v>3821002.48</v>
      </c>
      <c r="I66" s="10">
        <f t="shared" si="2"/>
        <v>109956.90589928058</v>
      </c>
      <c r="J66" s="31">
        <f t="shared" si="6"/>
        <v>165146.18694865587</v>
      </c>
      <c r="K66" s="10">
        <f t="shared" si="0"/>
        <v>109956.90589928058</v>
      </c>
      <c r="L66" s="10">
        <f t="shared" si="4"/>
        <v>55189.281049375291</v>
      </c>
      <c r="M66" s="10">
        <f>'D) Ecrêtage'!C65</f>
        <v>60131.11913669065</v>
      </c>
      <c r="N66" s="10">
        <f t="shared" si="7"/>
        <v>70624.896196436603</v>
      </c>
      <c r="O66" s="55">
        <f t="shared" si="5"/>
        <v>180581.80209571717</v>
      </c>
      <c r="P66" s="218"/>
      <c r="Q66" s="219"/>
      <c r="R66" s="215"/>
      <c r="S66" s="215"/>
      <c r="T66" s="220"/>
    </row>
    <row r="67" spans="1:20" s="214" customFormat="1" x14ac:dyDescent="0.25">
      <c r="A67" s="309">
        <f>'A) Base RI'!A68</f>
        <v>5497</v>
      </c>
      <c r="B67" s="227" t="str">
        <f>'A) Base RI'!B68</f>
        <v>Pompaples</v>
      </c>
      <c r="C67" s="243">
        <v>0</v>
      </c>
      <c r="D67" s="216">
        <f>'B) D RI'!AA68</f>
        <v>847</v>
      </c>
      <c r="E67" s="217">
        <f>'B) D RI'!S68</f>
        <v>66</v>
      </c>
      <c r="F67" s="10">
        <f>'B) D RI'!R68</f>
        <v>1346201.08</v>
      </c>
      <c r="G67" s="10">
        <f>'B) D RI'!U68</f>
        <v>20396.986060606061</v>
      </c>
      <c r="H67" s="41">
        <f>'B) D RI'!T68</f>
        <v>1194494.8799999999</v>
      </c>
      <c r="I67" s="10">
        <f t="shared" si="2"/>
        <v>36196.814545454545</v>
      </c>
      <c r="J67" s="31">
        <f t="shared" si="6"/>
        <v>75406.372153914563</v>
      </c>
      <c r="K67" s="10">
        <f t="shared" si="0"/>
        <v>36196.814545454545</v>
      </c>
      <c r="L67" s="10">
        <f t="shared" si="4"/>
        <v>39209.557608460018</v>
      </c>
      <c r="M67" s="10">
        <f>'D) Ecrêtage'!C66</f>
        <v>20396.986060606061</v>
      </c>
      <c r="N67" s="10">
        <f t="shared" si="7"/>
        <v>23956.5643203119</v>
      </c>
      <c r="O67" s="55">
        <f t="shared" si="5"/>
        <v>60153.378865766441</v>
      </c>
      <c r="P67" s="218"/>
      <c r="Q67" s="219"/>
      <c r="R67" s="215"/>
      <c r="S67" s="215"/>
      <c r="T67" s="220"/>
    </row>
    <row r="68" spans="1:20" s="214" customFormat="1" x14ac:dyDescent="0.25">
      <c r="A68" s="309">
        <f>'A) Base RI'!A69</f>
        <v>5498</v>
      </c>
      <c r="B68" s="227" t="str">
        <f>'A) Base RI'!B69</f>
        <v>La Sarraz</v>
      </c>
      <c r="C68" s="243">
        <v>0</v>
      </c>
      <c r="D68" s="216">
        <f>'B) D RI'!AA69</f>
        <v>2598</v>
      </c>
      <c r="E68" s="217">
        <f>'B) D RI'!S69</f>
        <v>66</v>
      </c>
      <c r="F68" s="10">
        <f>'B) D RI'!R69</f>
        <v>5115543.9700000007</v>
      </c>
      <c r="G68" s="10">
        <f>'B) D RI'!U69</f>
        <v>77508.241969696974</v>
      </c>
      <c r="H68" s="41">
        <f>'B) D RI'!T69</f>
        <v>4695060.9700000007</v>
      </c>
      <c r="I68" s="10">
        <f t="shared" si="2"/>
        <v>142274.57484848486</v>
      </c>
      <c r="J68" s="31">
        <f t="shared" si="6"/>
        <v>231293.68932216062</v>
      </c>
      <c r="K68" s="10">
        <f t="shared" si="0"/>
        <v>142274.57484848486</v>
      </c>
      <c r="L68" s="10">
        <f t="shared" si="4"/>
        <v>89019.114473675756</v>
      </c>
      <c r="M68" s="10">
        <f>'D) Ecrêtage'!C67</f>
        <v>77508.241969696974</v>
      </c>
      <c r="N68" s="10">
        <f t="shared" si="7"/>
        <v>91034.586118953855</v>
      </c>
      <c r="O68" s="55">
        <f t="shared" si="5"/>
        <v>233309.16096743871</v>
      </c>
      <c r="P68" s="218"/>
      <c r="Q68" s="219"/>
      <c r="R68" s="215"/>
      <c r="S68" s="215"/>
      <c r="T68" s="220"/>
    </row>
    <row r="69" spans="1:20" s="214" customFormat="1" x14ac:dyDescent="0.25">
      <c r="A69" s="309">
        <f>'A) Base RI'!A70</f>
        <v>5499</v>
      </c>
      <c r="B69" s="227" t="str">
        <f>'A) Base RI'!B70</f>
        <v>Senarclens</v>
      </c>
      <c r="C69" s="243">
        <v>0</v>
      </c>
      <c r="D69" s="216">
        <f>'B) D RI'!AA70</f>
        <v>496</v>
      </c>
      <c r="E69" s="217">
        <f>'B) D RI'!S70</f>
        <v>68.5</v>
      </c>
      <c r="F69" s="10">
        <f>'B) D RI'!R70</f>
        <v>1346329.6500000001</v>
      </c>
      <c r="G69" s="10">
        <f>'B) D RI'!U70</f>
        <v>19654.447445255475</v>
      </c>
      <c r="H69" s="41">
        <f>'B) D RI'!T70</f>
        <v>1247014.8500000001</v>
      </c>
      <c r="I69" s="10">
        <f t="shared" si="2"/>
        <v>36409.192700729931</v>
      </c>
      <c r="J69" s="31">
        <f t="shared" si="6"/>
        <v>44157.686645031434</v>
      </c>
      <c r="K69" s="10">
        <f t="shared" si="0"/>
        <v>36409.192700729931</v>
      </c>
      <c r="L69" s="10">
        <f t="shared" si="4"/>
        <v>7748.4939443015028</v>
      </c>
      <c r="M69" s="10">
        <f>'D) Ecrêtage'!C68</f>
        <v>19654.447445255475</v>
      </c>
      <c r="N69" s="10">
        <f t="shared" si="7"/>
        <v>23084.441642671893</v>
      </c>
      <c r="O69" s="55">
        <f t="shared" si="5"/>
        <v>59493.63434340182</v>
      </c>
      <c r="P69" s="218"/>
      <c r="Q69" s="219"/>
      <c r="R69" s="215"/>
      <c r="S69" s="215"/>
      <c r="T69" s="220"/>
    </row>
    <row r="70" spans="1:20" s="214" customFormat="1" x14ac:dyDescent="0.25">
      <c r="A70" s="309">
        <f>'A) Base RI'!A71</f>
        <v>5500</v>
      </c>
      <c r="B70" s="227" t="str">
        <f>'A) Base RI'!B71</f>
        <v>Sévery</v>
      </c>
      <c r="C70" s="243">
        <v>0</v>
      </c>
      <c r="D70" s="216">
        <f>'B) D RI'!AA71</f>
        <v>214</v>
      </c>
      <c r="E70" s="217">
        <f>'B) D RI'!S71</f>
        <v>73</v>
      </c>
      <c r="F70" s="10">
        <f>'B) D RI'!R71</f>
        <v>548678.23</v>
      </c>
      <c r="G70" s="10">
        <f>'B) D RI'!U71</f>
        <v>7516.1401369863015</v>
      </c>
      <c r="H70" s="41">
        <f>'B) D RI'!T71</f>
        <v>505291.28</v>
      </c>
      <c r="I70" s="10">
        <f t="shared" si="2"/>
        <v>13843.596712328768</v>
      </c>
      <c r="J70" s="31">
        <f t="shared" ref="J70:J101" si="8">+$I$315/$D$315*D70</f>
        <v>19051.905125074045</v>
      </c>
      <c r="K70" s="10">
        <f t="shared" ref="K70:K133" si="9">IF(C70=1,0,IF(J70&gt;I70,I70,J70))</f>
        <v>13843.596712328768</v>
      </c>
      <c r="L70" s="10">
        <f t="shared" si="4"/>
        <v>5208.3084127452767</v>
      </c>
      <c r="M70" s="10">
        <f>'D) Ecrêtage'!C69</f>
        <v>7516.1401369863015</v>
      </c>
      <c r="N70" s="10">
        <f t="shared" ref="N70:N133" si="10">+$N$5*M70</f>
        <v>8827.8186834648459</v>
      </c>
      <c r="O70" s="55">
        <f t="shared" ref="O70:O133" si="11">+N70+K70</f>
        <v>22671.415395793614</v>
      </c>
      <c r="P70" s="218"/>
      <c r="Q70" s="219"/>
      <c r="R70" s="215"/>
      <c r="S70" s="215"/>
      <c r="T70" s="220"/>
    </row>
    <row r="71" spans="1:20" s="214" customFormat="1" x14ac:dyDescent="0.25">
      <c r="A71" s="309">
        <f>'A) Base RI'!A72</f>
        <v>5501</v>
      </c>
      <c r="B71" s="227" t="str">
        <f>'A) Base RI'!B72</f>
        <v>Sullens</v>
      </c>
      <c r="C71" s="243">
        <v>0</v>
      </c>
      <c r="D71" s="216">
        <f>'B) D RI'!AA72</f>
        <v>1041</v>
      </c>
      <c r="E71" s="217">
        <f>'B) D RI'!S72</f>
        <v>68.5</v>
      </c>
      <c r="F71" s="10">
        <f>'B) D RI'!R72</f>
        <v>2871598.1900000004</v>
      </c>
      <c r="G71" s="10">
        <f>'B) D RI'!U72</f>
        <v>41921.141459854021</v>
      </c>
      <c r="H71" s="41">
        <f>'B) D RI'!T72</f>
        <v>2644789.2400000002</v>
      </c>
      <c r="I71" s="10">
        <f t="shared" ref="I71:I134" si="12">+H71/E71*$I$5</f>
        <v>77220.123795620442</v>
      </c>
      <c r="J71" s="31">
        <f t="shared" si="8"/>
        <v>92677.725398140567</v>
      </c>
      <c r="K71" s="10">
        <f t="shared" si="9"/>
        <v>77220.123795620442</v>
      </c>
      <c r="L71" s="10">
        <f t="shared" ref="L71:L134" si="13">+J71-K71</f>
        <v>15457.601602520124</v>
      </c>
      <c r="M71" s="10">
        <f>'D) Ecrêtage'!C70</f>
        <v>41921.141459854021</v>
      </c>
      <c r="N71" s="10">
        <f t="shared" si="10"/>
        <v>49237.005838991397</v>
      </c>
      <c r="O71" s="55">
        <f t="shared" si="11"/>
        <v>126457.12963461183</v>
      </c>
      <c r="P71" s="218"/>
      <c r="Q71" s="219"/>
      <c r="R71" s="215"/>
      <c r="S71" s="215"/>
      <c r="T71" s="220"/>
    </row>
    <row r="72" spans="1:20" s="214" customFormat="1" x14ac:dyDescent="0.25">
      <c r="A72" s="309">
        <f>'A) Base RI'!A73</f>
        <v>5503</v>
      </c>
      <c r="B72" s="227" t="str">
        <f>'A) Base RI'!B73</f>
        <v>Vufflens-la-Ville</v>
      </c>
      <c r="C72" s="243">
        <v>0</v>
      </c>
      <c r="D72" s="216">
        <f>'B) D RI'!AA73</f>
        <v>1349</v>
      </c>
      <c r="E72" s="217">
        <f>'B) D RI'!S73</f>
        <v>67</v>
      </c>
      <c r="F72" s="10">
        <f>'B) D RI'!R73</f>
        <v>4550037.3866666667</v>
      </c>
      <c r="G72" s="10">
        <f>'B) D RI'!U73</f>
        <v>67911.005771144279</v>
      </c>
      <c r="H72" s="41">
        <f>'B) D RI'!T73</f>
        <v>4144172.67</v>
      </c>
      <c r="I72" s="10">
        <f t="shared" si="12"/>
        <v>123706.64686567165</v>
      </c>
      <c r="J72" s="31">
        <f t="shared" si="8"/>
        <v>120098.22436320041</v>
      </c>
      <c r="K72" s="10">
        <f t="shared" si="9"/>
        <v>120098.22436320041</v>
      </c>
      <c r="L72" s="10">
        <f t="shared" si="13"/>
        <v>0</v>
      </c>
      <c r="M72" s="10">
        <f>'D) Ecrêtage'!C71</f>
        <v>67911.005771144279</v>
      </c>
      <c r="N72" s="10">
        <f t="shared" si="10"/>
        <v>79762.489074581914</v>
      </c>
      <c r="O72" s="55">
        <f t="shared" si="11"/>
        <v>199860.71343778231</v>
      </c>
      <c r="P72" s="218"/>
      <c r="Q72" s="219"/>
      <c r="R72" s="215"/>
      <c r="S72" s="215"/>
      <c r="T72" s="220"/>
    </row>
    <row r="73" spans="1:20" s="214" customFormat="1" x14ac:dyDescent="0.25">
      <c r="A73" s="309">
        <f>'A) Base RI'!A74</f>
        <v>5511</v>
      </c>
      <c r="B73" s="227" t="str">
        <f>'A) Base RI'!B74</f>
        <v>Assens</v>
      </c>
      <c r="C73" s="243">
        <v>0</v>
      </c>
      <c r="D73" s="216">
        <f>'B) D RI'!AA74</f>
        <v>1141</v>
      </c>
      <c r="E73" s="217">
        <f>'B) D RI'!S74</f>
        <v>70</v>
      </c>
      <c r="F73" s="10">
        <f>'B) D RI'!R74</f>
        <v>3113231.9799999995</v>
      </c>
      <c r="G73" s="10">
        <f>'B) D RI'!U74</f>
        <v>44474.742571428564</v>
      </c>
      <c r="H73" s="41">
        <f>'B) D RI'!T74</f>
        <v>2854935.63</v>
      </c>
      <c r="I73" s="10">
        <f t="shared" si="12"/>
        <v>81569.589428571431</v>
      </c>
      <c r="J73" s="31">
        <f t="shared" si="8"/>
        <v>101580.48480238079</v>
      </c>
      <c r="K73" s="10">
        <f t="shared" si="9"/>
        <v>81569.589428571431</v>
      </c>
      <c r="L73" s="10">
        <f t="shared" si="13"/>
        <v>20010.895373809355</v>
      </c>
      <c r="M73" s="10">
        <f>'D) Ecrêtage'!C72</f>
        <v>44474.742571428564</v>
      </c>
      <c r="N73" s="10">
        <f t="shared" si="10"/>
        <v>52236.248427876009</v>
      </c>
      <c r="O73" s="55">
        <f t="shared" si="11"/>
        <v>133805.83785644744</v>
      </c>
      <c r="P73" s="218"/>
      <c r="Q73" s="219"/>
      <c r="R73" s="215"/>
      <c r="S73" s="215"/>
      <c r="T73" s="220"/>
    </row>
    <row r="74" spans="1:20" s="214" customFormat="1" x14ac:dyDescent="0.25">
      <c r="A74" s="309">
        <f>'A) Base RI'!A75</f>
        <v>5512</v>
      </c>
      <c r="B74" s="227" t="str">
        <f>'A) Base RI'!B75</f>
        <v>Bercher</v>
      </c>
      <c r="C74" s="243">
        <v>0</v>
      </c>
      <c r="D74" s="216">
        <f>'B) D RI'!AA75</f>
        <v>1323</v>
      </c>
      <c r="E74" s="217">
        <f>'B) D RI'!S75</f>
        <v>79</v>
      </c>
      <c r="F74" s="10">
        <f>'B) D RI'!R75</f>
        <v>3184765.14</v>
      </c>
      <c r="G74" s="10">
        <f>'B) D RI'!U75</f>
        <v>40313.482784810127</v>
      </c>
      <c r="H74" s="41">
        <f>'B) D RI'!T75</f>
        <v>2914212.39</v>
      </c>
      <c r="I74" s="10">
        <f t="shared" si="12"/>
        <v>73777.528860759499</v>
      </c>
      <c r="J74" s="31">
        <f t="shared" si="8"/>
        <v>117783.50691809796</v>
      </c>
      <c r="K74" s="10">
        <f t="shared" si="9"/>
        <v>73777.528860759499</v>
      </c>
      <c r="L74" s="10">
        <f t="shared" si="13"/>
        <v>44005.978057338463</v>
      </c>
      <c r="M74" s="10">
        <f>'D) Ecrêtage'!C73</f>
        <v>40313.482784810127</v>
      </c>
      <c r="N74" s="10">
        <f t="shared" si="10"/>
        <v>47348.786749202394</v>
      </c>
      <c r="O74" s="55">
        <f t="shared" si="11"/>
        <v>121126.31560996189</v>
      </c>
      <c r="P74" s="218"/>
      <c r="Q74" s="219"/>
      <c r="R74" s="215"/>
      <c r="S74" s="215"/>
      <c r="T74" s="220"/>
    </row>
    <row r="75" spans="1:20" s="214" customFormat="1" x14ac:dyDescent="0.25">
      <c r="A75" s="309">
        <f>'A) Base RI'!A76</f>
        <v>5513</v>
      </c>
      <c r="B75" s="227" t="str">
        <f>'A) Base RI'!B76</f>
        <v>Bioley-Orjulaz</v>
      </c>
      <c r="C75" s="243">
        <v>0</v>
      </c>
      <c r="D75" s="216">
        <f>'B) D RI'!AA76</f>
        <v>525</v>
      </c>
      <c r="E75" s="217">
        <f>'B) D RI'!S76</f>
        <v>68</v>
      </c>
      <c r="F75" s="10">
        <f>'B) D RI'!R76</f>
        <v>1539857.44</v>
      </c>
      <c r="G75" s="10">
        <f>'B) D RI'!U76</f>
        <v>22644.962352941177</v>
      </c>
      <c r="H75" s="41">
        <f>'B) D RI'!T76</f>
        <v>1409815.5899999999</v>
      </c>
      <c r="I75" s="10">
        <f t="shared" si="12"/>
        <v>41465.164411764701</v>
      </c>
      <c r="J75" s="31">
        <f t="shared" si="8"/>
        <v>46739.486872261092</v>
      </c>
      <c r="K75" s="10">
        <f t="shared" si="9"/>
        <v>41465.164411764701</v>
      </c>
      <c r="L75" s="10">
        <f t="shared" si="13"/>
        <v>5274.3224604963907</v>
      </c>
      <c r="M75" s="10">
        <f>'D) Ecrêtage'!C74</f>
        <v>22644.962352941177</v>
      </c>
      <c r="N75" s="10">
        <f t="shared" si="10"/>
        <v>26596.846001038914</v>
      </c>
      <c r="O75" s="55">
        <f t="shared" si="11"/>
        <v>68062.010412803618</v>
      </c>
      <c r="P75" s="218"/>
      <c r="Q75" s="219"/>
      <c r="R75" s="215"/>
      <c r="S75" s="215"/>
      <c r="T75" s="220"/>
    </row>
    <row r="76" spans="1:20" s="214" customFormat="1" x14ac:dyDescent="0.25">
      <c r="A76" s="309">
        <f>'A) Base RI'!A77</f>
        <v>5514</v>
      </c>
      <c r="B76" s="227" t="str">
        <f>'A) Base RI'!B77</f>
        <v>Bottens</v>
      </c>
      <c r="C76" s="243">
        <v>0</v>
      </c>
      <c r="D76" s="216">
        <f>'B) D RI'!AA77</f>
        <v>1330</v>
      </c>
      <c r="E76" s="217">
        <f>'B) D RI'!S77</f>
        <v>72.5</v>
      </c>
      <c r="F76" s="10">
        <f>'B) D RI'!R77</f>
        <v>3203801.74</v>
      </c>
      <c r="G76" s="10">
        <f>'B) D RI'!U77</f>
        <v>44190.368827586208</v>
      </c>
      <c r="H76" s="41">
        <f>'B) D RI'!T77</f>
        <v>2957883.74</v>
      </c>
      <c r="I76" s="10">
        <f t="shared" si="12"/>
        <v>81596.792827586207</v>
      </c>
      <c r="J76" s="31">
        <f t="shared" si="8"/>
        <v>118406.70007639477</v>
      </c>
      <c r="K76" s="10">
        <f t="shared" si="9"/>
        <v>81596.792827586207</v>
      </c>
      <c r="L76" s="10">
        <f t="shared" si="13"/>
        <v>36809.907248808566</v>
      </c>
      <c r="M76" s="10">
        <f>'D) Ecrêtage'!C75</f>
        <v>44190.368827586208</v>
      </c>
      <c r="N76" s="10">
        <f t="shared" si="10"/>
        <v>51902.247224701932</v>
      </c>
      <c r="O76" s="55">
        <f t="shared" si="11"/>
        <v>133499.04005228815</v>
      </c>
      <c r="P76" s="218"/>
      <c r="Q76" s="219"/>
      <c r="R76" s="215"/>
      <c r="S76" s="215"/>
      <c r="T76" s="220"/>
    </row>
    <row r="77" spans="1:20" s="214" customFormat="1" x14ac:dyDescent="0.25">
      <c r="A77" s="309">
        <f>'A) Base RI'!A78</f>
        <v>5515</v>
      </c>
      <c r="B77" s="227" t="str">
        <f>'A) Base RI'!B78</f>
        <v>Bretigny-sur-Morrens</v>
      </c>
      <c r="C77" s="243">
        <v>0</v>
      </c>
      <c r="D77" s="216">
        <f>'B) D RI'!AA78</f>
        <v>859</v>
      </c>
      <c r="E77" s="217">
        <f>'B) D RI'!S78</f>
        <v>81</v>
      </c>
      <c r="F77" s="10">
        <f>'B) D RI'!R78</f>
        <v>2396505.1300000008</v>
      </c>
      <c r="G77" s="10">
        <f>'B) D RI'!U78</f>
        <v>29586.483086419765</v>
      </c>
      <c r="H77" s="41">
        <f>'B) D RI'!T78</f>
        <v>2218242.1300000008</v>
      </c>
      <c r="I77" s="10">
        <f t="shared" si="12"/>
        <v>54771.410617283967</v>
      </c>
      <c r="J77" s="31">
        <f t="shared" si="8"/>
        <v>76474.70328242339</v>
      </c>
      <c r="K77" s="10">
        <f t="shared" si="9"/>
        <v>54771.410617283967</v>
      </c>
      <c r="L77" s="10">
        <f t="shared" si="13"/>
        <v>21703.292665139423</v>
      </c>
      <c r="M77" s="10">
        <f>'D) Ecrêtage'!C76</f>
        <v>29586.483086419765</v>
      </c>
      <c r="N77" s="10">
        <f t="shared" si="10"/>
        <v>34749.765625450193</v>
      </c>
      <c r="O77" s="55">
        <f t="shared" si="11"/>
        <v>89521.17624273416</v>
      </c>
      <c r="P77" s="218"/>
      <c r="Q77" s="219"/>
      <c r="R77" s="215"/>
      <c r="S77" s="215"/>
      <c r="T77" s="220"/>
    </row>
    <row r="78" spans="1:20" s="214" customFormat="1" x14ac:dyDescent="0.25">
      <c r="A78" s="309">
        <f>'A) Base RI'!A79</f>
        <v>5516</v>
      </c>
      <c r="B78" s="227" t="str">
        <f>'A) Base RI'!B79</f>
        <v>Cugy</v>
      </c>
      <c r="C78" s="243">
        <v>0</v>
      </c>
      <c r="D78" s="216">
        <f>'B) D RI'!AA79</f>
        <v>2760</v>
      </c>
      <c r="E78" s="217">
        <f>'B) D RI'!S79</f>
        <v>78</v>
      </c>
      <c r="F78" s="10">
        <f>'B) D RI'!R79</f>
        <v>8350856.5283333333</v>
      </c>
      <c r="G78" s="10">
        <f>'B) D RI'!U79</f>
        <v>107062.26318376069</v>
      </c>
      <c r="H78" s="41">
        <f>'B) D RI'!T79</f>
        <v>7725230.9700000007</v>
      </c>
      <c r="I78" s="10">
        <f t="shared" si="12"/>
        <v>198082.84538461542</v>
      </c>
      <c r="J78" s="31">
        <f t="shared" si="8"/>
        <v>245716.15955702975</v>
      </c>
      <c r="K78" s="10">
        <f t="shared" si="9"/>
        <v>198082.84538461542</v>
      </c>
      <c r="L78" s="10">
        <f t="shared" si="13"/>
        <v>47633.314172414335</v>
      </c>
      <c r="M78" s="10">
        <f>'D) Ecrêtage'!C77</f>
        <v>107062.26318376069</v>
      </c>
      <c r="N78" s="10">
        <f t="shared" si="10"/>
        <v>125746.22479119906</v>
      </c>
      <c r="O78" s="55">
        <f t="shared" si="11"/>
        <v>323829.07017581444</v>
      </c>
      <c r="P78" s="218"/>
      <c r="Q78" s="219"/>
      <c r="R78" s="215"/>
      <c r="S78" s="215"/>
      <c r="T78" s="220"/>
    </row>
    <row r="79" spans="1:20" s="214" customFormat="1" x14ac:dyDescent="0.25">
      <c r="A79" s="309">
        <f>'A) Base RI'!A80</f>
        <v>5518</v>
      </c>
      <c r="B79" s="227" t="str">
        <f>'A) Base RI'!B80</f>
        <v>Echallens</v>
      </c>
      <c r="C79" s="243">
        <v>0</v>
      </c>
      <c r="D79" s="216">
        <f>'B) D RI'!AA80</f>
        <v>5731</v>
      </c>
      <c r="E79" s="217">
        <f>'B) D RI'!S80</f>
        <v>72.5</v>
      </c>
      <c r="F79" s="10">
        <f>'B) D RI'!R80</f>
        <v>12959815.300000001</v>
      </c>
      <c r="G79" s="10">
        <f>'B) D RI'!U80</f>
        <v>178756.07310344829</v>
      </c>
      <c r="H79" s="41">
        <f>'B) D RI'!T80</f>
        <v>11829824.000000002</v>
      </c>
      <c r="I79" s="10">
        <f t="shared" si="12"/>
        <v>326339.97241379315</v>
      </c>
      <c r="J79" s="31">
        <f t="shared" si="8"/>
        <v>510217.14145700634</v>
      </c>
      <c r="K79" s="10">
        <f t="shared" si="9"/>
        <v>326339.97241379315</v>
      </c>
      <c r="L79" s="10">
        <f t="shared" si="13"/>
        <v>183877.16904321319</v>
      </c>
      <c r="M79" s="10">
        <f>'D) Ecrêtage'!C78</f>
        <v>178756.07310344829</v>
      </c>
      <c r="N79" s="10">
        <f t="shared" si="10"/>
        <v>209951.67375340607</v>
      </c>
      <c r="O79" s="55">
        <f>+N79+K79</f>
        <v>536291.64616719924</v>
      </c>
      <c r="P79" s="218"/>
      <c r="Q79" s="219"/>
      <c r="R79" s="215"/>
      <c r="S79" s="215"/>
      <c r="T79" s="220"/>
    </row>
    <row r="80" spans="1:20" s="214" customFormat="1" x14ac:dyDescent="0.25">
      <c r="A80" s="309">
        <f>'A) Base RI'!A81</f>
        <v>5520</v>
      </c>
      <c r="B80" s="227" t="str">
        <f>'A) Base RI'!B81</f>
        <v>Essertines-sur-Yverdon</v>
      </c>
      <c r="C80" s="243">
        <v>0</v>
      </c>
      <c r="D80" s="216">
        <f>'B) D RI'!AA81</f>
        <v>1036</v>
      </c>
      <c r="E80" s="217">
        <f>'B) D RI'!S81</f>
        <v>73</v>
      </c>
      <c r="F80" s="10">
        <f>'B) D RI'!R81</f>
        <v>2170567.89</v>
      </c>
      <c r="G80" s="10">
        <f>'B) D RI'!U81</f>
        <v>29733.806712328769</v>
      </c>
      <c r="H80" s="41">
        <f>'B) D RI'!T81</f>
        <v>1976450.1400000004</v>
      </c>
      <c r="I80" s="10">
        <f t="shared" si="12"/>
        <v>54149.318904109597</v>
      </c>
      <c r="J80" s="31">
        <f t="shared" si="8"/>
        <v>92232.587427928564</v>
      </c>
      <c r="K80" s="10">
        <f t="shared" si="9"/>
        <v>54149.318904109597</v>
      </c>
      <c r="L80" s="10">
        <f t="shared" si="13"/>
        <v>38083.268523818966</v>
      </c>
      <c r="M80" s="10">
        <f>'D) Ecrêtage'!C79</f>
        <v>29733.806712328769</v>
      </c>
      <c r="N80" s="10">
        <f t="shared" si="10"/>
        <v>34922.799421203337</v>
      </c>
      <c r="O80" s="55">
        <f t="shared" si="11"/>
        <v>89072.118325312942</v>
      </c>
      <c r="P80" s="218"/>
      <c r="Q80" s="219"/>
      <c r="R80" s="215"/>
      <c r="S80" s="215"/>
      <c r="T80" s="220"/>
    </row>
    <row r="81" spans="1:20" s="214" customFormat="1" x14ac:dyDescent="0.25">
      <c r="A81" s="309">
        <f>'A) Base RI'!A82</f>
        <v>5521</v>
      </c>
      <c r="B81" s="227" t="str">
        <f>'A) Base RI'!B82</f>
        <v>Etagnières</v>
      </c>
      <c r="C81" s="243">
        <v>0</v>
      </c>
      <c r="D81" s="216">
        <f>'B) D RI'!AA82</f>
        <v>1148</v>
      </c>
      <c r="E81" s="217">
        <f>'B) D RI'!S82</f>
        <v>73</v>
      </c>
      <c r="F81" s="10">
        <f>'B) D RI'!R82</f>
        <v>3416203.97</v>
      </c>
      <c r="G81" s="10">
        <f>'B) D RI'!U82</f>
        <v>46797.314657534247</v>
      </c>
      <c r="H81" s="41">
        <f>'B) D RI'!T82</f>
        <v>3136085.77</v>
      </c>
      <c r="I81" s="10">
        <f t="shared" si="12"/>
        <v>85920.158082191774</v>
      </c>
      <c r="J81" s="31">
        <f t="shared" si="8"/>
        <v>102203.6779606776</v>
      </c>
      <c r="K81" s="10">
        <f t="shared" si="9"/>
        <v>85920.158082191774</v>
      </c>
      <c r="L81" s="10">
        <f t="shared" si="13"/>
        <v>16283.519878485822</v>
      </c>
      <c r="M81" s="10">
        <f>'D) Ecrêtage'!C80</f>
        <v>46797.314657534247</v>
      </c>
      <c r="N81" s="10">
        <f t="shared" si="10"/>
        <v>54964.143980877066</v>
      </c>
      <c r="O81" s="55">
        <f t="shared" si="11"/>
        <v>140884.30206306884</v>
      </c>
      <c r="P81" s="218"/>
      <c r="Q81" s="219"/>
      <c r="R81" s="215"/>
      <c r="S81" s="215"/>
      <c r="T81" s="220"/>
    </row>
    <row r="82" spans="1:20" s="214" customFormat="1" x14ac:dyDescent="0.25">
      <c r="A82" s="309">
        <f>'A) Base RI'!A83</f>
        <v>5522</v>
      </c>
      <c r="B82" s="227" t="str">
        <f>'A) Base RI'!B83</f>
        <v>Fey</v>
      </c>
      <c r="C82" s="243">
        <v>0</v>
      </c>
      <c r="D82" s="216">
        <f>'B) D RI'!AA83</f>
        <v>749</v>
      </c>
      <c r="E82" s="217">
        <f>'B) D RI'!S83</f>
        <v>75</v>
      </c>
      <c r="F82" s="10">
        <f>'B) D RI'!R83</f>
        <v>1779520.5699999998</v>
      </c>
      <c r="G82" s="10">
        <f>'B) D RI'!U83</f>
        <v>23726.940933333331</v>
      </c>
      <c r="H82" s="41">
        <f>'B) D RI'!T83</f>
        <v>1638023.19</v>
      </c>
      <c r="I82" s="10">
        <f t="shared" si="12"/>
        <v>43680.618399999999</v>
      </c>
      <c r="J82" s="31">
        <f t="shared" si="8"/>
        <v>66681.667937759164</v>
      </c>
      <c r="K82" s="10">
        <f t="shared" si="9"/>
        <v>43680.618399999999</v>
      </c>
      <c r="L82" s="10">
        <f t="shared" si="13"/>
        <v>23001.049537759165</v>
      </c>
      <c r="M82" s="10">
        <f>'D) Ecrêtage'!C81</f>
        <v>23726.940933333331</v>
      </c>
      <c r="N82" s="10">
        <f t="shared" si="10"/>
        <v>27867.645979886092</v>
      </c>
      <c r="O82" s="55">
        <f t="shared" si="11"/>
        <v>71548.264379886095</v>
      </c>
      <c r="P82" s="218"/>
      <c r="Q82" s="219"/>
      <c r="R82" s="215"/>
      <c r="S82" s="215"/>
      <c r="T82" s="220"/>
    </row>
    <row r="83" spans="1:20" s="214" customFormat="1" x14ac:dyDescent="0.25">
      <c r="A83" s="309">
        <f>'A) Base RI'!A84</f>
        <v>5523</v>
      </c>
      <c r="B83" s="227" t="str">
        <f>'A) Base RI'!B84</f>
        <v>Froideville</v>
      </c>
      <c r="C83" s="243">
        <v>0</v>
      </c>
      <c r="D83" s="216">
        <f>'B) D RI'!AA84</f>
        <v>2694</v>
      </c>
      <c r="E83" s="217">
        <f>'B) D RI'!S84</f>
        <v>72</v>
      </c>
      <c r="F83" s="10">
        <f>'B) D RI'!R84</f>
        <v>6182556.9699999997</v>
      </c>
      <c r="G83" s="10">
        <f>'B) D RI'!U84</f>
        <v>85868.846805555557</v>
      </c>
      <c r="H83" s="41">
        <f>'B) D RI'!T84</f>
        <v>5642025.5199999996</v>
      </c>
      <c r="I83" s="10">
        <f t="shared" si="12"/>
        <v>156722.9311111111</v>
      </c>
      <c r="J83" s="31">
        <f t="shared" si="8"/>
        <v>239840.33835023121</v>
      </c>
      <c r="K83" s="10">
        <f t="shared" si="9"/>
        <v>156722.9311111111</v>
      </c>
      <c r="L83" s="10">
        <f t="shared" si="13"/>
        <v>83117.407239120104</v>
      </c>
      <c r="M83" s="10">
        <f>'D) Ecrêtage'!C82</f>
        <v>85868.846805555557</v>
      </c>
      <c r="N83" s="10">
        <f t="shared" si="10"/>
        <v>100854.24118523797</v>
      </c>
      <c r="O83" s="55">
        <f t="shared" si="11"/>
        <v>257577.17229634908</v>
      </c>
      <c r="P83" s="218"/>
      <c r="Q83" s="219"/>
      <c r="R83" s="215"/>
      <c r="S83" s="215"/>
      <c r="T83" s="220"/>
    </row>
    <row r="84" spans="1:20" s="214" customFormat="1" x14ac:dyDescent="0.25">
      <c r="A84" s="309">
        <f>'A) Base RI'!A85</f>
        <v>5527</v>
      </c>
      <c r="B84" s="227" t="str">
        <f>'A) Base RI'!B85</f>
        <v>Morrens</v>
      </c>
      <c r="C84" s="243">
        <v>0</v>
      </c>
      <c r="D84" s="216">
        <f>'B) D RI'!AA85</f>
        <v>1153</v>
      </c>
      <c r="E84" s="217">
        <f>'B) D RI'!S85</f>
        <v>74</v>
      </c>
      <c r="F84" s="10">
        <f>'B) D RI'!R85</f>
        <v>3001751.14</v>
      </c>
      <c r="G84" s="10">
        <f>'B) D RI'!U85</f>
        <v>40564.204594594594</v>
      </c>
      <c r="H84" s="41">
        <f>'B) D RI'!T85</f>
        <v>2761225.19</v>
      </c>
      <c r="I84" s="10">
        <f t="shared" si="12"/>
        <v>74627.707837837836</v>
      </c>
      <c r="J84" s="31">
        <f t="shared" si="8"/>
        <v>102648.8159308896</v>
      </c>
      <c r="K84" s="10">
        <f t="shared" si="9"/>
        <v>74627.707837837836</v>
      </c>
      <c r="L84" s="10">
        <f t="shared" si="13"/>
        <v>28021.108093051764</v>
      </c>
      <c r="M84" s="10">
        <f>'D) Ecrêtage'!C83</f>
        <v>40564.204594594594</v>
      </c>
      <c r="N84" s="10">
        <f t="shared" si="10"/>
        <v>47643.263253954596</v>
      </c>
      <c r="O84" s="55">
        <f t="shared" si="11"/>
        <v>122270.97109179242</v>
      </c>
      <c r="P84" s="218"/>
      <c r="Q84" s="219"/>
      <c r="R84" s="215"/>
      <c r="S84" s="215"/>
      <c r="T84" s="220"/>
    </row>
    <row r="85" spans="1:20" s="214" customFormat="1" x14ac:dyDescent="0.25">
      <c r="A85" s="309">
        <f>'A) Base RI'!A86</f>
        <v>5529</v>
      </c>
      <c r="B85" s="227" t="str">
        <f>'A) Base RI'!B86</f>
        <v>Oulens-sous-Echallens</v>
      </c>
      <c r="C85" s="243">
        <v>0</v>
      </c>
      <c r="D85" s="216">
        <f>'B) D RI'!AA86</f>
        <v>618</v>
      </c>
      <c r="E85" s="217">
        <f>'B) D RI'!S86</f>
        <v>70</v>
      </c>
      <c r="F85" s="10">
        <f>'B) D RI'!R86</f>
        <v>1414087.18</v>
      </c>
      <c r="G85" s="10">
        <f>'B) D RI'!U86</f>
        <v>20201.245428571427</v>
      </c>
      <c r="H85" s="41">
        <f>'B) D RI'!T86</f>
        <v>1290765.8299999998</v>
      </c>
      <c r="I85" s="10">
        <f t="shared" si="12"/>
        <v>36879.023714285708</v>
      </c>
      <c r="J85" s="31">
        <f t="shared" si="8"/>
        <v>55019.053118204487</v>
      </c>
      <c r="K85" s="10">
        <f t="shared" si="9"/>
        <v>36879.023714285708</v>
      </c>
      <c r="L85" s="10">
        <f t="shared" si="13"/>
        <v>18140.029403918779</v>
      </c>
      <c r="M85" s="10">
        <f>'D) Ecrêtage'!C84</f>
        <v>20201.245428571427</v>
      </c>
      <c r="N85" s="10">
        <f t="shared" si="10"/>
        <v>23726.664028793199</v>
      </c>
      <c r="O85" s="55">
        <f t="shared" si="11"/>
        <v>60605.687743078903</v>
      </c>
      <c r="P85" s="218"/>
      <c r="Q85" s="219"/>
      <c r="R85" s="215"/>
      <c r="S85" s="215"/>
      <c r="T85" s="220"/>
    </row>
    <row r="86" spans="1:20" s="214" customFormat="1" x14ac:dyDescent="0.25">
      <c r="A86" s="309">
        <f>'A) Base RI'!A87</f>
        <v>5530</v>
      </c>
      <c r="B86" s="227" t="str">
        <f>'A) Base RI'!B87</f>
        <v>Pailly</v>
      </c>
      <c r="C86" s="243">
        <v>0</v>
      </c>
      <c r="D86" s="216">
        <f>'B) D RI'!AA87</f>
        <v>567</v>
      </c>
      <c r="E86" s="217">
        <f>'B) D RI'!S87</f>
        <v>76</v>
      </c>
      <c r="F86" s="10">
        <f>'B) D RI'!R87</f>
        <v>1390952.7216666664</v>
      </c>
      <c r="G86" s="10">
        <f>'B) D RI'!U87</f>
        <v>18302.009495614031</v>
      </c>
      <c r="H86" s="41">
        <f>'B) D RI'!T87</f>
        <v>1284934.1799999997</v>
      </c>
      <c r="I86" s="10">
        <f t="shared" si="12"/>
        <v>33814.057368421047</v>
      </c>
      <c r="J86" s="31">
        <f t="shared" si="8"/>
        <v>50478.645822041981</v>
      </c>
      <c r="K86" s="10">
        <f t="shared" si="9"/>
        <v>33814.057368421047</v>
      </c>
      <c r="L86" s="10">
        <f t="shared" si="13"/>
        <v>16664.588453620934</v>
      </c>
      <c r="M86" s="10">
        <f>'D) Ecrêtage'!C85</f>
        <v>18302.009495614031</v>
      </c>
      <c r="N86" s="10">
        <f t="shared" si="10"/>
        <v>21495.983101123362</v>
      </c>
      <c r="O86" s="55">
        <f t="shared" si="11"/>
        <v>55310.040469544409</v>
      </c>
      <c r="P86" s="218"/>
      <c r="Q86" s="219"/>
      <c r="R86" s="215"/>
      <c r="S86" s="215"/>
      <c r="T86" s="220"/>
    </row>
    <row r="87" spans="1:20" s="214" customFormat="1" x14ac:dyDescent="0.25">
      <c r="A87" s="309">
        <f>'A) Base RI'!A88</f>
        <v>5531</v>
      </c>
      <c r="B87" s="227" t="str">
        <f>'A) Base RI'!B88</f>
        <v>Penthéréaz</v>
      </c>
      <c r="C87" s="243">
        <v>0</v>
      </c>
      <c r="D87" s="216">
        <f>'B) D RI'!AA88</f>
        <v>419</v>
      </c>
      <c r="E87" s="217">
        <f>'B) D RI'!S88</f>
        <v>74</v>
      </c>
      <c r="F87" s="10">
        <f>'B) D RI'!R88</f>
        <v>1024386.6400000001</v>
      </c>
      <c r="G87" s="10">
        <f>'B) D RI'!U88</f>
        <v>13843.062702702704</v>
      </c>
      <c r="H87" s="41">
        <f>'B) D RI'!T88</f>
        <v>946635.59000000008</v>
      </c>
      <c r="I87" s="10">
        <f t="shared" si="12"/>
        <v>25584.745675675676</v>
      </c>
      <c r="J87" s="31">
        <f t="shared" si="8"/>
        <v>37302.561903766473</v>
      </c>
      <c r="K87" s="10">
        <f t="shared" si="9"/>
        <v>25584.745675675676</v>
      </c>
      <c r="L87" s="10">
        <f t="shared" si="13"/>
        <v>11717.816228090796</v>
      </c>
      <c r="M87" s="10">
        <f>'D) Ecrêtage'!C86</f>
        <v>13843.062702702704</v>
      </c>
      <c r="N87" s="10">
        <f t="shared" si="10"/>
        <v>16258.883593979086</v>
      </c>
      <c r="O87" s="55">
        <f t="shared" si="11"/>
        <v>41843.629269654761</v>
      </c>
      <c r="P87" s="218"/>
      <c r="Q87" s="219"/>
      <c r="R87" s="215"/>
      <c r="S87" s="215"/>
      <c r="T87" s="220"/>
    </row>
    <row r="88" spans="1:20" s="214" customFormat="1" x14ac:dyDescent="0.25">
      <c r="A88" s="309">
        <f>'A) Base RI'!A89</f>
        <v>5533</v>
      </c>
      <c r="B88" s="227" t="str">
        <f>'A) Base RI'!B89</f>
        <v>Poliez-Pittet</v>
      </c>
      <c r="C88" s="243">
        <v>0</v>
      </c>
      <c r="D88" s="216">
        <f>'B) D RI'!AA89</f>
        <v>829</v>
      </c>
      <c r="E88" s="217">
        <f>'B) D RI'!S89</f>
        <v>73</v>
      </c>
      <c r="F88" s="10">
        <f>'B) D RI'!R89</f>
        <v>1984882.2599999998</v>
      </c>
      <c r="G88" s="10">
        <f>'B) D RI'!U89</f>
        <v>27190.167945205478</v>
      </c>
      <c r="H88" s="41">
        <f>'B) D RI'!T89</f>
        <v>1831340.16</v>
      </c>
      <c r="I88" s="10">
        <f t="shared" si="12"/>
        <v>50173.703013698629</v>
      </c>
      <c r="J88" s="31">
        <f t="shared" si="8"/>
        <v>73803.875461151329</v>
      </c>
      <c r="K88" s="10">
        <f t="shared" si="9"/>
        <v>50173.703013698629</v>
      </c>
      <c r="L88" s="10">
        <f t="shared" si="13"/>
        <v>23630.1724474527</v>
      </c>
      <c r="M88" s="10">
        <f>'D) Ecrêtage'!C87</f>
        <v>27190.167945205478</v>
      </c>
      <c r="N88" s="10">
        <f t="shared" si="10"/>
        <v>31935.257754450959</v>
      </c>
      <c r="O88" s="55">
        <f t="shared" si="11"/>
        <v>82108.960768149584</v>
      </c>
      <c r="P88" s="218"/>
      <c r="Q88" s="219"/>
      <c r="R88" s="215"/>
      <c r="S88" s="215"/>
      <c r="T88" s="220"/>
    </row>
    <row r="89" spans="1:20" s="214" customFormat="1" x14ac:dyDescent="0.25">
      <c r="A89" s="309">
        <f>'A) Base RI'!A90</f>
        <v>5534</v>
      </c>
      <c r="B89" s="227" t="str">
        <f>'A) Base RI'!B90</f>
        <v>Rueyres</v>
      </c>
      <c r="C89" s="243">
        <v>0</v>
      </c>
      <c r="D89" s="216">
        <f>'B) D RI'!AA90</f>
        <v>266</v>
      </c>
      <c r="E89" s="217">
        <f>'B) D RI'!S90</f>
        <v>73</v>
      </c>
      <c r="F89" s="10">
        <f>'B) D RI'!R90</f>
        <v>712140.63833333331</v>
      </c>
      <c r="G89" s="10">
        <f>'B) D RI'!U90</f>
        <v>9755.351210045661</v>
      </c>
      <c r="H89" s="41">
        <f>'B) D RI'!T90</f>
        <v>632298.92999999993</v>
      </c>
      <c r="I89" s="10">
        <f t="shared" si="12"/>
        <v>17323.258356164381</v>
      </c>
      <c r="J89" s="31">
        <f t="shared" si="8"/>
        <v>23681.340015278955</v>
      </c>
      <c r="K89" s="10">
        <f t="shared" si="9"/>
        <v>17323.258356164381</v>
      </c>
      <c r="L89" s="10">
        <f t="shared" si="13"/>
        <v>6358.081659114574</v>
      </c>
      <c r="M89" s="10">
        <f>'D) Ecrêtage'!C88</f>
        <v>9755.351210045661</v>
      </c>
      <c r="N89" s="10">
        <f t="shared" si="10"/>
        <v>11457.805483431666</v>
      </c>
      <c r="O89" s="55">
        <f t="shared" si="11"/>
        <v>28781.063839596049</v>
      </c>
      <c r="P89" s="218"/>
      <c r="Q89" s="219"/>
      <c r="R89" s="215"/>
      <c r="S89" s="215"/>
      <c r="T89" s="220"/>
    </row>
    <row r="90" spans="1:20" s="214" customFormat="1" x14ac:dyDescent="0.25">
      <c r="A90" s="309">
        <f>'A) Base RI'!A91</f>
        <v>5535</v>
      </c>
      <c r="B90" s="227" t="str">
        <f>'A) Base RI'!B91</f>
        <v>Saint-Barthélemy</v>
      </c>
      <c r="C90" s="243">
        <v>0</v>
      </c>
      <c r="D90" s="216">
        <f>'B) D RI'!AA91</f>
        <v>784</v>
      </c>
      <c r="E90" s="217">
        <f>'B) D RI'!S91</f>
        <v>75</v>
      </c>
      <c r="F90" s="10">
        <f>'B) D RI'!R91</f>
        <v>1687263.7600000002</v>
      </c>
      <c r="G90" s="10">
        <f>'B) D RI'!U91</f>
        <v>22496.850133333337</v>
      </c>
      <c r="H90" s="41">
        <f>'B) D RI'!T91</f>
        <v>1540917.5600000003</v>
      </c>
      <c r="I90" s="10">
        <f t="shared" si="12"/>
        <v>41091.134933333342</v>
      </c>
      <c r="J90" s="31">
        <f t="shared" si="8"/>
        <v>69797.633729243229</v>
      </c>
      <c r="K90" s="10">
        <f t="shared" si="9"/>
        <v>41091.134933333342</v>
      </c>
      <c r="L90" s="10">
        <f t="shared" si="13"/>
        <v>28706.498795909887</v>
      </c>
      <c r="M90" s="10">
        <f>'D) Ecrêtage'!C89</f>
        <v>22496.850133333337</v>
      </c>
      <c r="N90" s="10">
        <f t="shared" si="10"/>
        <v>26422.885990225732</v>
      </c>
      <c r="O90" s="55">
        <f t="shared" si="11"/>
        <v>67514.020923559074</v>
      </c>
      <c r="P90" s="218"/>
      <c r="Q90" s="219"/>
      <c r="R90" s="215"/>
      <c r="S90" s="215"/>
      <c r="T90" s="220"/>
    </row>
    <row r="91" spans="1:20" s="214" customFormat="1" x14ac:dyDescent="0.25">
      <c r="A91" s="309">
        <f>'A) Base RI'!A92</f>
        <v>5537</v>
      </c>
      <c r="B91" s="227" t="str">
        <f>'A) Base RI'!B92</f>
        <v>Villars-le-Terroir</v>
      </c>
      <c r="C91" s="243">
        <v>0</v>
      </c>
      <c r="D91" s="216">
        <f>'B) D RI'!AA92</f>
        <v>1281</v>
      </c>
      <c r="E91" s="217">
        <f>'B) D RI'!S92</f>
        <v>73</v>
      </c>
      <c r="F91" s="10">
        <f>'B) D RI'!R92</f>
        <v>2771318.71</v>
      </c>
      <c r="G91" s="10">
        <f>'B) D RI'!U92</f>
        <v>37963.269999999997</v>
      </c>
      <c r="H91" s="41">
        <f>'B) D RI'!T92</f>
        <v>2535341.06</v>
      </c>
      <c r="I91" s="10">
        <f t="shared" si="12"/>
        <v>69461.398904109592</v>
      </c>
      <c r="J91" s="31">
        <f t="shared" si="8"/>
        <v>114044.34796831707</v>
      </c>
      <c r="K91" s="10">
        <f t="shared" si="9"/>
        <v>69461.398904109592</v>
      </c>
      <c r="L91" s="10">
        <f t="shared" si="13"/>
        <v>44582.949064207482</v>
      </c>
      <c r="M91" s="10">
        <f>'D) Ecrêtage'!C90</f>
        <v>37963.269999999997</v>
      </c>
      <c r="N91" s="10">
        <f t="shared" si="10"/>
        <v>44588.426783351133</v>
      </c>
      <c r="O91" s="55">
        <f t="shared" si="11"/>
        <v>114049.82568746072</v>
      </c>
      <c r="P91" s="218"/>
      <c r="Q91" s="219"/>
      <c r="R91" s="215"/>
      <c r="S91" s="215"/>
      <c r="T91" s="220"/>
    </row>
    <row r="92" spans="1:20" s="214" customFormat="1" x14ac:dyDescent="0.25">
      <c r="A92" s="309">
        <f>'A) Base RI'!A93</f>
        <v>5539</v>
      </c>
      <c r="B92" s="227" t="str">
        <f>'A) Base RI'!B93</f>
        <v>Vuarrens</v>
      </c>
      <c r="C92" s="243">
        <v>0</v>
      </c>
      <c r="D92" s="216">
        <f>'B) D RI'!AA93</f>
        <v>1060</v>
      </c>
      <c r="E92" s="217">
        <f>'B) D RI'!S93</f>
        <v>73.5</v>
      </c>
      <c r="F92" s="10">
        <f>'B) D RI'!R93</f>
        <v>2643178.7274999996</v>
      </c>
      <c r="G92" s="10">
        <f>'B) D RI'!U93</f>
        <v>35961.61534013605</v>
      </c>
      <c r="H92" s="41">
        <f>'B) D RI'!T93</f>
        <v>2450963.6399999997</v>
      </c>
      <c r="I92" s="10">
        <f t="shared" si="12"/>
        <v>66692.888163265292</v>
      </c>
      <c r="J92" s="31">
        <f t="shared" si="8"/>
        <v>94369.249684946204</v>
      </c>
      <c r="K92" s="10">
        <f t="shared" si="9"/>
        <v>66692.888163265292</v>
      </c>
      <c r="L92" s="10">
        <f t="shared" si="13"/>
        <v>27676.361521680912</v>
      </c>
      <c r="M92" s="10">
        <f>'D) Ecrêtage'!C91</f>
        <v>35961.61534013605</v>
      </c>
      <c r="N92" s="10">
        <f t="shared" si="10"/>
        <v>42237.453533499443</v>
      </c>
      <c r="O92" s="55">
        <f t="shared" si="11"/>
        <v>108930.34169676474</v>
      </c>
      <c r="P92" s="218"/>
      <c r="Q92" s="219"/>
      <c r="R92" s="215"/>
      <c r="S92" s="215"/>
      <c r="T92" s="220"/>
    </row>
    <row r="93" spans="1:20" s="214" customFormat="1" x14ac:dyDescent="0.25">
      <c r="A93" s="309">
        <f>'A) Base RI'!A94</f>
        <v>5540</v>
      </c>
      <c r="B93" s="227" t="str">
        <f>'A) Base RI'!B94</f>
        <v>Montilliez</v>
      </c>
      <c r="C93" s="243">
        <v>0</v>
      </c>
      <c r="D93" s="216">
        <f>'B) D RI'!AA94</f>
        <v>1857</v>
      </c>
      <c r="E93" s="217">
        <f>'B) D RI'!S94</f>
        <v>72.5</v>
      </c>
      <c r="F93" s="10">
        <f>'B) D RI'!R94</f>
        <v>4803599.7699999996</v>
      </c>
      <c r="G93" s="10">
        <f>'B) D RI'!U94</f>
        <v>66256.548551724132</v>
      </c>
      <c r="H93" s="41">
        <f>'B) D RI'!T94</f>
        <v>4439478.67</v>
      </c>
      <c r="I93" s="10">
        <f t="shared" si="12"/>
        <v>122468.37710344828</v>
      </c>
      <c r="J93" s="31">
        <f t="shared" si="8"/>
        <v>165324.24213674068</v>
      </c>
      <c r="K93" s="10">
        <f t="shared" si="9"/>
        <v>122468.37710344828</v>
      </c>
      <c r="L93" s="10">
        <f t="shared" si="13"/>
        <v>42855.865033292401</v>
      </c>
      <c r="M93" s="10">
        <f>'D) Ecrêtage'!C92</f>
        <v>66256.548551724132</v>
      </c>
      <c r="N93" s="10">
        <f t="shared" si="10"/>
        <v>77819.304396489068</v>
      </c>
      <c r="O93" s="55">
        <f t="shared" si="11"/>
        <v>200287.68149993735</v>
      </c>
      <c r="P93" s="218"/>
      <c r="Q93" s="219"/>
      <c r="R93" s="215"/>
      <c r="S93" s="215"/>
      <c r="T93" s="220"/>
    </row>
    <row r="94" spans="1:20" s="214" customFormat="1" x14ac:dyDescent="0.25">
      <c r="A94" s="309">
        <f>'A) Base RI'!A95</f>
        <v>5541</v>
      </c>
      <c r="B94" s="227" t="str">
        <f>'A) Base RI'!B95</f>
        <v>Goumoëns</v>
      </c>
      <c r="C94" s="243">
        <v>0</v>
      </c>
      <c r="D94" s="216">
        <f>'B) D RI'!AA95</f>
        <v>1153</v>
      </c>
      <c r="E94" s="217">
        <f>'B) D RI'!S95</f>
        <v>75.5</v>
      </c>
      <c r="F94" s="10">
        <f>'B) D RI'!R95</f>
        <v>2793395.15</v>
      </c>
      <c r="G94" s="10">
        <f>'B) D RI'!U95</f>
        <v>36998.611258278142</v>
      </c>
      <c r="H94" s="41">
        <f>'B) D RI'!T95</f>
        <v>2582265.65</v>
      </c>
      <c r="I94" s="10">
        <f t="shared" si="12"/>
        <v>68404.388079470198</v>
      </c>
      <c r="J94" s="31">
        <f t="shared" si="8"/>
        <v>102648.8159308896</v>
      </c>
      <c r="K94" s="10">
        <f t="shared" si="9"/>
        <v>68404.388079470198</v>
      </c>
      <c r="L94" s="10">
        <f t="shared" si="13"/>
        <v>34244.427851419401</v>
      </c>
      <c r="M94" s="10">
        <f>'D) Ecrêtage'!C93</f>
        <v>36998.611258278142</v>
      </c>
      <c r="N94" s="10">
        <f t="shared" si="10"/>
        <v>43455.420704681288</v>
      </c>
      <c r="O94" s="55">
        <f t="shared" si="11"/>
        <v>111859.80878415148</v>
      </c>
      <c r="P94" s="218"/>
      <c r="Q94" s="219"/>
      <c r="R94" s="215"/>
      <c r="S94" s="215"/>
      <c r="T94" s="220"/>
    </row>
    <row r="95" spans="1:20" s="214" customFormat="1" x14ac:dyDescent="0.25">
      <c r="A95" s="309">
        <f>'A) Base RI'!A96</f>
        <v>5551</v>
      </c>
      <c r="B95" s="227" t="str">
        <f>'A) Base RI'!B96</f>
        <v>Bonvillars</v>
      </c>
      <c r="C95" s="243">
        <v>0</v>
      </c>
      <c r="D95" s="216">
        <f>'B) D RI'!AA96</f>
        <v>489</v>
      </c>
      <c r="E95" s="217">
        <f>'B) D RI'!S96</f>
        <v>55</v>
      </c>
      <c r="F95" s="10">
        <f>'B) D RI'!R96</f>
        <v>1053614.9099999999</v>
      </c>
      <c r="G95" s="10">
        <f>'B) D RI'!U96</f>
        <v>19156.634727272725</v>
      </c>
      <c r="H95" s="41">
        <f>'B) D RI'!T96</f>
        <v>923510.90999999992</v>
      </c>
      <c r="I95" s="10">
        <f t="shared" si="12"/>
        <v>33582.214909090908</v>
      </c>
      <c r="J95" s="31">
        <f t="shared" si="8"/>
        <v>43534.493486734616</v>
      </c>
      <c r="K95" s="10">
        <f t="shared" si="9"/>
        <v>33582.214909090908</v>
      </c>
      <c r="L95" s="10">
        <f t="shared" si="13"/>
        <v>9952.2785776437086</v>
      </c>
      <c r="M95" s="10">
        <f>'D) Ecrêtage'!C94</f>
        <v>19156.634727272725</v>
      </c>
      <c r="N95" s="10">
        <f t="shared" si="10"/>
        <v>22499.753181230219</v>
      </c>
      <c r="O95" s="55">
        <f t="shared" si="11"/>
        <v>56081.968090321127</v>
      </c>
      <c r="P95" s="218"/>
      <c r="Q95" s="219"/>
      <c r="R95" s="215"/>
      <c r="S95" s="215"/>
      <c r="T95" s="220"/>
    </row>
    <row r="96" spans="1:20" s="214" customFormat="1" x14ac:dyDescent="0.25">
      <c r="A96" s="309">
        <f>'A) Base RI'!A97</f>
        <v>5552</v>
      </c>
      <c r="B96" s="227" t="str">
        <f>'A) Base RI'!B97</f>
        <v>Bullet</v>
      </c>
      <c r="C96" s="243">
        <v>0</v>
      </c>
      <c r="D96" s="216">
        <f>'B) D RI'!AA97</f>
        <v>657</v>
      </c>
      <c r="E96" s="217">
        <f>'B) D RI'!S97</f>
        <v>71.5</v>
      </c>
      <c r="F96" s="10">
        <f>'B) D RI'!R97</f>
        <v>1255283.8500000001</v>
      </c>
      <c r="G96" s="10">
        <f>'B) D RI'!U97</f>
        <v>17556.417482517485</v>
      </c>
      <c r="H96" s="41">
        <f>'B) D RI'!T97</f>
        <v>1133258.3</v>
      </c>
      <c r="I96" s="10">
        <f t="shared" si="12"/>
        <v>31699.532867132868</v>
      </c>
      <c r="J96" s="31">
        <f t="shared" si="8"/>
        <v>58491.129285858173</v>
      </c>
      <c r="K96" s="10">
        <f t="shared" si="9"/>
        <v>31699.532867132868</v>
      </c>
      <c r="L96" s="10">
        <f t="shared" si="13"/>
        <v>26791.596418725305</v>
      </c>
      <c r="M96" s="10">
        <f>'D) Ecrêtage'!C95</f>
        <v>17556.417482517485</v>
      </c>
      <c r="N96" s="10">
        <f t="shared" si="10"/>
        <v>20620.274162293626</v>
      </c>
      <c r="O96" s="55">
        <f t="shared" si="11"/>
        <v>52319.807029426491</v>
      </c>
      <c r="P96" s="218"/>
      <c r="Q96" s="219"/>
      <c r="R96" s="215"/>
      <c r="S96" s="215"/>
      <c r="T96" s="220"/>
    </row>
    <row r="97" spans="1:20" s="214" customFormat="1" x14ac:dyDescent="0.25">
      <c r="A97" s="309">
        <f>'A) Base RI'!A98</f>
        <v>5553</v>
      </c>
      <c r="B97" s="227" t="str">
        <f>'A) Base RI'!B98</f>
        <v>Champagne</v>
      </c>
      <c r="C97" s="243">
        <v>0</v>
      </c>
      <c r="D97" s="216">
        <f>'B) D RI'!AA98</f>
        <v>1061</v>
      </c>
      <c r="E97" s="217">
        <f>'B) D RI'!S98</f>
        <v>65</v>
      </c>
      <c r="F97" s="10">
        <f>'B) D RI'!R98</f>
        <v>2514289.5599999996</v>
      </c>
      <c r="G97" s="10">
        <f>'B) D RI'!U98</f>
        <v>38681.377846153839</v>
      </c>
      <c r="H97" s="41">
        <f>'B) D RI'!T98</f>
        <v>2254921.3099999996</v>
      </c>
      <c r="I97" s="10">
        <f t="shared" si="12"/>
        <v>69382.19415384614</v>
      </c>
      <c r="J97" s="31">
        <f t="shared" si="8"/>
        <v>94458.277278988608</v>
      </c>
      <c r="K97" s="10">
        <f t="shared" si="9"/>
        <v>69382.19415384614</v>
      </c>
      <c r="L97" s="10">
        <f t="shared" si="13"/>
        <v>25076.083125142468</v>
      </c>
      <c r="M97" s="10">
        <f>'D) Ecrêtage'!C96</f>
        <v>38681.377846153839</v>
      </c>
      <c r="N97" s="10">
        <f t="shared" si="10"/>
        <v>45431.855158219281</v>
      </c>
      <c r="O97" s="55">
        <f t="shared" si="11"/>
        <v>114814.04931206541</v>
      </c>
      <c r="P97" s="218"/>
      <c r="Q97" s="219"/>
      <c r="R97" s="215"/>
      <c r="S97" s="215"/>
      <c r="T97" s="220"/>
    </row>
    <row r="98" spans="1:20" s="214" customFormat="1" x14ac:dyDescent="0.25">
      <c r="A98" s="309">
        <f>'A) Base RI'!A99</f>
        <v>5554</v>
      </c>
      <c r="B98" s="227" t="str">
        <f>'A) Base RI'!B99</f>
        <v>Concise</v>
      </c>
      <c r="C98" s="243">
        <v>0</v>
      </c>
      <c r="D98" s="216">
        <f>'B) D RI'!AA99</f>
        <v>1001</v>
      </c>
      <c r="E98" s="217">
        <f>'B) D RI'!S99</f>
        <v>75</v>
      </c>
      <c r="F98" s="10">
        <f>'B) D RI'!R99</f>
        <v>2424590.3300000005</v>
      </c>
      <c r="G98" s="10">
        <f>'B) D RI'!U99</f>
        <v>32327.871066666674</v>
      </c>
      <c r="H98" s="41">
        <f>'B) D RI'!T99</f>
        <v>2253603.1800000002</v>
      </c>
      <c r="I98" s="10">
        <f t="shared" si="12"/>
        <v>60096.084800000004</v>
      </c>
      <c r="J98" s="31">
        <f t="shared" si="8"/>
        <v>89116.621636444484</v>
      </c>
      <c r="K98" s="10">
        <f t="shared" si="9"/>
        <v>60096.084800000004</v>
      </c>
      <c r="L98" s="10">
        <f t="shared" si="13"/>
        <v>29020.53683644448</v>
      </c>
      <c r="M98" s="10">
        <f>'D) Ecrêtage'!C97</f>
        <v>32327.871066666674</v>
      </c>
      <c r="N98" s="10">
        <f t="shared" si="10"/>
        <v>37969.566692165419</v>
      </c>
      <c r="O98" s="55">
        <f t="shared" si="11"/>
        <v>98065.651492165431</v>
      </c>
      <c r="P98" s="218"/>
      <c r="Q98" s="219"/>
      <c r="R98" s="215"/>
      <c r="S98" s="215"/>
      <c r="T98" s="220"/>
    </row>
    <row r="99" spans="1:20" s="214" customFormat="1" x14ac:dyDescent="0.25">
      <c r="A99" s="309">
        <f>'A) Base RI'!A100</f>
        <v>5555</v>
      </c>
      <c r="B99" s="227" t="str">
        <f>'A) Base RI'!B100</f>
        <v>Corcelles-près-Concise</v>
      </c>
      <c r="C99" s="243">
        <v>0</v>
      </c>
      <c r="D99" s="216">
        <f>'B) D RI'!AA100</f>
        <v>419</v>
      </c>
      <c r="E99" s="217">
        <f>'B) D RI'!S100</f>
        <v>69</v>
      </c>
      <c r="F99" s="10">
        <f>'B) D RI'!R100</f>
        <v>936367.54000000027</v>
      </c>
      <c r="G99" s="10">
        <f>'B) D RI'!U100</f>
        <v>13570.544057971018</v>
      </c>
      <c r="H99" s="41">
        <f>'B) D RI'!T100</f>
        <v>844201.24000000022</v>
      </c>
      <c r="I99" s="10">
        <f t="shared" si="12"/>
        <v>24469.601159420297</v>
      </c>
      <c r="J99" s="31">
        <f t="shared" si="8"/>
        <v>37302.561903766473</v>
      </c>
      <c r="K99" s="10">
        <f t="shared" si="9"/>
        <v>24469.601159420297</v>
      </c>
      <c r="L99" s="10">
        <f t="shared" si="13"/>
        <v>12832.960744346175</v>
      </c>
      <c r="M99" s="10">
        <f>'D) Ecrêtage'!C98</f>
        <v>13570.544057971018</v>
      </c>
      <c r="N99" s="10">
        <f t="shared" si="10"/>
        <v>15938.806381512488</v>
      </c>
      <c r="O99" s="55">
        <f t="shared" si="11"/>
        <v>40408.407540932785</v>
      </c>
      <c r="P99" s="218"/>
      <c r="Q99" s="219"/>
      <c r="R99" s="215"/>
      <c r="S99" s="215"/>
      <c r="T99" s="220"/>
    </row>
    <row r="100" spans="1:20" s="214" customFormat="1" x14ac:dyDescent="0.25">
      <c r="A100" s="309">
        <f>'A) Base RI'!A101</f>
        <v>5556</v>
      </c>
      <c r="B100" s="227" t="str">
        <f>'A) Base RI'!B101</f>
        <v>Fiez</v>
      </c>
      <c r="C100" s="243">
        <v>0</v>
      </c>
      <c r="D100" s="216">
        <f>'B) D RI'!AA101</f>
        <v>451</v>
      </c>
      <c r="E100" s="217">
        <f>'B) D RI'!S101</f>
        <v>69</v>
      </c>
      <c r="F100" s="10">
        <f>'B) D RI'!R101</f>
        <v>953333.5149999999</v>
      </c>
      <c r="G100" s="10">
        <f>'B) D RI'!U101</f>
        <v>13816.427753623188</v>
      </c>
      <c r="H100" s="41">
        <f>'B) D RI'!T101</f>
        <v>876894.48999999987</v>
      </c>
      <c r="I100" s="10">
        <f t="shared" si="12"/>
        <v>25417.231594202894</v>
      </c>
      <c r="J100" s="31">
        <f t="shared" si="8"/>
        <v>40151.444913123341</v>
      </c>
      <c r="K100" s="10">
        <f t="shared" si="9"/>
        <v>25417.231594202894</v>
      </c>
      <c r="L100" s="10">
        <f t="shared" si="13"/>
        <v>14734.213318920447</v>
      </c>
      <c r="M100" s="10">
        <f>'D) Ecrêtage'!C99</f>
        <v>13816.427753623188</v>
      </c>
      <c r="N100" s="10">
        <f t="shared" si="10"/>
        <v>16227.600449062689</v>
      </c>
      <c r="O100" s="55">
        <f t="shared" si="11"/>
        <v>41644.832043265582</v>
      </c>
      <c r="P100" s="218"/>
      <c r="Q100" s="219"/>
      <c r="R100" s="215"/>
      <c r="S100" s="215"/>
      <c r="T100" s="220"/>
    </row>
    <row r="101" spans="1:20" s="214" customFormat="1" x14ac:dyDescent="0.25">
      <c r="A101" s="309">
        <f>'A) Base RI'!A102</f>
        <v>5557</v>
      </c>
      <c r="B101" s="227" t="str">
        <f>'A) Base RI'!B102</f>
        <v>Fontaines-sur-Grandson</v>
      </c>
      <c r="C101" s="243">
        <v>0</v>
      </c>
      <c r="D101" s="216">
        <f>'B) D RI'!AA102</f>
        <v>219</v>
      </c>
      <c r="E101" s="217">
        <f>'B) D RI'!S102</f>
        <v>69</v>
      </c>
      <c r="F101" s="10">
        <f>'B) D RI'!R102</f>
        <v>405742.59999999986</v>
      </c>
      <c r="G101" s="10">
        <f>'B) D RI'!U102</f>
        <v>5880.3275362318818</v>
      </c>
      <c r="H101" s="41">
        <f>'B) D RI'!T102</f>
        <v>366875.34999999986</v>
      </c>
      <c r="I101" s="10">
        <f t="shared" si="12"/>
        <v>10634.068115942026</v>
      </c>
      <c r="J101" s="31">
        <f t="shared" si="8"/>
        <v>19497.043095286055</v>
      </c>
      <c r="K101" s="10">
        <f t="shared" si="9"/>
        <v>10634.068115942026</v>
      </c>
      <c r="L101" s="10">
        <f t="shared" si="13"/>
        <v>8862.9749793440296</v>
      </c>
      <c r="M101" s="10">
        <f>'D) Ecrêtage'!C100</f>
        <v>5880.3275362318818</v>
      </c>
      <c r="N101" s="10">
        <f t="shared" si="10"/>
        <v>6906.5323880529486</v>
      </c>
      <c r="O101" s="55">
        <f t="shared" si="11"/>
        <v>17540.600503994974</v>
      </c>
      <c r="P101" s="218"/>
      <c r="Q101" s="219"/>
      <c r="R101" s="215"/>
      <c r="S101" s="215"/>
      <c r="T101" s="220"/>
    </row>
    <row r="102" spans="1:20" s="214" customFormat="1" x14ac:dyDescent="0.25">
      <c r="A102" s="309">
        <f>'A) Base RI'!A103</f>
        <v>5559</v>
      </c>
      <c r="B102" s="227" t="str">
        <f>'A) Base RI'!B103</f>
        <v>Giez</v>
      </c>
      <c r="C102" s="243">
        <v>0</v>
      </c>
      <c r="D102" s="216">
        <f>'B) D RI'!AA103</f>
        <v>414</v>
      </c>
      <c r="E102" s="217">
        <f>'B) D RI'!S103</f>
        <v>66</v>
      </c>
      <c r="F102" s="10">
        <f>'B) D RI'!R103</f>
        <v>1115242.8300000003</v>
      </c>
      <c r="G102" s="10">
        <f>'B) D RI'!U103</f>
        <v>16897.618636363641</v>
      </c>
      <c r="H102" s="41">
        <f>'B) D RI'!T103</f>
        <v>1022138.2300000002</v>
      </c>
      <c r="I102" s="10">
        <f t="shared" si="12"/>
        <v>30973.885757575765</v>
      </c>
      <c r="J102" s="31">
        <f t="shared" ref="J102:J133" si="14">+$I$315/$D$315*D102</f>
        <v>36857.423933554463</v>
      </c>
      <c r="K102" s="10">
        <f t="shared" si="9"/>
        <v>30973.885757575765</v>
      </c>
      <c r="L102" s="10">
        <f t="shared" si="13"/>
        <v>5883.5381759786978</v>
      </c>
      <c r="M102" s="10">
        <f>'D) Ecrêtage'!C101</f>
        <v>16897.618636363641</v>
      </c>
      <c r="N102" s="10">
        <f t="shared" si="10"/>
        <v>19846.505092435131</v>
      </c>
      <c r="O102" s="55">
        <f t="shared" si="11"/>
        <v>50820.390850010896</v>
      </c>
      <c r="P102" s="218"/>
      <c r="Q102" s="219"/>
      <c r="R102" s="215"/>
      <c r="S102" s="215"/>
      <c r="T102" s="220"/>
    </row>
    <row r="103" spans="1:20" s="214" customFormat="1" x14ac:dyDescent="0.25">
      <c r="A103" s="309">
        <f>'A) Base RI'!A104</f>
        <v>5560</v>
      </c>
      <c r="B103" s="227" t="str">
        <f>'A) Base RI'!B104</f>
        <v>Grandevent</v>
      </c>
      <c r="C103" s="243">
        <v>0</v>
      </c>
      <c r="D103" s="216">
        <f>'B) D RI'!AA104</f>
        <v>226</v>
      </c>
      <c r="E103" s="217">
        <f>'B) D RI'!S104</f>
        <v>68</v>
      </c>
      <c r="F103" s="10">
        <f>'B) D RI'!R104</f>
        <v>419416.91000000003</v>
      </c>
      <c r="G103" s="10">
        <f>'B) D RI'!U104</f>
        <v>6167.8957352941179</v>
      </c>
      <c r="H103" s="41">
        <f>'B) D RI'!T104</f>
        <v>376064.96</v>
      </c>
      <c r="I103" s="10">
        <f t="shared" si="12"/>
        <v>11060.73411764706</v>
      </c>
      <c r="J103" s="31">
        <f t="shared" si="14"/>
        <v>20120.236253582872</v>
      </c>
      <c r="K103" s="10">
        <f t="shared" si="9"/>
        <v>11060.73411764706</v>
      </c>
      <c r="L103" s="10">
        <f t="shared" si="13"/>
        <v>9059.5021359358125</v>
      </c>
      <c r="M103" s="10">
        <f>'D) Ecrêtage'!C102</f>
        <v>6167.8957352941179</v>
      </c>
      <c r="N103" s="10">
        <f t="shared" si="10"/>
        <v>7244.2855265235448</v>
      </c>
      <c r="O103" s="55">
        <f t="shared" si="11"/>
        <v>18305.019644170607</v>
      </c>
      <c r="P103" s="218"/>
      <c r="Q103" s="219"/>
      <c r="R103" s="215"/>
      <c r="S103" s="215"/>
      <c r="T103" s="220"/>
    </row>
    <row r="104" spans="1:20" s="214" customFormat="1" x14ac:dyDescent="0.25">
      <c r="A104" s="309">
        <f>'A) Base RI'!A105</f>
        <v>5561</v>
      </c>
      <c r="B104" s="227" t="str">
        <f>'A) Base RI'!B105</f>
        <v>Grandson</v>
      </c>
      <c r="C104" s="243">
        <v>0</v>
      </c>
      <c r="D104" s="216">
        <f>'B) D RI'!AA105</f>
        <v>3356</v>
      </c>
      <c r="E104" s="217">
        <f>'B) D RI'!S105</f>
        <v>69</v>
      </c>
      <c r="F104" s="10">
        <f>'B) D RI'!R105</f>
        <v>7934015.5699999994</v>
      </c>
      <c r="G104" s="10">
        <f>'B) D RI'!U105</f>
        <v>114985.73289855072</v>
      </c>
      <c r="H104" s="41">
        <f>'B) D RI'!T105</f>
        <v>7268846.3699999992</v>
      </c>
      <c r="I104" s="10">
        <f t="shared" si="12"/>
        <v>210691.19913043475</v>
      </c>
      <c r="J104" s="31">
        <f t="shared" si="14"/>
        <v>298776.6056063014</v>
      </c>
      <c r="K104" s="10">
        <f t="shared" si="9"/>
        <v>210691.19913043475</v>
      </c>
      <c r="L104" s="10">
        <f t="shared" si="13"/>
        <v>88085.40647586665</v>
      </c>
      <c r="M104" s="10">
        <f>'D) Ecrêtage'!C103</f>
        <v>114985.73289855072</v>
      </c>
      <c r="N104" s="10">
        <f t="shared" si="10"/>
        <v>135052.45813853756</v>
      </c>
      <c r="O104" s="55">
        <f t="shared" si="11"/>
        <v>345743.65726897231</v>
      </c>
      <c r="P104" s="218"/>
      <c r="Q104" s="219"/>
      <c r="R104" s="215"/>
      <c r="S104" s="215"/>
      <c r="T104" s="220"/>
    </row>
    <row r="105" spans="1:20" s="214" customFormat="1" x14ac:dyDescent="0.25">
      <c r="A105" s="309">
        <f>'A) Base RI'!A106</f>
        <v>5562</v>
      </c>
      <c r="B105" s="227" t="str">
        <f>'A) Base RI'!B106</f>
        <v>Mauborget</v>
      </c>
      <c r="C105" s="243">
        <v>0</v>
      </c>
      <c r="D105" s="216">
        <f>'B) D RI'!AA106</f>
        <v>128</v>
      </c>
      <c r="E105" s="217">
        <f>'B) D RI'!S106</f>
        <v>70</v>
      </c>
      <c r="F105" s="10">
        <f>'B) D RI'!R106</f>
        <v>422601.02</v>
      </c>
      <c r="G105" s="10">
        <f>'B) D RI'!U106</f>
        <v>6037.1574285714287</v>
      </c>
      <c r="H105" s="41">
        <f>'B) D RI'!T106</f>
        <v>389287.52</v>
      </c>
      <c r="I105" s="10">
        <f t="shared" si="12"/>
        <v>11122.500571428573</v>
      </c>
      <c r="J105" s="31">
        <f t="shared" si="14"/>
        <v>11395.532037427467</v>
      </c>
      <c r="K105" s="10">
        <f t="shared" si="9"/>
        <v>11122.500571428573</v>
      </c>
      <c r="L105" s="10">
        <f t="shared" si="13"/>
        <v>273.03146599889442</v>
      </c>
      <c r="M105" s="10">
        <f>'D) Ecrêtage'!C104</f>
        <v>6037.1574285714287</v>
      </c>
      <c r="N105" s="10">
        <f t="shared" si="10"/>
        <v>7090.7314355012513</v>
      </c>
      <c r="O105" s="55">
        <f t="shared" si="11"/>
        <v>18213.232006929822</v>
      </c>
      <c r="P105" s="218"/>
      <c r="Q105" s="219"/>
      <c r="R105" s="215"/>
      <c r="S105" s="215"/>
      <c r="T105" s="220"/>
    </row>
    <row r="106" spans="1:20" s="214" customFormat="1" x14ac:dyDescent="0.25">
      <c r="A106" s="309">
        <f>'A) Base RI'!A107</f>
        <v>5563</v>
      </c>
      <c r="B106" s="227" t="str">
        <f>'A) Base RI'!B107</f>
        <v>Mutrux</v>
      </c>
      <c r="C106" s="243">
        <v>0</v>
      </c>
      <c r="D106" s="216">
        <f>'B) D RI'!AA107</f>
        <v>149</v>
      </c>
      <c r="E106" s="217">
        <f>'B) D RI'!S107</f>
        <v>80</v>
      </c>
      <c r="F106" s="10">
        <f>'B) D RI'!R107</f>
        <v>325886.59999999998</v>
      </c>
      <c r="G106" s="10">
        <f>'B) D RI'!U107</f>
        <v>4073.5824999999995</v>
      </c>
      <c r="H106" s="41">
        <f>'B) D RI'!T107</f>
        <v>303528.05</v>
      </c>
      <c r="I106" s="10">
        <f t="shared" si="12"/>
        <v>7588.2012500000001</v>
      </c>
      <c r="J106" s="31">
        <f t="shared" si="14"/>
        <v>13265.111512317912</v>
      </c>
      <c r="K106" s="10">
        <f t="shared" si="9"/>
        <v>7588.2012500000001</v>
      </c>
      <c r="L106" s="10">
        <f t="shared" si="13"/>
        <v>5676.9102623179115</v>
      </c>
      <c r="M106" s="10">
        <f>'D) Ecrêtage'!C105</f>
        <v>4073.5824999999995</v>
      </c>
      <c r="N106" s="10">
        <f t="shared" si="10"/>
        <v>4784.4833979578279</v>
      </c>
      <c r="O106" s="55">
        <f t="shared" si="11"/>
        <v>12372.684647957827</v>
      </c>
      <c r="P106" s="218"/>
      <c r="Q106" s="219"/>
      <c r="R106" s="215"/>
      <c r="S106" s="215"/>
      <c r="T106" s="220"/>
    </row>
    <row r="107" spans="1:20" s="214" customFormat="1" x14ac:dyDescent="0.25">
      <c r="A107" s="309">
        <f>'A) Base RI'!A108</f>
        <v>5564</v>
      </c>
      <c r="B107" s="227" t="str">
        <f>'A) Base RI'!B108</f>
        <v>Novalles</v>
      </c>
      <c r="C107" s="243">
        <v>0</v>
      </c>
      <c r="D107" s="216">
        <f>'B) D RI'!AA108</f>
        <v>99</v>
      </c>
      <c r="E107" s="217">
        <f>'B) D RI'!S108</f>
        <v>76</v>
      </c>
      <c r="F107" s="10">
        <f>'B) D RI'!R108</f>
        <v>158954.33749999999</v>
      </c>
      <c r="G107" s="10">
        <f>'B) D RI'!U108</f>
        <v>2091.5044407894734</v>
      </c>
      <c r="H107" s="41">
        <f>'B) D RI'!T108</f>
        <v>145271.9</v>
      </c>
      <c r="I107" s="10">
        <f t="shared" si="12"/>
        <v>3822.9447368421052</v>
      </c>
      <c r="J107" s="31">
        <f t="shared" si="14"/>
        <v>8813.7318101978071</v>
      </c>
      <c r="K107" s="10">
        <f t="shared" si="9"/>
        <v>3822.9447368421052</v>
      </c>
      <c r="L107" s="10">
        <f t="shared" si="13"/>
        <v>4990.787073355702</v>
      </c>
      <c r="M107" s="10">
        <f>'D) Ecrêtage'!C106</f>
        <v>2091.5044407894734</v>
      </c>
      <c r="N107" s="10">
        <f t="shared" si="10"/>
        <v>2456.503157530824</v>
      </c>
      <c r="O107" s="55">
        <f t="shared" si="11"/>
        <v>6279.4478943729291</v>
      </c>
      <c r="P107" s="218"/>
      <c r="Q107" s="219"/>
      <c r="R107" s="215"/>
      <c r="S107" s="215"/>
      <c r="T107" s="220"/>
    </row>
    <row r="108" spans="1:20" s="214" customFormat="1" x14ac:dyDescent="0.25">
      <c r="A108" s="309">
        <f>'A) Base RI'!A109</f>
        <v>5565</v>
      </c>
      <c r="B108" s="227" t="str">
        <f>'A) Base RI'!B109</f>
        <v>Onnens</v>
      </c>
      <c r="C108" s="243">
        <v>0</v>
      </c>
      <c r="D108" s="216">
        <f>'B) D RI'!AA109</f>
        <v>505</v>
      </c>
      <c r="E108" s="217">
        <f>'B) D RI'!S109</f>
        <v>63.5</v>
      </c>
      <c r="F108" s="10">
        <f>'B) D RI'!R109</f>
        <v>1250351.9600000002</v>
      </c>
      <c r="G108" s="10">
        <f>'B) D RI'!U109</f>
        <v>19690.582047244097</v>
      </c>
      <c r="H108" s="41">
        <f>'B) D RI'!T109</f>
        <v>1093918.5100000002</v>
      </c>
      <c r="I108" s="10">
        <f t="shared" si="12"/>
        <v>34454.126299212607</v>
      </c>
      <c r="J108" s="31">
        <f t="shared" si="14"/>
        <v>44958.934991413051</v>
      </c>
      <c r="K108" s="10">
        <f t="shared" si="9"/>
        <v>34454.126299212607</v>
      </c>
      <c r="L108" s="10">
        <f t="shared" si="13"/>
        <v>10504.808692200444</v>
      </c>
      <c r="M108" s="10">
        <f>'D) Ecrêtage'!C107</f>
        <v>19690.582047244097</v>
      </c>
      <c r="N108" s="10">
        <f t="shared" si="10"/>
        <v>23126.882271603889</v>
      </c>
      <c r="O108" s="55">
        <f t="shared" si="11"/>
        <v>57581.008570816499</v>
      </c>
      <c r="P108" s="218"/>
      <c r="Q108" s="219"/>
      <c r="R108" s="215"/>
      <c r="S108" s="215"/>
      <c r="T108" s="220"/>
    </row>
    <row r="109" spans="1:20" s="214" customFormat="1" x14ac:dyDescent="0.25">
      <c r="A109" s="309">
        <f>'A) Base RI'!A110</f>
        <v>5566</v>
      </c>
      <c r="B109" s="227" t="str">
        <f>'A) Base RI'!B110</f>
        <v>Provence</v>
      </c>
      <c r="C109" s="243">
        <v>0</v>
      </c>
      <c r="D109" s="216">
        <f>'B) D RI'!AA110</f>
        <v>392</v>
      </c>
      <c r="E109" s="217">
        <f>'B) D RI'!S110</f>
        <v>81</v>
      </c>
      <c r="F109" s="10">
        <f>'B) D RI'!R110</f>
        <v>615497.54333333322</v>
      </c>
      <c r="G109" s="10">
        <f>'B) D RI'!U110</f>
        <v>7598.735102880657</v>
      </c>
      <c r="H109" s="41">
        <f>'B) D RI'!T110</f>
        <v>558440.05999999994</v>
      </c>
      <c r="I109" s="10">
        <f t="shared" si="12"/>
        <v>13788.643456790121</v>
      </c>
      <c r="J109" s="31">
        <f t="shared" si="14"/>
        <v>34898.816864621615</v>
      </c>
      <c r="K109" s="10">
        <f t="shared" si="9"/>
        <v>13788.643456790121</v>
      </c>
      <c r="L109" s="10">
        <f t="shared" si="13"/>
        <v>21110.173407831491</v>
      </c>
      <c r="M109" s="10">
        <f>'D) Ecrêtage'!C108</f>
        <v>7598.735102880657</v>
      </c>
      <c r="N109" s="10">
        <f t="shared" si="10"/>
        <v>8924.8277026945871</v>
      </c>
      <c r="O109" s="55">
        <f t="shared" si="11"/>
        <v>22713.47115948471</v>
      </c>
      <c r="P109" s="218"/>
      <c r="Q109" s="219"/>
      <c r="R109" s="215"/>
      <c r="S109" s="215"/>
      <c r="T109" s="220"/>
    </row>
    <row r="110" spans="1:20" s="214" customFormat="1" x14ac:dyDescent="0.25">
      <c r="A110" s="309">
        <f>'A) Base RI'!A111</f>
        <v>5568</v>
      </c>
      <c r="B110" s="227" t="str">
        <f>'A) Base RI'!B111</f>
        <v>Sainte-Croix</v>
      </c>
      <c r="C110" s="243">
        <v>0</v>
      </c>
      <c r="D110" s="216">
        <f>'B) D RI'!AA111</f>
        <v>4917</v>
      </c>
      <c r="E110" s="217">
        <f>'B) D RI'!S111</f>
        <v>70</v>
      </c>
      <c r="F110" s="10">
        <f>'B) D RI'!R111</f>
        <v>7456083.3399999999</v>
      </c>
      <c r="G110" s="10">
        <f>'B) D RI'!U111</f>
        <v>106515.47628571428</v>
      </c>
      <c r="H110" s="41">
        <f>'B) D RI'!T111</f>
        <v>6775594.6899999995</v>
      </c>
      <c r="I110" s="10">
        <f t="shared" si="12"/>
        <v>193588.4197142857</v>
      </c>
      <c r="J110" s="31">
        <f t="shared" si="14"/>
        <v>437748.67990649107</v>
      </c>
      <c r="K110" s="10">
        <f t="shared" si="9"/>
        <v>193588.4197142857</v>
      </c>
      <c r="L110" s="10">
        <f t="shared" si="13"/>
        <v>244160.26019220537</v>
      </c>
      <c r="M110" s="10">
        <f>'D) Ecrêtage'!C109</f>
        <v>106515.47628571428</v>
      </c>
      <c r="N110" s="10">
        <f t="shared" si="10"/>
        <v>125104.01542489215</v>
      </c>
      <c r="O110" s="55">
        <f t="shared" si="11"/>
        <v>318692.43513917783</v>
      </c>
      <c r="P110" s="218"/>
      <c r="Q110" s="219"/>
      <c r="R110" s="215"/>
      <c r="S110" s="215"/>
      <c r="T110" s="220"/>
    </row>
    <row r="111" spans="1:20" s="214" customFormat="1" x14ac:dyDescent="0.25">
      <c r="A111" s="309">
        <f>'A) Base RI'!A112</f>
        <v>5571</v>
      </c>
      <c r="B111" s="227" t="str">
        <f>'A) Base RI'!B112</f>
        <v>Tévenon</v>
      </c>
      <c r="C111" s="243">
        <v>0</v>
      </c>
      <c r="D111" s="216">
        <f>'B) D RI'!AA112</f>
        <v>894</v>
      </c>
      <c r="E111" s="217">
        <f>'B) D RI'!S112</f>
        <v>71.5</v>
      </c>
      <c r="F111" s="10">
        <f>'B) D RI'!R112</f>
        <v>1528676.2366666668</v>
      </c>
      <c r="G111" s="10">
        <f>'B) D RI'!U112</f>
        <v>21380.087226107229</v>
      </c>
      <c r="H111" s="41">
        <f>'B) D RI'!T112</f>
        <v>1353436.87</v>
      </c>
      <c r="I111" s="10">
        <f t="shared" si="12"/>
        <v>37858.37398601399</v>
      </c>
      <c r="J111" s="31">
        <f t="shared" si="14"/>
        <v>79590.669073907469</v>
      </c>
      <c r="K111" s="10">
        <f t="shared" si="9"/>
        <v>37858.37398601399</v>
      </c>
      <c r="L111" s="10">
        <f t="shared" si="13"/>
        <v>41732.295087893479</v>
      </c>
      <c r="M111" s="10">
        <f>'D) Ecrêtage'!C110</f>
        <v>21380.087226107229</v>
      </c>
      <c r="N111" s="10">
        <f t="shared" si="10"/>
        <v>25111.231300753152</v>
      </c>
      <c r="O111" s="55">
        <f t="shared" si="11"/>
        <v>62969.605286767139</v>
      </c>
      <c r="P111" s="218"/>
      <c r="Q111" s="219"/>
      <c r="R111" s="215"/>
      <c r="S111" s="215"/>
      <c r="T111" s="220"/>
    </row>
    <row r="112" spans="1:20" s="214" customFormat="1" x14ac:dyDescent="0.25">
      <c r="A112" s="309">
        <f>'A) Base RI'!A113</f>
        <v>5581</v>
      </c>
      <c r="B112" s="227" t="str">
        <f>'A) Base RI'!B113</f>
        <v>Belmont-sur-Lausanne</v>
      </c>
      <c r="C112" s="243">
        <v>1</v>
      </c>
      <c r="D112" s="216">
        <f>'B) D RI'!AA113</f>
        <v>3756</v>
      </c>
      <c r="E112" s="217">
        <f>'B) D RI'!S113</f>
        <v>72</v>
      </c>
      <c r="F112" s="10">
        <f>'B) D RI'!R113</f>
        <v>15296086.849999998</v>
      </c>
      <c r="G112" s="10">
        <f>'B) D RI'!U113</f>
        <v>212445.65069444443</v>
      </c>
      <c r="H112" s="41">
        <f>'B) D RI'!T113</f>
        <v>14313110.399999999</v>
      </c>
      <c r="I112" s="10">
        <f t="shared" si="12"/>
        <v>397586.39999999997</v>
      </c>
      <c r="J112" s="31">
        <f t="shared" si="14"/>
        <v>334387.64322326222</v>
      </c>
      <c r="K112" s="10">
        <f t="shared" si="9"/>
        <v>0</v>
      </c>
      <c r="L112" s="10">
        <f t="shared" si="13"/>
        <v>334387.64322326222</v>
      </c>
      <c r="M112" s="10">
        <f>'D) Ecrêtage'!C111</f>
        <v>212445.65069444443</v>
      </c>
      <c r="N112" s="10">
        <f t="shared" si="10"/>
        <v>249520.58506631874</v>
      </c>
      <c r="O112" s="55">
        <f t="shared" si="11"/>
        <v>249520.58506631874</v>
      </c>
      <c r="P112" s="218"/>
      <c r="Q112" s="219"/>
      <c r="R112" s="215"/>
      <c r="S112" s="215"/>
      <c r="T112" s="220"/>
    </row>
    <row r="113" spans="1:20" s="214" customFormat="1" x14ac:dyDescent="0.25">
      <c r="A113" s="309">
        <f>'A) Base RI'!A114</f>
        <v>5582</v>
      </c>
      <c r="B113" s="227" t="str">
        <f>'A) Base RI'!B114</f>
        <v>Cheseaux-sur-Lausanne</v>
      </c>
      <c r="C113" s="243">
        <v>0</v>
      </c>
      <c r="D113" s="216">
        <f>'B) D RI'!AA114</f>
        <v>4367</v>
      </c>
      <c r="E113" s="217">
        <f>'B) D RI'!S114</f>
        <v>73</v>
      </c>
      <c r="F113" s="10">
        <f>'B) D RI'!R114</f>
        <v>11955961.449999999</v>
      </c>
      <c r="G113" s="10">
        <f>'B) D RI'!U114</f>
        <v>163780.29383561644</v>
      </c>
      <c r="H113" s="41">
        <f>'B) D RI'!T114</f>
        <v>10952818.35</v>
      </c>
      <c r="I113" s="10">
        <f t="shared" si="12"/>
        <v>300077.21506849315</v>
      </c>
      <c r="J113" s="31">
        <f t="shared" si="14"/>
        <v>388783.50318316993</v>
      </c>
      <c r="K113" s="10">
        <f t="shared" si="9"/>
        <v>300077.21506849315</v>
      </c>
      <c r="L113" s="10">
        <f t="shared" si="13"/>
        <v>88706.288114676776</v>
      </c>
      <c r="M113" s="10">
        <f>'D) Ecrêtage'!C112</f>
        <v>163780.29383561644</v>
      </c>
      <c r="N113" s="10">
        <f t="shared" si="10"/>
        <v>192362.39766082109</v>
      </c>
      <c r="O113" s="55">
        <f t="shared" si="11"/>
        <v>492439.61272931425</v>
      </c>
      <c r="P113" s="218"/>
      <c r="Q113" s="219"/>
      <c r="R113" s="215"/>
      <c r="S113" s="215"/>
      <c r="T113" s="220"/>
    </row>
    <row r="114" spans="1:20" s="214" customFormat="1" x14ac:dyDescent="0.25">
      <c r="A114" s="309">
        <f>'A) Base RI'!A115</f>
        <v>5583</v>
      </c>
      <c r="B114" s="227" t="str">
        <f>'A) Base RI'!B115</f>
        <v>Crissier</v>
      </c>
      <c r="C114" s="243">
        <v>1</v>
      </c>
      <c r="D114" s="216">
        <f>'B) D RI'!AA115</f>
        <v>8700</v>
      </c>
      <c r="E114" s="217">
        <f>'B) D RI'!S115</f>
        <v>63.5</v>
      </c>
      <c r="F114" s="10">
        <f>'B) D RI'!R115</f>
        <v>23374052.169999994</v>
      </c>
      <c r="G114" s="10">
        <f>'B) D RI'!U115</f>
        <v>368095.30976377946</v>
      </c>
      <c r="H114" s="41">
        <f>'B) D RI'!T115</f>
        <v>20542870.769999996</v>
      </c>
      <c r="I114" s="10">
        <f t="shared" si="12"/>
        <v>647019.5518110235</v>
      </c>
      <c r="J114" s="31">
        <f t="shared" si="14"/>
        <v>774540.06816889811</v>
      </c>
      <c r="K114" s="10">
        <f t="shared" si="9"/>
        <v>0</v>
      </c>
      <c r="L114" s="10">
        <f t="shared" si="13"/>
        <v>774540.06816889811</v>
      </c>
      <c r="M114" s="10">
        <f>'D) Ecrêtage'!C113</f>
        <v>368095.30976377946</v>
      </c>
      <c r="N114" s="10">
        <f t="shared" si="10"/>
        <v>432333.43093725166</v>
      </c>
      <c r="O114" s="55">
        <f t="shared" si="11"/>
        <v>432333.43093725166</v>
      </c>
      <c r="P114" s="218"/>
      <c r="Q114" s="219"/>
      <c r="R114" s="215"/>
      <c r="S114" s="215"/>
      <c r="T114" s="220"/>
    </row>
    <row r="115" spans="1:20" s="214" customFormat="1" x14ac:dyDescent="0.25">
      <c r="A115" s="309">
        <f>'A) Base RI'!A116</f>
        <v>5584</v>
      </c>
      <c r="B115" s="227" t="str">
        <f>'A) Base RI'!B116</f>
        <v>Epalinges</v>
      </c>
      <c r="C115" s="243">
        <v>0</v>
      </c>
      <c r="D115" s="216">
        <f>'B) D RI'!AA116</f>
        <v>9755</v>
      </c>
      <c r="E115" s="217">
        <f>'B) D RI'!S116</f>
        <v>64.5</v>
      </c>
      <c r="F115" s="10">
        <f>'B) D RI'!R116</f>
        <v>31096476.68</v>
      </c>
      <c r="G115" s="10">
        <f>'B) D RI'!U116</f>
        <v>482115.91751937981</v>
      </c>
      <c r="H115" s="41">
        <f>'B) D RI'!T116</f>
        <v>28524076.280000001</v>
      </c>
      <c r="I115" s="10">
        <f t="shared" si="12"/>
        <v>884467.48155038769</v>
      </c>
      <c r="J115" s="31">
        <f t="shared" si="14"/>
        <v>868464.17988363234</v>
      </c>
      <c r="K115" s="10">
        <f t="shared" si="9"/>
        <v>868464.17988363234</v>
      </c>
      <c r="L115" s="10">
        <f t="shared" si="13"/>
        <v>0</v>
      </c>
      <c r="M115" s="10">
        <f>'D) Ecrêtage'!C114</f>
        <v>482115.91751937981</v>
      </c>
      <c r="N115" s="10">
        <f t="shared" si="10"/>
        <v>566252.33520192083</v>
      </c>
      <c r="O115" s="55">
        <f t="shared" si="11"/>
        <v>1434716.5150855533</v>
      </c>
      <c r="P115" s="218"/>
      <c r="Q115" s="219"/>
      <c r="R115" s="215"/>
      <c r="S115" s="215"/>
      <c r="T115" s="220"/>
    </row>
    <row r="116" spans="1:20" s="214" customFormat="1" x14ac:dyDescent="0.25">
      <c r="A116" s="309">
        <f>'A) Base RI'!A117</f>
        <v>5585</v>
      </c>
      <c r="B116" s="227" t="str">
        <f>'A) Base RI'!B117</f>
        <v>Jouxtens-Mézery</v>
      </c>
      <c r="C116" s="243">
        <v>0</v>
      </c>
      <c r="D116" s="216">
        <f>'B) D RI'!AA117</f>
        <v>1411</v>
      </c>
      <c r="E116" s="217">
        <f>'B) D RI'!S117</f>
        <v>59</v>
      </c>
      <c r="F116" s="10">
        <f>'B) D RI'!R117</f>
        <v>11946790.310000001</v>
      </c>
      <c r="G116" s="10">
        <f>'B) D RI'!U117</f>
        <v>202487.97135593221</v>
      </c>
      <c r="H116" s="41">
        <f>'B) D RI'!T117</f>
        <v>11369391.360000001</v>
      </c>
      <c r="I116" s="10">
        <f t="shared" si="12"/>
        <v>385403.09694915259</v>
      </c>
      <c r="J116" s="31">
        <f t="shared" si="14"/>
        <v>125617.93519382934</v>
      </c>
      <c r="K116" s="10">
        <f t="shared" si="9"/>
        <v>125617.93519382934</v>
      </c>
      <c r="L116" s="10">
        <f t="shared" si="13"/>
        <v>0</v>
      </c>
      <c r="M116" s="10">
        <f>'D) Ecrêtage'!C115</f>
        <v>202487.97135593221</v>
      </c>
      <c r="N116" s="10">
        <f t="shared" si="10"/>
        <v>237825.1421785659</v>
      </c>
      <c r="O116" s="55">
        <f t="shared" si="11"/>
        <v>363443.07737239526</v>
      </c>
      <c r="P116" s="218"/>
      <c r="Q116" s="219"/>
      <c r="R116" s="215"/>
      <c r="S116" s="215"/>
      <c r="T116" s="220"/>
    </row>
    <row r="117" spans="1:20" s="214" customFormat="1" x14ac:dyDescent="0.25">
      <c r="A117" s="309">
        <f>'A) Base RI'!A118</f>
        <v>5586</v>
      </c>
      <c r="B117" s="227" t="str">
        <f>'A) Base RI'!B118</f>
        <v>Lausanne</v>
      </c>
      <c r="C117" s="243">
        <v>1</v>
      </c>
      <c r="D117" s="216">
        <f>'B) D RI'!AA118</f>
        <v>140430</v>
      </c>
      <c r="E117" s="217">
        <f>'B) D RI'!S118</f>
        <v>78.5</v>
      </c>
      <c r="F117" s="10">
        <f>'B) D RI'!R118</f>
        <v>492380595.98666668</v>
      </c>
      <c r="G117" s="10">
        <f>'B) D RI'!U118</f>
        <v>6272364.2800849257</v>
      </c>
      <c r="H117" s="41">
        <f>'B) D RI'!T118</f>
        <v>457062327.97000003</v>
      </c>
      <c r="I117" s="10">
        <f t="shared" si="12"/>
        <v>11644900.075668791</v>
      </c>
      <c r="J117" s="31">
        <f t="shared" si="14"/>
        <v>12502145.031374525</v>
      </c>
      <c r="K117" s="10">
        <f t="shared" si="9"/>
        <v>0</v>
      </c>
      <c r="L117" s="10">
        <f t="shared" si="13"/>
        <v>12502145.031374525</v>
      </c>
      <c r="M117" s="10">
        <f>'D) Ecrêtage'!C116</f>
        <v>6272364.2800849257</v>
      </c>
      <c r="N117" s="10">
        <f t="shared" si="10"/>
        <v>7366985.3903805884</v>
      </c>
      <c r="O117" s="55">
        <f t="shared" si="11"/>
        <v>7366985.3903805884</v>
      </c>
      <c r="P117" s="218"/>
      <c r="Q117" s="219"/>
      <c r="R117" s="215"/>
      <c r="S117" s="215"/>
      <c r="T117" s="220"/>
    </row>
    <row r="118" spans="1:20" s="214" customFormat="1" x14ac:dyDescent="0.25">
      <c r="A118" s="309">
        <f>'A) Base RI'!A119</f>
        <v>5587</v>
      </c>
      <c r="B118" s="227" t="str">
        <f>'A) Base RI'!B119</f>
        <v>Le Mont-sur-Lausanne</v>
      </c>
      <c r="C118" s="243">
        <v>0</v>
      </c>
      <c r="D118" s="216">
        <f>'B) D RI'!AA119</f>
        <v>9136</v>
      </c>
      <c r="E118" s="217">
        <f>'B) D RI'!S119</f>
        <v>73.5</v>
      </c>
      <c r="F118" s="10">
        <f>'B) D RI'!R119</f>
        <v>32550264.400000002</v>
      </c>
      <c r="G118" s="10">
        <f>'B) D RI'!U119</f>
        <v>442860.74013605446</v>
      </c>
      <c r="H118" s="41">
        <f>'B) D RI'!T119</f>
        <v>29672403.900000002</v>
      </c>
      <c r="I118" s="10">
        <f t="shared" si="12"/>
        <v>807412.35102040821</v>
      </c>
      <c r="J118" s="31">
        <f t="shared" si="14"/>
        <v>813356.0991713854</v>
      </c>
      <c r="K118" s="10">
        <f t="shared" si="9"/>
        <v>807412.35102040821</v>
      </c>
      <c r="L118" s="10">
        <f t="shared" si="13"/>
        <v>5943.7481509771897</v>
      </c>
      <c r="M118" s="10">
        <f>'D) Ecrêtage'!C117</f>
        <v>442860.74013605446</v>
      </c>
      <c r="N118" s="10">
        <f t="shared" si="10"/>
        <v>520146.54392988695</v>
      </c>
      <c r="O118" s="55">
        <f t="shared" si="11"/>
        <v>1327558.8949502951</v>
      </c>
      <c r="P118" s="218"/>
      <c r="Q118" s="219"/>
      <c r="R118" s="215"/>
      <c r="S118" s="215"/>
      <c r="T118" s="220"/>
    </row>
    <row r="119" spans="1:20" s="214" customFormat="1" x14ac:dyDescent="0.25">
      <c r="A119" s="309">
        <f>'A) Base RI'!A120</f>
        <v>5588</v>
      </c>
      <c r="B119" s="227" t="str">
        <f>'A) Base RI'!B120</f>
        <v>Paudex</v>
      </c>
      <c r="C119" s="243">
        <v>1</v>
      </c>
      <c r="D119" s="216">
        <f>'B) D RI'!AA120</f>
        <v>1538</v>
      </c>
      <c r="E119" s="217">
        <f>'B) D RI'!S120</f>
        <v>66.5</v>
      </c>
      <c r="F119" s="10">
        <f>'B) D RI'!R120</f>
        <v>9007331.0757142864</v>
      </c>
      <c r="G119" s="10">
        <f>'B) D RI'!U120</f>
        <v>135448.58760472611</v>
      </c>
      <c r="H119" s="41">
        <f>'B) D RI'!T120</f>
        <v>8384746.7399999993</v>
      </c>
      <c r="I119" s="10">
        <f t="shared" si="12"/>
        <v>252172.83428571426</v>
      </c>
      <c r="J119" s="31">
        <f t="shared" si="14"/>
        <v>136924.43963721441</v>
      </c>
      <c r="K119" s="10">
        <f t="shared" si="9"/>
        <v>0</v>
      </c>
      <c r="L119" s="10">
        <f t="shared" si="13"/>
        <v>136924.43963721441</v>
      </c>
      <c r="M119" s="10">
        <f>'D) Ecrêtage'!C118</f>
        <v>135448.58760472611</v>
      </c>
      <c r="N119" s="10">
        <f t="shared" si="10"/>
        <v>159086.3861654081</v>
      </c>
      <c r="O119" s="55">
        <f t="shared" si="11"/>
        <v>159086.3861654081</v>
      </c>
      <c r="P119" s="218"/>
      <c r="Q119" s="219"/>
      <c r="R119" s="215"/>
      <c r="S119" s="215"/>
      <c r="T119" s="220"/>
    </row>
    <row r="120" spans="1:20" s="214" customFormat="1" x14ac:dyDescent="0.25">
      <c r="A120" s="309">
        <f>'A) Base RI'!A121</f>
        <v>5589</v>
      </c>
      <c r="B120" s="227" t="str">
        <f>'A) Base RI'!B121</f>
        <v>Prilly</v>
      </c>
      <c r="C120" s="243">
        <v>1</v>
      </c>
      <c r="D120" s="216">
        <f>'B) D RI'!AA121</f>
        <v>12383</v>
      </c>
      <c r="E120" s="217">
        <f>'B) D RI'!S121</f>
        <v>72.5</v>
      </c>
      <c r="F120" s="10">
        <f>'B) D RI'!R121</f>
        <v>32988748.789230771</v>
      </c>
      <c r="G120" s="10">
        <f>'B) D RI'!U121</f>
        <v>455017.22467904515</v>
      </c>
      <c r="H120" s="41">
        <f>'B) D RI'!T121</f>
        <v>30197298.420000002</v>
      </c>
      <c r="I120" s="10">
        <f t="shared" si="12"/>
        <v>833028.92193103454</v>
      </c>
      <c r="J120" s="31">
        <f t="shared" si="14"/>
        <v>1102428.6970270651</v>
      </c>
      <c r="K120" s="10">
        <f t="shared" si="9"/>
        <v>0</v>
      </c>
      <c r="L120" s="10">
        <f t="shared" si="13"/>
        <v>1102428.6970270651</v>
      </c>
      <c r="M120" s="10">
        <f>'D) Ecrêtage'!C119</f>
        <v>455017.22467904515</v>
      </c>
      <c r="N120" s="10">
        <f t="shared" si="10"/>
        <v>534424.51632236212</v>
      </c>
      <c r="O120" s="55">
        <f t="shared" si="11"/>
        <v>534424.51632236212</v>
      </c>
      <c r="P120" s="218"/>
      <c r="Q120" s="219"/>
      <c r="R120" s="215"/>
      <c r="S120" s="215"/>
      <c r="T120" s="220"/>
    </row>
    <row r="121" spans="1:20" s="214" customFormat="1" x14ac:dyDescent="0.25">
      <c r="A121" s="309">
        <f>'A) Base RI'!A122</f>
        <v>5590</v>
      </c>
      <c r="B121" s="227" t="str">
        <f>'A) Base RI'!B122</f>
        <v>Pully</v>
      </c>
      <c r="C121" s="243">
        <v>1</v>
      </c>
      <c r="D121" s="216">
        <f>'B) D RI'!AA122</f>
        <v>18688</v>
      </c>
      <c r="E121" s="217">
        <f>'B) D RI'!S122</f>
        <v>61</v>
      </c>
      <c r="F121" s="10">
        <f>'B) D RI'!R122</f>
        <v>90217754.675714284</v>
      </c>
      <c r="G121" s="10">
        <f>'B) D RI'!U122</f>
        <v>1478979.5848477751</v>
      </c>
      <c r="H121" s="41">
        <f>'B) D RI'!T122</f>
        <v>84563931.689999998</v>
      </c>
      <c r="I121" s="10">
        <f t="shared" si="12"/>
        <v>2772587.924262295</v>
      </c>
      <c r="J121" s="31">
        <f t="shared" si="14"/>
        <v>1663747.6774644102</v>
      </c>
      <c r="K121" s="10">
        <f t="shared" si="9"/>
        <v>0</v>
      </c>
      <c r="L121" s="10">
        <f t="shared" si="13"/>
        <v>1663747.6774644102</v>
      </c>
      <c r="M121" s="10">
        <f>'D) Ecrêtage'!C120</f>
        <v>1478979.5848477751</v>
      </c>
      <c r="N121" s="10">
        <f t="shared" si="10"/>
        <v>1737083.5792874554</v>
      </c>
      <c r="O121" s="55">
        <f t="shared" si="11"/>
        <v>1737083.5792874554</v>
      </c>
      <c r="P121" s="218"/>
      <c r="Q121" s="219"/>
      <c r="R121" s="215"/>
      <c r="S121" s="215"/>
      <c r="T121" s="220"/>
    </row>
    <row r="122" spans="1:20" s="214" customFormat="1" x14ac:dyDescent="0.25">
      <c r="A122" s="309">
        <f>'A) Base RI'!A123</f>
        <v>5591</v>
      </c>
      <c r="B122" s="227" t="str">
        <f>'A) Base RI'!B123</f>
        <v>Renens</v>
      </c>
      <c r="C122" s="243">
        <v>1</v>
      </c>
      <c r="D122" s="216">
        <f>'B) D RI'!AA123</f>
        <v>20863</v>
      </c>
      <c r="E122" s="217">
        <f>'B) D RI'!S123</f>
        <v>77</v>
      </c>
      <c r="F122" s="10">
        <f>'B) D RI'!R123</f>
        <v>45949642.418571427</v>
      </c>
      <c r="G122" s="10">
        <f>'B) D RI'!U123</f>
        <v>596748.60283858993</v>
      </c>
      <c r="H122" s="41">
        <f>'B) D RI'!T123</f>
        <v>41639022.340000004</v>
      </c>
      <c r="I122" s="10">
        <f t="shared" si="12"/>
        <v>1081533.0477922079</v>
      </c>
      <c r="J122" s="31">
        <f t="shared" si="14"/>
        <v>1857382.6945066347</v>
      </c>
      <c r="K122" s="10">
        <f t="shared" si="9"/>
        <v>0</v>
      </c>
      <c r="L122" s="10">
        <f t="shared" si="13"/>
        <v>1857382.6945066347</v>
      </c>
      <c r="M122" s="10">
        <f>'D) Ecrêtage'!C121</f>
        <v>596748.60283858993</v>
      </c>
      <c r="N122" s="10">
        <f t="shared" si="10"/>
        <v>700890.1336933187</v>
      </c>
      <c r="O122" s="55">
        <f t="shared" si="11"/>
        <v>700890.1336933187</v>
      </c>
      <c r="P122" s="218"/>
      <c r="Q122" s="219"/>
      <c r="R122" s="215"/>
      <c r="S122" s="215"/>
      <c r="T122" s="220"/>
    </row>
    <row r="123" spans="1:20" s="214" customFormat="1" x14ac:dyDescent="0.25">
      <c r="A123" s="309">
        <f>'A) Base RI'!A124</f>
        <v>5592</v>
      </c>
      <c r="B123" s="227" t="str">
        <f>'A) Base RI'!B124</f>
        <v>Romanel-sur-Lausanne</v>
      </c>
      <c r="C123" s="243">
        <v>0</v>
      </c>
      <c r="D123" s="216">
        <f>'B) D RI'!AA124</f>
        <v>3247</v>
      </c>
      <c r="E123" s="217">
        <f>'B) D RI'!S124</f>
        <v>70.5</v>
      </c>
      <c r="F123" s="10">
        <f>'B) D RI'!R124</f>
        <v>8551103.4099999983</v>
      </c>
      <c r="G123" s="10">
        <f>'B) D RI'!U124</f>
        <v>121292.24695035459</v>
      </c>
      <c r="H123" s="41">
        <f>'B) D RI'!T124</f>
        <v>7732822.8999999985</v>
      </c>
      <c r="I123" s="10">
        <f t="shared" si="12"/>
        <v>219370.86241134748</v>
      </c>
      <c r="J123" s="31">
        <f t="shared" si="14"/>
        <v>289072.59785567957</v>
      </c>
      <c r="K123" s="10">
        <f t="shared" si="9"/>
        <v>219370.86241134748</v>
      </c>
      <c r="L123" s="10">
        <f t="shared" si="13"/>
        <v>69701.735444332095</v>
      </c>
      <c r="M123" s="10">
        <f>'D) Ecrêtage'!C122</f>
        <v>121292.24695035459</v>
      </c>
      <c r="N123" s="10">
        <f t="shared" si="10"/>
        <v>142459.55294509747</v>
      </c>
      <c r="O123" s="55">
        <f t="shared" si="11"/>
        <v>361830.41535644495</v>
      </c>
      <c r="P123" s="218"/>
      <c r="Q123" s="219"/>
      <c r="R123" s="215"/>
      <c r="S123" s="215"/>
      <c r="T123" s="220"/>
    </row>
    <row r="124" spans="1:20" s="214" customFormat="1" x14ac:dyDescent="0.25">
      <c r="A124" s="309">
        <f>'A) Base RI'!A125</f>
        <v>5601</v>
      </c>
      <c r="B124" s="227" t="str">
        <f>'A) Base RI'!B125</f>
        <v>Chexbres</v>
      </c>
      <c r="C124" s="243">
        <v>1</v>
      </c>
      <c r="D124" s="216">
        <f>'B) D RI'!AA125</f>
        <v>2251</v>
      </c>
      <c r="E124" s="217">
        <f>'B) D RI'!S125</f>
        <v>67.5</v>
      </c>
      <c r="F124" s="10">
        <f>'B) D RI'!R125</f>
        <v>6619861.9900000002</v>
      </c>
      <c r="G124" s="10">
        <f>'B) D RI'!U125</f>
        <v>98072.029481481484</v>
      </c>
      <c r="H124" s="41">
        <f>'B) D RI'!T125</f>
        <v>6121752.3899999997</v>
      </c>
      <c r="I124" s="10">
        <f t="shared" si="12"/>
        <v>181385.25599999999</v>
      </c>
      <c r="J124" s="31">
        <f t="shared" si="14"/>
        <v>200401.11418944711</v>
      </c>
      <c r="K124" s="10">
        <f t="shared" si="9"/>
        <v>0</v>
      </c>
      <c r="L124" s="10">
        <f t="shared" si="13"/>
        <v>200401.11418944711</v>
      </c>
      <c r="M124" s="10">
        <f>'D) Ecrêtage'!C123</f>
        <v>98072.029481481484</v>
      </c>
      <c r="N124" s="10">
        <f t="shared" si="10"/>
        <v>115187.06123128202</v>
      </c>
      <c r="O124" s="55">
        <f t="shared" si="11"/>
        <v>115187.06123128202</v>
      </c>
      <c r="P124" s="218"/>
      <c r="Q124" s="219"/>
      <c r="R124" s="215"/>
      <c r="S124" s="215"/>
      <c r="T124" s="220"/>
    </row>
    <row r="125" spans="1:20" s="214" customFormat="1" x14ac:dyDescent="0.25">
      <c r="A125" s="309">
        <f>'A) Base RI'!A126</f>
        <v>5604</v>
      </c>
      <c r="B125" s="227" t="str">
        <f>'A) Base RI'!B126</f>
        <v>Forel (Lavaux)</v>
      </c>
      <c r="C125" s="243">
        <v>0</v>
      </c>
      <c r="D125" s="216">
        <f>'B) D RI'!AA126</f>
        <v>2105</v>
      </c>
      <c r="E125" s="217">
        <f>'B) D RI'!S126</f>
        <v>69</v>
      </c>
      <c r="F125" s="10">
        <f>'B) D RI'!R126</f>
        <v>4920384.1199999992</v>
      </c>
      <c r="G125" s="10">
        <f>'B) D RI'!U126</f>
        <v>71309.914782608685</v>
      </c>
      <c r="H125" s="41">
        <f>'B) D RI'!T126</f>
        <v>4494745.1199999992</v>
      </c>
      <c r="I125" s="10">
        <f t="shared" si="12"/>
        <v>130282.46724637679</v>
      </c>
      <c r="J125" s="31">
        <f t="shared" si="14"/>
        <v>187403.0854592564</v>
      </c>
      <c r="K125" s="10">
        <f t="shared" si="9"/>
        <v>130282.46724637679</v>
      </c>
      <c r="L125" s="10">
        <f t="shared" si="13"/>
        <v>57120.618212879606</v>
      </c>
      <c r="M125" s="10">
        <f>'D) Ecrêtage'!C124</f>
        <v>71309.914782608685</v>
      </c>
      <c r="N125" s="10">
        <f t="shared" si="10"/>
        <v>83754.558398456094</v>
      </c>
      <c r="O125" s="55">
        <f t="shared" si="11"/>
        <v>214037.02564483287</v>
      </c>
      <c r="P125" s="218"/>
      <c r="Q125" s="219"/>
      <c r="R125" s="215"/>
      <c r="S125" s="215"/>
      <c r="T125" s="220"/>
    </row>
    <row r="126" spans="1:20" s="214" customFormat="1" x14ac:dyDescent="0.25">
      <c r="A126" s="309">
        <f>'A) Base RI'!A127</f>
        <v>5606</v>
      </c>
      <c r="B126" s="227" t="str">
        <f>'A) Base RI'!B127</f>
        <v>Lutry</v>
      </c>
      <c r="C126" s="243">
        <v>1</v>
      </c>
      <c r="D126" s="216">
        <f>'B) D RI'!AA127</f>
        <v>10455</v>
      </c>
      <c r="E126" s="217">
        <f>'B) D RI'!S127</f>
        <v>54</v>
      </c>
      <c r="F126" s="10">
        <f>'B) D RI'!R127</f>
        <v>47262440.122857146</v>
      </c>
      <c r="G126" s="10">
        <f>'B) D RI'!U127</f>
        <v>875230.37264550268</v>
      </c>
      <c r="H126" s="41">
        <f>'B) D RI'!T127</f>
        <v>43927586.880000003</v>
      </c>
      <c r="I126" s="10">
        <f t="shared" si="12"/>
        <v>1626947.6622222224</v>
      </c>
      <c r="J126" s="31">
        <f t="shared" si="14"/>
        <v>930783.49571331381</v>
      </c>
      <c r="K126" s="10">
        <f t="shared" si="9"/>
        <v>0</v>
      </c>
      <c r="L126" s="10">
        <f t="shared" si="13"/>
        <v>930783.49571331381</v>
      </c>
      <c r="M126" s="10">
        <f>'D) Ecrêtage'!C125</f>
        <v>875230.37264550268</v>
      </c>
      <c r="N126" s="10">
        <f t="shared" si="10"/>
        <v>1027971.125492328</v>
      </c>
      <c r="O126" s="55">
        <f t="shared" si="11"/>
        <v>1027971.125492328</v>
      </c>
      <c r="P126" s="218"/>
      <c r="Q126" s="219"/>
      <c r="R126" s="215"/>
      <c r="S126" s="215"/>
      <c r="T126" s="220"/>
    </row>
    <row r="127" spans="1:20" s="214" customFormat="1" x14ac:dyDescent="0.25">
      <c r="A127" s="309">
        <f>'A) Base RI'!A128</f>
        <v>5607</v>
      </c>
      <c r="B127" s="227" t="str">
        <f>'A) Base RI'!B128</f>
        <v>Puidoux</v>
      </c>
      <c r="C127" s="243">
        <v>1</v>
      </c>
      <c r="D127" s="216">
        <f>'B) D RI'!AA128</f>
        <v>2894</v>
      </c>
      <c r="E127" s="217">
        <f>'B) D RI'!S128</f>
        <v>68.5</v>
      </c>
      <c r="F127" s="10">
        <f>'B) D RI'!R128</f>
        <v>7051730.7882608697</v>
      </c>
      <c r="G127" s="10">
        <f>'B) D RI'!U128</f>
        <v>102944.97501110758</v>
      </c>
      <c r="H127" s="41">
        <f>'B) D RI'!T128</f>
        <v>6225700.71</v>
      </c>
      <c r="I127" s="10">
        <f t="shared" si="12"/>
        <v>181772.28350364964</v>
      </c>
      <c r="J127" s="31">
        <f t="shared" si="14"/>
        <v>257645.85715871165</v>
      </c>
      <c r="K127" s="10">
        <f t="shared" si="9"/>
        <v>0</v>
      </c>
      <c r="L127" s="10">
        <f t="shared" si="13"/>
        <v>257645.85715871165</v>
      </c>
      <c r="M127" s="10">
        <f>'D) Ecrêtage'!C126</f>
        <v>102944.97501110758</v>
      </c>
      <c r="N127" s="10">
        <f t="shared" si="10"/>
        <v>120910.40842890201</v>
      </c>
      <c r="O127" s="55">
        <f t="shared" si="11"/>
        <v>120910.40842890201</v>
      </c>
      <c r="P127" s="218"/>
      <c r="Q127" s="219"/>
      <c r="R127" s="215"/>
      <c r="S127" s="215"/>
      <c r="T127" s="220"/>
    </row>
    <row r="128" spans="1:20" s="214" customFormat="1" x14ac:dyDescent="0.25">
      <c r="A128" s="309">
        <f>'A) Base RI'!A129</f>
        <v>5609</v>
      </c>
      <c r="B128" s="227" t="str">
        <f>'A) Base RI'!B129</f>
        <v>Rivaz</v>
      </c>
      <c r="C128" s="243">
        <v>1</v>
      </c>
      <c r="D128" s="216">
        <f>'B) D RI'!AA129</f>
        <v>337</v>
      </c>
      <c r="E128" s="217">
        <f>'B) D RI'!S129</f>
        <v>62</v>
      </c>
      <c r="F128" s="10">
        <f>'B) D RI'!R129</f>
        <v>995028.7300000001</v>
      </c>
      <c r="G128" s="10">
        <f>'B) D RI'!U129</f>
        <v>16048.850483870969</v>
      </c>
      <c r="H128" s="41">
        <f>'B) D RI'!T129</f>
        <v>935731.03</v>
      </c>
      <c r="I128" s="10">
        <f t="shared" si="12"/>
        <v>30184.871935483872</v>
      </c>
      <c r="J128" s="31">
        <f t="shared" si="14"/>
        <v>30002.299192289502</v>
      </c>
      <c r="K128" s="10">
        <f t="shared" si="9"/>
        <v>0</v>
      </c>
      <c r="L128" s="10">
        <f t="shared" si="13"/>
        <v>30002.299192289502</v>
      </c>
      <c r="M128" s="10">
        <f>'D) Ecrêtage'!C127</f>
        <v>16048.850483870969</v>
      </c>
      <c r="N128" s="10">
        <f t="shared" si="10"/>
        <v>18849.6142391588</v>
      </c>
      <c r="O128" s="55">
        <f t="shared" si="11"/>
        <v>18849.6142391588</v>
      </c>
      <c r="P128" s="218"/>
      <c r="Q128" s="219"/>
      <c r="R128" s="215"/>
      <c r="S128" s="215"/>
      <c r="T128" s="220"/>
    </row>
    <row r="129" spans="1:20" s="214" customFormat="1" x14ac:dyDescent="0.25">
      <c r="A129" s="309">
        <f>'A) Base RI'!A130</f>
        <v>5610</v>
      </c>
      <c r="B129" s="227" t="str">
        <f>'A) Base RI'!B130</f>
        <v>St-Saphorin (Lavaux)</v>
      </c>
      <c r="C129" s="243">
        <v>1</v>
      </c>
      <c r="D129" s="216">
        <f>'B) D RI'!AA130</f>
        <v>388</v>
      </c>
      <c r="E129" s="217">
        <f>'B) D RI'!S130</f>
        <v>72</v>
      </c>
      <c r="F129" s="10">
        <f>'B) D RI'!R130</f>
        <v>1383388.1066666665</v>
      </c>
      <c r="G129" s="10">
        <f>'B) D RI'!U130</f>
        <v>19213.723703703701</v>
      </c>
      <c r="H129" s="41">
        <f>'B) D RI'!T130</f>
        <v>1276432.5899999996</v>
      </c>
      <c r="I129" s="10">
        <f t="shared" si="12"/>
        <v>35456.460833333324</v>
      </c>
      <c r="J129" s="31">
        <f t="shared" si="14"/>
        <v>34542.706488452008</v>
      </c>
      <c r="K129" s="10">
        <f t="shared" si="9"/>
        <v>0</v>
      </c>
      <c r="L129" s="10">
        <f t="shared" si="13"/>
        <v>34542.706488452008</v>
      </c>
      <c r="M129" s="10">
        <f>'D) Ecrêtage'!C128</f>
        <v>19213.723703703701</v>
      </c>
      <c r="N129" s="10">
        <f t="shared" si="10"/>
        <v>22566.805035449546</v>
      </c>
      <c r="O129" s="55">
        <f t="shared" si="11"/>
        <v>22566.805035449546</v>
      </c>
      <c r="P129" s="218"/>
      <c r="Q129" s="219"/>
      <c r="R129" s="215"/>
      <c r="S129" s="215"/>
      <c r="T129" s="220"/>
    </row>
    <row r="130" spans="1:20" s="214" customFormat="1" x14ac:dyDescent="0.25">
      <c r="A130" s="309">
        <f>'A) Base RI'!A131</f>
        <v>5611</v>
      </c>
      <c r="B130" s="227" t="str">
        <f>'A) Base RI'!B131</f>
        <v>Savigny</v>
      </c>
      <c r="C130" s="243">
        <v>1</v>
      </c>
      <c r="D130" s="216">
        <f>'B) D RI'!AA131</f>
        <v>3348</v>
      </c>
      <c r="E130" s="217">
        <f>'B) D RI'!S131</f>
        <v>69</v>
      </c>
      <c r="F130" s="10">
        <f>'B) D RI'!R131</f>
        <v>9433358.3816666678</v>
      </c>
      <c r="G130" s="10">
        <f>'B) D RI'!U131</f>
        <v>136715.33886473431</v>
      </c>
      <c r="H130" s="41">
        <f>'B) D RI'!T131</f>
        <v>8745921.1900000013</v>
      </c>
      <c r="I130" s="10">
        <f t="shared" si="12"/>
        <v>253504.96202898555</v>
      </c>
      <c r="J130" s="31">
        <f t="shared" si="14"/>
        <v>298064.38485396217</v>
      </c>
      <c r="K130" s="10">
        <f t="shared" si="9"/>
        <v>0</v>
      </c>
      <c r="L130" s="10">
        <f t="shared" si="13"/>
        <v>298064.38485396217</v>
      </c>
      <c r="M130" s="10">
        <f>'D) Ecrêtage'!C129</f>
        <v>136715.33886473431</v>
      </c>
      <c r="N130" s="10">
        <f t="shared" si="10"/>
        <v>160574.2044120869</v>
      </c>
      <c r="O130" s="55">
        <f t="shared" si="11"/>
        <v>160574.2044120869</v>
      </c>
      <c r="P130" s="218"/>
      <c r="Q130" s="219"/>
      <c r="R130" s="215"/>
      <c r="S130" s="215"/>
      <c r="T130" s="220"/>
    </row>
    <row r="131" spans="1:20" s="214" customFormat="1" x14ac:dyDescent="0.25">
      <c r="A131" s="309">
        <f>'A) Base RI'!A132</f>
        <v>5613</v>
      </c>
      <c r="B131" s="227" t="str">
        <f>'A) Base RI'!B132</f>
        <v>Bourg-en-Lavaux</v>
      </c>
      <c r="C131" s="243">
        <v>1</v>
      </c>
      <c r="D131" s="216">
        <f>'B) D RI'!AA132</f>
        <v>5389</v>
      </c>
      <c r="E131" s="217">
        <f>'B) D RI'!S132</f>
        <v>62.5</v>
      </c>
      <c r="F131" s="10">
        <f>'B) D RI'!R132</f>
        <v>21489261.02</v>
      </c>
      <c r="G131" s="10">
        <f>'B) D RI'!U132</f>
        <v>343828.17631999997</v>
      </c>
      <c r="H131" s="41">
        <f>'B) D RI'!T132</f>
        <v>19982149.57</v>
      </c>
      <c r="I131" s="10">
        <f t="shared" si="12"/>
        <v>639428.78624000004</v>
      </c>
      <c r="J131" s="31">
        <f t="shared" si="14"/>
        <v>479769.70429450483</v>
      </c>
      <c r="K131" s="10">
        <f t="shared" si="9"/>
        <v>0</v>
      </c>
      <c r="L131" s="10">
        <f t="shared" si="13"/>
        <v>479769.70429450483</v>
      </c>
      <c r="M131" s="10">
        <f>'D) Ecrêtage'!C130</f>
        <v>343828.17631999997</v>
      </c>
      <c r="N131" s="10">
        <f t="shared" si="10"/>
        <v>403831.32079764106</v>
      </c>
      <c r="O131" s="55">
        <f t="shared" si="11"/>
        <v>403831.32079764106</v>
      </c>
      <c r="P131" s="218"/>
      <c r="Q131" s="219"/>
      <c r="R131" s="215"/>
      <c r="S131" s="215"/>
      <c r="T131" s="220"/>
    </row>
    <row r="132" spans="1:20" s="214" customFormat="1" x14ac:dyDescent="0.25">
      <c r="A132" s="309">
        <f>'A) Base RI'!A133</f>
        <v>5621</v>
      </c>
      <c r="B132" s="227" t="str">
        <f>'A) Base RI'!B133</f>
        <v>Aclens</v>
      </c>
      <c r="C132" s="243">
        <v>0</v>
      </c>
      <c r="D132" s="216">
        <f>'B) D RI'!AA133</f>
        <v>528</v>
      </c>
      <c r="E132" s="217">
        <f>'B) D RI'!S133</f>
        <v>62</v>
      </c>
      <c r="F132" s="10">
        <f>'B) D RI'!R133</f>
        <v>2009538.5763636362</v>
      </c>
      <c r="G132" s="10">
        <f>'B) D RI'!U133</f>
        <v>32411.912521994131</v>
      </c>
      <c r="H132" s="41">
        <f>'B) D RI'!T133</f>
        <v>1688632.19</v>
      </c>
      <c r="I132" s="10">
        <f t="shared" si="12"/>
        <v>54472.006129032256</v>
      </c>
      <c r="J132" s="31">
        <f t="shared" si="14"/>
        <v>47006.569654388302</v>
      </c>
      <c r="K132" s="10">
        <f t="shared" si="9"/>
        <v>47006.569654388302</v>
      </c>
      <c r="L132" s="10">
        <f t="shared" si="13"/>
        <v>0</v>
      </c>
      <c r="M132" s="10">
        <f>'D) Ecrêtage'!C131</f>
        <v>32411.912521994131</v>
      </c>
      <c r="N132" s="10">
        <f t="shared" si="10"/>
        <v>38068.274634806672</v>
      </c>
      <c r="O132" s="55">
        <f t="shared" si="11"/>
        <v>85074.844289194967</v>
      </c>
      <c r="P132" s="218"/>
      <c r="Q132" s="219"/>
      <c r="R132" s="215"/>
      <c r="S132" s="215"/>
      <c r="T132" s="220"/>
    </row>
    <row r="133" spans="1:20" s="214" customFormat="1" x14ac:dyDescent="0.25">
      <c r="A133" s="309">
        <f>'A) Base RI'!A134</f>
        <v>5622</v>
      </c>
      <c r="B133" s="227" t="str">
        <f>'A) Base RI'!B134</f>
        <v>Bremblens</v>
      </c>
      <c r="C133" s="243">
        <v>0</v>
      </c>
      <c r="D133" s="216">
        <f>'B) D RI'!AA134</f>
        <v>583</v>
      </c>
      <c r="E133" s="217">
        <f>'B) D RI'!S134</f>
        <v>68</v>
      </c>
      <c r="F133" s="10">
        <f>'B) D RI'!R134</f>
        <v>1890617.7299999997</v>
      </c>
      <c r="G133" s="10">
        <f>'B) D RI'!U134</f>
        <v>27803.201911764703</v>
      </c>
      <c r="H133" s="41">
        <f>'B) D RI'!T134</f>
        <v>1735861.8299999998</v>
      </c>
      <c r="I133" s="10">
        <f t="shared" si="12"/>
        <v>51054.759705882345</v>
      </c>
      <c r="J133" s="31">
        <f t="shared" si="14"/>
        <v>51903.087326720415</v>
      </c>
      <c r="K133" s="10">
        <f t="shared" si="9"/>
        <v>51054.759705882345</v>
      </c>
      <c r="L133" s="10">
        <f t="shared" si="13"/>
        <v>848.32762083807029</v>
      </c>
      <c r="M133" s="10">
        <f>'D) Ecrêtage'!C132</f>
        <v>27803.201911764703</v>
      </c>
      <c r="N133" s="10">
        <f t="shared" si="10"/>
        <v>32655.275290707275</v>
      </c>
      <c r="O133" s="55">
        <f t="shared" si="11"/>
        <v>83710.034996589617</v>
      </c>
      <c r="P133" s="218"/>
      <c r="Q133" s="219"/>
      <c r="R133" s="215"/>
      <c r="S133" s="215"/>
      <c r="T133" s="220"/>
    </row>
    <row r="134" spans="1:20" s="214" customFormat="1" x14ac:dyDescent="0.25">
      <c r="A134" s="309">
        <f>'A) Base RI'!A135</f>
        <v>5623</v>
      </c>
      <c r="B134" s="227" t="str">
        <f>'A) Base RI'!B135</f>
        <v>Buchillon</v>
      </c>
      <c r="C134" s="243">
        <v>1</v>
      </c>
      <c r="D134" s="216">
        <f>'B) D RI'!AA135</f>
        <v>686</v>
      </c>
      <c r="E134" s="217">
        <f>'B) D RI'!S135</f>
        <v>52</v>
      </c>
      <c r="F134" s="10">
        <f>'B) D RI'!R135</f>
        <v>4908488.6399999997</v>
      </c>
      <c r="G134" s="10">
        <f>'B) D RI'!U135</f>
        <v>94394.012307692305</v>
      </c>
      <c r="H134" s="41">
        <f>'B) D RI'!T135</f>
        <v>4555617.6899999995</v>
      </c>
      <c r="I134" s="10">
        <f t="shared" si="12"/>
        <v>175216.06499999997</v>
      </c>
      <c r="J134" s="31">
        <f t="shared" ref="J134:J169" si="15">+$I$315/$D$315*D134</f>
        <v>61072.929513087831</v>
      </c>
      <c r="K134" s="10">
        <f t="shared" ref="K134:K192" si="16">IF(C134=1,0,IF(J134&gt;I134,I134,J134))</f>
        <v>0</v>
      </c>
      <c r="L134" s="10">
        <f t="shared" si="13"/>
        <v>61072.929513087831</v>
      </c>
      <c r="M134" s="10">
        <f>'D) Ecrêtage'!C133</f>
        <v>94394.012307692305</v>
      </c>
      <c r="N134" s="10">
        <f t="shared" ref="N134:N192" si="17">+$N$5*M134</f>
        <v>110867.17520825483</v>
      </c>
      <c r="O134" s="55">
        <f t="shared" ref="O134:O192" si="18">+N134+K134</f>
        <v>110867.17520825483</v>
      </c>
      <c r="P134" s="218"/>
      <c r="Q134" s="219"/>
      <c r="R134" s="215"/>
      <c r="S134" s="215"/>
      <c r="T134" s="220"/>
    </row>
    <row r="135" spans="1:20" s="214" customFormat="1" x14ac:dyDescent="0.25">
      <c r="A135" s="309">
        <f>'A) Base RI'!A136</f>
        <v>5624</v>
      </c>
      <c r="B135" s="227" t="str">
        <f>'A) Base RI'!B136</f>
        <v>Bussigny</v>
      </c>
      <c r="C135" s="243">
        <v>1</v>
      </c>
      <c r="D135" s="216">
        <f>'B) D RI'!AA136</f>
        <v>9614</v>
      </c>
      <c r="E135" s="217">
        <f>'B) D RI'!S136</f>
        <v>62.5</v>
      </c>
      <c r="F135" s="10">
        <f>'B) D RI'!R136</f>
        <v>22135174.449999996</v>
      </c>
      <c r="G135" s="10">
        <f>'B) D RI'!U136</f>
        <v>354162.79119999992</v>
      </c>
      <c r="H135" s="41">
        <f>'B) D RI'!T136</f>
        <v>19554039.099999998</v>
      </c>
      <c r="I135" s="10">
        <f t="shared" ref="I135:I193" si="19">+H135/E135*$I$5</f>
        <v>625729.25119999994</v>
      </c>
      <c r="J135" s="31">
        <f t="shared" si="15"/>
        <v>855911.28912365367</v>
      </c>
      <c r="K135" s="10">
        <f t="shared" si="16"/>
        <v>0</v>
      </c>
      <c r="L135" s="10">
        <f t="shared" ref="L135:L193" si="20">+J135-K135</f>
        <v>855911.28912365367</v>
      </c>
      <c r="M135" s="10">
        <f>'D) Ecrêtage'!C134</f>
        <v>354162.79119999992</v>
      </c>
      <c r="N135" s="10">
        <f t="shared" si="17"/>
        <v>415969.48010033049</v>
      </c>
      <c r="O135" s="55">
        <f t="shared" si="18"/>
        <v>415969.48010033049</v>
      </c>
      <c r="P135" s="218"/>
      <c r="Q135" s="219"/>
      <c r="R135" s="215"/>
      <c r="S135" s="215"/>
      <c r="T135" s="220"/>
    </row>
    <row r="136" spans="1:20" s="214" customFormat="1" x14ac:dyDescent="0.25">
      <c r="A136" s="309">
        <f>'A) Base RI'!A137</f>
        <v>5625</v>
      </c>
      <c r="B136" s="227" t="str">
        <f>'A) Base RI'!B137</f>
        <v>Bussy-Chardonney</v>
      </c>
      <c r="C136" s="243">
        <v>0</v>
      </c>
      <c r="D136" s="216">
        <f>'B) D RI'!AA137</f>
        <v>404</v>
      </c>
      <c r="E136" s="217">
        <f>'B) D RI'!S137</f>
        <v>77</v>
      </c>
      <c r="F136" s="10">
        <f>'B) D RI'!R137</f>
        <v>1366017.43</v>
      </c>
      <c r="G136" s="10">
        <f>'B) D RI'!U137</f>
        <v>17740.486103896103</v>
      </c>
      <c r="H136" s="41">
        <f>'B) D RI'!T137</f>
        <v>1259799.93</v>
      </c>
      <c r="I136" s="10">
        <f t="shared" si="19"/>
        <v>32722.076103896103</v>
      </c>
      <c r="J136" s="31">
        <f t="shared" si="15"/>
        <v>35967.147993130442</v>
      </c>
      <c r="K136" s="10">
        <f t="shared" si="16"/>
        <v>32722.076103896103</v>
      </c>
      <c r="L136" s="10">
        <f t="shared" si="20"/>
        <v>3245.0718892343393</v>
      </c>
      <c r="M136" s="10">
        <f>'D) Ecrêtage'!C135</f>
        <v>17740.486103896103</v>
      </c>
      <c r="N136" s="10">
        <f t="shared" si="17"/>
        <v>20836.465503225347</v>
      </c>
      <c r="O136" s="55">
        <f t="shared" si="18"/>
        <v>53558.541607121449</v>
      </c>
      <c r="P136" s="218"/>
      <c r="Q136" s="219"/>
      <c r="R136" s="215"/>
      <c r="S136" s="215"/>
      <c r="T136" s="220"/>
    </row>
    <row r="137" spans="1:20" s="214" customFormat="1" x14ac:dyDescent="0.25">
      <c r="A137" s="309">
        <f>'A) Base RI'!A138</f>
        <v>5627</v>
      </c>
      <c r="B137" s="227" t="str">
        <f>'A) Base RI'!B138</f>
        <v>Chavannes-près-Renens</v>
      </c>
      <c r="C137" s="243">
        <v>1</v>
      </c>
      <c r="D137" s="216">
        <f>'B) D RI'!AA138</f>
        <v>8487</v>
      </c>
      <c r="E137" s="217">
        <f>'B) D RI'!S138</f>
        <v>77.5</v>
      </c>
      <c r="F137" s="10">
        <f>'B) D RI'!R138</f>
        <v>12547381.886666669</v>
      </c>
      <c r="G137" s="10">
        <f>'B) D RI'!U138</f>
        <v>161901.70176344088</v>
      </c>
      <c r="H137" s="41">
        <f>'B) D RI'!T138</f>
        <v>11237054.320000002</v>
      </c>
      <c r="I137" s="10">
        <f t="shared" si="19"/>
        <v>289988.49858064525</v>
      </c>
      <c r="J137" s="31">
        <f t="shared" si="15"/>
        <v>755577.1906378665</v>
      </c>
      <c r="K137" s="10">
        <f t="shared" si="16"/>
        <v>0</v>
      </c>
      <c r="L137" s="10">
        <f t="shared" si="20"/>
        <v>755577.1906378665</v>
      </c>
      <c r="M137" s="10">
        <f>'D) Ecrêtage'!C136</f>
        <v>161901.70176344088</v>
      </c>
      <c r="N137" s="10">
        <f t="shared" si="17"/>
        <v>190155.96325551343</v>
      </c>
      <c r="O137" s="55">
        <f t="shared" si="18"/>
        <v>190155.96325551343</v>
      </c>
      <c r="P137" s="218"/>
      <c r="Q137" s="219"/>
      <c r="R137" s="215"/>
      <c r="S137" s="215"/>
      <c r="T137" s="220"/>
    </row>
    <row r="138" spans="1:20" s="214" customFormat="1" x14ac:dyDescent="0.25">
      <c r="A138" s="309">
        <f>'A) Base RI'!A139</f>
        <v>5628</v>
      </c>
      <c r="B138" s="227" t="str">
        <f>'A) Base RI'!B139</f>
        <v>Chigny</v>
      </c>
      <c r="C138" s="243">
        <v>0</v>
      </c>
      <c r="D138" s="216">
        <f>'B) D RI'!AA139</f>
        <v>396</v>
      </c>
      <c r="E138" s="217">
        <f>'B) D RI'!S139</f>
        <v>62</v>
      </c>
      <c r="F138" s="10">
        <f>'B) D RI'!R139</f>
        <v>1526720.87</v>
      </c>
      <c r="G138" s="10">
        <f>'B) D RI'!U139</f>
        <v>24624.530161290324</v>
      </c>
      <c r="H138" s="41">
        <f>'B) D RI'!T139</f>
        <v>1426760.07</v>
      </c>
      <c r="I138" s="10">
        <f t="shared" si="19"/>
        <v>46024.518387096774</v>
      </c>
      <c r="J138" s="31">
        <f t="shared" si="15"/>
        <v>35254.927240791229</v>
      </c>
      <c r="K138" s="10">
        <f t="shared" si="16"/>
        <v>35254.927240791229</v>
      </c>
      <c r="L138" s="10">
        <f t="shared" si="20"/>
        <v>0</v>
      </c>
      <c r="M138" s="10">
        <f>'D) Ecrêtage'!C137</f>
        <v>24624.530161290324</v>
      </c>
      <c r="N138" s="10">
        <f t="shared" si="17"/>
        <v>28921.877914392397</v>
      </c>
      <c r="O138" s="55">
        <f t="shared" si="18"/>
        <v>64176.805155183625</v>
      </c>
      <c r="P138" s="218"/>
      <c r="Q138" s="219"/>
      <c r="R138" s="215"/>
      <c r="S138" s="215"/>
      <c r="T138" s="220"/>
    </row>
    <row r="139" spans="1:20" s="214" customFormat="1" x14ac:dyDescent="0.25">
      <c r="A139" s="309">
        <f>'A) Base RI'!A140</f>
        <v>5629</v>
      </c>
      <c r="B139" s="227" t="str">
        <f>'A) Base RI'!B140</f>
        <v>Clarmont</v>
      </c>
      <c r="C139" s="243">
        <v>0</v>
      </c>
      <c r="D139" s="216">
        <f>'B) D RI'!AA140</f>
        <v>201</v>
      </c>
      <c r="E139" s="217">
        <f>'B) D RI'!S140</f>
        <v>73.5</v>
      </c>
      <c r="F139" s="10">
        <f>'B) D RI'!R140</f>
        <v>626312.6</v>
      </c>
      <c r="G139" s="10">
        <f>'B) D RI'!U140</f>
        <v>8521.2598639455773</v>
      </c>
      <c r="H139" s="41">
        <f>'B) D RI'!T140</f>
        <v>588047.79999999993</v>
      </c>
      <c r="I139" s="10">
        <f t="shared" si="19"/>
        <v>16001.300680272107</v>
      </c>
      <c r="J139" s="31">
        <f t="shared" si="15"/>
        <v>17894.546402522818</v>
      </c>
      <c r="K139" s="10">
        <f t="shared" si="16"/>
        <v>16001.300680272107</v>
      </c>
      <c r="L139" s="10">
        <f t="shared" si="20"/>
        <v>1893.245722250711</v>
      </c>
      <c r="M139" s="10">
        <f>'D) Ecrêtage'!C138</f>
        <v>8521.2598639455773</v>
      </c>
      <c r="N139" s="10">
        <f t="shared" si="17"/>
        <v>10008.346792714276</v>
      </c>
      <c r="O139" s="55">
        <f t="shared" si="18"/>
        <v>26009.647472986384</v>
      </c>
      <c r="P139" s="218"/>
      <c r="Q139" s="219"/>
      <c r="R139" s="215"/>
      <c r="S139" s="215"/>
      <c r="T139" s="220"/>
    </row>
    <row r="140" spans="1:20" s="214" customFormat="1" x14ac:dyDescent="0.25">
      <c r="A140" s="309">
        <f>'A) Base RI'!A141</f>
        <v>5631</v>
      </c>
      <c r="B140" s="227" t="str">
        <f>'A) Base RI'!B141</f>
        <v>Denens</v>
      </c>
      <c r="C140" s="243">
        <v>0</v>
      </c>
      <c r="D140" s="216">
        <f>'B) D RI'!AA141</f>
        <v>742</v>
      </c>
      <c r="E140" s="217">
        <f>'B) D RI'!S141</f>
        <v>68</v>
      </c>
      <c r="F140" s="10">
        <f>'B) D RI'!R141</f>
        <v>2954949.6799999997</v>
      </c>
      <c r="G140" s="10">
        <f>'B) D RI'!U141</f>
        <v>43455.14235294117</v>
      </c>
      <c r="H140" s="41">
        <f>'B) D RI'!T141</f>
        <v>2744668.5799999996</v>
      </c>
      <c r="I140" s="10">
        <f t="shared" si="19"/>
        <v>80725.546470588219</v>
      </c>
      <c r="J140" s="31">
        <f t="shared" si="15"/>
        <v>66058.474779462354</v>
      </c>
      <c r="K140" s="10">
        <f t="shared" si="16"/>
        <v>66058.474779462354</v>
      </c>
      <c r="L140" s="10">
        <f t="shared" si="20"/>
        <v>0</v>
      </c>
      <c r="M140" s="10">
        <f>'D) Ecrêtage'!C139</f>
        <v>43455.14235294117</v>
      </c>
      <c r="N140" s="10">
        <f t="shared" si="17"/>
        <v>51038.712765370801</v>
      </c>
      <c r="O140" s="55">
        <f t="shared" si="18"/>
        <v>117097.18754483316</v>
      </c>
      <c r="P140" s="218"/>
      <c r="Q140" s="219"/>
      <c r="R140" s="215"/>
      <c r="S140" s="215"/>
      <c r="T140" s="220"/>
    </row>
    <row r="141" spans="1:20" s="214" customFormat="1" x14ac:dyDescent="0.25">
      <c r="A141" s="309">
        <f>'A) Base RI'!A142</f>
        <v>5632</v>
      </c>
      <c r="B141" s="227" t="str">
        <f>'A) Base RI'!B142</f>
        <v>Denges</v>
      </c>
      <c r="C141" s="243">
        <v>0</v>
      </c>
      <c r="D141" s="216">
        <f>'B) D RI'!AA142</f>
        <v>1730</v>
      </c>
      <c r="E141" s="217">
        <f>'B) D RI'!S142</f>
        <v>62</v>
      </c>
      <c r="F141" s="10">
        <f>'B) D RI'!R142</f>
        <v>4741757.9399999995</v>
      </c>
      <c r="G141" s="10">
        <f>'B) D RI'!U142</f>
        <v>76479.966774193541</v>
      </c>
      <c r="H141" s="41">
        <f>'B) D RI'!T142</f>
        <v>4369139.24</v>
      </c>
      <c r="I141" s="10">
        <f t="shared" si="19"/>
        <v>140939.97548387098</v>
      </c>
      <c r="J141" s="31">
        <f t="shared" si="15"/>
        <v>154017.73769335562</v>
      </c>
      <c r="K141" s="10">
        <f t="shared" si="16"/>
        <v>140939.97548387098</v>
      </c>
      <c r="L141" s="10">
        <f t="shared" si="20"/>
        <v>13077.762209484645</v>
      </c>
      <c r="M141" s="10">
        <f>'D) Ecrêtage'!C140</f>
        <v>76479.966774193541</v>
      </c>
      <c r="N141" s="10">
        <f t="shared" si="17"/>
        <v>89826.861566568332</v>
      </c>
      <c r="O141" s="55">
        <f t="shared" si="18"/>
        <v>230766.83705043932</v>
      </c>
      <c r="P141" s="218"/>
      <c r="Q141" s="219"/>
      <c r="R141" s="215"/>
      <c r="S141" s="215"/>
      <c r="T141" s="220"/>
    </row>
    <row r="142" spans="1:20" s="214" customFormat="1" x14ac:dyDescent="0.25">
      <c r="A142" s="309">
        <f>'A) Base RI'!A143</f>
        <v>5633</v>
      </c>
      <c r="B142" s="227" t="str">
        <f>'A) Base RI'!B143</f>
        <v>Echandens</v>
      </c>
      <c r="C142" s="243">
        <v>0</v>
      </c>
      <c r="D142" s="216">
        <f>'B) D RI'!AA143</f>
        <v>2743</v>
      </c>
      <c r="E142" s="217">
        <f>'B) D RI'!S143</f>
        <v>60.5</v>
      </c>
      <c r="F142" s="10">
        <f>'B) D RI'!R143</f>
        <v>9006360.8800000008</v>
      </c>
      <c r="G142" s="10">
        <f>'B) D RI'!U143</f>
        <v>148865.46909090912</v>
      </c>
      <c r="H142" s="41">
        <f>'B) D RI'!T143</f>
        <v>8305567.1300000008</v>
      </c>
      <c r="I142" s="10">
        <f t="shared" si="19"/>
        <v>274564.20264462812</v>
      </c>
      <c r="J142" s="31">
        <f t="shared" si="15"/>
        <v>244202.69045830893</v>
      </c>
      <c r="K142" s="10">
        <f t="shared" si="16"/>
        <v>244202.69045830893</v>
      </c>
      <c r="L142" s="10">
        <f t="shared" si="20"/>
        <v>0</v>
      </c>
      <c r="M142" s="10">
        <f>'D) Ecrêtage'!C141</f>
        <v>148865.46909090912</v>
      </c>
      <c r="N142" s="10">
        <f t="shared" si="17"/>
        <v>174844.71356469617</v>
      </c>
      <c r="O142" s="55">
        <f t="shared" si="18"/>
        <v>419047.4040230051</v>
      </c>
      <c r="P142" s="218"/>
      <c r="Q142" s="219"/>
      <c r="R142" s="215"/>
      <c r="S142" s="215"/>
      <c r="T142" s="220"/>
    </row>
    <row r="143" spans="1:20" s="214" customFormat="1" x14ac:dyDescent="0.25">
      <c r="A143" s="309">
        <f>'A) Base RI'!A144</f>
        <v>5634</v>
      </c>
      <c r="B143" s="227" t="str">
        <f>'A) Base RI'!B144</f>
        <v>Echichens</v>
      </c>
      <c r="C143" s="243">
        <v>0</v>
      </c>
      <c r="D143" s="216">
        <f>'B) D RI'!AA144</f>
        <v>3127</v>
      </c>
      <c r="E143" s="217">
        <f>'B) D RI'!S144</f>
        <v>66</v>
      </c>
      <c r="F143" s="10">
        <f>'B) D RI'!R144</f>
        <v>10835721.480000002</v>
      </c>
      <c r="G143" s="10">
        <f>'B) D RI'!U144</f>
        <v>164177.5981818182</v>
      </c>
      <c r="H143" s="41">
        <f>'B) D RI'!T144</f>
        <v>10088002.380000003</v>
      </c>
      <c r="I143" s="10">
        <f t="shared" si="19"/>
        <v>305697.04181818193</v>
      </c>
      <c r="J143" s="31">
        <f t="shared" si="15"/>
        <v>278389.28657059133</v>
      </c>
      <c r="K143" s="10">
        <f t="shared" si="16"/>
        <v>278389.28657059133</v>
      </c>
      <c r="L143" s="10">
        <f t="shared" si="20"/>
        <v>0</v>
      </c>
      <c r="M143" s="10">
        <f>'D) Ecrêtage'!C142</f>
        <v>164177.5981818182</v>
      </c>
      <c r="N143" s="10">
        <f t="shared" si="17"/>
        <v>192829.03754066612</v>
      </c>
      <c r="O143" s="55">
        <f t="shared" si="18"/>
        <v>471218.32411125745</v>
      </c>
      <c r="P143" s="218"/>
      <c r="Q143" s="219"/>
      <c r="R143" s="215"/>
      <c r="S143" s="215"/>
      <c r="T143" s="220"/>
    </row>
    <row r="144" spans="1:20" s="214" customFormat="1" x14ac:dyDescent="0.25">
      <c r="A144" s="309">
        <f>'A) Base RI'!A145</f>
        <v>5635</v>
      </c>
      <c r="B144" s="227" t="str">
        <f>'A) Base RI'!B145</f>
        <v>Ecublens</v>
      </c>
      <c r="C144" s="243">
        <v>1</v>
      </c>
      <c r="D144" s="216">
        <f>'B) D RI'!AA145</f>
        <v>13164</v>
      </c>
      <c r="E144" s="217">
        <f>'B) D RI'!S145</f>
        <v>62.5</v>
      </c>
      <c r="F144" s="10">
        <f>'B) D RI'!R145</f>
        <v>42608712.068333343</v>
      </c>
      <c r="G144" s="10">
        <f>'B) D RI'!U145</f>
        <v>681739.39309333346</v>
      </c>
      <c r="H144" s="41">
        <f>'B) D RI'!T145</f>
        <v>39730611.81000001</v>
      </c>
      <c r="I144" s="10">
        <f t="shared" si="19"/>
        <v>1271379.5779200003</v>
      </c>
      <c r="J144" s="31">
        <f t="shared" si="15"/>
        <v>1171959.2479741811</v>
      </c>
      <c r="K144" s="10">
        <f t="shared" si="16"/>
        <v>0</v>
      </c>
      <c r="L144" s="10">
        <f t="shared" si="20"/>
        <v>1171959.2479741811</v>
      </c>
      <c r="M144" s="10">
        <f>'D) Ecrêtage'!C143</f>
        <v>681739.39309333346</v>
      </c>
      <c r="N144" s="10">
        <f t="shared" si="17"/>
        <v>800713.08436465927</v>
      </c>
      <c r="O144" s="55">
        <f t="shared" si="18"/>
        <v>800713.08436465927</v>
      </c>
      <c r="P144" s="218"/>
      <c r="Q144" s="219"/>
      <c r="R144" s="215"/>
      <c r="S144" s="215"/>
      <c r="T144" s="220"/>
    </row>
    <row r="145" spans="1:20" s="214" customFormat="1" x14ac:dyDescent="0.25">
      <c r="A145" s="309">
        <f>'A) Base RI'!A146</f>
        <v>5636</v>
      </c>
      <c r="B145" s="227" t="str">
        <f>'A) Base RI'!B146</f>
        <v>Etoy</v>
      </c>
      <c r="C145" s="243">
        <v>0</v>
      </c>
      <c r="D145" s="216">
        <f>'B) D RI'!AA146</f>
        <v>2909</v>
      </c>
      <c r="E145" s="217">
        <f>'B) D RI'!S146</f>
        <v>60</v>
      </c>
      <c r="F145" s="10">
        <f>'B) D RI'!R146</f>
        <v>10242927.659999998</v>
      </c>
      <c r="G145" s="10">
        <f>'B) D RI'!U146</f>
        <v>170715.46099999998</v>
      </c>
      <c r="H145" s="41">
        <f>'B) D RI'!T146</f>
        <v>8768578.709999999</v>
      </c>
      <c r="I145" s="10">
        <f t="shared" si="19"/>
        <v>292285.95699999999</v>
      </c>
      <c r="J145" s="31">
        <f t="shared" si="15"/>
        <v>258981.27106934765</v>
      </c>
      <c r="K145" s="10">
        <f t="shared" si="16"/>
        <v>258981.27106934765</v>
      </c>
      <c r="L145" s="10">
        <f t="shared" si="20"/>
        <v>0</v>
      </c>
      <c r="M145" s="10">
        <f>'D) Ecrêtage'!C144</f>
        <v>170715.46099999998</v>
      </c>
      <c r="N145" s="10">
        <f t="shared" si="17"/>
        <v>200507.85492357577</v>
      </c>
      <c r="O145" s="55">
        <f t="shared" si="18"/>
        <v>459489.12599292339</v>
      </c>
      <c r="P145" s="218"/>
      <c r="Q145" s="219"/>
      <c r="R145" s="215"/>
      <c r="S145" s="215"/>
      <c r="T145" s="220"/>
    </row>
    <row r="146" spans="1:20" s="214" customFormat="1" x14ac:dyDescent="0.25">
      <c r="A146" s="309">
        <f>'A) Base RI'!A147</f>
        <v>5637</v>
      </c>
      <c r="B146" s="227" t="str">
        <f>'A) Base RI'!B147</f>
        <v>Lavigny</v>
      </c>
      <c r="C146" s="243">
        <v>0</v>
      </c>
      <c r="D146" s="216">
        <f>'B) D RI'!AA147</f>
        <v>1008</v>
      </c>
      <c r="E146" s="217">
        <f>'B) D RI'!S147</f>
        <v>73</v>
      </c>
      <c r="F146" s="10">
        <f>'B) D RI'!R147</f>
        <v>3007210.13</v>
      </c>
      <c r="G146" s="10">
        <f>'B) D RI'!U147</f>
        <v>41194.659315068493</v>
      </c>
      <c r="H146" s="41">
        <f>'B) D RI'!T147</f>
        <v>2808158.88</v>
      </c>
      <c r="I146" s="10">
        <f t="shared" si="19"/>
        <v>76935.859726027396</v>
      </c>
      <c r="J146" s="31">
        <f t="shared" si="15"/>
        <v>89739.814794741309</v>
      </c>
      <c r="K146" s="10">
        <f t="shared" si="16"/>
        <v>76935.859726027396</v>
      </c>
      <c r="L146" s="10">
        <f t="shared" si="20"/>
        <v>12803.955068713913</v>
      </c>
      <c r="M146" s="10">
        <f>'D) Ecrêtage'!C145</f>
        <v>41194.659315068493</v>
      </c>
      <c r="N146" s="10">
        <f t="shared" si="17"/>
        <v>48383.741725489541</v>
      </c>
      <c r="O146" s="55">
        <f t="shared" si="18"/>
        <v>125319.60145151694</v>
      </c>
      <c r="P146" s="218"/>
      <c r="Q146" s="219"/>
      <c r="R146" s="215"/>
      <c r="S146" s="215"/>
      <c r="T146" s="220"/>
    </row>
    <row r="147" spans="1:20" s="214" customFormat="1" x14ac:dyDescent="0.25">
      <c r="A147" s="309">
        <f>'A) Base RI'!A148</f>
        <v>5638</v>
      </c>
      <c r="B147" s="227" t="str">
        <f>'A) Base RI'!B148</f>
        <v>Lonay</v>
      </c>
      <c r="C147" s="243">
        <v>0</v>
      </c>
      <c r="D147" s="216">
        <f>'B) D RI'!AA148</f>
        <v>2679</v>
      </c>
      <c r="E147" s="217">
        <f>'B) D RI'!S148</f>
        <v>55</v>
      </c>
      <c r="F147" s="10">
        <f>'B) D RI'!R148</f>
        <v>8001951.0899999999</v>
      </c>
      <c r="G147" s="10">
        <f>'B) D RI'!U148</f>
        <v>145490.01981818181</v>
      </c>
      <c r="H147" s="41">
        <f>'B) D RI'!T148</f>
        <v>7259265.7400000002</v>
      </c>
      <c r="I147" s="10">
        <f t="shared" si="19"/>
        <v>263973.29963636363</v>
      </c>
      <c r="J147" s="31">
        <f t="shared" si="15"/>
        <v>238504.9244395952</v>
      </c>
      <c r="K147" s="10">
        <f t="shared" si="16"/>
        <v>238504.9244395952</v>
      </c>
      <c r="L147" s="10">
        <f t="shared" si="20"/>
        <v>0</v>
      </c>
      <c r="M147" s="10">
        <f>'D) Ecrêtage'!C146</f>
        <v>145490.01981818181</v>
      </c>
      <c r="N147" s="10">
        <f t="shared" si="17"/>
        <v>170880.19805383746</v>
      </c>
      <c r="O147" s="55">
        <f t="shared" si="18"/>
        <v>409385.12249343266</v>
      </c>
      <c r="P147" s="218"/>
      <c r="Q147" s="219"/>
      <c r="R147" s="215"/>
      <c r="S147" s="215"/>
      <c r="T147" s="220"/>
    </row>
    <row r="148" spans="1:20" s="214" customFormat="1" x14ac:dyDescent="0.25">
      <c r="A148" s="309">
        <f>'A) Base RI'!A149</f>
        <v>5639</v>
      </c>
      <c r="B148" s="227" t="str">
        <f>'A) Base RI'!B149</f>
        <v>Lully</v>
      </c>
      <c r="C148" s="243">
        <v>0</v>
      </c>
      <c r="D148" s="216">
        <f>'B) D RI'!AA149</f>
        <v>825</v>
      </c>
      <c r="E148" s="217">
        <f>'B) D RI'!S149</f>
        <v>61</v>
      </c>
      <c r="F148" s="10">
        <f>'B) D RI'!R149</f>
        <v>2783008.75</v>
      </c>
      <c r="G148" s="10">
        <f>'B) D RI'!U149</f>
        <v>45623.094262295082</v>
      </c>
      <c r="H148" s="41">
        <f>'B) D RI'!T149</f>
        <v>2585585.14</v>
      </c>
      <c r="I148" s="10">
        <f t="shared" si="19"/>
        <v>84773.283278688526</v>
      </c>
      <c r="J148" s="31">
        <f t="shared" si="15"/>
        <v>73447.765084981715</v>
      </c>
      <c r="K148" s="10">
        <f t="shared" si="16"/>
        <v>73447.765084981715</v>
      </c>
      <c r="L148" s="10">
        <f t="shared" si="20"/>
        <v>0</v>
      </c>
      <c r="M148" s="10">
        <f>'D) Ecrêtage'!C147</f>
        <v>45623.094262295082</v>
      </c>
      <c r="N148" s="10">
        <f t="shared" si="17"/>
        <v>53585.004614836173</v>
      </c>
      <c r="O148" s="55">
        <f t="shared" si="18"/>
        <v>127032.76969981789</v>
      </c>
      <c r="P148" s="218"/>
      <c r="Q148" s="219"/>
      <c r="R148" s="215"/>
      <c r="S148" s="215"/>
      <c r="T148" s="220"/>
    </row>
    <row r="149" spans="1:20" s="214" customFormat="1" x14ac:dyDescent="0.25">
      <c r="A149" s="309">
        <f>'A) Base RI'!A150</f>
        <v>5640</v>
      </c>
      <c r="B149" s="227" t="str">
        <f>'A) Base RI'!B150</f>
        <v>Lussy-sur-Morges</v>
      </c>
      <c r="C149" s="243">
        <v>1</v>
      </c>
      <c r="D149" s="216">
        <f>'B) D RI'!AA150</f>
        <v>722</v>
      </c>
      <c r="E149" s="217">
        <f>'B) D RI'!S150</f>
        <v>66</v>
      </c>
      <c r="F149" s="10">
        <f>'B) D RI'!R150</f>
        <v>3764081.1399999997</v>
      </c>
      <c r="G149" s="10">
        <f>'B) D RI'!U150</f>
        <v>57031.532424242418</v>
      </c>
      <c r="H149" s="41">
        <f>'B) D RI'!T150</f>
        <v>3560670.1399999997</v>
      </c>
      <c r="I149" s="10">
        <f t="shared" si="19"/>
        <v>107899.09515151514</v>
      </c>
      <c r="J149" s="31">
        <f t="shared" si="15"/>
        <v>64277.922898614306</v>
      </c>
      <c r="K149" s="10">
        <f t="shared" si="16"/>
        <v>0</v>
      </c>
      <c r="L149" s="10">
        <f t="shared" si="20"/>
        <v>64277.922898614306</v>
      </c>
      <c r="M149" s="10">
        <f>'D) Ecrêtage'!C148</f>
        <v>57031.532424242418</v>
      </c>
      <c r="N149" s="10">
        <f t="shared" si="17"/>
        <v>66984.385376724647</v>
      </c>
      <c r="O149" s="55">
        <f t="shared" si="18"/>
        <v>66984.385376724647</v>
      </c>
      <c r="P149" s="218"/>
      <c r="Q149" s="219"/>
      <c r="R149" s="215"/>
      <c r="S149" s="215"/>
      <c r="T149" s="220"/>
    </row>
    <row r="150" spans="1:20" s="214" customFormat="1" x14ac:dyDescent="0.25">
      <c r="A150" s="309">
        <f>'A) Base RI'!A151</f>
        <v>5642</v>
      </c>
      <c r="B150" s="227" t="str">
        <f>'A) Base RI'!B151</f>
        <v>Morges</v>
      </c>
      <c r="C150" s="243">
        <v>1</v>
      </c>
      <c r="D150" s="216">
        <f>'B) D RI'!AA151</f>
        <v>16095</v>
      </c>
      <c r="E150" s="217">
        <f>'B) D RI'!S151</f>
        <v>67</v>
      </c>
      <c r="F150" s="10">
        <f>'B) D RI'!R151</f>
        <v>52763378.640000015</v>
      </c>
      <c r="G150" s="10">
        <f>'B) D RI'!U151</f>
        <v>787513.11402985093</v>
      </c>
      <c r="H150" s="41">
        <f>'B) D RI'!T151</f>
        <v>48964337.840000011</v>
      </c>
      <c r="I150" s="10">
        <f t="shared" si="19"/>
        <v>1461622.0250746273</v>
      </c>
      <c r="J150" s="31">
        <f t="shared" si="15"/>
        <v>1432899.1261124616</v>
      </c>
      <c r="K150" s="10">
        <f t="shared" si="16"/>
        <v>0</v>
      </c>
      <c r="L150" s="10">
        <f t="shared" si="20"/>
        <v>1432899.1261124616</v>
      </c>
      <c r="M150" s="10">
        <f>'D) Ecrêtage'!C149</f>
        <v>787513.11402985093</v>
      </c>
      <c r="N150" s="10">
        <f t="shared" si="17"/>
        <v>924945.8970696904</v>
      </c>
      <c r="O150" s="55">
        <f t="shared" si="18"/>
        <v>924945.8970696904</v>
      </c>
      <c r="P150" s="218"/>
      <c r="Q150" s="219"/>
      <c r="R150" s="215"/>
      <c r="S150" s="215"/>
      <c r="T150" s="220"/>
    </row>
    <row r="151" spans="1:20" s="214" customFormat="1" x14ac:dyDescent="0.25">
      <c r="A151" s="309">
        <f>'A) Base RI'!A152</f>
        <v>5643</v>
      </c>
      <c r="B151" s="227" t="str">
        <f>'A) Base RI'!B152</f>
        <v>Préverenges</v>
      </c>
      <c r="C151" s="243">
        <v>1</v>
      </c>
      <c r="D151" s="216">
        <f>'B) D RI'!AA152</f>
        <v>5241</v>
      </c>
      <c r="E151" s="217">
        <f>'B) D RI'!S152</f>
        <v>62.5</v>
      </c>
      <c r="F151" s="10">
        <f>'B) D RI'!R152</f>
        <v>16396085.73</v>
      </c>
      <c r="G151" s="10">
        <f>'B) D RI'!U152</f>
        <v>262337.37167999998</v>
      </c>
      <c r="H151" s="41">
        <f>'B) D RI'!T152</f>
        <v>15143961.600000001</v>
      </c>
      <c r="I151" s="10">
        <f t="shared" si="19"/>
        <v>484606.77120000008</v>
      </c>
      <c r="J151" s="31">
        <f t="shared" si="15"/>
        <v>466593.62037622934</v>
      </c>
      <c r="K151" s="10">
        <f t="shared" si="16"/>
        <v>0</v>
      </c>
      <c r="L151" s="10">
        <f t="shared" si="20"/>
        <v>466593.62037622934</v>
      </c>
      <c r="M151" s="10">
        <f>'D) Ecrêtage'!C150</f>
        <v>262337.37167999998</v>
      </c>
      <c r="N151" s="10">
        <f t="shared" si="17"/>
        <v>308119.15542814025</v>
      </c>
      <c r="O151" s="55">
        <f t="shared" si="18"/>
        <v>308119.15542814025</v>
      </c>
      <c r="P151" s="218"/>
      <c r="Q151" s="219"/>
      <c r="R151" s="215"/>
      <c r="S151" s="215"/>
      <c r="T151" s="220"/>
    </row>
    <row r="152" spans="1:20" s="214" customFormat="1" x14ac:dyDescent="0.25">
      <c r="A152" s="309">
        <f>'A) Base RI'!A153</f>
        <v>5644</v>
      </c>
      <c r="B152" s="227" t="str">
        <f>'A) Base RI'!B153</f>
        <v>Reverolle</v>
      </c>
      <c r="C152" s="243">
        <v>0</v>
      </c>
      <c r="D152" s="216">
        <f>'B) D RI'!AA153</f>
        <v>407</v>
      </c>
      <c r="E152" s="217">
        <f>'B) D RI'!S153</f>
        <v>74</v>
      </c>
      <c r="F152" s="10">
        <f>'B) D RI'!R153</f>
        <v>1185535.28</v>
      </c>
      <c r="G152" s="10">
        <f>'B) D RI'!U153</f>
        <v>16020.747027027028</v>
      </c>
      <c r="H152" s="41">
        <f>'B) D RI'!T153</f>
        <v>1103027.73</v>
      </c>
      <c r="I152" s="10">
        <f t="shared" si="19"/>
        <v>29811.560270270271</v>
      </c>
      <c r="J152" s="31">
        <f t="shared" si="15"/>
        <v>36234.230775257653</v>
      </c>
      <c r="K152" s="10">
        <f t="shared" si="16"/>
        <v>29811.560270270271</v>
      </c>
      <c r="L152" s="10">
        <f t="shared" si="20"/>
        <v>6422.6705049873817</v>
      </c>
      <c r="M152" s="10">
        <f>'D) Ecrêtage'!C151</f>
        <v>16020.747027027028</v>
      </c>
      <c r="N152" s="10">
        <f t="shared" si="17"/>
        <v>18816.606309972376</v>
      </c>
      <c r="O152" s="55">
        <f t="shared" si="18"/>
        <v>48628.166580242643</v>
      </c>
      <c r="P152" s="218"/>
      <c r="Q152" s="219"/>
      <c r="R152" s="215"/>
      <c r="S152" s="215"/>
      <c r="T152" s="220"/>
    </row>
    <row r="153" spans="1:20" s="214" customFormat="1" x14ac:dyDescent="0.25">
      <c r="A153" s="309">
        <f>'A) Base RI'!A154</f>
        <v>5645</v>
      </c>
      <c r="B153" s="227" t="str">
        <f>'A) Base RI'!B154</f>
        <v>Romanel-sur-Morges</v>
      </c>
      <c r="C153" s="243">
        <v>0</v>
      </c>
      <c r="D153" s="216">
        <f>'B) D RI'!AA154</f>
        <v>466</v>
      </c>
      <c r="E153" s="217">
        <f>'B) D RI'!S154</f>
        <v>56</v>
      </c>
      <c r="F153" s="10">
        <f>'B) D RI'!R154</f>
        <v>1532447.5300000003</v>
      </c>
      <c r="G153" s="10">
        <f>'B) D RI'!U154</f>
        <v>27365.134464285718</v>
      </c>
      <c r="H153" s="41">
        <f>'B) D RI'!T154</f>
        <v>1351902.58</v>
      </c>
      <c r="I153" s="10">
        <f t="shared" si="19"/>
        <v>48282.235000000001</v>
      </c>
      <c r="J153" s="31">
        <f t="shared" si="15"/>
        <v>41486.858823759372</v>
      </c>
      <c r="K153" s="10">
        <f t="shared" si="16"/>
        <v>41486.858823759372</v>
      </c>
      <c r="L153" s="10">
        <f t="shared" si="20"/>
        <v>0</v>
      </c>
      <c r="M153" s="10">
        <f>'D) Ecrêtage'!C152</f>
        <v>27365.134464285718</v>
      </c>
      <c r="N153" s="10">
        <f t="shared" si="17"/>
        <v>32140.758540488281</v>
      </c>
      <c r="O153" s="55">
        <f t="shared" si="18"/>
        <v>73627.61736424765</v>
      </c>
      <c r="P153" s="218"/>
      <c r="Q153" s="219"/>
      <c r="R153" s="215"/>
      <c r="S153" s="215"/>
      <c r="T153" s="220"/>
    </row>
    <row r="154" spans="1:20" s="214" customFormat="1" x14ac:dyDescent="0.25">
      <c r="A154" s="309">
        <f>'A) Base RI'!A155</f>
        <v>5646</v>
      </c>
      <c r="B154" s="227" t="str">
        <f>'A) Base RI'!B155</f>
        <v>Saint-Prex</v>
      </c>
      <c r="C154" s="243">
        <v>1</v>
      </c>
      <c r="D154" s="216">
        <f>'B) D RI'!AA155</f>
        <v>5865</v>
      </c>
      <c r="E154" s="217">
        <f>'B) D RI'!S155</f>
        <v>55</v>
      </c>
      <c r="F154" s="10">
        <f>'B) D RI'!R155</f>
        <v>29760097.449999999</v>
      </c>
      <c r="G154" s="10">
        <f>'B) D RI'!U155</f>
        <v>541092.68090909091</v>
      </c>
      <c r="H154" s="41">
        <f>'B) D RI'!T155</f>
        <v>27967998.050000001</v>
      </c>
      <c r="I154" s="10">
        <f t="shared" si="19"/>
        <v>1017018.110909091</v>
      </c>
      <c r="J154" s="31">
        <f t="shared" si="15"/>
        <v>522146.83905868826</v>
      </c>
      <c r="K154" s="10">
        <f t="shared" si="16"/>
        <v>0</v>
      </c>
      <c r="L154" s="10">
        <f t="shared" si="20"/>
        <v>522146.83905868826</v>
      </c>
      <c r="M154" s="10">
        <f>'D) Ecrêtage'!C153</f>
        <v>541092.68090909091</v>
      </c>
      <c r="N154" s="10">
        <f t="shared" si="17"/>
        <v>635521.42335795041</v>
      </c>
      <c r="O154" s="55">
        <f t="shared" si="18"/>
        <v>635521.42335795041</v>
      </c>
      <c r="P154" s="218"/>
      <c r="Q154" s="219"/>
      <c r="R154" s="215"/>
      <c r="S154" s="215"/>
      <c r="T154" s="220"/>
    </row>
    <row r="155" spans="1:20" s="214" customFormat="1" x14ac:dyDescent="0.25">
      <c r="A155" s="309">
        <f>'A) Base RI'!A156</f>
        <v>5648</v>
      </c>
      <c r="B155" s="227" t="str">
        <f>'A) Base RI'!B156</f>
        <v>Saint-Sulpice</v>
      </c>
      <c r="C155" s="243">
        <v>1</v>
      </c>
      <c r="D155" s="216">
        <f>'B) D RI'!AA156</f>
        <v>4909</v>
      </c>
      <c r="E155" s="217">
        <f>'B) D RI'!S156</f>
        <v>55</v>
      </c>
      <c r="F155" s="10">
        <f>'B) D RI'!R156</f>
        <v>21805198.600000001</v>
      </c>
      <c r="G155" s="10">
        <f>'B) D RI'!U156</f>
        <v>396458.15636363637</v>
      </c>
      <c r="H155" s="41">
        <f>'B) D RI'!T156</f>
        <v>20035597.050000001</v>
      </c>
      <c r="I155" s="10">
        <f t="shared" si="19"/>
        <v>728567.16545454552</v>
      </c>
      <c r="J155" s="31">
        <f t="shared" si="15"/>
        <v>437036.45915415185</v>
      </c>
      <c r="K155" s="10">
        <f t="shared" si="16"/>
        <v>0</v>
      </c>
      <c r="L155" s="10">
        <f t="shared" si="20"/>
        <v>437036.45915415185</v>
      </c>
      <c r="M155" s="10">
        <f>'D) Ecrêtage'!C154</f>
        <v>396458.15636363637</v>
      </c>
      <c r="N155" s="10">
        <f t="shared" si="17"/>
        <v>465646.01726043032</v>
      </c>
      <c r="O155" s="55">
        <f t="shared" si="18"/>
        <v>465646.01726043032</v>
      </c>
      <c r="P155" s="218"/>
      <c r="Q155" s="219"/>
      <c r="R155" s="215"/>
      <c r="S155" s="215"/>
      <c r="T155" s="220"/>
    </row>
    <row r="156" spans="1:20" s="214" customFormat="1" x14ac:dyDescent="0.25">
      <c r="A156" s="309">
        <f>'A) Base RI'!A157</f>
        <v>5649</v>
      </c>
      <c r="B156" s="227" t="str">
        <f>'A) Base RI'!B157</f>
        <v>Tolochenaz</v>
      </c>
      <c r="C156" s="243">
        <v>1</v>
      </c>
      <c r="D156" s="216">
        <f>'B) D RI'!AA157</f>
        <v>1889</v>
      </c>
      <c r="E156" s="217">
        <f>'B) D RI'!S157</f>
        <v>65</v>
      </c>
      <c r="F156" s="10">
        <f>'B) D RI'!R157</f>
        <v>14010642.469999997</v>
      </c>
      <c r="G156" s="10">
        <f>'B) D RI'!U157</f>
        <v>215548.34569230766</v>
      </c>
      <c r="H156" s="41">
        <f>'B) D RI'!T157</f>
        <v>13387852.669999998</v>
      </c>
      <c r="I156" s="10">
        <f t="shared" si="19"/>
        <v>411933.92830769223</v>
      </c>
      <c r="J156" s="31">
        <f t="shared" si="15"/>
        <v>168173.12514609753</v>
      </c>
      <c r="K156" s="10">
        <f t="shared" si="16"/>
        <v>0</v>
      </c>
      <c r="L156" s="10">
        <f t="shared" si="20"/>
        <v>168173.12514609753</v>
      </c>
      <c r="M156" s="10">
        <f>'D) Ecrêtage'!C155</f>
        <v>215548.34569230766</v>
      </c>
      <c r="N156" s="10">
        <f t="shared" si="17"/>
        <v>253164.74661360629</v>
      </c>
      <c r="O156" s="55">
        <f t="shared" si="18"/>
        <v>253164.74661360629</v>
      </c>
      <c r="P156" s="218"/>
      <c r="Q156" s="219"/>
      <c r="R156" s="215"/>
      <c r="S156" s="215"/>
      <c r="T156" s="220"/>
    </row>
    <row r="157" spans="1:20" s="214" customFormat="1" x14ac:dyDescent="0.25">
      <c r="A157" s="309">
        <f>'A) Base RI'!A158</f>
        <v>5650</v>
      </c>
      <c r="B157" s="227" t="str">
        <f>'A) Base RI'!B158</f>
        <v>Vaux-sur-Morges</v>
      </c>
      <c r="C157" s="243">
        <v>0</v>
      </c>
      <c r="D157" s="216">
        <f>'B) D RI'!AA158</f>
        <v>194</v>
      </c>
      <c r="E157" s="217">
        <f>'B) D RI'!S158</f>
        <v>56</v>
      </c>
      <c r="F157" s="10">
        <f>'B) D RI'!R158</f>
        <v>3528136.04</v>
      </c>
      <c r="G157" s="10">
        <f>'B) D RI'!U158</f>
        <v>63002.429285714286</v>
      </c>
      <c r="H157" s="41">
        <f>'B) D RI'!T158</f>
        <v>3482284.04</v>
      </c>
      <c r="I157" s="10">
        <f t="shared" si="19"/>
        <v>124367.28714285714</v>
      </c>
      <c r="J157" s="31">
        <f t="shared" si="15"/>
        <v>17271.353244226004</v>
      </c>
      <c r="K157" s="10">
        <f t="shared" si="16"/>
        <v>17271.353244226004</v>
      </c>
      <c r="L157" s="10">
        <f t="shared" si="20"/>
        <v>0</v>
      </c>
      <c r="M157" s="10">
        <f>'D) Ecrêtage'!C156</f>
        <v>63002.429285714286</v>
      </c>
      <c r="N157" s="10">
        <f t="shared" si="17"/>
        <v>73997.292787985047</v>
      </c>
      <c r="O157" s="55">
        <f t="shared" si="18"/>
        <v>91268.646032211051</v>
      </c>
      <c r="P157" s="218"/>
      <c r="Q157" s="219"/>
      <c r="R157" s="215"/>
      <c r="S157" s="215"/>
      <c r="T157" s="220"/>
    </row>
    <row r="158" spans="1:20" s="214" customFormat="1" x14ac:dyDescent="0.25">
      <c r="A158" s="309">
        <f>'A) Base RI'!A159</f>
        <v>5651</v>
      </c>
      <c r="B158" s="227" t="str">
        <f>'A) Base RI'!B159</f>
        <v>Villars-Sainte-Croix</v>
      </c>
      <c r="C158" s="243">
        <v>1</v>
      </c>
      <c r="D158" s="216">
        <f>'B) D RI'!AA159</f>
        <v>958</v>
      </c>
      <c r="E158" s="217">
        <f>'B) D RI'!S159</f>
        <v>60.5</v>
      </c>
      <c r="F158" s="10">
        <f>'B) D RI'!R159</f>
        <v>3372147.9700000007</v>
      </c>
      <c r="G158" s="10">
        <f>'B) D RI'!U159</f>
        <v>55737.982975206622</v>
      </c>
      <c r="H158" s="41">
        <f>'B) D RI'!T159</f>
        <v>2951613.4700000007</v>
      </c>
      <c r="I158" s="10">
        <f t="shared" si="19"/>
        <v>97573.99900826448</v>
      </c>
      <c r="J158" s="31">
        <f t="shared" si="15"/>
        <v>85288.435092621192</v>
      </c>
      <c r="K158" s="10">
        <f t="shared" si="16"/>
        <v>0</v>
      </c>
      <c r="L158" s="10">
        <f t="shared" si="20"/>
        <v>85288.435092621192</v>
      </c>
      <c r="M158" s="10">
        <f>'D) Ecrêtage'!C157</f>
        <v>55737.982975206622</v>
      </c>
      <c r="N158" s="10">
        <f t="shared" si="17"/>
        <v>65465.092257375953</v>
      </c>
      <c r="O158" s="55">
        <f t="shared" si="18"/>
        <v>65465.092257375953</v>
      </c>
      <c r="P158" s="218"/>
      <c r="Q158" s="219"/>
      <c r="R158" s="215"/>
      <c r="S158" s="215"/>
      <c r="T158" s="220"/>
    </row>
    <row r="159" spans="1:20" s="214" customFormat="1" x14ac:dyDescent="0.25">
      <c r="A159" s="309">
        <f>'A) Base RI'!A160</f>
        <v>5652</v>
      </c>
      <c r="B159" s="227" t="str">
        <f>'A) Base RI'!B160</f>
        <v>Villars-sous-Yens</v>
      </c>
      <c r="C159" s="243">
        <v>0</v>
      </c>
      <c r="D159" s="216">
        <f>'B) D RI'!AA160</f>
        <v>615</v>
      </c>
      <c r="E159" s="217">
        <f>'B) D RI'!S160</f>
        <v>76</v>
      </c>
      <c r="F159" s="10">
        <f>'B) D RI'!R160</f>
        <v>1950333.4316666669</v>
      </c>
      <c r="G159" s="10">
        <f>'B) D RI'!U160</f>
        <v>25662.281995614037</v>
      </c>
      <c r="H159" s="41">
        <f>'B) D RI'!T160</f>
        <v>1839758.4900000002</v>
      </c>
      <c r="I159" s="10">
        <f t="shared" si="19"/>
        <v>48414.697105263163</v>
      </c>
      <c r="J159" s="31">
        <f t="shared" si="15"/>
        <v>54751.970336077284</v>
      </c>
      <c r="K159" s="10">
        <f t="shared" si="16"/>
        <v>48414.697105263163</v>
      </c>
      <c r="L159" s="10">
        <f t="shared" si="20"/>
        <v>6337.2732308141203</v>
      </c>
      <c r="M159" s="10">
        <f>'D) Ecrêtage'!C158</f>
        <v>25662.281995614037</v>
      </c>
      <c r="N159" s="10">
        <f t="shared" si="17"/>
        <v>30140.732920402974</v>
      </c>
      <c r="O159" s="55">
        <f t="shared" si="18"/>
        <v>78555.430025666137</v>
      </c>
      <c r="P159" s="218"/>
      <c r="Q159" s="219"/>
      <c r="R159" s="215"/>
      <c r="S159" s="215"/>
      <c r="T159" s="220"/>
    </row>
    <row r="160" spans="1:20" s="214" customFormat="1" x14ac:dyDescent="0.25">
      <c r="A160" s="309">
        <f>'A) Base RI'!A161</f>
        <v>5653</v>
      </c>
      <c r="B160" s="227" t="str">
        <f>'A) Base RI'!B161</f>
        <v>Vufflens-le-Château</v>
      </c>
      <c r="C160" s="243">
        <v>0</v>
      </c>
      <c r="D160" s="216">
        <f>'B) D RI'!AA161</f>
        <v>870</v>
      </c>
      <c r="E160" s="217">
        <f>'B) D RI'!S161</f>
        <v>58.5</v>
      </c>
      <c r="F160" s="10">
        <f>'B) D RI'!R161</f>
        <v>4023983.0199999996</v>
      </c>
      <c r="G160" s="10">
        <f>'B) D RI'!U161</f>
        <v>68786.034529914527</v>
      </c>
      <c r="H160" s="41">
        <f>'B) D RI'!T161</f>
        <v>3762086.2699999996</v>
      </c>
      <c r="I160" s="10">
        <f t="shared" si="19"/>
        <v>128618.33401709401</v>
      </c>
      <c r="J160" s="31">
        <f t="shared" si="15"/>
        <v>77454.006816889814</v>
      </c>
      <c r="K160" s="10">
        <f t="shared" si="16"/>
        <v>77454.006816889814</v>
      </c>
      <c r="L160" s="10">
        <f t="shared" si="20"/>
        <v>0</v>
      </c>
      <c r="M160" s="10">
        <f>'D) Ecrêtage'!C159</f>
        <v>68786.034529914527</v>
      </c>
      <c r="N160" s="10">
        <f t="shared" si="17"/>
        <v>80790.223401570969</v>
      </c>
      <c r="O160" s="55">
        <f t="shared" si="18"/>
        <v>158244.23021846078</v>
      </c>
      <c r="P160" s="218"/>
      <c r="Q160" s="219"/>
      <c r="R160" s="215"/>
      <c r="S160" s="215"/>
      <c r="T160" s="220"/>
    </row>
    <row r="161" spans="1:20" s="214" customFormat="1" x14ac:dyDescent="0.25">
      <c r="A161" s="309">
        <f>'A) Base RI'!A162</f>
        <v>5654</v>
      </c>
      <c r="B161" s="227" t="str">
        <f>'A) Base RI'!B162</f>
        <v>Vullierens</v>
      </c>
      <c r="C161" s="243">
        <v>0</v>
      </c>
      <c r="D161" s="216">
        <f>'B) D RI'!AA162</f>
        <v>542</v>
      </c>
      <c r="E161" s="217">
        <f>'B) D RI'!S162</f>
        <v>76</v>
      </c>
      <c r="F161" s="10">
        <f>'B) D RI'!R162</f>
        <v>1464208.3499999999</v>
      </c>
      <c r="G161" s="10">
        <f>'B) D RI'!U162</f>
        <v>19265.899342105262</v>
      </c>
      <c r="H161" s="41">
        <f>'B) D RI'!T162</f>
        <v>1355995.65</v>
      </c>
      <c r="I161" s="10">
        <f t="shared" si="19"/>
        <v>35684.096052631576</v>
      </c>
      <c r="J161" s="31">
        <f t="shared" si="15"/>
        <v>48252.95597098193</v>
      </c>
      <c r="K161" s="10">
        <f t="shared" si="16"/>
        <v>35684.096052631576</v>
      </c>
      <c r="L161" s="10">
        <f t="shared" si="20"/>
        <v>12568.859918350354</v>
      </c>
      <c r="M161" s="10">
        <f>'D) Ecrêtage'!C160</f>
        <v>19265.899342105262</v>
      </c>
      <c r="N161" s="10">
        <f t="shared" si="17"/>
        <v>22628.086100877856</v>
      </c>
      <c r="O161" s="55">
        <f t="shared" si="18"/>
        <v>58312.182153509435</v>
      </c>
      <c r="P161" s="218"/>
      <c r="Q161" s="219"/>
      <c r="R161" s="215"/>
      <c r="S161" s="215"/>
      <c r="T161" s="220"/>
    </row>
    <row r="162" spans="1:20" s="214" customFormat="1" x14ac:dyDescent="0.25">
      <c r="A162" s="309">
        <f>'A) Base RI'!A163</f>
        <v>5655</v>
      </c>
      <c r="B162" s="227" t="str">
        <f>'A) Base RI'!B163</f>
        <v>Yens</v>
      </c>
      <c r="C162" s="243">
        <v>0</v>
      </c>
      <c r="D162" s="216">
        <f>'B) D RI'!AA163</f>
        <v>1480</v>
      </c>
      <c r="E162" s="217">
        <f>'B) D RI'!S163</f>
        <v>71.5</v>
      </c>
      <c r="F162" s="10">
        <f>'B) D RI'!R163</f>
        <v>6501861.2300000014</v>
      </c>
      <c r="G162" s="10">
        <f>'B) D RI'!U163</f>
        <v>90935.122097902116</v>
      </c>
      <c r="H162" s="41">
        <f>'B) D RI'!T163</f>
        <v>6074702.4800000014</v>
      </c>
      <c r="I162" s="10">
        <f t="shared" si="19"/>
        <v>169921.74769230772</v>
      </c>
      <c r="J162" s="31">
        <f t="shared" si="15"/>
        <v>131760.83918275509</v>
      </c>
      <c r="K162" s="10">
        <f t="shared" si="16"/>
        <v>131760.83918275509</v>
      </c>
      <c r="L162" s="10">
        <f t="shared" si="20"/>
        <v>0</v>
      </c>
      <c r="M162" s="10">
        <f>'D) Ecrêtage'!C161</f>
        <v>90935.122097902116</v>
      </c>
      <c r="N162" s="10">
        <f t="shared" si="17"/>
        <v>106804.65707241248</v>
      </c>
      <c r="O162" s="55">
        <f t="shared" si="18"/>
        <v>238565.49625516759</v>
      </c>
      <c r="P162" s="218"/>
      <c r="Q162" s="219"/>
      <c r="R162" s="215"/>
      <c r="S162" s="215"/>
      <c r="T162" s="220"/>
    </row>
    <row r="163" spans="1:20" s="214" customFormat="1" x14ac:dyDescent="0.25">
      <c r="A163" s="309">
        <f>'A) Base RI'!A164</f>
        <v>5661</v>
      </c>
      <c r="B163" s="227" t="str">
        <f>'A) Base RI'!B164</f>
        <v>Boulens</v>
      </c>
      <c r="C163" s="243">
        <v>0</v>
      </c>
      <c r="D163" s="216">
        <f>'B) D RI'!AA164</f>
        <v>369</v>
      </c>
      <c r="E163" s="217">
        <f>'B) D RI'!S164</f>
        <v>71.5</v>
      </c>
      <c r="F163" s="10">
        <f>'B) D RI'!R164</f>
        <v>727001.45</v>
      </c>
      <c r="G163" s="10">
        <f>'B) D RI'!U164</f>
        <v>10167.852447552446</v>
      </c>
      <c r="H163" s="41">
        <f>'B) D RI'!T164</f>
        <v>668708.94999999995</v>
      </c>
      <c r="I163" s="10">
        <f t="shared" si="19"/>
        <v>18705.145454545454</v>
      </c>
      <c r="J163" s="31">
        <f t="shared" si="15"/>
        <v>32851.18220164637</v>
      </c>
      <c r="K163" s="10">
        <f t="shared" si="16"/>
        <v>18705.145454545454</v>
      </c>
      <c r="L163" s="10">
        <f t="shared" si="20"/>
        <v>14146.036747100916</v>
      </c>
      <c r="M163" s="10">
        <f>'D) Ecrêtage'!C162</f>
        <v>10167.852447552446</v>
      </c>
      <c r="N163" s="10">
        <f t="shared" si="17"/>
        <v>11942.294338754537</v>
      </c>
      <c r="O163" s="55">
        <f t="shared" si="18"/>
        <v>30647.439793299993</v>
      </c>
      <c r="P163" s="218"/>
      <c r="Q163" s="219"/>
      <c r="R163" s="215"/>
      <c r="S163" s="215"/>
      <c r="T163" s="220"/>
    </row>
    <row r="164" spans="1:20" s="214" customFormat="1" x14ac:dyDescent="0.25">
      <c r="A164" s="309">
        <f>'A) Base RI'!A165</f>
        <v>5663</v>
      </c>
      <c r="B164" s="227" t="str">
        <f>'A) Base RI'!B165</f>
        <v>Bussy-sur-Moudon</v>
      </c>
      <c r="C164" s="243">
        <v>0</v>
      </c>
      <c r="D164" s="216">
        <f>'B) D RI'!AA165</f>
        <v>219</v>
      </c>
      <c r="E164" s="217">
        <f>'B) D RI'!S165</f>
        <v>80</v>
      </c>
      <c r="F164" s="10">
        <f>'B) D RI'!R165</f>
        <v>432650.27999999997</v>
      </c>
      <c r="G164" s="10">
        <f>'B) D RI'!U165</f>
        <v>5408.1284999999998</v>
      </c>
      <c r="H164" s="41">
        <f>'B) D RI'!T165</f>
        <v>398854.32999999996</v>
      </c>
      <c r="I164" s="10">
        <f t="shared" si="19"/>
        <v>9971.3582499999993</v>
      </c>
      <c r="J164" s="31">
        <f t="shared" si="15"/>
        <v>19497.043095286055</v>
      </c>
      <c r="K164" s="10">
        <f t="shared" si="16"/>
        <v>9971.3582499999993</v>
      </c>
      <c r="L164" s="10">
        <f t="shared" si="20"/>
        <v>9525.6848452860559</v>
      </c>
      <c r="M164" s="10">
        <f>'D) Ecrêtage'!C163</f>
        <v>5408.1284999999998</v>
      </c>
      <c r="N164" s="10">
        <f t="shared" si="17"/>
        <v>6351.9275778194187</v>
      </c>
      <c r="O164" s="55">
        <f t="shared" si="18"/>
        <v>16323.285827819418</v>
      </c>
      <c r="P164" s="218"/>
      <c r="Q164" s="219"/>
      <c r="R164" s="215"/>
      <c r="S164" s="215"/>
      <c r="T164" s="220"/>
    </row>
    <row r="165" spans="1:20" s="214" customFormat="1" x14ac:dyDescent="0.25">
      <c r="A165" s="309">
        <f>'A) Base RI'!A166</f>
        <v>5665</v>
      </c>
      <c r="B165" s="227" t="str">
        <f>'A) Base RI'!B166</f>
        <v>Chavannes-sur-Moudon</v>
      </c>
      <c r="C165" s="243">
        <v>0</v>
      </c>
      <c r="D165" s="216">
        <f>'B) D RI'!AA166</f>
        <v>223</v>
      </c>
      <c r="E165" s="217">
        <f>'B) D RI'!S166</f>
        <v>73</v>
      </c>
      <c r="F165" s="10">
        <f>'B) D RI'!R166</f>
        <v>498942.02</v>
      </c>
      <c r="G165" s="10">
        <f>'B) D RI'!U166</f>
        <v>6834.8221917808223</v>
      </c>
      <c r="H165" s="41">
        <f>'B) D RI'!T166</f>
        <v>473342.12</v>
      </c>
      <c r="I165" s="10">
        <f t="shared" si="19"/>
        <v>12968.277260273973</v>
      </c>
      <c r="J165" s="31">
        <f t="shared" si="15"/>
        <v>19853.153471455666</v>
      </c>
      <c r="K165" s="10">
        <f t="shared" si="16"/>
        <v>12968.277260273973</v>
      </c>
      <c r="L165" s="10">
        <f t="shared" si="20"/>
        <v>6884.8762111816923</v>
      </c>
      <c r="M165" s="10">
        <f>'D) Ecrêtage'!C164</f>
        <v>6834.8221917808223</v>
      </c>
      <c r="N165" s="10">
        <f t="shared" si="17"/>
        <v>8027.60059592977</v>
      </c>
      <c r="O165" s="55">
        <f t="shared" si="18"/>
        <v>20995.877856203744</v>
      </c>
      <c r="P165" s="218"/>
      <c r="Q165" s="219"/>
      <c r="R165" s="215"/>
      <c r="S165" s="215"/>
      <c r="T165" s="220"/>
    </row>
    <row r="166" spans="1:20" s="214" customFormat="1" x14ac:dyDescent="0.25">
      <c r="A166" s="309">
        <f>'A) Base RI'!A167</f>
        <v>5669</v>
      </c>
      <c r="B166" s="227" t="str">
        <f>'A) Base RI'!B167</f>
        <v>Curtilles</v>
      </c>
      <c r="C166" s="243">
        <v>0</v>
      </c>
      <c r="D166" s="216">
        <f>'B) D RI'!AA167</f>
        <v>301</v>
      </c>
      <c r="E166" s="217">
        <f>'B) D RI'!S167</f>
        <v>73</v>
      </c>
      <c r="F166" s="10">
        <f>'B) D RI'!R167</f>
        <v>750940.34</v>
      </c>
      <c r="G166" s="10">
        <f>'B) D RI'!U167</f>
        <v>10286.853972602739</v>
      </c>
      <c r="H166" s="41">
        <f>'B) D RI'!T167</f>
        <v>702315.74</v>
      </c>
      <c r="I166" s="10">
        <f t="shared" si="19"/>
        <v>19241.527123287669</v>
      </c>
      <c r="J166" s="31">
        <f t="shared" si="15"/>
        <v>26797.305806763026</v>
      </c>
      <c r="K166" s="10">
        <f t="shared" si="16"/>
        <v>19241.527123287669</v>
      </c>
      <c r="L166" s="10">
        <f t="shared" si="20"/>
        <v>7555.778683475357</v>
      </c>
      <c r="M166" s="10">
        <f>'D) Ecrêtage'!C165</f>
        <v>10286.853972602739</v>
      </c>
      <c r="N166" s="10">
        <f t="shared" si="17"/>
        <v>12082.063404665141</v>
      </c>
      <c r="O166" s="55">
        <f t="shared" si="18"/>
        <v>31323.590527952809</v>
      </c>
      <c r="P166" s="218"/>
      <c r="Q166" s="219"/>
      <c r="R166" s="215"/>
      <c r="S166" s="215"/>
      <c r="T166" s="220"/>
    </row>
    <row r="167" spans="1:20" s="214" customFormat="1" x14ac:dyDescent="0.25">
      <c r="A167" s="309">
        <f>'A) Base RI'!A168</f>
        <v>5671</v>
      </c>
      <c r="B167" s="227" t="str">
        <f>'A) Base RI'!B168</f>
        <v>Dompierre</v>
      </c>
      <c r="C167" s="243">
        <v>0</v>
      </c>
      <c r="D167" s="216">
        <f>'B) D RI'!AA168</f>
        <v>245</v>
      </c>
      <c r="E167" s="217">
        <f>'B) D RI'!S168</f>
        <v>78</v>
      </c>
      <c r="F167" s="10">
        <f>'B) D RI'!R168</f>
        <v>470657.13</v>
      </c>
      <c r="G167" s="10">
        <f>'B) D RI'!U168</f>
        <v>6034.0657692307695</v>
      </c>
      <c r="H167" s="41">
        <f>'B) D RI'!T168</f>
        <v>438408.73</v>
      </c>
      <c r="I167" s="10">
        <f t="shared" si="19"/>
        <v>11241.249487179486</v>
      </c>
      <c r="J167" s="31">
        <f t="shared" si="15"/>
        <v>21811.76054038851</v>
      </c>
      <c r="K167" s="10">
        <f t="shared" si="16"/>
        <v>11241.249487179486</v>
      </c>
      <c r="L167" s="10">
        <f t="shared" si="20"/>
        <v>10570.511053209024</v>
      </c>
      <c r="M167" s="10">
        <f>'D) Ecrêtage'!C166</f>
        <v>6034.0657692307695</v>
      </c>
      <c r="N167" s="10">
        <f t="shared" si="17"/>
        <v>7087.100235497931</v>
      </c>
      <c r="O167" s="55">
        <f t="shared" si="18"/>
        <v>18328.349722677416</v>
      </c>
      <c r="P167" s="218"/>
      <c r="Q167" s="219"/>
      <c r="R167" s="215"/>
      <c r="S167" s="215"/>
      <c r="T167" s="220"/>
    </row>
    <row r="168" spans="1:20" s="214" customFormat="1" x14ac:dyDescent="0.25">
      <c r="A168" s="309">
        <f>'A) Base RI'!A169</f>
        <v>5673</v>
      </c>
      <c r="B168" s="227" t="str">
        <f>'A) Base RI'!B169</f>
        <v>Hermenches</v>
      </c>
      <c r="C168" s="243">
        <v>0</v>
      </c>
      <c r="D168" s="216">
        <f>'B) D RI'!AA169</f>
        <v>384</v>
      </c>
      <c r="E168" s="217">
        <f>'B) D RI'!S169</f>
        <v>73.5</v>
      </c>
      <c r="F168" s="10">
        <f>'B) D RI'!R169</f>
        <v>781946.54</v>
      </c>
      <c r="G168" s="10">
        <f>'B) D RI'!U169</f>
        <v>10638.728435374151</v>
      </c>
      <c r="H168" s="41">
        <f>'B) D RI'!T169</f>
        <v>732113.54</v>
      </c>
      <c r="I168" s="10">
        <f t="shared" si="19"/>
        <v>19921.456870748301</v>
      </c>
      <c r="J168" s="31">
        <f t="shared" si="15"/>
        <v>34186.596112282401</v>
      </c>
      <c r="K168" s="10">
        <f t="shared" si="16"/>
        <v>19921.456870748301</v>
      </c>
      <c r="L168" s="10">
        <f t="shared" si="20"/>
        <v>14265.1392415341</v>
      </c>
      <c r="M168" s="10">
        <f>'D) Ecrêtage'!C167</f>
        <v>10638.728435374151</v>
      </c>
      <c r="N168" s="10">
        <f t="shared" si="17"/>
        <v>12495.34520889892</v>
      </c>
      <c r="O168" s="55">
        <f t="shared" si="18"/>
        <v>32416.802079647219</v>
      </c>
      <c r="P168" s="218"/>
      <c r="Q168" s="219"/>
      <c r="R168" s="215"/>
      <c r="S168" s="215"/>
      <c r="T168" s="220"/>
    </row>
    <row r="169" spans="1:20" s="214" customFormat="1" x14ac:dyDescent="0.25">
      <c r="A169" s="309">
        <f>'A) Base RI'!A170</f>
        <v>5674</v>
      </c>
      <c r="B169" s="227" t="str">
        <f>'A) Base RI'!B170</f>
        <v>Lovatens</v>
      </c>
      <c r="C169" s="243">
        <v>0</v>
      </c>
      <c r="D169" s="216">
        <f>'B) D RI'!AA170</f>
        <v>142</v>
      </c>
      <c r="E169" s="217">
        <f>'B) D RI'!S170</f>
        <v>75</v>
      </c>
      <c r="F169" s="10">
        <f>'B) D RI'!R170</f>
        <v>257305.65285714291</v>
      </c>
      <c r="G169" s="10">
        <f>'B) D RI'!U170</f>
        <v>3430.742038095239</v>
      </c>
      <c r="H169" s="41">
        <f>'B) D RI'!T170</f>
        <v>238195.91000000003</v>
      </c>
      <c r="I169" s="10">
        <f t="shared" si="19"/>
        <v>6351.890933333334</v>
      </c>
      <c r="J169" s="31">
        <f t="shared" si="15"/>
        <v>12641.918354021096</v>
      </c>
      <c r="K169" s="10">
        <f t="shared" si="16"/>
        <v>6351.890933333334</v>
      </c>
      <c r="L169" s="10">
        <f t="shared" si="20"/>
        <v>6290.0274206877621</v>
      </c>
      <c r="M169" s="10">
        <f>'D) Ecrêtage'!C168</f>
        <v>3430.742038095239</v>
      </c>
      <c r="N169" s="10">
        <f t="shared" si="17"/>
        <v>4029.4576883965588</v>
      </c>
      <c r="O169" s="55">
        <f t="shared" si="18"/>
        <v>10381.348621729892</v>
      </c>
      <c r="P169" s="218"/>
      <c r="Q169" s="219"/>
      <c r="R169" s="215"/>
      <c r="S169" s="215"/>
      <c r="T169" s="220"/>
    </row>
    <row r="170" spans="1:20" s="214" customFormat="1" x14ac:dyDescent="0.25">
      <c r="A170" s="309">
        <f>'A) Base RI'!A171</f>
        <v>5675</v>
      </c>
      <c r="B170" s="227" t="str">
        <f>'A) Base RI'!B171</f>
        <v>Lucens</v>
      </c>
      <c r="C170" s="243">
        <v>0</v>
      </c>
      <c r="D170" s="216">
        <f>'B) D RI'!AA171</f>
        <v>4309</v>
      </c>
      <c r="E170" s="217">
        <f>'B) D RI'!S171</f>
        <v>67.5</v>
      </c>
      <c r="F170" s="10">
        <f>'B) D RI'!R171</f>
        <v>6557909.8309090892</v>
      </c>
      <c r="G170" s="10">
        <f>'B) D RI'!U171</f>
        <v>97154.219717171698</v>
      </c>
      <c r="H170" s="41">
        <f>'B) D RI'!T171</f>
        <v>5951040.5399999982</v>
      </c>
      <c r="I170" s="10">
        <f t="shared" ref="I170" si="21">+H170/E170*$I$5</f>
        <v>176327.12711111107</v>
      </c>
      <c r="J170" s="31">
        <f t="shared" ref="J170" si="22">+$I$315/$D$315*D170</f>
        <v>383619.90272871061</v>
      </c>
      <c r="K170" s="10">
        <f t="shared" ref="K170" si="23">IF(C170=1,0,IF(J170&gt;I170,I170,J170))</f>
        <v>176327.12711111107</v>
      </c>
      <c r="L170" s="10">
        <f t="shared" ref="L170" si="24">+J170-K170</f>
        <v>207292.77561759955</v>
      </c>
      <c r="M170" s="10">
        <f>'D) Ecrêtage'!C169</f>
        <v>97154.219717171698</v>
      </c>
      <c r="N170" s="10">
        <f t="shared" ref="N170" si="25">+$N$5*M170</f>
        <v>114109.07997526872</v>
      </c>
      <c r="O170" s="55">
        <f t="shared" ref="O170" si="26">+N170+K170</f>
        <v>290436.20708637976</v>
      </c>
      <c r="P170" s="218"/>
      <c r="Q170" s="219"/>
      <c r="R170" s="215"/>
      <c r="S170" s="215"/>
      <c r="T170" s="220"/>
    </row>
    <row r="171" spans="1:20" s="214" customFormat="1" x14ac:dyDescent="0.25">
      <c r="A171" s="309">
        <f>'A) Base RI'!A172</f>
        <v>5678</v>
      </c>
      <c r="B171" s="227" t="str">
        <f>'A) Base RI'!B172</f>
        <v>Moudon</v>
      </c>
      <c r="C171" s="243">
        <v>0</v>
      </c>
      <c r="D171" s="216">
        <f>'B) D RI'!AA172</f>
        <v>6109</v>
      </c>
      <c r="E171" s="217">
        <f>'B) D RI'!S172</f>
        <v>72.5</v>
      </c>
      <c r="F171" s="10">
        <f>'B) D RI'!R172</f>
        <v>9059992.8499999996</v>
      </c>
      <c r="G171" s="10">
        <f>'B) D RI'!U172</f>
        <v>124965.41862068966</v>
      </c>
      <c r="H171" s="41">
        <f>'B) D RI'!T172</f>
        <v>8141307.5999999996</v>
      </c>
      <c r="I171" s="10">
        <f t="shared" si="19"/>
        <v>224587.79586206895</v>
      </c>
      <c r="J171" s="31">
        <f t="shared" ref="J171:J218" si="27">+$I$315/$D$315*D171</f>
        <v>543869.57200503431</v>
      </c>
      <c r="K171" s="10">
        <f t="shared" si="16"/>
        <v>224587.79586206895</v>
      </c>
      <c r="L171" s="10">
        <f t="shared" si="20"/>
        <v>319281.77614296536</v>
      </c>
      <c r="M171" s="10">
        <f>'D) Ecrêtage'!C170</f>
        <v>124965.41862068966</v>
      </c>
      <c r="N171" s="10">
        <f t="shared" si="17"/>
        <v>146773.74785205399</v>
      </c>
      <c r="O171" s="55">
        <f t="shared" si="18"/>
        <v>371361.54371412296</v>
      </c>
      <c r="P171" s="218"/>
      <c r="Q171" s="219"/>
      <c r="R171" s="215"/>
      <c r="S171" s="215"/>
      <c r="T171" s="220"/>
    </row>
    <row r="172" spans="1:20" s="214" customFormat="1" x14ac:dyDescent="0.25">
      <c r="A172" s="309">
        <f>'A) Base RI'!A173</f>
        <v>5680</v>
      </c>
      <c r="B172" s="227" t="str">
        <f>'A) Base RI'!B173</f>
        <v>Ogens</v>
      </c>
      <c r="C172" s="243">
        <v>0</v>
      </c>
      <c r="D172" s="216">
        <f>'B) D RI'!AA173</f>
        <v>301</v>
      </c>
      <c r="E172" s="217">
        <f>'B) D RI'!S173</f>
        <v>78</v>
      </c>
      <c r="F172" s="10">
        <f>'B) D RI'!R173</f>
        <v>676655.08666666667</v>
      </c>
      <c r="G172" s="10">
        <f>'B) D RI'!U173</f>
        <v>8675.0652136752142</v>
      </c>
      <c r="H172" s="41">
        <f>'B) D RI'!T173</f>
        <v>625010.72</v>
      </c>
      <c r="I172" s="10">
        <f t="shared" si="19"/>
        <v>16025.915897435896</v>
      </c>
      <c r="J172" s="31">
        <f t="shared" si="27"/>
        <v>26797.305806763026</v>
      </c>
      <c r="K172" s="10">
        <f t="shared" si="16"/>
        <v>16025.915897435896</v>
      </c>
      <c r="L172" s="10">
        <f t="shared" si="20"/>
        <v>10771.38990932713</v>
      </c>
      <c r="M172" s="10">
        <f>'D) Ecrêtage'!C171</f>
        <v>8675.0652136752142</v>
      </c>
      <c r="N172" s="10">
        <f t="shared" si="17"/>
        <v>10188.993469760473</v>
      </c>
      <c r="O172" s="55">
        <f t="shared" si="18"/>
        <v>26214.909367196371</v>
      </c>
      <c r="P172" s="218"/>
      <c r="Q172" s="219"/>
      <c r="R172" s="215"/>
      <c r="S172" s="215"/>
      <c r="T172" s="220"/>
    </row>
    <row r="173" spans="1:20" s="214" customFormat="1" x14ac:dyDescent="0.25">
      <c r="A173" s="309">
        <f>'A) Base RI'!A174</f>
        <v>5683</v>
      </c>
      <c r="B173" s="227" t="str">
        <f>'A) Base RI'!B174</f>
        <v>Prévonloup</v>
      </c>
      <c r="C173" s="243">
        <v>0</v>
      </c>
      <c r="D173" s="216">
        <f>'B) D RI'!AA174</f>
        <v>202</v>
      </c>
      <c r="E173" s="217">
        <f>'B) D RI'!S174</f>
        <v>72.5</v>
      </c>
      <c r="F173" s="10">
        <f>'B) D RI'!R174</f>
        <v>362937.05000000005</v>
      </c>
      <c r="G173" s="10">
        <f>'B) D RI'!U174</f>
        <v>5006.0282758620697</v>
      </c>
      <c r="H173" s="41">
        <f>'B) D RI'!T174</f>
        <v>332152.80000000005</v>
      </c>
      <c r="I173" s="10">
        <f t="shared" si="19"/>
        <v>9162.8358620689669</v>
      </c>
      <c r="J173" s="31">
        <f t="shared" si="27"/>
        <v>17983.573996565221</v>
      </c>
      <c r="K173" s="10">
        <f t="shared" si="16"/>
        <v>9162.8358620689669</v>
      </c>
      <c r="L173" s="10">
        <f t="shared" si="20"/>
        <v>8820.7381344962541</v>
      </c>
      <c r="M173" s="10">
        <f>'D) Ecrêtage'!C172</f>
        <v>5006.0282758620697</v>
      </c>
      <c r="N173" s="10">
        <f t="shared" si="17"/>
        <v>5879.6548678146382</v>
      </c>
      <c r="O173" s="55">
        <f t="shared" si="18"/>
        <v>15042.490729883604</v>
      </c>
      <c r="P173" s="218"/>
      <c r="Q173" s="219"/>
      <c r="R173" s="215"/>
      <c r="S173" s="215"/>
      <c r="T173" s="220"/>
    </row>
    <row r="174" spans="1:20" s="214" customFormat="1" x14ac:dyDescent="0.25">
      <c r="A174" s="309">
        <f>'A) Base RI'!A175</f>
        <v>5684</v>
      </c>
      <c r="B174" s="227" t="str">
        <f>'A) Base RI'!B175</f>
        <v>Rossenges</v>
      </c>
      <c r="C174" s="243">
        <v>0</v>
      </c>
      <c r="D174" s="216">
        <f>'B) D RI'!AA175</f>
        <v>84</v>
      </c>
      <c r="E174" s="217">
        <f>'B) D RI'!S175</f>
        <v>75</v>
      </c>
      <c r="F174" s="10">
        <f>'B) D RI'!R175</f>
        <v>325149.25500000006</v>
      </c>
      <c r="G174" s="10">
        <f>'B) D RI'!U175</f>
        <v>4335.3234000000011</v>
      </c>
      <c r="H174" s="41">
        <f>'B) D RI'!T175</f>
        <v>317071.88000000006</v>
      </c>
      <c r="I174" s="10">
        <f t="shared" si="19"/>
        <v>8455.2501333333348</v>
      </c>
      <c r="J174" s="31">
        <f t="shared" si="27"/>
        <v>7478.3178995617754</v>
      </c>
      <c r="K174" s="10">
        <f t="shared" si="16"/>
        <v>7478.3178995617754</v>
      </c>
      <c r="L174" s="10">
        <f t="shared" si="20"/>
        <v>0</v>
      </c>
      <c r="M174" s="10">
        <f>'D) Ecrêtage'!C173</f>
        <v>4335.3234000000011</v>
      </c>
      <c r="N174" s="10">
        <f t="shared" si="17"/>
        <v>5091.9019885022808</v>
      </c>
      <c r="O174" s="55">
        <f t="shared" si="18"/>
        <v>12570.219888064057</v>
      </c>
      <c r="P174" s="218"/>
      <c r="Q174" s="219"/>
      <c r="R174" s="215"/>
      <c r="S174" s="215"/>
      <c r="T174" s="220"/>
    </row>
    <row r="175" spans="1:20" s="214" customFormat="1" x14ac:dyDescent="0.25">
      <c r="A175" s="309">
        <f>'A) Base RI'!A176</f>
        <v>5688</v>
      </c>
      <c r="B175" s="227" t="str">
        <f>'A) Base RI'!B176</f>
        <v>Syens</v>
      </c>
      <c r="C175" s="243">
        <v>0</v>
      </c>
      <c r="D175" s="216">
        <f>'B) D RI'!AA176</f>
        <v>156</v>
      </c>
      <c r="E175" s="217">
        <f>'B) D RI'!S176</f>
        <v>75.599999999999994</v>
      </c>
      <c r="F175" s="10">
        <f>'B) D RI'!R176</f>
        <v>385112.18</v>
      </c>
      <c r="G175" s="10">
        <f>'B) D RI'!U176</f>
        <v>5094.0764550264557</v>
      </c>
      <c r="H175" s="41">
        <f>'B) D RI'!T176</f>
        <v>361244.27999999997</v>
      </c>
      <c r="I175" s="10">
        <f t="shared" si="19"/>
        <v>9556.7269841269845</v>
      </c>
      <c r="J175" s="31">
        <f t="shared" si="27"/>
        <v>13888.304670614725</v>
      </c>
      <c r="K175" s="10">
        <f t="shared" si="16"/>
        <v>9556.7269841269845</v>
      </c>
      <c r="L175" s="10">
        <f t="shared" si="20"/>
        <v>4331.5776864877407</v>
      </c>
      <c r="M175" s="10">
        <f>'D) Ecrêtage'!C174</f>
        <v>5094.0764550264557</v>
      </c>
      <c r="N175" s="10">
        <f t="shared" si="17"/>
        <v>5983.0687673569755</v>
      </c>
      <c r="O175" s="55">
        <f t="shared" si="18"/>
        <v>15539.79575148396</v>
      </c>
      <c r="P175" s="218"/>
      <c r="Q175" s="219"/>
      <c r="R175" s="215"/>
      <c r="S175" s="215"/>
      <c r="T175" s="220"/>
    </row>
    <row r="176" spans="1:20" s="214" customFormat="1" x14ac:dyDescent="0.25">
      <c r="A176" s="309">
        <f>'A) Base RI'!A177</f>
        <v>5690</v>
      </c>
      <c r="B176" s="227" t="str">
        <f>'A) Base RI'!B177</f>
        <v>Villars-le-Comte</v>
      </c>
      <c r="C176" s="243">
        <v>0</v>
      </c>
      <c r="D176" s="216">
        <f>'B) D RI'!AA177</f>
        <v>120</v>
      </c>
      <c r="E176" s="217">
        <f>'B) D RI'!S177</f>
        <v>70</v>
      </c>
      <c r="F176" s="10">
        <f>'B) D RI'!R177</f>
        <v>243864.52000000002</v>
      </c>
      <c r="G176" s="10">
        <f>'B) D RI'!U177</f>
        <v>3483.7788571428573</v>
      </c>
      <c r="H176" s="41">
        <f>'B) D RI'!T177</f>
        <v>222215.42</v>
      </c>
      <c r="I176" s="10">
        <f t="shared" si="19"/>
        <v>6349.0120000000006</v>
      </c>
      <c r="J176" s="31">
        <f t="shared" si="27"/>
        <v>10683.31128508825</v>
      </c>
      <c r="K176" s="10">
        <f t="shared" si="16"/>
        <v>6349.0120000000006</v>
      </c>
      <c r="L176" s="10">
        <f t="shared" si="20"/>
        <v>4334.2992850882492</v>
      </c>
      <c r="M176" s="10">
        <f>'D) Ecrêtage'!C175</f>
        <v>3483.7788571428573</v>
      </c>
      <c r="N176" s="10">
        <f t="shared" si="17"/>
        <v>4091.7502233369514</v>
      </c>
      <c r="O176" s="55">
        <f t="shared" si="18"/>
        <v>10440.762223336951</v>
      </c>
      <c r="P176" s="218"/>
      <c r="Q176" s="219"/>
      <c r="R176" s="215"/>
      <c r="S176" s="215"/>
      <c r="T176" s="220"/>
    </row>
    <row r="177" spans="1:20" s="214" customFormat="1" x14ac:dyDescent="0.25">
      <c r="A177" s="309">
        <f>'A) Base RI'!A178</f>
        <v>5692</v>
      </c>
      <c r="B177" s="227" t="str">
        <f>'A) Base RI'!B178</f>
        <v>Vucherens</v>
      </c>
      <c r="C177" s="243">
        <v>0</v>
      </c>
      <c r="D177" s="216">
        <f>'B) D RI'!AA178</f>
        <v>617</v>
      </c>
      <c r="E177" s="217">
        <f>'B) D RI'!S178</f>
        <v>77</v>
      </c>
      <c r="F177" s="10">
        <f>'B) D RI'!R178</f>
        <v>1392510.8400000003</v>
      </c>
      <c r="G177" s="10">
        <f>'B) D RI'!U178</f>
        <v>18084.556363636369</v>
      </c>
      <c r="H177" s="41">
        <f>'B) D RI'!T178</f>
        <v>1291418.2900000003</v>
      </c>
      <c r="I177" s="10">
        <f t="shared" si="19"/>
        <v>33543.332207792213</v>
      </c>
      <c r="J177" s="31">
        <f t="shared" si="27"/>
        <v>54930.025524162083</v>
      </c>
      <c r="K177" s="10">
        <f t="shared" si="16"/>
        <v>33543.332207792213</v>
      </c>
      <c r="L177" s="10">
        <f t="shared" si="20"/>
        <v>21386.69331636987</v>
      </c>
      <c r="M177" s="10">
        <f>'D) Ecrêtage'!C176</f>
        <v>18084.556363636369</v>
      </c>
      <c r="N177" s="10">
        <f t="shared" si="17"/>
        <v>21240.58115461042</v>
      </c>
      <c r="O177" s="55">
        <f t="shared" si="18"/>
        <v>54783.913362402629</v>
      </c>
      <c r="P177" s="218"/>
      <c r="Q177" s="219"/>
      <c r="R177" s="215"/>
      <c r="S177" s="215"/>
      <c r="T177" s="220"/>
    </row>
    <row r="178" spans="1:20" s="214" customFormat="1" x14ac:dyDescent="0.25">
      <c r="A178" s="309">
        <f>'A) Base RI'!A179</f>
        <v>5693</v>
      </c>
      <c r="B178" s="227" t="str">
        <f>'A) Base RI'!B179</f>
        <v>Montanaire</v>
      </c>
      <c r="C178" s="243">
        <v>0</v>
      </c>
      <c r="D178" s="216">
        <f>'B) D RI'!AA179</f>
        <v>2782</v>
      </c>
      <c r="E178" s="217">
        <f>'B) D RI'!S179</f>
        <v>72</v>
      </c>
      <c r="F178" s="10">
        <f>'B) D RI'!R179</f>
        <v>5120678.5299999993</v>
      </c>
      <c r="G178" s="10">
        <f>'B) D RI'!U179</f>
        <v>71120.535138888881</v>
      </c>
      <c r="H178" s="41">
        <f>'B) D RI'!T179</f>
        <v>4687410.63</v>
      </c>
      <c r="I178" s="10">
        <f t="shared" si="19"/>
        <v>130205.85083333333</v>
      </c>
      <c r="J178" s="31">
        <f t="shared" si="27"/>
        <v>247674.7666259626</v>
      </c>
      <c r="K178" s="10">
        <f t="shared" si="16"/>
        <v>130205.85083333333</v>
      </c>
      <c r="L178" s="10">
        <f t="shared" si="20"/>
        <v>117468.91579262927</v>
      </c>
      <c r="M178" s="10">
        <f>'D) Ecrêtage'!C177</f>
        <v>71120.535138888881</v>
      </c>
      <c r="N178" s="10">
        <f t="shared" si="17"/>
        <v>83532.129182578283</v>
      </c>
      <c r="O178" s="55">
        <f t="shared" si="18"/>
        <v>213737.98001591163</v>
      </c>
      <c r="P178" s="218"/>
      <c r="Q178" s="219"/>
      <c r="R178" s="215"/>
      <c r="S178" s="215"/>
      <c r="T178" s="220"/>
    </row>
    <row r="179" spans="1:20" s="214" customFormat="1" x14ac:dyDescent="0.25">
      <c r="A179" s="309">
        <f>'A) Base RI'!A180</f>
        <v>5701</v>
      </c>
      <c r="B179" s="227" t="str">
        <f>'A) Base RI'!B180</f>
        <v>Arnex-sur-Nyon</v>
      </c>
      <c r="C179" s="243">
        <v>0</v>
      </c>
      <c r="D179" s="216">
        <f>'B) D RI'!AA180</f>
        <v>240</v>
      </c>
      <c r="E179" s="217">
        <f>'B) D RI'!S180</f>
        <v>70</v>
      </c>
      <c r="F179" s="10">
        <f>'B) D RI'!R180</f>
        <v>880557.42</v>
      </c>
      <c r="G179" s="10">
        <f>'B) D RI'!U180</f>
        <v>12579.391714285715</v>
      </c>
      <c r="H179" s="41">
        <f>'B) D RI'!T180</f>
        <v>808392.07000000007</v>
      </c>
      <c r="I179" s="10">
        <f t="shared" si="19"/>
        <v>23096.916285714287</v>
      </c>
      <c r="J179" s="31">
        <f t="shared" si="27"/>
        <v>21366.6225701765</v>
      </c>
      <c r="K179" s="10">
        <f t="shared" si="16"/>
        <v>21366.6225701765</v>
      </c>
      <c r="L179" s="10">
        <f t="shared" si="20"/>
        <v>0</v>
      </c>
      <c r="M179" s="10">
        <f>'D) Ecrêtage'!C178</f>
        <v>12579.391714285715</v>
      </c>
      <c r="N179" s="10">
        <f t="shared" si="17"/>
        <v>14774.68317222206</v>
      </c>
      <c r="O179" s="55">
        <f t="shared" si="18"/>
        <v>36141.305742398559</v>
      </c>
      <c r="P179" s="218"/>
      <c r="Q179" s="219"/>
      <c r="R179" s="215"/>
      <c r="S179" s="215"/>
      <c r="T179" s="220"/>
    </row>
    <row r="180" spans="1:20" s="214" customFormat="1" x14ac:dyDescent="0.25">
      <c r="A180" s="309">
        <f>'A) Base RI'!A181</f>
        <v>5702</v>
      </c>
      <c r="B180" s="227" t="str">
        <f>'A) Base RI'!B181</f>
        <v>Arzier-Le Muids</v>
      </c>
      <c r="C180" s="243">
        <v>0</v>
      </c>
      <c r="D180" s="216">
        <f>'B) D RI'!AA181</f>
        <v>2912</v>
      </c>
      <c r="E180" s="217">
        <f>'B) D RI'!S181</f>
        <v>64</v>
      </c>
      <c r="F180" s="10">
        <f>'B) D RI'!R181</f>
        <v>10736071.496666666</v>
      </c>
      <c r="G180" s="10">
        <f>'B) D RI'!U181</f>
        <v>167751.11713541666</v>
      </c>
      <c r="H180" s="41">
        <f>'B) D RI'!T181</f>
        <v>9900914.4799999986</v>
      </c>
      <c r="I180" s="10">
        <f t="shared" si="19"/>
        <v>309403.57749999996</v>
      </c>
      <c r="J180" s="31">
        <f t="shared" si="27"/>
        <v>259248.35385147488</v>
      </c>
      <c r="K180" s="10">
        <f t="shared" si="16"/>
        <v>259248.35385147488</v>
      </c>
      <c r="L180" s="10">
        <f t="shared" si="20"/>
        <v>0</v>
      </c>
      <c r="M180" s="10">
        <f>'D) Ecrêtage'!C179</f>
        <v>167751.11713541666</v>
      </c>
      <c r="N180" s="10">
        <f t="shared" si="17"/>
        <v>197026.18884563647</v>
      </c>
      <c r="O180" s="55">
        <f t="shared" si="18"/>
        <v>456274.54269711138</v>
      </c>
      <c r="P180" s="218"/>
      <c r="Q180" s="219"/>
      <c r="R180" s="215"/>
      <c r="S180" s="215"/>
      <c r="T180" s="220"/>
    </row>
    <row r="181" spans="1:20" s="214" customFormat="1" x14ac:dyDescent="0.25">
      <c r="A181" s="309">
        <f>'A) Base RI'!A182</f>
        <v>5703</v>
      </c>
      <c r="B181" s="227" t="str">
        <f>'A) Base RI'!B182</f>
        <v>Bassins</v>
      </c>
      <c r="C181" s="243">
        <v>0</v>
      </c>
      <c r="D181" s="216">
        <f>'B) D RI'!AA182</f>
        <v>1475</v>
      </c>
      <c r="E181" s="217">
        <f>'B) D RI'!S182</f>
        <v>72.5</v>
      </c>
      <c r="F181" s="10">
        <f>'B) D RI'!R182</f>
        <v>4850566.3871428566</v>
      </c>
      <c r="G181" s="10">
        <f>'B) D RI'!U182</f>
        <v>66904.36396059113</v>
      </c>
      <c r="H181" s="41">
        <f>'B) D RI'!T182</f>
        <v>4522440.7799999993</v>
      </c>
      <c r="I181" s="10">
        <f t="shared" si="19"/>
        <v>124756.98703448274</v>
      </c>
      <c r="J181" s="31">
        <f t="shared" si="27"/>
        <v>131315.70121254306</v>
      </c>
      <c r="K181" s="10">
        <f t="shared" si="16"/>
        <v>124756.98703448274</v>
      </c>
      <c r="L181" s="10">
        <f t="shared" si="20"/>
        <v>6558.714178060327</v>
      </c>
      <c r="M181" s="10">
        <f>'D) Ecrêtage'!C180</f>
        <v>66904.36396059113</v>
      </c>
      <c r="N181" s="10">
        <f t="shared" si="17"/>
        <v>78580.173255451766</v>
      </c>
      <c r="O181" s="55">
        <f t="shared" si="18"/>
        <v>203337.16028993449</v>
      </c>
      <c r="P181" s="218"/>
      <c r="Q181" s="219"/>
      <c r="R181" s="215"/>
      <c r="S181" s="215"/>
      <c r="T181" s="220"/>
    </row>
    <row r="182" spans="1:20" s="214" customFormat="1" x14ac:dyDescent="0.25">
      <c r="A182" s="309">
        <f>'A) Base RI'!A183</f>
        <v>5704</v>
      </c>
      <c r="B182" s="227" t="str">
        <f>'A) Base RI'!B183</f>
        <v>Begnins</v>
      </c>
      <c r="C182" s="243">
        <v>0</v>
      </c>
      <c r="D182" s="216">
        <f>'B) D RI'!AA183</f>
        <v>1928</v>
      </c>
      <c r="E182" s="217">
        <f>'B) D RI'!S183</f>
        <v>62.5</v>
      </c>
      <c r="F182" s="10">
        <f>'B) D RI'!R183</f>
        <v>8846174.6733333338</v>
      </c>
      <c r="G182" s="10">
        <f>'B) D RI'!U183</f>
        <v>141538.79477333333</v>
      </c>
      <c r="H182" s="41">
        <f>'B) D RI'!T183</f>
        <v>8294407.0900000008</v>
      </c>
      <c r="I182" s="10">
        <f t="shared" si="19"/>
        <v>265421.02688000002</v>
      </c>
      <c r="J182" s="31">
        <f t="shared" si="27"/>
        <v>171645.20131375123</v>
      </c>
      <c r="K182" s="10">
        <f t="shared" si="16"/>
        <v>171645.20131375123</v>
      </c>
      <c r="L182" s="10">
        <f t="shared" si="20"/>
        <v>0</v>
      </c>
      <c r="M182" s="10">
        <f>'D) Ecrêtage'!C181</f>
        <v>141538.79477333333</v>
      </c>
      <c r="N182" s="10">
        <f t="shared" si="17"/>
        <v>166239.42531174305</v>
      </c>
      <c r="O182" s="55">
        <f t="shared" si="18"/>
        <v>337884.62662549427</v>
      </c>
      <c r="P182" s="218"/>
      <c r="Q182" s="219"/>
      <c r="R182" s="215"/>
      <c r="S182" s="215"/>
      <c r="T182" s="220"/>
    </row>
    <row r="183" spans="1:20" s="214" customFormat="1" x14ac:dyDescent="0.25">
      <c r="A183" s="309">
        <f>'A) Base RI'!A184</f>
        <v>5705</v>
      </c>
      <c r="B183" s="227" t="str">
        <f>'A) Base RI'!B184</f>
        <v>Bogis-Bossey</v>
      </c>
      <c r="C183" s="243">
        <v>0</v>
      </c>
      <c r="D183" s="216">
        <f>'B) D RI'!AA184</f>
        <v>835</v>
      </c>
      <c r="E183" s="217">
        <f>'B) D RI'!S184</f>
        <v>74.5</v>
      </c>
      <c r="F183" s="10">
        <f>'B) D RI'!R184</f>
        <v>4183096.63</v>
      </c>
      <c r="G183" s="10">
        <f>'B) D RI'!U184</f>
        <v>56148.948053691274</v>
      </c>
      <c r="H183" s="41">
        <f>'B) D RI'!T184</f>
        <v>3945904.38</v>
      </c>
      <c r="I183" s="10">
        <f t="shared" si="19"/>
        <v>105930.3189261745</v>
      </c>
      <c r="J183" s="31">
        <f t="shared" si="27"/>
        <v>74338.041025405735</v>
      </c>
      <c r="K183" s="10">
        <f t="shared" si="16"/>
        <v>74338.041025405735</v>
      </c>
      <c r="L183" s="10">
        <f t="shared" si="20"/>
        <v>0</v>
      </c>
      <c r="M183" s="10">
        <f>'D) Ecrêtage'!C182</f>
        <v>56148.948053691274</v>
      </c>
      <c r="N183" s="10">
        <f t="shared" si="17"/>
        <v>65947.77687101769</v>
      </c>
      <c r="O183" s="55">
        <f t="shared" si="18"/>
        <v>140285.81789642342</v>
      </c>
      <c r="P183" s="218"/>
      <c r="Q183" s="219"/>
      <c r="R183" s="215"/>
      <c r="S183" s="215"/>
      <c r="T183" s="220"/>
    </row>
    <row r="184" spans="1:20" s="214" customFormat="1" x14ac:dyDescent="0.25">
      <c r="A184" s="309">
        <f>'A) Base RI'!A185</f>
        <v>5706</v>
      </c>
      <c r="B184" s="227" t="str">
        <f>'A) Base RI'!B185</f>
        <v>Borex</v>
      </c>
      <c r="C184" s="243">
        <v>0</v>
      </c>
      <c r="D184" s="216">
        <f>'B) D RI'!AA185</f>
        <v>1157</v>
      </c>
      <c r="E184" s="217">
        <f>'B) D RI'!S185</f>
        <v>57</v>
      </c>
      <c r="F184" s="10">
        <f>'B) D RI'!R185</f>
        <v>4791289.2899999991</v>
      </c>
      <c r="G184" s="10">
        <f>'B) D RI'!U185</f>
        <v>84057.706842105254</v>
      </c>
      <c r="H184" s="41">
        <f>'B) D RI'!T185</f>
        <v>4481367.7899999991</v>
      </c>
      <c r="I184" s="10">
        <f t="shared" si="19"/>
        <v>157240.97508771927</v>
      </c>
      <c r="J184" s="31">
        <f t="shared" si="27"/>
        <v>103004.92630705921</v>
      </c>
      <c r="K184" s="10">
        <f t="shared" si="16"/>
        <v>103004.92630705921</v>
      </c>
      <c r="L184" s="10">
        <f t="shared" si="20"/>
        <v>0</v>
      </c>
      <c r="M184" s="10">
        <f>'D) Ecrêtage'!C183</f>
        <v>84057.706842105254</v>
      </c>
      <c r="N184" s="10">
        <f t="shared" si="17"/>
        <v>98727.03028758071</v>
      </c>
      <c r="O184" s="55">
        <f t="shared" si="18"/>
        <v>201731.95659463992</v>
      </c>
      <c r="P184" s="218"/>
      <c r="Q184" s="219"/>
      <c r="R184" s="215"/>
      <c r="S184" s="215"/>
      <c r="T184" s="220"/>
    </row>
    <row r="185" spans="1:20" s="214" customFormat="1" x14ac:dyDescent="0.25">
      <c r="A185" s="309">
        <f>'A) Base RI'!A186</f>
        <v>5707</v>
      </c>
      <c r="B185" s="227" t="str">
        <f>'A) Base RI'!B186</f>
        <v>Chavannes-de-Bogis</v>
      </c>
      <c r="C185" s="243">
        <v>0</v>
      </c>
      <c r="D185" s="216">
        <f>'B) D RI'!AA186</f>
        <v>1329</v>
      </c>
      <c r="E185" s="217">
        <f>'B) D RI'!S186</f>
        <v>58</v>
      </c>
      <c r="F185" s="10">
        <f>'B) D RI'!R186</f>
        <v>4746448.586666666</v>
      </c>
      <c r="G185" s="10">
        <f>'B) D RI'!U186</f>
        <v>81835.320459770097</v>
      </c>
      <c r="H185" s="41">
        <f>'B) D RI'!T186</f>
        <v>4209864.0199999996</v>
      </c>
      <c r="I185" s="10">
        <f t="shared" si="19"/>
        <v>145167.72482758618</v>
      </c>
      <c r="J185" s="31">
        <f t="shared" si="27"/>
        <v>118317.67248235237</v>
      </c>
      <c r="K185" s="10">
        <f t="shared" si="16"/>
        <v>118317.67248235237</v>
      </c>
      <c r="L185" s="10">
        <f t="shared" si="20"/>
        <v>0</v>
      </c>
      <c r="M185" s="10">
        <f>'D) Ecrêtage'!C184</f>
        <v>81835.320459770097</v>
      </c>
      <c r="N185" s="10">
        <f t="shared" si="17"/>
        <v>96116.80433778587</v>
      </c>
      <c r="O185" s="55">
        <f t="shared" si="18"/>
        <v>214434.47682013822</v>
      </c>
      <c r="P185" s="218"/>
      <c r="Q185" s="219"/>
      <c r="R185" s="215"/>
      <c r="S185" s="215"/>
      <c r="T185" s="220"/>
    </row>
    <row r="186" spans="1:20" s="214" customFormat="1" x14ac:dyDescent="0.25">
      <c r="A186" s="309">
        <f>'A) Base RI'!A187</f>
        <v>5708</v>
      </c>
      <c r="B186" s="227" t="str">
        <f>'A) Base RI'!B187</f>
        <v>Chavannes-des-Bois</v>
      </c>
      <c r="C186" s="243">
        <v>0</v>
      </c>
      <c r="D186" s="216">
        <f>'B) D RI'!AA187</f>
        <v>1013</v>
      </c>
      <c r="E186" s="217">
        <f>'B) D RI'!S187</f>
        <v>68</v>
      </c>
      <c r="F186" s="10">
        <f>'B) D RI'!R187</f>
        <v>4573415.6700000009</v>
      </c>
      <c r="G186" s="10">
        <f>'B) D RI'!U187</f>
        <v>67256.112794117653</v>
      </c>
      <c r="H186" s="41">
        <f>'B) D RI'!T187</f>
        <v>4282928.5200000005</v>
      </c>
      <c r="I186" s="10">
        <f t="shared" si="19"/>
        <v>125968.48588235295</v>
      </c>
      <c r="J186" s="31">
        <f t="shared" si="27"/>
        <v>90184.952764953312</v>
      </c>
      <c r="K186" s="10">
        <f t="shared" si="16"/>
        <v>90184.952764953312</v>
      </c>
      <c r="L186" s="10">
        <f t="shared" si="20"/>
        <v>0</v>
      </c>
      <c r="M186" s="10">
        <f>'D) Ecrêtage'!C185</f>
        <v>67256.112794117653</v>
      </c>
      <c r="N186" s="10">
        <f t="shared" si="17"/>
        <v>78993.307506263838</v>
      </c>
      <c r="O186" s="55">
        <f t="shared" si="18"/>
        <v>169178.26027121715</v>
      </c>
      <c r="P186" s="218"/>
      <c r="Q186" s="219"/>
      <c r="R186" s="215"/>
      <c r="S186" s="215"/>
      <c r="T186" s="220"/>
    </row>
    <row r="187" spans="1:20" s="214" customFormat="1" x14ac:dyDescent="0.25">
      <c r="A187" s="309">
        <f>'A) Base RI'!A188</f>
        <v>5709</v>
      </c>
      <c r="B187" s="227" t="str">
        <f>'A) Base RI'!B188</f>
        <v>Chéserex</v>
      </c>
      <c r="C187" s="243">
        <v>0</v>
      </c>
      <c r="D187" s="216">
        <f>'B) D RI'!AA188</f>
        <v>1248</v>
      </c>
      <c r="E187" s="217">
        <f>'B) D RI'!S188</f>
        <v>57</v>
      </c>
      <c r="F187" s="10">
        <f>'B) D RI'!R188</f>
        <v>5549979.7799999993</v>
      </c>
      <c r="G187" s="10">
        <f>'B) D RI'!U188</f>
        <v>97368.06631578946</v>
      </c>
      <c r="H187" s="41">
        <f>'B) D RI'!T188</f>
        <v>5179678.5299999993</v>
      </c>
      <c r="I187" s="10">
        <f t="shared" si="19"/>
        <v>181743.10631578945</v>
      </c>
      <c r="J187" s="31">
        <f t="shared" si="27"/>
        <v>111106.4373649178</v>
      </c>
      <c r="K187" s="10">
        <f t="shared" si="16"/>
        <v>111106.4373649178</v>
      </c>
      <c r="L187" s="10">
        <f t="shared" si="20"/>
        <v>0</v>
      </c>
      <c r="M187" s="10">
        <f>'D) Ecrêtage'!C186</f>
        <v>97368.06631578946</v>
      </c>
      <c r="N187" s="10">
        <f t="shared" si="17"/>
        <v>114360.24599456413</v>
      </c>
      <c r="O187" s="55">
        <f t="shared" si="18"/>
        <v>225466.68335948192</v>
      </c>
      <c r="P187" s="218"/>
      <c r="Q187" s="219"/>
      <c r="R187" s="215"/>
      <c r="S187" s="215"/>
      <c r="T187" s="220"/>
    </row>
    <row r="188" spans="1:20" s="214" customFormat="1" x14ac:dyDescent="0.25">
      <c r="A188" s="309">
        <f>'A) Base RI'!A189</f>
        <v>5710</v>
      </c>
      <c r="B188" s="227" t="str">
        <f>'A) Base RI'!B189</f>
        <v>Coinsins</v>
      </c>
      <c r="C188" s="243">
        <v>0</v>
      </c>
      <c r="D188" s="216">
        <f>'B) D RI'!AA189</f>
        <v>509</v>
      </c>
      <c r="E188" s="217">
        <f>'B) D RI'!S189</f>
        <v>51</v>
      </c>
      <c r="F188" s="10">
        <f>'B) D RI'!R189</f>
        <v>2096557.23</v>
      </c>
      <c r="G188" s="10">
        <f>'B) D RI'!U189</f>
        <v>41108.965294117646</v>
      </c>
      <c r="H188" s="41">
        <f>'B) D RI'!T189</f>
        <v>1955762.78</v>
      </c>
      <c r="I188" s="10">
        <f t="shared" si="19"/>
        <v>76696.579607843145</v>
      </c>
      <c r="J188" s="31">
        <f t="shared" si="27"/>
        <v>45315.045367582665</v>
      </c>
      <c r="K188" s="10">
        <f t="shared" si="16"/>
        <v>45315.045367582665</v>
      </c>
      <c r="L188" s="10">
        <f t="shared" si="20"/>
        <v>0</v>
      </c>
      <c r="M188" s="10">
        <f>'D) Ecrêtage'!C187</f>
        <v>41108.965294117646</v>
      </c>
      <c r="N188" s="10">
        <f t="shared" si="17"/>
        <v>48283.092819877944</v>
      </c>
      <c r="O188" s="55">
        <f t="shared" si="18"/>
        <v>93598.138187460601</v>
      </c>
      <c r="P188" s="218"/>
      <c r="Q188" s="219"/>
      <c r="R188" s="215"/>
      <c r="S188" s="215"/>
      <c r="T188" s="220"/>
    </row>
    <row r="189" spans="1:20" s="214" customFormat="1" x14ac:dyDescent="0.25">
      <c r="A189" s="309">
        <f>'A) Base RI'!A190</f>
        <v>5711</v>
      </c>
      <c r="B189" s="227" t="str">
        <f>'A) Base RI'!B190</f>
        <v>Commugny</v>
      </c>
      <c r="C189" s="243">
        <v>0</v>
      </c>
      <c r="D189" s="216">
        <f>'B) D RI'!AA190</f>
        <v>2997</v>
      </c>
      <c r="E189" s="217">
        <f>'B) D RI'!S190</f>
        <v>55.5</v>
      </c>
      <c r="F189" s="10">
        <f>'B) D RI'!R190</f>
        <v>14028883.34923077</v>
      </c>
      <c r="G189" s="10">
        <f>'B) D RI'!U190</f>
        <v>252772.67295911297</v>
      </c>
      <c r="H189" s="41">
        <f>'B) D RI'!T190</f>
        <v>13104084.93</v>
      </c>
      <c r="I189" s="10">
        <f t="shared" si="19"/>
        <v>472219.27675675676</v>
      </c>
      <c r="J189" s="31">
        <f t="shared" si="27"/>
        <v>266815.69934507908</v>
      </c>
      <c r="K189" s="10">
        <f t="shared" si="16"/>
        <v>266815.69934507908</v>
      </c>
      <c r="L189" s="10">
        <f t="shared" si="20"/>
        <v>0</v>
      </c>
      <c r="M189" s="10">
        <f>'D) Ecrêtage'!C188</f>
        <v>252772.67295911297</v>
      </c>
      <c r="N189" s="10">
        <f t="shared" si="17"/>
        <v>296885.27413653699</v>
      </c>
      <c r="O189" s="55">
        <f t="shared" si="18"/>
        <v>563700.97348161601</v>
      </c>
      <c r="P189" s="218"/>
      <c r="Q189" s="219"/>
      <c r="R189" s="215"/>
      <c r="S189" s="215"/>
      <c r="T189" s="220"/>
    </row>
    <row r="190" spans="1:20" s="214" customFormat="1" x14ac:dyDescent="0.25">
      <c r="A190" s="309">
        <f>'A) Base RI'!A191</f>
        <v>5712</v>
      </c>
      <c r="B190" s="227" t="str">
        <f>'A) Base RI'!B191</f>
        <v>Coppet</v>
      </c>
      <c r="C190" s="243">
        <v>0</v>
      </c>
      <c r="D190" s="216">
        <f>'B) D RI'!AA191</f>
        <v>3247</v>
      </c>
      <c r="E190" s="217">
        <f>'B) D RI'!S191</f>
        <v>53</v>
      </c>
      <c r="F190" s="10">
        <f>'B) D RI'!R191</f>
        <v>20246216.423333336</v>
      </c>
      <c r="G190" s="10">
        <f>'B) D RI'!U191</f>
        <v>382004.08345911955</v>
      </c>
      <c r="H190" s="41">
        <f>'B) D RI'!T191</f>
        <v>18994093.290000003</v>
      </c>
      <c r="I190" s="10">
        <f t="shared" si="19"/>
        <v>716758.2373584907</v>
      </c>
      <c r="J190" s="31">
        <f t="shared" si="27"/>
        <v>289072.59785567957</v>
      </c>
      <c r="K190" s="10">
        <f t="shared" si="16"/>
        <v>289072.59785567957</v>
      </c>
      <c r="L190" s="10">
        <f t="shared" si="20"/>
        <v>0</v>
      </c>
      <c r="M190" s="10">
        <f>'D) Ecrêtage'!C189</f>
        <v>382004.08345911955</v>
      </c>
      <c r="N190" s="10">
        <f t="shared" si="17"/>
        <v>448669.49307206966</v>
      </c>
      <c r="O190" s="55">
        <f t="shared" si="18"/>
        <v>737742.09092774917</v>
      </c>
      <c r="P190" s="218"/>
      <c r="Q190" s="219"/>
      <c r="R190" s="215"/>
      <c r="S190" s="215"/>
      <c r="T190" s="220"/>
    </row>
    <row r="191" spans="1:20" s="214" customFormat="1" x14ac:dyDescent="0.25">
      <c r="A191" s="309">
        <f>'A) Base RI'!A192</f>
        <v>5713</v>
      </c>
      <c r="B191" s="227" t="str">
        <f>'A) Base RI'!B192</f>
        <v>Crans-près-Céligny</v>
      </c>
      <c r="C191" s="243">
        <v>1</v>
      </c>
      <c r="D191" s="216">
        <f>'B) D RI'!AA192</f>
        <v>2340</v>
      </c>
      <c r="E191" s="217">
        <f>'B) D RI'!S192</f>
        <v>56</v>
      </c>
      <c r="F191" s="10">
        <f>'B) D RI'!R192</f>
        <v>17285454.489999998</v>
      </c>
      <c r="G191" s="10">
        <f>'B) D RI'!U192</f>
        <v>308668.8301785714</v>
      </c>
      <c r="H191" s="41">
        <f>'B) D RI'!T192</f>
        <v>16434528.939999999</v>
      </c>
      <c r="I191" s="10">
        <f t="shared" si="19"/>
        <v>586947.46214285714</v>
      </c>
      <c r="J191" s="31">
        <f t="shared" si="27"/>
        <v>208324.57005922089</v>
      </c>
      <c r="K191" s="10">
        <f t="shared" si="16"/>
        <v>0</v>
      </c>
      <c r="L191" s="10">
        <f t="shared" si="20"/>
        <v>208324.57005922089</v>
      </c>
      <c r="M191" s="10">
        <f>'D) Ecrêtage'!C190</f>
        <v>308668.8301785714</v>
      </c>
      <c r="N191" s="10">
        <f t="shared" si="17"/>
        <v>362536.14440273127</v>
      </c>
      <c r="O191" s="55">
        <f t="shared" si="18"/>
        <v>362536.14440273127</v>
      </c>
      <c r="P191" s="218"/>
      <c r="Q191" s="219"/>
      <c r="R191" s="215"/>
      <c r="S191" s="215"/>
      <c r="T191" s="220"/>
    </row>
    <row r="192" spans="1:20" s="214" customFormat="1" x14ac:dyDescent="0.25">
      <c r="A192" s="309">
        <f>'A) Base RI'!A193</f>
        <v>5714</v>
      </c>
      <c r="B192" s="227" t="str">
        <f>'A) Base RI'!B193</f>
        <v>Crassier</v>
      </c>
      <c r="C192" s="243">
        <v>0</v>
      </c>
      <c r="D192" s="216">
        <f>'B) D RI'!AA193</f>
        <v>1174</v>
      </c>
      <c r="E192" s="217">
        <f>'B) D RI'!S193</f>
        <v>68</v>
      </c>
      <c r="F192" s="10">
        <f>'B) D RI'!R193</f>
        <v>3633219.03</v>
      </c>
      <c r="G192" s="10">
        <f>'B) D RI'!U193</f>
        <v>53429.691617647055</v>
      </c>
      <c r="H192" s="41">
        <f>'B) D RI'!T193</f>
        <v>3336656.48</v>
      </c>
      <c r="I192" s="10">
        <f t="shared" si="19"/>
        <v>98136.955294117652</v>
      </c>
      <c r="J192" s="31">
        <f t="shared" si="27"/>
        <v>104518.39540578004</v>
      </c>
      <c r="K192" s="10">
        <f t="shared" si="16"/>
        <v>98136.955294117652</v>
      </c>
      <c r="L192" s="10">
        <f t="shared" si="20"/>
        <v>6381.4401116623922</v>
      </c>
      <c r="M192" s="10">
        <f>'D) Ecrêtage'!C191</f>
        <v>53429.691617647055</v>
      </c>
      <c r="N192" s="10">
        <f t="shared" si="17"/>
        <v>62753.969633029126</v>
      </c>
      <c r="O192" s="55">
        <f t="shared" si="18"/>
        <v>160890.92492714679</v>
      </c>
      <c r="P192" s="218"/>
      <c r="Q192" s="219"/>
      <c r="R192" s="215"/>
      <c r="S192" s="215"/>
      <c r="T192" s="220"/>
    </row>
    <row r="193" spans="1:20" s="214" customFormat="1" x14ac:dyDescent="0.25">
      <c r="A193" s="309">
        <f>'A) Base RI'!A194</f>
        <v>5715</v>
      </c>
      <c r="B193" s="227" t="str">
        <f>'A) Base RI'!B194</f>
        <v>Duillier</v>
      </c>
      <c r="C193" s="243">
        <v>0</v>
      </c>
      <c r="D193" s="216">
        <f>'B) D RI'!AA194</f>
        <v>1128</v>
      </c>
      <c r="E193" s="217">
        <f>'B) D RI'!S194</f>
        <v>66</v>
      </c>
      <c r="F193" s="10">
        <f>'B) D RI'!R194</f>
        <v>4063865.1399999997</v>
      </c>
      <c r="G193" s="10">
        <f>'B) D RI'!U194</f>
        <v>61573.714242424234</v>
      </c>
      <c r="H193" s="41">
        <f>'B) D RI'!T194</f>
        <v>3779956.2399999998</v>
      </c>
      <c r="I193" s="10">
        <f t="shared" si="19"/>
        <v>114544.12848484848</v>
      </c>
      <c r="J193" s="31">
        <f t="shared" si="27"/>
        <v>100423.12607982956</v>
      </c>
      <c r="K193" s="10">
        <f t="shared" ref="K193:K253" si="28">IF(C193=1,0,IF(J193&gt;I193,I193,J193))</f>
        <v>100423.12607982956</v>
      </c>
      <c r="L193" s="10">
        <f t="shared" si="20"/>
        <v>0</v>
      </c>
      <c r="M193" s="10">
        <f>'D) Ecrêtage'!C192</f>
        <v>61573.714242424234</v>
      </c>
      <c r="N193" s="10">
        <f t="shared" ref="N193:N253" si="29">+$N$5*M193</f>
        <v>72319.245662381509</v>
      </c>
      <c r="O193" s="55">
        <f t="shared" ref="O193:O253" si="30">+N193+K193</f>
        <v>172742.37174221105</v>
      </c>
      <c r="P193" s="218"/>
      <c r="Q193" s="219"/>
      <c r="R193" s="215"/>
      <c r="S193" s="215"/>
      <c r="T193" s="220"/>
    </row>
    <row r="194" spans="1:20" s="214" customFormat="1" x14ac:dyDescent="0.25">
      <c r="A194" s="309">
        <f>'A) Base RI'!A195</f>
        <v>5716</v>
      </c>
      <c r="B194" s="227" t="str">
        <f>'A) Base RI'!B195</f>
        <v>Eysins</v>
      </c>
      <c r="C194" s="243">
        <v>0</v>
      </c>
      <c r="D194" s="216">
        <f>'B) D RI'!AA195</f>
        <v>1740</v>
      </c>
      <c r="E194" s="217">
        <f>'B) D RI'!S195</f>
        <v>59.5</v>
      </c>
      <c r="F194" s="10">
        <f>'B) D RI'!R195</f>
        <v>18534215.460000001</v>
      </c>
      <c r="G194" s="10">
        <f>'B) D RI'!U195</f>
        <v>311499.41949579836</v>
      </c>
      <c r="H194" s="41">
        <f>'B) D RI'!T195</f>
        <v>17694613.009999998</v>
      </c>
      <c r="I194" s="10">
        <f t="shared" ref="I194:I254" si="31">+H194/E194*$I$5</f>
        <v>594776.90789915959</v>
      </c>
      <c r="J194" s="31">
        <f t="shared" si="27"/>
        <v>154908.01363377963</v>
      </c>
      <c r="K194" s="10">
        <f t="shared" si="28"/>
        <v>154908.01363377963</v>
      </c>
      <c r="L194" s="10">
        <f t="shared" ref="L194:L254" si="32">+J194-K194</f>
        <v>0</v>
      </c>
      <c r="M194" s="10">
        <f>'D) Ecrêtage'!C193</f>
        <v>311499.41949579836</v>
      </c>
      <c r="N194" s="10">
        <f t="shared" si="29"/>
        <v>365860.71377004107</v>
      </c>
      <c r="O194" s="55">
        <f t="shared" si="30"/>
        <v>520768.72740382073</v>
      </c>
      <c r="P194" s="218"/>
      <c r="Q194" s="219"/>
      <c r="R194" s="215"/>
      <c r="S194" s="215"/>
      <c r="T194" s="220"/>
    </row>
    <row r="195" spans="1:20" s="214" customFormat="1" x14ac:dyDescent="0.25">
      <c r="A195" s="309">
        <f>'A) Base RI'!A196</f>
        <v>5717</v>
      </c>
      <c r="B195" s="227" t="str">
        <f>'A) Base RI'!B196</f>
        <v>Founex</v>
      </c>
      <c r="C195" s="243">
        <v>0</v>
      </c>
      <c r="D195" s="216">
        <f>'B) D RI'!AA196</f>
        <v>3834</v>
      </c>
      <c r="E195" s="217">
        <f>'B) D RI'!S196</f>
        <v>57</v>
      </c>
      <c r="F195" s="10">
        <f>'B) D RI'!R196</f>
        <v>22047691.329999998</v>
      </c>
      <c r="G195" s="10">
        <f>'B) D RI'!U196</f>
        <v>386801.60228070174</v>
      </c>
      <c r="H195" s="41">
        <f>'B) D RI'!T196</f>
        <v>20674086.43</v>
      </c>
      <c r="I195" s="10">
        <f t="shared" si="31"/>
        <v>725406.54140350875</v>
      </c>
      <c r="J195" s="31">
        <f t="shared" si="27"/>
        <v>341331.7955585696</v>
      </c>
      <c r="K195" s="10">
        <f t="shared" si="28"/>
        <v>341331.7955585696</v>
      </c>
      <c r="L195" s="10">
        <f t="shared" si="32"/>
        <v>0</v>
      </c>
      <c r="M195" s="10">
        <f>'D) Ecrêtage'!C194</f>
        <v>386801.60228070174</v>
      </c>
      <c r="N195" s="10">
        <f t="shared" si="29"/>
        <v>454304.25047620968</v>
      </c>
      <c r="O195" s="55">
        <f t="shared" si="30"/>
        <v>795636.04603477928</v>
      </c>
      <c r="P195" s="218"/>
      <c r="Q195" s="219"/>
      <c r="R195" s="215"/>
      <c r="S195" s="215"/>
      <c r="T195" s="220"/>
    </row>
    <row r="196" spans="1:20" s="214" customFormat="1" x14ac:dyDescent="0.25">
      <c r="A196" s="309">
        <f>'A) Base RI'!A197</f>
        <v>5718</v>
      </c>
      <c r="B196" s="227" t="str">
        <f>'A) Base RI'!B197</f>
        <v>Genolier</v>
      </c>
      <c r="C196" s="243">
        <v>0</v>
      </c>
      <c r="D196" s="216">
        <f>'B) D RI'!AA197</f>
        <v>1996</v>
      </c>
      <c r="E196" s="217">
        <f>'B) D RI'!S197</f>
        <v>55</v>
      </c>
      <c r="F196" s="10">
        <f>'B) D RI'!R197</f>
        <v>13479525.360000001</v>
      </c>
      <c r="G196" s="10">
        <f>'B) D RI'!U197</f>
        <v>245082.27927272729</v>
      </c>
      <c r="H196" s="41">
        <f>'B) D RI'!T197</f>
        <v>12751842.260000002</v>
      </c>
      <c r="I196" s="10">
        <f t="shared" si="31"/>
        <v>463703.35490909097</v>
      </c>
      <c r="J196" s="31">
        <f t="shared" si="27"/>
        <v>177699.07770863458</v>
      </c>
      <c r="K196" s="10">
        <f t="shared" si="28"/>
        <v>177699.07770863458</v>
      </c>
      <c r="L196" s="10">
        <f t="shared" si="32"/>
        <v>0</v>
      </c>
      <c r="M196" s="10">
        <f>'D) Ecrêtage'!C195</f>
        <v>245082.27927272729</v>
      </c>
      <c r="N196" s="10">
        <f t="shared" si="29"/>
        <v>287852.79206055793</v>
      </c>
      <c r="O196" s="55">
        <f t="shared" si="30"/>
        <v>465551.86976919253</v>
      </c>
      <c r="P196" s="218"/>
      <c r="Q196" s="219"/>
      <c r="R196" s="215"/>
      <c r="S196" s="215"/>
      <c r="T196" s="220"/>
    </row>
    <row r="197" spans="1:20" s="214" customFormat="1" x14ac:dyDescent="0.25">
      <c r="A197" s="309">
        <f>'A) Base RI'!A198</f>
        <v>5719</v>
      </c>
      <c r="B197" s="227" t="str">
        <f>'A) Base RI'!B198</f>
        <v>Gingins</v>
      </c>
      <c r="C197" s="243">
        <v>0</v>
      </c>
      <c r="D197" s="216">
        <f>'B) D RI'!AA198</f>
        <v>1257</v>
      </c>
      <c r="E197" s="217">
        <f>'B) D RI'!S198</f>
        <v>57</v>
      </c>
      <c r="F197" s="10">
        <f>'B) D RI'!R198</f>
        <v>8308401.163333334</v>
      </c>
      <c r="G197" s="10">
        <f>'B) D RI'!U198</f>
        <v>145761.42391812865</v>
      </c>
      <c r="H197" s="41">
        <f>'B) D RI'!T198</f>
        <v>7892417.5300000012</v>
      </c>
      <c r="I197" s="10">
        <f t="shared" si="31"/>
        <v>276926.93087719305</v>
      </c>
      <c r="J197" s="31">
        <f t="shared" si="27"/>
        <v>111907.68571129942</v>
      </c>
      <c r="K197" s="10">
        <f t="shared" si="28"/>
        <v>111907.68571129942</v>
      </c>
      <c r="L197" s="10">
        <f t="shared" si="32"/>
        <v>0</v>
      </c>
      <c r="M197" s="10">
        <f>'D) Ecrêtage'!C196</f>
        <v>145761.42391812865</v>
      </c>
      <c r="N197" s="10">
        <f t="shared" si="29"/>
        <v>171198.9662168324</v>
      </c>
      <c r="O197" s="55">
        <f t="shared" si="30"/>
        <v>283106.65192813182</v>
      </c>
      <c r="P197" s="218"/>
      <c r="Q197" s="219"/>
      <c r="R197" s="215"/>
      <c r="S197" s="215"/>
      <c r="T197" s="220"/>
    </row>
    <row r="198" spans="1:20" s="214" customFormat="1" x14ac:dyDescent="0.25">
      <c r="A198" s="309">
        <f>'A) Base RI'!A199</f>
        <v>5720</v>
      </c>
      <c r="B198" s="227" t="str">
        <f>'A) Base RI'!B199</f>
        <v>Givrins</v>
      </c>
      <c r="C198" s="243">
        <v>0</v>
      </c>
      <c r="D198" s="216">
        <f>'B) D RI'!AA199</f>
        <v>1031</v>
      </c>
      <c r="E198" s="217">
        <f>'B) D RI'!S199</f>
        <v>67</v>
      </c>
      <c r="F198" s="10">
        <f>'B) D RI'!R199</f>
        <v>5639541.0544444444</v>
      </c>
      <c r="G198" s="10">
        <f>'B) D RI'!U199</f>
        <v>84172.254543946925</v>
      </c>
      <c r="H198" s="41">
        <f>'B) D RI'!T199</f>
        <v>5331330.1100000003</v>
      </c>
      <c r="I198" s="10">
        <f t="shared" si="31"/>
        <v>159144.18238805971</v>
      </c>
      <c r="J198" s="31">
        <f t="shared" si="27"/>
        <v>91787.449457716546</v>
      </c>
      <c r="K198" s="10">
        <f t="shared" si="28"/>
        <v>91787.449457716546</v>
      </c>
      <c r="L198" s="10">
        <f t="shared" si="32"/>
        <v>0</v>
      </c>
      <c r="M198" s="10">
        <f>'D) Ecrêtage'!C197</f>
        <v>84172.254543946925</v>
      </c>
      <c r="N198" s="10">
        <f t="shared" si="29"/>
        <v>98861.568271710334</v>
      </c>
      <c r="O198" s="55">
        <f t="shared" si="30"/>
        <v>190649.01772942688</v>
      </c>
      <c r="P198" s="218"/>
      <c r="Q198" s="219"/>
      <c r="R198" s="215"/>
      <c r="S198" s="215"/>
      <c r="T198" s="220"/>
    </row>
    <row r="199" spans="1:20" s="214" customFormat="1" x14ac:dyDescent="0.25">
      <c r="A199" s="309">
        <f>'A) Base RI'!A200</f>
        <v>5721</v>
      </c>
      <c r="B199" s="227" t="str">
        <f>'A) Base RI'!B200</f>
        <v>Gland</v>
      </c>
      <c r="C199" s="243">
        <v>0</v>
      </c>
      <c r="D199" s="216">
        <f>'B) D RI'!AA200</f>
        <v>13243</v>
      </c>
      <c r="E199" s="217">
        <f>'B) D RI'!S200</f>
        <v>61</v>
      </c>
      <c r="F199" s="10">
        <f>'B) D RI'!R200</f>
        <v>39717529.470000006</v>
      </c>
      <c r="G199" s="10">
        <f>'B) D RI'!U200</f>
        <v>651107.04049180343</v>
      </c>
      <c r="H199" s="41">
        <f>'B) D RI'!T200</f>
        <v>36229475.820000008</v>
      </c>
      <c r="I199" s="10">
        <f t="shared" si="31"/>
        <v>1187851.6662295084</v>
      </c>
      <c r="J199" s="31">
        <f t="shared" si="27"/>
        <v>1178992.4279035309</v>
      </c>
      <c r="K199" s="10">
        <f t="shared" si="28"/>
        <v>1178992.4279035309</v>
      </c>
      <c r="L199" s="10">
        <f t="shared" si="32"/>
        <v>0</v>
      </c>
      <c r="M199" s="10">
        <f>'D) Ecrêtage'!C198</f>
        <v>651107.04049180343</v>
      </c>
      <c r="N199" s="10">
        <f t="shared" si="29"/>
        <v>764734.92939605098</v>
      </c>
      <c r="O199" s="55">
        <f t="shared" si="30"/>
        <v>1943727.3572995819</v>
      </c>
      <c r="P199" s="218"/>
      <c r="Q199" s="219"/>
      <c r="R199" s="215"/>
      <c r="S199" s="215"/>
      <c r="T199" s="220"/>
    </row>
    <row r="200" spans="1:20" s="214" customFormat="1" x14ac:dyDescent="0.25">
      <c r="A200" s="309">
        <f>'A) Base RI'!A201</f>
        <v>5722</v>
      </c>
      <c r="B200" s="227" t="str">
        <f>'A) Base RI'!B201</f>
        <v>Grens</v>
      </c>
      <c r="C200" s="243">
        <v>0</v>
      </c>
      <c r="D200" s="216">
        <f>'B) D RI'!AA201</f>
        <v>405</v>
      </c>
      <c r="E200" s="217">
        <f>'B) D RI'!S201</f>
        <v>62</v>
      </c>
      <c r="F200" s="10">
        <f>'B) D RI'!R201</f>
        <v>1582587.32</v>
      </c>
      <c r="G200" s="10">
        <f>'B) D RI'!U201</f>
        <v>25525.601935483872</v>
      </c>
      <c r="H200" s="41">
        <f>'B) D RI'!T201</f>
        <v>1488451.67</v>
      </c>
      <c r="I200" s="10">
        <f t="shared" si="31"/>
        <v>48014.57</v>
      </c>
      <c r="J200" s="31">
        <f t="shared" si="27"/>
        <v>36056.175587172846</v>
      </c>
      <c r="K200" s="10">
        <f t="shared" si="28"/>
        <v>36056.175587172846</v>
      </c>
      <c r="L200" s="10">
        <f t="shared" si="32"/>
        <v>0</v>
      </c>
      <c r="M200" s="10">
        <f>'D) Ecrêtage'!C199</f>
        <v>25525.601935483872</v>
      </c>
      <c r="N200" s="10">
        <f t="shared" si="29"/>
        <v>29980.200151390771</v>
      </c>
      <c r="O200" s="55">
        <f t="shared" si="30"/>
        <v>66036.375738563613</v>
      </c>
      <c r="P200" s="218"/>
      <c r="Q200" s="219"/>
      <c r="R200" s="215"/>
      <c r="S200" s="215"/>
      <c r="T200" s="220"/>
    </row>
    <row r="201" spans="1:20" s="214" customFormat="1" x14ac:dyDescent="0.25">
      <c r="A201" s="309">
        <f>'A) Base RI'!A202</f>
        <v>5723</v>
      </c>
      <c r="B201" s="227" t="str">
        <f>'A) Base RI'!B202</f>
        <v>Mies</v>
      </c>
      <c r="C201" s="243">
        <v>0</v>
      </c>
      <c r="D201" s="216">
        <f>'B) D RI'!AA202</f>
        <v>2172</v>
      </c>
      <c r="E201" s="217">
        <f>'B) D RI'!S202</f>
        <v>52</v>
      </c>
      <c r="F201" s="10">
        <f>'B) D RI'!R202</f>
        <v>10285869.110000003</v>
      </c>
      <c r="G201" s="10">
        <f>'B) D RI'!U202</f>
        <v>197805.17519230774</v>
      </c>
      <c r="H201" s="41">
        <f>'B) D RI'!T202</f>
        <v>9410013.2600000035</v>
      </c>
      <c r="I201" s="10">
        <f t="shared" si="31"/>
        <v>361923.58692307706</v>
      </c>
      <c r="J201" s="31">
        <f t="shared" si="27"/>
        <v>193367.93426009733</v>
      </c>
      <c r="K201" s="10">
        <f t="shared" si="28"/>
        <v>193367.93426009733</v>
      </c>
      <c r="L201" s="10">
        <f t="shared" si="32"/>
        <v>0</v>
      </c>
      <c r="M201" s="10">
        <f>'D) Ecrêtage'!C200</f>
        <v>197805.17519230774</v>
      </c>
      <c r="N201" s="10">
        <f t="shared" si="29"/>
        <v>232325.12824712304</v>
      </c>
      <c r="O201" s="55">
        <f t="shared" si="30"/>
        <v>425693.06250722037</v>
      </c>
      <c r="P201" s="218"/>
      <c r="Q201" s="219"/>
      <c r="R201" s="215"/>
      <c r="S201" s="215"/>
      <c r="T201" s="220"/>
    </row>
    <row r="202" spans="1:20" s="214" customFormat="1" x14ac:dyDescent="0.25">
      <c r="A202" s="309">
        <f>'A) Base RI'!A203</f>
        <v>5724</v>
      </c>
      <c r="B202" s="227" t="str">
        <f>'A) Base RI'!B203</f>
        <v>Nyon</v>
      </c>
      <c r="C202" s="243">
        <v>1</v>
      </c>
      <c r="D202" s="216">
        <f>'B) D RI'!AA203</f>
        <v>21743</v>
      </c>
      <c r="E202" s="217">
        <f>'B) D RI'!S203</f>
        <v>61</v>
      </c>
      <c r="F202" s="10">
        <f>'B) D RI'!R203</f>
        <v>86359571.243333325</v>
      </c>
      <c r="G202" s="10">
        <f>'B) D RI'!U203</f>
        <v>1415730.6761202184</v>
      </c>
      <c r="H202" s="41">
        <f>'B) D RI'!T203</f>
        <v>79828001.459999993</v>
      </c>
      <c r="I202" s="10">
        <f t="shared" si="31"/>
        <v>2617311.5232786881</v>
      </c>
      <c r="J202" s="31">
        <f t="shared" si="27"/>
        <v>1935726.9772639486</v>
      </c>
      <c r="K202" s="10">
        <f t="shared" si="28"/>
        <v>0</v>
      </c>
      <c r="L202" s="10">
        <f t="shared" si="32"/>
        <v>1935726.9772639486</v>
      </c>
      <c r="M202" s="10">
        <f>'D) Ecrêtage'!C201</f>
        <v>1415730.6761202184</v>
      </c>
      <c r="N202" s="10">
        <f t="shared" si="29"/>
        <v>1662796.7927191351</v>
      </c>
      <c r="O202" s="55">
        <f t="shared" si="30"/>
        <v>1662796.7927191351</v>
      </c>
      <c r="P202" s="218"/>
      <c r="Q202" s="219"/>
      <c r="R202" s="215"/>
      <c r="S202" s="215"/>
      <c r="T202" s="220"/>
    </row>
    <row r="203" spans="1:20" s="214" customFormat="1" x14ac:dyDescent="0.25">
      <c r="A203" s="309">
        <f>'A) Base RI'!A204</f>
        <v>5725</v>
      </c>
      <c r="B203" s="227" t="str">
        <f>'A) Base RI'!B204</f>
        <v>Prangins</v>
      </c>
      <c r="C203" s="243">
        <v>1</v>
      </c>
      <c r="D203" s="216">
        <f>'B) D RI'!AA204</f>
        <v>4101</v>
      </c>
      <c r="E203" s="217">
        <f>'B) D RI'!S204</f>
        <v>55</v>
      </c>
      <c r="F203" s="10">
        <f>'B) D RI'!R204</f>
        <v>17204271.371428572</v>
      </c>
      <c r="G203" s="10">
        <f>'B) D RI'!U204</f>
        <v>312804.93402597401</v>
      </c>
      <c r="H203" s="41">
        <f>'B) D RI'!T204</f>
        <v>16016926.5</v>
      </c>
      <c r="I203" s="10">
        <f t="shared" si="31"/>
        <v>582433.69090909092</v>
      </c>
      <c r="J203" s="31">
        <f t="shared" si="27"/>
        <v>365102.16316789098</v>
      </c>
      <c r="K203" s="10">
        <f t="shared" si="28"/>
        <v>0</v>
      </c>
      <c r="L203" s="10">
        <f t="shared" si="32"/>
        <v>365102.16316789098</v>
      </c>
      <c r="M203" s="10">
        <f>'D) Ecrêtage'!C202</f>
        <v>312804.93402597401</v>
      </c>
      <c r="N203" s="10">
        <f t="shared" si="29"/>
        <v>367394.06005563075</v>
      </c>
      <c r="O203" s="55">
        <f t="shared" si="30"/>
        <v>367394.06005563075</v>
      </c>
      <c r="P203" s="218"/>
      <c r="Q203" s="219"/>
      <c r="R203" s="215"/>
      <c r="S203" s="215"/>
      <c r="T203" s="220"/>
    </row>
    <row r="204" spans="1:20" s="214" customFormat="1" x14ac:dyDescent="0.25">
      <c r="A204" s="309">
        <f>'A) Base RI'!A205</f>
        <v>5726</v>
      </c>
      <c r="B204" s="227" t="str">
        <f>'A) Base RI'!B205</f>
        <v>La Rippe</v>
      </c>
      <c r="C204" s="243">
        <v>0</v>
      </c>
      <c r="D204" s="216">
        <f>'B) D RI'!AA205</f>
        <v>1131</v>
      </c>
      <c r="E204" s="217">
        <f>'B) D RI'!S205</f>
        <v>65</v>
      </c>
      <c r="F204" s="10">
        <f>'B) D RI'!R205</f>
        <v>4311109.67</v>
      </c>
      <c r="G204" s="10">
        <f>'B) D RI'!U205</f>
        <v>66324.764153846147</v>
      </c>
      <c r="H204" s="41">
        <f>'B) D RI'!T205</f>
        <v>4037577.5700000003</v>
      </c>
      <c r="I204" s="10">
        <f t="shared" si="31"/>
        <v>124233.156</v>
      </c>
      <c r="J204" s="31">
        <f t="shared" si="27"/>
        <v>100690.20886195677</v>
      </c>
      <c r="K204" s="10">
        <f t="shared" si="28"/>
        <v>100690.20886195677</v>
      </c>
      <c r="L204" s="10">
        <f t="shared" si="32"/>
        <v>0</v>
      </c>
      <c r="M204" s="10">
        <f>'D) Ecrêtage'!C203</f>
        <v>66324.764153846147</v>
      </c>
      <c r="N204" s="10">
        <f t="shared" si="29"/>
        <v>77899.424638520359</v>
      </c>
      <c r="O204" s="55">
        <f t="shared" si="30"/>
        <v>178589.63350047712</v>
      </c>
      <c r="P204" s="218"/>
      <c r="Q204" s="219"/>
      <c r="R204" s="215"/>
      <c r="S204" s="215"/>
      <c r="T204" s="220"/>
    </row>
    <row r="205" spans="1:20" s="214" customFormat="1" x14ac:dyDescent="0.25">
      <c r="A205" s="309">
        <f>'A) Base RI'!A206</f>
        <v>5727</v>
      </c>
      <c r="B205" s="227" t="str">
        <f>'A) Base RI'!B206</f>
        <v>Saint-Cergue</v>
      </c>
      <c r="C205" s="243">
        <v>0</v>
      </c>
      <c r="D205" s="216">
        <f>'B) D RI'!AA206</f>
        <v>2674</v>
      </c>
      <c r="E205" s="217">
        <f>'B) D RI'!S206</f>
        <v>66</v>
      </c>
      <c r="F205" s="10">
        <f>'B) D RI'!R206</f>
        <v>6938253.3933333335</v>
      </c>
      <c r="G205" s="10">
        <f>'B) D RI'!U206</f>
        <v>105125.05141414142</v>
      </c>
      <c r="H205" s="41">
        <f>'B) D RI'!T206</f>
        <v>6399860.5100000007</v>
      </c>
      <c r="I205" s="10">
        <f t="shared" si="31"/>
        <v>193935.16696969699</v>
      </c>
      <c r="J205" s="31">
        <f t="shared" si="27"/>
        <v>238059.78646938317</v>
      </c>
      <c r="K205" s="10">
        <f t="shared" si="28"/>
        <v>193935.16696969699</v>
      </c>
      <c r="L205" s="10">
        <f t="shared" si="32"/>
        <v>44124.619499686174</v>
      </c>
      <c r="M205" s="10">
        <f>'D) Ecrêtage'!C204</f>
        <v>105125.05141414142</v>
      </c>
      <c r="N205" s="10">
        <f t="shared" si="29"/>
        <v>123470.94067701409</v>
      </c>
      <c r="O205" s="55">
        <f t="shared" si="30"/>
        <v>317406.10764671105</v>
      </c>
      <c r="P205" s="218"/>
      <c r="Q205" s="219"/>
      <c r="R205" s="215"/>
      <c r="S205" s="215"/>
      <c r="T205" s="220"/>
    </row>
    <row r="206" spans="1:20" s="214" customFormat="1" x14ac:dyDescent="0.25">
      <c r="A206" s="309">
        <f>'A) Base RI'!A207</f>
        <v>5728</v>
      </c>
      <c r="B206" s="227" t="str">
        <f>'A) Base RI'!B207</f>
        <v>Signy-Avenex</v>
      </c>
      <c r="C206" s="243">
        <v>0</v>
      </c>
      <c r="D206" s="216">
        <f>'B) D RI'!AA207</f>
        <v>581</v>
      </c>
      <c r="E206" s="217">
        <f>'B) D RI'!S207</f>
        <v>58</v>
      </c>
      <c r="F206" s="10">
        <f>'B) D RI'!R207</f>
        <v>2858635.6100000003</v>
      </c>
      <c r="G206" s="10">
        <f>'B) D RI'!U207</f>
        <v>49286.820862068969</v>
      </c>
      <c r="H206" s="41">
        <f>'B) D RI'!T207</f>
        <v>2580891.7600000002</v>
      </c>
      <c r="I206" s="10">
        <f t="shared" si="31"/>
        <v>88996.267586206901</v>
      </c>
      <c r="J206" s="31">
        <f t="shared" si="27"/>
        <v>51725.032138635615</v>
      </c>
      <c r="K206" s="10">
        <f t="shared" si="28"/>
        <v>51725.032138635615</v>
      </c>
      <c r="L206" s="10">
        <f t="shared" si="32"/>
        <v>0</v>
      </c>
      <c r="M206" s="10">
        <f>'D) Ecrêtage'!C205</f>
        <v>49286.820862068969</v>
      </c>
      <c r="N206" s="10">
        <f t="shared" si="29"/>
        <v>57888.106145558741</v>
      </c>
      <c r="O206" s="55">
        <f t="shared" si="30"/>
        <v>109613.13828419436</v>
      </c>
      <c r="P206" s="218"/>
      <c r="Q206" s="219"/>
      <c r="R206" s="215"/>
      <c r="S206" s="215"/>
      <c r="T206" s="220"/>
    </row>
    <row r="207" spans="1:20" s="214" customFormat="1" x14ac:dyDescent="0.25">
      <c r="A207" s="309">
        <f>'A) Base RI'!A208</f>
        <v>5729</v>
      </c>
      <c r="B207" s="227" t="str">
        <f>'A) Base RI'!B208</f>
        <v>Tannay</v>
      </c>
      <c r="C207" s="243">
        <v>0</v>
      </c>
      <c r="D207" s="216">
        <f>'B) D RI'!AA208</f>
        <v>1636</v>
      </c>
      <c r="E207" s="217">
        <f>'B) D RI'!S208</f>
        <v>60.5</v>
      </c>
      <c r="F207" s="10">
        <f>'B) D RI'!R208</f>
        <v>7915013.4533333331</v>
      </c>
      <c r="G207" s="10">
        <f>'B) D RI'!U208</f>
        <v>130826.66865013774</v>
      </c>
      <c r="H207" s="41">
        <f>'B) D RI'!T208</f>
        <v>7331246.0199999996</v>
      </c>
      <c r="I207" s="10">
        <f t="shared" si="31"/>
        <v>242355.2403305785</v>
      </c>
      <c r="J207" s="31">
        <f t="shared" si="27"/>
        <v>145649.14385336981</v>
      </c>
      <c r="K207" s="10">
        <f t="shared" si="28"/>
        <v>145649.14385336981</v>
      </c>
      <c r="L207" s="10">
        <f t="shared" si="32"/>
        <v>0</v>
      </c>
      <c r="M207" s="10">
        <f>'D) Ecrêtage'!C206</f>
        <v>130826.66865013774</v>
      </c>
      <c r="N207" s="10">
        <f t="shared" si="29"/>
        <v>153657.8734238754</v>
      </c>
      <c r="O207" s="55">
        <f t="shared" si="30"/>
        <v>299307.01727724518</v>
      </c>
      <c r="P207" s="218"/>
      <c r="Q207" s="219"/>
      <c r="R207" s="215"/>
      <c r="S207" s="215"/>
      <c r="T207" s="220"/>
    </row>
    <row r="208" spans="1:20" s="214" customFormat="1" x14ac:dyDescent="0.25">
      <c r="A208" s="309">
        <f>'A) Base RI'!A209</f>
        <v>5730</v>
      </c>
      <c r="B208" s="227" t="str">
        <f>'A) Base RI'!B209</f>
        <v>Trélex</v>
      </c>
      <c r="C208" s="243">
        <v>0</v>
      </c>
      <c r="D208" s="216">
        <f>'B) D RI'!AA209</f>
        <v>1445</v>
      </c>
      <c r="E208" s="217">
        <f>'B) D RI'!S209</f>
        <v>55.5</v>
      </c>
      <c r="F208" s="10">
        <f>'B) D RI'!R209</f>
        <v>6195242.3100000005</v>
      </c>
      <c r="G208" s="10">
        <f>'B) D RI'!U209</f>
        <v>111625.98756756757</v>
      </c>
      <c r="H208" s="41">
        <f>'B) D RI'!T209</f>
        <v>5753786.6100000003</v>
      </c>
      <c r="I208" s="10">
        <f t="shared" si="31"/>
        <v>207343.66162162164</v>
      </c>
      <c r="J208" s="31">
        <f t="shared" si="27"/>
        <v>128644.87339127102</v>
      </c>
      <c r="K208" s="10">
        <f t="shared" si="28"/>
        <v>128644.87339127102</v>
      </c>
      <c r="L208" s="10">
        <f t="shared" si="32"/>
        <v>0</v>
      </c>
      <c r="M208" s="10">
        <f>'D) Ecrêtage'!C207</f>
        <v>111625.98756756757</v>
      </c>
      <c r="N208" s="10">
        <f t="shared" si="29"/>
        <v>131106.38714145939</v>
      </c>
      <c r="O208" s="55">
        <f t="shared" si="30"/>
        <v>259751.2605327304</v>
      </c>
      <c r="P208" s="218"/>
      <c r="Q208" s="219"/>
      <c r="R208" s="215"/>
      <c r="S208" s="215"/>
      <c r="T208" s="220"/>
    </row>
    <row r="209" spans="1:20" s="214" customFormat="1" x14ac:dyDescent="0.25">
      <c r="A209" s="309">
        <f>'A) Base RI'!A210</f>
        <v>5731</v>
      </c>
      <c r="B209" s="227" t="str">
        <f>'A) Base RI'!B210</f>
        <v>Le Vaud</v>
      </c>
      <c r="C209" s="243">
        <v>0</v>
      </c>
      <c r="D209" s="216">
        <f>'B) D RI'!AA210</f>
        <v>1366</v>
      </c>
      <c r="E209" s="217">
        <f>'B) D RI'!S210</f>
        <v>74</v>
      </c>
      <c r="F209" s="10">
        <f>'B) D RI'!R210</f>
        <v>4731723.2866666652</v>
      </c>
      <c r="G209" s="10">
        <f>'B) D RI'!U210</f>
        <v>63942.206576576558</v>
      </c>
      <c r="H209" s="41">
        <f>'B) D RI'!T210</f>
        <v>4460168.2199999988</v>
      </c>
      <c r="I209" s="10">
        <f t="shared" si="31"/>
        <v>120545.087027027</v>
      </c>
      <c r="J209" s="31">
        <f t="shared" si="27"/>
        <v>121611.69346192126</v>
      </c>
      <c r="K209" s="10">
        <f t="shared" si="28"/>
        <v>120545.087027027</v>
      </c>
      <c r="L209" s="10">
        <f t="shared" si="32"/>
        <v>1066.60643489426</v>
      </c>
      <c r="M209" s="10">
        <f>'D) Ecrêtage'!C208</f>
        <v>63942.206576576558</v>
      </c>
      <c r="N209" s="10">
        <f t="shared" si="29"/>
        <v>75101.075231548748</v>
      </c>
      <c r="O209" s="55">
        <f t="shared" si="30"/>
        <v>195646.16225857573</v>
      </c>
      <c r="P209" s="218"/>
      <c r="Q209" s="219"/>
      <c r="R209" s="215"/>
      <c r="S209" s="215"/>
      <c r="T209" s="220"/>
    </row>
    <row r="210" spans="1:20" s="214" customFormat="1" x14ac:dyDescent="0.25">
      <c r="A210" s="309">
        <f>'A) Base RI'!A211</f>
        <v>5732</v>
      </c>
      <c r="B210" s="227" t="str">
        <f>'A) Base RI'!B211</f>
        <v>Vich</v>
      </c>
      <c r="C210" s="243">
        <v>0</v>
      </c>
      <c r="D210" s="216">
        <f>'B) D RI'!AA211</f>
        <v>1156</v>
      </c>
      <c r="E210" s="217">
        <f>'B) D RI'!S211</f>
        <v>63</v>
      </c>
      <c r="F210" s="10">
        <f>'B) D RI'!R211</f>
        <v>4473439.26</v>
      </c>
      <c r="G210" s="10">
        <f>'B) D RI'!U211</f>
        <v>71006.972380952371</v>
      </c>
      <c r="H210" s="41">
        <f>'B) D RI'!T211</f>
        <v>4081869.06</v>
      </c>
      <c r="I210" s="10">
        <f t="shared" si="31"/>
        <v>129583.14476190477</v>
      </c>
      <c r="J210" s="31">
        <f t="shared" si="27"/>
        <v>102915.89871301681</v>
      </c>
      <c r="K210" s="10">
        <f t="shared" si="28"/>
        <v>102915.89871301681</v>
      </c>
      <c r="L210" s="10">
        <f t="shared" si="32"/>
        <v>0</v>
      </c>
      <c r="M210" s="10">
        <f>'D) Ecrêtage'!C209</f>
        <v>71006.972380952371</v>
      </c>
      <c r="N210" s="10">
        <f t="shared" si="29"/>
        <v>83398.748029754322</v>
      </c>
      <c r="O210" s="55">
        <f t="shared" si="30"/>
        <v>186314.64674277115</v>
      </c>
      <c r="P210" s="218"/>
      <c r="Q210" s="219"/>
      <c r="R210" s="215"/>
      <c r="S210" s="215"/>
      <c r="T210" s="220"/>
    </row>
    <row r="211" spans="1:20" s="214" customFormat="1" x14ac:dyDescent="0.25">
      <c r="A211" s="309">
        <f>'A) Base RI'!A212</f>
        <v>5741</v>
      </c>
      <c r="B211" s="227" t="str">
        <f>'A) Base RI'!B212</f>
        <v>L'Abergement</v>
      </c>
      <c r="C211" s="243">
        <v>0</v>
      </c>
      <c r="D211" s="216">
        <f>'B) D RI'!AA212</f>
        <v>256</v>
      </c>
      <c r="E211" s="217">
        <f>'B) D RI'!S212</f>
        <v>81</v>
      </c>
      <c r="F211" s="10">
        <f>'B) D RI'!R212</f>
        <v>596883.30833333312</v>
      </c>
      <c r="G211" s="10">
        <f>'B) D RI'!U212</f>
        <v>7368.9297325102852</v>
      </c>
      <c r="H211" s="41">
        <f>'B) D RI'!T212</f>
        <v>555617.09999999974</v>
      </c>
      <c r="I211" s="10">
        <f t="shared" si="31"/>
        <v>13718.940740740734</v>
      </c>
      <c r="J211" s="31">
        <f t="shared" si="27"/>
        <v>22791.064074854934</v>
      </c>
      <c r="K211" s="10">
        <f t="shared" si="28"/>
        <v>13718.940740740734</v>
      </c>
      <c r="L211" s="10">
        <f t="shared" si="32"/>
        <v>9072.1233341141997</v>
      </c>
      <c r="M211" s="10">
        <f>'D) Ecrêtage'!C210</f>
        <v>7368.9297325102852</v>
      </c>
      <c r="N211" s="10">
        <f t="shared" si="29"/>
        <v>8654.917867973285</v>
      </c>
      <c r="O211" s="55">
        <f t="shared" si="30"/>
        <v>22373.858608714021</v>
      </c>
      <c r="P211" s="218"/>
      <c r="Q211" s="219"/>
      <c r="R211" s="215"/>
      <c r="S211" s="215"/>
      <c r="T211" s="220"/>
    </row>
    <row r="212" spans="1:20" s="214" customFormat="1" x14ac:dyDescent="0.25">
      <c r="A212" s="309">
        <f>'A) Base RI'!A213</f>
        <v>5742</v>
      </c>
      <c r="B212" s="227" t="str">
        <f>'A) Base RI'!B213</f>
        <v>Agiez</v>
      </c>
      <c r="C212" s="243">
        <v>0</v>
      </c>
      <c r="D212" s="216">
        <f>'B) D RI'!AA213</f>
        <v>377</v>
      </c>
      <c r="E212" s="217">
        <f>'B) D RI'!S213</f>
        <v>76</v>
      </c>
      <c r="F212" s="10">
        <f>'B) D RI'!R213</f>
        <v>680970.39000000013</v>
      </c>
      <c r="G212" s="10">
        <f>'B) D RI'!U213</f>
        <v>8960.136710526318</v>
      </c>
      <c r="H212" s="41">
        <f>'B) D RI'!T213</f>
        <v>633547.59000000008</v>
      </c>
      <c r="I212" s="10">
        <f t="shared" si="31"/>
        <v>16672.305000000004</v>
      </c>
      <c r="J212" s="31">
        <f t="shared" si="27"/>
        <v>33563.402953985584</v>
      </c>
      <c r="K212" s="10">
        <f t="shared" si="28"/>
        <v>16672.305000000004</v>
      </c>
      <c r="L212" s="10">
        <f t="shared" si="32"/>
        <v>16891.09795398558</v>
      </c>
      <c r="M212" s="10">
        <f>'D) Ecrêtage'!C211</f>
        <v>8960.136710526318</v>
      </c>
      <c r="N212" s="10">
        <f t="shared" si="29"/>
        <v>10523.814194249322</v>
      </c>
      <c r="O212" s="55">
        <f t="shared" si="30"/>
        <v>27196.119194249324</v>
      </c>
      <c r="P212" s="218"/>
      <c r="Q212" s="219"/>
      <c r="R212" s="215"/>
      <c r="S212" s="215"/>
      <c r="T212" s="220"/>
    </row>
    <row r="213" spans="1:20" s="214" customFormat="1" x14ac:dyDescent="0.25">
      <c r="A213" s="309">
        <f>'A) Base RI'!A214</f>
        <v>5743</v>
      </c>
      <c r="B213" s="227" t="str">
        <f>'A) Base RI'!B214</f>
        <v>Arnex-sur-Orbe</v>
      </c>
      <c r="C213" s="243">
        <v>0</v>
      </c>
      <c r="D213" s="216">
        <f>'B) D RI'!AA214</f>
        <v>637</v>
      </c>
      <c r="E213" s="217">
        <f>'B) D RI'!S214</f>
        <v>71</v>
      </c>
      <c r="F213" s="10">
        <f>'B) D RI'!R214</f>
        <v>1457391.5549999999</v>
      </c>
      <c r="G213" s="10">
        <f>'B) D RI'!U214</f>
        <v>20526.64161971831</v>
      </c>
      <c r="H213" s="41">
        <f>'B) D RI'!T214</f>
        <v>1370585.18</v>
      </c>
      <c r="I213" s="10">
        <f t="shared" si="31"/>
        <v>38608.03323943662</v>
      </c>
      <c r="J213" s="31">
        <f t="shared" si="27"/>
        <v>56710.577405010132</v>
      </c>
      <c r="K213" s="10">
        <f t="shared" si="28"/>
        <v>38608.03323943662</v>
      </c>
      <c r="L213" s="10">
        <f t="shared" si="32"/>
        <v>18102.544165573512</v>
      </c>
      <c r="M213" s="10">
        <f>'D) Ecrêtage'!C212</f>
        <v>20526.64161971831</v>
      </c>
      <c r="N213" s="10">
        <f t="shared" si="29"/>
        <v>24108.846708118086</v>
      </c>
      <c r="O213" s="55">
        <f t="shared" si="30"/>
        <v>62716.879947554706</v>
      </c>
      <c r="P213" s="218"/>
      <c r="Q213" s="219"/>
      <c r="R213" s="215"/>
      <c r="S213" s="215"/>
      <c r="T213" s="220"/>
    </row>
    <row r="214" spans="1:20" s="214" customFormat="1" x14ac:dyDescent="0.25">
      <c r="A214" s="309">
        <f>'A) Base RI'!A215</f>
        <v>5744</v>
      </c>
      <c r="B214" s="227" t="str">
        <f>'A) Base RI'!B215</f>
        <v>Ballaigues</v>
      </c>
      <c r="C214" s="243">
        <v>0</v>
      </c>
      <c r="D214" s="216">
        <f>'B) D RI'!AA215</f>
        <v>1143</v>
      </c>
      <c r="E214" s="217">
        <f>'B) D RI'!S215</f>
        <v>65</v>
      </c>
      <c r="F214" s="10">
        <f>'B) D RI'!R215</f>
        <v>2629468.3200000003</v>
      </c>
      <c r="G214" s="10">
        <f>'B) D RI'!U215</f>
        <v>40453.358769230777</v>
      </c>
      <c r="H214" s="41">
        <f>'B) D RI'!T215</f>
        <v>2449034.7700000005</v>
      </c>
      <c r="I214" s="10">
        <f t="shared" si="31"/>
        <v>75354.916000000012</v>
      </c>
      <c r="J214" s="31">
        <f t="shared" si="27"/>
        <v>101758.53999046558</v>
      </c>
      <c r="K214" s="10">
        <f t="shared" si="28"/>
        <v>75354.916000000012</v>
      </c>
      <c r="L214" s="10">
        <f t="shared" si="32"/>
        <v>26403.623990465567</v>
      </c>
      <c r="M214" s="10">
        <f>'D) Ecrêtage'!C213</f>
        <v>40453.358769230777</v>
      </c>
      <c r="N214" s="10">
        <f t="shared" si="29"/>
        <v>47513.073178956452</v>
      </c>
      <c r="O214" s="55">
        <f t="shared" si="30"/>
        <v>122867.98917895646</v>
      </c>
      <c r="P214" s="218"/>
      <c r="Q214" s="219"/>
      <c r="R214" s="215"/>
      <c r="S214" s="215"/>
      <c r="T214" s="220"/>
    </row>
    <row r="215" spans="1:20" s="214" customFormat="1" x14ac:dyDescent="0.25">
      <c r="A215" s="309">
        <f>'A) Base RI'!A216</f>
        <v>5745</v>
      </c>
      <c r="B215" s="227" t="str">
        <f>'A) Base RI'!B216</f>
        <v>Baulmes</v>
      </c>
      <c r="C215" s="243">
        <v>0</v>
      </c>
      <c r="D215" s="216">
        <f>'B) D RI'!AA216</f>
        <v>1074</v>
      </c>
      <c r="E215" s="217">
        <f>'B) D RI'!S216</f>
        <v>76.5</v>
      </c>
      <c r="F215" s="10">
        <f>'B) D RI'!R216</f>
        <v>2052310.5699999996</v>
      </c>
      <c r="G215" s="10">
        <f>'B) D RI'!U216</f>
        <v>26827.589150326792</v>
      </c>
      <c r="H215" s="41">
        <f>'B) D RI'!T216</f>
        <v>1915983.5699999996</v>
      </c>
      <c r="I215" s="10">
        <f t="shared" si="31"/>
        <v>50091.073725490183</v>
      </c>
      <c r="J215" s="31">
        <f t="shared" si="27"/>
        <v>95615.636001539839</v>
      </c>
      <c r="K215" s="10">
        <f t="shared" si="28"/>
        <v>50091.073725490183</v>
      </c>
      <c r="L215" s="10">
        <f t="shared" si="32"/>
        <v>45524.562276049655</v>
      </c>
      <c r="M215" s="10">
        <f>'D) Ecrêtage'!C214</f>
        <v>26827.589150326792</v>
      </c>
      <c r="N215" s="10">
        <f t="shared" si="29"/>
        <v>31509.403552517251</v>
      </c>
      <c r="O215" s="55">
        <f t="shared" si="30"/>
        <v>81600.477278007427</v>
      </c>
      <c r="P215" s="218"/>
      <c r="Q215" s="219"/>
      <c r="R215" s="215"/>
      <c r="S215" s="215"/>
      <c r="T215" s="220"/>
    </row>
    <row r="216" spans="1:20" s="214" customFormat="1" x14ac:dyDescent="0.25">
      <c r="A216" s="309">
        <f>'A) Base RI'!A217</f>
        <v>5746</v>
      </c>
      <c r="B216" s="227" t="str">
        <f>'A) Base RI'!B217</f>
        <v>Bavois</v>
      </c>
      <c r="C216" s="243">
        <v>0</v>
      </c>
      <c r="D216" s="216">
        <f>'B) D RI'!AA217</f>
        <v>994</v>
      </c>
      <c r="E216" s="217">
        <f>'B) D RI'!S217</f>
        <v>73</v>
      </c>
      <c r="F216" s="10">
        <f>'B) D RI'!R217</f>
        <v>2224062.6133333328</v>
      </c>
      <c r="G216" s="10">
        <f>'B) D RI'!U217</f>
        <v>30466.611141552505</v>
      </c>
      <c r="H216" s="41">
        <f>'B) D RI'!T217</f>
        <v>2026809.5299999996</v>
      </c>
      <c r="I216" s="10">
        <f t="shared" si="31"/>
        <v>55529.028219178072</v>
      </c>
      <c r="J216" s="31">
        <f t="shared" si="27"/>
        <v>88493.428478147674</v>
      </c>
      <c r="K216" s="10">
        <f t="shared" si="28"/>
        <v>55529.028219178072</v>
      </c>
      <c r="L216" s="10">
        <f t="shared" si="32"/>
        <v>32964.400258969603</v>
      </c>
      <c r="M216" s="10">
        <f>'D) Ecrêtage'!C215</f>
        <v>30466.611141552505</v>
      </c>
      <c r="N216" s="10">
        <f t="shared" si="29"/>
        <v>35783.489152065769</v>
      </c>
      <c r="O216" s="55">
        <f t="shared" si="30"/>
        <v>91312.517371243841</v>
      </c>
      <c r="P216" s="218"/>
      <c r="Q216" s="219"/>
      <c r="R216" s="215"/>
      <c r="S216" s="215"/>
      <c r="T216" s="220"/>
    </row>
    <row r="217" spans="1:20" s="214" customFormat="1" x14ac:dyDescent="0.25">
      <c r="A217" s="309">
        <f>'A) Base RI'!A218</f>
        <v>5747</v>
      </c>
      <c r="B217" s="227" t="str">
        <f>'A) Base RI'!B218</f>
        <v>Bofflens</v>
      </c>
      <c r="C217" s="243">
        <v>0</v>
      </c>
      <c r="D217" s="216">
        <f>'B) D RI'!AA218</f>
        <v>206</v>
      </c>
      <c r="E217" s="217">
        <f>'B) D RI'!S218</f>
        <v>69</v>
      </c>
      <c r="F217" s="10">
        <f>'B) D RI'!R218</f>
        <v>387005.73</v>
      </c>
      <c r="G217" s="10">
        <f>'B) D RI'!U218</f>
        <v>5608.7786956521741</v>
      </c>
      <c r="H217" s="41">
        <f>'B) D RI'!T218</f>
        <v>354930.82999999996</v>
      </c>
      <c r="I217" s="10">
        <f t="shared" si="31"/>
        <v>10287.850144927535</v>
      </c>
      <c r="J217" s="31">
        <f t="shared" si="27"/>
        <v>18339.684372734831</v>
      </c>
      <c r="K217" s="10">
        <f t="shared" si="28"/>
        <v>10287.850144927535</v>
      </c>
      <c r="L217" s="10">
        <f t="shared" si="32"/>
        <v>8051.834227807296</v>
      </c>
      <c r="M217" s="10">
        <f>'D) Ecrêtage'!C216</f>
        <v>5608.7786956521741</v>
      </c>
      <c r="N217" s="10">
        <f t="shared" si="29"/>
        <v>6587.5942250261014</v>
      </c>
      <c r="O217" s="55">
        <f t="shared" si="30"/>
        <v>16875.444369953635</v>
      </c>
      <c r="P217" s="218"/>
      <c r="Q217" s="219"/>
      <c r="R217" s="215"/>
      <c r="S217" s="215"/>
      <c r="T217" s="220"/>
    </row>
    <row r="218" spans="1:20" s="214" customFormat="1" x14ac:dyDescent="0.25">
      <c r="A218" s="309">
        <f>'A) Base RI'!A219</f>
        <v>5748</v>
      </c>
      <c r="B218" s="227" t="str">
        <f>'A) Base RI'!B219</f>
        <v>Bretonnières</v>
      </c>
      <c r="C218" s="243">
        <v>0</v>
      </c>
      <c r="D218" s="216">
        <f>'B) D RI'!AA219</f>
        <v>268</v>
      </c>
      <c r="E218" s="217">
        <f>'B) D RI'!S219</f>
        <v>70.5</v>
      </c>
      <c r="F218" s="10">
        <f>'B) D RI'!R219</f>
        <v>408194.18333333329</v>
      </c>
      <c r="G218" s="10">
        <f>'B) D RI'!U219</f>
        <v>5789.9884160756492</v>
      </c>
      <c r="H218" s="41">
        <f>'B) D RI'!T219</f>
        <v>368578.85</v>
      </c>
      <c r="I218" s="10">
        <f t="shared" si="31"/>
        <v>10456.137588652482</v>
      </c>
      <c r="J218" s="31">
        <f t="shared" si="27"/>
        <v>23859.395203363758</v>
      </c>
      <c r="K218" s="10">
        <f t="shared" si="28"/>
        <v>10456.137588652482</v>
      </c>
      <c r="L218" s="10">
        <f t="shared" si="32"/>
        <v>13403.257614711276</v>
      </c>
      <c r="M218" s="10">
        <f>'D) Ecrêtage'!C217</f>
        <v>5789.9884160756492</v>
      </c>
      <c r="N218" s="10">
        <f t="shared" si="29"/>
        <v>6800.4277441495506</v>
      </c>
      <c r="O218" s="55">
        <f t="shared" si="30"/>
        <v>17256.565332802034</v>
      </c>
      <c r="P218" s="218"/>
      <c r="Q218" s="219"/>
      <c r="R218" s="215"/>
      <c r="S218" s="215"/>
      <c r="T218" s="220"/>
    </row>
    <row r="219" spans="1:20" s="214" customFormat="1" x14ac:dyDescent="0.25">
      <c r="A219" s="309">
        <f>'A) Base RI'!A220</f>
        <v>5749</v>
      </c>
      <c r="B219" s="227" t="str">
        <f>'A) Base RI'!B220</f>
        <v>Chavornay</v>
      </c>
      <c r="C219" s="243">
        <v>0</v>
      </c>
      <c r="D219" s="216">
        <f>'B) D RI'!AA220</f>
        <v>5227</v>
      </c>
      <c r="E219" s="217">
        <f>'B) D RI'!S220</f>
        <v>70.5</v>
      </c>
      <c r="F219" s="10">
        <f>'B) D RI'!R220</f>
        <v>9917714.9100000001</v>
      </c>
      <c r="G219" s="10">
        <f>'B) D RI'!U220</f>
        <v>140676.80723404256</v>
      </c>
      <c r="H219" s="41">
        <f>'B) D RI'!T220</f>
        <v>9035063.7100000009</v>
      </c>
      <c r="I219" s="10">
        <f t="shared" ref="I219" si="33">+H219/E219*$I$5</f>
        <v>256313.8641134752</v>
      </c>
      <c r="J219" s="31">
        <f t="shared" ref="J219" si="34">+$I$315/$D$315*D219</f>
        <v>465347.23405963572</v>
      </c>
      <c r="K219" s="10">
        <f t="shared" ref="K219" si="35">IF(C219=1,0,IF(J219&gt;I219,I219,J219))</f>
        <v>256313.8641134752</v>
      </c>
      <c r="L219" s="10">
        <f t="shared" ref="L219" si="36">+J219-K219</f>
        <v>209033.36994616053</v>
      </c>
      <c r="M219" s="10">
        <f>'D) Ecrêtage'!C218</f>
        <v>140676.80723404256</v>
      </c>
      <c r="N219" s="10">
        <f t="shared" ref="N219" si="37">+$N$5*M219</f>
        <v>165227.00809152395</v>
      </c>
      <c r="O219" s="55">
        <f t="shared" ref="O219" si="38">+N219+K219</f>
        <v>421540.87220499915</v>
      </c>
      <c r="P219" s="218"/>
      <c r="Q219" s="219"/>
      <c r="R219" s="215"/>
      <c r="S219" s="215"/>
      <c r="T219" s="220"/>
    </row>
    <row r="220" spans="1:20" s="214" customFormat="1" x14ac:dyDescent="0.25">
      <c r="A220" s="309">
        <f>'A) Base RI'!A221</f>
        <v>5750</v>
      </c>
      <c r="B220" s="227" t="str">
        <f>'A) Base RI'!B221</f>
        <v>Les Clées</v>
      </c>
      <c r="C220" s="243">
        <v>0</v>
      </c>
      <c r="D220" s="216">
        <f>'B) D RI'!AA221</f>
        <v>187</v>
      </c>
      <c r="E220" s="217">
        <f>'B) D RI'!S221</f>
        <v>80</v>
      </c>
      <c r="F220" s="10">
        <f>'B) D RI'!R221</f>
        <v>483035.5</v>
      </c>
      <c r="G220" s="10">
        <f>'B) D RI'!U221</f>
        <v>6037.9437500000004</v>
      </c>
      <c r="H220" s="41">
        <f>'B) D RI'!T221</f>
        <v>459014.7</v>
      </c>
      <c r="I220" s="10">
        <f t="shared" si="31"/>
        <v>11475.3675</v>
      </c>
      <c r="J220" s="31">
        <f t="shared" ref="J220:J243" si="39">+$I$315/$D$315*D220</f>
        <v>16648.16008592919</v>
      </c>
      <c r="K220" s="10">
        <f t="shared" si="28"/>
        <v>11475.3675</v>
      </c>
      <c r="L220" s="10">
        <f t="shared" si="32"/>
        <v>5172.79258592919</v>
      </c>
      <c r="M220" s="10">
        <f>'D) Ecrêtage'!C219</f>
        <v>6037.9437500000004</v>
      </c>
      <c r="N220" s="10">
        <f t="shared" si="29"/>
        <v>7091.6549817459781</v>
      </c>
      <c r="O220" s="55">
        <f t="shared" si="30"/>
        <v>18567.022481745978</v>
      </c>
      <c r="P220" s="218"/>
      <c r="Q220" s="219"/>
      <c r="R220" s="215"/>
      <c r="S220" s="215"/>
      <c r="T220" s="220"/>
    </row>
    <row r="221" spans="1:20" s="214" customFormat="1" x14ac:dyDescent="0.25">
      <c r="A221" s="309">
        <f>'A) Base RI'!A222</f>
        <v>5752</v>
      </c>
      <c r="B221" s="227" t="str">
        <f>'A) Base RI'!B222</f>
        <v>Croy</v>
      </c>
      <c r="C221" s="243">
        <v>0</v>
      </c>
      <c r="D221" s="216">
        <f>'B) D RI'!AA222</f>
        <v>397</v>
      </c>
      <c r="E221" s="217">
        <f>'B) D RI'!S222</f>
        <v>74</v>
      </c>
      <c r="F221" s="10">
        <f>'B) D RI'!R222</f>
        <v>696842.98714285716</v>
      </c>
      <c r="G221" s="10">
        <f>'B) D RI'!U222</f>
        <v>9416.7971235521236</v>
      </c>
      <c r="H221" s="41">
        <f>'B) D RI'!T222</f>
        <v>635436.73</v>
      </c>
      <c r="I221" s="10">
        <f t="shared" si="31"/>
        <v>17173.965675675674</v>
      </c>
      <c r="J221" s="31">
        <f t="shared" si="39"/>
        <v>35343.954834833625</v>
      </c>
      <c r="K221" s="10">
        <f t="shared" si="28"/>
        <v>17173.965675675674</v>
      </c>
      <c r="L221" s="10">
        <f t="shared" si="32"/>
        <v>18169.989159157951</v>
      </c>
      <c r="M221" s="10">
        <f>'D) Ecrêtage'!C220</f>
        <v>9416.7971235521236</v>
      </c>
      <c r="N221" s="10">
        <f t="shared" si="29"/>
        <v>11060.168659790779</v>
      </c>
      <c r="O221" s="55">
        <f t="shared" si="30"/>
        <v>28234.134335466453</v>
      </c>
      <c r="P221" s="218"/>
      <c r="Q221" s="219"/>
      <c r="R221" s="215"/>
      <c r="S221" s="215"/>
      <c r="T221" s="220"/>
    </row>
    <row r="222" spans="1:20" s="214" customFormat="1" x14ac:dyDescent="0.25">
      <c r="A222" s="309">
        <f>'A) Base RI'!A223</f>
        <v>5754</v>
      </c>
      <c r="B222" s="227" t="str">
        <f>'A) Base RI'!B223</f>
        <v>Juriens</v>
      </c>
      <c r="C222" s="243">
        <v>0</v>
      </c>
      <c r="D222" s="216">
        <f>'B) D RI'!AA223</f>
        <v>336</v>
      </c>
      <c r="E222" s="217">
        <f>'B) D RI'!S223</f>
        <v>79</v>
      </c>
      <c r="F222" s="10">
        <f>'B) D RI'!R223</f>
        <v>635459.09000000008</v>
      </c>
      <c r="G222" s="10">
        <f>'B) D RI'!U223</f>
        <v>8043.7859493670894</v>
      </c>
      <c r="H222" s="41">
        <f>'B) D RI'!T223</f>
        <v>591985.49000000011</v>
      </c>
      <c r="I222" s="10">
        <f t="shared" si="31"/>
        <v>14986.974430379749</v>
      </c>
      <c r="J222" s="31">
        <f t="shared" si="39"/>
        <v>29913.271598247102</v>
      </c>
      <c r="K222" s="10">
        <f t="shared" si="28"/>
        <v>14986.974430379749</v>
      </c>
      <c r="L222" s="10">
        <f t="shared" si="32"/>
        <v>14926.297167867353</v>
      </c>
      <c r="M222" s="10">
        <f>'D) Ecrêtage'!C221</f>
        <v>8043.7859493670894</v>
      </c>
      <c r="N222" s="10">
        <f t="shared" si="29"/>
        <v>9447.5465591953252</v>
      </c>
      <c r="O222" s="55">
        <f t="shared" si="30"/>
        <v>24434.520989575074</v>
      </c>
      <c r="P222" s="218"/>
      <c r="Q222" s="219"/>
      <c r="R222" s="215"/>
      <c r="S222" s="215"/>
      <c r="T222" s="220"/>
    </row>
    <row r="223" spans="1:20" s="214" customFormat="1" x14ac:dyDescent="0.25">
      <c r="A223" s="309">
        <f>'A) Base RI'!A224</f>
        <v>5755</v>
      </c>
      <c r="B223" s="227" t="str">
        <f>'A) Base RI'!B224</f>
        <v>Lignerolle</v>
      </c>
      <c r="C223" s="243">
        <v>0</v>
      </c>
      <c r="D223" s="216">
        <f>'B) D RI'!AA224</f>
        <v>435</v>
      </c>
      <c r="E223" s="217">
        <f>'B) D RI'!S224</f>
        <v>78.5</v>
      </c>
      <c r="F223" s="10">
        <f>'B) D RI'!R224</f>
        <v>710838.98571428563</v>
      </c>
      <c r="G223" s="10">
        <f>'B) D RI'!U224</f>
        <v>9055.2737033666963</v>
      </c>
      <c r="H223" s="41">
        <f>'B) D RI'!T224</f>
        <v>645674.6</v>
      </c>
      <c r="I223" s="10">
        <f t="shared" si="31"/>
        <v>16450.308280254776</v>
      </c>
      <c r="J223" s="31">
        <f t="shared" si="39"/>
        <v>38727.003408444907</v>
      </c>
      <c r="K223" s="10">
        <f t="shared" si="28"/>
        <v>16450.308280254776</v>
      </c>
      <c r="L223" s="10">
        <f t="shared" si="32"/>
        <v>22276.695128190131</v>
      </c>
      <c r="M223" s="10">
        <f>'D) Ecrêtage'!C222</f>
        <v>9055.2737033666963</v>
      </c>
      <c r="N223" s="10">
        <f t="shared" si="29"/>
        <v>10635.554011173717</v>
      </c>
      <c r="O223" s="55">
        <f t="shared" si="30"/>
        <v>27085.862291428493</v>
      </c>
      <c r="P223" s="218"/>
      <c r="Q223" s="219"/>
      <c r="R223" s="215"/>
      <c r="S223" s="215"/>
      <c r="T223" s="220"/>
    </row>
    <row r="224" spans="1:20" s="214" customFormat="1" x14ac:dyDescent="0.25">
      <c r="A224" s="309">
        <f>'A) Base RI'!A225</f>
        <v>5756</v>
      </c>
      <c r="B224" s="227" t="str">
        <f>'A) Base RI'!B225</f>
        <v>Montcherand</v>
      </c>
      <c r="C224" s="243">
        <v>1</v>
      </c>
      <c r="D224" s="216">
        <f>'B) D RI'!AA225</f>
        <v>506</v>
      </c>
      <c r="E224" s="217">
        <f>'B) D RI'!S225</f>
        <v>72</v>
      </c>
      <c r="F224" s="10">
        <f>'B) D RI'!R225</f>
        <v>1134598.22</v>
      </c>
      <c r="G224" s="10">
        <f>'B) D RI'!U225</f>
        <v>15758.308611111112</v>
      </c>
      <c r="H224" s="41">
        <f>'B) D RI'!T225</f>
        <v>1047632.82</v>
      </c>
      <c r="I224" s="10">
        <f t="shared" si="31"/>
        <v>29100.911666666667</v>
      </c>
      <c r="J224" s="31">
        <f t="shared" si="39"/>
        <v>45047.962585455454</v>
      </c>
      <c r="K224" s="10">
        <f t="shared" si="28"/>
        <v>0</v>
      </c>
      <c r="L224" s="10">
        <f t="shared" si="32"/>
        <v>45047.962585455454</v>
      </c>
      <c r="M224" s="10">
        <f>'D) Ecrêtage'!C223</f>
        <v>15758.308611111112</v>
      </c>
      <c r="N224" s="10">
        <f t="shared" si="29"/>
        <v>18508.368476582222</v>
      </c>
      <c r="O224" s="55">
        <f t="shared" si="30"/>
        <v>18508.368476582222</v>
      </c>
      <c r="P224" s="218"/>
      <c r="Q224" s="219"/>
      <c r="R224" s="215"/>
      <c r="S224" s="215"/>
      <c r="T224" s="220"/>
    </row>
    <row r="225" spans="1:20" s="214" customFormat="1" x14ac:dyDescent="0.25">
      <c r="A225" s="309">
        <f>'A) Base RI'!A226</f>
        <v>5757</v>
      </c>
      <c r="B225" s="227" t="str">
        <f>'A) Base RI'!B226</f>
        <v>Orbe</v>
      </c>
      <c r="C225" s="243">
        <v>1</v>
      </c>
      <c r="D225" s="216">
        <f>'B) D RI'!AA226</f>
        <v>7124</v>
      </c>
      <c r="E225" s="217">
        <f>'B) D RI'!S226</f>
        <v>75.5</v>
      </c>
      <c r="F225" s="10">
        <f>'B) D RI'!R226</f>
        <v>15385649.329999998</v>
      </c>
      <c r="G225" s="10">
        <f>'B) D RI'!U226</f>
        <v>203783.43483443707</v>
      </c>
      <c r="H225" s="41">
        <f>'B) D RI'!T226</f>
        <v>13655083.029999997</v>
      </c>
      <c r="I225" s="10">
        <f t="shared" si="31"/>
        <v>361724.05377483438</v>
      </c>
      <c r="J225" s="31">
        <f t="shared" si="39"/>
        <v>634232.57995807251</v>
      </c>
      <c r="K225" s="10">
        <f t="shared" si="28"/>
        <v>0</v>
      </c>
      <c r="L225" s="10">
        <f t="shared" si="32"/>
        <v>634232.57995807251</v>
      </c>
      <c r="M225" s="10">
        <f>'D) Ecrêtage'!C224</f>
        <v>203783.43483443707</v>
      </c>
      <c r="N225" s="10">
        <f t="shared" si="29"/>
        <v>239346.68335407105</v>
      </c>
      <c r="O225" s="55">
        <f t="shared" si="30"/>
        <v>239346.68335407105</v>
      </c>
      <c r="P225" s="218"/>
      <c r="Q225" s="219"/>
      <c r="R225" s="215"/>
      <c r="S225" s="215"/>
      <c r="T225" s="220"/>
    </row>
    <row r="226" spans="1:20" s="214" customFormat="1" x14ac:dyDescent="0.25">
      <c r="A226" s="309">
        <f>'A) Base RI'!A227</f>
        <v>5758</v>
      </c>
      <c r="B226" s="227" t="str">
        <f>'A) Base RI'!B227</f>
        <v>La Praz</v>
      </c>
      <c r="C226" s="243">
        <v>0</v>
      </c>
      <c r="D226" s="216">
        <f>'B) D RI'!AA227</f>
        <v>175</v>
      </c>
      <c r="E226" s="217">
        <f>'B) D RI'!S227</f>
        <v>83</v>
      </c>
      <c r="F226" s="10">
        <f>'B) D RI'!R227</f>
        <v>358011.69999999995</v>
      </c>
      <c r="G226" s="10">
        <f>'B) D RI'!U227</f>
        <v>4313.3939759036139</v>
      </c>
      <c r="H226" s="41">
        <f>'B) D RI'!T227</f>
        <v>328917.19999999995</v>
      </c>
      <c r="I226" s="10">
        <f t="shared" si="31"/>
        <v>7925.7156626506012</v>
      </c>
      <c r="J226" s="31">
        <f t="shared" si="39"/>
        <v>15579.828957420365</v>
      </c>
      <c r="K226" s="10">
        <f t="shared" si="28"/>
        <v>7925.7156626506012</v>
      </c>
      <c r="L226" s="10">
        <f t="shared" si="32"/>
        <v>7654.1132947697633</v>
      </c>
      <c r="M226" s="10">
        <f>'D) Ecrêtage'!C225</f>
        <v>4313.3939759036139</v>
      </c>
      <c r="N226" s="10">
        <f t="shared" si="29"/>
        <v>5066.1455528548031</v>
      </c>
      <c r="O226" s="55">
        <f t="shared" si="30"/>
        <v>12991.861215505403</v>
      </c>
      <c r="P226" s="218"/>
      <c r="Q226" s="219"/>
      <c r="R226" s="215"/>
      <c r="S226" s="215"/>
      <c r="T226" s="220"/>
    </row>
    <row r="227" spans="1:20" s="214" customFormat="1" x14ac:dyDescent="0.25">
      <c r="A227" s="309">
        <f>'A) Base RI'!A228</f>
        <v>5759</v>
      </c>
      <c r="B227" s="227" t="str">
        <f>'A) Base RI'!B228</f>
        <v>Premier</v>
      </c>
      <c r="C227" s="243">
        <v>0</v>
      </c>
      <c r="D227" s="216">
        <f>'B) D RI'!AA228</f>
        <v>218</v>
      </c>
      <c r="E227" s="217">
        <f>'B) D RI'!S228</f>
        <v>79.5</v>
      </c>
      <c r="F227" s="10">
        <f>'B) D RI'!R228</f>
        <v>421944.98000000004</v>
      </c>
      <c r="G227" s="10">
        <f>'B) D RI'!U228</f>
        <v>5307.4840251572332</v>
      </c>
      <c r="H227" s="41">
        <f>'B) D RI'!T228</f>
        <v>391181.33</v>
      </c>
      <c r="I227" s="10">
        <f t="shared" si="31"/>
        <v>9841.0397484276727</v>
      </c>
      <c r="J227" s="31">
        <f t="shared" si="39"/>
        <v>19408.015501243655</v>
      </c>
      <c r="K227" s="10">
        <f t="shared" si="28"/>
        <v>9841.0397484276727</v>
      </c>
      <c r="L227" s="10">
        <f t="shared" si="32"/>
        <v>9566.9757528159826</v>
      </c>
      <c r="M227" s="10">
        <f>'D) Ecrêtage'!C226</f>
        <v>5307.4840251572332</v>
      </c>
      <c r="N227" s="10">
        <f t="shared" si="29"/>
        <v>6233.7191411469321</v>
      </c>
      <c r="O227" s="55">
        <f t="shared" si="30"/>
        <v>16074.758889574605</v>
      </c>
      <c r="P227" s="218"/>
      <c r="Q227" s="219"/>
      <c r="R227" s="215"/>
      <c r="S227" s="215"/>
      <c r="T227" s="220"/>
    </row>
    <row r="228" spans="1:20" s="214" customFormat="1" x14ac:dyDescent="0.25">
      <c r="A228" s="309">
        <f>'A) Base RI'!A229</f>
        <v>5760</v>
      </c>
      <c r="B228" s="227" t="str">
        <f>'A) Base RI'!B229</f>
        <v>Rances</v>
      </c>
      <c r="C228" s="243">
        <v>0</v>
      </c>
      <c r="D228" s="216">
        <f>'B) D RI'!AA229</f>
        <v>513</v>
      </c>
      <c r="E228" s="217">
        <f>'B) D RI'!S229</f>
        <v>76.5</v>
      </c>
      <c r="F228" s="10">
        <f>'B) D RI'!R229</f>
        <v>981190.45333333313</v>
      </c>
      <c r="G228" s="10">
        <f>'B) D RI'!U229</f>
        <v>12826.018997821348</v>
      </c>
      <c r="H228" s="41">
        <f>'B) D RI'!T229</f>
        <v>905697.21999999986</v>
      </c>
      <c r="I228" s="10">
        <f t="shared" si="31"/>
        <v>23678.358692810452</v>
      </c>
      <c r="J228" s="31">
        <f t="shared" si="39"/>
        <v>45671.155743752272</v>
      </c>
      <c r="K228" s="10">
        <f t="shared" si="28"/>
        <v>23678.358692810452</v>
      </c>
      <c r="L228" s="10">
        <f t="shared" si="32"/>
        <v>21992.797050941819</v>
      </c>
      <c r="M228" s="10">
        <f>'D) Ecrêtage'!C227</f>
        <v>12826.018997821348</v>
      </c>
      <c r="N228" s="10">
        <f t="shared" si="29"/>
        <v>15064.350594830948</v>
      </c>
      <c r="O228" s="55">
        <f t="shared" si="30"/>
        <v>38742.709287641403</v>
      </c>
      <c r="P228" s="218"/>
      <c r="Q228" s="219"/>
      <c r="R228" s="215"/>
      <c r="S228" s="215"/>
      <c r="T228" s="220"/>
    </row>
    <row r="229" spans="1:20" s="214" customFormat="1" x14ac:dyDescent="0.25">
      <c r="A229" s="309">
        <f>'A) Base RI'!A230</f>
        <v>5761</v>
      </c>
      <c r="B229" s="227" t="str">
        <f>'A) Base RI'!B230</f>
        <v>Romainmôtier-Envy</v>
      </c>
      <c r="C229" s="243">
        <v>0</v>
      </c>
      <c r="D229" s="216">
        <f>'B) D RI'!AA230</f>
        <v>525</v>
      </c>
      <c r="E229" s="217">
        <f>'B) D RI'!S230</f>
        <v>81</v>
      </c>
      <c r="F229" s="10">
        <f>'B) D RI'!R230</f>
        <v>982935.35454545461</v>
      </c>
      <c r="G229" s="10">
        <f>'B) D RI'!U230</f>
        <v>12135.004377104378</v>
      </c>
      <c r="H229" s="41">
        <f>'B) D RI'!T230</f>
        <v>895994.35</v>
      </c>
      <c r="I229" s="10">
        <f t="shared" si="31"/>
        <v>22123.317283950615</v>
      </c>
      <c r="J229" s="31">
        <f t="shared" si="39"/>
        <v>46739.486872261092</v>
      </c>
      <c r="K229" s="10">
        <f t="shared" si="28"/>
        <v>22123.317283950615</v>
      </c>
      <c r="L229" s="10">
        <f t="shared" si="32"/>
        <v>24616.169588310477</v>
      </c>
      <c r="M229" s="10">
        <f>'D) Ecrêtage'!C228</f>
        <v>12135.004377104378</v>
      </c>
      <c r="N229" s="10">
        <f t="shared" si="29"/>
        <v>14252.743617295459</v>
      </c>
      <c r="O229" s="55">
        <f t="shared" si="30"/>
        <v>36376.060901246077</v>
      </c>
      <c r="P229" s="218"/>
      <c r="Q229" s="219"/>
      <c r="R229" s="215"/>
      <c r="S229" s="215"/>
      <c r="T229" s="220"/>
    </row>
    <row r="230" spans="1:20" s="214" customFormat="1" x14ac:dyDescent="0.25">
      <c r="A230" s="309">
        <f>'A) Base RI'!A231</f>
        <v>5762</v>
      </c>
      <c r="B230" s="227" t="str">
        <f>'A) Base RI'!B231</f>
        <v>Sergey</v>
      </c>
      <c r="C230" s="243">
        <v>0</v>
      </c>
      <c r="D230" s="216">
        <f>'B) D RI'!AA231</f>
        <v>145</v>
      </c>
      <c r="E230" s="217">
        <f>'B) D RI'!S231</f>
        <v>78</v>
      </c>
      <c r="F230" s="10">
        <f>'B) D RI'!R231</f>
        <v>294296.2</v>
      </c>
      <c r="G230" s="10">
        <f>'B) D RI'!U231</f>
        <v>3773.0282051282052</v>
      </c>
      <c r="H230" s="41">
        <f>'B) D RI'!T231</f>
        <v>273704.60000000003</v>
      </c>
      <c r="I230" s="10">
        <f t="shared" si="31"/>
        <v>7018.0666666666675</v>
      </c>
      <c r="J230" s="31">
        <f t="shared" si="39"/>
        <v>12909.001136148303</v>
      </c>
      <c r="K230" s="10">
        <f t="shared" si="28"/>
        <v>7018.0666666666675</v>
      </c>
      <c r="L230" s="10">
        <f t="shared" si="32"/>
        <v>5890.9344694816355</v>
      </c>
      <c r="M230" s="10">
        <f>'D) Ecrêtage'!C229</f>
        <v>3773.0282051282052</v>
      </c>
      <c r="N230" s="10">
        <f t="shared" si="29"/>
        <v>4431.4778962896962</v>
      </c>
      <c r="O230" s="55">
        <f t="shared" si="30"/>
        <v>11449.544562956364</v>
      </c>
      <c r="P230" s="218"/>
      <c r="Q230" s="219"/>
      <c r="R230" s="215"/>
      <c r="S230" s="215"/>
      <c r="T230" s="220"/>
    </row>
    <row r="231" spans="1:20" s="214" customFormat="1" x14ac:dyDescent="0.25">
      <c r="A231" s="309">
        <f>'A) Base RI'!A232</f>
        <v>5763</v>
      </c>
      <c r="B231" s="227" t="str">
        <f>'A) Base RI'!B232</f>
        <v>Valeyres-sous-Rances</v>
      </c>
      <c r="C231" s="243">
        <v>0</v>
      </c>
      <c r="D231" s="216">
        <f>'B) D RI'!AA232</f>
        <v>609</v>
      </c>
      <c r="E231" s="217">
        <f>'B) D RI'!S232</f>
        <v>68</v>
      </c>
      <c r="F231" s="10">
        <f>'B) D RI'!R232</f>
        <v>1390802.2399999998</v>
      </c>
      <c r="G231" s="10">
        <f>'B) D RI'!U232</f>
        <v>20452.974117647056</v>
      </c>
      <c r="H231" s="41">
        <f>'B) D RI'!T232</f>
        <v>1297941.0399999998</v>
      </c>
      <c r="I231" s="10">
        <f t="shared" si="31"/>
        <v>38174.736470588228</v>
      </c>
      <c r="J231" s="31">
        <f t="shared" si="39"/>
        <v>54217.80477182287</v>
      </c>
      <c r="K231" s="10">
        <f t="shared" si="28"/>
        <v>38174.736470588228</v>
      </c>
      <c r="L231" s="10">
        <f t="shared" si="32"/>
        <v>16043.068301234642</v>
      </c>
      <c r="M231" s="10">
        <f>'D) Ecrêtage'!C230</f>
        <v>20452.974117647056</v>
      </c>
      <c r="N231" s="10">
        <f t="shared" si="29"/>
        <v>24022.323128289045</v>
      </c>
      <c r="O231" s="55">
        <f t="shared" si="30"/>
        <v>62197.059598877269</v>
      </c>
      <c r="P231" s="218"/>
      <c r="Q231" s="219"/>
      <c r="R231" s="215"/>
      <c r="S231" s="215"/>
      <c r="T231" s="220"/>
    </row>
    <row r="232" spans="1:20" s="214" customFormat="1" x14ac:dyDescent="0.25">
      <c r="A232" s="309">
        <f>'A) Base RI'!A233</f>
        <v>5764</v>
      </c>
      <c r="B232" s="227" t="str">
        <f>'A) Base RI'!B233</f>
        <v>Vallorbe</v>
      </c>
      <c r="C232" s="243">
        <v>0</v>
      </c>
      <c r="D232" s="216">
        <f>'B) D RI'!AA233</f>
        <v>3874</v>
      </c>
      <c r="E232" s="217">
        <f>'B) D RI'!S233</f>
        <v>71.5</v>
      </c>
      <c r="F232" s="10">
        <f>'B) D RI'!R233</f>
        <v>6028215.379999999</v>
      </c>
      <c r="G232" s="10">
        <f>'B) D RI'!U233</f>
        <v>84310.704615384602</v>
      </c>
      <c r="H232" s="41">
        <f>'B) D RI'!T233</f>
        <v>5523788.0299999993</v>
      </c>
      <c r="I232" s="10">
        <f t="shared" si="31"/>
        <v>154511.55328671326</v>
      </c>
      <c r="J232" s="31">
        <f t="shared" si="39"/>
        <v>344892.89932026569</v>
      </c>
      <c r="K232" s="10">
        <f t="shared" si="28"/>
        <v>154511.55328671326</v>
      </c>
      <c r="L232" s="10">
        <f t="shared" si="32"/>
        <v>190381.34603355243</v>
      </c>
      <c r="M232" s="10">
        <f>'D) Ecrêtage'!C231</f>
        <v>84310.704615384602</v>
      </c>
      <c r="N232" s="10">
        <f t="shared" si="29"/>
        <v>99024.179945400421</v>
      </c>
      <c r="O232" s="55">
        <f t="shared" si="30"/>
        <v>253535.73323211368</v>
      </c>
      <c r="P232" s="218"/>
      <c r="Q232" s="219"/>
      <c r="R232" s="215"/>
      <c r="S232" s="215"/>
      <c r="T232" s="220"/>
    </row>
    <row r="233" spans="1:20" s="214" customFormat="1" x14ac:dyDescent="0.25">
      <c r="A233" s="309">
        <f>'A) Base RI'!A234</f>
        <v>5765</v>
      </c>
      <c r="B233" s="227" t="str">
        <f>'A) Base RI'!B234</f>
        <v>Vaulion</v>
      </c>
      <c r="C233" s="243">
        <v>0</v>
      </c>
      <c r="D233" s="216">
        <f>'B) D RI'!AA234</f>
        <v>506</v>
      </c>
      <c r="E233" s="217">
        <f>'B) D RI'!S234</f>
        <v>81</v>
      </c>
      <c r="F233" s="10">
        <f>'B) D RI'!R234</f>
        <v>916482.36</v>
      </c>
      <c r="G233" s="10">
        <f>'B) D RI'!U234</f>
        <v>11314.597037037036</v>
      </c>
      <c r="H233" s="41">
        <f>'B) D RI'!T234</f>
        <v>851583.76</v>
      </c>
      <c r="I233" s="10">
        <f t="shared" si="31"/>
        <v>21026.759506172839</v>
      </c>
      <c r="J233" s="31">
        <f t="shared" si="39"/>
        <v>45047.962585455454</v>
      </c>
      <c r="K233" s="10">
        <f t="shared" si="28"/>
        <v>21026.759506172839</v>
      </c>
      <c r="L233" s="10">
        <f t="shared" si="32"/>
        <v>24021.203079282615</v>
      </c>
      <c r="M233" s="10">
        <f>'D) Ecrêtage'!C232</f>
        <v>11314.597037037036</v>
      </c>
      <c r="N233" s="10">
        <f t="shared" si="29"/>
        <v>13289.162961173988</v>
      </c>
      <c r="O233" s="55">
        <f t="shared" si="30"/>
        <v>34315.922467346827</v>
      </c>
      <c r="P233" s="218"/>
      <c r="Q233" s="219"/>
      <c r="R233" s="215"/>
      <c r="S233" s="215"/>
      <c r="T233" s="220"/>
    </row>
    <row r="234" spans="1:20" s="214" customFormat="1" x14ac:dyDescent="0.25">
      <c r="A234" s="309">
        <f>'A) Base RI'!A235</f>
        <v>5766</v>
      </c>
      <c r="B234" s="227" t="str">
        <f>'A) Base RI'!B235</f>
        <v>Vuiteboeuf</v>
      </c>
      <c r="C234" s="243">
        <v>0</v>
      </c>
      <c r="D234" s="216">
        <f>'B) D RI'!AA235</f>
        <v>584</v>
      </c>
      <c r="E234" s="217">
        <f>'B) D RI'!S235</f>
        <v>77</v>
      </c>
      <c r="F234" s="10">
        <f>'B) D RI'!R235</f>
        <v>1231504.0899999999</v>
      </c>
      <c r="G234" s="10">
        <f>'B) D RI'!U235</f>
        <v>15993.559610389608</v>
      </c>
      <c r="H234" s="41">
        <f>'B) D RI'!T235</f>
        <v>1152627.94</v>
      </c>
      <c r="I234" s="10">
        <f t="shared" si="31"/>
        <v>29938.388051948052</v>
      </c>
      <c r="J234" s="31">
        <f t="shared" si="39"/>
        <v>51992.114920762819</v>
      </c>
      <c r="K234" s="10">
        <f t="shared" si="28"/>
        <v>29938.388051948052</v>
      </c>
      <c r="L234" s="10">
        <f t="shared" si="32"/>
        <v>22053.726868814767</v>
      </c>
      <c r="M234" s="10">
        <f>'D) Ecrêtage'!C233</f>
        <v>15993.559610389608</v>
      </c>
      <c r="N234" s="10">
        <f t="shared" si="29"/>
        <v>18784.674283669952</v>
      </c>
      <c r="O234" s="55">
        <f t="shared" si="30"/>
        <v>48723.062335618</v>
      </c>
      <c r="P234" s="218"/>
      <c r="Q234" s="219"/>
      <c r="R234" s="215"/>
      <c r="S234" s="215"/>
      <c r="T234" s="220"/>
    </row>
    <row r="235" spans="1:20" s="214" customFormat="1" x14ac:dyDescent="0.25">
      <c r="A235" s="309">
        <f>'A) Base RI'!A236</f>
        <v>5785</v>
      </c>
      <c r="B235" s="227" t="str">
        <f>'A) Base RI'!B236</f>
        <v>Corcelles-le-Jorat</v>
      </c>
      <c r="C235" s="243">
        <v>0</v>
      </c>
      <c r="D235" s="216">
        <f>'B) D RI'!AA236</f>
        <v>451</v>
      </c>
      <c r="E235" s="217">
        <f>'B) D RI'!S236</f>
        <v>77</v>
      </c>
      <c r="F235" s="10">
        <f>'B) D RI'!R236</f>
        <v>1348897.2100000002</v>
      </c>
      <c r="G235" s="10">
        <f>'B) D RI'!U236</f>
        <v>17518.145584415586</v>
      </c>
      <c r="H235" s="41">
        <f>'B) D RI'!T236</f>
        <v>1273422.8600000001</v>
      </c>
      <c r="I235" s="10">
        <f t="shared" si="31"/>
        <v>33075.918441558446</v>
      </c>
      <c r="J235" s="31">
        <f t="shared" si="39"/>
        <v>40151.444913123341</v>
      </c>
      <c r="K235" s="10">
        <f t="shared" si="28"/>
        <v>33075.918441558446</v>
      </c>
      <c r="L235" s="10">
        <f t="shared" si="32"/>
        <v>7075.5264715648955</v>
      </c>
      <c r="M235" s="10">
        <f>'D) Ecrêtage'!C234</f>
        <v>17518.145584415586</v>
      </c>
      <c r="N235" s="10">
        <f t="shared" si="29"/>
        <v>20575.323247201846</v>
      </c>
      <c r="O235" s="55">
        <f t="shared" si="30"/>
        <v>53651.241688760289</v>
      </c>
      <c r="P235" s="218"/>
      <c r="Q235" s="219"/>
      <c r="R235" s="215"/>
      <c r="S235" s="215"/>
      <c r="T235" s="220"/>
    </row>
    <row r="236" spans="1:20" s="214" customFormat="1" x14ac:dyDescent="0.25">
      <c r="A236" s="309">
        <f>'A) Base RI'!A237</f>
        <v>5788</v>
      </c>
      <c r="B236" s="227" t="str">
        <f>'A) Base RI'!B237</f>
        <v>Essertes</v>
      </c>
      <c r="C236" s="243">
        <v>0</v>
      </c>
      <c r="D236" s="216">
        <f>'B) D RI'!AA237</f>
        <v>389</v>
      </c>
      <c r="E236" s="217">
        <f>'B) D RI'!S237</f>
        <v>71.5</v>
      </c>
      <c r="F236" s="10">
        <f>'B) D RI'!R237</f>
        <v>1160079.8999999997</v>
      </c>
      <c r="G236" s="10">
        <f>'B) D RI'!U237</f>
        <v>16224.893706293702</v>
      </c>
      <c r="H236" s="41">
        <f>'B) D RI'!T237</f>
        <v>1086300.9799999997</v>
      </c>
      <c r="I236" s="10">
        <f t="shared" si="31"/>
        <v>30386.041398601392</v>
      </c>
      <c r="J236" s="31">
        <f t="shared" si="39"/>
        <v>34631.734082494411</v>
      </c>
      <c r="K236" s="10">
        <f t="shared" si="28"/>
        <v>30386.041398601392</v>
      </c>
      <c r="L236" s="10">
        <f t="shared" si="32"/>
        <v>4245.6926838930194</v>
      </c>
      <c r="M236" s="10">
        <f>'D) Ecrêtage'!C235</f>
        <v>16224.893706293702</v>
      </c>
      <c r="N236" s="10">
        <f t="shared" si="29"/>
        <v>19056.379629329385</v>
      </c>
      <c r="O236" s="55">
        <f t="shared" si="30"/>
        <v>49442.421027930774</v>
      </c>
      <c r="P236" s="218"/>
      <c r="Q236" s="219"/>
      <c r="R236" s="215"/>
      <c r="S236" s="215"/>
      <c r="T236" s="220"/>
    </row>
    <row r="237" spans="1:20" s="214" customFormat="1" x14ac:dyDescent="0.25">
      <c r="A237" s="309">
        <f>'A) Base RI'!A238</f>
        <v>5790</v>
      </c>
      <c r="B237" s="227" t="str">
        <f>'A) Base RI'!B238</f>
        <v>Maracon</v>
      </c>
      <c r="C237" s="243">
        <v>0</v>
      </c>
      <c r="D237" s="216">
        <f>'B) D RI'!AA238</f>
        <v>538</v>
      </c>
      <c r="E237" s="217">
        <f>'B) D RI'!S238</f>
        <v>74.5</v>
      </c>
      <c r="F237" s="10">
        <f>'B) D RI'!R238</f>
        <v>998157.33000000007</v>
      </c>
      <c r="G237" s="10">
        <f>'B) D RI'!U238</f>
        <v>13398.084966442953</v>
      </c>
      <c r="H237" s="41">
        <f>'B) D RI'!T238</f>
        <v>904397.08000000007</v>
      </c>
      <c r="I237" s="10">
        <f t="shared" si="31"/>
        <v>24279.11624161074</v>
      </c>
      <c r="J237" s="31">
        <f t="shared" si="39"/>
        <v>47896.845594812323</v>
      </c>
      <c r="K237" s="10">
        <f t="shared" si="28"/>
        <v>24279.11624161074</v>
      </c>
      <c r="L237" s="10">
        <f t="shared" si="32"/>
        <v>23617.729353201583</v>
      </c>
      <c r="M237" s="10">
        <f>'D) Ecrêtage'!C236</f>
        <v>13398.084966442953</v>
      </c>
      <c r="N237" s="10">
        <f t="shared" si="29"/>
        <v>15736.250606529922</v>
      </c>
      <c r="O237" s="55">
        <f t="shared" si="30"/>
        <v>40015.366848140664</v>
      </c>
      <c r="P237" s="218"/>
      <c r="Q237" s="219"/>
      <c r="R237" s="215"/>
      <c r="S237" s="215"/>
      <c r="T237" s="220"/>
    </row>
    <row r="238" spans="1:20" s="214" customFormat="1" x14ac:dyDescent="0.25">
      <c r="A238" s="309">
        <f>'A) Base RI'!A239</f>
        <v>5792</v>
      </c>
      <c r="B238" s="227" t="str">
        <f>'A) Base RI'!B239</f>
        <v>Montpreveyres</v>
      </c>
      <c r="C238" s="243">
        <v>0</v>
      </c>
      <c r="D238" s="216">
        <f>'B) D RI'!AA239</f>
        <v>653</v>
      </c>
      <c r="E238" s="217">
        <f>'B) D RI'!S239</f>
        <v>75</v>
      </c>
      <c r="F238" s="10">
        <f>'B) D RI'!R239</f>
        <v>1320692.3099999998</v>
      </c>
      <c r="G238" s="10">
        <f>'B) D RI'!U239</f>
        <v>17609.230799999998</v>
      </c>
      <c r="H238" s="41">
        <f>'B) D RI'!T239</f>
        <v>1204027.9099999999</v>
      </c>
      <c r="I238" s="10">
        <f t="shared" si="31"/>
        <v>32107.410933333333</v>
      </c>
      <c r="J238" s="31">
        <f t="shared" si="39"/>
        <v>58135.018909688559</v>
      </c>
      <c r="K238" s="10">
        <f t="shared" si="28"/>
        <v>32107.410933333333</v>
      </c>
      <c r="L238" s="10">
        <f t="shared" si="32"/>
        <v>26027.607976355226</v>
      </c>
      <c r="M238" s="10">
        <f>'D) Ecrêtage'!C237</f>
        <v>17609.230799999998</v>
      </c>
      <c r="N238" s="10">
        <f t="shared" si="29"/>
        <v>20682.304191312593</v>
      </c>
      <c r="O238" s="55">
        <f t="shared" si="30"/>
        <v>52789.715124645925</v>
      </c>
      <c r="P238" s="218"/>
      <c r="Q238" s="219"/>
      <c r="R238" s="215"/>
      <c r="S238" s="215"/>
      <c r="T238" s="220"/>
    </row>
    <row r="239" spans="1:20" s="214" customFormat="1" x14ac:dyDescent="0.25">
      <c r="A239" s="309">
        <f>'A) Base RI'!A240</f>
        <v>5798</v>
      </c>
      <c r="B239" s="227" t="str">
        <f>'A) Base RI'!B240</f>
        <v>Ropraz</v>
      </c>
      <c r="C239" s="243">
        <v>0</v>
      </c>
      <c r="D239" s="216">
        <f>'B) D RI'!AA240</f>
        <v>528</v>
      </c>
      <c r="E239" s="217">
        <f>'B) D RI'!S240</f>
        <v>77.5</v>
      </c>
      <c r="F239" s="10">
        <f>'B) D RI'!R240</f>
        <v>1221497.78</v>
      </c>
      <c r="G239" s="10">
        <f>'B) D RI'!U240</f>
        <v>15761.261677419356</v>
      </c>
      <c r="H239" s="41">
        <f>'B) D RI'!T240</f>
        <v>1134722.23</v>
      </c>
      <c r="I239" s="10">
        <f t="shared" si="31"/>
        <v>29283.154322580645</v>
      </c>
      <c r="J239" s="31">
        <f t="shared" si="39"/>
        <v>47006.569654388302</v>
      </c>
      <c r="K239" s="10">
        <f t="shared" si="28"/>
        <v>29283.154322580645</v>
      </c>
      <c r="L239" s="10">
        <f t="shared" si="32"/>
        <v>17723.415331807657</v>
      </c>
      <c r="M239" s="10">
        <f>'D) Ecrêtage'!C238</f>
        <v>15761.261677419356</v>
      </c>
      <c r="N239" s="10">
        <f t="shared" si="29"/>
        <v>18511.836897002053</v>
      </c>
      <c r="O239" s="55">
        <f t="shared" si="30"/>
        <v>47794.991219582698</v>
      </c>
      <c r="P239" s="218"/>
      <c r="Q239" s="219"/>
      <c r="R239" s="215"/>
      <c r="S239" s="215"/>
      <c r="T239" s="220"/>
    </row>
    <row r="240" spans="1:20" s="214" customFormat="1" x14ac:dyDescent="0.25">
      <c r="A240" s="309">
        <f>'A) Base RI'!A241</f>
        <v>5799</v>
      </c>
      <c r="B240" s="227" t="str">
        <f>'A) Base RI'!B241</f>
        <v>Servion</v>
      </c>
      <c r="C240" s="243">
        <v>0</v>
      </c>
      <c r="D240" s="216">
        <f>'B) D RI'!AA241</f>
        <v>2076</v>
      </c>
      <c r="E240" s="217">
        <f>'B) D RI'!S241</f>
        <v>69</v>
      </c>
      <c r="F240" s="10">
        <f>'B) D RI'!R241</f>
        <v>4787718.379999999</v>
      </c>
      <c r="G240" s="10">
        <f>'B) D RI'!U241</f>
        <v>69387.22289855071</v>
      </c>
      <c r="H240" s="41">
        <f>'B) D RI'!T241</f>
        <v>4371838.18</v>
      </c>
      <c r="I240" s="10">
        <f t="shared" si="31"/>
        <v>126719.9472463768</v>
      </c>
      <c r="J240" s="31">
        <f t="shared" si="39"/>
        <v>184821.28523202674</v>
      </c>
      <c r="K240" s="10">
        <f t="shared" si="28"/>
        <v>126719.9472463768</v>
      </c>
      <c r="L240" s="10">
        <f t="shared" si="32"/>
        <v>58101.337985649938</v>
      </c>
      <c r="M240" s="10">
        <f>'D) Ecrêtage'!C239</f>
        <v>69387.22289855071</v>
      </c>
      <c r="N240" s="10">
        <f t="shared" si="29"/>
        <v>81496.328106406378</v>
      </c>
      <c r="O240" s="55">
        <f t="shared" si="30"/>
        <v>208216.27535278318</v>
      </c>
      <c r="P240" s="218"/>
      <c r="Q240" s="219"/>
      <c r="R240" s="215"/>
      <c r="S240" s="215"/>
      <c r="T240" s="220"/>
    </row>
    <row r="241" spans="1:20" s="214" customFormat="1" x14ac:dyDescent="0.25">
      <c r="A241" s="309">
        <f>'A) Base RI'!A242</f>
        <v>5803</v>
      </c>
      <c r="B241" s="227" t="str">
        <f>'A) Base RI'!B242</f>
        <v>Vulliens</v>
      </c>
      <c r="C241" s="243">
        <v>0</v>
      </c>
      <c r="D241" s="216">
        <f>'B) D RI'!AA242</f>
        <v>624</v>
      </c>
      <c r="E241" s="217">
        <f>'B) D RI'!S242</f>
        <v>76</v>
      </c>
      <c r="F241" s="10">
        <f>'B) D RI'!R242</f>
        <v>1434570.9400000004</v>
      </c>
      <c r="G241" s="10">
        <f>'B) D RI'!U242</f>
        <v>18875.933421052636</v>
      </c>
      <c r="H241" s="41">
        <f>'B) D RI'!T242</f>
        <v>1329286.0900000003</v>
      </c>
      <c r="I241" s="10">
        <f t="shared" si="31"/>
        <v>34981.212894736847</v>
      </c>
      <c r="J241" s="31">
        <f t="shared" si="39"/>
        <v>55553.218682458901</v>
      </c>
      <c r="K241" s="10">
        <f t="shared" si="28"/>
        <v>34981.212894736847</v>
      </c>
      <c r="L241" s="10">
        <f t="shared" si="32"/>
        <v>20572.005787722053</v>
      </c>
      <c r="M241" s="10">
        <f>'D) Ecrêtage'!C240</f>
        <v>18875.933421052636</v>
      </c>
      <c r="N241" s="10">
        <f t="shared" si="29"/>
        <v>22170.065310812693</v>
      </c>
      <c r="O241" s="55">
        <f t="shared" si="30"/>
        <v>57151.278205549541</v>
      </c>
      <c r="P241" s="218"/>
      <c r="Q241" s="219"/>
      <c r="R241" s="215"/>
      <c r="S241" s="215"/>
      <c r="T241" s="220"/>
    </row>
    <row r="242" spans="1:20" s="214" customFormat="1" x14ac:dyDescent="0.25">
      <c r="A242" s="309">
        <f>'A) Base RI'!A243</f>
        <v>5804</v>
      </c>
      <c r="B242" s="227" t="str">
        <f>'A) Base RI'!B243</f>
        <v>Jorat-Menthue</v>
      </c>
      <c r="C242" s="243">
        <v>0</v>
      </c>
      <c r="D242" s="216">
        <f>'B) D RI'!AA243</f>
        <v>1602</v>
      </c>
      <c r="E242" s="217">
        <f>'B) D RI'!S243</f>
        <v>70.5</v>
      </c>
      <c r="F242" s="10">
        <f>'B) D RI'!R243</f>
        <v>3291846.99</v>
      </c>
      <c r="G242" s="10">
        <f>'B) D RI'!U243</f>
        <v>46692.865106382982</v>
      </c>
      <c r="H242" s="41">
        <f>'B) D RI'!T243</f>
        <v>3017689.5900000003</v>
      </c>
      <c r="I242" s="10">
        <f t="shared" si="31"/>
        <v>85608.215319148949</v>
      </c>
      <c r="J242" s="31">
        <f t="shared" si="39"/>
        <v>142622.20565592815</v>
      </c>
      <c r="K242" s="10">
        <f t="shared" si="28"/>
        <v>85608.215319148949</v>
      </c>
      <c r="L242" s="10">
        <f t="shared" si="32"/>
        <v>57013.990336779199</v>
      </c>
      <c r="M242" s="10">
        <f>'D) Ecrêtage'!C241</f>
        <v>46692.865106382982</v>
      </c>
      <c r="N242" s="10">
        <f t="shared" si="29"/>
        <v>54841.466425332925</v>
      </c>
      <c r="O242" s="55">
        <f t="shared" si="30"/>
        <v>140449.68174448187</v>
      </c>
      <c r="P242" s="218"/>
      <c r="Q242" s="219"/>
      <c r="R242" s="215"/>
      <c r="S242" s="215"/>
      <c r="T242" s="220"/>
    </row>
    <row r="243" spans="1:20" s="214" customFormat="1" x14ac:dyDescent="0.25">
      <c r="A243" s="309">
        <f>'A) Base RI'!A244</f>
        <v>5805</v>
      </c>
      <c r="B243" s="227" t="str">
        <f>'A) Base RI'!B244</f>
        <v>Oron</v>
      </c>
      <c r="C243" s="243">
        <v>0</v>
      </c>
      <c r="D243" s="216">
        <f>'B) D RI'!AA244</f>
        <v>5663</v>
      </c>
      <c r="E243" s="217">
        <f>'B) D RI'!S244</f>
        <v>69</v>
      </c>
      <c r="F243" s="10">
        <f>'B) D RI'!R244</f>
        <v>10676195.472727273</v>
      </c>
      <c r="G243" s="10">
        <f>'B) D RI'!U244</f>
        <v>154727.47061923583</v>
      </c>
      <c r="H243" s="41">
        <f>'B) D RI'!T244</f>
        <v>9734206.6499999985</v>
      </c>
      <c r="I243" s="10">
        <f t="shared" si="31"/>
        <v>282150.91739130428</v>
      </c>
      <c r="J243" s="31">
        <f t="shared" si="39"/>
        <v>504163.26506212301</v>
      </c>
      <c r="K243" s="10">
        <f t="shared" si="28"/>
        <v>282150.91739130428</v>
      </c>
      <c r="L243" s="10">
        <f t="shared" si="32"/>
        <v>222012.34767081874</v>
      </c>
      <c r="M243" s="10">
        <f>'D) Ecrêtage'!C242</f>
        <v>154727.47061923583</v>
      </c>
      <c r="N243" s="10">
        <f t="shared" si="29"/>
        <v>181729.72178315808</v>
      </c>
      <c r="O243" s="55">
        <f t="shared" si="30"/>
        <v>463880.63917446235</v>
      </c>
      <c r="P243" s="218"/>
      <c r="Q243" s="219"/>
      <c r="R243" s="215"/>
      <c r="S243" s="215"/>
      <c r="T243" s="220"/>
    </row>
    <row r="244" spans="1:20" s="214" customFormat="1" x14ac:dyDescent="0.25">
      <c r="A244" s="309">
        <f>'A) Base RI'!A245</f>
        <v>5806</v>
      </c>
      <c r="B244" s="227" t="str">
        <f>'A) Base RI'!B245</f>
        <v>Jorat-Mézières</v>
      </c>
      <c r="C244" s="243">
        <v>0</v>
      </c>
      <c r="D244" s="216">
        <f>'B) D RI'!AA245</f>
        <v>2966</v>
      </c>
      <c r="E244" s="217">
        <f>'B) D RI'!S245</f>
        <v>73</v>
      </c>
      <c r="F244" s="10">
        <f>'B) D RI'!R245</f>
        <v>6649744.25</v>
      </c>
      <c r="G244" s="10">
        <f>'B) D RI'!U245</f>
        <v>91092.386986301368</v>
      </c>
      <c r="H244" s="41">
        <f>'B) D RI'!T245</f>
        <v>6111088.25</v>
      </c>
      <c r="I244" s="10">
        <f t="shared" ref="I244" si="40">+H244/E244*$I$5</f>
        <v>167427.07534246575</v>
      </c>
      <c r="J244" s="31">
        <f t="shared" ref="J244" si="41">+$I$315/$D$315*D244</f>
        <v>264055.84392976458</v>
      </c>
      <c r="K244" s="10">
        <f t="shared" ref="K244" si="42">IF(C244=1,0,IF(J244&gt;I244,I244,J244))</f>
        <v>167427.07534246575</v>
      </c>
      <c r="L244" s="10">
        <f t="shared" ref="L244" si="43">+J244-K244</f>
        <v>96628.768587298837</v>
      </c>
      <c r="M244" s="10">
        <f>'D) Ecrêtage'!C243</f>
        <v>91092.386986301368</v>
      </c>
      <c r="N244" s="10">
        <f t="shared" ref="N244" si="44">+$N$5*M244</f>
        <v>106989.36702922026</v>
      </c>
      <c r="O244" s="55">
        <f t="shared" ref="O244" si="45">+N244+K244</f>
        <v>274416.44237168599</v>
      </c>
      <c r="P244" s="218"/>
      <c r="Q244" s="219"/>
      <c r="R244" s="215"/>
      <c r="S244" s="215"/>
      <c r="T244" s="220"/>
    </row>
    <row r="245" spans="1:20" s="214" customFormat="1" x14ac:dyDescent="0.25">
      <c r="A245" s="309">
        <f>'A) Base RI'!A246</f>
        <v>5812</v>
      </c>
      <c r="B245" s="227" t="str">
        <f>'A) Base RI'!B246</f>
        <v>Champtauroz</v>
      </c>
      <c r="C245" s="243">
        <v>0</v>
      </c>
      <c r="D245" s="216">
        <f>'B) D RI'!AA246</f>
        <v>144</v>
      </c>
      <c r="E245" s="217">
        <f>'B) D RI'!S246</f>
        <v>77</v>
      </c>
      <c r="F245" s="10">
        <f>'B) D RI'!R246</f>
        <v>191540.4075</v>
      </c>
      <c r="G245" s="10">
        <f>'B) D RI'!U246</f>
        <v>2487.5377597402598</v>
      </c>
      <c r="H245" s="41">
        <f>'B) D RI'!T246</f>
        <v>172318.97</v>
      </c>
      <c r="I245" s="10">
        <f t="shared" si="31"/>
        <v>4475.8174025974022</v>
      </c>
      <c r="J245" s="31">
        <f t="shared" ref="J245:J276" si="46">+$I$315/$D$315*D245</f>
        <v>12819.973542105901</v>
      </c>
      <c r="K245" s="10">
        <f t="shared" si="28"/>
        <v>4475.8174025974022</v>
      </c>
      <c r="L245" s="10">
        <f t="shared" si="32"/>
        <v>8344.1561395084991</v>
      </c>
      <c r="M245" s="10">
        <f>'D) Ecrêtage'!C244</f>
        <v>2487.5377597402598</v>
      </c>
      <c r="N245" s="10">
        <f t="shared" si="29"/>
        <v>2921.650196914014</v>
      </c>
      <c r="O245" s="55">
        <f t="shared" si="30"/>
        <v>7397.4675995114158</v>
      </c>
      <c r="P245" s="218"/>
      <c r="Q245" s="219"/>
      <c r="R245" s="215"/>
      <c r="S245" s="215"/>
      <c r="T245" s="220"/>
    </row>
    <row r="246" spans="1:20" s="214" customFormat="1" x14ac:dyDescent="0.25">
      <c r="A246" s="309">
        <f>'A) Base RI'!A247</f>
        <v>5813</v>
      </c>
      <c r="B246" s="227" t="str">
        <f>'A) Base RI'!B247</f>
        <v>Chevroux</v>
      </c>
      <c r="C246" s="243">
        <v>0</v>
      </c>
      <c r="D246" s="216">
        <f>'B) D RI'!AA247</f>
        <v>495</v>
      </c>
      <c r="E246" s="217">
        <f>'B) D RI'!S247</f>
        <v>68.5</v>
      </c>
      <c r="F246" s="10">
        <f>'B) D RI'!R247</f>
        <v>1039814.73</v>
      </c>
      <c r="G246" s="10">
        <f>'B) D RI'!U247</f>
        <v>15179.777080291971</v>
      </c>
      <c r="H246" s="41">
        <f>'B) D RI'!T247</f>
        <v>943548.23</v>
      </c>
      <c r="I246" s="10">
        <f t="shared" si="31"/>
        <v>27548.853430656935</v>
      </c>
      <c r="J246" s="31">
        <f t="shared" si="46"/>
        <v>44068.65905098903</v>
      </c>
      <c r="K246" s="10">
        <f t="shared" si="28"/>
        <v>27548.853430656935</v>
      </c>
      <c r="L246" s="10">
        <f t="shared" si="32"/>
        <v>16519.805620332096</v>
      </c>
      <c r="M246" s="10">
        <f>'D) Ecrêtage'!C245</f>
        <v>15179.777080291971</v>
      </c>
      <c r="N246" s="10">
        <f t="shared" si="29"/>
        <v>17828.874565657548</v>
      </c>
      <c r="O246" s="55">
        <f t="shared" si="30"/>
        <v>45377.727996314483</v>
      </c>
      <c r="P246" s="218"/>
      <c r="Q246" s="219"/>
      <c r="R246" s="215"/>
      <c r="S246" s="215"/>
      <c r="T246" s="220"/>
    </row>
    <row r="247" spans="1:20" s="214" customFormat="1" x14ac:dyDescent="0.25">
      <c r="A247" s="309">
        <f>'A) Base RI'!A248</f>
        <v>5816</v>
      </c>
      <c r="B247" s="227" t="str">
        <f>'A) Base RI'!B248</f>
        <v>Corcelles-près-Payerne</v>
      </c>
      <c r="C247" s="243">
        <v>0</v>
      </c>
      <c r="D247" s="216">
        <f>'B) D RI'!AA248</f>
        <v>2681</v>
      </c>
      <c r="E247" s="217">
        <f>'B) D RI'!S248</f>
        <v>68.5</v>
      </c>
      <c r="F247" s="10">
        <f>'B) D RI'!R248</f>
        <v>4146236.2885714285</v>
      </c>
      <c r="G247" s="10">
        <f>'B) D RI'!U248</f>
        <v>60528.996913451512</v>
      </c>
      <c r="H247" s="41">
        <f>'B) D RI'!T248</f>
        <v>3730847.36</v>
      </c>
      <c r="I247" s="10">
        <f t="shared" si="31"/>
        <v>108929.84992700729</v>
      </c>
      <c r="J247" s="31">
        <f t="shared" si="46"/>
        <v>238682.97962768</v>
      </c>
      <c r="K247" s="10">
        <f t="shared" si="28"/>
        <v>108929.84992700729</v>
      </c>
      <c r="L247" s="10">
        <f t="shared" si="32"/>
        <v>129753.12970067271</v>
      </c>
      <c r="M247" s="10">
        <f>'D) Ecrêtage'!C246</f>
        <v>60528.996913451512</v>
      </c>
      <c r="N247" s="10">
        <f t="shared" si="29"/>
        <v>71092.209579025191</v>
      </c>
      <c r="O247" s="55">
        <f t="shared" si="30"/>
        <v>180022.0595060325</v>
      </c>
      <c r="P247" s="218"/>
      <c r="Q247" s="219"/>
      <c r="R247" s="215"/>
      <c r="S247" s="215"/>
      <c r="T247" s="220"/>
    </row>
    <row r="248" spans="1:20" s="214" customFormat="1" x14ac:dyDescent="0.25">
      <c r="A248" s="309">
        <f>'A) Base RI'!A249</f>
        <v>5817</v>
      </c>
      <c r="B248" s="227" t="str">
        <f>'A) Base RI'!B249</f>
        <v>Grandcour</v>
      </c>
      <c r="C248" s="243">
        <v>0</v>
      </c>
      <c r="D248" s="216">
        <f>'B) D RI'!AA249</f>
        <v>967</v>
      </c>
      <c r="E248" s="217">
        <f>'B) D RI'!S249</f>
        <v>73.5</v>
      </c>
      <c r="F248" s="10">
        <f>'B) D RI'!R249</f>
        <v>1600774</v>
      </c>
      <c r="G248" s="10">
        <f>'B) D RI'!U249</f>
        <v>21779.238095238095</v>
      </c>
      <c r="H248" s="41">
        <f>'B) D RI'!T249</f>
        <v>1465617.6500000001</v>
      </c>
      <c r="I248" s="10">
        <f t="shared" si="31"/>
        <v>39880.752380952385</v>
      </c>
      <c r="J248" s="31">
        <f t="shared" si="46"/>
        <v>86089.683439002823</v>
      </c>
      <c r="K248" s="10">
        <f t="shared" si="28"/>
        <v>39880.752380952385</v>
      </c>
      <c r="L248" s="10">
        <f t="shared" si="32"/>
        <v>46208.931058050439</v>
      </c>
      <c r="M248" s="10">
        <f>'D) Ecrêtage'!C247</f>
        <v>21779.238095238095</v>
      </c>
      <c r="N248" s="10">
        <f t="shared" si="29"/>
        <v>25580.039949316688</v>
      </c>
      <c r="O248" s="55">
        <f t="shared" si="30"/>
        <v>65460.792330269076</v>
      </c>
      <c r="P248" s="218"/>
      <c r="Q248" s="219"/>
      <c r="R248" s="215"/>
      <c r="S248" s="215"/>
      <c r="T248" s="220"/>
    </row>
    <row r="249" spans="1:20" s="214" customFormat="1" x14ac:dyDescent="0.25">
      <c r="A249" s="309">
        <f>'A) Base RI'!A250</f>
        <v>5819</v>
      </c>
      <c r="B249" s="227" t="str">
        <f>'A) Base RI'!B250</f>
        <v>Henniez</v>
      </c>
      <c r="C249" s="243">
        <v>0</v>
      </c>
      <c r="D249" s="216">
        <f>'B) D RI'!AA250</f>
        <v>396</v>
      </c>
      <c r="E249" s="217">
        <f>'B) D RI'!S250</f>
        <v>69</v>
      </c>
      <c r="F249" s="10">
        <f>'B) D RI'!R250</f>
        <v>791307.03000000014</v>
      </c>
      <c r="G249" s="10">
        <f>'B) D RI'!U250</f>
        <v>11468.217826086959</v>
      </c>
      <c r="H249" s="41">
        <f>'B) D RI'!T250</f>
        <v>704970.4800000001</v>
      </c>
      <c r="I249" s="10">
        <f t="shared" si="31"/>
        <v>20433.926956521744</v>
      </c>
      <c r="J249" s="31">
        <f t="shared" si="46"/>
        <v>35254.927240791229</v>
      </c>
      <c r="K249" s="10">
        <f t="shared" si="28"/>
        <v>20433.926956521744</v>
      </c>
      <c r="L249" s="10">
        <f t="shared" si="32"/>
        <v>14821.000284269485</v>
      </c>
      <c r="M249" s="10">
        <f>'D) Ecrêtage'!C248</f>
        <v>11468.217826086959</v>
      </c>
      <c r="N249" s="10">
        <f t="shared" si="29"/>
        <v>13469.592868949401</v>
      </c>
      <c r="O249" s="55">
        <f t="shared" si="30"/>
        <v>33903.519825471143</v>
      </c>
      <c r="P249" s="218"/>
      <c r="Q249" s="219"/>
      <c r="R249" s="215"/>
      <c r="S249" s="215"/>
      <c r="T249" s="220"/>
    </row>
    <row r="250" spans="1:20" s="214" customFormat="1" x14ac:dyDescent="0.25">
      <c r="A250" s="309">
        <f>'A) Base RI'!A251</f>
        <v>5821</v>
      </c>
      <c r="B250" s="227" t="str">
        <f>'A) Base RI'!B251</f>
        <v>Missy</v>
      </c>
      <c r="C250" s="243">
        <v>0</v>
      </c>
      <c r="D250" s="216">
        <f>'B) D RI'!AA251</f>
        <v>368</v>
      </c>
      <c r="E250" s="217">
        <f>'B) D RI'!S251</f>
        <v>72</v>
      </c>
      <c r="F250" s="10">
        <f>'B) D RI'!R251</f>
        <v>566836.83000000007</v>
      </c>
      <c r="G250" s="10">
        <f>'B) D RI'!U251</f>
        <v>7872.7337500000012</v>
      </c>
      <c r="H250" s="41">
        <f>'B) D RI'!T251</f>
        <v>513822.03</v>
      </c>
      <c r="I250" s="10">
        <f t="shared" si="31"/>
        <v>14272.834166666667</v>
      </c>
      <c r="J250" s="31">
        <f t="shared" si="46"/>
        <v>32762.154607603967</v>
      </c>
      <c r="K250" s="10">
        <f t="shared" si="28"/>
        <v>14272.834166666667</v>
      </c>
      <c r="L250" s="10">
        <f t="shared" si="32"/>
        <v>18489.320440937299</v>
      </c>
      <c r="M250" s="10">
        <f>'D) Ecrêtage'!C249</f>
        <v>7872.7337500000012</v>
      </c>
      <c r="N250" s="10">
        <f t="shared" si="29"/>
        <v>9246.643200037628</v>
      </c>
      <c r="O250" s="55">
        <f t="shared" si="30"/>
        <v>23519.477366704297</v>
      </c>
      <c r="P250" s="218"/>
      <c r="Q250" s="219"/>
      <c r="R250" s="215"/>
      <c r="S250" s="215"/>
      <c r="T250" s="220"/>
    </row>
    <row r="251" spans="1:20" s="214" customFormat="1" x14ac:dyDescent="0.25">
      <c r="A251" s="309">
        <f>'A) Base RI'!A252</f>
        <v>5822</v>
      </c>
      <c r="B251" s="227" t="str">
        <f>'A) Base RI'!B252</f>
        <v>Payerne</v>
      </c>
      <c r="C251" s="243">
        <v>0</v>
      </c>
      <c r="D251" s="216">
        <f>'B) D RI'!AA252</f>
        <v>10108</v>
      </c>
      <c r="E251" s="217">
        <f>'B) D RI'!S252</f>
        <v>73</v>
      </c>
      <c r="F251" s="10">
        <f>'B) D RI'!R252</f>
        <v>17363164.739999998</v>
      </c>
      <c r="G251" s="10">
        <f>'B) D RI'!U252</f>
        <v>237851.57178082189</v>
      </c>
      <c r="H251" s="41">
        <f>'B) D RI'!T252</f>
        <v>15732336.189999999</v>
      </c>
      <c r="I251" s="10">
        <f t="shared" si="31"/>
        <v>431022.90931506851</v>
      </c>
      <c r="J251" s="31">
        <f t="shared" si="46"/>
        <v>899890.92058060027</v>
      </c>
      <c r="K251" s="10">
        <f t="shared" si="28"/>
        <v>431022.90931506851</v>
      </c>
      <c r="L251" s="10">
        <f t="shared" si="32"/>
        <v>468868.01126553176</v>
      </c>
      <c r="M251" s="10">
        <f>'D) Ecrêtage'!C250</f>
        <v>237851.57178082189</v>
      </c>
      <c r="N251" s="10">
        <f t="shared" si="29"/>
        <v>279360.21827556385</v>
      </c>
      <c r="O251" s="55">
        <f t="shared" si="30"/>
        <v>710383.1275906323</v>
      </c>
      <c r="P251" s="218"/>
      <c r="Q251" s="219"/>
      <c r="R251" s="215"/>
      <c r="S251" s="215"/>
      <c r="T251" s="220"/>
    </row>
    <row r="252" spans="1:20" s="214" customFormat="1" x14ac:dyDescent="0.25">
      <c r="A252" s="309">
        <f>'A) Base RI'!A253</f>
        <v>5827</v>
      </c>
      <c r="B252" s="227" t="str">
        <f>'A) Base RI'!B253</f>
        <v>Trey</v>
      </c>
      <c r="C252" s="243">
        <v>0</v>
      </c>
      <c r="D252" s="216">
        <f>'B) D RI'!AA253</f>
        <v>302</v>
      </c>
      <c r="E252" s="217">
        <f>'B) D RI'!S253</f>
        <v>78</v>
      </c>
      <c r="F252" s="10">
        <f>'B) D RI'!R253</f>
        <v>480763.07</v>
      </c>
      <c r="G252" s="10">
        <f>'B) D RI'!U253</f>
        <v>6163.6291025641031</v>
      </c>
      <c r="H252" s="41">
        <f>'B) D RI'!T253</f>
        <v>441278.57</v>
      </c>
      <c r="I252" s="10">
        <f t="shared" si="31"/>
        <v>11314.835128205128</v>
      </c>
      <c r="J252" s="31">
        <f t="shared" si="46"/>
        <v>26886.33340080543</v>
      </c>
      <c r="K252" s="10">
        <f t="shared" si="28"/>
        <v>11314.835128205128</v>
      </c>
      <c r="L252" s="10">
        <f t="shared" si="32"/>
        <v>15571.498272600302</v>
      </c>
      <c r="M252" s="10">
        <f>'D) Ecrêtage'!C251</f>
        <v>6163.6291025641031</v>
      </c>
      <c r="N252" s="10">
        <f t="shared" si="29"/>
        <v>7239.2743027513643</v>
      </c>
      <c r="O252" s="55">
        <f t="shared" si="30"/>
        <v>18554.109430956494</v>
      </c>
      <c r="P252" s="218"/>
      <c r="Q252" s="219"/>
      <c r="R252" s="215"/>
      <c r="S252" s="215"/>
      <c r="T252" s="220"/>
    </row>
    <row r="253" spans="1:20" s="214" customFormat="1" x14ac:dyDescent="0.25">
      <c r="A253" s="309">
        <f>'A) Base RI'!A254</f>
        <v>5828</v>
      </c>
      <c r="B253" s="227" t="str">
        <f>'A) Base RI'!B254</f>
        <v>Treytorrens (Payerne)</v>
      </c>
      <c r="C253" s="243">
        <v>0</v>
      </c>
      <c r="D253" s="216">
        <f>'B) D RI'!AA254</f>
        <v>114</v>
      </c>
      <c r="E253" s="217">
        <f>'B) D RI'!S254</f>
        <v>84</v>
      </c>
      <c r="F253" s="10">
        <f>'B) D RI'!R254</f>
        <v>192226.94666666666</v>
      </c>
      <c r="G253" s="10">
        <f>'B) D RI'!U254</f>
        <v>2288.4160317460314</v>
      </c>
      <c r="H253" s="41">
        <f>'B) D RI'!T254</f>
        <v>175807.08</v>
      </c>
      <c r="I253" s="10">
        <f t="shared" si="31"/>
        <v>4185.8828571428567</v>
      </c>
      <c r="J253" s="31">
        <f t="shared" si="46"/>
        <v>10149.145720833838</v>
      </c>
      <c r="K253" s="10">
        <f t="shared" si="28"/>
        <v>4185.8828571428567</v>
      </c>
      <c r="L253" s="10">
        <f t="shared" si="32"/>
        <v>5963.2628636909812</v>
      </c>
      <c r="M253" s="10">
        <f>'D) Ecrêtage'!C252</f>
        <v>2288.4160317460314</v>
      </c>
      <c r="N253" s="10">
        <f t="shared" si="29"/>
        <v>2687.7787577665167</v>
      </c>
      <c r="O253" s="55">
        <f t="shared" si="30"/>
        <v>6873.6616149093734</v>
      </c>
      <c r="P253" s="218"/>
      <c r="Q253" s="219"/>
      <c r="R253" s="215"/>
      <c r="S253" s="215"/>
      <c r="T253" s="220"/>
    </row>
    <row r="254" spans="1:20" s="214" customFormat="1" x14ac:dyDescent="0.25">
      <c r="A254" s="309">
        <f>'A) Base RI'!A255</f>
        <v>5830</v>
      </c>
      <c r="B254" s="227" t="str">
        <f>'A) Base RI'!B255</f>
        <v>Villarzel</v>
      </c>
      <c r="C254" s="243">
        <v>0</v>
      </c>
      <c r="D254" s="216">
        <f>'B) D RI'!AA255</f>
        <v>477</v>
      </c>
      <c r="E254" s="217">
        <f>'B) D RI'!S255</f>
        <v>77</v>
      </c>
      <c r="F254" s="10">
        <f>'B) D RI'!R255</f>
        <v>960260.55</v>
      </c>
      <c r="G254" s="10">
        <f>'B) D RI'!U255</f>
        <v>12470.916233766235</v>
      </c>
      <c r="H254" s="41">
        <f>'B) D RI'!T255</f>
        <v>900755.85000000009</v>
      </c>
      <c r="I254" s="10">
        <f t="shared" si="31"/>
        <v>23396.255844155847</v>
      </c>
      <c r="J254" s="31">
        <f t="shared" si="46"/>
        <v>42466.162358225796</v>
      </c>
      <c r="K254" s="10">
        <f t="shared" ref="K254:K303" si="47">IF(C254=1,0,IF(J254&gt;I254,I254,J254))</f>
        <v>23396.255844155847</v>
      </c>
      <c r="L254" s="10">
        <f t="shared" si="32"/>
        <v>19069.906514069949</v>
      </c>
      <c r="M254" s="10">
        <f>'D) Ecrêtage'!C253</f>
        <v>12470.916233766235</v>
      </c>
      <c r="N254" s="10">
        <f t="shared" ref="N254:N313" si="48">+$N$5*M254</f>
        <v>14647.277102593926</v>
      </c>
      <c r="O254" s="55">
        <f t="shared" ref="O254:O314" si="49">+N254+K254</f>
        <v>38043.532946749772</v>
      </c>
      <c r="P254" s="218"/>
      <c r="Q254" s="219"/>
      <c r="R254" s="215"/>
      <c r="S254" s="215"/>
      <c r="T254" s="220"/>
    </row>
    <row r="255" spans="1:20" s="214" customFormat="1" x14ac:dyDescent="0.25">
      <c r="A255" s="309">
        <f>'A) Base RI'!A256</f>
        <v>5831</v>
      </c>
      <c r="B255" s="227" t="str">
        <f>'A) Base RI'!B256</f>
        <v>Valbroye</v>
      </c>
      <c r="C255" s="243">
        <v>0</v>
      </c>
      <c r="D255" s="216">
        <f>'B) D RI'!AA256</f>
        <v>3373</v>
      </c>
      <c r="E255" s="217">
        <f>'B) D RI'!S256</f>
        <v>70.5</v>
      </c>
      <c r="F255" s="10">
        <f>'B) D RI'!R256</f>
        <v>5904849.6600000001</v>
      </c>
      <c r="G255" s="10">
        <f>'B) D RI'!U256</f>
        <v>83756.732765957451</v>
      </c>
      <c r="H255" s="41">
        <f>'B) D RI'!T256</f>
        <v>5387820.8600000003</v>
      </c>
      <c r="I255" s="10">
        <f t="shared" ref="I255:I286" si="50">+H255/E255*$I$5</f>
        <v>152845.98184397165</v>
      </c>
      <c r="J255" s="31">
        <f t="shared" si="46"/>
        <v>300290.07470502221</v>
      </c>
      <c r="K255" s="10">
        <f t="shared" si="47"/>
        <v>152845.98184397165</v>
      </c>
      <c r="L255" s="10">
        <f t="shared" ref="L255:L314" si="51">+J255-K255</f>
        <v>147444.09286105057</v>
      </c>
      <c r="M255" s="10">
        <f>'D) Ecrêtage'!C254</f>
        <v>83756.732765957451</v>
      </c>
      <c r="N255" s="10">
        <f t="shared" si="48"/>
        <v>98373.531746543464</v>
      </c>
      <c r="O255" s="55">
        <f t="shared" si="49"/>
        <v>251219.51359051513</v>
      </c>
      <c r="P255" s="218"/>
      <c r="Q255" s="219"/>
      <c r="R255" s="215"/>
      <c r="S255" s="215"/>
      <c r="T255" s="220"/>
    </row>
    <row r="256" spans="1:20" s="214" customFormat="1" x14ac:dyDescent="0.25">
      <c r="A256" s="309">
        <f>'A) Base RI'!A257</f>
        <v>5841</v>
      </c>
      <c r="B256" s="227" t="str">
        <f>'A) Base RI'!B257</f>
        <v>Château-d'Oex</v>
      </c>
      <c r="C256" s="243">
        <v>0</v>
      </c>
      <c r="D256" s="216">
        <f>'B) D RI'!AA257</f>
        <v>3494</v>
      </c>
      <c r="E256" s="217">
        <f>'B) D RI'!S257</f>
        <v>81.5</v>
      </c>
      <c r="F256" s="10">
        <f>'B) D RI'!R257</f>
        <v>8855658.8399999999</v>
      </c>
      <c r="G256" s="10">
        <f>'B) D RI'!U257</f>
        <v>108658.39067484663</v>
      </c>
      <c r="H256" s="41">
        <f>'B) D RI'!T257</f>
        <v>7832270.8899999997</v>
      </c>
      <c r="I256" s="10">
        <f t="shared" si="50"/>
        <v>192202.96662576686</v>
      </c>
      <c r="J256" s="31">
        <f t="shared" si="46"/>
        <v>311062.41358415288</v>
      </c>
      <c r="K256" s="10">
        <f t="shared" si="47"/>
        <v>192202.96662576686</v>
      </c>
      <c r="L256" s="10">
        <f t="shared" si="51"/>
        <v>118859.44695838602</v>
      </c>
      <c r="M256" s="10">
        <f>'D) Ecrêtage'!C255</f>
        <v>108658.39067484663</v>
      </c>
      <c r="N256" s="10">
        <f t="shared" si="48"/>
        <v>127620.90033345818</v>
      </c>
      <c r="O256" s="55">
        <f t="shared" si="49"/>
        <v>319823.86695922504</v>
      </c>
      <c r="P256" s="218"/>
      <c r="Q256" s="219"/>
      <c r="R256" s="215"/>
      <c r="S256" s="215"/>
      <c r="T256" s="220"/>
    </row>
    <row r="257" spans="1:20" s="214" customFormat="1" x14ac:dyDescent="0.25">
      <c r="A257" s="309">
        <f>'A) Base RI'!A258</f>
        <v>5842</v>
      </c>
      <c r="B257" s="227" t="str">
        <f>'A) Base RI'!B258</f>
        <v>Rossinière</v>
      </c>
      <c r="C257" s="243">
        <v>0</v>
      </c>
      <c r="D257" s="216">
        <f>'B) D RI'!AA258</f>
        <v>537</v>
      </c>
      <c r="E257" s="217">
        <f>'B) D RI'!S258</f>
        <v>81</v>
      </c>
      <c r="F257" s="10">
        <f>'B) D RI'!R258</f>
        <v>1175306.0333333332</v>
      </c>
      <c r="G257" s="10">
        <f>'B) D RI'!U258</f>
        <v>14509.951028806583</v>
      </c>
      <c r="H257" s="41">
        <f>'B) D RI'!T258</f>
        <v>1077534.9499999997</v>
      </c>
      <c r="I257" s="10">
        <f t="shared" si="50"/>
        <v>26605.801234567894</v>
      </c>
      <c r="J257" s="31">
        <f t="shared" si="46"/>
        <v>47807.818000769919</v>
      </c>
      <c r="K257" s="10">
        <f t="shared" si="47"/>
        <v>26605.801234567894</v>
      </c>
      <c r="L257" s="10">
        <f t="shared" si="51"/>
        <v>21202.016766202025</v>
      </c>
      <c r="M257" s="10">
        <f>'D) Ecrêtage'!C256</f>
        <v>14509.951028806583</v>
      </c>
      <c r="N257" s="10">
        <f t="shared" si="48"/>
        <v>17042.153878682024</v>
      </c>
      <c r="O257" s="55">
        <f t="shared" si="49"/>
        <v>43647.955113249918</v>
      </c>
      <c r="P257" s="218"/>
      <c r="Q257" s="219"/>
      <c r="R257" s="215"/>
      <c r="S257" s="215"/>
      <c r="T257" s="220"/>
    </row>
    <row r="258" spans="1:20" s="214" customFormat="1" x14ac:dyDescent="0.25">
      <c r="A258" s="309">
        <f>'A) Base RI'!A259</f>
        <v>5843</v>
      </c>
      <c r="B258" s="227" t="str">
        <f>'A) Base RI'!B259</f>
        <v>Rougemont</v>
      </c>
      <c r="C258" s="243">
        <v>0</v>
      </c>
      <c r="D258" s="216">
        <f>'B) D RI'!AA259</f>
        <v>863</v>
      </c>
      <c r="E258" s="217">
        <f>'B) D RI'!S259</f>
        <v>74</v>
      </c>
      <c r="F258" s="10">
        <f>'B) D RI'!R259</f>
        <v>7434705.8499999996</v>
      </c>
      <c r="G258" s="10">
        <f>'B) D RI'!U259</f>
        <v>100468.99797297297</v>
      </c>
      <c r="H258" s="41">
        <f>'B) D RI'!T259</f>
        <v>6606523</v>
      </c>
      <c r="I258" s="10">
        <f t="shared" si="50"/>
        <v>178554.67567567568</v>
      </c>
      <c r="J258" s="31">
        <f t="shared" si="46"/>
        <v>76830.813658593004</v>
      </c>
      <c r="K258" s="10">
        <f t="shared" si="47"/>
        <v>76830.813658593004</v>
      </c>
      <c r="L258" s="10">
        <f t="shared" si="51"/>
        <v>0</v>
      </c>
      <c r="M258" s="10">
        <f>'D) Ecrêtage'!C257</f>
        <v>100468.99797297297</v>
      </c>
      <c r="N258" s="10">
        <f t="shared" si="48"/>
        <v>118002.33647192561</v>
      </c>
      <c r="O258" s="55">
        <f t="shared" si="49"/>
        <v>194833.1501305186</v>
      </c>
      <c r="P258" s="218"/>
      <c r="Q258" s="219"/>
      <c r="R258" s="215"/>
      <c r="S258" s="215"/>
      <c r="T258" s="220"/>
    </row>
    <row r="259" spans="1:20" s="214" customFormat="1" x14ac:dyDescent="0.25">
      <c r="A259" s="309">
        <f>'A) Base RI'!A260</f>
        <v>5851</v>
      </c>
      <c r="B259" s="227" t="str">
        <f>'A) Base RI'!B260</f>
        <v>Allaman</v>
      </c>
      <c r="C259" s="243">
        <v>0</v>
      </c>
      <c r="D259" s="216">
        <f>'B) D RI'!AA260</f>
        <v>443</v>
      </c>
      <c r="E259" s="217">
        <f>'B) D RI'!S260</f>
        <v>60</v>
      </c>
      <c r="F259" s="10">
        <f>'B) D RI'!R260</f>
        <v>1458852.8372727272</v>
      </c>
      <c r="G259" s="10">
        <f>'B) D RI'!U260</f>
        <v>24314.213954545452</v>
      </c>
      <c r="H259" s="41">
        <f>'B) D RI'!T260</f>
        <v>1207399.46</v>
      </c>
      <c r="I259" s="10">
        <f t="shared" si="50"/>
        <v>40246.648666666668</v>
      </c>
      <c r="J259" s="31">
        <f t="shared" si="46"/>
        <v>39439.224160784121</v>
      </c>
      <c r="K259" s="10">
        <f t="shared" si="47"/>
        <v>39439.224160784121</v>
      </c>
      <c r="L259" s="10">
        <f t="shared" si="51"/>
        <v>0</v>
      </c>
      <c r="M259" s="10">
        <f>'D) Ecrêtage'!C258</f>
        <v>24314.213954545452</v>
      </c>
      <c r="N259" s="10">
        <f t="shared" si="48"/>
        <v>28557.406901644259</v>
      </c>
      <c r="O259" s="55">
        <f t="shared" si="49"/>
        <v>67996.63106242838</v>
      </c>
      <c r="P259" s="218"/>
      <c r="Q259" s="219"/>
      <c r="R259" s="215"/>
      <c r="S259" s="215"/>
      <c r="T259" s="220"/>
    </row>
    <row r="260" spans="1:20" s="214" customFormat="1" x14ac:dyDescent="0.25">
      <c r="A260" s="309">
        <f>'A) Base RI'!A261</f>
        <v>5852</v>
      </c>
      <c r="B260" s="227" t="str">
        <f>'A) Base RI'!B261</f>
        <v>Bursinel</v>
      </c>
      <c r="C260" s="243">
        <v>0</v>
      </c>
      <c r="D260" s="216">
        <f>'B) D RI'!AA261</f>
        <v>491</v>
      </c>
      <c r="E260" s="217">
        <f>'B) D RI'!S261</f>
        <v>65.5</v>
      </c>
      <c r="F260" s="10">
        <f>'B) D RI'!R261</f>
        <v>2666257.1233333335</v>
      </c>
      <c r="G260" s="10">
        <f>'B) D RI'!U261</f>
        <v>40706.215623409669</v>
      </c>
      <c r="H260" s="41">
        <f>'B) D RI'!T261</f>
        <v>2472951.44</v>
      </c>
      <c r="I260" s="10">
        <f t="shared" si="50"/>
        <v>75509.967633587788</v>
      </c>
      <c r="J260" s="31">
        <f t="shared" si="46"/>
        <v>43712.548674819423</v>
      </c>
      <c r="K260" s="10">
        <f t="shared" si="47"/>
        <v>43712.548674819423</v>
      </c>
      <c r="L260" s="10">
        <f t="shared" si="51"/>
        <v>0</v>
      </c>
      <c r="M260" s="10">
        <f>'D) Ecrêtage'!C259</f>
        <v>40706.215623409669</v>
      </c>
      <c r="N260" s="10">
        <f t="shared" si="48"/>
        <v>47810.057325191068</v>
      </c>
      <c r="O260" s="55">
        <f t="shared" si="49"/>
        <v>91522.606000010492</v>
      </c>
      <c r="P260" s="218"/>
      <c r="Q260" s="219"/>
      <c r="R260" s="215"/>
      <c r="S260" s="215"/>
      <c r="T260" s="220"/>
    </row>
    <row r="261" spans="1:20" s="214" customFormat="1" x14ac:dyDescent="0.25">
      <c r="A261" s="309">
        <f>'A) Base RI'!A262</f>
        <v>5853</v>
      </c>
      <c r="B261" s="227" t="str">
        <f>'A) Base RI'!B262</f>
        <v>Bursins</v>
      </c>
      <c r="C261" s="243">
        <v>0</v>
      </c>
      <c r="D261" s="216">
        <f>'B) D RI'!AA262</f>
        <v>773</v>
      </c>
      <c r="E261" s="217">
        <f>'B) D RI'!S262</f>
        <v>71</v>
      </c>
      <c r="F261" s="10">
        <f>'B) D RI'!R262</f>
        <v>2983127.6099999994</v>
      </c>
      <c r="G261" s="10">
        <f>'B) D RI'!U262</f>
        <v>42015.881830985905</v>
      </c>
      <c r="H261" s="41">
        <f>'B) D RI'!T262</f>
        <v>2756743.6599999997</v>
      </c>
      <c r="I261" s="10">
        <f t="shared" si="50"/>
        <v>77654.750985915482</v>
      </c>
      <c r="J261" s="31">
        <f t="shared" si="46"/>
        <v>68818.33019477682</v>
      </c>
      <c r="K261" s="10">
        <f t="shared" si="47"/>
        <v>68818.33019477682</v>
      </c>
      <c r="L261" s="10">
        <f t="shared" si="51"/>
        <v>0</v>
      </c>
      <c r="M261" s="10">
        <f>'D) Ecrêtage'!C260</f>
        <v>42015.881830985905</v>
      </c>
      <c r="N261" s="10">
        <f t="shared" si="48"/>
        <v>49348.279817804112</v>
      </c>
      <c r="O261" s="55">
        <f t="shared" si="49"/>
        <v>118166.61001258093</v>
      </c>
      <c r="P261" s="218"/>
      <c r="Q261" s="219"/>
      <c r="R261" s="215"/>
      <c r="S261" s="215"/>
      <c r="T261" s="220"/>
    </row>
    <row r="262" spans="1:20" s="214" customFormat="1" x14ac:dyDescent="0.25">
      <c r="A262" s="309">
        <f>'A) Base RI'!A263</f>
        <v>5854</v>
      </c>
      <c r="B262" s="227" t="str">
        <f>'A) Base RI'!B263</f>
        <v>Burtigny</v>
      </c>
      <c r="C262" s="243">
        <v>0</v>
      </c>
      <c r="D262" s="216">
        <f>'B) D RI'!AA263</f>
        <v>404</v>
      </c>
      <c r="E262" s="217">
        <f>'B) D RI'!S263</f>
        <v>80</v>
      </c>
      <c r="F262" s="10">
        <f>'B) D RI'!R263</f>
        <v>862631.51666666684</v>
      </c>
      <c r="G262" s="10">
        <f>'B) D RI'!U263</f>
        <v>10782.893958333336</v>
      </c>
      <c r="H262" s="41">
        <f>'B) D RI'!T263</f>
        <v>785896.85000000009</v>
      </c>
      <c r="I262" s="10">
        <f t="shared" si="50"/>
        <v>19647.421250000003</v>
      </c>
      <c r="J262" s="31">
        <f t="shared" si="46"/>
        <v>35967.147993130442</v>
      </c>
      <c r="K262" s="10">
        <f t="shared" si="47"/>
        <v>19647.421250000003</v>
      </c>
      <c r="L262" s="10">
        <f t="shared" si="51"/>
        <v>16319.726743130439</v>
      </c>
      <c r="M262" s="10">
        <f>'D) Ecrêtage'!C261</f>
        <v>10782.893958333336</v>
      </c>
      <c r="N262" s="10">
        <f t="shared" si="48"/>
        <v>12664.669765638873</v>
      </c>
      <c r="O262" s="55">
        <f t="shared" si="49"/>
        <v>32312.091015638878</v>
      </c>
      <c r="P262" s="218"/>
      <c r="Q262" s="219"/>
      <c r="R262" s="215"/>
      <c r="S262" s="215"/>
      <c r="T262" s="220"/>
    </row>
    <row r="263" spans="1:20" s="214" customFormat="1" x14ac:dyDescent="0.25">
      <c r="A263" s="309">
        <f>'A) Base RI'!A264</f>
        <v>5855</v>
      </c>
      <c r="B263" s="227" t="str">
        <f>'A) Base RI'!B264</f>
        <v>Dully</v>
      </c>
      <c r="C263" s="243">
        <v>0</v>
      </c>
      <c r="D263" s="216">
        <f>'B) D RI'!AA264</f>
        <v>628</v>
      </c>
      <c r="E263" s="217">
        <f>'B) D RI'!S264</f>
        <v>49</v>
      </c>
      <c r="F263" s="10">
        <f>'B) D RI'!R264</f>
        <v>4809767.2299999995</v>
      </c>
      <c r="G263" s="10">
        <f>'B) D RI'!U264</f>
        <v>98158.514897959176</v>
      </c>
      <c r="H263" s="41">
        <f>'B) D RI'!T264</f>
        <v>4086432.8299999996</v>
      </c>
      <c r="I263" s="10">
        <f t="shared" si="50"/>
        <v>166793.17673469387</v>
      </c>
      <c r="J263" s="31">
        <f t="shared" si="46"/>
        <v>55909.329058628507</v>
      </c>
      <c r="K263" s="10">
        <f t="shared" si="47"/>
        <v>55909.329058628507</v>
      </c>
      <c r="L263" s="10">
        <f t="shared" si="51"/>
        <v>0</v>
      </c>
      <c r="M263" s="10">
        <f>'D) Ecrêtage'!C262</f>
        <v>98158.514897959176</v>
      </c>
      <c r="N263" s="10">
        <f t="shared" si="48"/>
        <v>115288.63964274243</v>
      </c>
      <c r="O263" s="55">
        <f t="shared" si="49"/>
        <v>171197.96870137093</v>
      </c>
      <c r="P263" s="218"/>
      <c r="Q263" s="219"/>
      <c r="R263" s="215"/>
      <c r="S263" s="215"/>
      <c r="T263" s="220"/>
    </row>
    <row r="264" spans="1:20" s="214" customFormat="1" x14ac:dyDescent="0.25">
      <c r="A264" s="309">
        <f>'A) Base RI'!A265</f>
        <v>5856</v>
      </c>
      <c r="B264" s="227" t="str">
        <f>'A) Base RI'!B265</f>
        <v>Essertines-sur-Rolle</v>
      </c>
      <c r="C264" s="243">
        <v>0</v>
      </c>
      <c r="D264" s="216">
        <f>'B) D RI'!AA265</f>
        <v>740</v>
      </c>
      <c r="E264" s="217">
        <f>'B) D RI'!S265</f>
        <v>66.5</v>
      </c>
      <c r="F264" s="10">
        <f>'B) D RI'!R265</f>
        <v>2374824.6276923078</v>
      </c>
      <c r="G264" s="10">
        <f>'B) D RI'!U265</f>
        <v>35711.648536726432</v>
      </c>
      <c r="H264" s="41">
        <f>'B) D RI'!T265</f>
        <v>2185073.5700000003</v>
      </c>
      <c r="I264" s="10">
        <f t="shared" si="50"/>
        <v>65716.498345864675</v>
      </c>
      <c r="J264" s="31">
        <f t="shared" si="46"/>
        <v>65880.419591377547</v>
      </c>
      <c r="K264" s="10">
        <f t="shared" si="47"/>
        <v>65716.498345864675</v>
      </c>
      <c r="L264" s="10">
        <f t="shared" si="51"/>
        <v>163.9212455128727</v>
      </c>
      <c r="M264" s="10">
        <f>'D) Ecrêtage'!C263</f>
        <v>35711.648536726432</v>
      </c>
      <c r="N264" s="10">
        <f t="shared" si="48"/>
        <v>41943.863794994351</v>
      </c>
      <c r="O264" s="55">
        <f t="shared" si="49"/>
        <v>107660.36214085903</v>
      </c>
      <c r="P264" s="218"/>
      <c r="Q264" s="219"/>
      <c r="R264" s="215"/>
      <c r="S264" s="215"/>
      <c r="T264" s="220"/>
    </row>
    <row r="265" spans="1:20" s="214" customFormat="1" x14ac:dyDescent="0.25">
      <c r="A265" s="309">
        <f>'A) Base RI'!A266</f>
        <v>5857</v>
      </c>
      <c r="B265" s="227" t="str">
        <f>'A) Base RI'!B266</f>
        <v>Gilly</v>
      </c>
      <c r="C265" s="243">
        <v>0</v>
      </c>
      <c r="D265" s="216">
        <f>'B) D RI'!AA266</f>
        <v>1428</v>
      </c>
      <c r="E265" s="217">
        <f>'B) D RI'!S266</f>
        <v>64.5</v>
      </c>
      <c r="F265" s="10">
        <f>'B) D RI'!R266</f>
        <v>5297283.3299999991</v>
      </c>
      <c r="G265" s="10">
        <f>'B) D RI'!U266</f>
        <v>82128.423720930223</v>
      </c>
      <c r="H265" s="41">
        <f>'B) D RI'!T266</f>
        <v>4868485.63</v>
      </c>
      <c r="I265" s="10">
        <f t="shared" si="50"/>
        <v>150960.79472868217</v>
      </c>
      <c r="J265" s="31">
        <f t="shared" si="46"/>
        <v>127131.40429255019</v>
      </c>
      <c r="K265" s="10">
        <f t="shared" si="47"/>
        <v>127131.40429255019</v>
      </c>
      <c r="L265" s="10">
        <f t="shared" si="51"/>
        <v>0</v>
      </c>
      <c r="M265" s="10">
        <f>'D) Ecrêtage'!C264</f>
        <v>82128.423720930223</v>
      </c>
      <c r="N265" s="10">
        <f t="shared" si="48"/>
        <v>96461.058489238043</v>
      </c>
      <c r="O265" s="55">
        <f t="shared" si="49"/>
        <v>223592.46278178823</v>
      </c>
      <c r="P265" s="218"/>
      <c r="Q265" s="219"/>
      <c r="R265" s="215"/>
      <c r="S265" s="215"/>
      <c r="T265" s="220"/>
    </row>
    <row r="266" spans="1:20" s="214" customFormat="1" x14ac:dyDescent="0.25">
      <c r="A266" s="309">
        <f>'A) Base RI'!A267</f>
        <v>5858</v>
      </c>
      <c r="B266" s="227" t="str">
        <f>'A) Base RI'!B267</f>
        <v>Luins</v>
      </c>
      <c r="C266" s="243">
        <v>0</v>
      </c>
      <c r="D266" s="216">
        <f>'B) D RI'!AA267</f>
        <v>619</v>
      </c>
      <c r="E266" s="217">
        <f>'B) D RI'!S267</f>
        <v>58.5</v>
      </c>
      <c r="F266" s="10">
        <f>'B) D RI'!R267</f>
        <v>2357004.6266666665</v>
      </c>
      <c r="G266" s="10">
        <f>'B) D RI'!U267</f>
        <v>40290.677378917375</v>
      </c>
      <c r="H266" s="41">
        <f>'B) D RI'!T267</f>
        <v>2200253.61</v>
      </c>
      <c r="I266" s="10">
        <f t="shared" si="50"/>
        <v>75222.345641025633</v>
      </c>
      <c r="J266" s="31">
        <f t="shared" si="46"/>
        <v>55108.08071224689</v>
      </c>
      <c r="K266" s="10">
        <f t="shared" si="47"/>
        <v>55108.08071224689</v>
      </c>
      <c r="L266" s="10">
        <f t="shared" si="51"/>
        <v>0</v>
      </c>
      <c r="M266" s="10">
        <f>'D) Ecrêtage'!C265</f>
        <v>40290.677378917375</v>
      </c>
      <c r="N266" s="10">
        <f t="shared" si="48"/>
        <v>47322.001459871062</v>
      </c>
      <c r="O266" s="55">
        <f t="shared" si="49"/>
        <v>102430.08217211795</v>
      </c>
      <c r="P266" s="218"/>
      <c r="Q266" s="219"/>
      <c r="R266" s="215"/>
      <c r="S266" s="215"/>
      <c r="T266" s="220"/>
    </row>
    <row r="267" spans="1:20" s="214" customFormat="1" x14ac:dyDescent="0.25">
      <c r="A267" s="309">
        <f>'A) Base RI'!A268</f>
        <v>5859</v>
      </c>
      <c r="B267" s="227" t="str">
        <f>'A) Base RI'!B268</f>
        <v>Mont-sur-Rolle</v>
      </c>
      <c r="C267" s="243">
        <v>0</v>
      </c>
      <c r="D267" s="216">
        <f>'B) D RI'!AA268</f>
        <v>2646</v>
      </c>
      <c r="E267" s="217">
        <f>'B) D RI'!S268</f>
        <v>63.5</v>
      </c>
      <c r="F267" s="10">
        <f>'B) D RI'!R268</f>
        <v>9300577.1899999976</v>
      </c>
      <c r="G267" s="10">
        <f>'B) D RI'!U268</f>
        <v>146465.78251968499</v>
      </c>
      <c r="H267" s="41">
        <f>'B) D RI'!T268</f>
        <v>8612683.589999998</v>
      </c>
      <c r="I267" s="10">
        <f t="shared" si="50"/>
        <v>271265.62488188973</v>
      </c>
      <c r="J267" s="31">
        <f t="shared" si="46"/>
        <v>235567.01383619593</v>
      </c>
      <c r="K267" s="10">
        <f t="shared" si="47"/>
        <v>235567.01383619593</v>
      </c>
      <c r="L267" s="10">
        <f t="shared" si="51"/>
        <v>0</v>
      </c>
      <c r="M267" s="10">
        <f>'D) Ecrêtage'!C266</f>
        <v>146465.78251968499</v>
      </c>
      <c r="N267" s="10">
        <f t="shared" si="48"/>
        <v>172026.24589887029</v>
      </c>
      <c r="O267" s="55">
        <f t="shared" si="49"/>
        <v>407593.25973506621</v>
      </c>
      <c r="P267" s="218"/>
      <c r="Q267" s="219"/>
      <c r="R267" s="215"/>
      <c r="S267" s="215"/>
      <c r="T267" s="220"/>
    </row>
    <row r="268" spans="1:20" s="214" customFormat="1" x14ac:dyDescent="0.25">
      <c r="A268" s="309">
        <f>'A) Base RI'!A269</f>
        <v>5860</v>
      </c>
      <c r="B268" s="227" t="str">
        <f>'A) Base RI'!B269</f>
        <v>Perroy</v>
      </c>
      <c r="C268" s="243">
        <v>0</v>
      </c>
      <c r="D268" s="216">
        <f>'B) D RI'!AA269</f>
        <v>1518</v>
      </c>
      <c r="E268" s="217">
        <f>'B) D RI'!S269</f>
        <v>58.5</v>
      </c>
      <c r="F268" s="10">
        <f>'B) D RI'!R269</f>
        <v>10949769.33923077</v>
      </c>
      <c r="G268" s="10">
        <f>'B) D RI'!U269</f>
        <v>187175.54426035503</v>
      </c>
      <c r="H268" s="41">
        <f>'B) D RI'!T269</f>
        <v>10402887.77</v>
      </c>
      <c r="I268" s="10">
        <f t="shared" si="50"/>
        <v>355654.28273504274</v>
      </c>
      <c r="J268" s="31">
        <f t="shared" si="46"/>
        <v>135143.88775636637</v>
      </c>
      <c r="K268" s="10">
        <f t="shared" si="47"/>
        <v>135143.88775636637</v>
      </c>
      <c r="L268" s="10">
        <f t="shared" si="51"/>
        <v>0</v>
      </c>
      <c r="M268" s="10">
        <f>'D) Ecrêtage'!C267</f>
        <v>187175.54426035503</v>
      </c>
      <c r="N268" s="10">
        <f t="shared" si="48"/>
        <v>219840.46819166897</v>
      </c>
      <c r="O268" s="55">
        <f t="shared" si="49"/>
        <v>354984.35594803537</v>
      </c>
      <c r="P268" s="218"/>
      <c r="Q268" s="219"/>
      <c r="R268" s="215"/>
      <c r="S268" s="215"/>
      <c r="T268" s="220"/>
    </row>
    <row r="269" spans="1:20" s="214" customFormat="1" x14ac:dyDescent="0.25">
      <c r="A269" s="309">
        <f>'A) Base RI'!A270</f>
        <v>5861</v>
      </c>
      <c r="B269" s="227" t="str">
        <f>'A) Base RI'!B270</f>
        <v>Rolle</v>
      </c>
      <c r="C269" s="243">
        <v>0</v>
      </c>
      <c r="D269" s="216">
        <f>'B) D RI'!AA270</f>
        <v>6259</v>
      </c>
      <c r="E269" s="217">
        <f>'B) D RI'!S270</f>
        <v>59.5</v>
      </c>
      <c r="F269" s="10">
        <f>'B) D RI'!R270</f>
        <v>115330984.11</v>
      </c>
      <c r="G269" s="10">
        <f>'B) D RI'!U270</f>
        <v>1938335.8673949579</v>
      </c>
      <c r="H269" s="41">
        <f>'B) D RI'!T270</f>
        <v>113338874.26000001</v>
      </c>
      <c r="I269" s="10">
        <f t="shared" si="50"/>
        <v>3809710.059159664</v>
      </c>
      <c r="J269" s="31">
        <f t="shared" si="46"/>
        <v>557223.71111139469</v>
      </c>
      <c r="K269" s="10">
        <f t="shared" si="47"/>
        <v>557223.71111139469</v>
      </c>
      <c r="L269" s="10">
        <f t="shared" si="51"/>
        <v>0</v>
      </c>
      <c r="M269" s="10">
        <f>'D) Ecrêtage'!C268</f>
        <v>1938335.8673949579</v>
      </c>
      <c r="N269" s="10">
        <f t="shared" si="48"/>
        <v>2276604.3837868418</v>
      </c>
      <c r="O269" s="55">
        <f t="shared" si="49"/>
        <v>2833828.0948982364</v>
      </c>
      <c r="P269" s="218"/>
      <c r="Q269" s="219"/>
      <c r="R269" s="215"/>
      <c r="S269" s="215"/>
      <c r="T269" s="220"/>
    </row>
    <row r="270" spans="1:20" s="214" customFormat="1" x14ac:dyDescent="0.25">
      <c r="A270" s="309">
        <f>'A) Base RI'!A271</f>
        <v>5862</v>
      </c>
      <c r="B270" s="227" t="str">
        <f>'A) Base RI'!B271</f>
        <v>Tartegnin</v>
      </c>
      <c r="C270" s="243">
        <v>0</v>
      </c>
      <c r="D270" s="216">
        <f>'B) D RI'!AA271</f>
        <v>236</v>
      </c>
      <c r="E270" s="217">
        <f>'B) D RI'!S271</f>
        <v>79</v>
      </c>
      <c r="F270" s="10">
        <f>'B) D RI'!R271</f>
        <v>639618.60999999987</v>
      </c>
      <c r="G270" s="10">
        <f>'B) D RI'!U271</f>
        <v>8096.4381012658214</v>
      </c>
      <c r="H270" s="41">
        <f>'B) D RI'!T271</f>
        <v>589960.10999999987</v>
      </c>
      <c r="I270" s="10">
        <f t="shared" si="50"/>
        <v>14935.69898734177</v>
      </c>
      <c r="J270" s="31">
        <f t="shared" si="46"/>
        <v>21010.512194006893</v>
      </c>
      <c r="K270" s="10">
        <f t="shared" si="47"/>
        <v>14935.69898734177</v>
      </c>
      <c r="L270" s="10">
        <f t="shared" si="51"/>
        <v>6074.8132066651233</v>
      </c>
      <c r="M270" s="10">
        <f>'D) Ecrêtage'!C269</f>
        <v>8096.4381012658214</v>
      </c>
      <c r="N270" s="10">
        <f t="shared" si="48"/>
        <v>9509.387296832585</v>
      </c>
      <c r="O270" s="55">
        <f t="shared" si="49"/>
        <v>24445.086284174355</v>
      </c>
      <c r="P270" s="218"/>
      <c r="Q270" s="219"/>
      <c r="R270" s="215"/>
      <c r="S270" s="215"/>
      <c r="T270" s="220"/>
    </row>
    <row r="271" spans="1:20" s="214" customFormat="1" x14ac:dyDescent="0.25">
      <c r="A271" s="309">
        <f>'A) Base RI'!A272</f>
        <v>5863</v>
      </c>
      <c r="B271" s="227" t="str">
        <f>'A) Base RI'!B272</f>
        <v>Vinzel</v>
      </c>
      <c r="C271" s="243">
        <v>0</v>
      </c>
      <c r="D271" s="216">
        <f>'B) D RI'!AA272</f>
        <v>385</v>
      </c>
      <c r="E271" s="217">
        <f>'B) D RI'!S272</f>
        <v>67</v>
      </c>
      <c r="F271" s="10">
        <f>'B) D RI'!R272</f>
        <v>1469557.5600000003</v>
      </c>
      <c r="G271" s="10">
        <f>'B) D RI'!U272</f>
        <v>21933.69492537314</v>
      </c>
      <c r="H271" s="41">
        <f>'B) D RI'!T272</f>
        <v>1382727.8600000003</v>
      </c>
      <c r="I271" s="10">
        <f t="shared" si="50"/>
        <v>41275.458507462696</v>
      </c>
      <c r="J271" s="31">
        <f t="shared" si="46"/>
        <v>34275.623706324805</v>
      </c>
      <c r="K271" s="10">
        <f t="shared" si="47"/>
        <v>34275.623706324805</v>
      </c>
      <c r="L271" s="10">
        <f t="shared" si="51"/>
        <v>0</v>
      </c>
      <c r="M271" s="10">
        <f>'D) Ecrêtage'!C270</f>
        <v>21933.69492537314</v>
      </c>
      <c r="N271" s="10">
        <f t="shared" si="48"/>
        <v>25761.451799814942</v>
      </c>
      <c r="O271" s="55">
        <f t="shared" si="49"/>
        <v>60037.07550613975</v>
      </c>
      <c r="P271" s="218"/>
      <c r="Q271" s="219"/>
      <c r="R271" s="215"/>
      <c r="S271" s="215"/>
      <c r="T271" s="220"/>
    </row>
    <row r="272" spans="1:20" s="214" customFormat="1" x14ac:dyDescent="0.25">
      <c r="A272" s="309">
        <f>'A) Base RI'!A273</f>
        <v>5871</v>
      </c>
      <c r="B272" s="227" t="str">
        <f>'A) Base RI'!B273</f>
        <v>L'Abbaye</v>
      </c>
      <c r="C272" s="243">
        <v>0</v>
      </c>
      <c r="D272" s="216">
        <f>'B) D RI'!AA273</f>
        <v>1473</v>
      </c>
      <c r="E272" s="217">
        <f>'B) D RI'!S273</f>
        <v>77.56</v>
      </c>
      <c r="F272" s="10">
        <f>'B) D RI'!R273</f>
        <v>3840268.7100000004</v>
      </c>
      <c r="G272" s="10">
        <f>'B) D RI'!U273</f>
        <v>49513.521273852508</v>
      </c>
      <c r="H272" s="41">
        <f>'B) D RI'!T273</f>
        <v>3563854.2600000002</v>
      </c>
      <c r="I272" s="10">
        <f t="shared" si="50"/>
        <v>91899.284682826197</v>
      </c>
      <c r="J272" s="31">
        <f t="shared" si="46"/>
        <v>131137.64602445828</v>
      </c>
      <c r="K272" s="10">
        <f t="shared" si="47"/>
        <v>91899.284682826197</v>
      </c>
      <c r="L272" s="10">
        <f t="shared" si="51"/>
        <v>39238.361341632088</v>
      </c>
      <c r="M272" s="10">
        <f>'D) Ecrêtage'!C271</f>
        <v>49513.521273852508</v>
      </c>
      <c r="N272" s="10">
        <f t="shared" si="48"/>
        <v>58154.369160113747</v>
      </c>
      <c r="O272" s="55">
        <f t="shared" si="49"/>
        <v>150053.65384293994</v>
      </c>
      <c r="P272" s="218"/>
      <c r="Q272" s="219"/>
      <c r="R272" s="215"/>
      <c r="S272" s="215"/>
      <c r="T272" s="220"/>
    </row>
    <row r="273" spans="1:20" s="214" customFormat="1" x14ac:dyDescent="0.25">
      <c r="A273" s="309">
        <f>'A) Base RI'!A274</f>
        <v>5872</v>
      </c>
      <c r="B273" s="227" t="str">
        <f>'A) Base RI'!B274</f>
        <v>Le Chenit</v>
      </c>
      <c r="C273" s="243">
        <v>0</v>
      </c>
      <c r="D273" s="216">
        <f>'B) D RI'!AA274</f>
        <v>4600</v>
      </c>
      <c r="E273" s="217">
        <f>'B) D RI'!S274</f>
        <v>66.95</v>
      </c>
      <c r="F273" s="10">
        <f>'B) D RI'!R274</f>
        <v>15803064.270000001</v>
      </c>
      <c r="G273" s="10">
        <f>'B) D RI'!U274</f>
        <v>236042.78222554145</v>
      </c>
      <c r="H273" s="41">
        <f>'B) D RI'!T274</f>
        <v>14988543.970000001</v>
      </c>
      <c r="I273" s="10">
        <f t="shared" si="50"/>
        <v>447753.36728902167</v>
      </c>
      <c r="J273" s="31">
        <f t="shared" si="46"/>
        <v>409526.93259504961</v>
      </c>
      <c r="K273" s="10">
        <f t="shared" si="47"/>
        <v>409526.93259504961</v>
      </c>
      <c r="L273" s="10">
        <f t="shared" si="51"/>
        <v>0</v>
      </c>
      <c r="M273" s="10">
        <f>'D) Ecrêtage'!C272</f>
        <v>236042.78222554145</v>
      </c>
      <c r="N273" s="10">
        <f t="shared" si="48"/>
        <v>277235.76796735509</v>
      </c>
      <c r="O273" s="55">
        <f t="shared" si="49"/>
        <v>686762.7005624047</v>
      </c>
      <c r="P273" s="218"/>
      <c r="Q273" s="219"/>
      <c r="R273" s="215"/>
      <c r="S273" s="215"/>
      <c r="T273" s="220"/>
    </row>
    <row r="274" spans="1:20" s="214" customFormat="1" x14ac:dyDescent="0.25">
      <c r="A274" s="309">
        <f>'A) Base RI'!A275</f>
        <v>5873</v>
      </c>
      <c r="B274" s="227" t="str">
        <f>'A) Base RI'!B275</f>
        <v>Le Lieu</v>
      </c>
      <c r="C274" s="243">
        <v>0</v>
      </c>
      <c r="D274" s="216">
        <f>'B) D RI'!AA275</f>
        <v>888</v>
      </c>
      <c r="E274" s="217">
        <f>'B) D RI'!S275</f>
        <v>70</v>
      </c>
      <c r="F274" s="10">
        <f>'B) D RI'!R275</f>
        <v>2130828.5875000004</v>
      </c>
      <c r="G274" s="10">
        <f>'B) D RI'!U275</f>
        <v>30440.408392857149</v>
      </c>
      <c r="H274" s="41">
        <f>'B) D RI'!T275</f>
        <v>1986685.1500000001</v>
      </c>
      <c r="I274" s="10">
        <f t="shared" si="50"/>
        <v>56762.432857142863</v>
      </c>
      <c r="J274" s="31">
        <f t="shared" si="46"/>
        <v>79056.503509653048</v>
      </c>
      <c r="K274" s="10">
        <f t="shared" si="47"/>
        <v>56762.432857142863</v>
      </c>
      <c r="L274" s="10">
        <f t="shared" si="51"/>
        <v>22294.070652510185</v>
      </c>
      <c r="M274" s="10">
        <f>'D) Ecrêtage'!C273</f>
        <v>30440.408392857149</v>
      </c>
      <c r="N274" s="10">
        <f t="shared" si="48"/>
        <v>35752.713632946223</v>
      </c>
      <c r="O274" s="55">
        <f t="shared" si="49"/>
        <v>92515.146490089086</v>
      </c>
      <c r="P274" s="218"/>
      <c r="Q274" s="219"/>
      <c r="R274" s="215"/>
      <c r="S274" s="215"/>
      <c r="T274" s="220"/>
    </row>
    <row r="275" spans="1:20" s="214" customFormat="1" x14ac:dyDescent="0.25">
      <c r="A275" s="309">
        <f>'A) Base RI'!A276</f>
        <v>5881</v>
      </c>
      <c r="B275" s="227" t="str">
        <f>'A) Base RI'!B276</f>
        <v>Blonay</v>
      </c>
      <c r="C275" s="243">
        <v>1</v>
      </c>
      <c r="D275" s="216">
        <f>'B) D RI'!AA276</f>
        <v>6215</v>
      </c>
      <c r="E275" s="217">
        <f>'B) D RI'!S276</f>
        <v>68.5</v>
      </c>
      <c r="F275" s="10">
        <f>'B) D RI'!R276</f>
        <v>24883750.459999997</v>
      </c>
      <c r="G275" s="10">
        <f>'B) D RI'!U276</f>
        <v>363266.43007299263</v>
      </c>
      <c r="H275" s="41">
        <f>'B) D RI'!T276</f>
        <v>23115866.759999998</v>
      </c>
      <c r="I275" s="10">
        <f t="shared" si="50"/>
        <v>674915.8178102189</v>
      </c>
      <c r="J275" s="31">
        <f t="shared" si="46"/>
        <v>553306.49697352899</v>
      </c>
      <c r="K275" s="10">
        <f t="shared" si="47"/>
        <v>0</v>
      </c>
      <c r="L275" s="10">
        <f t="shared" si="51"/>
        <v>553306.49697352899</v>
      </c>
      <c r="M275" s="10">
        <f>'D) Ecrêtage'!C274</f>
        <v>363266.43007299263</v>
      </c>
      <c r="N275" s="10">
        <f t="shared" si="48"/>
        <v>426661.8397245279</v>
      </c>
      <c r="O275" s="55">
        <f t="shared" si="49"/>
        <v>426661.8397245279</v>
      </c>
      <c r="P275" s="218"/>
      <c r="Q275" s="219"/>
      <c r="R275" s="215"/>
      <c r="S275" s="215"/>
      <c r="T275" s="220"/>
    </row>
    <row r="276" spans="1:20" s="214" customFormat="1" x14ac:dyDescent="0.25">
      <c r="A276" s="309">
        <f>'A) Base RI'!A277</f>
        <v>5882</v>
      </c>
      <c r="B276" s="227" t="str">
        <f>'A) Base RI'!B277</f>
        <v>Chardonne</v>
      </c>
      <c r="C276" s="243">
        <v>1</v>
      </c>
      <c r="D276" s="216">
        <f>'B) D RI'!AA277</f>
        <v>3093</v>
      </c>
      <c r="E276" s="217">
        <f>'B) D RI'!S277</f>
        <v>68</v>
      </c>
      <c r="F276" s="10">
        <f>'B) D RI'!R277</f>
        <v>12174201.430000002</v>
      </c>
      <c r="G276" s="10">
        <f>'B) D RI'!U277</f>
        <v>179032.37397058826</v>
      </c>
      <c r="H276" s="41">
        <f>'B) D RI'!T277</f>
        <v>11119599.630000001</v>
      </c>
      <c r="I276" s="10">
        <f t="shared" si="50"/>
        <v>327047.04794117651</v>
      </c>
      <c r="J276" s="31">
        <f t="shared" si="46"/>
        <v>275362.34837314964</v>
      </c>
      <c r="K276" s="10">
        <f t="shared" si="47"/>
        <v>0</v>
      </c>
      <c r="L276" s="10">
        <f t="shared" si="51"/>
        <v>275362.34837314964</v>
      </c>
      <c r="M276" s="10">
        <f>'D) Ecrêtage'!C275</f>
        <v>179032.37397058826</v>
      </c>
      <c r="N276" s="10">
        <f t="shared" si="48"/>
        <v>210276.19324249768</v>
      </c>
      <c r="O276" s="55">
        <f t="shared" si="49"/>
        <v>210276.19324249768</v>
      </c>
      <c r="P276" s="218"/>
      <c r="Q276" s="219"/>
      <c r="R276" s="215"/>
      <c r="S276" s="215"/>
      <c r="T276" s="220"/>
    </row>
    <row r="277" spans="1:20" s="214" customFormat="1" x14ac:dyDescent="0.25">
      <c r="A277" s="309">
        <f>'A) Base RI'!A278</f>
        <v>5883</v>
      </c>
      <c r="B277" s="227" t="str">
        <f>'A) Base RI'!B278</f>
        <v>Corseaux</v>
      </c>
      <c r="C277" s="243">
        <v>1</v>
      </c>
      <c r="D277" s="216">
        <f>'B) D RI'!AA278</f>
        <v>2311</v>
      </c>
      <c r="E277" s="217">
        <f>'B) D RI'!S278</f>
        <v>67.5</v>
      </c>
      <c r="F277" s="10">
        <f>'B) D RI'!R278</f>
        <v>11332804.550000001</v>
      </c>
      <c r="G277" s="10">
        <f>'B) D RI'!U278</f>
        <v>167893.40074074076</v>
      </c>
      <c r="H277" s="41">
        <f>'B) D RI'!T278</f>
        <v>10654391.300000001</v>
      </c>
      <c r="I277" s="10">
        <f t="shared" si="50"/>
        <v>315685.66814814816</v>
      </c>
      <c r="J277" s="31">
        <f t="shared" ref="J277:J308" si="52">+$I$315/$D$315*D277</f>
        <v>205742.76983199123</v>
      </c>
      <c r="K277" s="10">
        <f t="shared" si="47"/>
        <v>0</v>
      </c>
      <c r="L277" s="10">
        <f t="shared" si="51"/>
        <v>205742.76983199123</v>
      </c>
      <c r="M277" s="10">
        <f>'D) Ecrêtage'!C276</f>
        <v>167893.40074074076</v>
      </c>
      <c r="N277" s="10">
        <f t="shared" si="48"/>
        <v>197193.3030620479</v>
      </c>
      <c r="O277" s="55">
        <f t="shared" si="49"/>
        <v>197193.3030620479</v>
      </c>
      <c r="P277" s="218"/>
      <c r="Q277" s="219"/>
      <c r="R277" s="215"/>
      <c r="S277" s="215"/>
      <c r="T277" s="220"/>
    </row>
    <row r="278" spans="1:20" s="214" customFormat="1" x14ac:dyDescent="0.25">
      <c r="A278" s="309">
        <f>'A) Base RI'!A279</f>
        <v>5884</v>
      </c>
      <c r="B278" s="227" t="str">
        <f>'A) Base RI'!B279</f>
        <v>Corsier-sur-Vevey</v>
      </c>
      <c r="C278" s="243">
        <v>1</v>
      </c>
      <c r="D278" s="216">
        <f>'B) D RI'!AA279</f>
        <v>3420</v>
      </c>
      <c r="E278" s="217">
        <f>'B) D RI'!S279</f>
        <v>66</v>
      </c>
      <c r="F278" s="10">
        <f>'B) D RI'!R279</f>
        <v>8063268.9516666671</v>
      </c>
      <c r="G278" s="10">
        <f>'B) D RI'!U279</f>
        <v>122170.7416919192</v>
      </c>
      <c r="H278" s="41">
        <f>'B) D RI'!T279</f>
        <v>7071338.71</v>
      </c>
      <c r="I278" s="10">
        <f t="shared" si="50"/>
        <v>214282.99121212121</v>
      </c>
      <c r="J278" s="31">
        <f t="shared" si="52"/>
        <v>304474.37162501516</v>
      </c>
      <c r="K278" s="10">
        <f t="shared" si="47"/>
        <v>0</v>
      </c>
      <c r="L278" s="10">
        <f t="shared" si="51"/>
        <v>304474.37162501516</v>
      </c>
      <c r="M278" s="10">
        <f>'D) Ecrêtage'!C277</f>
        <v>122170.7416919192</v>
      </c>
      <c r="N278" s="10">
        <f t="shared" si="48"/>
        <v>143491.35812056874</v>
      </c>
      <c r="O278" s="55">
        <f t="shared" si="49"/>
        <v>143491.35812056874</v>
      </c>
      <c r="P278" s="218"/>
      <c r="Q278" s="219"/>
      <c r="R278" s="215"/>
      <c r="S278" s="215"/>
      <c r="T278" s="220"/>
    </row>
    <row r="279" spans="1:20" s="214" customFormat="1" x14ac:dyDescent="0.25">
      <c r="A279" s="309">
        <f>'A) Base RI'!A280</f>
        <v>5885</v>
      </c>
      <c r="B279" s="227" t="str">
        <f>'A) Base RI'!B280</f>
        <v>Jongny</v>
      </c>
      <c r="C279" s="243">
        <v>1</v>
      </c>
      <c r="D279" s="216">
        <f>'B) D RI'!AA280</f>
        <v>1670</v>
      </c>
      <c r="E279" s="217">
        <f>'B) D RI'!S280</f>
        <v>69.5</v>
      </c>
      <c r="F279" s="10">
        <f>'B) D RI'!R280</f>
        <v>5914534.3083333327</v>
      </c>
      <c r="G279" s="10">
        <f>'B) D RI'!U280</f>
        <v>85101.213069544348</v>
      </c>
      <c r="H279" s="41">
        <f>'B) D RI'!T280</f>
        <v>5502960.6499999994</v>
      </c>
      <c r="I279" s="10">
        <f t="shared" si="50"/>
        <v>158358.5798561151</v>
      </c>
      <c r="J279" s="31">
        <f t="shared" si="52"/>
        <v>148676.08205081147</v>
      </c>
      <c r="K279" s="10">
        <f t="shared" si="47"/>
        <v>0</v>
      </c>
      <c r="L279" s="10">
        <f t="shared" si="51"/>
        <v>148676.08205081147</v>
      </c>
      <c r="M279" s="10">
        <f>'D) Ecrêtage'!C278</f>
        <v>85101.213069544348</v>
      </c>
      <c r="N279" s="10">
        <f t="shared" si="48"/>
        <v>99952.643914123924</v>
      </c>
      <c r="O279" s="55">
        <f t="shared" si="49"/>
        <v>99952.643914123924</v>
      </c>
      <c r="P279" s="218"/>
      <c r="Q279" s="219"/>
      <c r="R279" s="215"/>
      <c r="S279" s="215"/>
      <c r="T279" s="220"/>
    </row>
    <row r="280" spans="1:20" s="214" customFormat="1" x14ac:dyDescent="0.25">
      <c r="A280" s="309">
        <f>'A) Base RI'!A281</f>
        <v>5886</v>
      </c>
      <c r="B280" s="227" t="str">
        <f>'A) Base RI'!B281</f>
        <v>Montreux</v>
      </c>
      <c r="C280" s="243">
        <v>1</v>
      </c>
      <c r="D280" s="216">
        <f>'B) D RI'!AA281</f>
        <v>26180</v>
      </c>
      <c r="E280" s="217">
        <f>'B) D RI'!S281</f>
        <v>65</v>
      </c>
      <c r="F280" s="10">
        <f>'B) D RI'!R281</f>
        <v>71309900.643333316</v>
      </c>
      <c r="G280" s="10">
        <f>'B) D RI'!U281</f>
        <v>1097075.3945128203</v>
      </c>
      <c r="H280" s="41">
        <f>'B) D RI'!T281</f>
        <v>63056906.25999999</v>
      </c>
      <c r="I280" s="10">
        <f t="shared" si="50"/>
        <v>1940212.500307692</v>
      </c>
      <c r="J280" s="31">
        <f t="shared" si="52"/>
        <v>2330742.4120300864</v>
      </c>
      <c r="K280" s="10">
        <f t="shared" si="47"/>
        <v>0</v>
      </c>
      <c r="L280" s="10">
        <f t="shared" si="51"/>
        <v>2330742.4120300864</v>
      </c>
      <c r="M280" s="10">
        <f>'D) Ecrêtage'!C279</f>
        <v>1097075.3945128203</v>
      </c>
      <c r="N280" s="10">
        <f t="shared" si="48"/>
        <v>1288531.4121794817</v>
      </c>
      <c r="O280" s="55">
        <f t="shared" si="49"/>
        <v>1288531.4121794817</v>
      </c>
      <c r="P280" s="218"/>
      <c r="Q280" s="219"/>
      <c r="R280" s="215"/>
      <c r="S280" s="215"/>
      <c r="T280" s="220"/>
    </row>
    <row r="281" spans="1:20" s="214" customFormat="1" x14ac:dyDescent="0.25">
      <c r="A281" s="309">
        <f>'A) Base RI'!A282</f>
        <v>5888</v>
      </c>
      <c r="B281" s="227" t="str">
        <f>'A) Base RI'!B282</f>
        <v>Saint-Légier-La Chiésaz</v>
      </c>
      <c r="C281" s="243">
        <v>1</v>
      </c>
      <c r="D281" s="216">
        <f>'B) D RI'!AA282</f>
        <v>5522</v>
      </c>
      <c r="E281" s="217">
        <f>'B) D RI'!S282</f>
        <v>68.5</v>
      </c>
      <c r="F281" s="10">
        <f>'B) D RI'!R282</f>
        <v>22302211.728333332</v>
      </c>
      <c r="G281" s="10">
        <f>'B) D RI'!U282</f>
        <v>325579.73326034058</v>
      </c>
      <c r="H281" s="41">
        <f>'B) D RI'!T282</f>
        <v>20684706.52</v>
      </c>
      <c r="I281" s="10">
        <f t="shared" si="50"/>
        <v>603933.03708029201</v>
      </c>
      <c r="J281" s="31">
        <f t="shared" si="52"/>
        <v>491610.37430214434</v>
      </c>
      <c r="K281" s="10">
        <f t="shared" si="47"/>
        <v>0</v>
      </c>
      <c r="L281" s="10">
        <f t="shared" si="51"/>
        <v>491610.37430214434</v>
      </c>
      <c r="M281" s="10">
        <f>'D) Ecrêtage'!C280</f>
        <v>325579.73326034058</v>
      </c>
      <c r="N281" s="10">
        <f t="shared" si="48"/>
        <v>382398.25227441388</v>
      </c>
      <c r="O281" s="55">
        <f t="shared" si="49"/>
        <v>382398.25227441388</v>
      </c>
      <c r="P281" s="218"/>
      <c r="Q281" s="219"/>
      <c r="R281" s="215"/>
      <c r="S281" s="215"/>
      <c r="T281" s="220"/>
    </row>
    <row r="282" spans="1:20" s="214" customFormat="1" x14ac:dyDescent="0.25">
      <c r="A282" s="309">
        <f>'A) Base RI'!A283</f>
        <v>5889</v>
      </c>
      <c r="B282" s="227" t="str">
        <f>'A) Base RI'!B283</f>
        <v>La Tour-de-Peilz</v>
      </c>
      <c r="C282" s="243">
        <v>1</v>
      </c>
      <c r="D282" s="216">
        <f>'B) D RI'!AA283</f>
        <v>12088</v>
      </c>
      <c r="E282" s="217">
        <f>'B) D RI'!S283</f>
        <v>64</v>
      </c>
      <c r="F282" s="10">
        <f>'B) D RI'!R283</f>
        <v>43261612.810000002</v>
      </c>
      <c r="G282" s="10">
        <f>'B) D RI'!U283</f>
        <v>675962.70015625004</v>
      </c>
      <c r="H282" s="41">
        <f>'B) D RI'!T283</f>
        <v>40560441.910000004</v>
      </c>
      <c r="I282" s="10">
        <f t="shared" si="50"/>
        <v>1267513.8096875001</v>
      </c>
      <c r="J282" s="31">
        <f t="shared" si="52"/>
        <v>1076165.5567845565</v>
      </c>
      <c r="K282" s="10">
        <f t="shared" si="47"/>
        <v>0</v>
      </c>
      <c r="L282" s="10">
        <f t="shared" si="51"/>
        <v>1076165.5567845565</v>
      </c>
      <c r="M282" s="10">
        <f>'D) Ecrêtage'!C281</f>
        <v>675962.70015625004</v>
      </c>
      <c r="N282" s="10">
        <f t="shared" si="48"/>
        <v>793928.27235886932</v>
      </c>
      <c r="O282" s="55">
        <f t="shared" si="49"/>
        <v>793928.27235886932</v>
      </c>
      <c r="P282" s="218"/>
      <c r="Q282" s="219"/>
      <c r="R282" s="215"/>
      <c r="S282" s="215"/>
      <c r="T282" s="220"/>
    </row>
    <row r="283" spans="1:20" s="214" customFormat="1" x14ac:dyDescent="0.25">
      <c r="A283" s="309">
        <f>'A) Base RI'!A284</f>
        <v>5890</v>
      </c>
      <c r="B283" s="227" t="str">
        <f>'A) Base RI'!B284</f>
        <v>Vevey</v>
      </c>
      <c r="C283" s="243">
        <v>1</v>
      </c>
      <c r="D283" s="216">
        <f>'B) D RI'!AA284</f>
        <v>19780</v>
      </c>
      <c r="E283" s="217">
        <f>'B) D RI'!S284</f>
        <v>74.5</v>
      </c>
      <c r="F283" s="10">
        <f>'B) D RI'!R284</f>
        <v>64265626.583333343</v>
      </c>
      <c r="G283" s="10">
        <f>'B) D RI'!U284</f>
        <v>862625.86017897108</v>
      </c>
      <c r="H283" s="41">
        <f>'B) D RI'!T284</f>
        <v>59733290.99000001</v>
      </c>
      <c r="I283" s="10">
        <f t="shared" si="50"/>
        <v>1603578.2816107385</v>
      </c>
      <c r="J283" s="31">
        <f t="shared" si="52"/>
        <v>1760965.8101587133</v>
      </c>
      <c r="K283" s="10">
        <f t="shared" si="47"/>
        <v>0</v>
      </c>
      <c r="L283" s="10">
        <f t="shared" si="51"/>
        <v>1760965.8101587133</v>
      </c>
      <c r="M283" s="10">
        <f>'D) Ecrêtage'!C282</f>
        <v>862625.86017897108</v>
      </c>
      <c r="N283" s="10">
        <f t="shared" si="48"/>
        <v>1013166.9376219527</v>
      </c>
      <c r="O283" s="55">
        <f t="shared" si="49"/>
        <v>1013166.9376219527</v>
      </c>
      <c r="P283" s="218"/>
      <c r="Q283" s="219"/>
      <c r="R283" s="215"/>
      <c r="S283" s="215"/>
      <c r="T283" s="220"/>
    </row>
    <row r="284" spans="1:20" s="214" customFormat="1" x14ac:dyDescent="0.25">
      <c r="A284" s="309">
        <f>'A) Base RI'!A285</f>
        <v>5891</v>
      </c>
      <c r="B284" s="227" t="str">
        <f>'A) Base RI'!B285</f>
        <v>Veytaux</v>
      </c>
      <c r="C284" s="243">
        <v>1</v>
      </c>
      <c r="D284" s="216">
        <f>'B) D RI'!AA285</f>
        <v>956</v>
      </c>
      <c r="E284" s="217">
        <f>'B) D RI'!S285</f>
        <v>69.5</v>
      </c>
      <c r="F284" s="10">
        <f>'B) D RI'!R285</f>
        <v>3054551.8033333332</v>
      </c>
      <c r="G284" s="10">
        <f>'B) D RI'!U285</f>
        <v>43950.38565947242</v>
      </c>
      <c r="H284" s="41">
        <f>'B) D RI'!T285</f>
        <v>2742444.42</v>
      </c>
      <c r="I284" s="10">
        <f t="shared" si="50"/>
        <v>78919.263884892091</v>
      </c>
      <c r="J284" s="31">
        <f t="shared" si="52"/>
        <v>85110.379904536399</v>
      </c>
      <c r="K284" s="10">
        <f t="shared" si="47"/>
        <v>0</v>
      </c>
      <c r="L284" s="10">
        <f t="shared" si="51"/>
        <v>85110.379904536399</v>
      </c>
      <c r="M284" s="10">
        <f>'D) Ecrêtage'!C283</f>
        <v>43950.38565947242</v>
      </c>
      <c r="N284" s="10">
        <f t="shared" si="48"/>
        <v>51620.383414743563</v>
      </c>
      <c r="O284" s="55">
        <f t="shared" si="49"/>
        <v>51620.383414743563</v>
      </c>
      <c r="P284" s="218"/>
      <c r="Q284" s="219"/>
      <c r="R284" s="215"/>
      <c r="S284" s="215"/>
      <c r="T284" s="220"/>
    </row>
    <row r="285" spans="1:20" s="214" customFormat="1" x14ac:dyDescent="0.25">
      <c r="A285" s="309">
        <f>'A) Base RI'!A286</f>
        <v>5902</v>
      </c>
      <c r="B285" s="227" t="str">
        <f>'A) Base RI'!B286</f>
        <v>Belmont-sur-Yverdon</v>
      </c>
      <c r="C285" s="243">
        <v>0</v>
      </c>
      <c r="D285" s="216">
        <f>'B) D RI'!AA286</f>
        <v>396</v>
      </c>
      <c r="E285" s="217">
        <f>'B) D RI'!S286</f>
        <v>70</v>
      </c>
      <c r="F285" s="10">
        <f>'B) D RI'!R286</f>
        <v>822441.60000000021</v>
      </c>
      <c r="G285" s="10">
        <f>'B) D RI'!U286</f>
        <v>11749.165714285717</v>
      </c>
      <c r="H285" s="41">
        <f>'B) D RI'!T286</f>
        <v>765885.67000000016</v>
      </c>
      <c r="I285" s="10">
        <f t="shared" si="50"/>
        <v>21882.447714285718</v>
      </c>
      <c r="J285" s="31">
        <f t="shared" si="52"/>
        <v>35254.927240791229</v>
      </c>
      <c r="K285" s="10">
        <f t="shared" si="47"/>
        <v>21882.447714285718</v>
      </c>
      <c r="L285" s="10">
        <f t="shared" si="51"/>
        <v>13372.479526505511</v>
      </c>
      <c r="M285" s="10">
        <f>'D) Ecrêtage'!C284</f>
        <v>11749.165714285717</v>
      </c>
      <c r="N285" s="10">
        <f t="shared" si="48"/>
        <v>13799.570353578292</v>
      </c>
      <c r="O285" s="55">
        <f t="shared" si="49"/>
        <v>35682.01806786401</v>
      </c>
      <c r="P285" s="218"/>
      <c r="Q285" s="219"/>
      <c r="R285" s="215"/>
      <c r="S285" s="215"/>
      <c r="T285" s="220"/>
    </row>
    <row r="286" spans="1:20" s="214" customFormat="1" x14ac:dyDescent="0.25">
      <c r="A286" s="309">
        <f>'A) Base RI'!A287</f>
        <v>5903</v>
      </c>
      <c r="B286" s="227" t="str">
        <f>'A) Base RI'!B287</f>
        <v>Bioley-Magnoux</v>
      </c>
      <c r="C286" s="243">
        <v>0</v>
      </c>
      <c r="D286" s="216">
        <f>'B) D RI'!AA287</f>
        <v>230</v>
      </c>
      <c r="E286" s="217">
        <f>'B) D RI'!S287</f>
        <v>72</v>
      </c>
      <c r="F286" s="10">
        <f>'B) D RI'!R287</f>
        <v>361239.35571428569</v>
      </c>
      <c r="G286" s="10">
        <f>'B) D RI'!U287</f>
        <v>5017.2132738095233</v>
      </c>
      <c r="H286" s="41">
        <f>'B) D RI'!T287</f>
        <v>324595.06999999995</v>
      </c>
      <c r="I286" s="10">
        <f t="shared" si="50"/>
        <v>9016.5297222222216</v>
      </c>
      <c r="J286" s="31">
        <f t="shared" si="52"/>
        <v>20476.346629752479</v>
      </c>
      <c r="K286" s="10">
        <f t="shared" si="47"/>
        <v>9016.5297222222216</v>
      </c>
      <c r="L286" s="10">
        <f t="shared" si="51"/>
        <v>11459.816907530258</v>
      </c>
      <c r="M286" s="10">
        <f>'D) Ecrêtage'!C285</f>
        <v>5017.2132738095233</v>
      </c>
      <c r="N286" s="10">
        <f t="shared" si="48"/>
        <v>5892.79181471231</v>
      </c>
      <c r="O286" s="55">
        <f t="shared" si="49"/>
        <v>14909.321536934531</v>
      </c>
      <c r="P286" s="218"/>
      <c r="Q286" s="219"/>
      <c r="R286" s="215"/>
      <c r="S286" s="215"/>
      <c r="T286" s="220"/>
    </row>
    <row r="287" spans="1:20" s="214" customFormat="1" x14ac:dyDescent="0.25">
      <c r="A287" s="309">
        <f>'A) Base RI'!A288</f>
        <v>5904</v>
      </c>
      <c r="B287" s="227" t="str">
        <f>'A) Base RI'!B288</f>
        <v>Chamblon</v>
      </c>
      <c r="C287" s="243">
        <v>1</v>
      </c>
      <c r="D287" s="216">
        <f>'B) D RI'!AA288</f>
        <v>559</v>
      </c>
      <c r="E287" s="217">
        <f>'B) D RI'!S288</f>
        <v>66</v>
      </c>
      <c r="F287" s="10">
        <f>'B) D RI'!R288</f>
        <v>1431807.7199999997</v>
      </c>
      <c r="G287" s="10">
        <f>'B) D RI'!U288</f>
        <v>21694.056363636359</v>
      </c>
      <c r="H287" s="41">
        <f>'B) D RI'!T288</f>
        <v>1331978.9699999997</v>
      </c>
      <c r="I287" s="10">
        <f t="shared" ref="I287:I314" si="53">+H287/E287*$I$5</f>
        <v>40362.999090909085</v>
      </c>
      <c r="J287" s="31">
        <f t="shared" si="52"/>
        <v>49766.425069702767</v>
      </c>
      <c r="K287" s="10">
        <f t="shared" si="47"/>
        <v>0</v>
      </c>
      <c r="L287" s="10">
        <f t="shared" si="51"/>
        <v>49766.425069702767</v>
      </c>
      <c r="M287" s="10">
        <f>'D) Ecrêtage'!C286</f>
        <v>21694.056363636359</v>
      </c>
      <c r="N287" s="10">
        <f t="shared" si="48"/>
        <v>25479.992735185682</v>
      </c>
      <c r="O287" s="55">
        <f t="shared" si="49"/>
        <v>25479.992735185682</v>
      </c>
      <c r="P287" s="218"/>
      <c r="Q287" s="219"/>
      <c r="R287" s="215"/>
      <c r="S287" s="215"/>
      <c r="T287" s="220"/>
    </row>
    <row r="288" spans="1:20" s="214" customFormat="1" x14ac:dyDescent="0.25">
      <c r="A288" s="309">
        <f>'A) Base RI'!A289</f>
        <v>5905</v>
      </c>
      <c r="B288" s="227" t="str">
        <f>'A) Base RI'!B289</f>
        <v>Champvent</v>
      </c>
      <c r="C288" s="243">
        <v>0</v>
      </c>
      <c r="D288" s="216">
        <f>'B) D RI'!AA289</f>
        <v>696</v>
      </c>
      <c r="E288" s="217">
        <f>'B) D RI'!S289</f>
        <v>71</v>
      </c>
      <c r="F288" s="10">
        <f>'B) D RI'!R289</f>
        <v>1535174.0600000003</v>
      </c>
      <c r="G288" s="10">
        <f>'B) D RI'!U289</f>
        <v>21622.169859154932</v>
      </c>
      <c r="H288" s="41">
        <f>'B) D RI'!T289</f>
        <v>1438380.6600000001</v>
      </c>
      <c r="I288" s="10">
        <f t="shared" si="53"/>
        <v>40517.765070422538</v>
      </c>
      <c r="J288" s="31">
        <f t="shared" si="52"/>
        <v>61963.205453511851</v>
      </c>
      <c r="K288" s="10">
        <f t="shared" si="47"/>
        <v>40517.765070422538</v>
      </c>
      <c r="L288" s="10">
        <f t="shared" si="51"/>
        <v>21445.440383089313</v>
      </c>
      <c r="M288" s="10">
        <f>'D) Ecrêtage'!C287</f>
        <v>21622.169859154932</v>
      </c>
      <c r="N288" s="10">
        <f t="shared" si="48"/>
        <v>25395.560963586948</v>
      </c>
      <c r="O288" s="55">
        <f t="shared" si="49"/>
        <v>65913.326034009486</v>
      </c>
      <c r="P288" s="218"/>
      <c r="Q288" s="219"/>
      <c r="R288" s="215"/>
      <c r="S288" s="215"/>
      <c r="T288" s="220"/>
    </row>
    <row r="289" spans="1:20" s="214" customFormat="1" x14ac:dyDescent="0.25">
      <c r="A289" s="309">
        <f>'A) Base RI'!A290</f>
        <v>5907</v>
      </c>
      <c r="B289" s="227" t="str">
        <f>'A) Base RI'!B290</f>
        <v>Chavannes-le-Chêne</v>
      </c>
      <c r="C289" s="243">
        <v>0</v>
      </c>
      <c r="D289" s="216">
        <f>'B) D RI'!AA290</f>
        <v>324</v>
      </c>
      <c r="E289" s="217">
        <f>'B) D RI'!S290</f>
        <v>75</v>
      </c>
      <c r="F289" s="10">
        <f>'B) D RI'!R290</f>
        <v>741828.42</v>
      </c>
      <c r="G289" s="10">
        <f>'B) D RI'!U290</f>
        <v>9891.0456000000013</v>
      </c>
      <c r="H289" s="41">
        <f>'B) D RI'!T290</f>
        <v>694699.47000000009</v>
      </c>
      <c r="I289" s="10">
        <f t="shared" si="53"/>
        <v>18525.319200000002</v>
      </c>
      <c r="J289" s="31">
        <f t="shared" si="52"/>
        <v>28844.940469738274</v>
      </c>
      <c r="K289" s="10">
        <f t="shared" si="47"/>
        <v>18525.319200000002</v>
      </c>
      <c r="L289" s="10">
        <f t="shared" si="51"/>
        <v>10319.621269738273</v>
      </c>
      <c r="M289" s="10">
        <f>'D) Ecrêtage'!C288</f>
        <v>9891.0456000000013</v>
      </c>
      <c r="N289" s="10">
        <f t="shared" si="48"/>
        <v>11617.180568122491</v>
      </c>
      <c r="O289" s="55">
        <f t="shared" si="49"/>
        <v>30142.499768122492</v>
      </c>
      <c r="P289" s="218"/>
      <c r="Q289" s="219"/>
      <c r="R289" s="215"/>
      <c r="S289" s="215"/>
      <c r="T289" s="220"/>
    </row>
    <row r="290" spans="1:20" s="214" customFormat="1" x14ac:dyDescent="0.25">
      <c r="A290" s="309">
        <f>'A) Base RI'!A291</f>
        <v>5908</v>
      </c>
      <c r="B290" s="227" t="str">
        <f>'A) Base RI'!B291</f>
        <v>Chêne-Pâquier</v>
      </c>
      <c r="C290" s="243">
        <v>0</v>
      </c>
      <c r="D290" s="216">
        <f>'B) D RI'!AA291</f>
        <v>144</v>
      </c>
      <c r="E290" s="217">
        <f>'B) D RI'!S291</f>
        <v>79</v>
      </c>
      <c r="F290" s="10">
        <f>'B) D RI'!R291</f>
        <v>513696.42000000004</v>
      </c>
      <c r="G290" s="10">
        <f>'B) D RI'!U291</f>
        <v>6502.4863291139245</v>
      </c>
      <c r="H290" s="41">
        <f>'B) D RI'!T291</f>
        <v>492275.22000000003</v>
      </c>
      <c r="I290" s="10">
        <f t="shared" si="53"/>
        <v>12462.663797468354</v>
      </c>
      <c r="J290" s="31">
        <f t="shared" si="52"/>
        <v>12819.973542105901</v>
      </c>
      <c r="K290" s="10">
        <f t="shared" si="47"/>
        <v>12462.663797468354</v>
      </c>
      <c r="L290" s="10">
        <f t="shared" si="51"/>
        <v>357.30974463754683</v>
      </c>
      <c r="M290" s="10">
        <f>'D) Ecrêtage'!C289</f>
        <v>6502.4863291139245</v>
      </c>
      <c r="N290" s="10">
        <f t="shared" si="48"/>
        <v>7637.2671689092622</v>
      </c>
      <c r="O290" s="55">
        <f t="shared" si="49"/>
        <v>20099.930966377615</v>
      </c>
      <c r="P290" s="218"/>
      <c r="Q290" s="219"/>
      <c r="R290" s="215"/>
      <c r="S290" s="215"/>
      <c r="T290" s="220"/>
    </row>
    <row r="291" spans="1:20" s="214" customFormat="1" x14ac:dyDescent="0.25">
      <c r="A291" s="309">
        <f>'A) Base RI'!A292</f>
        <v>5909</v>
      </c>
      <c r="B291" s="227" t="str">
        <f>'A) Base RI'!B292</f>
        <v>Cheseaux-Noréaz</v>
      </c>
      <c r="C291" s="243">
        <v>1</v>
      </c>
      <c r="D291" s="216">
        <f>'B) D RI'!AA292</f>
        <v>741</v>
      </c>
      <c r="E291" s="217">
        <f>'B) D RI'!S292</f>
        <v>67</v>
      </c>
      <c r="F291" s="10">
        <f>'B) D RI'!R292</f>
        <v>2630360.8000000003</v>
      </c>
      <c r="G291" s="10">
        <f>'B) D RI'!U292</f>
        <v>39259.116417910453</v>
      </c>
      <c r="H291" s="41">
        <f>'B) D RI'!T292</f>
        <v>2469858.85</v>
      </c>
      <c r="I291" s="10">
        <f t="shared" si="53"/>
        <v>73727.129850746278</v>
      </c>
      <c r="J291" s="31">
        <f t="shared" si="52"/>
        <v>65969.447185419951</v>
      </c>
      <c r="K291" s="10">
        <f t="shared" si="47"/>
        <v>0</v>
      </c>
      <c r="L291" s="10">
        <f t="shared" si="51"/>
        <v>65969.447185419951</v>
      </c>
      <c r="M291" s="10">
        <f>'D) Ecrêtage'!C290</f>
        <v>39259.116417910453</v>
      </c>
      <c r="N291" s="10">
        <f t="shared" si="48"/>
        <v>46110.417726899155</v>
      </c>
      <c r="O291" s="55">
        <f t="shared" si="49"/>
        <v>46110.417726899155</v>
      </c>
      <c r="P291" s="218"/>
      <c r="Q291" s="219"/>
      <c r="R291" s="215"/>
      <c r="S291" s="215"/>
      <c r="T291" s="220"/>
    </row>
    <row r="292" spans="1:20" s="214" customFormat="1" x14ac:dyDescent="0.25">
      <c r="A292" s="309">
        <f>'A) Base RI'!A293</f>
        <v>5910</v>
      </c>
      <c r="B292" s="227" t="str">
        <f>'A) Base RI'!B293</f>
        <v>Cronay</v>
      </c>
      <c r="C292" s="243">
        <v>0</v>
      </c>
      <c r="D292" s="216">
        <f>'B) D RI'!AA293</f>
        <v>393</v>
      </c>
      <c r="E292" s="217">
        <f>'B) D RI'!S293</f>
        <v>77</v>
      </c>
      <c r="F292" s="10">
        <f>'B) D RI'!R293</f>
        <v>768152.1599999998</v>
      </c>
      <c r="G292" s="10">
        <f>'B) D RI'!U293</f>
        <v>9976.0020779220758</v>
      </c>
      <c r="H292" s="41">
        <f>'B) D RI'!T293</f>
        <v>709342.1599999998</v>
      </c>
      <c r="I292" s="10">
        <f t="shared" si="53"/>
        <v>18424.471688311682</v>
      </c>
      <c r="J292" s="31">
        <f t="shared" si="52"/>
        <v>34987.844458664018</v>
      </c>
      <c r="K292" s="10">
        <f t="shared" si="47"/>
        <v>18424.471688311682</v>
      </c>
      <c r="L292" s="10">
        <f t="shared" si="51"/>
        <v>16563.372770352336</v>
      </c>
      <c r="M292" s="10">
        <f>'D) Ecrêtage'!C291</f>
        <v>9976.0020779220758</v>
      </c>
      <c r="N292" s="10">
        <f t="shared" si="48"/>
        <v>11716.96321844739</v>
      </c>
      <c r="O292" s="55">
        <f t="shared" si="49"/>
        <v>30141.434906759074</v>
      </c>
      <c r="P292" s="218"/>
      <c r="Q292" s="219"/>
      <c r="R292" s="215"/>
      <c r="S292" s="215"/>
      <c r="T292" s="220"/>
    </row>
    <row r="293" spans="1:20" s="214" customFormat="1" x14ac:dyDescent="0.25">
      <c r="A293" s="309">
        <f>'A) Base RI'!A294</f>
        <v>5911</v>
      </c>
      <c r="B293" s="227" t="str">
        <f>'A) Base RI'!B294</f>
        <v>Cuarny</v>
      </c>
      <c r="C293" s="243">
        <v>0</v>
      </c>
      <c r="D293" s="216">
        <f>'B) D RI'!AA294</f>
        <v>234</v>
      </c>
      <c r="E293" s="217">
        <f>'B) D RI'!S294</f>
        <v>77</v>
      </c>
      <c r="F293" s="10">
        <f>'B) D RI'!R294</f>
        <v>534348.96</v>
      </c>
      <c r="G293" s="10">
        <f>'B) D RI'!U294</f>
        <v>6939.596883116883</v>
      </c>
      <c r="H293" s="41">
        <f>'B) D RI'!T294</f>
        <v>498166.16000000003</v>
      </c>
      <c r="I293" s="10">
        <f t="shared" si="53"/>
        <v>12939.380779220781</v>
      </c>
      <c r="J293" s="31">
        <f t="shared" si="52"/>
        <v>20832.45700592209</v>
      </c>
      <c r="K293" s="10">
        <f t="shared" si="47"/>
        <v>12939.380779220781</v>
      </c>
      <c r="L293" s="10">
        <f t="shared" si="51"/>
        <v>7893.0762267013088</v>
      </c>
      <c r="M293" s="10">
        <f>'D) Ecrêtage'!C292</f>
        <v>6939.596883116883</v>
      </c>
      <c r="N293" s="10">
        <f t="shared" si="48"/>
        <v>8150.6600334699542</v>
      </c>
      <c r="O293" s="55">
        <f t="shared" si="49"/>
        <v>21090.040812690735</v>
      </c>
      <c r="P293" s="218"/>
      <c r="Q293" s="219"/>
      <c r="R293" s="215"/>
      <c r="S293" s="215"/>
      <c r="T293" s="220"/>
    </row>
    <row r="294" spans="1:20" s="214" customFormat="1" x14ac:dyDescent="0.25">
      <c r="A294" s="309">
        <f>'A) Base RI'!A295</f>
        <v>5912</v>
      </c>
      <c r="B294" s="227" t="str">
        <f>'A) Base RI'!B295</f>
        <v>Démoret</v>
      </c>
      <c r="C294" s="243">
        <v>0</v>
      </c>
      <c r="D294" s="216">
        <f>'B) D RI'!AA295</f>
        <v>158</v>
      </c>
      <c r="E294" s="217">
        <f>'B) D RI'!S295</f>
        <v>81</v>
      </c>
      <c r="F294" s="10">
        <f>'B) D RI'!R295</f>
        <v>328821.71999999997</v>
      </c>
      <c r="G294" s="10">
        <f>'B) D RI'!U295</f>
        <v>4059.5274074074073</v>
      </c>
      <c r="H294" s="41">
        <f>'B) D RI'!T295</f>
        <v>307780.42</v>
      </c>
      <c r="I294" s="10">
        <f t="shared" si="53"/>
        <v>7599.5165432098765</v>
      </c>
      <c r="J294" s="31">
        <f t="shared" si="52"/>
        <v>14066.35985869953</v>
      </c>
      <c r="K294" s="10">
        <f t="shared" si="47"/>
        <v>7599.5165432098765</v>
      </c>
      <c r="L294" s="10">
        <f t="shared" si="51"/>
        <v>6466.8433154896538</v>
      </c>
      <c r="M294" s="10">
        <f>'D) Ecrêtage'!C293</f>
        <v>4059.5274074074073</v>
      </c>
      <c r="N294" s="10">
        <f t="shared" si="48"/>
        <v>4767.9754820960479</v>
      </c>
      <c r="O294" s="55">
        <f t="shared" si="49"/>
        <v>12367.492025305924</v>
      </c>
      <c r="P294" s="218"/>
      <c r="Q294" s="219"/>
      <c r="R294" s="215"/>
      <c r="S294" s="215"/>
      <c r="T294" s="220"/>
    </row>
    <row r="295" spans="1:20" s="214" customFormat="1" x14ac:dyDescent="0.25">
      <c r="A295" s="309">
        <f>'A) Base RI'!A296</f>
        <v>5913</v>
      </c>
      <c r="B295" s="227" t="str">
        <f>'A) Base RI'!B296</f>
        <v>Donneloye</v>
      </c>
      <c r="C295" s="243">
        <v>0</v>
      </c>
      <c r="D295" s="216">
        <f>'B) D RI'!AA296</f>
        <v>829</v>
      </c>
      <c r="E295" s="217">
        <f>'B) D RI'!S296</f>
        <v>73</v>
      </c>
      <c r="F295" s="10">
        <f>'B) D RI'!R296</f>
        <v>1451300.4799999997</v>
      </c>
      <c r="G295" s="10">
        <f>'B) D RI'!U296</f>
        <v>19880.828493150682</v>
      </c>
      <c r="H295" s="41">
        <f>'B) D RI'!T296</f>
        <v>1332179.6299999999</v>
      </c>
      <c r="I295" s="10">
        <f t="shared" si="53"/>
        <v>36498.072054794517</v>
      </c>
      <c r="J295" s="31">
        <f t="shared" si="52"/>
        <v>73803.875461151329</v>
      </c>
      <c r="K295" s="10">
        <f t="shared" si="47"/>
        <v>36498.072054794517</v>
      </c>
      <c r="L295" s="10">
        <f t="shared" si="51"/>
        <v>37305.803406356812</v>
      </c>
      <c r="M295" s="10">
        <f>'D) Ecrêtage'!C294</f>
        <v>19880.828493150682</v>
      </c>
      <c r="N295" s="10">
        <f t="shared" si="48"/>
        <v>23350.3295595772</v>
      </c>
      <c r="O295" s="55">
        <f t="shared" si="49"/>
        <v>59848.401614371716</v>
      </c>
      <c r="P295" s="218"/>
      <c r="Q295" s="219"/>
      <c r="R295" s="215"/>
      <c r="S295" s="215"/>
      <c r="T295" s="220"/>
    </row>
    <row r="296" spans="1:20" s="214" customFormat="1" x14ac:dyDescent="0.25">
      <c r="A296" s="309">
        <f>'A) Base RI'!A297</f>
        <v>5914</v>
      </c>
      <c r="B296" s="227" t="str">
        <f>'A) Base RI'!B297</f>
        <v>Ependes</v>
      </c>
      <c r="C296" s="243">
        <v>1</v>
      </c>
      <c r="D296" s="216">
        <f>'B) D RI'!AA297</f>
        <v>388</v>
      </c>
      <c r="E296" s="217">
        <f>'B) D RI'!S297</f>
        <v>73.5</v>
      </c>
      <c r="F296" s="10">
        <f>'B) D RI'!R297</f>
        <v>783662.51</v>
      </c>
      <c r="G296" s="10">
        <f>'B) D RI'!U297</f>
        <v>10662.074965986394</v>
      </c>
      <c r="H296" s="41">
        <f>'B) D RI'!T297</f>
        <v>716182.41</v>
      </c>
      <c r="I296" s="10">
        <f t="shared" si="53"/>
        <v>19487.956734693878</v>
      </c>
      <c r="J296" s="31">
        <f t="shared" si="52"/>
        <v>34542.706488452008</v>
      </c>
      <c r="K296" s="10">
        <f t="shared" si="47"/>
        <v>0</v>
      </c>
      <c r="L296" s="10">
        <f t="shared" si="51"/>
        <v>34542.706488452008</v>
      </c>
      <c r="M296" s="10">
        <f>'D) Ecrêtage'!C295</f>
        <v>10662.074965986394</v>
      </c>
      <c r="N296" s="10">
        <f t="shared" si="48"/>
        <v>12522.766057283407</v>
      </c>
      <c r="O296" s="55">
        <f t="shared" si="49"/>
        <v>12522.766057283407</v>
      </c>
      <c r="P296" s="218"/>
      <c r="Q296" s="219"/>
      <c r="R296" s="215"/>
      <c r="S296" s="215"/>
      <c r="T296" s="220"/>
    </row>
    <row r="297" spans="1:20" s="214" customFormat="1" x14ac:dyDescent="0.25">
      <c r="A297" s="309">
        <f>'A) Base RI'!A298</f>
        <v>5919</v>
      </c>
      <c r="B297" s="227" t="str">
        <f>'A) Base RI'!B298</f>
        <v>Mathod</v>
      </c>
      <c r="C297" s="243">
        <v>1</v>
      </c>
      <c r="D297" s="216">
        <f>'B) D RI'!AA298</f>
        <v>651</v>
      </c>
      <c r="E297" s="217">
        <f>'B) D RI'!S298</f>
        <v>72</v>
      </c>
      <c r="F297" s="10">
        <f>'B) D RI'!R298</f>
        <v>1552723.0616666668</v>
      </c>
      <c r="G297" s="10">
        <f>'B) D RI'!U298</f>
        <v>21565.598078703704</v>
      </c>
      <c r="H297" s="41">
        <f>'B) D RI'!T298</f>
        <v>1424942.32</v>
      </c>
      <c r="I297" s="10">
        <f t="shared" si="53"/>
        <v>39581.731111111112</v>
      </c>
      <c r="J297" s="31">
        <f t="shared" si="52"/>
        <v>57956.963721603759</v>
      </c>
      <c r="K297" s="10">
        <f t="shared" si="47"/>
        <v>0</v>
      </c>
      <c r="L297" s="10">
        <f t="shared" si="51"/>
        <v>57956.963721603759</v>
      </c>
      <c r="M297" s="10">
        <f>'D) Ecrêtage'!C296</f>
        <v>21565.598078703704</v>
      </c>
      <c r="N297" s="10">
        <f t="shared" si="48"/>
        <v>25329.116563759078</v>
      </c>
      <c r="O297" s="55">
        <f t="shared" si="49"/>
        <v>25329.116563759078</v>
      </c>
      <c r="P297" s="218"/>
      <c r="Q297" s="219"/>
      <c r="R297" s="215"/>
      <c r="S297" s="215"/>
      <c r="T297" s="220"/>
    </row>
    <row r="298" spans="1:20" s="214" customFormat="1" x14ac:dyDescent="0.25">
      <c r="A298" s="309">
        <f>'A) Base RI'!A299</f>
        <v>5921</v>
      </c>
      <c r="B298" s="227" t="str">
        <f>'A) Base RI'!B299</f>
        <v>Molondin</v>
      </c>
      <c r="C298" s="243">
        <v>0</v>
      </c>
      <c r="D298" s="216">
        <f>'B) D RI'!AA299</f>
        <v>252</v>
      </c>
      <c r="E298" s="217">
        <f>'B) D RI'!S299</f>
        <v>81</v>
      </c>
      <c r="F298" s="10">
        <f>'B) D RI'!R299</f>
        <v>459747.36</v>
      </c>
      <c r="G298" s="10">
        <f>'B) D RI'!U299</f>
        <v>5675.8933333333334</v>
      </c>
      <c r="H298" s="41">
        <f>'B) D RI'!T299</f>
        <v>426034.11</v>
      </c>
      <c r="I298" s="10">
        <f t="shared" si="53"/>
        <v>10519.36074074074</v>
      </c>
      <c r="J298" s="31">
        <f t="shared" si="52"/>
        <v>22434.953698685327</v>
      </c>
      <c r="K298" s="10">
        <f t="shared" si="47"/>
        <v>10519.36074074074</v>
      </c>
      <c r="L298" s="10">
        <f t="shared" si="51"/>
        <v>11915.592957944587</v>
      </c>
      <c r="M298" s="10">
        <f>'D) Ecrêtage'!C297</f>
        <v>5675.8933333333334</v>
      </c>
      <c r="N298" s="10">
        <f t="shared" si="48"/>
        <v>6666.4213679022951</v>
      </c>
      <c r="O298" s="55">
        <f t="shared" si="49"/>
        <v>17185.782108643034</v>
      </c>
      <c r="P298" s="218"/>
      <c r="Q298" s="219"/>
      <c r="R298" s="215"/>
      <c r="S298" s="215"/>
      <c r="T298" s="220"/>
    </row>
    <row r="299" spans="1:20" s="214" customFormat="1" x14ac:dyDescent="0.25">
      <c r="A299" s="309">
        <f>'A) Base RI'!A300</f>
        <v>5922</v>
      </c>
      <c r="B299" s="227" t="str">
        <f>'A) Base RI'!B300</f>
        <v>Montagny-près-Yverdon</v>
      </c>
      <c r="C299" s="243">
        <v>0</v>
      </c>
      <c r="D299" s="216">
        <f>'B) D RI'!AA300</f>
        <v>737</v>
      </c>
      <c r="E299" s="217">
        <f>'B) D RI'!S300</f>
        <v>63.5</v>
      </c>
      <c r="F299" s="10">
        <f>'B) D RI'!R300</f>
        <v>2116226.2824999997</v>
      </c>
      <c r="G299" s="10">
        <f>'B) D RI'!U300</f>
        <v>33326.398149606292</v>
      </c>
      <c r="H299" s="41">
        <f>'B) D RI'!T300</f>
        <v>1792885.8699999996</v>
      </c>
      <c r="I299" s="10">
        <f t="shared" si="53"/>
        <v>56468.846299212586</v>
      </c>
      <c r="J299" s="31">
        <f t="shared" si="52"/>
        <v>65613.336809250337</v>
      </c>
      <c r="K299" s="10">
        <f t="shared" si="47"/>
        <v>56468.846299212586</v>
      </c>
      <c r="L299" s="10">
        <f t="shared" si="51"/>
        <v>9144.4905100377509</v>
      </c>
      <c r="M299" s="10">
        <f>'D) Ecrêtage'!C298</f>
        <v>33326.398149606292</v>
      </c>
      <c r="N299" s="10">
        <f t="shared" si="48"/>
        <v>39142.351642693822</v>
      </c>
      <c r="O299" s="55">
        <f t="shared" si="49"/>
        <v>95611.197941906401</v>
      </c>
      <c r="P299" s="218"/>
      <c r="Q299" s="219"/>
      <c r="R299" s="215"/>
      <c r="S299" s="215"/>
      <c r="T299" s="220"/>
    </row>
    <row r="300" spans="1:20" s="214" customFormat="1" x14ac:dyDescent="0.25">
      <c r="A300" s="309">
        <f>'A) Base RI'!A301</f>
        <v>5923</v>
      </c>
      <c r="B300" s="227" t="str">
        <f>'A) Base RI'!B301</f>
        <v>Oppens</v>
      </c>
      <c r="C300" s="243">
        <v>0</v>
      </c>
      <c r="D300" s="216">
        <f>'B) D RI'!AA301</f>
        <v>201</v>
      </c>
      <c r="E300" s="217">
        <f>'B) D RI'!S301</f>
        <v>81</v>
      </c>
      <c r="F300" s="10">
        <f>'B) D RI'!R301</f>
        <v>388738.49000000005</v>
      </c>
      <c r="G300" s="10">
        <f>'B) D RI'!U301</f>
        <v>4799.240617283951</v>
      </c>
      <c r="H300" s="41">
        <f>'B) D RI'!T301</f>
        <v>362908.09</v>
      </c>
      <c r="I300" s="10">
        <f t="shared" si="53"/>
        <v>8960.6935802469143</v>
      </c>
      <c r="J300" s="31">
        <f t="shared" si="52"/>
        <v>17894.546402522818</v>
      </c>
      <c r="K300" s="10">
        <f t="shared" si="47"/>
        <v>8960.6935802469143</v>
      </c>
      <c r="L300" s="10">
        <f t="shared" si="51"/>
        <v>8933.8528222759032</v>
      </c>
      <c r="M300" s="10">
        <f>'D) Ecrêtage'!C299</f>
        <v>4799.240617283951</v>
      </c>
      <c r="N300" s="10">
        <f t="shared" si="48"/>
        <v>5636.7796788698752</v>
      </c>
      <c r="O300" s="55">
        <f t="shared" si="49"/>
        <v>14597.473259116789</v>
      </c>
      <c r="P300" s="218"/>
      <c r="Q300" s="219"/>
      <c r="R300" s="215"/>
      <c r="S300" s="215"/>
      <c r="T300" s="220"/>
    </row>
    <row r="301" spans="1:20" s="214" customFormat="1" x14ac:dyDescent="0.25">
      <c r="A301" s="309">
        <f>'A) Base RI'!A302</f>
        <v>5924</v>
      </c>
      <c r="B301" s="227" t="str">
        <f>'A) Base RI'!B302</f>
        <v>Orges</v>
      </c>
      <c r="C301" s="243">
        <v>0</v>
      </c>
      <c r="D301" s="216">
        <f>'B) D RI'!AA302</f>
        <v>343</v>
      </c>
      <c r="E301" s="217">
        <f>'B) D RI'!S302</f>
        <v>74</v>
      </c>
      <c r="F301" s="10">
        <f>'B) D RI'!R302</f>
        <v>926881.47</v>
      </c>
      <c r="G301" s="10">
        <f>'B) D RI'!U302</f>
        <v>12525.425270270271</v>
      </c>
      <c r="H301" s="41">
        <f>'B) D RI'!T302</f>
        <v>868354.47</v>
      </c>
      <c r="I301" s="10">
        <f t="shared" si="53"/>
        <v>23469.039729729728</v>
      </c>
      <c r="J301" s="31">
        <f t="shared" si="52"/>
        <v>30536.464756543915</v>
      </c>
      <c r="K301" s="10">
        <f t="shared" si="47"/>
        <v>23469.039729729728</v>
      </c>
      <c r="L301" s="10">
        <f t="shared" si="51"/>
        <v>7067.4250268141877</v>
      </c>
      <c r="M301" s="10">
        <f>'D) Ecrêtage'!C300</f>
        <v>12525.425270270271</v>
      </c>
      <c r="N301" s="10">
        <f t="shared" si="48"/>
        <v>14711.298778892917</v>
      </c>
      <c r="O301" s="55">
        <f t="shared" si="49"/>
        <v>38180.338508622648</v>
      </c>
      <c r="P301" s="218"/>
      <c r="Q301" s="219"/>
      <c r="R301" s="215"/>
      <c r="S301" s="215"/>
      <c r="T301" s="220"/>
    </row>
    <row r="302" spans="1:20" s="214" customFormat="1" x14ac:dyDescent="0.25">
      <c r="A302" s="309">
        <f>'A) Base RI'!A303</f>
        <v>5925</v>
      </c>
      <c r="B302" s="227" t="str">
        <f>'A) Base RI'!B303</f>
        <v>Orzens</v>
      </c>
      <c r="C302" s="243">
        <v>0</v>
      </c>
      <c r="D302" s="216">
        <f>'B) D RI'!AA303</f>
        <v>201</v>
      </c>
      <c r="E302" s="217">
        <f>'B) D RI'!S303</f>
        <v>79</v>
      </c>
      <c r="F302" s="10">
        <f>'B) D RI'!R303</f>
        <v>464477.47</v>
      </c>
      <c r="G302" s="10">
        <f>'B) D RI'!U303</f>
        <v>5879.4616455696196</v>
      </c>
      <c r="H302" s="41">
        <f>'B) D RI'!T303</f>
        <v>431459.37</v>
      </c>
      <c r="I302" s="10">
        <f t="shared" si="53"/>
        <v>10923.022025316455</v>
      </c>
      <c r="J302" s="31">
        <f t="shared" si="52"/>
        <v>17894.546402522818</v>
      </c>
      <c r="K302" s="10">
        <f t="shared" si="47"/>
        <v>10923.022025316455</v>
      </c>
      <c r="L302" s="10">
        <f t="shared" si="51"/>
        <v>6971.5243772063623</v>
      </c>
      <c r="M302" s="10">
        <f>'D) Ecrêtage'!C301</f>
        <v>5879.4616455696196</v>
      </c>
      <c r="N302" s="10">
        <f t="shared" si="48"/>
        <v>6905.5153865565899</v>
      </c>
      <c r="O302" s="55">
        <f t="shared" si="49"/>
        <v>17828.537411873047</v>
      </c>
      <c r="P302" s="218"/>
      <c r="Q302" s="219"/>
      <c r="R302" s="215"/>
      <c r="S302" s="215"/>
      <c r="T302" s="220"/>
    </row>
    <row r="303" spans="1:20" s="214" customFormat="1" x14ac:dyDescent="0.25">
      <c r="A303" s="309">
        <f>'A) Base RI'!A304</f>
        <v>5926</v>
      </c>
      <c r="B303" s="227" t="str">
        <f>'A) Base RI'!B304</f>
        <v>Pomy</v>
      </c>
      <c r="C303" s="243">
        <v>1</v>
      </c>
      <c r="D303" s="216">
        <f>'B) D RI'!AA304</f>
        <v>803</v>
      </c>
      <c r="E303" s="217">
        <f>'B) D RI'!S304</f>
        <v>71</v>
      </c>
      <c r="F303" s="10">
        <f>'B) D RI'!R304</f>
        <v>1953876.6700000002</v>
      </c>
      <c r="G303" s="10">
        <f>'B) D RI'!U304</f>
        <v>27519.38971830986</v>
      </c>
      <c r="H303" s="41">
        <f>'B) D RI'!T304</f>
        <v>1832458.6700000002</v>
      </c>
      <c r="I303" s="10">
        <f t="shared" si="53"/>
        <v>51618.55408450705</v>
      </c>
      <c r="J303" s="31">
        <f t="shared" si="52"/>
        <v>71489.158016048881</v>
      </c>
      <c r="K303" s="10">
        <f t="shared" si="47"/>
        <v>0</v>
      </c>
      <c r="L303" s="10">
        <f t="shared" si="51"/>
        <v>71489.158016048881</v>
      </c>
      <c r="M303" s="10">
        <f>'D) Ecrêtage'!C302</f>
        <v>27519.38971830986</v>
      </c>
      <c r="N303" s="10">
        <f t="shared" si="48"/>
        <v>32321.933636838061</v>
      </c>
      <c r="O303" s="55">
        <f t="shared" si="49"/>
        <v>32321.933636838061</v>
      </c>
      <c r="P303" s="218"/>
      <c r="Q303" s="219"/>
      <c r="R303" s="215"/>
      <c r="S303" s="215"/>
      <c r="T303" s="220"/>
    </row>
    <row r="304" spans="1:20" s="214" customFormat="1" x14ac:dyDescent="0.25">
      <c r="A304" s="309">
        <f>'A) Base RI'!A305</f>
        <v>5928</v>
      </c>
      <c r="B304" s="227" t="str">
        <f>'A) Base RI'!B305</f>
        <v>Rovray</v>
      </c>
      <c r="C304" s="243">
        <v>0</v>
      </c>
      <c r="D304" s="216">
        <f>'B) D RI'!AA305</f>
        <v>204</v>
      </c>
      <c r="E304" s="217">
        <f>'B) D RI'!S305</f>
        <v>71.5</v>
      </c>
      <c r="F304" s="10">
        <f>'B) D RI'!R305</f>
        <v>397783.52999999997</v>
      </c>
      <c r="G304" s="10">
        <f>'B) D RI'!U305</f>
        <v>5563.4060139860139</v>
      </c>
      <c r="H304" s="41">
        <f>'B) D RI'!T305</f>
        <v>375136.52999999997</v>
      </c>
      <c r="I304" s="10">
        <f t="shared" si="53"/>
        <v>10493.32951048951</v>
      </c>
      <c r="J304" s="31">
        <f t="shared" si="52"/>
        <v>18161.629184650024</v>
      </c>
      <c r="K304" s="10">
        <f t="shared" ref="K304:K314" si="54">IF(C304=1,0,IF(J304&gt;I304,I304,J304))</f>
        <v>10493.32951048951</v>
      </c>
      <c r="L304" s="10">
        <f t="shared" si="51"/>
        <v>7668.2996741605148</v>
      </c>
      <c r="M304" s="10">
        <f>'D) Ecrêtage'!C303</f>
        <v>5563.4060139860139</v>
      </c>
      <c r="N304" s="10">
        <f t="shared" si="48"/>
        <v>6534.3033337399747</v>
      </c>
      <c r="O304" s="55">
        <f t="shared" si="49"/>
        <v>17027.632844229483</v>
      </c>
      <c r="P304" s="218"/>
      <c r="Q304" s="219"/>
      <c r="R304" s="215"/>
      <c r="S304" s="215"/>
      <c r="T304" s="220"/>
    </row>
    <row r="305" spans="1:20" s="214" customFormat="1" x14ac:dyDescent="0.25">
      <c r="A305" s="309">
        <f>'A) Base RI'!A306</f>
        <v>5929</v>
      </c>
      <c r="B305" s="227" t="str">
        <f>'A) Base RI'!B306</f>
        <v>Suchy</v>
      </c>
      <c r="C305" s="243">
        <v>1</v>
      </c>
      <c r="D305" s="216">
        <f>'B) D RI'!AA306</f>
        <v>656</v>
      </c>
      <c r="E305" s="217">
        <f>'B) D RI'!S306</f>
        <v>70</v>
      </c>
      <c r="F305" s="10">
        <f>'B) D RI'!R306</f>
        <v>1387918.2224999999</v>
      </c>
      <c r="G305" s="10">
        <f>'B) D RI'!U306</f>
        <v>19827.403178571429</v>
      </c>
      <c r="H305" s="41">
        <f>'B) D RI'!T306</f>
        <v>1274094.1599999999</v>
      </c>
      <c r="I305" s="10">
        <f t="shared" si="53"/>
        <v>36402.690285714285</v>
      </c>
      <c r="J305" s="31">
        <f t="shared" si="52"/>
        <v>58402.101691815769</v>
      </c>
      <c r="K305" s="10">
        <f t="shared" si="54"/>
        <v>0</v>
      </c>
      <c r="L305" s="10">
        <f t="shared" si="51"/>
        <v>58402.101691815769</v>
      </c>
      <c r="M305" s="10">
        <f>'D) Ecrêtage'!C304</f>
        <v>19827.403178571429</v>
      </c>
      <c r="N305" s="10">
        <f t="shared" si="48"/>
        <v>23287.58073084104</v>
      </c>
      <c r="O305" s="55">
        <f t="shared" si="49"/>
        <v>23287.58073084104</v>
      </c>
      <c r="P305" s="218"/>
      <c r="Q305" s="219"/>
      <c r="R305" s="215"/>
      <c r="S305" s="215"/>
      <c r="T305" s="220"/>
    </row>
    <row r="306" spans="1:20" s="214" customFormat="1" x14ac:dyDescent="0.25">
      <c r="A306" s="309">
        <f>'A) Base RI'!A307</f>
        <v>5930</v>
      </c>
      <c r="B306" s="227" t="str">
        <f>'A) Base RI'!B307</f>
        <v>Suscévaz</v>
      </c>
      <c r="C306" s="243">
        <v>1</v>
      </c>
      <c r="D306" s="216">
        <f>'B) D RI'!AA307</f>
        <v>204</v>
      </c>
      <c r="E306" s="217">
        <f>'B) D RI'!S307</f>
        <v>72</v>
      </c>
      <c r="F306" s="10">
        <f>'B) D RI'!R307</f>
        <v>415379.14999999997</v>
      </c>
      <c r="G306" s="10">
        <f>'B) D RI'!U307</f>
        <v>5769.1548611111102</v>
      </c>
      <c r="H306" s="41">
        <f>'B) D RI'!T307</f>
        <v>384010.39999999997</v>
      </c>
      <c r="I306" s="10">
        <f t="shared" si="53"/>
        <v>10666.955555555554</v>
      </c>
      <c r="J306" s="31">
        <f t="shared" si="52"/>
        <v>18161.629184650024</v>
      </c>
      <c r="K306" s="10">
        <f t="shared" si="54"/>
        <v>0</v>
      </c>
      <c r="L306" s="10">
        <f t="shared" si="51"/>
        <v>18161.629184650024</v>
      </c>
      <c r="M306" s="10">
        <f>'D) Ecrêtage'!C305</f>
        <v>5769.1548611111102</v>
      </c>
      <c r="N306" s="10">
        <f t="shared" si="48"/>
        <v>6775.9584231407634</v>
      </c>
      <c r="O306" s="55">
        <f t="shared" si="49"/>
        <v>6775.9584231407634</v>
      </c>
      <c r="P306" s="218"/>
      <c r="Q306" s="219"/>
      <c r="R306" s="215"/>
      <c r="S306" s="215"/>
      <c r="T306" s="220"/>
    </row>
    <row r="307" spans="1:20" s="214" customFormat="1" x14ac:dyDescent="0.25">
      <c r="A307" s="309">
        <f>'A) Base RI'!A308</f>
        <v>5931</v>
      </c>
      <c r="B307" s="227" t="str">
        <f>'A) Base RI'!B308</f>
        <v>Treycovagnes</v>
      </c>
      <c r="C307" s="243">
        <v>1</v>
      </c>
      <c r="D307" s="216">
        <f>'B) D RI'!AA308</f>
        <v>485</v>
      </c>
      <c r="E307" s="217">
        <f>'B) D RI'!S308</f>
        <v>75</v>
      </c>
      <c r="F307" s="10">
        <f>'B) D RI'!R308</f>
        <v>1153770.2299999997</v>
      </c>
      <c r="G307" s="10">
        <f>'B) D RI'!U308</f>
        <v>15383.603066666663</v>
      </c>
      <c r="H307" s="41">
        <f>'B) D RI'!T308</f>
        <v>1074260.0299999998</v>
      </c>
      <c r="I307" s="10">
        <f t="shared" si="53"/>
        <v>28646.934133333329</v>
      </c>
      <c r="J307" s="31">
        <f t="shared" si="52"/>
        <v>43178.38311056501</v>
      </c>
      <c r="K307" s="10">
        <f t="shared" si="54"/>
        <v>0</v>
      </c>
      <c r="L307" s="10">
        <f t="shared" si="51"/>
        <v>43178.38311056501</v>
      </c>
      <c r="M307" s="10">
        <f>'D) Ecrêtage'!C306</f>
        <v>15383.603066666663</v>
      </c>
      <c r="N307" s="10">
        <f t="shared" si="48"/>
        <v>18068.271226430246</v>
      </c>
      <c r="O307" s="55">
        <f t="shared" si="49"/>
        <v>18068.271226430246</v>
      </c>
      <c r="P307" s="218"/>
      <c r="Q307" s="219"/>
      <c r="R307" s="215"/>
      <c r="S307" s="215"/>
      <c r="T307" s="220"/>
    </row>
    <row r="308" spans="1:20" s="214" customFormat="1" x14ac:dyDescent="0.25">
      <c r="A308" s="309">
        <f>'A) Base RI'!A309</f>
        <v>5932</v>
      </c>
      <c r="B308" s="227" t="str">
        <f>'A) Base RI'!B309</f>
        <v>Ursins</v>
      </c>
      <c r="C308" s="243">
        <v>0</v>
      </c>
      <c r="D308" s="216">
        <f>'B) D RI'!AA309</f>
        <v>238</v>
      </c>
      <c r="E308" s="217">
        <f>'B) D RI'!S309</f>
        <v>75</v>
      </c>
      <c r="F308" s="10">
        <f>'B) D RI'!R309</f>
        <v>511455.18</v>
      </c>
      <c r="G308" s="10">
        <f>'B) D RI'!U309</f>
        <v>6819.4023999999999</v>
      </c>
      <c r="H308" s="41">
        <f>'B) D RI'!T309</f>
        <v>476178.98</v>
      </c>
      <c r="I308" s="10">
        <f t="shared" si="53"/>
        <v>12698.106133333333</v>
      </c>
      <c r="J308" s="31">
        <f t="shared" si="52"/>
        <v>21188.567382091696</v>
      </c>
      <c r="K308" s="10">
        <f t="shared" si="54"/>
        <v>12698.106133333333</v>
      </c>
      <c r="L308" s="10">
        <f t="shared" si="51"/>
        <v>8490.4612487583636</v>
      </c>
      <c r="M308" s="10">
        <f>'D) Ecrêtage'!C307</f>
        <v>6819.4023999999999</v>
      </c>
      <c r="N308" s="10">
        <f t="shared" si="48"/>
        <v>8009.4898205188601</v>
      </c>
      <c r="O308" s="55">
        <f t="shared" si="49"/>
        <v>20707.595953852193</v>
      </c>
      <c r="P308" s="218"/>
      <c r="Q308" s="219"/>
      <c r="R308" s="215"/>
      <c r="S308" s="215"/>
      <c r="T308" s="220"/>
    </row>
    <row r="309" spans="1:20" s="214" customFormat="1" x14ac:dyDescent="0.25">
      <c r="A309" s="309">
        <f>'A) Base RI'!A310</f>
        <v>5933</v>
      </c>
      <c r="B309" s="227" t="str">
        <f>'A) Base RI'!B310</f>
        <v>Valeyres-sous-Montagny</v>
      </c>
      <c r="C309" s="243">
        <v>0</v>
      </c>
      <c r="D309" s="216">
        <f>'B) D RI'!AA310</f>
        <v>714</v>
      </c>
      <c r="E309" s="217">
        <f>'B) D RI'!S310</f>
        <v>70.5</v>
      </c>
      <c r="F309" s="10">
        <f>'B) D RI'!R310</f>
        <v>1591352.6400000001</v>
      </c>
      <c r="G309" s="10">
        <f>'B) D RI'!U310</f>
        <v>22572.377872340428</v>
      </c>
      <c r="H309" s="41">
        <f>'B) D RI'!T310</f>
        <v>1468893.24</v>
      </c>
      <c r="I309" s="10">
        <f t="shared" si="53"/>
        <v>41670.730212765957</v>
      </c>
      <c r="J309" s="31">
        <f t="shared" ref="J309:J314" si="55">+$I$315/$D$315*D309</f>
        <v>63565.702146275093</v>
      </c>
      <c r="K309" s="10">
        <f t="shared" si="54"/>
        <v>41670.730212765957</v>
      </c>
      <c r="L309" s="10">
        <f t="shared" si="51"/>
        <v>21894.971933509136</v>
      </c>
      <c r="M309" s="10">
        <f>'D) Ecrêtage'!C308</f>
        <v>22572.377872340428</v>
      </c>
      <c r="N309" s="10">
        <f t="shared" si="48"/>
        <v>26511.59444607871</v>
      </c>
      <c r="O309" s="55">
        <f t="shared" si="49"/>
        <v>68182.324658844664</v>
      </c>
      <c r="P309" s="218"/>
      <c r="Q309" s="219"/>
      <c r="R309" s="215"/>
      <c r="S309" s="215"/>
      <c r="T309" s="220"/>
    </row>
    <row r="310" spans="1:20" s="214" customFormat="1" x14ac:dyDescent="0.25">
      <c r="A310" s="309">
        <f>'A) Base RI'!A311</f>
        <v>5934</v>
      </c>
      <c r="B310" s="227" t="str">
        <f>'A) Base RI'!B311</f>
        <v>Valeyres-sous-Ursins</v>
      </c>
      <c r="C310" s="243">
        <v>0</v>
      </c>
      <c r="D310" s="216">
        <f>'B) D RI'!AA311</f>
        <v>241</v>
      </c>
      <c r="E310" s="217">
        <f>'B) D RI'!S311</f>
        <v>79</v>
      </c>
      <c r="F310" s="10">
        <f>'B) D RI'!R311</f>
        <v>598612.92999999993</v>
      </c>
      <c r="G310" s="10">
        <f>'B) D RI'!U311</f>
        <v>7577.3788607594925</v>
      </c>
      <c r="H310" s="41">
        <f>'B) D RI'!T311</f>
        <v>569119.92999999993</v>
      </c>
      <c r="I310" s="10">
        <f t="shared" si="53"/>
        <v>14408.099493670885</v>
      </c>
      <c r="J310" s="31">
        <f t="shared" si="55"/>
        <v>21455.650164218903</v>
      </c>
      <c r="K310" s="10">
        <f t="shared" si="54"/>
        <v>14408.099493670885</v>
      </c>
      <c r="L310" s="10">
        <f t="shared" si="51"/>
        <v>7047.5506705480184</v>
      </c>
      <c r="M310" s="10">
        <f>'D) Ecrêtage'!C309</f>
        <v>7577.3788607594925</v>
      </c>
      <c r="N310" s="10">
        <f t="shared" si="48"/>
        <v>8899.7444778252047</v>
      </c>
      <c r="O310" s="55">
        <f t="shared" si="49"/>
        <v>23307.843971496091</v>
      </c>
      <c r="P310" s="218"/>
      <c r="Q310" s="219"/>
      <c r="R310" s="215"/>
      <c r="S310" s="215"/>
      <c r="T310" s="220"/>
    </row>
    <row r="311" spans="1:20" s="214" customFormat="1" x14ac:dyDescent="0.25">
      <c r="A311" s="309">
        <f>'A) Base RI'!A312</f>
        <v>5935</v>
      </c>
      <c r="B311" s="227" t="str">
        <f>'A) Base RI'!B312</f>
        <v>Villars-Epeney</v>
      </c>
      <c r="C311" s="243">
        <v>0</v>
      </c>
      <c r="D311" s="216">
        <f>'B) D RI'!AA312</f>
        <v>101</v>
      </c>
      <c r="E311" s="217">
        <f>'B) D RI'!S312</f>
        <v>60</v>
      </c>
      <c r="F311" s="10">
        <f>'B) D RI'!R312</f>
        <v>234772.18000000002</v>
      </c>
      <c r="G311" s="10">
        <f>'B) D RI'!U312</f>
        <v>3912.8696666666669</v>
      </c>
      <c r="H311" s="41">
        <f>'B) D RI'!T312</f>
        <v>216054.23</v>
      </c>
      <c r="I311" s="10">
        <f t="shared" si="53"/>
        <v>7201.8076666666666</v>
      </c>
      <c r="J311" s="31">
        <f t="shared" si="55"/>
        <v>8991.7869982826105</v>
      </c>
      <c r="K311" s="10">
        <f t="shared" si="54"/>
        <v>7201.8076666666666</v>
      </c>
      <c r="L311" s="10">
        <f t="shared" si="51"/>
        <v>1789.9793316159439</v>
      </c>
      <c r="M311" s="10">
        <f>'D) Ecrêtage'!C310</f>
        <v>3912.8696666666669</v>
      </c>
      <c r="N311" s="10">
        <f t="shared" si="48"/>
        <v>4595.7237784037634</v>
      </c>
      <c r="O311" s="55">
        <f t="shared" si="49"/>
        <v>11797.53144507043</v>
      </c>
      <c r="P311" s="218"/>
      <c r="Q311" s="219"/>
      <c r="R311" s="215"/>
      <c r="S311" s="215"/>
      <c r="T311" s="220"/>
    </row>
    <row r="312" spans="1:20" s="214" customFormat="1" x14ac:dyDescent="0.25">
      <c r="A312" s="309">
        <f>'A) Base RI'!A313</f>
        <v>5937</v>
      </c>
      <c r="B312" s="227" t="str">
        <f>'A) Base RI'!B313</f>
        <v>Vugelles-La Mothe</v>
      </c>
      <c r="C312" s="243">
        <v>0</v>
      </c>
      <c r="D312" s="216">
        <f>'B) D RI'!AA313</f>
        <v>138</v>
      </c>
      <c r="E312" s="217">
        <f>'B) D RI'!S313</f>
        <v>70</v>
      </c>
      <c r="F312" s="10">
        <f>'B) D RI'!R313</f>
        <v>223138.70428571431</v>
      </c>
      <c r="G312" s="10">
        <f>'B) D RI'!U313</f>
        <v>3187.6957755102044</v>
      </c>
      <c r="H312" s="41">
        <f>'B) D RI'!T313</f>
        <v>207135.49000000002</v>
      </c>
      <c r="I312" s="10">
        <f t="shared" si="53"/>
        <v>5918.1568571428579</v>
      </c>
      <c r="J312" s="31">
        <f t="shared" si="55"/>
        <v>12285.807977851488</v>
      </c>
      <c r="K312" s="10">
        <f t="shared" si="54"/>
        <v>5918.1568571428579</v>
      </c>
      <c r="L312" s="10">
        <f t="shared" si="51"/>
        <v>6367.6511207086296</v>
      </c>
      <c r="M312" s="10">
        <f>'D) Ecrêtage'!C311</f>
        <v>3187.6957755102044</v>
      </c>
      <c r="N312" s="10">
        <f t="shared" si="48"/>
        <v>3743.9962282999982</v>
      </c>
      <c r="O312" s="55">
        <f t="shared" si="49"/>
        <v>9662.1530854428565</v>
      </c>
      <c r="P312" s="218"/>
      <c r="Q312" s="219"/>
      <c r="R312" s="215"/>
      <c r="S312" s="215"/>
      <c r="T312" s="220"/>
    </row>
    <row r="313" spans="1:20" s="214" customFormat="1" x14ac:dyDescent="0.25">
      <c r="A313" s="309">
        <f>'A) Base RI'!A314</f>
        <v>5938</v>
      </c>
      <c r="B313" s="227" t="str">
        <f>'A) Base RI'!B314</f>
        <v>Yverdon-les-Bains</v>
      </c>
      <c r="C313" s="243">
        <v>1</v>
      </c>
      <c r="D313" s="216">
        <f>'B) D RI'!AA314</f>
        <v>29981</v>
      </c>
      <c r="E313" s="217">
        <f>'B) D RI'!S314</f>
        <v>75</v>
      </c>
      <c r="F313" s="10">
        <f>'B) D RI'!R314</f>
        <v>59741355.149999999</v>
      </c>
      <c r="G313" s="10">
        <f>'B) D RI'!U314</f>
        <v>796551.402</v>
      </c>
      <c r="H313" s="41">
        <f>'B) D RI'!T314</f>
        <v>54765734.199999996</v>
      </c>
      <c r="I313" s="10">
        <f t="shared" si="53"/>
        <v>1460419.5786666665</v>
      </c>
      <c r="J313" s="31">
        <f t="shared" si="55"/>
        <v>2669136.296985257</v>
      </c>
      <c r="K313" s="10">
        <f t="shared" si="54"/>
        <v>0</v>
      </c>
      <c r="L313" s="10">
        <f t="shared" si="51"/>
        <v>2669136.296985257</v>
      </c>
      <c r="M313" s="10">
        <f>'D) Ecrêtage'!C312</f>
        <v>796551.402</v>
      </c>
      <c r="N313" s="10">
        <f t="shared" si="48"/>
        <v>935561.50108388183</v>
      </c>
      <c r="O313" s="55">
        <f t="shared" si="49"/>
        <v>935561.50108388183</v>
      </c>
      <c r="P313" s="218"/>
      <c r="Q313" s="219"/>
      <c r="R313" s="215"/>
      <c r="S313" s="215"/>
      <c r="T313" s="220"/>
    </row>
    <row r="314" spans="1:20" s="214" customFormat="1" x14ac:dyDescent="0.25">
      <c r="A314" s="310">
        <f>'A) Base RI'!A315</f>
        <v>5939</v>
      </c>
      <c r="B314" s="227" t="str">
        <f>'A) Base RI'!B315</f>
        <v>Yvonand</v>
      </c>
      <c r="C314" s="243">
        <v>0</v>
      </c>
      <c r="D314" s="216">
        <f>'B) D RI'!AA315</f>
        <v>3467</v>
      </c>
      <c r="E314" s="217">
        <f>'B) D RI'!S315</f>
        <v>71.5</v>
      </c>
      <c r="F314" s="10">
        <f>'B) D RI'!R315</f>
        <v>6641638.0699999994</v>
      </c>
      <c r="G314" s="10">
        <f>'B) D RI'!U315</f>
        <v>92890.042937062928</v>
      </c>
      <c r="H314" s="41">
        <f>'B) D RI'!T315</f>
        <v>6069726.1200000001</v>
      </c>
      <c r="I314" s="18">
        <f t="shared" si="53"/>
        <v>169782.54881118881</v>
      </c>
      <c r="J314" s="106">
        <f t="shared" si="55"/>
        <v>308658.66854500805</v>
      </c>
      <c r="K314" s="10">
        <f t="shared" si="54"/>
        <v>169782.54881118881</v>
      </c>
      <c r="L314" s="18">
        <f t="shared" si="51"/>
        <v>138876.11973381924</v>
      </c>
      <c r="M314" s="18">
        <f>'D) Ecrêtage'!C313</f>
        <v>92890.042937062928</v>
      </c>
      <c r="N314" s="18">
        <f>+$N$5*M314</f>
        <v>109100.74075287966</v>
      </c>
      <c r="O314" s="101">
        <f t="shared" si="49"/>
        <v>278883.28956406849</v>
      </c>
      <c r="P314" s="218"/>
      <c r="Q314" s="219"/>
      <c r="R314" s="215"/>
      <c r="S314" s="215"/>
      <c r="T314" s="220"/>
    </row>
    <row r="315" spans="1:20" s="214" customFormat="1" x14ac:dyDescent="0.25">
      <c r="A315" s="30"/>
      <c r="B315" s="118">
        <f>COUNTA(B6:B314)</f>
        <v>309</v>
      </c>
      <c r="C315" s="237">
        <f>SUM(C6:C314)</f>
        <v>52</v>
      </c>
      <c r="D315" s="229">
        <f>SUM(D6:D314)</f>
        <v>815300</v>
      </c>
      <c r="E315" s="229"/>
      <c r="F315" s="229">
        <f t="shared" ref="F315:M315" si="56">SUM(F6:F314)</f>
        <v>2643127517.9686804</v>
      </c>
      <c r="G315" s="229">
        <f t="shared" si="56"/>
        <v>39275450.163217418</v>
      </c>
      <c r="H315" s="229">
        <f t="shared" si="56"/>
        <v>2440932700.9699974</v>
      </c>
      <c r="I315" s="245">
        <f>SUM(I6:I314)</f>
        <v>72584197.422770426</v>
      </c>
      <c r="J315" s="229">
        <f t="shared" si="56"/>
        <v>72584197.4227705</v>
      </c>
      <c r="K315" s="366">
        <f t="shared" si="56"/>
        <v>22812077.298749786</v>
      </c>
      <c r="L315" s="231">
        <f t="shared" si="56"/>
        <v>49772120.124020666</v>
      </c>
      <c r="M315" s="229">
        <f t="shared" si="56"/>
        <v>39275450.163217418</v>
      </c>
      <c r="N315" s="238">
        <f>Paramètres!B67-K315</f>
        <v>46129601.954356834</v>
      </c>
      <c r="O315" s="232">
        <f>SUM(O6:O314)</f>
        <v>68941679.253106639</v>
      </c>
      <c r="P315" s="215"/>
      <c r="R315" s="215"/>
      <c r="S315" s="215"/>
    </row>
    <row r="316" spans="1:20" s="214" customFormat="1" x14ac:dyDescent="0.25">
      <c r="A316" s="213"/>
      <c r="B316" s="213"/>
      <c r="C316" s="213"/>
      <c r="D316" s="213"/>
      <c r="E316" s="213"/>
      <c r="F316" s="213"/>
      <c r="G316" s="213"/>
      <c r="H316" s="213"/>
      <c r="I316" s="244"/>
      <c r="J316" s="213"/>
      <c r="K316" s="213"/>
      <c r="L316" s="221"/>
      <c r="M316" s="213"/>
      <c r="N316" s="221"/>
      <c r="O316" s="213"/>
      <c r="P316" s="215"/>
      <c r="R316" s="215"/>
      <c r="S316" s="215"/>
    </row>
    <row r="317" spans="1:20" x14ac:dyDescent="0.25">
      <c r="I317" s="244"/>
      <c r="J317" s="244"/>
      <c r="K317" s="244"/>
      <c r="L317" s="244"/>
      <c r="M317" s="244"/>
      <c r="N317" s="431"/>
      <c r="O317" s="244"/>
    </row>
  </sheetData>
  <protectedRanges>
    <protectedRange sqref="C6:C314" name="Plage1"/>
  </protectedRanges>
  <mergeCells count="13">
    <mergeCell ref="O4:O5"/>
    <mergeCell ref="B4:B5"/>
    <mergeCell ref="A4:A5"/>
    <mergeCell ref="M4:M5"/>
    <mergeCell ref="L4:L5"/>
    <mergeCell ref="K4:K5"/>
    <mergeCell ref="J4:J5"/>
    <mergeCell ref="H4:H5"/>
    <mergeCell ref="G4:G5"/>
    <mergeCell ref="F4:F5"/>
    <mergeCell ref="E4:E5"/>
    <mergeCell ref="D4:D5"/>
    <mergeCell ref="C4:C5"/>
  </mergeCells>
  <printOptions horizontalCentered="1" verticalCentered="1"/>
  <pageMargins left="0.78740157480314965" right="0.78740157480314965" top="0.98425196850393704" bottom="0.98425196850393704" header="0.51181102362204722" footer="0.51181102362204722"/>
  <pageSetup paperSize="8" fitToHeight="9" orientation="landscape" r:id="rId1"/>
  <headerFooter alignWithMargins="0">
    <oddFooter>&amp;L&amp;8SCL - Division finances communales&amp;C- &amp;N -&amp;R&amp;8ASFiCo/FW/Juillet 2014</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17">
    <tabColor rgb="FF00B0F0"/>
  </sheetPr>
  <dimension ref="A1:P317"/>
  <sheetViews>
    <sheetView workbookViewId="0">
      <selection activeCell="Q9" sqref="Q9"/>
    </sheetView>
  </sheetViews>
  <sheetFormatPr baseColWidth="10" defaultColWidth="10.75" defaultRowHeight="15" x14ac:dyDescent="0.25"/>
  <cols>
    <col min="1" max="1" width="7.5" style="13" customWidth="1"/>
    <col min="2" max="2" width="20.25" style="13" bestFit="1" customWidth="1"/>
    <col min="3" max="3" width="6.125" style="15" bestFit="1" customWidth="1"/>
    <col min="4" max="4" width="6.5" style="150" bestFit="1" customWidth="1"/>
    <col min="5" max="5" width="8.625" style="150" bestFit="1" customWidth="1"/>
    <col min="6" max="6" width="9.5" style="13" bestFit="1" customWidth="1"/>
    <col min="7" max="7" width="10.625" style="13" customWidth="1"/>
    <col min="8" max="8" width="10.75" style="13" customWidth="1"/>
    <col min="9" max="10" width="9.375" style="13" bestFit="1" customWidth="1"/>
    <col min="11" max="11" width="9.625" style="13" bestFit="1" customWidth="1"/>
    <col min="12" max="12" width="11.25" style="13" bestFit="1" customWidth="1"/>
    <col min="13" max="13" width="8.625" style="13" bestFit="1" customWidth="1"/>
    <col min="14" max="14" width="9.5" style="13" bestFit="1" customWidth="1"/>
    <col min="15" max="15" width="1.375" style="13" customWidth="1"/>
    <col min="16" max="16384" width="10.75" style="13"/>
  </cols>
  <sheetData>
    <row r="1" spans="1:16" s="43" customFormat="1" ht="20.25" customHeight="1" x14ac:dyDescent="0.2">
      <c r="A1" s="632" t="s">
        <v>473</v>
      </c>
      <c r="B1" s="633"/>
      <c r="C1" s="633"/>
      <c r="D1" s="633"/>
      <c r="E1" s="633"/>
      <c r="F1" s="68"/>
      <c r="G1" s="68"/>
      <c r="H1" s="68"/>
      <c r="I1" s="68"/>
      <c r="J1" s="68"/>
      <c r="K1" s="68"/>
      <c r="L1" s="68"/>
      <c r="M1" s="68"/>
      <c r="N1" s="68"/>
    </row>
    <row r="2" spans="1:16" s="43" customFormat="1" ht="20.25" customHeight="1" x14ac:dyDescent="0.2">
      <c r="A2" s="282" t="str">
        <f>Paramètres!B5</f>
        <v>Décompte provisoire 2020</v>
      </c>
      <c r="C2" s="134"/>
      <c r="D2" s="283"/>
      <c r="E2" s="283"/>
      <c r="F2" s="68"/>
      <c r="G2" s="68"/>
      <c r="H2" s="68"/>
      <c r="I2" s="68"/>
      <c r="J2" s="68"/>
      <c r="K2" s="68"/>
      <c r="L2" s="68"/>
      <c r="M2" s="68"/>
      <c r="N2" s="68"/>
    </row>
    <row r="3" spans="1:16" x14ac:dyDescent="0.25">
      <c r="D3" s="13"/>
      <c r="E3" s="13"/>
    </row>
    <row r="4" spans="1:16" ht="53.25" customHeight="1" x14ac:dyDescent="0.25">
      <c r="A4" s="582" t="s">
        <v>46</v>
      </c>
      <c r="B4" s="582" t="s">
        <v>96</v>
      </c>
      <c r="C4" s="614" t="s">
        <v>361</v>
      </c>
      <c r="D4" s="625" t="s">
        <v>362</v>
      </c>
      <c r="E4" s="625" t="s">
        <v>546</v>
      </c>
      <c r="F4" s="625" t="s">
        <v>93</v>
      </c>
      <c r="G4" s="625" t="s">
        <v>145</v>
      </c>
      <c r="H4" s="625" t="s">
        <v>139</v>
      </c>
      <c r="I4" s="625" t="s">
        <v>412</v>
      </c>
      <c r="J4" s="625" t="s">
        <v>211</v>
      </c>
      <c r="K4" s="625" t="s">
        <v>126</v>
      </c>
      <c r="L4" s="625" t="s">
        <v>212</v>
      </c>
      <c r="M4" s="625" t="s">
        <v>490</v>
      </c>
      <c r="N4" s="627" t="s">
        <v>138</v>
      </c>
      <c r="O4" s="638" t="s">
        <v>510</v>
      </c>
    </row>
    <row r="5" spans="1:16" ht="14.25" customHeight="1" x14ac:dyDescent="0.25">
      <c r="A5" s="583"/>
      <c r="B5" s="583"/>
      <c r="C5" s="615"/>
      <c r="D5" s="631"/>
      <c r="E5" s="626"/>
      <c r="F5" s="631"/>
      <c r="G5" s="626"/>
      <c r="H5" s="626"/>
      <c r="I5" s="626"/>
      <c r="J5" s="631"/>
      <c r="K5" s="626"/>
      <c r="L5" s="626"/>
      <c r="M5" s="626"/>
      <c r="N5" s="628"/>
      <c r="O5" s="638"/>
    </row>
    <row r="6" spans="1:16" s="154" customFormat="1" x14ac:dyDescent="0.25">
      <c r="A6" s="311">
        <f>'B) D RI'!A7</f>
        <v>5401</v>
      </c>
      <c r="B6" s="152" t="str">
        <f>'B) D RI'!B7</f>
        <v>Aigle</v>
      </c>
      <c r="C6" s="316">
        <f>'B) D RI'!S7</f>
        <v>66</v>
      </c>
      <c r="D6" s="317">
        <f>'B) D RI'!AA7</f>
        <v>10518</v>
      </c>
      <c r="E6" s="314">
        <f>'D) Ecrêtage'!C5</f>
        <v>284723.80196969694</v>
      </c>
      <c r="F6" s="157">
        <f>'E) Fact soc'!G11</f>
        <v>4948536.161851027</v>
      </c>
      <c r="G6" s="315">
        <f>'H) Péréquation directe'!I16</f>
        <v>-3759225.0618033279</v>
      </c>
      <c r="H6" s="157" t="e">
        <f>+'I) Dépenses thématiques'!O5</f>
        <v>#DIV/0!</v>
      </c>
      <c r="I6" s="315">
        <f>'K) Plafonnement aide'!J5</f>
        <v>0</v>
      </c>
      <c r="J6" s="157">
        <f>'J) Plafonnement effort'!J5</f>
        <v>0</v>
      </c>
      <c r="K6" s="315">
        <f>'L) Plafonnement taux'!Q6</f>
        <v>0</v>
      </c>
      <c r="L6" s="312" t="e">
        <f>F6+G6+H6+I6+J6+K6</f>
        <v>#DIV/0!</v>
      </c>
      <c r="M6" s="234">
        <f>'M) Police'!O6</f>
        <v>334412.35166525963</v>
      </c>
      <c r="N6" s="233" t="e">
        <f>L6+M6</f>
        <v>#DIV/0!</v>
      </c>
      <c r="P6" s="320"/>
    </row>
    <row r="7" spans="1:16" s="154" customFormat="1" x14ac:dyDescent="0.25">
      <c r="A7" s="151">
        <f>'B) D RI'!A8</f>
        <v>5402</v>
      </c>
      <c r="B7" s="152" t="str">
        <f>'B) D RI'!B8</f>
        <v>Bex</v>
      </c>
      <c r="C7" s="316">
        <f>'B) D RI'!S8</f>
        <v>71</v>
      </c>
      <c r="D7" s="153">
        <f>'B) D RI'!AA8</f>
        <v>7828</v>
      </c>
      <c r="E7" s="314">
        <f>'D) Ecrêtage'!C6</f>
        <v>179259.20338028169</v>
      </c>
      <c r="F7" s="318">
        <f>'E) Fact soc'!G12</f>
        <v>3043556.1548849936</v>
      </c>
      <c r="G7" s="315">
        <f>'H) Péréquation directe'!I17</f>
        <v>-3974812.9954635557</v>
      </c>
      <c r="H7" s="318" t="e">
        <f>+'I) Dépenses thématiques'!O6</f>
        <v>#DIV/0!</v>
      </c>
      <c r="I7" s="315">
        <f>'K) Plafonnement aide'!J6</f>
        <v>0</v>
      </c>
      <c r="J7" s="318">
        <f>'J) Plafonnement effort'!J6</f>
        <v>0</v>
      </c>
      <c r="K7" s="315">
        <f>'L) Plafonnement taux'!Q7</f>
        <v>0</v>
      </c>
      <c r="L7" s="313" t="e">
        <f t="shared" ref="L7:L61" si="0">F7+G7+H7+I7+J7+K7</f>
        <v>#DIV/0!</v>
      </c>
      <c r="M7" s="234">
        <f>'M) Police'!O7</f>
        <v>210542.60776702166</v>
      </c>
      <c r="N7" s="234" t="e">
        <f t="shared" ref="N7:N70" si="1">L7+M7</f>
        <v>#DIV/0!</v>
      </c>
      <c r="P7" s="320"/>
    </row>
    <row r="8" spans="1:16" s="154" customFormat="1" x14ac:dyDescent="0.25">
      <c r="A8" s="151">
        <f>'B) D RI'!A9</f>
        <v>5403</v>
      </c>
      <c r="B8" s="152" t="str">
        <f>'B) D RI'!B9</f>
        <v>Chessel</v>
      </c>
      <c r="C8" s="316">
        <f>'B) D RI'!S9</f>
        <v>74</v>
      </c>
      <c r="D8" s="153">
        <f>'B) D RI'!AA9</f>
        <v>444</v>
      </c>
      <c r="E8" s="314">
        <f>'D) Ecrêtage'!C7</f>
        <v>10797.740270270273</v>
      </c>
      <c r="F8" s="318">
        <f>'E) Fact soc'!G13</f>
        <v>204815.01912987392</v>
      </c>
      <c r="G8" s="315">
        <f>'H) Péréquation directe'!I18</f>
        <v>-75717.423422025313</v>
      </c>
      <c r="H8" s="318" t="e">
        <f>+'I) Dépenses thématiques'!O7</f>
        <v>#DIV/0!</v>
      </c>
      <c r="I8" s="315">
        <f>'K) Plafonnement aide'!J7</f>
        <v>0</v>
      </c>
      <c r="J8" s="318">
        <f>'J) Plafonnement effort'!J7</f>
        <v>0</v>
      </c>
      <c r="K8" s="315">
        <f>'L) Plafonnement taux'!Q8</f>
        <v>0</v>
      </c>
      <c r="L8" s="313" t="e">
        <f t="shared" si="0"/>
        <v>#DIV/0!</v>
      </c>
      <c r="M8" s="234">
        <f>'M) Police'!O8</f>
        <v>31850.646980420504</v>
      </c>
      <c r="N8" s="234" t="e">
        <f t="shared" si="1"/>
        <v>#DIV/0!</v>
      </c>
      <c r="P8" s="320"/>
    </row>
    <row r="9" spans="1:16" s="154" customFormat="1" x14ac:dyDescent="0.25">
      <c r="A9" s="151">
        <f>'B) D RI'!A10</f>
        <v>5404</v>
      </c>
      <c r="B9" s="152" t="str">
        <f>'B) D RI'!B10</f>
        <v>Corbeyrier</v>
      </c>
      <c r="C9" s="316">
        <f>'B) D RI'!S10</f>
        <v>74</v>
      </c>
      <c r="D9" s="153">
        <f>'B) D RI'!AA10</f>
        <v>445</v>
      </c>
      <c r="E9" s="314">
        <f>'D) Ecrêtage'!C8</f>
        <v>11267.87027027027</v>
      </c>
      <c r="F9" s="318">
        <f>'E) Fact soc'!G14</f>
        <v>212846.40594819444</v>
      </c>
      <c r="G9" s="315">
        <f>'H) Péréquation directe'!I19</f>
        <v>-57339.655708906968</v>
      </c>
      <c r="H9" s="318" t="e">
        <f>+'I) Dépenses thématiques'!O8</f>
        <v>#DIV/0!</v>
      </c>
      <c r="I9" s="315">
        <f>'K) Plafonnement aide'!J8</f>
        <v>0</v>
      </c>
      <c r="J9" s="318">
        <f>'J) Plafonnement effort'!J8</f>
        <v>0</v>
      </c>
      <c r="K9" s="315">
        <f>'L) Plafonnement taux'!Q9</f>
        <v>0</v>
      </c>
      <c r="L9" s="313" t="e">
        <f t="shared" si="0"/>
        <v>#DIV/0!</v>
      </c>
      <c r="M9" s="234">
        <f>'M) Police'!O9</f>
        <v>33297.318163229429</v>
      </c>
      <c r="N9" s="234" t="e">
        <f t="shared" si="1"/>
        <v>#DIV/0!</v>
      </c>
      <c r="P9" s="320"/>
    </row>
    <row r="10" spans="1:16" s="154" customFormat="1" x14ac:dyDescent="0.25">
      <c r="A10" s="151">
        <f>'B) D RI'!A11</f>
        <v>5405</v>
      </c>
      <c r="B10" s="152" t="str">
        <f>'B) D RI'!B11</f>
        <v>Gryon</v>
      </c>
      <c r="C10" s="316">
        <f>'B) D RI'!S11</f>
        <v>73.5</v>
      </c>
      <c r="D10" s="153">
        <f>'B) D RI'!AA11</f>
        <v>1378</v>
      </c>
      <c r="E10" s="314">
        <f>'D) Ecrêtage'!C9</f>
        <v>68185.794013605453</v>
      </c>
      <c r="F10" s="318">
        <f>'E) Fact soc'!G15</f>
        <v>1371740.6867822844</v>
      </c>
      <c r="G10" s="315">
        <f>'H) Péréquation directe'!I20</f>
        <v>1083651.0473377989</v>
      </c>
      <c r="H10" s="318" t="e">
        <f>+'I) Dépenses thématiques'!O9</f>
        <v>#DIV/0!</v>
      </c>
      <c r="I10" s="315">
        <f>'K) Plafonnement aide'!J9</f>
        <v>0</v>
      </c>
      <c r="J10" s="318">
        <f>'J) Plafonnement effort'!J9</f>
        <v>0</v>
      </c>
      <c r="K10" s="315">
        <f>'L) Plafonnement taux'!Q10</f>
        <v>0</v>
      </c>
      <c r="L10" s="313" t="e">
        <f t="shared" si="0"/>
        <v>#DIV/0!</v>
      </c>
      <c r="M10" s="234">
        <f>'M) Police'!O10</f>
        <v>201838.77509268135</v>
      </c>
      <c r="N10" s="234" t="e">
        <f t="shared" si="1"/>
        <v>#DIV/0!</v>
      </c>
      <c r="P10" s="320"/>
    </row>
    <row r="11" spans="1:16" s="154" customFormat="1" x14ac:dyDescent="0.25">
      <c r="A11" s="151">
        <f>'B) D RI'!A12</f>
        <v>5406</v>
      </c>
      <c r="B11" s="152" t="str">
        <f>'B) D RI'!B12</f>
        <v>Lavey-Morcles</v>
      </c>
      <c r="C11" s="316">
        <f>'B) D RI'!S12</f>
        <v>71.5</v>
      </c>
      <c r="D11" s="153">
        <f>'B) D RI'!AA12</f>
        <v>944</v>
      </c>
      <c r="E11" s="314">
        <f>'D) Ecrêtage'!C10</f>
        <v>21842.545067240455</v>
      </c>
      <c r="F11" s="318">
        <f>'E) Fact soc'!G16</f>
        <v>400735.79862152418</v>
      </c>
      <c r="G11" s="315">
        <f>'H) Péréquation directe'!I21</f>
        <v>-172878.128939107</v>
      </c>
      <c r="H11" s="318" t="e">
        <f>+'I) Dépenses thématiques'!O10</f>
        <v>#DIV/0!</v>
      </c>
      <c r="I11" s="315">
        <f>'K) Plafonnement aide'!J10</f>
        <v>0</v>
      </c>
      <c r="J11" s="318">
        <f>'J) Plafonnement effort'!J10</f>
        <v>0</v>
      </c>
      <c r="K11" s="315">
        <f>'L) Plafonnement taux'!Q11</f>
        <v>0</v>
      </c>
      <c r="L11" s="313" t="e">
        <f t="shared" si="0"/>
        <v>#DIV/0!</v>
      </c>
      <c r="M11" s="234">
        <f>'M) Police'!O11</f>
        <v>64860.163603395871</v>
      </c>
      <c r="N11" s="234" t="e">
        <f t="shared" si="1"/>
        <v>#DIV/0!</v>
      </c>
      <c r="P11" s="320"/>
    </row>
    <row r="12" spans="1:16" s="154" customFormat="1" x14ac:dyDescent="0.25">
      <c r="A12" s="151">
        <f>'B) D RI'!A13</f>
        <v>5407</v>
      </c>
      <c r="B12" s="152" t="str">
        <f>'B) D RI'!B13</f>
        <v>Leysin</v>
      </c>
      <c r="C12" s="316">
        <f>'B) D RI'!S13</f>
        <v>78</v>
      </c>
      <c r="D12" s="153">
        <f>'B) D RI'!AA13</f>
        <v>3645</v>
      </c>
      <c r="E12" s="314">
        <f>'D) Ecrêtage'!C11</f>
        <v>90407.62790598291</v>
      </c>
      <c r="F12" s="318">
        <f>'E) Fact soc'!G17</f>
        <v>1617266.988001663</v>
      </c>
      <c r="G12" s="315">
        <f>'H) Péréquation directe'!I22</f>
        <v>-1442301.7194582443</v>
      </c>
      <c r="H12" s="318" t="e">
        <f>+'I) Dépenses thématiques'!O11</f>
        <v>#DIV/0!</v>
      </c>
      <c r="I12" s="315">
        <f>'K) Plafonnement aide'!J11</f>
        <v>0</v>
      </c>
      <c r="J12" s="318">
        <f>'J) Plafonnement effort'!J11</f>
        <v>0</v>
      </c>
      <c r="K12" s="315">
        <f>'L) Plafonnement taux'!Q12</f>
        <v>0</v>
      </c>
      <c r="L12" s="313" t="e">
        <f t="shared" si="0"/>
        <v>#DIV/0!</v>
      </c>
      <c r="M12" s="234">
        <f>'M) Police'!O12</f>
        <v>264053.33317461127</v>
      </c>
      <c r="N12" s="234" t="e">
        <f t="shared" si="1"/>
        <v>#DIV/0!</v>
      </c>
      <c r="P12" s="320"/>
    </row>
    <row r="13" spans="1:16" s="154" customFormat="1" x14ac:dyDescent="0.25">
      <c r="A13" s="151">
        <f>'B) D RI'!A14</f>
        <v>5408</v>
      </c>
      <c r="B13" s="152" t="str">
        <f>'B) D RI'!B14</f>
        <v>Noville</v>
      </c>
      <c r="C13" s="316">
        <f>'B) D RI'!S14</f>
        <v>78.5</v>
      </c>
      <c r="D13" s="153">
        <f>'B) D RI'!AA14</f>
        <v>1170</v>
      </c>
      <c r="E13" s="314">
        <f>'D) Ecrêtage'!C12</f>
        <v>43840.045520169842</v>
      </c>
      <c r="F13" s="318">
        <f>'E) Fact soc'!G18</f>
        <v>747072.39368455228</v>
      </c>
      <c r="G13" s="315">
        <f>'H) Péréquation directe'!I23</f>
        <v>368223.66603281267</v>
      </c>
      <c r="H13" s="318" t="e">
        <f>+'I) Dépenses thématiques'!O12</f>
        <v>#DIV/0!</v>
      </c>
      <c r="I13" s="315">
        <f>'K) Plafonnement aide'!J12</f>
        <v>0</v>
      </c>
      <c r="J13" s="318">
        <f>'J) Plafonnement effort'!J12</f>
        <v>0</v>
      </c>
      <c r="K13" s="315">
        <f>'L) Plafonnement taux'!Q13</f>
        <v>0</v>
      </c>
      <c r="L13" s="313" t="e">
        <f t="shared" si="0"/>
        <v>#DIV/0!</v>
      </c>
      <c r="M13" s="234">
        <f>'M) Police'!O13</f>
        <v>129762.07491887803</v>
      </c>
      <c r="N13" s="234" t="e">
        <f t="shared" si="1"/>
        <v>#DIV/0!</v>
      </c>
      <c r="P13" s="320"/>
    </row>
    <row r="14" spans="1:16" s="154" customFormat="1" x14ac:dyDescent="0.25">
      <c r="A14" s="151">
        <f>'B) D RI'!A15</f>
        <v>5409</v>
      </c>
      <c r="B14" s="152" t="str">
        <f>'B) D RI'!B15</f>
        <v>Ollon</v>
      </c>
      <c r="C14" s="316">
        <f>'B) D RI'!S15</f>
        <v>68</v>
      </c>
      <c r="D14" s="153">
        <f>'B) D RI'!AA15</f>
        <v>7634</v>
      </c>
      <c r="E14" s="314">
        <f>'D) Ecrêtage'!C13</f>
        <v>389186.78990950214</v>
      </c>
      <c r="F14" s="318">
        <f>'E) Fact soc'!G19</f>
        <v>7305103.5330087552</v>
      </c>
      <c r="G14" s="315">
        <f>'H) Péréquation directe'!I24</f>
        <v>4263987.9639540091</v>
      </c>
      <c r="H14" s="318" t="e">
        <f>+'I) Dépenses thématiques'!O13</f>
        <v>#DIV/0!</v>
      </c>
      <c r="I14" s="315">
        <f>'K) Plafonnement aide'!J13</f>
        <v>0</v>
      </c>
      <c r="J14" s="318">
        <f>'J) Plafonnement effort'!J13</f>
        <v>0</v>
      </c>
      <c r="K14" s="315">
        <f>'L) Plafonnement taux'!Q14</f>
        <v>0</v>
      </c>
      <c r="L14" s="313" t="e">
        <f t="shared" si="0"/>
        <v>#DIV/0!</v>
      </c>
      <c r="M14" s="234">
        <f>'M) Police'!O14</f>
        <v>457105.68891792774</v>
      </c>
      <c r="N14" s="234" t="e">
        <f t="shared" si="1"/>
        <v>#DIV/0!</v>
      </c>
      <c r="P14" s="320"/>
    </row>
    <row r="15" spans="1:16" s="154" customFormat="1" x14ac:dyDescent="0.25">
      <c r="A15" s="151">
        <f>'B) D RI'!A16</f>
        <v>5410</v>
      </c>
      <c r="B15" s="152" t="str">
        <f>'B) D RI'!B16</f>
        <v>Ormont-Dessous</v>
      </c>
      <c r="C15" s="316">
        <f>'B) D RI'!S16</f>
        <v>77</v>
      </c>
      <c r="D15" s="153">
        <f>'B) D RI'!AA16</f>
        <v>1180</v>
      </c>
      <c r="E15" s="314">
        <f>'D) Ecrêtage'!C14</f>
        <v>39522.545108225109</v>
      </c>
      <c r="F15" s="318">
        <f>'E) Fact soc'!G20</f>
        <v>754282.31158842403</v>
      </c>
      <c r="G15" s="315">
        <f>'H) Péréquation directe'!I25</f>
        <v>177531.43684897479</v>
      </c>
      <c r="H15" s="318" t="e">
        <f>+'I) Dépenses thématiques'!O14</f>
        <v>#DIV/0!</v>
      </c>
      <c r="I15" s="315">
        <f>'K) Plafonnement aide'!J14</f>
        <v>0</v>
      </c>
      <c r="J15" s="318">
        <f>'J) Plafonnement effort'!J14</f>
        <v>0</v>
      </c>
      <c r="K15" s="315">
        <f>'L) Plafonnement taux'!Q15</f>
        <v>0</v>
      </c>
      <c r="L15" s="313" t="e">
        <f t="shared" si="0"/>
        <v>#DIV/0!</v>
      </c>
      <c r="M15" s="234">
        <f>'M) Police'!O15</f>
        <v>115234.12228870281</v>
      </c>
      <c r="N15" s="234" t="e">
        <f t="shared" si="1"/>
        <v>#DIV/0!</v>
      </c>
      <c r="P15" s="320"/>
    </row>
    <row r="16" spans="1:16" s="154" customFormat="1" x14ac:dyDescent="0.25">
      <c r="A16" s="151">
        <f>'B) D RI'!A17</f>
        <v>5411</v>
      </c>
      <c r="B16" s="152" t="str">
        <f>'B) D RI'!B17</f>
        <v>Ormont-Dessus</v>
      </c>
      <c r="C16" s="316">
        <f>'B) D RI'!S17</f>
        <v>76</v>
      </c>
      <c r="D16" s="153">
        <f>'B) D RI'!AA17</f>
        <v>1466</v>
      </c>
      <c r="E16" s="314">
        <f>'D) Ecrêtage'!C15</f>
        <v>68049.385526315804</v>
      </c>
      <c r="F16" s="318">
        <f>'E) Fact soc'!G21</f>
        <v>1383904.4150276501</v>
      </c>
      <c r="G16" s="315">
        <f>'H) Péréquation directe'!I26</f>
        <v>990812.35893981857</v>
      </c>
      <c r="H16" s="318" t="e">
        <f>+'I) Dépenses thématiques'!O15</f>
        <v>#DIV/0!</v>
      </c>
      <c r="I16" s="315">
        <f>'K) Plafonnement aide'!J15</f>
        <v>0</v>
      </c>
      <c r="J16" s="318">
        <f>'J) Plafonnement effort'!J15</f>
        <v>0</v>
      </c>
      <c r="K16" s="315">
        <f>'L) Plafonnement taux'!Q16</f>
        <v>0</v>
      </c>
      <c r="L16" s="313" t="e">
        <f t="shared" si="0"/>
        <v>#DIV/0!</v>
      </c>
      <c r="M16" s="234">
        <f>'M) Police'!O16</f>
        <v>194075.96158182138</v>
      </c>
      <c r="N16" s="234" t="e">
        <f t="shared" si="1"/>
        <v>#DIV/0!</v>
      </c>
      <c r="P16" s="320"/>
    </row>
    <row r="17" spans="1:16" s="154" customFormat="1" x14ac:dyDescent="0.25">
      <c r="A17" s="151">
        <f>'B) D RI'!A18</f>
        <v>5412</v>
      </c>
      <c r="B17" s="152" t="str">
        <f>'B) D RI'!B18</f>
        <v>Rennaz</v>
      </c>
      <c r="C17" s="316">
        <f>'B) D RI'!S18</f>
        <v>69</v>
      </c>
      <c r="D17" s="153">
        <f>'B) D RI'!AA18</f>
        <v>889</v>
      </c>
      <c r="E17" s="314">
        <f>'D) Ecrêtage'!C16</f>
        <v>24267.759710144928</v>
      </c>
      <c r="F17" s="318">
        <f>'E) Fact soc'!G22</f>
        <v>631285.22890866152</v>
      </c>
      <c r="G17" s="315">
        <f>'H) Péréquation directe'!I27</f>
        <v>11800.991478361422</v>
      </c>
      <c r="H17" s="318" t="e">
        <f>+'I) Dépenses thématiques'!O16</f>
        <v>#DIV/0!</v>
      </c>
      <c r="I17" s="315">
        <f>'K) Plafonnement aide'!J16</f>
        <v>0</v>
      </c>
      <c r="J17" s="318">
        <f>'J) Plafonnement effort'!J16</f>
        <v>0</v>
      </c>
      <c r="K17" s="315">
        <f>'L) Plafonnement taux'!Q17</f>
        <v>0</v>
      </c>
      <c r="L17" s="313" t="e">
        <f t="shared" si="0"/>
        <v>#DIV/0!</v>
      </c>
      <c r="M17" s="234">
        <f>'M) Police'!O17</f>
        <v>69560.17236546331</v>
      </c>
      <c r="N17" s="234" t="e">
        <f t="shared" si="1"/>
        <v>#DIV/0!</v>
      </c>
      <c r="P17" s="320"/>
    </row>
    <row r="18" spans="1:16" s="154" customFormat="1" x14ac:dyDescent="0.25">
      <c r="A18" s="151">
        <f>'B) D RI'!A19</f>
        <v>5413</v>
      </c>
      <c r="B18" s="152" t="str">
        <f>'B) D RI'!B19</f>
        <v>Roche</v>
      </c>
      <c r="C18" s="316">
        <f>'B) D RI'!S19</f>
        <v>68</v>
      </c>
      <c r="D18" s="153">
        <f>'B) D RI'!AA19</f>
        <v>1868</v>
      </c>
      <c r="E18" s="314">
        <f>'D) Ecrêtage'!C17</f>
        <v>48007.468357843129</v>
      </c>
      <c r="F18" s="318">
        <f>'E) Fact soc'!G23</f>
        <v>872272.81436201278</v>
      </c>
      <c r="G18" s="315">
        <f>'H) Péréquation directe'!I28</f>
        <v>-261482.06000916602</v>
      </c>
      <c r="H18" s="318" t="e">
        <f>+'I) Dépenses thématiques'!O17</f>
        <v>#DIV/0!</v>
      </c>
      <c r="I18" s="315">
        <f>'K) Plafonnement aide'!J17</f>
        <v>0</v>
      </c>
      <c r="J18" s="318">
        <f>'J) Plafonnement effort'!J17</f>
        <v>0</v>
      </c>
      <c r="K18" s="315">
        <f>'L) Plafonnement taux'!Q18</f>
        <v>0</v>
      </c>
      <c r="L18" s="313" t="e">
        <f t="shared" si="0"/>
        <v>#DIV/0!</v>
      </c>
      <c r="M18" s="234">
        <f>'M) Police'!O18</f>
        <v>142597.17402020487</v>
      </c>
      <c r="N18" s="234" t="e">
        <f t="shared" si="1"/>
        <v>#DIV/0!</v>
      </c>
      <c r="P18" s="320"/>
    </row>
    <row r="19" spans="1:16" s="154" customFormat="1" x14ac:dyDescent="0.25">
      <c r="A19" s="151">
        <f>'B) D RI'!A20</f>
        <v>5414</v>
      </c>
      <c r="B19" s="152" t="str">
        <f>'B) D RI'!B20</f>
        <v>Villeneuve</v>
      </c>
      <c r="C19" s="316">
        <f>'B) D RI'!S20</f>
        <v>67.5</v>
      </c>
      <c r="D19" s="153">
        <f>'B) D RI'!AA20</f>
        <v>5837</v>
      </c>
      <c r="E19" s="314">
        <f>'D) Ecrêtage'!C18</f>
        <v>159468.65911111108</v>
      </c>
      <c r="F19" s="318">
        <f>'E) Fact soc'!G24</f>
        <v>3037444.160886623</v>
      </c>
      <c r="G19" s="315">
        <f>'H) Péréquation directe'!I29</f>
        <v>-1402161.3413451356</v>
      </c>
      <c r="H19" s="318" t="e">
        <f>+'I) Dépenses thématiques'!O18</f>
        <v>#DIV/0!</v>
      </c>
      <c r="I19" s="315">
        <f>'K) Plafonnement aide'!J18</f>
        <v>0</v>
      </c>
      <c r="J19" s="318">
        <f>'J) Plafonnement effort'!J18</f>
        <v>0</v>
      </c>
      <c r="K19" s="315">
        <f>'L) Plafonnement taux'!Q19</f>
        <v>0</v>
      </c>
      <c r="L19" s="313" t="e">
        <f t="shared" si="0"/>
        <v>#DIV/0!</v>
      </c>
      <c r="M19" s="234">
        <f>'M) Police'!O19</f>
        <v>464655.31363422947</v>
      </c>
      <c r="N19" s="234" t="e">
        <f t="shared" si="1"/>
        <v>#DIV/0!</v>
      </c>
      <c r="P19" s="320"/>
    </row>
    <row r="20" spans="1:16" s="154" customFormat="1" x14ac:dyDescent="0.25">
      <c r="A20" s="151">
        <f>'B) D RI'!A21</f>
        <v>5415</v>
      </c>
      <c r="B20" s="152" t="str">
        <f>'B) D RI'!B21</f>
        <v>Yvorne</v>
      </c>
      <c r="C20" s="316">
        <f>'B) D RI'!S21</f>
        <v>71.5</v>
      </c>
      <c r="D20" s="153">
        <f>'B) D RI'!AA21</f>
        <v>1070</v>
      </c>
      <c r="E20" s="314">
        <f>'D) Ecrêtage'!C19</f>
        <v>38155.020093240091</v>
      </c>
      <c r="F20" s="318">
        <f>'E) Fact soc'!G25</f>
        <v>699484.96492594411</v>
      </c>
      <c r="G20" s="315">
        <f>'H) Péréquation directe'!I30</f>
        <v>326267.01843202137</v>
      </c>
      <c r="H20" s="318" t="e">
        <f>+'I) Dépenses thématiques'!O19</f>
        <v>#DIV/0!</v>
      </c>
      <c r="I20" s="315">
        <f>'K) Plafonnement aide'!J19</f>
        <v>0</v>
      </c>
      <c r="J20" s="318">
        <f>'J) Plafonnement effort'!J19</f>
        <v>0</v>
      </c>
      <c r="K20" s="315">
        <f>'L) Plafonnement taux'!Q20</f>
        <v>0</v>
      </c>
      <c r="L20" s="313" t="e">
        <f t="shared" si="0"/>
        <v>#DIV/0!</v>
      </c>
      <c r="M20" s="234">
        <f>'M) Police'!O20</f>
        <v>114103.23369397598</v>
      </c>
      <c r="N20" s="234" t="e">
        <f t="shared" si="1"/>
        <v>#DIV/0!</v>
      </c>
      <c r="P20" s="320"/>
    </row>
    <row r="21" spans="1:16" s="154" customFormat="1" x14ac:dyDescent="0.25">
      <c r="A21" s="151">
        <f>'B) D RI'!A22</f>
        <v>5421</v>
      </c>
      <c r="B21" s="152" t="str">
        <f>'B) D RI'!B22</f>
        <v>Apples</v>
      </c>
      <c r="C21" s="316">
        <f>'B) D RI'!S22</f>
        <v>74</v>
      </c>
      <c r="D21" s="153">
        <f>'B) D RI'!AA22</f>
        <v>1457</v>
      </c>
      <c r="E21" s="314">
        <f>'D) Ecrêtage'!C20</f>
        <v>66313.601621621623</v>
      </c>
      <c r="F21" s="318">
        <f>'E) Fact soc'!G26</f>
        <v>999391.80637139117</v>
      </c>
      <c r="G21" s="315">
        <f>'H) Péréquation directe'!I31</f>
        <v>934339.61259830266</v>
      </c>
      <c r="H21" s="318" t="e">
        <f>+'I) Dépenses thématiques'!O20</f>
        <v>#DIV/0!</v>
      </c>
      <c r="I21" s="315">
        <f>'K) Plafonnement aide'!J20</f>
        <v>0</v>
      </c>
      <c r="J21" s="318">
        <f>'J) Plafonnement effort'!J20</f>
        <v>0</v>
      </c>
      <c r="K21" s="315">
        <f>'L) Plafonnement taux'!Q21</f>
        <v>0</v>
      </c>
      <c r="L21" s="313" t="e">
        <f t="shared" si="0"/>
        <v>#DIV/0!</v>
      </c>
      <c r="M21" s="234">
        <f>'M) Police'!O21</f>
        <v>202023.92272659799</v>
      </c>
      <c r="N21" s="234" t="e">
        <f t="shared" si="1"/>
        <v>#DIV/0!</v>
      </c>
      <c r="P21" s="320"/>
    </row>
    <row r="22" spans="1:16" s="154" customFormat="1" x14ac:dyDescent="0.25">
      <c r="A22" s="151">
        <f>'B) D RI'!A23</f>
        <v>5422</v>
      </c>
      <c r="B22" s="152" t="str">
        <f>'B) D RI'!B23</f>
        <v>Aubonne</v>
      </c>
      <c r="C22" s="316">
        <f>'B) D RI'!S23</f>
        <v>68.5</v>
      </c>
      <c r="D22" s="153">
        <f>'B) D RI'!AA23</f>
        <v>3241</v>
      </c>
      <c r="E22" s="314">
        <f>'D) Ecrêtage'!C21</f>
        <v>242388.1994160584</v>
      </c>
      <c r="F22" s="318">
        <f>'E) Fact soc'!G27</f>
        <v>5717980.7300356915</v>
      </c>
      <c r="G22" s="315">
        <f>'H) Péréquation directe'!I32</f>
        <v>3821587.3619642844</v>
      </c>
      <c r="H22" s="318" t="e">
        <f>+'I) Dépenses thématiques'!O21</f>
        <v>#DIV/0!</v>
      </c>
      <c r="I22" s="315">
        <f>'K) Plafonnement aide'!J21</f>
        <v>0</v>
      </c>
      <c r="J22" s="318">
        <f>'J) Plafonnement effort'!J21</f>
        <v>0</v>
      </c>
      <c r="K22" s="315">
        <f>'L) Plafonnement taux'!Q22</f>
        <v>0</v>
      </c>
      <c r="L22" s="313" t="e">
        <f t="shared" si="0"/>
        <v>#DIV/0!</v>
      </c>
      <c r="M22" s="234">
        <f>'M) Police'!O22</f>
        <v>573226.98738194385</v>
      </c>
      <c r="N22" s="234" t="e">
        <f t="shared" si="1"/>
        <v>#DIV/0!</v>
      </c>
      <c r="P22" s="320"/>
    </row>
    <row r="23" spans="1:16" s="154" customFormat="1" x14ac:dyDescent="0.25">
      <c r="A23" s="151">
        <f>'B) D RI'!A24</f>
        <v>5423</v>
      </c>
      <c r="B23" s="152" t="str">
        <f>'B) D RI'!B24</f>
        <v>Ballens</v>
      </c>
      <c r="C23" s="316">
        <f>'B) D RI'!S24</f>
        <v>73</v>
      </c>
      <c r="D23" s="153">
        <f>'B) D RI'!AA24</f>
        <v>562</v>
      </c>
      <c r="E23" s="314">
        <f>'D) Ecrêtage'!C22</f>
        <v>17114.745479452053</v>
      </c>
      <c r="F23" s="318">
        <f>'E) Fact soc'!G28</f>
        <v>270343.81777111045</v>
      </c>
      <c r="G23" s="315">
        <f>'H) Péréquation directe'!I33</f>
        <v>53461.777468458691</v>
      </c>
      <c r="H23" s="318" t="e">
        <f>+'I) Dépenses thématiques'!O22</f>
        <v>#DIV/0!</v>
      </c>
      <c r="I23" s="315">
        <f>'K) Plafonnement aide'!J22</f>
        <v>0</v>
      </c>
      <c r="J23" s="318">
        <f>'J) Plafonnement effort'!J22</f>
        <v>0</v>
      </c>
      <c r="K23" s="315">
        <f>'L) Plafonnement taux'!Q23</f>
        <v>0</v>
      </c>
      <c r="L23" s="313" t="e">
        <f t="shared" si="0"/>
        <v>#DIV/0!</v>
      </c>
      <c r="M23" s="234">
        <f>'M) Police'!O23</f>
        <v>51993.196958466448</v>
      </c>
      <c r="N23" s="234" t="e">
        <f t="shared" si="1"/>
        <v>#DIV/0!</v>
      </c>
      <c r="P23" s="320"/>
    </row>
    <row r="24" spans="1:16" s="154" customFormat="1" x14ac:dyDescent="0.25">
      <c r="A24" s="151">
        <f>'B) D RI'!A25</f>
        <v>5424</v>
      </c>
      <c r="B24" s="152" t="str">
        <f>'B) D RI'!B25</f>
        <v>Berolle</v>
      </c>
      <c r="C24" s="316">
        <f>'B) D RI'!S25</f>
        <v>75.5</v>
      </c>
      <c r="D24" s="153">
        <f>'B) D RI'!AA25</f>
        <v>313</v>
      </c>
      <c r="E24" s="314">
        <f>'D) Ecrêtage'!C23</f>
        <v>9114.9769536423846</v>
      </c>
      <c r="F24" s="318">
        <f>'E) Fact soc'!G29</f>
        <v>145272.345489314</v>
      </c>
      <c r="G24" s="315">
        <f>'H) Péréquation directe'!I34</f>
        <v>3793.3696000855416</v>
      </c>
      <c r="H24" s="318" t="e">
        <f>+'I) Dépenses thématiques'!O23</f>
        <v>#DIV/0!</v>
      </c>
      <c r="I24" s="315">
        <f>'K) Plafonnement aide'!J23</f>
        <v>0</v>
      </c>
      <c r="J24" s="318">
        <f>'J) Plafonnement effort'!J23</f>
        <v>0</v>
      </c>
      <c r="K24" s="315">
        <f>'L) Plafonnement taux'!Q24</f>
        <v>0</v>
      </c>
      <c r="L24" s="313" t="e">
        <f t="shared" si="0"/>
        <v>#DIV/0!</v>
      </c>
      <c r="M24" s="234">
        <f>'M) Police'!O24</f>
        <v>27579.619680270127</v>
      </c>
      <c r="N24" s="234" t="e">
        <f t="shared" si="1"/>
        <v>#DIV/0!</v>
      </c>
      <c r="P24" s="320"/>
    </row>
    <row r="25" spans="1:16" s="154" customFormat="1" x14ac:dyDescent="0.25">
      <c r="A25" s="151">
        <f>'B) D RI'!A26</f>
        <v>5425</v>
      </c>
      <c r="B25" s="152" t="str">
        <f>'B) D RI'!B26</f>
        <v>Bière</v>
      </c>
      <c r="C25" s="316">
        <f>'B) D RI'!S26</f>
        <v>69</v>
      </c>
      <c r="D25" s="153">
        <f>'B) D RI'!AA26</f>
        <v>1627</v>
      </c>
      <c r="E25" s="314">
        <f>'D) Ecrêtage'!C24</f>
        <v>40211.969135432286</v>
      </c>
      <c r="F25" s="318">
        <f>'E) Fact soc'!G30</f>
        <v>687602.02242873865</v>
      </c>
      <c r="G25" s="315">
        <f>'H) Péréquation directe'!I35</f>
        <v>-281099.30240410077</v>
      </c>
      <c r="H25" s="318" t="e">
        <f>+'I) Dépenses thématiques'!O24</f>
        <v>#DIV/0!</v>
      </c>
      <c r="I25" s="315">
        <f>'K) Plafonnement aide'!J24</f>
        <v>0</v>
      </c>
      <c r="J25" s="318">
        <f>'J) Plafonnement effort'!J24</f>
        <v>0</v>
      </c>
      <c r="K25" s="315">
        <f>'L) Plafonnement taux'!Q25</f>
        <v>0</v>
      </c>
      <c r="L25" s="313" t="e">
        <f t="shared" si="0"/>
        <v>#DIV/0!</v>
      </c>
      <c r="M25" s="234">
        <f>'M) Police'!O25</f>
        <v>121981.64904827886</v>
      </c>
      <c r="N25" s="234" t="e">
        <f t="shared" si="1"/>
        <v>#DIV/0!</v>
      </c>
      <c r="P25" s="320"/>
    </row>
    <row r="26" spans="1:16" s="154" customFormat="1" x14ac:dyDescent="0.25">
      <c r="A26" s="151">
        <f>'B) D RI'!A27</f>
        <v>5426</v>
      </c>
      <c r="B26" s="152" t="str">
        <f>'B) D RI'!B27</f>
        <v>Bougy-Villars</v>
      </c>
      <c r="C26" s="316">
        <f>'B) D RI'!S27</f>
        <v>64.5</v>
      </c>
      <c r="D26" s="153">
        <f>'B) D RI'!AA27</f>
        <v>477</v>
      </c>
      <c r="E26" s="314">
        <f>'D) Ecrêtage'!C25</f>
        <v>55640.611447028423</v>
      </c>
      <c r="F26" s="318">
        <f>'E) Fact soc'!G31</f>
        <v>1698442.8946510679</v>
      </c>
      <c r="G26" s="315">
        <f>'H) Péréquation directe'!I36</f>
        <v>1033400.8458613439</v>
      </c>
      <c r="H26" s="318" t="e">
        <f>+'I) Dépenses thématiques'!O25</f>
        <v>#DIV/0!</v>
      </c>
      <c r="I26" s="315">
        <f>'K) Plafonnement aide'!J25</f>
        <v>0</v>
      </c>
      <c r="J26" s="318">
        <f>'J) Plafonnement effort'!J25</f>
        <v>0</v>
      </c>
      <c r="K26" s="315">
        <f>'L) Plafonnement taux'!Q26</f>
        <v>0</v>
      </c>
      <c r="L26" s="313" t="e">
        <f t="shared" si="0"/>
        <v>#DIV/0!</v>
      </c>
      <c r="M26" s="234">
        <f>'M) Police'!O26</f>
        <v>107816.89030359816</v>
      </c>
      <c r="N26" s="234" t="e">
        <f t="shared" si="1"/>
        <v>#DIV/0!</v>
      </c>
      <c r="P26" s="320"/>
    </row>
    <row r="27" spans="1:16" s="154" customFormat="1" x14ac:dyDescent="0.25">
      <c r="A27" s="151">
        <f>'B) D RI'!A28</f>
        <v>5427</v>
      </c>
      <c r="B27" s="152" t="str">
        <f>'B) D RI'!B28</f>
        <v>Féchy</v>
      </c>
      <c r="C27" s="316">
        <f>'B) D RI'!S28</f>
        <v>64</v>
      </c>
      <c r="D27" s="153">
        <f>'B) D RI'!AA28</f>
        <v>869</v>
      </c>
      <c r="E27" s="314">
        <f>'D) Ecrêtage'!C26</f>
        <v>77020.423605769232</v>
      </c>
      <c r="F27" s="318">
        <f>'E) Fact soc'!G32</f>
        <v>1856873.0949208187</v>
      </c>
      <c r="G27" s="315">
        <f>'H) Péréquation directe'!I37</f>
        <v>1404604.1777207735</v>
      </c>
      <c r="H27" s="318" t="e">
        <f>+'I) Dépenses thématiques'!O26</f>
        <v>#DIV/0!</v>
      </c>
      <c r="I27" s="315">
        <f>'K) Plafonnement aide'!J26</f>
        <v>0</v>
      </c>
      <c r="J27" s="318">
        <f>'J) Plafonnement effort'!J26</f>
        <v>0</v>
      </c>
      <c r="K27" s="315">
        <f>'L) Plafonnement taux'!Q27</f>
        <v>0</v>
      </c>
      <c r="L27" s="313" t="e">
        <f t="shared" si="0"/>
        <v>#DIV/0!</v>
      </c>
      <c r="M27" s="234">
        <f>'M) Police'!O27</f>
        <v>167826.61539824883</v>
      </c>
      <c r="N27" s="234" t="e">
        <f t="shared" si="1"/>
        <v>#DIV/0!</v>
      </c>
      <c r="P27" s="320"/>
    </row>
    <row r="28" spans="1:16" s="154" customFormat="1" x14ac:dyDescent="0.25">
      <c r="A28" s="151">
        <f>'B) D RI'!A29</f>
        <v>5428</v>
      </c>
      <c r="B28" s="152" t="str">
        <f>'B) D RI'!B29</f>
        <v>Gimel</v>
      </c>
      <c r="C28" s="316">
        <f>'B) D RI'!S29</f>
        <v>74.5</v>
      </c>
      <c r="D28" s="153">
        <f>'B) D RI'!AA29</f>
        <v>2307</v>
      </c>
      <c r="E28" s="314">
        <f>'D) Ecrêtage'!C27</f>
        <v>70193.222975391502</v>
      </c>
      <c r="F28" s="318">
        <f>'E) Fact soc'!G33</f>
        <v>1442356.6321592568</v>
      </c>
      <c r="G28" s="315">
        <f>'H) Péréquation directe'!I38</f>
        <v>-111154.93740664283</v>
      </c>
      <c r="H28" s="318" t="e">
        <f>+'I) Dépenses thématiques'!O27</f>
        <v>#DIV/0!</v>
      </c>
      <c r="I28" s="315">
        <f>'K) Plafonnement aide'!J27</f>
        <v>0</v>
      </c>
      <c r="J28" s="318">
        <f>'J) Plafonnement effort'!J27</f>
        <v>0</v>
      </c>
      <c r="K28" s="315">
        <f>'L) Plafonnement taux'!Q28</f>
        <v>0</v>
      </c>
      <c r="L28" s="313" t="e">
        <f t="shared" si="0"/>
        <v>#DIV/0!</v>
      </c>
      <c r="M28" s="234">
        <f>'M) Police'!O28</f>
        <v>212172.12332438689</v>
      </c>
      <c r="N28" s="234" t="e">
        <f t="shared" si="1"/>
        <v>#DIV/0!</v>
      </c>
      <c r="P28" s="320"/>
    </row>
    <row r="29" spans="1:16" s="154" customFormat="1" x14ac:dyDescent="0.25">
      <c r="A29" s="151">
        <f>'B) D RI'!A30</f>
        <v>5429</v>
      </c>
      <c r="B29" s="152" t="str">
        <f>'B) D RI'!B30</f>
        <v>Longirod</v>
      </c>
      <c r="C29" s="316">
        <f>'B) D RI'!S30</f>
        <v>77.5</v>
      </c>
      <c r="D29" s="153">
        <f>'B) D RI'!AA30</f>
        <v>494</v>
      </c>
      <c r="E29" s="314">
        <f>'D) Ecrêtage'!C28</f>
        <v>16140.77393548387</v>
      </c>
      <c r="F29" s="318">
        <f>'E) Fact soc'!G34</f>
        <v>265044.03370330657</v>
      </c>
      <c r="G29" s="315">
        <f>'H) Péréquation directe'!I39</f>
        <v>71177.085929429799</v>
      </c>
      <c r="H29" s="318" t="e">
        <f>+'I) Dépenses thématiques'!O28</f>
        <v>#DIV/0!</v>
      </c>
      <c r="I29" s="315">
        <f>'K) Plafonnement aide'!J28</f>
        <v>0</v>
      </c>
      <c r="J29" s="318">
        <f>'J) Plafonnement effort'!J28</f>
        <v>0</v>
      </c>
      <c r="K29" s="315">
        <f>'L) Plafonnement taux'!Q29</f>
        <v>0</v>
      </c>
      <c r="L29" s="313" t="e">
        <f t="shared" si="0"/>
        <v>#DIV/0!</v>
      </c>
      <c r="M29" s="234">
        <f>'M) Police'!O29</f>
        <v>48512.025639469983</v>
      </c>
      <c r="N29" s="234" t="e">
        <f t="shared" si="1"/>
        <v>#DIV/0!</v>
      </c>
      <c r="P29" s="320"/>
    </row>
    <row r="30" spans="1:16" s="154" customFormat="1" x14ac:dyDescent="0.25">
      <c r="A30" s="151">
        <f>'B) D RI'!A31</f>
        <v>5430</v>
      </c>
      <c r="B30" s="152" t="str">
        <f>'B) D RI'!B31</f>
        <v>Marchissy</v>
      </c>
      <c r="C30" s="316">
        <f>'B) D RI'!S31</f>
        <v>77.5</v>
      </c>
      <c r="D30" s="153">
        <f>'B) D RI'!AA31</f>
        <v>481</v>
      </c>
      <c r="E30" s="314">
        <f>'D) Ecrêtage'!C29</f>
        <v>14848.450709677421</v>
      </c>
      <c r="F30" s="318">
        <f>'E) Fact soc'!G35</f>
        <v>244836.25794171251</v>
      </c>
      <c r="G30" s="315">
        <f>'H) Péréquation directe'!I40</f>
        <v>31362.595201253396</v>
      </c>
      <c r="H30" s="318" t="e">
        <f>+'I) Dépenses thématiques'!O29</f>
        <v>#DIV/0!</v>
      </c>
      <c r="I30" s="315">
        <f>'K) Plafonnement aide'!J29</f>
        <v>0</v>
      </c>
      <c r="J30" s="318">
        <f>'J) Plafonnement effort'!J29</f>
        <v>0</v>
      </c>
      <c r="K30" s="315">
        <f>'L) Plafonnement taux'!Q30</f>
        <v>0</v>
      </c>
      <c r="L30" s="313" t="e">
        <f t="shared" si="0"/>
        <v>#DIV/0!</v>
      </c>
      <c r="M30" s="234">
        <f>'M) Police'!O30</f>
        <v>44687.270802107669</v>
      </c>
      <c r="N30" s="234" t="e">
        <f t="shared" si="1"/>
        <v>#DIV/0!</v>
      </c>
      <c r="P30" s="320"/>
    </row>
    <row r="31" spans="1:16" s="154" customFormat="1" x14ac:dyDescent="0.25">
      <c r="A31" s="151">
        <f>'B) D RI'!A32</f>
        <v>5431</v>
      </c>
      <c r="B31" s="152" t="str">
        <f>'B) D RI'!B32</f>
        <v>Mollens</v>
      </c>
      <c r="C31" s="316">
        <f>'B) D RI'!S32</f>
        <v>74</v>
      </c>
      <c r="D31" s="153">
        <f>'B) D RI'!AA32</f>
        <v>330</v>
      </c>
      <c r="E31" s="314">
        <f>'D) Ecrêtage'!C30</f>
        <v>9333.4747297297308</v>
      </c>
      <c r="F31" s="318">
        <f>'E) Fact soc'!G36</f>
        <v>212925.7473380763</v>
      </c>
      <c r="G31" s="315">
        <f>'H) Péréquation directe'!I41</f>
        <v>-1850.8159022926993</v>
      </c>
      <c r="H31" s="318" t="e">
        <f>+'I) Dépenses thématiques'!O30</f>
        <v>#DIV/0!</v>
      </c>
      <c r="I31" s="315">
        <f>'K) Plafonnement aide'!J30</f>
        <v>0</v>
      </c>
      <c r="J31" s="318">
        <f>'J) Plafonnement effort'!J30</f>
        <v>0</v>
      </c>
      <c r="K31" s="315">
        <f>'L) Plafonnement taux'!Q31</f>
        <v>0</v>
      </c>
      <c r="L31" s="313" t="e">
        <f t="shared" si="0"/>
        <v>#DIV/0!</v>
      </c>
      <c r="M31" s="234">
        <f>'M) Police'!O31</f>
        <v>28220.574995340732</v>
      </c>
      <c r="N31" s="234" t="e">
        <f t="shared" si="1"/>
        <v>#DIV/0!</v>
      </c>
      <c r="P31" s="320"/>
    </row>
    <row r="32" spans="1:16" s="154" customFormat="1" x14ac:dyDescent="0.25">
      <c r="A32" s="151">
        <f>'B) D RI'!A33</f>
        <v>5432</v>
      </c>
      <c r="B32" s="152" t="str">
        <f>'B) D RI'!B33</f>
        <v>Montherod</v>
      </c>
      <c r="C32" s="316">
        <f>'B) D RI'!S33</f>
        <v>75</v>
      </c>
      <c r="D32" s="153">
        <f>'B) D RI'!AA33</f>
        <v>523</v>
      </c>
      <c r="E32" s="314">
        <f>'D) Ecrêtage'!C31</f>
        <v>16429.509999999998</v>
      </c>
      <c r="F32" s="318">
        <f>'E) Fact soc'!G37</f>
        <v>282543.82717230561</v>
      </c>
      <c r="G32" s="315">
        <f>'H) Péréquation directe'!I42</f>
        <v>59950.982977475622</v>
      </c>
      <c r="H32" s="318" t="e">
        <f>+'I) Dépenses thématiques'!O31</f>
        <v>#DIV/0!</v>
      </c>
      <c r="I32" s="315">
        <f>'K) Plafonnement aide'!J31</f>
        <v>0</v>
      </c>
      <c r="J32" s="318">
        <f>'J) Plafonnement effort'!J31</f>
        <v>0</v>
      </c>
      <c r="K32" s="315">
        <f>'L) Plafonnement taux'!Q32</f>
        <v>0</v>
      </c>
      <c r="L32" s="313" t="e">
        <f t="shared" si="0"/>
        <v>#DIV/0!</v>
      </c>
      <c r="M32" s="234">
        <f>'M) Police'!O32</f>
        <v>49468.449851182697</v>
      </c>
      <c r="N32" s="234" t="e">
        <f t="shared" si="1"/>
        <v>#DIV/0!</v>
      </c>
      <c r="P32" s="320"/>
    </row>
    <row r="33" spans="1:16" s="154" customFormat="1" x14ac:dyDescent="0.25">
      <c r="A33" s="151">
        <f>'B) D RI'!A34</f>
        <v>5434</v>
      </c>
      <c r="B33" s="152" t="str">
        <f>'B) D RI'!B34</f>
        <v>Saint-George</v>
      </c>
      <c r="C33" s="316">
        <f>'B) D RI'!S34</f>
        <v>69.5</v>
      </c>
      <c r="D33" s="153">
        <f>'B) D RI'!AA34</f>
        <v>1074</v>
      </c>
      <c r="E33" s="314">
        <f>'D) Ecrêtage'!C32</f>
        <v>41434.234652278174</v>
      </c>
      <c r="F33" s="318">
        <f>'E) Fact soc'!G38</f>
        <v>675586.80455983279</v>
      </c>
      <c r="G33" s="315">
        <f>'H) Péréquation directe'!I43</f>
        <v>464232.1342861249</v>
      </c>
      <c r="H33" s="318" t="e">
        <f>+'I) Dépenses thématiques'!O32</f>
        <v>#DIV/0!</v>
      </c>
      <c r="I33" s="315">
        <f>'K) Plafonnement aide'!J32</f>
        <v>0</v>
      </c>
      <c r="J33" s="318">
        <f>'J) Plafonnement effort'!J32</f>
        <v>0</v>
      </c>
      <c r="K33" s="315">
        <f>'L) Plafonnement taux'!Q33</f>
        <v>0</v>
      </c>
      <c r="L33" s="313" t="e">
        <f t="shared" si="0"/>
        <v>#DIV/0!</v>
      </c>
      <c r="M33" s="234">
        <f>'M) Police'!O33</f>
        <v>124700.99415786809</v>
      </c>
      <c r="N33" s="234" t="e">
        <f t="shared" si="1"/>
        <v>#DIV/0!</v>
      </c>
      <c r="P33" s="320"/>
    </row>
    <row r="34" spans="1:16" s="154" customFormat="1" x14ac:dyDescent="0.25">
      <c r="A34" s="151">
        <f>'B) D RI'!A35</f>
        <v>5435</v>
      </c>
      <c r="B34" s="152" t="str">
        <f>'B) D RI'!B35</f>
        <v>Saint-Livres</v>
      </c>
      <c r="C34" s="316">
        <f>'B) D RI'!S35</f>
        <v>69</v>
      </c>
      <c r="D34" s="153">
        <f>'B) D RI'!AA35</f>
        <v>683</v>
      </c>
      <c r="E34" s="314">
        <f>'D) Ecrêtage'!C33</f>
        <v>26346.510144927532</v>
      </c>
      <c r="F34" s="318">
        <f>'E) Fact soc'!G39</f>
        <v>426143.20401414554</v>
      </c>
      <c r="G34" s="315">
        <f>'H) Péréquation directe'!I44</f>
        <v>307423.93641602993</v>
      </c>
      <c r="H34" s="318" t="e">
        <f>+'I) Dépenses thématiques'!O33</f>
        <v>#DIV/0!</v>
      </c>
      <c r="I34" s="315">
        <f>'K) Plafonnement aide'!J33</f>
        <v>0</v>
      </c>
      <c r="J34" s="318">
        <f>'J) Plafonnement effort'!J33</f>
        <v>0</v>
      </c>
      <c r="K34" s="315">
        <f>'L) Plafonnement taux'!Q34</f>
        <v>0</v>
      </c>
      <c r="L34" s="313" t="e">
        <f t="shared" si="0"/>
        <v>#DIV/0!</v>
      </c>
      <c r="M34" s="234">
        <f>'M) Police'!O34</f>
        <v>79989.015462876065</v>
      </c>
      <c r="N34" s="234" t="e">
        <f t="shared" si="1"/>
        <v>#DIV/0!</v>
      </c>
      <c r="P34" s="320"/>
    </row>
    <row r="35" spans="1:16" s="154" customFormat="1" x14ac:dyDescent="0.25">
      <c r="A35" s="151">
        <f>'B) D RI'!A36</f>
        <v>5436</v>
      </c>
      <c r="B35" s="152" t="str">
        <f>'B) D RI'!B36</f>
        <v>Saint-Oyens</v>
      </c>
      <c r="C35" s="316">
        <f>'B) D RI'!S36</f>
        <v>81</v>
      </c>
      <c r="D35" s="153">
        <f>'B) D RI'!AA36</f>
        <v>461</v>
      </c>
      <c r="E35" s="314">
        <f>'D) Ecrêtage'!C34</f>
        <v>16764.305154320984</v>
      </c>
      <c r="F35" s="318">
        <f>'E) Fact soc'!G40</f>
        <v>257709.02624129297</v>
      </c>
      <c r="G35" s="315">
        <f>'H) Péréquation directe'!I45</f>
        <v>128730.32547582465</v>
      </c>
      <c r="H35" s="318" t="e">
        <f>+'I) Dépenses thématiques'!O34</f>
        <v>#DIV/0!</v>
      </c>
      <c r="I35" s="315">
        <f>'K) Plafonnement aide'!J34</f>
        <v>0</v>
      </c>
      <c r="J35" s="318">
        <f>'J) Plafonnement effort'!J34</f>
        <v>0</v>
      </c>
      <c r="K35" s="315">
        <f>'L) Plafonnement taux'!Q35</f>
        <v>0</v>
      </c>
      <c r="L35" s="313" t="e">
        <f t="shared" si="0"/>
        <v>#DIV/0!</v>
      </c>
      <c r="M35" s="234">
        <f>'M) Police'!O35</f>
        <v>51061.840740582098</v>
      </c>
      <c r="N35" s="234" t="e">
        <f t="shared" si="1"/>
        <v>#DIV/0!</v>
      </c>
      <c r="P35" s="320"/>
    </row>
    <row r="36" spans="1:16" s="154" customFormat="1" x14ac:dyDescent="0.25">
      <c r="A36" s="151">
        <f>'B) D RI'!A37</f>
        <v>5437</v>
      </c>
      <c r="B36" s="152" t="str">
        <f>'B) D RI'!B37</f>
        <v>Saubraz</v>
      </c>
      <c r="C36" s="316">
        <f>'B) D RI'!S37</f>
        <v>80</v>
      </c>
      <c r="D36" s="153">
        <f>'B) D RI'!AA37</f>
        <v>423</v>
      </c>
      <c r="E36" s="314">
        <f>'D) Ecrêtage'!C35</f>
        <v>13391.905875</v>
      </c>
      <c r="F36" s="318">
        <f>'E) Fact soc'!G41</f>
        <v>234953.21159143717</v>
      </c>
      <c r="G36" s="315">
        <f>'H) Péréquation directe'!I46</f>
        <v>31148.929884758021</v>
      </c>
      <c r="H36" s="318" t="e">
        <f>+'I) Dépenses thématiques'!O35</f>
        <v>#DIV/0!</v>
      </c>
      <c r="I36" s="315">
        <f>'K) Plafonnement aide'!J35</f>
        <v>0</v>
      </c>
      <c r="J36" s="318">
        <f>'J) Plafonnement effort'!J35</f>
        <v>0</v>
      </c>
      <c r="K36" s="315">
        <f>'L) Plafonnement taux'!Q36</f>
        <v>0</v>
      </c>
      <c r="L36" s="313" t="e">
        <f t="shared" si="0"/>
        <v>#DIV/0!</v>
      </c>
      <c r="M36" s="234">
        <f>'M) Police'!O36</f>
        <v>40768.869921477788</v>
      </c>
      <c r="N36" s="234" t="e">
        <f t="shared" si="1"/>
        <v>#DIV/0!</v>
      </c>
      <c r="P36" s="320"/>
    </row>
    <row r="37" spans="1:16" s="154" customFormat="1" x14ac:dyDescent="0.25">
      <c r="A37" s="151">
        <f>'B) D RI'!A38</f>
        <v>5451</v>
      </c>
      <c r="B37" s="152" t="str">
        <f>'B) D RI'!B38</f>
        <v>Avenches</v>
      </c>
      <c r="C37" s="316">
        <f>'B) D RI'!S38</f>
        <v>66.5</v>
      </c>
      <c r="D37" s="153">
        <f>'B) D RI'!AA38</f>
        <v>4482</v>
      </c>
      <c r="E37" s="314">
        <f>'D) Ecrêtage'!C36</f>
        <v>129500.81187969925</v>
      </c>
      <c r="F37" s="318">
        <f>'E) Fact soc'!G42</f>
        <v>2224506.3189744605</v>
      </c>
      <c r="G37" s="315">
        <f>'H) Péréquation directe'!I47</f>
        <v>-543672.202958229</v>
      </c>
      <c r="H37" s="318" t="e">
        <f>+'I) Dépenses thématiques'!O36</f>
        <v>#DIV/0!</v>
      </c>
      <c r="I37" s="315">
        <f>'K) Plafonnement aide'!J36</f>
        <v>0</v>
      </c>
      <c r="J37" s="318">
        <f>'J) Plafonnement effort'!J36</f>
        <v>0</v>
      </c>
      <c r="K37" s="315">
        <f>'L) Plafonnement taux'!Q37</f>
        <v>0</v>
      </c>
      <c r="L37" s="313" t="e">
        <f t="shared" si="0"/>
        <v>#DIV/0!</v>
      </c>
      <c r="M37" s="234">
        <f>'M) Police'!O37</f>
        <v>376559.55336996191</v>
      </c>
      <c r="N37" s="234" t="e">
        <f t="shared" si="1"/>
        <v>#DIV/0!</v>
      </c>
      <c r="P37" s="320"/>
    </row>
    <row r="38" spans="1:16" s="154" customFormat="1" x14ac:dyDescent="0.25">
      <c r="A38" s="151">
        <f>'B) D RI'!A39</f>
        <v>5456</v>
      </c>
      <c r="B38" s="152" t="str">
        <f>'B) D RI'!B39</f>
        <v>Cudrefin</v>
      </c>
      <c r="C38" s="316">
        <f>'B) D RI'!S39</f>
        <v>59</v>
      </c>
      <c r="D38" s="153">
        <f>'B) D RI'!AA39</f>
        <v>1780</v>
      </c>
      <c r="E38" s="314">
        <f>'D) Ecrêtage'!C37</f>
        <v>64226.933276836171</v>
      </c>
      <c r="F38" s="318">
        <f>'E) Fact soc'!G43</f>
        <v>1051511.4779259013</v>
      </c>
      <c r="G38" s="315">
        <f>'H) Péréquation directe'!I48</f>
        <v>565786.53053312411</v>
      </c>
      <c r="H38" s="318" t="e">
        <f>+'I) Dépenses thématiques'!O37</f>
        <v>#DIV/0!</v>
      </c>
      <c r="I38" s="315">
        <f>'K) Plafonnement aide'!J37</f>
        <v>0</v>
      </c>
      <c r="J38" s="318">
        <f>'J) Plafonnement effort'!J37</f>
        <v>0</v>
      </c>
      <c r="K38" s="315">
        <f>'L) Plafonnement taux'!Q38</f>
        <v>0</v>
      </c>
      <c r="L38" s="313" t="e">
        <f t="shared" si="0"/>
        <v>#DIV/0!</v>
      </c>
      <c r="M38" s="234">
        <f>'M) Police'!O38</f>
        <v>192557.3106483157</v>
      </c>
      <c r="N38" s="234" t="e">
        <f t="shared" si="1"/>
        <v>#DIV/0!</v>
      </c>
      <c r="P38" s="320"/>
    </row>
    <row r="39" spans="1:16" s="154" customFormat="1" x14ac:dyDescent="0.25">
      <c r="A39" s="151">
        <f>'B) D RI'!A40</f>
        <v>5458</v>
      </c>
      <c r="B39" s="152" t="str">
        <f>'B) D RI'!B40</f>
        <v>Faoug</v>
      </c>
      <c r="C39" s="316">
        <f>'B) D RI'!S40</f>
        <v>66</v>
      </c>
      <c r="D39" s="153">
        <f>'B) D RI'!AA40</f>
        <v>881</v>
      </c>
      <c r="E39" s="314">
        <f>'D) Ecrêtage'!C38</f>
        <v>32198.404090909091</v>
      </c>
      <c r="F39" s="318">
        <f>'E) Fact soc'!G44</f>
        <v>518190.53738485323</v>
      </c>
      <c r="G39" s="315">
        <f>'H) Péréquation directe'!I49</f>
        <v>344006.98676587234</v>
      </c>
      <c r="H39" s="318" t="e">
        <f>+'I) Dépenses thématiques'!O38</f>
        <v>#DIV/0!</v>
      </c>
      <c r="I39" s="315">
        <f>'K) Plafonnement aide'!J38</f>
        <v>0</v>
      </c>
      <c r="J39" s="318">
        <f>'J) Plafonnement effort'!J38</f>
        <v>0</v>
      </c>
      <c r="K39" s="315">
        <f>'L) Plafonnement taux'!Q39</f>
        <v>0</v>
      </c>
      <c r="L39" s="313" t="e">
        <f t="shared" si="0"/>
        <v>#DIV/0!</v>
      </c>
      <c r="M39" s="234">
        <f>'M) Police'!O39</f>
        <v>95356.160949836893</v>
      </c>
      <c r="N39" s="234" t="e">
        <f t="shared" si="1"/>
        <v>#DIV/0!</v>
      </c>
      <c r="P39" s="320"/>
    </row>
    <row r="40" spans="1:16" s="154" customFormat="1" x14ac:dyDescent="0.25">
      <c r="A40" s="151">
        <f>'B) D RI'!A41</f>
        <v>5464</v>
      </c>
      <c r="B40" s="152" t="str">
        <f>'B) D RI'!B41</f>
        <v>Vully-les-Lacs</v>
      </c>
      <c r="C40" s="316">
        <f>'B) D RI'!S41</f>
        <v>67</v>
      </c>
      <c r="D40" s="153">
        <f>'B) D RI'!AA41</f>
        <v>3360</v>
      </c>
      <c r="E40" s="314">
        <f>'D) Ecrêtage'!C39</f>
        <v>111597.31895522389</v>
      </c>
      <c r="F40" s="318">
        <f>'E) Fact soc'!G45</f>
        <v>1742172.7072839658</v>
      </c>
      <c r="G40" s="315">
        <f>'H) Péréquation directe'!I50</f>
        <v>289127.41868631635</v>
      </c>
      <c r="H40" s="318" t="e">
        <f>+'I) Dépenses thématiques'!O39</f>
        <v>#DIV/0!</v>
      </c>
      <c r="I40" s="315">
        <f>'K) Plafonnement aide'!J39</f>
        <v>0</v>
      </c>
      <c r="J40" s="318">
        <f>'J) Plafonnement effort'!J39</f>
        <v>0</v>
      </c>
      <c r="K40" s="315">
        <f>'L) Plafonnement taux'!Q40</f>
        <v>0</v>
      </c>
      <c r="L40" s="313" t="e">
        <f t="shared" si="0"/>
        <v>#DIV/0!</v>
      </c>
      <c r="M40" s="234">
        <f>'M) Police'!O40</f>
        <v>333446.40707050113</v>
      </c>
      <c r="N40" s="234" t="e">
        <f t="shared" si="1"/>
        <v>#DIV/0!</v>
      </c>
      <c r="P40" s="320"/>
    </row>
    <row r="41" spans="1:16" s="154" customFormat="1" x14ac:dyDescent="0.25">
      <c r="A41" s="151">
        <f>'B) D RI'!A42</f>
        <v>5471</v>
      </c>
      <c r="B41" s="152" t="str">
        <f>'B) D RI'!B42</f>
        <v>Bettens</v>
      </c>
      <c r="C41" s="316">
        <f>'B) D RI'!S42</f>
        <v>70</v>
      </c>
      <c r="D41" s="153">
        <f>'B) D RI'!AA42</f>
        <v>636</v>
      </c>
      <c r="E41" s="314">
        <f>'D) Ecrêtage'!C40</f>
        <v>20385.282730158731</v>
      </c>
      <c r="F41" s="318">
        <f>'E) Fact soc'!G46</f>
        <v>311072.85045891179</v>
      </c>
      <c r="G41" s="315">
        <f>'H) Péréquation directe'!I51</f>
        <v>119861.00393884879</v>
      </c>
      <c r="H41" s="318" t="e">
        <f>+'I) Dépenses thématiques'!O40</f>
        <v>#DIV/0!</v>
      </c>
      <c r="I41" s="315">
        <f>'K) Plafonnement aide'!J40</f>
        <v>0</v>
      </c>
      <c r="J41" s="318">
        <f>'J) Plafonnement effort'!J40</f>
        <v>0</v>
      </c>
      <c r="K41" s="315">
        <f>'L) Plafonnement taux'!Q41</f>
        <v>0</v>
      </c>
      <c r="L41" s="313" t="e">
        <f t="shared" si="0"/>
        <v>#DIV/0!</v>
      </c>
      <c r="M41" s="234">
        <f>'M) Police'!O41</f>
        <v>60834.288012734352</v>
      </c>
      <c r="N41" s="234" t="e">
        <f t="shared" si="1"/>
        <v>#DIV/0!</v>
      </c>
      <c r="P41" s="320"/>
    </row>
    <row r="42" spans="1:16" s="154" customFormat="1" x14ac:dyDescent="0.25">
      <c r="A42" s="151">
        <f>'B) D RI'!A43</f>
        <v>5472</v>
      </c>
      <c r="B42" s="152" t="str">
        <f>'B) D RI'!B43</f>
        <v>Bournens</v>
      </c>
      <c r="C42" s="316">
        <f>'B) D RI'!S43</f>
        <v>72</v>
      </c>
      <c r="D42" s="153">
        <f>'B) D RI'!AA43</f>
        <v>490</v>
      </c>
      <c r="E42" s="314">
        <f>'D) Ecrêtage'!C41</f>
        <v>20143.161388888886</v>
      </c>
      <c r="F42" s="318">
        <f>'E) Fact soc'!G47</f>
        <v>359688.10953968653</v>
      </c>
      <c r="G42" s="315">
        <f>'H) Péréquation directe'!I52</f>
        <v>262773.06563552818</v>
      </c>
      <c r="H42" s="318" t="e">
        <f>+'I) Dépenses thématiques'!O41</f>
        <v>#DIV/0!</v>
      </c>
      <c r="I42" s="315">
        <f>'K) Plafonnement aide'!J41</f>
        <v>0</v>
      </c>
      <c r="J42" s="318">
        <f>'J) Plafonnement effort'!J41</f>
        <v>0</v>
      </c>
      <c r="K42" s="315">
        <f>'L) Plafonnement taux'!Q42</f>
        <v>0</v>
      </c>
      <c r="L42" s="313" t="e">
        <f t="shared" si="0"/>
        <v>#DIV/0!</v>
      </c>
      <c r="M42" s="234">
        <f>'M) Police'!O42</f>
        <v>61370.38012461162</v>
      </c>
      <c r="N42" s="234" t="e">
        <f t="shared" si="1"/>
        <v>#DIV/0!</v>
      </c>
      <c r="P42" s="320"/>
    </row>
    <row r="43" spans="1:16" s="154" customFormat="1" x14ac:dyDescent="0.25">
      <c r="A43" s="151">
        <f>'B) D RI'!A44</f>
        <v>5473</v>
      </c>
      <c r="B43" s="152" t="str">
        <f>'B) D RI'!B44</f>
        <v>Boussens</v>
      </c>
      <c r="C43" s="316">
        <f>'B) D RI'!S44</f>
        <v>67.5</v>
      </c>
      <c r="D43" s="153">
        <f>'B) D RI'!AA44</f>
        <v>999</v>
      </c>
      <c r="E43" s="314">
        <f>'D) Ecrêtage'!C42</f>
        <v>37775.140592592586</v>
      </c>
      <c r="F43" s="318">
        <f>'E) Fact soc'!G48</f>
        <v>559570.44218423765</v>
      </c>
      <c r="G43" s="315">
        <f>'H) Péréquation directe'!I53</f>
        <v>428682.26579286077</v>
      </c>
      <c r="H43" s="318" t="e">
        <f>+'I) Dépenses thématiques'!O42</f>
        <v>#DIV/0!</v>
      </c>
      <c r="I43" s="315">
        <f>'K) Plafonnement aide'!J42</f>
        <v>0</v>
      </c>
      <c r="J43" s="318">
        <f>'J) Plafonnement effort'!J42</f>
        <v>0</v>
      </c>
      <c r="K43" s="315">
        <f>'L) Plafonnement taux'!Q43</f>
        <v>0</v>
      </c>
      <c r="L43" s="313" t="e">
        <f t="shared" si="0"/>
        <v>#DIV/0!</v>
      </c>
      <c r="M43" s="234">
        <f>'M) Police'!O43</f>
        <v>114213.56643311217</v>
      </c>
      <c r="N43" s="234" t="e">
        <f t="shared" si="1"/>
        <v>#DIV/0!</v>
      </c>
      <c r="P43" s="320"/>
    </row>
    <row r="44" spans="1:16" s="154" customFormat="1" x14ac:dyDescent="0.25">
      <c r="A44" s="151">
        <f>'B) D RI'!A45</f>
        <v>5474</v>
      </c>
      <c r="B44" s="152" t="str">
        <f>'B) D RI'!B45</f>
        <v>La Chaux (Cossonay)</v>
      </c>
      <c r="C44" s="316">
        <f>'B) D RI'!S45</f>
        <v>77</v>
      </c>
      <c r="D44" s="153">
        <f>'B) D RI'!AA45</f>
        <v>391</v>
      </c>
      <c r="E44" s="314">
        <f>'D) Ecrêtage'!C43</f>
        <v>13182.521580086577</v>
      </c>
      <c r="F44" s="318">
        <f>'E) Fact soc'!G49</f>
        <v>232616.44250233925</v>
      </c>
      <c r="G44" s="315">
        <f>'H) Péréquation directe'!I54</f>
        <v>75893.75658486216</v>
      </c>
      <c r="H44" s="318" t="e">
        <f>+'I) Dépenses thématiques'!O43</f>
        <v>#DIV/0!</v>
      </c>
      <c r="I44" s="315">
        <f>'K) Plafonnement aide'!J43</f>
        <v>0</v>
      </c>
      <c r="J44" s="318">
        <f>'J) Plafonnement effort'!J43</f>
        <v>0</v>
      </c>
      <c r="K44" s="315">
        <f>'L) Plafonnement taux'!Q44</f>
        <v>0</v>
      </c>
      <c r="L44" s="313" t="e">
        <f t="shared" si="0"/>
        <v>#DIV/0!</v>
      </c>
      <c r="M44" s="234">
        <f>'M) Police'!O44</f>
        <v>39976.571311315172</v>
      </c>
      <c r="N44" s="234" t="e">
        <f t="shared" si="1"/>
        <v>#DIV/0!</v>
      </c>
      <c r="P44" s="320"/>
    </row>
    <row r="45" spans="1:16" s="154" customFormat="1" x14ac:dyDescent="0.25">
      <c r="A45" s="151">
        <f>'B) D RI'!A46</f>
        <v>5475</v>
      </c>
      <c r="B45" s="152" t="str">
        <f>'B) D RI'!B46</f>
        <v>Chavannes-le-Veyron</v>
      </c>
      <c r="C45" s="316">
        <f>'B) D RI'!S46</f>
        <v>77</v>
      </c>
      <c r="D45" s="153">
        <f>'B) D RI'!AA46</f>
        <v>152</v>
      </c>
      <c r="E45" s="314">
        <f>'D) Ecrêtage'!C44</f>
        <v>3874.6645454545451</v>
      </c>
      <c r="F45" s="318">
        <f>'E) Fact soc'!G50</f>
        <v>64182.737046572191</v>
      </c>
      <c r="G45" s="315">
        <f>'H) Péréquation directe'!I55</f>
        <v>-24775.527648620118</v>
      </c>
      <c r="H45" s="318" t="e">
        <f>+'I) Dépenses thématiques'!O44</f>
        <v>#DIV/0!</v>
      </c>
      <c r="I45" s="315">
        <f>'K) Plafonnement aide'!J44</f>
        <v>0</v>
      </c>
      <c r="J45" s="318">
        <f>'J) Plafonnement effort'!J44</f>
        <v>0</v>
      </c>
      <c r="K45" s="315">
        <f>'L) Plafonnement taux'!Q45</f>
        <v>0</v>
      </c>
      <c r="L45" s="313" t="e">
        <f t="shared" si="0"/>
        <v>#DIV/0!</v>
      </c>
      <c r="M45" s="234">
        <f>'M) Police'!O45</f>
        <v>11708.276488570104</v>
      </c>
      <c r="N45" s="234" t="e">
        <f t="shared" si="1"/>
        <v>#DIV/0!</v>
      </c>
      <c r="P45" s="320"/>
    </row>
    <row r="46" spans="1:16" s="154" customFormat="1" x14ac:dyDescent="0.25">
      <c r="A46" s="151">
        <f>'B) D RI'!A47</f>
        <v>5476</v>
      </c>
      <c r="B46" s="152" t="str">
        <f>'B) D RI'!B47</f>
        <v>Chevilly</v>
      </c>
      <c r="C46" s="316">
        <f>'B) D RI'!S47</f>
        <v>74</v>
      </c>
      <c r="D46" s="153">
        <f>'B) D RI'!AA47</f>
        <v>317</v>
      </c>
      <c r="E46" s="314">
        <f>'D) Ecrêtage'!C45</f>
        <v>11839.396756756756</v>
      </c>
      <c r="F46" s="318">
        <f>'E) Fact soc'!G51</f>
        <v>166786.16658929829</v>
      </c>
      <c r="G46" s="315">
        <f>'H) Péréquation directe'!I56</f>
        <v>117780.63207591677</v>
      </c>
      <c r="H46" s="318" t="e">
        <f>+'I) Dépenses thématiques'!O45</f>
        <v>#DIV/0!</v>
      </c>
      <c r="I46" s="315">
        <f>'K) Plafonnement aide'!J45</f>
        <v>0</v>
      </c>
      <c r="J46" s="318">
        <f>'J) Plafonnement effort'!J45</f>
        <v>0</v>
      </c>
      <c r="K46" s="315">
        <f>'L) Plafonnement taux'!Q46</f>
        <v>0</v>
      </c>
      <c r="L46" s="313" t="e">
        <f t="shared" si="0"/>
        <v>#DIV/0!</v>
      </c>
      <c r="M46" s="234">
        <f>'M) Police'!O46</f>
        <v>35933.499680250228</v>
      </c>
      <c r="N46" s="234" t="e">
        <f t="shared" si="1"/>
        <v>#DIV/0!</v>
      </c>
      <c r="P46" s="320"/>
    </row>
    <row r="47" spans="1:16" s="154" customFormat="1" x14ac:dyDescent="0.25">
      <c r="A47" s="151">
        <f>'B) D RI'!A48</f>
        <v>5477</v>
      </c>
      <c r="B47" s="152" t="str">
        <f>'B) D RI'!B48</f>
        <v>Cossonay</v>
      </c>
      <c r="C47" s="316">
        <f>'B) D RI'!S48</f>
        <v>69.5</v>
      </c>
      <c r="D47" s="153">
        <f>'B) D RI'!AA48</f>
        <v>4222</v>
      </c>
      <c r="E47" s="314">
        <f>'D) Ecrêtage'!C46</f>
        <v>119154.03251798562</v>
      </c>
      <c r="F47" s="318">
        <f>'E) Fact soc'!G52</f>
        <v>2343708.6904436718</v>
      </c>
      <c r="G47" s="315">
        <f>'H) Péréquation directe'!I57</f>
        <v>-717120.61764778383</v>
      </c>
      <c r="H47" s="318" t="e">
        <f>+'I) Dépenses thématiques'!O46</f>
        <v>#DIV/0!</v>
      </c>
      <c r="I47" s="315">
        <f>'K) Plafonnement aide'!J46</f>
        <v>0</v>
      </c>
      <c r="J47" s="318">
        <f>'J) Plafonnement effort'!J46</f>
        <v>0</v>
      </c>
      <c r="K47" s="315">
        <f>'L) Plafonnement taux'!Q47</f>
        <v>0</v>
      </c>
      <c r="L47" s="313" t="e">
        <f t="shared" si="0"/>
        <v>#DIV/0!</v>
      </c>
      <c r="M47" s="234">
        <f>'M) Police'!O47</f>
        <v>356182.66043605912</v>
      </c>
      <c r="N47" s="234" t="e">
        <f t="shared" si="1"/>
        <v>#DIV/0!</v>
      </c>
      <c r="P47" s="320"/>
    </row>
    <row r="48" spans="1:16" s="154" customFormat="1" x14ac:dyDescent="0.25">
      <c r="A48" s="151">
        <f>'B) D RI'!A49</f>
        <v>5478</v>
      </c>
      <c r="B48" s="152" t="str">
        <f>'B) D RI'!B49</f>
        <v>Cottens</v>
      </c>
      <c r="C48" s="316">
        <f>'B) D RI'!S49</f>
        <v>74</v>
      </c>
      <c r="D48" s="153">
        <f>'B) D RI'!AA49</f>
        <v>491</v>
      </c>
      <c r="E48" s="314">
        <f>'D) Ecrêtage'!C47</f>
        <v>16291.497837837833</v>
      </c>
      <c r="F48" s="318">
        <f>'E) Fact soc'!G53</f>
        <v>225040.09404445806</v>
      </c>
      <c r="G48" s="315">
        <f>'H) Péréquation directe'!I58</f>
        <v>97283.916979342175</v>
      </c>
      <c r="H48" s="318" t="e">
        <f>+'I) Dépenses thématiques'!O47</f>
        <v>#DIV/0!</v>
      </c>
      <c r="I48" s="315">
        <f>'K) Plafonnement aide'!J47</f>
        <v>0</v>
      </c>
      <c r="J48" s="318">
        <f>'J) Plafonnement effort'!J47</f>
        <v>0</v>
      </c>
      <c r="K48" s="315">
        <f>'L) Plafonnement taux'!Q48</f>
        <v>0</v>
      </c>
      <c r="L48" s="313" t="e">
        <f t="shared" si="0"/>
        <v>#DIV/0!</v>
      </c>
      <c r="M48" s="234">
        <f>'M) Police'!O48</f>
        <v>49533.812310269292</v>
      </c>
      <c r="N48" s="234" t="e">
        <f t="shared" si="1"/>
        <v>#DIV/0!</v>
      </c>
      <c r="P48" s="320"/>
    </row>
    <row r="49" spans="1:16" s="154" customFormat="1" x14ac:dyDescent="0.25">
      <c r="A49" s="151">
        <f>'B) D RI'!A50</f>
        <v>5479</v>
      </c>
      <c r="B49" s="152" t="str">
        <f>'B) D RI'!B50</f>
        <v>Cuarnens</v>
      </c>
      <c r="C49" s="316">
        <f>'B) D RI'!S50</f>
        <v>77</v>
      </c>
      <c r="D49" s="153">
        <f>'B) D RI'!AA50</f>
        <v>527</v>
      </c>
      <c r="E49" s="314">
        <f>'D) Ecrêtage'!C48</f>
        <v>18068.978311688308</v>
      </c>
      <c r="F49" s="318">
        <f>'E) Fact soc'!G54</f>
        <v>328151.64944725193</v>
      </c>
      <c r="G49" s="315">
        <f>'H) Péréquation directe'!I59</f>
        <v>115372.04593156595</v>
      </c>
      <c r="H49" s="318" t="e">
        <f>+'I) Dépenses thématiques'!O48</f>
        <v>#DIV/0!</v>
      </c>
      <c r="I49" s="315">
        <f>'K) Plafonnement aide'!J48</f>
        <v>0</v>
      </c>
      <c r="J49" s="318">
        <f>'J) Plafonnement effort'!J48</f>
        <v>0</v>
      </c>
      <c r="K49" s="315">
        <f>'L) Plafonnement taux'!Q49</f>
        <v>0</v>
      </c>
      <c r="L49" s="313" t="e">
        <f t="shared" si="0"/>
        <v>#DIV/0!</v>
      </c>
      <c r="M49" s="234">
        <f>'M) Police'!O49</f>
        <v>55081.332032740393</v>
      </c>
      <c r="N49" s="234" t="e">
        <f t="shared" si="1"/>
        <v>#DIV/0!</v>
      </c>
      <c r="P49" s="320"/>
    </row>
    <row r="50" spans="1:16" s="154" customFormat="1" x14ac:dyDescent="0.25">
      <c r="A50" s="151">
        <f>'B) D RI'!A51</f>
        <v>5480</v>
      </c>
      <c r="B50" s="152" t="str">
        <f>'B) D RI'!B51</f>
        <v>Daillens</v>
      </c>
      <c r="C50" s="316">
        <f>'B) D RI'!S51</f>
        <v>66</v>
      </c>
      <c r="D50" s="153">
        <f>'B) D RI'!AA51</f>
        <v>1048</v>
      </c>
      <c r="E50" s="314">
        <f>'D) Ecrêtage'!C49</f>
        <v>40977.441060606063</v>
      </c>
      <c r="F50" s="318">
        <f>'E) Fact soc'!G55</f>
        <v>720870.59584826778</v>
      </c>
      <c r="G50" s="315">
        <f>'H) Péréquation directe'!I60</f>
        <v>497800.31966600101</v>
      </c>
      <c r="H50" s="318" t="e">
        <f>+'I) Dépenses thématiques'!O49</f>
        <v>#DIV/0!</v>
      </c>
      <c r="I50" s="315">
        <f>'K) Plafonnement aide'!J49</f>
        <v>0</v>
      </c>
      <c r="J50" s="318">
        <f>'J) Plafonnement effort'!J49</f>
        <v>0</v>
      </c>
      <c r="K50" s="315">
        <f>'L) Plafonnement taux'!Q50</f>
        <v>0</v>
      </c>
      <c r="L50" s="313" t="e">
        <f t="shared" si="0"/>
        <v>#DIV/0!</v>
      </c>
      <c r="M50" s="234">
        <f>'M) Police'!O50</f>
        <v>120440.18261581809</v>
      </c>
      <c r="N50" s="234" t="e">
        <f t="shared" si="1"/>
        <v>#DIV/0!</v>
      </c>
      <c r="P50" s="320"/>
    </row>
    <row r="51" spans="1:16" s="154" customFormat="1" x14ac:dyDescent="0.25">
      <c r="A51" s="151">
        <f>'B) D RI'!A52</f>
        <v>5481</v>
      </c>
      <c r="B51" s="152" t="str">
        <f>'B) D RI'!B52</f>
        <v>Dizy</v>
      </c>
      <c r="C51" s="316">
        <f>'B) D RI'!S52</f>
        <v>75</v>
      </c>
      <c r="D51" s="153">
        <f>'B) D RI'!AA52</f>
        <v>224</v>
      </c>
      <c r="E51" s="314">
        <f>'D) Ecrêtage'!C50</f>
        <v>8124.1672000000008</v>
      </c>
      <c r="F51" s="318">
        <f>'E) Fact soc'!G56</f>
        <v>113745.48879962217</v>
      </c>
      <c r="G51" s="315">
        <f>'H) Péréquation directe'!I61</f>
        <v>71570.599886243217</v>
      </c>
      <c r="H51" s="318" t="e">
        <f>+'I) Dépenses thématiques'!O50</f>
        <v>#DIV/0!</v>
      </c>
      <c r="I51" s="315">
        <f>'K) Plafonnement aide'!J50</f>
        <v>0</v>
      </c>
      <c r="J51" s="318">
        <f>'J) Plafonnement effort'!J50</f>
        <v>0</v>
      </c>
      <c r="K51" s="315">
        <f>'L) Plafonnement taux'!Q51</f>
        <v>0</v>
      </c>
      <c r="L51" s="313" t="e">
        <f t="shared" si="0"/>
        <v>#DIV/0!</v>
      </c>
      <c r="M51" s="234">
        <f>'M) Police'!O51</f>
        <v>24745.861936836074</v>
      </c>
      <c r="N51" s="234" t="e">
        <f t="shared" si="1"/>
        <v>#DIV/0!</v>
      </c>
      <c r="P51" s="320"/>
    </row>
    <row r="52" spans="1:16" s="154" customFormat="1" x14ac:dyDescent="0.25">
      <c r="A52" s="151">
        <f>'B) D RI'!A53</f>
        <v>5482</v>
      </c>
      <c r="B52" s="152" t="str">
        <f>'B) D RI'!B53</f>
        <v>Eclépens</v>
      </c>
      <c r="C52" s="316">
        <f>'B) D RI'!S53</f>
        <v>46</v>
      </c>
      <c r="D52" s="153">
        <f>'B) D RI'!AA53</f>
        <v>1220</v>
      </c>
      <c r="E52" s="314">
        <f>'D) Ecrêtage'!C51</f>
        <v>70911.930217391302</v>
      </c>
      <c r="F52" s="318">
        <f>'E) Fact soc'!G57</f>
        <v>1226985.5462011513</v>
      </c>
      <c r="G52" s="315">
        <f>'H) Péréquation directe'!I62</f>
        <v>1192035.7465628351</v>
      </c>
      <c r="H52" s="318" t="e">
        <f>+'I) Dépenses thématiques'!O51</f>
        <v>#DIV/0!</v>
      </c>
      <c r="I52" s="315">
        <f>'K) Plafonnement aide'!J51</f>
        <v>0</v>
      </c>
      <c r="J52" s="318">
        <f>'J) Plafonnement effort'!J51</f>
        <v>0</v>
      </c>
      <c r="K52" s="315">
        <f>'L) Plafonnement taux'!Q52</f>
        <v>0</v>
      </c>
      <c r="L52" s="313" t="e">
        <f t="shared" si="0"/>
        <v>#DIV/0!</v>
      </c>
      <c r="M52" s="234">
        <f>'M) Police'!O52</f>
        <v>191900.78432296327</v>
      </c>
      <c r="N52" s="234" t="e">
        <f t="shared" si="1"/>
        <v>#DIV/0!</v>
      </c>
      <c r="P52" s="320"/>
    </row>
    <row r="53" spans="1:16" s="154" customFormat="1" x14ac:dyDescent="0.25">
      <c r="A53" s="151">
        <f>'B) D RI'!A54</f>
        <v>5483</v>
      </c>
      <c r="B53" s="152" t="str">
        <f>'B) D RI'!B54</f>
        <v>Ferreyres</v>
      </c>
      <c r="C53" s="316">
        <f>'B) D RI'!S54</f>
        <v>76</v>
      </c>
      <c r="D53" s="153">
        <f>'B) D RI'!AA54</f>
        <v>319</v>
      </c>
      <c r="E53" s="314">
        <f>'D) Ecrêtage'!C52</f>
        <v>10820.315000000001</v>
      </c>
      <c r="F53" s="318">
        <f>'E) Fact soc'!G58</f>
        <v>155982.20391142106</v>
      </c>
      <c r="G53" s="315">
        <f>'H) Péréquation directe'!I63</f>
        <v>67543.543984844262</v>
      </c>
      <c r="H53" s="318" t="e">
        <f>+'I) Dépenses thématiques'!O52</f>
        <v>#DIV/0!</v>
      </c>
      <c r="I53" s="315">
        <f>'K) Plafonnement aide'!J52</f>
        <v>0</v>
      </c>
      <c r="J53" s="318">
        <f>'J) Plafonnement effort'!J52</f>
        <v>0</v>
      </c>
      <c r="K53" s="315">
        <f>'L) Plafonnement taux'!Q53</f>
        <v>0</v>
      </c>
      <c r="L53" s="313" t="e">
        <f t="shared" si="0"/>
        <v>#DIV/0!</v>
      </c>
      <c r="M53" s="234">
        <f>'M) Police'!O53</f>
        <v>32834.102652947629</v>
      </c>
      <c r="N53" s="234" t="e">
        <f t="shared" si="1"/>
        <v>#DIV/0!</v>
      </c>
      <c r="P53" s="320"/>
    </row>
    <row r="54" spans="1:16" s="154" customFormat="1" x14ac:dyDescent="0.25">
      <c r="A54" s="151">
        <f>'B) D RI'!A55</f>
        <v>5484</v>
      </c>
      <c r="B54" s="152" t="str">
        <f>'B) D RI'!B55</f>
        <v>Gollion</v>
      </c>
      <c r="C54" s="316">
        <f>'B) D RI'!S55</f>
        <v>74</v>
      </c>
      <c r="D54" s="153">
        <f>'B) D RI'!AA55</f>
        <v>996</v>
      </c>
      <c r="E54" s="314">
        <f>'D) Ecrêtage'!C53</f>
        <v>34996.98554054054</v>
      </c>
      <c r="F54" s="318">
        <f>'E) Fact soc'!G59</f>
        <v>585843.84769821644</v>
      </c>
      <c r="G54" s="315">
        <f>'H) Péréquation directe'!I64</f>
        <v>278450.77851408161</v>
      </c>
      <c r="H54" s="318" t="e">
        <f>+'I) Dépenses thématiques'!O53</f>
        <v>#DIV/0!</v>
      </c>
      <c r="I54" s="315">
        <f>'K) Plafonnement aide'!J53</f>
        <v>0</v>
      </c>
      <c r="J54" s="318">
        <f>'J) Plafonnement effort'!J53</f>
        <v>0</v>
      </c>
      <c r="K54" s="315">
        <f>'L) Plafonnement taux'!Q54</f>
        <v>0</v>
      </c>
      <c r="L54" s="313" t="e">
        <f t="shared" si="0"/>
        <v>#DIV/0!</v>
      </c>
      <c r="M54" s="234">
        <f>'M) Police'!O54</f>
        <v>105929.58766400484</v>
      </c>
      <c r="N54" s="234" t="e">
        <f t="shared" si="1"/>
        <v>#DIV/0!</v>
      </c>
      <c r="P54" s="320"/>
    </row>
    <row r="55" spans="1:16" s="154" customFormat="1" x14ac:dyDescent="0.25">
      <c r="A55" s="151">
        <f>'B) D RI'!A56</f>
        <v>5485</v>
      </c>
      <c r="B55" s="152" t="str">
        <f>'B) D RI'!B56</f>
        <v>Grancy</v>
      </c>
      <c r="C55" s="316">
        <f>'B) D RI'!S56</f>
        <v>70</v>
      </c>
      <c r="D55" s="153">
        <f>'B) D RI'!AA56</f>
        <v>406</v>
      </c>
      <c r="E55" s="314">
        <f>'D) Ecrêtage'!C54</f>
        <v>14542.352714285715</v>
      </c>
      <c r="F55" s="318">
        <f>'E) Fact soc'!G60</f>
        <v>278054.67662938486</v>
      </c>
      <c r="G55" s="315">
        <f>'H) Péréquation directe'!I65</f>
        <v>136601.01395531802</v>
      </c>
      <c r="H55" s="318" t="e">
        <f>+'I) Dépenses thématiques'!O54</f>
        <v>#DIV/0!</v>
      </c>
      <c r="I55" s="315">
        <f>'K) Plafonnement aide'!J54</f>
        <v>0</v>
      </c>
      <c r="J55" s="318">
        <f>'J) Plafonnement effort'!J54</f>
        <v>0</v>
      </c>
      <c r="K55" s="315">
        <f>'L) Plafonnement taux'!Q55</f>
        <v>0</v>
      </c>
      <c r="L55" s="313" t="e">
        <f t="shared" si="0"/>
        <v>#DIV/0!</v>
      </c>
      <c r="M55" s="234">
        <f>'M) Police'!O55</f>
        <v>43978.748427216749</v>
      </c>
      <c r="N55" s="234" t="e">
        <f t="shared" si="1"/>
        <v>#DIV/0!</v>
      </c>
      <c r="P55" s="320"/>
    </row>
    <row r="56" spans="1:16" s="154" customFormat="1" x14ac:dyDescent="0.25">
      <c r="A56" s="151">
        <f>'B) D RI'!A57</f>
        <v>5486</v>
      </c>
      <c r="B56" s="152" t="str">
        <f>'B) D RI'!B57</f>
        <v>L'Isle</v>
      </c>
      <c r="C56" s="316">
        <f>'B) D RI'!S57</f>
        <v>75</v>
      </c>
      <c r="D56" s="153">
        <f>'B) D RI'!AA57</f>
        <v>1065</v>
      </c>
      <c r="E56" s="314">
        <f>'D) Ecrêtage'!C55</f>
        <v>37459.560399999995</v>
      </c>
      <c r="F56" s="318">
        <f>'E) Fact soc'!G61</f>
        <v>579009.97989581886</v>
      </c>
      <c r="G56" s="315">
        <f>'H) Péréquation directe'!I66</f>
        <v>276541.99999502493</v>
      </c>
      <c r="H56" s="318" t="e">
        <f>+'I) Dépenses thématiques'!O55</f>
        <v>#DIV/0!</v>
      </c>
      <c r="I56" s="315">
        <f>'K) Plafonnement aide'!J55</f>
        <v>0</v>
      </c>
      <c r="J56" s="318">
        <f>'J) Plafonnement effort'!J55</f>
        <v>0</v>
      </c>
      <c r="K56" s="315">
        <f>'L) Plafonnement taux'!Q56</f>
        <v>0</v>
      </c>
      <c r="L56" s="313" t="e">
        <f t="shared" si="0"/>
        <v>#DIV/0!</v>
      </c>
      <c r="M56" s="234">
        <f>'M) Police'!O56</f>
        <v>113511.90381270323</v>
      </c>
      <c r="N56" s="234" t="e">
        <f t="shared" si="1"/>
        <v>#DIV/0!</v>
      </c>
      <c r="P56" s="320"/>
    </row>
    <row r="57" spans="1:16" s="154" customFormat="1" x14ac:dyDescent="0.25">
      <c r="A57" s="151">
        <f>'B) D RI'!A58</f>
        <v>5487</v>
      </c>
      <c r="B57" s="152" t="str">
        <f>'B) D RI'!B58</f>
        <v>Lussery-Villars</v>
      </c>
      <c r="C57" s="316">
        <f>'B) D RI'!S58</f>
        <v>75</v>
      </c>
      <c r="D57" s="153">
        <f>'B) D RI'!AA58</f>
        <v>459</v>
      </c>
      <c r="E57" s="314">
        <f>'D) Ecrêtage'!C56</f>
        <v>12889.865466666668</v>
      </c>
      <c r="F57" s="318">
        <f>'E) Fact soc'!G62</f>
        <v>189897.55120887465</v>
      </c>
      <c r="G57" s="315">
        <f>'H) Péréquation directe'!I67</f>
        <v>-11920.866038170177</v>
      </c>
      <c r="H57" s="318" t="e">
        <f>+'I) Dépenses thématiques'!O56</f>
        <v>#DIV/0!</v>
      </c>
      <c r="I57" s="315">
        <f>'K) Plafonnement aide'!J56</f>
        <v>0</v>
      </c>
      <c r="J57" s="318">
        <f>'J) Plafonnement effort'!J56</f>
        <v>0</v>
      </c>
      <c r="K57" s="315">
        <f>'L) Plafonnement taux'!Q57</f>
        <v>0</v>
      </c>
      <c r="L57" s="313" t="e">
        <f t="shared" si="0"/>
        <v>#DIV/0!</v>
      </c>
      <c r="M57" s="234">
        <f>'M) Police'!O57</f>
        <v>38785.55549133601</v>
      </c>
      <c r="N57" s="234" t="e">
        <f t="shared" si="1"/>
        <v>#DIV/0!</v>
      </c>
      <c r="P57" s="320"/>
    </row>
    <row r="58" spans="1:16" s="154" customFormat="1" x14ac:dyDescent="0.25">
      <c r="A58" s="151">
        <f>'B) D RI'!A59</f>
        <v>5488</v>
      </c>
      <c r="B58" s="152" t="str">
        <f>'B) D RI'!B59</f>
        <v>Mauraz</v>
      </c>
      <c r="C58" s="316">
        <f>'B) D RI'!S59</f>
        <v>77</v>
      </c>
      <c r="D58" s="153">
        <f>'B) D RI'!AA59</f>
        <v>58</v>
      </c>
      <c r="E58" s="314">
        <f>'D) Ecrêtage'!C57</f>
        <v>1632.1631168831173</v>
      </c>
      <c r="F58" s="318">
        <f>'E) Fact soc'!G63</f>
        <v>22080.903121713913</v>
      </c>
      <c r="G58" s="315">
        <f>'H) Péréquation directe'!I68</f>
        <v>-2780.8539480310719</v>
      </c>
      <c r="H58" s="318" t="e">
        <f>+'I) Dépenses thématiques'!O57</f>
        <v>#DIV/0!</v>
      </c>
      <c r="I58" s="315">
        <f>'K) Plafonnement aide'!J57</f>
        <v>0</v>
      </c>
      <c r="J58" s="318">
        <f>'J) Plafonnement effort'!J57</f>
        <v>0</v>
      </c>
      <c r="K58" s="315">
        <f>'L) Plafonnement taux'!Q58</f>
        <v>0</v>
      </c>
      <c r="L58" s="313" t="e">
        <f t="shared" si="0"/>
        <v>#DIV/0!</v>
      </c>
      <c r="M58" s="234">
        <f>'M) Police'!O58</f>
        <v>4962.4690130872668</v>
      </c>
      <c r="N58" s="234" t="e">
        <f t="shared" si="1"/>
        <v>#DIV/0!</v>
      </c>
      <c r="P58" s="320"/>
    </row>
    <row r="59" spans="1:16" s="154" customFormat="1" x14ac:dyDescent="0.25">
      <c r="A59" s="151">
        <f>'B) D RI'!A60</f>
        <v>5489</v>
      </c>
      <c r="B59" s="152" t="str">
        <f>'B) D RI'!B60</f>
        <v>Mex</v>
      </c>
      <c r="C59" s="316">
        <f>'B) D RI'!S60</f>
        <v>59.5</v>
      </c>
      <c r="D59" s="153">
        <f>'B) D RI'!AA60</f>
        <v>791</v>
      </c>
      <c r="E59" s="314">
        <f>'D) Ecrêtage'!C58</f>
        <v>57496.164201680658</v>
      </c>
      <c r="F59" s="318">
        <f>'E) Fact soc'!G64</f>
        <v>1387073.0230475327</v>
      </c>
      <c r="G59" s="315">
        <f>'H) Péréquation directe'!I69</f>
        <v>1030901.9389274828</v>
      </c>
      <c r="H59" s="318" t="e">
        <f>+'I) Dépenses thématiques'!O58</f>
        <v>#DIV/0!</v>
      </c>
      <c r="I59" s="315">
        <f>'K) Plafonnement aide'!J58</f>
        <v>0</v>
      </c>
      <c r="J59" s="318">
        <f>'J) Plafonnement effort'!J58</f>
        <v>0</v>
      </c>
      <c r="K59" s="315">
        <f>'L) Plafonnement taux'!Q59</f>
        <v>0</v>
      </c>
      <c r="L59" s="313" t="e">
        <f t="shared" si="0"/>
        <v>#DIV/0!</v>
      </c>
      <c r="M59" s="234">
        <f>'M) Police'!O59</f>
        <v>137950.92921619015</v>
      </c>
      <c r="N59" s="234" t="e">
        <f t="shared" si="1"/>
        <v>#DIV/0!</v>
      </c>
      <c r="P59" s="320"/>
    </row>
    <row r="60" spans="1:16" s="154" customFormat="1" x14ac:dyDescent="0.25">
      <c r="A60" s="151">
        <f>'B) D RI'!A61</f>
        <v>5490</v>
      </c>
      <c r="B60" s="152" t="str">
        <f>'B) D RI'!B61</f>
        <v>Moiry</v>
      </c>
      <c r="C60" s="316">
        <f>'B) D RI'!S61</f>
        <v>77.5</v>
      </c>
      <c r="D60" s="153">
        <f>'B) D RI'!AA61</f>
        <v>311</v>
      </c>
      <c r="E60" s="314">
        <f>'D) Ecrêtage'!C59</f>
        <v>8655.909290322581</v>
      </c>
      <c r="F60" s="318">
        <f>'E) Fact soc'!G65</f>
        <v>136928.62174254796</v>
      </c>
      <c r="G60" s="315">
        <f>'H) Péréquation directe'!I70</f>
        <v>-21034.357033196604</v>
      </c>
      <c r="H60" s="318" t="e">
        <f>+'I) Dépenses thématiques'!O59</f>
        <v>#DIV/0!</v>
      </c>
      <c r="I60" s="315">
        <f>'K) Plafonnement aide'!J59</f>
        <v>0</v>
      </c>
      <c r="J60" s="318">
        <f>'J) Plafonnement effort'!J59</f>
        <v>0</v>
      </c>
      <c r="K60" s="315">
        <f>'L) Plafonnement taux'!Q60</f>
        <v>0</v>
      </c>
      <c r="L60" s="313" t="e">
        <f t="shared" si="0"/>
        <v>#DIV/0!</v>
      </c>
      <c r="M60" s="234">
        <f>'M) Police'!O60</f>
        <v>26288.629261776783</v>
      </c>
      <c r="N60" s="234" t="e">
        <f t="shared" si="1"/>
        <v>#DIV/0!</v>
      </c>
      <c r="P60" s="320"/>
    </row>
    <row r="61" spans="1:16" s="154" customFormat="1" x14ac:dyDescent="0.25">
      <c r="A61" s="151">
        <f>'B) D RI'!A62</f>
        <v>5491</v>
      </c>
      <c r="B61" s="152" t="str">
        <f>'B) D RI'!B62</f>
        <v>Mont-la-Ville</v>
      </c>
      <c r="C61" s="316">
        <f>'B) D RI'!S62</f>
        <v>76</v>
      </c>
      <c r="D61" s="153">
        <f>'B) D RI'!AA62</f>
        <v>490</v>
      </c>
      <c r="E61" s="314">
        <f>'D) Ecrêtage'!C60</f>
        <v>14323.284736842104</v>
      </c>
      <c r="F61" s="318">
        <f>'E) Fact soc'!G66</f>
        <v>240847.62074715539</v>
      </c>
      <c r="G61" s="315">
        <f>'H) Péréquation directe'!I71</f>
        <v>5405.8909623861546</v>
      </c>
      <c r="H61" s="318" t="e">
        <f>+'I) Dépenses thématiques'!O60</f>
        <v>#DIV/0!</v>
      </c>
      <c r="I61" s="315">
        <f>'K) Plafonnement aide'!J60</f>
        <v>0</v>
      </c>
      <c r="J61" s="318">
        <f>'J) Plafonnement effort'!J60</f>
        <v>0</v>
      </c>
      <c r="K61" s="315">
        <f>'L) Plafonnement taux'!Q61</f>
        <v>0</v>
      </c>
      <c r="L61" s="313" t="e">
        <f t="shared" si="0"/>
        <v>#DIV/0!</v>
      </c>
      <c r="M61" s="234">
        <f>'M) Police'!O61</f>
        <v>43025.327061222422</v>
      </c>
      <c r="N61" s="234" t="e">
        <f t="shared" si="1"/>
        <v>#DIV/0!</v>
      </c>
      <c r="P61" s="320"/>
    </row>
    <row r="62" spans="1:16" s="154" customFormat="1" x14ac:dyDescent="0.25">
      <c r="A62" s="151">
        <f>'B) D RI'!A63</f>
        <v>5492</v>
      </c>
      <c r="B62" s="152" t="str">
        <f>'B) D RI'!B63</f>
        <v>Montricher</v>
      </c>
      <c r="C62" s="316">
        <f>'B) D RI'!S63</f>
        <v>64</v>
      </c>
      <c r="D62" s="153">
        <f>'B) D RI'!AA63</f>
        <v>964</v>
      </c>
      <c r="E62" s="314">
        <f>'D) Ecrêtage'!C61</f>
        <v>157154.96692708335</v>
      </c>
      <c r="F62" s="318">
        <f>'E) Fact soc'!G67</f>
        <v>5439920.104495178</v>
      </c>
      <c r="G62" s="315">
        <f>'H) Péréquation directe'!I72</f>
        <v>2966327.8060881034</v>
      </c>
      <c r="H62" s="318" t="e">
        <f>+'I) Dépenses thématiques'!O61</f>
        <v>#DIV/0!</v>
      </c>
      <c r="I62" s="315">
        <f>'K) Plafonnement aide'!J61</f>
        <v>0</v>
      </c>
      <c r="J62" s="318">
        <f>'J) Plafonnement effort'!J61</f>
        <v>-700809.64308328053</v>
      </c>
      <c r="K62" s="315">
        <f>'L) Plafonnement taux'!Q62</f>
        <v>0</v>
      </c>
      <c r="L62" s="313" t="e">
        <f t="shared" ref="L62:L116" si="2">F62+G62+H62+I62+J62+K62</f>
        <v>#DIV/0!</v>
      </c>
      <c r="M62" s="234">
        <f>'M) Police'!O62</f>
        <v>270403.45305626653</v>
      </c>
      <c r="N62" s="234" t="e">
        <f t="shared" si="1"/>
        <v>#DIV/0!</v>
      </c>
      <c r="P62" s="320"/>
    </row>
    <row r="63" spans="1:16" s="154" customFormat="1" x14ac:dyDescent="0.25">
      <c r="A63" s="151">
        <f>'B) D RI'!A64</f>
        <v>5493</v>
      </c>
      <c r="B63" s="152" t="str">
        <f>'B) D RI'!B64</f>
        <v>Orny</v>
      </c>
      <c r="C63" s="316">
        <f>'B) D RI'!S64</f>
        <v>73</v>
      </c>
      <c r="D63" s="153">
        <f>'B) D RI'!AA64</f>
        <v>462</v>
      </c>
      <c r="E63" s="314">
        <f>'D) Ecrêtage'!C62</f>
        <v>12885.017723919913</v>
      </c>
      <c r="F63" s="318">
        <f>'E) Fact soc'!G68</f>
        <v>257574.1379734475</v>
      </c>
      <c r="G63" s="315">
        <f>'H) Péréquation directe'!I73</f>
        <v>-4630.3229414667294</v>
      </c>
      <c r="H63" s="318" t="e">
        <f>+'I) Dépenses thématiques'!O62</f>
        <v>#DIV/0!</v>
      </c>
      <c r="I63" s="315">
        <f>'K) Plafonnement aide'!J62</f>
        <v>0</v>
      </c>
      <c r="J63" s="318">
        <f>'J) Plafonnement effort'!J62</f>
        <v>0</v>
      </c>
      <c r="K63" s="315">
        <f>'L) Plafonnement taux'!Q63</f>
        <v>0</v>
      </c>
      <c r="L63" s="313" t="e">
        <f t="shared" si="2"/>
        <v>#DIV/0!</v>
      </c>
      <c r="M63" s="234">
        <f>'M) Police'!O63</f>
        <v>39233.927396324281</v>
      </c>
      <c r="N63" s="234" t="e">
        <f t="shared" si="1"/>
        <v>#DIV/0!</v>
      </c>
      <c r="P63" s="320"/>
    </row>
    <row r="64" spans="1:16" s="154" customFormat="1" x14ac:dyDescent="0.25">
      <c r="A64" s="151">
        <f>'B) D RI'!A65</f>
        <v>5494</v>
      </c>
      <c r="B64" s="152" t="str">
        <f>'B) D RI'!B65</f>
        <v>Pampigny</v>
      </c>
      <c r="C64" s="316">
        <f>'B) D RI'!S65</f>
        <v>73</v>
      </c>
      <c r="D64" s="153">
        <f>'B) D RI'!AA65</f>
        <v>1128</v>
      </c>
      <c r="E64" s="314">
        <f>'D) Ecrêtage'!C63</f>
        <v>36607.87342465754</v>
      </c>
      <c r="F64" s="318">
        <f>'E) Fact soc'!G69</f>
        <v>600004.92142986716</v>
      </c>
      <c r="G64" s="315">
        <f>'H) Péréquation directe'!I74</f>
        <v>171291.31129525637</v>
      </c>
      <c r="H64" s="318" t="e">
        <f>+'I) Dépenses thématiques'!O63</f>
        <v>#DIV/0!</v>
      </c>
      <c r="I64" s="315">
        <f>'K) Plafonnement aide'!J63</f>
        <v>0</v>
      </c>
      <c r="J64" s="318">
        <f>'J) Plafonnement effort'!J63</f>
        <v>0</v>
      </c>
      <c r="K64" s="315">
        <f>'L) Plafonnement taux'!Q64</f>
        <v>0</v>
      </c>
      <c r="L64" s="313" t="e">
        <f t="shared" si="2"/>
        <v>#DIV/0!</v>
      </c>
      <c r="M64" s="234">
        <f>'M) Police'!O64</f>
        <v>110122.31000412184</v>
      </c>
      <c r="N64" s="234" t="e">
        <f t="shared" si="1"/>
        <v>#DIV/0!</v>
      </c>
      <c r="P64" s="320"/>
    </row>
    <row r="65" spans="1:16" s="154" customFormat="1" x14ac:dyDescent="0.25">
      <c r="A65" s="151">
        <f>'B) D RI'!A66</f>
        <v>5495</v>
      </c>
      <c r="B65" s="152" t="str">
        <f>'B) D RI'!B66</f>
        <v>Penthalaz</v>
      </c>
      <c r="C65" s="316">
        <f>'B) D RI'!S66</f>
        <v>74</v>
      </c>
      <c r="D65" s="153">
        <f>'B) D RI'!AA66</f>
        <v>3207</v>
      </c>
      <c r="E65" s="314">
        <f>'D) Ecrêtage'!C64</f>
        <v>93361.472702702697</v>
      </c>
      <c r="F65" s="318">
        <f>'E) Fact soc'!G70</f>
        <v>1551586.246047114</v>
      </c>
      <c r="G65" s="315">
        <f>'H) Péréquation directe'!I75</f>
        <v>-430815.70102786878</v>
      </c>
      <c r="H65" s="318" t="e">
        <f>+'I) Dépenses thématiques'!O64</f>
        <v>#DIV/0!</v>
      </c>
      <c r="I65" s="315">
        <f>'K) Plafonnement aide'!J64</f>
        <v>0</v>
      </c>
      <c r="J65" s="318">
        <f>'J) Plafonnement effort'!J64</f>
        <v>0</v>
      </c>
      <c r="K65" s="315">
        <f>'L) Plafonnement taux'!Q65</f>
        <v>0</v>
      </c>
      <c r="L65" s="313" t="e">
        <f t="shared" si="2"/>
        <v>#DIV/0!</v>
      </c>
      <c r="M65" s="234">
        <f>'M) Police'!O65</f>
        <v>281467.20366495178</v>
      </c>
      <c r="N65" s="234" t="e">
        <f t="shared" si="1"/>
        <v>#DIV/0!</v>
      </c>
      <c r="P65" s="320"/>
    </row>
    <row r="66" spans="1:16" s="154" customFormat="1" x14ac:dyDescent="0.25">
      <c r="A66" s="151">
        <f>'B) D RI'!A67</f>
        <v>5496</v>
      </c>
      <c r="B66" s="152" t="str">
        <f>'B) D RI'!B67</f>
        <v>Penthaz</v>
      </c>
      <c r="C66" s="316">
        <f>'B) D RI'!S67</f>
        <v>69.5</v>
      </c>
      <c r="D66" s="153">
        <f>'B) D RI'!AA67</f>
        <v>1855</v>
      </c>
      <c r="E66" s="314">
        <f>'D) Ecrêtage'!C65</f>
        <v>60131.11913669065</v>
      </c>
      <c r="F66" s="318">
        <f>'E) Fact soc'!G71</f>
        <v>993557.25860299624</v>
      </c>
      <c r="G66" s="315">
        <f>'H) Péréquation directe'!I76</f>
        <v>193434.04156474746</v>
      </c>
      <c r="H66" s="318" t="e">
        <f>+'I) Dépenses thématiques'!O65</f>
        <v>#DIV/0!</v>
      </c>
      <c r="I66" s="315">
        <f>'K) Plafonnement aide'!J65</f>
        <v>0</v>
      </c>
      <c r="J66" s="318">
        <f>'J) Plafonnement effort'!J65</f>
        <v>0</v>
      </c>
      <c r="K66" s="315">
        <f>'L) Plafonnement taux'!Q66</f>
        <v>0</v>
      </c>
      <c r="L66" s="313" t="e">
        <f t="shared" si="2"/>
        <v>#DIV/0!</v>
      </c>
      <c r="M66" s="234">
        <f>'M) Police'!O66</f>
        <v>180581.80209571717</v>
      </c>
      <c r="N66" s="234" t="e">
        <f t="shared" si="1"/>
        <v>#DIV/0!</v>
      </c>
      <c r="P66" s="320"/>
    </row>
    <row r="67" spans="1:16" s="154" customFormat="1" x14ac:dyDescent="0.25">
      <c r="A67" s="151">
        <f>'B) D RI'!A68</f>
        <v>5497</v>
      </c>
      <c r="B67" s="152" t="str">
        <f>'B) D RI'!B68</f>
        <v>Pompaples</v>
      </c>
      <c r="C67" s="316">
        <f>'B) D RI'!S68</f>
        <v>66</v>
      </c>
      <c r="D67" s="153">
        <f>'B) D RI'!AA68</f>
        <v>847</v>
      </c>
      <c r="E67" s="314">
        <f>'D) Ecrêtage'!C66</f>
        <v>20396.986060606061</v>
      </c>
      <c r="F67" s="318">
        <f>'E) Fact soc'!G72</f>
        <v>356239.83528706175</v>
      </c>
      <c r="G67" s="315">
        <f>'H) Péréquation directe'!I77</f>
        <v>-61130.217471040261</v>
      </c>
      <c r="H67" s="318" t="e">
        <f>+'I) Dépenses thématiques'!O66</f>
        <v>#DIV/0!</v>
      </c>
      <c r="I67" s="315">
        <f>'K) Plafonnement aide'!J66</f>
        <v>0</v>
      </c>
      <c r="J67" s="318">
        <f>'J) Plafonnement effort'!J66</f>
        <v>0</v>
      </c>
      <c r="K67" s="315">
        <f>'L) Plafonnement taux'!Q67</f>
        <v>0</v>
      </c>
      <c r="L67" s="313" t="e">
        <f t="shared" si="2"/>
        <v>#DIV/0!</v>
      </c>
      <c r="M67" s="234">
        <f>'M) Police'!O67</f>
        <v>60153.378865766441</v>
      </c>
      <c r="N67" s="234" t="e">
        <f t="shared" si="1"/>
        <v>#DIV/0!</v>
      </c>
      <c r="P67" s="320"/>
    </row>
    <row r="68" spans="1:16" s="154" customFormat="1" x14ac:dyDescent="0.25">
      <c r="A68" s="151">
        <f>'B) D RI'!A69</f>
        <v>5498</v>
      </c>
      <c r="B68" s="152" t="str">
        <f>'B) D RI'!B69</f>
        <v>La Sarraz</v>
      </c>
      <c r="C68" s="316">
        <f>'B) D RI'!S69</f>
        <v>66</v>
      </c>
      <c r="D68" s="153">
        <f>'B) D RI'!AA69</f>
        <v>2598</v>
      </c>
      <c r="E68" s="314">
        <f>'D) Ecrêtage'!C67</f>
        <v>77508.241969696974</v>
      </c>
      <c r="F68" s="318">
        <f>'E) Fact soc'!G73</f>
        <v>1219143.9180439613</v>
      </c>
      <c r="G68" s="315">
        <f>'H) Péréquation directe'!I78</f>
        <v>10468.894416736905</v>
      </c>
      <c r="H68" s="318" t="e">
        <f>+'I) Dépenses thématiques'!O67</f>
        <v>#DIV/0!</v>
      </c>
      <c r="I68" s="315">
        <f>'K) Plafonnement aide'!J67</f>
        <v>0</v>
      </c>
      <c r="J68" s="318">
        <f>'J) Plafonnement effort'!J67</f>
        <v>0</v>
      </c>
      <c r="K68" s="315">
        <f>'L) Plafonnement taux'!Q68</f>
        <v>0</v>
      </c>
      <c r="L68" s="313" t="e">
        <f t="shared" si="2"/>
        <v>#DIV/0!</v>
      </c>
      <c r="M68" s="234">
        <f>'M) Police'!O68</f>
        <v>233309.16096743871</v>
      </c>
      <c r="N68" s="234" t="e">
        <f t="shared" si="1"/>
        <v>#DIV/0!</v>
      </c>
      <c r="P68" s="320"/>
    </row>
    <row r="69" spans="1:16" s="154" customFormat="1" x14ac:dyDescent="0.25">
      <c r="A69" s="151">
        <f>'B) D RI'!A70</f>
        <v>5499</v>
      </c>
      <c r="B69" s="152" t="str">
        <f>'B) D RI'!B70</f>
        <v>Senarclens</v>
      </c>
      <c r="C69" s="316">
        <f>'B) D RI'!S70</f>
        <v>68.5</v>
      </c>
      <c r="D69" s="153">
        <f>'B) D RI'!AA70</f>
        <v>496</v>
      </c>
      <c r="E69" s="314">
        <f>'D) Ecrêtage'!C68</f>
        <v>19654.447445255475</v>
      </c>
      <c r="F69" s="318">
        <f>'E) Fact soc'!G74</f>
        <v>391385.61774038512</v>
      </c>
      <c r="G69" s="315">
        <f>'H) Péréquation directe'!I79</f>
        <v>244620.71909932679</v>
      </c>
      <c r="H69" s="318" t="e">
        <f>+'I) Dépenses thématiques'!O68</f>
        <v>#DIV/0!</v>
      </c>
      <c r="I69" s="315">
        <f>'K) Plafonnement aide'!J68</f>
        <v>0</v>
      </c>
      <c r="J69" s="318">
        <f>'J) Plafonnement effort'!J68</f>
        <v>0</v>
      </c>
      <c r="K69" s="315">
        <f>'L) Plafonnement taux'!Q69</f>
        <v>0</v>
      </c>
      <c r="L69" s="313" t="e">
        <f t="shared" si="2"/>
        <v>#DIV/0!</v>
      </c>
      <c r="M69" s="234">
        <f>'M) Police'!O69</f>
        <v>59493.63434340182</v>
      </c>
      <c r="N69" s="234" t="e">
        <f t="shared" si="1"/>
        <v>#DIV/0!</v>
      </c>
      <c r="P69" s="320"/>
    </row>
    <row r="70" spans="1:16" s="154" customFormat="1" x14ac:dyDescent="0.25">
      <c r="A70" s="151">
        <f>'B) D RI'!A71</f>
        <v>5500</v>
      </c>
      <c r="B70" s="152" t="str">
        <f>'B) D RI'!B71</f>
        <v>Sévery</v>
      </c>
      <c r="C70" s="316">
        <f>'B) D RI'!S71</f>
        <v>73</v>
      </c>
      <c r="D70" s="153">
        <f>'B) D RI'!AA71</f>
        <v>214</v>
      </c>
      <c r="E70" s="314">
        <f>'D) Ecrêtage'!C69</f>
        <v>7516.1401369863015</v>
      </c>
      <c r="F70" s="318">
        <f>'E) Fact soc'!G75</f>
        <v>115526.22598528748</v>
      </c>
      <c r="G70" s="315">
        <f>'H) Péréquation directe'!I80</f>
        <v>61337.954772612487</v>
      </c>
      <c r="H70" s="318" t="e">
        <f>+'I) Dépenses thématiques'!O69</f>
        <v>#DIV/0!</v>
      </c>
      <c r="I70" s="315">
        <f>'K) Plafonnement aide'!J69</f>
        <v>0</v>
      </c>
      <c r="J70" s="318">
        <f>'J) Plafonnement effort'!J69</f>
        <v>0</v>
      </c>
      <c r="K70" s="315">
        <f>'L) Plafonnement taux'!Q70</f>
        <v>0</v>
      </c>
      <c r="L70" s="313" t="e">
        <f t="shared" si="2"/>
        <v>#DIV/0!</v>
      </c>
      <c r="M70" s="234">
        <f>'M) Police'!O70</f>
        <v>22671.415395793614</v>
      </c>
      <c r="N70" s="234" t="e">
        <f t="shared" si="1"/>
        <v>#DIV/0!</v>
      </c>
      <c r="P70" s="320"/>
    </row>
    <row r="71" spans="1:16" s="154" customFormat="1" x14ac:dyDescent="0.25">
      <c r="A71" s="151">
        <f>'B) D RI'!A72</f>
        <v>5501</v>
      </c>
      <c r="B71" s="152" t="str">
        <f>'B) D RI'!B72</f>
        <v>Sullens</v>
      </c>
      <c r="C71" s="316">
        <f>'B) D RI'!S72</f>
        <v>68.5</v>
      </c>
      <c r="D71" s="153">
        <f>'B) D RI'!AA72</f>
        <v>1041</v>
      </c>
      <c r="E71" s="314">
        <f>'D) Ecrêtage'!C70</f>
        <v>41921.141459854021</v>
      </c>
      <c r="F71" s="318">
        <f>'E) Fact soc'!G76</f>
        <v>3755141.3433148167</v>
      </c>
      <c r="G71" s="315">
        <f>'H) Péréquation directe'!I81</f>
        <v>530048.13908454368</v>
      </c>
      <c r="H71" s="318" t="e">
        <f>+'I) Dépenses thématiques'!O70</f>
        <v>#DIV/0!</v>
      </c>
      <c r="I71" s="315">
        <f>'K) Plafonnement aide'!J70</f>
        <v>0</v>
      </c>
      <c r="J71" s="318">
        <f>'J) Plafonnement effort'!J70</f>
        <v>0</v>
      </c>
      <c r="K71" s="315">
        <f>'L) Plafonnement taux'!Q71</f>
        <v>0</v>
      </c>
      <c r="L71" s="313" t="e">
        <f t="shared" si="2"/>
        <v>#DIV/0!</v>
      </c>
      <c r="M71" s="234">
        <f>'M) Police'!O71</f>
        <v>126457.12963461183</v>
      </c>
      <c r="N71" s="234" t="e">
        <f t="shared" ref="N71:N134" si="3">L71+M71</f>
        <v>#DIV/0!</v>
      </c>
      <c r="P71" s="320"/>
    </row>
    <row r="72" spans="1:16" s="154" customFormat="1" x14ac:dyDescent="0.25">
      <c r="A72" s="151">
        <f>'B) D RI'!A73</f>
        <v>5503</v>
      </c>
      <c r="B72" s="152" t="str">
        <f>'B) D RI'!B73</f>
        <v>Vufflens-la-Ville</v>
      </c>
      <c r="C72" s="316">
        <f>'B) D RI'!S73</f>
        <v>67</v>
      </c>
      <c r="D72" s="153">
        <f>'B) D RI'!AA73</f>
        <v>1349</v>
      </c>
      <c r="E72" s="314">
        <f>'D) Ecrêtage'!C71</f>
        <v>67911.005771144279</v>
      </c>
      <c r="F72" s="318">
        <f>'E) Fact soc'!G77</f>
        <v>1104743.3270584501</v>
      </c>
      <c r="G72" s="315">
        <f>'H) Péréquation directe'!I82</f>
        <v>1088323.6798641849</v>
      </c>
      <c r="H72" s="318" t="e">
        <f>+'I) Dépenses thématiques'!O71</f>
        <v>#DIV/0!</v>
      </c>
      <c r="I72" s="315">
        <f>'K) Plafonnement aide'!J71</f>
        <v>0</v>
      </c>
      <c r="J72" s="318">
        <f>'J) Plafonnement effort'!J71</f>
        <v>0</v>
      </c>
      <c r="K72" s="315">
        <f>'L) Plafonnement taux'!Q72</f>
        <v>0</v>
      </c>
      <c r="L72" s="313" t="e">
        <f t="shared" si="2"/>
        <v>#DIV/0!</v>
      </c>
      <c r="M72" s="234">
        <f>'M) Police'!O72</f>
        <v>199860.71343778231</v>
      </c>
      <c r="N72" s="234" t="e">
        <f t="shared" si="3"/>
        <v>#DIV/0!</v>
      </c>
      <c r="P72" s="320"/>
    </row>
    <row r="73" spans="1:16" s="154" customFormat="1" x14ac:dyDescent="0.25">
      <c r="A73" s="151">
        <f>'B) D RI'!A74</f>
        <v>5511</v>
      </c>
      <c r="B73" s="152" t="str">
        <f>'B) D RI'!B74</f>
        <v>Assens</v>
      </c>
      <c r="C73" s="316">
        <f>'B) D RI'!S74</f>
        <v>70</v>
      </c>
      <c r="D73" s="153">
        <f>'B) D RI'!AA74</f>
        <v>1141</v>
      </c>
      <c r="E73" s="314">
        <f>'D) Ecrêtage'!C72</f>
        <v>44474.742571428564</v>
      </c>
      <c r="F73" s="318">
        <f>'E) Fact soc'!G78</f>
        <v>666049.71944792347</v>
      </c>
      <c r="G73" s="315">
        <f>'H) Péréquation directe'!I83</f>
        <v>494112.32164796069</v>
      </c>
      <c r="H73" s="318" t="e">
        <f>+'I) Dépenses thématiques'!O72</f>
        <v>#DIV/0!</v>
      </c>
      <c r="I73" s="315">
        <f>'K) Plafonnement aide'!J72</f>
        <v>0</v>
      </c>
      <c r="J73" s="318">
        <f>'J) Plafonnement effort'!J72</f>
        <v>0</v>
      </c>
      <c r="K73" s="315">
        <f>'L) Plafonnement taux'!Q73</f>
        <v>0</v>
      </c>
      <c r="L73" s="313" t="e">
        <f t="shared" si="2"/>
        <v>#DIV/0!</v>
      </c>
      <c r="M73" s="234">
        <f>'M) Police'!O73</f>
        <v>133805.83785644744</v>
      </c>
      <c r="N73" s="234" t="e">
        <f t="shared" si="3"/>
        <v>#DIV/0!</v>
      </c>
      <c r="P73" s="320"/>
    </row>
    <row r="74" spans="1:16" s="154" customFormat="1" x14ac:dyDescent="0.25">
      <c r="A74" s="151">
        <f>'B) D RI'!A75</f>
        <v>5512</v>
      </c>
      <c r="B74" s="152" t="str">
        <f>'B) D RI'!B75</f>
        <v>Bercher</v>
      </c>
      <c r="C74" s="316">
        <f>'B) D RI'!S75</f>
        <v>79</v>
      </c>
      <c r="D74" s="153">
        <f>'B) D RI'!AA75</f>
        <v>1323</v>
      </c>
      <c r="E74" s="314">
        <f>'D) Ecrêtage'!C73</f>
        <v>40313.482784810127</v>
      </c>
      <c r="F74" s="318">
        <f>'E) Fact soc'!G79</f>
        <v>629569.64130293415</v>
      </c>
      <c r="G74" s="315">
        <f>'H) Péréquation directe'!I84</f>
        <v>-30951.858282223693</v>
      </c>
      <c r="H74" s="318" t="e">
        <f>+'I) Dépenses thématiques'!O73</f>
        <v>#DIV/0!</v>
      </c>
      <c r="I74" s="315">
        <f>'K) Plafonnement aide'!J73</f>
        <v>0</v>
      </c>
      <c r="J74" s="318">
        <f>'J) Plafonnement effort'!J73</f>
        <v>0</v>
      </c>
      <c r="K74" s="315">
        <f>'L) Plafonnement taux'!Q74</f>
        <v>0</v>
      </c>
      <c r="L74" s="313" t="e">
        <f t="shared" si="2"/>
        <v>#DIV/0!</v>
      </c>
      <c r="M74" s="234">
        <f>'M) Police'!O74</f>
        <v>121126.31560996189</v>
      </c>
      <c r="N74" s="234" t="e">
        <f t="shared" si="3"/>
        <v>#DIV/0!</v>
      </c>
      <c r="P74" s="320"/>
    </row>
    <row r="75" spans="1:16" s="154" customFormat="1" x14ac:dyDescent="0.25">
      <c r="A75" s="151">
        <f>'B) D RI'!A76</f>
        <v>5513</v>
      </c>
      <c r="B75" s="152" t="str">
        <f>'B) D RI'!B76</f>
        <v>Bioley-Orjulaz</v>
      </c>
      <c r="C75" s="316">
        <f>'B) D RI'!S76</f>
        <v>68</v>
      </c>
      <c r="D75" s="153">
        <f>'B) D RI'!AA76</f>
        <v>525</v>
      </c>
      <c r="E75" s="314">
        <f>'D) Ecrêtage'!C74</f>
        <v>22644.962352941177</v>
      </c>
      <c r="F75" s="318">
        <f>'E) Fact soc'!G80</f>
        <v>433857.25652487436</v>
      </c>
      <c r="G75" s="315">
        <f>'H) Péréquation directe'!I85</f>
        <v>330468.93207706639</v>
      </c>
      <c r="H75" s="318" t="e">
        <f>+'I) Dépenses thématiques'!O74</f>
        <v>#DIV/0!</v>
      </c>
      <c r="I75" s="315">
        <f>'K) Plafonnement aide'!J74</f>
        <v>0</v>
      </c>
      <c r="J75" s="318">
        <f>'J) Plafonnement effort'!J74</f>
        <v>0</v>
      </c>
      <c r="K75" s="315">
        <f>'L) Plafonnement taux'!Q75</f>
        <v>0</v>
      </c>
      <c r="L75" s="313" t="e">
        <f t="shared" si="2"/>
        <v>#DIV/0!</v>
      </c>
      <c r="M75" s="234">
        <f>'M) Police'!O75</f>
        <v>68062.010412803618</v>
      </c>
      <c r="N75" s="234" t="e">
        <f t="shared" si="3"/>
        <v>#DIV/0!</v>
      </c>
      <c r="P75" s="320"/>
    </row>
    <row r="76" spans="1:16" s="154" customFormat="1" x14ac:dyDescent="0.25">
      <c r="A76" s="151">
        <f>'B) D RI'!A77</f>
        <v>5514</v>
      </c>
      <c r="B76" s="152" t="str">
        <f>'B) D RI'!B77</f>
        <v>Bottens</v>
      </c>
      <c r="C76" s="316">
        <f>'B) D RI'!S77</f>
        <v>72.5</v>
      </c>
      <c r="D76" s="153">
        <f>'B) D RI'!AA77</f>
        <v>1330</v>
      </c>
      <c r="E76" s="314">
        <f>'D) Ecrêtage'!C75</f>
        <v>44190.368827586208</v>
      </c>
      <c r="F76" s="318">
        <f>'E) Fact soc'!G81</f>
        <v>691108.26212699618</v>
      </c>
      <c r="G76" s="315">
        <f>'H) Péréquation directe'!I86</f>
        <v>209916.45398199453</v>
      </c>
      <c r="H76" s="318" t="e">
        <f>+'I) Dépenses thématiques'!O75</f>
        <v>#DIV/0!</v>
      </c>
      <c r="I76" s="315">
        <f>'K) Plafonnement aide'!J75</f>
        <v>0</v>
      </c>
      <c r="J76" s="318">
        <f>'J) Plafonnement effort'!J75</f>
        <v>0</v>
      </c>
      <c r="K76" s="315">
        <f>'L) Plafonnement taux'!Q76</f>
        <v>0</v>
      </c>
      <c r="L76" s="313" t="e">
        <f t="shared" si="2"/>
        <v>#DIV/0!</v>
      </c>
      <c r="M76" s="234">
        <f>'M) Police'!O76</f>
        <v>133499.04005228815</v>
      </c>
      <c r="N76" s="234" t="e">
        <f t="shared" si="3"/>
        <v>#DIV/0!</v>
      </c>
      <c r="P76" s="320"/>
    </row>
    <row r="77" spans="1:16" s="154" customFormat="1" x14ac:dyDescent="0.25">
      <c r="A77" s="151">
        <f>'B) D RI'!A78</f>
        <v>5515</v>
      </c>
      <c r="B77" s="152" t="str">
        <f>'B) D RI'!B78</f>
        <v>Bretigny-sur-Morrens</v>
      </c>
      <c r="C77" s="316">
        <f>'B) D RI'!S78</f>
        <v>81</v>
      </c>
      <c r="D77" s="153">
        <f>'B) D RI'!AA78</f>
        <v>859</v>
      </c>
      <c r="E77" s="314">
        <f>'D) Ecrêtage'!C76</f>
        <v>29586.483086419765</v>
      </c>
      <c r="F77" s="318">
        <f>'E) Fact soc'!G82</f>
        <v>519070.48399171152</v>
      </c>
      <c r="G77" s="315">
        <f>'H) Péréquation directe'!I87</f>
        <v>163984.54435875133</v>
      </c>
      <c r="H77" s="318" t="e">
        <f>+'I) Dépenses thématiques'!O76</f>
        <v>#DIV/0!</v>
      </c>
      <c r="I77" s="315">
        <f>'K) Plafonnement aide'!J76</f>
        <v>0</v>
      </c>
      <c r="J77" s="318">
        <f>'J) Plafonnement effort'!J76</f>
        <v>0</v>
      </c>
      <c r="K77" s="315">
        <f>'L) Plafonnement taux'!Q77</f>
        <v>0</v>
      </c>
      <c r="L77" s="313" t="e">
        <f t="shared" si="2"/>
        <v>#DIV/0!</v>
      </c>
      <c r="M77" s="234">
        <f>'M) Police'!O77</f>
        <v>89521.17624273416</v>
      </c>
      <c r="N77" s="234" t="e">
        <f t="shared" si="3"/>
        <v>#DIV/0!</v>
      </c>
      <c r="P77" s="320"/>
    </row>
    <row r="78" spans="1:16" s="154" customFormat="1" x14ac:dyDescent="0.25">
      <c r="A78" s="151">
        <f>'B) D RI'!A79</f>
        <v>5516</v>
      </c>
      <c r="B78" s="152" t="str">
        <f>'B) D RI'!B79</f>
        <v>Cugy</v>
      </c>
      <c r="C78" s="316">
        <f>'B) D RI'!S79</f>
        <v>78</v>
      </c>
      <c r="D78" s="153">
        <f>'B) D RI'!AA79</f>
        <v>2760</v>
      </c>
      <c r="E78" s="314">
        <f>'D) Ecrêtage'!C77</f>
        <v>107062.26318376069</v>
      </c>
      <c r="F78" s="318">
        <f>'E) Fact soc'!G83</f>
        <v>1835307.5779280975</v>
      </c>
      <c r="G78" s="315">
        <f>'H) Péréquation directe'!I88</f>
        <v>735127.81087977462</v>
      </c>
      <c r="H78" s="318" t="e">
        <f>+'I) Dépenses thématiques'!O77</f>
        <v>#DIV/0!</v>
      </c>
      <c r="I78" s="315">
        <f>'K) Plafonnement aide'!J77</f>
        <v>0</v>
      </c>
      <c r="J78" s="318">
        <f>'J) Plafonnement effort'!J77</f>
        <v>0</v>
      </c>
      <c r="K78" s="315">
        <f>'L) Plafonnement taux'!Q78</f>
        <v>0</v>
      </c>
      <c r="L78" s="313" t="e">
        <f t="shared" si="2"/>
        <v>#DIV/0!</v>
      </c>
      <c r="M78" s="234">
        <f>'M) Police'!O78</f>
        <v>323829.07017581444</v>
      </c>
      <c r="N78" s="234" t="e">
        <f t="shared" si="3"/>
        <v>#DIV/0!</v>
      </c>
      <c r="P78" s="320"/>
    </row>
    <row r="79" spans="1:16" s="154" customFormat="1" x14ac:dyDescent="0.25">
      <c r="A79" s="151">
        <f>'B) D RI'!A80</f>
        <v>5518</v>
      </c>
      <c r="B79" s="152" t="str">
        <f>'B) D RI'!B80</f>
        <v>Echallens</v>
      </c>
      <c r="C79" s="316">
        <f>'B) D RI'!S80</f>
        <v>72.5</v>
      </c>
      <c r="D79" s="153">
        <f>'B) D RI'!AA80</f>
        <v>5731</v>
      </c>
      <c r="E79" s="314">
        <f>'D) Ecrêtage'!C78</f>
        <v>178756.07310344829</v>
      </c>
      <c r="F79" s="318">
        <f>'E) Fact soc'!G84</f>
        <v>3028553.830093299</v>
      </c>
      <c r="G79" s="315">
        <f>'H) Péréquation directe'!I89</f>
        <v>-787760.94913545204</v>
      </c>
      <c r="H79" s="318" t="e">
        <f>+'I) Dépenses thématiques'!O78</f>
        <v>#DIV/0!</v>
      </c>
      <c r="I79" s="315">
        <f>'K) Plafonnement aide'!J78</f>
        <v>0</v>
      </c>
      <c r="J79" s="318">
        <f>'J) Plafonnement effort'!J78</f>
        <v>0</v>
      </c>
      <c r="K79" s="315">
        <f>'L) Plafonnement taux'!Q79</f>
        <v>0</v>
      </c>
      <c r="L79" s="313" t="e">
        <f t="shared" si="2"/>
        <v>#DIV/0!</v>
      </c>
      <c r="M79" s="234">
        <f>'M) Police'!O79</f>
        <v>536291.64616719924</v>
      </c>
      <c r="N79" s="234" t="e">
        <f t="shared" si="3"/>
        <v>#DIV/0!</v>
      </c>
      <c r="P79" s="320"/>
    </row>
    <row r="80" spans="1:16" s="154" customFormat="1" x14ac:dyDescent="0.25">
      <c r="A80" s="151">
        <f>'B) D RI'!A81</f>
        <v>5520</v>
      </c>
      <c r="B80" s="152" t="str">
        <f>'B) D RI'!B81</f>
        <v>Essertines-sur-Yverdon</v>
      </c>
      <c r="C80" s="316">
        <f>'B) D RI'!S81</f>
        <v>73</v>
      </c>
      <c r="D80" s="153">
        <f>'B) D RI'!AA81</f>
        <v>1036</v>
      </c>
      <c r="E80" s="314">
        <f>'D) Ecrêtage'!C79</f>
        <v>29733.806712328769</v>
      </c>
      <c r="F80" s="318">
        <f>'E) Fact soc'!G85</f>
        <v>534366.39830882836</v>
      </c>
      <c r="G80" s="315">
        <f>'H) Péréquation directe'!I90</f>
        <v>16040.842226528912</v>
      </c>
      <c r="H80" s="318" t="e">
        <f>+'I) Dépenses thématiques'!O79</f>
        <v>#DIV/0!</v>
      </c>
      <c r="I80" s="315">
        <f>'K) Plafonnement aide'!J79</f>
        <v>0</v>
      </c>
      <c r="J80" s="318">
        <f>'J) Plafonnement effort'!J79</f>
        <v>0</v>
      </c>
      <c r="K80" s="315">
        <f>'L) Plafonnement taux'!Q80</f>
        <v>0</v>
      </c>
      <c r="L80" s="313" t="e">
        <f t="shared" si="2"/>
        <v>#DIV/0!</v>
      </c>
      <c r="M80" s="234">
        <f>'M) Police'!O80</f>
        <v>89072.118325312942</v>
      </c>
      <c r="N80" s="234" t="e">
        <f t="shared" si="3"/>
        <v>#DIV/0!</v>
      </c>
      <c r="P80" s="320"/>
    </row>
    <row r="81" spans="1:16" s="154" customFormat="1" x14ac:dyDescent="0.25">
      <c r="A81" s="151">
        <f>'B) D RI'!A82</f>
        <v>5521</v>
      </c>
      <c r="B81" s="152" t="str">
        <f>'B) D RI'!B82</f>
        <v>Etagnières</v>
      </c>
      <c r="C81" s="316">
        <f>'B) D RI'!S82</f>
        <v>73</v>
      </c>
      <c r="D81" s="153">
        <f>'B) D RI'!AA82</f>
        <v>1148</v>
      </c>
      <c r="E81" s="314">
        <f>'D) Ecrêtage'!C80</f>
        <v>46797.314657534247</v>
      </c>
      <c r="F81" s="318">
        <f>'E) Fact soc'!G86</f>
        <v>727926.25830928178</v>
      </c>
      <c r="G81" s="315">
        <f>'H) Péréquation directe'!I91</f>
        <v>561678.79686126602</v>
      </c>
      <c r="H81" s="318" t="e">
        <f>+'I) Dépenses thématiques'!O80</f>
        <v>#DIV/0!</v>
      </c>
      <c r="I81" s="315">
        <f>'K) Plafonnement aide'!J80</f>
        <v>0</v>
      </c>
      <c r="J81" s="318">
        <f>'J) Plafonnement effort'!J80</f>
        <v>0</v>
      </c>
      <c r="K81" s="315">
        <f>'L) Plafonnement taux'!Q81</f>
        <v>0</v>
      </c>
      <c r="L81" s="313" t="e">
        <f t="shared" si="2"/>
        <v>#DIV/0!</v>
      </c>
      <c r="M81" s="234">
        <f>'M) Police'!O81</f>
        <v>140884.30206306884</v>
      </c>
      <c r="N81" s="234" t="e">
        <f t="shared" si="3"/>
        <v>#DIV/0!</v>
      </c>
      <c r="P81" s="320"/>
    </row>
    <row r="82" spans="1:16" s="154" customFormat="1" x14ac:dyDescent="0.25">
      <c r="A82" s="151">
        <f>'B) D RI'!A83</f>
        <v>5522</v>
      </c>
      <c r="B82" s="152" t="str">
        <f>'B) D RI'!B83</f>
        <v>Fey</v>
      </c>
      <c r="C82" s="316">
        <f>'B) D RI'!S83</f>
        <v>75</v>
      </c>
      <c r="D82" s="153">
        <f>'B) D RI'!AA83</f>
        <v>749</v>
      </c>
      <c r="E82" s="314">
        <f>'D) Ecrêtage'!C81</f>
        <v>23726.940933333331</v>
      </c>
      <c r="F82" s="318">
        <f>'E) Fact soc'!G87</f>
        <v>348898.90098712308</v>
      </c>
      <c r="G82" s="315">
        <f>'H) Péréquation directe'!I92</f>
        <v>94208.05394700286</v>
      </c>
      <c r="H82" s="318" t="e">
        <f>+'I) Dépenses thématiques'!O81</f>
        <v>#DIV/0!</v>
      </c>
      <c r="I82" s="315">
        <f>'K) Plafonnement aide'!J81</f>
        <v>0</v>
      </c>
      <c r="J82" s="318">
        <f>'J) Plafonnement effort'!J81</f>
        <v>0</v>
      </c>
      <c r="K82" s="315">
        <f>'L) Plafonnement taux'!Q82</f>
        <v>0</v>
      </c>
      <c r="L82" s="313" t="e">
        <f t="shared" si="2"/>
        <v>#DIV/0!</v>
      </c>
      <c r="M82" s="234">
        <f>'M) Police'!O82</f>
        <v>71548.264379886095</v>
      </c>
      <c r="N82" s="234" t="e">
        <f t="shared" si="3"/>
        <v>#DIV/0!</v>
      </c>
      <c r="P82" s="320"/>
    </row>
    <row r="83" spans="1:16" s="154" customFormat="1" x14ac:dyDescent="0.25">
      <c r="A83" s="151">
        <f>'B) D RI'!A84</f>
        <v>5523</v>
      </c>
      <c r="B83" s="152" t="str">
        <f>'B) D RI'!B84</f>
        <v>Froideville</v>
      </c>
      <c r="C83" s="316">
        <f>'B) D RI'!S84</f>
        <v>72</v>
      </c>
      <c r="D83" s="153">
        <f>'B) D RI'!AA84</f>
        <v>2694</v>
      </c>
      <c r="E83" s="314">
        <f>'D) Ecrêtage'!C82</f>
        <v>85868.846805555557</v>
      </c>
      <c r="F83" s="318">
        <f>'E) Fact soc'!G88</f>
        <v>1303484.6601120313</v>
      </c>
      <c r="G83" s="315">
        <f>'H) Péréquation directe'!I93</f>
        <v>60732.746112496592</v>
      </c>
      <c r="H83" s="318" t="e">
        <f>+'I) Dépenses thématiques'!O82</f>
        <v>#DIV/0!</v>
      </c>
      <c r="I83" s="315">
        <f>'K) Plafonnement aide'!J82</f>
        <v>0</v>
      </c>
      <c r="J83" s="318">
        <f>'J) Plafonnement effort'!J82</f>
        <v>0</v>
      </c>
      <c r="K83" s="315">
        <f>'L) Plafonnement taux'!Q83</f>
        <v>0</v>
      </c>
      <c r="L83" s="313" t="e">
        <f t="shared" si="2"/>
        <v>#DIV/0!</v>
      </c>
      <c r="M83" s="234">
        <f>'M) Police'!O83</f>
        <v>257577.17229634908</v>
      </c>
      <c r="N83" s="234" t="e">
        <f t="shared" si="3"/>
        <v>#DIV/0!</v>
      </c>
      <c r="P83" s="320"/>
    </row>
    <row r="84" spans="1:16" s="154" customFormat="1" x14ac:dyDescent="0.25">
      <c r="A84" s="151">
        <f>'B) D RI'!A85</f>
        <v>5527</v>
      </c>
      <c r="B84" s="152" t="str">
        <f>'B) D RI'!B85</f>
        <v>Morrens</v>
      </c>
      <c r="C84" s="316">
        <f>'B) D RI'!S85</f>
        <v>74</v>
      </c>
      <c r="D84" s="153">
        <f>'B) D RI'!AA85</f>
        <v>1153</v>
      </c>
      <c r="E84" s="314">
        <f>'D) Ecrêtage'!C83</f>
        <v>40564.204594594594</v>
      </c>
      <c r="F84" s="318">
        <f>'E) Fact soc'!G89</f>
        <v>630349.52463210444</v>
      </c>
      <c r="G84" s="315">
        <f>'H) Péréquation directe'!I94</f>
        <v>290301.5144474713</v>
      </c>
      <c r="H84" s="318" t="e">
        <f>+'I) Dépenses thématiques'!O83</f>
        <v>#DIV/0!</v>
      </c>
      <c r="I84" s="315">
        <f>'K) Plafonnement aide'!J83</f>
        <v>0</v>
      </c>
      <c r="J84" s="318">
        <f>'J) Plafonnement effort'!J83</f>
        <v>0</v>
      </c>
      <c r="K84" s="315">
        <f>'L) Plafonnement taux'!Q84</f>
        <v>0</v>
      </c>
      <c r="L84" s="313" t="e">
        <f t="shared" si="2"/>
        <v>#DIV/0!</v>
      </c>
      <c r="M84" s="234">
        <f>'M) Police'!O84</f>
        <v>122270.97109179242</v>
      </c>
      <c r="N84" s="234" t="e">
        <f t="shared" si="3"/>
        <v>#DIV/0!</v>
      </c>
      <c r="P84" s="320"/>
    </row>
    <row r="85" spans="1:16" s="154" customFormat="1" x14ac:dyDescent="0.25">
      <c r="A85" s="151">
        <f>'B) D RI'!A86</f>
        <v>5529</v>
      </c>
      <c r="B85" s="152" t="str">
        <f>'B) D RI'!B86</f>
        <v>Oulens-sous-Echallens</v>
      </c>
      <c r="C85" s="316">
        <f>'B) D RI'!S86</f>
        <v>70</v>
      </c>
      <c r="D85" s="153">
        <f>'B) D RI'!AA86</f>
        <v>618</v>
      </c>
      <c r="E85" s="314">
        <f>'D) Ecrêtage'!C84</f>
        <v>20201.245428571427</v>
      </c>
      <c r="F85" s="318">
        <f>'E) Fact soc'!G90</f>
        <v>295343.70103262353</v>
      </c>
      <c r="G85" s="315">
        <f>'H) Péréquation directe'!I95</f>
        <v>131907.83398912952</v>
      </c>
      <c r="H85" s="318" t="e">
        <f>+'I) Dépenses thématiques'!O84</f>
        <v>#DIV/0!</v>
      </c>
      <c r="I85" s="315">
        <f>'K) Plafonnement aide'!J84</f>
        <v>0</v>
      </c>
      <c r="J85" s="318">
        <f>'J) Plafonnement effort'!J84</f>
        <v>0</v>
      </c>
      <c r="K85" s="315">
        <f>'L) Plafonnement taux'!Q85</f>
        <v>0</v>
      </c>
      <c r="L85" s="313" t="e">
        <f t="shared" si="2"/>
        <v>#DIV/0!</v>
      </c>
      <c r="M85" s="234">
        <f>'M) Police'!O85</f>
        <v>60605.687743078903</v>
      </c>
      <c r="N85" s="234" t="e">
        <f t="shared" si="3"/>
        <v>#DIV/0!</v>
      </c>
      <c r="P85" s="320"/>
    </row>
    <row r="86" spans="1:16" s="154" customFormat="1" x14ac:dyDescent="0.25">
      <c r="A86" s="151">
        <f>'B) D RI'!A87</f>
        <v>5530</v>
      </c>
      <c r="B86" s="152" t="str">
        <f>'B) D RI'!B87</f>
        <v>Pailly</v>
      </c>
      <c r="C86" s="316">
        <f>'B) D RI'!S87</f>
        <v>76</v>
      </c>
      <c r="D86" s="153">
        <f>'B) D RI'!AA87</f>
        <v>567</v>
      </c>
      <c r="E86" s="314">
        <f>'D) Ecrêtage'!C85</f>
        <v>18302.009495614031</v>
      </c>
      <c r="F86" s="318">
        <f>'E) Fact soc'!G91</f>
        <v>260100.62314587933</v>
      </c>
      <c r="G86" s="315">
        <f>'H) Péréquation directe'!I96</f>
        <v>80226.714766924502</v>
      </c>
      <c r="H86" s="318" t="e">
        <f>+'I) Dépenses thématiques'!O85</f>
        <v>#DIV/0!</v>
      </c>
      <c r="I86" s="315">
        <f>'K) Plafonnement aide'!J85</f>
        <v>0</v>
      </c>
      <c r="J86" s="318">
        <f>'J) Plafonnement effort'!J85</f>
        <v>0</v>
      </c>
      <c r="K86" s="315">
        <f>'L) Plafonnement taux'!Q86</f>
        <v>0</v>
      </c>
      <c r="L86" s="313" t="e">
        <f t="shared" si="2"/>
        <v>#DIV/0!</v>
      </c>
      <c r="M86" s="234">
        <f>'M) Police'!O86</f>
        <v>55310.040469544409</v>
      </c>
      <c r="N86" s="234" t="e">
        <f t="shared" si="3"/>
        <v>#DIV/0!</v>
      </c>
      <c r="P86" s="320"/>
    </row>
    <row r="87" spans="1:16" s="154" customFormat="1" x14ac:dyDescent="0.25">
      <c r="A87" s="151">
        <f>'B) D RI'!A88</f>
        <v>5531</v>
      </c>
      <c r="B87" s="152" t="str">
        <f>'B) D RI'!B88</f>
        <v>Penthéréaz</v>
      </c>
      <c r="C87" s="316">
        <f>'B) D RI'!S88</f>
        <v>74</v>
      </c>
      <c r="D87" s="153">
        <f>'B) D RI'!AA88</f>
        <v>419</v>
      </c>
      <c r="E87" s="314">
        <f>'D) Ecrêtage'!C86</f>
        <v>13843.062702702704</v>
      </c>
      <c r="F87" s="318">
        <f>'E) Fact soc'!G92</f>
        <v>215283.27770482411</v>
      </c>
      <c r="G87" s="315">
        <f>'H) Péréquation directe'!I97</f>
        <v>80544.460781402478</v>
      </c>
      <c r="H87" s="318" t="e">
        <f>+'I) Dépenses thématiques'!O86</f>
        <v>#DIV/0!</v>
      </c>
      <c r="I87" s="315">
        <f>'K) Plafonnement aide'!J86</f>
        <v>0</v>
      </c>
      <c r="J87" s="318">
        <f>'J) Plafonnement effort'!J86</f>
        <v>0</v>
      </c>
      <c r="K87" s="315">
        <f>'L) Plafonnement taux'!Q87</f>
        <v>0</v>
      </c>
      <c r="L87" s="313" t="e">
        <f t="shared" si="2"/>
        <v>#DIV/0!</v>
      </c>
      <c r="M87" s="234">
        <f>'M) Police'!O87</f>
        <v>41843.629269654761</v>
      </c>
      <c r="N87" s="234" t="e">
        <f t="shared" si="3"/>
        <v>#DIV/0!</v>
      </c>
      <c r="P87" s="320"/>
    </row>
    <row r="88" spans="1:16" s="154" customFormat="1" x14ac:dyDescent="0.25">
      <c r="A88" s="151">
        <f>'B) D RI'!A89</f>
        <v>5533</v>
      </c>
      <c r="B88" s="152" t="str">
        <f>'B) D RI'!B89</f>
        <v>Poliez-Pittet</v>
      </c>
      <c r="C88" s="316">
        <f>'B) D RI'!S89</f>
        <v>73</v>
      </c>
      <c r="D88" s="153">
        <f>'B) D RI'!AA89</f>
        <v>829</v>
      </c>
      <c r="E88" s="314">
        <f>'D) Ecrêtage'!C87</f>
        <v>27190.167945205478</v>
      </c>
      <c r="F88" s="318">
        <f>'E) Fact soc'!G93</f>
        <v>538320.29887813446</v>
      </c>
      <c r="G88" s="315">
        <f>'H) Péréquation directe'!I98</f>
        <v>158612.21823157452</v>
      </c>
      <c r="H88" s="318" t="e">
        <f>+'I) Dépenses thématiques'!O87</f>
        <v>#DIV/0!</v>
      </c>
      <c r="I88" s="315">
        <f>'K) Plafonnement aide'!J87</f>
        <v>0</v>
      </c>
      <c r="J88" s="318">
        <f>'J) Plafonnement effort'!J87</f>
        <v>0</v>
      </c>
      <c r="K88" s="315">
        <f>'L) Plafonnement taux'!Q88</f>
        <v>0</v>
      </c>
      <c r="L88" s="313" t="e">
        <f t="shared" si="2"/>
        <v>#DIV/0!</v>
      </c>
      <c r="M88" s="234">
        <f>'M) Police'!O88</f>
        <v>82108.960768149584</v>
      </c>
      <c r="N88" s="234" t="e">
        <f t="shared" si="3"/>
        <v>#DIV/0!</v>
      </c>
      <c r="P88" s="320"/>
    </row>
    <row r="89" spans="1:16" s="154" customFormat="1" x14ac:dyDescent="0.25">
      <c r="A89" s="151">
        <f>'B) D RI'!A90</f>
        <v>5534</v>
      </c>
      <c r="B89" s="152" t="str">
        <f>'B) D RI'!B90</f>
        <v>Rueyres</v>
      </c>
      <c r="C89" s="316">
        <f>'B) D RI'!S90</f>
        <v>73</v>
      </c>
      <c r="D89" s="153">
        <f>'B) D RI'!AA90</f>
        <v>266</v>
      </c>
      <c r="E89" s="314">
        <f>'D) Ecrêtage'!C88</f>
        <v>9755.351210045661</v>
      </c>
      <c r="F89" s="318">
        <f>'E) Fact soc'!G94</f>
        <v>157231.59096387014</v>
      </c>
      <c r="G89" s="315">
        <f>'H) Péréquation directe'!I99</f>
        <v>93176.341400150297</v>
      </c>
      <c r="H89" s="318" t="e">
        <f>+'I) Dépenses thématiques'!O88</f>
        <v>#DIV/0!</v>
      </c>
      <c r="I89" s="315">
        <f>'K) Plafonnement aide'!J88</f>
        <v>0</v>
      </c>
      <c r="J89" s="318">
        <f>'J) Plafonnement effort'!J88</f>
        <v>0</v>
      </c>
      <c r="K89" s="315">
        <f>'L) Plafonnement taux'!Q89</f>
        <v>0</v>
      </c>
      <c r="L89" s="313" t="e">
        <f t="shared" si="2"/>
        <v>#DIV/0!</v>
      </c>
      <c r="M89" s="234">
        <f>'M) Police'!O89</f>
        <v>28781.063839596049</v>
      </c>
      <c r="N89" s="234" t="e">
        <f t="shared" si="3"/>
        <v>#DIV/0!</v>
      </c>
      <c r="P89" s="320"/>
    </row>
    <row r="90" spans="1:16" s="154" customFormat="1" x14ac:dyDescent="0.25">
      <c r="A90" s="151">
        <f>'B) D RI'!A91</f>
        <v>5535</v>
      </c>
      <c r="B90" s="152" t="str">
        <f>'B) D RI'!B91</f>
        <v>Saint-Barthélemy</v>
      </c>
      <c r="C90" s="316">
        <f>'B) D RI'!S91</f>
        <v>75</v>
      </c>
      <c r="D90" s="153">
        <f>'B) D RI'!AA91</f>
        <v>784</v>
      </c>
      <c r="E90" s="314">
        <f>'D) Ecrêtage'!C89</f>
        <v>22496.850133333337</v>
      </c>
      <c r="F90" s="318">
        <f>'E) Fact soc'!G95</f>
        <v>335415.00362881075</v>
      </c>
      <c r="G90" s="315">
        <f>'H) Péréquation directe'!I100</f>
        <v>-96.525379735394381</v>
      </c>
      <c r="H90" s="318" t="e">
        <f>+'I) Dépenses thématiques'!O89</f>
        <v>#DIV/0!</v>
      </c>
      <c r="I90" s="315">
        <f>'K) Plafonnement aide'!J89</f>
        <v>0</v>
      </c>
      <c r="J90" s="318">
        <f>'J) Plafonnement effort'!J89</f>
        <v>0</v>
      </c>
      <c r="K90" s="315">
        <f>'L) Plafonnement taux'!Q90</f>
        <v>0</v>
      </c>
      <c r="L90" s="313" t="e">
        <f t="shared" si="2"/>
        <v>#DIV/0!</v>
      </c>
      <c r="M90" s="234">
        <f>'M) Police'!O90</f>
        <v>67514.020923559074</v>
      </c>
      <c r="N90" s="234" t="e">
        <f t="shared" si="3"/>
        <v>#DIV/0!</v>
      </c>
      <c r="P90" s="320"/>
    </row>
    <row r="91" spans="1:16" s="154" customFormat="1" x14ac:dyDescent="0.25">
      <c r="A91" s="151">
        <f>'B) D RI'!A92</f>
        <v>5537</v>
      </c>
      <c r="B91" s="152" t="str">
        <f>'B) D RI'!B92</f>
        <v>Villars-le-Terroir</v>
      </c>
      <c r="C91" s="316">
        <f>'B) D RI'!S92</f>
        <v>73</v>
      </c>
      <c r="D91" s="153">
        <f>'B) D RI'!AA92</f>
        <v>1281</v>
      </c>
      <c r="E91" s="314">
        <f>'D) Ecrêtage'!C90</f>
        <v>37963.269999999997</v>
      </c>
      <c r="F91" s="318">
        <f>'E) Fact soc'!G96</f>
        <v>611010.16212642216</v>
      </c>
      <c r="G91" s="315">
        <f>'H) Péréquation directe'!I101</f>
        <v>16182.851349357865</v>
      </c>
      <c r="H91" s="318" t="e">
        <f>+'I) Dépenses thématiques'!O90</f>
        <v>#DIV/0!</v>
      </c>
      <c r="I91" s="315">
        <f>'K) Plafonnement aide'!J90</f>
        <v>0</v>
      </c>
      <c r="J91" s="318">
        <f>'J) Plafonnement effort'!J90</f>
        <v>0</v>
      </c>
      <c r="K91" s="315">
        <f>'L) Plafonnement taux'!Q91</f>
        <v>0</v>
      </c>
      <c r="L91" s="313" t="e">
        <f t="shared" si="2"/>
        <v>#DIV/0!</v>
      </c>
      <c r="M91" s="234">
        <f>'M) Police'!O91</f>
        <v>114049.82568746072</v>
      </c>
      <c r="N91" s="234" t="e">
        <f t="shared" si="3"/>
        <v>#DIV/0!</v>
      </c>
      <c r="P91" s="320"/>
    </row>
    <row r="92" spans="1:16" s="154" customFormat="1" x14ac:dyDescent="0.25">
      <c r="A92" s="151">
        <f>'B) D RI'!A93</f>
        <v>5539</v>
      </c>
      <c r="B92" s="152" t="str">
        <f>'B) D RI'!B93</f>
        <v>Vuarrens</v>
      </c>
      <c r="C92" s="316">
        <f>'B) D RI'!S93</f>
        <v>73.5</v>
      </c>
      <c r="D92" s="153">
        <f>'B) D RI'!AA93</f>
        <v>1060</v>
      </c>
      <c r="E92" s="314">
        <f>'D) Ecrêtage'!C91</f>
        <v>35961.61534013605</v>
      </c>
      <c r="F92" s="318">
        <f>'E) Fact soc'!G97</f>
        <v>652763.96592188347</v>
      </c>
      <c r="G92" s="315">
        <f>'H) Péréquation directe'!I102</f>
        <v>233991.30585701909</v>
      </c>
      <c r="H92" s="318" t="e">
        <f>+'I) Dépenses thématiques'!O91</f>
        <v>#DIV/0!</v>
      </c>
      <c r="I92" s="315">
        <f>'K) Plafonnement aide'!J91</f>
        <v>0</v>
      </c>
      <c r="J92" s="318">
        <f>'J) Plafonnement effort'!J91</f>
        <v>0</v>
      </c>
      <c r="K92" s="315">
        <f>'L) Plafonnement taux'!Q92</f>
        <v>0</v>
      </c>
      <c r="L92" s="313" t="e">
        <f t="shared" si="2"/>
        <v>#DIV/0!</v>
      </c>
      <c r="M92" s="234">
        <f>'M) Police'!O92</f>
        <v>108930.34169676474</v>
      </c>
      <c r="N92" s="234" t="e">
        <f t="shared" si="3"/>
        <v>#DIV/0!</v>
      </c>
      <c r="P92" s="320"/>
    </row>
    <row r="93" spans="1:16" s="154" customFormat="1" x14ac:dyDescent="0.25">
      <c r="A93" s="151">
        <f>'B) D RI'!A94</f>
        <v>5540</v>
      </c>
      <c r="B93" s="152" t="str">
        <f>'B) D RI'!B94</f>
        <v>Montilliez</v>
      </c>
      <c r="C93" s="316">
        <f>'B) D RI'!S94</f>
        <v>72.5</v>
      </c>
      <c r="D93" s="153">
        <f>'B) D RI'!AA94</f>
        <v>1857</v>
      </c>
      <c r="E93" s="314">
        <f>'D) Ecrêtage'!C92</f>
        <v>66256.548551724132</v>
      </c>
      <c r="F93" s="318">
        <f>'E) Fact soc'!G98</f>
        <v>994968.90746966575</v>
      </c>
      <c r="G93" s="315">
        <f>'H) Péréquation directe'!I103</f>
        <v>390202.9706369394</v>
      </c>
      <c r="H93" s="318" t="e">
        <f>+'I) Dépenses thématiques'!O92</f>
        <v>#DIV/0!</v>
      </c>
      <c r="I93" s="315">
        <f>'K) Plafonnement aide'!J92</f>
        <v>0</v>
      </c>
      <c r="J93" s="318">
        <f>'J) Plafonnement effort'!J92</f>
        <v>0</v>
      </c>
      <c r="K93" s="315">
        <f>'L) Plafonnement taux'!Q93</f>
        <v>0</v>
      </c>
      <c r="L93" s="313" t="e">
        <f>F93+G93+H93+I93+J93+K93</f>
        <v>#DIV/0!</v>
      </c>
      <c r="M93" s="234">
        <f>'M) Police'!O93</f>
        <v>200287.68149993735</v>
      </c>
      <c r="N93" s="234" t="e">
        <f t="shared" si="3"/>
        <v>#DIV/0!</v>
      </c>
      <c r="P93" s="320"/>
    </row>
    <row r="94" spans="1:16" s="154" customFormat="1" x14ac:dyDescent="0.25">
      <c r="A94" s="151">
        <f>'B) D RI'!A95</f>
        <v>5541</v>
      </c>
      <c r="B94" s="152" t="str">
        <f>'B) D RI'!B95</f>
        <v>Goumoëns</v>
      </c>
      <c r="C94" s="316">
        <f>'B) D RI'!S95</f>
        <v>75.5</v>
      </c>
      <c r="D94" s="153">
        <f>'B) D RI'!AA95</f>
        <v>1153</v>
      </c>
      <c r="E94" s="314">
        <f>'D) Ecrêtage'!C93</f>
        <v>36998.611258278142</v>
      </c>
      <c r="F94" s="318">
        <f>'E) Fact soc'!G99</f>
        <v>630509.15735592914</v>
      </c>
      <c r="G94" s="315">
        <f>'H) Péréquation directe'!I104</f>
        <v>125267.36761635437</v>
      </c>
      <c r="H94" s="318" t="e">
        <f>+'I) Dépenses thématiques'!O93</f>
        <v>#DIV/0!</v>
      </c>
      <c r="I94" s="315">
        <f>'K) Plafonnement aide'!J93</f>
        <v>0</v>
      </c>
      <c r="J94" s="318">
        <f>'J) Plafonnement effort'!J93</f>
        <v>0</v>
      </c>
      <c r="K94" s="315">
        <f>'L) Plafonnement taux'!Q94</f>
        <v>0</v>
      </c>
      <c r="L94" s="313" t="e">
        <f>F94+G94+H94+I94+J94+K94</f>
        <v>#DIV/0!</v>
      </c>
      <c r="M94" s="234">
        <f>'M) Police'!O94</f>
        <v>111859.80878415148</v>
      </c>
      <c r="N94" s="234" t="e">
        <f t="shared" si="3"/>
        <v>#DIV/0!</v>
      </c>
      <c r="P94" s="320"/>
    </row>
    <row r="95" spans="1:16" s="154" customFormat="1" x14ac:dyDescent="0.25">
      <c r="A95" s="151">
        <f>'B) D RI'!A96</f>
        <v>5551</v>
      </c>
      <c r="B95" s="152" t="str">
        <f>'B) D RI'!B96</f>
        <v>Bonvillars</v>
      </c>
      <c r="C95" s="316">
        <f>'B) D RI'!S96</f>
        <v>55</v>
      </c>
      <c r="D95" s="153">
        <f>'B) D RI'!AA96</f>
        <v>489</v>
      </c>
      <c r="E95" s="314">
        <f>'D) Ecrêtage'!C94</f>
        <v>19156.634727272725</v>
      </c>
      <c r="F95" s="318">
        <f>'E) Fact soc'!G100</f>
        <v>284176.96214435727</v>
      </c>
      <c r="G95" s="315">
        <f>'H) Péréquation directe'!I105</f>
        <v>262122.11721782369</v>
      </c>
      <c r="H95" s="318" t="e">
        <f>+'I) Dépenses thématiques'!O94</f>
        <v>#DIV/0!</v>
      </c>
      <c r="I95" s="315">
        <f>'K) Plafonnement aide'!J94</f>
        <v>0</v>
      </c>
      <c r="J95" s="318">
        <f>'J) Plafonnement effort'!J94</f>
        <v>0</v>
      </c>
      <c r="K95" s="315">
        <f>'L) Plafonnement taux'!Q95</f>
        <v>0</v>
      </c>
      <c r="L95" s="313" t="e">
        <f t="shared" si="2"/>
        <v>#DIV/0!</v>
      </c>
      <c r="M95" s="234">
        <f>'M) Police'!O95</f>
        <v>56081.968090321127</v>
      </c>
      <c r="N95" s="234" t="e">
        <f t="shared" si="3"/>
        <v>#DIV/0!</v>
      </c>
      <c r="P95" s="320"/>
    </row>
    <row r="96" spans="1:16" s="154" customFormat="1" x14ac:dyDescent="0.25">
      <c r="A96" s="151">
        <f>'B) D RI'!A97</f>
        <v>5552</v>
      </c>
      <c r="B96" s="152" t="str">
        <f>'B) D RI'!B97</f>
        <v>Bullet</v>
      </c>
      <c r="C96" s="316">
        <f>'B) D RI'!S97</f>
        <v>71.5</v>
      </c>
      <c r="D96" s="153">
        <f>'B) D RI'!AA97</f>
        <v>657</v>
      </c>
      <c r="E96" s="314">
        <f>'D) Ecrêtage'!C95</f>
        <v>17556.417482517485</v>
      </c>
      <c r="F96" s="318">
        <f>'E) Fact soc'!G101</f>
        <v>309658.48736283631</v>
      </c>
      <c r="G96" s="315">
        <f>'H) Péréquation directe'!I106</f>
        <v>-25791.640119479736</v>
      </c>
      <c r="H96" s="318" t="e">
        <f>+'I) Dépenses thématiques'!O95</f>
        <v>#DIV/0!</v>
      </c>
      <c r="I96" s="315">
        <f>'K) Plafonnement aide'!J95</f>
        <v>0</v>
      </c>
      <c r="J96" s="318">
        <f>'J) Plafonnement effort'!J95</f>
        <v>0</v>
      </c>
      <c r="K96" s="315">
        <f>'L) Plafonnement taux'!Q96</f>
        <v>0</v>
      </c>
      <c r="L96" s="313" t="e">
        <f t="shared" si="2"/>
        <v>#DIV/0!</v>
      </c>
      <c r="M96" s="234">
        <f>'M) Police'!O96</f>
        <v>52319.807029426491</v>
      </c>
      <c r="N96" s="234" t="e">
        <f t="shared" si="3"/>
        <v>#DIV/0!</v>
      </c>
      <c r="P96" s="320"/>
    </row>
    <row r="97" spans="1:16" s="154" customFormat="1" x14ac:dyDescent="0.25">
      <c r="A97" s="151">
        <f>'B) D RI'!A98</f>
        <v>5553</v>
      </c>
      <c r="B97" s="152" t="str">
        <f>'B) D RI'!B98</f>
        <v>Champagne</v>
      </c>
      <c r="C97" s="316">
        <f>'B) D RI'!S98</f>
        <v>65</v>
      </c>
      <c r="D97" s="153">
        <f>'B) D RI'!AA98</f>
        <v>1061</v>
      </c>
      <c r="E97" s="314">
        <f>'D) Ecrêtage'!C96</f>
        <v>38681.377846153839</v>
      </c>
      <c r="F97" s="318">
        <f>'E) Fact soc'!G102</f>
        <v>680320.83025193471</v>
      </c>
      <c r="G97" s="315">
        <f>'H) Péréquation directe'!I107</f>
        <v>403663.20750325458</v>
      </c>
      <c r="H97" s="318" t="e">
        <f>+'I) Dépenses thématiques'!O96</f>
        <v>#DIV/0!</v>
      </c>
      <c r="I97" s="315">
        <f>'K) Plafonnement aide'!J96</f>
        <v>0</v>
      </c>
      <c r="J97" s="318">
        <f>'J) Plafonnement effort'!J96</f>
        <v>0</v>
      </c>
      <c r="K97" s="315">
        <f>'L) Plafonnement taux'!Q97</f>
        <v>0</v>
      </c>
      <c r="L97" s="313" t="e">
        <f t="shared" si="2"/>
        <v>#DIV/0!</v>
      </c>
      <c r="M97" s="234">
        <f>'M) Police'!O97</f>
        <v>114814.04931206541</v>
      </c>
      <c r="N97" s="234" t="e">
        <f t="shared" si="3"/>
        <v>#DIV/0!</v>
      </c>
      <c r="P97" s="320"/>
    </row>
    <row r="98" spans="1:16" s="154" customFormat="1" x14ac:dyDescent="0.25">
      <c r="A98" s="151">
        <f>'B) D RI'!A99</f>
        <v>5554</v>
      </c>
      <c r="B98" s="152" t="str">
        <f>'B) D RI'!B99</f>
        <v>Concise</v>
      </c>
      <c r="C98" s="316">
        <f>'B) D RI'!S99</f>
        <v>75</v>
      </c>
      <c r="D98" s="153">
        <f>'B) D RI'!AA99</f>
        <v>1001</v>
      </c>
      <c r="E98" s="314">
        <f>'D) Ecrêtage'!C97</f>
        <v>32327.871066666674</v>
      </c>
      <c r="F98" s="318">
        <f>'E) Fact soc'!G103</f>
        <v>562008.92099302704</v>
      </c>
      <c r="G98" s="315">
        <f>'H) Péréquation directe'!I108</f>
        <v>151764.27944860194</v>
      </c>
      <c r="H98" s="318" t="e">
        <f>+'I) Dépenses thématiques'!O97</f>
        <v>#DIV/0!</v>
      </c>
      <c r="I98" s="315">
        <f>'K) Plafonnement aide'!J97</f>
        <v>0</v>
      </c>
      <c r="J98" s="318">
        <f>'J) Plafonnement effort'!J97</f>
        <v>0</v>
      </c>
      <c r="K98" s="315">
        <f>'L) Plafonnement taux'!Q98</f>
        <v>0</v>
      </c>
      <c r="L98" s="313" t="e">
        <f t="shared" si="2"/>
        <v>#DIV/0!</v>
      </c>
      <c r="M98" s="234">
        <f>'M) Police'!O98</f>
        <v>98065.651492165431</v>
      </c>
      <c r="N98" s="234" t="e">
        <f t="shared" si="3"/>
        <v>#DIV/0!</v>
      </c>
      <c r="P98" s="320"/>
    </row>
    <row r="99" spans="1:16" s="154" customFormat="1" x14ac:dyDescent="0.25">
      <c r="A99" s="151">
        <f>'B) D RI'!A100</f>
        <v>5555</v>
      </c>
      <c r="B99" s="152" t="str">
        <f>'B) D RI'!B100</f>
        <v>Corcelles-près-Concise</v>
      </c>
      <c r="C99" s="316">
        <f>'B) D RI'!S100</f>
        <v>69</v>
      </c>
      <c r="D99" s="153">
        <f>'B) D RI'!AA100</f>
        <v>419</v>
      </c>
      <c r="E99" s="314">
        <f>'D) Ecrêtage'!C98</f>
        <v>13570.544057971018</v>
      </c>
      <c r="F99" s="318">
        <f>'E) Fact soc'!G104</f>
        <v>274712.29343155515</v>
      </c>
      <c r="G99" s="315">
        <f>'H) Péréquation directe'!I109</f>
        <v>88178.998117143841</v>
      </c>
      <c r="H99" s="318" t="e">
        <f>+'I) Dépenses thématiques'!O98</f>
        <v>#DIV/0!</v>
      </c>
      <c r="I99" s="315">
        <f>'K) Plafonnement aide'!J98</f>
        <v>0</v>
      </c>
      <c r="J99" s="318">
        <f>'J) Plafonnement effort'!J98</f>
        <v>0</v>
      </c>
      <c r="K99" s="315">
        <f>'L) Plafonnement taux'!Q99</f>
        <v>0</v>
      </c>
      <c r="L99" s="313" t="e">
        <f t="shared" si="2"/>
        <v>#DIV/0!</v>
      </c>
      <c r="M99" s="234">
        <f>'M) Police'!O99</f>
        <v>40408.407540932785</v>
      </c>
      <c r="N99" s="234" t="e">
        <f t="shared" si="3"/>
        <v>#DIV/0!</v>
      </c>
      <c r="P99" s="320"/>
    </row>
    <row r="100" spans="1:16" s="154" customFormat="1" x14ac:dyDescent="0.25">
      <c r="A100" s="151">
        <f>'B) D RI'!A101</f>
        <v>5556</v>
      </c>
      <c r="B100" s="152" t="str">
        <f>'B) D RI'!B101</f>
        <v>Fiez</v>
      </c>
      <c r="C100" s="316">
        <f>'B) D RI'!S101</f>
        <v>69</v>
      </c>
      <c r="D100" s="153">
        <f>'B) D RI'!AA101</f>
        <v>451</v>
      </c>
      <c r="E100" s="314">
        <f>'D) Ecrêtage'!C99</f>
        <v>13816.427753623188</v>
      </c>
      <c r="F100" s="318">
        <f>'E) Fact soc'!G105</f>
        <v>232283.57878709678</v>
      </c>
      <c r="G100" s="315">
        <f>'H) Péréquation directe'!I110</f>
        <v>64290.541648975079</v>
      </c>
      <c r="H100" s="318" t="e">
        <f>+'I) Dépenses thématiques'!O99</f>
        <v>#DIV/0!</v>
      </c>
      <c r="I100" s="315">
        <f>'K) Plafonnement aide'!J99</f>
        <v>0</v>
      </c>
      <c r="J100" s="318">
        <f>'J) Plafonnement effort'!J99</f>
        <v>0</v>
      </c>
      <c r="K100" s="315">
        <f>'L) Plafonnement taux'!Q100</f>
        <v>0</v>
      </c>
      <c r="L100" s="313" t="e">
        <f t="shared" si="2"/>
        <v>#DIV/0!</v>
      </c>
      <c r="M100" s="234">
        <f>'M) Police'!O100</f>
        <v>41644.832043265582</v>
      </c>
      <c r="N100" s="234" t="e">
        <f t="shared" si="3"/>
        <v>#DIV/0!</v>
      </c>
      <c r="P100" s="320"/>
    </row>
    <row r="101" spans="1:16" s="154" customFormat="1" x14ac:dyDescent="0.25">
      <c r="A101" s="151">
        <f>'B) D RI'!A102</f>
        <v>5557</v>
      </c>
      <c r="B101" s="152" t="str">
        <f>'B) D RI'!B102</f>
        <v>Fontaines-sur-Grandson</v>
      </c>
      <c r="C101" s="316">
        <f>'B) D RI'!S102</f>
        <v>69</v>
      </c>
      <c r="D101" s="153">
        <f>'B) D RI'!AA102</f>
        <v>219</v>
      </c>
      <c r="E101" s="314">
        <f>'D) Ecrêtage'!C100</f>
        <v>5880.3275362318818</v>
      </c>
      <c r="F101" s="318">
        <f>'E) Fact soc'!G106</f>
        <v>112007.55040871724</v>
      </c>
      <c r="G101" s="315">
        <f>'H) Péréquation directe'!I111</f>
        <v>-885.04805419602781</v>
      </c>
      <c r="H101" s="318" t="e">
        <f>+'I) Dépenses thématiques'!O100</f>
        <v>#DIV/0!</v>
      </c>
      <c r="I101" s="315">
        <f>'K) Plafonnement aide'!J100</f>
        <v>0</v>
      </c>
      <c r="J101" s="318">
        <f>'J) Plafonnement effort'!J100</f>
        <v>0</v>
      </c>
      <c r="K101" s="315">
        <f>'L) Plafonnement taux'!Q101</f>
        <v>0</v>
      </c>
      <c r="L101" s="313" t="e">
        <f t="shared" si="2"/>
        <v>#DIV/0!</v>
      </c>
      <c r="M101" s="234">
        <f>'M) Police'!O101</f>
        <v>17540.600503994974</v>
      </c>
      <c r="N101" s="234" t="e">
        <f t="shared" si="3"/>
        <v>#DIV/0!</v>
      </c>
      <c r="P101" s="320"/>
    </row>
    <row r="102" spans="1:16" s="154" customFormat="1" x14ac:dyDescent="0.25">
      <c r="A102" s="151">
        <f>'B) D RI'!A103</f>
        <v>5559</v>
      </c>
      <c r="B102" s="152" t="str">
        <f>'B) D RI'!B103</f>
        <v>Giez</v>
      </c>
      <c r="C102" s="316">
        <f>'B) D RI'!S103</f>
        <v>66</v>
      </c>
      <c r="D102" s="153">
        <f>'B) D RI'!AA103</f>
        <v>414</v>
      </c>
      <c r="E102" s="314">
        <f>'D) Ecrêtage'!C101</f>
        <v>16897.618636363641</v>
      </c>
      <c r="F102" s="318">
        <f>'E) Fact soc'!G107</f>
        <v>288619.0477443065</v>
      </c>
      <c r="G102" s="315">
        <f>'H) Péréquation directe'!I112</f>
        <v>227230.63147061301</v>
      </c>
      <c r="H102" s="318" t="e">
        <f>+'I) Dépenses thématiques'!O101</f>
        <v>#DIV/0!</v>
      </c>
      <c r="I102" s="315">
        <f>'K) Plafonnement aide'!J101</f>
        <v>0</v>
      </c>
      <c r="J102" s="318">
        <f>'J) Plafonnement effort'!J101</f>
        <v>0</v>
      </c>
      <c r="K102" s="315">
        <f>'L) Plafonnement taux'!Q102</f>
        <v>0</v>
      </c>
      <c r="L102" s="313" t="e">
        <f t="shared" si="2"/>
        <v>#DIV/0!</v>
      </c>
      <c r="M102" s="234">
        <f>'M) Police'!O102</f>
        <v>50820.390850010896</v>
      </c>
      <c r="N102" s="234" t="e">
        <f t="shared" si="3"/>
        <v>#DIV/0!</v>
      </c>
      <c r="P102" s="320"/>
    </row>
    <row r="103" spans="1:16" s="154" customFormat="1" x14ac:dyDescent="0.25">
      <c r="A103" s="151">
        <f>'B) D RI'!A104</f>
        <v>5560</v>
      </c>
      <c r="B103" s="152" t="str">
        <f>'B) D RI'!B104</f>
        <v>Grandevent</v>
      </c>
      <c r="C103" s="316">
        <f>'B) D RI'!S104</f>
        <v>68</v>
      </c>
      <c r="D103" s="153">
        <f>'B) D RI'!AA104</f>
        <v>226</v>
      </c>
      <c r="E103" s="314">
        <f>'D) Ecrêtage'!C102</f>
        <v>6167.8957352941179</v>
      </c>
      <c r="F103" s="318">
        <f>'E) Fact soc'!G108</f>
        <v>97505.824277982771</v>
      </c>
      <c r="G103" s="315">
        <f>'H) Péréquation directe'!I113</f>
        <v>5539.285571739485</v>
      </c>
      <c r="H103" s="318" t="e">
        <f>+'I) Dépenses thématiques'!O102</f>
        <v>#DIV/0!</v>
      </c>
      <c r="I103" s="315">
        <f>'K) Plafonnement aide'!J102</f>
        <v>0</v>
      </c>
      <c r="J103" s="318">
        <f>'J) Plafonnement effort'!J102</f>
        <v>0</v>
      </c>
      <c r="K103" s="315">
        <f>'L) Plafonnement taux'!Q103</f>
        <v>0</v>
      </c>
      <c r="L103" s="313" t="e">
        <f t="shared" si="2"/>
        <v>#DIV/0!</v>
      </c>
      <c r="M103" s="234">
        <f>'M) Police'!O103</f>
        <v>18305.019644170607</v>
      </c>
      <c r="N103" s="234" t="e">
        <f t="shared" si="3"/>
        <v>#DIV/0!</v>
      </c>
      <c r="P103" s="320"/>
    </row>
    <row r="104" spans="1:16" s="154" customFormat="1" x14ac:dyDescent="0.25">
      <c r="A104" s="151">
        <f>'B) D RI'!A105</f>
        <v>5561</v>
      </c>
      <c r="B104" s="152" t="str">
        <f>'B) D RI'!B105</f>
        <v>Grandson</v>
      </c>
      <c r="C104" s="316">
        <f>'B) D RI'!S105</f>
        <v>69</v>
      </c>
      <c r="D104" s="153">
        <f>'B) D RI'!AA105</f>
        <v>3356</v>
      </c>
      <c r="E104" s="314">
        <f>'D) Ecrêtage'!C103</f>
        <v>114985.73289855072</v>
      </c>
      <c r="F104" s="318">
        <f>'E) Fact soc'!G109</f>
        <v>2010655.4081250941</v>
      </c>
      <c r="G104" s="315">
        <f>'H) Péréquation directe'!I114</f>
        <v>371197.51749019441</v>
      </c>
      <c r="H104" s="318" t="e">
        <f>+'I) Dépenses thématiques'!O103</f>
        <v>#DIV/0!</v>
      </c>
      <c r="I104" s="315">
        <f>'K) Plafonnement aide'!J103</f>
        <v>0</v>
      </c>
      <c r="J104" s="318">
        <f>'J) Plafonnement effort'!J103</f>
        <v>0</v>
      </c>
      <c r="K104" s="315">
        <f>'L) Plafonnement taux'!Q104</f>
        <v>0</v>
      </c>
      <c r="L104" s="313" t="e">
        <f t="shared" si="2"/>
        <v>#DIV/0!</v>
      </c>
      <c r="M104" s="234">
        <f>'M) Police'!O104</f>
        <v>345743.65726897231</v>
      </c>
      <c r="N104" s="234" t="e">
        <f t="shared" si="3"/>
        <v>#DIV/0!</v>
      </c>
      <c r="P104" s="320"/>
    </row>
    <row r="105" spans="1:16" s="154" customFormat="1" x14ac:dyDescent="0.25">
      <c r="A105" s="151">
        <f>'B) D RI'!A106</f>
        <v>5562</v>
      </c>
      <c r="B105" s="152" t="str">
        <f>'B) D RI'!B106</f>
        <v>Mauborget</v>
      </c>
      <c r="C105" s="316">
        <f>'B) D RI'!S106</f>
        <v>70</v>
      </c>
      <c r="D105" s="153">
        <f>'B) D RI'!AA106</f>
        <v>128</v>
      </c>
      <c r="E105" s="314">
        <f>'D) Ecrêtage'!C104</f>
        <v>6037.1574285714287</v>
      </c>
      <c r="F105" s="318">
        <f>'E) Fact soc'!G110</f>
        <v>94367.316325217922</v>
      </c>
      <c r="G105" s="315">
        <f>'H) Péréquation directe'!I115</f>
        <v>100137.21100871655</v>
      </c>
      <c r="H105" s="318" t="e">
        <f>+'I) Dépenses thématiques'!O104</f>
        <v>#DIV/0!</v>
      </c>
      <c r="I105" s="315">
        <f>'K) Plafonnement aide'!J104</f>
        <v>0</v>
      </c>
      <c r="J105" s="318">
        <f>'J) Plafonnement effort'!J104</f>
        <v>0</v>
      </c>
      <c r="K105" s="315">
        <f>'L) Plafonnement taux'!Q105</f>
        <v>0</v>
      </c>
      <c r="L105" s="313" t="e">
        <f t="shared" si="2"/>
        <v>#DIV/0!</v>
      </c>
      <c r="M105" s="234">
        <f>'M) Police'!O105</f>
        <v>18213.232006929822</v>
      </c>
      <c r="N105" s="234" t="e">
        <f t="shared" si="3"/>
        <v>#DIV/0!</v>
      </c>
      <c r="P105" s="320"/>
    </row>
    <row r="106" spans="1:16" s="154" customFormat="1" x14ac:dyDescent="0.25">
      <c r="A106" s="151">
        <f>'B) D RI'!A107</f>
        <v>5563</v>
      </c>
      <c r="B106" s="152" t="str">
        <f>'B) D RI'!B107</f>
        <v>Mutrux</v>
      </c>
      <c r="C106" s="316">
        <f>'B) D RI'!S107</f>
        <v>80</v>
      </c>
      <c r="D106" s="153">
        <f>'B) D RI'!AA107</f>
        <v>149</v>
      </c>
      <c r="E106" s="314">
        <f>'D) Ecrêtage'!C105</f>
        <v>4073.5824999999995</v>
      </c>
      <c r="F106" s="318">
        <f>'E) Fact soc'!G111</f>
        <v>66923.896067558686</v>
      </c>
      <c r="G106" s="315">
        <f>'H) Péréquation directe'!I116</f>
        <v>-18194.070814630293</v>
      </c>
      <c r="H106" s="318" t="e">
        <f>+'I) Dépenses thématiques'!O105</f>
        <v>#DIV/0!</v>
      </c>
      <c r="I106" s="315">
        <f>'K) Plafonnement aide'!J105</f>
        <v>0</v>
      </c>
      <c r="J106" s="318">
        <f>'J) Plafonnement effort'!J105</f>
        <v>0</v>
      </c>
      <c r="K106" s="315">
        <f>'L) Plafonnement taux'!Q106</f>
        <v>0</v>
      </c>
      <c r="L106" s="313" t="e">
        <f t="shared" si="2"/>
        <v>#DIV/0!</v>
      </c>
      <c r="M106" s="234">
        <f>'M) Police'!O106</f>
        <v>12372.684647957827</v>
      </c>
      <c r="N106" s="234" t="e">
        <f t="shared" si="3"/>
        <v>#DIV/0!</v>
      </c>
      <c r="P106" s="320"/>
    </row>
    <row r="107" spans="1:16" s="154" customFormat="1" x14ac:dyDescent="0.25">
      <c r="A107" s="151">
        <f>'B) D RI'!A108</f>
        <v>5564</v>
      </c>
      <c r="B107" s="152" t="str">
        <f>'B) D RI'!B108</f>
        <v>Novalles</v>
      </c>
      <c r="C107" s="316">
        <f>'B) D RI'!S108</f>
        <v>76</v>
      </c>
      <c r="D107" s="153">
        <f>'B) D RI'!AA108</f>
        <v>99</v>
      </c>
      <c r="E107" s="314">
        <f>'D) Ecrêtage'!C106</f>
        <v>2091.5044407894734</v>
      </c>
      <c r="F107" s="318">
        <f>'E) Fact soc'!G112</f>
        <v>41716.804116642139</v>
      </c>
      <c r="G107" s="315">
        <f>'H) Péréquation directe'!I117</f>
        <v>-33257.347302946306</v>
      </c>
      <c r="H107" s="318" t="e">
        <f>+'I) Dépenses thématiques'!O106</f>
        <v>#DIV/0!</v>
      </c>
      <c r="I107" s="315">
        <f>'K) Plafonnement aide'!J106</f>
        <v>0</v>
      </c>
      <c r="J107" s="318">
        <f>'J) Plafonnement effort'!J106</f>
        <v>0</v>
      </c>
      <c r="K107" s="315">
        <f>'L) Plafonnement taux'!Q107</f>
        <v>0</v>
      </c>
      <c r="L107" s="313" t="e">
        <f t="shared" si="2"/>
        <v>#DIV/0!</v>
      </c>
      <c r="M107" s="234">
        <f>'M) Police'!O107</f>
        <v>6279.4478943729291</v>
      </c>
      <c r="N107" s="234" t="e">
        <f t="shared" si="3"/>
        <v>#DIV/0!</v>
      </c>
      <c r="P107" s="320"/>
    </row>
    <row r="108" spans="1:16" s="154" customFormat="1" x14ac:dyDescent="0.25">
      <c r="A108" s="151">
        <f>'B) D RI'!A109</f>
        <v>5565</v>
      </c>
      <c r="B108" s="152" t="str">
        <f>'B) D RI'!B109</f>
        <v>Onnens</v>
      </c>
      <c r="C108" s="316">
        <f>'B) D RI'!S109</f>
        <v>63.5</v>
      </c>
      <c r="D108" s="153">
        <f>'B) D RI'!AA109</f>
        <v>505</v>
      </c>
      <c r="E108" s="314">
        <f>'D) Ecrêtage'!C107</f>
        <v>19690.582047244097</v>
      </c>
      <c r="F108" s="318">
        <f>'E) Fact soc'!G113</f>
        <v>299166.72878572438</v>
      </c>
      <c r="G108" s="315">
        <f>'H) Péréquation directe'!I118</f>
        <v>249010.60541874039</v>
      </c>
      <c r="H108" s="318" t="e">
        <f>+'I) Dépenses thématiques'!O107</f>
        <v>#DIV/0!</v>
      </c>
      <c r="I108" s="315">
        <f>'K) Plafonnement aide'!J107</f>
        <v>0</v>
      </c>
      <c r="J108" s="318">
        <f>'J) Plafonnement effort'!J107</f>
        <v>0</v>
      </c>
      <c r="K108" s="315">
        <f>'L) Plafonnement taux'!Q108</f>
        <v>0</v>
      </c>
      <c r="L108" s="313" t="e">
        <f t="shared" si="2"/>
        <v>#DIV/0!</v>
      </c>
      <c r="M108" s="234">
        <f>'M) Police'!O108</f>
        <v>57581.008570816499</v>
      </c>
      <c r="N108" s="234" t="e">
        <f t="shared" si="3"/>
        <v>#DIV/0!</v>
      </c>
      <c r="P108" s="320"/>
    </row>
    <row r="109" spans="1:16" s="154" customFormat="1" x14ac:dyDescent="0.25">
      <c r="A109" s="151">
        <f>'B) D RI'!A110</f>
        <v>5566</v>
      </c>
      <c r="B109" s="152" t="str">
        <f>'B) D RI'!B110</f>
        <v>Provence</v>
      </c>
      <c r="C109" s="316">
        <f>'B) D RI'!S110</f>
        <v>81</v>
      </c>
      <c r="D109" s="153">
        <f>'B) D RI'!AA110</f>
        <v>392</v>
      </c>
      <c r="E109" s="314">
        <f>'D) Ecrêtage'!C108</f>
        <v>7598.735102880657</v>
      </c>
      <c r="F109" s="318">
        <f>'E) Fact soc'!G114</f>
        <v>180340.11131262296</v>
      </c>
      <c r="G109" s="315">
        <f>'H) Péréquation directe'!I119</f>
        <v>-196456.8911769618</v>
      </c>
      <c r="H109" s="318" t="e">
        <f>+'I) Dépenses thématiques'!O108</f>
        <v>#DIV/0!</v>
      </c>
      <c r="I109" s="315">
        <f>'K) Plafonnement aide'!J108</f>
        <v>0</v>
      </c>
      <c r="J109" s="318">
        <f>'J) Plafonnement effort'!J108</f>
        <v>0</v>
      </c>
      <c r="K109" s="315">
        <f>'L) Plafonnement taux'!Q109</f>
        <v>0</v>
      </c>
      <c r="L109" s="313" t="e">
        <f t="shared" si="2"/>
        <v>#DIV/0!</v>
      </c>
      <c r="M109" s="234">
        <f>'M) Police'!O109</f>
        <v>22713.47115948471</v>
      </c>
      <c r="N109" s="234" t="e">
        <f t="shared" si="3"/>
        <v>#DIV/0!</v>
      </c>
      <c r="P109" s="320"/>
    </row>
    <row r="110" spans="1:16" s="154" customFormat="1" x14ac:dyDescent="0.25">
      <c r="A110" s="151">
        <f>'B) D RI'!A111</f>
        <v>5568</v>
      </c>
      <c r="B110" s="152" t="str">
        <f>'B) D RI'!B111</f>
        <v>Sainte-Croix</v>
      </c>
      <c r="C110" s="316">
        <f>'B) D RI'!S111</f>
        <v>70</v>
      </c>
      <c r="D110" s="153">
        <f>'B) D RI'!AA111</f>
        <v>4917</v>
      </c>
      <c r="E110" s="314">
        <f>'D) Ecrêtage'!C109</f>
        <v>106515.47628571428</v>
      </c>
      <c r="F110" s="318">
        <f>'E) Fact soc'!G115</f>
        <v>2496464.8046041802</v>
      </c>
      <c r="G110" s="315">
        <f>'H) Péréquation directe'!I120</f>
        <v>-2240215.6700125225</v>
      </c>
      <c r="H110" s="318" t="e">
        <f>+'I) Dépenses thématiques'!O109</f>
        <v>#DIV/0!</v>
      </c>
      <c r="I110" s="315">
        <f>'K) Plafonnement aide'!J109</f>
        <v>0</v>
      </c>
      <c r="J110" s="318">
        <f>'J) Plafonnement effort'!J109</f>
        <v>0</v>
      </c>
      <c r="K110" s="315">
        <f>'L) Plafonnement taux'!Q110</f>
        <v>0</v>
      </c>
      <c r="L110" s="313" t="e">
        <f t="shared" si="2"/>
        <v>#DIV/0!</v>
      </c>
      <c r="M110" s="234">
        <f>'M) Police'!O110</f>
        <v>318692.43513917783</v>
      </c>
      <c r="N110" s="234" t="e">
        <f t="shared" si="3"/>
        <v>#DIV/0!</v>
      </c>
      <c r="P110" s="320"/>
    </row>
    <row r="111" spans="1:16" s="154" customFormat="1" x14ac:dyDescent="0.25">
      <c r="A111" s="151">
        <f>'B) D RI'!A112</f>
        <v>5571</v>
      </c>
      <c r="B111" s="152" t="str">
        <f>'B) D RI'!B112</f>
        <v>Tévenon</v>
      </c>
      <c r="C111" s="316">
        <f>'B) D RI'!S112</f>
        <v>71.5</v>
      </c>
      <c r="D111" s="153">
        <f>'B) D RI'!AA112</f>
        <v>894</v>
      </c>
      <c r="E111" s="314">
        <f>'D) Ecrêtage'!C110</f>
        <v>21380.087226107229</v>
      </c>
      <c r="F111" s="318">
        <f>'E) Fact soc'!G116</f>
        <v>364529.47047120112</v>
      </c>
      <c r="G111" s="315">
        <f>'H) Péréquation directe'!I121</f>
        <v>-135841.52175877173</v>
      </c>
      <c r="H111" s="318" t="e">
        <f>+'I) Dépenses thématiques'!O110</f>
        <v>#DIV/0!</v>
      </c>
      <c r="I111" s="315">
        <f>'K) Plafonnement aide'!J110</f>
        <v>0</v>
      </c>
      <c r="J111" s="318">
        <f>'J) Plafonnement effort'!J110</f>
        <v>0</v>
      </c>
      <c r="K111" s="315">
        <f>'L) Plafonnement taux'!Q111</f>
        <v>0</v>
      </c>
      <c r="L111" s="313" t="e">
        <f t="shared" si="2"/>
        <v>#DIV/0!</v>
      </c>
      <c r="M111" s="234">
        <f>'M) Police'!O111</f>
        <v>62969.605286767139</v>
      </c>
      <c r="N111" s="234" t="e">
        <f t="shared" si="3"/>
        <v>#DIV/0!</v>
      </c>
      <c r="P111" s="320"/>
    </row>
    <row r="112" spans="1:16" s="154" customFormat="1" x14ac:dyDescent="0.25">
      <c r="A112" s="151">
        <f>'B) D RI'!A113</f>
        <v>5581</v>
      </c>
      <c r="B112" s="152" t="str">
        <f>'B) D RI'!B113</f>
        <v>Belmont-sur-Lausanne</v>
      </c>
      <c r="C112" s="316">
        <f>'B) D RI'!S113</f>
        <v>72</v>
      </c>
      <c r="D112" s="153">
        <f>'B) D RI'!AA113</f>
        <v>3756</v>
      </c>
      <c r="E112" s="314">
        <f>'D) Ecrêtage'!C111</f>
        <v>212445.65069444443</v>
      </c>
      <c r="F112" s="318">
        <f>'E) Fact soc'!G117</f>
        <v>4142957.3879611893</v>
      </c>
      <c r="G112" s="315">
        <f>'H) Péréquation directe'!I122</f>
        <v>2978214.9486573949</v>
      </c>
      <c r="H112" s="318" t="e">
        <f>+'I) Dépenses thématiques'!O111</f>
        <v>#DIV/0!</v>
      </c>
      <c r="I112" s="315">
        <f>'K) Plafonnement aide'!J111</f>
        <v>0</v>
      </c>
      <c r="J112" s="318">
        <f>'J) Plafonnement effort'!J111</f>
        <v>0</v>
      </c>
      <c r="K112" s="315">
        <f>'L) Plafonnement taux'!Q112</f>
        <v>0</v>
      </c>
      <c r="L112" s="313" t="e">
        <f t="shared" si="2"/>
        <v>#DIV/0!</v>
      </c>
      <c r="M112" s="234">
        <f>'M) Police'!O112</f>
        <v>249520.58506631874</v>
      </c>
      <c r="N112" s="234" t="e">
        <f t="shared" si="3"/>
        <v>#DIV/0!</v>
      </c>
      <c r="P112" s="320"/>
    </row>
    <row r="113" spans="1:16" s="154" customFormat="1" x14ac:dyDescent="0.25">
      <c r="A113" s="151">
        <f>'B) D RI'!A114</f>
        <v>5582</v>
      </c>
      <c r="B113" s="152" t="str">
        <f>'B) D RI'!B114</f>
        <v>Cheseaux-sur-Lausanne</v>
      </c>
      <c r="C113" s="316">
        <f>'B) D RI'!S114</f>
        <v>73</v>
      </c>
      <c r="D113" s="153">
        <f>'B) D RI'!AA114</f>
        <v>4367</v>
      </c>
      <c r="E113" s="314">
        <f>'D) Ecrêtage'!C112</f>
        <v>163780.29383561644</v>
      </c>
      <c r="F113" s="318">
        <f>'E) Fact soc'!G118</f>
        <v>2656379.9783675466</v>
      </c>
      <c r="G113" s="315">
        <f>'H) Péréquation directe'!I123</f>
        <v>723460.92631513579</v>
      </c>
      <c r="H113" s="318" t="e">
        <f>+'I) Dépenses thématiques'!O112</f>
        <v>#DIV/0!</v>
      </c>
      <c r="I113" s="315">
        <f>'K) Plafonnement aide'!J112</f>
        <v>0</v>
      </c>
      <c r="J113" s="318">
        <f>'J) Plafonnement effort'!J112</f>
        <v>0</v>
      </c>
      <c r="K113" s="315">
        <f>'L) Plafonnement taux'!Q113</f>
        <v>0</v>
      </c>
      <c r="L113" s="313" t="e">
        <f t="shared" si="2"/>
        <v>#DIV/0!</v>
      </c>
      <c r="M113" s="234">
        <f>'M) Police'!O113</f>
        <v>492439.61272931425</v>
      </c>
      <c r="N113" s="234" t="e">
        <f t="shared" si="3"/>
        <v>#DIV/0!</v>
      </c>
      <c r="P113" s="320"/>
    </row>
    <row r="114" spans="1:16" s="154" customFormat="1" x14ac:dyDescent="0.25">
      <c r="A114" s="151">
        <f>'B) D RI'!A115</f>
        <v>5583</v>
      </c>
      <c r="B114" s="152" t="str">
        <f>'B) D RI'!B115</f>
        <v>Crissier</v>
      </c>
      <c r="C114" s="316">
        <f>'B) D RI'!S115</f>
        <v>63.5</v>
      </c>
      <c r="D114" s="153">
        <f>'B) D RI'!AA115</f>
        <v>8700</v>
      </c>
      <c r="E114" s="314">
        <f>'D) Ecrêtage'!C113</f>
        <v>368095.30976377946</v>
      </c>
      <c r="F114" s="318">
        <f>'E) Fact soc'!G119</f>
        <v>6423810.1340074316</v>
      </c>
      <c r="G114" s="315">
        <f>'H) Péréquation directe'!I124</f>
        <v>2390171.4219176564</v>
      </c>
      <c r="H114" s="318" t="e">
        <f>+'I) Dépenses thématiques'!O113</f>
        <v>#DIV/0!</v>
      </c>
      <c r="I114" s="315">
        <f>'K) Plafonnement aide'!J113</f>
        <v>0</v>
      </c>
      <c r="J114" s="318">
        <f>'J) Plafonnement effort'!J113</f>
        <v>0</v>
      </c>
      <c r="K114" s="315">
        <f>'L) Plafonnement taux'!Q114</f>
        <v>0</v>
      </c>
      <c r="L114" s="313" t="e">
        <f t="shared" si="2"/>
        <v>#DIV/0!</v>
      </c>
      <c r="M114" s="234">
        <f>'M) Police'!O114</f>
        <v>432333.43093725166</v>
      </c>
      <c r="N114" s="234" t="e">
        <f t="shared" si="3"/>
        <v>#DIV/0!</v>
      </c>
      <c r="P114" s="320"/>
    </row>
    <row r="115" spans="1:16" s="154" customFormat="1" x14ac:dyDescent="0.25">
      <c r="A115" s="151">
        <f>'B) D RI'!A116</f>
        <v>5584</v>
      </c>
      <c r="B115" s="152" t="str">
        <f>'B) D RI'!B116</f>
        <v>Epalinges</v>
      </c>
      <c r="C115" s="316">
        <f>'B) D RI'!S116</f>
        <v>64.5</v>
      </c>
      <c r="D115" s="153">
        <f>'B) D RI'!AA116</f>
        <v>9755</v>
      </c>
      <c r="E115" s="314">
        <f>'D) Ecrêtage'!C114</f>
        <v>482115.91751937981</v>
      </c>
      <c r="F115" s="318">
        <f>'E) Fact soc'!G120</f>
        <v>8542319.1264309362</v>
      </c>
      <c r="G115" s="315">
        <f>'H) Péréquation directe'!I125</f>
        <v>4639133.8364768596</v>
      </c>
      <c r="H115" s="318" t="e">
        <f>+'I) Dépenses thématiques'!O114</f>
        <v>#DIV/0!</v>
      </c>
      <c r="I115" s="315">
        <f>'K) Plafonnement aide'!J114</f>
        <v>0</v>
      </c>
      <c r="J115" s="318">
        <f>'J) Plafonnement effort'!J114</f>
        <v>0</v>
      </c>
      <c r="K115" s="315">
        <f>'L) Plafonnement taux'!Q115</f>
        <v>0</v>
      </c>
      <c r="L115" s="313" t="e">
        <f t="shared" si="2"/>
        <v>#DIV/0!</v>
      </c>
      <c r="M115" s="234">
        <f>'M) Police'!O115</f>
        <v>1434716.5150855533</v>
      </c>
      <c r="N115" s="234" t="e">
        <f t="shared" si="3"/>
        <v>#DIV/0!</v>
      </c>
      <c r="P115" s="320"/>
    </row>
    <row r="116" spans="1:16" s="154" customFormat="1" x14ac:dyDescent="0.25">
      <c r="A116" s="151">
        <f>'B) D RI'!A117</f>
        <v>5585</v>
      </c>
      <c r="B116" s="152" t="str">
        <f>'B) D RI'!B117</f>
        <v>Jouxtens-Mézery</v>
      </c>
      <c r="C116" s="316">
        <f>'B) D RI'!S117</f>
        <v>59</v>
      </c>
      <c r="D116" s="153">
        <f>'B) D RI'!AA117</f>
        <v>1411</v>
      </c>
      <c r="E116" s="314">
        <f>'D) Ecrêtage'!C115</f>
        <v>202487.97135593221</v>
      </c>
      <c r="F116" s="318">
        <f>'E) Fact soc'!G121</f>
        <v>6574501.0368972719</v>
      </c>
      <c r="G116" s="315">
        <f>'H) Péréquation directe'!I126</f>
        <v>3709319.9881214672</v>
      </c>
      <c r="H116" s="318" t="e">
        <f>+'I) Dépenses thématiques'!O115</f>
        <v>#DIV/0!</v>
      </c>
      <c r="I116" s="315">
        <f>'K) Plafonnement aide'!J115</f>
        <v>0</v>
      </c>
      <c r="J116" s="318">
        <f>'J) Plafonnement effort'!J115</f>
        <v>-15736.459933992954</v>
      </c>
      <c r="K116" s="315">
        <f>'L) Plafonnement taux'!Q116</f>
        <v>0</v>
      </c>
      <c r="L116" s="313" t="e">
        <f t="shared" si="2"/>
        <v>#DIV/0!</v>
      </c>
      <c r="M116" s="234">
        <f>'M) Police'!O116</f>
        <v>363443.07737239526</v>
      </c>
      <c r="N116" s="234" t="e">
        <f t="shared" si="3"/>
        <v>#DIV/0!</v>
      </c>
      <c r="P116" s="320"/>
    </row>
    <row r="117" spans="1:16" s="154" customFormat="1" x14ac:dyDescent="0.25">
      <c r="A117" s="151">
        <f>'B) D RI'!A118</f>
        <v>5586</v>
      </c>
      <c r="B117" s="152" t="str">
        <f>'B) D RI'!B118</f>
        <v>Lausanne</v>
      </c>
      <c r="C117" s="316">
        <f>'B) D RI'!S118</f>
        <v>78.5</v>
      </c>
      <c r="D117" s="153">
        <f>'B) D RI'!AA118</f>
        <v>140430</v>
      </c>
      <c r="E117" s="314">
        <f>'D) Ecrêtage'!C116</f>
        <v>6272364.2800849257</v>
      </c>
      <c r="F117" s="318">
        <f>'E) Fact soc'!G122</f>
        <v>107478698.56360435</v>
      </c>
      <c r="G117" s="315">
        <f>'H) Péréquation directe'!I127</f>
        <v>-29353149.535997301</v>
      </c>
      <c r="H117" s="318" t="e">
        <f>+'I) Dépenses thématiques'!O116</f>
        <v>#DIV/0!</v>
      </c>
      <c r="I117" s="315">
        <f>'K) Plafonnement aide'!J116</f>
        <v>0</v>
      </c>
      <c r="J117" s="318">
        <f>'J) Plafonnement effort'!J116</f>
        <v>0</v>
      </c>
      <c r="K117" s="315">
        <f>'L) Plafonnement taux'!Q117</f>
        <v>0</v>
      </c>
      <c r="L117" s="313" t="e">
        <f t="shared" ref="L117:L167" si="4">F117+G117+H117+I117+J117+K117</f>
        <v>#DIV/0!</v>
      </c>
      <c r="M117" s="234">
        <f>'M) Police'!O117</f>
        <v>7366985.3903805884</v>
      </c>
      <c r="N117" s="234" t="e">
        <f t="shared" si="3"/>
        <v>#DIV/0!</v>
      </c>
      <c r="P117" s="320"/>
    </row>
    <row r="118" spans="1:16" s="154" customFormat="1" x14ac:dyDescent="0.25">
      <c r="A118" s="151">
        <f>'B) D RI'!A119</f>
        <v>5587</v>
      </c>
      <c r="B118" s="152" t="str">
        <f>'B) D RI'!B119</f>
        <v>Le Mont-sur-Lausanne</v>
      </c>
      <c r="C118" s="316">
        <f>'B) D RI'!S119</f>
        <v>73.5</v>
      </c>
      <c r="D118" s="153">
        <f>'B) D RI'!AA119</f>
        <v>9136</v>
      </c>
      <c r="E118" s="314">
        <f>'D) Ecrêtage'!C117</f>
        <v>442860.74013605446</v>
      </c>
      <c r="F118" s="318">
        <f>'E) Fact soc'!G123</f>
        <v>7774174.6163551742</v>
      </c>
      <c r="G118" s="315">
        <f>'H) Péréquation directe'!I128</f>
        <v>4390243.7936932221</v>
      </c>
      <c r="H118" s="318" t="e">
        <f>+'I) Dépenses thématiques'!O117</f>
        <v>#DIV/0!</v>
      </c>
      <c r="I118" s="315">
        <f>'K) Plafonnement aide'!J117</f>
        <v>0</v>
      </c>
      <c r="J118" s="318">
        <f>'J) Plafonnement effort'!J117</f>
        <v>0</v>
      </c>
      <c r="K118" s="315">
        <f>'L) Plafonnement taux'!Q118</f>
        <v>0</v>
      </c>
      <c r="L118" s="313" t="e">
        <f t="shared" si="4"/>
        <v>#DIV/0!</v>
      </c>
      <c r="M118" s="234">
        <f>'M) Police'!O118</f>
        <v>1327558.8949502951</v>
      </c>
      <c r="N118" s="234" t="e">
        <f t="shared" si="3"/>
        <v>#DIV/0!</v>
      </c>
      <c r="P118" s="320"/>
    </row>
    <row r="119" spans="1:16" s="154" customFormat="1" x14ac:dyDescent="0.25">
      <c r="A119" s="151">
        <f>'B) D RI'!A120</f>
        <v>5588</v>
      </c>
      <c r="B119" s="152" t="str">
        <f>'B) D RI'!B120</f>
        <v>Paudex</v>
      </c>
      <c r="C119" s="316">
        <f>'B) D RI'!S120</f>
        <v>66.5</v>
      </c>
      <c r="D119" s="153">
        <f>'B) D RI'!AA120</f>
        <v>1538</v>
      </c>
      <c r="E119" s="314">
        <f>'D) Ecrêtage'!C118</f>
        <v>135448.58760472611</v>
      </c>
      <c r="F119" s="318">
        <f>'E) Fact soc'!G124</f>
        <v>3392637.7148413127</v>
      </c>
      <c r="G119" s="315">
        <f>'H) Péréquation directe'!I129</f>
        <v>2348858.1546308491</v>
      </c>
      <c r="H119" s="318" t="e">
        <f>+'I) Dépenses thématiques'!O118</f>
        <v>#DIV/0!</v>
      </c>
      <c r="I119" s="315">
        <f>'K) Plafonnement aide'!J118</f>
        <v>0</v>
      </c>
      <c r="J119" s="318">
        <f>'J) Plafonnement effort'!J118</f>
        <v>0</v>
      </c>
      <c r="K119" s="315">
        <f>'L) Plafonnement taux'!Q119</f>
        <v>0</v>
      </c>
      <c r="L119" s="313" t="e">
        <f t="shared" si="4"/>
        <v>#DIV/0!</v>
      </c>
      <c r="M119" s="234">
        <f>'M) Police'!O119</f>
        <v>159086.3861654081</v>
      </c>
      <c r="N119" s="234" t="e">
        <f t="shared" si="3"/>
        <v>#DIV/0!</v>
      </c>
      <c r="P119" s="320"/>
    </row>
    <row r="120" spans="1:16" s="154" customFormat="1" x14ac:dyDescent="0.25">
      <c r="A120" s="151">
        <f>'B) D RI'!A121</f>
        <v>5589</v>
      </c>
      <c r="B120" s="152" t="str">
        <f>'B) D RI'!B121</f>
        <v>Prilly</v>
      </c>
      <c r="C120" s="316">
        <f>'B) D RI'!S121</f>
        <v>72.5</v>
      </c>
      <c r="D120" s="153">
        <f>'B) D RI'!AA121</f>
        <v>12383</v>
      </c>
      <c r="E120" s="314">
        <f>'D) Ecrêtage'!C119</f>
        <v>455017.22467904515</v>
      </c>
      <c r="F120" s="318">
        <f>'E) Fact soc'!G125</f>
        <v>7477439.2750129057</v>
      </c>
      <c r="G120" s="315">
        <f>'H) Péréquation directe'!I130</f>
        <v>-1149973.7630943693</v>
      </c>
      <c r="H120" s="318" t="e">
        <f>+'I) Dépenses thématiques'!O119</f>
        <v>#DIV/0!</v>
      </c>
      <c r="I120" s="315">
        <f>'K) Plafonnement aide'!J119</f>
        <v>0</v>
      </c>
      <c r="J120" s="318">
        <f>'J) Plafonnement effort'!J119</f>
        <v>0</v>
      </c>
      <c r="K120" s="315">
        <f>'L) Plafonnement taux'!Q120</f>
        <v>0</v>
      </c>
      <c r="L120" s="313" t="e">
        <f t="shared" si="4"/>
        <v>#DIV/0!</v>
      </c>
      <c r="M120" s="234">
        <f>'M) Police'!O120</f>
        <v>534424.51632236212</v>
      </c>
      <c r="N120" s="234" t="e">
        <f t="shared" si="3"/>
        <v>#DIV/0!</v>
      </c>
      <c r="P120" s="320"/>
    </row>
    <row r="121" spans="1:16" s="154" customFormat="1" x14ac:dyDescent="0.25">
      <c r="A121" s="151">
        <f>'B) D RI'!A122</f>
        <v>5590</v>
      </c>
      <c r="B121" s="152" t="str">
        <f>'B) D RI'!B122</f>
        <v>Pully</v>
      </c>
      <c r="C121" s="316">
        <f>'B) D RI'!S122</f>
        <v>61</v>
      </c>
      <c r="D121" s="153">
        <f>'B) D RI'!AA122</f>
        <v>18688</v>
      </c>
      <c r="E121" s="314">
        <f>'D) Ecrêtage'!C120</f>
        <v>1478979.5848477751</v>
      </c>
      <c r="F121" s="318">
        <f>'E) Fact soc'!G126</f>
        <v>34811145.445279293</v>
      </c>
      <c r="G121" s="315">
        <f>'H) Péréquation directe'!I131</f>
        <v>15503333.684422735</v>
      </c>
      <c r="H121" s="318" t="e">
        <f>+'I) Dépenses thématiques'!O120</f>
        <v>#DIV/0!</v>
      </c>
      <c r="I121" s="315">
        <f>'K) Plafonnement aide'!J120</f>
        <v>0</v>
      </c>
      <c r="J121" s="318">
        <f>'J) Plafonnement effort'!J120</f>
        <v>0</v>
      </c>
      <c r="K121" s="315">
        <f>'L) Plafonnement taux'!Q121</f>
        <v>0</v>
      </c>
      <c r="L121" s="313" t="e">
        <f t="shared" si="4"/>
        <v>#DIV/0!</v>
      </c>
      <c r="M121" s="234">
        <f>'M) Police'!O121</f>
        <v>1737083.5792874554</v>
      </c>
      <c r="N121" s="234" t="e">
        <f t="shared" si="3"/>
        <v>#DIV/0!</v>
      </c>
      <c r="P121" s="320"/>
    </row>
    <row r="122" spans="1:16" s="154" customFormat="1" x14ac:dyDescent="0.25">
      <c r="A122" s="151">
        <f>'B) D RI'!A123</f>
        <v>5591</v>
      </c>
      <c r="B122" s="152" t="str">
        <f>'B) D RI'!B123</f>
        <v>Renens</v>
      </c>
      <c r="C122" s="316">
        <f>'B) D RI'!S123</f>
        <v>77</v>
      </c>
      <c r="D122" s="153">
        <f>'B) D RI'!AA123</f>
        <v>20863</v>
      </c>
      <c r="E122" s="314">
        <f>'D) Ecrêtage'!C121</f>
        <v>596748.60283858993</v>
      </c>
      <c r="F122" s="318">
        <f>'E) Fact soc'!G127</f>
        <v>10976927.416662468</v>
      </c>
      <c r="G122" s="315">
        <f>'H) Péréquation directe'!I132</f>
        <v>-13797378.514999451</v>
      </c>
      <c r="H122" s="318" t="e">
        <f>+'I) Dépenses thématiques'!O121</f>
        <v>#DIV/0!</v>
      </c>
      <c r="I122" s="315">
        <f>'K) Plafonnement aide'!J121</f>
        <v>0</v>
      </c>
      <c r="J122" s="318">
        <f>'J) Plafonnement effort'!J121</f>
        <v>0</v>
      </c>
      <c r="K122" s="315">
        <f>'L) Plafonnement taux'!Q122</f>
        <v>0</v>
      </c>
      <c r="L122" s="313" t="e">
        <f t="shared" si="4"/>
        <v>#DIV/0!</v>
      </c>
      <c r="M122" s="234">
        <f>'M) Police'!O122</f>
        <v>700890.1336933187</v>
      </c>
      <c r="N122" s="234" t="e">
        <f t="shared" si="3"/>
        <v>#DIV/0!</v>
      </c>
      <c r="P122" s="320"/>
    </row>
    <row r="123" spans="1:16" s="154" customFormat="1" x14ac:dyDescent="0.25">
      <c r="A123" s="151">
        <f>'B) D RI'!A124</f>
        <v>5592</v>
      </c>
      <c r="B123" s="152" t="str">
        <f>'B) D RI'!B124</f>
        <v>Romanel-sur-Lausanne</v>
      </c>
      <c r="C123" s="316">
        <f>'B) D RI'!S124</f>
        <v>70.5</v>
      </c>
      <c r="D123" s="153">
        <f>'B) D RI'!AA124</f>
        <v>3247</v>
      </c>
      <c r="E123" s="314">
        <f>'D) Ecrêtage'!C122</f>
        <v>121292.24695035459</v>
      </c>
      <c r="F123" s="318">
        <f>'E) Fact soc'!G128</f>
        <v>1913957.6859584968</v>
      </c>
      <c r="G123" s="315">
        <f>'H) Péréquation directe'!I133</f>
        <v>740365.34663630743</v>
      </c>
      <c r="H123" s="318" t="e">
        <f>+'I) Dépenses thématiques'!O122</f>
        <v>#DIV/0!</v>
      </c>
      <c r="I123" s="315">
        <f>'K) Plafonnement aide'!J122</f>
        <v>0</v>
      </c>
      <c r="J123" s="318">
        <f>'J) Plafonnement effort'!J122</f>
        <v>0</v>
      </c>
      <c r="K123" s="315">
        <f>'L) Plafonnement taux'!Q123</f>
        <v>0</v>
      </c>
      <c r="L123" s="313" t="e">
        <f t="shared" si="4"/>
        <v>#DIV/0!</v>
      </c>
      <c r="M123" s="234">
        <f>'M) Police'!O123</f>
        <v>361830.41535644495</v>
      </c>
      <c r="N123" s="234" t="e">
        <f t="shared" si="3"/>
        <v>#DIV/0!</v>
      </c>
      <c r="P123" s="320"/>
    </row>
    <row r="124" spans="1:16" s="154" customFormat="1" x14ac:dyDescent="0.25">
      <c r="A124" s="151">
        <f>'B) D RI'!A125</f>
        <v>5601</v>
      </c>
      <c r="B124" s="152" t="str">
        <f>'B) D RI'!B125</f>
        <v>Chexbres</v>
      </c>
      <c r="C124" s="316">
        <f>'B) D RI'!S125</f>
        <v>67.5</v>
      </c>
      <c r="D124" s="153">
        <f>'B) D RI'!AA125</f>
        <v>2251</v>
      </c>
      <c r="E124" s="314">
        <f>'D) Ecrêtage'!C123</f>
        <v>98072.029481481484</v>
      </c>
      <c r="F124" s="318">
        <f>'E) Fact soc'!G129</f>
        <v>2173525.9106078208</v>
      </c>
      <c r="G124" s="315">
        <f>'H) Péréquation directe'!I134</f>
        <v>1177920.5349585449</v>
      </c>
      <c r="H124" s="318" t="e">
        <f>+'I) Dépenses thématiques'!O123</f>
        <v>#DIV/0!</v>
      </c>
      <c r="I124" s="315">
        <f>'K) Plafonnement aide'!J123</f>
        <v>0</v>
      </c>
      <c r="J124" s="318">
        <f>'J) Plafonnement effort'!J123</f>
        <v>0</v>
      </c>
      <c r="K124" s="315">
        <f>'L) Plafonnement taux'!Q124</f>
        <v>0</v>
      </c>
      <c r="L124" s="313" t="e">
        <f t="shared" si="4"/>
        <v>#DIV/0!</v>
      </c>
      <c r="M124" s="234">
        <f>'M) Police'!O124</f>
        <v>115187.06123128202</v>
      </c>
      <c r="N124" s="234" t="e">
        <f t="shared" si="3"/>
        <v>#DIV/0!</v>
      </c>
      <c r="P124" s="320"/>
    </row>
    <row r="125" spans="1:16" s="154" customFormat="1" x14ac:dyDescent="0.25">
      <c r="A125" s="151">
        <f>'B) D RI'!A126</f>
        <v>5604</v>
      </c>
      <c r="B125" s="152" t="str">
        <f>'B) D RI'!B126</f>
        <v>Forel (Lavaux)</v>
      </c>
      <c r="C125" s="316">
        <f>'B) D RI'!S126</f>
        <v>69</v>
      </c>
      <c r="D125" s="153">
        <f>'B) D RI'!AA126</f>
        <v>2105</v>
      </c>
      <c r="E125" s="314">
        <f>'D) Ecrêtage'!C124</f>
        <v>71309.914782608685</v>
      </c>
      <c r="F125" s="318">
        <f>'E) Fact soc'!G130</f>
        <v>1153761.453432363</v>
      </c>
      <c r="G125" s="315">
        <f>'H) Péréquation directe'!I135</f>
        <v>317751.22608805215</v>
      </c>
      <c r="H125" s="318" t="e">
        <f>+'I) Dépenses thématiques'!O124</f>
        <v>#DIV/0!</v>
      </c>
      <c r="I125" s="315">
        <f>'K) Plafonnement aide'!J124</f>
        <v>0</v>
      </c>
      <c r="J125" s="318">
        <f>'J) Plafonnement effort'!J124</f>
        <v>0</v>
      </c>
      <c r="K125" s="315">
        <f>'L) Plafonnement taux'!Q125</f>
        <v>0</v>
      </c>
      <c r="L125" s="313" t="e">
        <f t="shared" si="4"/>
        <v>#DIV/0!</v>
      </c>
      <c r="M125" s="234">
        <f>'M) Police'!O125</f>
        <v>214037.02564483287</v>
      </c>
      <c r="N125" s="234" t="e">
        <f t="shared" si="3"/>
        <v>#DIV/0!</v>
      </c>
      <c r="P125" s="320"/>
    </row>
    <row r="126" spans="1:16" s="154" customFormat="1" x14ac:dyDescent="0.25">
      <c r="A126" s="151">
        <f>'B) D RI'!A127</f>
        <v>5606</v>
      </c>
      <c r="B126" s="152" t="str">
        <f>'B) D RI'!B127</f>
        <v>Lutry</v>
      </c>
      <c r="C126" s="316">
        <f>'B) D RI'!S127</f>
        <v>54</v>
      </c>
      <c r="D126" s="153">
        <f>'B) D RI'!AA127</f>
        <v>10455</v>
      </c>
      <c r="E126" s="314">
        <f>'D) Ecrêtage'!C125</f>
        <v>875230.37264550268</v>
      </c>
      <c r="F126" s="318">
        <f>'E) Fact soc'!G131</f>
        <v>20773578.726595256</v>
      </c>
      <c r="G126" s="315">
        <f>'H) Péréquation directe'!I136</f>
        <v>11768025.597842604</v>
      </c>
      <c r="H126" s="318" t="e">
        <f>+'I) Dépenses thématiques'!O125</f>
        <v>#DIV/0!</v>
      </c>
      <c r="I126" s="315">
        <f>'K) Plafonnement aide'!J125</f>
        <v>0</v>
      </c>
      <c r="J126" s="318">
        <f>'J) Plafonnement effort'!J125</f>
        <v>0</v>
      </c>
      <c r="K126" s="315">
        <f>'L) Plafonnement taux'!Q126</f>
        <v>0</v>
      </c>
      <c r="L126" s="313" t="e">
        <f t="shared" si="4"/>
        <v>#DIV/0!</v>
      </c>
      <c r="M126" s="234">
        <f>'M) Police'!O126</f>
        <v>1027971.125492328</v>
      </c>
      <c r="N126" s="234" t="e">
        <f t="shared" si="3"/>
        <v>#DIV/0!</v>
      </c>
      <c r="P126" s="320"/>
    </row>
    <row r="127" spans="1:16" s="154" customFormat="1" x14ac:dyDescent="0.25">
      <c r="A127" s="151">
        <f>'B) D RI'!A128</f>
        <v>5607</v>
      </c>
      <c r="B127" s="152" t="str">
        <f>'B) D RI'!B128</f>
        <v>Puidoux</v>
      </c>
      <c r="C127" s="316">
        <f>'B) D RI'!S128</f>
        <v>68.5</v>
      </c>
      <c r="D127" s="153">
        <f>'B) D RI'!AA128</f>
        <v>2894</v>
      </c>
      <c r="E127" s="314">
        <f>'D) Ecrêtage'!C126</f>
        <v>102944.97501110758</v>
      </c>
      <c r="F127" s="318">
        <f>'E) Fact soc'!G132</f>
        <v>2038280.9697303674</v>
      </c>
      <c r="G127" s="315">
        <f>'H) Péréquation directe'!I137</f>
        <v>553319.63690297166</v>
      </c>
      <c r="H127" s="318" t="e">
        <f>+'I) Dépenses thématiques'!O126</f>
        <v>#DIV/0!</v>
      </c>
      <c r="I127" s="315">
        <f>'K) Plafonnement aide'!J126</f>
        <v>0</v>
      </c>
      <c r="J127" s="318">
        <f>'J) Plafonnement effort'!J126</f>
        <v>0</v>
      </c>
      <c r="K127" s="315">
        <f>'L) Plafonnement taux'!Q127</f>
        <v>0</v>
      </c>
      <c r="L127" s="313" t="e">
        <f t="shared" si="4"/>
        <v>#DIV/0!</v>
      </c>
      <c r="M127" s="234">
        <f>'M) Police'!O127</f>
        <v>120910.40842890201</v>
      </c>
      <c r="N127" s="234" t="e">
        <f t="shared" si="3"/>
        <v>#DIV/0!</v>
      </c>
      <c r="P127" s="320"/>
    </row>
    <row r="128" spans="1:16" s="154" customFormat="1" x14ac:dyDescent="0.25">
      <c r="A128" s="151">
        <f>'B) D RI'!A129</f>
        <v>5609</v>
      </c>
      <c r="B128" s="152" t="str">
        <f>'B) D RI'!B129</f>
        <v>Rivaz</v>
      </c>
      <c r="C128" s="316">
        <f>'B) D RI'!S129</f>
        <v>62</v>
      </c>
      <c r="D128" s="153">
        <f>'B) D RI'!AA129</f>
        <v>337</v>
      </c>
      <c r="E128" s="314">
        <f>'D) Ecrêtage'!C127</f>
        <v>16048.850483870969</v>
      </c>
      <c r="F128" s="318">
        <f>'E) Fact soc'!G133</f>
        <v>249840.76190303444</v>
      </c>
      <c r="G128" s="315">
        <f>'H) Péréquation directe'!I138</f>
        <v>270485.38838055683</v>
      </c>
      <c r="H128" s="318" t="e">
        <f>+'I) Dépenses thématiques'!O127</f>
        <v>#DIV/0!</v>
      </c>
      <c r="I128" s="315">
        <f>'K) Plafonnement aide'!J127</f>
        <v>0</v>
      </c>
      <c r="J128" s="318">
        <f>'J) Plafonnement effort'!J127</f>
        <v>0</v>
      </c>
      <c r="K128" s="315">
        <f>'L) Plafonnement taux'!Q128</f>
        <v>0</v>
      </c>
      <c r="L128" s="313" t="e">
        <f t="shared" si="4"/>
        <v>#DIV/0!</v>
      </c>
      <c r="M128" s="234">
        <f>'M) Police'!O128</f>
        <v>18849.6142391588</v>
      </c>
      <c r="N128" s="234" t="e">
        <f t="shared" si="3"/>
        <v>#DIV/0!</v>
      </c>
      <c r="P128" s="320"/>
    </row>
    <row r="129" spans="1:16" s="154" customFormat="1" x14ac:dyDescent="0.25">
      <c r="A129" s="151">
        <f>'B) D RI'!A130</f>
        <v>5610</v>
      </c>
      <c r="B129" s="152" t="str">
        <f>'B) D RI'!B130</f>
        <v>St-Saphorin (Lavaux)</v>
      </c>
      <c r="C129" s="316">
        <f>'B) D RI'!S130</f>
        <v>72</v>
      </c>
      <c r="D129" s="153">
        <f>'B) D RI'!AA130</f>
        <v>388</v>
      </c>
      <c r="E129" s="314">
        <f>'D) Ecrêtage'!C128</f>
        <v>19213.723703703701</v>
      </c>
      <c r="F129" s="318">
        <f>'E) Fact soc'!G134</f>
        <v>331384.45018238539</v>
      </c>
      <c r="G129" s="315">
        <f>'H) Péréquation directe'!I139</f>
        <v>329166.50400747597</v>
      </c>
      <c r="H129" s="318" t="e">
        <f>+'I) Dépenses thématiques'!O128</f>
        <v>#DIV/0!</v>
      </c>
      <c r="I129" s="315">
        <f>'K) Plafonnement aide'!J128</f>
        <v>0</v>
      </c>
      <c r="J129" s="318">
        <f>'J) Plafonnement effort'!J128</f>
        <v>0</v>
      </c>
      <c r="K129" s="315">
        <f>'L) Plafonnement taux'!Q129</f>
        <v>0</v>
      </c>
      <c r="L129" s="313" t="e">
        <f t="shared" si="4"/>
        <v>#DIV/0!</v>
      </c>
      <c r="M129" s="234">
        <f>'M) Police'!O129</f>
        <v>22566.805035449546</v>
      </c>
      <c r="N129" s="234" t="e">
        <f t="shared" si="3"/>
        <v>#DIV/0!</v>
      </c>
      <c r="P129" s="320"/>
    </row>
    <row r="130" spans="1:16" s="154" customFormat="1" x14ac:dyDescent="0.25">
      <c r="A130" s="151">
        <f>'B) D RI'!A131</f>
        <v>5611</v>
      </c>
      <c r="B130" s="152" t="str">
        <f>'B) D RI'!B131</f>
        <v>Savigny</v>
      </c>
      <c r="C130" s="316">
        <f>'B) D RI'!S131</f>
        <v>69</v>
      </c>
      <c r="D130" s="153">
        <f>'B) D RI'!AA131</f>
        <v>3348</v>
      </c>
      <c r="E130" s="314">
        <f>'D) Ecrêtage'!C129</f>
        <v>136715.33886473431</v>
      </c>
      <c r="F130" s="318">
        <f>'E) Fact soc'!G135</f>
        <v>2376542.2973585837</v>
      </c>
      <c r="G130" s="315">
        <f>'H) Péréquation directe'!I140</f>
        <v>1224269.8360575633</v>
      </c>
      <c r="H130" s="318" t="e">
        <f>+'I) Dépenses thématiques'!O129</f>
        <v>#DIV/0!</v>
      </c>
      <c r="I130" s="315">
        <f>'K) Plafonnement aide'!J129</f>
        <v>0</v>
      </c>
      <c r="J130" s="318">
        <f>'J) Plafonnement effort'!J129</f>
        <v>0</v>
      </c>
      <c r="K130" s="315">
        <f>'L) Plafonnement taux'!Q130</f>
        <v>0</v>
      </c>
      <c r="L130" s="313" t="e">
        <f t="shared" si="4"/>
        <v>#DIV/0!</v>
      </c>
      <c r="M130" s="234">
        <f>'M) Police'!O130</f>
        <v>160574.2044120869</v>
      </c>
      <c r="N130" s="234" t="e">
        <f t="shared" si="3"/>
        <v>#DIV/0!</v>
      </c>
      <c r="P130" s="320"/>
    </row>
    <row r="131" spans="1:16" s="154" customFormat="1" x14ac:dyDescent="0.25">
      <c r="A131" s="151">
        <f>'B) D RI'!A132</f>
        <v>5613</v>
      </c>
      <c r="B131" s="152" t="str">
        <f>'B) D RI'!B132</f>
        <v>Bourg-en-Lavaux</v>
      </c>
      <c r="C131" s="316">
        <f>'B) D RI'!S132</f>
        <v>62.5</v>
      </c>
      <c r="D131" s="153">
        <f>'B) D RI'!AA132</f>
        <v>5389</v>
      </c>
      <c r="E131" s="314">
        <f>'D) Ecrêtage'!C130</f>
        <v>343828.17631999997</v>
      </c>
      <c r="F131" s="318">
        <f>'E) Fact soc'!G136</f>
        <v>6761480.2722273506</v>
      </c>
      <c r="G131" s="315">
        <f>'H) Péréquation directe'!I141</f>
        <v>4709495.8439671928</v>
      </c>
      <c r="H131" s="318" t="e">
        <f>+'I) Dépenses thématiques'!O130</f>
        <v>#DIV/0!</v>
      </c>
      <c r="I131" s="315">
        <f>'K) Plafonnement aide'!J130</f>
        <v>0</v>
      </c>
      <c r="J131" s="318">
        <f>'J) Plafonnement effort'!J130</f>
        <v>0</v>
      </c>
      <c r="K131" s="315">
        <f>'L) Plafonnement taux'!Q131</f>
        <v>0</v>
      </c>
      <c r="L131" s="313" t="e">
        <f t="shared" si="4"/>
        <v>#DIV/0!</v>
      </c>
      <c r="M131" s="234">
        <f>'M) Police'!O131</f>
        <v>403831.32079764106</v>
      </c>
      <c r="N131" s="234" t="e">
        <f t="shared" si="3"/>
        <v>#DIV/0!</v>
      </c>
      <c r="P131" s="320"/>
    </row>
    <row r="132" spans="1:16" s="154" customFormat="1" x14ac:dyDescent="0.25">
      <c r="A132" s="151">
        <f>'B) D RI'!A133</f>
        <v>5621</v>
      </c>
      <c r="B132" s="152" t="str">
        <f>'B) D RI'!B133</f>
        <v>Aclens</v>
      </c>
      <c r="C132" s="316">
        <f>'B) D RI'!S133</f>
        <v>62</v>
      </c>
      <c r="D132" s="153">
        <f>'B) D RI'!AA133</f>
        <v>528</v>
      </c>
      <c r="E132" s="314">
        <f>'D) Ecrêtage'!C131</f>
        <v>32411.912521994131</v>
      </c>
      <c r="F132" s="318">
        <f>'E) Fact soc'!G137</f>
        <v>682803.7763371662</v>
      </c>
      <c r="G132" s="315">
        <f>'H) Péréquation directe'!I142</f>
        <v>570963.88213267084</v>
      </c>
      <c r="H132" s="318" t="e">
        <f>+'I) Dépenses thématiques'!O131</f>
        <v>#DIV/0!</v>
      </c>
      <c r="I132" s="315">
        <f>'K) Plafonnement aide'!J131</f>
        <v>0</v>
      </c>
      <c r="J132" s="318">
        <f>'J) Plafonnement effort'!J131</f>
        <v>0</v>
      </c>
      <c r="K132" s="315">
        <f>'L) Plafonnement taux'!Q132</f>
        <v>0</v>
      </c>
      <c r="L132" s="313" t="e">
        <f t="shared" si="4"/>
        <v>#DIV/0!</v>
      </c>
      <c r="M132" s="234">
        <f>'M) Police'!O132</f>
        <v>85074.844289194967</v>
      </c>
      <c r="N132" s="234" t="e">
        <f t="shared" si="3"/>
        <v>#DIV/0!</v>
      </c>
      <c r="P132" s="320"/>
    </row>
    <row r="133" spans="1:16" s="154" customFormat="1" x14ac:dyDescent="0.25">
      <c r="A133" s="151">
        <f>'B) D RI'!A134</f>
        <v>5622</v>
      </c>
      <c r="B133" s="152" t="str">
        <f>'B) D RI'!B134</f>
        <v>Bremblens</v>
      </c>
      <c r="C133" s="316">
        <f>'B) D RI'!S134</f>
        <v>68</v>
      </c>
      <c r="D133" s="153">
        <f>'B) D RI'!AA134</f>
        <v>583</v>
      </c>
      <c r="E133" s="314">
        <f>'D) Ecrêtage'!C132</f>
        <v>27803.201911764703</v>
      </c>
      <c r="F133" s="318">
        <f>'E) Fact soc'!G138</f>
        <v>431232.90815274382</v>
      </c>
      <c r="G133" s="315">
        <f>'H) Péréquation directe'!I143</f>
        <v>468423.383672397</v>
      </c>
      <c r="H133" s="318" t="e">
        <f>+'I) Dépenses thématiques'!O132</f>
        <v>#DIV/0!</v>
      </c>
      <c r="I133" s="315">
        <f>'K) Plafonnement aide'!J132</f>
        <v>0</v>
      </c>
      <c r="J133" s="318">
        <f>'J) Plafonnement effort'!J132</f>
        <v>0</v>
      </c>
      <c r="K133" s="315">
        <f>'L) Plafonnement taux'!Q133</f>
        <v>0</v>
      </c>
      <c r="L133" s="313" t="e">
        <f t="shared" si="4"/>
        <v>#DIV/0!</v>
      </c>
      <c r="M133" s="234">
        <f>'M) Police'!O133</f>
        <v>83710.034996589617</v>
      </c>
      <c r="N133" s="234" t="e">
        <f t="shared" si="3"/>
        <v>#DIV/0!</v>
      </c>
      <c r="P133" s="320"/>
    </row>
    <row r="134" spans="1:16" s="154" customFormat="1" x14ac:dyDescent="0.25">
      <c r="A134" s="151">
        <f>'B) D RI'!A135</f>
        <v>5623</v>
      </c>
      <c r="B134" s="152" t="str">
        <f>'B) D RI'!B135</f>
        <v>Buchillon</v>
      </c>
      <c r="C134" s="316">
        <f>'B) D RI'!S135</f>
        <v>52</v>
      </c>
      <c r="D134" s="153">
        <f>'B) D RI'!AA135</f>
        <v>686</v>
      </c>
      <c r="E134" s="314">
        <f>'D) Ecrêtage'!C133</f>
        <v>94394.012307692305</v>
      </c>
      <c r="F134" s="318">
        <f>'E) Fact soc'!G139</f>
        <v>2705161.3975651208</v>
      </c>
      <c r="G134" s="315">
        <f>'H) Péréquation directe'!I144</f>
        <v>1768438.7767253022</v>
      </c>
      <c r="H134" s="318" t="e">
        <f>+'I) Dépenses thématiques'!O133</f>
        <v>#DIV/0!</v>
      </c>
      <c r="I134" s="315">
        <f>'K) Plafonnement aide'!J133</f>
        <v>0</v>
      </c>
      <c r="J134" s="318">
        <f>'J) Plafonnement effort'!J133</f>
        <v>0</v>
      </c>
      <c r="K134" s="315">
        <f>'L) Plafonnement taux'!Q134</f>
        <v>0</v>
      </c>
      <c r="L134" s="313" t="e">
        <f t="shared" si="4"/>
        <v>#DIV/0!</v>
      </c>
      <c r="M134" s="234">
        <f>'M) Police'!O134</f>
        <v>110867.17520825483</v>
      </c>
      <c r="N134" s="234" t="e">
        <f t="shared" si="3"/>
        <v>#DIV/0!</v>
      </c>
      <c r="P134" s="320"/>
    </row>
    <row r="135" spans="1:16" s="154" customFormat="1" x14ac:dyDescent="0.25">
      <c r="A135" s="151">
        <f>'B) D RI'!A136</f>
        <v>5624</v>
      </c>
      <c r="B135" s="152" t="str">
        <f>'B) D RI'!B136</f>
        <v>Bussigny</v>
      </c>
      <c r="C135" s="316">
        <f>'B) D RI'!S136</f>
        <v>62.5</v>
      </c>
      <c r="D135" s="153">
        <f>'B) D RI'!AA136</f>
        <v>9614</v>
      </c>
      <c r="E135" s="314">
        <f>'D) Ecrêtage'!C134</f>
        <v>354162.79119999992</v>
      </c>
      <c r="F135" s="318">
        <f>'E) Fact soc'!G140</f>
        <v>6491536.0425796807</v>
      </c>
      <c r="G135" s="315">
        <f>'H) Péréquation directe'!I145</f>
        <v>537735.64054772537</v>
      </c>
      <c r="H135" s="318" t="e">
        <f>+'I) Dépenses thématiques'!O134</f>
        <v>#DIV/0!</v>
      </c>
      <c r="I135" s="315">
        <f>'K) Plafonnement aide'!J134</f>
        <v>0</v>
      </c>
      <c r="J135" s="318">
        <f>'J) Plafonnement effort'!J134</f>
        <v>0</v>
      </c>
      <c r="K135" s="315">
        <f>'L) Plafonnement taux'!Q135</f>
        <v>0</v>
      </c>
      <c r="L135" s="313" t="e">
        <f t="shared" si="4"/>
        <v>#DIV/0!</v>
      </c>
      <c r="M135" s="234">
        <f>'M) Police'!O135</f>
        <v>415969.48010033049</v>
      </c>
      <c r="N135" s="234" t="e">
        <f t="shared" ref="N135:N193" si="5">L135+M135</f>
        <v>#DIV/0!</v>
      </c>
      <c r="P135" s="320"/>
    </row>
    <row r="136" spans="1:16" s="154" customFormat="1" x14ac:dyDescent="0.25">
      <c r="A136" s="151">
        <f>'B) D RI'!A137</f>
        <v>5625</v>
      </c>
      <c r="B136" s="152" t="str">
        <f>'B) D RI'!B137</f>
        <v>Bussy-Chardonney</v>
      </c>
      <c r="C136" s="316">
        <f>'B) D RI'!S137</f>
        <v>77</v>
      </c>
      <c r="D136" s="153">
        <f>'B) D RI'!AA137</f>
        <v>404</v>
      </c>
      <c r="E136" s="314">
        <f>'D) Ecrêtage'!C135</f>
        <v>17740.486103896103</v>
      </c>
      <c r="F136" s="318">
        <f>'E) Fact soc'!G141</f>
        <v>334121.2455024597</v>
      </c>
      <c r="G136" s="315">
        <f>'H) Péréquation directe'!I146</f>
        <v>257306.52229742717</v>
      </c>
      <c r="H136" s="318" t="e">
        <f>+'I) Dépenses thématiques'!O135</f>
        <v>#DIV/0!</v>
      </c>
      <c r="I136" s="315">
        <f>'K) Plafonnement aide'!J135</f>
        <v>0</v>
      </c>
      <c r="J136" s="318">
        <f>'J) Plafonnement effort'!J135</f>
        <v>0</v>
      </c>
      <c r="K136" s="315">
        <f>'L) Plafonnement taux'!Q136</f>
        <v>0</v>
      </c>
      <c r="L136" s="313" t="e">
        <f t="shared" si="4"/>
        <v>#DIV/0!</v>
      </c>
      <c r="M136" s="234">
        <f>'M) Police'!O136</f>
        <v>53558.541607121449</v>
      </c>
      <c r="N136" s="234" t="e">
        <f t="shared" si="5"/>
        <v>#DIV/0!</v>
      </c>
      <c r="P136" s="320"/>
    </row>
    <row r="137" spans="1:16" s="154" customFormat="1" x14ac:dyDescent="0.25">
      <c r="A137" s="151">
        <f>'B) D RI'!A138</f>
        <v>5627</v>
      </c>
      <c r="B137" s="152" t="str">
        <f>'B) D RI'!B138</f>
        <v>Chavannes-près-Renens</v>
      </c>
      <c r="C137" s="316">
        <f>'B) D RI'!S138</f>
        <v>77.5</v>
      </c>
      <c r="D137" s="153">
        <f>'B) D RI'!AA138</f>
        <v>8487</v>
      </c>
      <c r="E137" s="314">
        <f>'D) Ecrêtage'!C136</f>
        <v>161901.70176344088</v>
      </c>
      <c r="F137" s="318">
        <f>'E) Fact soc'!G142</f>
        <v>2705128.7682836466</v>
      </c>
      <c r="G137" s="315">
        <f>'H) Péréquation directe'!I147</f>
        <v>-6657284.2045286708</v>
      </c>
      <c r="H137" s="318" t="e">
        <f>+'I) Dépenses thématiques'!O136</f>
        <v>#DIV/0!</v>
      </c>
      <c r="I137" s="315">
        <f>'K) Plafonnement aide'!J136</f>
        <v>2656941.8221374974</v>
      </c>
      <c r="J137" s="318">
        <f>'J) Plafonnement effort'!J136</f>
        <v>0</v>
      </c>
      <c r="K137" s="315">
        <f>'L) Plafonnement taux'!Q137</f>
        <v>0</v>
      </c>
      <c r="L137" s="313" t="e">
        <f t="shared" si="4"/>
        <v>#DIV/0!</v>
      </c>
      <c r="M137" s="234">
        <f>'M) Police'!O137</f>
        <v>190155.96325551343</v>
      </c>
      <c r="N137" s="234" t="e">
        <f t="shared" si="5"/>
        <v>#DIV/0!</v>
      </c>
      <c r="P137" s="320"/>
    </row>
    <row r="138" spans="1:16" s="154" customFormat="1" x14ac:dyDescent="0.25">
      <c r="A138" s="151">
        <f>'B) D RI'!A139</f>
        <v>5628</v>
      </c>
      <c r="B138" s="152" t="str">
        <f>'B) D RI'!B139</f>
        <v>Chigny</v>
      </c>
      <c r="C138" s="316">
        <f>'B) D RI'!S139</f>
        <v>62</v>
      </c>
      <c r="D138" s="153">
        <f>'B) D RI'!AA139</f>
        <v>396</v>
      </c>
      <c r="E138" s="314">
        <f>'D) Ecrêtage'!C137</f>
        <v>24624.530161290324</v>
      </c>
      <c r="F138" s="318">
        <f>'E) Fact soc'!G143</f>
        <v>477437.4840974143</v>
      </c>
      <c r="G138" s="315">
        <f>'H) Péréquation directe'!I148</f>
        <v>434419.87594611163</v>
      </c>
      <c r="H138" s="318" t="e">
        <f>+'I) Dépenses thématiques'!O137</f>
        <v>#DIV/0!</v>
      </c>
      <c r="I138" s="315">
        <f>'K) Plafonnement aide'!J137</f>
        <v>0</v>
      </c>
      <c r="J138" s="318">
        <f>'J) Plafonnement effort'!J137</f>
        <v>0</v>
      </c>
      <c r="K138" s="315">
        <f>'L) Plafonnement taux'!Q138</f>
        <v>0</v>
      </c>
      <c r="L138" s="313" t="e">
        <f t="shared" si="4"/>
        <v>#DIV/0!</v>
      </c>
      <c r="M138" s="234">
        <f>'M) Police'!O138</f>
        <v>64176.805155183625</v>
      </c>
      <c r="N138" s="234" t="e">
        <f t="shared" si="5"/>
        <v>#DIV/0!</v>
      </c>
      <c r="P138" s="320"/>
    </row>
    <row r="139" spans="1:16" s="154" customFormat="1" x14ac:dyDescent="0.25">
      <c r="A139" s="151">
        <f>'B) D RI'!A140</f>
        <v>5629</v>
      </c>
      <c r="B139" s="152" t="str">
        <f>'B) D RI'!B140</f>
        <v>Clarmont</v>
      </c>
      <c r="C139" s="316">
        <f>'B) D RI'!S140</f>
        <v>73.5</v>
      </c>
      <c r="D139" s="153">
        <f>'B) D RI'!AA140</f>
        <v>201</v>
      </c>
      <c r="E139" s="314">
        <f>'D) Ecrêtage'!C138</f>
        <v>8521.2598639455773</v>
      </c>
      <c r="F139" s="318">
        <f>'E) Fact soc'!G144</f>
        <v>117313.75176567781</v>
      </c>
      <c r="G139" s="315">
        <f>'H) Péréquation directe'!I149</f>
        <v>117223.87489793252</v>
      </c>
      <c r="H139" s="318" t="e">
        <f>+'I) Dépenses thématiques'!O138</f>
        <v>#DIV/0!</v>
      </c>
      <c r="I139" s="315">
        <f>'K) Plafonnement aide'!J138</f>
        <v>0</v>
      </c>
      <c r="J139" s="318">
        <f>'J) Plafonnement effort'!J138</f>
        <v>0</v>
      </c>
      <c r="K139" s="315">
        <f>'L) Plafonnement taux'!Q139</f>
        <v>0</v>
      </c>
      <c r="L139" s="313" t="e">
        <f t="shared" si="4"/>
        <v>#DIV/0!</v>
      </c>
      <c r="M139" s="234">
        <f>'M) Police'!O139</f>
        <v>26009.647472986384</v>
      </c>
      <c r="N139" s="234" t="e">
        <f t="shared" si="5"/>
        <v>#DIV/0!</v>
      </c>
      <c r="P139" s="320"/>
    </row>
    <row r="140" spans="1:16" s="154" customFormat="1" x14ac:dyDescent="0.25">
      <c r="A140" s="151">
        <f>'B) D RI'!A141</f>
        <v>5631</v>
      </c>
      <c r="B140" s="152" t="str">
        <f>'B) D RI'!B141</f>
        <v>Denens</v>
      </c>
      <c r="C140" s="316">
        <f>'B) D RI'!S141</f>
        <v>68</v>
      </c>
      <c r="D140" s="153">
        <f>'B) D RI'!AA141</f>
        <v>742</v>
      </c>
      <c r="E140" s="314">
        <f>'D) Ecrêtage'!C139</f>
        <v>43455.14235294117</v>
      </c>
      <c r="F140" s="318">
        <f>'E) Fact soc'!G145</f>
        <v>887129.93791831715</v>
      </c>
      <c r="G140" s="315">
        <f>'H) Péréquation directe'!I150</f>
        <v>761271.43884222151</v>
      </c>
      <c r="H140" s="318" t="e">
        <f>+'I) Dépenses thématiques'!O139</f>
        <v>#DIV/0!</v>
      </c>
      <c r="I140" s="315">
        <f>'K) Plafonnement aide'!J139</f>
        <v>0</v>
      </c>
      <c r="J140" s="318">
        <f>'J) Plafonnement effort'!J139</f>
        <v>0</v>
      </c>
      <c r="K140" s="315">
        <f>'L) Plafonnement taux'!Q140</f>
        <v>0</v>
      </c>
      <c r="L140" s="313" t="e">
        <f t="shared" si="4"/>
        <v>#DIV/0!</v>
      </c>
      <c r="M140" s="234">
        <f>'M) Police'!O140</f>
        <v>117097.18754483316</v>
      </c>
      <c r="N140" s="234" t="e">
        <f t="shared" si="5"/>
        <v>#DIV/0!</v>
      </c>
      <c r="P140" s="320"/>
    </row>
    <row r="141" spans="1:16" s="154" customFormat="1" x14ac:dyDescent="0.25">
      <c r="A141" s="151">
        <f>'B) D RI'!A142</f>
        <v>5632</v>
      </c>
      <c r="B141" s="152" t="str">
        <f>'B) D RI'!B142</f>
        <v>Denges</v>
      </c>
      <c r="C141" s="316">
        <f>'B) D RI'!S142</f>
        <v>62</v>
      </c>
      <c r="D141" s="153">
        <f>'B) D RI'!AA142</f>
        <v>1730</v>
      </c>
      <c r="E141" s="314">
        <f>'D) Ecrêtage'!C140</f>
        <v>76479.966774193541</v>
      </c>
      <c r="F141" s="318">
        <f>'E) Fact soc'!G146</f>
        <v>1247154.4608913634</v>
      </c>
      <c r="G141" s="315">
        <f>'H) Péréquation directe'!I151</f>
        <v>1018518.1196944066</v>
      </c>
      <c r="H141" s="318" t="e">
        <f>+'I) Dépenses thématiques'!O140</f>
        <v>#DIV/0!</v>
      </c>
      <c r="I141" s="315">
        <f>'K) Plafonnement aide'!J140</f>
        <v>0</v>
      </c>
      <c r="J141" s="318">
        <f>'J) Plafonnement effort'!J140</f>
        <v>0</v>
      </c>
      <c r="K141" s="315">
        <f>'L) Plafonnement taux'!Q141</f>
        <v>0</v>
      </c>
      <c r="L141" s="313" t="e">
        <f t="shared" si="4"/>
        <v>#DIV/0!</v>
      </c>
      <c r="M141" s="234">
        <f>'M) Police'!O141</f>
        <v>230766.83705043932</v>
      </c>
      <c r="N141" s="234" t="e">
        <f t="shared" si="5"/>
        <v>#DIV/0!</v>
      </c>
      <c r="P141" s="320"/>
    </row>
    <row r="142" spans="1:16" s="154" customFormat="1" x14ac:dyDescent="0.25">
      <c r="A142" s="151">
        <f>'B) D RI'!A143</f>
        <v>5633</v>
      </c>
      <c r="B142" s="152" t="str">
        <f>'B) D RI'!B143</f>
        <v>Echandens</v>
      </c>
      <c r="C142" s="316">
        <f>'B) D RI'!S143</f>
        <v>60.5</v>
      </c>
      <c r="D142" s="153">
        <f>'B) D RI'!AA143</f>
        <v>2743</v>
      </c>
      <c r="E142" s="314">
        <f>'D) Ecrêtage'!C141</f>
        <v>148865.46909090912</v>
      </c>
      <c r="F142" s="318">
        <f>'E) Fact soc'!G147</f>
        <v>3000517.7130509438</v>
      </c>
      <c r="G142" s="315">
        <f>'H) Péréquation directe'!I152</f>
        <v>2193953.2517000837</v>
      </c>
      <c r="H142" s="318" t="e">
        <f>+'I) Dépenses thématiques'!O141</f>
        <v>#DIV/0!</v>
      </c>
      <c r="I142" s="315">
        <f>'K) Plafonnement aide'!J141</f>
        <v>0</v>
      </c>
      <c r="J142" s="318">
        <f>'J) Plafonnement effort'!J141</f>
        <v>0</v>
      </c>
      <c r="K142" s="315">
        <f>'L) Plafonnement taux'!Q142</f>
        <v>0</v>
      </c>
      <c r="L142" s="313" t="e">
        <f t="shared" si="4"/>
        <v>#DIV/0!</v>
      </c>
      <c r="M142" s="234">
        <f>'M) Police'!O142</f>
        <v>419047.4040230051</v>
      </c>
      <c r="N142" s="234" t="e">
        <f t="shared" si="5"/>
        <v>#DIV/0!</v>
      </c>
      <c r="P142" s="320"/>
    </row>
    <row r="143" spans="1:16" s="154" customFormat="1" x14ac:dyDescent="0.25">
      <c r="A143" s="151">
        <f>'B) D RI'!A144</f>
        <v>5634</v>
      </c>
      <c r="B143" s="152" t="str">
        <f>'B) D RI'!B144</f>
        <v>Echichens</v>
      </c>
      <c r="C143" s="316">
        <f>'B) D RI'!S144</f>
        <v>66</v>
      </c>
      <c r="D143" s="153">
        <f>'B) D RI'!AA144</f>
        <v>3127</v>
      </c>
      <c r="E143" s="314">
        <f>'D) Ecrêtage'!C142</f>
        <v>164177.5981818182</v>
      </c>
      <c r="F143" s="318">
        <f>'E) Fact soc'!G148</f>
        <v>2825674.6286931839</v>
      </c>
      <c r="G143" s="315">
        <f>'H) Péréquation directe'!I153</f>
        <v>2342403.6290711351</v>
      </c>
      <c r="H143" s="318" t="e">
        <f>+'I) Dépenses thématiques'!O142</f>
        <v>#DIV/0!</v>
      </c>
      <c r="I143" s="315">
        <f>'K) Plafonnement aide'!J142</f>
        <v>0</v>
      </c>
      <c r="J143" s="318">
        <f>'J) Plafonnement effort'!J142</f>
        <v>0</v>
      </c>
      <c r="K143" s="315">
        <f>'L) Plafonnement taux'!Q143</f>
        <v>0</v>
      </c>
      <c r="L143" s="313" t="e">
        <f t="shared" si="4"/>
        <v>#DIV/0!</v>
      </c>
      <c r="M143" s="234">
        <f>'M) Police'!O143</f>
        <v>471218.32411125745</v>
      </c>
      <c r="N143" s="234" t="e">
        <f t="shared" si="5"/>
        <v>#DIV/0!</v>
      </c>
      <c r="P143" s="320"/>
    </row>
    <row r="144" spans="1:16" s="154" customFormat="1" x14ac:dyDescent="0.25">
      <c r="A144" s="151">
        <f>'B) D RI'!A145</f>
        <v>5635</v>
      </c>
      <c r="B144" s="152" t="str">
        <f>'B) D RI'!B145</f>
        <v>Ecublens</v>
      </c>
      <c r="C144" s="316">
        <f>'B) D RI'!S145</f>
        <v>62.5</v>
      </c>
      <c r="D144" s="153">
        <f>'B) D RI'!AA145</f>
        <v>13164</v>
      </c>
      <c r="E144" s="314">
        <f>'D) Ecrêtage'!C143</f>
        <v>681739.39309333346</v>
      </c>
      <c r="F144" s="318">
        <f>'E) Fact soc'!G149</f>
        <v>12020392.109587179</v>
      </c>
      <c r="G144" s="315">
        <f>'H) Péréquation directe'!I154</f>
        <v>5511369.8342511356</v>
      </c>
      <c r="H144" s="318" t="e">
        <f>+'I) Dépenses thématiques'!O143</f>
        <v>#DIV/0!</v>
      </c>
      <c r="I144" s="315">
        <f>'K) Plafonnement aide'!J143</f>
        <v>0</v>
      </c>
      <c r="J144" s="318">
        <f>'J) Plafonnement effort'!J143</f>
        <v>0</v>
      </c>
      <c r="K144" s="315">
        <f>'L) Plafonnement taux'!Q144</f>
        <v>0</v>
      </c>
      <c r="L144" s="313" t="e">
        <f t="shared" si="4"/>
        <v>#DIV/0!</v>
      </c>
      <c r="M144" s="234">
        <f>'M) Police'!O144</f>
        <v>800713.08436465927</v>
      </c>
      <c r="N144" s="234" t="e">
        <f t="shared" si="5"/>
        <v>#DIV/0!</v>
      </c>
      <c r="P144" s="320"/>
    </row>
    <row r="145" spans="1:16" s="154" customFormat="1" x14ac:dyDescent="0.25">
      <c r="A145" s="151">
        <f>'B) D RI'!A146</f>
        <v>5636</v>
      </c>
      <c r="B145" s="152" t="str">
        <f>'B) D RI'!B146</f>
        <v>Etoy</v>
      </c>
      <c r="C145" s="316">
        <f>'B) D RI'!S146</f>
        <v>60</v>
      </c>
      <c r="D145" s="153">
        <f>'B) D RI'!AA146</f>
        <v>2909</v>
      </c>
      <c r="E145" s="314">
        <f>'D) Ecrêtage'!C144</f>
        <v>170715.46099999998</v>
      </c>
      <c r="F145" s="318">
        <f>'E) Fact soc'!G150</f>
        <v>3366825.3509076764</v>
      </c>
      <c r="G145" s="315">
        <f>'H) Péréquation directe'!I155</f>
        <v>2565362.1620458988</v>
      </c>
      <c r="H145" s="318" t="e">
        <f>+'I) Dépenses thématiques'!O144</f>
        <v>#DIV/0!</v>
      </c>
      <c r="I145" s="315">
        <f>'K) Plafonnement aide'!J144</f>
        <v>0</v>
      </c>
      <c r="J145" s="318">
        <f>'J) Plafonnement effort'!J144</f>
        <v>0</v>
      </c>
      <c r="K145" s="315">
        <f>'L) Plafonnement taux'!Q145</f>
        <v>0</v>
      </c>
      <c r="L145" s="313" t="e">
        <f t="shared" si="4"/>
        <v>#DIV/0!</v>
      </c>
      <c r="M145" s="234">
        <f>'M) Police'!O145</f>
        <v>459489.12599292339</v>
      </c>
      <c r="N145" s="234" t="e">
        <f t="shared" si="5"/>
        <v>#DIV/0!</v>
      </c>
      <c r="P145" s="320"/>
    </row>
    <row r="146" spans="1:16" s="154" customFormat="1" x14ac:dyDescent="0.25">
      <c r="A146" s="151">
        <f>'B) D RI'!A147</f>
        <v>5637</v>
      </c>
      <c r="B146" s="152" t="str">
        <f>'B) D RI'!B147</f>
        <v>Lavigny</v>
      </c>
      <c r="C146" s="316">
        <f>'B) D RI'!S147</f>
        <v>73</v>
      </c>
      <c r="D146" s="153">
        <f>'B) D RI'!AA147</f>
        <v>1008</v>
      </c>
      <c r="E146" s="314">
        <f>'D) Ecrêtage'!C145</f>
        <v>41194.659315068493</v>
      </c>
      <c r="F146" s="318">
        <f>'E) Fact soc'!G151</f>
        <v>736155.71754417242</v>
      </c>
      <c r="G146" s="315">
        <f>'H) Péréquation directe'!I156</f>
        <v>524678.94370341953</v>
      </c>
      <c r="H146" s="318" t="e">
        <f>+'I) Dépenses thématiques'!O145</f>
        <v>#DIV/0!</v>
      </c>
      <c r="I146" s="315">
        <f>'K) Plafonnement aide'!J145</f>
        <v>0</v>
      </c>
      <c r="J146" s="318">
        <f>'J) Plafonnement effort'!J145</f>
        <v>0</v>
      </c>
      <c r="K146" s="315">
        <f>'L) Plafonnement taux'!Q146</f>
        <v>0</v>
      </c>
      <c r="L146" s="313" t="e">
        <f t="shared" si="4"/>
        <v>#DIV/0!</v>
      </c>
      <c r="M146" s="234">
        <f>'M) Police'!O146</f>
        <v>125319.60145151694</v>
      </c>
      <c r="N146" s="234" t="e">
        <f t="shared" si="5"/>
        <v>#DIV/0!</v>
      </c>
      <c r="P146" s="320"/>
    </row>
    <row r="147" spans="1:16" s="154" customFormat="1" x14ac:dyDescent="0.25">
      <c r="A147" s="151">
        <f>'B) D RI'!A148</f>
        <v>5638</v>
      </c>
      <c r="B147" s="152" t="str">
        <f>'B) D RI'!B148</f>
        <v>Lonay</v>
      </c>
      <c r="C147" s="316">
        <f>'B) D RI'!S148</f>
        <v>55</v>
      </c>
      <c r="D147" s="153">
        <f>'B) D RI'!AA148</f>
        <v>2679</v>
      </c>
      <c r="E147" s="314">
        <f>'D) Ecrêtage'!C146</f>
        <v>145490.01981818181</v>
      </c>
      <c r="F147" s="318">
        <f>'E) Fact soc'!G152</f>
        <v>3296926.7280151234</v>
      </c>
      <c r="G147" s="315">
        <f>'H) Péréquation directe'!I157</f>
        <v>2149893.4415787403</v>
      </c>
      <c r="H147" s="318" t="e">
        <f>+'I) Dépenses thématiques'!O146</f>
        <v>#DIV/0!</v>
      </c>
      <c r="I147" s="315">
        <f>'K) Plafonnement aide'!J146</f>
        <v>0</v>
      </c>
      <c r="J147" s="318">
        <f>'J) Plafonnement effort'!J146</f>
        <v>0</v>
      </c>
      <c r="K147" s="315">
        <f>'L) Plafonnement taux'!Q147</f>
        <v>0</v>
      </c>
      <c r="L147" s="313" t="e">
        <f t="shared" si="4"/>
        <v>#DIV/0!</v>
      </c>
      <c r="M147" s="234">
        <f>'M) Police'!O147</f>
        <v>409385.12249343266</v>
      </c>
      <c r="N147" s="234" t="e">
        <f t="shared" si="5"/>
        <v>#DIV/0!</v>
      </c>
      <c r="P147" s="320"/>
    </row>
    <row r="148" spans="1:16" s="154" customFormat="1" x14ac:dyDescent="0.25">
      <c r="A148" s="151">
        <f>'B) D RI'!A149</f>
        <v>5639</v>
      </c>
      <c r="B148" s="152" t="str">
        <f>'B) D RI'!B149</f>
        <v>Lully</v>
      </c>
      <c r="C148" s="316">
        <f>'B) D RI'!S149</f>
        <v>61</v>
      </c>
      <c r="D148" s="153">
        <f>'B) D RI'!AA149</f>
        <v>825</v>
      </c>
      <c r="E148" s="314">
        <f>'D) Ecrêtage'!C147</f>
        <v>45623.094262295082</v>
      </c>
      <c r="F148" s="318">
        <f>'E) Fact soc'!G153</f>
        <v>769778.85974887561</v>
      </c>
      <c r="G148" s="315">
        <f>'H) Péréquation directe'!I158</f>
        <v>793549.33390625298</v>
      </c>
      <c r="H148" s="318" t="e">
        <f>+'I) Dépenses thématiques'!O147</f>
        <v>#DIV/0!</v>
      </c>
      <c r="I148" s="315">
        <f>'K) Plafonnement aide'!J147</f>
        <v>0</v>
      </c>
      <c r="J148" s="318">
        <f>'J) Plafonnement effort'!J147</f>
        <v>0</v>
      </c>
      <c r="K148" s="315">
        <f>'L) Plafonnement taux'!Q148</f>
        <v>0</v>
      </c>
      <c r="L148" s="313" t="e">
        <f t="shared" si="4"/>
        <v>#DIV/0!</v>
      </c>
      <c r="M148" s="234">
        <f>'M) Police'!O148</f>
        <v>127032.76969981789</v>
      </c>
      <c r="N148" s="234" t="e">
        <f t="shared" si="5"/>
        <v>#DIV/0!</v>
      </c>
      <c r="P148" s="320"/>
    </row>
    <row r="149" spans="1:16" s="154" customFormat="1" x14ac:dyDescent="0.25">
      <c r="A149" s="151">
        <f>'B) D RI'!A150</f>
        <v>5640</v>
      </c>
      <c r="B149" s="152" t="str">
        <f>'B) D RI'!B150</f>
        <v>Lussy-sur-Morges</v>
      </c>
      <c r="C149" s="316">
        <f>'B) D RI'!S150</f>
        <v>66</v>
      </c>
      <c r="D149" s="153">
        <f>'B) D RI'!AA150</f>
        <v>722</v>
      </c>
      <c r="E149" s="314">
        <f>'D) Ecrêtage'!C148</f>
        <v>57031.532424242418</v>
      </c>
      <c r="F149" s="318">
        <f>'E) Fact soc'!G154</f>
        <v>1374294.246824122</v>
      </c>
      <c r="G149" s="315">
        <f>'H) Péréquation directe'!I159</f>
        <v>1030334.1220706229</v>
      </c>
      <c r="H149" s="318" t="e">
        <f>+'I) Dépenses thématiques'!O148</f>
        <v>#DIV/0!</v>
      </c>
      <c r="I149" s="315">
        <f>'K) Plafonnement aide'!J148</f>
        <v>0</v>
      </c>
      <c r="J149" s="318">
        <f>'J) Plafonnement effort'!J148</f>
        <v>0</v>
      </c>
      <c r="K149" s="315">
        <f>'L) Plafonnement taux'!Q149</f>
        <v>0</v>
      </c>
      <c r="L149" s="313" t="e">
        <f t="shared" si="4"/>
        <v>#DIV/0!</v>
      </c>
      <c r="M149" s="234">
        <f>'M) Police'!O149</f>
        <v>66984.385376724647</v>
      </c>
      <c r="N149" s="234" t="e">
        <f t="shared" si="5"/>
        <v>#DIV/0!</v>
      </c>
      <c r="P149" s="320"/>
    </row>
    <row r="150" spans="1:16" s="154" customFormat="1" x14ac:dyDescent="0.25">
      <c r="A150" s="151">
        <f>'B) D RI'!A151</f>
        <v>5642</v>
      </c>
      <c r="B150" s="152" t="str">
        <f>'B) D RI'!B151</f>
        <v>Morges</v>
      </c>
      <c r="C150" s="316">
        <f>'B) D RI'!S151</f>
        <v>67</v>
      </c>
      <c r="D150" s="153">
        <f>'B) D RI'!AA151</f>
        <v>16095</v>
      </c>
      <c r="E150" s="314">
        <f>'D) Ecrêtage'!C149</f>
        <v>787513.11402985093</v>
      </c>
      <c r="F150" s="318">
        <f>'E) Fact soc'!G155</f>
        <v>13930614.268864166</v>
      </c>
      <c r="G150" s="315">
        <f>'H) Péréquation directe'!I160</f>
        <v>4626597.9347538836</v>
      </c>
      <c r="H150" s="318" t="e">
        <f>+'I) Dépenses thématiques'!O149</f>
        <v>#DIV/0!</v>
      </c>
      <c r="I150" s="315">
        <f>'K) Plafonnement aide'!J149</f>
        <v>0</v>
      </c>
      <c r="J150" s="318">
        <f>'J) Plafonnement effort'!J149</f>
        <v>0</v>
      </c>
      <c r="K150" s="315">
        <f>'L) Plafonnement taux'!Q150</f>
        <v>0</v>
      </c>
      <c r="L150" s="313" t="e">
        <f t="shared" si="4"/>
        <v>#DIV/0!</v>
      </c>
      <c r="M150" s="234">
        <f>'M) Police'!O150</f>
        <v>924945.8970696904</v>
      </c>
      <c r="N150" s="234" t="e">
        <f t="shared" si="5"/>
        <v>#DIV/0!</v>
      </c>
      <c r="P150" s="320"/>
    </row>
    <row r="151" spans="1:16" s="154" customFormat="1" x14ac:dyDescent="0.25">
      <c r="A151" s="151">
        <f>'B) D RI'!A152</f>
        <v>5643</v>
      </c>
      <c r="B151" s="152" t="str">
        <f>'B) D RI'!B152</f>
        <v>Préverenges</v>
      </c>
      <c r="C151" s="316">
        <f>'B) D RI'!S152</f>
        <v>62.5</v>
      </c>
      <c r="D151" s="153">
        <f>'B) D RI'!AA152</f>
        <v>5241</v>
      </c>
      <c r="E151" s="314">
        <f>'D) Ecrêtage'!C150</f>
        <v>262337.37167999998</v>
      </c>
      <c r="F151" s="318">
        <f>'E) Fact soc'!G156</f>
        <v>4140967.5868395148</v>
      </c>
      <c r="G151" s="315">
        <f>'H) Péréquation directe'!I161</f>
        <v>3197446.8724828893</v>
      </c>
      <c r="H151" s="318" t="e">
        <f>+'I) Dépenses thématiques'!O150</f>
        <v>#DIV/0!</v>
      </c>
      <c r="I151" s="315">
        <f>'K) Plafonnement aide'!J150</f>
        <v>0</v>
      </c>
      <c r="J151" s="318">
        <f>'J) Plafonnement effort'!J150</f>
        <v>0</v>
      </c>
      <c r="K151" s="315">
        <f>'L) Plafonnement taux'!Q151</f>
        <v>0</v>
      </c>
      <c r="L151" s="313" t="e">
        <f t="shared" si="4"/>
        <v>#DIV/0!</v>
      </c>
      <c r="M151" s="234">
        <f>'M) Police'!O151</f>
        <v>308119.15542814025</v>
      </c>
      <c r="N151" s="234" t="e">
        <f t="shared" si="5"/>
        <v>#DIV/0!</v>
      </c>
      <c r="P151" s="320"/>
    </row>
    <row r="152" spans="1:16" s="154" customFormat="1" x14ac:dyDescent="0.25">
      <c r="A152" s="151">
        <f>'B) D RI'!A153</f>
        <v>5644</v>
      </c>
      <c r="B152" s="152" t="str">
        <f>'B) D RI'!B153</f>
        <v>Reverolle</v>
      </c>
      <c r="C152" s="316">
        <f>'B) D RI'!S153</f>
        <v>74</v>
      </c>
      <c r="D152" s="153">
        <f>'B) D RI'!AA153</f>
        <v>407</v>
      </c>
      <c r="E152" s="314">
        <f>'D) Ecrêtage'!C151</f>
        <v>16020.747027027028</v>
      </c>
      <c r="F152" s="318">
        <f>'E) Fact soc'!G157</f>
        <v>231166.75611211019</v>
      </c>
      <c r="G152" s="315">
        <f>'H) Péréquation directe'!I162</f>
        <v>185336.96935425571</v>
      </c>
      <c r="H152" s="318" t="e">
        <f>+'I) Dépenses thématiques'!O151</f>
        <v>#DIV/0!</v>
      </c>
      <c r="I152" s="315">
        <f>'K) Plafonnement aide'!J151</f>
        <v>0</v>
      </c>
      <c r="J152" s="318">
        <f>'J) Plafonnement effort'!J151</f>
        <v>0</v>
      </c>
      <c r="K152" s="315">
        <f>'L) Plafonnement taux'!Q152</f>
        <v>0</v>
      </c>
      <c r="L152" s="313" t="e">
        <f t="shared" si="4"/>
        <v>#DIV/0!</v>
      </c>
      <c r="M152" s="234">
        <f>'M) Police'!O152</f>
        <v>48628.166580242643</v>
      </c>
      <c r="N152" s="234" t="e">
        <f t="shared" si="5"/>
        <v>#DIV/0!</v>
      </c>
      <c r="P152" s="320"/>
    </row>
    <row r="153" spans="1:16" s="154" customFormat="1" x14ac:dyDescent="0.25">
      <c r="A153" s="151">
        <f>'B) D RI'!A154</f>
        <v>5645</v>
      </c>
      <c r="B153" s="152" t="str">
        <f>'B) D RI'!B154</f>
        <v>Romanel-sur-Morges</v>
      </c>
      <c r="C153" s="316">
        <f>'B) D RI'!S154</f>
        <v>56</v>
      </c>
      <c r="D153" s="153">
        <f>'B) D RI'!AA154</f>
        <v>466</v>
      </c>
      <c r="E153" s="314">
        <f>'D) Ecrêtage'!C152</f>
        <v>27365.134464285718</v>
      </c>
      <c r="F153" s="318">
        <f>'E) Fact soc'!G158</f>
        <v>528180.59421495348</v>
      </c>
      <c r="G153" s="315">
        <f>'H) Péréquation directe'!I163</f>
        <v>479554.16032386589</v>
      </c>
      <c r="H153" s="318" t="e">
        <f>+'I) Dépenses thématiques'!O152</f>
        <v>#DIV/0!</v>
      </c>
      <c r="I153" s="315">
        <f>'K) Plafonnement aide'!J152</f>
        <v>0</v>
      </c>
      <c r="J153" s="318">
        <f>'J) Plafonnement effort'!J152</f>
        <v>0</v>
      </c>
      <c r="K153" s="315">
        <f>'L) Plafonnement taux'!Q153</f>
        <v>0</v>
      </c>
      <c r="L153" s="313" t="e">
        <f t="shared" si="4"/>
        <v>#DIV/0!</v>
      </c>
      <c r="M153" s="234">
        <f>'M) Police'!O153</f>
        <v>73627.61736424765</v>
      </c>
      <c r="N153" s="234" t="e">
        <f t="shared" si="5"/>
        <v>#DIV/0!</v>
      </c>
      <c r="P153" s="320"/>
    </row>
    <row r="154" spans="1:16" s="154" customFormat="1" x14ac:dyDescent="0.25">
      <c r="A154" s="151">
        <f>'B) D RI'!A155</f>
        <v>5646</v>
      </c>
      <c r="B154" s="152" t="str">
        <f>'B) D RI'!B155</f>
        <v>Saint-Prex</v>
      </c>
      <c r="C154" s="316">
        <f>'B) D RI'!S155</f>
        <v>55</v>
      </c>
      <c r="D154" s="153">
        <f>'B) D RI'!AA155</f>
        <v>5865</v>
      </c>
      <c r="E154" s="314">
        <f>'D) Ecrêtage'!C153</f>
        <v>541092.68090909091</v>
      </c>
      <c r="F154" s="318">
        <f>'E) Fact soc'!G159</f>
        <v>13385018.87899987</v>
      </c>
      <c r="G154" s="315">
        <f>'H) Péréquation directe'!I164</f>
        <v>8299633.87542124</v>
      </c>
      <c r="H154" s="318" t="e">
        <f>+'I) Dépenses thématiques'!O153</f>
        <v>#DIV/0!</v>
      </c>
      <c r="I154" s="315">
        <f>'K) Plafonnement aide'!J153</f>
        <v>0</v>
      </c>
      <c r="J154" s="318">
        <f>'J) Plafonnement effort'!J153</f>
        <v>0</v>
      </c>
      <c r="K154" s="315">
        <f>'L) Plafonnement taux'!Q154</f>
        <v>0</v>
      </c>
      <c r="L154" s="313" t="e">
        <f t="shared" si="4"/>
        <v>#DIV/0!</v>
      </c>
      <c r="M154" s="234">
        <f>'M) Police'!O154</f>
        <v>635521.42335795041</v>
      </c>
      <c r="N154" s="234" t="e">
        <f t="shared" si="5"/>
        <v>#DIV/0!</v>
      </c>
      <c r="P154" s="320"/>
    </row>
    <row r="155" spans="1:16" s="154" customFormat="1" x14ac:dyDescent="0.25">
      <c r="A155" s="151">
        <f>'B) D RI'!A156</f>
        <v>5648</v>
      </c>
      <c r="B155" s="152" t="str">
        <f>'B) D RI'!B156</f>
        <v>Saint-Sulpice</v>
      </c>
      <c r="C155" s="316">
        <f>'B) D RI'!S156</f>
        <v>55</v>
      </c>
      <c r="D155" s="153">
        <f>'B) D RI'!AA156</f>
        <v>4909</v>
      </c>
      <c r="E155" s="314">
        <f>'D) Ecrêtage'!C154</f>
        <v>396458.15636363637</v>
      </c>
      <c r="F155" s="318">
        <f>'E) Fact soc'!G160</f>
        <v>8833089.6771947443</v>
      </c>
      <c r="G155" s="315">
        <f>'H) Péréquation directe'!I165</f>
        <v>6019581.092035871</v>
      </c>
      <c r="H155" s="318" t="e">
        <f>+'I) Dépenses thématiques'!O154</f>
        <v>#DIV/0!</v>
      </c>
      <c r="I155" s="315">
        <f>'K) Plafonnement aide'!J154</f>
        <v>0</v>
      </c>
      <c r="J155" s="318">
        <f>'J) Plafonnement effort'!J154</f>
        <v>0</v>
      </c>
      <c r="K155" s="315">
        <f>'L) Plafonnement taux'!Q155</f>
        <v>0</v>
      </c>
      <c r="L155" s="313" t="e">
        <f t="shared" si="4"/>
        <v>#DIV/0!</v>
      </c>
      <c r="M155" s="234">
        <f>'M) Police'!O155</f>
        <v>465646.01726043032</v>
      </c>
      <c r="N155" s="234" t="e">
        <f t="shared" si="5"/>
        <v>#DIV/0!</v>
      </c>
      <c r="P155" s="320"/>
    </row>
    <row r="156" spans="1:16" s="154" customFormat="1" x14ac:dyDescent="0.25">
      <c r="A156" s="151">
        <f>'B) D RI'!A157</f>
        <v>5649</v>
      </c>
      <c r="B156" s="152" t="str">
        <f>'B) D RI'!B157</f>
        <v>Tolochenaz</v>
      </c>
      <c r="C156" s="316">
        <f>'B) D RI'!S157</f>
        <v>65</v>
      </c>
      <c r="D156" s="153">
        <f>'B) D RI'!AA157</f>
        <v>1889</v>
      </c>
      <c r="E156" s="314">
        <f>'D) Ecrêtage'!C155</f>
        <v>215548.34569230766</v>
      </c>
      <c r="F156" s="318">
        <f>'E) Fact soc'!G161</f>
        <v>6314816.9878313523</v>
      </c>
      <c r="G156" s="315">
        <f>'H) Péréquation directe'!I166</f>
        <v>3799816.9072795124</v>
      </c>
      <c r="H156" s="318" t="e">
        <f>+'I) Dépenses thématiques'!O155</f>
        <v>#DIV/0!</v>
      </c>
      <c r="I156" s="315">
        <f>'K) Plafonnement aide'!J155</f>
        <v>0</v>
      </c>
      <c r="J156" s="318">
        <f>'J) Plafonnement effort'!J155</f>
        <v>0</v>
      </c>
      <c r="K156" s="315">
        <f>'L) Plafonnement taux'!Q156</f>
        <v>0</v>
      </c>
      <c r="L156" s="313" t="e">
        <f t="shared" si="4"/>
        <v>#DIV/0!</v>
      </c>
      <c r="M156" s="234">
        <f>'M) Police'!O156</f>
        <v>253164.74661360629</v>
      </c>
      <c r="N156" s="234" t="e">
        <f t="shared" si="5"/>
        <v>#DIV/0!</v>
      </c>
      <c r="P156" s="320"/>
    </row>
    <row r="157" spans="1:16" s="154" customFormat="1" x14ac:dyDescent="0.25">
      <c r="A157" s="151">
        <f>'B) D RI'!A158</f>
        <v>5650</v>
      </c>
      <c r="B157" s="152" t="str">
        <f>'B) D RI'!B158</f>
        <v>Vaux-sur-Morges</v>
      </c>
      <c r="C157" s="316">
        <f>'B) D RI'!S158</f>
        <v>56</v>
      </c>
      <c r="D157" s="153">
        <f>'B) D RI'!AA158</f>
        <v>194</v>
      </c>
      <c r="E157" s="314">
        <f>'D) Ecrêtage'!C156</f>
        <v>63002.429285714286</v>
      </c>
      <c r="F157" s="318">
        <f>'E) Fact soc'!G162</f>
        <v>12990970.261324275</v>
      </c>
      <c r="G157" s="315">
        <f>'H) Péréquation directe'!I167</f>
        <v>1213046.0621035038</v>
      </c>
      <c r="H157" s="318" t="e">
        <f>+'I) Dépenses thématiques'!O156</f>
        <v>#DIV/0!</v>
      </c>
      <c r="I157" s="315">
        <f>'K) Plafonnement aide'!J156</f>
        <v>0</v>
      </c>
      <c r="J157" s="318">
        <f>'J) Plafonnement effort'!J156</f>
        <v>-650495.59271349409</v>
      </c>
      <c r="K157" s="315">
        <f>'L) Plafonnement taux'!Q157</f>
        <v>0</v>
      </c>
      <c r="L157" s="313" t="e">
        <f t="shared" si="4"/>
        <v>#DIV/0!</v>
      </c>
      <c r="M157" s="234">
        <f>'M) Police'!O157</f>
        <v>91268.646032211051</v>
      </c>
      <c r="N157" s="234" t="e">
        <f t="shared" si="5"/>
        <v>#DIV/0!</v>
      </c>
      <c r="P157" s="320"/>
    </row>
    <row r="158" spans="1:16" s="154" customFormat="1" x14ac:dyDescent="0.25">
      <c r="A158" s="151">
        <f>'B) D RI'!A159</f>
        <v>5651</v>
      </c>
      <c r="B158" s="152" t="str">
        <f>'B) D RI'!B159</f>
        <v>Villars-Sainte-Croix</v>
      </c>
      <c r="C158" s="316">
        <f>'B) D RI'!S159</f>
        <v>60.5</v>
      </c>
      <c r="D158" s="153">
        <f>'B) D RI'!AA159</f>
        <v>958</v>
      </c>
      <c r="E158" s="314">
        <f>'D) Ecrêtage'!C157</f>
        <v>55737.982975206622</v>
      </c>
      <c r="F158" s="318">
        <f>'E) Fact soc'!G163</f>
        <v>1069063.6162508018</v>
      </c>
      <c r="G158" s="315">
        <f>'H) Péréquation directe'!I168</f>
        <v>975671.7137194369</v>
      </c>
      <c r="H158" s="318" t="e">
        <f>+'I) Dépenses thématiques'!O157</f>
        <v>#DIV/0!</v>
      </c>
      <c r="I158" s="315">
        <f>'K) Plafonnement aide'!J157</f>
        <v>0</v>
      </c>
      <c r="J158" s="318">
        <f>'J) Plafonnement effort'!J157</f>
        <v>0</v>
      </c>
      <c r="K158" s="315">
        <f>'L) Plafonnement taux'!Q158</f>
        <v>0</v>
      </c>
      <c r="L158" s="313" t="e">
        <f t="shared" si="4"/>
        <v>#DIV/0!</v>
      </c>
      <c r="M158" s="234">
        <f>'M) Police'!O158</f>
        <v>65465.092257375953</v>
      </c>
      <c r="N158" s="234" t="e">
        <f t="shared" si="5"/>
        <v>#DIV/0!</v>
      </c>
      <c r="P158" s="320"/>
    </row>
    <row r="159" spans="1:16" s="154" customFormat="1" x14ac:dyDescent="0.25">
      <c r="A159" s="151">
        <f>'B) D RI'!A160</f>
        <v>5652</v>
      </c>
      <c r="B159" s="152" t="str">
        <f>'B) D RI'!B160</f>
        <v>Villars-sous-Yens</v>
      </c>
      <c r="C159" s="316">
        <f>'B) D RI'!S160</f>
        <v>76</v>
      </c>
      <c r="D159" s="153">
        <f>'B) D RI'!AA160</f>
        <v>615</v>
      </c>
      <c r="E159" s="314">
        <f>'D) Ecrêtage'!C158</f>
        <v>25662.281995614037</v>
      </c>
      <c r="F159" s="318">
        <f>'E) Fact soc'!G164</f>
        <v>431747.54119492415</v>
      </c>
      <c r="G159" s="315">
        <f>'H) Péréquation directe'!I169</f>
        <v>335779.31751795503</v>
      </c>
      <c r="H159" s="318" t="e">
        <f>+'I) Dépenses thématiques'!O158</f>
        <v>#DIV/0!</v>
      </c>
      <c r="I159" s="315">
        <f>'K) Plafonnement aide'!J158</f>
        <v>0</v>
      </c>
      <c r="J159" s="318">
        <f>'J) Plafonnement effort'!J158</f>
        <v>0</v>
      </c>
      <c r="K159" s="315">
        <f>'L) Plafonnement taux'!Q159</f>
        <v>0</v>
      </c>
      <c r="L159" s="313" t="e">
        <f t="shared" si="4"/>
        <v>#DIV/0!</v>
      </c>
      <c r="M159" s="234">
        <f>'M) Police'!O159</f>
        <v>78555.430025666137</v>
      </c>
      <c r="N159" s="234" t="e">
        <f t="shared" si="5"/>
        <v>#DIV/0!</v>
      </c>
      <c r="P159" s="320"/>
    </row>
    <row r="160" spans="1:16" s="154" customFormat="1" x14ac:dyDescent="0.25">
      <c r="A160" s="151">
        <f>'B) D RI'!A161</f>
        <v>5653</v>
      </c>
      <c r="B160" s="152" t="str">
        <f>'B) D RI'!B161</f>
        <v>Vufflens-le-Château</v>
      </c>
      <c r="C160" s="316">
        <f>'B) D RI'!S161</f>
        <v>58.5</v>
      </c>
      <c r="D160" s="153">
        <f>'B) D RI'!AA161</f>
        <v>870</v>
      </c>
      <c r="E160" s="314">
        <f>'D) Ecrêtage'!C159</f>
        <v>68786.034529914527</v>
      </c>
      <c r="F160" s="318">
        <f>'E) Fact soc'!G165</f>
        <v>1568002.8891045675</v>
      </c>
      <c r="G160" s="315">
        <f>'H) Péréquation directe'!I170</f>
        <v>1242791.6555730901</v>
      </c>
      <c r="H160" s="318" t="e">
        <f>+'I) Dépenses thématiques'!O159</f>
        <v>#DIV/0!</v>
      </c>
      <c r="I160" s="315">
        <f>'K) Plafonnement aide'!J159</f>
        <v>0</v>
      </c>
      <c r="J160" s="318">
        <f>'J) Plafonnement effort'!J159</f>
        <v>0</v>
      </c>
      <c r="K160" s="315">
        <f>'L) Plafonnement taux'!Q160</f>
        <v>0</v>
      </c>
      <c r="L160" s="313" t="e">
        <f t="shared" si="4"/>
        <v>#DIV/0!</v>
      </c>
      <c r="M160" s="234">
        <f>'M) Police'!O160</f>
        <v>158244.23021846078</v>
      </c>
      <c r="N160" s="234" t="e">
        <f t="shared" si="5"/>
        <v>#DIV/0!</v>
      </c>
      <c r="P160" s="320"/>
    </row>
    <row r="161" spans="1:16" s="154" customFormat="1" x14ac:dyDescent="0.25">
      <c r="A161" s="151">
        <f>'B) D RI'!A162</f>
        <v>5654</v>
      </c>
      <c r="B161" s="152" t="str">
        <f>'B) D RI'!B162</f>
        <v>Vullierens</v>
      </c>
      <c r="C161" s="316">
        <f>'B) D RI'!S162</f>
        <v>76</v>
      </c>
      <c r="D161" s="153">
        <f>'B) D RI'!AA162</f>
        <v>542</v>
      </c>
      <c r="E161" s="314">
        <f>'D) Ecrêtage'!C160</f>
        <v>19265.899342105262</v>
      </c>
      <c r="F161" s="318">
        <f>'E) Fact soc'!G166</f>
        <v>341645.39583037829</v>
      </c>
      <c r="G161" s="315">
        <f>'H) Péréquation directe'!I171</f>
        <v>152498.68176185165</v>
      </c>
      <c r="H161" s="318" t="e">
        <f>+'I) Dépenses thématiques'!O160</f>
        <v>#DIV/0!</v>
      </c>
      <c r="I161" s="315">
        <f>'K) Plafonnement aide'!J160</f>
        <v>0</v>
      </c>
      <c r="J161" s="318">
        <f>'J) Plafonnement effort'!J160</f>
        <v>0</v>
      </c>
      <c r="K161" s="315">
        <f>'L) Plafonnement taux'!Q161</f>
        <v>0</v>
      </c>
      <c r="L161" s="313" t="e">
        <f t="shared" si="4"/>
        <v>#DIV/0!</v>
      </c>
      <c r="M161" s="234">
        <f>'M) Police'!O161</f>
        <v>58312.182153509435</v>
      </c>
      <c r="N161" s="234" t="e">
        <f t="shared" si="5"/>
        <v>#DIV/0!</v>
      </c>
      <c r="P161" s="320"/>
    </row>
    <row r="162" spans="1:16" s="154" customFormat="1" x14ac:dyDescent="0.25">
      <c r="A162" s="151">
        <f>'B) D RI'!A163</f>
        <v>5655</v>
      </c>
      <c r="B162" s="152" t="str">
        <f>'B) D RI'!B163</f>
        <v>Yens</v>
      </c>
      <c r="C162" s="316">
        <f>'B) D RI'!S163</f>
        <v>71.5</v>
      </c>
      <c r="D162" s="153">
        <f>'B) D RI'!AA163</f>
        <v>1480</v>
      </c>
      <c r="E162" s="314">
        <f>'D) Ecrêtage'!C161</f>
        <v>90935.122097902116</v>
      </c>
      <c r="F162" s="318">
        <f>'E) Fact soc'!G167</f>
        <v>1784078.4110377389</v>
      </c>
      <c r="G162" s="315">
        <f>'H) Péréquation directe'!I172</f>
        <v>1494938.8297172082</v>
      </c>
      <c r="H162" s="318" t="e">
        <f>+'I) Dépenses thématiques'!O161</f>
        <v>#DIV/0!</v>
      </c>
      <c r="I162" s="315">
        <f>'K) Plafonnement aide'!J161</f>
        <v>0</v>
      </c>
      <c r="J162" s="318">
        <f>'J) Plafonnement effort'!J161</f>
        <v>0</v>
      </c>
      <c r="K162" s="315">
        <f>'L) Plafonnement taux'!Q162</f>
        <v>0</v>
      </c>
      <c r="L162" s="313" t="e">
        <f t="shared" si="4"/>
        <v>#DIV/0!</v>
      </c>
      <c r="M162" s="234">
        <f>'M) Police'!O162</f>
        <v>238565.49625516759</v>
      </c>
      <c r="N162" s="234" t="e">
        <f t="shared" si="5"/>
        <v>#DIV/0!</v>
      </c>
      <c r="P162" s="320"/>
    </row>
    <row r="163" spans="1:16" s="154" customFormat="1" x14ac:dyDescent="0.25">
      <c r="A163" s="151">
        <f>'B) D RI'!A164</f>
        <v>5661</v>
      </c>
      <c r="B163" s="152" t="str">
        <f>'B) D RI'!B164</f>
        <v>Boulens</v>
      </c>
      <c r="C163" s="316">
        <f>'B) D RI'!S164</f>
        <v>71.5</v>
      </c>
      <c r="D163" s="153">
        <f>'B) D RI'!AA164</f>
        <v>369</v>
      </c>
      <c r="E163" s="314">
        <f>'D) Ecrêtage'!C162</f>
        <v>10167.852447552446</v>
      </c>
      <c r="F163" s="318">
        <f>'E) Fact soc'!G168</f>
        <v>154701.60055814477</v>
      </c>
      <c r="G163" s="315">
        <f>'H) Péréquation directe'!I173</f>
        <v>-2144.7637528097548</v>
      </c>
      <c r="H163" s="318" t="e">
        <f>+'I) Dépenses thématiques'!O162</f>
        <v>#DIV/0!</v>
      </c>
      <c r="I163" s="315">
        <f>'K) Plafonnement aide'!J162</f>
        <v>0</v>
      </c>
      <c r="J163" s="318">
        <f>'J) Plafonnement effort'!J162</f>
        <v>0</v>
      </c>
      <c r="K163" s="315">
        <f>'L) Plafonnement taux'!Q163</f>
        <v>0</v>
      </c>
      <c r="L163" s="313" t="e">
        <f t="shared" si="4"/>
        <v>#DIV/0!</v>
      </c>
      <c r="M163" s="234">
        <f>'M) Police'!O163</f>
        <v>30647.439793299993</v>
      </c>
      <c r="N163" s="234" t="e">
        <f t="shared" si="5"/>
        <v>#DIV/0!</v>
      </c>
      <c r="P163" s="320"/>
    </row>
    <row r="164" spans="1:16" s="154" customFormat="1" x14ac:dyDescent="0.25">
      <c r="A164" s="151">
        <f>'B) D RI'!A165</f>
        <v>5663</v>
      </c>
      <c r="B164" s="152" t="str">
        <f>'B) D RI'!B165</f>
        <v>Bussy-sur-Moudon</v>
      </c>
      <c r="C164" s="316">
        <f>'B) D RI'!S165</f>
        <v>80</v>
      </c>
      <c r="D164" s="153">
        <f>'B) D RI'!AA165</f>
        <v>219</v>
      </c>
      <c r="E164" s="314">
        <f>'D) Ecrêtage'!C163</f>
        <v>5408.1284999999998</v>
      </c>
      <c r="F164" s="318">
        <f>'E) Fact soc'!G169</f>
        <v>83765.852399982585</v>
      </c>
      <c r="G164" s="315">
        <f>'H) Péréquation directe'!I174</f>
        <v>-52987.657419939787</v>
      </c>
      <c r="H164" s="318" t="e">
        <f>+'I) Dépenses thématiques'!O163</f>
        <v>#DIV/0!</v>
      </c>
      <c r="I164" s="315">
        <f>'K) Plafonnement aide'!J163</f>
        <v>0</v>
      </c>
      <c r="J164" s="318">
        <f>'J) Plafonnement effort'!J163</f>
        <v>0</v>
      </c>
      <c r="K164" s="315">
        <f>'L) Plafonnement taux'!Q164</f>
        <v>0</v>
      </c>
      <c r="L164" s="313" t="e">
        <f t="shared" si="4"/>
        <v>#DIV/0!</v>
      </c>
      <c r="M164" s="234">
        <f>'M) Police'!O164</f>
        <v>16323.285827819418</v>
      </c>
      <c r="N164" s="234" t="e">
        <f t="shared" si="5"/>
        <v>#DIV/0!</v>
      </c>
      <c r="P164" s="320"/>
    </row>
    <row r="165" spans="1:16" s="154" customFormat="1" x14ac:dyDescent="0.25">
      <c r="A165" s="151">
        <f>'B) D RI'!A166</f>
        <v>5665</v>
      </c>
      <c r="B165" s="152" t="str">
        <f>'B) D RI'!B166</f>
        <v>Chavannes-sur-Moudon</v>
      </c>
      <c r="C165" s="316">
        <f>'B) D RI'!S166</f>
        <v>73</v>
      </c>
      <c r="D165" s="153">
        <f>'B) D RI'!AA166</f>
        <v>223</v>
      </c>
      <c r="E165" s="314">
        <f>'D) Ecrêtage'!C164</f>
        <v>6834.8221917808223</v>
      </c>
      <c r="F165" s="318">
        <f>'E) Fact soc'!G170</f>
        <v>118934.61419112406</v>
      </c>
      <c r="G165" s="315">
        <f>'H) Péréquation directe'!I175</f>
        <v>23007.517413175286</v>
      </c>
      <c r="H165" s="318" t="e">
        <f>+'I) Dépenses thématiques'!O164</f>
        <v>#DIV/0!</v>
      </c>
      <c r="I165" s="315">
        <f>'K) Plafonnement aide'!J164</f>
        <v>0</v>
      </c>
      <c r="J165" s="318">
        <f>'J) Plafonnement effort'!J164</f>
        <v>0</v>
      </c>
      <c r="K165" s="315">
        <f>'L) Plafonnement taux'!Q165</f>
        <v>0</v>
      </c>
      <c r="L165" s="313" t="e">
        <f t="shared" si="4"/>
        <v>#DIV/0!</v>
      </c>
      <c r="M165" s="234">
        <f>'M) Police'!O165</f>
        <v>20995.877856203744</v>
      </c>
      <c r="N165" s="234" t="e">
        <f t="shared" si="5"/>
        <v>#DIV/0!</v>
      </c>
      <c r="P165" s="320"/>
    </row>
    <row r="166" spans="1:16" s="154" customFormat="1" x14ac:dyDescent="0.25">
      <c r="A166" s="151">
        <f>'B) D RI'!A167</f>
        <v>5669</v>
      </c>
      <c r="B166" s="152" t="str">
        <f>'B) D RI'!B167</f>
        <v>Curtilles</v>
      </c>
      <c r="C166" s="316">
        <f>'B) D RI'!S167</f>
        <v>73</v>
      </c>
      <c r="D166" s="153">
        <f>'B) D RI'!AA167</f>
        <v>301</v>
      </c>
      <c r="E166" s="314">
        <f>'D) Ecrêtage'!C165</f>
        <v>10286.853972602739</v>
      </c>
      <c r="F166" s="318">
        <f>'E) Fact soc'!G171</f>
        <v>155324.26613408211</v>
      </c>
      <c r="G166" s="315">
        <f>'H) Péréquation directe'!I176</f>
        <v>74588.411110047688</v>
      </c>
      <c r="H166" s="318" t="e">
        <f>+'I) Dépenses thématiques'!O165</f>
        <v>#DIV/0!</v>
      </c>
      <c r="I166" s="315">
        <f>'K) Plafonnement aide'!J165</f>
        <v>0</v>
      </c>
      <c r="J166" s="318">
        <f>'J) Plafonnement effort'!J165</f>
        <v>0</v>
      </c>
      <c r="K166" s="315">
        <f>'L) Plafonnement taux'!Q166</f>
        <v>0</v>
      </c>
      <c r="L166" s="313" t="e">
        <f t="shared" si="4"/>
        <v>#DIV/0!</v>
      </c>
      <c r="M166" s="234">
        <f>'M) Police'!O166</f>
        <v>31323.590527952809</v>
      </c>
      <c r="N166" s="234" t="e">
        <f t="shared" si="5"/>
        <v>#DIV/0!</v>
      </c>
      <c r="P166" s="320"/>
    </row>
    <row r="167" spans="1:16" s="154" customFormat="1" x14ac:dyDescent="0.25">
      <c r="A167" s="151">
        <f>'B) D RI'!A168</f>
        <v>5671</v>
      </c>
      <c r="B167" s="152" t="str">
        <f>'B) D RI'!B168</f>
        <v>Dompierre</v>
      </c>
      <c r="C167" s="316">
        <f>'B) D RI'!S168</f>
        <v>78</v>
      </c>
      <c r="D167" s="153">
        <f>'B) D RI'!AA168</f>
        <v>245</v>
      </c>
      <c r="E167" s="314">
        <f>'D) Ecrêtage'!C166</f>
        <v>6034.0657692307695</v>
      </c>
      <c r="F167" s="318">
        <f>'E) Fact soc'!G172</f>
        <v>110782.86546254507</v>
      </c>
      <c r="G167" s="315">
        <f>'H) Péréquation directe'!I177</f>
        <v>-52695.90954176386</v>
      </c>
      <c r="H167" s="318" t="e">
        <f>+'I) Dépenses thématiques'!O166</f>
        <v>#DIV/0!</v>
      </c>
      <c r="I167" s="315">
        <f>'K) Plafonnement aide'!J166</f>
        <v>0</v>
      </c>
      <c r="J167" s="318">
        <f>'J) Plafonnement effort'!J166</f>
        <v>0</v>
      </c>
      <c r="K167" s="315">
        <f>'L) Plafonnement taux'!Q167</f>
        <v>0</v>
      </c>
      <c r="L167" s="313" t="e">
        <f t="shared" si="4"/>
        <v>#DIV/0!</v>
      </c>
      <c r="M167" s="234">
        <f>'M) Police'!O167</f>
        <v>18328.349722677416</v>
      </c>
      <c r="N167" s="234" t="e">
        <f t="shared" si="5"/>
        <v>#DIV/0!</v>
      </c>
      <c r="P167" s="320"/>
    </row>
    <row r="168" spans="1:16" s="154" customFormat="1" x14ac:dyDescent="0.25">
      <c r="A168" s="151">
        <f>'B) D RI'!A169</f>
        <v>5673</v>
      </c>
      <c r="B168" s="152" t="str">
        <f>'B) D RI'!B169</f>
        <v>Hermenches</v>
      </c>
      <c r="C168" s="316">
        <f>'B) D RI'!S169</f>
        <v>73.5</v>
      </c>
      <c r="D168" s="153">
        <f>'B) D RI'!AA169</f>
        <v>384</v>
      </c>
      <c r="E168" s="314">
        <f>'D) Ecrêtage'!C167</f>
        <v>10638.728435374151</v>
      </c>
      <c r="F168" s="318">
        <f>'E) Fact soc'!G173</f>
        <v>158015.56455698988</v>
      </c>
      <c r="G168" s="315">
        <f>'H) Péréquation directe'!I178</f>
        <v>-9066.3124233555864</v>
      </c>
      <c r="H168" s="318" t="e">
        <f>+'I) Dépenses thématiques'!O167</f>
        <v>#DIV/0!</v>
      </c>
      <c r="I168" s="315">
        <f>'K) Plafonnement aide'!J167</f>
        <v>0</v>
      </c>
      <c r="J168" s="318">
        <f>'J) Plafonnement effort'!J167</f>
        <v>0</v>
      </c>
      <c r="K168" s="315">
        <f>'L) Plafonnement taux'!Q168</f>
        <v>0</v>
      </c>
      <c r="L168" s="313" t="e">
        <f t="shared" ref="L168:L220" si="6">F168+G168+H168+I168+J168+K168</f>
        <v>#DIV/0!</v>
      </c>
      <c r="M168" s="234">
        <f>'M) Police'!O168</f>
        <v>32416.802079647219</v>
      </c>
      <c r="N168" s="234" t="e">
        <f t="shared" si="5"/>
        <v>#DIV/0!</v>
      </c>
      <c r="P168" s="320"/>
    </row>
    <row r="169" spans="1:16" s="154" customFormat="1" x14ac:dyDescent="0.25">
      <c r="A169" s="151">
        <f>'B) D RI'!A170</f>
        <v>5674</v>
      </c>
      <c r="B169" s="152" t="str">
        <f>'B) D RI'!B170</f>
        <v>Lovatens</v>
      </c>
      <c r="C169" s="316">
        <f>'B) D RI'!S170</f>
        <v>75</v>
      </c>
      <c r="D169" s="153">
        <f>'B) D RI'!AA170</f>
        <v>142</v>
      </c>
      <c r="E169" s="314">
        <f>'D) Ecrêtage'!C168</f>
        <v>3430.742038095239</v>
      </c>
      <c r="F169" s="318">
        <f>'E) Fact soc'!G174</f>
        <v>84177.38125325412</v>
      </c>
      <c r="G169" s="315">
        <f>'H) Péréquation directe'!I179</f>
        <v>-27194.158306941856</v>
      </c>
      <c r="H169" s="318" t="e">
        <f>+'I) Dépenses thématiques'!O168</f>
        <v>#DIV/0!</v>
      </c>
      <c r="I169" s="315">
        <f>'K) Plafonnement aide'!J168</f>
        <v>0</v>
      </c>
      <c r="J169" s="318">
        <f>'J) Plafonnement effort'!J168</f>
        <v>0</v>
      </c>
      <c r="K169" s="315">
        <f>'L) Plafonnement taux'!Q169</f>
        <v>0</v>
      </c>
      <c r="L169" s="313" t="e">
        <f t="shared" si="6"/>
        <v>#DIV/0!</v>
      </c>
      <c r="M169" s="234">
        <f>'M) Police'!O169</f>
        <v>10381.348621729892</v>
      </c>
      <c r="N169" s="234" t="e">
        <f t="shared" si="5"/>
        <v>#DIV/0!</v>
      </c>
      <c r="P169" s="320"/>
    </row>
    <row r="170" spans="1:16" s="154" customFormat="1" x14ac:dyDescent="0.25">
      <c r="A170" s="151">
        <f>'B) D RI'!A171</f>
        <v>5675</v>
      </c>
      <c r="B170" s="152" t="str">
        <f>'B) D RI'!B171</f>
        <v>Lucens</v>
      </c>
      <c r="C170" s="316">
        <f>'B) D RI'!S171</f>
        <v>67.5</v>
      </c>
      <c r="D170" s="153">
        <f>'B) D RI'!AA171</f>
        <v>4309</v>
      </c>
      <c r="E170" s="314">
        <f>'D) Ecrêtage'!C169</f>
        <v>97154.219717171698</v>
      </c>
      <c r="F170" s="318">
        <f>'E) Fact soc'!G175</f>
        <v>1574191.2675210484</v>
      </c>
      <c r="G170" s="315">
        <f>'H) Péréquation directe'!I180</f>
        <v>-1578423.7400319665</v>
      </c>
      <c r="H170" s="318" t="e">
        <f>+'I) Dépenses thématiques'!O169</f>
        <v>#DIV/0!</v>
      </c>
      <c r="I170" s="315">
        <f>'K) Plafonnement aide'!J169</f>
        <v>0</v>
      </c>
      <c r="J170" s="318">
        <f>'J) Plafonnement effort'!J169</f>
        <v>0</v>
      </c>
      <c r="K170" s="315">
        <f>'L) Plafonnement taux'!Q170</f>
        <v>0</v>
      </c>
      <c r="L170" s="313" t="e">
        <f t="shared" ref="L170" si="7">F170+G170+H170+I170+J170+K170</f>
        <v>#DIV/0!</v>
      </c>
      <c r="M170" s="234">
        <f>'M) Police'!O170</f>
        <v>290436.20708637976</v>
      </c>
      <c r="N170" s="234" t="e">
        <f t="shared" ref="N170" si="8">L170+M170</f>
        <v>#DIV/0!</v>
      </c>
      <c r="P170" s="320"/>
    </row>
    <row r="171" spans="1:16" s="154" customFormat="1" x14ac:dyDescent="0.25">
      <c r="A171" s="151">
        <f>'B) D RI'!A172</f>
        <v>5678</v>
      </c>
      <c r="B171" s="152" t="str">
        <f>'B) D RI'!B172</f>
        <v>Moudon</v>
      </c>
      <c r="C171" s="316">
        <f>'B) D RI'!S172</f>
        <v>72.5</v>
      </c>
      <c r="D171" s="153">
        <f>'B) D RI'!AA172</f>
        <v>6109</v>
      </c>
      <c r="E171" s="314">
        <f>'D) Ecrêtage'!C170</f>
        <v>124965.41862068966</v>
      </c>
      <c r="F171" s="318">
        <f>'E) Fact soc'!G176</f>
        <v>2348988.5188801931</v>
      </c>
      <c r="G171" s="315">
        <f>'H) Péréquation directe'!I181</f>
        <v>-3587319.30786011</v>
      </c>
      <c r="H171" s="318" t="e">
        <f>+'I) Dépenses thématiques'!O170</f>
        <v>#DIV/0!</v>
      </c>
      <c r="I171" s="315">
        <f>'K) Plafonnement aide'!J170</f>
        <v>238607.44001439944</v>
      </c>
      <c r="J171" s="318">
        <f>'J) Plafonnement effort'!J170</f>
        <v>0</v>
      </c>
      <c r="K171" s="315">
        <f>'L) Plafonnement taux'!Q171</f>
        <v>0</v>
      </c>
      <c r="L171" s="313" t="e">
        <f t="shared" si="6"/>
        <v>#DIV/0!</v>
      </c>
      <c r="M171" s="234">
        <f>'M) Police'!O171</f>
        <v>371361.54371412296</v>
      </c>
      <c r="N171" s="234" t="e">
        <f t="shared" si="5"/>
        <v>#DIV/0!</v>
      </c>
      <c r="P171" s="320"/>
    </row>
    <row r="172" spans="1:16" s="154" customFormat="1" x14ac:dyDescent="0.25">
      <c r="A172" s="151">
        <f>'B) D RI'!A173</f>
        <v>5680</v>
      </c>
      <c r="B172" s="152" t="str">
        <f>'B) D RI'!B173</f>
        <v>Ogens</v>
      </c>
      <c r="C172" s="316">
        <f>'B) D RI'!S173</f>
        <v>78</v>
      </c>
      <c r="D172" s="153">
        <f>'B) D RI'!AA173</f>
        <v>301</v>
      </c>
      <c r="E172" s="314">
        <f>'D) Ecrêtage'!C171</f>
        <v>8675.0652136752142</v>
      </c>
      <c r="F172" s="318">
        <f>'E) Fact soc'!G177</f>
        <v>168815.49981578015</v>
      </c>
      <c r="G172" s="315">
        <f>'H) Péréquation directe'!I182</f>
        <v>-9165.2629184805264</v>
      </c>
      <c r="H172" s="318" t="e">
        <f>+'I) Dépenses thématiques'!O171</f>
        <v>#DIV/0!</v>
      </c>
      <c r="I172" s="315">
        <f>'K) Plafonnement aide'!J171</f>
        <v>0</v>
      </c>
      <c r="J172" s="318">
        <f>'J) Plafonnement effort'!J171</f>
        <v>0</v>
      </c>
      <c r="K172" s="315">
        <f>'L) Plafonnement taux'!Q172</f>
        <v>0</v>
      </c>
      <c r="L172" s="313" t="e">
        <f t="shared" si="6"/>
        <v>#DIV/0!</v>
      </c>
      <c r="M172" s="234">
        <f>'M) Police'!O172</f>
        <v>26214.909367196371</v>
      </c>
      <c r="N172" s="234" t="e">
        <f t="shared" si="5"/>
        <v>#DIV/0!</v>
      </c>
      <c r="P172" s="320"/>
    </row>
    <row r="173" spans="1:16" s="154" customFormat="1" x14ac:dyDescent="0.25">
      <c r="A173" s="151">
        <f>'B) D RI'!A174</f>
        <v>5683</v>
      </c>
      <c r="B173" s="152" t="str">
        <f>'B) D RI'!B174</f>
        <v>Prévonloup</v>
      </c>
      <c r="C173" s="316">
        <f>'B) D RI'!S174</f>
        <v>72.5</v>
      </c>
      <c r="D173" s="153">
        <f>'B) D RI'!AA174</f>
        <v>202</v>
      </c>
      <c r="E173" s="314">
        <f>'D) Ecrêtage'!C172</f>
        <v>5006.0282758620697</v>
      </c>
      <c r="F173" s="318">
        <f>'E) Fact soc'!G178</f>
        <v>69908.169090131501</v>
      </c>
      <c r="G173" s="315">
        <f>'H) Péréquation directe'!I183</f>
        <v>-26390.375150477194</v>
      </c>
      <c r="H173" s="318" t="e">
        <f>+'I) Dépenses thématiques'!O172</f>
        <v>#DIV/0!</v>
      </c>
      <c r="I173" s="315">
        <f>'K) Plafonnement aide'!J172</f>
        <v>0</v>
      </c>
      <c r="J173" s="318">
        <f>'J) Plafonnement effort'!J172</f>
        <v>0</v>
      </c>
      <c r="K173" s="315">
        <f>'L) Plafonnement taux'!Q173</f>
        <v>0</v>
      </c>
      <c r="L173" s="313" t="e">
        <f t="shared" si="6"/>
        <v>#DIV/0!</v>
      </c>
      <c r="M173" s="234">
        <f>'M) Police'!O173</f>
        <v>15042.490729883604</v>
      </c>
      <c r="N173" s="234" t="e">
        <f t="shared" si="5"/>
        <v>#DIV/0!</v>
      </c>
      <c r="P173" s="320"/>
    </row>
    <row r="174" spans="1:16" s="154" customFormat="1" x14ac:dyDescent="0.25">
      <c r="A174" s="151">
        <f>'B) D RI'!A175</f>
        <v>5684</v>
      </c>
      <c r="B174" s="152" t="str">
        <f>'B) D RI'!B175</f>
        <v>Rossenges</v>
      </c>
      <c r="C174" s="316">
        <f>'B) D RI'!S175</f>
        <v>75</v>
      </c>
      <c r="D174" s="153">
        <f>'B) D RI'!AA175</f>
        <v>84</v>
      </c>
      <c r="E174" s="314">
        <f>'D) Ecrêtage'!C173</f>
        <v>4335.3234000000011</v>
      </c>
      <c r="F174" s="318">
        <f>'E) Fact soc'!G179</f>
        <v>62982.778360482786</v>
      </c>
      <c r="G174" s="315">
        <f>'H) Péréquation directe'!I184</f>
        <v>74711.898192940149</v>
      </c>
      <c r="H174" s="318" t="e">
        <f>+'I) Dépenses thématiques'!O173</f>
        <v>#DIV/0!</v>
      </c>
      <c r="I174" s="315">
        <f>'K) Plafonnement aide'!J173</f>
        <v>0</v>
      </c>
      <c r="J174" s="318">
        <f>'J) Plafonnement effort'!J173</f>
        <v>0</v>
      </c>
      <c r="K174" s="315">
        <f>'L) Plafonnement taux'!Q174</f>
        <v>0</v>
      </c>
      <c r="L174" s="313" t="e">
        <f t="shared" si="6"/>
        <v>#DIV/0!</v>
      </c>
      <c r="M174" s="234">
        <f>'M) Police'!O174</f>
        <v>12570.219888064057</v>
      </c>
      <c r="N174" s="234" t="e">
        <f t="shared" si="5"/>
        <v>#DIV/0!</v>
      </c>
      <c r="P174" s="320"/>
    </row>
    <row r="175" spans="1:16" s="154" customFormat="1" x14ac:dyDescent="0.25">
      <c r="A175" s="151">
        <f>'B) D RI'!A176</f>
        <v>5688</v>
      </c>
      <c r="B175" s="152" t="str">
        <f>'B) D RI'!B176</f>
        <v>Syens</v>
      </c>
      <c r="C175" s="316">
        <f>'B) D RI'!S176</f>
        <v>75.599999999999994</v>
      </c>
      <c r="D175" s="153">
        <f>'B) D RI'!AA176</f>
        <v>156</v>
      </c>
      <c r="E175" s="314">
        <f>'D) Ecrêtage'!C174</f>
        <v>5094.0764550264557</v>
      </c>
      <c r="F175" s="318">
        <f>'E) Fact soc'!G180</f>
        <v>68936.113829271824</v>
      </c>
      <c r="G175" s="315">
        <f>'H) Péréquation directe'!I185</f>
        <v>25170.700989110759</v>
      </c>
      <c r="H175" s="318" t="e">
        <f>+'I) Dépenses thématiques'!O174</f>
        <v>#DIV/0!</v>
      </c>
      <c r="I175" s="315">
        <f>'K) Plafonnement aide'!J174</f>
        <v>0</v>
      </c>
      <c r="J175" s="318">
        <f>'J) Plafonnement effort'!J174</f>
        <v>0</v>
      </c>
      <c r="K175" s="315">
        <f>'L) Plafonnement taux'!Q175</f>
        <v>-41615.556319009091</v>
      </c>
      <c r="L175" s="313" t="e">
        <f t="shared" si="6"/>
        <v>#DIV/0!</v>
      </c>
      <c r="M175" s="234">
        <f>'M) Police'!O175</f>
        <v>15539.79575148396</v>
      </c>
      <c r="N175" s="234" t="e">
        <f t="shared" si="5"/>
        <v>#DIV/0!</v>
      </c>
      <c r="P175" s="320"/>
    </row>
    <row r="176" spans="1:16" s="154" customFormat="1" x14ac:dyDescent="0.25">
      <c r="A176" s="151">
        <f>'B) D RI'!A177</f>
        <v>5690</v>
      </c>
      <c r="B176" s="152" t="str">
        <f>'B) D RI'!B177</f>
        <v>Villars-le-Comte</v>
      </c>
      <c r="C176" s="316">
        <f>'B) D RI'!S177</f>
        <v>70</v>
      </c>
      <c r="D176" s="153">
        <f>'B) D RI'!AA177</f>
        <v>120</v>
      </c>
      <c r="E176" s="314">
        <f>'D) Ecrêtage'!C175</f>
        <v>3483.7788571428573</v>
      </c>
      <c r="F176" s="318">
        <f>'E) Fact soc'!G181</f>
        <v>64907.895851617759</v>
      </c>
      <c r="G176" s="315">
        <f>'H) Péréquation directe'!I186</f>
        <v>8370.8717508457339</v>
      </c>
      <c r="H176" s="318" t="e">
        <f>+'I) Dépenses thématiques'!O175</f>
        <v>#DIV/0!</v>
      </c>
      <c r="I176" s="315">
        <f>'K) Plafonnement aide'!J175</f>
        <v>0</v>
      </c>
      <c r="J176" s="318">
        <f>'J) Plafonnement effort'!J175</f>
        <v>0</v>
      </c>
      <c r="K176" s="315">
        <f>'L) Plafonnement taux'!Q176</f>
        <v>0</v>
      </c>
      <c r="L176" s="313" t="e">
        <f t="shared" si="6"/>
        <v>#DIV/0!</v>
      </c>
      <c r="M176" s="234">
        <f>'M) Police'!O176</f>
        <v>10440.762223336951</v>
      </c>
      <c r="N176" s="234" t="e">
        <f t="shared" si="5"/>
        <v>#DIV/0!</v>
      </c>
      <c r="P176" s="320"/>
    </row>
    <row r="177" spans="1:16" s="154" customFormat="1" x14ac:dyDescent="0.25">
      <c r="A177" s="151">
        <f>'B) D RI'!A178</f>
        <v>5692</v>
      </c>
      <c r="B177" s="152" t="str">
        <f>'B) D RI'!B178</f>
        <v>Vucherens</v>
      </c>
      <c r="C177" s="316">
        <f>'B) D RI'!S178</f>
        <v>77</v>
      </c>
      <c r="D177" s="153">
        <f>'B) D RI'!AA178</f>
        <v>617</v>
      </c>
      <c r="E177" s="314">
        <f>'D) Ecrêtage'!C176</f>
        <v>18084.556363636369</v>
      </c>
      <c r="F177" s="318">
        <f>'E) Fact soc'!G182</f>
        <v>298819.2038829744</v>
      </c>
      <c r="G177" s="315">
        <f>'H) Péréquation directe'!I187</f>
        <v>1756.7848912219633</v>
      </c>
      <c r="H177" s="318" t="e">
        <f>+'I) Dépenses thématiques'!O176</f>
        <v>#DIV/0!</v>
      </c>
      <c r="I177" s="315">
        <f>'K) Plafonnement aide'!J176</f>
        <v>0</v>
      </c>
      <c r="J177" s="318">
        <f>'J) Plafonnement effort'!J176</f>
        <v>0</v>
      </c>
      <c r="K177" s="315">
        <f>'L) Plafonnement taux'!Q177</f>
        <v>0</v>
      </c>
      <c r="L177" s="313" t="e">
        <f t="shared" si="6"/>
        <v>#DIV/0!</v>
      </c>
      <c r="M177" s="234">
        <f>'M) Police'!O177</f>
        <v>54783.913362402629</v>
      </c>
      <c r="N177" s="234" t="e">
        <f t="shared" si="5"/>
        <v>#DIV/0!</v>
      </c>
      <c r="P177" s="320"/>
    </row>
    <row r="178" spans="1:16" s="154" customFormat="1" x14ac:dyDescent="0.25">
      <c r="A178" s="151">
        <f>'B) D RI'!A179</f>
        <v>5693</v>
      </c>
      <c r="B178" s="152" t="str">
        <f>'B) D RI'!B179</f>
        <v>Montanaire</v>
      </c>
      <c r="C178" s="316">
        <f>'B) D RI'!S179</f>
        <v>72</v>
      </c>
      <c r="D178" s="153">
        <f>'B) D RI'!AA179</f>
        <v>2782</v>
      </c>
      <c r="E178" s="314">
        <f>'D) Ecrêtage'!C177</f>
        <v>71120.535138888881</v>
      </c>
      <c r="F178" s="318">
        <f>'E) Fact soc'!G183</f>
        <v>1220189.1095269797</v>
      </c>
      <c r="G178" s="315">
        <f>'H) Péréquation directe'!I188</f>
        <v>-654325.83147122781</v>
      </c>
      <c r="H178" s="318" t="e">
        <f>+'I) Dépenses thématiques'!O177</f>
        <v>#DIV/0!</v>
      </c>
      <c r="I178" s="315">
        <f>'K) Plafonnement aide'!J177</f>
        <v>0</v>
      </c>
      <c r="J178" s="318">
        <f>'J) Plafonnement effort'!J177</f>
        <v>0</v>
      </c>
      <c r="K178" s="315">
        <f>'L) Plafonnement taux'!Q178</f>
        <v>0</v>
      </c>
      <c r="L178" s="313" t="e">
        <f>F178+G178+H178+I178+J178+K178</f>
        <v>#DIV/0!</v>
      </c>
      <c r="M178" s="234">
        <f>'M) Police'!O178</f>
        <v>213737.98001591163</v>
      </c>
      <c r="N178" s="234" t="e">
        <f t="shared" si="5"/>
        <v>#DIV/0!</v>
      </c>
      <c r="P178" s="320"/>
    </row>
    <row r="179" spans="1:16" s="154" customFormat="1" x14ac:dyDescent="0.25">
      <c r="A179" s="151">
        <f>'B) D RI'!A180</f>
        <v>5701</v>
      </c>
      <c r="B179" s="152" t="str">
        <f>'B) D RI'!B180</f>
        <v>Arnex-sur-Nyon</v>
      </c>
      <c r="C179" s="316">
        <f>'B) D RI'!S180</f>
        <v>70</v>
      </c>
      <c r="D179" s="153">
        <f>'B) D RI'!AA180</f>
        <v>240</v>
      </c>
      <c r="E179" s="314">
        <f>'D) Ecrêtage'!C178</f>
        <v>12579.391714285715</v>
      </c>
      <c r="F179" s="318">
        <f>'E) Fact soc'!G184</f>
        <v>261915.33752544917</v>
      </c>
      <c r="G179" s="315">
        <f>'H) Péréquation directe'!I189</f>
        <v>217247.42727721215</v>
      </c>
      <c r="H179" s="318" t="e">
        <f>+'I) Dépenses thématiques'!O178</f>
        <v>#DIV/0!</v>
      </c>
      <c r="I179" s="315">
        <f>'K) Plafonnement aide'!J178</f>
        <v>0</v>
      </c>
      <c r="J179" s="318">
        <f>'J) Plafonnement effort'!J178</f>
        <v>0</v>
      </c>
      <c r="K179" s="315">
        <f>'L) Plafonnement taux'!Q179</f>
        <v>0</v>
      </c>
      <c r="L179" s="313" t="e">
        <f>F179+G179+H179+I179+J179+K179</f>
        <v>#DIV/0!</v>
      </c>
      <c r="M179" s="234">
        <f>'M) Police'!O179</f>
        <v>36141.305742398559</v>
      </c>
      <c r="N179" s="234" t="e">
        <f t="shared" si="5"/>
        <v>#DIV/0!</v>
      </c>
      <c r="P179" s="320"/>
    </row>
    <row r="180" spans="1:16" s="154" customFormat="1" x14ac:dyDescent="0.25">
      <c r="A180" s="151">
        <f>'B) D RI'!A181</f>
        <v>5702</v>
      </c>
      <c r="B180" s="152" t="str">
        <f>'B) D RI'!B181</f>
        <v>Arzier-Le Muids</v>
      </c>
      <c r="C180" s="316">
        <f>'B) D RI'!S181</f>
        <v>64</v>
      </c>
      <c r="D180" s="153">
        <f>'B) D RI'!AA181</f>
        <v>2912</v>
      </c>
      <c r="E180" s="314">
        <f>'D) Ecrêtage'!C179</f>
        <v>167751.11713541666</v>
      </c>
      <c r="F180" s="318">
        <f>'E) Fact soc'!G185</f>
        <v>3114558.3123325994</v>
      </c>
      <c r="G180" s="315">
        <f>'H) Péréquation directe'!I190</f>
        <v>2506113.4534721049</v>
      </c>
      <c r="H180" s="318" t="e">
        <f>+'I) Dépenses thématiques'!O179</f>
        <v>#DIV/0!</v>
      </c>
      <c r="I180" s="315">
        <f>'K) Plafonnement aide'!J179</f>
        <v>0</v>
      </c>
      <c r="J180" s="318">
        <f>'J) Plafonnement effort'!J179</f>
        <v>0</v>
      </c>
      <c r="K180" s="315">
        <f>'L) Plafonnement taux'!Q180</f>
        <v>0</v>
      </c>
      <c r="L180" s="313" t="e">
        <f t="shared" si="6"/>
        <v>#DIV/0!</v>
      </c>
      <c r="M180" s="234">
        <f>'M) Police'!O180</f>
        <v>456274.54269711138</v>
      </c>
      <c r="N180" s="234" t="e">
        <f t="shared" si="5"/>
        <v>#DIV/0!</v>
      </c>
      <c r="P180" s="320"/>
    </row>
    <row r="181" spans="1:16" s="154" customFormat="1" x14ac:dyDescent="0.25">
      <c r="A181" s="151">
        <f>'B) D RI'!A182</f>
        <v>5703</v>
      </c>
      <c r="B181" s="152" t="str">
        <f>'B) D RI'!B182</f>
        <v>Bassins</v>
      </c>
      <c r="C181" s="316">
        <f>'B) D RI'!S182</f>
        <v>72.5</v>
      </c>
      <c r="D181" s="153">
        <f>'B) D RI'!AA182</f>
        <v>1475</v>
      </c>
      <c r="E181" s="314">
        <f>'D) Ecrêtage'!C180</f>
        <v>66904.36396059113</v>
      </c>
      <c r="F181" s="318">
        <f>'E) Fact soc'!G186</f>
        <v>1168302.1764159976</v>
      </c>
      <c r="G181" s="315">
        <f>'H) Péréquation directe'!I191</f>
        <v>937278.50030976033</v>
      </c>
      <c r="H181" s="318" t="e">
        <f>+'I) Dépenses thématiques'!O180</f>
        <v>#DIV/0!</v>
      </c>
      <c r="I181" s="315">
        <f>'K) Plafonnement aide'!J180</f>
        <v>0</v>
      </c>
      <c r="J181" s="318">
        <f>'J) Plafonnement effort'!J180</f>
        <v>0</v>
      </c>
      <c r="K181" s="315">
        <f>'L) Plafonnement taux'!Q181</f>
        <v>0</v>
      </c>
      <c r="L181" s="313" t="e">
        <f t="shared" si="6"/>
        <v>#DIV/0!</v>
      </c>
      <c r="M181" s="234">
        <f>'M) Police'!O181</f>
        <v>203337.16028993449</v>
      </c>
      <c r="N181" s="234" t="e">
        <f t="shared" si="5"/>
        <v>#DIV/0!</v>
      </c>
      <c r="P181" s="320"/>
    </row>
    <row r="182" spans="1:16" s="154" customFormat="1" x14ac:dyDescent="0.25">
      <c r="A182" s="151">
        <f>'B) D RI'!A183</f>
        <v>5704</v>
      </c>
      <c r="B182" s="152" t="str">
        <f>'B) D RI'!B183</f>
        <v>Begnins</v>
      </c>
      <c r="C182" s="316">
        <f>'B) D RI'!S183</f>
        <v>62.5</v>
      </c>
      <c r="D182" s="153">
        <f>'B) D RI'!AA183</f>
        <v>1928</v>
      </c>
      <c r="E182" s="314">
        <f>'D) Ecrêtage'!C181</f>
        <v>141538.79477333333</v>
      </c>
      <c r="F182" s="318">
        <f>'E) Fact soc'!G187</f>
        <v>2940936.1482051271</v>
      </c>
      <c r="G182" s="315">
        <f>'H) Péréquation directe'!I192</f>
        <v>2333042.6224796483</v>
      </c>
      <c r="H182" s="318" t="e">
        <f>+'I) Dépenses thématiques'!O181</f>
        <v>#DIV/0!</v>
      </c>
      <c r="I182" s="315">
        <f>'K) Plafonnement aide'!J181</f>
        <v>0</v>
      </c>
      <c r="J182" s="318">
        <f>'J) Plafonnement effort'!J181</f>
        <v>0</v>
      </c>
      <c r="K182" s="315">
        <f>'L) Plafonnement taux'!Q182</f>
        <v>0</v>
      </c>
      <c r="L182" s="313" t="e">
        <f t="shared" si="6"/>
        <v>#DIV/0!</v>
      </c>
      <c r="M182" s="234">
        <f>'M) Police'!O182</f>
        <v>337884.62662549427</v>
      </c>
      <c r="N182" s="234" t="e">
        <f t="shared" si="5"/>
        <v>#DIV/0!</v>
      </c>
      <c r="P182" s="320"/>
    </row>
    <row r="183" spans="1:16" s="154" customFormat="1" x14ac:dyDescent="0.25">
      <c r="A183" s="151">
        <f>'B) D RI'!A184</f>
        <v>5705</v>
      </c>
      <c r="B183" s="152" t="str">
        <f>'B) D RI'!B184</f>
        <v>Bogis-Bossey</v>
      </c>
      <c r="C183" s="316">
        <f>'B) D RI'!S184</f>
        <v>74.5</v>
      </c>
      <c r="D183" s="153">
        <f>'B) D RI'!AA184</f>
        <v>835</v>
      </c>
      <c r="E183" s="314">
        <f>'D) Ecrêtage'!C182</f>
        <v>56148.948053691274</v>
      </c>
      <c r="F183" s="318">
        <f>'E) Fact soc'!G188</f>
        <v>1262128.0393427524</v>
      </c>
      <c r="G183" s="315">
        <f>'H) Péréquation directe'!I193</f>
        <v>998992.58493768983</v>
      </c>
      <c r="H183" s="318" t="e">
        <f>+'I) Dépenses thématiques'!O182</f>
        <v>#DIV/0!</v>
      </c>
      <c r="I183" s="315">
        <f>'K) Plafonnement aide'!J182</f>
        <v>0</v>
      </c>
      <c r="J183" s="318">
        <f>'J) Plafonnement effort'!J182</f>
        <v>0</v>
      </c>
      <c r="K183" s="315">
        <f>'L) Plafonnement taux'!Q183</f>
        <v>0</v>
      </c>
      <c r="L183" s="313" t="e">
        <f t="shared" si="6"/>
        <v>#DIV/0!</v>
      </c>
      <c r="M183" s="234">
        <f>'M) Police'!O183</f>
        <v>140285.81789642342</v>
      </c>
      <c r="N183" s="234" t="e">
        <f t="shared" si="5"/>
        <v>#DIV/0!</v>
      </c>
      <c r="P183" s="320"/>
    </row>
    <row r="184" spans="1:16" s="154" customFormat="1" x14ac:dyDescent="0.25">
      <c r="A184" s="151">
        <f>'B) D RI'!A185</f>
        <v>5706</v>
      </c>
      <c r="B184" s="152" t="str">
        <f>'B) D RI'!B185</f>
        <v>Borex</v>
      </c>
      <c r="C184" s="316">
        <f>'B) D RI'!S185</f>
        <v>57</v>
      </c>
      <c r="D184" s="153">
        <f>'B) D RI'!AA185</f>
        <v>1157</v>
      </c>
      <c r="E184" s="314">
        <f>'D) Ecrêtage'!C183</f>
        <v>84057.706842105254</v>
      </c>
      <c r="F184" s="318">
        <f>'E) Fact soc'!G189</f>
        <v>1691580.9922506595</v>
      </c>
      <c r="G184" s="315">
        <f>'H) Péréquation directe'!I194</f>
        <v>1472035.6613166709</v>
      </c>
      <c r="H184" s="318" t="e">
        <f>+'I) Dépenses thématiques'!O183</f>
        <v>#DIV/0!</v>
      </c>
      <c r="I184" s="315">
        <f>'K) Plafonnement aide'!J183</f>
        <v>0</v>
      </c>
      <c r="J184" s="318">
        <f>'J) Plafonnement effort'!J183</f>
        <v>0</v>
      </c>
      <c r="K184" s="315">
        <f>'L) Plafonnement taux'!Q184</f>
        <v>0</v>
      </c>
      <c r="L184" s="313" t="e">
        <f t="shared" si="6"/>
        <v>#DIV/0!</v>
      </c>
      <c r="M184" s="234">
        <f>'M) Police'!O184</f>
        <v>201731.95659463992</v>
      </c>
      <c r="N184" s="234" t="e">
        <f t="shared" si="5"/>
        <v>#DIV/0!</v>
      </c>
      <c r="P184" s="320"/>
    </row>
    <row r="185" spans="1:16" s="154" customFormat="1" x14ac:dyDescent="0.25">
      <c r="A185" s="151">
        <f>'B) D RI'!A186</f>
        <v>5707</v>
      </c>
      <c r="B185" s="152" t="str">
        <f>'B) D RI'!B186</f>
        <v>Chavannes-de-Bogis</v>
      </c>
      <c r="C185" s="316">
        <f>'B) D RI'!S186</f>
        <v>58</v>
      </c>
      <c r="D185" s="153">
        <f>'B) D RI'!AA186</f>
        <v>1329</v>
      </c>
      <c r="E185" s="314">
        <f>'D) Ecrêtage'!C184</f>
        <v>81835.320459770097</v>
      </c>
      <c r="F185" s="318">
        <f>'E) Fact soc'!G190</f>
        <v>1763542.0510061451</v>
      </c>
      <c r="G185" s="315">
        <f>'H) Péréquation directe'!I195</f>
        <v>1368681.9117857227</v>
      </c>
      <c r="H185" s="318" t="e">
        <f>+'I) Dépenses thématiques'!O184</f>
        <v>#DIV/0!</v>
      </c>
      <c r="I185" s="315">
        <f>'K) Plafonnement aide'!J184</f>
        <v>0</v>
      </c>
      <c r="J185" s="318">
        <f>'J) Plafonnement effort'!J184</f>
        <v>0</v>
      </c>
      <c r="K185" s="315">
        <f>'L) Plafonnement taux'!Q185</f>
        <v>0</v>
      </c>
      <c r="L185" s="313" t="e">
        <f t="shared" si="6"/>
        <v>#DIV/0!</v>
      </c>
      <c r="M185" s="234">
        <f>'M) Police'!O185</f>
        <v>214434.47682013822</v>
      </c>
      <c r="N185" s="234" t="e">
        <f t="shared" si="5"/>
        <v>#DIV/0!</v>
      </c>
      <c r="P185" s="320"/>
    </row>
    <row r="186" spans="1:16" s="154" customFormat="1" x14ac:dyDescent="0.25">
      <c r="A186" s="151">
        <f>'B) D RI'!A187</f>
        <v>5708</v>
      </c>
      <c r="B186" s="152" t="str">
        <f>'B) D RI'!B187</f>
        <v>Chavannes-des-Bois</v>
      </c>
      <c r="C186" s="316">
        <f>'B) D RI'!S187</f>
        <v>68</v>
      </c>
      <c r="D186" s="153">
        <f>'B) D RI'!AA187</f>
        <v>1013</v>
      </c>
      <c r="E186" s="314">
        <f>'D) Ecrêtage'!C185</f>
        <v>67256.112794117653</v>
      </c>
      <c r="F186" s="318">
        <f>'E) Fact soc'!G191</f>
        <v>1374178.2147834089</v>
      </c>
      <c r="G186" s="315">
        <f>'H) Péréquation directe'!I196</f>
        <v>1192117.876443858</v>
      </c>
      <c r="H186" s="318" t="e">
        <f>+'I) Dépenses thématiques'!O185</f>
        <v>#DIV/0!</v>
      </c>
      <c r="I186" s="315">
        <f>'K) Plafonnement aide'!J185</f>
        <v>0</v>
      </c>
      <c r="J186" s="318">
        <f>'J) Plafonnement effort'!J185</f>
        <v>0</v>
      </c>
      <c r="K186" s="315">
        <f>'L) Plafonnement taux'!Q186</f>
        <v>0</v>
      </c>
      <c r="L186" s="313" t="e">
        <f t="shared" si="6"/>
        <v>#DIV/0!</v>
      </c>
      <c r="M186" s="234">
        <f>'M) Police'!O186</f>
        <v>169178.26027121715</v>
      </c>
      <c r="N186" s="234" t="e">
        <f t="shared" si="5"/>
        <v>#DIV/0!</v>
      </c>
      <c r="P186" s="320"/>
    </row>
    <row r="187" spans="1:16" s="154" customFormat="1" x14ac:dyDescent="0.25">
      <c r="A187" s="151">
        <f>'B) D RI'!A188</f>
        <v>5709</v>
      </c>
      <c r="B187" s="152" t="str">
        <f>'B) D RI'!B188</f>
        <v>Chéserex</v>
      </c>
      <c r="C187" s="316">
        <f>'B) D RI'!S188</f>
        <v>57</v>
      </c>
      <c r="D187" s="153">
        <f>'B) D RI'!AA188</f>
        <v>1248</v>
      </c>
      <c r="E187" s="314">
        <f>'D) Ecrêtage'!C186</f>
        <v>97368.06631578946</v>
      </c>
      <c r="F187" s="318">
        <f>'E) Fact soc'!G192</f>
        <v>2163774.3104115319</v>
      </c>
      <c r="G187" s="315">
        <f>'H) Péréquation directe'!I197</f>
        <v>1701801.0890202634</v>
      </c>
      <c r="H187" s="318" t="e">
        <f>+'I) Dépenses thématiques'!O186</f>
        <v>#DIV/0!</v>
      </c>
      <c r="I187" s="315">
        <f>'K) Plafonnement aide'!J186</f>
        <v>0</v>
      </c>
      <c r="J187" s="318">
        <f>'J) Plafonnement effort'!J186</f>
        <v>0</v>
      </c>
      <c r="K187" s="315">
        <f>'L) Plafonnement taux'!Q187</f>
        <v>0</v>
      </c>
      <c r="L187" s="313" t="e">
        <f t="shared" si="6"/>
        <v>#DIV/0!</v>
      </c>
      <c r="M187" s="234">
        <f>'M) Police'!O187</f>
        <v>225466.68335948192</v>
      </c>
      <c r="N187" s="234" t="e">
        <f t="shared" si="5"/>
        <v>#DIV/0!</v>
      </c>
      <c r="P187" s="320"/>
    </row>
    <row r="188" spans="1:16" s="154" customFormat="1" x14ac:dyDescent="0.25">
      <c r="A188" s="151">
        <f>'B) D RI'!A189</f>
        <v>5710</v>
      </c>
      <c r="B188" s="152" t="str">
        <f>'B) D RI'!B189</f>
        <v>Coinsins</v>
      </c>
      <c r="C188" s="316">
        <f>'B) D RI'!S189</f>
        <v>51</v>
      </c>
      <c r="D188" s="153">
        <f>'B) D RI'!AA189</f>
        <v>509</v>
      </c>
      <c r="E188" s="314">
        <f>'D) Ecrêtage'!C187</f>
        <v>41108.965294117646</v>
      </c>
      <c r="F188" s="318">
        <f>'E) Fact soc'!G193</f>
        <v>851131.21817727678</v>
      </c>
      <c r="G188" s="315">
        <f>'H) Péréquation directe'!I198</f>
        <v>744093.05120711471</v>
      </c>
      <c r="H188" s="318" t="e">
        <f>+'I) Dépenses thématiques'!O187</f>
        <v>#DIV/0!</v>
      </c>
      <c r="I188" s="315">
        <f>'K) Plafonnement aide'!J187</f>
        <v>0</v>
      </c>
      <c r="J188" s="318">
        <f>'J) Plafonnement effort'!J187</f>
        <v>0</v>
      </c>
      <c r="K188" s="315">
        <f>'L) Plafonnement taux'!Q188</f>
        <v>0</v>
      </c>
      <c r="L188" s="313" t="e">
        <f t="shared" si="6"/>
        <v>#DIV/0!</v>
      </c>
      <c r="M188" s="234">
        <f>'M) Police'!O188</f>
        <v>93598.138187460601</v>
      </c>
      <c r="N188" s="234" t="e">
        <f t="shared" si="5"/>
        <v>#DIV/0!</v>
      </c>
      <c r="P188" s="320"/>
    </row>
    <row r="189" spans="1:16" s="154" customFormat="1" x14ac:dyDescent="0.25">
      <c r="A189" s="151">
        <f>'B) D RI'!A190</f>
        <v>5711</v>
      </c>
      <c r="B189" s="152" t="str">
        <f>'B) D RI'!B190</f>
        <v>Commugny</v>
      </c>
      <c r="C189" s="316">
        <f>'B) D RI'!S190</f>
        <v>55.5</v>
      </c>
      <c r="D189" s="153">
        <f>'B) D RI'!AA190</f>
        <v>2997</v>
      </c>
      <c r="E189" s="314">
        <f>'D) Ecrêtage'!C188</f>
        <v>252772.67295911297</v>
      </c>
      <c r="F189" s="318">
        <f>'E) Fact soc'!G194</f>
        <v>5907232.3282333398</v>
      </c>
      <c r="G189" s="315">
        <f>'H) Péréquation directe'!I199</f>
        <v>4146066.1736945491</v>
      </c>
      <c r="H189" s="318" t="e">
        <f>+'I) Dépenses thématiques'!O188</f>
        <v>#DIV/0!</v>
      </c>
      <c r="I189" s="315">
        <f>'K) Plafonnement aide'!J188</f>
        <v>0</v>
      </c>
      <c r="J189" s="318">
        <f>'J) Plafonnement effort'!J188</f>
        <v>0</v>
      </c>
      <c r="K189" s="315">
        <f>'L) Plafonnement taux'!Q189</f>
        <v>0</v>
      </c>
      <c r="L189" s="313" t="e">
        <f t="shared" si="6"/>
        <v>#DIV/0!</v>
      </c>
      <c r="M189" s="234">
        <f>'M) Police'!O189</f>
        <v>563700.97348161601</v>
      </c>
      <c r="N189" s="234" t="e">
        <f t="shared" si="5"/>
        <v>#DIV/0!</v>
      </c>
      <c r="P189" s="320"/>
    </row>
    <row r="190" spans="1:16" s="154" customFormat="1" x14ac:dyDescent="0.25">
      <c r="A190" s="151">
        <f>'B) D RI'!A191</f>
        <v>5712</v>
      </c>
      <c r="B190" s="152" t="str">
        <f>'B) D RI'!B191</f>
        <v>Coppet</v>
      </c>
      <c r="C190" s="316">
        <f>'B) D RI'!S191</f>
        <v>53</v>
      </c>
      <c r="D190" s="153">
        <f>'B) D RI'!AA191</f>
        <v>3247</v>
      </c>
      <c r="E190" s="314">
        <f>'D) Ecrêtage'!C189</f>
        <v>382004.08345911955</v>
      </c>
      <c r="F190" s="318">
        <f>'E) Fact soc'!G195</f>
        <v>10582356.627667384</v>
      </c>
      <c r="G190" s="315">
        <f>'H) Péréquation directe'!I200</f>
        <v>6560076.1855198853</v>
      </c>
      <c r="H190" s="318" t="e">
        <f>+'I) Dépenses thématiques'!O189</f>
        <v>#DIV/0!</v>
      </c>
      <c r="I190" s="315">
        <f>'K) Plafonnement aide'!J189</f>
        <v>0</v>
      </c>
      <c r="J190" s="318">
        <f>'J) Plafonnement effort'!J189</f>
        <v>0</v>
      </c>
      <c r="K190" s="315">
        <f>'L) Plafonnement taux'!Q190</f>
        <v>0</v>
      </c>
      <c r="L190" s="313" t="e">
        <f t="shared" si="6"/>
        <v>#DIV/0!</v>
      </c>
      <c r="M190" s="234">
        <f>'M) Police'!O190</f>
        <v>737742.09092774917</v>
      </c>
      <c r="N190" s="234" t="e">
        <f t="shared" si="5"/>
        <v>#DIV/0!</v>
      </c>
      <c r="P190" s="320"/>
    </row>
    <row r="191" spans="1:16" s="154" customFormat="1" x14ac:dyDescent="0.25">
      <c r="A191" s="151">
        <f>'B) D RI'!A192</f>
        <v>5713</v>
      </c>
      <c r="B191" s="152" t="str">
        <f>'B) D RI'!B192</f>
        <v>Crans-près-Céligny</v>
      </c>
      <c r="C191" s="316">
        <f>'B) D RI'!S192</f>
        <v>56</v>
      </c>
      <c r="D191" s="153">
        <f>'B) D RI'!AA192</f>
        <v>2340</v>
      </c>
      <c r="E191" s="314">
        <f>'D) Ecrêtage'!C190</f>
        <v>308668.8301785714</v>
      </c>
      <c r="F191" s="318">
        <f>'E) Fact soc'!G196</f>
        <v>9575544.3683794457</v>
      </c>
      <c r="G191" s="315">
        <f>'H) Péréquation directe'!I201</f>
        <v>5471729.2727695713</v>
      </c>
      <c r="H191" s="318" t="e">
        <f>+'I) Dépenses thématiques'!O190</f>
        <v>#DIV/0!</v>
      </c>
      <c r="I191" s="315">
        <f>'K) Plafonnement aide'!J190</f>
        <v>0</v>
      </c>
      <c r="J191" s="318">
        <f>'J) Plafonnement effort'!J190</f>
        <v>0</v>
      </c>
      <c r="K191" s="315">
        <f>'L) Plafonnement taux'!Q191</f>
        <v>0</v>
      </c>
      <c r="L191" s="313" t="e">
        <f t="shared" si="6"/>
        <v>#DIV/0!</v>
      </c>
      <c r="M191" s="234">
        <f>'M) Police'!O191</f>
        <v>362536.14440273127</v>
      </c>
      <c r="N191" s="234" t="e">
        <f t="shared" si="5"/>
        <v>#DIV/0!</v>
      </c>
      <c r="P191" s="320"/>
    </row>
    <row r="192" spans="1:16" s="154" customFormat="1" x14ac:dyDescent="0.25">
      <c r="A192" s="151">
        <f>'B) D RI'!A193</f>
        <v>5714</v>
      </c>
      <c r="B192" s="152" t="str">
        <f>'B) D RI'!B193</f>
        <v>Crassier</v>
      </c>
      <c r="C192" s="316">
        <f>'B) D RI'!S193</f>
        <v>68</v>
      </c>
      <c r="D192" s="153">
        <f>'B) D RI'!AA193</f>
        <v>1174</v>
      </c>
      <c r="E192" s="314">
        <f>'D) Ecrêtage'!C191</f>
        <v>53429.691617647055</v>
      </c>
      <c r="F192" s="318">
        <f>'E) Fact soc'!G197</f>
        <v>886213.52931236976</v>
      </c>
      <c r="G192" s="315">
        <f>'H) Péréquation directe'!I202</f>
        <v>806747.15420166147</v>
      </c>
      <c r="H192" s="318" t="e">
        <f>+'I) Dépenses thématiques'!O191</f>
        <v>#DIV/0!</v>
      </c>
      <c r="I192" s="315">
        <f>'K) Plafonnement aide'!J191</f>
        <v>0</v>
      </c>
      <c r="J192" s="318">
        <f>'J) Plafonnement effort'!J191</f>
        <v>0</v>
      </c>
      <c r="K192" s="315">
        <f>'L) Plafonnement taux'!Q192</f>
        <v>0</v>
      </c>
      <c r="L192" s="313" t="e">
        <f t="shared" si="6"/>
        <v>#DIV/0!</v>
      </c>
      <c r="M192" s="234">
        <f>'M) Police'!O192</f>
        <v>160890.92492714679</v>
      </c>
      <c r="N192" s="234" t="e">
        <f t="shared" si="5"/>
        <v>#DIV/0!</v>
      </c>
      <c r="P192" s="320"/>
    </row>
    <row r="193" spans="1:16" s="154" customFormat="1" x14ac:dyDescent="0.25">
      <c r="A193" s="151">
        <f>'B) D RI'!A194</f>
        <v>5715</v>
      </c>
      <c r="B193" s="152" t="str">
        <f>'B) D RI'!B194</f>
        <v>Duillier</v>
      </c>
      <c r="C193" s="316">
        <f>'B) D RI'!S194</f>
        <v>66</v>
      </c>
      <c r="D193" s="153">
        <f>'B) D RI'!AA194</f>
        <v>1128</v>
      </c>
      <c r="E193" s="314">
        <f>'D) Ecrêtage'!C192</f>
        <v>61573.714242424234</v>
      </c>
      <c r="F193" s="318">
        <f>'E) Fact soc'!G198</f>
        <v>1166526.9220740292</v>
      </c>
      <c r="G193" s="315">
        <f>'H) Péréquation directe'!I203</f>
        <v>1040613.5779419116</v>
      </c>
      <c r="H193" s="318" t="e">
        <f>+'I) Dépenses thématiques'!O192</f>
        <v>#DIV/0!</v>
      </c>
      <c r="I193" s="315">
        <f>'K) Plafonnement aide'!J192</f>
        <v>0</v>
      </c>
      <c r="J193" s="318">
        <f>'J) Plafonnement effort'!J192</f>
        <v>0</v>
      </c>
      <c r="K193" s="315">
        <f>'L) Plafonnement taux'!Q193</f>
        <v>0</v>
      </c>
      <c r="L193" s="313" t="e">
        <f t="shared" si="6"/>
        <v>#DIV/0!</v>
      </c>
      <c r="M193" s="234">
        <f>'M) Police'!O193</f>
        <v>172742.37174221105</v>
      </c>
      <c r="N193" s="234" t="e">
        <f t="shared" si="5"/>
        <v>#DIV/0!</v>
      </c>
      <c r="P193" s="320"/>
    </row>
    <row r="194" spans="1:16" s="154" customFormat="1" x14ac:dyDescent="0.25">
      <c r="A194" s="151">
        <f>'B) D RI'!A195</f>
        <v>5716</v>
      </c>
      <c r="B194" s="152" t="str">
        <f>'B) D RI'!B195</f>
        <v>Eysins</v>
      </c>
      <c r="C194" s="316">
        <f>'B) D RI'!S195</f>
        <v>59.5</v>
      </c>
      <c r="D194" s="153">
        <f>'B) D RI'!AA195</f>
        <v>1740</v>
      </c>
      <c r="E194" s="314">
        <f>'D) Ecrêtage'!C193</f>
        <v>311499.41949579836</v>
      </c>
      <c r="F194" s="318">
        <f>'E) Fact soc'!G199</f>
        <v>11338174.688305248</v>
      </c>
      <c r="G194" s="315">
        <f>'H) Péréquation directe'!I204</f>
        <v>5735619.9183531525</v>
      </c>
      <c r="H194" s="318" t="e">
        <f>+'I) Dépenses thématiques'!O193</f>
        <v>#DIV/0!</v>
      </c>
      <c r="I194" s="315">
        <f>'K) Plafonnement aide'!J193</f>
        <v>0</v>
      </c>
      <c r="J194" s="318">
        <f>'J) Plafonnement effort'!J193</f>
        <v>-1280601.5758600798</v>
      </c>
      <c r="K194" s="315">
        <f>'L) Plafonnement taux'!Q194</f>
        <v>0</v>
      </c>
      <c r="L194" s="313" t="e">
        <f t="shared" si="6"/>
        <v>#DIV/0!</v>
      </c>
      <c r="M194" s="234">
        <f>'M) Police'!O194</f>
        <v>520768.72740382073</v>
      </c>
      <c r="N194" s="234" t="e">
        <f t="shared" ref="N194:N254" si="9">L194+M194</f>
        <v>#DIV/0!</v>
      </c>
      <c r="P194" s="320"/>
    </row>
    <row r="195" spans="1:16" s="154" customFormat="1" x14ac:dyDescent="0.25">
      <c r="A195" s="151">
        <f>'B) D RI'!A196</f>
        <v>5717</v>
      </c>
      <c r="B195" s="152" t="str">
        <f>'B) D RI'!B196</f>
        <v>Founex</v>
      </c>
      <c r="C195" s="316">
        <f>'B) D RI'!S196</f>
        <v>57</v>
      </c>
      <c r="D195" s="153">
        <f>'B) D RI'!AA196</f>
        <v>3834</v>
      </c>
      <c r="E195" s="314">
        <f>'D) Ecrêtage'!C194</f>
        <v>386801.60228070174</v>
      </c>
      <c r="F195" s="318">
        <f>'E) Fact soc'!G200</f>
        <v>10359205.555057133</v>
      </c>
      <c r="G195" s="315">
        <f>'H) Péréquation directe'!I205</f>
        <v>6363141.3103558067</v>
      </c>
      <c r="H195" s="318" t="e">
        <f>+'I) Dépenses thématiques'!O194</f>
        <v>#DIV/0!</v>
      </c>
      <c r="I195" s="315">
        <f>'K) Plafonnement aide'!J194</f>
        <v>0</v>
      </c>
      <c r="J195" s="318">
        <f>'J) Plafonnement effort'!J194</f>
        <v>0</v>
      </c>
      <c r="K195" s="315">
        <f>'L) Plafonnement taux'!Q195</f>
        <v>0</v>
      </c>
      <c r="L195" s="313" t="e">
        <f t="shared" si="6"/>
        <v>#DIV/0!</v>
      </c>
      <c r="M195" s="234">
        <f>'M) Police'!O195</f>
        <v>795636.04603477928</v>
      </c>
      <c r="N195" s="234" t="e">
        <f t="shared" si="9"/>
        <v>#DIV/0!</v>
      </c>
      <c r="P195" s="320"/>
    </row>
    <row r="196" spans="1:16" s="154" customFormat="1" x14ac:dyDescent="0.25">
      <c r="A196" s="151">
        <f>'B) D RI'!A197</f>
        <v>5718</v>
      </c>
      <c r="B196" s="152" t="str">
        <f>'B) D RI'!B197</f>
        <v>Genolier</v>
      </c>
      <c r="C196" s="316">
        <f>'B) D RI'!S197</f>
        <v>55</v>
      </c>
      <c r="D196" s="153">
        <f>'B) D RI'!AA197</f>
        <v>1996</v>
      </c>
      <c r="E196" s="314">
        <f>'D) Ecrêtage'!C195</f>
        <v>245082.27927272729</v>
      </c>
      <c r="F196" s="318">
        <f>'E) Fact soc'!G201</f>
        <v>7005178.3043192802</v>
      </c>
      <c r="G196" s="315">
        <f>'H) Péréquation directe'!I206</f>
        <v>4342589.6927879881</v>
      </c>
      <c r="H196" s="318" t="e">
        <f>+'I) Dépenses thématiques'!O195</f>
        <v>#DIV/0!</v>
      </c>
      <c r="I196" s="315">
        <f>'K) Plafonnement aide'!J195</f>
        <v>0</v>
      </c>
      <c r="J196" s="318">
        <f>'J) Plafonnement effort'!J195</f>
        <v>0</v>
      </c>
      <c r="K196" s="315">
        <f>'L) Plafonnement taux'!Q196</f>
        <v>0</v>
      </c>
      <c r="L196" s="313" t="e">
        <f t="shared" si="6"/>
        <v>#DIV/0!</v>
      </c>
      <c r="M196" s="234">
        <f>'M) Police'!O196</f>
        <v>465551.86976919253</v>
      </c>
      <c r="N196" s="234" t="e">
        <f t="shared" si="9"/>
        <v>#DIV/0!</v>
      </c>
      <c r="P196" s="320"/>
    </row>
    <row r="197" spans="1:16" s="154" customFormat="1" x14ac:dyDescent="0.25">
      <c r="A197" s="151">
        <f>'B) D RI'!A198</f>
        <v>5719</v>
      </c>
      <c r="B197" s="152" t="str">
        <f>'B) D RI'!B198</f>
        <v>Gingins</v>
      </c>
      <c r="C197" s="316">
        <f>'B) D RI'!S198</f>
        <v>57</v>
      </c>
      <c r="D197" s="153">
        <f>'B) D RI'!AA198</f>
        <v>1257</v>
      </c>
      <c r="E197" s="314">
        <f>'D) Ecrêtage'!C196</f>
        <v>145761.42391812865</v>
      </c>
      <c r="F197" s="318">
        <f>'E) Fact soc'!G202</f>
        <v>4035801.4099308345</v>
      </c>
      <c r="G197" s="315">
        <f>'H) Péréquation directe'!I207</f>
        <v>2648917.0348818125</v>
      </c>
      <c r="H197" s="318" t="e">
        <f>+'I) Dépenses thématiques'!O196</f>
        <v>#DIV/0!</v>
      </c>
      <c r="I197" s="315">
        <f>'K) Plafonnement aide'!J196</f>
        <v>0</v>
      </c>
      <c r="J197" s="318">
        <f>'J) Plafonnement effort'!J196</f>
        <v>0</v>
      </c>
      <c r="K197" s="315">
        <f>'L) Plafonnement taux'!Q197</f>
        <v>0</v>
      </c>
      <c r="L197" s="313" t="e">
        <f t="shared" si="6"/>
        <v>#DIV/0!</v>
      </c>
      <c r="M197" s="234">
        <f>'M) Police'!O197</f>
        <v>283106.65192813182</v>
      </c>
      <c r="N197" s="234" t="e">
        <f t="shared" si="9"/>
        <v>#DIV/0!</v>
      </c>
      <c r="P197" s="320"/>
    </row>
    <row r="198" spans="1:16" s="154" customFormat="1" x14ac:dyDescent="0.25">
      <c r="A198" s="151">
        <f>'B) D RI'!A199</f>
        <v>5720</v>
      </c>
      <c r="B198" s="152" t="str">
        <f>'B) D RI'!B199</f>
        <v>Givrins</v>
      </c>
      <c r="C198" s="316">
        <f>'B) D RI'!S199</f>
        <v>67</v>
      </c>
      <c r="D198" s="153">
        <f>'B) D RI'!AA199</f>
        <v>1031</v>
      </c>
      <c r="E198" s="314">
        <f>'D) Ecrêtage'!C197</f>
        <v>84172.254543946925</v>
      </c>
      <c r="F198" s="318">
        <f>'E) Fact soc'!G203</f>
        <v>2113657.7359896447</v>
      </c>
      <c r="G198" s="315">
        <f>'H) Péréquation directe'!I208</f>
        <v>1518029.9634851213</v>
      </c>
      <c r="H198" s="318" t="e">
        <f>+'I) Dépenses thématiques'!O197</f>
        <v>#DIV/0!</v>
      </c>
      <c r="I198" s="315">
        <f>'K) Plafonnement aide'!J197</f>
        <v>0</v>
      </c>
      <c r="J198" s="318">
        <f>'J) Plafonnement effort'!J197</f>
        <v>0</v>
      </c>
      <c r="K198" s="315">
        <f>'L) Plafonnement taux'!Q198</f>
        <v>0</v>
      </c>
      <c r="L198" s="313" t="e">
        <f t="shared" si="6"/>
        <v>#DIV/0!</v>
      </c>
      <c r="M198" s="234">
        <f>'M) Police'!O198</f>
        <v>190649.01772942688</v>
      </c>
      <c r="N198" s="234" t="e">
        <f t="shared" si="9"/>
        <v>#DIV/0!</v>
      </c>
      <c r="P198" s="320"/>
    </row>
    <row r="199" spans="1:16" s="154" customFormat="1" x14ac:dyDescent="0.25">
      <c r="A199" s="151">
        <f>'B) D RI'!A200</f>
        <v>5721</v>
      </c>
      <c r="B199" s="152" t="str">
        <f>'B) D RI'!B200</f>
        <v>Gland</v>
      </c>
      <c r="C199" s="316">
        <f>'B) D RI'!S200</f>
        <v>61</v>
      </c>
      <c r="D199" s="153">
        <f>'B) D RI'!AA200</f>
        <v>13243</v>
      </c>
      <c r="E199" s="314">
        <f>'D) Ecrêtage'!C198</f>
        <v>651107.04049180343</v>
      </c>
      <c r="F199" s="318">
        <f>'E) Fact soc'!G204</f>
        <v>11174849.538184658</v>
      </c>
      <c r="G199" s="315">
        <f>'H) Péréquation directe'!I209</f>
        <v>4831515.9743964374</v>
      </c>
      <c r="H199" s="318" t="e">
        <f>+'I) Dépenses thématiques'!O198</f>
        <v>#DIV/0!</v>
      </c>
      <c r="I199" s="315">
        <f>'K) Plafonnement aide'!J198</f>
        <v>0</v>
      </c>
      <c r="J199" s="318">
        <f>'J) Plafonnement effort'!J198</f>
        <v>0</v>
      </c>
      <c r="K199" s="315">
        <f>'L) Plafonnement taux'!Q199</f>
        <v>0</v>
      </c>
      <c r="L199" s="313" t="e">
        <f t="shared" si="6"/>
        <v>#DIV/0!</v>
      </c>
      <c r="M199" s="234">
        <f>'M) Police'!O199</f>
        <v>1943727.3572995819</v>
      </c>
      <c r="N199" s="234" t="e">
        <f t="shared" si="9"/>
        <v>#DIV/0!</v>
      </c>
      <c r="P199" s="320"/>
    </row>
    <row r="200" spans="1:16" s="154" customFormat="1" x14ac:dyDescent="0.25">
      <c r="A200" s="151">
        <f>'B) D RI'!A201</f>
        <v>5722</v>
      </c>
      <c r="B200" s="152" t="str">
        <f>'B) D RI'!B201</f>
        <v>Grens</v>
      </c>
      <c r="C200" s="316">
        <f>'B) D RI'!S201</f>
        <v>62</v>
      </c>
      <c r="D200" s="153">
        <f>'B) D RI'!AA201</f>
        <v>405</v>
      </c>
      <c r="E200" s="314">
        <f>'D) Ecrêtage'!C199</f>
        <v>25525.601935483872</v>
      </c>
      <c r="F200" s="318">
        <f>'E) Fact soc'!G205</f>
        <v>446955.77879922919</v>
      </c>
      <c r="G200" s="315">
        <f>'H) Péréquation directe'!I210</f>
        <v>450997.16380952788</v>
      </c>
      <c r="H200" s="318" t="e">
        <f>+'I) Dépenses thématiques'!O199</f>
        <v>#DIV/0!</v>
      </c>
      <c r="I200" s="315">
        <f>'K) Plafonnement aide'!J199</f>
        <v>0</v>
      </c>
      <c r="J200" s="318">
        <f>'J) Plafonnement effort'!J199</f>
        <v>0</v>
      </c>
      <c r="K200" s="315">
        <f>'L) Plafonnement taux'!Q200</f>
        <v>0</v>
      </c>
      <c r="L200" s="313" t="e">
        <f t="shared" si="6"/>
        <v>#DIV/0!</v>
      </c>
      <c r="M200" s="234">
        <f>'M) Police'!O200</f>
        <v>66036.375738563613</v>
      </c>
      <c r="N200" s="234" t="e">
        <f t="shared" si="9"/>
        <v>#DIV/0!</v>
      </c>
      <c r="P200" s="320"/>
    </row>
    <row r="201" spans="1:16" s="154" customFormat="1" x14ac:dyDescent="0.25">
      <c r="A201" s="151">
        <f>'B) D RI'!A202</f>
        <v>5723</v>
      </c>
      <c r="B201" s="152" t="str">
        <f>'B) D RI'!B202</f>
        <v>Mies</v>
      </c>
      <c r="C201" s="316">
        <f>'B) D RI'!S202</f>
        <v>52</v>
      </c>
      <c r="D201" s="153">
        <f>'B) D RI'!AA202</f>
        <v>2172</v>
      </c>
      <c r="E201" s="314">
        <f>'D) Ecrêtage'!C200</f>
        <v>197805.17519230774</v>
      </c>
      <c r="F201" s="318">
        <f>'E) Fact soc'!G206</f>
        <v>4878491.3846842228</v>
      </c>
      <c r="G201" s="315">
        <f>'H) Péréquation directe'!I211</f>
        <v>3353163.3654386871</v>
      </c>
      <c r="H201" s="318" t="e">
        <f>+'I) Dépenses thématiques'!O200</f>
        <v>#DIV/0!</v>
      </c>
      <c r="I201" s="315">
        <f>'K) Plafonnement aide'!J200</f>
        <v>0</v>
      </c>
      <c r="J201" s="318">
        <f>'J) Plafonnement effort'!J200</f>
        <v>0</v>
      </c>
      <c r="K201" s="315">
        <f>'L) Plafonnement taux'!Q201</f>
        <v>0</v>
      </c>
      <c r="L201" s="313" t="e">
        <f t="shared" si="6"/>
        <v>#DIV/0!</v>
      </c>
      <c r="M201" s="234">
        <f>'M) Police'!O201</f>
        <v>425693.06250722037</v>
      </c>
      <c r="N201" s="234" t="e">
        <f t="shared" si="9"/>
        <v>#DIV/0!</v>
      </c>
      <c r="P201" s="320"/>
    </row>
    <row r="202" spans="1:16" s="154" customFormat="1" x14ac:dyDescent="0.25">
      <c r="A202" s="151">
        <f>'B) D RI'!A203</f>
        <v>5724</v>
      </c>
      <c r="B202" s="152" t="str">
        <f>'B) D RI'!B203</f>
        <v>Nyon</v>
      </c>
      <c r="C202" s="316">
        <f>'B) D RI'!S203</f>
        <v>61</v>
      </c>
      <c r="D202" s="153">
        <f>'B) D RI'!AA203</f>
        <v>21743</v>
      </c>
      <c r="E202" s="314">
        <f>'D) Ecrêtage'!C201</f>
        <v>1415730.6761202184</v>
      </c>
      <c r="F202" s="318">
        <f>'E) Fact soc'!G207</f>
        <v>32627477.103197686</v>
      </c>
      <c r="G202" s="315">
        <f>'H) Péréquation directe'!I212</f>
        <v>11079459.882375294</v>
      </c>
      <c r="H202" s="318" t="e">
        <f>+'I) Dépenses thématiques'!O201</f>
        <v>#DIV/0!</v>
      </c>
      <c r="I202" s="315">
        <f>'K) Plafonnement aide'!J201</f>
        <v>0</v>
      </c>
      <c r="J202" s="318">
        <f>'J) Plafonnement effort'!J201</f>
        <v>0</v>
      </c>
      <c r="K202" s="315">
        <f>'L) Plafonnement taux'!Q202</f>
        <v>0</v>
      </c>
      <c r="L202" s="313" t="e">
        <f t="shared" si="6"/>
        <v>#DIV/0!</v>
      </c>
      <c r="M202" s="234">
        <f>'M) Police'!O202</f>
        <v>1662796.7927191351</v>
      </c>
      <c r="N202" s="234" t="e">
        <f t="shared" si="9"/>
        <v>#DIV/0!</v>
      </c>
      <c r="P202" s="320"/>
    </row>
    <row r="203" spans="1:16" s="154" customFormat="1" x14ac:dyDescent="0.25">
      <c r="A203" s="151">
        <f>'B) D RI'!A204</f>
        <v>5725</v>
      </c>
      <c r="B203" s="152" t="str">
        <f>'B) D RI'!B204</f>
        <v>Prangins</v>
      </c>
      <c r="C203" s="316">
        <f>'B) D RI'!S204</f>
        <v>55</v>
      </c>
      <c r="D203" s="153">
        <f>'B) D RI'!AA204</f>
        <v>4101</v>
      </c>
      <c r="E203" s="314">
        <f>'D) Ecrêtage'!C202</f>
        <v>312804.93402597401</v>
      </c>
      <c r="F203" s="318">
        <f>'E) Fact soc'!G208</f>
        <v>6909741.9665788999</v>
      </c>
      <c r="G203" s="315">
        <f>'H) Péréquation directe'!I213</f>
        <v>4777734.5740478318</v>
      </c>
      <c r="H203" s="318" t="e">
        <f>+'I) Dépenses thématiques'!O202</f>
        <v>#DIV/0!</v>
      </c>
      <c r="I203" s="315">
        <f>'K) Plafonnement aide'!J202</f>
        <v>0</v>
      </c>
      <c r="J203" s="318">
        <f>'J) Plafonnement effort'!J202</f>
        <v>0</v>
      </c>
      <c r="K203" s="315">
        <f>'L) Plafonnement taux'!Q203</f>
        <v>0</v>
      </c>
      <c r="L203" s="313" t="e">
        <f t="shared" si="6"/>
        <v>#DIV/0!</v>
      </c>
      <c r="M203" s="234">
        <f>'M) Police'!O203</f>
        <v>367394.06005563075</v>
      </c>
      <c r="N203" s="234" t="e">
        <f t="shared" si="9"/>
        <v>#DIV/0!</v>
      </c>
      <c r="P203" s="320"/>
    </row>
    <row r="204" spans="1:16" s="154" customFormat="1" x14ac:dyDescent="0.25">
      <c r="A204" s="151">
        <f>'B) D RI'!A205</f>
        <v>5726</v>
      </c>
      <c r="B204" s="152" t="str">
        <f>'B) D RI'!B205</f>
        <v>La Rippe</v>
      </c>
      <c r="C204" s="316">
        <f>'B) D RI'!S205</f>
        <v>65</v>
      </c>
      <c r="D204" s="153">
        <f>'B) D RI'!AA205</f>
        <v>1131</v>
      </c>
      <c r="E204" s="314">
        <f>'D) Ecrêtage'!C203</f>
        <v>66324.764153846147</v>
      </c>
      <c r="F204" s="318">
        <f>'E) Fact soc'!G209</f>
        <v>1333359.7613922756</v>
      </c>
      <c r="G204" s="315">
        <f>'H) Péréquation directe'!I214</f>
        <v>1132862.5278476612</v>
      </c>
      <c r="H204" s="318" t="e">
        <f>+'I) Dépenses thématiques'!O203</f>
        <v>#DIV/0!</v>
      </c>
      <c r="I204" s="315">
        <f>'K) Plafonnement aide'!J203</f>
        <v>0</v>
      </c>
      <c r="J204" s="318">
        <f>'J) Plafonnement effort'!J203</f>
        <v>0</v>
      </c>
      <c r="K204" s="315">
        <f>'L) Plafonnement taux'!Q204</f>
        <v>0</v>
      </c>
      <c r="L204" s="313" t="e">
        <f t="shared" si="6"/>
        <v>#DIV/0!</v>
      </c>
      <c r="M204" s="234">
        <f>'M) Police'!O204</f>
        <v>178589.63350047712</v>
      </c>
      <c r="N204" s="234" t="e">
        <f t="shared" si="9"/>
        <v>#DIV/0!</v>
      </c>
      <c r="P204" s="320"/>
    </row>
    <row r="205" spans="1:16" s="154" customFormat="1" x14ac:dyDescent="0.25">
      <c r="A205" s="151">
        <f>'B) D RI'!A206</f>
        <v>5727</v>
      </c>
      <c r="B205" s="152" t="str">
        <f>'B) D RI'!B206</f>
        <v>Saint-Cergue</v>
      </c>
      <c r="C205" s="316">
        <f>'B) D RI'!S206</f>
        <v>66</v>
      </c>
      <c r="D205" s="153">
        <f>'B) D RI'!AA206</f>
        <v>2674</v>
      </c>
      <c r="E205" s="314">
        <f>'D) Ecrêtage'!C204</f>
        <v>105125.05141414142</v>
      </c>
      <c r="F205" s="318">
        <f>'E) Fact soc'!G210</f>
        <v>1804480.8296447219</v>
      </c>
      <c r="G205" s="315">
        <f>'H) Péréquation directe'!I215</f>
        <v>945021.48998431838</v>
      </c>
      <c r="H205" s="318" t="e">
        <f>+'I) Dépenses thématiques'!O204</f>
        <v>#DIV/0!</v>
      </c>
      <c r="I205" s="315">
        <f>'K) Plafonnement aide'!J204</f>
        <v>0</v>
      </c>
      <c r="J205" s="318">
        <f>'J) Plafonnement effort'!J204</f>
        <v>0</v>
      </c>
      <c r="K205" s="315">
        <f>'L) Plafonnement taux'!Q205</f>
        <v>0</v>
      </c>
      <c r="L205" s="313" t="e">
        <f t="shared" si="6"/>
        <v>#DIV/0!</v>
      </c>
      <c r="M205" s="234">
        <f>'M) Police'!O205</f>
        <v>317406.10764671105</v>
      </c>
      <c r="N205" s="234" t="e">
        <f t="shared" si="9"/>
        <v>#DIV/0!</v>
      </c>
      <c r="P205" s="320"/>
    </row>
    <row r="206" spans="1:16" s="154" customFormat="1" x14ac:dyDescent="0.25">
      <c r="A206" s="151">
        <f>'B) D RI'!A207</f>
        <v>5728</v>
      </c>
      <c r="B206" s="152" t="str">
        <f>'B) D RI'!B207</f>
        <v>Signy-Avenex</v>
      </c>
      <c r="C206" s="316">
        <f>'B) D RI'!S207</f>
        <v>58</v>
      </c>
      <c r="D206" s="153">
        <f>'B) D RI'!AA207</f>
        <v>581</v>
      </c>
      <c r="E206" s="314">
        <f>'D) Ecrêtage'!C205</f>
        <v>49286.820862068969</v>
      </c>
      <c r="F206" s="318">
        <f>'E) Fact soc'!G211</f>
        <v>1168280.2204798954</v>
      </c>
      <c r="G206" s="315">
        <f>'H) Péréquation directe'!I216</f>
        <v>895743.93532715749</v>
      </c>
      <c r="H206" s="318" t="e">
        <f>+'I) Dépenses thématiques'!O205</f>
        <v>#DIV/0!</v>
      </c>
      <c r="I206" s="315">
        <f>'K) Plafonnement aide'!J205</f>
        <v>0</v>
      </c>
      <c r="J206" s="318">
        <f>'J) Plafonnement effort'!J205</f>
        <v>0</v>
      </c>
      <c r="K206" s="315">
        <f>'L) Plafonnement taux'!Q206</f>
        <v>0</v>
      </c>
      <c r="L206" s="313" t="e">
        <f t="shared" si="6"/>
        <v>#DIV/0!</v>
      </c>
      <c r="M206" s="234">
        <f>'M) Police'!O206</f>
        <v>109613.13828419436</v>
      </c>
      <c r="N206" s="234" t="e">
        <f t="shared" si="9"/>
        <v>#DIV/0!</v>
      </c>
      <c r="P206" s="320"/>
    </row>
    <row r="207" spans="1:16" s="154" customFormat="1" x14ac:dyDescent="0.25">
      <c r="A207" s="151">
        <f>'B) D RI'!A208</f>
        <v>5729</v>
      </c>
      <c r="B207" s="152" t="str">
        <f>'B) D RI'!B208</f>
        <v>Tannay</v>
      </c>
      <c r="C207" s="316">
        <f>'B) D RI'!S208</f>
        <v>60.5</v>
      </c>
      <c r="D207" s="153">
        <f>'B) D RI'!AA208</f>
        <v>1636</v>
      </c>
      <c r="E207" s="314">
        <f>'D) Ecrêtage'!C206</f>
        <v>130826.66865013774</v>
      </c>
      <c r="F207" s="318">
        <f>'E) Fact soc'!G212</f>
        <v>3260832.5160426712</v>
      </c>
      <c r="G207" s="315">
        <f>'H) Péréquation directe'!I217</f>
        <v>2224079.2968801116</v>
      </c>
      <c r="H207" s="318" t="e">
        <f>+'I) Dépenses thématiques'!O206</f>
        <v>#DIV/0!</v>
      </c>
      <c r="I207" s="315">
        <f>'K) Plafonnement aide'!J206</f>
        <v>0</v>
      </c>
      <c r="J207" s="318">
        <f>'J) Plafonnement effort'!J206</f>
        <v>0</v>
      </c>
      <c r="K207" s="315">
        <f>'L) Plafonnement taux'!Q207</f>
        <v>0</v>
      </c>
      <c r="L207" s="313" t="e">
        <f t="shared" si="6"/>
        <v>#DIV/0!</v>
      </c>
      <c r="M207" s="234">
        <f>'M) Police'!O207</f>
        <v>299307.01727724518</v>
      </c>
      <c r="N207" s="234" t="e">
        <f t="shared" si="9"/>
        <v>#DIV/0!</v>
      </c>
      <c r="P207" s="320"/>
    </row>
    <row r="208" spans="1:16" s="154" customFormat="1" x14ac:dyDescent="0.25">
      <c r="A208" s="151">
        <f>'B) D RI'!A209</f>
        <v>5730</v>
      </c>
      <c r="B208" s="152" t="str">
        <f>'B) D RI'!B209</f>
        <v>Trélex</v>
      </c>
      <c r="C208" s="316">
        <f>'B) D RI'!S209</f>
        <v>55.5</v>
      </c>
      <c r="D208" s="153">
        <f>'B) D RI'!AA209</f>
        <v>1445</v>
      </c>
      <c r="E208" s="314">
        <f>'D) Ecrêtage'!C207</f>
        <v>111625.98756756757</v>
      </c>
      <c r="F208" s="318">
        <f>'E) Fact soc'!G213</f>
        <v>2580244.073255348</v>
      </c>
      <c r="G208" s="315">
        <f>'H) Péréquation directe'!I218</f>
        <v>1913371.2085985022</v>
      </c>
      <c r="H208" s="318" t="e">
        <f>+'I) Dépenses thématiques'!O207</f>
        <v>#DIV/0!</v>
      </c>
      <c r="I208" s="315">
        <f>'K) Plafonnement aide'!J207</f>
        <v>0</v>
      </c>
      <c r="J208" s="318">
        <f>'J) Plafonnement effort'!J207</f>
        <v>0</v>
      </c>
      <c r="K208" s="315">
        <f>'L) Plafonnement taux'!Q208</f>
        <v>0</v>
      </c>
      <c r="L208" s="313" t="e">
        <f t="shared" si="6"/>
        <v>#DIV/0!</v>
      </c>
      <c r="M208" s="234">
        <f>'M) Police'!O208</f>
        <v>259751.2605327304</v>
      </c>
      <c r="N208" s="234" t="e">
        <f t="shared" si="9"/>
        <v>#DIV/0!</v>
      </c>
      <c r="P208" s="320"/>
    </row>
    <row r="209" spans="1:16" s="154" customFormat="1" x14ac:dyDescent="0.25">
      <c r="A209" s="151">
        <f>'B) D RI'!A210</f>
        <v>5731</v>
      </c>
      <c r="B209" s="152" t="str">
        <f>'B) D RI'!B210</f>
        <v>Le Vaud</v>
      </c>
      <c r="C209" s="316">
        <f>'B) D RI'!S210</f>
        <v>74</v>
      </c>
      <c r="D209" s="153">
        <f>'B) D RI'!AA210</f>
        <v>1366</v>
      </c>
      <c r="E209" s="314">
        <f>'D) Ecrêtage'!C208</f>
        <v>63942.206576576558</v>
      </c>
      <c r="F209" s="318">
        <f>'E) Fact soc'!G214</f>
        <v>1017266.1255942077</v>
      </c>
      <c r="G209" s="315">
        <f>'H) Péréquation directe'!I219</f>
        <v>963580.43205745693</v>
      </c>
      <c r="H209" s="318" t="e">
        <f>+'I) Dépenses thématiques'!O208</f>
        <v>#DIV/0!</v>
      </c>
      <c r="I209" s="315">
        <f>'K) Plafonnement aide'!J208</f>
        <v>0</v>
      </c>
      <c r="J209" s="318">
        <f>'J) Plafonnement effort'!J208</f>
        <v>0</v>
      </c>
      <c r="K209" s="315">
        <f>'L) Plafonnement taux'!Q209</f>
        <v>0</v>
      </c>
      <c r="L209" s="313" t="e">
        <f t="shared" si="6"/>
        <v>#DIV/0!</v>
      </c>
      <c r="M209" s="234">
        <f>'M) Police'!O209</f>
        <v>195646.16225857573</v>
      </c>
      <c r="N209" s="234" t="e">
        <f t="shared" si="9"/>
        <v>#DIV/0!</v>
      </c>
      <c r="P209" s="320"/>
    </row>
    <row r="210" spans="1:16" s="154" customFormat="1" x14ac:dyDescent="0.25">
      <c r="A210" s="151">
        <f>'B) D RI'!A211</f>
        <v>5732</v>
      </c>
      <c r="B210" s="152" t="str">
        <f>'B) D RI'!B211</f>
        <v>Vich</v>
      </c>
      <c r="C210" s="316">
        <f>'B) D RI'!S211</f>
        <v>63</v>
      </c>
      <c r="D210" s="153">
        <f>'B) D RI'!AA211</f>
        <v>1156</v>
      </c>
      <c r="E210" s="314">
        <f>'D) Ecrêtage'!C209</f>
        <v>71006.972380952371</v>
      </c>
      <c r="F210" s="318">
        <f>'E) Fact soc'!G215</f>
        <v>1481182.1795688835</v>
      </c>
      <c r="G210" s="315">
        <f>'H) Péréquation directe'!I220</f>
        <v>1216121.6904542209</v>
      </c>
      <c r="H210" s="318" t="e">
        <f>+'I) Dépenses thématiques'!O209</f>
        <v>#DIV/0!</v>
      </c>
      <c r="I210" s="315">
        <f>'K) Plafonnement aide'!J209</f>
        <v>0</v>
      </c>
      <c r="J210" s="318">
        <f>'J) Plafonnement effort'!J209</f>
        <v>0</v>
      </c>
      <c r="K210" s="315">
        <f>'L) Plafonnement taux'!Q210</f>
        <v>0</v>
      </c>
      <c r="L210" s="313" t="e">
        <f t="shared" si="6"/>
        <v>#DIV/0!</v>
      </c>
      <c r="M210" s="234">
        <f>'M) Police'!O210</f>
        <v>186314.64674277115</v>
      </c>
      <c r="N210" s="234" t="e">
        <f t="shared" si="9"/>
        <v>#DIV/0!</v>
      </c>
      <c r="P210" s="320"/>
    </row>
    <row r="211" spans="1:16" s="154" customFormat="1" x14ac:dyDescent="0.25">
      <c r="A211" s="151">
        <f>'B) D RI'!A212</f>
        <v>5741</v>
      </c>
      <c r="B211" s="152" t="str">
        <f>'B) D RI'!B212</f>
        <v>L'Abergement</v>
      </c>
      <c r="C211" s="316">
        <f>'B) D RI'!S212</f>
        <v>81</v>
      </c>
      <c r="D211" s="153">
        <f>'B) D RI'!AA212</f>
        <v>256</v>
      </c>
      <c r="E211" s="314">
        <f>'D) Ecrêtage'!C210</f>
        <v>7368.9297325102852</v>
      </c>
      <c r="F211" s="318">
        <f>'E) Fact soc'!G216</f>
        <v>124944.03839711807</v>
      </c>
      <c r="G211" s="315">
        <f>'H) Péréquation directe'!I221</f>
        <v>-17698.832661980239</v>
      </c>
      <c r="H211" s="318" t="e">
        <f>+'I) Dépenses thématiques'!O210</f>
        <v>#DIV/0!</v>
      </c>
      <c r="I211" s="315">
        <f>'K) Plafonnement aide'!J210</f>
        <v>0</v>
      </c>
      <c r="J211" s="318">
        <f>'J) Plafonnement effort'!J210</f>
        <v>0</v>
      </c>
      <c r="K211" s="315">
        <f>'L) Plafonnement taux'!Q211</f>
        <v>0</v>
      </c>
      <c r="L211" s="313" t="e">
        <f t="shared" si="6"/>
        <v>#DIV/0!</v>
      </c>
      <c r="M211" s="234">
        <f>'M) Police'!O211</f>
        <v>22373.858608714021</v>
      </c>
      <c r="N211" s="234" t="e">
        <f t="shared" si="9"/>
        <v>#DIV/0!</v>
      </c>
      <c r="P211" s="320"/>
    </row>
    <row r="212" spans="1:16" s="154" customFormat="1" x14ac:dyDescent="0.25">
      <c r="A212" s="151">
        <f>'B) D RI'!A213</f>
        <v>5742</v>
      </c>
      <c r="B212" s="152" t="str">
        <f>'B) D RI'!B213</f>
        <v>Agiez</v>
      </c>
      <c r="C212" s="316">
        <f>'B) D RI'!S213</f>
        <v>76</v>
      </c>
      <c r="D212" s="153">
        <f>'B) D RI'!AA213</f>
        <v>377</v>
      </c>
      <c r="E212" s="314">
        <f>'D) Ecrêtage'!C211</f>
        <v>8960.136710526318</v>
      </c>
      <c r="F212" s="318">
        <f>'E) Fact soc'!G217</f>
        <v>137183.32176711541</v>
      </c>
      <c r="G212" s="315">
        <f>'H) Péréquation directe'!I222</f>
        <v>-84029.112406227272</v>
      </c>
      <c r="H212" s="318" t="e">
        <f>+'I) Dépenses thématiques'!O211</f>
        <v>#DIV/0!</v>
      </c>
      <c r="I212" s="315">
        <f>'K) Plafonnement aide'!J211</f>
        <v>0</v>
      </c>
      <c r="J212" s="318">
        <f>'J) Plafonnement effort'!J211</f>
        <v>0</v>
      </c>
      <c r="K212" s="315">
        <f>'L) Plafonnement taux'!Q212</f>
        <v>0</v>
      </c>
      <c r="L212" s="313" t="e">
        <f t="shared" si="6"/>
        <v>#DIV/0!</v>
      </c>
      <c r="M212" s="234">
        <f>'M) Police'!O212</f>
        <v>27196.119194249324</v>
      </c>
      <c r="N212" s="234" t="e">
        <f t="shared" si="9"/>
        <v>#DIV/0!</v>
      </c>
      <c r="P212" s="320"/>
    </row>
    <row r="213" spans="1:16" s="154" customFormat="1" x14ac:dyDescent="0.25">
      <c r="A213" s="151">
        <f>'B) D RI'!A214</f>
        <v>5743</v>
      </c>
      <c r="B213" s="152" t="str">
        <f>'B) D RI'!B214</f>
        <v>Arnex-sur-Orbe</v>
      </c>
      <c r="C213" s="316">
        <f>'B) D RI'!S214</f>
        <v>71</v>
      </c>
      <c r="D213" s="153">
        <f>'B) D RI'!AA214</f>
        <v>637</v>
      </c>
      <c r="E213" s="314">
        <f>'D) Ecrêtage'!C212</f>
        <v>20526.64161971831</v>
      </c>
      <c r="F213" s="318">
        <f>'E) Fact soc'!G218</f>
        <v>310743.23016645451</v>
      </c>
      <c r="G213" s="315">
        <f>'H) Péréquation directe'!I223</f>
        <v>118597.38653428701</v>
      </c>
      <c r="H213" s="318" t="e">
        <f>+'I) Dépenses thématiques'!O212</f>
        <v>#DIV/0!</v>
      </c>
      <c r="I213" s="315">
        <f>'K) Plafonnement aide'!J212</f>
        <v>0</v>
      </c>
      <c r="J213" s="318">
        <f>'J) Plafonnement effort'!J212</f>
        <v>0</v>
      </c>
      <c r="K213" s="315">
        <f>'L) Plafonnement taux'!Q213</f>
        <v>0</v>
      </c>
      <c r="L213" s="313" t="e">
        <f t="shared" si="6"/>
        <v>#DIV/0!</v>
      </c>
      <c r="M213" s="234">
        <f>'M) Police'!O213</f>
        <v>62716.879947554706</v>
      </c>
      <c r="N213" s="234" t="e">
        <f t="shared" si="9"/>
        <v>#DIV/0!</v>
      </c>
      <c r="P213" s="320"/>
    </row>
    <row r="214" spans="1:16" s="154" customFormat="1" x14ac:dyDescent="0.25">
      <c r="A214" s="151">
        <f>'B) D RI'!A215</f>
        <v>5744</v>
      </c>
      <c r="B214" s="152" t="str">
        <f>'B) D RI'!B215</f>
        <v>Ballaigues</v>
      </c>
      <c r="C214" s="316">
        <f>'B) D RI'!S215</f>
        <v>65</v>
      </c>
      <c r="D214" s="153">
        <f>'B) D RI'!AA215</f>
        <v>1143</v>
      </c>
      <c r="E214" s="314">
        <f>'D) Ecrêtage'!C213</f>
        <v>40453.358769230777</v>
      </c>
      <c r="F214" s="318">
        <f>'E) Fact soc'!G219</f>
        <v>1008698.0293607725</v>
      </c>
      <c r="G214" s="315">
        <f>'H) Péréquation directe'!I224</f>
        <v>373065.78673158417</v>
      </c>
      <c r="H214" s="318" t="e">
        <f>+'I) Dépenses thématiques'!O213</f>
        <v>#DIV/0!</v>
      </c>
      <c r="I214" s="315">
        <f>'K) Plafonnement aide'!J213</f>
        <v>0</v>
      </c>
      <c r="J214" s="318">
        <f>'J) Plafonnement effort'!J213</f>
        <v>0</v>
      </c>
      <c r="K214" s="315">
        <f>'L) Plafonnement taux'!Q214</f>
        <v>0</v>
      </c>
      <c r="L214" s="313" t="e">
        <f t="shared" si="6"/>
        <v>#DIV/0!</v>
      </c>
      <c r="M214" s="234">
        <f>'M) Police'!O214</f>
        <v>122867.98917895646</v>
      </c>
      <c r="N214" s="234" t="e">
        <f t="shared" si="9"/>
        <v>#DIV/0!</v>
      </c>
      <c r="P214" s="320"/>
    </row>
    <row r="215" spans="1:16" s="154" customFormat="1" x14ac:dyDescent="0.25">
      <c r="A215" s="151">
        <f>'B) D RI'!A216</f>
        <v>5745</v>
      </c>
      <c r="B215" s="152" t="str">
        <f>'B) D RI'!B216</f>
        <v>Baulmes</v>
      </c>
      <c r="C215" s="316">
        <f>'B) D RI'!S216</f>
        <v>76.5</v>
      </c>
      <c r="D215" s="153">
        <f>'B) D RI'!AA216</f>
        <v>1074</v>
      </c>
      <c r="E215" s="314">
        <f>'D) Ecrêtage'!C214</f>
        <v>26827.589150326792</v>
      </c>
      <c r="F215" s="318">
        <f>'E) Fact soc'!G220</f>
        <v>468809.29068898282</v>
      </c>
      <c r="G215" s="315">
        <f>'H) Péréquation directe'!I225</f>
        <v>-207785.86116945744</v>
      </c>
      <c r="H215" s="318" t="e">
        <f>+'I) Dépenses thématiques'!O214</f>
        <v>#DIV/0!</v>
      </c>
      <c r="I215" s="315">
        <f>'K) Plafonnement aide'!J214</f>
        <v>0</v>
      </c>
      <c r="J215" s="318">
        <f>'J) Plafonnement effort'!J214</f>
        <v>0</v>
      </c>
      <c r="K215" s="315">
        <f>'L) Plafonnement taux'!Q215</f>
        <v>0</v>
      </c>
      <c r="L215" s="313" t="e">
        <f t="shared" si="6"/>
        <v>#DIV/0!</v>
      </c>
      <c r="M215" s="234">
        <f>'M) Police'!O215</f>
        <v>81600.477278007427</v>
      </c>
      <c r="N215" s="234" t="e">
        <f t="shared" si="9"/>
        <v>#DIV/0!</v>
      </c>
      <c r="P215" s="320"/>
    </row>
    <row r="216" spans="1:16" s="154" customFormat="1" x14ac:dyDescent="0.25">
      <c r="A216" s="151">
        <f>'B) D RI'!A217</f>
        <v>5746</v>
      </c>
      <c r="B216" s="152" t="str">
        <f>'B) D RI'!B217</f>
        <v>Bavois</v>
      </c>
      <c r="C216" s="316">
        <f>'B) D RI'!S217</f>
        <v>73</v>
      </c>
      <c r="D216" s="153">
        <f>'B) D RI'!AA217</f>
        <v>994</v>
      </c>
      <c r="E216" s="314">
        <f>'D) Ecrêtage'!C215</f>
        <v>30466.611141552505</v>
      </c>
      <c r="F216" s="318">
        <f>'E) Fact soc'!G221</f>
        <v>617209.33081876044</v>
      </c>
      <c r="G216" s="315">
        <f>'H) Péréquation directe'!I226</f>
        <v>102598.01896522788</v>
      </c>
      <c r="H216" s="318" t="e">
        <f>+'I) Dépenses thématiques'!O215</f>
        <v>#DIV/0!</v>
      </c>
      <c r="I216" s="315">
        <f>'K) Plafonnement aide'!J215</f>
        <v>0</v>
      </c>
      <c r="J216" s="318">
        <f>'J) Plafonnement effort'!J215</f>
        <v>0</v>
      </c>
      <c r="K216" s="315">
        <f>'L) Plafonnement taux'!Q216</f>
        <v>0</v>
      </c>
      <c r="L216" s="313" t="e">
        <f t="shared" si="6"/>
        <v>#DIV/0!</v>
      </c>
      <c r="M216" s="234">
        <f>'M) Police'!O216</f>
        <v>91312.517371243841</v>
      </c>
      <c r="N216" s="234" t="e">
        <f t="shared" si="9"/>
        <v>#DIV/0!</v>
      </c>
      <c r="P216" s="320"/>
    </row>
    <row r="217" spans="1:16" s="154" customFormat="1" x14ac:dyDescent="0.25">
      <c r="A217" s="151">
        <f>'B) D RI'!A218</f>
        <v>5747</v>
      </c>
      <c r="B217" s="152" t="str">
        <f>'B) D RI'!B218</f>
        <v>Bofflens</v>
      </c>
      <c r="C217" s="316">
        <f>'B) D RI'!S218</f>
        <v>69</v>
      </c>
      <c r="D217" s="153">
        <f>'B) D RI'!AA218</f>
        <v>206</v>
      </c>
      <c r="E217" s="314">
        <f>'D) Ecrêtage'!C216</f>
        <v>5608.7786956521741</v>
      </c>
      <c r="F217" s="318">
        <f>'E) Fact soc'!G222</f>
        <v>100262.8462404827</v>
      </c>
      <c r="G217" s="315">
        <f>'H) Péréquation directe'!I227</f>
        <v>2170.0718017857871</v>
      </c>
      <c r="H217" s="318" t="e">
        <f>+'I) Dépenses thématiques'!O216</f>
        <v>#DIV/0!</v>
      </c>
      <c r="I217" s="315">
        <f>'K) Plafonnement aide'!J216</f>
        <v>0</v>
      </c>
      <c r="J217" s="318">
        <f>'J) Plafonnement effort'!J216</f>
        <v>0</v>
      </c>
      <c r="K217" s="315">
        <f>'L) Plafonnement taux'!Q217</f>
        <v>0</v>
      </c>
      <c r="L217" s="313" t="e">
        <f t="shared" si="6"/>
        <v>#DIV/0!</v>
      </c>
      <c r="M217" s="234">
        <f>'M) Police'!O217</f>
        <v>16875.444369953635</v>
      </c>
      <c r="N217" s="234" t="e">
        <f t="shared" si="9"/>
        <v>#DIV/0!</v>
      </c>
      <c r="P217" s="320"/>
    </row>
    <row r="218" spans="1:16" s="154" customFormat="1" x14ac:dyDescent="0.25">
      <c r="A218" s="151">
        <f>'B) D RI'!A219</f>
        <v>5748</v>
      </c>
      <c r="B218" s="152" t="str">
        <f>'B) D RI'!B219</f>
        <v>Bretonnières</v>
      </c>
      <c r="C218" s="316">
        <f>'B) D RI'!S219</f>
        <v>70.5</v>
      </c>
      <c r="D218" s="153">
        <f>'B) D RI'!AA219</f>
        <v>268</v>
      </c>
      <c r="E218" s="314">
        <f>'D) Ecrêtage'!C217</f>
        <v>5789.9884160756492</v>
      </c>
      <c r="F218" s="318">
        <f>'E) Fact soc'!G223</f>
        <v>92726.037415547791</v>
      </c>
      <c r="G218" s="315">
        <f>'H) Péréquation directe'!I228</f>
        <v>-61526.347084670517</v>
      </c>
      <c r="H218" s="318" t="e">
        <f>+'I) Dépenses thématiques'!O217</f>
        <v>#DIV/0!</v>
      </c>
      <c r="I218" s="315">
        <f>'K) Plafonnement aide'!J217</f>
        <v>0</v>
      </c>
      <c r="J218" s="318">
        <f>'J) Plafonnement effort'!J217</f>
        <v>0</v>
      </c>
      <c r="K218" s="315">
        <f>'L) Plafonnement taux'!Q218</f>
        <v>0</v>
      </c>
      <c r="L218" s="313" t="e">
        <f t="shared" si="6"/>
        <v>#DIV/0!</v>
      </c>
      <c r="M218" s="234">
        <f>'M) Police'!O218</f>
        <v>17256.565332802034</v>
      </c>
      <c r="N218" s="234" t="e">
        <f t="shared" si="9"/>
        <v>#DIV/0!</v>
      </c>
      <c r="P218" s="320"/>
    </row>
    <row r="219" spans="1:16" s="154" customFormat="1" x14ac:dyDescent="0.25">
      <c r="A219" s="151">
        <f>'B) D RI'!A220</f>
        <v>5749</v>
      </c>
      <c r="B219" s="152" t="str">
        <f>'B) D RI'!B220</f>
        <v>Chavornay</v>
      </c>
      <c r="C219" s="316">
        <f>'B) D RI'!S220</f>
        <v>70.5</v>
      </c>
      <c r="D219" s="153">
        <f>'B) D RI'!AA220</f>
        <v>5227</v>
      </c>
      <c r="E219" s="314">
        <f>'D) Ecrêtage'!C218</f>
        <v>140676.80723404256</v>
      </c>
      <c r="F219" s="318">
        <f>'E) Fact soc'!G224</f>
        <v>2490303.8397428934</v>
      </c>
      <c r="G219" s="315">
        <f>'H) Péréquation directe'!I229</f>
        <v>-1399022.7924660547</v>
      </c>
      <c r="H219" s="318" t="e">
        <f>+'I) Dépenses thématiques'!O218</f>
        <v>#DIV/0!</v>
      </c>
      <c r="I219" s="315">
        <f>'K) Plafonnement aide'!J218</f>
        <v>0</v>
      </c>
      <c r="J219" s="318">
        <f>'J) Plafonnement effort'!J218</f>
        <v>0</v>
      </c>
      <c r="K219" s="315">
        <f>'L) Plafonnement taux'!Q219</f>
        <v>0</v>
      </c>
      <c r="L219" s="313" t="e">
        <f t="shared" ref="L219" si="10">F219+G219+H219+I219+J219+K219</f>
        <v>#DIV/0!</v>
      </c>
      <c r="M219" s="234">
        <f>'M) Police'!O219</f>
        <v>421540.87220499915</v>
      </c>
      <c r="N219" s="234" t="e">
        <f t="shared" ref="N219" si="11">L219+M219</f>
        <v>#DIV/0!</v>
      </c>
      <c r="P219" s="320"/>
    </row>
    <row r="220" spans="1:16" s="154" customFormat="1" x14ac:dyDescent="0.25">
      <c r="A220" s="151">
        <f>'B) D RI'!A221</f>
        <v>5750</v>
      </c>
      <c r="B220" s="152" t="str">
        <f>'B) D RI'!B221</f>
        <v>Les Clées</v>
      </c>
      <c r="C220" s="316">
        <f>'B) D RI'!S221</f>
        <v>80</v>
      </c>
      <c r="D220" s="153">
        <f>'B) D RI'!AA221</f>
        <v>187</v>
      </c>
      <c r="E220" s="314">
        <f>'D) Ecrêtage'!C219</f>
        <v>6037.9437500000004</v>
      </c>
      <c r="F220" s="318">
        <f>'E) Fact soc'!G225</f>
        <v>84568.799163499658</v>
      </c>
      <c r="G220" s="315">
        <f>'H) Péréquation directe'!I230</f>
        <v>19101.165477197472</v>
      </c>
      <c r="H220" s="318" t="e">
        <f>+'I) Dépenses thématiques'!O219</f>
        <v>#DIV/0!</v>
      </c>
      <c r="I220" s="315">
        <f>'K) Plafonnement aide'!J219</f>
        <v>0</v>
      </c>
      <c r="J220" s="318">
        <f>'J) Plafonnement effort'!J219</f>
        <v>0</v>
      </c>
      <c r="K220" s="315">
        <f>'L) Plafonnement taux'!Q220</f>
        <v>0</v>
      </c>
      <c r="L220" s="313" t="e">
        <f t="shared" si="6"/>
        <v>#DIV/0!</v>
      </c>
      <c r="M220" s="234">
        <f>'M) Police'!O220</f>
        <v>18567.022481745978</v>
      </c>
      <c r="N220" s="234" t="e">
        <f t="shared" si="9"/>
        <v>#DIV/0!</v>
      </c>
      <c r="P220" s="320"/>
    </row>
    <row r="221" spans="1:16" s="154" customFormat="1" x14ac:dyDescent="0.25">
      <c r="A221" s="151">
        <f>'B) D RI'!A222</f>
        <v>5752</v>
      </c>
      <c r="B221" s="152" t="str">
        <f>'B) D RI'!B222</f>
        <v>Croy</v>
      </c>
      <c r="C221" s="316">
        <f>'B) D RI'!S222</f>
        <v>74</v>
      </c>
      <c r="D221" s="153">
        <f>'B) D RI'!AA222</f>
        <v>397</v>
      </c>
      <c r="E221" s="314">
        <f>'D) Ecrêtage'!C220</f>
        <v>9416.7971235521236</v>
      </c>
      <c r="F221" s="318">
        <f>'E) Fact soc'!G226</f>
        <v>161521.748756318</v>
      </c>
      <c r="G221" s="315">
        <f>'H) Péréquation directe'!I231</f>
        <v>-77601.931832924951</v>
      </c>
      <c r="H221" s="318" t="e">
        <f>+'I) Dépenses thématiques'!O220</f>
        <v>#DIV/0!</v>
      </c>
      <c r="I221" s="315">
        <f>'K) Plafonnement aide'!J220</f>
        <v>0</v>
      </c>
      <c r="J221" s="318">
        <f>'J) Plafonnement effort'!J220</f>
        <v>0</v>
      </c>
      <c r="K221" s="315">
        <f>'L) Plafonnement taux'!Q221</f>
        <v>0</v>
      </c>
      <c r="L221" s="313" t="e">
        <f t="shared" ref="L221:L265" si="12">F221+G221+H221+I221+J221+K221</f>
        <v>#DIV/0!</v>
      </c>
      <c r="M221" s="234">
        <f>'M) Police'!O221</f>
        <v>28234.134335466453</v>
      </c>
      <c r="N221" s="234" t="e">
        <f t="shared" si="9"/>
        <v>#DIV/0!</v>
      </c>
      <c r="P221" s="320"/>
    </row>
    <row r="222" spans="1:16" s="154" customFormat="1" x14ac:dyDescent="0.25">
      <c r="A222" s="151">
        <f>'B) D RI'!A223</f>
        <v>5754</v>
      </c>
      <c r="B222" s="152" t="str">
        <f>'B) D RI'!B223</f>
        <v>Juriens</v>
      </c>
      <c r="C222" s="316">
        <f>'B) D RI'!S223</f>
        <v>79</v>
      </c>
      <c r="D222" s="153">
        <f>'B) D RI'!AA223</f>
        <v>336</v>
      </c>
      <c r="E222" s="314">
        <f>'D) Ecrêtage'!C221</f>
        <v>8043.7859493670894</v>
      </c>
      <c r="F222" s="318">
        <f>'E) Fact soc'!G227</f>
        <v>121026.34196929741</v>
      </c>
      <c r="G222" s="315">
        <f>'H) Péréquation directe'!I232</f>
        <v>-87594.10614491158</v>
      </c>
      <c r="H222" s="318" t="e">
        <f>+'I) Dépenses thématiques'!O221</f>
        <v>#DIV/0!</v>
      </c>
      <c r="I222" s="315">
        <f>'K) Plafonnement aide'!J221</f>
        <v>0</v>
      </c>
      <c r="J222" s="318">
        <f>'J) Plafonnement effort'!J221</f>
        <v>0</v>
      </c>
      <c r="K222" s="315">
        <f>'L) Plafonnement taux'!Q222</f>
        <v>0</v>
      </c>
      <c r="L222" s="313" t="e">
        <f t="shared" si="12"/>
        <v>#DIV/0!</v>
      </c>
      <c r="M222" s="234">
        <f>'M) Police'!O222</f>
        <v>24434.520989575074</v>
      </c>
      <c r="N222" s="234" t="e">
        <f t="shared" si="9"/>
        <v>#DIV/0!</v>
      </c>
      <c r="P222" s="320"/>
    </row>
    <row r="223" spans="1:16" s="154" customFormat="1" x14ac:dyDescent="0.25">
      <c r="A223" s="151">
        <f>'B) D RI'!A224</f>
        <v>5755</v>
      </c>
      <c r="B223" s="152" t="str">
        <f>'B) D RI'!B224</f>
        <v>Lignerolle</v>
      </c>
      <c r="C223" s="316">
        <f>'B) D RI'!S224</f>
        <v>78.5</v>
      </c>
      <c r="D223" s="153">
        <f>'B) D RI'!AA224</f>
        <v>435</v>
      </c>
      <c r="E223" s="314">
        <f>'D) Ecrêtage'!C222</f>
        <v>9055.2737033666963</v>
      </c>
      <c r="F223" s="318">
        <f>'E) Fact soc'!G228</f>
        <v>265341.18832293589</v>
      </c>
      <c r="G223" s="315">
        <f>'H) Péréquation directe'!I233</f>
        <v>-170336.79194057168</v>
      </c>
      <c r="H223" s="318" t="e">
        <f>+'I) Dépenses thématiques'!O222</f>
        <v>#DIV/0!</v>
      </c>
      <c r="I223" s="315">
        <f>'K) Plafonnement aide'!J222</f>
        <v>0</v>
      </c>
      <c r="J223" s="318">
        <f>'J) Plafonnement effort'!J222</f>
        <v>0</v>
      </c>
      <c r="K223" s="315">
        <f>'L) Plafonnement taux'!Q223</f>
        <v>0</v>
      </c>
      <c r="L223" s="313" t="e">
        <f t="shared" si="12"/>
        <v>#DIV/0!</v>
      </c>
      <c r="M223" s="234">
        <f>'M) Police'!O223</f>
        <v>27085.862291428493</v>
      </c>
      <c r="N223" s="234" t="e">
        <f t="shared" si="9"/>
        <v>#DIV/0!</v>
      </c>
      <c r="P223" s="320"/>
    </row>
    <row r="224" spans="1:16" s="154" customFormat="1" x14ac:dyDescent="0.25">
      <c r="A224" s="151">
        <f>'B) D RI'!A225</f>
        <v>5756</v>
      </c>
      <c r="B224" s="152" t="str">
        <f>'B) D RI'!B225</f>
        <v>Montcherand</v>
      </c>
      <c r="C224" s="316">
        <f>'B) D RI'!S225</f>
        <v>72</v>
      </c>
      <c r="D224" s="153">
        <f>'B) D RI'!AA225</f>
        <v>506</v>
      </c>
      <c r="E224" s="314">
        <f>'D) Ecrêtage'!C223</f>
        <v>15758.308611111112</v>
      </c>
      <c r="F224" s="318">
        <f>'E) Fact soc'!G229</f>
        <v>267526.43335319741</v>
      </c>
      <c r="G224" s="315">
        <f>'H) Péréquation directe'!I234</f>
        <v>67460.093697797507</v>
      </c>
      <c r="H224" s="318" t="e">
        <f>+'I) Dépenses thématiques'!O223</f>
        <v>#DIV/0!</v>
      </c>
      <c r="I224" s="315">
        <f>'K) Plafonnement aide'!J223</f>
        <v>0</v>
      </c>
      <c r="J224" s="318">
        <f>'J) Plafonnement effort'!J223</f>
        <v>0</v>
      </c>
      <c r="K224" s="315">
        <f>'L) Plafonnement taux'!Q224</f>
        <v>0</v>
      </c>
      <c r="L224" s="313" t="e">
        <f t="shared" si="12"/>
        <v>#DIV/0!</v>
      </c>
      <c r="M224" s="234">
        <f>'M) Police'!O224</f>
        <v>18508.368476582222</v>
      </c>
      <c r="N224" s="234" t="e">
        <f t="shared" si="9"/>
        <v>#DIV/0!</v>
      </c>
      <c r="P224" s="320"/>
    </row>
    <row r="225" spans="1:16" s="154" customFormat="1" x14ac:dyDescent="0.25">
      <c r="A225" s="151">
        <f>'B) D RI'!A226</f>
        <v>5757</v>
      </c>
      <c r="B225" s="152" t="str">
        <f>'B) D RI'!B226</f>
        <v>Orbe</v>
      </c>
      <c r="C225" s="316">
        <f>'B) D RI'!S226</f>
        <v>75.5</v>
      </c>
      <c r="D225" s="153">
        <f>'B) D RI'!AA226</f>
        <v>7124</v>
      </c>
      <c r="E225" s="314">
        <f>'D) Ecrêtage'!C224</f>
        <v>203783.43483443707</v>
      </c>
      <c r="F225" s="318">
        <f>'E) Fact soc'!G230</f>
        <v>4234317.2257576045</v>
      </c>
      <c r="G225" s="315">
        <f>'H) Péréquation directe'!I235</f>
        <v>-2261073.4755107802</v>
      </c>
      <c r="H225" s="318" t="e">
        <f>+'I) Dépenses thématiques'!O224</f>
        <v>#DIV/0!</v>
      </c>
      <c r="I225" s="315">
        <f>'K) Plafonnement aide'!J224</f>
        <v>0</v>
      </c>
      <c r="J225" s="318">
        <f>'J) Plafonnement effort'!J224</f>
        <v>0</v>
      </c>
      <c r="K225" s="315">
        <f>'L) Plafonnement taux'!Q225</f>
        <v>0</v>
      </c>
      <c r="L225" s="313" t="e">
        <f t="shared" si="12"/>
        <v>#DIV/0!</v>
      </c>
      <c r="M225" s="234">
        <f>'M) Police'!O225</f>
        <v>239346.68335407105</v>
      </c>
      <c r="N225" s="234" t="e">
        <f t="shared" si="9"/>
        <v>#DIV/0!</v>
      </c>
      <c r="P225" s="320"/>
    </row>
    <row r="226" spans="1:16" s="154" customFormat="1" x14ac:dyDescent="0.25">
      <c r="A226" s="151">
        <f>'B) D RI'!A227</f>
        <v>5758</v>
      </c>
      <c r="B226" s="152" t="str">
        <f>'B) D RI'!B227</f>
        <v>La Praz</v>
      </c>
      <c r="C226" s="316">
        <f>'B) D RI'!S227</f>
        <v>83</v>
      </c>
      <c r="D226" s="153">
        <f>'B) D RI'!AA227</f>
        <v>175</v>
      </c>
      <c r="E226" s="314">
        <f>'D) Ecrêtage'!C225</f>
        <v>4313.3939759036139</v>
      </c>
      <c r="F226" s="318">
        <f>'E) Fact soc'!G231</f>
        <v>70748.832712218005</v>
      </c>
      <c r="G226" s="315">
        <f>'H) Péréquation directe'!I236</f>
        <v>-50788.825228676331</v>
      </c>
      <c r="H226" s="318" t="e">
        <f>+'I) Dépenses thématiques'!O225</f>
        <v>#DIV/0!</v>
      </c>
      <c r="I226" s="315">
        <f>'K) Plafonnement aide'!J225</f>
        <v>0</v>
      </c>
      <c r="J226" s="318">
        <f>'J) Plafonnement effort'!J225</f>
        <v>0</v>
      </c>
      <c r="K226" s="315">
        <f>'L) Plafonnement taux'!Q226</f>
        <v>0</v>
      </c>
      <c r="L226" s="313" t="e">
        <f t="shared" si="12"/>
        <v>#DIV/0!</v>
      </c>
      <c r="M226" s="234">
        <f>'M) Police'!O226</f>
        <v>12991.861215505403</v>
      </c>
      <c r="N226" s="234" t="e">
        <f t="shared" si="9"/>
        <v>#DIV/0!</v>
      </c>
      <c r="P226" s="320"/>
    </row>
    <row r="227" spans="1:16" s="154" customFormat="1" x14ac:dyDescent="0.25">
      <c r="A227" s="151">
        <f>'B) D RI'!A228</f>
        <v>5759</v>
      </c>
      <c r="B227" s="152" t="str">
        <f>'B) D RI'!B228</f>
        <v>Premier</v>
      </c>
      <c r="C227" s="316">
        <f>'B) D RI'!S228</f>
        <v>79.5</v>
      </c>
      <c r="D227" s="153">
        <f>'B) D RI'!AA228</f>
        <v>218</v>
      </c>
      <c r="E227" s="314">
        <f>'D) Ecrêtage'!C226</f>
        <v>5307.4840251572332</v>
      </c>
      <c r="F227" s="318">
        <f>'E) Fact soc'!G232</f>
        <v>92338.752251680504</v>
      </c>
      <c r="G227" s="315">
        <f>'H) Péréquation directe'!I237</f>
        <v>-54525.259377469003</v>
      </c>
      <c r="H227" s="318" t="e">
        <f>+'I) Dépenses thématiques'!O226</f>
        <v>#DIV/0!</v>
      </c>
      <c r="I227" s="315">
        <f>'K) Plafonnement aide'!J226</f>
        <v>0</v>
      </c>
      <c r="J227" s="318">
        <f>'J) Plafonnement effort'!J226</f>
        <v>0</v>
      </c>
      <c r="K227" s="315">
        <f>'L) Plafonnement taux'!Q227</f>
        <v>0</v>
      </c>
      <c r="L227" s="313" t="e">
        <f t="shared" si="12"/>
        <v>#DIV/0!</v>
      </c>
      <c r="M227" s="234">
        <f>'M) Police'!O227</f>
        <v>16074.758889574605</v>
      </c>
      <c r="N227" s="234" t="e">
        <f t="shared" si="9"/>
        <v>#DIV/0!</v>
      </c>
      <c r="P227" s="320"/>
    </row>
    <row r="228" spans="1:16" s="154" customFormat="1" x14ac:dyDescent="0.25">
      <c r="A228" s="151">
        <f>'B) D RI'!A229</f>
        <v>5760</v>
      </c>
      <c r="B228" s="152" t="str">
        <f>'B) D RI'!B229</f>
        <v>Rances</v>
      </c>
      <c r="C228" s="316">
        <f>'B) D RI'!S229</f>
        <v>76.5</v>
      </c>
      <c r="D228" s="153">
        <f>'B) D RI'!AA229</f>
        <v>513</v>
      </c>
      <c r="E228" s="314">
        <f>'D) Ecrêtage'!C227</f>
        <v>12826.018997821348</v>
      </c>
      <c r="F228" s="318">
        <f>'E) Fact soc'!G233</f>
        <v>227989.81204199381</v>
      </c>
      <c r="G228" s="315">
        <f>'H) Péréquation directe'!I238</f>
        <v>-90855.278080338991</v>
      </c>
      <c r="H228" s="318" t="e">
        <f>+'I) Dépenses thématiques'!O227</f>
        <v>#DIV/0!</v>
      </c>
      <c r="I228" s="315">
        <f>'K) Plafonnement aide'!J227</f>
        <v>0</v>
      </c>
      <c r="J228" s="318">
        <f>'J) Plafonnement effort'!J227</f>
        <v>0</v>
      </c>
      <c r="K228" s="315">
        <f>'L) Plafonnement taux'!Q228</f>
        <v>0</v>
      </c>
      <c r="L228" s="313" t="e">
        <f t="shared" si="12"/>
        <v>#DIV/0!</v>
      </c>
      <c r="M228" s="234">
        <f>'M) Police'!O228</f>
        <v>38742.709287641403</v>
      </c>
      <c r="N228" s="234" t="e">
        <f t="shared" si="9"/>
        <v>#DIV/0!</v>
      </c>
      <c r="P228" s="320"/>
    </row>
    <row r="229" spans="1:16" s="154" customFormat="1" x14ac:dyDescent="0.25">
      <c r="A229" s="151">
        <f>'B) D RI'!A230</f>
        <v>5761</v>
      </c>
      <c r="B229" s="152" t="str">
        <f>'B) D RI'!B230</f>
        <v>Romainmôtier-Envy</v>
      </c>
      <c r="C229" s="316">
        <f>'B) D RI'!S230</f>
        <v>81</v>
      </c>
      <c r="D229" s="153">
        <f>'B) D RI'!AA230</f>
        <v>525</v>
      </c>
      <c r="E229" s="314">
        <f>'D) Ecrêtage'!C228</f>
        <v>12135.004377104378</v>
      </c>
      <c r="F229" s="318">
        <f>'E) Fact soc'!G234</f>
        <v>250228.02767768336</v>
      </c>
      <c r="G229" s="315">
        <f>'H) Péréquation directe'!I239</f>
        <v>-173118.6341417474</v>
      </c>
      <c r="H229" s="318" t="e">
        <f>+'I) Dépenses thématiques'!O228</f>
        <v>#DIV/0!</v>
      </c>
      <c r="I229" s="315">
        <f>'K) Plafonnement aide'!J228</f>
        <v>0</v>
      </c>
      <c r="J229" s="318">
        <f>'J) Plafonnement effort'!J228</f>
        <v>0</v>
      </c>
      <c r="K229" s="315">
        <f>'L) Plafonnement taux'!Q229</f>
        <v>0</v>
      </c>
      <c r="L229" s="313" t="e">
        <f t="shared" si="12"/>
        <v>#DIV/0!</v>
      </c>
      <c r="M229" s="234">
        <f>'M) Police'!O229</f>
        <v>36376.060901246077</v>
      </c>
      <c r="N229" s="234" t="e">
        <f t="shared" si="9"/>
        <v>#DIV/0!</v>
      </c>
      <c r="P229" s="320"/>
    </row>
    <row r="230" spans="1:16" s="154" customFormat="1" x14ac:dyDescent="0.25">
      <c r="A230" s="151">
        <f>'B) D RI'!A231</f>
        <v>5762</v>
      </c>
      <c r="B230" s="152" t="str">
        <f>'B) D RI'!B231</f>
        <v>Sergey</v>
      </c>
      <c r="C230" s="316">
        <f>'B) D RI'!S231</f>
        <v>78</v>
      </c>
      <c r="D230" s="153">
        <f>'B) D RI'!AA231</f>
        <v>145</v>
      </c>
      <c r="E230" s="314">
        <f>'D) Ecrêtage'!C229</f>
        <v>3773.0282051282052</v>
      </c>
      <c r="F230" s="318">
        <f>'E) Fact soc'!G235</f>
        <v>51043.838334018772</v>
      </c>
      <c r="G230" s="315">
        <f>'H) Péréquation directe'!I240</f>
        <v>-22297.028276073965</v>
      </c>
      <c r="H230" s="318" t="e">
        <f>+'I) Dépenses thématiques'!O229</f>
        <v>#DIV/0!</v>
      </c>
      <c r="I230" s="315">
        <f>'K) Plafonnement aide'!J229</f>
        <v>0</v>
      </c>
      <c r="J230" s="318">
        <f>'J) Plafonnement effort'!J229</f>
        <v>0</v>
      </c>
      <c r="K230" s="315">
        <f>'L) Plafonnement taux'!Q230</f>
        <v>0</v>
      </c>
      <c r="L230" s="313" t="e">
        <f t="shared" si="12"/>
        <v>#DIV/0!</v>
      </c>
      <c r="M230" s="234">
        <f>'M) Police'!O230</f>
        <v>11449.544562956364</v>
      </c>
      <c r="N230" s="234" t="e">
        <f t="shared" si="9"/>
        <v>#DIV/0!</v>
      </c>
      <c r="P230" s="320"/>
    </row>
    <row r="231" spans="1:16" s="154" customFormat="1" x14ac:dyDescent="0.25">
      <c r="A231" s="151">
        <f>'B) D RI'!A232</f>
        <v>5763</v>
      </c>
      <c r="B231" s="152" t="str">
        <f>'B) D RI'!B232</f>
        <v>Valeyres-sous-Rances</v>
      </c>
      <c r="C231" s="316">
        <f>'B) D RI'!S232</f>
        <v>68</v>
      </c>
      <c r="D231" s="153">
        <f>'B) D RI'!AA232</f>
        <v>609</v>
      </c>
      <c r="E231" s="314">
        <f>'D) Ecrêtage'!C230</f>
        <v>20452.974117647056</v>
      </c>
      <c r="F231" s="318">
        <f>'E) Fact soc'!G236</f>
        <v>304006.60104203736</v>
      </c>
      <c r="G231" s="315">
        <f>'H) Péréquation directe'!I241</f>
        <v>161276.66292231795</v>
      </c>
      <c r="H231" s="318" t="e">
        <f>+'I) Dépenses thématiques'!O230</f>
        <v>#DIV/0!</v>
      </c>
      <c r="I231" s="315">
        <f>'K) Plafonnement aide'!J230</f>
        <v>0</v>
      </c>
      <c r="J231" s="318">
        <f>'J) Plafonnement effort'!J230</f>
        <v>0</v>
      </c>
      <c r="K231" s="315">
        <f>'L) Plafonnement taux'!Q231</f>
        <v>0</v>
      </c>
      <c r="L231" s="313" t="e">
        <f t="shared" si="12"/>
        <v>#DIV/0!</v>
      </c>
      <c r="M231" s="234">
        <f>'M) Police'!O231</f>
        <v>62197.059598877269</v>
      </c>
      <c r="N231" s="234" t="e">
        <f t="shared" si="9"/>
        <v>#DIV/0!</v>
      </c>
      <c r="P231" s="320"/>
    </row>
    <row r="232" spans="1:16" s="154" customFormat="1" x14ac:dyDescent="0.25">
      <c r="A232" s="151">
        <f>'B) D RI'!A233</f>
        <v>5764</v>
      </c>
      <c r="B232" s="152" t="str">
        <f>'B) D RI'!B233</f>
        <v>Vallorbe</v>
      </c>
      <c r="C232" s="316">
        <f>'B) D RI'!S233</f>
        <v>71.5</v>
      </c>
      <c r="D232" s="153">
        <f>'B) D RI'!AA233</f>
        <v>3874</v>
      </c>
      <c r="E232" s="314">
        <f>'D) Ecrêtage'!C231</f>
        <v>84310.704615384602</v>
      </c>
      <c r="F232" s="318">
        <f>'E) Fact soc'!G237</f>
        <v>2012387.6624599174</v>
      </c>
      <c r="G232" s="315">
        <f>'H) Péréquation directe'!I242</f>
        <v>-1694810.9977681248</v>
      </c>
      <c r="H232" s="318" t="e">
        <f>+'I) Dépenses thématiques'!O231</f>
        <v>#DIV/0!</v>
      </c>
      <c r="I232" s="315">
        <f>'K) Plafonnement aide'!J231</f>
        <v>0</v>
      </c>
      <c r="J232" s="318">
        <f>'J) Plafonnement effort'!J231</f>
        <v>0</v>
      </c>
      <c r="K232" s="315">
        <f>'L) Plafonnement taux'!Q232</f>
        <v>0</v>
      </c>
      <c r="L232" s="313" t="e">
        <f t="shared" si="12"/>
        <v>#DIV/0!</v>
      </c>
      <c r="M232" s="234">
        <f>'M) Police'!O232</f>
        <v>253535.73323211368</v>
      </c>
      <c r="N232" s="234" t="e">
        <f t="shared" si="9"/>
        <v>#DIV/0!</v>
      </c>
      <c r="P232" s="320"/>
    </row>
    <row r="233" spans="1:16" s="154" customFormat="1" x14ac:dyDescent="0.25">
      <c r="A233" s="151">
        <f>'B) D RI'!A234</f>
        <v>5765</v>
      </c>
      <c r="B233" s="152" t="str">
        <f>'B) D RI'!B234</f>
        <v>Vaulion</v>
      </c>
      <c r="C233" s="316">
        <f>'B) D RI'!S234</f>
        <v>81</v>
      </c>
      <c r="D233" s="153">
        <f>'B) D RI'!AA234</f>
        <v>506</v>
      </c>
      <c r="E233" s="314">
        <f>'D) Ecrêtage'!C232</f>
        <v>11314.597037037036</v>
      </c>
      <c r="F233" s="318">
        <f>'E) Fact soc'!G238</f>
        <v>218229.47929139325</v>
      </c>
      <c r="G233" s="315">
        <f>'H) Péréquation directe'!I243</f>
        <v>-184374.54673767908</v>
      </c>
      <c r="H233" s="318" t="e">
        <f>+'I) Dépenses thématiques'!O232</f>
        <v>#DIV/0!</v>
      </c>
      <c r="I233" s="315">
        <f>'K) Plafonnement aide'!J232</f>
        <v>0</v>
      </c>
      <c r="J233" s="318">
        <f>'J) Plafonnement effort'!J232</f>
        <v>0</v>
      </c>
      <c r="K233" s="315">
        <f>'L) Plafonnement taux'!Q233</f>
        <v>0</v>
      </c>
      <c r="L233" s="313" t="e">
        <f t="shared" si="12"/>
        <v>#DIV/0!</v>
      </c>
      <c r="M233" s="234">
        <f>'M) Police'!O233</f>
        <v>34315.922467346827</v>
      </c>
      <c r="N233" s="234" t="e">
        <f t="shared" si="9"/>
        <v>#DIV/0!</v>
      </c>
      <c r="P233" s="320"/>
    </row>
    <row r="234" spans="1:16" s="154" customFormat="1" x14ac:dyDescent="0.25">
      <c r="A234" s="151">
        <f>'B) D RI'!A235</f>
        <v>5766</v>
      </c>
      <c r="B234" s="152" t="str">
        <f>'B) D RI'!B235</f>
        <v>Vuiteboeuf</v>
      </c>
      <c r="C234" s="316">
        <f>'B) D RI'!S235</f>
        <v>77</v>
      </c>
      <c r="D234" s="153">
        <f>'B) D RI'!AA235</f>
        <v>584</v>
      </c>
      <c r="E234" s="314">
        <f>'D) Ecrêtage'!C233</f>
        <v>15993.559610389608</v>
      </c>
      <c r="F234" s="318">
        <f>'E) Fact soc'!G239</f>
        <v>244514.40307461028</v>
      </c>
      <c r="G234" s="315">
        <f>'H) Péréquation directe'!I244</f>
        <v>-47134.099701525003</v>
      </c>
      <c r="H234" s="318" t="e">
        <f>+'I) Dépenses thématiques'!O233</f>
        <v>#DIV/0!</v>
      </c>
      <c r="I234" s="315">
        <f>'K) Plafonnement aide'!J233</f>
        <v>0</v>
      </c>
      <c r="J234" s="318">
        <f>'J) Plafonnement effort'!J233</f>
        <v>0</v>
      </c>
      <c r="K234" s="315">
        <f>'L) Plafonnement taux'!Q234</f>
        <v>0</v>
      </c>
      <c r="L234" s="313" t="e">
        <f t="shared" si="12"/>
        <v>#DIV/0!</v>
      </c>
      <c r="M234" s="234">
        <f>'M) Police'!O234</f>
        <v>48723.062335618</v>
      </c>
      <c r="N234" s="234" t="e">
        <f t="shared" si="9"/>
        <v>#DIV/0!</v>
      </c>
      <c r="P234" s="320"/>
    </row>
    <row r="235" spans="1:16" s="154" customFormat="1" x14ac:dyDescent="0.25">
      <c r="A235" s="151">
        <f>'B) D RI'!A236</f>
        <v>5785</v>
      </c>
      <c r="B235" s="152" t="str">
        <f>'B) D RI'!B236</f>
        <v>Corcelles-le-Jorat</v>
      </c>
      <c r="C235" s="316">
        <f>'B) D RI'!S236</f>
        <v>77</v>
      </c>
      <c r="D235" s="153">
        <f>'B) D RI'!AA236</f>
        <v>451</v>
      </c>
      <c r="E235" s="314">
        <f>'D) Ecrêtage'!C234</f>
        <v>17518.145584415586</v>
      </c>
      <c r="F235" s="318">
        <f>'E) Fact soc'!G240</f>
        <v>303393.9116655658</v>
      </c>
      <c r="G235" s="315">
        <f>'H) Péréquation directe'!I245</f>
        <v>187966.10646984895</v>
      </c>
      <c r="H235" s="318" t="e">
        <f>+'I) Dépenses thématiques'!O234</f>
        <v>#DIV/0!</v>
      </c>
      <c r="I235" s="315">
        <f>'K) Plafonnement aide'!J234</f>
        <v>0</v>
      </c>
      <c r="J235" s="318">
        <f>'J) Plafonnement effort'!J234</f>
        <v>0</v>
      </c>
      <c r="K235" s="315">
        <f>'L) Plafonnement taux'!Q235</f>
        <v>0</v>
      </c>
      <c r="L235" s="313" t="e">
        <f t="shared" si="12"/>
        <v>#DIV/0!</v>
      </c>
      <c r="M235" s="234">
        <f>'M) Police'!O235</f>
        <v>53651.241688760289</v>
      </c>
      <c r="N235" s="234" t="e">
        <f t="shared" si="9"/>
        <v>#DIV/0!</v>
      </c>
      <c r="P235" s="320"/>
    </row>
    <row r="236" spans="1:16" s="154" customFormat="1" x14ac:dyDescent="0.25">
      <c r="A236" s="151">
        <f>'B) D RI'!A237</f>
        <v>5788</v>
      </c>
      <c r="B236" s="152" t="str">
        <f>'B) D RI'!B237</f>
        <v>Essertes</v>
      </c>
      <c r="C236" s="316">
        <f>'B) D RI'!S237</f>
        <v>71.5</v>
      </c>
      <c r="D236" s="153">
        <f>'B) D RI'!AA237</f>
        <v>389</v>
      </c>
      <c r="E236" s="314">
        <f>'D) Ecrêtage'!C235</f>
        <v>16224.893706293702</v>
      </c>
      <c r="F236" s="318">
        <f>'E) Fact soc'!G241</f>
        <v>256236.66252620716</v>
      </c>
      <c r="G236" s="315">
        <f>'H) Péréquation directe'!I246</f>
        <v>218782.53080191609</v>
      </c>
      <c r="H236" s="318" t="e">
        <f>+'I) Dépenses thématiques'!O235</f>
        <v>#DIV/0!</v>
      </c>
      <c r="I236" s="315">
        <f>'K) Plafonnement aide'!J235</f>
        <v>0</v>
      </c>
      <c r="J236" s="318">
        <f>'J) Plafonnement effort'!J235</f>
        <v>0</v>
      </c>
      <c r="K236" s="315">
        <f>'L) Plafonnement taux'!Q236</f>
        <v>0</v>
      </c>
      <c r="L236" s="313" t="e">
        <f t="shared" si="12"/>
        <v>#DIV/0!</v>
      </c>
      <c r="M236" s="234">
        <f>'M) Police'!O236</f>
        <v>49442.421027930774</v>
      </c>
      <c r="N236" s="234" t="e">
        <f t="shared" si="9"/>
        <v>#DIV/0!</v>
      </c>
      <c r="P236" s="320"/>
    </row>
    <row r="237" spans="1:16" s="154" customFormat="1" x14ac:dyDescent="0.25">
      <c r="A237" s="151">
        <f>'B) D RI'!A238</f>
        <v>5790</v>
      </c>
      <c r="B237" s="152" t="str">
        <f>'B) D RI'!B238</f>
        <v>Maracon</v>
      </c>
      <c r="C237" s="316">
        <f>'B) D RI'!S238</f>
        <v>74.5</v>
      </c>
      <c r="D237" s="153">
        <f>'B) D RI'!AA238</f>
        <v>538</v>
      </c>
      <c r="E237" s="314">
        <f>'D) Ecrêtage'!C236</f>
        <v>13398.084966442953</v>
      </c>
      <c r="F237" s="318">
        <f>'E) Fact soc'!G242</f>
        <v>211939.17612811105</v>
      </c>
      <c r="G237" s="315">
        <f>'H) Péréquation directe'!I247</f>
        <v>-82398.815397060651</v>
      </c>
      <c r="H237" s="318" t="e">
        <f>+'I) Dépenses thématiques'!O236</f>
        <v>#DIV/0!</v>
      </c>
      <c r="I237" s="315">
        <f>'K) Plafonnement aide'!J236</f>
        <v>0</v>
      </c>
      <c r="J237" s="318">
        <f>'J) Plafonnement effort'!J236</f>
        <v>0</v>
      </c>
      <c r="K237" s="315">
        <f>'L) Plafonnement taux'!Q237</f>
        <v>0</v>
      </c>
      <c r="L237" s="313" t="e">
        <f t="shared" si="12"/>
        <v>#DIV/0!</v>
      </c>
      <c r="M237" s="234">
        <f>'M) Police'!O237</f>
        <v>40015.366848140664</v>
      </c>
      <c r="N237" s="234" t="e">
        <f t="shared" si="9"/>
        <v>#DIV/0!</v>
      </c>
      <c r="P237" s="320"/>
    </row>
    <row r="238" spans="1:16" s="154" customFormat="1" x14ac:dyDescent="0.25">
      <c r="A238" s="151">
        <f>'B) D RI'!A239</f>
        <v>5792</v>
      </c>
      <c r="B238" s="152" t="str">
        <f>'B) D RI'!B239</f>
        <v>Montpreveyres</v>
      </c>
      <c r="C238" s="316">
        <f>'B) D RI'!S239</f>
        <v>75</v>
      </c>
      <c r="D238" s="153">
        <f>'B) D RI'!AA239</f>
        <v>653</v>
      </c>
      <c r="E238" s="314">
        <f>'D) Ecrêtage'!C237</f>
        <v>17609.230799999998</v>
      </c>
      <c r="F238" s="318">
        <f>'E) Fact soc'!G243</f>
        <v>294201.83829502616</v>
      </c>
      <c r="G238" s="315">
        <f>'H) Péréquation directe'!I248</f>
        <v>-47710.47468647873</v>
      </c>
      <c r="H238" s="318" t="e">
        <f>+'I) Dépenses thématiques'!O237</f>
        <v>#DIV/0!</v>
      </c>
      <c r="I238" s="315">
        <f>'K) Plafonnement aide'!J237</f>
        <v>0</v>
      </c>
      <c r="J238" s="318">
        <f>'J) Plafonnement effort'!J237</f>
        <v>0</v>
      </c>
      <c r="K238" s="315">
        <f>'L) Plafonnement taux'!Q238</f>
        <v>0</v>
      </c>
      <c r="L238" s="313" t="e">
        <f t="shared" si="12"/>
        <v>#DIV/0!</v>
      </c>
      <c r="M238" s="234">
        <f>'M) Police'!O238</f>
        <v>52789.715124645925</v>
      </c>
      <c r="N238" s="234" t="e">
        <f t="shared" si="9"/>
        <v>#DIV/0!</v>
      </c>
      <c r="P238" s="320"/>
    </row>
    <row r="239" spans="1:16" s="154" customFormat="1" x14ac:dyDescent="0.25">
      <c r="A239" s="151">
        <f>'B) D RI'!A240</f>
        <v>5798</v>
      </c>
      <c r="B239" s="152" t="str">
        <f>'B) D RI'!B240</f>
        <v>Ropraz</v>
      </c>
      <c r="C239" s="316">
        <f>'B) D RI'!S240</f>
        <v>77.5</v>
      </c>
      <c r="D239" s="153">
        <f>'B) D RI'!AA240</f>
        <v>528</v>
      </c>
      <c r="E239" s="314">
        <f>'D) Ecrêtage'!C238</f>
        <v>15761.261677419356</v>
      </c>
      <c r="F239" s="318">
        <f>'E) Fact soc'!G244</f>
        <v>254268.80924437355</v>
      </c>
      <c r="G239" s="315">
        <f>'H) Péréquation directe'!I249</f>
        <v>10895.313777541975</v>
      </c>
      <c r="H239" s="318" t="e">
        <f>+'I) Dépenses thématiques'!O238</f>
        <v>#DIV/0!</v>
      </c>
      <c r="I239" s="315">
        <f>'K) Plafonnement aide'!J238</f>
        <v>0</v>
      </c>
      <c r="J239" s="318">
        <f>'J) Plafonnement effort'!J238</f>
        <v>0</v>
      </c>
      <c r="K239" s="315">
        <f>'L) Plafonnement taux'!Q239</f>
        <v>0</v>
      </c>
      <c r="L239" s="313" t="e">
        <f t="shared" si="12"/>
        <v>#DIV/0!</v>
      </c>
      <c r="M239" s="234">
        <f>'M) Police'!O239</f>
        <v>47794.991219582698</v>
      </c>
      <c r="N239" s="234" t="e">
        <f t="shared" si="9"/>
        <v>#DIV/0!</v>
      </c>
      <c r="P239" s="320"/>
    </row>
    <row r="240" spans="1:16" s="154" customFormat="1" x14ac:dyDescent="0.25">
      <c r="A240" s="151">
        <f>'B) D RI'!A241</f>
        <v>5799</v>
      </c>
      <c r="B240" s="152" t="str">
        <f>'B) D RI'!B241</f>
        <v>Servion</v>
      </c>
      <c r="C240" s="316">
        <f>'B) D RI'!S241</f>
        <v>69</v>
      </c>
      <c r="D240" s="153">
        <f>'B) D RI'!AA241</f>
        <v>2076</v>
      </c>
      <c r="E240" s="314">
        <f>'D) Ecrêtage'!C239</f>
        <v>69387.22289855071</v>
      </c>
      <c r="F240" s="318">
        <f>'E) Fact soc'!G245</f>
        <v>1233904.9890611994</v>
      </c>
      <c r="G240" s="315">
        <f>'H) Péréquation directe'!I250</f>
        <v>280024.89066224545</v>
      </c>
      <c r="H240" s="318" t="e">
        <f>+'I) Dépenses thématiques'!O239</f>
        <v>#DIV/0!</v>
      </c>
      <c r="I240" s="315">
        <f>'K) Plafonnement aide'!J239</f>
        <v>0</v>
      </c>
      <c r="J240" s="318">
        <f>'J) Plafonnement effort'!J239</f>
        <v>0</v>
      </c>
      <c r="K240" s="315">
        <f>'L) Plafonnement taux'!Q240</f>
        <v>0</v>
      </c>
      <c r="L240" s="313" t="e">
        <f t="shared" si="12"/>
        <v>#DIV/0!</v>
      </c>
      <c r="M240" s="234">
        <f>'M) Police'!O240</f>
        <v>208216.27535278318</v>
      </c>
      <c r="N240" s="234" t="e">
        <f t="shared" si="9"/>
        <v>#DIV/0!</v>
      </c>
      <c r="P240" s="320"/>
    </row>
    <row r="241" spans="1:16" s="154" customFormat="1" x14ac:dyDescent="0.25">
      <c r="A241" s="151">
        <f>'B) D RI'!A242</f>
        <v>5803</v>
      </c>
      <c r="B241" s="152" t="str">
        <f>'B) D RI'!B242</f>
        <v>Vulliens</v>
      </c>
      <c r="C241" s="316">
        <f>'B) D RI'!S242</f>
        <v>76</v>
      </c>
      <c r="D241" s="153">
        <f>'B) D RI'!AA242</f>
        <v>624</v>
      </c>
      <c r="E241" s="314">
        <f>'D) Ecrêtage'!C240</f>
        <v>18875.933421052636</v>
      </c>
      <c r="F241" s="318">
        <f>'E) Fact soc'!G246</f>
        <v>287589.54281069955</v>
      </c>
      <c r="G241" s="315">
        <f>'H) Péréquation directe'!I251</f>
        <v>34096.830161709338</v>
      </c>
      <c r="H241" s="318" t="e">
        <f>+'I) Dépenses thématiques'!O240</f>
        <v>#DIV/0!</v>
      </c>
      <c r="I241" s="315">
        <f>'K) Plafonnement aide'!J240</f>
        <v>0</v>
      </c>
      <c r="J241" s="318">
        <f>'J) Plafonnement effort'!J240</f>
        <v>0</v>
      </c>
      <c r="K241" s="315">
        <f>'L) Plafonnement taux'!Q241</f>
        <v>0</v>
      </c>
      <c r="L241" s="313" t="e">
        <f t="shared" si="12"/>
        <v>#DIV/0!</v>
      </c>
      <c r="M241" s="234">
        <f>'M) Police'!O241</f>
        <v>57151.278205549541</v>
      </c>
      <c r="N241" s="234" t="e">
        <f t="shared" si="9"/>
        <v>#DIV/0!</v>
      </c>
      <c r="P241" s="320"/>
    </row>
    <row r="242" spans="1:16" s="154" customFormat="1" x14ac:dyDescent="0.25">
      <c r="A242" s="151">
        <f>'B) D RI'!A243</f>
        <v>5804</v>
      </c>
      <c r="B242" s="152" t="str">
        <f>'B) D RI'!B243</f>
        <v>Jorat-Menthue</v>
      </c>
      <c r="C242" s="316">
        <f>'B) D RI'!S243</f>
        <v>70.5</v>
      </c>
      <c r="D242" s="153">
        <f>'B) D RI'!AA243</f>
        <v>1602</v>
      </c>
      <c r="E242" s="314">
        <f>'D) Ecrêtage'!C241</f>
        <v>46692.865106382982</v>
      </c>
      <c r="F242" s="318">
        <f>'E) Fact soc'!G247</f>
        <v>830294.12575625861</v>
      </c>
      <c r="G242" s="315">
        <f>'H) Péréquation directe'!I252</f>
        <v>-23952.844230222865</v>
      </c>
      <c r="H242" s="318" t="e">
        <f>+'I) Dépenses thématiques'!O241</f>
        <v>#DIV/0!</v>
      </c>
      <c r="I242" s="315">
        <f>'K) Plafonnement aide'!J241</f>
        <v>0</v>
      </c>
      <c r="J242" s="318">
        <f>'J) Plafonnement effort'!J241</f>
        <v>0</v>
      </c>
      <c r="K242" s="315">
        <f>'L) Plafonnement taux'!Q242</f>
        <v>0</v>
      </c>
      <c r="L242" s="313" t="e">
        <f>F242+G242+H242+I242+J242+K242</f>
        <v>#DIV/0!</v>
      </c>
      <c r="M242" s="234">
        <f>'M) Police'!O242</f>
        <v>140449.68174448187</v>
      </c>
      <c r="N242" s="234" t="e">
        <f t="shared" si="9"/>
        <v>#DIV/0!</v>
      </c>
      <c r="P242" s="320"/>
    </row>
    <row r="243" spans="1:16" s="154" customFormat="1" x14ac:dyDescent="0.25">
      <c r="A243" s="151">
        <f>'B) D RI'!A244</f>
        <v>5805</v>
      </c>
      <c r="B243" s="152" t="str">
        <f>'B) D RI'!B244</f>
        <v>Oron</v>
      </c>
      <c r="C243" s="316">
        <f>'B) D RI'!S244</f>
        <v>69</v>
      </c>
      <c r="D243" s="153">
        <f>'B) D RI'!AA244</f>
        <v>5663</v>
      </c>
      <c r="E243" s="314">
        <f>'D) Ecrêtage'!C242</f>
        <v>154727.47061923583</v>
      </c>
      <c r="F243" s="318">
        <f>'E) Fact soc'!G248</f>
        <v>2450033.4917346477</v>
      </c>
      <c r="G243" s="315">
        <f>'H) Péréquation directe'!I253</f>
        <v>-1422138.6932641645</v>
      </c>
      <c r="H243" s="318" t="e">
        <f>+'I) Dépenses thématiques'!O242</f>
        <v>#DIV/0!</v>
      </c>
      <c r="I243" s="315">
        <f>'K) Plafonnement aide'!J242</f>
        <v>0</v>
      </c>
      <c r="J243" s="318">
        <f>'J) Plafonnement effort'!J242</f>
        <v>0</v>
      </c>
      <c r="K243" s="315">
        <f>'L) Plafonnement taux'!Q243</f>
        <v>0</v>
      </c>
      <c r="L243" s="313" t="e">
        <f>F243+G243+H243+I243+J243+K243</f>
        <v>#DIV/0!</v>
      </c>
      <c r="M243" s="234">
        <f>'M) Police'!O243</f>
        <v>463880.63917446235</v>
      </c>
      <c r="N243" s="234" t="e">
        <f t="shared" si="9"/>
        <v>#DIV/0!</v>
      </c>
      <c r="P243" s="320"/>
    </row>
    <row r="244" spans="1:16" s="154" customFormat="1" x14ac:dyDescent="0.25">
      <c r="A244" s="151">
        <f>'B) D RI'!A245</f>
        <v>5806</v>
      </c>
      <c r="B244" s="152" t="str">
        <f>'B) D RI'!B245</f>
        <v>Jorat-Mézières</v>
      </c>
      <c r="C244" s="316">
        <f>'B) D RI'!S245</f>
        <v>73</v>
      </c>
      <c r="D244" s="153">
        <f>'B) D RI'!AA245</f>
        <v>2966</v>
      </c>
      <c r="E244" s="314">
        <f>'D) Ecrêtage'!C243</f>
        <v>91092.386986301368</v>
      </c>
      <c r="F244" s="318">
        <f>'E) Fact soc'!G249</f>
        <v>1505075.4285809675</v>
      </c>
      <c r="G244" s="315">
        <f>'H) Péréquation directe'!I254</f>
        <v>-125142.89798240131</v>
      </c>
      <c r="H244" s="318" t="e">
        <f>+'I) Dépenses thématiques'!O243</f>
        <v>#DIV/0!</v>
      </c>
      <c r="I244" s="315">
        <f>'K) Plafonnement aide'!J243</f>
        <v>0</v>
      </c>
      <c r="J244" s="318">
        <f>'J) Plafonnement effort'!J243</f>
        <v>0</v>
      </c>
      <c r="K244" s="315">
        <f>'L) Plafonnement taux'!Q244</f>
        <v>0</v>
      </c>
      <c r="L244" s="313" t="e">
        <f>F244+G244+H244+I244+J244+K244</f>
        <v>#DIV/0!</v>
      </c>
      <c r="M244" s="234">
        <f>'M) Police'!O244</f>
        <v>274416.44237168599</v>
      </c>
      <c r="N244" s="234" t="e">
        <f t="shared" ref="N244" si="13">L244+M244</f>
        <v>#DIV/0!</v>
      </c>
      <c r="P244" s="320"/>
    </row>
    <row r="245" spans="1:16" s="154" customFormat="1" x14ac:dyDescent="0.25">
      <c r="A245" s="151">
        <f>'B) D RI'!A246</f>
        <v>5812</v>
      </c>
      <c r="B245" s="152" t="str">
        <f>'B) D RI'!B246</f>
        <v>Champtauroz</v>
      </c>
      <c r="C245" s="316">
        <f>'B) D RI'!S246</f>
        <v>77</v>
      </c>
      <c r="D245" s="153">
        <f>'B) D RI'!AA246</f>
        <v>144</v>
      </c>
      <c r="E245" s="314">
        <f>'D) Ecrêtage'!C244</f>
        <v>2487.5377597402598</v>
      </c>
      <c r="F245" s="318">
        <f>'E) Fact soc'!G250</f>
        <v>47020.410614255386</v>
      </c>
      <c r="G245" s="315">
        <f>'H) Péréquation directe'!I255</f>
        <v>-74849.798011985316</v>
      </c>
      <c r="H245" s="318" t="e">
        <f>+'I) Dépenses thématiques'!O244</f>
        <v>#DIV/0!</v>
      </c>
      <c r="I245" s="315">
        <f>'K) Plafonnement aide'!J244</f>
        <v>7929.0853198078512</v>
      </c>
      <c r="J245" s="318">
        <f>'J) Plafonnement effort'!J244</f>
        <v>0</v>
      </c>
      <c r="K245" s="315">
        <f>'L) Plafonnement taux'!Q245</f>
        <v>0</v>
      </c>
      <c r="L245" s="313" t="e">
        <f t="shared" si="12"/>
        <v>#DIV/0!</v>
      </c>
      <c r="M245" s="234">
        <f>'M) Police'!O245</f>
        <v>7397.4675995114158</v>
      </c>
      <c r="N245" s="234" t="e">
        <f t="shared" si="9"/>
        <v>#DIV/0!</v>
      </c>
      <c r="P245" s="320"/>
    </row>
    <row r="246" spans="1:16" s="154" customFormat="1" x14ac:dyDescent="0.25">
      <c r="A246" s="151">
        <f>'B) D RI'!A247</f>
        <v>5813</v>
      </c>
      <c r="B246" s="152" t="str">
        <f>'B) D RI'!B247</f>
        <v>Chevroux</v>
      </c>
      <c r="C246" s="316">
        <f>'B) D RI'!S247</f>
        <v>68.5</v>
      </c>
      <c r="D246" s="153">
        <f>'B) D RI'!AA247</f>
        <v>495</v>
      </c>
      <c r="E246" s="314">
        <f>'D) Ecrêtage'!C245</f>
        <v>15179.777080291971</v>
      </c>
      <c r="F246" s="318">
        <f>'E) Fact soc'!G251</f>
        <v>231959.75417843868</v>
      </c>
      <c r="G246" s="315">
        <f>'H) Péréquation directe'!I256</f>
        <v>73549.834785517829</v>
      </c>
      <c r="H246" s="318" t="e">
        <f>+'I) Dépenses thématiques'!O245</f>
        <v>#DIV/0!</v>
      </c>
      <c r="I246" s="315">
        <f>'K) Plafonnement aide'!J245</f>
        <v>0</v>
      </c>
      <c r="J246" s="318">
        <f>'J) Plafonnement effort'!J245</f>
        <v>0</v>
      </c>
      <c r="K246" s="315">
        <f>'L) Plafonnement taux'!Q246</f>
        <v>0</v>
      </c>
      <c r="L246" s="313" t="e">
        <f t="shared" si="12"/>
        <v>#DIV/0!</v>
      </c>
      <c r="M246" s="234">
        <f>'M) Police'!O246</f>
        <v>45377.727996314483</v>
      </c>
      <c r="N246" s="234" t="e">
        <f t="shared" si="9"/>
        <v>#DIV/0!</v>
      </c>
      <c r="P246" s="320"/>
    </row>
    <row r="247" spans="1:16" s="154" customFormat="1" x14ac:dyDescent="0.25">
      <c r="A247" s="151">
        <f>'B) D RI'!A248</f>
        <v>5816</v>
      </c>
      <c r="B247" s="152" t="str">
        <f>'B) D RI'!B248</f>
        <v>Corcelles-près-Payerne</v>
      </c>
      <c r="C247" s="316">
        <f>'B) D RI'!S248</f>
        <v>68.5</v>
      </c>
      <c r="D247" s="153">
        <f>'B) D RI'!AA248</f>
        <v>2681</v>
      </c>
      <c r="E247" s="314">
        <f>'D) Ecrêtage'!C246</f>
        <v>60528.996913451512</v>
      </c>
      <c r="F247" s="318">
        <f>'E) Fact soc'!G252</f>
        <v>996777.07805647212</v>
      </c>
      <c r="G247" s="315">
        <f>'H) Péréquation directe'!I257</f>
        <v>-810938.91563364211</v>
      </c>
      <c r="H247" s="318" t="e">
        <f>+'I) Dépenses thématiques'!O246</f>
        <v>#DIV/0!</v>
      </c>
      <c r="I247" s="315">
        <f>'K) Plafonnement aide'!J246</f>
        <v>0</v>
      </c>
      <c r="J247" s="318">
        <f>'J) Plafonnement effort'!J246</f>
        <v>0</v>
      </c>
      <c r="K247" s="315">
        <f>'L) Plafonnement taux'!Q247</f>
        <v>0</v>
      </c>
      <c r="L247" s="313" t="e">
        <f t="shared" si="12"/>
        <v>#DIV/0!</v>
      </c>
      <c r="M247" s="234">
        <f>'M) Police'!O247</f>
        <v>180022.0595060325</v>
      </c>
      <c r="N247" s="234" t="e">
        <f t="shared" si="9"/>
        <v>#DIV/0!</v>
      </c>
      <c r="P247" s="320"/>
    </row>
    <row r="248" spans="1:16" s="154" customFormat="1" x14ac:dyDescent="0.25">
      <c r="A248" s="151">
        <f>'B) D RI'!A249</f>
        <v>5817</v>
      </c>
      <c r="B248" s="152" t="str">
        <f>'B) D RI'!B249</f>
        <v>Grandcour</v>
      </c>
      <c r="C248" s="316">
        <f>'B) D RI'!S249</f>
        <v>73.5</v>
      </c>
      <c r="D248" s="153">
        <f>'B) D RI'!AA249</f>
        <v>967</v>
      </c>
      <c r="E248" s="314">
        <f>'D) Ecrêtage'!C247</f>
        <v>21779.238095238095</v>
      </c>
      <c r="F248" s="318">
        <f>'E) Fact soc'!G253</f>
        <v>321939.79309863335</v>
      </c>
      <c r="G248" s="315">
        <f>'H) Péréquation directe'!I258</f>
        <v>-229856.29634137644</v>
      </c>
      <c r="H248" s="318" t="e">
        <f>+'I) Dépenses thématiques'!O247</f>
        <v>#DIV/0!</v>
      </c>
      <c r="I248" s="315">
        <f>'K) Plafonnement aide'!J247</f>
        <v>0</v>
      </c>
      <c r="J248" s="318">
        <f>'J) Plafonnement effort'!J247</f>
        <v>0</v>
      </c>
      <c r="K248" s="315">
        <f>'L) Plafonnement taux'!Q248</f>
        <v>0</v>
      </c>
      <c r="L248" s="313" t="e">
        <f t="shared" si="12"/>
        <v>#DIV/0!</v>
      </c>
      <c r="M248" s="234">
        <f>'M) Police'!O248</f>
        <v>65460.792330269076</v>
      </c>
      <c r="N248" s="234" t="e">
        <f t="shared" si="9"/>
        <v>#DIV/0!</v>
      </c>
      <c r="P248" s="320"/>
    </row>
    <row r="249" spans="1:16" s="154" customFormat="1" x14ac:dyDescent="0.25">
      <c r="A249" s="151">
        <f>'B) D RI'!A250</f>
        <v>5819</v>
      </c>
      <c r="B249" s="152" t="str">
        <f>'B) D RI'!B250</f>
        <v>Henniez</v>
      </c>
      <c r="C249" s="316">
        <f>'B) D RI'!S250</f>
        <v>69</v>
      </c>
      <c r="D249" s="153">
        <f>'B) D RI'!AA250</f>
        <v>396</v>
      </c>
      <c r="E249" s="314">
        <f>'D) Ecrêtage'!C248</f>
        <v>11468.217826086959</v>
      </c>
      <c r="F249" s="318">
        <f>'E) Fact soc'!G254</f>
        <v>176005.94049148919</v>
      </c>
      <c r="G249" s="315">
        <f>'H) Péréquation directe'!I259</f>
        <v>30756.661816802691</v>
      </c>
      <c r="H249" s="318" t="e">
        <f>+'I) Dépenses thématiques'!O248</f>
        <v>#DIV/0!</v>
      </c>
      <c r="I249" s="315">
        <f>'K) Plafonnement aide'!J248</f>
        <v>0</v>
      </c>
      <c r="J249" s="318">
        <f>'J) Plafonnement effort'!J248</f>
        <v>0</v>
      </c>
      <c r="K249" s="315">
        <f>'L) Plafonnement taux'!Q249</f>
        <v>0</v>
      </c>
      <c r="L249" s="313" t="e">
        <f t="shared" si="12"/>
        <v>#DIV/0!</v>
      </c>
      <c r="M249" s="234">
        <f>'M) Police'!O249</f>
        <v>33903.519825471143</v>
      </c>
      <c r="N249" s="234" t="e">
        <f t="shared" si="9"/>
        <v>#DIV/0!</v>
      </c>
      <c r="P249" s="320"/>
    </row>
    <row r="250" spans="1:16" s="154" customFormat="1" x14ac:dyDescent="0.25">
      <c r="A250" s="151">
        <f>'B) D RI'!A251</f>
        <v>5821</v>
      </c>
      <c r="B250" s="152" t="str">
        <f>'B) D RI'!B251</f>
        <v>Missy</v>
      </c>
      <c r="C250" s="316">
        <f>'B) D RI'!S251</f>
        <v>72</v>
      </c>
      <c r="D250" s="153">
        <f>'B) D RI'!AA251</f>
        <v>368</v>
      </c>
      <c r="E250" s="314">
        <f>'D) Ecrêtage'!C249</f>
        <v>7872.7337500000012</v>
      </c>
      <c r="F250" s="318">
        <f>'E) Fact soc'!G255</f>
        <v>122527.31796539787</v>
      </c>
      <c r="G250" s="315">
        <f>'H) Péréquation directe'!I260</f>
        <v>-96010.331446466997</v>
      </c>
      <c r="H250" s="318" t="e">
        <f>+'I) Dépenses thématiques'!O249</f>
        <v>#DIV/0!</v>
      </c>
      <c r="I250" s="315">
        <f>'K) Plafonnement aide'!J249</f>
        <v>0</v>
      </c>
      <c r="J250" s="318">
        <f>'J) Plafonnement effort'!J249</f>
        <v>0</v>
      </c>
      <c r="K250" s="315">
        <f>'L) Plafonnement taux'!Q250</f>
        <v>0</v>
      </c>
      <c r="L250" s="313" t="e">
        <f t="shared" si="12"/>
        <v>#DIV/0!</v>
      </c>
      <c r="M250" s="234">
        <f>'M) Police'!O250</f>
        <v>23519.477366704297</v>
      </c>
      <c r="N250" s="234" t="e">
        <f t="shared" si="9"/>
        <v>#DIV/0!</v>
      </c>
      <c r="P250" s="320"/>
    </row>
    <row r="251" spans="1:16" s="154" customFormat="1" x14ac:dyDescent="0.25">
      <c r="A251" s="151">
        <f>'B) D RI'!A252</f>
        <v>5822</v>
      </c>
      <c r="B251" s="152" t="str">
        <f>'B) D RI'!B252</f>
        <v>Payerne</v>
      </c>
      <c r="C251" s="316">
        <f>'B) D RI'!S252</f>
        <v>73</v>
      </c>
      <c r="D251" s="153">
        <f>'B) D RI'!AA252</f>
        <v>10108</v>
      </c>
      <c r="E251" s="314">
        <f>'D) Ecrêtage'!C250</f>
        <v>237851.57178082189</v>
      </c>
      <c r="F251" s="318">
        <f>'E) Fact soc'!G256</f>
        <v>4044179.4603123576</v>
      </c>
      <c r="G251" s="315">
        <f>'H) Péréquation directe'!I261</f>
        <v>-5780232.9246422406</v>
      </c>
      <c r="H251" s="318" t="e">
        <f>+'I) Dépenses thématiques'!O250</f>
        <v>#DIV/0!</v>
      </c>
      <c r="I251" s="315">
        <f>'K) Plafonnement aide'!J250</f>
        <v>0</v>
      </c>
      <c r="J251" s="318">
        <f>'J) Plafonnement effort'!J250</f>
        <v>0</v>
      </c>
      <c r="K251" s="315">
        <f>'L) Plafonnement taux'!Q251</f>
        <v>0</v>
      </c>
      <c r="L251" s="313" t="e">
        <f t="shared" si="12"/>
        <v>#DIV/0!</v>
      </c>
      <c r="M251" s="234">
        <f>'M) Police'!O251</f>
        <v>710383.1275906323</v>
      </c>
      <c r="N251" s="234" t="e">
        <f t="shared" si="9"/>
        <v>#DIV/0!</v>
      </c>
      <c r="P251" s="320"/>
    </row>
    <row r="252" spans="1:16" s="154" customFormat="1" x14ac:dyDescent="0.25">
      <c r="A252" s="151">
        <f>'B) D RI'!A253</f>
        <v>5827</v>
      </c>
      <c r="B252" s="152" t="str">
        <f>'B) D RI'!B253</f>
        <v>Trey</v>
      </c>
      <c r="C252" s="316">
        <f>'B) D RI'!S253</f>
        <v>78</v>
      </c>
      <c r="D252" s="153">
        <f>'B) D RI'!AA253</f>
        <v>302</v>
      </c>
      <c r="E252" s="314">
        <f>'D) Ecrêtage'!C251</f>
        <v>6163.6291025641031</v>
      </c>
      <c r="F252" s="318">
        <f>'E) Fact soc'!G257</f>
        <v>96350.077655068453</v>
      </c>
      <c r="G252" s="315">
        <f>'H) Péréquation directe'!I262</f>
        <v>-121081.59341963807</v>
      </c>
      <c r="H252" s="318" t="e">
        <f>+'I) Dépenses thématiques'!O251</f>
        <v>#DIV/0!</v>
      </c>
      <c r="I252" s="315">
        <f>'K) Plafonnement aide'!J251</f>
        <v>0</v>
      </c>
      <c r="J252" s="318">
        <f>'J) Plafonnement effort'!J251</f>
        <v>0</v>
      </c>
      <c r="K252" s="315">
        <f>'L) Plafonnement taux'!Q252</f>
        <v>0</v>
      </c>
      <c r="L252" s="313" t="e">
        <f t="shared" si="12"/>
        <v>#DIV/0!</v>
      </c>
      <c r="M252" s="234">
        <f>'M) Police'!O252</f>
        <v>18554.109430956494</v>
      </c>
      <c r="N252" s="234" t="e">
        <f t="shared" si="9"/>
        <v>#DIV/0!</v>
      </c>
      <c r="P252" s="320"/>
    </row>
    <row r="253" spans="1:16" s="154" customFormat="1" x14ac:dyDescent="0.25">
      <c r="A253" s="151">
        <f>'B) D RI'!A254</f>
        <v>5828</v>
      </c>
      <c r="B253" s="152" t="str">
        <f>'B) D RI'!B254</f>
        <v>Treytorrens (Payerne)</v>
      </c>
      <c r="C253" s="316">
        <f>'B) D RI'!S254</f>
        <v>84</v>
      </c>
      <c r="D253" s="153">
        <f>'B) D RI'!AA254</f>
        <v>114</v>
      </c>
      <c r="E253" s="314">
        <f>'D) Ecrêtage'!C252</f>
        <v>2288.4160317460314</v>
      </c>
      <c r="F253" s="318">
        <f>'E) Fact soc'!G258</f>
        <v>33983.644821145681</v>
      </c>
      <c r="G253" s="315">
        <f>'H) Péréquation directe'!I263</f>
        <v>-59883.094422188908</v>
      </c>
      <c r="H253" s="318" t="e">
        <f>+'I) Dépenses thématiques'!O252</f>
        <v>#DIV/0!</v>
      </c>
      <c r="I253" s="315">
        <f>'K) Plafonnement aide'!J252</f>
        <v>7592.1213470749781</v>
      </c>
      <c r="J253" s="318">
        <f>'J) Plafonnement effort'!J252</f>
        <v>0</v>
      </c>
      <c r="K253" s="315">
        <f>'L) Plafonnement taux'!Q253</f>
        <v>0</v>
      </c>
      <c r="L253" s="313" t="e">
        <f t="shared" si="12"/>
        <v>#DIV/0!</v>
      </c>
      <c r="M253" s="234">
        <f>'M) Police'!O253</f>
        <v>6873.6616149093734</v>
      </c>
      <c r="N253" s="234" t="e">
        <f t="shared" si="9"/>
        <v>#DIV/0!</v>
      </c>
      <c r="P253" s="320"/>
    </row>
    <row r="254" spans="1:16" s="154" customFormat="1" x14ac:dyDescent="0.25">
      <c r="A254" s="151">
        <f>'B) D RI'!A255</f>
        <v>5830</v>
      </c>
      <c r="B254" s="152" t="str">
        <f>'B) D RI'!B255</f>
        <v>Villarzel</v>
      </c>
      <c r="C254" s="316">
        <f>'B) D RI'!S255</f>
        <v>77</v>
      </c>
      <c r="D254" s="153">
        <f>'B) D RI'!AA255</f>
        <v>477</v>
      </c>
      <c r="E254" s="314">
        <f>'D) Ecrêtage'!C253</f>
        <v>12470.916233766235</v>
      </c>
      <c r="F254" s="318">
        <f>'E) Fact soc'!G259</f>
        <v>209600.97418044953</v>
      </c>
      <c r="G254" s="315">
        <f>'H) Péréquation directe'!I264</f>
        <v>-64218.529060101253</v>
      </c>
      <c r="H254" s="318" t="e">
        <f>+'I) Dépenses thématiques'!O253</f>
        <v>#DIV/0!</v>
      </c>
      <c r="I254" s="315">
        <f>'K) Plafonnement aide'!J253</f>
        <v>0</v>
      </c>
      <c r="J254" s="318">
        <f>'J) Plafonnement effort'!J253</f>
        <v>0</v>
      </c>
      <c r="K254" s="315">
        <f>'L) Plafonnement taux'!Q254</f>
        <v>0</v>
      </c>
      <c r="L254" s="313" t="e">
        <f t="shared" si="12"/>
        <v>#DIV/0!</v>
      </c>
      <c r="M254" s="234">
        <f>'M) Police'!O254</f>
        <v>38043.532946749772</v>
      </c>
      <c r="N254" s="234" t="e">
        <f t="shared" si="9"/>
        <v>#DIV/0!</v>
      </c>
      <c r="P254" s="320"/>
    </row>
    <row r="255" spans="1:16" s="154" customFormat="1" x14ac:dyDescent="0.25">
      <c r="A255" s="151">
        <f>'B) D RI'!A256</f>
        <v>5831</v>
      </c>
      <c r="B255" s="152" t="str">
        <f>'B) D RI'!B256</f>
        <v>Valbroye</v>
      </c>
      <c r="C255" s="316">
        <f>'B) D RI'!S256</f>
        <v>70.5</v>
      </c>
      <c r="D255" s="153">
        <f>'B) D RI'!AA256</f>
        <v>3373</v>
      </c>
      <c r="E255" s="314">
        <f>'D) Ecrêtage'!C254</f>
        <v>83756.732765957451</v>
      </c>
      <c r="F255" s="318">
        <f>'E) Fact soc'!G260</f>
        <v>1386355.5667095203</v>
      </c>
      <c r="G255" s="315">
        <f>'H) Péréquation directe'!I265</f>
        <v>-928695.92000751267</v>
      </c>
      <c r="H255" s="318" t="e">
        <f>+'I) Dépenses thématiques'!O254</f>
        <v>#DIV/0!</v>
      </c>
      <c r="I255" s="315">
        <f>'K) Plafonnement aide'!J254</f>
        <v>0</v>
      </c>
      <c r="J255" s="318">
        <f>'J) Plafonnement effort'!J254</f>
        <v>0</v>
      </c>
      <c r="K255" s="315">
        <f>'L) Plafonnement taux'!Q255</f>
        <v>0</v>
      </c>
      <c r="L255" s="313" t="e">
        <f>F255+G255+H255+I255+J255+K255</f>
        <v>#DIV/0!</v>
      </c>
      <c r="M255" s="234">
        <f>'M) Police'!O255</f>
        <v>251219.51359051513</v>
      </c>
      <c r="N255" s="234" t="e">
        <f t="shared" ref="N255:N314" si="14">L255+M255</f>
        <v>#DIV/0!</v>
      </c>
      <c r="P255" s="320"/>
    </row>
    <row r="256" spans="1:16" s="154" customFormat="1" x14ac:dyDescent="0.25">
      <c r="A256" s="151">
        <f>'B) D RI'!A257</f>
        <v>5841</v>
      </c>
      <c r="B256" s="152" t="str">
        <f>'B) D RI'!B257</f>
        <v>Château-d'Oex</v>
      </c>
      <c r="C256" s="316">
        <f>'B) D RI'!S257</f>
        <v>81.5</v>
      </c>
      <c r="D256" s="153">
        <f>'B) D RI'!AA257</f>
        <v>3494</v>
      </c>
      <c r="E256" s="314">
        <f>'D) Ecrêtage'!C255</f>
        <v>108658.39067484663</v>
      </c>
      <c r="F256" s="318">
        <f>'E) Fact soc'!G261</f>
        <v>2285771.2290150598</v>
      </c>
      <c r="G256" s="315">
        <f>'H) Péréquation directe'!I266</f>
        <v>-519614.0328428247</v>
      </c>
      <c r="H256" s="318" t="e">
        <f>+'I) Dépenses thématiques'!O255</f>
        <v>#DIV/0!</v>
      </c>
      <c r="I256" s="315">
        <f>'K) Plafonnement aide'!J255</f>
        <v>0</v>
      </c>
      <c r="J256" s="318">
        <f>'J) Plafonnement effort'!J255</f>
        <v>0</v>
      </c>
      <c r="K256" s="315">
        <f>'L) Plafonnement taux'!Q256</f>
        <v>0</v>
      </c>
      <c r="L256" s="313" t="e">
        <f t="shared" si="12"/>
        <v>#DIV/0!</v>
      </c>
      <c r="M256" s="234">
        <f>'M) Police'!O256</f>
        <v>319823.86695922504</v>
      </c>
      <c r="N256" s="234" t="e">
        <f t="shared" si="14"/>
        <v>#DIV/0!</v>
      </c>
      <c r="P256" s="320"/>
    </row>
    <row r="257" spans="1:16" s="154" customFormat="1" x14ac:dyDescent="0.25">
      <c r="A257" s="151">
        <f>'B) D RI'!A258</f>
        <v>5842</v>
      </c>
      <c r="B257" s="152" t="str">
        <f>'B) D RI'!B258</f>
        <v>Rossinière</v>
      </c>
      <c r="C257" s="316">
        <f>'B) D RI'!S258</f>
        <v>81</v>
      </c>
      <c r="D257" s="153">
        <f>'B) D RI'!AA258</f>
        <v>537</v>
      </c>
      <c r="E257" s="314">
        <f>'D) Ecrêtage'!C256</f>
        <v>14509.951028806583</v>
      </c>
      <c r="F257" s="318">
        <f>'E) Fact soc'!G262</f>
        <v>232408.03676677356</v>
      </c>
      <c r="G257" s="315">
        <f>'H) Péréquation directe'!I267</f>
        <v>-80673.482177510741</v>
      </c>
      <c r="H257" s="318" t="e">
        <f>+'I) Dépenses thématiques'!O256</f>
        <v>#DIV/0!</v>
      </c>
      <c r="I257" s="315">
        <f>'K) Plafonnement aide'!J256</f>
        <v>0</v>
      </c>
      <c r="J257" s="318">
        <f>'J) Plafonnement effort'!J256</f>
        <v>0</v>
      </c>
      <c r="K257" s="315">
        <f>'L) Plafonnement taux'!Q257</f>
        <v>0</v>
      </c>
      <c r="L257" s="313" t="e">
        <f t="shared" si="12"/>
        <v>#DIV/0!</v>
      </c>
      <c r="M257" s="234">
        <f>'M) Police'!O257</f>
        <v>43647.955113249918</v>
      </c>
      <c r="N257" s="234" t="e">
        <f t="shared" si="14"/>
        <v>#DIV/0!</v>
      </c>
      <c r="P257" s="320"/>
    </row>
    <row r="258" spans="1:16" s="154" customFormat="1" x14ac:dyDescent="0.25">
      <c r="A258" s="151">
        <f>'B) D RI'!A259</f>
        <v>5843</v>
      </c>
      <c r="B258" s="152" t="str">
        <f>'B) D RI'!B259</f>
        <v>Rougemont</v>
      </c>
      <c r="C258" s="316">
        <f>'B) D RI'!S259</f>
        <v>74</v>
      </c>
      <c r="D258" s="153">
        <f>'B) D RI'!AA259</f>
        <v>863</v>
      </c>
      <c r="E258" s="314">
        <f>'D) Ecrêtage'!C257</f>
        <v>100468.99797297297</v>
      </c>
      <c r="F258" s="318">
        <f>'E) Fact soc'!G263</f>
        <v>3652170.1289683995</v>
      </c>
      <c r="G258" s="315">
        <f>'H) Péréquation directe'!I268</f>
        <v>1865778.8355741627</v>
      </c>
      <c r="H258" s="318" t="e">
        <f>+'I) Dépenses thématiques'!O257</f>
        <v>#DIV/0!</v>
      </c>
      <c r="I258" s="315">
        <f>'K) Plafonnement aide'!J257</f>
        <v>0</v>
      </c>
      <c r="J258" s="318">
        <f>'J) Plafonnement effort'!J257</f>
        <v>-58621.711839859097</v>
      </c>
      <c r="K258" s="315">
        <f>'L) Plafonnement taux'!Q258</f>
        <v>0</v>
      </c>
      <c r="L258" s="313" t="e">
        <f t="shared" si="12"/>
        <v>#DIV/0!</v>
      </c>
      <c r="M258" s="234">
        <f>'M) Police'!O258</f>
        <v>194833.1501305186</v>
      </c>
      <c r="N258" s="234" t="e">
        <f t="shared" si="14"/>
        <v>#DIV/0!</v>
      </c>
      <c r="P258" s="320"/>
    </row>
    <row r="259" spans="1:16" s="154" customFormat="1" x14ac:dyDescent="0.25">
      <c r="A259" s="151">
        <f>'B) D RI'!A260</f>
        <v>5851</v>
      </c>
      <c r="B259" s="152" t="str">
        <f>'B) D RI'!B260</f>
        <v>Allaman</v>
      </c>
      <c r="C259" s="316">
        <f>'B) D RI'!S260</f>
        <v>60</v>
      </c>
      <c r="D259" s="153">
        <f>'B) D RI'!AA260</f>
        <v>443</v>
      </c>
      <c r="E259" s="314">
        <f>'D) Ecrêtage'!C258</f>
        <v>24314.213954545452</v>
      </c>
      <c r="F259" s="318">
        <f>'E) Fact soc'!G264</f>
        <v>386840.12857963151</v>
      </c>
      <c r="G259" s="315">
        <f>'H) Péréquation directe'!I269</f>
        <v>422498.86356066319</v>
      </c>
      <c r="H259" s="318" t="e">
        <f>+'I) Dépenses thématiques'!O258</f>
        <v>#DIV/0!</v>
      </c>
      <c r="I259" s="315">
        <f>'K) Plafonnement aide'!J258</f>
        <v>0</v>
      </c>
      <c r="J259" s="318">
        <f>'J) Plafonnement effort'!J258</f>
        <v>0</v>
      </c>
      <c r="K259" s="315">
        <f>'L) Plafonnement taux'!Q259</f>
        <v>0</v>
      </c>
      <c r="L259" s="313" t="e">
        <f t="shared" si="12"/>
        <v>#DIV/0!</v>
      </c>
      <c r="M259" s="234">
        <f>'M) Police'!O259</f>
        <v>67996.63106242838</v>
      </c>
      <c r="N259" s="234" t="e">
        <f t="shared" si="14"/>
        <v>#DIV/0!</v>
      </c>
      <c r="P259" s="320"/>
    </row>
    <row r="260" spans="1:16" s="154" customFormat="1" x14ac:dyDescent="0.25">
      <c r="A260" s="151">
        <f>'B) D RI'!A261</f>
        <v>5852</v>
      </c>
      <c r="B260" s="152" t="str">
        <f>'B) D RI'!B261</f>
        <v>Bursinel</v>
      </c>
      <c r="C260" s="316">
        <f>'B) D RI'!S261</f>
        <v>65.5</v>
      </c>
      <c r="D260" s="153">
        <f>'B) D RI'!AA261</f>
        <v>491</v>
      </c>
      <c r="E260" s="314">
        <f>'D) Ecrêtage'!C259</f>
        <v>40706.215623409669</v>
      </c>
      <c r="F260" s="318">
        <f>'E) Fact soc'!G265</f>
        <v>929127.35045843199</v>
      </c>
      <c r="G260" s="315">
        <f>'H) Péréquation directe'!I270</f>
        <v>738416.64469807723</v>
      </c>
      <c r="H260" s="318" t="e">
        <f>+'I) Dépenses thématiques'!O259</f>
        <v>#DIV/0!</v>
      </c>
      <c r="I260" s="315">
        <f>'K) Plafonnement aide'!J259</f>
        <v>0</v>
      </c>
      <c r="J260" s="318">
        <f>'J) Plafonnement effort'!J259</f>
        <v>0</v>
      </c>
      <c r="K260" s="315">
        <f>'L) Plafonnement taux'!Q260</f>
        <v>0</v>
      </c>
      <c r="L260" s="313" t="e">
        <f t="shared" si="12"/>
        <v>#DIV/0!</v>
      </c>
      <c r="M260" s="234">
        <f>'M) Police'!O260</f>
        <v>91522.606000010492</v>
      </c>
      <c r="N260" s="234" t="e">
        <f t="shared" si="14"/>
        <v>#DIV/0!</v>
      </c>
      <c r="P260" s="320"/>
    </row>
    <row r="261" spans="1:16" s="154" customFormat="1" x14ac:dyDescent="0.25">
      <c r="A261" s="151">
        <f>'B) D RI'!A262</f>
        <v>5853</v>
      </c>
      <c r="B261" s="152" t="str">
        <f>'B) D RI'!B262</f>
        <v>Bursins</v>
      </c>
      <c r="C261" s="316">
        <f>'B) D RI'!S262</f>
        <v>71</v>
      </c>
      <c r="D261" s="153">
        <f>'B) D RI'!AA262</f>
        <v>773</v>
      </c>
      <c r="E261" s="314">
        <f>'D) Ecrêtage'!C260</f>
        <v>42015.881830985905</v>
      </c>
      <c r="F261" s="318">
        <f>'E) Fact soc'!G266</f>
        <v>4219353.9453954846</v>
      </c>
      <c r="G261" s="315">
        <f>'H) Péréquation directe'!I271</f>
        <v>729166.64469185902</v>
      </c>
      <c r="H261" s="318" t="e">
        <f>+'I) Dépenses thématiques'!O260</f>
        <v>#DIV/0!</v>
      </c>
      <c r="I261" s="315">
        <f>'K) Plafonnement aide'!J260</f>
        <v>0</v>
      </c>
      <c r="J261" s="318">
        <f>'J) Plafonnement effort'!J260</f>
        <v>0</v>
      </c>
      <c r="K261" s="315">
        <f>'L) Plafonnement taux'!Q261</f>
        <v>0</v>
      </c>
      <c r="L261" s="313" t="e">
        <f t="shared" si="12"/>
        <v>#DIV/0!</v>
      </c>
      <c r="M261" s="234">
        <f>'M) Police'!O261</f>
        <v>118166.61001258093</v>
      </c>
      <c r="N261" s="234" t="e">
        <f t="shared" si="14"/>
        <v>#DIV/0!</v>
      </c>
      <c r="P261" s="320"/>
    </row>
    <row r="262" spans="1:16" s="154" customFormat="1" x14ac:dyDescent="0.25">
      <c r="A262" s="151">
        <f>'B) D RI'!A263</f>
        <v>5854</v>
      </c>
      <c r="B262" s="152" t="str">
        <f>'B) D RI'!B263</f>
        <v>Burtigny</v>
      </c>
      <c r="C262" s="316">
        <f>'B) D RI'!S263</f>
        <v>80</v>
      </c>
      <c r="D262" s="153">
        <f>'B) D RI'!AA263</f>
        <v>404</v>
      </c>
      <c r="E262" s="314">
        <f>'D) Ecrêtage'!C261</f>
        <v>10782.893958333336</v>
      </c>
      <c r="F262" s="318">
        <f>'E) Fact soc'!G267</f>
        <v>206286.64412156085</v>
      </c>
      <c r="G262" s="315">
        <f>'H) Péréquation directe'!I272</f>
        <v>-61215.15379620262</v>
      </c>
      <c r="H262" s="318" t="e">
        <f>+'I) Dépenses thématiques'!O261</f>
        <v>#DIV/0!</v>
      </c>
      <c r="I262" s="315">
        <f>'K) Plafonnement aide'!J261</f>
        <v>0</v>
      </c>
      <c r="J262" s="318">
        <f>'J) Plafonnement effort'!J261</f>
        <v>0</v>
      </c>
      <c r="K262" s="315">
        <f>'L) Plafonnement taux'!Q262</f>
        <v>0</v>
      </c>
      <c r="L262" s="313" t="e">
        <f t="shared" si="12"/>
        <v>#DIV/0!</v>
      </c>
      <c r="M262" s="234">
        <f>'M) Police'!O262</f>
        <v>32312.091015638878</v>
      </c>
      <c r="N262" s="234" t="e">
        <f t="shared" si="14"/>
        <v>#DIV/0!</v>
      </c>
      <c r="P262" s="320"/>
    </row>
    <row r="263" spans="1:16" s="154" customFormat="1" x14ac:dyDescent="0.25">
      <c r="A263" s="151">
        <f>'B) D RI'!A264</f>
        <v>5855</v>
      </c>
      <c r="B263" s="152" t="str">
        <f>'B) D RI'!B264</f>
        <v>Dully</v>
      </c>
      <c r="C263" s="316">
        <f>'B) D RI'!S264</f>
        <v>49</v>
      </c>
      <c r="D263" s="153">
        <f>'B) D RI'!AA264</f>
        <v>628</v>
      </c>
      <c r="E263" s="314">
        <f>'D) Ecrêtage'!C262</f>
        <v>98158.514897959176</v>
      </c>
      <c r="F263" s="318">
        <f>'E) Fact soc'!G268</f>
        <v>3046811.1225461802</v>
      </c>
      <c r="G263" s="315">
        <f>'H) Péréquation directe'!I273</f>
        <v>1849549.3145419001</v>
      </c>
      <c r="H263" s="318" t="e">
        <f>+'I) Dépenses thématiques'!O262</f>
        <v>#DIV/0!</v>
      </c>
      <c r="I263" s="315">
        <f>'K) Plafonnement aide'!J262</f>
        <v>0</v>
      </c>
      <c r="J263" s="318">
        <f>'J) Plafonnement effort'!J262</f>
        <v>0</v>
      </c>
      <c r="K263" s="315">
        <f>'L) Plafonnement taux'!Q263</f>
        <v>0</v>
      </c>
      <c r="L263" s="313" t="e">
        <f t="shared" si="12"/>
        <v>#DIV/0!</v>
      </c>
      <c r="M263" s="234">
        <f>'M) Police'!O263</f>
        <v>171197.96870137093</v>
      </c>
      <c r="N263" s="234" t="e">
        <f t="shared" si="14"/>
        <v>#DIV/0!</v>
      </c>
      <c r="P263" s="320"/>
    </row>
    <row r="264" spans="1:16" s="154" customFormat="1" x14ac:dyDescent="0.25">
      <c r="A264" s="151">
        <f>'B) D RI'!A265</f>
        <v>5856</v>
      </c>
      <c r="B264" s="152" t="str">
        <f>'B) D RI'!B265</f>
        <v>Essertines-sur-Rolle</v>
      </c>
      <c r="C264" s="316">
        <f>'B) D RI'!S265</f>
        <v>66.5</v>
      </c>
      <c r="D264" s="153">
        <f>'B) D RI'!AA265</f>
        <v>740</v>
      </c>
      <c r="E264" s="314">
        <f>'D) Ecrêtage'!C263</f>
        <v>35711.648536726432</v>
      </c>
      <c r="F264" s="318">
        <f>'E) Fact soc'!G269</f>
        <v>623814.31692786061</v>
      </c>
      <c r="G264" s="315">
        <f>'H) Péréquation directe'!I274</f>
        <v>609470.00250634318</v>
      </c>
      <c r="H264" s="318" t="e">
        <f>+'I) Dépenses thématiques'!O263</f>
        <v>#DIV/0!</v>
      </c>
      <c r="I264" s="315">
        <f>'K) Plafonnement aide'!J263</f>
        <v>0</v>
      </c>
      <c r="J264" s="318">
        <f>'J) Plafonnement effort'!J263</f>
        <v>0</v>
      </c>
      <c r="K264" s="315">
        <f>'L) Plafonnement taux'!Q264</f>
        <v>0</v>
      </c>
      <c r="L264" s="313" t="e">
        <f t="shared" si="12"/>
        <v>#DIV/0!</v>
      </c>
      <c r="M264" s="234">
        <f>'M) Police'!O264</f>
        <v>107660.36214085903</v>
      </c>
      <c r="N264" s="234" t="e">
        <f t="shared" si="14"/>
        <v>#DIV/0!</v>
      </c>
      <c r="P264" s="320"/>
    </row>
    <row r="265" spans="1:16" s="154" customFormat="1" x14ac:dyDescent="0.25">
      <c r="A265" s="151">
        <f>'B) D RI'!A266</f>
        <v>5857</v>
      </c>
      <c r="B265" s="152" t="str">
        <f>'B) D RI'!B266</f>
        <v>Gilly</v>
      </c>
      <c r="C265" s="316">
        <f>'B) D RI'!S266</f>
        <v>64.5</v>
      </c>
      <c r="D265" s="153">
        <f>'B) D RI'!AA266</f>
        <v>1428</v>
      </c>
      <c r="E265" s="314">
        <f>'D) Ecrêtage'!C264</f>
        <v>82128.423720930223</v>
      </c>
      <c r="F265" s="318">
        <f>'E) Fact soc'!G270</f>
        <v>1423452.7735039431</v>
      </c>
      <c r="G265" s="315">
        <f>'H) Péréquation directe'!I275</f>
        <v>1340066.0917596743</v>
      </c>
      <c r="H265" s="318" t="e">
        <f>+'I) Dépenses thématiques'!O264</f>
        <v>#DIV/0!</v>
      </c>
      <c r="I265" s="315">
        <f>'K) Plafonnement aide'!J264</f>
        <v>0</v>
      </c>
      <c r="J265" s="318">
        <f>'J) Plafonnement effort'!J264</f>
        <v>0</v>
      </c>
      <c r="K265" s="315">
        <f>'L) Plafonnement taux'!Q265</f>
        <v>0</v>
      </c>
      <c r="L265" s="313" t="e">
        <f t="shared" si="12"/>
        <v>#DIV/0!</v>
      </c>
      <c r="M265" s="234">
        <f>'M) Police'!O265</f>
        <v>223592.46278178823</v>
      </c>
      <c r="N265" s="234" t="e">
        <f t="shared" si="14"/>
        <v>#DIV/0!</v>
      </c>
      <c r="P265" s="320"/>
    </row>
    <row r="266" spans="1:16" s="154" customFormat="1" x14ac:dyDescent="0.25">
      <c r="A266" s="151">
        <f>'B) D RI'!A267</f>
        <v>5858</v>
      </c>
      <c r="B266" s="152" t="str">
        <f>'B) D RI'!B267</f>
        <v>Luins</v>
      </c>
      <c r="C266" s="316">
        <f>'B) D RI'!S267</f>
        <v>58.5</v>
      </c>
      <c r="D266" s="153">
        <f>'B) D RI'!AA267</f>
        <v>619</v>
      </c>
      <c r="E266" s="314">
        <f>'D) Ecrêtage'!C265</f>
        <v>40290.677378917375</v>
      </c>
      <c r="F266" s="318">
        <f>'E) Fact soc'!G271</f>
        <v>752526.97877346142</v>
      </c>
      <c r="G266" s="315">
        <f>'H) Péréquation directe'!I276</f>
        <v>714386.00604822766</v>
      </c>
      <c r="H266" s="318" t="e">
        <f>+'I) Dépenses thématiques'!O265</f>
        <v>#DIV/0!</v>
      </c>
      <c r="I266" s="315">
        <f>'K) Plafonnement aide'!J265</f>
        <v>0</v>
      </c>
      <c r="J266" s="318">
        <f>'J) Plafonnement effort'!J265</f>
        <v>0</v>
      </c>
      <c r="K266" s="315">
        <f>'L) Plafonnement taux'!Q266</f>
        <v>0</v>
      </c>
      <c r="L266" s="313" t="e">
        <f t="shared" ref="L266:L315" si="15">F266+G266+H266+I266+J266+K266</f>
        <v>#DIV/0!</v>
      </c>
      <c r="M266" s="234">
        <f>'M) Police'!O266</f>
        <v>102430.08217211795</v>
      </c>
      <c r="N266" s="234" t="e">
        <f t="shared" si="14"/>
        <v>#DIV/0!</v>
      </c>
      <c r="P266" s="320"/>
    </row>
    <row r="267" spans="1:16" s="154" customFormat="1" x14ac:dyDescent="0.25">
      <c r="A267" s="151">
        <f>'B) D RI'!A268</f>
        <v>5859</v>
      </c>
      <c r="B267" s="152" t="str">
        <f>'B) D RI'!B268</f>
        <v>Mont-sur-Rolle</v>
      </c>
      <c r="C267" s="316">
        <f>'B) D RI'!S268</f>
        <v>63.5</v>
      </c>
      <c r="D267" s="153">
        <f>'B) D RI'!AA268</f>
        <v>2646</v>
      </c>
      <c r="E267" s="314">
        <f>'D) Ecrêtage'!C266</f>
        <v>146465.78251968499</v>
      </c>
      <c r="F267" s="318">
        <f>'E) Fact soc'!G272</f>
        <v>2584375.2028089636</v>
      </c>
      <c r="G267" s="315">
        <f>'H) Péréquation directe'!I277</f>
        <v>2180510.3308603084</v>
      </c>
      <c r="H267" s="318" t="e">
        <f>+'I) Dépenses thématiques'!O266</f>
        <v>#DIV/0!</v>
      </c>
      <c r="I267" s="315">
        <f>'K) Plafonnement aide'!J266</f>
        <v>0</v>
      </c>
      <c r="J267" s="318">
        <f>'J) Plafonnement effort'!J266</f>
        <v>0</v>
      </c>
      <c r="K267" s="315">
        <f>'L) Plafonnement taux'!Q267</f>
        <v>0</v>
      </c>
      <c r="L267" s="313" t="e">
        <f t="shared" si="15"/>
        <v>#DIV/0!</v>
      </c>
      <c r="M267" s="234">
        <f>'M) Police'!O267</f>
        <v>407593.25973506621</v>
      </c>
      <c r="N267" s="234" t="e">
        <f t="shared" si="14"/>
        <v>#DIV/0!</v>
      </c>
      <c r="P267" s="320"/>
    </row>
    <row r="268" spans="1:16" s="154" customFormat="1" x14ac:dyDescent="0.25">
      <c r="A268" s="151">
        <f>'B) D RI'!A269</f>
        <v>5860</v>
      </c>
      <c r="B268" s="152" t="str">
        <f>'B) D RI'!B269</f>
        <v>Perroy</v>
      </c>
      <c r="C268" s="316">
        <f>'B) D RI'!S269</f>
        <v>58.5</v>
      </c>
      <c r="D268" s="153">
        <f>'B) D RI'!AA269</f>
        <v>1518</v>
      </c>
      <c r="E268" s="314">
        <f>'D) Ecrêtage'!C267</f>
        <v>187175.54426035503</v>
      </c>
      <c r="F268" s="318">
        <f>'E) Fact soc'!G273</f>
        <v>5757388.2225822601</v>
      </c>
      <c r="G268" s="315">
        <f>'H) Péréquation directe'!I278</f>
        <v>3371500.1777118733</v>
      </c>
      <c r="H268" s="318" t="e">
        <f>+'I) Dépenses thématiques'!O267</f>
        <v>#DIV/0!</v>
      </c>
      <c r="I268" s="315">
        <f>'K) Plafonnement aide'!J267</f>
        <v>0</v>
      </c>
      <c r="J268" s="318">
        <f>'J) Plafonnement effort'!J267</f>
        <v>0</v>
      </c>
      <c r="K268" s="315">
        <f>'L) Plafonnement taux'!Q268</f>
        <v>0</v>
      </c>
      <c r="L268" s="313" t="e">
        <f t="shared" si="15"/>
        <v>#DIV/0!</v>
      </c>
      <c r="M268" s="234">
        <f>'M) Police'!O268</f>
        <v>354984.35594803537</v>
      </c>
      <c r="N268" s="234" t="e">
        <f t="shared" si="14"/>
        <v>#DIV/0!</v>
      </c>
      <c r="P268" s="320"/>
    </row>
    <row r="269" spans="1:16" s="154" customFormat="1" x14ac:dyDescent="0.25">
      <c r="A269" s="151">
        <f>'B) D RI'!A270</f>
        <v>5861</v>
      </c>
      <c r="B269" s="152" t="str">
        <f>'B) D RI'!B270</f>
        <v>Rolle</v>
      </c>
      <c r="C269" s="316">
        <f>'B) D RI'!S270</f>
        <v>59.5</v>
      </c>
      <c r="D269" s="153">
        <f>'B) D RI'!AA270</f>
        <v>6259</v>
      </c>
      <c r="E269" s="314">
        <f>'D) Ecrêtage'!C268</f>
        <v>1938335.8673949579</v>
      </c>
      <c r="F269" s="318">
        <f>'E) Fact soc'!G274</f>
        <v>79057527.881278202</v>
      </c>
      <c r="G269" s="315">
        <f>'H) Péréquation directe'!I279</f>
        <v>35501075.242216222</v>
      </c>
      <c r="H269" s="318" t="e">
        <f>+'I) Dépenses thématiques'!O268</f>
        <v>#DIV/0!</v>
      </c>
      <c r="I269" s="315">
        <f>'K) Plafonnement aide'!J268</f>
        <v>0</v>
      </c>
      <c r="J269" s="318">
        <f>'J) Plafonnement effort'!J268</f>
        <v>-20480611.308536444</v>
      </c>
      <c r="K269" s="315">
        <f>'L) Plafonnement taux'!Q269</f>
        <v>0</v>
      </c>
      <c r="L269" s="313" t="e">
        <f t="shared" si="15"/>
        <v>#DIV/0!</v>
      </c>
      <c r="M269" s="234">
        <f>'M) Police'!O269</f>
        <v>2833828.0948982364</v>
      </c>
      <c r="N269" s="234" t="e">
        <f t="shared" si="14"/>
        <v>#DIV/0!</v>
      </c>
      <c r="P269" s="320"/>
    </row>
    <row r="270" spans="1:16" s="154" customFormat="1" x14ac:dyDescent="0.25">
      <c r="A270" s="151">
        <f>'B) D RI'!A271</f>
        <v>5862</v>
      </c>
      <c r="B270" s="152" t="str">
        <f>'B) D RI'!B271</f>
        <v>Tartegnin</v>
      </c>
      <c r="C270" s="316">
        <f>'B) D RI'!S271</f>
        <v>79</v>
      </c>
      <c r="D270" s="153">
        <f>'B) D RI'!AA271</f>
        <v>236</v>
      </c>
      <c r="E270" s="314">
        <f>'D) Ecrêtage'!C269</f>
        <v>8096.4381012658214</v>
      </c>
      <c r="F270" s="318">
        <f>'E) Fact soc'!G275</f>
        <v>111852.97255467926</v>
      </c>
      <c r="G270" s="315">
        <f>'H) Péréquation directe'!I280</f>
        <v>47779.026700643793</v>
      </c>
      <c r="H270" s="318" t="e">
        <f>+'I) Dépenses thématiques'!O269</f>
        <v>#DIV/0!</v>
      </c>
      <c r="I270" s="315">
        <f>'K) Plafonnement aide'!J269</f>
        <v>0</v>
      </c>
      <c r="J270" s="318">
        <f>'J) Plafonnement effort'!J269</f>
        <v>0</v>
      </c>
      <c r="K270" s="315">
        <f>'L) Plafonnement taux'!Q270</f>
        <v>0</v>
      </c>
      <c r="L270" s="313" t="e">
        <f t="shared" si="15"/>
        <v>#DIV/0!</v>
      </c>
      <c r="M270" s="234">
        <f>'M) Police'!O270</f>
        <v>24445.086284174355</v>
      </c>
      <c r="N270" s="234" t="e">
        <f t="shared" si="14"/>
        <v>#DIV/0!</v>
      </c>
      <c r="P270" s="320"/>
    </row>
    <row r="271" spans="1:16" s="154" customFormat="1" x14ac:dyDescent="0.25">
      <c r="A271" s="151">
        <f>'B) D RI'!A272</f>
        <v>5863</v>
      </c>
      <c r="B271" s="152" t="str">
        <f>'B) D RI'!B272</f>
        <v>Vinzel</v>
      </c>
      <c r="C271" s="316">
        <f>'B) D RI'!S272</f>
        <v>67</v>
      </c>
      <c r="D271" s="153">
        <f>'B) D RI'!AA272</f>
        <v>385</v>
      </c>
      <c r="E271" s="314">
        <f>'D) Ecrêtage'!C270</f>
        <v>21933.69492537314</v>
      </c>
      <c r="F271" s="318">
        <f>'E) Fact soc'!G276</f>
        <v>399609.28912623622</v>
      </c>
      <c r="G271" s="315">
        <f>'H) Péréquation directe'!I281</f>
        <v>382947.20140679867</v>
      </c>
      <c r="H271" s="318" t="e">
        <f>+'I) Dépenses thématiques'!O270</f>
        <v>#DIV/0!</v>
      </c>
      <c r="I271" s="315">
        <f>'K) Plafonnement aide'!J270</f>
        <v>0</v>
      </c>
      <c r="J271" s="318">
        <f>'J) Plafonnement effort'!J270</f>
        <v>0</v>
      </c>
      <c r="K271" s="315">
        <f>'L) Plafonnement taux'!Q271</f>
        <v>0</v>
      </c>
      <c r="L271" s="313" t="e">
        <f t="shared" si="15"/>
        <v>#DIV/0!</v>
      </c>
      <c r="M271" s="234">
        <f>'M) Police'!O271</f>
        <v>60037.07550613975</v>
      </c>
      <c r="N271" s="234" t="e">
        <f t="shared" si="14"/>
        <v>#DIV/0!</v>
      </c>
      <c r="P271" s="320"/>
    </row>
    <row r="272" spans="1:16" s="154" customFormat="1" x14ac:dyDescent="0.25">
      <c r="A272" s="151">
        <f>'B) D RI'!A273</f>
        <v>5871</v>
      </c>
      <c r="B272" s="152" t="str">
        <f>'B) D RI'!B273</f>
        <v>L'Abbaye</v>
      </c>
      <c r="C272" s="316">
        <f>'B) D RI'!S273</f>
        <v>77.56</v>
      </c>
      <c r="D272" s="153">
        <f>'B) D RI'!AA273</f>
        <v>1473</v>
      </c>
      <c r="E272" s="314">
        <f>'D) Ecrêtage'!C271</f>
        <v>49513.521273852508</v>
      </c>
      <c r="F272" s="318">
        <f>'E) Fact soc'!G277</f>
        <v>1030366.5013838034</v>
      </c>
      <c r="G272" s="315">
        <f>'H) Péréquation directe'!I282</f>
        <v>166447.46991488757</v>
      </c>
      <c r="H272" s="318" t="e">
        <f>+'I) Dépenses thématiques'!O271</f>
        <v>#DIV/0!</v>
      </c>
      <c r="I272" s="315">
        <f>'K) Plafonnement aide'!J271</f>
        <v>0</v>
      </c>
      <c r="J272" s="318">
        <f>'J) Plafonnement effort'!J271</f>
        <v>0</v>
      </c>
      <c r="K272" s="315">
        <f>'L) Plafonnement taux'!Q272</f>
        <v>0</v>
      </c>
      <c r="L272" s="313" t="e">
        <f t="shared" si="15"/>
        <v>#DIV/0!</v>
      </c>
      <c r="M272" s="234">
        <f>'M) Police'!O272</f>
        <v>150053.65384293994</v>
      </c>
      <c r="N272" s="234" t="e">
        <f t="shared" si="14"/>
        <v>#DIV/0!</v>
      </c>
      <c r="P272" s="320"/>
    </row>
    <row r="273" spans="1:16" s="154" customFormat="1" x14ac:dyDescent="0.25">
      <c r="A273" s="151">
        <f>'B) D RI'!A274</f>
        <v>5872</v>
      </c>
      <c r="B273" s="152" t="str">
        <f>'B) D RI'!B274</f>
        <v>Le Chenit</v>
      </c>
      <c r="C273" s="316">
        <f>'B) D RI'!S274</f>
        <v>66.95</v>
      </c>
      <c r="D273" s="153">
        <f>'B) D RI'!AA274</f>
        <v>4600</v>
      </c>
      <c r="E273" s="314">
        <f>'D) Ecrêtage'!C272</f>
        <v>236042.78222554145</v>
      </c>
      <c r="F273" s="318">
        <f>'E) Fact soc'!G278</f>
        <v>7194543.8319358584</v>
      </c>
      <c r="G273" s="315">
        <f>'H) Péréquation directe'!I283</f>
        <v>3022959.0545456479</v>
      </c>
      <c r="H273" s="318" t="e">
        <f>+'I) Dépenses thématiques'!O272</f>
        <v>#DIV/0!</v>
      </c>
      <c r="I273" s="315">
        <f>'K) Plafonnement aide'!J272</f>
        <v>0</v>
      </c>
      <c r="J273" s="318">
        <f>'J) Plafonnement effort'!J272</f>
        <v>0</v>
      </c>
      <c r="K273" s="315">
        <f>'L) Plafonnement taux'!Q273</f>
        <v>0</v>
      </c>
      <c r="L273" s="313" t="e">
        <f t="shared" si="15"/>
        <v>#DIV/0!</v>
      </c>
      <c r="M273" s="234">
        <f>'M) Police'!O273</f>
        <v>686762.7005624047</v>
      </c>
      <c r="N273" s="234" t="e">
        <f t="shared" si="14"/>
        <v>#DIV/0!</v>
      </c>
      <c r="P273" s="320"/>
    </row>
    <row r="274" spans="1:16" s="154" customFormat="1" x14ac:dyDescent="0.25">
      <c r="A274" s="151">
        <f>'B) D RI'!A275</f>
        <v>5873</v>
      </c>
      <c r="B274" s="152" t="str">
        <f>'B) D RI'!B275</f>
        <v>Le Lieu</v>
      </c>
      <c r="C274" s="316">
        <f>'B) D RI'!S275</f>
        <v>70</v>
      </c>
      <c r="D274" s="153">
        <f>'B) D RI'!AA275</f>
        <v>888</v>
      </c>
      <c r="E274" s="314">
        <f>'D) Ecrêtage'!C273</f>
        <v>30440.408392857149</v>
      </c>
      <c r="F274" s="318">
        <f>'E) Fact soc'!G279</f>
        <v>782020.98897275829</v>
      </c>
      <c r="G274" s="315">
        <f>'H) Péréquation directe'!I284</f>
        <v>245075.84732260561</v>
      </c>
      <c r="H274" s="318" t="e">
        <f>+'I) Dépenses thématiques'!O273</f>
        <v>#DIV/0!</v>
      </c>
      <c r="I274" s="315">
        <f>'K) Plafonnement aide'!J273</f>
        <v>0</v>
      </c>
      <c r="J274" s="318">
        <f>'J) Plafonnement effort'!J273</f>
        <v>0</v>
      </c>
      <c r="K274" s="315">
        <f>'L) Plafonnement taux'!Q274</f>
        <v>0</v>
      </c>
      <c r="L274" s="313" t="e">
        <f t="shared" si="15"/>
        <v>#DIV/0!</v>
      </c>
      <c r="M274" s="234">
        <f>'M) Police'!O274</f>
        <v>92515.146490089086</v>
      </c>
      <c r="N274" s="234" t="e">
        <f t="shared" si="14"/>
        <v>#DIV/0!</v>
      </c>
      <c r="P274" s="320"/>
    </row>
    <row r="275" spans="1:16" s="154" customFormat="1" x14ac:dyDescent="0.25">
      <c r="A275" s="151">
        <f>'B) D RI'!A276</f>
        <v>5881</v>
      </c>
      <c r="B275" s="152" t="str">
        <f>'B) D RI'!B276</f>
        <v>Blonay</v>
      </c>
      <c r="C275" s="316">
        <f>'B) D RI'!S276</f>
        <v>68.5</v>
      </c>
      <c r="D275" s="153">
        <f>'B) D RI'!AA276</f>
        <v>6215</v>
      </c>
      <c r="E275" s="314">
        <f>'D) Ecrêtage'!C274</f>
        <v>363266.43007299263</v>
      </c>
      <c r="F275" s="318">
        <f>'E) Fact soc'!G280</f>
        <v>7660685.5228956938</v>
      </c>
      <c r="G275" s="315">
        <f>'H) Péréquation directe'!I285</f>
        <v>4599569.5575828701</v>
      </c>
      <c r="H275" s="318" t="e">
        <f>+'I) Dépenses thématiques'!O274</f>
        <v>#DIV/0!</v>
      </c>
      <c r="I275" s="315">
        <f>'K) Plafonnement aide'!J274</f>
        <v>0</v>
      </c>
      <c r="J275" s="318">
        <f>'J) Plafonnement effort'!J274</f>
        <v>0</v>
      </c>
      <c r="K275" s="315">
        <f>'L) Plafonnement taux'!Q275</f>
        <v>0</v>
      </c>
      <c r="L275" s="313" t="e">
        <f t="shared" si="15"/>
        <v>#DIV/0!</v>
      </c>
      <c r="M275" s="234">
        <f>'M) Police'!O275</f>
        <v>426661.8397245279</v>
      </c>
      <c r="N275" s="234" t="e">
        <f t="shared" si="14"/>
        <v>#DIV/0!</v>
      </c>
      <c r="P275" s="320"/>
    </row>
    <row r="276" spans="1:16" s="154" customFormat="1" x14ac:dyDescent="0.25">
      <c r="A276" s="151">
        <f>'B) D RI'!A277</f>
        <v>5882</v>
      </c>
      <c r="B276" s="152" t="str">
        <f>'B) D RI'!B277</f>
        <v>Chardonne</v>
      </c>
      <c r="C276" s="316">
        <f>'B) D RI'!S277</f>
        <v>68</v>
      </c>
      <c r="D276" s="153">
        <f>'B) D RI'!AA277</f>
        <v>3093</v>
      </c>
      <c r="E276" s="314">
        <f>'D) Ecrêtage'!C275</f>
        <v>179032.37397058826</v>
      </c>
      <c r="F276" s="318">
        <f>'E) Fact soc'!G281</f>
        <v>3453422.4905684595</v>
      </c>
      <c r="G276" s="315">
        <f>'H) Péréquation directe'!I286</f>
        <v>2650951.693528383</v>
      </c>
      <c r="H276" s="318" t="e">
        <f>+'I) Dépenses thématiques'!O275</f>
        <v>#DIV/0!</v>
      </c>
      <c r="I276" s="315">
        <f>'K) Plafonnement aide'!J275</f>
        <v>0</v>
      </c>
      <c r="J276" s="318">
        <f>'J) Plafonnement effort'!J275</f>
        <v>0</v>
      </c>
      <c r="K276" s="315">
        <f>'L) Plafonnement taux'!Q276</f>
        <v>0</v>
      </c>
      <c r="L276" s="313" t="e">
        <f t="shared" si="15"/>
        <v>#DIV/0!</v>
      </c>
      <c r="M276" s="234">
        <f>'M) Police'!O276</f>
        <v>210276.19324249768</v>
      </c>
      <c r="N276" s="234" t="e">
        <f t="shared" si="14"/>
        <v>#DIV/0!</v>
      </c>
      <c r="P276" s="320"/>
    </row>
    <row r="277" spans="1:16" s="154" customFormat="1" x14ac:dyDescent="0.25">
      <c r="A277" s="151">
        <f>'B) D RI'!A278</f>
        <v>5883</v>
      </c>
      <c r="B277" s="152" t="str">
        <f>'B) D RI'!B278</f>
        <v>Corseaux</v>
      </c>
      <c r="C277" s="316">
        <f>'B) D RI'!S278</f>
        <v>67.5</v>
      </c>
      <c r="D277" s="153">
        <f>'B) D RI'!AA278</f>
        <v>2311</v>
      </c>
      <c r="E277" s="314">
        <f>'D) Ecrêtage'!C276</f>
        <v>167893.40074074076</v>
      </c>
      <c r="F277" s="318">
        <f>'E) Fact soc'!G282</f>
        <v>3700587.5161928148</v>
      </c>
      <c r="G277" s="315">
        <f>'H) Péréquation directe'!I287</f>
        <v>2717564.3431522688</v>
      </c>
      <c r="H277" s="318" t="e">
        <f>+'I) Dépenses thématiques'!O276</f>
        <v>#DIV/0!</v>
      </c>
      <c r="I277" s="315">
        <f>'K) Plafonnement aide'!J276</f>
        <v>0</v>
      </c>
      <c r="J277" s="318">
        <f>'J) Plafonnement effort'!J276</f>
        <v>0</v>
      </c>
      <c r="K277" s="315">
        <f>'L) Plafonnement taux'!Q277</f>
        <v>0</v>
      </c>
      <c r="L277" s="313" t="e">
        <f t="shared" si="15"/>
        <v>#DIV/0!</v>
      </c>
      <c r="M277" s="234">
        <f>'M) Police'!O277</f>
        <v>197193.3030620479</v>
      </c>
      <c r="N277" s="234" t="e">
        <f t="shared" si="14"/>
        <v>#DIV/0!</v>
      </c>
      <c r="P277" s="320"/>
    </row>
    <row r="278" spans="1:16" s="154" customFormat="1" x14ac:dyDescent="0.25">
      <c r="A278" s="151">
        <f>'B) D RI'!A279</f>
        <v>5884</v>
      </c>
      <c r="B278" s="152" t="str">
        <f>'B) D RI'!B279</f>
        <v>Corsier-sur-Vevey</v>
      </c>
      <c r="C278" s="316">
        <f>'B) D RI'!S279</f>
        <v>66</v>
      </c>
      <c r="D278" s="153">
        <f>'B) D RI'!AA279</f>
        <v>3420</v>
      </c>
      <c r="E278" s="314">
        <f>'D) Ecrêtage'!C277</f>
        <v>122170.7416919192</v>
      </c>
      <c r="F278" s="318">
        <f>'E) Fact soc'!G283</f>
        <v>2057769.0813184141</v>
      </c>
      <c r="G278" s="315">
        <f>'H) Péréquation directe'!I288</f>
        <v>628079.89352637902</v>
      </c>
      <c r="H278" s="318" t="e">
        <f>+'I) Dépenses thématiques'!O277</f>
        <v>#DIV/0!</v>
      </c>
      <c r="I278" s="315">
        <f>'K) Plafonnement aide'!J277</f>
        <v>0</v>
      </c>
      <c r="J278" s="318">
        <f>'J) Plafonnement effort'!J277</f>
        <v>0</v>
      </c>
      <c r="K278" s="315">
        <f>'L) Plafonnement taux'!Q278</f>
        <v>0</v>
      </c>
      <c r="L278" s="313" t="e">
        <f t="shared" si="15"/>
        <v>#DIV/0!</v>
      </c>
      <c r="M278" s="234">
        <f>'M) Police'!O278</f>
        <v>143491.35812056874</v>
      </c>
      <c r="N278" s="234" t="e">
        <f t="shared" si="14"/>
        <v>#DIV/0!</v>
      </c>
      <c r="P278" s="320"/>
    </row>
    <row r="279" spans="1:16" s="154" customFormat="1" x14ac:dyDescent="0.25">
      <c r="A279" s="151">
        <f>'B) D RI'!A280</f>
        <v>5885</v>
      </c>
      <c r="B279" s="152" t="str">
        <f>'B) D RI'!B280</f>
        <v>Jongny</v>
      </c>
      <c r="C279" s="316">
        <f>'B) D RI'!S280</f>
        <v>69.5</v>
      </c>
      <c r="D279" s="153">
        <f>'B) D RI'!AA280</f>
        <v>1670</v>
      </c>
      <c r="E279" s="314">
        <f>'D) Ecrêtage'!C278</f>
        <v>85101.213069544348</v>
      </c>
      <c r="F279" s="318">
        <f>'E) Fact soc'!G284</f>
        <v>1555483.3401475828</v>
      </c>
      <c r="G279" s="315">
        <f>'H) Péréquation directe'!I289</f>
        <v>1314420.7747176341</v>
      </c>
      <c r="H279" s="318" t="e">
        <f>+'I) Dépenses thématiques'!O278</f>
        <v>#DIV/0!</v>
      </c>
      <c r="I279" s="315">
        <f>'K) Plafonnement aide'!J278</f>
        <v>0</v>
      </c>
      <c r="J279" s="318">
        <f>'J) Plafonnement effort'!J278</f>
        <v>0</v>
      </c>
      <c r="K279" s="315">
        <f>'L) Plafonnement taux'!Q279</f>
        <v>0</v>
      </c>
      <c r="L279" s="313" t="e">
        <f t="shared" si="15"/>
        <v>#DIV/0!</v>
      </c>
      <c r="M279" s="234">
        <f>'M) Police'!O279</f>
        <v>99952.643914123924</v>
      </c>
      <c r="N279" s="234" t="e">
        <f t="shared" si="14"/>
        <v>#DIV/0!</v>
      </c>
      <c r="P279" s="320"/>
    </row>
    <row r="280" spans="1:16" s="154" customFormat="1" x14ac:dyDescent="0.25">
      <c r="A280" s="151">
        <f>'B) D RI'!A281</f>
        <v>5886</v>
      </c>
      <c r="B280" s="152" t="str">
        <f>'B) D RI'!B281</f>
        <v>Montreux</v>
      </c>
      <c r="C280" s="316">
        <f>'B) D RI'!S281</f>
        <v>65</v>
      </c>
      <c r="D280" s="153">
        <f>'B) D RI'!AA281</f>
        <v>26180</v>
      </c>
      <c r="E280" s="314">
        <f>'D) Ecrêtage'!C279</f>
        <v>1097075.3945128203</v>
      </c>
      <c r="F280" s="318">
        <f>'E) Fact soc'!G285</f>
        <v>25888130.227655057</v>
      </c>
      <c r="G280" s="315">
        <f>'H) Péréquation directe'!I290</f>
        <v>-2580477.9283332303</v>
      </c>
      <c r="H280" s="318" t="e">
        <f>+'I) Dépenses thématiques'!O279</f>
        <v>#DIV/0!</v>
      </c>
      <c r="I280" s="315">
        <f>'K) Plafonnement aide'!J279</f>
        <v>0</v>
      </c>
      <c r="J280" s="318">
        <f>'J) Plafonnement effort'!J279</f>
        <v>0</v>
      </c>
      <c r="K280" s="315">
        <f>'L) Plafonnement taux'!Q280</f>
        <v>0</v>
      </c>
      <c r="L280" s="313" t="e">
        <f t="shared" si="15"/>
        <v>#DIV/0!</v>
      </c>
      <c r="M280" s="234">
        <f>'M) Police'!O280</f>
        <v>1288531.4121794817</v>
      </c>
      <c r="N280" s="234" t="e">
        <f t="shared" si="14"/>
        <v>#DIV/0!</v>
      </c>
      <c r="P280" s="320"/>
    </row>
    <row r="281" spans="1:16" s="154" customFormat="1" x14ac:dyDescent="0.25">
      <c r="A281" s="151">
        <f>'B) D RI'!A282</f>
        <v>5888</v>
      </c>
      <c r="B281" s="152" t="str">
        <f>'B) D RI'!B282</f>
        <v>Saint-Légier-La Chiésaz</v>
      </c>
      <c r="C281" s="316">
        <f>'B) D RI'!S282</f>
        <v>68.5</v>
      </c>
      <c r="D281" s="153">
        <f>'B) D RI'!AA282</f>
        <v>5522</v>
      </c>
      <c r="E281" s="314">
        <f>'D) Ecrêtage'!C280</f>
        <v>325579.73326034058</v>
      </c>
      <c r="F281" s="318">
        <f>'E) Fact soc'!G286</f>
        <v>6306335.9105602186</v>
      </c>
      <c r="G281" s="315">
        <f>'H) Péréquation directe'!I291</f>
        <v>4272015.9593450259</v>
      </c>
      <c r="H281" s="318" t="e">
        <f>+'I) Dépenses thématiques'!O280</f>
        <v>#DIV/0!</v>
      </c>
      <c r="I281" s="315">
        <f>'K) Plafonnement aide'!J280</f>
        <v>0</v>
      </c>
      <c r="J281" s="318">
        <f>'J) Plafonnement effort'!J280</f>
        <v>0</v>
      </c>
      <c r="K281" s="315">
        <f>'L) Plafonnement taux'!Q281</f>
        <v>0</v>
      </c>
      <c r="L281" s="313" t="e">
        <f t="shared" si="15"/>
        <v>#DIV/0!</v>
      </c>
      <c r="M281" s="234">
        <f>'M) Police'!O281</f>
        <v>382398.25227441388</v>
      </c>
      <c r="N281" s="234" t="e">
        <f t="shared" si="14"/>
        <v>#DIV/0!</v>
      </c>
      <c r="P281" s="320"/>
    </row>
    <row r="282" spans="1:16" s="154" customFormat="1" x14ac:dyDescent="0.25">
      <c r="A282" s="151">
        <f>'B) D RI'!A283</f>
        <v>5889</v>
      </c>
      <c r="B282" s="152" t="str">
        <f>'B) D RI'!B283</f>
        <v>La Tour-de-Peilz</v>
      </c>
      <c r="C282" s="316">
        <f>'B) D RI'!S283</f>
        <v>64</v>
      </c>
      <c r="D282" s="153">
        <f>'B) D RI'!AA283</f>
        <v>12088</v>
      </c>
      <c r="E282" s="314">
        <f>'D) Ecrêtage'!C281</f>
        <v>675962.70015625004</v>
      </c>
      <c r="F282" s="318">
        <f>'E) Fact soc'!G287</f>
        <v>12047578.067013286</v>
      </c>
      <c r="G282" s="315">
        <f>'H) Péréquation directe'!I292</f>
        <v>6465280.0899435207</v>
      </c>
      <c r="H282" s="318" t="e">
        <f>+'I) Dépenses thématiques'!O281</f>
        <v>#DIV/0!</v>
      </c>
      <c r="I282" s="315">
        <f>'K) Plafonnement aide'!J281</f>
        <v>0</v>
      </c>
      <c r="J282" s="318">
        <f>'J) Plafonnement effort'!J281</f>
        <v>0</v>
      </c>
      <c r="K282" s="315">
        <f>'L) Plafonnement taux'!Q282</f>
        <v>0</v>
      </c>
      <c r="L282" s="313" t="e">
        <f t="shared" si="15"/>
        <v>#DIV/0!</v>
      </c>
      <c r="M282" s="234">
        <f>'M) Police'!O282</f>
        <v>793928.27235886932</v>
      </c>
      <c r="N282" s="234" t="e">
        <f t="shared" si="14"/>
        <v>#DIV/0!</v>
      </c>
      <c r="P282" s="320"/>
    </row>
    <row r="283" spans="1:16" s="154" customFormat="1" x14ac:dyDescent="0.25">
      <c r="A283" s="151">
        <f>'B) D RI'!A284</f>
        <v>5890</v>
      </c>
      <c r="B283" s="152" t="str">
        <f>'B) D RI'!B284</f>
        <v>Vevey</v>
      </c>
      <c r="C283" s="316">
        <f>'B) D RI'!S284</f>
        <v>74.5</v>
      </c>
      <c r="D283" s="153">
        <f>'B) D RI'!AA284</f>
        <v>19780</v>
      </c>
      <c r="E283" s="314">
        <f>'D) Ecrêtage'!C282</f>
        <v>862625.86017897108</v>
      </c>
      <c r="F283" s="318">
        <f>'E) Fact soc'!G288</f>
        <v>15061476.535292029</v>
      </c>
      <c r="G283" s="315">
        <f>'H) Péréquation directe'!I293</f>
        <v>254014.76649164781</v>
      </c>
      <c r="H283" s="318" t="e">
        <f>+'I) Dépenses thématiques'!O282</f>
        <v>#DIV/0!</v>
      </c>
      <c r="I283" s="315">
        <f>'K) Plafonnement aide'!J282</f>
        <v>0</v>
      </c>
      <c r="J283" s="318">
        <f>'J) Plafonnement effort'!J282</f>
        <v>0</v>
      </c>
      <c r="K283" s="315">
        <f>'L) Plafonnement taux'!Q283</f>
        <v>0</v>
      </c>
      <c r="L283" s="313" t="e">
        <f t="shared" si="15"/>
        <v>#DIV/0!</v>
      </c>
      <c r="M283" s="234">
        <f>'M) Police'!O283</f>
        <v>1013166.9376219527</v>
      </c>
      <c r="N283" s="234" t="e">
        <f t="shared" si="14"/>
        <v>#DIV/0!</v>
      </c>
      <c r="P283" s="320"/>
    </row>
    <row r="284" spans="1:16" s="154" customFormat="1" x14ac:dyDescent="0.25">
      <c r="A284" s="151">
        <f>'B) D RI'!A285</f>
        <v>5891</v>
      </c>
      <c r="B284" s="152" t="str">
        <f>'B) D RI'!B285</f>
        <v>Veytaux</v>
      </c>
      <c r="C284" s="316">
        <f>'B) D RI'!S285</f>
        <v>69.5</v>
      </c>
      <c r="D284" s="153">
        <f>'B) D RI'!AA285</f>
        <v>956</v>
      </c>
      <c r="E284" s="314">
        <f>'D) Ecrêtage'!C283</f>
        <v>43950.38565947242</v>
      </c>
      <c r="F284" s="318">
        <f>'E) Fact soc'!G289</f>
        <v>751964.80772487458</v>
      </c>
      <c r="G284" s="315">
        <f>'H) Péréquation directe'!I294</f>
        <v>703706.57984621637</v>
      </c>
      <c r="H284" s="318" t="e">
        <f>+'I) Dépenses thématiques'!O283</f>
        <v>#DIV/0!</v>
      </c>
      <c r="I284" s="315">
        <f>'K) Plafonnement aide'!J283</f>
        <v>0</v>
      </c>
      <c r="J284" s="318">
        <f>'J) Plafonnement effort'!J283</f>
        <v>0</v>
      </c>
      <c r="K284" s="315">
        <f>'L) Plafonnement taux'!Q284</f>
        <v>0</v>
      </c>
      <c r="L284" s="313" t="e">
        <f t="shared" si="15"/>
        <v>#DIV/0!</v>
      </c>
      <c r="M284" s="234">
        <f>'M) Police'!O284</f>
        <v>51620.383414743563</v>
      </c>
      <c r="N284" s="234" t="e">
        <f t="shared" si="14"/>
        <v>#DIV/0!</v>
      </c>
      <c r="P284" s="320"/>
    </row>
    <row r="285" spans="1:16" s="154" customFormat="1" x14ac:dyDescent="0.25">
      <c r="A285" s="151">
        <f>'B) D RI'!A286</f>
        <v>5902</v>
      </c>
      <c r="B285" s="152" t="str">
        <f>'B) D RI'!B286</f>
        <v>Belmont-sur-Yverdon</v>
      </c>
      <c r="C285" s="316">
        <f>'B) D RI'!S286</f>
        <v>70</v>
      </c>
      <c r="D285" s="153">
        <f>'B) D RI'!AA286</f>
        <v>396</v>
      </c>
      <c r="E285" s="314">
        <f>'D) Ecrêtage'!C284</f>
        <v>11749.165714285717</v>
      </c>
      <c r="F285" s="318">
        <f>'E) Fact soc'!G290</f>
        <v>243220.06573730314</v>
      </c>
      <c r="G285" s="315">
        <f>'H) Péréquation directe'!I295</f>
        <v>37553.503378635593</v>
      </c>
      <c r="H285" s="318" t="e">
        <f>+'I) Dépenses thématiques'!O284</f>
        <v>#DIV/0!</v>
      </c>
      <c r="I285" s="315">
        <f>'K) Plafonnement aide'!J284</f>
        <v>0</v>
      </c>
      <c r="J285" s="318">
        <f>'J) Plafonnement effort'!J284</f>
        <v>0</v>
      </c>
      <c r="K285" s="315">
        <f>'L) Plafonnement taux'!Q285</f>
        <v>0</v>
      </c>
      <c r="L285" s="313" t="e">
        <f t="shared" si="15"/>
        <v>#DIV/0!</v>
      </c>
      <c r="M285" s="234">
        <f>'M) Police'!O285</f>
        <v>35682.01806786401</v>
      </c>
      <c r="N285" s="234" t="e">
        <f t="shared" si="14"/>
        <v>#DIV/0!</v>
      </c>
      <c r="P285" s="320"/>
    </row>
    <row r="286" spans="1:16" s="154" customFormat="1" x14ac:dyDescent="0.25">
      <c r="A286" s="151">
        <f>'B) D RI'!A287</f>
        <v>5903</v>
      </c>
      <c r="B286" s="152" t="str">
        <f>'B) D RI'!B287</f>
        <v>Bioley-Magnoux</v>
      </c>
      <c r="C286" s="316">
        <f>'B) D RI'!S287</f>
        <v>72</v>
      </c>
      <c r="D286" s="153">
        <f>'B) D RI'!AA287</f>
        <v>230</v>
      </c>
      <c r="E286" s="314">
        <f>'D) Ecrêtage'!C285</f>
        <v>5017.2132738095233</v>
      </c>
      <c r="F286" s="318">
        <f>'E) Fact soc'!G291</f>
        <v>78825.41659849789</v>
      </c>
      <c r="G286" s="315">
        <f>'H) Péréquation directe'!I296</f>
        <v>-56094.253724950278</v>
      </c>
      <c r="H286" s="318" t="e">
        <f>+'I) Dépenses thématiques'!O285</f>
        <v>#DIV/0!</v>
      </c>
      <c r="I286" s="315">
        <f>'K) Plafonnement aide'!J285</f>
        <v>0</v>
      </c>
      <c r="J286" s="318">
        <f>'J) Plafonnement effort'!J285</f>
        <v>0</v>
      </c>
      <c r="K286" s="315">
        <f>'L) Plafonnement taux'!Q286</f>
        <v>0</v>
      </c>
      <c r="L286" s="313" t="e">
        <f t="shared" si="15"/>
        <v>#DIV/0!</v>
      </c>
      <c r="M286" s="234">
        <f>'M) Police'!O286</f>
        <v>14909.321536934531</v>
      </c>
      <c r="N286" s="234" t="e">
        <f t="shared" si="14"/>
        <v>#DIV/0!</v>
      </c>
      <c r="P286" s="320"/>
    </row>
    <row r="287" spans="1:16" s="154" customFormat="1" x14ac:dyDescent="0.25">
      <c r="A287" s="151">
        <f>'B) D RI'!A288</f>
        <v>5904</v>
      </c>
      <c r="B287" s="152" t="str">
        <f>'B) D RI'!B288</f>
        <v>Chamblon</v>
      </c>
      <c r="C287" s="316">
        <f>'B) D RI'!S288</f>
        <v>66</v>
      </c>
      <c r="D287" s="153">
        <f>'B) D RI'!AA288</f>
        <v>559</v>
      </c>
      <c r="E287" s="314">
        <f>'D) Ecrêtage'!C286</f>
        <v>21694.056363636359</v>
      </c>
      <c r="F287" s="318">
        <f>'E) Fact soc'!G292</f>
        <v>339948.72241918358</v>
      </c>
      <c r="G287" s="315">
        <f>'H) Péréquation directe'!I297</f>
        <v>265183.30601522321</v>
      </c>
      <c r="H287" s="318" t="e">
        <f>+'I) Dépenses thématiques'!O286</f>
        <v>#DIV/0!</v>
      </c>
      <c r="I287" s="315">
        <f>'K) Plafonnement aide'!J286</f>
        <v>0</v>
      </c>
      <c r="J287" s="318">
        <f>'J) Plafonnement effort'!J286</f>
        <v>0</v>
      </c>
      <c r="K287" s="315">
        <f>'L) Plafonnement taux'!Q287</f>
        <v>0</v>
      </c>
      <c r="L287" s="313" t="e">
        <f t="shared" si="15"/>
        <v>#DIV/0!</v>
      </c>
      <c r="M287" s="234">
        <f>'M) Police'!O287</f>
        <v>25479.992735185682</v>
      </c>
      <c r="N287" s="234" t="e">
        <f t="shared" si="14"/>
        <v>#DIV/0!</v>
      </c>
      <c r="P287" s="320"/>
    </row>
    <row r="288" spans="1:16" s="154" customFormat="1" x14ac:dyDescent="0.25">
      <c r="A288" s="151">
        <f>'B) D RI'!A289</f>
        <v>5905</v>
      </c>
      <c r="B288" s="152" t="str">
        <f>'B) D RI'!B289</f>
        <v>Champvent</v>
      </c>
      <c r="C288" s="316">
        <f>'B) D RI'!S289</f>
        <v>71</v>
      </c>
      <c r="D288" s="153">
        <f>'B) D RI'!AA289</f>
        <v>696</v>
      </c>
      <c r="E288" s="314">
        <f>'D) Ecrêtage'!C287</f>
        <v>21622.169859154932</v>
      </c>
      <c r="F288" s="318">
        <f>'E) Fact soc'!G293</f>
        <v>364036.38272187009</v>
      </c>
      <c r="G288" s="315">
        <f>'H) Péréquation directe'!I298</f>
        <v>97467.102740829752</v>
      </c>
      <c r="H288" s="318" t="e">
        <f>+'I) Dépenses thématiques'!O287</f>
        <v>#DIV/0!</v>
      </c>
      <c r="I288" s="315">
        <f>'K) Plafonnement aide'!J287</f>
        <v>0</v>
      </c>
      <c r="J288" s="318">
        <f>'J) Plafonnement effort'!J287</f>
        <v>0</v>
      </c>
      <c r="K288" s="315">
        <f>'L) Plafonnement taux'!Q288</f>
        <v>0</v>
      </c>
      <c r="L288" s="313" t="e">
        <f t="shared" si="15"/>
        <v>#DIV/0!</v>
      </c>
      <c r="M288" s="234">
        <f>'M) Police'!O288</f>
        <v>65913.326034009486</v>
      </c>
      <c r="N288" s="234" t="e">
        <f t="shared" si="14"/>
        <v>#DIV/0!</v>
      </c>
      <c r="P288" s="320"/>
    </row>
    <row r="289" spans="1:16" s="154" customFormat="1" x14ac:dyDescent="0.25">
      <c r="A289" s="151">
        <f>'B) D RI'!A290</f>
        <v>5907</v>
      </c>
      <c r="B289" s="152" t="str">
        <f>'B) D RI'!B290</f>
        <v>Chavannes-le-Chêne</v>
      </c>
      <c r="C289" s="316">
        <f>'B) D RI'!S290</f>
        <v>75</v>
      </c>
      <c r="D289" s="153">
        <f>'B) D RI'!AA290</f>
        <v>324</v>
      </c>
      <c r="E289" s="314">
        <f>'D) Ecrêtage'!C288</f>
        <v>9891.0456000000013</v>
      </c>
      <c r="F289" s="318">
        <f>'E) Fact soc'!G294</f>
        <v>151960.88284855193</v>
      </c>
      <c r="G289" s="315">
        <f>'H) Péréquation directe'!I299</f>
        <v>25023.879487760132</v>
      </c>
      <c r="H289" s="318" t="e">
        <f>+'I) Dépenses thématiques'!O288</f>
        <v>#DIV/0!</v>
      </c>
      <c r="I289" s="315">
        <f>'K) Plafonnement aide'!J288</f>
        <v>0</v>
      </c>
      <c r="J289" s="318">
        <f>'J) Plafonnement effort'!J288</f>
        <v>0</v>
      </c>
      <c r="K289" s="315">
        <f>'L) Plafonnement taux'!Q289</f>
        <v>0</v>
      </c>
      <c r="L289" s="313" t="e">
        <f t="shared" si="15"/>
        <v>#DIV/0!</v>
      </c>
      <c r="M289" s="234">
        <f>'M) Police'!O289</f>
        <v>30142.499768122492</v>
      </c>
      <c r="N289" s="234" t="e">
        <f t="shared" si="14"/>
        <v>#DIV/0!</v>
      </c>
      <c r="P289" s="320"/>
    </row>
    <row r="290" spans="1:16" s="154" customFormat="1" x14ac:dyDescent="0.25">
      <c r="A290" s="151">
        <f>'B) D RI'!A291</f>
        <v>5908</v>
      </c>
      <c r="B290" s="152" t="str">
        <f>'B) D RI'!B291</f>
        <v>Chêne-Pâquier</v>
      </c>
      <c r="C290" s="316">
        <f>'B) D RI'!S291</f>
        <v>79</v>
      </c>
      <c r="D290" s="153">
        <f>'B) D RI'!AA291</f>
        <v>144</v>
      </c>
      <c r="E290" s="314">
        <f>'D) Ecrêtage'!C289</f>
        <v>6502.4863291139245</v>
      </c>
      <c r="F290" s="318">
        <f>'E) Fact soc'!G295</f>
        <v>93691.225927119522</v>
      </c>
      <c r="G290" s="315">
        <f>'H) Péréquation directe'!I300</f>
        <v>98948.462654697083</v>
      </c>
      <c r="H290" s="318" t="e">
        <f>+'I) Dépenses thématiques'!O289</f>
        <v>#DIV/0!</v>
      </c>
      <c r="I290" s="315">
        <f>'K) Plafonnement aide'!J289</f>
        <v>0</v>
      </c>
      <c r="J290" s="318">
        <f>'J) Plafonnement effort'!J289</f>
        <v>0</v>
      </c>
      <c r="K290" s="315">
        <f>'L) Plafonnement taux'!Q290</f>
        <v>-79478.280446014513</v>
      </c>
      <c r="L290" s="313" t="e">
        <f t="shared" si="15"/>
        <v>#DIV/0!</v>
      </c>
      <c r="M290" s="234">
        <f>'M) Police'!O290</f>
        <v>20099.930966377615</v>
      </c>
      <c r="N290" s="234" t="e">
        <f t="shared" si="14"/>
        <v>#DIV/0!</v>
      </c>
      <c r="P290" s="320"/>
    </row>
    <row r="291" spans="1:16" s="154" customFormat="1" x14ac:dyDescent="0.25">
      <c r="A291" s="151">
        <f>'B) D RI'!A292</f>
        <v>5909</v>
      </c>
      <c r="B291" s="152" t="str">
        <f>'B) D RI'!B292</f>
        <v>Cheseaux-Noréaz</v>
      </c>
      <c r="C291" s="316">
        <f>'B) D RI'!S292</f>
        <v>67</v>
      </c>
      <c r="D291" s="153">
        <f>'B) D RI'!AA292</f>
        <v>741</v>
      </c>
      <c r="E291" s="314">
        <f>'D) Ecrêtage'!C290</f>
        <v>39259.116417910453</v>
      </c>
      <c r="F291" s="318">
        <f>'E) Fact soc'!G296</f>
        <v>626925.90084826096</v>
      </c>
      <c r="G291" s="315">
        <f>'H) Péréquation directe'!I301</f>
        <v>679003.253931924</v>
      </c>
      <c r="H291" s="318" t="e">
        <f>+'I) Dépenses thématiques'!O290</f>
        <v>#DIV/0!</v>
      </c>
      <c r="I291" s="315">
        <f>'K) Plafonnement aide'!J290</f>
        <v>0</v>
      </c>
      <c r="J291" s="318">
        <f>'J) Plafonnement effort'!J290</f>
        <v>0</v>
      </c>
      <c r="K291" s="315">
        <f>'L) Plafonnement taux'!Q291</f>
        <v>0</v>
      </c>
      <c r="L291" s="313" t="e">
        <f t="shared" si="15"/>
        <v>#DIV/0!</v>
      </c>
      <c r="M291" s="234">
        <f>'M) Police'!O291</f>
        <v>46110.417726899155</v>
      </c>
      <c r="N291" s="234" t="e">
        <f t="shared" si="14"/>
        <v>#DIV/0!</v>
      </c>
      <c r="P291" s="320"/>
    </row>
    <row r="292" spans="1:16" s="154" customFormat="1" x14ac:dyDescent="0.25">
      <c r="A292" s="151">
        <f>'B) D RI'!A293</f>
        <v>5910</v>
      </c>
      <c r="B292" s="152" t="str">
        <f>'B) D RI'!B293</f>
        <v>Cronay</v>
      </c>
      <c r="C292" s="316">
        <f>'B) D RI'!S293</f>
        <v>77</v>
      </c>
      <c r="D292" s="153">
        <f>'B) D RI'!AA293</f>
        <v>393</v>
      </c>
      <c r="E292" s="314">
        <f>'D) Ecrêtage'!C291</f>
        <v>9976.0020779220758</v>
      </c>
      <c r="F292" s="318">
        <f>'E) Fact soc'!G297</f>
        <v>129808.34615814817</v>
      </c>
      <c r="G292" s="315">
        <f>'H) Péréquation directe'!I302</f>
        <v>-65883.511677942821</v>
      </c>
      <c r="H292" s="318" t="e">
        <f>+'I) Dépenses thématiques'!O291</f>
        <v>#DIV/0!</v>
      </c>
      <c r="I292" s="315">
        <f>'K) Plafonnement aide'!J291</f>
        <v>0</v>
      </c>
      <c r="J292" s="318">
        <f>'J) Plafonnement effort'!J291</f>
        <v>0</v>
      </c>
      <c r="K292" s="315">
        <f>'L) Plafonnement taux'!Q292</f>
        <v>0</v>
      </c>
      <c r="L292" s="313" t="e">
        <f t="shared" si="15"/>
        <v>#DIV/0!</v>
      </c>
      <c r="M292" s="234">
        <f>'M) Police'!O292</f>
        <v>30141.434906759074</v>
      </c>
      <c r="N292" s="234" t="e">
        <f t="shared" si="14"/>
        <v>#DIV/0!</v>
      </c>
      <c r="P292" s="320"/>
    </row>
    <row r="293" spans="1:16" s="154" customFormat="1" x14ac:dyDescent="0.25">
      <c r="A293" s="151">
        <f>'B) D RI'!A294</f>
        <v>5911</v>
      </c>
      <c r="B293" s="152" t="str">
        <f>'B) D RI'!B294</f>
        <v>Cuarny</v>
      </c>
      <c r="C293" s="316">
        <f>'B) D RI'!S294</f>
        <v>77</v>
      </c>
      <c r="D293" s="153">
        <f>'B) D RI'!AA294</f>
        <v>234</v>
      </c>
      <c r="E293" s="314">
        <f>'D) Ecrêtage'!C292</f>
        <v>6939.596883116883</v>
      </c>
      <c r="F293" s="318">
        <f>'E) Fact soc'!G298</f>
        <v>94883.920439870257</v>
      </c>
      <c r="G293" s="315">
        <f>'H) Péréquation directe'!I303</f>
        <v>4181.3046828894585</v>
      </c>
      <c r="H293" s="318" t="e">
        <f>+'I) Dépenses thématiques'!O292</f>
        <v>#DIV/0!</v>
      </c>
      <c r="I293" s="315">
        <f>'K) Plafonnement aide'!J292</f>
        <v>0</v>
      </c>
      <c r="J293" s="318">
        <f>'J) Plafonnement effort'!J292</f>
        <v>0</v>
      </c>
      <c r="K293" s="315">
        <f>'L) Plafonnement taux'!Q293</f>
        <v>0</v>
      </c>
      <c r="L293" s="313" t="e">
        <f t="shared" si="15"/>
        <v>#DIV/0!</v>
      </c>
      <c r="M293" s="234">
        <f>'M) Police'!O293</f>
        <v>21090.040812690735</v>
      </c>
      <c r="N293" s="234" t="e">
        <f t="shared" si="14"/>
        <v>#DIV/0!</v>
      </c>
      <c r="P293" s="320"/>
    </row>
    <row r="294" spans="1:16" s="154" customFormat="1" x14ac:dyDescent="0.25">
      <c r="A294" s="151">
        <f>'B) D RI'!A295</f>
        <v>5912</v>
      </c>
      <c r="B294" s="152" t="str">
        <f>'B) D RI'!B295</f>
        <v>Démoret</v>
      </c>
      <c r="C294" s="316">
        <f>'B) D RI'!S295</f>
        <v>81</v>
      </c>
      <c r="D294" s="153">
        <f>'B) D RI'!AA295</f>
        <v>158</v>
      </c>
      <c r="E294" s="314">
        <f>'D) Ecrêtage'!C293</f>
        <v>4059.5274074074073</v>
      </c>
      <c r="F294" s="318">
        <f>'E) Fact soc'!G299</f>
        <v>66298.705159534235</v>
      </c>
      <c r="G294" s="315">
        <f>'H) Péréquation directe'!I304</f>
        <v>-33373.659182679869</v>
      </c>
      <c r="H294" s="318" t="e">
        <f>+'I) Dépenses thématiques'!O293</f>
        <v>#DIV/0!</v>
      </c>
      <c r="I294" s="315">
        <f>'K) Plafonnement aide'!J293</f>
        <v>0</v>
      </c>
      <c r="J294" s="318">
        <f>'J) Plafonnement effort'!J293</f>
        <v>0</v>
      </c>
      <c r="K294" s="315">
        <f>'L) Plafonnement taux'!Q294</f>
        <v>0</v>
      </c>
      <c r="L294" s="313" t="e">
        <f t="shared" si="15"/>
        <v>#DIV/0!</v>
      </c>
      <c r="M294" s="234">
        <f>'M) Police'!O294</f>
        <v>12367.492025305924</v>
      </c>
      <c r="N294" s="234" t="e">
        <f t="shared" si="14"/>
        <v>#DIV/0!</v>
      </c>
      <c r="P294" s="320"/>
    </row>
    <row r="295" spans="1:16" s="154" customFormat="1" x14ac:dyDescent="0.25">
      <c r="A295" s="151">
        <f>'B) D RI'!A296</f>
        <v>5913</v>
      </c>
      <c r="B295" s="152" t="str">
        <f>'B) D RI'!B296</f>
        <v>Donneloye</v>
      </c>
      <c r="C295" s="316">
        <f>'B) D RI'!S296</f>
        <v>73</v>
      </c>
      <c r="D295" s="153">
        <f>'B) D RI'!AA296</f>
        <v>829</v>
      </c>
      <c r="E295" s="314">
        <f>'D) Ecrêtage'!C294</f>
        <v>19880.828493150682</v>
      </c>
      <c r="F295" s="318">
        <f>'E) Fact soc'!G300</f>
        <v>315022.45432241913</v>
      </c>
      <c r="G295" s="315">
        <f>'H) Péréquation directe'!I305</f>
        <v>-141187.67165248038</v>
      </c>
      <c r="H295" s="318" t="e">
        <f>+'I) Dépenses thématiques'!O294</f>
        <v>#DIV/0!</v>
      </c>
      <c r="I295" s="315">
        <f>'K) Plafonnement aide'!J294</f>
        <v>0</v>
      </c>
      <c r="J295" s="318">
        <f>'J) Plafonnement effort'!J294</f>
        <v>0</v>
      </c>
      <c r="K295" s="315">
        <f>'L) Plafonnement taux'!Q295</f>
        <v>0</v>
      </c>
      <c r="L295" s="313" t="e">
        <f t="shared" si="15"/>
        <v>#DIV/0!</v>
      </c>
      <c r="M295" s="234">
        <f>'M) Police'!O295</f>
        <v>59848.401614371716</v>
      </c>
      <c r="N295" s="234" t="e">
        <f t="shared" si="14"/>
        <v>#DIV/0!</v>
      </c>
      <c r="P295" s="320"/>
    </row>
    <row r="296" spans="1:16" s="154" customFormat="1" x14ac:dyDescent="0.25">
      <c r="A296" s="151">
        <f>'B) D RI'!A297</f>
        <v>5914</v>
      </c>
      <c r="B296" s="152" t="str">
        <f>'B) D RI'!B297</f>
        <v>Ependes</v>
      </c>
      <c r="C296" s="316">
        <f>'B) D RI'!S297</f>
        <v>73.5</v>
      </c>
      <c r="D296" s="153">
        <f>'B) D RI'!AA297</f>
        <v>388</v>
      </c>
      <c r="E296" s="314">
        <f>'D) Ecrêtage'!C295</f>
        <v>10662.074965986394</v>
      </c>
      <c r="F296" s="318">
        <f>'E) Fact soc'!G301</f>
        <v>168529.86073397094</v>
      </c>
      <c r="G296" s="315">
        <f>'H) Péréquation directe'!I306</f>
        <v>-12774.275866937794</v>
      </c>
      <c r="H296" s="318" t="e">
        <f>+'I) Dépenses thématiques'!O295</f>
        <v>#DIV/0!</v>
      </c>
      <c r="I296" s="315">
        <f>'K) Plafonnement aide'!J295</f>
        <v>0</v>
      </c>
      <c r="J296" s="318">
        <f>'J) Plafonnement effort'!J295</f>
        <v>0</v>
      </c>
      <c r="K296" s="315">
        <f>'L) Plafonnement taux'!Q296</f>
        <v>0</v>
      </c>
      <c r="L296" s="313" t="e">
        <f t="shared" si="15"/>
        <v>#DIV/0!</v>
      </c>
      <c r="M296" s="234">
        <f>'M) Police'!O296</f>
        <v>12522.766057283407</v>
      </c>
      <c r="N296" s="234" t="e">
        <f t="shared" si="14"/>
        <v>#DIV/0!</v>
      </c>
      <c r="P296" s="320"/>
    </row>
    <row r="297" spans="1:16" s="154" customFormat="1" x14ac:dyDescent="0.25">
      <c r="A297" s="151">
        <f>'B) D RI'!A298</f>
        <v>5919</v>
      </c>
      <c r="B297" s="152" t="str">
        <f>'B) D RI'!B298</f>
        <v>Mathod</v>
      </c>
      <c r="C297" s="316">
        <f>'B) D RI'!S298</f>
        <v>72</v>
      </c>
      <c r="D297" s="153">
        <f>'B) D RI'!AA298</f>
        <v>651</v>
      </c>
      <c r="E297" s="314">
        <f>'D) Ecrêtage'!C296</f>
        <v>21565.598078703704</v>
      </c>
      <c r="F297" s="318">
        <f>'E) Fact soc'!G302</f>
        <v>428272.9349987926</v>
      </c>
      <c r="G297" s="315">
        <f>'H) Péréquation directe'!I307</f>
        <v>139015.15873421717</v>
      </c>
      <c r="H297" s="318" t="e">
        <f>+'I) Dépenses thématiques'!O296</f>
        <v>#DIV/0!</v>
      </c>
      <c r="I297" s="315">
        <f>'K) Plafonnement aide'!J296</f>
        <v>0</v>
      </c>
      <c r="J297" s="318">
        <f>'J) Plafonnement effort'!J296</f>
        <v>0</v>
      </c>
      <c r="K297" s="315">
        <f>'L) Plafonnement taux'!Q297</f>
        <v>0</v>
      </c>
      <c r="L297" s="313" t="e">
        <f t="shared" si="15"/>
        <v>#DIV/0!</v>
      </c>
      <c r="M297" s="234">
        <f>'M) Police'!O297</f>
        <v>25329.116563759078</v>
      </c>
      <c r="N297" s="234" t="e">
        <f t="shared" si="14"/>
        <v>#DIV/0!</v>
      </c>
      <c r="P297" s="320"/>
    </row>
    <row r="298" spans="1:16" s="154" customFormat="1" x14ac:dyDescent="0.25">
      <c r="A298" s="151">
        <f>'B) D RI'!A299</f>
        <v>5921</v>
      </c>
      <c r="B298" s="152" t="str">
        <f>'B) D RI'!B299</f>
        <v>Molondin</v>
      </c>
      <c r="C298" s="316">
        <f>'B) D RI'!S299</f>
        <v>81</v>
      </c>
      <c r="D298" s="153">
        <f>'B) D RI'!AA299</f>
        <v>252</v>
      </c>
      <c r="E298" s="314">
        <f>'D) Ecrêtage'!C297</f>
        <v>5675.8933333333334</v>
      </c>
      <c r="F298" s="318">
        <f>'E) Fact soc'!G303</f>
        <v>88733.274198683241</v>
      </c>
      <c r="G298" s="315">
        <f>'H) Péréquation directe'!I308</f>
        <v>-89940.62073510926</v>
      </c>
      <c r="H298" s="318" t="e">
        <f>+'I) Dépenses thématiques'!O297</f>
        <v>#DIV/0!</v>
      </c>
      <c r="I298" s="315">
        <f>'K) Plafonnement aide'!J297</f>
        <v>0</v>
      </c>
      <c r="J298" s="318">
        <f>'J) Plafonnement effort'!J297</f>
        <v>0</v>
      </c>
      <c r="K298" s="315">
        <f>'L) Plafonnement taux'!Q298</f>
        <v>0</v>
      </c>
      <c r="L298" s="313" t="e">
        <f t="shared" si="15"/>
        <v>#DIV/0!</v>
      </c>
      <c r="M298" s="234">
        <f>'M) Police'!O298</f>
        <v>17185.782108643034</v>
      </c>
      <c r="N298" s="234" t="e">
        <f t="shared" si="14"/>
        <v>#DIV/0!</v>
      </c>
      <c r="P298" s="320"/>
    </row>
    <row r="299" spans="1:16" s="154" customFormat="1" x14ac:dyDescent="0.25">
      <c r="A299" s="151">
        <f>'B) D RI'!A300</f>
        <v>5922</v>
      </c>
      <c r="B299" s="152" t="str">
        <f>'B) D RI'!B300</f>
        <v>Montagny-près-Yverdon</v>
      </c>
      <c r="C299" s="316">
        <f>'B) D RI'!S300</f>
        <v>63.5</v>
      </c>
      <c r="D299" s="153">
        <f>'B) D RI'!AA300</f>
        <v>737</v>
      </c>
      <c r="E299" s="314">
        <f>'D) Ecrêtage'!C298</f>
        <v>33326.398149606292</v>
      </c>
      <c r="F299" s="318">
        <f>'E) Fact soc'!G304</f>
        <v>596220.20244398806</v>
      </c>
      <c r="G299" s="315">
        <f>'H) Péréquation directe'!I309</f>
        <v>527785.40736660222</v>
      </c>
      <c r="H299" s="318" t="e">
        <f>+'I) Dépenses thématiques'!O298</f>
        <v>#DIV/0!</v>
      </c>
      <c r="I299" s="315">
        <f>'K) Plafonnement aide'!J298</f>
        <v>0</v>
      </c>
      <c r="J299" s="318">
        <f>'J) Plafonnement effort'!J298</f>
        <v>0</v>
      </c>
      <c r="K299" s="315">
        <f>'L) Plafonnement taux'!Q299</f>
        <v>0</v>
      </c>
      <c r="L299" s="313" t="e">
        <f t="shared" si="15"/>
        <v>#DIV/0!</v>
      </c>
      <c r="M299" s="234">
        <f>'M) Police'!O299</f>
        <v>95611.197941906401</v>
      </c>
      <c r="N299" s="234" t="e">
        <f t="shared" si="14"/>
        <v>#DIV/0!</v>
      </c>
      <c r="P299" s="320"/>
    </row>
    <row r="300" spans="1:16" s="154" customFormat="1" x14ac:dyDescent="0.25">
      <c r="A300" s="151">
        <f>'B) D RI'!A301</f>
        <v>5923</v>
      </c>
      <c r="B300" s="152" t="str">
        <f>'B) D RI'!B301</f>
        <v>Oppens</v>
      </c>
      <c r="C300" s="316">
        <f>'B) D RI'!S301</f>
        <v>81</v>
      </c>
      <c r="D300" s="153">
        <f>'B) D RI'!AA301</f>
        <v>201</v>
      </c>
      <c r="E300" s="314">
        <f>'D) Ecrêtage'!C299</f>
        <v>4799.240617283951</v>
      </c>
      <c r="F300" s="318">
        <f>'E) Fact soc'!G305</f>
        <v>81018.203889052864</v>
      </c>
      <c r="G300" s="315">
        <f>'H) Péréquation directe'!I310</f>
        <v>-59235.706359119533</v>
      </c>
      <c r="H300" s="318" t="e">
        <f>+'I) Dépenses thématiques'!O299</f>
        <v>#DIV/0!</v>
      </c>
      <c r="I300" s="315">
        <f>'K) Plafonnement aide'!J299</f>
        <v>0</v>
      </c>
      <c r="J300" s="318">
        <f>'J) Plafonnement effort'!J299</f>
        <v>0</v>
      </c>
      <c r="K300" s="315">
        <f>'L) Plafonnement taux'!Q300</f>
        <v>0</v>
      </c>
      <c r="L300" s="313" t="e">
        <f t="shared" si="15"/>
        <v>#DIV/0!</v>
      </c>
      <c r="M300" s="234">
        <f>'M) Police'!O300</f>
        <v>14597.473259116789</v>
      </c>
      <c r="N300" s="234" t="e">
        <f t="shared" si="14"/>
        <v>#DIV/0!</v>
      </c>
      <c r="P300" s="320"/>
    </row>
    <row r="301" spans="1:16" s="154" customFormat="1" x14ac:dyDescent="0.25">
      <c r="A301" s="151">
        <f>'B) D RI'!A302</f>
        <v>5924</v>
      </c>
      <c r="B301" s="152" t="str">
        <f>'B) D RI'!B302</f>
        <v>Orges</v>
      </c>
      <c r="C301" s="316">
        <f>'B) D RI'!S302</f>
        <v>74</v>
      </c>
      <c r="D301" s="153">
        <f>'B) D RI'!AA302</f>
        <v>343</v>
      </c>
      <c r="E301" s="314">
        <f>'D) Ecrêtage'!C300</f>
        <v>12525.425270270271</v>
      </c>
      <c r="F301" s="318">
        <f>'E) Fact soc'!G306</f>
        <v>258909.18583899731</v>
      </c>
      <c r="G301" s="315">
        <f>'H) Péréquation directe'!I311</f>
        <v>115582.14094771011</v>
      </c>
      <c r="H301" s="318" t="e">
        <f>+'I) Dépenses thématiques'!O300</f>
        <v>#DIV/0!</v>
      </c>
      <c r="I301" s="315">
        <f>'K) Plafonnement aide'!J300</f>
        <v>0</v>
      </c>
      <c r="J301" s="318">
        <f>'J) Plafonnement effort'!J300</f>
        <v>0</v>
      </c>
      <c r="K301" s="315">
        <f>'L) Plafonnement taux'!Q301</f>
        <v>0</v>
      </c>
      <c r="L301" s="313" t="e">
        <f t="shared" si="15"/>
        <v>#DIV/0!</v>
      </c>
      <c r="M301" s="234">
        <f>'M) Police'!O301</f>
        <v>38180.338508622648</v>
      </c>
      <c r="N301" s="234" t="e">
        <f t="shared" si="14"/>
        <v>#DIV/0!</v>
      </c>
      <c r="P301" s="320"/>
    </row>
    <row r="302" spans="1:16" s="154" customFormat="1" x14ac:dyDescent="0.25">
      <c r="A302" s="151">
        <f>'B) D RI'!A303</f>
        <v>5925</v>
      </c>
      <c r="B302" s="152" t="str">
        <f>'B) D RI'!B303</f>
        <v>Orzens</v>
      </c>
      <c r="C302" s="316">
        <f>'B) D RI'!S303</f>
        <v>79</v>
      </c>
      <c r="D302" s="153">
        <f>'B) D RI'!AA303</f>
        <v>201</v>
      </c>
      <c r="E302" s="314">
        <f>'D) Ecrêtage'!C301</f>
        <v>5879.4616455696196</v>
      </c>
      <c r="F302" s="318">
        <f>'E) Fact soc'!G307</f>
        <v>148023.90610906814</v>
      </c>
      <c r="G302" s="315">
        <f>'H) Péréquation directe'!I312</f>
        <v>-4707.0750231471029</v>
      </c>
      <c r="H302" s="318" t="e">
        <f>+'I) Dépenses thématiques'!O301</f>
        <v>#DIV/0!</v>
      </c>
      <c r="I302" s="315">
        <f>'K) Plafonnement aide'!J301</f>
        <v>0</v>
      </c>
      <c r="J302" s="318">
        <f>'J) Plafonnement effort'!J301</f>
        <v>0</v>
      </c>
      <c r="K302" s="315">
        <f>'L) Plafonnement taux'!Q302</f>
        <v>0</v>
      </c>
      <c r="L302" s="313" t="e">
        <f t="shared" si="15"/>
        <v>#DIV/0!</v>
      </c>
      <c r="M302" s="234">
        <f>'M) Police'!O302</f>
        <v>17828.537411873047</v>
      </c>
      <c r="N302" s="234" t="e">
        <f t="shared" si="14"/>
        <v>#DIV/0!</v>
      </c>
      <c r="P302" s="320"/>
    </row>
    <row r="303" spans="1:16" s="154" customFormat="1" x14ac:dyDescent="0.25">
      <c r="A303" s="151">
        <f>'B) D RI'!A304</f>
        <v>5926</v>
      </c>
      <c r="B303" s="152" t="str">
        <f>'B) D RI'!B304</f>
        <v>Pomy</v>
      </c>
      <c r="C303" s="316">
        <f>'B) D RI'!S304</f>
        <v>71</v>
      </c>
      <c r="D303" s="153">
        <f>'B) D RI'!AA304</f>
        <v>803</v>
      </c>
      <c r="E303" s="314">
        <f>'D) Ecrêtage'!C302</f>
        <v>27519.38971830986</v>
      </c>
      <c r="F303" s="318">
        <f>'E) Fact soc'!G308</f>
        <v>461244.0028296758</v>
      </c>
      <c r="G303" s="315">
        <f>'H) Péréquation directe'!I313</f>
        <v>215017.27608676912</v>
      </c>
      <c r="H303" s="318" t="e">
        <f>+'I) Dépenses thématiques'!O302</f>
        <v>#DIV/0!</v>
      </c>
      <c r="I303" s="315">
        <f>'K) Plafonnement aide'!J302</f>
        <v>0</v>
      </c>
      <c r="J303" s="318">
        <f>'J) Plafonnement effort'!J302</f>
        <v>0</v>
      </c>
      <c r="K303" s="315">
        <f>'L) Plafonnement taux'!Q303</f>
        <v>0</v>
      </c>
      <c r="L303" s="313" t="e">
        <f t="shared" si="15"/>
        <v>#DIV/0!</v>
      </c>
      <c r="M303" s="234">
        <f>'M) Police'!O303</f>
        <v>32321.933636838061</v>
      </c>
      <c r="N303" s="234" t="e">
        <f t="shared" si="14"/>
        <v>#DIV/0!</v>
      </c>
      <c r="P303" s="320"/>
    </row>
    <row r="304" spans="1:16" s="154" customFormat="1" x14ac:dyDescent="0.25">
      <c r="A304" s="151">
        <f>'B) D RI'!A305</f>
        <v>5928</v>
      </c>
      <c r="B304" s="152" t="str">
        <f>'B) D RI'!B305</f>
        <v>Rovray</v>
      </c>
      <c r="C304" s="316">
        <f>'B) D RI'!S305</f>
        <v>71.5</v>
      </c>
      <c r="D304" s="153">
        <f>'B) D RI'!AA305</f>
        <v>204</v>
      </c>
      <c r="E304" s="314">
        <f>'D) Ecrêtage'!C303</f>
        <v>5563.4060139860139</v>
      </c>
      <c r="F304" s="318">
        <f>'E) Fact soc'!G309</f>
        <v>79253.261790546298</v>
      </c>
      <c r="G304" s="315">
        <f>'H) Péréquation directe'!I314</f>
        <v>-3508.0209336748085</v>
      </c>
      <c r="H304" s="318" t="e">
        <f>+'I) Dépenses thématiques'!O303</f>
        <v>#DIV/0!</v>
      </c>
      <c r="I304" s="315">
        <f>'K) Plafonnement aide'!J303</f>
        <v>0</v>
      </c>
      <c r="J304" s="318">
        <f>'J) Plafonnement effort'!J303</f>
        <v>0</v>
      </c>
      <c r="K304" s="315">
        <f>'L) Plafonnement taux'!Q304</f>
        <v>0</v>
      </c>
      <c r="L304" s="313" t="e">
        <f t="shared" si="15"/>
        <v>#DIV/0!</v>
      </c>
      <c r="M304" s="234">
        <f>'M) Police'!O304</f>
        <v>17027.632844229483</v>
      </c>
      <c r="N304" s="234" t="e">
        <f t="shared" si="14"/>
        <v>#DIV/0!</v>
      </c>
      <c r="P304" s="320"/>
    </row>
    <row r="305" spans="1:16" s="154" customFormat="1" x14ac:dyDescent="0.25">
      <c r="A305" s="151">
        <f>'B) D RI'!A306</f>
        <v>5929</v>
      </c>
      <c r="B305" s="152" t="str">
        <f>'B) D RI'!B306</f>
        <v>Suchy</v>
      </c>
      <c r="C305" s="316">
        <f>'B) D RI'!S306</f>
        <v>70</v>
      </c>
      <c r="D305" s="153">
        <f>'B) D RI'!AA306</f>
        <v>656</v>
      </c>
      <c r="E305" s="314">
        <f>'D) Ecrêtage'!C304</f>
        <v>19827.403178571429</v>
      </c>
      <c r="F305" s="318">
        <f>'E) Fact soc'!G310</f>
        <v>316251.73891836515</v>
      </c>
      <c r="G305" s="315">
        <f>'H) Péréquation directe'!I315</f>
        <v>76518.615414236381</v>
      </c>
      <c r="H305" s="318" t="e">
        <f>+'I) Dépenses thématiques'!O304</f>
        <v>#DIV/0!</v>
      </c>
      <c r="I305" s="315">
        <f>'K) Plafonnement aide'!J304</f>
        <v>0</v>
      </c>
      <c r="J305" s="318">
        <f>'J) Plafonnement effort'!J304</f>
        <v>0</v>
      </c>
      <c r="K305" s="315">
        <f>'L) Plafonnement taux'!Q305</f>
        <v>0</v>
      </c>
      <c r="L305" s="313" t="e">
        <f t="shared" si="15"/>
        <v>#DIV/0!</v>
      </c>
      <c r="M305" s="234">
        <f>'M) Police'!O305</f>
        <v>23287.58073084104</v>
      </c>
      <c r="N305" s="234" t="e">
        <f t="shared" si="14"/>
        <v>#DIV/0!</v>
      </c>
      <c r="P305" s="320"/>
    </row>
    <row r="306" spans="1:16" s="154" customFormat="1" x14ac:dyDescent="0.25">
      <c r="A306" s="151">
        <f>'B) D RI'!A307</f>
        <v>5930</v>
      </c>
      <c r="B306" s="152" t="str">
        <f>'B) D RI'!B307</f>
        <v>Suscévaz</v>
      </c>
      <c r="C306" s="316">
        <f>'B) D RI'!S307</f>
        <v>72</v>
      </c>
      <c r="D306" s="153">
        <f>'B) D RI'!AA307</f>
        <v>204</v>
      </c>
      <c r="E306" s="314">
        <f>'D) Ecrêtage'!C305</f>
        <v>5769.1548611111102</v>
      </c>
      <c r="F306" s="318">
        <f>'E) Fact soc'!G311</f>
        <v>80568.50831352215</v>
      </c>
      <c r="G306" s="315">
        <f>'H) Péréquation directe'!I316</f>
        <v>3583.8570864041685</v>
      </c>
      <c r="H306" s="318" t="e">
        <f>+'I) Dépenses thématiques'!O305</f>
        <v>#DIV/0!</v>
      </c>
      <c r="I306" s="315">
        <f>'K) Plafonnement aide'!J305</f>
        <v>0</v>
      </c>
      <c r="J306" s="318">
        <f>'J) Plafonnement effort'!J305</f>
        <v>0</v>
      </c>
      <c r="K306" s="315">
        <f>'L) Plafonnement taux'!Q306</f>
        <v>0</v>
      </c>
      <c r="L306" s="313" t="e">
        <f t="shared" si="15"/>
        <v>#DIV/0!</v>
      </c>
      <c r="M306" s="234">
        <f>'M) Police'!O306</f>
        <v>6775.9584231407634</v>
      </c>
      <c r="N306" s="234" t="e">
        <f t="shared" si="14"/>
        <v>#DIV/0!</v>
      </c>
      <c r="P306" s="320"/>
    </row>
    <row r="307" spans="1:16" s="154" customFormat="1" x14ac:dyDescent="0.25">
      <c r="A307" s="151">
        <f>'B) D RI'!A308</f>
        <v>5931</v>
      </c>
      <c r="B307" s="152" t="str">
        <f>'B) D RI'!B308</f>
        <v>Treycovagnes</v>
      </c>
      <c r="C307" s="316">
        <f>'B) D RI'!S308</f>
        <v>75</v>
      </c>
      <c r="D307" s="153">
        <f>'B) D RI'!AA308</f>
        <v>485</v>
      </c>
      <c r="E307" s="314">
        <f>'D) Ecrêtage'!C306</f>
        <v>15383.603066666663</v>
      </c>
      <c r="F307" s="318">
        <f>'E) Fact soc'!G312</f>
        <v>255912.59206251591</v>
      </c>
      <c r="G307" s="315">
        <f>'H) Péréquation directe'!I317</f>
        <v>61833.788753989822</v>
      </c>
      <c r="H307" s="318" t="e">
        <f>+'I) Dépenses thématiques'!O306</f>
        <v>#DIV/0!</v>
      </c>
      <c r="I307" s="315">
        <f>'K) Plafonnement aide'!J306</f>
        <v>0</v>
      </c>
      <c r="J307" s="318">
        <f>'J) Plafonnement effort'!J306</f>
        <v>0</v>
      </c>
      <c r="K307" s="315">
        <f>'L) Plafonnement taux'!Q307</f>
        <v>0</v>
      </c>
      <c r="L307" s="313" t="e">
        <f t="shared" si="15"/>
        <v>#DIV/0!</v>
      </c>
      <c r="M307" s="234">
        <f>'M) Police'!O307</f>
        <v>18068.271226430246</v>
      </c>
      <c r="N307" s="234" t="e">
        <f t="shared" si="14"/>
        <v>#DIV/0!</v>
      </c>
      <c r="P307" s="320"/>
    </row>
    <row r="308" spans="1:16" s="154" customFormat="1" x14ac:dyDescent="0.25">
      <c r="A308" s="151">
        <f>'B) D RI'!A309</f>
        <v>5932</v>
      </c>
      <c r="B308" s="152" t="str">
        <f>'B) D RI'!B309</f>
        <v>Ursins</v>
      </c>
      <c r="C308" s="316">
        <f>'B) D RI'!S309</f>
        <v>75</v>
      </c>
      <c r="D308" s="153">
        <f>'B) D RI'!AA309</f>
        <v>238</v>
      </c>
      <c r="E308" s="314">
        <f>'D) Ecrêtage'!C307</f>
        <v>6819.4023999999999</v>
      </c>
      <c r="F308" s="318">
        <f>'E) Fact soc'!G313</f>
        <v>92257.055795953638</v>
      </c>
      <c r="G308" s="315">
        <f>'H) Péréquation directe'!I318</f>
        <v>-451.27616140226019</v>
      </c>
      <c r="H308" s="318" t="e">
        <f>+'I) Dépenses thématiques'!O307</f>
        <v>#DIV/0!</v>
      </c>
      <c r="I308" s="315">
        <f>'K) Plafonnement aide'!J307</f>
        <v>0</v>
      </c>
      <c r="J308" s="318">
        <f>'J) Plafonnement effort'!J307</f>
        <v>0</v>
      </c>
      <c r="K308" s="315">
        <f>'L) Plafonnement taux'!Q308</f>
        <v>0</v>
      </c>
      <c r="L308" s="313" t="e">
        <f t="shared" si="15"/>
        <v>#DIV/0!</v>
      </c>
      <c r="M308" s="234">
        <f>'M) Police'!O308</f>
        <v>20707.595953852193</v>
      </c>
      <c r="N308" s="234" t="e">
        <f t="shared" si="14"/>
        <v>#DIV/0!</v>
      </c>
      <c r="P308" s="320"/>
    </row>
    <row r="309" spans="1:16" s="154" customFormat="1" x14ac:dyDescent="0.25">
      <c r="A309" s="151">
        <f>'B) D RI'!A310</f>
        <v>5933</v>
      </c>
      <c r="B309" s="152" t="str">
        <f>'B) D RI'!B310</f>
        <v>Valeyres-sous-Montagny</v>
      </c>
      <c r="C309" s="316">
        <f>'B) D RI'!S310</f>
        <v>70.5</v>
      </c>
      <c r="D309" s="153">
        <f>'B) D RI'!AA310</f>
        <v>714</v>
      </c>
      <c r="E309" s="314">
        <f>'D) Ecrêtage'!C308</f>
        <v>22572.377872340428</v>
      </c>
      <c r="F309" s="318">
        <f>'E) Fact soc'!G314</f>
        <v>342200.72417877614</v>
      </c>
      <c r="G309" s="315">
        <f>'H) Péréquation directe'!I319</f>
        <v>118929.86213063356</v>
      </c>
      <c r="H309" s="318" t="e">
        <f>+'I) Dépenses thématiques'!O308</f>
        <v>#DIV/0!</v>
      </c>
      <c r="I309" s="315">
        <f>'K) Plafonnement aide'!J308</f>
        <v>0</v>
      </c>
      <c r="J309" s="318">
        <f>'J) Plafonnement effort'!J308</f>
        <v>0</v>
      </c>
      <c r="K309" s="315">
        <f>'L) Plafonnement taux'!Q309</f>
        <v>0</v>
      </c>
      <c r="L309" s="313" t="e">
        <f t="shared" si="15"/>
        <v>#DIV/0!</v>
      </c>
      <c r="M309" s="234">
        <f>'M) Police'!O309</f>
        <v>68182.324658844664</v>
      </c>
      <c r="N309" s="234" t="e">
        <f t="shared" si="14"/>
        <v>#DIV/0!</v>
      </c>
      <c r="P309" s="320"/>
    </row>
    <row r="310" spans="1:16" s="154" customFormat="1" x14ac:dyDescent="0.25">
      <c r="A310" s="151">
        <f>'B) D RI'!A311</f>
        <v>5934</v>
      </c>
      <c r="B310" s="152" t="str">
        <f>'B) D RI'!B311</f>
        <v>Valeyres-sous-Ursins</v>
      </c>
      <c r="C310" s="316">
        <f>'B) D RI'!S311</f>
        <v>79</v>
      </c>
      <c r="D310" s="153">
        <f>'B) D RI'!AA311</f>
        <v>241</v>
      </c>
      <c r="E310" s="314">
        <f>'D) Ecrêtage'!C309</f>
        <v>7577.3788607594925</v>
      </c>
      <c r="F310" s="318">
        <f>'E) Fact soc'!G315</f>
        <v>120384.71597834793</v>
      </c>
      <c r="G310" s="315">
        <f>'H) Péréquation directe'!I320</f>
        <v>17939.011884534557</v>
      </c>
      <c r="H310" s="318" t="e">
        <f>+'I) Dépenses thématiques'!O309</f>
        <v>#DIV/0!</v>
      </c>
      <c r="I310" s="315">
        <f>'K) Plafonnement aide'!J309</f>
        <v>0</v>
      </c>
      <c r="J310" s="318">
        <f>'J) Plafonnement effort'!J309</f>
        <v>0</v>
      </c>
      <c r="K310" s="315">
        <f>'L) Plafonnement taux'!Q310</f>
        <v>0</v>
      </c>
      <c r="L310" s="313" t="e">
        <f t="shared" si="15"/>
        <v>#DIV/0!</v>
      </c>
      <c r="M310" s="234">
        <f>'M) Police'!O310</f>
        <v>23307.843971496091</v>
      </c>
      <c r="N310" s="234" t="e">
        <f t="shared" si="14"/>
        <v>#DIV/0!</v>
      </c>
      <c r="P310" s="320"/>
    </row>
    <row r="311" spans="1:16" s="154" customFormat="1" x14ac:dyDescent="0.25">
      <c r="A311" s="151">
        <f>'B) D RI'!A312</f>
        <v>5935</v>
      </c>
      <c r="B311" s="152" t="str">
        <f>'B) D RI'!B312</f>
        <v>Villars-Epeney</v>
      </c>
      <c r="C311" s="316">
        <f>'B) D RI'!S312</f>
        <v>60</v>
      </c>
      <c r="D311" s="153">
        <f>'B) D RI'!AA312</f>
        <v>101</v>
      </c>
      <c r="E311" s="314">
        <f>'D) Ecrêtage'!C310</f>
        <v>3912.8696666666669</v>
      </c>
      <c r="F311" s="318">
        <f>'E) Fact soc'!G316</f>
        <v>67357.324345145142</v>
      </c>
      <c r="G311" s="315">
        <f>'H) Péréquation directe'!I321</f>
        <v>50549.965546977015</v>
      </c>
      <c r="H311" s="318" t="e">
        <f>+'I) Dépenses thématiques'!O310</f>
        <v>#DIV/0!</v>
      </c>
      <c r="I311" s="315">
        <f>'K) Plafonnement aide'!J310</f>
        <v>0</v>
      </c>
      <c r="J311" s="318">
        <f>'J) Plafonnement effort'!J310</f>
        <v>0</v>
      </c>
      <c r="K311" s="315">
        <f>'L) Plafonnement taux'!Q311</f>
        <v>0</v>
      </c>
      <c r="L311" s="313" t="e">
        <f t="shared" si="15"/>
        <v>#DIV/0!</v>
      </c>
      <c r="M311" s="234">
        <f>'M) Police'!O311</f>
        <v>11797.53144507043</v>
      </c>
      <c r="N311" s="234" t="e">
        <f t="shared" si="14"/>
        <v>#DIV/0!</v>
      </c>
      <c r="P311" s="320"/>
    </row>
    <row r="312" spans="1:16" s="154" customFormat="1" x14ac:dyDescent="0.25">
      <c r="A312" s="151">
        <f>'B) D RI'!A313</f>
        <v>5937</v>
      </c>
      <c r="B312" s="152" t="str">
        <f>'B) D RI'!B313</f>
        <v>Vugelles-La Mothe</v>
      </c>
      <c r="C312" s="316">
        <f>'B) D RI'!S313</f>
        <v>70</v>
      </c>
      <c r="D312" s="153">
        <f>'B) D RI'!AA313</f>
        <v>138</v>
      </c>
      <c r="E312" s="314">
        <f>'D) Ecrêtage'!C311</f>
        <v>3187.6957755102044</v>
      </c>
      <c r="F312" s="318">
        <f>'E) Fact soc'!G317</f>
        <v>51161.977431522537</v>
      </c>
      <c r="G312" s="315">
        <f>'H) Péréquation directe'!I322</f>
        <v>-22542.207988671456</v>
      </c>
      <c r="H312" s="318" t="e">
        <f>+'I) Dépenses thématiques'!O311</f>
        <v>#DIV/0!</v>
      </c>
      <c r="I312" s="315">
        <f>'K) Plafonnement aide'!J311</f>
        <v>0</v>
      </c>
      <c r="J312" s="318">
        <f>'J) Plafonnement effort'!J311</f>
        <v>0</v>
      </c>
      <c r="K312" s="315">
        <f>'L) Plafonnement taux'!Q312</f>
        <v>0</v>
      </c>
      <c r="L312" s="313" t="e">
        <f t="shared" si="15"/>
        <v>#DIV/0!</v>
      </c>
      <c r="M312" s="234">
        <f>'M) Police'!O312</f>
        <v>9662.1530854428565</v>
      </c>
      <c r="N312" s="234" t="e">
        <f t="shared" si="14"/>
        <v>#DIV/0!</v>
      </c>
      <c r="P312" s="320"/>
    </row>
    <row r="313" spans="1:16" s="154" customFormat="1" x14ac:dyDescent="0.25">
      <c r="A313" s="151">
        <f>'B) D RI'!A314</f>
        <v>5938</v>
      </c>
      <c r="B313" s="152" t="str">
        <f>'B) D RI'!B314</f>
        <v>Yverdon-les-Bains</v>
      </c>
      <c r="C313" s="316">
        <f>'B) D RI'!S314</f>
        <v>75</v>
      </c>
      <c r="D313" s="153">
        <f>'B) D RI'!AA314</f>
        <v>29981</v>
      </c>
      <c r="E313" s="314">
        <f>'D) Ecrêtage'!C312</f>
        <v>796551.402</v>
      </c>
      <c r="F313" s="318">
        <f>'E) Fact soc'!G318</f>
        <v>14169099.843001962</v>
      </c>
      <c r="G313" s="315">
        <f>'H) Péréquation directe'!I323</f>
        <v>-24276578.835720666</v>
      </c>
      <c r="H313" s="318" t="e">
        <f>+'I) Dépenses thématiques'!O312</f>
        <v>#DIV/0!</v>
      </c>
      <c r="I313" s="315">
        <f>'K) Plafonnement aide'!J312</f>
        <v>3735067.7767187031</v>
      </c>
      <c r="J313" s="318">
        <f>'J) Plafonnement effort'!J312</f>
        <v>0</v>
      </c>
      <c r="K313" s="315">
        <f>'L) Plafonnement taux'!Q313</f>
        <v>0</v>
      </c>
      <c r="L313" s="313" t="e">
        <f t="shared" si="15"/>
        <v>#DIV/0!</v>
      </c>
      <c r="M313" s="234">
        <f>'M) Police'!O313</f>
        <v>935561.50108388183</v>
      </c>
      <c r="N313" s="234" t="e">
        <f t="shared" si="14"/>
        <v>#DIV/0!</v>
      </c>
      <c r="P313" s="320"/>
    </row>
    <row r="314" spans="1:16" s="154" customFormat="1" x14ac:dyDescent="0.25">
      <c r="A314" s="151">
        <f>'B) D RI'!A315</f>
        <v>5939</v>
      </c>
      <c r="B314" s="152" t="str">
        <f>'B) D RI'!B315</f>
        <v>Yvonand</v>
      </c>
      <c r="C314" s="316">
        <f>'B) D RI'!S315</f>
        <v>71.5</v>
      </c>
      <c r="D314" s="153">
        <f>'B) D RI'!AA315</f>
        <v>3467</v>
      </c>
      <c r="E314" s="314">
        <f>'D) Ecrêtage'!C313</f>
        <v>92890.042937062928</v>
      </c>
      <c r="F314" s="318">
        <f>'E) Fact soc'!G319</f>
        <v>1616517.9002024939</v>
      </c>
      <c r="G314" s="315">
        <f>'H) Péréquation directe'!I324</f>
        <v>-746379.57465668186</v>
      </c>
      <c r="H314" s="364" t="e">
        <f>+'I) Dépenses thématiques'!O313</f>
        <v>#DIV/0!</v>
      </c>
      <c r="I314" s="315">
        <f>'K) Plafonnement aide'!J313</f>
        <v>0</v>
      </c>
      <c r="J314" s="318">
        <f>'J) Plafonnement effort'!J313</f>
        <v>0</v>
      </c>
      <c r="K314" s="315">
        <f>'L) Plafonnement taux'!Q314</f>
        <v>0</v>
      </c>
      <c r="L314" s="313" t="e">
        <f t="shared" si="15"/>
        <v>#DIV/0!</v>
      </c>
      <c r="M314" s="234">
        <f>'M) Police'!O314</f>
        <v>278883.28956406849</v>
      </c>
      <c r="N314" s="236" t="e">
        <f t="shared" si="14"/>
        <v>#DIV/0!</v>
      </c>
      <c r="P314" s="320"/>
    </row>
    <row r="315" spans="1:16" x14ac:dyDescent="0.25">
      <c r="A315" s="30"/>
      <c r="B315" s="24">
        <f>COUNTA(B6:B314)</f>
        <v>309</v>
      </c>
      <c r="C315" s="258"/>
      <c r="D315" s="156">
        <f>SUM(D6:D314)</f>
        <v>815300</v>
      </c>
      <c r="E315" s="156">
        <f>SUM(E6:E314)</f>
        <v>39275450.163217418</v>
      </c>
      <c r="F315" s="147">
        <f>'E) Fact soc'!G320</f>
        <v>844999999.99999988</v>
      </c>
      <c r="G315" s="147">
        <f>'H) Péréquation directe'!I325</f>
        <v>193851357.61767232</v>
      </c>
      <c r="H315" s="363">
        <f>'I) Dépenses thématiques'!O314</f>
        <v>-176739525.73447838</v>
      </c>
      <c r="I315" s="147">
        <f>'K) Plafonnement aide'!J314</f>
        <v>6646138.2455374822</v>
      </c>
      <c r="J315" s="147">
        <f>'J) Plafonnement effort'!J314</f>
        <v>-23186876.29196715</v>
      </c>
      <c r="K315" s="147">
        <f>+'L) Plafonnement taux'!Q315</f>
        <v>-121093.8367650236</v>
      </c>
      <c r="L315" s="235">
        <f t="shared" si="15"/>
        <v>845449999.99999917</v>
      </c>
      <c r="M315" s="235">
        <f>SUM(M6:M314)</f>
        <v>68941679.253106639</v>
      </c>
      <c r="N315" s="235" t="e">
        <f>SUM(N6:N314)</f>
        <v>#DIV/0!</v>
      </c>
    </row>
    <row r="316" spans="1:16" x14ac:dyDescent="0.25">
      <c r="D316" s="13"/>
      <c r="E316" s="13"/>
      <c r="L316" s="6"/>
      <c r="M316" s="6"/>
      <c r="N316" s="6"/>
    </row>
    <row r="317" spans="1:16" x14ac:dyDescent="0.25">
      <c r="H317" s="155"/>
      <c r="I317" s="155"/>
      <c r="J317" s="155"/>
      <c r="K317" s="155"/>
      <c r="L317" s="6"/>
      <c r="M317" s="6"/>
      <c r="N317" s="6"/>
    </row>
  </sheetData>
  <mergeCells count="16">
    <mergeCell ref="O4:O5"/>
    <mergeCell ref="M4:M5"/>
    <mergeCell ref="N4:N5"/>
    <mergeCell ref="A1:E1"/>
    <mergeCell ref="L4:L5"/>
    <mergeCell ref="K4:K5"/>
    <mergeCell ref="J4:J5"/>
    <mergeCell ref="I4:I5"/>
    <mergeCell ref="H4:H5"/>
    <mergeCell ref="G4:G5"/>
    <mergeCell ref="F4:F5"/>
    <mergeCell ref="E4:E5"/>
    <mergeCell ref="D4:D5"/>
    <mergeCell ref="C4:C5"/>
    <mergeCell ref="B4:B5"/>
    <mergeCell ref="A4:A5"/>
  </mergeCells>
  <phoneticPr fontId="0" type="noConversion"/>
  <printOptions horizontalCentered="1" verticalCentered="1"/>
  <pageMargins left="0.19685039370078741" right="0.19685039370078741" top="0" bottom="0" header="0.51181102362204722" footer="0.51181102362204722"/>
  <pageSetup paperSize="9" fitToHeight="7" orientation="landscape" horizontalDpi="1200" verticalDpi="1200" r:id="rId1"/>
  <headerFooter alignWithMargins="0">
    <oddFooter>&amp;LSCL - Division finances communales&amp;C- &amp;P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tabColor theme="3" tint="0.39997558519241921"/>
    <pageSetUpPr fitToPage="1"/>
  </sheetPr>
  <dimension ref="B1:L56"/>
  <sheetViews>
    <sheetView tabSelected="1" workbookViewId="0">
      <selection activeCell="C3" sqref="C3:E3"/>
    </sheetView>
  </sheetViews>
  <sheetFormatPr baseColWidth="10" defaultColWidth="10.875" defaultRowHeight="15" x14ac:dyDescent="0.25"/>
  <cols>
    <col min="1" max="1" width="3.375" style="158" customWidth="1"/>
    <col min="2" max="2" width="17.125" style="158" customWidth="1"/>
    <col min="3" max="4" width="12.75" style="158" customWidth="1"/>
    <col min="5" max="6" width="12.75" style="203" customWidth="1"/>
    <col min="7" max="7" width="11.75" style="158" bestFit="1" customWidth="1"/>
    <col min="8" max="16384" width="10.875" style="158"/>
  </cols>
  <sheetData>
    <row r="1" spans="2:9" ht="31.5" x14ac:dyDescent="0.5">
      <c r="B1" s="198" t="s">
        <v>484</v>
      </c>
    </row>
    <row r="3" spans="2:9" s="204" customFormat="1" ht="26.25" x14ac:dyDescent="0.4">
      <c r="B3" s="207"/>
      <c r="C3" s="550"/>
      <c r="D3" s="550"/>
      <c r="E3" s="550"/>
      <c r="F3" s="205"/>
    </row>
    <row r="6" spans="2:9" ht="18.75" x14ac:dyDescent="0.3">
      <c r="B6" s="549" t="str">
        <f>CONCATENATE("Péréquation, ",Paramètres!B5)</f>
        <v>Péréquation, Décompte provisoire 2020</v>
      </c>
      <c r="C6" s="549"/>
      <c r="D6" s="549"/>
      <c r="E6" s="549"/>
      <c r="F6" s="549"/>
    </row>
    <row r="7" spans="2:9" s="250" customFormat="1" ht="18.75" x14ac:dyDescent="0.3">
      <c r="B7" s="549">
        <f>C3</f>
        <v>0</v>
      </c>
      <c r="C7" s="549"/>
      <c r="D7" s="549"/>
      <c r="E7" s="549"/>
      <c r="F7" s="549"/>
    </row>
    <row r="8" spans="2:9" s="250" customFormat="1" ht="12.75" x14ac:dyDescent="0.2">
      <c r="B8" s="257" t="e">
        <f>CONCATENATE("Population : ",VLOOKUP($B$7,'A) Base RI'!$B$7:$AS$315,40,FALSE))</f>
        <v>#N/A</v>
      </c>
      <c r="C8" s="248"/>
      <c r="D8" s="248"/>
      <c r="E8" s="249"/>
      <c r="F8" s="256" t="e">
        <f>CONCATENATE("N° OFS : ",VLOOKUP($B$7,Paramètres!$A$70:$B$378,2,FALSE))</f>
        <v>#N/A</v>
      </c>
    </row>
    <row r="9" spans="2:9" s="250" customFormat="1" ht="12.75" x14ac:dyDescent="0.2">
      <c r="B9" s="257" t="e">
        <f>CONCATENATE("Taux : ",VLOOKUP($B$7,'A) Base RI'!$B$7:$AS$315,39,FALSE))</f>
        <v>#N/A</v>
      </c>
      <c r="C9" s="248"/>
      <c r="D9" s="248"/>
      <c r="E9" s="249"/>
      <c r="F9" s="324" t="e">
        <f>CONCATENATE("Point impôt communal : ",ROUND(VLOOKUP(B7,'D) Ecrêtage'!B5:M322,2,FALSE),0))</f>
        <v>#N/A</v>
      </c>
    </row>
    <row r="10" spans="2:9" s="250" customFormat="1" ht="12.75" x14ac:dyDescent="0.2">
      <c r="B10" s="248"/>
      <c r="C10" s="248"/>
      <c r="D10" s="248"/>
      <c r="E10" s="249"/>
      <c r="F10" s="324"/>
      <c r="H10" s="350"/>
      <c r="I10" s="350"/>
    </row>
    <row r="11" spans="2:9" ht="18" x14ac:dyDescent="0.35">
      <c r="B11" s="241" t="s">
        <v>634</v>
      </c>
      <c r="C11" s="103"/>
      <c r="D11" s="103"/>
      <c r="E11" s="206"/>
      <c r="F11" s="206"/>
    </row>
    <row r="12" spans="2:9" s="250" customFormat="1" ht="12.75" x14ac:dyDescent="0.2">
      <c r="B12" s="248"/>
      <c r="C12" s="248"/>
      <c r="D12" s="248"/>
      <c r="E12" s="249"/>
      <c r="F12" s="249"/>
    </row>
    <row r="13" spans="2:9" s="250" customFormat="1" ht="12.75" x14ac:dyDescent="0.2">
      <c r="B13" s="255" t="s">
        <v>436</v>
      </c>
      <c r="C13" s="248"/>
      <c r="D13" s="248"/>
      <c r="E13" s="249"/>
      <c r="F13" s="249"/>
    </row>
    <row r="14" spans="2:9" s="250" customFormat="1" ht="12.75" x14ac:dyDescent="0.2">
      <c r="B14" s="248" t="s">
        <v>476</v>
      </c>
      <c r="C14" s="248"/>
      <c r="D14" s="248"/>
      <c r="E14" s="251" t="e">
        <f>VLOOKUP($C$3,'C) Prél. conj.'!$B$3:$E$391,2,FALSE)*0.5</f>
        <v>#N/A</v>
      </c>
      <c r="F14" s="249"/>
    </row>
    <row r="15" spans="2:9" s="250" customFormat="1" ht="12.75" x14ac:dyDescent="0.2">
      <c r="B15" s="248" t="s">
        <v>194</v>
      </c>
      <c r="C15" s="248"/>
      <c r="D15" s="248"/>
      <c r="E15" s="251" t="e">
        <f>VLOOKUP($C$3,'C) Prél. conj.'!$B$3:$E$391,3,FALSE)*0.3</f>
        <v>#N/A</v>
      </c>
      <c r="F15" s="249" t="e">
        <f>E14+E15</f>
        <v>#N/A</v>
      </c>
    </row>
    <row r="16" spans="2:9" s="250" customFormat="1" ht="12.75" x14ac:dyDescent="0.2">
      <c r="B16" s="248"/>
      <c r="C16" s="248"/>
      <c r="D16" s="248"/>
      <c r="E16" s="249"/>
      <c r="F16" s="249"/>
    </row>
    <row r="17" spans="2:8" s="250" customFormat="1" ht="12.75" x14ac:dyDescent="0.2">
      <c r="B17" s="255" t="s">
        <v>474</v>
      </c>
      <c r="C17" s="248"/>
      <c r="D17" s="248"/>
      <c r="E17" s="249"/>
      <c r="F17" s="249"/>
    </row>
    <row r="18" spans="2:8" s="250" customFormat="1" ht="12.75" x14ac:dyDescent="0.2">
      <c r="B18" s="248" t="s">
        <v>540</v>
      </c>
      <c r="C18" s="248"/>
      <c r="D18" s="252" t="e">
        <f>VLOOKUP($C$3,'D) Ecrêtage'!$B$3:$M$391,11,FALSE)</f>
        <v>#N/A</v>
      </c>
      <c r="E18" s="249"/>
      <c r="F18" s="249" t="e">
        <f>VLOOKUP($C$3,'D) Ecrêtage'!$B$3:$M$391,12,FALSE)</f>
        <v>#N/A</v>
      </c>
    </row>
    <row r="19" spans="2:8" s="250" customFormat="1" ht="12.75" x14ac:dyDescent="0.2">
      <c r="B19" s="248"/>
      <c r="C19" s="248"/>
      <c r="D19" s="248"/>
      <c r="E19" s="249"/>
      <c r="F19" s="249"/>
    </row>
    <row r="20" spans="2:8" s="250" customFormat="1" ht="12.75" x14ac:dyDescent="0.2">
      <c r="B20" s="255" t="s">
        <v>477</v>
      </c>
      <c r="C20" s="248"/>
      <c r="D20" s="248"/>
      <c r="E20" s="249"/>
      <c r="F20" s="249"/>
    </row>
    <row r="21" spans="2:8" s="250" customFormat="1" ht="12.75" x14ac:dyDescent="0.2">
      <c r="B21" s="248" t="str">
        <f>CONCATENATE("Nombre de points à répartir ",ROUND('E) Fact soc'!D7,2))</f>
        <v>Nombre de points à répartir 13.53</v>
      </c>
      <c r="C21" s="248"/>
      <c r="D21" s="248"/>
      <c r="E21" s="249"/>
      <c r="F21" s="249"/>
    </row>
    <row r="22" spans="2:8" s="250" customFormat="1" ht="12.75" x14ac:dyDescent="0.2">
      <c r="B22" s="248" t="s">
        <v>483</v>
      </c>
      <c r="C22" s="248"/>
      <c r="D22" s="248"/>
      <c r="E22" s="249"/>
      <c r="F22" s="249" t="e">
        <f>VLOOKUP($C$3,'E) Fact soc'!$B$9:$G$391,5,FALSE)</f>
        <v>#N/A</v>
      </c>
    </row>
    <row r="23" spans="2:8" s="250" customFormat="1" ht="12.75" x14ac:dyDescent="0.2">
      <c r="B23" s="248"/>
      <c r="C23" s="248"/>
      <c r="D23" s="248"/>
      <c r="E23" s="249"/>
      <c r="F23" s="253"/>
    </row>
    <row r="24" spans="2:8" s="250" customFormat="1" ht="12.75" x14ac:dyDescent="0.2">
      <c r="B24" s="255" t="s">
        <v>635</v>
      </c>
      <c r="C24" s="248"/>
      <c r="D24" s="248"/>
      <c r="E24" s="249"/>
      <c r="F24" s="254" t="e">
        <f>F15+F18+F22</f>
        <v>#N/A</v>
      </c>
      <c r="G24" s="429"/>
      <c r="H24" s="429"/>
    </row>
    <row r="25" spans="2:8" s="250" customFormat="1" ht="12.75" x14ac:dyDescent="0.2">
      <c r="B25" s="248"/>
      <c r="C25" s="248"/>
      <c r="D25" s="248"/>
      <c r="E25" s="249"/>
      <c r="F25" s="249"/>
    </row>
    <row r="26" spans="2:8" ht="18" x14ac:dyDescent="0.35">
      <c r="B26" s="241" t="s">
        <v>511</v>
      </c>
      <c r="C26" s="103"/>
      <c r="D26" s="103"/>
      <c r="E26" s="206"/>
      <c r="F26" s="206"/>
      <c r="G26" s="428"/>
    </row>
    <row r="27" spans="2:8" s="250" customFormat="1" ht="12.75" x14ac:dyDescent="0.2">
      <c r="B27" s="248"/>
      <c r="C27" s="248"/>
      <c r="D27" s="248"/>
      <c r="E27" s="249"/>
      <c r="F27" s="249"/>
    </row>
    <row r="28" spans="2:8" s="250" customFormat="1" ht="12.75" x14ac:dyDescent="0.2">
      <c r="B28" s="255" t="s">
        <v>304</v>
      </c>
      <c r="C28" s="248"/>
      <c r="D28" s="248"/>
      <c r="E28" s="249"/>
      <c r="F28" s="249" t="e">
        <f>-VLOOKUP($C$3,'F) Population'!$B$8:$K$391,10,FALSE)</f>
        <v>#N/A</v>
      </c>
      <c r="G28" s="430"/>
    </row>
    <row r="29" spans="2:8" s="250" customFormat="1" ht="12.75" x14ac:dyDescent="0.2">
      <c r="B29" s="248"/>
      <c r="C29" s="248"/>
      <c r="D29" s="248"/>
      <c r="E29" s="249"/>
      <c r="F29" s="249"/>
    </row>
    <row r="30" spans="2:8" s="250" customFormat="1" ht="12.75" x14ac:dyDescent="0.2">
      <c r="B30" s="255" t="s">
        <v>478</v>
      </c>
      <c r="C30" s="248"/>
      <c r="D30" s="248"/>
      <c r="E30" s="249"/>
      <c r="F30" s="249" t="e">
        <f>-VLOOKUP($C$3,'G) Solidarité'!$B$5:$I$391,8,FALSE)</f>
        <v>#N/A</v>
      </c>
    </row>
    <row r="31" spans="2:8" s="250" customFormat="1" ht="12.75" x14ac:dyDescent="0.2">
      <c r="B31" s="248"/>
      <c r="C31" s="248"/>
      <c r="D31" s="248"/>
      <c r="E31" s="249"/>
      <c r="F31" s="249"/>
      <c r="H31" s="250" t="s">
        <v>631</v>
      </c>
    </row>
    <row r="32" spans="2:8" s="250" customFormat="1" ht="12.75" x14ac:dyDescent="0.2">
      <c r="B32" s="540" t="s">
        <v>139</v>
      </c>
      <c r="C32" s="541"/>
      <c r="D32" s="541"/>
      <c r="E32" s="542"/>
      <c r="F32" s="546">
        <v>0</v>
      </c>
    </row>
    <row r="33" spans="2:12" s="250" customFormat="1" ht="12.75" x14ac:dyDescent="0.2">
      <c r="B33" s="551" t="e">
        <f>IF(OR(E37&lt;0,E39&lt;0),Paramètres!F1,"")</f>
        <v>#N/A</v>
      </c>
      <c r="C33" s="551"/>
      <c r="D33" s="551"/>
      <c r="E33" s="551"/>
      <c r="F33" s="551"/>
    </row>
    <row r="34" spans="2:12" s="250" customFormat="1" ht="12.75" x14ac:dyDescent="0.2">
      <c r="B34" s="551"/>
      <c r="C34" s="551"/>
      <c r="D34" s="551"/>
      <c r="E34" s="551"/>
      <c r="F34" s="551"/>
    </row>
    <row r="35" spans="2:12" s="250" customFormat="1" ht="12.75" x14ac:dyDescent="0.2">
      <c r="B35" s="551"/>
      <c r="C35" s="551"/>
      <c r="D35" s="551"/>
      <c r="E35" s="551"/>
      <c r="F35" s="551"/>
    </row>
    <row r="36" spans="2:12" s="250" customFormat="1" ht="12.75" x14ac:dyDescent="0.2">
      <c r="B36" s="255" t="s">
        <v>479</v>
      </c>
      <c r="C36" s="248"/>
      <c r="D36" s="248"/>
      <c r="E36" s="249"/>
      <c r="F36" s="249"/>
    </row>
    <row r="37" spans="2:12" s="250" customFormat="1" ht="12.75" customHeight="1" x14ac:dyDescent="0.2">
      <c r="B37" s="248" t="s">
        <v>531</v>
      </c>
      <c r="C37" s="248"/>
      <c r="D37" s="248"/>
      <c r="E37" s="251" t="e">
        <f>VLOOKUP($C$3,'J) Plafonnement effort'!$B$5:$J$391,9,FALSE)</f>
        <v>#N/A</v>
      </c>
      <c r="F37" s="249"/>
      <c r="L37" s="545"/>
    </row>
    <row r="38" spans="2:12" s="250" customFormat="1" ht="12.75" customHeight="1" x14ac:dyDescent="0.2">
      <c r="B38" s="248" t="s">
        <v>480</v>
      </c>
      <c r="C38" s="248"/>
      <c r="D38" s="248"/>
      <c r="E38" s="251" t="e">
        <f>VLOOKUP($C$3,'K) Plafonnement aide'!$B$5:$J$391,9,FALSE)</f>
        <v>#N/A</v>
      </c>
      <c r="F38" s="249"/>
      <c r="L38" s="545"/>
    </row>
    <row r="39" spans="2:12" s="250" customFormat="1" ht="12.75" customHeight="1" x14ac:dyDescent="0.2">
      <c r="B39" s="248" t="s">
        <v>481</v>
      </c>
      <c r="C39" s="248"/>
      <c r="D39" s="248"/>
      <c r="E39" s="251" t="e">
        <f>VLOOKUP($C$3,'L) Plafonnement taux'!$B$6:$Q$391,16,FALSE)</f>
        <v>#N/A</v>
      </c>
      <c r="F39" s="249" t="e">
        <f>SUM(E37:E39)</f>
        <v>#N/A</v>
      </c>
      <c r="L39" s="545"/>
    </row>
    <row r="40" spans="2:12" s="250" customFormat="1" ht="12.75" customHeight="1" x14ac:dyDescent="0.2">
      <c r="B40" s="248"/>
      <c r="C40" s="248"/>
      <c r="D40" s="248"/>
      <c r="E40" s="249"/>
      <c r="F40" s="249"/>
      <c r="L40" s="545"/>
    </row>
    <row r="41" spans="2:12" s="250" customFormat="1" ht="12.75" customHeight="1" x14ac:dyDescent="0.2">
      <c r="B41" s="255" t="s">
        <v>94</v>
      </c>
      <c r="C41" s="248"/>
      <c r="D41" s="248"/>
      <c r="E41" s="249"/>
      <c r="F41" s="249" t="e">
        <f>VLOOKUP($C$3,'H) Péréquation directe'!$B$16:$I$391,4,FALSE)</f>
        <v>#N/A</v>
      </c>
      <c r="L41" s="545"/>
    </row>
    <row r="42" spans="2:12" s="250" customFormat="1" ht="13.5" customHeight="1" x14ac:dyDescent="0.2">
      <c r="B42" s="248"/>
      <c r="C42" s="248"/>
      <c r="D42" s="248"/>
      <c r="E42" s="249"/>
      <c r="F42" s="253"/>
      <c r="L42" s="545"/>
    </row>
    <row r="43" spans="2:12" s="250" customFormat="1" ht="12.75" x14ac:dyDescent="0.2">
      <c r="B43" s="255" t="s">
        <v>482</v>
      </c>
      <c r="C43" s="248"/>
      <c r="D43" s="248"/>
      <c r="E43" s="249"/>
      <c r="F43" s="351" t="e">
        <f>SUM(F27:F42)</f>
        <v>#N/A</v>
      </c>
    </row>
    <row r="44" spans="2:12" s="250" customFormat="1" ht="12.75" x14ac:dyDescent="0.2">
      <c r="B44" s="248"/>
      <c r="C44" s="248"/>
      <c r="D44" s="248"/>
      <c r="E44" s="249"/>
      <c r="F44" s="249"/>
    </row>
    <row r="45" spans="2:12" ht="18" x14ac:dyDescent="0.35">
      <c r="B45" s="241" t="s">
        <v>512</v>
      </c>
      <c r="C45" s="103"/>
      <c r="D45" s="103"/>
      <c r="E45" s="206"/>
      <c r="F45" s="206"/>
      <c r="G45" s="250"/>
      <c r="H45" s="250"/>
      <c r="I45" s="250"/>
      <c r="J45" s="250"/>
      <c r="K45" s="250"/>
    </row>
    <row r="46" spans="2:12" s="250" customFormat="1" ht="12.75" x14ac:dyDescent="0.2">
      <c r="B46" s="248"/>
      <c r="C46" s="248"/>
      <c r="D46" s="248"/>
      <c r="E46" s="249"/>
      <c r="F46" s="249"/>
    </row>
    <row r="47" spans="2:12" s="250" customFormat="1" ht="12.75" x14ac:dyDescent="0.2">
      <c r="B47" s="248" t="s">
        <v>494</v>
      </c>
      <c r="C47" s="248"/>
      <c r="D47" s="248"/>
      <c r="E47" s="251" t="e">
        <f>VLOOKUP($C$3,'M) Police'!$B$6:$N$396,10,FALSE)</f>
        <v>#N/A</v>
      </c>
      <c r="F47" s="249"/>
    </row>
    <row r="48" spans="2:12" s="250" customFormat="1" ht="12.75" x14ac:dyDescent="0.2">
      <c r="B48" s="248" t="s">
        <v>495</v>
      </c>
      <c r="C48" s="248"/>
      <c r="D48" s="248"/>
      <c r="E48" s="251" t="e">
        <f>VLOOKUP($C$3,'M) Police'!$B$6:$N$396,13,FALSE)</f>
        <v>#N/A</v>
      </c>
      <c r="F48" s="249" t="e">
        <f>E47+E48</f>
        <v>#N/A</v>
      </c>
    </row>
    <row r="49" spans="2:6" s="250" customFormat="1" ht="12.75" x14ac:dyDescent="0.2">
      <c r="B49" s="248"/>
      <c r="C49" s="248"/>
      <c r="D49" s="248"/>
      <c r="E49" s="249"/>
      <c r="F49" s="253"/>
    </row>
    <row r="50" spans="2:6" s="250" customFormat="1" ht="12.75" x14ac:dyDescent="0.2">
      <c r="B50" s="255" t="s">
        <v>500</v>
      </c>
      <c r="C50" s="248"/>
      <c r="D50" s="248"/>
      <c r="E50" s="249"/>
      <c r="F50" s="254" t="e">
        <f>F48</f>
        <v>#N/A</v>
      </c>
    </row>
    <row r="51" spans="2:6" s="250" customFormat="1" ht="12.75" x14ac:dyDescent="0.2">
      <c r="B51" s="248"/>
      <c r="C51" s="248"/>
      <c r="D51" s="248"/>
      <c r="E51" s="249"/>
      <c r="F51" s="249"/>
    </row>
    <row r="52" spans="2:6" ht="18" x14ac:dyDescent="0.35">
      <c r="B52" s="241" t="s">
        <v>513</v>
      </c>
      <c r="C52" s="103"/>
      <c r="D52" s="103"/>
      <c r="E52" s="206"/>
      <c r="F52" s="206"/>
    </row>
    <row r="53" spans="2:6" x14ac:dyDescent="0.25">
      <c r="B53" s="248"/>
      <c r="C53" s="248"/>
      <c r="D53" s="248"/>
      <c r="E53" s="248"/>
      <c r="F53" s="248"/>
    </row>
    <row r="54" spans="2:6" x14ac:dyDescent="0.25">
      <c r="B54" s="255" t="s">
        <v>532</v>
      </c>
      <c r="C54" s="248"/>
      <c r="D54" s="248"/>
      <c r="E54" s="248"/>
      <c r="F54" s="254" t="e">
        <f>+F24+F43+F50</f>
        <v>#N/A</v>
      </c>
    </row>
    <row r="55" spans="2:6" x14ac:dyDescent="0.25">
      <c r="B55" s="248"/>
      <c r="C55" s="248"/>
      <c r="D55" s="248"/>
      <c r="E55" s="248"/>
      <c r="F55" s="248"/>
    </row>
    <row r="56" spans="2:6" ht="18" x14ac:dyDescent="0.35">
      <c r="B56" s="241" t="s">
        <v>533</v>
      </c>
      <c r="C56" s="103"/>
      <c r="D56" s="103"/>
      <c r="E56" s="206"/>
      <c r="F56" s="206"/>
    </row>
  </sheetData>
  <sheetProtection algorithmName="SHA-512" hashValue="2i4FsetOgZwGMqQPPPoWhHBLgfk7KuhTmMs381tr6yw64xEbWdtX18SZY3mjCRebpL/oTiYWjXuYMHiKr8Oy0Q==" saltValue="QYvoHgNf4+7LHXxu5xZO9w==" spinCount="100000" sheet="1" objects="1" scenarios="1"/>
  <protectedRanges>
    <protectedRange sqref="C3:E3" name="Plage1"/>
  </protectedRanges>
  <mergeCells count="4">
    <mergeCell ref="B6:F6"/>
    <mergeCell ref="B7:F7"/>
    <mergeCell ref="C3:E3"/>
    <mergeCell ref="B33:F35"/>
  </mergeCells>
  <printOptions horizontalCentered="1" verticalCentered="1"/>
  <pageMargins left="0.70866141732283472" right="0.70866141732283472" top="0.35433070866141736" bottom="0.35433070866141736" header="0.31496062992125984" footer="0.31496062992125984"/>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Paramètres!$A$70:$A$378</xm:f>
          </x14:formula1>
          <xm:sqref>C3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4">
    <tabColor rgb="FF00B050"/>
  </sheetPr>
  <dimension ref="A1:BL319"/>
  <sheetViews>
    <sheetView topLeftCell="B1" zoomScale="90" zoomScaleNormal="90" workbookViewId="0">
      <pane ySplit="6" topLeftCell="A288" activePane="bottomLeft" state="frozen"/>
      <selection pane="bottomLeft" activeCell="E318" sqref="E318"/>
    </sheetView>
  </sheetViews>
  <sheetFormatPr baseColWidth="10" defaultColWidth="8.625" defaultRowHeight="15" x14ac:dyDescent="0.25"/>
  <cols>
    <col min="1" max="1" width="8.875" style="344" customWidth="1"/>
    <col min="2" max="2" width="20.375" style="15" bestFit="1" customWidth="1"/>
    <col min="3" max="3" width="15.375" style="338" bestFit="1" customWidth="1"/>
    <col min="4" max="4" width="14" style="15" bestFit="1" customWidth="1"/>
    <col min="5" max="5" width="12.125" style="15" bestFit="1" customWidth="1"/>
    <col min="6" max="6" width="11.25" style="15" bestFit="1" customWidth="1"/>
    <col min="7" max="7" width="18.375" style="373" bestFit="1" customWidth="1"/>
    <col min="8" max="8" width="13.375" style="373" bestFit="1" customWidth="1"/>
    <col min="9" max="9" width="13.875" style="15" customWidth="1"/>
    <col min="10" max="10" width="13" style="15" bestFit="1" customWidth="1"/>
    <col min="11" max="11" width="13.375" style="15" bestFit="1" customWidth="1"/>
    <col min="12" max="12" width="14.25" style="15" bestFit="1" customWidth="1"/>
    <col min="13" max="13" width="15.375" style="15" bestFit="1" customWidth="1"/>
    <col min="14" max="14" width="13" style="15" bestFit="1" customWidth="1"/>
    <col min="15" max="15" width="14" style="15" bestFit="1" customWidth="1"/>
    <col min="16" max="16" width="13" style="15" bestFit="1" customWidth="1"/>
    <col min="17" max="17" width="15.875" style="15" bestFit="1" customWidth="1"/>
    <col min="18" max="18" width="13" style="15" bestFit="1" customWidth="1"/>
    <col min="19" max="23" width="12.125" style="405" customWidth="1"/>
    <col min="24" max="24" width="12.125" style="373" customWidth="1"/>
    <col min="25" max="25" width="14.25" style="15" bestFit="1" customWidth="1"/>
    <col min="26" max="39" width="12" style="471" customWidth="1"/>
    <col min="40" max="40" width="12" style="15" customWidth="1"/>
    <col min="41" max="41" width="10.875" style="6" bestFit="1" customWidth="1"/>
    <col min="42" max="42" width="12.125" style="15" bestFit="1" customWidth="1"/>
    <col min="43" max="43" width="11.25" style="15" bestFit="1" customWidth="1"/>
    <col min="44" max="44" width="11.875" style="15" bestFit="1" customWidth="1"/>
    <col min="45" max="45" width="7" style="15" bestFit="1" customWidth="1"/>
    <col min="46" max="47" width="13" style="15" bestFit="1" customWidth="1"/>
    <col min="48" max="48" width="12.125" style="15" bestFit="1" customWidth="1"/>
    <col min="49" max="49" width="13" style="15" bestFit="1" customWidth="1"/>
    <col min="50" max="51" width="12.125" style="15" bestFit="1" customWidth="1"/>
    <col min="52" max="52" width="8.625" style="15"/>
    <col min="53" max="53" width="9.25" style="15" bestFit="1" customWidth="1"/>
    <col min="54" max="54" width="13" style="15" bestFit="1" customWidth="1"/>
    <col min="55" max="55" width="12.125" style="15" bestFit="1" customWidth="1"/>
    <col min="56" max="56" width="10.625" style="15" bestFit="1" customWidth="1"/>
    <col min="57" max="57" width="4.625" style="15" bestFit="1" customWidth="1"/>
    <col min="58" max="58" width="9.75" style="15" bestFit="1" customWidth="1"/>
    <col min="59" max="59" width="12.125" style="15" bestFit="1" customWidth="1"/>
    <col min="60" max="60" width="9.75" style="15" bestFit="1" customWidth="1"/>
    <col min="61" max="61" width="9.75" style="6" customWidth="1"/>
    <col min="62" max="16384" width="8.625" style="15"/>
  </cols>
  <sheetData>
    <row r="1" spans="1:62" ht="21" x14ac:dyDescent="0.35">
      <c r="A1" s="339" t="s">
        <v>450</v>
      </c>
      <c r="B1" s="326"/>
      <c r="C1" s="327"/>
      <c r="D1" s="326"/>
      <c r="E1" s="326"/>
      <c r="F1" s="326"/>
      <c r="G1" s="326"/>
      <c r="H1" s="326"/>
      <c r="I1" s="326"/>
      <c r="J1" s="326"/>
      <c r="X1" s="326"/>
      <c r="Z1" s="474"/>
      <c r="AA1" s="474"/>
      <c r="AB1" s="474"/>
      <c r="AC1" s="474"/>
      <c r="AD1" s="474"/>
      <c r="AE1" s="474"/>
      <c r="AF1" s="474"/>
      <c r="AG1" s="474"/>
      <c r="AH1" s="474"/>
      <c r="AI1" s="474"/>
      <c r="AJ1" s="474"/>
      <c r="AK1" s="474"/>
      <c r="AL1" s="474"/>
      <c r="AM1" s="474"/>
      <c r="AN1" s="345"/>
    </row>
    <row r="2" spans="1:62" ht="21" x14ac:dyDescent="0.35">
      <c r="A2" s="339" t="str">
        <f>Paramètres!B5</f>
        <v>Décompte provisoire 2020</v>
      </c>
      <c r="C2" s="328"/>
      <c r="D2" s="329"/>
      <c r="E2" s="326"/>
      <c r="F2" s="326"/>
      <c r="G2" s="326"/>
      <c r="H2" s="326"/>
      <c r="I2" s="326"/>
      <c r="J2" s="326"/>
      <c r="X2" s="326"/>
      <c r="Z2" s="474"/>
      <c r="AA2" s="474"/>
      <c r="AB2" s="474"/>
      <c r="AC2" s="474"/>
      <c r="AD2" s="474"/>
      <c r="AE2" s="474"/>
      <c r="AF2" s="474"/>
      <c r="AG2" s="474"/>
      <c r="AH2" s="474"/>
      <c r="AI2" s="474"/>
      <c r="AJ2" s="474"/>
      <c r="AK2" s="474"/>
      <c r="AL2" s="474"/>
      <c r="AM2" s="474"/>
      <c r="AN2" s="345"/>
    </row>
    <row r="3" spans="1:62" x14ac:dyDescent="0.25">
      <c r="A3" s="340"/>
      <c r="B3" s="326"/>
      <c r="C3" s="327"/>
      <c r="D3" s="326"/>
      <c r="E3" s="326"/>
      <c r="F3" s="326"/>
      <c r="G3" s="326"/>
      <c r="H3" s="326"/>
      <c r="I3" s="326"/>
      <c r="J3" s="326"/>
      <c r="L3" s="330"/>
      <c r="X3" s="326"/>
      <c r="Z3" s="474"/>
      <c r="AA3" s="474"/>
      <c r="AB3" s="474"/>
      <c r="AC3" s="474"/>
      <c r="AD3" s="474"/>
      <c r="AE3" s="474"/>
      <c r="AF3" s="474"/>
      <c r="AG3" s="474"/>
      <c r="AH3" s="474"/>
      <c r="AI3" s="474"/>
      <c r="AJ3" s="474"/>
      <c r="AK3" s="474"/>
      <c r="AL3" s="474"/>
      <c r="AM3" s="474"/>
      <c r="AN3" s="345"/>
    </row>
    <row r="4" spans="1:62" s="331" customFormat="1" ht="38.1" customHeight="1" x14ac:dyDescent="0.2">
      <c r="A4" s="564" t="s">
        <v>46</v>
      </c>
      <c r="B4" s="567" t="s">
        <v>516</v>
      </c>
      <c r="C4" s="562" t="s">
        <v>413</v>
      </c>
      <c r="D4" s="570" t="s">
        <v>414</v>
      </c>
      <c r="E4" s="554" t="s">
        <v>258</v>
      </c>
      <c r="F4" s="554" t="s">
        <v>259</v>
      </c>
      <c r="G4" s="554" t="s">
        <v>568</v>
      </c>
      <c r="H4" s="554" t="s">
        <v>626</v>
      </c>
      <c r="I4" s="554" t="s">
        <v>415</v>
      </c>
      <c r="J4" s="554" t="s">
        <v>383</v>
      </c>
      <c r="K4" s="554" t="s">
        <v>384</v>
      </c>
      <c r="L4" s="554" t="s">
        <v>385</v>
      </c>
      <c r="M4" s="554" t="s">
        <v>193</v>
      </c>
      <c r="N4" s="554" t="s">
        <v>194</v>
      </c>
      <c r="O4" s="554" t="s">
        <v>195</v>
      </c>
      <c r="P4" s="554" t="s">
        <v>196</v>
      </c>
      <c r="Q4" s="554" t="s">
        <v>416</v>
      </c>
      <c r="R4" s="554" t="s">
        <v>197</v>
      </c>
      <c r="S4" s="554" t="s">
        <v>569</v>
      </c>
      <c r="T4" s="554" t="s">
        <v>570</v>
      </c>
      <c r="U4" s="554" t="s">
        <v>571</v>
      </c>
      <c r="V4" s="574" t="s">
        <v>572</v>
      </c>
      <c r="W4" s="554" t="s">
        <v>573</v>
      </c>
      <c r="X4" s="572" t="s">
        <v>567</v>
      </c>
      <c r="Y4" s="554" t="s">
        <v>138</v>
      </c>
      <c r="Z4" s="557" t="s">
        <v>578</v>
      </c>
      <c r="AA4" s="552" t="s">
        <v>579</v>
      </c>
      <c r="AB4" s="552" t="s">
        <v>580</v>
      </c>
      <c r="AC4" s="552" t="s">
        <v>581</v>
      </c>
      <c r="AD4" s="552" t="s">
        <v>582</v>
      </c>
      <c r="AE4" s="552" t="s">
        <v>583</v>
      </c>
      <c r="AF4" s="552" t="s">
        <v>584</v>
      </c>
      <c r="AG4" s="552" t="s">
        <v>585</v>
      </c>
      <c r="AH4" s="552" t="s">
        <v>586</v>
      </c>
      <c r="AI4" s="552" t="s">
        <v>587</v>
      </c>
      <c r="AJ4" s="552" t="s">
        <v>588</v>
      </c>
      <c r="AK4" s="552" t="s">
        <v>589</v>
      </c>
      <c r="AL4" s="552" t="s">
        <v>590</v>
      </c>
      <c r="AM4" s="554" t="s">
        <v>591</v>
      </c>
      <c r="AN4" s="562" t="s">
        <v>78</v>
      </c>
      <c r="AO4" s="560" t="s">
        <v>449</v>
      </c>
      <c r="AP4" s="554" t="s">
        <v>246</v>
      </c>
      <c r="AQ4" s="554" t="s">
        <v>247</v>
      </c>
      <c r="AR4" s="554" t="s">
        <v>248</v>
      </c>
      <c r="AS4" s="554" t="s">
        <v>499</v>
      </c>
      <c r="BI4" s="536"/>
    </row>
    <row r="5" spans="1:62" s="331" customFormat="1" ht="44.25" customHeight="1" x14ac:dyDescent="0.2">
      <c r="A5" s="565"/>
      <c r="B5" s="568"/>
      <c r="C5" s="563"/>
      <c r="D5" s="571"/>
      <c r="E5" s="555"/>
      <c r="F5" s="555"/>
      <c r="G5" s="555"/>
      <c r="H5" s="555"/>
      <c r="I5" s="555"/>
      <c r="J5" s="555"/>
      <c r="K5" s="555"/>
      <c r="L5" s="555"/>
      <c r="M5" s="555"/>
      <c r="N5" s="555"/>
      <c r="O5" s="555"/>
      <c r="P5" s="555"/>
      <c r="Q5" s="559"/>
      <c r="R5" s="555"/>
      <c r="S5" s="559"/>
      <c r="T5" s="555"/>
      <c r="U5" s="555"/>
      <c r="V5" s="575"/>
      <c r="W5" s="555"/>
      <c r="X5" s="573"/>
      <c r="Y5" s="555"/>
      <c r="Z5" s="558"/>
      <c r="AA5" s="553"/>
      <c r="AB5" s="553"/>
      <c r="AC5" s="553"/>
      <c r="AD5" s="553"/>
      <c r="AE5" s="553"/>
      <c r="AF5" s="553"/>
      <c r="AG5" s="553"/>
      <c r="AH5" s="553"/>
      <c r="AI5" s="556"/>
      <c r="AJ5" s="556"/>
      <c r="AK5" s="556"/>
      <c r="AL5" s="556"/>
      <c r="AM5" s="555"/>
      <c r="AN5" s="563"/>
      <c r="AO5" s="561"/>
      <c r="AP5" s="559"/>
      <c r="AQ5" s="559"/>
      <c r="AR5" s="559"/>
      <c r="AS5" s="559"/>
      <c r="AZ5" s="539"/>
      <c r="BB5" s="539">
        <f>96715.75-34998.7</f>
        <v>61717.05</v>
      </c>
      <c r="BI5" s="536"/>
    </row>
    <row r="6" spans="1:62" s="326" customFormat="1" x14ac:dyDescent="0.25">
      <c r="A6" s="566"/>
      <c r="B6" s="569"/>
      <c r="C6" s="346" t="s">
        <v>417</v>
      </c>
      <c r="D6" s="347" t="s">
        <v>418</v>
      </c>
      <c r="E6" s="332" t="s">
        <v>79</v>
      </c>
      <c r="F6" s="332" t="s">
        <v>80</v>
      </c>
      <c r="G6" s="332" t="s">
        <v>419</v>
      </c>
      <c r="H6" s="332" t="s">
        <v>420</v>
      </c>
      <c r="I6" s="332" t="s">
        <v>82</v>
      </c>
      <c r="J6" s="332" t="s">
        <v>83</v>
      </c>
      <c r="K6" s="332" t="s">
        <v>84</v>
      </c>
      <c r="L6" s="332" t="s">
        <v>85</v>
      </c>
      <c r="M6" s="332" t="s">
        <v>86</v>
      </c>
      <c r="N6" s="332" t="s">
        <v>87</v>
      </c>
      <c r="O6" s="332" t="s">
        <v>88</v>
      </c>
      <c r="P6" s="332" t="s">
        <v>89</v>
      </c>
      <c r="Q6" s="555"/>
      <c r="R6" s="332" t="s">
        <v>90</v>
      </c>
      <c r="S6" s="555"/>
      <c r="T6" s="473" t="s">
        <v>574</v>
      </c>
      <c r="U6" s="475" t="s">
        <v>575</v>
      </c>
      <c r="V6" s="473" t="s">
        <v>576</v>
      </c>
      <c r="W6" s="473" t="s">
        <v>577</v>
      </c>
      <c r="X6" s="387"/>
      <c r="Y6" s="332" t="s">
        <v>91</v>
      </c>
      <c r="Z6" s="488" t="s">
        <v>592</v>
      </c>
      <c r="AA6" s="488" t="s">
        <v>593</v>
      </c>
      <c r="AB6" s="488" t="s">
        <v>594</v>
      </c>
      <c r="AC6" s="488" t="s">
        <v>595</v>
      </c>
      <c r="AD6" s="488" t="s">
        <v>596</v>
      </c>
      <c r="AE6" s="488" t="s">
        <v>597</v>
      </c>
      <c r="AF6" s="488" t="s">
        <v>598</v>
      </c>
      <c r="AG6" s="488" t="s">
        <v>599</v>
      </c>
      <c r="AH6" s="488" t="s">
        <v>600</v>
      </c>
      <c r="AI6" s="553"/>
      <c r="AJ6" s="553"/>
      <c r="AK6" s="553"/>
      <c r="AL6" s="553"/>
      <c r="AM6" s="489" t="s">
        <v>601</v>
      </c>
      <c r="AN6" s="352">
        <f>+Paramètres!B8</f>
        <v>2020</v>
      </c>
      <c r="AO6" s="348">
        <f>+Paramètres!B7</f>
        <v>42734</v>
      </c>
      <c r="AP6" s="555"/>
      <c r="AQ6" s="555"/>
      <c r="AR6" s="559"/>
      <c r="AS6" s="559"/>
      <c r="BI6" s="5"/>
    </row>
    <row r="7" spans="1:62" x14ac:dyDescent="0.25">
      <c r="A7" s="341">
        <v>5401</v>
      </c>
      <c r="B7" s="523" t="s">
        <v>261</v>
      </c>
      <c r="C7" s="391">
        <v>12062183.039999999</v>
      </c>
      <c r="D7" s="391">
        <v>1793352.62</v>
      </c>
      <c r="E7" s="391"/>
      <c r="F7" s="391">
        <v>0</v>
      </c>
      <c r="G7" s="394">
        <v>2214823.5499999998</v>
      </c>
      <c r="H7" s="394">
        <v>100959.25</v>
      </c>
      <c r="I7" s="394">
        <v>11522.44</v>
      </c>
      <c r="J7" s="394">
        <v>604742.80000000005</v>
      </c>
      <c r="K7" s="394">
        <v>183083.15</v>
      </c>
      <c r="L7" s="394">
        <v>2146829.7000000002</v>
      </c>
      <c r="M7" s="334">
        <f t="shared" ref="M7:M70" si="0">SUM(C7:L7)</f>
        <v>19117496.549999997</v>
      </c>
      <c r="N7" s="396">
        <v>1288148.8</v>
      </c>
      <c r="O7" s="397">
        <v>239381</v>
      </c>
      <c r="P7" s="397">
        <v>765608.15</v>
      </c>
      <c r="Q7" s="398">
        <v>100742.68</v>
      </c>
      <c r="R7" s="398">
        <v>415357.65</v>
      </c>
      <c r="S7" s="398"/>
      <c r="T7" s="398">
        <v>58018.95</v>
      </c>
      <c r="U7" s="398">
        <v>56150</v>
      </c>
      <c r="V7" s="398">
        <v>2.1</v>
      </c>
      <c r="W7" s="398"/>
      <c r="X7" s="382">
        <v>277770.93</v>
      </c>
      <c r="Y7" s="335">
        <f>SUM(M7:X7)</f>
        <v>22318676.809999995</v>
      </c>
      <c r="Z7" s="400">
        <v>859552.6</v>
      </c>
      <c r="AA7" s="400"/>
      <c r="AB7" s="400">
        <v>801829.3</v>
      </c>
      <c r="AC7" s="400"/>
      <c r="AD7" s="400">
        <v>1396874.1</v>
      </c>
      <c r="AE7" s="400">
        <v>884199.85</v>
      </c>
      <c r="AF7" s="400"/>
      <c r="AG7" s="400">
        <v>200</v>
      </c>
      <c r="AH7" s="400">
        <v>28069.599999999999</v>
      </c>
      <c r="AI7" s="400">
        <v>331780.2</v>
      </c>
      <c r="AJ7" s="400"/>
      <c r="AK7" s="400"/>
      <c r="AL7" s="478">
        <v>284097.3</v>
      </c>
      <c r="AM7" s="485">
        <f>SUM(Z7:AL7)</f>
        <v>4586602.95</v>
      </c>
      <c r="AN7" s="400">
        <v>66</v>
      </c>
      <c r="AO7" s="403">
        <v>10518</v>
      </c>
      <c r="AP7" s="405">
        <v>-326033.98</v>
      </c>
      <c r="AQ7" s="491"/>
      <c r="AR7" s="491">
        <v>-20400.3</v>
      </c>
      <c r="AS7" s="519">
        <v>1.2</v>
      </c>
      <c r="AT7" s="533">
        <v>22318676.809999999</v>
      </c>
      <c r="AU7" s="533">
        <f>58018.95+56150+2.1</f>
        <v>114171.05</v>
      </c>
      <c r="AV7" s="533">
        <v>277770.93</v>
      </c>
      <c r="AW7" s="533">
        <v>4586602.95</v>
      </c>
      <c r="AX7" s="533">
        <v>0</v>
      </c>
      <c r="AY7" s="533">
        <v>-326033.98</v>
      </c>
      <c r="AZ7" s="533">
        <v>0</v>
      </c>
      <c r="BA7" s="533">
        <v>-20400.3</v>
      </c>
      <c r="BB7" s="15">
        <f>+AT7-Y7</f>
        <v>0</v>
      </c>
      <c r="BC7" s="15">
        <f>+AW7-AM7</f>
        <v>0</v>
      </c>
      <c r="BD7" s="15">
        <f>+AY7-AP7</f>
        <v>0</v>
      </c>
      <c r="BE7" s="15">
        <f>+AZ7-AQ7</f>
        <v>0</v>
      </c>
      <c r="BF7" s="15">
        <f>+BA7-AR7</f>
        <v>0</v>
      </c>
      <c r="BG7" s="15">
        <f>+AV7-X7</f>
        <v>0</v>
      </c>
      <c r="BH7" s="15">
        <f>+S7+T7+U7+V7+W7-AU7</f>
        <v>0</v>
      </c>
      <c r="BI7" s="6">
        <f>+A7</f>
        <v>5401</v>
      </c>
      <c r="BJ7" s="15" t="str">
        <f>+B7</f>
        <v>Aigle</v>
      </c>
    </row>
    <row r="8" spans="1:62" x14ac:dyDescent="0.25">
      <c r="A8" s="341">
        <v>5402</v>
      </c>
      <c r="B8" s="523" t="s">
        <v>262</v>
      </c>
      <c r="C8" s="394">
        <v>8696027.5899999999</v>
      </c>
      <c r="D8" s="394">
        <v>1343621.1</v>
      </c>
      <c r="E8" s="391"/>
      <c r="F8" s="394">
        <v>0</v>
      </c>
      <c r="G8" s="394">
        <v>957640.85</v>
      </c>
      <c r="H8" s="394">
        <v>72223.8</v>
      </c>
      <c r="I8" s="394">
        <v>-55670.9</v>
      </c>
      <c r="J8" s="394">
        <v>311153.5</v>
      </c>
      <c r="K8" s="394">
        <v>124770.15</v>
      </c>
      <c r="L8" s="394">
        <v>1641770.75</v>
      </c>
      <c r="M8" s="334">
        <f t="shared" si="0"/>
        <v>13091536.84</v>
      </c>
      <c r="N8" s="398">
        <v>273206.65000000002</v>
      </c>
      <c r="O8" s="398">
        <v>119032.9</v>
      </c>
      <c r="P8" s="398">
        <v>624842.19999999995</v>
      </c>
      <c r="Q8" s="398">
        <v>51767</v>
      </c>
      <c r="R8" s="398">
        <v>329056.45</v>
      </c>
      <c r="S8" s="398">
        <v>3087.3</v>
      </c>
      <c r="T8" s="398">
        <v>27208</v>
      </c>
      <c r="U8" s="398">
        <v>59250</v>
      </c>
      <c r="V8" s="398"/>
      <c r="W8" s="398">
        <v>800</v>
      </c>
      <c r="X8" s="382">
        <v>123529.06</v>
      </c>
      <c r="Y8" s="485">
        <f t="shared" ref="Y8:Y71" si="1">SUM(M8:X8)</f>
        <v>14703316.4</v>
      </c>
      <c r="Z8" s="399">
        <v>85380.5</v>
      </c>
      <c r="AA8" s="399">
        <v>362795.4</v>
      </c>
      <c r="AB8" s="399">
        <v>2091780</v>
      </c>
      <c r="AC8" s="399"/>
      <c r="AD8" s="399">
        <v>1101236.8400000001</v>
      </c>
      <c r="AE8" s="399">
        <v>367404.7</v>
      </c>
      <c r="AF8" s="399"/>
      <c r="AG8" s="399"/>
      <c r="AH8" s="399">
        <v>85442.9</v>
      </c>
      <c r="AI8" s="399">
        <v>223745.4</v>
      </c>
      <c r="AJ8" s="399"/>
      <c r="AK8" s="399"/>
      <c r="AL8" s="477"/>
      <c r="AM8" s="485">
        <f t="shared" ref="AM8:AM71" si="2">SUM(Z8:AL8)</f>
        <v>4317785.74</v>
      </c>
      <c r="AN8" s="399">
        <v>71</v>
      </c>
      <c r="AO8" s="402">
        <v>7828</v>
      </c>
      <c r="AP8" s="480">
        <v>-208361.81</v>
      </c>
      <c r="AQ8" s="490"/>
      <c r="AR8" s="490">
        <v>-2713.5</v>
      </c>
      <c r="AS8" s="520">
        <v>1.25</v>
      </c>
      <c r="AT8" s="533">
        <v>14703316.4</v>
      </c>
      <c r="AU8" s="533">
        <f>3087.3+27208+59250+800</f>
        <v>90345.3</v>
      </c>
      <c r="AV8" s="533">
        <v>123529.06</v>
      </c>
      <c r="AW8" s="533">
        <v>4317785.74</v>
      </c>
      <c r="AX8" s="533">
        <v>0</v>
      </c>
      <c r="AY8" s="533">
        <v>-208361.81</v>
      </c>
      <c r="AZ8" s="533">
        <v>0</v>
      </c>
      <c r="BA8" s="533">
        <v>-2713.5</v>
      </c>
      <c r="BB8" s="480">
        <f t="shared" ref="BB8:BB71" si="3">+AT8-Y8</f>
        <v>0</v>
      </c>
      <c r="BC8" s="480">
        <f t="shared" ref="BC8:BC71" si="4">+AW8-AM8</f>
        <v>0</v>
      </c>
      <c r="BD8" s="480">
        <f t="shared" ref="BD8:BD71" si="5">+AY8-AP8</f>
        <v>0</v>
      </c>
      <c r="BE8" s="480">
        <f t="shared" ref="BE8:BE71" si="6">+AZ8-AQ8</f>
        <v>0</v>
      </c>
      <c r="BF8" s="480">
        <f t="shared" ref="BF8:BF71" si="7">+BA8-AR8</f>
        <v>0</v>
      </c>
      <c r="BG8" s="480">
        <f t="shared" ref="BG8:BG71" si="8">+AV8-X8</f>
        <v>0</v>
      </c>
      <c r="BH8" s="480">
        <f t="shared" ref="BH8:BH71" si="9">+S8+T8+U8+V8+W8-AU8</f>
        <v>0</v>
      </c>
      <c r="BI8" s="6">
        <f t="shared" ref="BI8:BI71" si="10">+A8</f>
        <v>5402</v>
      </c>
      <c r="BJ8" s="480" t="str">
        <f t="shared" ref="BJ8:BJ71" si="11">+B8</f>
        <v>Bex</v>
      </c>
    </row>
    <row r="9" spans="1:62" x14ac:dyDescent="0.25">
      <c r="A9" s="341">
        <v>5403</v>
      </c>
      <c r="B9" s="523" t="s">
        <v>112</v>
      </c>
      <c r="C9" s="394">
        <v>662617.01</v>
      </c>
      <c r="D9" s="394">
        <v>59421.75</v>
      </c>
      <c r="E9" s="391"/>
      <c r="F9" s="394">
        <v>0</v>
      </c>
      <c r="G9" s="394">
        <v>4169.3999999999996</v>
      </c>
      <c r="H9" s="394">
        <v>891.7</v>
      </c>
      <c r="I9" s="394">
        <v>0</v>
      </c>
      <c r="J9" s="394">
        <v>21554.639999999999</v>
      </c>
      <c r="K9" s="394">
        <v>8424.7999999999993</v>
      </c>
      <c r="L9" s="394">
        <v>81372</v>
      </c>
      <c r="M9" s="334">
        <f t="shared" si="0"/>
        <v>838451.3</v>
      </c>
      <c r="N9" s="398">
        <v>8460.15</v>
      </c>
      <c r="O9" s="398">
        <v>0</v>
      </c>
      <c r="P9" s="398">
        <v>82687.350000000006</v>
      </c>
      <c r="Q9" s="398">
        <v>0</v>
      </c>
      <c r="R9" s="398">
        <v>29709.7</v>
      </c>
      <c r="S9" s="398"/>
      <c r="T9" s="398"/>
      <c r="U9" s="398">
        <v>6550</v>
      </c>
      <c r="V9" s="398"/>
      <c r="W9" s="398"/>
      <c r="X9" s="382">
        <v>607.05999999999995</v>
      </c>
      <c r="Y9" s="485">
        <f t="shared" si="1"/>
        <v>966465.56</v>
      </c>
      <c r="Z9" s="399"/>
      <c r="AA9" s="399"/>
      <c r="AB9" s="399">
        <v>86351.8</v>
      </c>
      <c r="AC9" s="399"/>
      <c r="AD9" s="399">
        <v>36775</v>
      </c>
      <c r="AE9" s="399"/>
      <c r="AF9" s="399"/>
      <c r="AG9" s="399"/>
      <c r="AH9" s="399">
        <v>37173</v>
      </c>
      <c r="AI9" s="399"/>
      <c r="AJ9" s="399"/>
      <c r="AK9" s="399"/>
      <c r="AL9" s="477"/>
      <c r="AM9" s="485">
        <f t="shared" si="2"/>
        <v>160299.79999999999</v>
      </c>
      <c r="AN9" s="399">
        <v>74</v>
      </c>
      <c r="AO9" s="402">
        <v>444</v>
      </c>
      <c r="AP9" s="480">
        <v>-40025.58</v>
      </c>
      <c r="AQ9" s="490"/>
      <c r="AR9" s="490">
        <v>0</v>
      </c>
      <c r="AS9" s="520">
        <v>1</v>
      </c>
      <c r="AT9" s="533">
        <v>966465.56</v>
      </c>
      <c r="AU9" s="533">
        <v>6550</v>
      </c>
      <c r="AV9" s="533">
        <v>607.05999999999995</v>
      </c>
      <c r="AW9" s="533">
        <v>160299.79999999999</v>
      </c>
      <c r="AX9" s="533">
        <v>0</v>
      </c>
      <c r="AY9" s="533">
        <v>-40025.58</v>
      </c>
      <c r="AZ9" s="533">
        <v>0</v>
      </c>
      <c r="BA9" s="533">
        <v>0</v>
      </c>
      <c r="BB9" s="480">
        <f t="shared" si="3"/>
        <v>0</v>
      </c>
      <c r="BC9" s="480">
        <f t="shared" si="4"/>
        <v>0</v>
      </c>
      <c r="BD9" s="480">
        <f t="shared" si="5"/>
        <v>0</v>
      </c>
      <c r="BE9" s="480">
        <f t="shared" si="6"/>
        <v>0</v>
      </c>
      <c r="BF9" s="480">
        <f t="shared" si="7"/>
        <v>0</v>
      </c>
      <c r="BG9" s="480">
        <f t="shared" si="8"/>
        <v>0</v>
      </c>
      <c r="BH9" s="480">
        <f t="shared" si="9"/>
        <v>0</v>
      </c>
      <c r="BI9" s="6">
        <f t="shared" si="10"/>
        <v>5403</v>
      </c>
      <c r="BJ9" s="480" t="str">
        <f t="shared" si="11"/>
        <v>Chessel</v>
      </c>
    </row>
    <row r="10" spans="1:62" x14ac:dyDescent="0.25">
      <c r="A10" s="341">
        <v>5404</v>
      </c>
      <c r="B10" s="523" t="s">
        <v>113</v>
      </c>
      <c r="C10" s="394">
        <v>618428.80000000005</v>
      </c>
      <c r="D10" s="394">
        <v>119447.41</v>
      </c>
      <c r="E10" s="391"/>
      <c r="F10" s="394">
        <v>0</v>
      </c>
      <c r="G10" s="394">
        <v>-1133.05</v>
      </c>
      <c r="H10" s="394">
        <v>5955.8</v>
      </c>
      <c r="I10" s="394">
        <v>0</v>
      </c>
      <c r="J10" s="394">
        <v>1197.28</v>
      </c>
      <c r="K10" s="394">
        <v>5412.05</v>
      </c>
      <c r="L10" s="394">
        <v>129117</v>
      </c>
      <c r="M10" s="334">
        <f t="shared" si="0"/>
        <v>878425.29000000015</v>
      </c>
      <c r="N10" s="398">
        <v>16587</v>
      </c>
      <c r="O10" s="398">
        <v>34998.699999999997</v>
      </c>
      <c r="P10" s="398">
        <v>33854.400000000001</v>
      </c>
      <c r="Q10" s="398">
        <v>0</v>
      </c>
      <c r="R10" s="398">
        <v>42010.2</v>
      </c>
      <c r="S10" s="398"/>
      <c r="T10" s="398"/>
      <c r="U10" s="398">
        <v>6400</v>
      </c>
      <c r="V10" s="398"/>
      <c r="W10" s="398"/>
      <c r="X10" s="382">
        <v>578.47</v>
      </c>
      <c r="Y10" s="485">
        <f t="shared" si="1"/>
        <v>1012854.06</v>
      </c>
      <c r="Z10" s="399">
        <v>11812.5</v>
      </c>
      <c r="AA10" s="399">
        <v>6702.2</v>
      </c>
      <c r="AB10" s="399">
        <v>129514</v>
      </c>
      <c r="AC10" s="399"/>
      <c r="AD10" s="399">
        <v>37291.800000000003</v>
      </c>
      <c r="AE10" s="399">
        <v>7875</v>
      </c>
      <c r="AF10" s="399">
        <v>3041.55</v>
      </c>
      <c r="AG10" s="399"/>
      <c r="AH10" s="399">
        <v>5356.15</v>
      </c>
      <c r="AI10" s="399">
        <v>11284.5</v>
      </c>
      <c r="AJ10" s="399"/>
      <c r="AK10" s="399"/>
      <c r="AL10" s="477"/>
      <c r="AM10" s="485">
        <f t="shared" si="2"/>
        <v>212877.69999999998</v>
      </c>
      <c r="AN10" s="399">
        <v>74</v>
      </c>
      <c r="AO10" s="402">
        <v>445</v>
      </c>
      <c r="AP10" s="480">
        <v>-1959.06</v>
      </c>
      <c r="AQ10" s="490"/>
      <c r="AR10" s="490">
        <v>-183.3</v>
      </c>
      <c r="AS10" s="520">
        <v>1.5</v>
      </c>
      <c r="AT10" s="534">
        <v>1012854.06</v>
      </c>
      <c r="AU10" s="534">
        <v>6400</v>
      </c>
      <c r="AV10" s="534">
        <v>578.47</v>
      </c>
      <c r="AW10" s="534">
        <v>212877.7</v>
      </c>
      <c r="AX10" s="534">
        <v>0</v>
      </c>
      <c r="AY10" s="534">
        <v>-1959.06</v>
      </c>
      <c r="AZ10" s="534">
        <v>0</v>
      </c>
      <c r="BA10" s="534">
        <v>-183.3</v>
      </c>
      <c r="BB10" s="480">
        <f t="shared" si="3"/>
        <v>0</v>
      </c>
      <c r="BC10" s="480">
        <f t="shared" si="4"/>
        <v>0</v>
      </c>
      <c r="BD10" s="480">
        <f t="shared" si="5"/>
        <v>0</v>
      </c>
      <c r="BE10" s="480">
        <f t="shared" si="6"/>
        <v>0</v>
      </c>
      <c r="BF10" s="480">
        <f t="shared" si="7"/>
        <v>0</v>
      </c>
      <c r="BG10" s="480">
        <f t="shared" si="8"/>
        <v>0</v>
      </c>
      <c r="BH10" s="480">
        <f t="shared" si="9"/>
        <v>0</v>
      </c>
      <c r="BI10" s="6">
        <f t="shared" si="10"/>
        <v>5404</v>
      </c>
      <c r="BJ10" s="480" t="str">
        <f t="shared" si="11"/>
        <v>Corbeyrier</v>
      </c>
    </row>
    <row r="11" spans="1:62" x14ac:dyDescent="0.25">
      <c r="A11" s="341">
        <v>5405</v>
      </c>
      <c r="B11" s="523" t="s">
        <v>114</v>
      </c>
      <c r="C11" s="394">
        <v>2836111.66</v>
      </c>
      <c r="D11" s="394">
        <v>1169780.57</v>
      </c>
      <c r="E11" s="391"/>
      <c r="F11" s="394">
        <v>0</v>
      </c>
      <c r="G11" s="394">
        <v>29285.05</v>
      </c>
      <c r="H11" s="394">
        <v>3343.65</v>
      </c>
      <c r="I11" s="394">
        <v>319555.25</v>
      </c>
      <c r="J11" s="394">
        <v>138909.26999999999</v>
      </c>
      <c r="K11" s="394">
        <v>13374.65</v>
      </c>
      <c r="L11" s="394">
        <v>785757.75</v>
      </c>
      <c r="M11" s="334">
        <f t="shared" si="0"/>
        <v>5296117.8499999996</v>
      </c>
      <c r="N11" s="398">
        <v>463.15</v>
      </c>
      <c r="O11" s="398">
        <v>150845</v>
      </c>
      <c r="P11" s="398">
        <v>408678.5</v>
      </c>
      <c r="Q11" s="398">
        <v>3626.44</v>
      </c>
      <c r="R11" s="398">
        <v>285741.75</v>
      </c>
      <c r="S11" s="398">
        <v>450</v>
      </c>
      <c r="T11" s="398">
        <v>6564.6</v>
      </c>
      <c r="U11" s="398">
        <v>10400</v>
      </c>
      <c r="V11" s="398"/>
      <c r="W11" s="398"/>
      <c r="X11" s="382">
        <v>3913.71</v>
      </c>
      <c r="Y11" s="485">
        <f t="shared" si="1"/>
        <v>6166801</v>
      </c>
      <c r="Z11" s="399">
        <v>22784.05</v>
      </c>
      <c r="AA11" s="399"/>
      <c r="AB11" s="399">
        <v>182784.85</v>
      </c>
      <c r="AC11" s="399"/>
      <c r="AD11" s="399">
        <v>424103.83</v>
      </c>
      <c r="AE11" s="399">
        <v>57173.3</v>
      </c>
      <c r="AF11" s="399"/>
      <c r="AG11" s="399"/>
      <c r="AH11" s="399"/>
      <c r="AI11" s="399"/>
      <c r="AJ11" s="399"/>
      <c r="AK11" s="399"/>
      <c r="AL11" s="477"/>
      <c r="AM11" s="485">
        <f t="shared" si="2"/>
        <v>686846.03</v>
      </c>
      <c r="AN11" s="399">
        <v>73.5</v>
      </c>
      <c r="AO11" s="402">
        <v>1378</v>
      </c>
      <c r="AP11" s="480">
        <v>-28222.07</v>
      </c>
      <c r="AQ11" s="490"/>
      <c r="AR11" s="490">
        <v>-1860.82</v>
      </c>
      <c r="AS11" s="520">
        <v>1.5</v>
      </c>
      <c r="AT11" s="533">
        <v>6166801</v>
      </c>
      <c r="AU11" s="533">
        <f>450+6564.6+10400</f>
        <v>17414.599999999999</v>
      </c>
      <c r="AV11" s="533">
        <v>3913.71</v>
      </c>
      <c r="AW11" s="533">
        <v>686846.03</v>
      </c>
      <c r="AX11" s="533">
        <v>0</v>
      </c>
      <c r="AY11" s="533">
        <v>-28222.07</v>
      </c>
      <c r="AZ11" s="533">
        <v>0</v>
      </c>
      <c r="BA11" s="533">
        <v>-1860.82</v>
      </c>
      <c r="BB11" s="480">
        <f t="shared" si="3"/>
        <v>0</v>
      </c>
      <c r="BC11" s="480">
        <f t="shared" si="4"/>
        <v>0</v>
      </c>
      <c r="BD11" s="480">
        <f t="shared" si="5"/>
        <v>0</v>
      </c>
      <c r="BE11" s="480">
        <f t="shared" si="6"/>
        <v>0</v>
      </c>
      <c r="BF11" s="480">
        <f t="shared" si="7"/>
        <v>0</v>
      </c>
      <c r="BG11" s="480">
        <f t="shared" si="8"/>
        <v>0</v>
      </c>
      <c r="BH11" s="480">
        <f t="shared" si="9"/>
        <v>0</v>
      </c>
      <c r="BI11" s="6">
        <f t="shared" si="10"/>
        <v>5405</v>
      </c>
      <c r="BJ11" s="480" t="str">
        <f t="shared" si="11"/>
        <v>Gryon</v>
      </c>
    </row>
    <row r="12" spans="1:62" x14ac:dyDescent="0.25">
      <c r="A12" s="341">
        <v>5406</v>
      </c>
      <c r="B12" s="523" t="s">
        <v>115</v>
      </c>
      <c r="C12" s="394">
        <v>1151461.03</v>
      </c>
      <c r="D12" s="394">
        <v>151707.82</v>
      </c>
      <c r="E12" s="391"/>
      <c r="F12" s="394">
        <v>0</v>
      </c>
      <c r="G12" s="394">
        <v>55191.3</v>
      </c>
      <c r="H12" s="394">
        <v>2938.2</v>
      </c>
      <c r="I12" s="394">
        <v>0</v>
      </c>
      <c r="J12" s="394">
        <v>48632.09</v>
      </c>
      <c r="K12" s="394">
        <v>9389.5499999999993</v>
      </c>
      <c r="L12" s="394">
        <v>195970.05</v>
      </c>
      <c r="M12" s="334">
        <f t="shared" si="0"/>
        <v>1615290.0400000003</v>
      </c>
      <c r="N12" s="398">
        <v>1891.95</v>
      </c>
      <c r="O12" s="398">
        <v>73255.8</v>
      </c>
      <c r="P12" s="398">
        <v>75697.350000000006</v>
      </c>
      <c r="Q12" s="398">
        <v>796.54</v>
      </c>
      <c r="R12" s="398">
        <v>60384.6</v>
      </c>
      <c r="S12" s="398"/>
      <c r="T12" s="398"/>
      <c r="U12" s="398">
        <v>7250</v>
      </c>
      <c r="V12" s="398">
        <v>107828</v>
      </c>
      <c r="W12" s="398"/>
      <c r="X12" s="382">
        <v>6972.45</v>
      </c>
      <c r="Y12" s="485">
        <f t="shared" si="1"/>
        <v>1949366.7300000004</v>
      </c>
      <c r="Z12" s="399">
        <v>6518.34</v>
      </c>
      <c r="AA12" s="399">
        <v>29550.04</v>
      </c>
      <c r="AB12" s="399">
        <v>269008.7</v>
      </c>
      <c r="AC12" s="399"/>
      <c r="AD12" s="399">
        <v>98346</v>
      </c>
      <c r="AE12" s="399">
        <v>3515.09</v>
      </c>
      <c r="AF12" s="399">
        <v>14545.02</v>
      </c>
      <c r="AG12" s="399"/>
      <c r="AH12" s="399">
        <v>43319.75</v>
      </c>
      <c r="AI12" s="399">
        <v>48911.75</v>
      </c>
      <c r="AJ12" s="399"/>
      <c r="AK12" s="399"/>
      <c r="AL12" s="477"/>
      <c r="AM12" s="485">
        <f t="shared" si="2"/>
        <v>513714.69000000006</v>
      </c>
      <c r="AN12" s="399">
        <v>71.5</v>
      </c>
      <c r="AO12" s="402">
        <v>944</v>
      </c>
      <c r="AP12" s="480">
        <v>-15500.27</v>
      </c>
      <c r="AQ12" s="490"/>
      <c r="AR12" s="490">
        <v>-592.92999999999995</v>
      </c>
      <c r="AS12" s="520">
        <v>1.3</v>
      </c>
      <c r="AT12" s="533">
        <v>1949366.73</v>
      </c>
      <c r="AU12" s="533">
        <f>7250+107828</f>
        <v>115078</v>
      </c>
      <c r="AV12" s="533">
        <v>6972.45</v>
      </c>
      <c r="AW12" s="533">
        <v>513714.69</v>
      </c>
      <c r="AX12" s="533">
        <v>0</v>
      </c>
      <c r="AY12" s="533">
        <v>-15500.27</v>
      </c>
      <c r="AZ12" s="533">
        <v>0</v>
      </c>
      <c r="BA12" s="533">
        <v>-592.92999999999995</v>
      </c>
      <c r="BB12" s="480">
        <f t="shared" si="3"/>
        <v>0</v>
      </c>
      <c r="BC12" s="480">
        <f t="shared" si="4"/>
        <v>0</v>
      </c>
      <c r="BD12" s="480">
        <f t="shared" si="5"/>
        <v>0</v>
      </c>
      <c r="BE12" s="480">
        <f t="shared" si="6"/>
        <v>0</v>
      </c>
      <c r="BF12" s="480">
        <f t="shared" si="7"/>
        <v>0</v>
      </c>
      <c r="BG12" s="480">
        <f t="shared" si="8"/>
        <v>0</v>
      </c>
      <c r="BH12" s="480">
        <f t="shared" si="9"/>
        <v>0</v>
      </c>
      <c r="BI12" s="6">
        <f t="shared" si="10"/>
        <v>5406</v>
      </c>
      <c r="BJ12" s="480" t="str">
        <f t="shared" si="11"/>
        <v>Lavey-Morcles</v>
      </c>
    </row>
    <row r="13" spans="1:62" x14ac:dyDescent="0.25">
      <c r="A13" s="341">
        <v>5407</v>
      </c>
      <c r="B13" s="523" t="s">
        <v>116</v>
      </c>
      <c r="C13" s="394">
        <v>4237562.6100000003</v>
      </c>
      <c r="D13" s="394">
        <v>1060772.3</v>
      </c>
      <c r="E13" s="391"/>
      <c r="F13" s="394">
        <v>0</v>
      </c>
      <c r="G13" s="394">
        <v>164373.54999999999</v>
      </c>
      <c r="H13" s="394">
        <v>100255.7</v>
      </c>
      <c r="I13" s="394">
        <v>155949.29999999999</v>
      </c>
      <c r="J13" s="394">
        <v>445408.01</v>
      </c>
      <c r="K13" s="394">
        <v>63329.7</v>
      </c>
      <c r="L13" s="394">
        <v>1247406.7</v>
      </c>
      <c r="M13" s="334">
        <f t="shared" si="0"/>
        <v>7475057.8700000001</v>
      </c>
      <c r="N13" s="398">
        <v>64008.35</v>
      </c>
      <c r="O13" s="398">
        <v>157815.9</v>
      </c>
      <c r="P13" s="398">
        <v>404776.3</v>
      </c>
      <c r="Q13" s="398">
        <v>39319.53</v>
      </c>
      <c r="R13" s="398">
        <v>187357.15</v>
      </c>
      <c r="S13" s="398"/>
      <c r="T13" s="398"/>
      <c r="U13" s="398">
        <v>17800</v>
      </c>
      <c r="V13" s="398"/>
      <c r="W13" s="398"/>
      <c r="X13" s="382">
        <v>31741.45</v>
      </c>
      <c r="Y13" s="485">
        <f t="shared" si="1"/>
        <v>8377876.5500000007</v>
      </c>
      <c r="Z13" s="399">
        <v>33193</v>
      </c>
      <c r="AA13" s="399"/>
      <c r="AB13" s="399">
        <v>584621.9</v>
      </c>
      <c r="AC13" s="399"/>
      <c r="AD13" s="399">
        <v>438070.77</v>
      </c>
      <c r="AE13" s="399">
        <v>37193</v>
      </c>
      <c r="AF13" s="399"/>
      <c r="AG13" s="399"/>
      <c r="AH13" s="399"/>
      <c r="AI13" s="399">
        <v>62138.6</v>
      </c>
      <c r="AJ13" s="399"/>
      <c r="AK13" s="399"/>
      <c r="AL13" s="477"/>
      <c r="AM13" s="485">
        <f t="shared" si="2"/>
        <v>1155217.27</v>
      </c>
      <c r="AN13" s="399">
        <v>78</v>
      </c>
      <c r="AO13" s="402">
        <v>3645</v>
      </c>
      <c r="AP13" s="480">
        <v>-71820.56</v>
      </c>
      <c r="AQ13" s="490"/>
      <c r="AR13" s="490">
        <v>-6701.08</v>
      </c>
      <c r="AS13" s="520">
        <v>1.5</v>
      </c>
      <c r="AT13" s="533">
        <v>8377876.5499999998</v>
      </c>
      <c r="AU13" s="533">
        <v>17800</v>
      </c>
      <c r="AV13" s="533">
        <v>31741.45</v>
      </c>
      <c r="AW13" s="533">
        <v>1155217.27</v>
      </c>
      <c r="AX13" s="533">
        <v>0</v>
      </c>
      <c r="AY13" s="533">
        <v>-71820.56</v>
      </c>
      <c r="AZ13" s="533">
        <v>0</v>
      </c>
      <c r="BA13" s="533">
        <v>-6701.08</v>
      </c>
      <c r="BB13" s="480">
        <f t="shared" si="3"/>
        <v>0</v>
      </c>
      <c r="BC13" s="480">
        <f t="shared" si="4"/>
        <v>0</v>
      </c>
      <c r="BD13" s="480">
        <f t="shared" si="5"/>
        <v>0</v>
      </c>
      <c r="BE13" s="480">
        <f t="shared" si="6"/>
        <v>0</v>
      </c>
      <c r="BF13" s="480">
        <f t="shared" si="7"/>
        <v>0</v>
      </c>
      <c r="BG13" s="480">
        <f t="shared" si="8"/>
        <v>0</v>
      </c>
      <c r="BH13" s="480">
        <f t="shared" si="9"/>
        <v>0</v>
      </c>
      <c r="BI13" s="6">
        <f t="shared" si="10"/>
        <v>5407</v>
      </c>
      <c r="BJ13" s="480" t="str">
        <f t="shared" si="11"/>
        <v>Leysin</v>
      </c>
    </row>
    <row r="14" spans="1:62" x14ac:dyDescent="0.25">
      <c r="A14" s="341">
        <v>5408</v>
      </c>
      <c r="B14" s="523" t="s">
        <v>117</v>
      </c>
      <c r="C14" s="394">
        <v>2087701.68</v>
      </c>
      <c r="D14" s="394">
        <v>226024.85</v>
      </c>
      <c r="E14" s="391"/>
      <c r="F14" s="394">
        <v>0</v>
      </c>
      <c r="G14" s="394">
        <v>605712</v>
      </c>
      <c r="H14" s="394">
        <v>17628.599999999999</v>
      </c>
      <c r="I14" s="394">
        <v>0</v>
      </c>
      <c r="J14" s="394">
        <v>60551.19</v>
      </c>
      <c r="K14" s="394">
        <v>39431.800000000003</v>
      </c>
      <c r="L14" s="394">
        <v>494795.6</v>
      </c>
      <c r="M14" s="334">
        <f t="shared" si="0"/>
        <v>3531845.7199999997</v>
      </c>
      <c r="N14" s="398">
        <v>204831.45</v>
      </c>
      <c r="O14" s="398">
        <v>0</v>
      </c>
      <c r="P14" s="398">
        <v>123908.95</v>
      </c>
      <c r="Q14" s="398">
        <v>11987.28</v>
      </c>
      <c r="R14" s="398">
        <v>61146.95</v>
      </c>
      <c r="S14" s="398"/>
      <c r="T14" s="398">
        <v>16851.8</v>
      </c>
      <c r="U14" s="398">
        <v>13650</v>
      </c>
      <c r="V14" s="398"/>
      <c r="W14" s="398"/>
      <c r="X14" s="382">
        <v>74767.759999999995</v>
      </c>
      <c r="Y14" s="485">
        <f t="shared" si="1"/>
        <v>4038989.9099999997</v>
      </c>
      <c r="Z14" s="399">
        <v>31221.55</v>
      </c>
      <c r="AA14" s="399"/>
      <c r="AB14" s="399">
        <v>106541.7</v>
      </c>
      <c r="AC14" s="399">
        <v>55011</v>
      </c>
      <c r="AD14" s="399">
        <v>110462.1</v>
      </c>
      <c r="AE14" s="399">
        <v>20760</v>
      </c>
      <c r="AF14" s="399"/>
      <c r="AG14" s="399"/>
      <c r="AH14" s="399">
        <v>58069.5</v>
      </c>
      <c r="AI14" s="399">
        <v>51457.4</v>
      </c>
      <c r="AJ14" s="399"/>
      <c r="AK14" s="399"/>
      <c r="AL14" s="477"/>
      <c r="AM14" s="485">
        <f t="shared" si="2"/>
        <v>433523.25</v>
      </c>
      <c r="AN14" s="399">
        <v>78.5</v>
      </c>
      <c r="AO14" s="402">
        <v>1170</v>
      </c>
      <c r="AP14" s="480">
        <v>-11840.69</v>
      </c>
      <c r="AQ14" s="490"/>
      <c r="AR14" s="490">
        <v>-384.63</v>
      </c>
      <c r="AS14" s="520">
        <v>1.5</v>
      </c>
      <c r="AT14" s="533">
        <v>4038989.91</v>
      </c>
      <c r="AU14" s="533">
        <f>16851.8+13650</f>
        <v>30501.8</v>
      </c>
      <c r="AV14" s="533">
        <v>74767.759999999995</v>
      </c>
      <c r="AW14" s="533">
        <v>433523.25</v>
      </c>
      <c r="AX14" s="533">
        <v>0</v>
      </c>
      <c r="AY14" s="533">
        <v>-11840.69</v>
      </c>
      <c r="AZ14" s="533">
        <v>0</v>
      </c>
      <c r="BA14" s="533">
        <v>-384.63</v>
      </c>
      <c r="BB14" s="480">
        <f t="shared" si="3"/>
        <v>0</v>
      </c>
      <c r="BC14" s="480">
        <f t="shared" si="4"/>
        <v>0</v>
      </c>
      <c r="BD14" s="480">
        <f t="shared" si="5"/>
        <v>0</v>
      </c>
      <c r="BE14" s="480">
        <f t="shared" si="6"/>
        <v>0</v>
      </c>
      <c r="BF14" s="480">
        <f t="shared" si="7"/>
        <v>0</v>
      </c>
      <c r="BG14" s="480">
        <f t="shared" si="8"/>
        <v>0</v>
      </c>
      <c r="BH14" s="480">
        <f t="shared" si="9"/>
        <v>0</v>
      </c>
      <c r="BI14" s="6">
        <f t="shared" si="10"/>
        <v>5408</v>
      </c>
      <c r="BJ14" s="480" t="str">
        <f t="shared" si="11"/>
        <v>Noville</v>
      </c>
    </row>
    <row r="15" spans="1:62" x14ac:dyDescent="0.25">
      <c r="A15" s="341">
        <v>5409</v>
      </c>
      <c r="B15" s="523" t="s">
        <v>118</v>
      </c>
      <c r="C15" s="394">
        <v>14300955.029999999</v>
      </c>
      <c r="D15" s="394">
        <v>5091587.37</v>
      </c>
      <c r="E15" s="391"/>
      <c r="F15" s="394">
        <v>0</v>
      </c>
      <c r="G15" s="394">
        <v>450525.2</v>
      </c>
      <c r="H15" s="394">
        <v>173088.2</v>
      </c>
      <c r="I15" s="394">
        <v>2558500.9900000002</v>
      </c>
      <c r="J15" s="394">
        <v>687004.7</v>
      </c>
      <c r="K15" s="394">
        <v>134495.5</v>
      </c>
      <c r="L15" s="394">
        <v>4093364.15</v>
      </c>
      <c r="M15" s="334">
        <f t="shared" si="0"/>
        <v>27489521.139999997</v>
      </c>
      <c r="N15" s="398">
        <v>75640.75</v>
      </c>
      <c r="O15" s="398">
        <v>688910.65</v>
      </c>
      <c r="P15" s="398">
        <v>1596824.45</v>
      </c>
      <c r="Q15" s="398">
        <v>15596.56</v>
      </c>
      <c r="R15" s="398">
        <v>1165765.7</v>
      </c>
      <c r="S15" s="398"/>
      <c r="T15" s="398"/>
      <c r="U15" s="398">
        <v>57300</v>
      </c>
      <c r="V15" s="398"/>
      <c r="W15" s="398"/>
      <c r="X15" s="382">
        <v>74800.479999999996</v>
      </c>
      <c r="Y15" s="485">
        <f t="shared" si="1"/>
        <v>31164359.729999993</v>
      </c>
      <c r="Z15" s="399">
        <v>-14025</v>
      </c>
      <c r="AA15" s="399">
        <v>13114.45</v>
      </c>
      <c r="AB15" s="399">
        <v>2332346.35</v>
      </c>
      <c r="AC15" s="399"/>
      <c r="AD15" s="399">
        <v>1491603.12</v>
      </c>
      <c r="AE15" s="399">
        <v>-31961.05</v>
      </c>
      <c r="AF15" s="399">
        <v>27119.65</v>
      </c>
      <c r="AG15" s="399"/>
      <c r="AH15" s="399">
        <v>2632430.5299999998</v>
      </c>
      <c r="AI15" s="399">
        <v>253999.6</v>
      </c>
      <c r="AJ15" s="399"/>
      <c r="AK15" s="399"/>
      <c r="AL15" s="477">
        <v>72571.3</v>
      </c>
      <c r="AM15" s="485">
        <f t="shared" si="2"/>
        <v>6777198.9500000002</v>
      </c>
      <c r="AN15" s="399">
        <v>68</v>
      </c>
      <c r="AO15" s="402">
        <v>7634</v>
      </c>
      <c r="AP15" s="480">
        <v>-120552.78</v>
      </c>
      <c r="AQ15" s="490"/>
      <c r="AR15" s="490">
        <v>-50041.19</v>
      </c>
      <c r="AS15" s="520">
        <v>1.3</v>
      </c>
      <c r="AT15" s="533">
        <v>31164359.73</v>
      </c>
      <c r="AU15" s="533">
        <v>57300</v>
      </c>
      <c r="AV15" s="533">
        <v>74800.479999999996</v>
      </c>
      <c r="AW15" s="533">
        <v>6777198.9500000002</v>
      </c>
      <c r="AX15" s="533">
        <v>0</v>
      </c>
      <c r="AY15" s="533">
        <v>-120552.78</v>
      </c>
      <c r="AZ15" s="533">
        <v>0</v>
      </c>
      <c r="BA15" s="533">
        <v>-50041.19</v>
      </c>
      <c r="BB15" s="480">
        <f t="shared" si="3"/>
        <v>0</v>
      </c>
      <c r="BC15" s="480">
        <f t="shared" si="4"/>
        <v>0</v>
      </c>
      <c r="BD15" s="480">
        <f t="shared" si="5"/>
        <v>0</v>
      </c>
      <c r="BE15" s="480">
        <f t="shared" si="6"/>
        <v>0</v>
      </c>
      <c r="BF15" s="480">
        <f t="shared" si="7"/>
        <v>0</v>
      </c>
      <c r="BG15" s="480">
        <f t="shared" si="8"/>
        <v>0</v>
      </c>
      <c r="BH15" s="480">
        <f t="shared" si="9"/>
        <v>0</v>
      </c>
      <c r="BI15" s="6">
        <f t="shared" si="10"/>
        <v>5409</v>
      </c>
      <c r="BJ15" s="480" t="str">
        <f t="shared" si="11"/>
        <v>Ollon</v>
      </c>
    </row>
    <row r="16" spans="1:62" x14ac:dyDescent="0.25">
      <c r="A16" s="341">
        <v>5410</v>
      </c>
      <c r="B16" s="523" t="s">
        <v>130</v>
      </c>
      <c r="C16" s="394">
        <v>1995922.34</v>
      </c>
      <c r="D16" s="394">
        <v>578932.27</v>
      </c>
      <c r="E16" s="391"/>
      <c r="F16" s="394">
        <v>0</v>
      </c>
      <c r="G16" s="394">
        <v>20435.400000000001</v>
      </c>
      <c r="H16" s="394">
        <v>2125.5</v>
      </c>
      <c r="I16" s="394">
        <v>0</v>
      </c>
      <c r="J16" s="394">
        <v>90778.81</v>
      </c>
      <c r="K16" s="394">
        <v>11095.15</v>
      </c>
      <c r="L16" s="394">
        <v>574185.19999999995</v>
      </c>
      <c r="M16" s="334">
        <f t="shared" si="0"/>
        <v>3273474.67</v>
      </c>
      <c r="N16" s="398">
        <v>6858.4</v>
      </c>
      <c r="O16" s="398">
        <v>223995</v>
      </c>
      <c r="P16" s="398">
        <v>117342.75</v>
      </c>
      <c r="Q16" s="398">
        <v>4965.3</v>
      </c>
      <c r="R16" s="398">
        <v>93741.4</v>
      </c>
      <c r="S16" s="398">
        <v>4417.5</v>
      </c>
      <c r="T16" s="398">
        <v>150</v>
      </c>
      <c r="U16" s="398">
        <v>16750</v>
      </c>
      <c r="V16" s="398">
        <v>715</v>
      </c>
      <c r="W16" s="398"/>
      <c r="X16" s="382">
        <v>2706.11</v>
      </c>
      <c r="Y16" s="485">
        <f t="shared" si="1"/>
        <v>3745116.1299999994</v>
      </c>
      <c r="Z16" s="399">
        <v>27408.1</v>
      </c>
      <c r="AA16" s="399"/>
      <c r="AB16" s="399">
        <v>476364.95</v>
      </c>
      <c r="AC16" s="399"/>
      <c r="AD16" s="399">
        <v>284082.32</v>
      </c>
      <c r="AE16" s="399">
        <v>6490.65</v>
      </c>
      <c r="AF16" s="399"/>
      <c r="AG16" s="399"/>
      <c r="AH16" s="399">
        <v>317426.84999999998</v>
      </c>
      <c r="AI16" s="399">
        <v>57653.35</v>
      </c>
      <c r="AJ16" s="399"/>
      <c r="AK16" s="399">
        <v>32944.75</v>
      </c>
      <c r="AL16" s="477"/>
      <c r="AM16" s="485">
        <f t="shared" si="2"/>
        <v>1202370.9700000002</v>
      </c>
      <c r="AN16" s="399">
        <v>77</v>
      </c>
      <c r="AO16" s="402">
        <v>1180</v>
      </c>
      <c r="AP16" s="480">
        <v>-46117.599999999999</v>
      </c>
      <c r="AQ16" s="490"/>
      <c r="AR16" s="490">
        <v>-397.44</v>
      </c>
      <c r="AS16" s="520">
        <v>1.5</v>
      </c>
      <c r="AT16" s="533">
        <v>3745116.13</v>
      </c>
      <c r="AU16" s="533">
        <f>4417.5+150+16750+715</f>
        <v>22032.5</v>
      </c>
      <c r="AV16" s="533">
        <v>2706.11</v>
      </c>
      <c r="AW16" s="533">
        <v>1202370.97</v>
      </c>
      <c r="AX16" s="533">
        <v>0</v>
      </c>
      <c r="AY16" s="533">
        <v>-46117.599999999999</v>
      </c>
      <c r="AZ16" s="533">
        <v>0</v>
      </c>
      <c r="BA16" s="533">
        <v>-397.44</v>
      </c>
      <c r="BB16" s="480">
        <f t="shared" si="3"/>
        <v>0</v>
      </c>
      <c r="BC16" s="480">
        <f t="shared" si="4"/>
        <v>0</v>
      </c>
      <c r="BD16" s="480">
        <f t="shared" si="5"/>
        <v>0</v>
      </c>
      <c r="BE16" s="480">
        <f t="shared" si="6"/>
        <v>0</v>
      </c>
      <c r="BF16" s="480">
        <f t="shared" si="7"/>
        <v>0</v>
      </c>
      <c r="BG16" s="480">
        <f t="shared" si="8"/>
        <v>0</v>
      </c>
      <c r="BH16" s="480">
        <f t="shared" si="9"/>
        <v>0</v>
      </c>
      <c r="BI16" s="6">
        <f t="shared" si="10"/>
        <v>5410</v>
      </c>
      <c r="BJ16" s="480" t="str">
        <f t="shared" si="11"/>
        <v>Ormont-Dessous</v>
      </c>
    </row>
    <row r="17" spans="1:62" x14ac:dyDescent="0.25">
      <c r="A17" s="341">
        <v>5411</v>
      </c>
      <c r="B17" s="523" t="s">
        <v>131</v>
      </c>
      <c r="C17" s="394">
        <v>2762612.3</v>
      </c>
      <c r="D17" s="394">
        <v>1194553.5</v>
      </c>
      <c r="E17" s="391"/>
      <c r="F17" s="394">
        <v>0</v>
      </c>
      <c r="G17" s="394">
        <v>91289.9</v>
      </c>
      <c r="H17" s="394">
        <v>9007.2000000000007</v>
      </c>
      <c r="I17" s="394">
        <v>115498.45</v>
      </c>
      <c r="J17" s="394">
        <v>172898.25</v>
      </c>
      <c r="K17" s="394">
        <v>22562.15</v>
      </c>
      <c r="L17" s="394">
        <v>1217182.95</v>
      </c>
      <c r="M17" s="334">
        <f t="shared" si="0"/>
        <v>5585604.7000000002</v>
      </c>
      <c r="N17" s="398">
        <v>22248.05</v>
      </c>
      <c r="O17" s="398">
        <v>191122.9</v>
      </c>
      <c r="P17" s="398">
        <v>436124.45</v>
      </c>
      <c r="Q17" s="398">
        <v>11983.24</v>
      </c>
      <c r="R17" s="398">
        <v>285985.05</v>
      </c>
      <c r="S17" s="398"/>
      <c r="T17" s="398"/>
      <c r="U17" s="398">
        <v>11350</v>
      </c>
      <c r="V17" s="398"/>
      <c r="W17" s="398">
        <v>6977.5</v>
      </c>
      <c r="X17" s="382">
        <v>12030.32</v>
      </c>
      <c r="Y17" s="485">
        <f t="shared" si="1"/>
        <v>6563426.2100000009</v>
      </c>
      <c r="Z17" s="399">
        <v>23778.41</v>
      </c>
      <c r="AA17" s="399"/>
      <c r="AB17" s="399">
        <v>377111.1</v>
      </c>
      <c r="AC17" s="399"/>
      <c r="AD17" s="399">
        <v>504967.13</v>
      </c>
      <c r="AE17" s="399">
        <v>35552.800000000003</v>
      </c>
      <c r="AF17" s="399"/>
      <c r="AG17" s="399"/>
      <c r="AH17" s="399">
        <v>1274625.3799999999</v>
      </c>
      <c r="AI17" s="399">
        <v>97642</v>
      </c>
      <c r="AJ17" s="399"/>
      <c r="AK17" s="399">
        <v>27897</v>
      </c>
      <c r="AL17" s="477"/>
      <c r="AM17" s="485">
        <f t="shared" si="2"/>
        <v>2341573.8199999998</v>
      </c>
      <c r="AN17" s="399">
        <v>76</v>
      </c>
      <c r="AO17" s="402">
        <v>1466</v>
      </c>
      <c r="AP17" s="480">
        <v>-29780.3</v>
      </c>
      <c r="AQ17" s="490"/>
      <c r="AR17" s="490">
        <v>-2357.0100000000002</v>
      </c>
      <c r="AS17" s="520">
        <v>1.5</v>
      </c>
      <c r="AT17" s="533">
        <v>6563426.21</v>
      </c>
      <c r="AU17" s="533">
        <f>11350+6977.5</f>
        <v>18327.5</v>
      </c>
      <c r="AV17" s="533">
        <v>12030.32</v>
      </c>
      <c r="AW17" s="533">
        <v>2341573.8199999998</v>
      </c>
      <c r="AX17" s="533">
        <v>0</v>
      </c>
      <c r="AY17" s="533">
        <v>-29780.3</v>
      </c>
      <c r="AZ17" s="533">
        <v>0</v>
      </c>
      <c r="BA17" s="533">
        <v>-2357.0100000000002</v>
      </c>
      <c r="BB17" s="480">
        <f t="shared" si="3"/>
        <v>0</v>
      </c>
      <c r="BC17" s="480">
        <f t="shared" si="4"/>
        <v>0</v>
      </c>
      <c r="BD17" s="480">
        <f t="shared" si="5"/>
        <v>0</v>
      </c>
      <c r="BE17" s="480">
        <f t="shared" si="6"/>
        <v>0</v>
      </c>
      <c r="BF17" s="480">
        <f t="shared" si="7"/>
        <v>0</v>
      </c>
      <c r="BG17" s="480">
        <f t="shared" si="8"/>
        <v>0</v>
      </c>
      <c r="BH17" s="480">
        <f t="shared" si="9"/>
        <v>0</v>
      </c>
      <c r="BI17" s="6">
        <f t="shared" si="10"/>
        <v>5411</v>
      </c>
      <c r="BJ17" s="480" t="str">
        <f t="shared" si="11"/>
        <v>Ormont-Dessus</v>
      </c>
    </row>
    <row r="18" spans="1:62" x14ac:dyDescent="0.25">
      <c r="A18" s="341">
        <v>5412</v>
      </c>
      <c r="B18" s="523" t="s">
        <v>132</v>
      </c>
      <c r="C18" s="394">
        <v>1134887.54</v>
      </c>
      <c r="D18" s="394">
        <v>94894.45</v>
      </c>
      <c r="E18" s="391"/>
      <c r="F18" s="394">
        <v>0</v>
      </c>
      <c r="G18" s="394">
        <v>55997.8</v>
      </c>
      <c r="H18" s="394">
        <v>12133.55</v>
      </c>
      <c r="I18" s="394">
        <v>0</v>
      </c>
      <c r="J18" s="394">
        <v>124988.42</v>
      </c>
      <c r="K18" s="394">
        <v>37931.25</v>
      </c>
      <c r="L18" s="394">
        <v>220066.4</v>
      </c>
      <c r="M18" s="334">
        <f t="shared" si="0"/>
        <v>1680899.41</v>
      </c>
      <c r="N18" s="398">
        <v>257000.25</v>
      </c>
      <c r="O18" s="398">
        <v>0</v>
      </c>
      <c r="P18" s="398">
        <v>390203</v>
      </c>
      <c r="Q18" s="398">
        <v>10379.57</v>
      </c>
      <c r="R18" s="398">
        <v>61549.05</v>
      </c>
      <c r="S18" s="398"/>
      <c r="T18" s="398"/>
      <c r="U18" s="398">
        <v>5350</v>
      </c>
      <c r="V18" s="398"/>
      <c r="W18" s="398"/>
      <c r="X18" s="382">
        <v>8172.14</v>
      </c>
      <c r="Y18" s="485">
        <f t="shared" si="1"/>
        <v>2413553.42</v>
      </c>
      <c r="Z18" s="399">
        <v>16394</v>
      </c>
      <c r="AA18" s="399"/>
      <c r="AB18" s="399">
        <v>201652.3</v>
      </c>
      <c r="AC18" s="399"/>
      <c r="AD18" s="399">
        <v>57229.55</v>
      </c>
      <c r="AE18" s="399">
        <v>10206.15</v>
      </c>
      <c r="AF18" s="399"/>
      <c r="AG18" s="399"/>
      <c r="AH18" s="399">
        <v>269</v>
      </c>
      <c r="AI18" s="399">
        <v>62546.8</v>
      </c>
      <c r="AJ18" s="399"/>
      <c r="AK18" s="399"/>
      <c r="AL18" s="477"/>
      <c r="AM18" s="485">
        <f t="shared" si="2"/>
        <v>348297.8</v>
      </c>
      <c r="AN18" s="399">
        <v>69</v>
      </c>
      <c r="AO18" s="402">
        <v>889</v>
      </c>
      <c r="AP18" s="480">
        <v>-24854.75</v>
      </c>
      <c r="AQ18" s="490"/>
      <c r="AR18" s="490">
        <v>-120.95</v>
      </c>
      <c r="AS18" s="520">
        <v>1</v>
      </c>
      <c r="AT18" s="533">
        <v>2413553.42</v>
      </c>
      <c r="AU18" s="533">
        <v>5350</v>
      </c>
      <c r="AV18" s="533">
        <v>8172.14</v>
      </c>
      <c r="AW18" s="533">
        <v>348297.8</v>
      </c>
      <c r="AX18" s="533">
        <v>0</v>
      </c>
      <c r="AY18" s="533">
        <v>-24854.75</v>
      </c>
      <c r="AZ18" s="533">
        <v>0</v>
      </c>
      <c r="BA18" s="533">
        <v>-120.95</v>
      </c>
      <c r="BB18" s="480">
        <f t="shared" si="3"/>
        <v>0</v>
      </c>
      <c r="BC18" s="480">
        <f t="shared" si="4"/>
        <v>0</v>
      </c>
      <c r="BD18" s="480">
        <f t="shared" si="5"/>
        <v>0</v>
      </c>
      <c r="BE18" s="480">
        <f t="shared" si="6"/>
        <v>0</v>
      </c>
      <c r="BF18" s="480">
        <f t="shared" si="7"/>
        <v>0</v>
      </c>
      <c r="BG18" s="480">
        <f t="shared" si="8"/>
        <v>0</v>
      </c>
      <c r="BH18" s="480">
        <f t="shared" si="9"/>
        <v>0</v>
      </c>
      <c r="BI18" s="6">
        <f t="shared" si="10"/>
        <v>5412</v>
      </c>
      <c r="BJ18" s="480" t="str">
        <f t="shared" si="11"/>
        <v>Rennaz</v>
      </c>
    </row>
    <row r="19" spans="1:62" x14ac:dyDescent="0.25">
      <c r="A19" s="341">
        <v>5413</v>
      </c>
      <c r="B19" s="523" t="s">
        <v>133</v>
      </c>
      <c r="C19" s="394">
        <v>2566280.35</v>
      </c>
      <c r="D19" s="394">
        <v>185445.91</v>
      </c>
      <c r="E19" s="391"/>
      <c r="F19" s="394">
        <v>0</v>
      </c>
      <c r="G19" s="394">
        <v>164746.1</v>
      </c>
      <c r="H19" s="394">
        <v>9136.2999999999993</v>
      </c>
      <c r="I19" s="394">
        <v>0</v>
      </c>
      <c r="J19" s="394">
        <v>69128.09</v>
      </c>
      <c r="K19" s="394">
        <v>33987.300000000003</v>
      </c>
      <c r="L19" s="394">
        <v>359187.85</v>
      </c>
      <c r="M19" s="334">
        <f t="shared" si="0"/>
        <v>3387911.9</v>
      </c>
      <c r="N19" s="398">
        <v>275376.59999999998</v>
      </c>
      <c r="O19" s="398">
        <v>5414</v>
      </c>
      <c r="P19" s="398">
        <v>40660.800000000003</v>
      </c>
      <c r="Q19" s="398">
        <v>35230.839999999997</v>
      </c>
      <c r="R19" s="398">
        <v>234295.95</v>
      </c>
      <c r="S19" s="398"/>
      <c r="T19" s="398"/>
      <c r="U19" s="398">
        <v>14850</v>
      </c>
      <c r="V19" s="398"/>
      <c r="W19" s="398"/>
      <c r="X19" s="382">
        <v>20856.650000000001</v>
      </c>
      <c r="Y19" s="485">
        <f t="shared" si="1"/>
        <v>4014596.7399999998</v>
      </c>
      <c r="Z19" s="399">
        <v>27029</v>
      </c>
      <c r="AA19" s="399">
        <v>6807</v>
      </c>
      <c r="AB19" s="399">
        <v>145627.70000000001</v>
      </c>
      <c r="AC19" s="399"/>
      <c r="AD19" s="399">
        <v>225749.98</v>
      </c>
      <c r="AE19" s="399">
        <v>38150</v>
      </c>
      <c r="AF19" s="399">
        <v>33186</v>
      </c>
      <c r="AG19" s="399"/>
      <c r="AH19" s="399">
        <v>1602</v>
      </c>
      <c r="AI19" s="399">
        <v>68510.45</v>
      </c>
      <c r="AJ19" s="399"/>
      <c r="AK19" s="399">
        <v>20074.400000000001</v>
      </c>
      <c r="AL19" s="477"/>
      <c r="AM19" s="485">
        <f t="shared" si="2"/>
        <v>566736.53</v>
      </c>
      <c r="AN19" s="399">
        <v>68</v>
      </c>
      <c r="AO19" s="402">
        <v>1868</v>
      </c>
      <c r="AP19" s="480">
        <v>-119303.93</v>
      </c>
      <c r="AQ19" s="490"/>
      <c r="AR19" s="490">
        <v>-322.97000000000003</v>
      </c>
      <c r="AS19" s="520">
        <v>1.2</v>
      </c>
      <c r="AT19" s="533">
        <v>4014596.74</v>
      </c>
      <c r="AU19" s="533">
        <v>14850</v>
      </c>
      <c r="AV19" s="533">
        <v>20856.650000000001</v>
      </c>
      <c r="AW19" s="533">
        <v>566736.53</v>
      </c>
      <c r="AX19" s="533">
        <v>0</v>
      </c>
      <c r="AY19" s="533">
        <v>-119303.93</v>
      </c>
      <c r="AZ19" s="533">
        <v>0</v>
      </c>
      <c r="BA19" s="533">
        <v>-322.97000000000003</v>
      </c>
      <c r="BB19" s="480">
        <f t="shared" si="3"/>
        <v>0</v>
      </c>
      <c r="BC19" s="480">
        <f t="shared" si="4"/>
        <v>0</v>
      </c>
      <c r="BD19" s="480">
        <f t="shared" si="5"/>
        <v>0</v>
      </c>
      <c r="BE19" s="480">
        <f t="shared" si="6"/>
        <v>0</v>
      </c>
      <c r="BF19" s="480">
        <f t="shared" si="7"/>
        <v>0</v>
      </c>
      <c r="BG19" s="480">
        <f t="shared" si="8"/>
        <v>0</v>
      </c>
      <c r="BH19" s="480">
        <f t="shared" si="9"/>
        <v>0</v>
      </c>
      <c r="BI19" s="6">
        <f t="shared" si="10"/>
        <v>5413</v>
      </c>
      <c r="BJ19" s="480" t="str">
        <f t="shared" si="11"/>
        <v>Roche</v>
      </c>
    </row>
    <row r="20" spans="1:62" x14ac:dyDescent="0.25">
      <c r="A20" s="341">
        <v>5414</v>
      </c>
      <c r="B20" s="523" t="s">
        <v>134</v>
      </c>
      <c r="C20" s="394">
        <v>7518171.6699999999</v>
      </c>
      <c r="D20" s="394">
        <v>1268760</v>
      </c>
      <c r="E20" s="391"/>
      <c r="F20" s="394">
        <v>0</v>
      </c>
      <c r="G20" s="394">
        <v>339775.15</v>
      </c>
      <c r="H20" s="394">
        <v>152721.60000000001</v>
      </c>
      <c r="I20" s="394">
        <v>60504.7</v>
      </c>
      <c r="J20" s="394">
        <v>377905.1</v>
      </c>
      <c r="K20" s="394">
        <v>170265.60000000001</v>
      </c>
      <c r="L20" s="394">
        <v>1233070.3</v>
      </c>
      <c r="M20" s="334">
        <f t="shared" si="0"/>
        <v>11121174.119999999</v>
      </c>
      <c r="N20" s="398">
        <v>1579016.8</v>
      </c>
      <c r="O20" s="398">
        <v>125495</v>
      </c>
      <c r="P20" s="398">
        <v>395929.45</v>
      </c>
      <c r="Q20" s="398">
        <v>114730.6</v>
      </c>
      <c r="R20" s="398">
        <v>291274.25</v>
      </c>
      <c r="S20" s="398"/>
      <c r="T20" s="398"/>
      <c r="U20" s="398">
        <v>23460</v>
      </c>
      <c r="V20" s="398"/>
      <c r="W20" s="398"/>
      <c r="X20" s="382">
        <v>59073.45</v>
      </c>
      <c r="Y20" s="485">
        <f t="shared" si="1"/>
        <v>13710153.669999998</v>
      </c>
      <c r="Z20" s="399">
        <v>74007</v>
      </c>
      <c r="AA20" s="399"/>
      <c r="AB20" s="399">
        <v>1310750</v>
      </c>
      <c r="AC20" s="399"/>
      <c r="AD20" s="399">
        <v>880114</v>
      </c>
      <c r="AE20" s="399">
        <v>86406</v>
      </c>
      <c r="AF20" s="399"/>
      <c r="AG20" s="399"/>
      <c r="AH20" s="399">
        <v>54523</v>
      </c>
      <c r="AI20" s="399">
        <v>211342</v>
      </c>
      <c r="AJ20" s="399"/>
      <c r="AK20" s="399">
        <v>120767</v>
      </c>
      <c r="AL20" s="477"/>
      <c r="AM20" s="485">
        <f t="shared" si="2"/>
        <v>2737909</v>
      </c>
      <c r="AN20" s="399">
        <v>67.5</v>
      </c>
      <c r="AO20" s="402">
        <v>5837</v>
      </c>
      <c r="AP20" s="480">
        <v>-525365.79</v>
      </c>
      <c r="AQ20" s="490"/>
      <c r="AR20" s="490">
        <v>-5477.89</v>
      </c>
      <c r="AS20" s="520">
        <v>1</v>
      </c>
      <c r="AT20" s="533">
        <v>13710153.67</v>
      </c>
      <c r="AU20" s="533">
        <v>23460</v>
      </c>
      <c r="AV20" s="533">
        <v>59073.45</v>
      </c>
      <c r="AW20" s="533">
        <v>2737909</v>
      </c>
      <c r="AX20" s="533">
        <v>0</v>
      </c>
      <c r="AY20" s="533">
        <v>-525365.79</v>
      </c>
      <c r="AZ20" s="533">
        <v>0</v>
      </c>
      <c r="BA20" s="533">
        <v>-5477.89</v>
      </c>
      <c r="BB20" s="480">
        <f t="shared" si="3"/>
        <v>0</v>
      </c>
      <c r="BC20" s="480">
        <f t="shared" si="4"/>
        <v>0</v>
      </c>
      <c r="BD20" s="480">
        <f t="shared" si="5"/>
        <v>0</v>
      </c>
      <c r="BE20" s="480">
        <f t="shared" si="6"/>
        <v>0</v>
      </c>
      <c r="BF20" s="480">
        <f t="shared" si="7"/>
        <v>0</v>
      </c>
      <c r="BG20" s="480">
        <f t="shared" si="8"/>
        <v>0</v>
      </c>
      <c r="BH20" s="480">
        <f t="shared" si="9"/>
        <v>0</v>
      </c>
      <c r="BI20" s="6">
        <f t="shared" si="10"/>
        <v>5414</v>
      </c>
      <c r="BJ20" s="480" t="str">
        <f t="shared" si="11"/>
        <v>Villeneuve</v>
      </c>
    </row>
    <row r="21" spans="1:62" x14ac:dyDescent="0.25">
      <c r="A21" s="341">
        <v>5415</v>
      </c>
      <c r="B21" s="523" t="s">
        <v>72</v>
      </c>
      <c r="C21" s="394">
        <v>2092581.95</v>
      </c>
      <c r="D21" s="394">
        <v>313907.99</v>
      </c>
      <c r="E21" s="391"/>
      <c r="F21" s="394">
        <v>0</v>
      </c>
      <c r="G21" s="394">
        <v>39694.5</v>
      </c>
      <c r="H21" s="394">
        <v>5909.75</v>
      </c>
      <c r="I21" s="394">
        <v>-1112.8</v>
      </c>
      <c r="J21" s="394">
        <v>50941.15</v>
      </c>
      <c r="K21" s="394">
        <v>8446.2000000000007</v>
      </c>
      <c r="L21" s="394">
        <v>363802.15</v>
      </c>
      <c r="M21" s="334">
        <f t="shared" si="0"/>
        <v>2874170.89</v>
      </c>
      <c r="N21" s="398">
        <v>40570.300000000003</v>
      </c>
      <c r="O21" s="398">
        <v>301698.3</v>
      </c>
      <c r="P21" s="398">
        <v>36502.699999999997</v>
      </c>
      <c r="Q21" s="398">
        <v>3993.56</v>
      </c>
      <c r="R21" s="398">
        <v>4057.75</v>
      </c>
      <c r="S21" s="398"/>
      <c r="T21" s="398"/>
      <c r="U21" s="398">
        <v>7400</v>
      </c>
      <c r="V21" s="398"/>
      <c r="W21" s="398"/>
      <c r="X21" s="382">
        <v>5470.09</v>
      </c>
      <c r="Y21" s="485">
        <f t="shared" si="1"/>
        <v>3273863.59</v>
      </c>
      <c r="Z21" s="399">
        <v>12803.4</v>
      </c>
      <c r="AA21" s="399"/>
      <c r="AB21" s="399">
        <v>205673.3</v>
      </c>
      <c r="AC21" s="399"/>
      <c r="AD21" s="399">
        <v>45573.19</v>
      </c>
      <c r="AE21" s="399">
        <v>11115.3</v>
      </c>
      <c r="AF21" s="399"/>
      <c r="AG21" s="399"/>
      <c r="AH21" s="399">
        <v>29279.9</v>
      </c>
      <c r="AI21" s="399">
        <v>54713.599999999999</v>
      </c>
      <c r="AJ21" s="399"/>
      <c r="AK21" s="399"/>
      <c r="AL21" s="477">
        <v>54713.3</v>
      </c>
      <c r="AM21" s="485">
        <f t="shared" si="2"/>
        <v>413871.99</v>
      </c>
      <c r="AN21" s="399">
        <v>71.5</v>
      </c>
      <c r="AO21" s="402">
        <v>1070</v>
      </c>
      <c r="AP21" s="480">
        <v>-33484.75</v>
      </c>
      <c r="AQ21" s="490"/>
      <c r="AR21" s="490">
        <v>-798.47</v>
      </c>
      <c r="AS21" s="520">
        <v>1.5</v>
      </c>
      <c r="AT21" s="533">
        <v>3273863.59</v>
      </c>
      <c r="AU21" s="533">
        <v>7400</v>
      </c>
      <c r="AV21" s="533">
        <v>5470.09</v>
      </c>
      <c r="AW21" s="533">
        <v>413871.99</v>
      </c>
      <c r="AX21" s="533">
        <v>0</v>
      </c>
      <c r="AY21" s="533">
        <v>-33484.75</v>
      </c>
      <c r="AZ21" s="533">
        <v>0</v>
      </c>
      <c r="BA21" s="533">
        <v>-798.47</v>
      </c>
      <c r="BB21" s="480">
        <f t="shared" si="3"/>
        <v>0</v>
      </c>
      <c r="BC21" s="480">
        <f t="shared" si="4"/>
        <v>0</v>
      </c>
      <c r="BD21" s="480">
        <f t="shared" si="5"/>
        <v>0</v>
      </c>
      <c r="BE21" s="480">
        <f t="shared" si="6"/>
        <v>0</v>
      </c>
      <c r="BF21" s="480">
        <f t="shared" si="7"/>
        <v>0</v>
      </c>
      <c r="BG21" s="480">
        <f t="shared" si="8"/>
        <v>0</v>
      </c>
      <c r="BH21" s="480">
        <f t="shared" si="9"/>
        <v>0</v>
      </c>
      <c r="BI21" s="6">
        <f t="shared" si="10"/>
        <v>5415</v>
      </c>
      <c r="BJ21" s="480" t="str">
        <f t="shared" si="11"/>
        <v>Yvorne</v>
      </c>
    </row>
    <row r="22" spans="1:62" x14ac:dyDescent="0.25">
      <c r="A22" s="341">
        <v>5421</v>
      </c>
      <c r="B22" s="523" t="s">
        <v>73</v>
      </c>
      <c r="C22" s="394">
        <v>3647344.41</v>
      </c>
      <c r="D22" s="394">
        <v>554544.91</v>
      </c>
      <c r="E22" s="391"/>
      <c r="F22" s="394">
        <v>0</v>
      </c>
      <c r="G22" s="394">
        <v>21678.95</v>
      </c>
      <c r="H22" s="394">
        <v>41017.050000000003</v>
      </c>
      <c r="I22" s="394">
        <v>67515.199999999997</v>
      </c>
      <c r="J22" s="394">
        <v>292311.67999999999</v>
      </c>
      <c r="K22" s="394">
        <v>12858.9</v>
      </c>
      <c r="L22" s="394">
        <v>301256.09999999998</v>
      </c>
      <c r="M22" s="334">
        <f t="shared" si="0"/>
        <v>4938527.2</v>
      </c>
      <c r="N22" s="398">
        <v>37966.6</v>
      </c>
      <c r="O22" s="398">
        <v>44006.400000000001</v>
      </c>
      <c r="P22" s="398">
        <v>77387.399999999994</v>
      </c>
      <c r="Q22" s="398">
        <v>2464.04</v>
      </c>
      <c r="R22" s="398">
        <v>60347.75</v>
      </c>
      <c r="S22" s="398"/>
      <c r="T22" s="398"/>
      <c r="U22" s="398">
        <v>9400</v>
      </c>
      <c r="V22" s="398"/>
      <c r="W22" s="398"/>
      <c r="X22" s="382">
        <v>7520.19</v>
      </c>
      <c r="Y22" s="485">
        <f t="shared" si="1"/>
        <v>5177619.580000001</v>
      </c>
      <c r="Z22" s="399">
        <v>15137.04</v>
      </c>
      <c r="AA22" s="399"/>
      <c r="AB22" s="399">
        <v>245889.46</v>
      </c>
      <c r="AC22" s="399"/>
      <c r="AD22" s="399">
        <v>217607.51</v>
      </c>
      <c r="AE22" s="399">
        <v>21582.959999999999</v>
      </c>
      <c r="AF22" s="399"/>
      <c r="AG22" s="399"/>
      <c r="AH22" s="399"/>
      <c r="AI22" s="399"/>
      <c r="AJ22" s="399"/>
      <c r="AK22" s="399"/>
      <c r="AL22" s="477"/>
      <c r="AM22" s="485">
        <f t="shared" si="2"/>
        <v>500216.97000000003</v>
      </c>
      <c r="AN22" s="399">
        <v>74</v>
      </c>
      <c r="AO22" s="402">
        <v>1457</v>
      </c>
      <c r="AP22" s="480">
        <v>-36044.699999999997</v>
      </c>
      <c r="AQ22" s="490"/>
      <c r="AR22" s="490">
        <v>-5260.21</v>
      </c>
      <c r="AS22" s="520">
        <v>1</v>
      </c>
      <c r="AT22" s="533">
        <v>5177619.58</v>
      </c>
      <c r="AU22" s="533">
        <v>9400</v>
      </c>
      <c r="AV22" s="533">
        <v>7520.19</v>
      </c>
      <c r="AW22" s="533">
        <v>500216.97</v>
      </c>
      <c r="AX22" s="533">
        <v>0</v>
      </c>
      <c r="AY22" s="533">
        <v>-36044.699999999997</v>
      </c>
      <c r="AZ22" s="533">
        <v>0</v>
      </c>
      <c r="BA22" s="533">
        <v>-5260.21</v>
      </c>
      <c r="BB22" s="480">
        <f t="shared" si="3"/>
        <v>0</v>
      </c>
      <c r="BC22" s="480">
        <f t="shared" si="4"/>
        <v>0</v>
      </c>
      <c r="BD22" s="480">
        <f t="shared" si="5"/>
        <v>0</v>
      </c>
      <c r="BE22" s="480">
        <f t="shared" si="6"/>
        <v>0</v>
      </c>
      <c r="BF22" s="480">
        <f t="shared" si="7"/>
        <v>0</v>
      </c>
      <c r="BG22" s="480">
        <f t="shared" si="8"/>
        <v>0</v>
      </c>
      <c r="BH22" s="480">
        <f t="shared" si="9"/>
        <v>0</v>
      </c>
      <c r="BI22" s="6">
        <f t="shared" si="10"/>
        <v>5421</v>
      </c>
      <c r="BJ22" s="480" t="str">
        <f t="shared" si="11"/>
        <v>Apples</v>
      </c>
    </row>
    <row r="23" spans="1:62" x14ac:dyDescent="0.25">
      <c r="A23" s="341">
        <v>5422</v>
      </c>
      <c r="B23" s="523" t="s">
        <v>74</v>
      </c>
      <c r="C23" s="394">
        <v>8608600.1899999995</v>
      </c>
      <c r="D23" s="394">
        <v>187077.49</v>
      </c>
      <c r="E23" s="391"/>
      <c r="F23" s="394">
        <v>0</v>
      </c>
      <c r="G23" s="394">
        <v>5158799.7</v>
      </c>
      <c r="H23" s="394">
        <v>46828.45</v>
      </c>
      <c r="I23" s="394">
        <v>319908</v>
      </c>
      <c r="J23" s="394">
        <v>541853.35</v>
      </c>
      <c r="K23" s="394">
        <v>182483.5</v>
      </c>
      <c r="L23" s="394">
        <v>994846.68</v>
      </c>
      <c r="M23" s="334">
        <f t="shared" si="0"/>
        <v>16040397.359999998</v>
      </c>
      <c r="N23" s="398">
        <v>1045403.05</v>
      </c>
      <c r="O23" s="398">
        <v>132137.9</v>
      </c>
      <c r="P23" s="398">
        <v>447632.6</v>
      </c>
      <c r="Q23" s="398">
        <v>37116.94</v>
      </c>
      <c r="R23" s="398">
        <v>440850.9</v>
      </c>
      <c r="S23" s="398"/>
      <c r="T23" s="398">
        <v>16738.400000000001</v>
      </c>
      <c r="U23" s="398">
        <v>23150</v>
      </c>
      <c r="V23" s="398"/>
      <c r="W23" s="398"/>
      <c r="X23" s="382">
        <v>624398.88</v>
      </c>
      <c r="Y23" s="485">
        <f t="shared" si="1"/>
        <v>18807826.029999994</v>
      </c>
      <c r="Z23" s="399">
        <v>99791.25</v>
      </c>
      <c r="AA23" s="399"/>
      <c r="AB23" s="399">
        <v>290566.93</v>
      </c>
      <c r="AC23" s="399"/>
      <c r="AD23" s="399">
        <v>253741.14</v>
      </c>
      <c r="AE23" s="399">
        <v>66843</v>
      </c>
      <c r="AF23" s="399"/>
      <c r="AG23" s="399"/>
      <c r="AH23" s="399"/>
      <c r="AI23" s="399">
        <v>223058.85</v>
      </c>
      <c r="AJ23" s="399"/>
      <c r="AK23" s="399"/>
      <c r="AL23" s="477"/>
      <c r="AM23" s="485">
        <f t="shared" si="2"/>
        <v>934001.17</v>
      </c>
      <c r="AN23" s="399">
        <v>68.5</v>
      </c>
      <c r="AO23" s="402">
        <v>3241</v>
      </c>
      <c r="AP23" s="480">
        <v>-91855.75</v>
      </c>
      <c r="AQ23" s="490"/>
      <c r="AR23" s="490">
        <v>-6465.77</v>
      </c>
      <c r="AS23" s="520">
        <v>1</v>
      </c>
      <c r="AT23" s="533">
        <v>18807826.030000001</v>
      </c>
      <c r="AU23" s="533">
        <f>16738.4+23150</f>
        <v>39888.400000000001</v>
      </c>
      <c r="AV23" s="533">
        <v>624398.88</v>
      </c>
      <c r="AW23" s="533">
        <v>934001.17</v>
      </c>
      <c r="AX23" s="533">
        <v>0</v>
      </c>
      <c r="AY23" s="533">
        <v>-91855.75</v>
      </c>
      <c r="AZ23" s="533">
        <v>0</v>
      </c>
      <c r="BA23" s="533">
        <v>-6465.77</v>
      </c>
      <c r="BB23" s="480">
        <f t="shared" si="3"/>
        <v>0</v>
      </c>
      <c r="BC23" s="480">
        <f t="shared" si="4"/>
        <v>0</v>
      </c>
      <c r="BD23" s="480">
        <f t="shared" si="5"/>
        <v>0</v>
      </c>
      <c r="BE23" s="480">
        <f t="shared" si="6"/>
        <v>0</v>
      </c>
      <c r="BF23" s="480">
        <f t="shared" si="7"/>
        <v>0</v>
      </c>
      <c r="BG23" s="480">
        <f t="shared" si="8"/>
        <v>0</v>
      </c>
      <c r="BH23" s="480">
        <f t="shared" si="9"/>
        <v>0</v>
      </c>
      <c r="BI23" s="6">
        <f t="shared" si="10"/>
        <v>5422</v>
      </c>
      <c r="BJ23" s="480" t="str">
        <f t="shared" si="11"/>
        <v>Aubonne</v>
      </c>
    </row>
    <row r="24" spans="1:62" x14ac:dyDescent="0.25">
      <c r="A24" s="341">
        <v>5423</v>
      </c>
      <c r="B24" s="523" t="s">
        <v>75</v>
      </c>
      <c r="C24" s="394">
        <v>1064057.79</v>
      </c>
      <c r="D24" s="394">
        <v>95526.720000000001</v>
      </c>
      <c r="E24" s="391"/>
      <c r="F24" s="394">
        <v>2900</v>
      </c>
      <c r="G24" s="394">
        <v>2477.1999999999998</v>
      </c>
      <c r="H24" s="394">
        <v>1456.15</v>
      </c>
      <c r="I24" s="394">
        <v>0</v>
      </c>
      <c r="J24" s="394">
        <v>22628</v>
      </c>
      <c r="K24" s="394">
        <v>2520.85</v>
      </c>
      <c r="L24" s="394">
        <v>39954.75</v>
      </c>
      <c r="M24" s="334">
        <f t="shared" si="0"/>
        <v>1231521.46</v>
      </c>
      <c r="N24" s="398">
        <v>23095.75</v>
      </c>
      <c r="O24" s="398">
        <v>0</v>
      </c>
      <c r="P24" s="398">
        <v>42278.65</v>
      </c>
      <c r="Q24" s="398">
        <v>0</v>
      </c>
      <c r="R24" s="398">
        <v>21474</v>
      </c>
      <c r="S24" s="398">
        <v>125</v>
      </c>
      <c r="T24" s="398">
        <v>822.3</v>
      </c>
      <c r="U24" s="398">
        <v>2025</v>
      </c>
      <c r="V24" s="398"/>
      <c r="W24" s="398"/>
      <c r="X24" s="382">
        <v>471.79</v>
      </c>
      <c r="Y24" s="485">
        <f t="shared" si="1"/>
        <v>1321813.95</v>
      </c>
      <c r="Z24" s="399">
        <v>1077</v>
      </c>
      <c r="AA24" s="399"/>
      <c r="AB24" s="399">
        <v>152487.75</v>
      </c>
      <c r="AC24" s="399"/>
      <c r="AD24" s="399">
        <v>27640</v>
      </c>
      <c r="AE24" s="399"/>
      <c r="AF24" s="399"/>
      <c r="AG24" s="399"/>
      <c r="AH24" s="399"/>
      <c r="AI24" s="399">
        <v>10976.3</v>
      </c>
      <c r="AJ24" s="399"/>
      <c r="AK24" s="399"/>
      <c r="AL24" s="477"/>
      <c r="AM24" s="485">
        <f t="shared" si="2"/>
        <v>192181.05</v>
      </c>
      <c r="AN24" s="399">
        <v>73</v>
      </c>
      <c r="AO24" s="402">
        <v>562</v>
      </c>
      <c r="AP24" s="480">
        <v>-22543.01</v>
      </c>
      <c r="AQ24" s="490"/>
      <c r="AR24" s="490">
        <v>-28.57</v>
      </c>
      <c r="AS24" s="520">
        <v>0.5</v>
      </c>
      <c r="AT24" s="533">
        <v>1321813.95</v>
      </c>
      <c r="AU24" s="533">
        <f>125+822.3+2025</f>
        <v>2972.3</v>
      </c>
      <c r="AV24" s="533">
        <v>471.79</v>
      </c>
      <c r="AW24" s="533">
        <v>192181.05</v>
      </c>
      <c r="AX24" s="533">
        <v>0</v>
      </c>
      <c r="AY24" s="533">
        <v>-22543.01</v>
      </c>
      <c r="AZ24" s="533">
        <v>0</v>
      </c>
      <c r="BA24" s="533">
        <v>-28.57</v>
      </c>
      <c r="BB24" s="480">
        <f t="shared" si="3"/>
        <v>0</v>
      </c>
      <c r="BC24" s="480">
        <f t="shared" si="4"/>
        <v>0</v>
      </c>
      <c r="BD24" s="480">
        <f t="shared" si="5"/>
        <v>0</v>
      </c>
      <c r="BE24" s="480">
        <f t="shared" si="6"/>
        <v>0</v>
      </c>
      <c r="BF24" s="480">
        <f t="shared" si="7"/>
        <v>0</v>
      </c>
      <c r="BG24" s="480">
        <f t="shared" si="8"/>
        <v>0</v>
      </c>
      <c r="BH24" s="480">
        <f t="shared" si="9"/>
        <v>0</v>
      </c>
      <c r="BI24" s="6">
        <f t="shared" si="10"/>
        <v>5423</v>
      </c>
      <c r="BJ24" s="480" t="str">
        <f t="shared" si="11"/>
        <v>Ballens</v>
      </c>
    </row>
    <row r="25" spans="1:62" x14ac:dyDescent="0.25">
      <c r="A25" s="341">
        <v>5424</v>
      </c>
      <c r="B25" s="523" t="s">
        <v>76</v>
      </c>
      <c r="C25" s="394">
        <v>563266.75</v>
      </c>
      <c r="D25" s="394">
        <v>46223.47</v>
      </c>
      <c r="E25" s="391"/>
      <c r="F25" s="394">
        <v>0</v>
      </c>
      <c r="G25" s="394">
        <v>535</v>
      </c>
      <c r="H25" s="394">
        <v>585.9</v>
      </c>
      <c r="I25" s="394">
        <v>38612.949999999997</v>
      </c>
      <c r="J25" s="394">
        <v>4367.42</v>
      </c>
      <c r="K25" s="394">
        <v>766</v>
      </c>
      <c r="L25" s="394">
        <v>50423.4</v>
      </c>
      <c r="M25" s="334">
        <f t="shared" si="0"/>
        <v>704780.89</v>
      </c>
      <c r="N25" s="398">
        <v>0</v>
      </c>
      <c r="O25" s="398">
        <v>0</v>
      </c>
      <c r="P25" s="398">
        <v>14315.85</v>
      </c>
      <c r="Q25" s="398">
        <v>401.9</v>
      </c>
      <c r="R25" s="398">
        <v>29602.85</v>
      </c>
      <c r="S25" s="398"/>
      <c r="T25" s="398"/>
      <c r="U25" s="398">
        <v>1850</v>
      </c>
      <c r="V25" s="398"/>
      <c r="W25" s="398">
        <v>9446.86</v>
      </c>
      <c r="X25" s="382">
        <v>134.44999999999999</v>
      </c>
      <c r="Y25" s="485">
        <f t="shared" si="1"/>
        <v>760532.79999999993</v>
      </c>
      <c r="Z25" s="399"/>
      <c r="AA25" s="399"/>
      <c r="AB25" s="399">
        <v>48000</v>
      </c>
      <c r="AC25" s="399">
        <v>10303.5</v>
      </c>
      <c r="AD25" s="399">
        <v>13227.55</v>
      </c>
      <c r="AE25" s="399"/>
      <c r="AF25" s="399"/>
      <c r="AG25" s="399"/>
      <c r="AH25" s="399"/>
      <c r="AI25" s="399">
        <v>7476.7</v>
      </c>
      <c r="AJ25" s="399"/>
      <c r="AK25" s="399"/>
      <c r="AL25" s="477"/>
      <c r="AM25" s="485">
        <f t="shared" si="2"/>
        <v>79007.75</v>
      </c>
      <c r="AN25" s="399">
        <v>75.5</v>
      </c>
      <c r="AO25" s="402">
        <v>313</v>
      </c>
      <c r="AP25" s="480">
        <v>-17136.48</v>
      </c>
      <c r="AQ25" s="490"/>
      <c r="AR25" s="490">
        <v>0</v>
      </c>
      <c r="AS25" s="520">
        <v>1</v>
      </c>
      <c r="AT25" s="533">
        <v>760532.8</v>
      </c>
      <c r="AU25" s="533">
        <f>1850+9446.86</f>
        <v>11296.86</v>
      </c>
      <c r="AV25" s="533">
        <v>134.44999999999999</v>
      </c>
      <c r="AW25" s="533">
        <v>79007.75</v>
      </c>
      <c r="AX25" s="533">
        <v>0</v>
      </c>
      <c r="AY25" s="533">
        <v>-17136.48</v>
      </c>
      <c r="AZ25" s="533">
        <v>0</v>
      </c>
      <c r="BA25" s="533">
        <v>0</v>
      </c>
      <c r="BB25" s="480">
        <f t="shared" si="3"/>
        <v>0</v>
      </c>
      <c r="BC25" s="480">
        <f t="shared" si="4"/>
        <v>0</v>
      </c>
      <c r="BD25" s="480">
        <f t="shared" si="5"/>
        <v>0</v>
      </c>
      <c r="BE25" s="480">
        <f t="shared" si="6"/>
        <v>0</v>
      </c>
      <c r="BF25" s="480">
        <f t="shared" si="7"/>
        <v>0</v>
      </c>
      <c r="BG25" s="480">
        <f t="shared" si="8"/>
        <v>0</v>
      </c>
      <c r="BH25" s="480">
        <f t="shared" si="9"/>
        <v>0</v>
      </c>
      <c r="BI25" s="6">
        <f t="shared" si="10"/>
        <v>5424</v>
      </c>
      <c r="BJ25" s="480" t="str">
        <f t="shared" si="11"/>
        <v>Berolle</v>
      </c>
    </row>
    <row r="26" spans="1:62" x14ac:dyDescent="0.25">
      <c r="A26" s="341">
        <v>5425</v>
      </c>
      <c r="B26" s="523" t="s">
        <v>77</v>
      </c>
      <c r="C26" s="394">
        <v>2028303.79</v>
      </c>
      <c r="D26" s="394">
        <v>238915.91</v>
      </c>
      <c r="E26" s="391"/>
      <c r="F26" s="394">
        <v>0</v>
      </c>
      <c r="G26" s="394">
        <v>192982.2</v>
      </c>
      <c r="H26" s="394">
        <v>2396.65</v>
      </c>
      <c r="I26" s="394">
        <v>0</v>
      </c>
      <c r="J26" s="394">
        <v>142233.89000000001</v>
      </c>
      <c r="K26" s="394">
        <v>-12948.1</v>
      </c>
      <c r="L26" s="394">
        <v>121003.55</v>
      </c>
      <c r="M26" s="334">
        <f t="shared" si="0"/>
        <v>2712887.89</v>
      </c>
      <c r="N26" s="398">
        <v>61405.1</v>
      </c>
      <c r="O26" s="398">
        <v>53054.7</v>
      </c>
      <c r="P26" s="398">
        <v>102111.85</v>
      </c>
      <c r="Q26" s="398">
        <v>44838.27</v>
      </c>
      <c r="R26" s="398">
        <v>95170.1</v>
      </c>
      <c r="S26" s="398">
        <v>525</v>
      </c>
      <c r="T26" s="398">
        <v>3085.75</v>
      </c>
      <c r="U26" s="398">
        <v>12200</v>
      </c>
      <c r="V26" s="398"/>
      <c r="W26" s="398"/>
      <c r="X26" s="382">
        <v>23435.08</v>
      </c>
      <c r="Y26" s="485">
        <f t="shared" si="1"/>
        <v>3108713.7400000007</v>
      </c>
      <c r="Z26" s="399">
        <v>77081</v>
      </c>
      <c r="AA26" s="399"/>
      <c r="AB26" s="399">
        <v>193333.85</v>
      </c>
      <c r="AC26" s="399"/>
      <c r="AD26" s="399">
        <v>180135.86</v>
      </c>
      <c r="AE26" s="399">
        <v>38380</v>
      </c>
      <c r="AF26" s="399"/>
      <c r="AG26" s="399"/>
      <c r="AH26" s="399"/>
      <c r="AI26" s="399">
        <v>55081.7</v>
      </c>
      <c r="AJ26" s="399"/>
      <c r="AK26" s="399"/>
      <c r="AL26" s="477"/>
      <c r="AM26" s="485">
        <f t="shared" si="2"/>
        <v>544012.40999999992</v>
      </c>
      <c r="AN26" s="399">
        <v>69</v>
      </c>
      <c r="AO26" s="402">
        <v>1627</v>
      </c>
      <c r="AP26" s="480">
        <v>-94131.28</v>
      </c>
      <c r="AQ26" s="490"/>
      <c r="AR26" s="490">
        <v>-27.35</v>
      </c>
      <c r="AS26" s="520">
        <v>0.57999999999999996</v>
      </c>
      <c r="AT26" s="533">
        <v>3108713.74</v>
      </c>
      <c r="AU26" s="533">
        <f>525+3085.75+12200</f>
        <v>15810.75</v>
      </c>
      <c r="AV26" s="533">
        <v>23435.08</v>
      </c>
      <c r="AW26" s="533">
        <v>544012.41</v>
      </c>
      <c r="AX26" s="533">
        <v>0</v>
      </c>
      <c r="AY26" s="533">
        <v>-94131.28</v>
      </c>
      <c r="AZ26" s="533">
        <v>0</v>
      </c>
      <c r="BA26" s="533">
        <v>-27.35</v>
      </c>
      <c r="BB26" s="480">
        <f t="shared" si="3"/>
        <v>0</v>
      </c>
      <c r="BC26" s="480">
        <f t="shared" si="4"/>
        <v>0</v>
      </c>
      <c r="BD26" s="480">
        <f t="shared" si="5"/>
        <v>0</v>
      </c>
      <c r="BE26" s="480">
        <f t="shared" si="6"/>
        <v>0</v>
      </c>
      <c r="BF26" s="480">
        <f t="shared" si="7"/>
        <v>0</v>
      </c>
      <c r="BG26" s="480">
        <f t="shared" si="8"/>
        <v>0</v>
      </c>
      <c r="BH26" s="480">
        <f t="shared" si="9"/>
        <v>0</v>
      </c>
      <c r="BI26" s="6">
        <f t="shared" si="10"/>
        <v>5425</v>
      </c>
      <c r="BJ26" s="480" t="str">
        <f t="shared" si="11"/>
        <v>Bière</v>
      </c>
    </row>
    <row r="27" spans="1:62" x14ac:dyDescent="0.25">
      <c r="A27" s="341">
        <v>5426</v>
      </c>
      <c r="B27" s="523" t="s">
        <v>71</v>
      </c>
      <c r="C27" s="394">
        <v>2048478.28</v>
      </c>
      <c r="D27" s="394">
        <v>661296.6</v>
      </c>
      <c r="E27" s="391"/>
      <c r="F27" s="394">
        <v>0</v>
      </c>
      <c r="G27" s="394">
        <v>-698.25</v>
      </c>
      <c r="H27" s="394">
        <v>2405.9</v>
      </c>
      <c r="I27" s="394">
        <v>619980.80000000005</v>
      </c>
      <c r="J27" s="394">
        <v>31633.53</v>
      </c>
      <c r="K27" s="394">
        <v>-1742.2</v>
      </c>
      <c r="L27" s="394">
        <v>293111.05</v>
      </c>
      <c r="M27" s="334">
        <f t="shared" si="0"/>
        <v>3654465.7099999995</v>
      </c>
      <c r="N27" s="398">
        <v>12909.65</v>
      </c>
      <c r="O27" s="398">
        <v>10073.6</v>
      </c>
      <c r="P27" s="398">
        <v>180712.4</v>
      </c>
      <c r="Q27" s="398">
        <v>0</v>
      </c>
      <c r="R27" s="398">
        <v>90087.7</v>
      </c>
      <c r="S27" s="398"/>
      <c r="T27" s="398"/>
      <c r="U27" s="398">
        <v>4320</v>
      </c>
      <c r="V27" s="398"/>
      <c r="W27" s="398"/>
      <c r="X27" s="382">
        <v>204.83</v>
      </c>
      <c r="Y27" s="485">
        <f t="shared" si="1"/>
        <v>3952773.8899999997</v>
      </c>
      <c r="Z27" s="399">
        <v>65000</v>
      </c>
      <c r="AA27" s="399"/>
      <c r="AB27" s="399">
        <v>85000</v>
      </c>
      <c r="AC27" s="399"/>
      <c r="AD27" s="399">
        <v>27302</v>
      </c>
      <c r="AE27" s="399">
        <v>33000</v>
      </c>
      <c r="AF27" s="399"/>
      <c r="AG27" s="399"/>
      <c r="AH27" s="399"/>
      <c r="AI27" s="399"/>
      <c r="AJ27" s="399"/>
      <c r="AK27" s="399"/>
      <c r="AL27" s="477"/>
      <c r="AM27" s="485">
        <f t="shared" si="2"/>
        <v>210302</v>
      </c>
      <c r="AN27" s="399">
        <v>64.5</v>
      </c>
      <c r="AO27" s="402">
        <v>477</v>
      </c>
      <c r="AP27" s="480">
        <v>-12412.44</v>
      </c>
      <c r="AQ27" s="490"/>
      <c r="AR27" s="490">
        <v>-4586.82</v>
      </c>
      <c r="AS27" s="520">
        <v>1.2</v>
      </c>
      <c r="AT27" s="533">
        <v>3952773.89</v>
      </c>
      <c r="AU27" s="533">
        <v>4320</v>
      </c>
      <c r="AV27" s="533">
        <v>204.83</v>
      </c>
      <c r="AW27" s="533">
        <v>210302</v>
      </c>
      <c r="AX27" s="533">
        <v>0</v>
      </c>
      <c r="AY27" s="533">
        <v>-12412.44</v>
      </c>
      <c r="AZ27" s="533">
        <v>0</v>
      </c>
      <c r="BA27" s="533">
        <v>-4586.82</v>
      </c>
      <c r="BB27" s="480">
        <f t="shared" si="3"/>
        <v>0</v>
      </c>
      <c r="BC27" s="480">
        <f t="shared" si="4"/>
        <v>0</v>
      </c>
      <c r="BD27" s="480">
        <f t="shared" si="5"/>
        <v>0</v>
      </c>
      <c r="BE27" s="480">
        <f t="shared" si="6"/>
        <v>0</v>
      </c>
      <c r="BF27" s="480">
        <f t="shared" si="7"/>
        <v>0</v>
      </c>
      <c r="BG27" s="480">
        <f t="shared" si="8"/>
        <v>0</v>
      </c>
      <c r="BH27" s="480">
        <f t="shared" si="9"/>
        <v>0</v>
      </c>
      <c r="BI27" s="6">
        <f t="shared" si="10"/>
        <v>5426</v>
      </c>
      <c r="BJ27" s="480" t="str">
        <f t="shared" si="11"/>
        <v>Bougy-Villars</v>
      </c>
    </row>
    <row r="28" spans="1:62" x14ac:dyDescent="0.25">
      <c r="A28" s="341">
        <v>5427</v>
      </c>
      <c r="B28" s="523" t="s">
        <v>342</v>
      </c>
      <c r="C28" s="394">
        <v>3096427.01</v>
      </c>
      <c r="D28" s="394">
        <v>959161.7</v>
      </c>
      <c r="E28" s="391"/>
      <c r="F28" s="394">
        <v>0</v>
      </c>
      <c r="G28" s="394">
        <v>37522.449999999997</v>
      </c>
      <c r="H28" s="394">
        <v>5049.25</v>
      </c>
      <c r="I28" s="394">
        <v>504282.15</v>
      </c>
      <c r="J28" s="394">
        <v>51538.01</v>
      </c>
      <c r="K28" s="394">
        <v>-319.75</v>
      </c>
      <c r="L28" s="394">
        <v>470098.5</v>
      </c>
      <c r="M28" s="334">
        <f t="shared" si="0"/>
        <v>5123759.32</v>
      </c>
      <c r="N28" s="398">
        <v>11820.25</v>
      </c>
      <c r="O28" s="398">
        <v>0</v>
      </c>
      <c r="P28" s="398">
        <v>119520.9</v>
      </c>
      <c r="Q28" s="398">
        <v>6191.36</v>
      </c>
      <c r="R28" s="398">
        <v>78166.850000000006</v>
      </c>
      <c r="S28" s="398"/>
      <c r="T28" s="398">
        <v>244</v>
      </c>
      <c r="U28" s="398">
        <v>4200</v>
      </c>
      <c r="V28" s="398"/>
      <c r="W28" s="398"/>
      <c r="X28" s="382">
        <v>5106.34</v>
      </c>
      <c r="Y28" s="485">
        <f t="shared" si="1"/>
        <v>5349009.0200000005</v>
      </c>
      <c r="Z28" s="399">
        <v>82375</v>
      </c>
      <c r="AA28" s="399"/>
      <c r="AB28" s="399">
        <v>201810.15</v>
      </c>
      <c r="AC28" s="399"/>
      <c r="AD28" s="399">
        <v>91148.65</v>
      </c>
      <c r="AE28" s="399"/>
      <c r="AF28" s="399"/>
      <c r="AG28" s="399"/>
      <c r="AH28" s="399"/>
      <c r="AI28" s="399"/>
      <c r="AJ28" s="399"/>
      <c r="AK28" s="399"/>
      <c r="AL28" s="477"/>
      <c r="AM28" s="485">
        <f t="shared" si="2"/>
        <v>375333.80000000005</v>
      </c>
      <c r="AN28" s="399">
        <v>64</v>
      </c>
      <c r="AO28" s="402">
        <v>869</v>
      </c>
      <c r="AP28" s="480">
        <v>-97265.64</v>
      </c>
      <c r="AQ28" s="490"/>
      <c r="AR28" s="490">
        <v>0</v>
      </c>
      <c r="AS28" s="520">
        <v>1.3</v>
      </c>
      <c r="AT28" s="533">
        <v>5349009.0199999996</v>
      </c>
      <c r="AU28" s="533">
        <f>244+4200</f>
        <v>4444</v>
      </c>
      <c r="AV28" s="533">
        <v>5106.34</v>
      </c>
      <c r="AW28" s="533">
        <v>375333.8</v>
      </c>
      <c r="AX28" s="533">
        <v>0</v>
      </c>
      <c r="AY28" s="533">
        <v>-97265.64</v>
      </c>
      <c r="AZ28" s="533">
        <v>0</v>
      </c>
      <c r="BA28" s="533">
        <v>0</v>
      </c>
      <c r="BB28" s="480">
        <f t="shared" si="3"/>
        <v>0</v>
      </c>
      <c r="BC28" s="480">
        <f t="shared" si="4"/>
        <v>0</v>
      </c>
      <c r="BD28" s="480">
        <f t="shared" si="5"/>
        <v>0</v>
      </c>
      <c r="BE28" s="480">
        <f t="shared" si="6"/>
        <v>0</v>
      </c>
      <c r="BF28" s="480">
        <f t="shared" si="7"/>
        <v>0</v>
      </c>
      <c r="BG28" s="480">
        <f t="shared" si="8"/>
        <v>0</v>
      </c>
      <c r="BH28" s="480">
        <f t="shared" si="9"/>
        <v>0</v>
      </c>
      <c r="BI28" s="6">
        <f t="shared" si="10"/>
        <v>5427</v>
      </c>
      <c r="BJ28" s="480" t="str">
        <f t="shared" si="11"/>
        <v>Féchy</v>
      </c>
    </row>
    <row r="29" spans="1:62" x14ac:dyDescent="0.25">
      <c r="A29" s="341">
        <v>5428</v>
      </c>
      <c r="B29" s="523" t="s">
        <v>343</v>
      </c>
      <c r="C29" s="394">
        <v>4065143.36</v>
      </c>
      <c r="D29" s="394">
        <v>490874.68</v>
      </c>
      <c r="E29" s="391"/>
      <c r="F29" s="394">
        <v>0</v>
      </c>
      <c r="G29" s="394">
        <v>106214.75</v>
      </c>
      <c r="H29" s="394">
        <v>7067.1</v>
      </c>
      <c r="I29" s="394">
        <v>0</v>
      </c>
      <c r="J29" s="394">
        <v>204065.92000000001</v>
      </c>
      <c r="K29" s="394">
        <v>16220.5</v>
      </c>
      <c r="L29" s="394">
        <v>456917.15</v>
      </c>
      <c r="M29" s="334">
        <f t="shared" si="0"/>
        <v>5346503.46</v>
      </c>
      <c r="N29" s="398">
        <v>249456.7</v>
      </c>
      <c r="O29" s="398">
        <v>539194.1</v>
      </c>
      <c r="P29" s="398">
        <v>228165.85</v>
      </c>
      <c r="Q29" s="398">
        <v>3726.29</v>
      </c>
      <c r="R29" s="398">
        <v>68445.399999999994</v>
      </c>
      <c r="S29" s="398">
        <v>450</v>
      </c>
      <c r="T29" s="398">
        <v>400</v>
      </c>
      <c r="U29" s="398">
        <v>15600</v>
      </c>
      <c r="V29" s="398"/>
      <c r="W29" s="398"/>
      <c r="X29" s="382">
        <v>13587.8</v>
      </c>
      <c r="Y29" s="485">
        <f t="shared" si="1"/>
        <v>6465529.5999999996</v>
      </c>
      <c r="Z29" s="399">
        <v>39301.550000000003</v>
      </c>
      <c r="AA29" s="399">
        <v>4918.3500000000004</v>
      </c>
      <c r="AB29" s="399">
        <v>290756.77</v>
      </c>
      <c r="AC29" s="399"/>
      <c r="AD29" s="399">
        <v>221787.41</v>
      </c>
      <c r="AE29" s="399">
        <v>39301.449999999997</v>
      </c>
      <c r="AF29" s="399">
        <v>4918.3999999999996</v>
      </c>
      <c r="AG29" s="399"/>
      <c r="AH29" s="399"/>
      <c r="AI29" s="399">
        <v>44582.15</v>
      </c>
      <c r="AJ29" s="399"/>
      <c r="AK29" s="399"/>
      <c r="AL29" s="477"/>
      <c r="AM29" s="485">
        <f t="shared" si="2"/>
        <v>645566.08000000007</v>
      </c>
      <c r="AN29" s="399">
        <v>74.5</v>
      </c>
      <c r="AO29" s="402">
        <v>2307</v>
      </c>
      <c r="AP29" s="480">
        <v>-58057.22</v>
      </c>
      <c r="AQ29" s="490"/>
      <c r="AR29" s="490">
        <v>-212.36</v>
      </c>
      <c r="AS29" s="520">
        <v>1.2</v>
      </c>
      <c r="AT29" s="533">
        <v>6465529.5999999996</v>
      </c>
      <c r="AU29" s="533">
        <f>450+400+15600</f>
        <v>16450</v>
      </c>
      <c r="AV29" s="533">
        <v>13587.8</v>
      </c>
      <c r="AW29" s="533">
        <v>645566.07999999996</v>
      </c>
      <c r="AX29" s="533">
        <v>0</v>
      </c>
      <c r="AY29" s="533">
        <v>-58057.22</v>
      </c>
      <c r="AZ29" s="533">
        <v>0</v>
      </c>
      <c r="BA29" s="533">
        <v>-212.36</v>
      </c>
      <c r="BB29" s="480">
        <f t="shared" si="3"/>
        <v>0</v>
      </c>
      <c r="BC29" s="480">
        <f t="shared" si="4"/>
        <v>0</v>
      </c>
      <c r="BD29" s="480">
        <f t="shared" si="5"/>
        <v>0</v>
      </c>
      <c r="BE29" s="480">
        <f t="shared" si="6"/>
        <v>0</v>
      </c>
      <c r="BF29" s="480">
        <f t="shared" si="7"/>
        <v>0</v>
      </c>
      <c r="BG29" s="480">
        <f t="shared" si="8"/>
        <v>0</v>
      </c>
      <c r="BH29" s="480">
        <f t="shared" si="9"/>
        <v>0</v>
      </c>
      <c r="BI29" s="6">
        <f t="shared" si="10"/>
        <v>5428</v>
      </c>
      <c r="BJ29" s="480" t="str">
        <f t="shared" si="11"/>
        <v>Gimel</v>
      </c>
    </row>
    <row r="30" spans="1:62" x14ac:dyDescent="0.25">
      <c r="A30" s="341">
        <v>5429</v>
      </c>
      <c r="B30" s="523" t="s">
        <v>363</v>
      </c>
      <c r="C30" s="394">
        <v>998736.44</v>
      </c>
      <c r="D30" s="394">
        <v>138044.16</v>
      </c>
      <c r="E30" s="391"/>
      <c r="F30" s="394">
        <v>0</v>
      </c>
      <c r="G30" s="394">
        <v>13341</v>
      </c>
      <c r="H30" s="394">
        <v>3253.85</v>
      </c>
      <c r="I30" s="394">
        <v>0</v>
      </c>
      <c r="J30" s="394">
        <v>9020.59</v>
      </c>
      <c r="K30" s="394">
        <v>3793.9</v>
      </c>
      <c r="L30" s="394">
        <v>101881.3</v>
      </c>
      <c r="M30" s="334">
        <f t="shared" si="0"/>
        <v>1268071.24</v>
      </c>
      <c r="N30" s="398">
        <v>0</v>
      </c>
      <c r="O30" s="398">
        <v>0</v>
      </c>
      <c r="P30" s="398">
        <v>85378.4</v>
      </c>
      <c r="Q30" s="398">
        <v>104.2</v>
      </c>
      <c r="R30" s="398">
        <v>7985.1</v>
      </c>
      <c r="S30" s="398"/>
      <c r="T30" s="398"/>
      <c r="U30" s="398">
        <v>4815</v>
      </c>
      <c r="V30" s="398"/>
      <c r="W30" s="398"/>
      <c r="X30" s="382">
        <v>1990.5</v>
      </c>
      <c r="Y30" s="485">
        <f t="shared" si="1"/>
        <v>1368344.44</v>
      </c>
      <c r="Z30" s="399">
        <v>9925</v>
      </c>
      <c r="AA30" s="399" t="s">
        <v>617</v>
      </c>
      <c r="AB30" s="399" t="s">
        <v>617</v>
      </c>
      <c r="AC30" s="399" t="s">
        <v>617</v>
      </c>
      <c r="AD30" s="399">
        <v>47370</v>
      </c>
      <c r="AE30" s="399">
        <v>9925</v>
      </c>
      <c r="AF30" s="399" t="s">
        <v>617</v>
      </c>
      <c r="AG30" s="399" t="s">
        <v>617</v>
      </c>
      <c r="AH30" s="399">
        <v>3415.9</v>
      </c>
      <c r="AI30" s="399"/>
      <c r="AJ30" s="399"/>
      <c r="AK30" s="399"/>
      <c r="AL30" s="477"/>
      <c r="AM30" s="485">
        <f t="shared" si="2"/>
        <v>70635.899999999994</v>
      </c>
      <c r="AN30" s="399">
        <v>77.5</v>
      </c>
      <c r="AO30" s="402">
        <v>494</v>
      </c>
      <c r="AP30" s="480">
        <v>-19217.95</v>
      </c>
      <c r="AQ30" s="490"/>
      <c r="AR30" s="490">
        <v>-38.01</v>
      </c>
      <c r="AS30" s="520">
        <v>1</v>
      </c>
      <c r="AT30" s="533">
        <v>1368344.44</v>
      </c>
      <c r="AU30" s="533">
        <v>4815</v>
      </c>
      <c r="AV30" s="533">
        <v>1990.5</v>
      </c>
      <c r="AW30" s="533">
        <v>70635.899999999994</v>
      </c>
      <c r="AX30" s="533">
        <v>0</v>
      </c>
      <c r="AY30" s="533">
        <v>-19217.95</v>
      </c>
      <c r="AZ30" s="533">
        <v>0</v>
      </c>
      <c r="BA30" s="533">
        <v>-38.01</v>
      </c>
      <c r="BB30" s="480">
        <f t="shared" si="3"/>
        <v>0</v>
      </c>
      <c r="BC30" s="480">
        <f t="shared" si="4"/>
        <v>0</v>
      </c>
      <c r="BD30" s="480">
        <f t="shared" si="5"/>
        <v>0</v>
      </c>
      <c r="BE30" s="480">
        <f t="shared" si="6"/>
        <v>0</v>
      </c>
      <c r="BF30" s="480">
        <f t="shared" si="7"/>
        <v>0</v>
      </c>
      <c r="BG30" s="480">
        <f t="shared" si="8"/>
        <v>0</v>
      </c>
      <c r="BH30" s="480">
        <f t="shared" si="9"/>
        <v>0</v>
      </c>
      <c r="BI30" s="6">
        <f t="shared" si="10"/>
        <v>5429</v>
      </c>
      <c r="BJ30" s="480" t="str">
        <f t="shared" si="11"/>
        <v>Longirod</v>
      </c>
    </row>
    <row r="31" spans="1:62" x14ac:dyDescent="0.25">
      <c r="A31" s="341">
        <v>5430</v>
      </c>
      <c r="B31" s="523" t="s">
        <v>364</v>
      </c>
      <c r="C31" s="394">
        <v>961123.91</v>
      </c>
      <c r="D31" s="394">
        <v>97223.13</v>
      </c>
      <c r="E31" s="391"/>
      <c r="F31" s="394">
        <v>0</v>
      </c>
      <c r="G31" s="394">
        <v>-2883.75</v>
      </c>
      <c r="H31" s="394">
        <v>2776.45</v>
      </c>
      <c r="I31" s="394">
        <v>0</v>
      </c>
      <c r="J31" s="394">
        <v>23189.25</v>
      </c>
      <c r="K31" s="394">
        <v>756.8</v>
      </c>
      <c r="L31" s="394">
        <v>94155.8</v>
      </c>
      <c r="M31" s="334">
        <f t="shared" si="0"/>
        <v>1176341.5900000001</v>
      </c>
      <c r="N31" s="398">
        <v>6870.3</v>
      </c>
      <c r="O31" s="398">
        <v>0</v>
      </c>
      <c r="P31" s="398">
        <v>61825.5</v>
      </c>
      <c r="Q31" s="398">
        <v>0</v>
      </c>
      <c r="R31" s="398">
        <v>21966.95</v>
      </c>
      <c r="S31" s="398"/>
      <c r="T31" s="398"/>
      <c r="U31" s="398">
        <v>3360</v>
      </c>
      <c r="V31" s="398"/>
      <c r="W31" s="398"/>
      <c r="X31" s="382">
        <v>-12.87</v>
      </c>
      <c r="Y31" s="485">
        <f t="shared" si="1"/>
        <v>1270351.47</v>
      </c>
      <c r="Z31" s="399"/>
      <c r="AA31" s="399"/>
      <c r="AB31" s="399">
        <v>55209.95</v>
      </c>
      <c r="AC31" s="399"/>
      <c r="AD31" s="399">
        <v>44024.800000000003</v>
      </c>
      <c r="AE31" s="399"/>
      <c r="AF31" s="399"/>
      <c r="AG31" s="399"/>
      <c r="AH31" s="399"/>
      <c r="AI31" s="399"/>
      <c r="AJ31" s="399"/>
      <c r="AK31" s="399"/>
      <c r="AL31" s="477"/>
      <c r="AM31" s="485">
        <f t="shared" si="2"/>
        <v>99234.75</v>
      </c>
      <c r="AN31" s="399">
        <v>77.5</v>
      </c>
      <c r="AO31" s="402">
        <v>481</v>
      </c>
      <c r="AP31" s="480">
        <v>-25464.82</v>
      </c>
      <c r="AQ31" s="490"/>
      <c r="AR31" s="490">
        <v>-108.97</v>
      </c>
      <c r="AS31" s="520">
        <v>1</v>
      </c>
      <c r="AT31" s="533">
        <v>1270351.47</v>
      </c>
      <c r="AU31" s="533">
        <v>3360</v>
      </c>
      <c r="AV31" s="533">
        <v>-12.87</v>
      </c>
      <c r="AW31" s="533">
        <v>99234.75</v>
      </c>
      <c r="AX31" s="533">
        <v>0</v>
      </c>
      <c r="AY31" s="533">
        <v>-25464.82</v>
      </c>
      <c r="AZ31" s="533">
        <v>0</v>
      </c>
      <c r="BA31" s="533">
        <v>-108.97</v>
      </c>
      <c r="BB31" s="480">
        <f t="shared" si="3"/>
        <v>0</v>
      </c>
      <c r="BC31" s="480">
        <f t="shared" si="4"/>
        <v>0</v>
      </c>
      <c r="BD31" s="480">
        <f t="shared" si="5"/>
        <v>0</v>
      </c>
      <c r="BE31" s="480">
        <f t="shared" si="6"/>
        <v>0</v>
      </c>
      <c r="BF31" s="480">
        <f t="shared" si="7"/>
        <v>0</v>
      </c>
      <c r="BG31" s="480">
        <f t="shared" si="8"/>
        <v>0</v>
      </c>
      <c r="BH31" s="480">
        <f t="shared" si="9"/>
        <v>0</v>
      </c>
      <c r="BI31" s="6">
        <f t="shared" si="10"/>
        <v>5430</v>
      </c>
      <c r="BJ31" s="480" t="str">
        <f t="shared" si="11"/>
        <v>Marchissy</v>
      </c>
    </row>
    <row r="32" spans="1:62" x14ac:dyDescent="0.25">
      <c r="A32" s="341">
        <v>5431</v>
      </c>
      <c r="B32" s="523" t="s">
        <v>365</v>
      </c>
      <c r="C32" s="394">
        <v>562913.55000000005</v>
      </c>
      <c r="D32" s="394">
        <v>51730.8</v>
      </c>
      <c r="E32" s="391"/>
      <c r="F32" s="394">
        <v>0</v>
      </c>
      <c r="G32" s="394">
        <v>877.6</v>
      </c>
      <c r="H32" s="394">
        <v>226.85</v>
      </c>
      <c r="I32" s="394">
        <v>0</v>
      </c>
      <c r="J32" s="394">
        <v>25776.17</v>
      </c>
      <c r="K32" s="394">
        <v>283.85000000000002</v>
      </c>
      <c r="L32" s="394">
        <v>51837.3</v>
      </c>
      <c r="M32" s="334">
        <f t="shared" si="0"/>
        <v>693646.12000000011</v>
      </c>
      <c r="N32" s="398">
        <v>178.1</v>
      </c>
      <c r="O32" s="398">
        <v>66740.100000000006</v>
      </c>
      <c r="P32" s="398">
        <v>38146.949999999997</v>
      </c>
      <c r="Q32" s="398">
        <v>77.349999999999994</v>
      </c>
      <c r="R32" s="398">
        <v>68319.649999999994</v>
      </c>
      <c r="S32" s="398"/>
      <c r="T32" s="398">
        <v>130</v>
      </c>
      <c r="U32" s="398">
        <v>2200</v>
      </c>
      <c r="V32" s="398"/>
      <c r="W32" s="398"/>
      <c r="X32" s="382">
        <v>132.47999999999999</v>
      </c>
      <c r="Y32" s="485">
        <f t="shared" si="1"/>
        <v>869570.75</v>
      </c>
      <c r="Z32" s="399">
        <v>20053.400000000001</v>
      </c>
      <c r="AA32" s="399"/>
      <c r="AB32" s="399">
        <v>101550</v>
      </c>
      <c r="AC32" s="399"/>
      <c r="AD32" s="399">
        <v>890.4</v>
      </c>
      <c r="AE32" s="399"/>
      <c r="AF32" s="399"/>
      <c r="AG32" s="399"/>
      <c r="AH32" s="399"/>
      <c r="AI32" s="399"/>
      <c r="AJ32" s="399"/>
      <c r="AK32" s="399"/>
      <c r="AL32" s="477"/>
      <c r="AM32" s="485">
        <f t="shared" si="2"/>
        <v>122493.79999999999</v>
      </c>
      <c r="AN32" s="399">
        <v>74</v>
      </c>
      <c r="AO32" s="402">
        <v>330</v>
      </c>
      <c r="AP32" s="480">
        <v>-790.65</v>
      </c>
      <c r="AQ32" s="490"/>
      <c r="AR32" s="490">
        <v>-2388.17</v>
      </c>
      <c r="AS32" s="520">
        <v>1</v>
      </c>
      <c r="AT32" s="533">
        <v>869570.75</v>
      </c>
      <c r="AU32" s="533">
        <f>130+2200</f>
        <v>2330</v>
      </c>
      <c r="AV32" s="533">
        <v>132.47999999999999</v>
      </c>
      <c r="AW32" s="533">
        <v>122493.8</v>
      </c>
      <c r="AX32" s="533">
        <v>0</v>
      </c>
      <c r="AY32" s="533">
        <v>-790.65</v>
      </c>
      <c r="AZ32" s="533">
        <v>0</v>
      </c>
      <c r="BA32" s="533">
        <v>-2388.17</v>
      </c>
      <c r="BB32" s="480">
        <f t="shared" si="3"/>
        <v>0</v>
      </c>
      <c r="BC32" s="480">
        <f t="shared" si="4"/>
        <v>0</v>
      </c>
      <c r="BD32" s="480">
        <f t="shared" si="5"/>
        <v>0</v>
      </c>
      <c r="BE32" s="480">
        <f t="shared" si="6"/>
        <v>0</v>
      </c>
      <c r="BF32" s="480">
        <f t="shared" si="7"/>
        <v>0</v>
      </c>
      <c r="BG32" s="480">
        <f t="shared" si="8"/>
        <v>0</v>
      </c>
      <c r="BH32" s="480">
        <f t="shared" si="9"/>
        <v>0</v>
      </c>
      <c r="BI32" s="6">
        <f t="shared" si="10"/>
        <v>5431</v>
      </c>
      <c r="BJ32" s="480" t="str">
        <f t="shared" si="11"/>
        <v>Mollens</v>
      </c>
    </row>
    <row r="33" spans="1:62" x14ac:dyDescent="0.25">
      <c r="A33" s="341">
        <v>5432</v>
      </c>
      <c r="B33" s="523" t="s">
        <v>366</v>
      </c>
      <c r="C33" s="394">
        <v>1022163.94</v>
      </c>
      <c r="D33" s="394">
        <v>97460.85</v>
      </c>
      <c r="E33" s="391"/>
      <c r="F33" s="394">
        <v>0</v>
      </c>
      <c r="G33" s="394">
        <v>2782.85</v>
      </c>
      <c r="H33" s="394">
        <v>123</v>
      </c>
      <c r="I33" s="394">
        <v>0</v>
      </c>
      <c r="J33" s="394">
        <v>39753.660000000003</v>
      </c>
      <c r="K33" s="394">
        <v>5497.3</v>
      </c>
      <c r="L33" s="394">
        <v>95275.5</v>
      </c>
      <c r="M33" s="334">
        <f t="shared" si="0"/>
        <v>1263057.1000000001</v>
      </c>
      <c r="N33" s="398">
        <v>17115.900000000001</v>
      </c>
      <c r="O33" s="398">
        <v>13433.1</v>
      </c>
      <c r="P33" s="398">
        <v>43749.4</v>
      </c>
      <c r="Q33" s="398">
        <v>0</v>
      </c>
      <c r="R33" s="398">
        <v>53098.65</v>
      </c>
      <c r="S33" s="398"/>
      <c r="T33" s="398"/>
      <c r="U33" s="398">
        <v>4175</v>
      </c>
      <c r="V33" s="398"/>
      <c r="W33" s="398"/>
      <c r="X33" s="382">
        <v>348.55</v>
      </c>
      <c r="Y33" s="485">
        <f t="shared" si="1"/>
        <v>1394977.7</v>
      </c>
      <c r="Z33" s="399">
        <v>28029.25</v>
      </c>
      <c r="AA33" s="399"/>
      <c r="AB33" s="399">
        <v>76736.3</v>
      </c>
      <c r="AC33" s="399"/>
      <c r="AD33" s="399">
        <v>48295</v>
      </c>
      <c r="AE33" s="399">
        <v>10152</v>
      </c>
      <c r="AF33" s="399"/>
      <c r="AG33" s="399"/>
      <c r="AH33" s="399"/>
      <c r="AI33" s="399">
        <v>10005.799999999999</v>
      </c>
      <c r="AJ33" s="399"/>
      <c r="AK33" s="399"/>
      <c r="AL33" s="477"/>
      <c r="AM33" s="485">
        <f t="shared" si="2"/>
        <v>173218.34999999998</v>
      </c>
      <c r="AN33" s="399">
        <v>75</v>
      </c>
      <c r="AO33" s="402">
        <v>523</v>
      </c>
      <c r="AP33" s="480">
        <v>-31192.400000000001</v>
      </c>
      <c r="AQ33" s="490"/>
      <c r="AR33" s="490">
        <v>0</v>
      </c>
      <c r="AS33" s="520">
        <v>1</v>
      </c>
      <c r="AT33" s="533">
        <v>1394977.7</v>
      </c>
      <c r="AU33" s="533">
        <v>4175</v>
      </c>
      <c r="AV33" s="533">
        <v>348.55</v>
      </c>
      <c r="AW33" s="533">
        <v>173218.35</v>
      </c>
      <c r="AX33" s="533">
        <v>0</v>
      </c>
      <c r="AY33" s="533">
        <v>-31192.400000000001</v>
      </c>
      <c r="AZ33" s="533">
        <v>0</v>
      </c>
      <c r="BA33" s="533">
        <v>0</v>
      </c>
      <c r="BB33" s="480">
        <f t="shared" si="3"/>
        <v>0</v>
      </c>
      <c r="BC33" s="480">
        <f t="shared" si="4"/>
        <v>0</v>
      </c>
      <c r="BD33" s="480">
        <f t="shared" si="5"/>
        <v>0</v>
      </c>
      <c r="BE33" s="480">
        <f t="shared" si="6"/>
        <v>0</v>
      </c>
      <c r="BF33" s="480">
        <f t="shared" si="7"/>
        <v>0</v>
      </c>
      <c r="BG33" s="480">
        <f t="shared" si="8"/>
        <v>0</v>
      </c>
      <c r="BH33" s="480">
        <f t="shared" si="9"/>
        <v>0</v>
      </c>
      <c r="BI33" s="6">
        <f t="shared" si="10"/>
        <v>5432</v>
      </c>
      <c r="BJ33" s="480" t="str">
        <f t="shared" si="11"/>
        <v>Montherod</v>
      </c>
    </row>
    <row r="34" spans="1:62" x14ac:dyDescent="0.25">
      <c r="A34" s="341">
        <v>5434</v>
      </c>
      <c r="B34" s="523" t="s">
        <v>367</v>
      </c>
      <c r="C34" s="394">
        <v>2601347.3199999998</v>
      </c>
      <c r="D34" s="394">
        <v>0</v>
      </c>
      <c r="E34" s="391"/>
      <c r="F34" s="394">
        <v>0</v>
      </c>
      <c r="G34" s="394">
        <v>13483.25</v>
      </c>
      <c r="H34" s="394">
        <v>3251.85</v>
      </c>
      <c r="I34" s="394">
        <v>0</v>
      </c>
      <c r="J34" s="394">
        <v>30028.28</v>
      </c>
      <c r="K34" s="394">
        <v>2850.7</v>
      </c>
      <c r="L34" s="394">
        <v>281498.65000000002</v>
      </c>
      <c r="M34" s="334">
        <f t="shared" si="0"/>
        <v>2932460.05</v>
      </c>
      <c r="N34" s="398">
        <v>27638.1</v>
      </c>
      <c r="O34" s="398">
        <v>16832.8</v>
      </c>
      <c r="P34" s="398">
        <v>94465.05</v>
      </c>
      <c r="Q34" s="398">
        <v>601.76</v>
      </c>
      <c r="R34" s="398">
        <v>102197.45</v>
      </c>
      <c r="S34" s="398">
        <v>761.1</v>
      </c>
      <c r="T34" s="398"/>
      <c r="U34" s="398">
        <v>10040</v>
      </c>
      <c r="V34" s="398"/>
      <c r="W34" s="398"/>
      <c r="X34" s="382">
        <v>2007.32</v>
      </c>
      <c r="Y34" s="485">
        <f t="shared" si="1"/>
        <v>3187003.6299999994</v>
      </c>
      <c r="Z34" s="399"/>
      <c r="AA34" s="399"/>
      <c r="AB34" s="399">
        <v>110596.5</v>
      </c>
      <c r="AC34" s="399"/>
      <c r="AD34" s="399">
        <v>99627.45</v>
      </c>
      <c r="AE34" s="399"/>
      <c r="AF34" s="399"/>
      <c r="AG34" s="399"/>
      <c r="AH34" s="399">
        <v>10723.05</v>
      </c>
      <c r="AI34" s="399"/>
      <c r="AJ34" s="399"/>
      <c r="AK34" s="399"/>
      <c r="AL34" s="477"/>
      <c r="AM34" s="485">
        <f t="shared" si="2"/>
        <v>220947</v>
      </c>
      <c r="AN34" s="399">
        <v>69.5</v>
      </c>
      <c r="AO34" s="402">
        <v>1074</v>
      </c>
      <c r="AP34" s="480">
        <v>-8473.3799999999992</v>
      </c>
      <c r="AQ34" s="490"/>
      <c r="AR34" s="490">
        <v>0</v>
      </c>
      <c r="AS34" s="520">
        <v>1.2</v>
      </c>
      <c r="AT34" s="533">
        <v>3187003.63</v>
      </c>
      <c r="AU34" s="533">
        <f>761.1+10040</f>
        <v>10801.1</v>
      </c>
      <c r="AV34" s="533">
        <v>2007.32</v>
      </c>
      <c r="AW34" s="533">
        <v>220947</v>
      </c>
      <c r="AX34" s="533">
        <v>0</v>
      </c>
      <c r="AY34" s="533">
        <v>-8473.3799999999992</v>
      </c>
      <c r="AZ34" s="533">
        <v>0</v>
      </c>
      <c r="BA34" s="533">
        <v>0</v>
      </c>
      <c r="BB34" s="480">
        <f t="shared" si="3"/>
        <v>0</v>
      </c>
      <c r="BC34" s="480">
        <f t="shared" si="4"/>
        <v>0</v>
      </c>
      <c r="BD34" s="480">
        <f t="shared" si="5"/>
        <v>0</v>
      </c>
      <c r="BE34" s="480">
        <f t="shared" si="6"/>
        <v>0</v>
      </c>
      <c r="BF34" s="480">
        <f t="shared" si="7"/>
        <v>0</v>
      </c>
      <c r="BG34" s="480">
        <f t="shared" si="8"/>
        <v>0</v>
      </c>
      <c r="BH34" s="480">
        <f t="shared" si="9"/>
        <v>0</v>
      </c>
      <c r="BI34" s="6">
        <f t="shared" si="10"/>
        <v>5434</v>
      </c>
      <c r="BJ34" s="480" t="str">
        <f t="shared" si="11"/>
        <v>Saint-George</v>
      </c>
    </row>
    <row r="35" spans="1:62" x14ac:dyDescent="0.25">
      <c r="A35" s="341">
        <v>5435</v>
      </c>
      <c r="B35" s="523" t="s">
        <v>344</v>
      </c>
      <c r="C35" s="394">
        <v>1505496.82</v>
      </c>
      <c r="D35" s="394">
        <v>195673.15</v>
      </c>
      <c r="E35" s="391"/>
      <c r="F35" s="394">
        <v>0</v>
      </c>
      <c r="G35" s="394">
        <v>26748.95</v>
      </c>
      <c r="H35" s="394">
        <v>186.2</v>
      </c>
      <c r="I35" s="394">
        <v>0</v>
      </c>
      <c r="J35" s="394">
        <v>-8020.53</v>
      </c>
      <c r="K35" s="394">
        <v>0</v>
      </c>
      <c r="L35" s="394">
        <v>125868.9</v>
      </c>
      <c r="M35" s="334">
        <f t="shared" si="0"/>
        <v>1845953.4899999998</v>
      </c>
      <c r="N35" s="398">
        <v>18525.05</v>
      </c>
      <c r="O35" s="398">
        <v>0</v>
      </c>
      <c r="P35" s="398">
        <v>87831.55</v>
      </c>
      <c r="Q35" s="398">
        <v>2137.23</v>
      </c>
      <c r="R35" s="398">
        <v>40476.35</v>
      </c>
      <c r="S35" s="398"/>
      <c r="T35" s="398">
        <v>120</v>
      </c>
      <c r="U35" s="398">
        <v>5040</v>
      </c>
      <c r="V35" s="398"/>
      <c r="W35" s="398"/>
      <c r="X35" s="382">
        <v>3230.79</v>
      </c>
      <c r="Y35" s="485">
        <f t="shared" si="1"/>
        <v>2003314.46</v>
      </c>
      <c r="Z35" s="399">
        <v>1543.6</v>
      </c>
      <c r="AA35" s="399"/>
      <c r="AB35" s="399">
        <v>88283.34</v>
      </c>
      <c r="AC35" s="399"/>
      <c r="AD35" s="399">
        <v>57100</v>
      </c>
      <c r="AE35" s="399">
        <v>6615.45</v>
      </c>
      <c r="AF35" s="399"/>
      <c r="AG35" s="399"/>
      <c r="AH35" s="399"/>
      <c r="AI35" s="399">
        <v>11739</v>
      </c>
      <c r="AJ35" s="399"/>
      <c r="AK35" s="399"/>
      <c r="AL35" s="477"/>
      <c r="AM35" s="485">
        <f t="shared" si="2"/>
        <v>165281.39000000001</v>
      </c>
      <c r="AN35" s="399">
        <v>69</v>
      </c>
      <c r="AO35" s="402">
        <v>683</v>
      </c>
      <c r="AP35" s="480">
        <v>-33132.080000000002</v>
      </c>
      <c r="AQ35" s="490"/>
      <c r="AR35" s="490">
        <v>-280.23</v>
      </c>
      <c r="AS35" s="520">
        <v>1</v>
      </c>
      <c r="AT35" s="533">
        <v>2003314.46</v>
      </c>
      <c r="AU35" s="533">
        <f>120+5040</f>
        <v>5160</v>
      </c>
      <c r="AV35" s="533">
        <v>3230.79</v>
      </c>
      <c r="AW35" s="533">
        <v>165281.39000000001</v>
      </c>
      <c r="AX35" s="533">
        <v>0</v>
      </c>
      <c r="AY35" s="533">
        <v>-33132.080000000002</v>
      </c>
      <c r="AZ35" s="533">
        <v>0</v>
      </c>
      <c r="BA35" s="533">
        <v>-280.23</v>
      </c>
      <c r="BB35" s="480">
        <f t="shared" si="3"/>
        <v>0</v>
      </c>
      <c r="BC35" s="480">
        <f t="shared" si="4"/>
        <v>0</v>
      </c>
      <c r="BD35" s="480">
        <f t="shared" si="5"/>
        <v>0</v>
      </c>
      <c r="BE35" s="480">
        <f t="shared" si="6"/>
        <v>0</v>
      </c>
      <c r="BF35" s="480">
        <f t="shared" si="7"/>
        <v>0</v>
      </c>
      <c r="BG35" s="480">
        <f t="shared" si="8"/>
        <v>0</v>
      </c>
      <c r="BH35" s="480">
        <f t="shared" si="9"/>
        <v>0</v>
      </c>
      <c r="BI35" s="6">
        <f t="shared" si="10"/>
        <v>5435</v>
      </c>
      <c r="BJ35" s="480" t="str">
        <f t="shared" si="11"/>
        <v>Saint-Livres</v>
      </c>
    </row>
    <row r="36" spans="1:62" x14ac:dyDescent="0.25">
      <c r="A36" s="341">
        <v>5436</v>
      </c>
      <c r="B36" s="523" t="s">
        <v>345</v>
      </c>
      <c r="C36" s="394">
        <v>1187247.43</v>
      </c>
      <c r="D36" s="394">
        <v>72432.31</v>
      </c>
      <c r="E36" s="391"/>
      <c r="F36" s="394">
        <v>0</v>
      </c>
      <c r="G36" s="394">
        <v>7340.35</v>
      </c>
      <c r="H36" s="394">
        <v>-99.85</v>
      </c>
      <c r="I36" s="394">
        <v>0</v>
      </c>
      <c r="J36" s="394">
        <v>-2382.0300000000002</v>
      </c>
      <c r="K36" s="394">
        <v>0</v>
      </c>
      <c r="L36" s="394">
        <v>69876.95</v>
      </c>
      <c r="M36" s="334">
        <f t="shared" si="0"/>
        <v>1334415.1599999999</v>
      </c>
      <c r="N36" s="398">
        <v>171.1</v>
      </c>
      <c r="O36" s="398">
        <v>8820.4</v>
      </c>
      <c r="P36" s="398">
        <v>51717.1</v>
      </c>
      <c r="Q36" s="398">
        <v>0</v>
      </c>
      <c r="R36" s="398">
        <v>1182.3</v>
      </c>
      <c r="S36" s="398"/>
      <c r="T36" s="398"/>
      <c r="U36" s="398">
        <v>3268.75</v>
      </c>
      <c r="V36" s="398"/>
      <c r="W36" s="398"/>
      <c r="X36" s="382">
        <v>868.48</v>
      </c>
      <c r="Y36" s="485">
        <f t="shared" si="1"/>
        <v>1400443.29</v>
      </c>
      <c r="Z36" s="399">
        <v>7872</v>
      </c>
      <c r="AA36" s="399"/>
      <c r="AB36" s="399">
        <v>40630</v>
      </c>
      <c r="AC36" s="399"/>
      <c r="AD36" s="399">
        <v>39490</v>
      </c>
      <c r="AE36" s="399">
        <v>7872</v>
      </c>
      <c r="AF36" s="399"/>
      <c r="AG36" s="399"/>
      <c r="AH36" s="399"/>
      <c r="AI36" s="399"/>
      <c r="AJ36" s="399"/>
      <c r="AK36" s="399"/>
      <c r="AL36" s="477"/>
      <c r="AM36" s="485">
        <f t="shared" si="2"/>
        <v>95864</v>
      </c>
      <c r="AN36" s="399">
        <v>81</v>
      </c>
      <c r="AO36" s="402">
        <v>461</v>
      </c>
      <c r="AP36" s="480">
        <v>5914.13</v>
      </c>
      <c r="AQ36" s="490"/>
      <c r="AR36" s="490">
        <v>-758.29</v>
      </c>
      <c r="AS36" s="520">
        <v>0.8</v>
      </c>
      <c r="AT36" s="533">
        <v>1400443.29</v>
      </c>
      <c r="AU36" s="533">
        <v>3268.75</v>
      </c>
      <c r="AV36" s="533">
        <v>868.48</v>
      </c>
      <c r="AW36" s="533">
        <v>95864</v>
      </c>
      <c r="AX36" s="533">
        <v>0</v>
      </c>
      <c r="AY36" s="533">
        <v>5914.13</v>
      </c>
      <c r="AZ36" s="533">
        <v>0</v>
      </c>
      <c r="BA36" s="533">
        <v>-758.29</v>
      </c>
      <c r="BB36" s="480">
        <f t="shared" si="3"/>
        <v>0</v>
      </c>
      <c r="BC36" s="480">
        <f t="shared" si="4"/>
        <v>0</v>
      </c>
      <c r="BD36" s="480">
        <f t="shared" si="5"/>
        <v>0</v>
      </c>
      <c r="BE36" s="480">
        <f t="shared" si="6"/>
        <v>0</v>
      </c>
      <c r="BF36" s="480">
        <f t="shared" si="7"/>
        <v>0</v>
      </c>
      <c r="BG36" s="480">
        <f t="shared" si="8"/>
        <v>0</v>
      </c>
      <c r="BH36" s="480">
        <f t="shared" si="9"/>
        <v>0</v>
      </c>
      <c r="BI36" s="6">
        <f t="shared" si="10"/>
        <v>5436</v>
      </c>
      <c r="BJ36" s="480" t="str">
        <f t="shared" si="11"/>
        <v>Saint-Oyens</v>
      </c>
    </row>
    <row r="37" spans="1:62" x14ac:dyDescent="0.25">
      <c r="A37" s="341">
        <v>5437</v>
      </c>
      <c r="B37" s="523" t="s">
        <v>346</v>
      </c>
      <c r="C37" s="394">
        <v>937254.5</v>
      </c>
      <c r="D37" s="394">
        <v>85412.5</v>
      </c>
      <c r="E37" s="391"/>
      <c r="F37" s="394">
        <v>0</v>
      </c>
      <c r="G37" s="394">
        <v>48932.800000000003</v>
      </c>
      <c r="H37" s="394">
        <v>446.1</v>
      </c>
      <c r="I37" s="394">
        <v>0</v>
      </c>
      <c r="J37" s="394">
        <v>-63166.080000000002</v>
      </c>
      <c r="K37" s="394">
        <v>746.35</v>
      </c>
      <c r="L37" s="394">
        <v>69011.05</v>
      </c>
      <c r="M37" s="334">
        <f t="shared" si="0"/>
        <v>1078637.2200000002</v>
      </c>
      <c r="N37" s="398">
        <v>0</v>
      </c>
      <c r="O37" s="398">
        <v>0</v>
      </c>
      <c r="P37" s="398">
        <v>65452.7</v>
      </c>
      <c r="Q37" s="398">
        <v>0</v>
      </c>
      <c r="R37" s="398">
        <v>42105.9</v>
      </c>
      <c r="S37" s="398"/>
      <c r="T37" s="398"/>
      <c r="U37" s="398">
        <v>4125</v>
      </c>
      <c r="V37" s="398"/>
      <c r="W37" s="398"/>
      <c r="X37" s="382">
        <v>5922.85</v>
      </c>
      <c r="Y37" s="485">
        <f t="shared" si="1"/>
        <v>1196243.6700000002</v>
      </c>
      <c r="Z37" s="399">
        <v>2157.98</v>
      </c>
      <c r="AA37" s="399"/>
      <c r="AB37" s="399">
        <v>54646.8</v>
      </c>
      <c r="AC37" s="399"/>
      <c r="AD37" s="399">
        <v>40211.199999999997</v>
      </c>
      <c r="AE37" s="399">
        <v>1838</v>
      </c>
      <c r="AF37" s="399"/>
      <c r="AG37" s="399"/>
      <c r="AH37" s="399"/>
      <c r="AI37" s="399"/>
      <c r="AJ37" s="399"/>
      <c r="AK37" s="399"/>
      <c r="AL37" s="477"/>
      <c r="AM37" s="485">
        <f t="shared" si="2"/>
        <v>98853.98000000001</v>
      </c>
      <c r="AN37" s="399">
        <v>80</v>
      </c>
      <c r="AO37" s="402">
        <v>423</v>
      </c>
      <c r="AP37" s="480">
        <v>-12796.07</v>
      </c>
      <c r="AQ37" s="490"/>
      <c r="AR37" s="490">
        <v>-411.53</v>
      </c>
      <c r="AS37" s="520">
        <v>1</v>
      </c>
      <c r="AT37" s="533">
        <v>1196243.67</v>
      </c>
      <c r="AU37" s="533">
        <v>4125</v>
      </c>
      <c r="AV37" s="533">
        <v>5922.85</v>
      </c>
      <c r="AW37" s="533">
        <v>98853.98</v>
      </c>
      <c r="AX37" s="533">
        <v>0</v>
      </c>
      <c r="AY37" s="533">
        <v>-12796.07</v>
      </c>
      <c r="AZ37" s="533">
        <v>0</v>
      </c>
      <c r="BA37" s="533">
        <v>-411.53</v>
      </c>
      <c r="BB37" s="480">
        <f t="shared" si="3"/>
        <v>0</v>
      </c>
      <c r="BC37" s="480">
        <f t="shared" si="4"/>
        <v>0</v>
      </c>
      <c r="BD37" s="480">
        <f t="shared" si="5"/>
        <v>0</v>
      </c>
      <c r="BE37" s="480">
        <f t="shared" si="6"/>
        <v>0</v>
      </c>
      <c r="BF37" s="480">
        <f t="shared" si="7"/>
        <v>0</v>
      </c>
      <c r="BG37" s="480">
        <f t="shared" si="8"/>
        <v>0</v>
      </c>
      <c r="BH37" s="480">
        <f t="shared" si="9"/>
        <v>0</v>
      </c>
      <c r="BI37" s="6">
        <f t="shared" si="10"/>
        <v>5437</v>
      </c>
      <c r="BJ37" s="480" t="str">
        <f t="shared" si="11"/>
        <v>Saubraz</v>
      </c>
    </row>
    <row r="38" spans="1:62" x14ac:dyDescent="0.25">
      <c r="A38" s="341">
        <v>5451</v>
      </c>
      <c r="B38" s="523" t="s">
        <v>347</v>
      </c>
      <c r="C38" s="394">
        <v>5023992.76</v>
      </c>
      <c r="D38" s="394">
        <v>539463.47</v>
      </c>
      <c r="E38" s="391"/>
      <c r="F38" s="394">
        <v>0</v>
      </c>
      <c r="G38" s="394">
        <v>1500278.3</v>
      </c>
      <c r="H38" s="394">
        <v>48890.400000000001</v>
      </c>
      <c r="I38" s="394">
        <v>0</v>
      </c>
      <c r="J38" s="394">
        <v>376921.76</v>
      </c>
      <c r="K38" s="394">
        <v>171098.05</v>
      </c>
      <c r="L38" s="394">
        <v>1466170.35</v>
      </c>
      <c r="M38" s="334">
        <f t="shared" si="0"/>
        <v>9126815.0899999999</v>
      </c>
      <c r="N38" s="398">
        <v>537089.1</v>
      </c>
      <c r="O38" s="398">
        <v>107992.3</v>
      </c>
      <c r="P38" s="398">
        <v>379904.45</v>
      </c>
      <c r="Q38" s="398">
        <v>101555.19</v>
      </c>
      <c r="R38" s="398">
        <v>134929.70000000001</v>
      </c>
      <c r="S38" s="398">
        <v>36491.449999999997</v>
      </c>
      <c r="T38" s="398">
        <v>200</v>
      </c>
      <c r="U38" s="398">
        <v>25300</v>
      </c>
      <c r="V38" s="398"/>
      <c r="W38" s="398"/>
      <c r="X38" s="382">
        <v>185817.96</v>
      </c>
      <c r="Y38" s="485">
        <f t="shared" si="1"/>
        <v>10636095.239999998</v>
      </c>
      <c r="Z38" s="399">
        <v>153016.4</v>
      </c>
      <c r="AA38" s="399">
        <v>2835</v>
      </c>
      <c r="AB38" s="399">
        <v>974559.6</v>
      </c>
      <c r="AC38" s="399"/>
      <c r="AD38" s="399">
        <v>504435.25</v>
      </c>
      <c r="AE38" s="399">
        <v>85618</v>
      </c>
      <c r="AF38" s="399">
        <v>-10789.45</v>
      </c>
      <c r="AG38" s="399"/>
      <c r="AH38" s="399">
        <v>309695.3</v>
      </c>
      <c r="AI38" s="399"/>
      <c r="AJ38" s="399"/>
      <c r="AK38" s="399"/>
      <c r="AL38" s="477"/>
      <c r="AM38" s="485">
        <f t="shared" si="2"/>
        <v>2019370.1</v>
      </c>
      <c r="AN38" s="399">
        <v>66.5</v>
      </c>
      <c r="AO38" s="402">
        <v>4482</v>
      </c>
      <c r="AP38" s="480">
        <v>-312503.08</v>
      </c>
      <c r="AQ38" s="490"/>
      <c r="AR38" s="490">
        <v>-1157.72</v>
      </c>
      <c r="AS38" s="520">
        <v>1.5</v>
      </c>
      <c r="AT38" s="533">
        <v>10636095.24</v>
      </c>
      <c r="AU38" s="533">
        <f>36491.45+200+25300</f>
        <v>61991.45</v>
      </c>
      <c r="AV38" s="533">
        <v>185817.96</v>
      </c>
      <c r="AW38" s="533">
        <v>2019370.1</v>
      </c>
      <c r="AX38" s="533">
        <v>0</v>
      </c>
      <c r="AY38" s="533">
        <v>-312503.08</v>
      </c>
      <c r="AZ38" s="533">
        <v>0</v>
      </c>
      <c r="BA38" s="533">
        <v>-1157.72</v>
      </c>
      <c r="BB38" s="480">
        <f t="shared" si="3"/>
        <v>0</v>
      </c>
      <c r="BC38" s="480">
        <f t="shared" si="4"/>
        <v>0</v>
      </c>
      <c r="BD38" s="480">
        <f t="shared" si="5"/>
        <v>0</v>
      </c>
      <c r="BE38" s="480">
        <f t="shared" si="6"/>
        <v>0</v>
      </c>
      <c r="BF38" s="480">
        <f t="shared" si="7"/>
        <v>0</v>
      </c>
      <c r="BG38" s="480">
        <f t="shared" si="8"/>
        <v>0</v>
      </c>
      <c r="BH38" s="480">
        <f t="shared" si="9"/>
        <v>0</v>
      </c>
      <c r="BI38" s="6">
        <f t="shared" si="10"/>
        <v>5451</v>
      </c>
      <c r="BJ38" s="480" t="str">
        <f t="shared" si="11"/>
        <v>Avenches</v>
      </c>
    </row>
    <row r="39" spans="1:62" x14ac:dyDescent="0.25">
      <c r="A39" s="341">
        <v>5456</v>
      </c>
      <c r="B39" s="523" t="s">
        <v>348</v>
      </c>
      <c r="C39" s="394">
        <v>3072603.9</v>
      </c>
      <c r="D39" s="394">
        <v>327297.08</v>
      </c>
      <c r="E39" s="391"/>
      <c r="F39" s="394">
        <v>0</v>
      </c>
      <c r="G39" s="394">
        <v>37844.6</v>
      </c>
      <c r="H39" s="394">
        <v>1657.9</v>
      </c>
      <c r="I39" s="394">
        <v>0</v>
      </c>
      <c r="J39" s="394">
        <v>34218.730000000003</v>
      </c>
      <c r="K39" s="394">
        <v>-7000.35</v>
      </c>
      <c r="L39" s="394">
        <v>511943.6</v>
      </c>
      <c r="M39" s="334">
        <f t="shared" si="0"/>
        <v>3978565.46</v>
      </c>
      <c r="N39" s="398">
        <v>5787.35</v>
      </c>
      <c r="O39" s="398">
        <v>34794.400000000001</v>
      </c>
      <c r="P39" s="398">
        <v>234467.75</v>
      </c>
      <c r="Q39" s="398">
        <v>42.93</v>
      </c>
      <c r="R39" s="398">
        <v>92485.75</v>
      </c>
      <c r="S39" s="398"/>
      <c r="T39" s="398"/>
      <c r="U39" s="398">
        <v>15850</v>
      </c>
      <c r="V39" s="398"/>
      <c r="W39" s="398"/>
      <c r="X39" s="382">
        <v>4738.2</v>
      </c>
      <c r="Y39" s="485">
        <f t="shared" si="1"/>
        <v>4366731.84</v>
      </c>
      <c r="Z39" s="399">
        <v>58262.95</v>
      </c>
      <c r="AA39" s="399"/>
      <c r="AB39" s="399">
        <v>155706.5</v>
      </c>
      <c r="AC39" s="399"/>
      <c r="AD39" s="399">
        <v>245844.77</v>
      </c>
      <c r="AE39" s="399">
        <v>23499.75</v>
      </c>
      <c r="AF39" s="399"/>
      <c r="AG39" s="399"/>
      <c r="AH39" s="399">
        <v>121345.1</v>
      </c>
      <c r="AI39" s="399"/>
      <c r="AJ39" s="399"/>
      <c r="AK39" s="399"/>
      <c r="AL39" s="477"/>
      <c r="AM39" s="485">
        <f t="shared" si="2"/>
        <v>604659.06999999995</v>
      </c>
      <c r="AN39" s="399">
        <v>59</v>
      </c>
      <c r="AO39" s="402">
        <v>1780</v>
      </c>
      <c r="AP39" s="480">
        <v>-22900.59</v>
      </c>
      <c r="AQ39" s="490"/>
      <c r="AR39" s="490">
        <v>-409.07</v>
      </c>
      <c r="AS39" s="520">
        <v>1.5</v>
      </c>
      <c r="AT39" s="533">
        <v>4366731.84</v>
      </c>
      <c r="AU39" s="533">
        <v>15850</v>
      </c>
      <c r="AV39" s="533">
        <v>4738.2</v>
      </c>
      <c r="AW39" s="533">
        <v>604659.06999999995</v>
      </c>
      <c r="AX39" s="533">
        <v>0</v>
      </c>
      <c r="AY39" s="533">
        <v>-22900.59</v>
      </c>
      <c r="AZ39" s="533">
        <v>0</v>
      </c>
      <c r="BA39" s="533">
        <v>-409.07</v>
      </c>
      <c r="BB39" s="480">
        <f t="shared" si="3"/>
        <v>0</v>
      </c>
      <c r="BC39" s="480">
        <f t="shared" si="4"/>
        <v>0</v>
      </c>
      <c r="BD39" s="480">
        <f t="shared" si="5"/>
        <v>0</v>
      </c>
      <c r="BE39" s="480">
        <f t="shared" si="6"/>
        <v>0</v>
      </c>
      <c r="BF39" s="480">
        <f t="shared" si="7"/>
        <v>0</v>
      </c>
      <c r="BG39" s="480">
        <f t="shared" si="8"/>
        <v>0</v>
      </c>
      <c r="BH39" s="480">
        <f t="shared" si="9"/>
        <v>0</v>
      </c>
      <c r="BI39" s="6">
        <f t="shared" si="10"/>
        <v>5456</v>
      </c>
      <c r="BJ39" s="480" t="str">
        <f t="shared" si="11"/>
        <v>Cudrefin</v>
      </c>
    </row>
    <row r="40" spans="1:62" x14ac:dyDescent="0.25">
      <c r="A40" s="341">
        <v>5458</v>
      </c>
      <c r="B40" s="523" t="s">
        <v>349</v>
      </c>
      <c r="C40" s="394">
        <v>1623427.51</v>
      </c>
      <c r="D40" s="394">
        <v>237541.87</v>
      </c>
      <c r="E40" s="391"/>
      <c r="F40" s="394">
        <v>0</v>
      </c>
      <c r="G40" s="394">
        <v>12767.8</v>
      </c>
      <c r="H40" s="394">
        <v>1829.35</v>
      </c>
      <c r="I40" s="394">
        <v>0</v>
      </c>
      <c r="J40" s="394">
        <v>49454.2</v>
      </c>
      <c r="K40" s="394">
        <v>22318.75</v>
      </c>
      <c r="L40" s="394">
        <v>306000.45</v>
      </c>
      <c r="M40" s="334">
        <f t="shared" si="0"/>
        <v>2253339.9300000002</v>
      </c>
      <c r="N40" s="398">
        <v>3878.8</v>
      </c>
      <c r="O40" s="398">
        <v>12968.6</v>
      </c>
      <c r="P40" s="398">
        <v>89368.4</v>
      </c>
      <c r="Q40" s="398">
        <v>30227.78</v>
      </c>
      <c r="R40" s="398">
        <v>60517.3</v>
      </c>
      <c r="S40" s="398"/>
      <c r="T40" s="398"/>
      <c r="U40" s="398">
        <v>10700</v>
      </c>
      <c r="V40" s="398"/>
      <c r="W40" s="398"/>
      <c r="X40" s="382">
        <v>1750.88</v>
      </c>
      <c r="Y40" s="485">
        <f t="shared" si="1"/>
        <v>2462751.6899999995</v>
      </c>
      <c r="Z40" s="399">
        <v>2144.9499999999998</v>
      </c>
      <c r="AA40" s="399">
        <v>2532.65</v>
      </c>
      <c r="AB40" s="399">
        <v>159376.95000000001</v>
      </c>
      <c r="AC40" s="399"/>
      <c r="AD40" s="399">
        <v>88033.75</v>
      </c>
      <c r="AE40" s="399">
        <v>2144.9499999999998</v>
      </c>
      <c r="AF40" s="399">
        <v>2532.65</v>
      </c>
      <c r="AG40" s="399"/>
      <c r="AH40" s="399">
        <v>29879.200000000001</v>
      </c>
      <c r="AI40" s="399">
        <v>25199.35</v>
      </c>
      <c r="AJ40" s="399"/>
      <c r="AK40" s="399"/>
      <c r="AL40" s="477"/>
      <c r="AM40" s="485">
        <f t="shared" si="2"/>
        <v>311844.45</v>
      </c>
      <c r="AN40" s="399">
        <v>66</v>
      </c>
      <c r="AO40" s="402">
        <v>881</v>
      </c>
      <c r="AP40" s="480">
        <v>-57688.77</v>
      </c>
      <c r="AQ40" s="490"/>
      <c r="AR40" s="490">
        <v>-535</v>
      </c>
      <c r="AS40" s="520">
        <v>1.5</v>
      </c>
      <c r="AT40" s="533">
        <v>2462751.69</v>
      </c>
      <c r="AU40" s="533">
        <v>10700</v>
      </c>
      <c r="AV40" s="533">
        <v>1750.88</v>
      </c>
      <c r="AW40" s="533">
        <v>311844.45</v>
      </c>
      <c r="AX40" s="533">
        <v>0</v>
      </c>
      <c r="AY40" s="533">
        <v>-57688.77</v>
      </c>
      <c r="AZ40" s="533">
        <v>0</v>
      </c>
      <c r="BA40" s="533">
        <v>-535</v>
      </c>
      <c r="BB40" s="480">
        <f t="shared" si="3"/>
        <v>0</v>
      </c>
      <c r="BC40" s="480">
        <f t="shared" si="4"/>
        <v>0</v>
      </c>
      <c r="BD40" s="480">
        <f t="shared" si="5"/>
        <v>0</v>
      </c>
      <c r="BE40" s="480">
        <f t="shared" si="6"/>
        <v>0</v>
      </c>
      <c r="BF40" s="480">
        <f t="shared" si="7"/>
        <v>0</v>
      </c>
      <c r="BG40" s="480">
        <f t="shared" si="8"/>
        <v>0</v>
      </c>
      <c r="BH40" s="480">
        <f t="shared" si="9"/>
        <v>0</v>
      </c>
      <c r="BI40" s="6">
        <f t="shared" si="10"/>
        <v>5458</v>
      </c>
      <c r="BJ40" s="480" t="str">
        <f t="shared" si="11"/>
        <v>Faoug</v>
      </c>
    </row>
    <row r="41" spans="1:62" x14ac:dyDescent="0.25">
      <c r="A41" s="341">
        <v>5464</v>
      </c>
      <c r="B41" s="523" t="s">
        <v>430</v>
      </c>
      <c r="C41" s="394">
        <v>5639565.2400000002</v>
      </c>
      <c r="D41" s="394">
        <v>1086046.95</v>
      </c>
      <c r="E41" s="391"/>
      <c r="F41" s="394">
        <v>0</v>
      </c>
      <c r="G41" s="394">
        <v>37325.15</v>
      </c>
      <c r="H41" s="394">
        <v>8099.25</v>
      </c>
      <c r="I41" s="394">
        <v>0</v>
      </c>
      <c r="J41" s="394">
        <v>71492.95</v>
      </c>
      <c r="K41" s="394">
        <v>14232.3</v>
      </c>
      <c r="L41" s="394">
        <v>1024904.1</v>
      </c>
      <c r="M41" s="334">
        <f t="shared" si="0"/>
        <v>7881665.9400000004</v>
      </c>
      <c r="N41" s="398">
        <v>1564.15</v>
      </c>
      <c r="O41" s="398">
        <v>31224.799999999999</v>
      </c>
      <c r="P41" s="398">
        <v>305626.15000000002</v>
      </c>
      <c r="Q41" s="398">
        <v>9482.2800000000007</v>
      </c>
      <c r="R41" s="398">
        <v>127042.1</v>
      </c>
      <c r="S41" s="398">
        <v>575</v>
      </c>
      <c r="T41" s="398">
        <v>4239.55</v>
      </c>
      <c r="U41" s="398">
        <v>25100</v>
      </c>
      <c r="V41" s="398"/>
      <c r="W41" s="398"/>
      <c r="X41" s="382">
        <v>5448.52</v>
      </c>
      <c r="Y41" s="485">
        <f t="shared" si="1"/>
        <v>8391968.4900000002</v>
      </c>
      <c r="Z41" s="399">
        <v>190946.35</v>
      </c>
      <c r="AA41" s="399">
        <v>105480.55</v>
      </c>
      <c r="AB41" s="399">
        <v>451132.8</v>
      </c>
      <c r="AC41" s="399"/>
      <c r="AD41" s="399">
        <v>346407.79</v>
      </c>
      <c r="AE41" s="399">
        <v>168510.4</v>
      </c>
      <c r="AF41" s="399"/>
      <c r="AG41" s="399"/>
      <c r="AH41" s="399">
        <v>228237.5</v>
      </c>
      <c r="AI41" s="399"/>
      <c r="AJ41" s="399">
        <v>121179.15</v>
      </c>
      <c r="AK41" s="399"/>
      <c r="AL41" s="477"/>
      <c r="AM41" s="485">
        <f t="shared" si="2"/>
        <v>1611894.5399999998</v>
      </c>
      <c r="AN41" s="399">
        <v>67</v>
      </c>
      <c r="AO41" s="402">
        <v>3360</v>
      </c>
      <c r="AP41" s="480">
        <v>-75302.34</v>
      </c>
      <c r="AQ41" s="490"/>
      <c r="AR41" s="490">
        <v>-2639.33</v>
      </c>
      <c r="AS41" s="520">
        <v>1.5</v>
      </c>
      <c r="AT41" s="533">
        <v>8391968.4900000002</v>
      </c>
      <c r="AU41" s="533">
        <f>575+4239.55+25100</f>
        <v>29914.55</v>
      </c>
      <c r="AV41" s="533">
        <v>5448.52</v>
      </c>
      <c r="AW41" s="533">
        <v>1611894.54</v>
      </c>
      <c r="AX41" s="533">
        <v>0</v>
      </c>
      <c r="AY41" s="533">
        <v>-75302.34</v>
      </c>
      <c r="AZ41" s="533">
        <v>0</v>
      </c>
      <c r="BA41" s="533">
        <v>-2639.33</v>
      </c>
      <c r="BB41" s="480">
        <f t="shared" si="3"/>
        <v>0</v>
      </c>
      <c r="BC41" s="480">
        <f t="shared" si="4"/>
        <v>0</v>
      </c>
      <c r="BD41" s="480">
        <f t="shared" si="5"/>
        <v>0</v>
      </c>
      <c r="BE41" s="480">
        <f t="shared" si="6"/>
        <v>0</v>
      </c>
      <c r="BF41" s="480">
        <f t="shared" si="7"/>
        <v>0</v>
      </c>
      <c r="BG41" s="480">
        <f t="shared" si="8"/>
        <v>0</v>
      </c>
      <c r="BH41" s="480">
        <f t="shared" si="9"/>
        <v>0</v>
      </c>
      <c r="BI41" s="6">
        <f t="shared" si="10"/>
        <v>5464</v>
      </c>
      <c r="BJ41" s="480" t="str">
        <f t="shared" si="11"/>
        <v>Vully-les-Lacs</v>
      </c>
    </row>
    <row r="42" spans="1:62" x14ac:dyDescent="0.25">
      <c r="A42" s="341">
        <v>5471</v>
      </c>
      <c r="B42" s="523" t="s">
        <v>350</v>
      </c>
      <c r="C42" s="394">
        <v>1130154.1499999999</v>
      </c>
      <c r="D42" s="394">
        <v>108398.85</v>
      </c>
      <c r="E42" s="391"/>
      <c r="F42" s="394">
        <v>0</v>
      </c>
      <c r="G42" s="394">
        <v>14746.65</v>
      </c>
      <c r="H42" s="394">
        <v>1631.9</v>
      </c>
      <c r="I42" s="394">
        <v>0</v>
      </c>
      <c r="J42" s="394">
        <v>49518.400000000001</v>
      </c>
      <c r="K42" s="394">
        <v>4158.25</v>
      </c>
      <c r="L42" s="394">
        <v>118449.1</v>
      </c>
      <c r="M42" s="334">
        <f t="shared" si="0"/>
        <v>1427057.2999999998</v>
      </c>
      <c r="N42" s="398">
        <v>24383.75</v>
      </c>
      <c r="O42" s="398">
        <v>5068.6000000000004</v>
      </c>
      <c r="P42" s="398">
        <v>46619.8</v>
      </c>
      <c r="Q42" s="398">
        <v>0</v>
      </c>
      <c r="R42" s="398">
        <v>4257.8500000000004</v>
      </c>
      <c r="S42" s="398"/>
      <c r="T42" s="398"/>
      <c r="U42" s="398">
        <v>5100</v>
      </c>
      <c r="V42" s="398"/>
      <c r="W42" s="398"/>
      <c r="X42" s="382">
        <v>1964.56</v>
      </c>
      <c r="Y42" s="485">
        <f t="shared" si="1"/>
        <v>1514451.86</v>
      </c>
      <c r="Z42" s="399">
        <v>41262.5</v>
      </c>
      <c r="AA42" s="399"/>
      <c r="AB42" s="399">
        <v>99465.5</v>
      </c>
      <c r="AC42" s="399"/>
      <c r="AD42" s="399">
        <v>23261.4</v>
      </c>
      <c r="AE42" s="399">
        <v>14165.15</v>
      </c>
      <c r="AF42" s="399"/>
      <c r="AG42" s="399"/>
      <c r="AH42" s="399"/>
      <c r="AI42" s="399"/>
      <c r="AJ42" s="399"/>
      <c r="AK42" s="399"/>
      <c r="AL42" s="477"/>
      <c r="AM42" s="485">
        <f t="shared" si="2"/>
        <v>178154.55</v>
      </c>
      <c r="AN42" s="399">
        <v>70</v>
      </c>
      <c r="AO42" s="402">
        <v>636</v>
      </c>
      <c r="AP42" s="480">
        <v>-14777.53</v>
      </c>
      <c r="AQ42" s="490"/>
      <c r="AR42" s="490">
        <v>-435.55</v>
      </c>
      <c r="AS42" s="520">
        <v>0.9</v>
      </c>
      <c r="AT42" s="533">
        <v>1514451.86</v>
      </c>
      <c r="AU42" s="533">
        <v>5100</v>
      </c>
      <c r="AV42" s="533">
        <v>1964.56</v>
      </c>
      <c r="AW42" s="533">
        <v>178154.55</v>
      </c>
      <c r="AX42" s="533">
        <v>0</v>
      </c>
      <c r="AY42" s="533">
        <v>-14777.53</v>
      </c>
      <c r="AZ42" s="533">
        <v>0</v>
      </c>
      <c r="BA42" s="533">
        <v>-435.55</v>
      </c>
      <c r="BB42" s="480">
        <f t="shared" si="3"/>
        <v>0</v>
      </c>
      <c r="BC42" s="480">
        <f t="shared" si="4"/>
        <v>0</v>
      </c>
      <c r="BD42" s="480">
        <f t="shared" si="5"/>
        <v>0</v>
      </c>
      <c r="BE42" s="480">
        <f t="shared" si="6"/>
        <v>0</v>
      </c>
      <c r="BF42" s="480">
        <f t="shared" si="7"/>
        <v>0</v>
      </c>
      <c r="BG42" s="480">
        <f t="shared" si="8"/>
        <v>0</v>
      </c>
      <c r="BH42" s="480">
        <f t="shared" si="9"/>
        <v>0</v>
      </c>
      <c r="BI42" s="6">
        <f t="shared" si="10"/>
        <v>5471</v>
      </c>
      <c r="BJ42" s="480" t="str">
        <f t="shared" si="11"/>
        <v>Bettens</v>
      </c>
    </row>
    <row r="43" spans="1:62" x14ac:dyDescent="0.25">
      <c r="A43" s="341">
        <v>5472</v>
      </c>
      <c r="B43" s="523" t="s">
        <v>351</v>
      </c>
      <c r="C43" s="394">
        <v>1234639.1200000001</v>
      </c>
      <c r="D43" s="394">
        <v>111357.63</v>
      </c>
      <c r="E43" s="391"/>
      <c r="F43" s="394">
        <v>0</v>
      </c>
      <c r="G43" s="394">
        <v>14403.9</v>
      </c>
      <c r="H43" s="394">
        <v>26.9</v>
      </c>
      <c r="I43" s="394">
        <v>0</v>
      </c>
      <c r="J43" s="394">
        <v>25542.11</v>
      </c>
      <c r="K43" s="394">
        <v>640.25</v>
      </c>
      <c r="L43" s="394">
        <v>92037.65</v>
      </c>
      <c r="M43" s="334">
        <f t="shared" si="0"/>
        <v>1478647.5599999998</v>
      </c>
      <c r="N43" s="398">
        <v>0</v>
      </c>
      <c r="O43" s="398">
        <v>0</v>
      </c>
      <c r="P43" s="398">
        <v>112701.35</v>
      </c>
      <c r="Q43" s="398">
        <v>10497.55</v>
      </c>
      <c r="R43" s="398">
        <v>61656.800000000003</v>
      </c>
      <c r="S43" s="398"/>
      <c r="T43" s="398">
        <v>122.25</v>
      </c>
      <c r="U43" s="398">
        <v>2070</v>
      </c>
      <c r="V43" s="398"/>
      <c r="W43" s="398"/>
      <c r="X43" s="382">
        <v>1730.93</v>
      </c>
      <c r="Y43" s="485">
        <f t="shared" si="1"/>
        <v>1667426.44</v>
      </c>
      <c r="Z43" s="399">
        <v>55692</v>
      </c>
      <c r="AA43" s="399">
        <v>48137.1</v>
      </c>
      <c r="AB43" s="399"/>
      <c r="AC43" s="399">
        <v>61641.85</v>
      </c>
      <c r="AD43" s="399">
        <v>47370</v>
      </c>
      <c r="AE43" s="399">
        <v>55024</v>
      </c>
      <c r="AF43" s="399"/>
      <c r="AG43" s="399"/>
      <c r="AH43" s="399"/>
      <c r="AI43" s="399"/>
      <c r="AJ43" s="399"/>
      <c r="AK43" s="399"/>
      <c r="AL43" s="477"/>
      <c r="AM43" s="485">
        <f t="shared" si="2"/>
        <v>267864.95</v>
      </c>
      <c r="AN43" s="399">
        <v>72</v>
      </c>
      <c r="AO43" s="402">
        <v>490</v>
      </c>
      <c r="AP43" s="480">
        <v>-38254.06</v>
      </c>
      <c r="AQ43" s="490"/>
      <c r="AR43" s="490">
        <v>-2314.36</v>
      </c>
      <c r="AS43" s="520">
        <v>1</v>
      </c>
      <c r="AT43" s="533">
        <v>1667426.44</v>
      </c>
      <c r="AU43" s="533">
        <f>122.25+2070</f>
        <v>2192.25</v>
      </c>
      <c r="AV43" s="533">
        <v>1730.93</v>
      </c>
      <c r="AW43" s="533">
        <v>267864.95</v>
      </c>
      <c r="AX43" s="533">
        <v>0</v>
      </c>
      <c r="AY43" s="533">
        <v>-38254.06</v>
      </c>
      <c r="AZ43" s="533">
        <v>0</v>
      </c>
      <c r="BA43" s="533">
        <v>-2314.36</v>
      </c>
      <c r="BB43" s="480">
        <f t="shared" si="3"/>
        <v>0</v>
      </c>
      <c r="BC43" s="480">
        <f t="shared" si="4"/>
        <v>0</v>
      </c>
      <c r="BD43" s="480">
        <f t="shared" si="5"/>
        <v>0</v>
      </c>
      <c r="BE43" s="480">
        <f t="shared" si="6"/>
        <v>0</v>
      </c>
      <c r="BF43" s="480">
        <f t="shared" si="7"/>
        <v>0</v>
      </c>
      <c r="BG43" s="480">
        <f t="shared" si="8"/>
        <v>0</v>
      </c>
      <c r="BH43" s="480">
        <f t="shared" si="9"/>
        <v>0</v>
      </c>
      <c r="BI43" s="6">
        <f t="shared" si="10"/>
        <v>5472</v>
      </c>
      <c r="BJ43" s="480" t="str">
        <f t="shared" si="11"/>
        <v>Bournens</v>
      </c>
    </row>
    <row r="44" spans="1:62" x14ac:dyDescent="0.25">
      <c r="A44" s="341">
        <v>5473</v>
      </c>
      <c r="B44" s="523" t="s">
        <v>209</v>
      </c>
      <c r="C44" s="394">
        <v>2091780.69</v>
      </c>
      <c r="D44" s="394">
        <v>247907.76</v>
      </c>
      <c r="E44" s="391"/>
      <c r="F44" s="394">
        <v>0</v>
      </c>
      <c r="G44" s="394">
        <v>25721.55</v>
      </c>
      <c r="H44" s="394">
        <v>683.65</v>
      </c>
      <c r="I44" s="394">
        <v>0</v>
      </c>
      <c r="J44" s="394">
        <v>15808.71</v>
      </c>
      <c r="K44" s="394">
        <v>6176.2</v>
      </c>
      <c r="L44" s="394">
        <v>186339.9</v>
      </c>
      <c r="M44" s="334">
        <f t="shared" si="0"/>
        <v>2574418.46</v>
      </c>
      <c r="N44" s="398">
        <v>5808.45</v>
      </c>
      <c r="O44" s="398">
        <v>0</v>
      </c>
      <c r="P44" s="398">
        <v>36017.35</v>
      </c>
      <c r="Q44" s="398">
        <v>7627.71</v>
      </c>
      <c r="R44" s="398">
        <v>57547.95</v>
      </c>
      <c r="S44" s="398"/>
      <c r="T44" s="398"/>
      <c r="U44" s="398">
        <v>4960</v>
      </c>
      <c r="V44" s="398"/>
      <c r="W44" s="398"/>
      <c r="X44" s="382">
        <v>3167.22</v>
      </c>
      <c r="Y44" s="485">
        <f t="shared" si="1"/>
        <v>2689547.1400000006</v>
      </c>
      <c r="Z44" s="399">
        <v>27254.78</v>
      </c>
      <c r="AA44" s="399"/>
      <c r="AB44" s="399">
        <v>151438.54999999999</v>
      </c>
      <c r="AC44" s="399"/>
      <c r="AD44" s="399">
        <v>108878.11</v>
      </c>
      <c r="AE44" s="399"/>
      <c r="AF44" s="399"/>
      <c r="AG44" s="399"/>
      <c r="AH44" s="399"/>
      <c r="AI44" s="399"/>
      <c r="AJ44" s="399"/>
      <c r="AK44" s="399"/>
      <c r="AL44" s="477"/>
      <c r="AM44" s="485">
        <f t="shared" si="2"/>
        <v>287571.44</v>
      </c>
      <c r="AN44" s="399">
        <v>67.5</v>
      </c>
      <c r="AO44" s="402">
        <v>999</v>
      </c>
      <c r="AP44" s="480">
        <v>-35099.97</v>
      </c>
      <c r="AQ44" s="490"/>
      <c r="AR44" s="490">
        <v>-291.43</v>
      </c>
      <c r="AS44" s="520">
        <v>1</v>
      </c>
      <c r="AT44" s="533">
        <v>2689547.14</v>
      </c>
      <c r="AU44" s="533">
        <v>4960</v>
      </c>
      <c r="AV44" s="533">
        <v>3167.22</v>
      </c>
      <c r="AW44" s="533">
        <v>287571.44</v>
      </c>
      <c r="AX44" s="533">
        <v>0</v>
      </c>
      <c r="AY44" s="533">
        <v>-35099.97</v>
      </c>
      <c r="AZ44" s="533">
        <v>0</v>
      </c>
      <c r="BA44" s="533">
        <v>-291.43</v>
      </c>
      <c r="BB44" s="480">
        <f t="shared" si="3"/>
        <v>0</v>
      </c>
      <c r="BC44" s="480">
        <f t="shared" si="4"/>
        <v>0</v>
      </c>
      <c r="BD44" s="480">
        <f t="shared" si="5"/>
        <v>0</v>
      </c>
      <c r="BE44" s="480">
        <f t="shared" si="6"/>
        <v>0</v>
      </c>
      <c r="BF44" s="480">
        <f t="shared" si="7"/>
        <v>0</v>
      </c>
      <c r="BG44" s="480">
        <f t="shared" si="8"/>
        <v>0</v>
      </c>
      <c r="BH44" s="480">
        <f t="shared" si="9"/>
        <v>0</v>
      </c>
      <c r="BI44" s="6">
        <f t="shared" si="10"/>
        <v>5473</v>
      </c>
      <c r="BJ44" s="480" t="str">
        <f t="shared" si="11"/>
        <v>Boussens</v>
      </c>
    </row>
    <row r="45" spans="1:62" x14ac:dyDescent="0.25">
      <c r="A45" s="341">
        <v>5474</v>
      </c>
      <c r="B45" s="523" t="s">
        <v>210</v>
      </c>
      <c r="C45" s="394">
        <v>818241.83</v>
      </c>
      <c r="D45" s="394">
        <v>83387.72</v>
      </c>
      <c r="E45" s="391"/>
      <c r="F45" s="394">
        <v>0</v>
      </c>
      <c r="G45" s="394">
        <v>2916.5</v>
      </c>
      <c r="H45" s="394">
        <v>143.65</v>
      </c>
      <c r="I45" s="394">
        <v>37654</v>
      </c>
      <c r="J45" s="394">
        <v>3514.83</v>
      </c>
      <c r="K45" s="394">
        <v>665</v>
      </c>
      <c r="L45" s="394">
        <v>85667.15</v>
      </c>
      <c r="M45" s="334">
        <f t="shared" si="0"/>
        <v>1032190.6799999999</v>
      </c>
      <c r="N45" s="398">
        <v>2422.9499999999998</v>
      </c>
      <c r="O45" s="398">
        <v>1548.3</v>
      </c>
      <c r="P45" s="398">
        <v>30913.15</v>
      </c>
      <c r="Q45" s="398">
        <v>0</v>
      </c>
      <c r="R45" s="398">
        <v>74635.199999999997</v>
      </c>
      <c r="S45" s="398"/>
      <c r="T45" s="398"/>
      <c r="U45" s="398">
        <v>1725</v>
      </c>
      <c r="V45" s="398"/>
      <c r="W45" s="398"/>
      <c r="X45" s="382">
        <v>367.06</v>
      </c>
      <c r="Y45" s="485">
        <f t="shared" si="1"/>
        <v>1143802.3399999999</v>
      </c>
      <c r="Z45" s="399">
        <v>62034</v>
      </c>
      <c r="AA45" s="399"/>
      <c r="AB45" s="399">
        <v>66590.2</v>
      </c>
      <c r="AC45" s="399"/>
      <c r="AD45" s="399">
        <v>34219.15</v>
      </c>
      <c r="AE45" s="399">
        <v>17724</v>
      </c>
      <c r="AF45" s="399"/>
      <c r="AG45" s="399"/>
      <c r="AH45" s="399"/>
      <c r="AI45" s="399"/>
      <c r="AJ45" s="399"/>
      <c r="AK45" s="399"/>
      <c r="AL45" s="477"/>
      <c r="AM45" s="485">
        <f t="shared" si="2"/>
        <v>180567.35</v>
      </c>
      <c r="AN45" s="399">
        <v>77</v>
      </c>
      <c r="AO45" s="402">
        <v>391</v>
      </c>
      <c r="AP45" s="480">
        <v>-3161.84</v>
      </c>
      <c r="AQ45" s="490"/>
      <c r="AR45" s="490">
        <v>-63.88</v>
      </c>
      <c r="AS45" s="520">
        <v>1.2</v>
      </c>
      <c r="AT45" s="533">
        <v>1143802.3400000001</v>
      </c>
      <c r="AU45" s="533">
        <v>1725</v>
      </c>
      <c r="AV45" s="533">
        <v>367.06</v>
      </c>
      <c r="AW45" s="533">
        <v>180567.35</v>
      </c>
      <c r="AX45" s="533">
        <v>0</v>
      </c>
      <c r="AY45" s="533">
        <v>-3161.84</v>
      </c>
      <c r="AZ45" s="533">
        <v>0</v>
      </c>
      <c r="BA45" s="533">
        <v>-63.88</v>
      </c>
      <c r="BB45" s="480">
        <f t="shared" si="3"/>
        <v>0</v>
      </c>
      <c r="BC45" s="480">
        <f t="shared" si="4"/>
        <v>0</v>
      </c>
      <c r="BD45" s="480">
        <f t="shared" si="5"/>
        <v>0</v>
      </c>
      <c r="BE45" s="480">
        <f t="shared" si="6"/>
        <v>0</v>
      </c>
      <c r="BF45" s="480">
        <f t="shared" si="7"/>
        <v>0</v>
      </c>
      <c r="BG45" s="480">
        <f t="shared" si="8"/>
        <v>0</v>
      </c>
      <c r="BH45" s="480">
        <f t="shared" si="9"/>
        <v>0</v>
      </c>
      <c r="BI45" s="6">
        <f t="shared" si="10"/>
        <v>5474</v>
      </c>
      <c r="BJ45" s="480" t="str">
        <f t="shared" si="11"/>
        <v>La Chaux (Cossonay)</v>
      </c>
    </row>
    <row r="46" spans="1:62" x14ac:dyDescent="0.25">
      <c r="A46" s="341">
        <v>5475</v>
      </c>
      <c r="B46" s="523" t="s">
        <v>373</v>
      </c>
      <c r="C46" s="394">
        <v>223447.6</v>
      </c>
      <c r="D46" s="394">
        <v>58009.88</v>
      </c>
      <c r="E46" s="391"/>
      <c r="F46" s="394">
        <v>0</v>
      </c>
      <c r="G46" s="394">
        <v>248.65</v>
      </c>
      <c r="H46" s="394">
        <v>180.4</v>
      </c>
      <c r="I46" s="394">
        <v>0</v>
      </c>
      <c r="J46" s="394">
        <v>3838.68</v>
      </c>
      <c r="K46" s="394">
        <v>0</v>
      </c>
      <c r="L46" s="394">
        <v>22788.3</v>
      </c>
      <c r="M46" s="334">
        <f t="shared" si="0"/>
        <v>308513.51</v>
      </c>
      <c r="N46" s="398">
        <v>0</v>
      </c>
      <c r="O46" s="398">
        <v>0</v>
      </c>
      <c r="P46" s="398">
        <v>22431.05</v>
      </c>
      <c r="Q46" s="398">
        <v>0</v>
      </c>
      <c r="R46" s="398">
        <v>1096.75</v>
      </c>
      <c r="S46" s="398"/>
      <c r="T46" s="398"/>
      <c r="U46" s="398">
        <v>450</v>
      </c>
      <c r="V46" s="398"/>
      <c r="W46" s="398"/>
      <c r="X46" s="382">
        <v>51.46</v>
      </c>
      <c r="Y46" s="485">
        <f t="shared" si="1"/>
        <v>332542.77</v>
      </c>
      <c r="Z46" s="399"/>
      <c r="AA46" s="399"/>
      <c r="AB46" s="399">
        <v>25420</v>
      </c>
      <c r="AC46" s="399"/>
      <c r="AD46" s="399">
        <v>16971.55</v>
      </c>
      <c r="AE46" s="399"/>
      <c r="AF46" s="399"/>
      <c r="AG46" s="399"/>
      <c r="AH46" s="399"/>
      <c r="AI46" s="399"/>
      <c r="AJ46" s="399"/>
      <c r="AK46" s="399"/>
      <c r="AL46" s="477"/>
      <c r="AM46" s="485">
        <f t="shared" si="2"/>
        <v>42391.55</v>
      </c>
      <c r="AN46" s="399">
        <v>77</v>
      </c>
      <c r="AO46" s="402">
        <v>152</v>
      </c>
      <c r="AP46" s="480">
        <v>-10215.799999999999</v>
      </c>
      <c r="AQ46" s="490"/>
      <c r="AR46" s="490">
        <v>0</v>
      </c>
      <c r="AS46" s="520">
        <v>1</v>
      </c>
      <c r="AT46" s="533">
        <v>332542.77</v>
      </c>
      <c r="AU46" s="533">
        <v>450</v>
      </c>
      <c r="AV46" s="533">
        <v>51.46</v>
      </c>
      <c r="AW46" s="533">
        <v>42391.55</v>
      </c>
      <c r="AX46" s="533">
        <v>0</v>
      </c>
      <c r="AY46" s="533">
        <v>-10215.799999999999</v>
      </c>
      <c r="AZ46" s="533">
        <v>0</v>
      </c>
      <c r="BA46" s="533">
        <v>0</v>
      </c>
      <c r="BB46" s="480">
        <f t="shared" si="3"/>
        <v>0</v>
      </c>
      <c r="BC46" s="480">
        <f t="shared" si="4"/>
        <v>0</v>
      </c>
      <c r="BD46" s="480">
        <f t="shared" si="5"/>
        <v>0</v>
      </c>
      <c r="BE46" s="480">
        <f t="shared" si="6"/>
        <v>0</v>
      </c>
      <c r="BF46" s="480">
        <f t="shared" si="7"/>
        <v>0</v>
      </c>
      <c r="BG46" s="480">
        <f t="shared" si="8"/>
        <v>0</v>
      </c>
      <c r="BH46" s="480">
        <f t="shared" si="9"/>
        <v>0</v>
      </c>
      <c r="BI46" s="6">
        <f t="shared" si="10"/>
        <v>5475</v>
      </c>
      <c r="BJ46" s="480" t="str">
        <f t="shared" si="11"/>
        <v>Chavannes-le-Veyron</v>
      </c>
    </row>
    <row r="47" spans="1:62" x14ac:dyDescent="0.25">
      <c r="A47" s="341">
        <v>5476</v>
      </c>
      <c r="B47" s="523" t="s">
        <v>374</v>
      </c>
      <c r="C47" s="394">
        <v>737166.77</v>
      </c>
      <c r="D47" s="394">
        <v>84319.91</v>
      </c>
      <c r="E47" s="391"/>
      <c r="F47" s="394">
        <v>0</v>
      </c>
      <c r="G47" s="394">
        <v>618.5</v>
      </c>
      <c r="H47" s="394">
        <v>-2132.9</v>
      </c>
      <c r="I47" s="394">
        <v>0</v>
      </c>
      <c r="J47" s="394">
        <v>-1416.62</v>
      </c>
      <c r="K47" s="394">
        <v>0</v>
      </c>
      <c r="L47" s="394">
        <v>61081.15</v>
      </c>
      <c r="M47" s="334">
        <f t="shared" si="0"/>
        <v>879636.81</v>
      </c>
      <c r="N47" s="398">
        <v>0</v>
      </c>
      <c r="O47" s="398">
        <v>5367.6</v>
      </c>
      <c r="P47" s="398">
        <v>7150</v>
      </c>
      <c r="Q47" s="398">
        <v>15596.19</v>
      </c>
      <c r="R47" s="398">
        <v>713.5</v>
      </c>
      <c r="S47" s="398"/>
      <c r="T47" s="398"/>
      <c r="U47" s="398">
        <v>2950</v>
      </c>
      <c r="V47" s="398"/>
      <c r="W47" s="398"/>
      <c r="X47" s="382">
        <v>-181.65</v>
      </c>
      <c r="Y47" s="485">
        <f t="shared" si="1"/>
        <v>911232.45</v>
      </c>
      <c r="Z47" s="399"/>
      <c r="AA47" s="399"/>
      <c r="AB47" s="399">
        <v>16762.5</v>
      </c>
      <c r="AC47" s="399"/>
      <c r="AD47" s="399">
        <v>16609.099999999999</v>
      </c>
      <c r="AE47" s="399"/>
      <c r="AF47" s="399"/>
      <c r="AG47" s="399"/>
      <c r="AH47" s="399"/>
      <c r="AI47" s="399"/>
      <c r="AJ47" s="399"/>
      <c r="AK47" s="399"/>
      <c r="AL47" s="477"/>
      <c r="AM47" s="485">
        <f t="shared" si="2"/>
        <v>33371.599999999999</v>
      </c>
      <c r="AN47" s="399">
        <v>74</v>
      </c>
      <c r="AO47" s="402">
        <v>317</v>
      </c>
      <c r="AP47" s="480">
        <v>-17755.439999999999</v>
      </c>
      <c r="AQ47" s="490"/>
      <c r="AR47" s="490">
        <v>-1180.55</v>
      </c>
      <c r="AS47" s="520">
        <v>1</v>
      </c>
      <c r="AT47" s="533">
        <v>911232.45</v>
      </c>
      <c r="AU47" s="533">
        <v>2950</v>
      </c>
      <c r="AV47" s="533">
        <v>-181.65</v>
      </c>
      <c r="AW47" s="533">
        <v>33371.599999999999</v>
      </c>
      <c r="AX47" s="533">
        <v>0</v>
      </c>
      <c r="AY47" s="533">
        <v>-17755.439999999999</v>
      </c>
      <c r="AZ47" s="533">
        <v>0</v>
      </c>
      <c r="BA47" s="533">
        <v>-1180.55</v>
      </c>
      <c r="BB47" s="480">
        <f t="shared" si="3"/>
        <v>0</v>
      </c>
      <c r="BC47" s="480">
        <f t="shared" si="4"/>
        <v>0</v>
      </c>
      <c r="BD47" s="480">
        <f t="shared" si="5"/>
        <v>0</v>
      </c>
      <c r="BE47" s="480">
        <f t="shared" si="6"/>
        <v>0</v>
      </c>
      <c r="BF47" s="480">
        <f t="shared" si="7"/>
        <v>0</v>
      </c>
      <c r="BG47" s="480">
        <f t="shared" si="8"/>
        <v>0</v>
      </c>
      <c r="BH47" s="480">
        <f t="shared" si="9"/>
        <v>0</v>
      </c>
      <c r="BI47" s="6">
        <f t="shared" si="10"/>
        <v>5476</v>
      </c>
      <c r="BJ47" s="480" t="str">
        <f t="shared" si="11"/>
        <v>Chevilly</v>
      </c>
    </row>
    <row r="48" spans="1:62" x14ac:dyDescent="0.25">
      <c r="A48" s="341">
        <v>5477</v>
      </c>
      <c r="B48" s="523" t="s">
        <v>375</v>
      </c>
      <c r="C48" s="394">
        <v>7766039.6500000004</v>
      </c>
      <c r="D48" s="394">
        <v>866499.74</v>
      </c>
      <c r="E48" s="391"/>
      <c r="F48" s="394">
        <v>0</v>
      </c>
      <c r="G48" s="394">
        <v>350504.5</v>
      </c>
      <c r="H48" s="394">
        <v>-1521.3</v>
      </c>
      <c r="I48" s="394">
        <v>0</v>
      </c>
      <c r="J48" s="394">
        <v>225196.08</v>
      </c>
      <c r="K48" s="394">
        <v>42523.75</v>
      </c>
      <c r="L48" s="394">
        <v>724533.6</v>
      </c>
      <c r="M48" s="334">
        <f t="shared" si="0"/>
        <v>9973776.0199999996</v>
      </c>
      <c r="N48" s="398">
        <v>78423.75</v>
      </c>
      <c r="O48" s="398">
        <v>48641.4</v>
      </c>
      <c r="P48" s="398">
        <v>1133035.8999999999</v>
      </c>
      <c r="Q48" s="398">
        <v>84909.06</v>
      </c>
      <c r="R48" s="398">
        <v>234708.25</v>
      </c>
      <c r="S48" s="398"/>
      <c r="T48" s="398"/>
      <c r="U48" s="398">
        <v>20600</v>
      </c>
      <c r="V48" s="398"/>
      <c r="W48" s="398"/>
      <c r="X48" s="382">
        <v>41859.449999999997</v>
      </c>
      <c r="Y48" s="485">
        <f t="shared" si="1"/>
        <v>11615953.83</v>
      </c>
      <c r="Z48" s="399">
        <v>142864.6</v>
      </c>
      <c r="AA48" s="399">
        <v>112848</v>
      </c>
      <c r="AB48" s="399">
        <v>501762.35</v>
      </c>
      <c r="AC48" s="399">
        <v>557400.9</v>
      </c>
      <c r="AD48" s="399">
        <v>395881.25</v>
      </c>
      <c r="AE48" s="399">
        <v>136640.45000000001</v>
      </c>
      <c r="AF48" s="399"/>
      <c r="AG48" s="399"/>
      <c r="AH48" s="399">
        <v>382.2</v>
      </c>
      <c r="AI48" s="399">
        <v>76905.350000000006</v>
      </c>
      <c r="AJ48" s="399"/>
      <c r="AK48" s="399"/>
      <c r="AL48" s="477">
        <v>16544</v>
      </c>
      <c r="AM48" s="485">
        <f t="shared" si="2"/>
        <v>1941229.1</v>
      </c>
      <c r="AN48" s="399">
        <v>69.5</v>
      </c>
      <c r="AO48" s="402">
        <v>4222</v>
      </c>
      <c r="AP48" s="480">
        <v>-1816304.42</v>
      </c>
      <c r="AQ48" s="490"/>
      <c r="AR48" s="490">
        <v>-3034.85</v>
      </c>
      <c r="AS48" s="520">
        <v>1</v>
      </c>
      <c r="AT48" s="533">
        <v>11615953.83</v>
      </c>
      <c r="AU48" s="533">
        <v>20600</v>
      </c>
      <c r="AV48" s="533">
        <v>41859.449999999997</v>
      </c>
      <c r="AW48" s="533">
        <v>1941229.1</v>
      </c>
      <c r="AX48" s="533">
        <v>0</v>
      </c>
      <c r="AY48" s="533">
        <v>-1816304.42</v>
      </c>
      <c r="AZ48" s="533">
        <v>0</v>
      </c>
      <c r="BA48" s="533">
        <v>-3034.85</v>
      </c>
      <c r="BB48" s="480">
        <f t="shared" si="3"/>
        <v>0</v>
      </c>
      <c r="BC48" s="480">
        <f t="shared" si="4"/>
        <v>0</v>
      </c>
      <c r="BD48" s="480">
        <f t="shared" si="5"/>
        <v>0</v>
      </c>
      <c r="BE48" s="480">
        <f t="shared" si="6"/>
        <v>0</v>
      </c>
      <c r="BF48" s="480">
        <f t="shared" si="7"/>
        <v>0</v>
      </c>
      <c r="BG48" s="480">
        <f t="shared" si="8"/>
        <v>0</v>
      </c>
      <c r="BH48" s="480">
        <f t="shared" si="9"/>
        <v>0</v>
      </c>
      <c r="BI48" s="6">
        <f t="shared" si="10"/>
        <v>5477</v>
      </c>
      <c r="BJ48" s="480" t="str">
        <f t="shared" si="11"/>
        <v>Cossonay</v>
      </c>
    </row>
    <row r="49" spans="1:62" x14ac:dyDescent="0.25">
      <c r="A49" s="341">
        <v>5478</v>
      </c>
      <c r="B49" s="523" t="s">
        <v>241</v>
      </c>
      <c r="C49" s="394">
        <v>966556.11</v>
      </c>
      <c r="D49" s="394">
        <v>147856.32999999999</v>
      </c>
      <c r="E49" s="391"/>
      <c r="F49" s="394">
        <v>0</v>
      </c>
      <c r="G49" s="394">
        <v>-13448.65</v>
      </c>
      <c r="H49" s="394">
        <v>700.2</v>
      </c>
      <c r="I49" s="394">
        <v>0</v>
      </c>
      <c r="J49" s="394">
        <v>35788.699999999997</v>
      </c>
      <c r="K49" s="394">
        <v>250</v>
      </c>
      <c r="L49" s="394">
        <v>80550.25</v>
      </c>
      <c r="M49" s="334">
        <f t="shared" si="0"/>
        <v>1218252.94</v>
      </c>
      <c r="N49" s="398">
        <v>0</v>
      </c>
      <c r="O49" s="398">
        <v>0</v>
      </c>
      <c r="P49" s="398">
        <v>0</v>
      </c>
      <c r="Q49" s="398">
        <v>5569.15</v>
      </c>
      <c r="R49" s="398">
        <v>9277.4500000000007</v>
      </c>
      <c r="S49" s="398"/>
      <c r="T49" s="398"/>
      <c r="U49" s="398">
        <v>1925</v>
      </c>
      <c r="V49" s="398"/>
      <c r="W49" s="398"/>
      <c r="X49" s="382">
        <v>-1529.14</v>
      </c>
      <c r="Y49" s="485">
        <f t="shared" si="1"/>
        <v>1233495.3999999999</v>
      </c>
      <c r="Z49" s="399">
        <v>140</v>
      </c>
      <c r="AA49" s="399"/>
      <c r="AB49" s="399">
        <v>32446.2</v>
      </c>
      <c r="AC49" s="399"/>
      <c r="AD49" s="399">
        <v>28779.7</v>
      </c>
      <c r="AE49" s="399">
        <v>140</v>
      </c>
      <c r="AF49" s="399"/>
      <c r="AG49" s="399"/>
      <c r="AH49" s="399"/>
      <c r="AI49" s="399"/>
      <c r="AJ49" s="399"/>
      <c r="AK49" s="399"/>
      <c r="AL49" s="477"/>
      <c r="AM49" s="485">
        <f t="shared" si="2"/>
        <v>61505.9</v>
      </c>
      <c r="AN49" s="399">
        <v>74</v>
      </c>
      <c r="AO49" s="402">
        <v>491</v>
      </c>
      <c r="AP49" s="480">
        <v>-16720.62</v>
      </c>
      <c r="AQ49" s="490"/>
      <c r="AR49" s="490">
        <v>-1.49</v>
      </c>
      <c r="AS49" s="520">
        <v>1</v>
      </c>
      <c r="AT49" s="533">
        <v>1233495.3999999999</v>
      </c>
      <c r="AU49" s="533">
        <v>1925</v>
      </c>
      <c r="AV49" s="533">
        <v>-1529.14</v>
      </c>
      <c r="AW49" s="533">
        <v>61505.9</v>
      </c>
      <c r="AX49" s="533">
        <v>0</v>
      </c>
      <c r="AY49" s="533">
        <v>-16720.62</v>
      </c>
      <c r="AZ49" s="533">
        <v>0</v>
      </c>
      <c r="BA49" s="533">
        <v>-1.49</v>
      </c>
      <c r="BB49" s="480">
        <f t="shared" si="3"/>
        <v>0</v>
      </c>
      <c r="BC49" s="480">
        <f t="shared" si="4"/>
        <v>0</v>
      </c>
      <c r="BD49" s="480">
        <f t="shared" si="5"/>
        <v>0</v>
      </c>
      <c r="BE49" s="480">
        <f t="shared" si="6"/>
        <v>0</v>
      </c>
      <c r="BF49" s="480">
        <f t="shared" si="7"/>
        <v>0</v>
      </c>
      <c r="BG49" s="480">
        <f t="shared" si="8"/>
        <v>0</v>
      </c>
      <c r="BH49" s="480">
        <f t="shared" si="9"/>
        <v>0</v>
      </c>
      <c r="BI49" s="6">
        <f t="shared" si="10"/>
        <v>5478</v>
      </c>
      <c r="BJ49" s="480" t="str">
        <f t="shared" si="11"/>
        <v>Cottens</v>
      </c>
    </row>
    <row r="50" spans="1:62" x14ac:dyDescent="0.25">
      <c r="A50" s="341">
        <v>5479</v>
      </c>
      <c r="B50" s="523" t="s">
        <v>242</v>
      </c>
      <c r="C50" s="394">
        <v>1050972.1499999999</v>
      </c>
      <c r="D50" s="394">
        <v>90873.41</v>
      </c>
      <c r="E50" s="391"/>
      <c r="F50" s="394">
        <v>0</v>
      </c>
      <c r="G50" s="394">
        <v>14717.4</v>
      </c>
      <c r="H50" s="394">
        <v>788</v>
      </c>
      <c r="I50" s="394">
        <v>136813.5</v>
      </c>
      <c r="J50" s="394">
        <v>11675.49</v>
      </c>
      <c r="K50" s="394">
        <v>1973.25</v>
      </c>
      <c r="L50" s="394">
        <v>85764.75</v>
      </c>
      <c r="M50" s="334">
        <f t="shared" si="0"/>
        <v>1393577.9499999997</v>
      </c>
      <c r="N50" s="398">
        <v>8570.9500000000007</v>
      </c>
      <c r="O50" s="398">
        <v>0</v>
      </c>
      <c r="P50" s="398">
        <v>88973.3</v>
      </c>
      <c r="Q50" s="398">
        <v>0</v>
      </c>
      <c r="R50" s="398">
        <v>73291</v>
      </c>
      <c r="S50" s="398">
        <v>650.20000000000005</v>
      </c>
      <c r="T50" s="398"/>
      <c r="U50" s="398">
        <v>2040</v>
      </c>
      <c r="V50" s="398"/>
      <c r="W50" s="398"/>
      <c r="X50" s="382">
        <v>1859.82</v>
      </c>
      <c r="Y50" s="485">
        <f t="shared" si="1"/>
        <v>1568963.2199999997</v>
      </c>
      <c r="Z50" s="399">
        <v>823.5</v>
      </c>
      <c r="AA50" s="399"/>
      <c r="AB50" s="399">
        <v>68720</v>
      </c>
      <c r="AC50" s="399"/>
      <c r="AD50" s="399">
        <v>72943.350000000006</v>
      </c>
      <c r="AE50" s="399"/>
      <c r="AF50" s="399">
        <v>11539.2</v>
      </c>
      <c r="AG50" s="399"/>
      <c r="AH50" s="399"/>
      <c r="AI50" s="399">
        <v>13144.45</v>
      </c>
      <c r="AJ50" s="399"/>
      <c r="AK50" s="399"/>
      <c r="AL50" s="477"/>
      <c r="AM50" s="485">
        <f t="shared" si="2"/>
        <v>167170.50000000003</v>
      </c>
      <c r="AN50" s="399">
        <v>77</v>
      </c>
      <c r="AO50" s="402">
        <v>527</v>
      </c>
      <c r="AP50" s="480">
        <v>-4126.4399999999996</v>
      </c>
      <c r="AQ50" s="490"/>
      <c r="AR50" s="490">
        <v>0</v>
      </c>
      <c r="AS50" s="520">
        <v>1</v>
      </c>
      <c r="AT50" s="533">
        <v>1568963.22</v>
      </c>
      <c r="AU50" s="533">
        <f>650.2+2040</f>
        <v>2690.2</v>
      </c>
      <c r="AV50" s="533">
        <v>1859.82</v>
      </c>
      <c r="AW50" s="533">
        <v>167170.5</v>
      </c>
      <c r="AX50" s="533">
        <v>0</v>
      </c>
      <c r="AY50" s="533">
        <v>-4126.4399999999996</v>
      </c>
      <c r="AZ50" s="533">
        <v>0</v>
      </c>
      <c r="BA50" s="533">
        <v>0</v>
      </c>
      <c r="BB50" s="480">
        <f t="shared" si="3"/>
        <v>0</v>
      </c>
      <c r="BC50" s="480">
        <f t="shared" si="4"/>
        <v>0</v>
      </c>
      <c r="BD50" s="480">
        <f t="shared" si="5"/>
        <v>0</v>
      </c>
      <c r="BE50" s="480">
        <f t="shared" si="6"/>
        <v>0</v>
      </c>
      <c r="BF50" s="480">
        <f t="shared" si="7"/>
        <v>0</v>
      </c>
      <c r="BG50" s="480">
        <f t="shared" si="8"/>
        <v>0</v>
      </c>
      <c r="BH50" s="480">
        <f t="shared" si="9"/>
        <v>0</v>
      </c>
      <c r="BI50" s="6">
        <f t="shared" si="10"/>
        <v>5479</v>
      </c>
      <c r="BJ50" s="480" t="str">
        <f t="shared" si="11"/>
        <v>Cuarnens</v>
      </c>
    </row>
    <row r="51" spans="1:62" x14ac:dyDescent="0.25">
      <c r="A51" s="341">
        <v>5480</v>
      </c>
      <c r="B51" s="523" t="s">
        <v>243</v>
      </c>
      <c r="C51" s="394">
        <v>2101504.6</v>
      </c>
      <c r="D51" s="394">
        <v>252833.16</v>
      </c>
      <c r="E51" s="391"/>
      <c r="F51" s="394">
        <v>0</v>
      </c>
      <c r="G51" s="394">
        <v>15177.3</v>
      </c>
      <c r="H51" s="394">
        <v>14154.4</v>
      </c>
      <c r="I51" s="394">
        <v>0</v>
      </c>
      <c r="J51" s="394">
        <v>21681</v>
      </c>
      <c r="K51" s="394">
        <v>11300.15</v>
      </c>
      <c r="L51" s="394">
        <v>368315.1</v>
      </c>
      <c r="M51" s="334">
        <f t="shared" si="0"/>
        <v>2784965.71</v>
      </c>
      <c r="N51" s="398">
        <v>204900.85</v>
      </c>
      <c r="O51" s="398">
        <v>0</v>
      </c>
      <c r="P51" s="398">
        <v>155782</v>
      </c>
      <c r="Q51" s="398">
        <v>11525.4</v>
      </c>
      <c r="R51" s="398">
        <v>54282.8</v>
      </c>
      <c r="S51" s="398"/>
      <c r="T51" s="398"/>
      <c r="U51" s="398">
        <v>9450</v>
      </c>
      <c r="V51" s="398"/>
      <c r="W51" s="398"/>
      <c r="X51" s="382">
        <v>3518.25</v>
      </c>
      <c r="Y51" s="485">
        <f t="shared" si="1"/>
        <v>3224425.01</v>
      </c>
      <c r="Z51" s="399">
        <v>-11403.7</v>
      </c>
      <c r="AA51" s="399"/>
      <c r="AB51" s="399"/>
      <c r="AC51" s="399">
        <v>147272.85</v>
      </c>
      <c r="AD51" s="399">
        <v>75878.600000000006</v>
      </c>
      <c r="AE51" s="399">
        <v>-8506.0499999999993</v>
      </c>
      <c r="AF51" s="399"/>
      <c r="AG51" s="399"/>
      <c r="AH51" s="399">
        <v>4745.5</v>
      </c>
      <c r="AI51" s="399">
        <v>67123.149999999994</v>
      </c>
      <c r="AJ51" s="399"/>
      <c r="AK51" s="399"/>
      <c r="AL51" s="477"/>
      <c r="AM51" s="485">
        <f t="shared" si="2"/>
        <v>275110.34999999998</v>
      </c>
      <c r="AN51" s="399">
        <v>66</v>
      </c>
      <c r="AO51" s="402">
        <v>1048</v>
      </c>
      <c r="AP51" s="480">
        <v>-33354.28</v>
      </c>
      <c r="AQ51" s="490"/>
      <c r="AR51" s="490">
        <v>-758.12</v>
      </c>
      <c r="AS51" s="520">
        <v>1.2</v>
      </c>
      <c r="AT51" s="533">
        <v>3224425.01</v>
      </c>
      <c r="AU51" s="533">
        <v>9450</v>
      </c>
      <c r="AV51" s="533">
        <v>3518.25</v>
      </c>
      <c r="AW51" s="533">
        <v>275110.34999999998</v>
      </c>
      <c r="AX51" s="533">
        <v>0</v>
      </c>
      <c r="AY51" s="533">
        <v>-33354.28</v>
      </c>
      <c r="AZ51" s="533">
        <v>0</v>
      </c>
      <c r="BA51" s="533">
        <v>-758.12</v>
      </c>
      <c r="BB51" s="480">
        <f t="shared" si="3"/>
        <v>0</v>
      </c>
      <c r="BC51" s="480">
        <f t="shared" si="4"/>
        <v>0</v>
      </c>
      <c r="BD51" s="480">
        <f t="shared" si="5"/>
        <v>0</v>
      </c>
      <c r="BE51" s="480">
        <f t="shared" si="6"/>
        <v>0</v>
      </c>
      <c r="BF51" s="480">
        <f t="shared" si="7"/>
        <v>0</v>
      </c>
      <c r="BG51" s="480">
        <f t="shared" si="8"/>
        <v>0</v>
      </c>
      <c r="BH51" s="480">
        <f t="shared" si="9"/>
        <v>0</v>
      </c>
      <c r="BI51" s="6">
        <f t="shared" si="10"/>
        <v>5480</v>
      </c>
      <c r="BJ51" s="480" t="str">
        <f t="shared" si="11"/>
        <v>Daillens</v>
      </c>
    </row>
    <row r="52" spans="1:62" x14ac:dyDescent="0.25">
      <c r="A52" s="341">
        <v>5481</v>
      </c>
      <c r="B52" s="523" t="s">
        <v>244</v>
      </c>
      <c r="C52" s="394">
        <v>380456.01</v>
      </c>
      <c r="D52" s="394">
        <v>115243.38</v>
      </c>
      <c r="E52" s="391"/>
      <c r="F52" s="394">
        <v>0</v>
      </c>
      <c r="G52" s="394">
        <v>60479.9</v>
      </c>
      <c r="H52" s="394">
        <v>89.5</v>
      </c>
      <c r="I52" s="394">
        <v>0</v>
      </c>
      <c r="J52" s="394">
        <v>4904.03</v>
      </c>
      <c r="K52" s="394">
        <v>0</v>
      </c>
      <c r="L52" s="394">
        <v>39166.050000000003</v>
      </c>
      <c r="M52" s="334">
        <f t="shared" si="0"/>
        <v>600338.87000000011</v>
      </c>
      <c r="N52" s="398">
        <v>0</v>
      </c>
      <c r="O52" s="398">
        <v>0</v>
      </c>
      <c r="P52" s="398">
        <v>6491.55</v>
      </c>
      <c r="Q52" s="398">
        <v>3326.95</v>
      </c>
      <c r="R52" s="398">
        <v>1182</v>
      </c>
      <c r="S52" s="398"/>
      <c r="T52" s="398"/>
      <c r="U52" s="398">
        <v>800</v>
      </c>
      <c r="V52" s="398"/>
      <c r="W52" s="398"/>
      <c r="X52" s="382">
        <v>7265.11</v>
      </c>
      <c r="Y52" s="485">
        <f t="shared" si="1"/>
        <v>619404.4800000001</v>
      </c>
      <c r="Z52" s="399"/>
      <c r="AA52" s="399"/>
      <c r="AB52" s="399">
        <v>67788.5</v>
      </c>
      <c r="AC52" s="399"/>
      <c r="AD52" s="399">
        <v>16104</v>
      </c>
      <c r="AE52" s="399"/>
      <c r="AF52" s="399"/>
      <c r="AG52" s="399"/>
      <c r="AH52" s="399"/>
      <c r="AI52" s="399"/>
      <c r="AJ52" s="399"/>
      <c r="AK52" s="399"/>
      <c r="AL52" s="477"/>
      <c r="AM52" s="485">
        <f t="shared" si="2"/>
        <v>83892.5</v>
      </c>
      <c r="AN52" s="399">
        <v>75</v>
      </c>
      <c r="AO52" s="402">
        <v>224</v>
      </c>
      <c r="AP52" s="480">
        <v>-1618.39</v>
      </c>
      <c r="AQ52" s="490"/>
      <c r="AR52" s="490">
        <v>0</v>
      </c>
      <c r="AS52" s="520">
        <v>1</v>
      </c>
      <c r="AT52" s="533">
        <v>619404.48</v>
      </c>
      <c r="AU52" s="533">
        <v>800</v>
      </c>
      <c r="AV52" s="533">
        <v>7265.11</v>
      </c>
      <c r="AW52" s="533">
        <v>83892.5</v>
      </c>
      <c r="AX52" s="533">
        <v>0</v>
      </c>
      <c r="AY52" s="533">
        <v>-1618.39</v>
      </c>
      <c r="AZ52" s="533">
        <v>0</v>
      </c>
      <c r="BA52" s="533">
        <v>0</v>
      </c>
      <c r="BB52" s="480">
        <f t="shared" si="3"/>
        <v>0</v>
      </c>
      <c r="BC52" s="480">
        <f t="shared" si="4"/>
        <v>0</v>
      </c>
      <c r="BD52" s="480">
        <f t="shared" si="5"/>
        <v>0</v>
      </c>
      <c r="BE52" s="480">
        <f t="shared" si="6"/>
        <v>0</v>
      </c>
      <c r="BF52" s="480">
        <f t="shared" si="7"/>
        <v>0</v>
      </c>
      <c r="BG52" s="480">
        <f t="shared" si="8"/>
        <v>0</v>
      </c>
      <c r="BH52" s="480">
        <f t="shared" si="9"/>
        <v>0</v>
      </c>
      <c r="BI52" s="6">
        <f t="shared" si="10"/>
        <v>5481</v>
      </c>
      <c r="BJ52" s="480" t="str">
        <f t="shared" si="11"/>
        <v>Dizy</v>
      </c>
    </row>
    <row r="53" spans="1:62" x14ac:dyDescent="0.25">
      <c r="A53" s="341">
        <v>5482</v>
      </c>
      <c r="B53" s="523" t="s">
        <v>245</v>
      </c>
      <c r="C53" s="394">
        <v>1442397.62</v>
      </c>
      <c r="D53" s="394">
        <v>181554.29</v>
      </c>
      <c r="E53" s="391"/>
      <c r="F53" s="394">
        <v>0</v>
      </c>
      <c r="G53" s="394">
        <v>985295.05</v>
      </c>
      <c r="H53" s="394">
        <v>18409.25</v>
      </c>
      <c r="I53" s="394">
        <v>0</v>
      </c>
      <c r="J53" s="394">
        <v>74027.98</v>
      </c>
      <c r="K53" s="394">
        <v>41453.800000000003</v>
      </c>
      <c r="L53" s="394">
        <v>426745.35</v>
      </c>
      <c r="M53" s="334">
        <f t="shared" si="0"/>
        <v>3169883.34</v>
      </c>
      <c r="N53" s="398">
        <v>338711.25</v>
      </c>
      <c r="O53" s="398">
        <v>11323.9</v>
      </c>
      <c r="P53" s="398">
        <v>57954.25</v>
      </c>
      <c r="Q53" s="398">
        <v>6323.09</v>
      </c>
      <c r="R53" s="398">
        <v>35836.949999999997</v>
      </c>
      <c r="S53" s="398"/>
      <c r="T53" s="398"/>
      <c r="U53" s="398">
        <v>11400</v>
      </c>
      <c r="V53" s="398"/>
      <c r="W53" s="398"/>
      <c r="X53" s="382">
        <v>120391.2</v>
      </c>
      <c r="Y53" s="485">
        <f t="shared" si="1"/>
        <v>3751823.98</v>
      </c>
      <c r="Z53" s="399">
        <v>71936</v>
      </c>
      <c r="AA53" s="399"/>
      <c r="AB53" s="399">
        <v>299000</v>
      </c>
      <c r="AC53" s="399"/>
      <c r="AD53" s="399">
        <v>123244.55</v>
      </c>
      <c r="AE53" s="399"/>
      <c r="AF53" s="399"/>
      <c r="AG53" s="399"/>
      <c r="AH53" s="399"/>
      <c r="AI53" s="399">
        <v>610841.15</v>
      </c>
      <c r="AJ53" s="399"/>
      <c r="AK53" s="399"/>
      <c r="AL53" s="477"/>
      <c r="AM53" s="485">
        <f t="shared" si="2"/>
        <v>1105021.7</v>
      </c>
      <c r="AN53" s="399">
        <v>46</v>
      </c>
      <c r="AO53" s="402">
        <v>1220</v>
      </c>
      <c r="AP53" s="480">
        <v>-33996.83</v>
      </c>
      <c r="AQ53" s="490"/>
      <c r="AR53" s="490">
        <v>-652.01</v>
      </c>
      <c r="AS53" s="520">
        <v>1</v>
      </c>
      <c r="AT53" s="533">
        <v>3751823.98</v>
      </c>
      <c r="AU53" s="533">
        <v>11400</v>
      </c>
      <c r="AV53" s="533">
        <v>120391.2</v>
      </c>
      <c r="AW53" s="533">
        <v>1105021.7</v>
      </c>
      <c r="AX53" s="533">
        <v>0</v>
      </c>
      <c r="AY53" s="533">
        <v>-33996.83</v>
      </c>
      <c r="AZ53" s="533">
        <v>0</v>
      </c>
      <c r="BA53" s="533">
        <v>-652.01</v>
      </c>
      <c r="BB53" s="480">
        <f t="shared" si="3"/>
        <v>0</v>
      </c>
      <c r="BC53" s="480">
        <f t="shared" si="4"/>
        <v>0</v>
      </c>
      <c r="BD53" s="480">
        <f t="shared" si="5"/>
        <v>0</v>
      </c>
      <c r="BE53" s="480">
        <f t="shared" si="6"/>
        <v>0</v>
      </c>
      <c r="BF53" s="480">
        <f t="shared" si="7"/>
        <v>0</v>
      </c>
      <c r="BG53" s="480">
        <f t="shared" si="8"/>
        <v>0</v>
      </c>
      <c r="BH53" s="480">
        <f t="shared" si="9"/>
        <v>0</v>
      </c>
      <c r="BI53" s="6">
        <f t="shared" si="10"/>
        <v>5482</v>
      </c>
      <c r="BJ53" s="480" t="str">
        <f t="shared" si="11"/>
        <v>Eclépens</v>
      </c>
    </row>
    <row r="54" spans="1:62" x14ac:dyDescent="0.25">
      <c r="A54" s="341">
        <v>5483</v>
      </c>
      <c r="B54" s="523" t="s">
        <v>140</v>
      </c>
      <c r="C54" s="394">
        <v>671967.59</v>
      </c>
      <c r="D54" s="394">
        <v>82723.63</v>
      </c>
      <c r="E54" s="391"/>
      <c r="F54" s="394">
        <v>0</v>
      </c>
      <c r="G54" s="394">
        <v>8051.95</v>
      </c>
      <c r="H54" s="394">
        <v>1124.8499999999999</v>
      </c>
      <c r="I54" s="394">
        <v>0</v>
      </c>
      <c r="J54" s="394">
        <v>1743.05</v>
      </c>
      <c r="K54" s="394">
        <v>702</v>
      </c>
      <c r="L54" s="394">
        <v>56873.65</v>
      </c>
      <c r="M54" s="334">
        <f t="shared" si="0"/>
        <v>823186.72</v>
      </c>
      <c r="N54" s="398">
        <v>0</v>
      </c>
      <c r="O54" s="398">
        <v>0</v>
      </c>
      <c r="P54" s="398">
        <v>16280</v>
      </c>
      <c r="Q54" s="398">
        <v>0</v>
      </c>
      <c r="R54" s="398">
        <v>2916.7</v>
      </c>
      <c r="S54" s="398"/>
      <c r="T54" s="398"/>
      <c r="U54" s="398">
        <v>1410</v>
      </c>
      <c r="V54" s="398"/>
      <c r="W54" s="398"/>
      <c r="X54" s="382">
        <v>1100.73</v>
      </c>
      <c r="Y54" s="485">
        <f t="shared" si="1"/>
        <v>844894.14999999991</v>
      </c>
      <c r="Z54" s="399">
        <v>3500</v>
      </c>
      <c r="AA54" s="399"/>
      <c r="AB54" s="399">
        <v>53849.7</v>
      </c>
      <c r="AC54" s="399"/>
      <c r="AD54" s="399">
        <v>32454.55</v>
      </c>
      <c r="AE54" s="399"/>
      <c r="AF54" s="399"/>
      <c r="AG54" s="399"/>
      <c r="AH54" s="399"/>
      <c r="AI54" s="399"/>
      <c r="AJ54" s="399"/>
      <c r="AK54" s="399"/>
      <c r="AL54" s="477"/>
      <c r="AM54" s="485">
        <f t="shared" si="2"/>
        <v>89804.25</v>
      </c>
      <c r="AN54" s="399">
        <v>76</v>
      </c>
      <c r="AO54" s="402">
        <v>319</v>
      </c>
      <c r="AP54" s="480">
        <v>-247.76</v>
      </c>
      <c r="AQ54" s="490"/>
      <c r="AR54" s="490">
        <v>-1695.75</v>
      </c>
      <c r="AS54" s="520">
        <v>1</v>
      </c>
      <c r="AT54" s="533">
        <v>844894.15</v>
      </c>
      <c r="AU54" s="533">
        <v>1410</v>
      </c>
      <c r="AV54" s="533">
        <v>1100.73</v>
      </c>
      <c r="AW54" s="533">
        <v>89804.25</v>
      </c>
      <c r="AX54" s="533">
        <v>0</v>
      </c>
      <c r="AY54" s="533">
        <v>-247.76</v>
      </c>
      <c r="AZ54" s="533">
        <v>0</v>
      </c>
      <c r="BA54" s="533">
        <v>-1695.75</v>
      </c>
      <c r="BB54" s="480">
        <f t="shared" si="3"/>
        <v>0</v>
      </c>
      <c r="BC54" s="480">
        <f t="shared" si="4"/>
        <v>0</v>
      </c>
      <c r="BD54" s="480">
        <f t="shared" si="5"/>
        <v>0</v>
      </c>
      <c r="BE54" s="480">
        <f t="shared" si="6"/>
        <v>0</v>
      </c>
      <c r="BF54" s="480">
        <f t="shared" si="7"/>
        <v>0</v>
      </c>
      <c r="BG54" s="480">
        <f t="shared" si="8"/>
        <v>0</v>
      </c>
      <c r="BH54" s="480">
        <f t="shared" si="9"/>
        <v>0</v>
      </c>
      <c r="BI54" s="6">
        <f t="shared" si="10"/>
        <v>5483</v>
      </c>
      <c r="BJ54" s="480" t="str">
        <f t="shared" si="11"/>
        <v>Ferreyres</v>
      </c>
    </row>
    <row r="55" spans="1:62" x14ac:dyDescent="0.25">
      <c r="A55" s="341">
        <v>5484</v>
      </c>
      <c r="B55" s="523" t="s">
        <v>141</v>
      </c>
      <c r="C55" s="394">
        <v>2004003.49</v>
      </c>
      <c r="D55" s="394">
        <v>240591.06</v>
      </c>
      <c r="E55" s="391"/>
      <c r="F55" s="394">
        <v>0</v>
      </c>
      <c r="G55" s="394">
        <v>93288.85</v>
      </c>
      <c r="H55" s="394">
        <v>2937.5</v>
      </c>
      <c r="I55" s="394">
        <v>0</v>
      </c>
      <c r="J55" s="394">
        <v>55357.64</v>
      </c>
      <c r="K55" s="394">
        <v>7066.75</v>
      </c>
      <c r="L55" s="394">
        <v>184181.25</v>
      </c>
      <c r="M55" s="334">
        <f t="shared" si="0"/>
        <v>2587426.54</v>
      </c>
      <c r="N55" s="398">
        <v>25418.75</v>
      </c>
      <c r="O55" s="398">
        <v>60233</v>
      </c>
      <c r="P55" s="398">
        <v>119899.25</v>
      </c>
      <c r="Q55" s="398">
        <v>2417.2399999999998</v>
      </c>
      <c r="R55" s="398">
        <v>29382.85</v>
      </c>
      <c r="S55" s="398"/>
      <c r="T55" s="398"/>
      <c r="U55" s="398">
        <v>6200</v>
      </c>
      <c r="V55" s="398"/>
      <c r="W55" s="398"/>
      <c r="X55" s="382">
        <v>11542.05</v>
      </c>
      <c r="Y55" s="485">
        <f t="shared" si="1"/>
        <v>2842519.68</v>
      </c>
      <c r="Z55" s="399">
        <v>17712</v>
      </c>
      <c r="AA55" s="399"/>
      <c r="AB55" s="399">
        <v>131414.95000000001</v>
      </c>
      <c r="AC55" s="399"/>
      <c r="AD55" s="399">
        <v>71587.5</v>
      </c>
      <c r="AE55" s="399">
        <v>15309</v>
      </c>
      <c r="AF55" s="399"/>
      <c r="AG55" s="399"/>
      <c r="AH55" s="399"/>
      <c r="AI55" s="399"/>
      <c r="AJ55" s="399"/>
      <c r="AK55" s="399"/>
      <c r="AL55" s="477"/>
      <c r="AM55" s="485">
        <f t="shared" si="2"/>
        <v>236023.45</v>
      </c>
      <c r="AN55" s="399">
        <v>74</v>
      </c>
      <c r="AO55" s="402">
        <v>996</v>
      </c>
      <c r="AP55" s="480">
        <v>-11351.64</v>
      </c>
      <c r="AQ55" s="490"/>
      <c r="AR55" s="490">
        <v>-257.26</v>
      </c>
      <c r="AS55" s="520">
        <v>1</v>
      </c>
      <c r="AT55" s="533">
        <v>2842519.68</v>
      </c>
      <c r="AU55" s="533">
        <v>6200</v>
      </c>
      <c r="AV55" s="533">
        <v>11542.05</v>
      </c>
      <c r="AW55" s="533">
        <v>236023.45</v>
      </c>
      <c r="AX55" s="533">
        <v>0</v>
      </c>
      <c r="AY55" s="533">
        <v>-11351.64</v>
      </c>
      <c r="AZ55" s="533">
        <v>0</v>
      </c>
      <c r="BA55" s="533">
        <v>-257.26</v>
      </c>
      <c r="BB55" s="480">
        <f t="shared" si="3"/>
        <v>0</v>
      </c>
      <c r="BC55" s="480">
        <f t="shared" si="4"/>
        <v>0</v>
      </c>
      <c r="BD55" s="480">
        <f t="shared" si="5"/>
        <v>0</v>
      </c>
      <c r="BE55" s="480">
        <f t="shared" si="6"/>
        <v>0</v>
      </c>
      <c r="BF55" s="480">
        <f t="shared" si="7"/>
        <v>0</v>
      </c>
      <c r="BG55" s="480">
        <f t="shared" si="8"/>
        <v>0</v>
      </c>
      <c r="BH55" s="480">
        <f t="shared" si="9"/>
        <v>0</v>
      </c>
      <c r="BI55" s="6">
        <f t="shared" si="10"/>
        <v>5484</v>
      </c>
      <c r="BJ55" s="480" t="str">
        <f t="shared" si="11"/>
        <v>Gollion</v>
      </c>
    </row>
    <row r="56" spans="1:62" x14ac:dyDescent="0.25">
      <c r="A56" s="341">
        <v>5485</v>
      </c>
      <c r="B56" s="523" t="s">
        <v>142</v>
      </c>
      <c r="C56" s="394">
        <v>756576.18</v>
      </c>
      <c r="D56" s="394">
        <v>162807.43</v>
      </c>
      <c r="E56" s="391"/>
      <c r="F56" s="394">
        <v>0</v>
      </c>
      <c r="G56" s="394">
        <v>12652.85</v>
      </c>
      <c r="H56" s="394">
        <v>187.7</v>
      </c>
      <c r="I56" s="394">
        <v>0</v>
      </c>
      <c r="J56" s="394">
        <v>24736.73</v>
      </c>
      <c r="K56" s="394">
        <v>319</v>
      </c>
      <c r="L56" s="394">
        <v>76196.850000000006</v>
      </c>
      <c r="M56" s="334">
        <f t="shared" si="0"/>
        <v>1033476.74</v>
      </c>
      <c r="N56" s="398">
        <v>13845.05</v>
      </c>
      <c r="O56" s="398">
        <v>2707.8</v>
      </c>
      <c r="P56" s="398">
        <v>99344.4</v>
      </c>
      <c r="Q56" s="398">
        <v>20445.93</v>
      </c>
      <c r="R56" s="398">
        <v>52274.400000000001</v>
      </c>
      <c r="S56" s="398"/>
      <c r="T56" s="398"/>
      <c r="U56" s="398">
        <v>1340</v>
      </c>
      <c r="V56" s="398"/>
      <c r="W56" s="398"/>
      <c r="X56" s="382">
        <v>1540.18</v>
      </c>
      <c r="Y56" s="485">
        <f t="shared" si="1"/>
        <v>1224974.4999999998</v>
      </c>
      <c r="Z56" s="399">
        <v>61048</v>
      </c>
      <c r="AA56" s="399"/>
      <c r="AB56" s="399">
        <v>76734.7</v>
      </c>
      <c r="AC56" s="399"/>
      <c r="AD56" s="399">
        <v>27248.5</v>
      </c>
      <c r="AE56" s="399">
        <v>38145</v>
      </c>
      <c r="AF56" s="399"/>
      <c r="AG56" s="399"/>
      <c r="AH56" s="399"/>
      <c r="AI56" s="399"/>
      <c r="AJ56" s="399"/>
      <c r="AK56" s="399"/>
      <c r="AL56" s="477"/>
      <c r="AM56" s="485">
        <f t="shared" si="2"/>
        <v>203176.2</v>
      </c>
      <c r="AN56" s="399">
        <v>70</v>
      </c>
      <c r="AO56" s="402">
        <v>406</v>
      </c>
      <c r="AP56" s="480">
        <v>-37256.61</v>
      </c>
      <c r="AQ56" s="490"/>
      <c r="AR56" s="490">
        <v>-241.55</v>
      </c>
      <c r="AS56" s="520">
        <v>1</v>
      </c>
      <c r="AT56" s="533">
        <v>1224974.5</v>
      </c>
      <c r="AU56" s="533">
        <v>1340</v>
      </c>
      <c r="AV56" s="533">
        <v>1540.18</v>
      </c>
      <c r="AW56" s="533">
        <v>203176.2</v>
      </c>
      <c r="AX56" s="533">
        <v>0</v>
      </c>
      <c r="AY56" s="533">
        <v>-37256.61</v>
      </c>
      <c r="AZ56" s="533">
        <v>0</v>
      </c>
      <c r="BA56" s="533">
        <v>-241.55</v>
      </c>
      <c r="BB56" s="480">
        <f t="shared" si="3"/>
        <v>0</v>
      </c>
      <c r="BC56" s="480">
        <f t="shared" si="4"/>
        <v>0</v>
      </c>
      <c r="BD56" s="480">
        <f t="shared" si="5"/>
        <v>0</v>
      </c>
      <c r="BE56" s="480">
        <f t="shared" si="6"/>
        <v>0</v>
      </c>
      <c r="BF56" s="480">
        <f t="shared" si="7"/>
        <v>0</v>
      </c>
      <c r="BG56" s="480">
        <f t="shared" si="8"/>
        <v>0</v>
      </c>
      <c r="BH56" s="480">
        <f t="shared" si="9"/>
        <v>0</v>
      </c>
      <c r="BI56" s="6">
        <f t="shared" si="10"/>
        <v>5485</v>
      </c>
      <c r="BJ56" s="480" t="str">
        <f t="shared" si="11"/>
        <v>Grancy</v>
      </c>
    </row>
    <row r="57" spans="1:62" x14ac:dyDescent="0.25">
      <c r="A57" s="341">
        <v>5486</v>
      </c>
      <c r="B57" s="523" t="s">
        <v>1</v>
      </c>
      <c r="C57" s="394">
        <v>2186883.33</v>
      </c>
      <c r="D57" s="394">
        <v>337681.32</v>
      </c>
      <c r="E57" s="391"/>
      <c r="F57" s="394">
        <v>0</v>
      </c>
      <c r="G57" s="394">
        <v>16509.400000000001</v>
      </c>
      <c r="H57" s="394">
        <v>3294.8</v>
      </c>
      <c r="I57" s="394">
        <v>35256</v>
      </c>
      <c r="J57" s="394">
        <v>46072.47</v>
      </c>
      <c r="K57" s="394">
        <v>9098.7999999999993</v>
      </c>
      <c r="L57" s="394">
        <v>193552.3</v>
      </c>
      <c r="M57" s="334">
        <f t="shared" si="0"/>
        <v>2828348.4199999995</v>
      </c>
      <c r="N57" s="398">
        <v>54932.45</v>
      </c>
      <c r="O57" s="398">
        <v>18816.5</v>
      </c>
      <c r="P57" s="398">
        <v>42994.75</v>
      </c>
      <c r="Q57" s="398">
        <v>5606.47</v>
      </c>
      <c r="R57" s="398">
        <v>49697.45</v>
      </c>
      <c r="S57" s="398"/>
      <c r="T57" s="398"/>
      <c r="U57" s="398">
        <v>9750</v>
      </c>
      <c r="V57" s="398"/>
      <c r="W57" s="398"/>
      <c r="X57" s="382">
        <v>2375.4499999999998</v>
      </c>
      <c r="Y57" s="485">
        <f t="shared" si="1"/>
        <v>3012521.49</v>
      </c>
      <c r="Z57" s="399">
        <v>16054.6</v>
      </c>
      <c r="AA57" s="399"/>
      <c r="AB57" s="399">
        <v>243743.05</v>
      </c>
      <c r="AC57" s="399"/>
      <c r="AD57" s="399">
        <v>89042.85</v>
      </c>
      <c r="AE57" s="399">
        <v>16054.6</v>
      </c>
      <c r="AF57" s="399"/>
      <c r="AG57" s="399"/>
      <c r="AH57" s="399"/>
      <c r="AI57" s="399">
        <v>36111.800000000003</v>
      </c>
      <c r="AJ57" s="399"/>
      <c r="AK57" s="399"/>
      <c r="AL57" s="477"/>
      <c r="AM57" s="485">
        <f t="shared" si="2"/>
        <v>401006.89999999997</v>
      </c>
      <c r="AN57" s="399">
        <v>75</v>
      </c>
      <c r="AO57" s="402">
        <v>1065</v>
      </c>
      <c r="AP57" s="480">
        <v>-26862.79</v>
      </c>
      <c r="AQ57" s="490"/>
      <c r="AR57" s="490">
        <v>-0.52</v>
      </c>
      <c r="AS57" s="520">
        <v>1</v>
      </c>
      <c r="AT57" s="533">
        <v>3012521.49</v>
      </c>
      <c r="AU57" s="533">
        <v>9750</v>
      </c>
      <c r="AV57" s="533">
        <v>2375.4499999999998</v>
      </c>
      <c r="AW57" s="533">
        <v>401006.9</v>
      </c>
      <c r="AX57" s="533">
        <v>0</v>
      </c>
      <c r="AY57" s="533">
        <v>-26862.79</v>
      </c>
      <c r="AZ57" s="533">
        <v>0</v>
      </c>
      <c r="BA57" s="533">
        <v>-0.52</v>
      </c>
      <c r="BB57" s="480">
        <f t="shared" si="3"/>
        <v>0</v>
      </c>
      <c r="BC57" s="480">
        <f t="shared" si="4"/>
        <v>0</v>
      </c>
      <c r="BD57" s="480">
        <f t="shared" si="5"/>
        <v>0</v>
      </c>
      <c r="BE57" s="480">
        <f t="shared" si="6"/>
        <v>0</v>
      </c>
      <c r="BF57" s="480">
        <f t="shared" si="7"/>
        <v>0</v>
      </c>
      <c r="BG57" s="480">
        <f t="shared" si="8"/>
        <v>0</v>
      </c>
      <c r="BH57" s="480">
        <f t="shared" si="9"/>
        <v>0</v>
      </c>
      <c r="BI57" s="6">
        <f t="shared" si="10"/>
        <v>5486</v>
      </c>
      <c r="BJ57" s="480" t="str">
        <f t="shared" si="11"/>
        <v>L'Isle</v>
      </c>
    </row>
    <row r="58" spans="1:62" x14ac:dyDescent="0.25">
      <c r="A58" s="341">
        <v>5487</v>
      </c>
      <c r="B58" s="523" t="s">
        <v>2</v>
      </c>
      <c r="C58" s="394">
        <v>828023.56</v>
      </c>
      <c r="D58" s="394">
        <v>61416.21</v>
      </c>
      <c r="E58" s="391"/>
      <c r="F58" s="394">
        <v>0</v>
      </c>
      <c r="G58" s="394">
        <v>-612.4</v>
      </c>
      <c r="H58" s="394">
        <v>197.5</v>
      </c>
      <c r="I58" s="394">
        <v>0</v>
      </c>
      <c r="J58" s="394">
        <v>4392.13</v>
      </c>
      <c r="K58" s="394">
        <v>994</v>
      </c>
      <c r="L58" s="394">
        <v>79012.800000000003</v>
      </c>
      <c r="M58" s="334">
        <f t="shared" si="0"/>
        <v>973423.8</v>
      </c>
      <c r="N58" s="398">
        <v>0</v>
      </c>
      <c r="O58" s="398">
        <v>282.5</v>
      </c>
      <c r="P58" s="398">
        <v>29510.55</v>
      </c>
      <c r="Q58" s="398">
        <v>384.3</v>
      </c>
      <c r="R58" s="398">
        <v>1238.05</v>
      </c>
      <c r="S58" s="398">
        <v>75</v>
      </c>
      <c r="T58" s="398"/>
      <c r="U58" s="398">
        <v>2910</v>
      </c>
      <c r="V58" s="398"/>
      <c r="W58" s="398"/>
      <c r="X58" s="382">
        <v>-49.77</v>
      </c>
      <c r="Y58" s="485">
        <f t="shared" si="1"/>
        <v>1007774.4300000002</v>
      </c>
      <c r="Z58" s="399">
        <v>1500</v>
      </c>
      <c r="AA58" s="399"/>
      <c r="AB58" s="399">
        <v>41980.25</v>
      </c>
      <c r="AC58" s="399"/>
      <c r="AD58" s="399">
        <v>40200</v>
      </c>
      <c r="AE58" s="399">
        <v>1800</v>
      </c>
      <c r="AF58" s="399"/>
      <c r="AG58" s="399"/>
      <c r="AH58" s="399">
        <v>408</v>
      </c>
      <c r="AI58" s="399">
        <v>7749.95</v>
      </c>
      <c r="AJ58" s="399"/>
      <c r="AK58" s="399"/>
      <c r="AL58" s="477"/>
      <c r="AM58" s="485">
        <f t="shared" si="2"/>
        <v>93638.2</v>
      </c>
      <c r="AN58" s="399">
        <v>75</v>
      </c>
      <c r="AO58" s="402">
        <v>459</v>
      </c>
      <c r="AP58" s="480">
        <v>-6686.12</v>
      </c>
      <c r="AQ58" s="490"/>
      <c r="AR58" s="490">
        <v>-332.3</v>
      </c>
      <c r="AS58" s="520">
        <v>1</v>
      </c>
      <c r="AT58" s="533">
        <v>1007774.43</v>
      </c>
      <c r="AU58" s="533">
        <f>75+2910</f>
        <v>2985</v>
      </c>
      <c r="AV58" s="533">
        <v>-49.77</v>
      </c>
      <c r="AW58" s="533">
        <v>93638.2</v>
      </c>
      <c r="AX58" s="533">
        <v>0</v>
      </c>
      <c r="AY58" s="533">
        <v>-6686.12</v>
      </c>
      <c r="AZ58" s="533">
        <v>0</v>
      </c>
      <c r="BA58" s="533">
        <v>-332.3</v>
      </c>
      <c r="BB58" s="480">
        <f t="shared" si="3"/>
        <v>0</v>
      </c>
      <c r="BC58" s="480">
        <f t="shared" si="4"/>
        <v>0</v>
      </c>
      <c r="BD58" s="480">
        <f t="shared" si="5"/>
        <v>0</v>
      </c>
      <c r="BE58" s="480">
        <f t="shared" si="6"/>
        <v>0</v>
      </c>
      <c r="BF58" s="480">
        <f t="shared" si="7"/>
        <v>0</v>
      </c>
      <c r="BG58" s="480">
        <f t="shared" si="8"/>
        <v>0</v>
      </c>
      <c r="BH58" s="480">
        <f t="shared" si="9"/>
        <v>0</v>
      </c>
      <c r="BI58" s="6">
        <f t="shared" si="10"/>
        <v>5487</v>
      </c>
      <c r="BJ58" s="480" t="str">
        <f t="shared" si="11"/>
        <v>Lussery-Villars</v>
      </c>
    </row>
    <row r="59" spans="1:62" x14ac:dyDescent="0.25">
      <c r="A59" s="341">
        <v>5488</v>
      </c>
      <c r="B59" s="523" t="s">
        <v>3</v>
      </c>
      <c r="C59" s="394">
        <v>103815.1</v>
      </c>
      <c r="D59" s="394">
        <v>10331.379999999999</v>
      </c>
      <c r="E59" s="391"/>
      <c r="F59" s="394">
        <v>0</v>
      </c>
      <c r="G59" s="394">
        <v>705.25</v>
      </c>
      <c r="H59" s="394">
        <v>211.6</v>
      </c>
      <c r="I59" s="394">
        <v>0</v>
      </c>
      <c r="J59" s="394">
        <v>2109.0500000000002</v>
      </c>
      <c r="K59" s="394">
        <v>0</v>
      </c>
      <c r="L59" s="394">
        <v>8426</v>
      </c>
      <c r="M59" s="334">
        <f t="shared" si="0"/>
        <v>125598.38000000002</v>
      </c>
      <c r="N59" s="398">
        <v>0</v>
      </c>
      <c r="O59" s="398">
        <v>0</v>
      </c>
      <c r="P59" s="398">
        <v>0</v>
      </c>
      <c r="Q59" s="398">
        <v>0</v>
      </c>
      <c r="R59" s="398">
        <v>0</v>
      </c>
      <c r="S59" s="398"/>
      <c r="T59" s="398"/>
      <c r="U59" s="398">
        <v>150</v>
      </c>
      <c r="V59" s="398"/>
      <c r="W59" s="398"/>
      <c r="X59" s="382">
        <v>109.97</v>
      </c>
      <c r="Y59" s="485">
        <f t="shared" si="1"/>
        <v>125858.35000000002</v>
      </c>
      <c r="Z59" s="399"/>
      <c r="AA59" s="399"/>
      <c r="AB59" s="399">
        <v>6512</v>
      </c>
      <c r="AC59" s="399"/>
      <c r="AD59" s="399">
        <v>5470</v>
      </c>
      <c r="AE59" s="399"/>
      <c r="AF59" s="399"/>
      <c r="AG59" s="399"/>
      <c r="AH59" s="399"/>
      <c r="AI59" s="399">
        <v>1101</v>
      </c>
      <c r="AJ59" s="399"/>
      <c r="AK59" s="399"/>
      <c r="AL59" s="477"/>
      <c r="AM59" s="485">
        <f t="shared" si="2"/>
        <v>13083</v>
      </c>
      <c r="AN59" s="399">
        <v>77</v>
      </c>
      <c r="AO59" s="402">
        <v>58</v>
      </c>
      <c r="AP59" s="480">
        <v>-15.48</v>
      </c>
      <c r="AQ59" s="490"/>
      <c r="AR59" s="490">
        <v>-16.309999999999999</v>
      </c>
      <c r="AS59" s="520">
        <v>1</v>
      </c>
      <c r="AT59" s="533">
        <v>125858.35</v>
      </c>
      <c r="AU59" s="533">
        <v>150</v>
      </c>
      <c r="AV59" s="533">
        <v>109.97</v>
      </c>
      <c r="AW59" s="533">
        <v>13083</v>
      </c>
      <c r="AX59" s="533">
        <v>0</v>
      </c>
      <c r="AY59" s="533">
        <v>-15.48</v>
      </c>
      <c r="AZ59" s="533">
        <v>0</v>
      </c>
      <c r="BA59" s="533">
        <v>-16.309999999999999</v>
      </c>
      <c r="BB59" s="480">
        <f t="shared" si="3"/>
        <v>0</v>
      </c>
      <c r="BC59" s="480">
        <f t="shared" si="4"/>
        <v>0</v>
      </c>
      <c r="BD59" s="480">
        <f t="shared" si="5"/>
        <v>0</v>
      </c>
      <c r="BE59" s="480">
        <f t="shared" si="6"/>
        <v>0</v>
      </c>
      <c r="BF59" s="480">
        <f t="shared" si="7"/>
        <v>0</v>
      </c>
      <c r="BG59" s="480">
        <f t="shared" si="8"/>
        <v>0</v>
      </c>
      <c r="BH59" s="480">
        <f t="shared" si="9"/>
        <v>0</v>
      </c>
      <c r="BI59" s="6">
        <f t="shared" si="10"/>
        <v>5488</v>
      </c>
      <c r="BJ59" s="480" t="str">
        <f t="shared" si="11"/>
        <v>Mauraz</v>
      </c>
    </row>
    <row r="60" spans="1:62" x14ac:dyDescent="0.25">
      <c r="A60" s="341">
        <v>5489</v>
      </c>
      <c r="B60" s="523" t="s">
        <v>4</v>
      </c>
      <c r="C60" s="394">
        <v>1861554.17</v>
      </c>
      <c r="D60" s="394">
        <v>684808.6</v>
      </c>
      <c r="E60" s="391"/>
      <c r="F60" s="394">
        <v>0</v>
      </c>
      <c r="G60" s="394">
        <v>555479.75</v>
      </c>
      <c r="H60" s="394">
        <v>22209.45</v>
      </c>
      <c r="I60" s="394">
        <v>0</v>
      </c>
      <c r="J60" s="394">
        <v>37440.42</v>
      </c>
      <c r="K60" s="394">
        <v>6591.5</v>
      </c>
      <c r="L60" s="394">
        <v>293345.55</v>
      </c>
      <c r="M60" s="334">
        <f t="shared" si="0"/>
        <v>3461429.44</v>
      </c>
      <c r="N60" s="398">
        <v>150502.45000000001</v>
      </c>
      <c r="O60" s="398">
        <v>458.7</v>
      </c>
      <c r="P60" s="398">
        <v>245386</v>
      </c>
      <c r="Q60" s="398">
        <v>1202.4000000000001</v>
      </c>
      <c r="R60" s="398">
        <v>276699.8</v>
      </c>
      <c r="S60" s="398"/>
      <c r="T60" s="398"/>
      <c r="U60" s="398">
        <v>4590</v>
      </c>
      <c r="V60" s="398"/>
      <c r="W60" s="398"/>
      <c r="X60" s="382">
        <v>8301.94</v>
      </c>
      <c r="Y60" s="485">
        <f t="shared" si="1"/>
        <v>4148570.73</v>
      </c>
      <c r="Z60" s="399">
        <v>25537.95</v>
      </c>
      <c r="AA60" s="399"/>
      <c r="AB60" s="399">
        <v>128159.85</v>
      </c>
      <c r="AC60" s="399"/>
      <c r="AD60" s="399">
        <v>87570.67</v>
      </c>
      <c r="AE60" s="399"/>
      <c r="AF60" s="399">
        <v>167063.4</v>
      </c>
      <c r="AG60" s="399"/>
      <c r="AH60" s="399"/>
      <c r="AI60" s="399"/>
      <c r="AJ60" s="399"/>
      <c r="AK60" s="399"/>
      <c r="AL60" s="477"/>
      <c r="AM60" s="485">
        <f t="shared" si="2"/>
        <v>408331.87</v>
      </c>
      <c r="AN60" s="399">
        <v>59.5</v>
      </c>
      <c r="AO60" s="402">
        <v>791</v>
      </c>
      <c r="AP60" s="480">
        <v>-49065.04</v>
      </c>
      <c r="AQ60" s="490"/>
      <c r="AR60" s="490">
        <v>-846.97</v>
      </c>
      <c r="AS60" s="520">
        <v>1</v>
      </c>
      <c r="AT60" s="533">
        <v>4148570.73</v>
      </c>
      <c r="AU60" s="533">
        <v>4590</v>
      </c>
      <c r="AV60" s="533">
        <v>8301.94</v>
      </c>
      <c r="AW60" s="533">
        <v>408331.87</v>
      </c>
      <c r="AX60" s="533">
        <v>0</v>
      </c>
      <c r="AY60" s="533">
        <v>-49065.04</v>
      </c>
      <c r="AZ60" s="533">
        <v>0</v>
      </c>
      <c r="BA60" s="533">
        <v>-846.97</v>
      </c>
      <c r="BB60" s="480">
        <f t="shared" si="3"/>
        <v>0</v>
      </c>
      <c r="BC60" s="480">
        <f t="shared" si="4"/>
        <v>0</v>
      </c>
      <c r="BD60" s="480">
        <f t="shared" si="5"/>
        <v>0</v>
      </c>
      <c r="BE60" s="480">
        <f t="shared" si="6"/>
        <v>0</v>
      </c>
      <c r="BF60" s="480">
        <f t="shared" si="7"/>
        <v>0</v>
      </c>
      <c r="BG60" s="480">
        <f t="shared" si="8"/>
        <v>0</v>
      </c>
      <c r="BH60" s="480">
        <f t="shared" si="9"/>
        <v>0</v>
      </c>
      <c r="BI60" s="6">
        <f t="shared" si="10"/>
        <v>5489</v>
      </c>
      <c r="BJ60" s="480" t="str">
        <f t="shared" si="11"/>
        <v>Mex</v>
      </c>
    </row>
    <row r="61" spans="1:62" x14ac:dyDescent="0.25">
      <c r="A61" s="341">
        <v>5490</v>
      </c>
      <c r="B61" s="523" t="s">
        <v>5</v>
      </c>
      <c r="C61" s="394">
        <v>559754.14</v>
      </c>
      <c r="D61" s="394">
        <v>82620.210000000006</v>
      </c>
      <c r="E61" s="391"/>
      <c r="F61" s="394">
        <v>0</v>
      </c>
      <c r="G61" s="394">
        <v>609.79999999999995</v>
      </c>
      <c r="H61" s="394">
        <v>145.69999999999999</v>
      </c>
      <c r="I61" s="394">
        <v>0</v>
      </c>
      <c r="J61" s="394">
        <v>-683.29</v>
      </c>
      <c r="K61" s="394">
        <v>0</v>
      </c>
      <c r="L61" s="394">
        <v>46100.25</v>
      </c>
      <c r="M61" s="334">
        <f t="shared" si="0"/>
        <v>688546.80999999994</v>
      </c>
      <c r="N61" s="398">
        <v>0</v>
      </c>
      <c r="O61" s="398">
        <v>15576.4</v>
      </c>
      <c r="P61" s="398">
        <v>23760.95</v>
      </c>
      <c r="Q61" s="398">
        <v>0</v>
      </c>
      <c r="R61" s="398">
        <v>315</v>
      </c>
      <c r="S61" s="398"/>
      <c r="T61" s="398"/>
      <c r="U61" s="398">
        <v>1220</v>
      </c>
      <c r="V61" s="398"/>
      <c r="W61" s="398"/>
      <c r="X61" s="382">
        <v>90.62</v>
      </c>
      <c r="Y61" s="485">
        <f t="shared" si="1"/>
        <v>729509.77999999991</v>
      </c>
      <c r="Z61" s="399">
        <v>17860</v>
      </c>
      <c r="AA61" s="399">
        <v>906</v>
      </c>
      <c r="AB61" s="399">
        <v>33335</v>
      </c>
      <c r="AC61" s="399"/>
      <c r="AD61" s="399">
        <v>29833</v>
      </c>
      <c r="AE61" s="399">
        <v>9402</v>
      </c>
      <c r="AF61" s="399">
        <v>604</v>
      </c>
      <c r="AG61" s="399"/>
      <c r="AH61" s="399"/>
      <c r="AI61" s="399">
        <v>5355</v>
      </c>
      <c r="AJ61" s="399"/>
      <c r="AK61" s="399"/>
      <c r="AL61" s="477"/>
      <c r="AM61" s="485">
        <f t="shared" si="2"/>
        <v>97295</v>
      </c>
      <c r="AN61" s="399">
        <v>77.5</v>
      </c>
      <c r="AO61" s="402">
        <v>311</v>
      </c>
      <c r="AP61" s="480">
        <v>-17085.490000000002</v>
      </c>
      <c r="AQ61" s="490"/>
      <c r="AR61" s="490">
        <v>-718.97</v>
      </c>
      <c r="AS61" s="520">
        <v>1</v>
      </c>
      <c r="AT61" s="533">
        <v>729509.78</v>
      </c>
      <c r="AU61" s="533">
        <v>1220</v>
      </c>
      <c r="AV61" s="533">
        <v>90.62</v>
      </c>
      <c r="AW61" s="533">
        <v>97295</v>
      </c>
      <c r="AX61" s="533">
        <v>0</v>
      </c>
      <c r="AY61" s="533">
        <v>-17085.490000000002</v>
      </c>
      <c r="AZ61" s="533">
        <v>0</v>
      </c>
      <c r="BA61" s="533">
        <v>-718.97</v>
      </c>
      <c r="BB61" s="480">
        <f t="shared" si="3"/>
        <v>0</v>
      </c>
      <c r="BC61" s="480">
        <f t="shared" si="4"/>
        <v>0</v>
      </c>
      <c r="BD61" s="480">
        <f t="shared" si="5"/>
        <v>0</v>
      </c>
      <c r="BE61" s="480">
        <f t="shared" si="6"/>
        <v>0</v>
      </c>
      <c r="BF61" s="480">
        <f t="shared" si="7"/>
        <v>0</v>
      </c>
      <c r="BG61" s="480">
        <f t="shared" si="8"/>
        <v>0</v>
      </c>
      <c r="BH61" s="480">
        <f t="shared" si="9"/>
        <v>0</v>
      </c>
      <c r="BI61" s="6">
        <f t="shared" si="10"/>
        <v>5490</v>
      </c>
      <c r="BJ61" s="480" t="str">
        <f t="shared" si="11"/>
        <v>Moiry</v>
      </c>
    </row>
    <row r="62" spans="1:62" x14ac:dyDescent="0.25">
      <c r="A62" s="341">
        <v>5491</v>
      </c>
      <c r="B62" s="523" t="s">
        <v>164</v>
      </c>
      <c r="C62" s="394">
        <v>897407.82</v>
      </c>
      <c r="D62" s="394">
        <v>85568.14</v>
      </c>
      <c r="E62" s="391"/>
      <c r="F62" s="394">
        <v>2590</v>
      </c>
      <c r="G62" s="394">
        <v>14293.7</v>
      </c>
      <c r="H62" s="394">
        <v>2010.45</v>
      </c>
      <c r="I62" s="394">
        <v>0</v>
      </c>
      <c r="J62" s="394">
        <v>8918.35</v>
      </c>
      <c r="K62" s="394">
        <v>1245.75</v>
      </c>
      <c r="L62" s="394">
        <v>89042.1</v>
      </c>
      <c r="M62" s="334">
        <f t="shared" si="0"/>
        <v>1101076.3099999998</v>
      </c>
      <c r="N62" s="398">
        <v>1976.15</v>
      </c>
      <c r="O62" s="398">
        <v>0</v>
      </c>
      <c r="P62" s="398">
        <v>68902.649999999994</v>
      </c>
      <c r="Q62" s="398">
        <v>705.45</v>
      </c>
      <c r="R62" s="398">
        <v>24058.55</v>
      </c>
      <c r="S62" s="398"/>
      <c r="T62" s="398"/>
      <c r="U62" s="398">
        <v>5250</v>
      </c>
      <c r="V62" s="398"/>
      <c r="W62" s="398"/>
      <c r="X62" s="382">
        <v>1955.63</v>
      </c>
      <c r="Y62" s="485">
        <f t="shared" si="1"/>
        <v>1203924.7399999995</v>
      </c>
      <c r="Z62" s="399"/>
      <c r="AA62" s="399"/>
      <c r="AB62" s="399">
        <v>65228.800000000003</v>
      </c>
      <c r="AC62" s="399"/>
      <c r="AD62" s="399">
        <v>40233</v>
      </c>
      <c r="AE62" s="399">
        <v>9000</v>
      </c>
      <c r="AF62" s="399"/>
      <c r="AG62" s="399"/>
      <c r="AH62" s="399"/>
      <c r="AI62" s="399">
        <v>11702.3</v>
      </c>
      <c r="AJ62" s="399"/>
      <c r="AK62" s="399"/>
      <c r="AL62" s="477"/>
      <c r="AM62" s="485">
        <f t="shared" si="2"/>
        <v>126164.1</v>
      </c>
      <c r="AN62" s="399">
        <v>76</v>
      </c>
      <c r="AO62" s="402">
        <v>490</v>
      </c>
      <c r="AP62" s="480">
        <v>-15167.75</v>
      </c>
      <c r="AQ62" s="490"/>
      <c r="AR62" s="490">
        <v>0</v>
      </c>
      <c r="AS62" s="520">
        <v>1</v>
      </c>
      <c r="AT62" s="533">
        <v>1203924.74</v>
      </c>
      <c r="AU62" s="533">
        <v>5250</v>
      </c>
      <c r="AV62" s="533">
        <v>1955.63</v>
      </c>
      <c r="AW62" s="533">
        <v>126164.1</v>
      </c>
      <c r="AX62" s="533">
        <v>0</v>
      </c>
      <c r="AY62" s="533">
        <v>-15167.75</v>
      </c>
      <c r="AZ62" s="533">
        <v>0</v>
      </c>
      <c r="BA62" s="533">
        <v>0</v>
      </c>
      <c r="BB62" s="480">
        <f t="shared" si="3"/>
        <v>0</v>
      </c>
      <c r="BC62" s="480">
        <f t="shared" si="4"/>
        <v>0</v>
      </c>
      <c r="BD62" s="480">
        <f t="shared" si="5"/>
        <v>0</v>
      </c>
      <c r="BE62" s="480">
        <f t="shared" si="6"/>
        <v>0</v>
      </c>
      <c r="BF62" s="480">
        <f t="shared" si="7"/>
        <v>0</v>
      </c>
      <c r="BG62" s="480">
        <f t="shared" si="8"/>
        <v>0</v>
      </c>
      <c r="BH62" s="480">
        <f t="shared" si="9"/>
        <v>0</v>
      </c>
      <c r="BI62" s="6">
        <f t="shared" si="10"/>
        <v>5491</v>
      </c>
      <c r="BJ62" s="480" t="str">
        <f t="shared" si="11"/>
        <v>Mont-la-Ville</v>
      </c>
    </row>
    <row r="63" spans="1:62" x14ac:dyDescent="0.25">
      <c r="A63" s="341">
        <v>5492</v>
      </c>
      <c r="B63" s="523" t="s">
        <v>165</v>
      </c>
      <c r="C63" s="394">
        <v>6057160.8099999996</v>
      </c>
      <c r="D63" s="394">
        <v>3670769.54</v>
      </c>
      <c r="E63" s="391"/>
      <c r="F63" s="394">
        <v>0</v>
      </c>
      <c r="G63" s="394">
        <v>34535.449999999997</v>
      </c>
      <c r="H63" s="394">
        <v>3012.05</v>
      </c>
      <c r="I63" s="394">
        <v>0</v>
      </c>
      <c r="J63" s="394">
        <v>101215.21</v>
      </c>
      <c r="K63" s="394">
        <v>4245.45</v>
      </c>
      <c r="L63" s="394">
        <v>73486.45</v>
      </c>
      <c r="M63" s="334">
        <f t="shared" si="0"/>
        <v>9944424.959999999</v>
      </c>
      <c r="N63" s="398">
        <v>6535.1</v>
      </c>
      <c r="O63" s="398">
        <v>138790.79999999999</v>
      </c>
      <c r="P63" s="398">
        <v>111883.75</v>
      </c>
      <c r="Q63" s="398">
        <v>6716.98</v>
      </c>
      <c r="R63" s="398">
        <v>69404.100000000006</v>
      </c>
      <c r="S63" s="398"/>
      <c r="T63" s="398"/>
      <c r="U63" s="398">
        <v>7260</v>
      </c>
      <c r="V63" s="398"/>
      <c r="W63" s="398"/>
      <c r="X63" s="382">
        <v>4503.71</v>
      </c>
      <c r="Y63" s="485">
        <f t="shared" si="1"/>
        <v>10289519.4</v>
      </c>
      <c r="Z63" s="399">
        <v>4320</v>
      </c>
      <c r="AA63" s="399"/>
      <c r="AB63" s="399">
        <v>18936</v>
      </c>
      <c r="AC63" s="399"/>
      <c r="AD63" s="399">
        <v>56895.45</v>
      </c>
      <c r="AE63" s="399">
        <v>2707</v>
      </c>
      <c r="AF63" s="399"/>
      <c r="AG63" s="399"/>
      <c r="AH63" s="399"/>
      <c r="AI63" s="399">
        <v>27554.05</v>
      </c>
      <c r="AJ63" s="399"/>
      <c r="AK63" s="399"/>
      <c r="AL63" s="477"/>
      <c r="AM63" s="485">
        <f t="shared" si="2"/>
        <v>110412.5</v>
      </c>
      <c r="AN63" s="399">
        <v>64</v>
      </c>
      <c r="AO63" s="402">
        <v>964</v>
      </c>
      <c r="AP63" s="480">
        <v>-62889.32</v>
      </c>
      <c r="AQ63" s="490"/>
      <c r="AR63" s="490">
        <v>-6306.83</v>
      </c>
      <c r="AS63" s="520">
        <v>0.3</v>
      </c>
      <c r="AT63" s="533">
        <v>10289519.4</v>
      </c>
      <c r="AU63" s="533">
        <v>7260</v>
      </c>
      <c r="AV63" s="533">
        <v>4503.71</v>
      </c>
      <c r="AW63" s="533">
        <v>110412.5</v>
      </c>
      <c r="AX63" s="533">
        <v>0</v>
      </c>
      <c r="AY63" s="533">
        <v>-62889.32</v>
      </c>
      <c r="AZ63" s="533">
        <v>0</v>
      </c>
      <c r="BA63" s="533">
        <v>-6306.83</v>
      </c>
      <c r="BB63" s="480">
        <f t="shared" si="3"/>
        <v>0</v>
      </c>
      <c r="BC63" s="480">
        <f t="shared" si="4"/>
        <v>0</v>
      </c>
      <c r="BD63" s="480">
        <f t="shared" si="5"/>
        <v>0</v>
      </c>
      <c r="BE63" s="480">
        <f t="shared" si="6"/>
        <v>0</v>
      </c>
      <c r="BF63" s="480">
        <f t="shared" si="7"/>
        <v>0</v>
      </c>
      <c r="BG63" s="480">
        <f t="shared" si="8"/>
        <v>0</v>
      </c>
      <c r="BH63" s="480">
        <f t="shared" si="9"/>
        <v>0</v>
      </c>
      <c r="BI63" s="6">
        <f t="shared" si="10"/>
        <v>5492</v>
      </c>
      <c r="BJ63" s="480" t="str">
        <f t="shared" si="11"/>
        <v>Montricher</v>
      </c>
    </row>
    <row r="64" spans="1:62" x14ac:dyDescent="0.25">
      <c r="A64" s="341">
        <v>5493</v>
      </c>
      <c r="B64" s="523" t="s">
        <v>166</v>
      </c>
      <c r="C64" s="394">
        <v>759812.46</v>
      </c>
      <c r="D64" s="394">
        <v>76360.600000000006</v>
      </c>
      <c r="E64" s="391"/>
      <c r="F64" s="394">
        <v>0</v>
      </c>
      <c r="G64" s="394">
        <v>25986.1</v>
      </c>
      <c r="H64" s="394">
        <v>1304.3499999999999</v>
      </c>
      <c r="I64" s="394">
        <v>0</v>
      </c>
      <c r="J64" s="394">
        <v>36469.08</v>
      </c>
      <c r="K64" s="394">
        <v>455.85</v>
      </c>
      <c r="L64" s="394">
        <v>39318.6</v>
      </c>
      <c r="M64" s="334">
        <f t="shared" si="0"/>
        <v>939707.0399999998</v>
      </c>
      <c r="N64" s="398">
        <v>72407.399999999994</v>
      </c>
      <c r="O64" s="398">
        <v>26175.5</v>
      </c>
      <c r="P64" s="398">
        <v>73882.3</v>
      </c>
      <c r="Q64" s="398">
        <v>9903.36</v>
      </c>
      <c r="R64" s="398">
        <v>23013.200000000001</v>
      </c>
      <c r="S64" s="398"/>
      <c r="T64" s="398"/>
      <c r="U64" s="398">
        <v>1825</v>
      </c>
      <c r="V64" s="398"/>
      <c r="W64" s="398"/>
      <c r="X64" s="382">
        <v>3273.4</v>
      </c>
      <c r="Y64" s="485">
        <f t="shared" si="1"/>
        <v>1150187.1999999997</v>
      </c>
      <c r="Z64" s="399">
        <v>2080</v>
      </c>
      <c r="AA64" s="399"/>
      <c r="AB64" s="399">
        <v>60833.3</v>
      </c>
      <c r="AC64" s="399"/>
      <c r="AD64" s="399">
        <v>28725.75</v>
      </c>
      <c r="AE64" s="399"/>
      <c r="AF64" s="399"/>
      <c r="AG64" s="399"/>
      <c r="AH64" s="399"/>
      <c r="AI64" s="399"/>
      <c r="AJ64" s="399"/>
      <c r="AK64" s="399"/>
      <c r="AL64" s="477"/>
      <c r="AM64" s="485">
        <f t="shared" si="2"/>
        <v>91639.05</v>
      </c>
      <c r="AN64" s="399">
        <v>73</v>
      </c>
      <c r="AO64" s="402">
        <v>462</v>
      </c>
      <c r="AP64" s="480">
        <v>-33436.629999999997</v>
      </c>
      <c r="AQ64" s="490"/>
      <c r="AR64" s="490">
        <v>-12.43</v>
      </c>
      <c r="AS64" s="520">
        <v>0.65</v>
      </c>
      <c r="AT64" s="533">
        <v>1150187.2</v>
      </c>
      <c r="AU64" s="533">
        <v>1825</v>
      </c>
      <c r="AV64" s="533">
        <v>3273.4</v>
      </c>
      <c r="AW64" s="533">
        <v>91639.05</v>
      </c>
      <c r="AX64" s="533">
        <v>0</v>
      </c>
      <c r="AY64" s="533">
        <v>-33436.629999999997</v>
      </c>
      <c r="AZ64" s="533">
        <v>0</v>
      </c>
      <c r="BA64" s="533">
        <v>-12.43</v>
      </c>
      <c r="BB64" s="480">
        <f t="shared" si="3"/>
        <v>0</v>
      </c>
      <c r="BC64" s="480">
        <f t="shared" si="4"/>
        <v>0</v>
      </c>
      <c r="BD64" s="480">
        <f t="shared" si="5"/>
        <v>0</v>
      </c>
      <c r="BE64" s="480">
        <f t="shared" si="6"/>
        <v>0</v>
      </c>
      <c r="BF64" s="480">
        <f t="shared" si="7"/>
        <v>0</v>
      </c>
      <c r="BG64" s="480">
        <f t="shared" si="8"/>
        <v>0</v>
      </c>
      <c r="BH64" s="480">
        <f t="shared" si="9"/>
        <v>0</v>
      </c>
      <c r="BI64" s="6">
        <f t="shared" si="10"/>
        <v>5493</v>
      </c>
      <c r="BJ64" s="480" t="str">
        <f t="shared" si="11"/>
        <v>Orny</v>
      </c>
    </row>
    <row r="65" spans="1:62" x14ac:dyDescent="0.25">
      <c r="A65" s="341">
        <v>5494</v>
      </c>
      <c r="B65" s="523" t="s">
        <v>167</v>
      </c>
      <c r="C65" s="394">
        <v>2250238.1</v>
      </c>
      <c r="D65" s="394">
        <v>234414.92</v>
      </c>
      <c r="E65" s="391"/>
      <c r="F65" s="394">
        <v>0</v>
      </c>
      <c r="G65" s="394">
        <v>79</v>
      </c>
      <c r="H65" s="394">
        <v>4182.8</v>
      </c>
      <c r="I65" s="394">
        <v>0</v>
      </c>
      <c r="J65" s="394">
        <v>35288.769999999997</v>
      </c>
      <c r="K65" s="394">
        <v>2805.45</v>
      </c>
      <c r="L65" s="394">
        <v>230450.85</v>
      </c>
      <c r="M65" s="334">
        <f t="shared" si="0"/>
        <v>2757459.89</v>
      </c>
      <c r="N65" s="398">
        <v>25200.400000000001</v>
      </c>
      <c r="O65" s="398">
        <v>0</v>
      </c>
      <c r="P65" s="398">
        <v>157347.6</v>
      </c>
      <c r="Q65" s="398">
        <v>32797.43</v>
      </c>
      <c r="R65" s="398">
        <v>37034.5</v>
      </c>
      <c r="S65" s="398"/>
      <c r="T65" s="398"/>
      <c r="U65" s="398">
        <v>6080</v>
      </c>
      <c r="V65" s="398"/>
      <c r="W65" s="398"/>
      <c r="X65" s="382">
        <v>511.19</v>
      </c>
      <c r="Y65" s="485">
        <f t="shared" si="1"/>
        <v>3016431.0100000002</v>
      </c>
      <c r="Z65" s="399">
        <v>26279.01</v>
      </c>
      <c r="AA65" s="399">
        <v>12989.27</v>
      </c>
      <c r="AB65" s="399">
        <v>157507.21</v>
      </c>
      <c r="AC65" s="399"/>
      <c r="AD65" s="399">
        <v>104508.62</v>
      </c>
      <c r="AE65" s="399">
        <v>42108.63</v>
      </c>
      <c r="AF65" s="399">
        <v>13306</v>
      </c>
      <c r="AG65" s="399"/>
      <c r="AH65" s="399"/>
      <c r="AI65" s="399"/>
      <c r="AJ65" s="399"/>
      <c r="AK65" s="399"/>
      <c r="AL65" s="477"/>
      <c r="AM65" s="485">
        <f t="shared" si="2"/>
        <v>356698.74</v>
      </c>
      <c r="AN65" s="399">
        <v>73</v>
      </c>
      <c r="AO65" s="402">
        <v>1128</v>
      </c>
      <c r="AP65" s="480">
        <v>-107033.01</v>
      </c>
      <c r="AQ65" s="490"/>
      <c r="AR65" s="490">
        <v>-386.89</v>
      </c>
      <c r="AS65" s="520">
        <v>1.05</v>
      </c>
      <c r="AT65" s="533">
        <v>3016431.01</v>
      </c>
      <c r="AU65" s="533">
        <v>6080</v>
      </c>
      <c r="AV65" s="533">
        <v>511.19</v>
      </c>
      <c r="AW65" s="533">
        <v>356698.74</v>
      </c>
      <c r="AX65" s="533">
        <v>0</v>
      </c>
      <c r="AY65" s="533">
        <v>-107033.01</v>
      </c>
      <c r="AZ65" s="533">
        <v>0</v>
      </c>
      <c r="BA65" s="533">
        <v>-386.89</v>
      </c>
      <c r="BB65" s="480">
        <f t="shared" si="3"/>
        <v>0</v>
      </c>
      <c r="BC65" s="480">
        <f t="shared" si="4"/>
        <v>0</v>
      </c>
      <c r="BD65" s="480">
        <f t="shared" si="5"/>
        <v>0</v>
      </c>
      <c r="BE65" s="480">
        <f t="shared" si="6"/>
        <v>0</v>
      </c>
      <c r="BF65" s="480">
        <f t="shared" si="7"/>
        <v>0</v>
      </c>
      <c r="BG65" s="480">
        <f t="shared" si="8"/>
        <v>0</v>
      </c>
      <c r="BH65" s="480">
        <f t="shared" si="9"/>
        <v>0</v>
      </c>
      <c r="BI65" s="6">
        <f t="shared" si="10"/>
        <v>5494</v>
      </c>
      <c r="BJ65" s="480" t="str">
        <f t="shared" si="11"/>
        <v>Pampigny</v>
      </c>
    </row>
    <row r="66" spans="1:62" x14ac:dyDescent="0.25">
      <c r="A66" s="341">
        <v>5495</v>
      </c>
      <c r="B66" s="523" t="s">
        <v>168</v>
      </c>
      <c r="C66" s="394">
        <v>5539969.3899999997</v>
      </c>
      <c r="D66" s="394">
        <v>618875.32999999996</v>
      </c>
      <c r="E66" s="391"/>
      <c r="F66" s="394">
        <v>0</v>
      </c>
      <c r="G66" s="394">
        <v>53984.85</v>
      </c>
      <c r="H66" s="394">
        <v>8451.75</v>
      </c>
      <c r="I66" s="394">
        <v>78730.81</v>
      </c>
      <c r="J66" s="394">
        <v>190029.21</v>
      </c>
      <c r="K66" s="394">
        <v>67979.850000000006</v>
      </c>
      <c r="L66" s="394">
        <v>483696.95</v>
      </c>
      <c r="M66" s="334">
        <f t="shared" si="0"/>
        <v>7041718.1399999987</v>
      </c>
      <c r="N66" s="398">
        <v>253218.8</v>
      </c>
      <c r="O66" s="398">
        <v>39110</v>
      </c>
      <c r="P66" s="398">
        <v>270017.09999999998</v>
      </c>
      <c r="Q66" s="398">
        <v>7944.7</v>
      </c>
      <c r="R66" s="398">
        <v>116011.65</v>
      </c>
      <c r="S66" s="398">
        <v>10920.1</v>
      </c>
      <c r="T66" s="398"/>
      <c r="U66" s="398">
        <v>12510</v>
      </c>
      <c r="V66" s="398"/>
      <c r="W66" s="398"/>
      <c r="X66" s="382">
        <v>7489.08</v>
      </c>
      <c r="Y66" s="485">
        <f t="shared" si="1"/>
        <v>7758939.5699999984</v>
      </c>
      <c r="Z66" s="399">
        <v>36409.550000000003</v>
      </c>
      <c r="AA66" s="399"/>
      <c r="AB66" s="399">
        <v>77929.2</v>
      </c>
      <c r="AC66" s="399">
        <v>479594.8</v>
      </c>
      <c r="AD66" s="399">
        <v>251828.75</v>
      </c>
      <c r="AE66" s="399">
        <v>13306.85</v>
      </c>
      <c r="AF66" s="399"/>
      <c r="AG66" s="399"/>
      <c r="AH66" s="399">
        <v>8393.1</v>
      </c>
      <c r="AI66" s="399">
        <v>72443.199999999997</v>
      </c>
      <c r="AJ66" s="399"/>
      <c r="AK66" s="399"/>
      <c r="AL66" s="477">
        <v>21312.35</v>
      </c>
      <c r="AM66" s="485">
        <f t="shared" si="2"/>
        <v>961217.79999999993</v>
      </c>
      <c r="AN66" s="399">
        <v>74</v>
      </c>
      <c r="AO66" s="402">
        <v>3207</v>
      </c>
      <c r="AP66" s="480">
        <v>-145970.59</v>
      </c>
      <c r="AQ66" s="490"/>
      <c r="AR66" s="490">
        <v>-2432.35</v>
      </c>
      <c r="AS66" s="520">
        <v>1</v>
      </c>
      <c r="AT66" s="533">
        <v>7758939.5700000003</v>
      </c>
      <c r="AU66" s="533">
        <f>10920.1+12510</f>
        <v>23430.1</v>
      </c>
      <c r="AV66" s="533">
        <v>7489.08</v>
      </c>
      <c r="AW66" s="533">
        <v>961217.8</v>
      </c>
      <c r="AX66" s="533">
        <v>0</v>
      </c>
      <c r="AY66" s="533">
        <v>-145970.59</v>
      </c>
      <c r="AZ66" s="533">
        <v>0</v>
      </c>
      <c r="BA66" s="533">
        <v>-2432.35</v>
      </c>
      <c r="BB66" s="480">
        <f t="shared" si="3"/>
        <v>0</v>
      </c>
      <c r="BC66" s="480">
        <f t="shared" si="4"/>
        <v>0</v>
      </c>
      <c r="BD66" s="480">
        <f t="shared" si="5"/>
        <v>0</v>
      </c>
      <c r="BE66" s="480">
        <f t="shared" si="6"/>
        <v>0</v>
      </c>
      <c r="BF66" s="480">
        <f t="shared" si="7"/>
        <v>0</v>
      </c>
      <c r="BG66" s="480">
        <f t="shared" si="8"/>
        <v>0</v>
      </c>
      <c r="BH66" s="480">
        <f t="shared" si="9"/>
        <v>0</v>
      </c>
      <c r="BI66" s="6">
        <f t="shared" si="10"/>
        <v>5495</v>
      </c>
      <c r="BJ66" s="480" t="str">
        <f t="shared" si="11"/>
        <v>Penthalaz</v>
      </c>
    </row>
    <row r="67" spans="1:62" x14ac:dyDescent="0.25">
      <c r="A67" s="341">
        <v>5496</v>
      </c>
      <c r="B67" s="523" t="s">
        <v>169</v>
      </c>
      <c r="C67" s="394">
        <v>3422843.61</v>
      </c>
      <c r="D67" s="394">
        <v>311795.25</v>
      </c>
      <c r="E67" s="391"/>
      <c r="F67" s="394">
        <v>0</v>
      </c>
      <c r="G67" s="394">
        <v>43854.85</v>
      </c>
      <c r="H67" s="394">
        <v>18360.150000000001</v>
      </c>
      <c r="I67" s="394">
        <v>0</v>
      </c>
      <c r="J67" s="394">
        <v>88669.98</v>
      </c>
      <c r="K67" s="394">
        <v>20912.599999999999</v>
      </c>
      <c r="L67" s="394">
        <v>337197.7</v>
      </c>
      <c r="M67" s="334">
        <f t="shared" si="0"/>
        <v>4243634.1399999997</v>
      </c>
      <c r="N67" s="398">
        <v>84746.65</v>
      </c>
      <c r="O67" s="398">
        <v>37736.6</v>
      </c>
      <c r="P67" s="398">
        <v>206027.45</v>
      </c>
      <c r="Q67" s="398">
        <v>8458.61</v>
      </c>
      <c r="R67" s="398">
        <v>65521.2</v>
      </c>
      <c r="S67" s="398">
        <v>250</v>
      </c>
      <c r="T67" s="398"/>
      <c r="U67" s="398">
        <v>13650</v>
      </c>
      <c r="V67" s="398"/>
      <c r="W67" s="398"/>
      <c r="X67" s="382">
        <v>7462.5</v>
      </c>
      <c r="Y67" s="485">
        <f t="shared" si="1"/>
        <v>4667487.1500000004</v>
      </c>
      <c r="Z67" s="399">
        <v>52897.45</v>
      </c>
      <c r="AA67" s="399"/>
      <c r="AB67" s="399"/>
      <c r="AC67" s="399">
        <v>246871.55</v>
      </c>
      <c r="AD67" s="399">
        <v>105690</v>
      </c>
      <c r="AE67" s="399">
        <v>52897.45</v>
      </c>
      <c r="AF67" s="399"/>
      <c r="AG67" s="399"/>
      <c r="AH67" s="399">
        <v>8624</v>
      </c>
      <c r="AI67" s="399">
        <v>50907.25</v>
      </c>
      <c r="AJ67" s="399"/>
      <c r="AK67" s="399"/>
      <c r="AL67" s="477"/>
      <c r="AM67" s="485">
        <f t="shared" si="2"/>
        <v>517887.7</v>
      </c>
      <c r="AN67" s="399">
        <v>69.5</v>
      </c>
      <c r="AO67" s="402">
        <v>1855</v>
      </c>
      <c r="AP67" s="480">
        <v>-80202.8</v>
      </c>
      <c r="AQ67" s="490"/>
      <c r="AR67" s="490">
        <v>-239.67</v>
      </c>
      <c r="AS67" s="520">
        <v>1</v>
      </c>
      <c r="AT67" s="533">
        <v>4667487.1500000004</v>
      </c>
      <c r="AU67" s="533">
        <f>250+13650</f>
        <v>13900</v>
      </c>
      <c r="AV67" s="533">
        <v>7462.5</v>
      </c>
      <c r="AW67" s="533">
        <v>517887.7</v>
      </c>
      <c r="AX67" s="533">
        <v>0</v>
      </c>
      <c r="AY67" s="533">
        <v>-80202.8</v>
      </c>
      <c r="AZ67" s="533">
        <v>0</v>
      </c>
      <c r="BA67" s="533">
        <v>-239.67</v>
      </c>
      <c r="BB67" s="480">
        <f t="shared" si="3"/>
        <v>0</v>
      </c>
      <c r="BC67" s="480">
        <f t="shared" si="4"/>
        <v>0</v>
      </c>
      <c r="BD67" s="480">
        <f t="shared" si="5"/>
        <v>0</v>
      </c>
      <c r="BE67" s="480">
        <f t="shared" si="6"/>
        <v>0</v>
      </c>
      <c r="BF67" s="480">
        <f t="shared" si="7"/>
        <v>0</v>
      </c>
      <c r="BG67" s="480">
        <f t="shared" si="8"/>
        <v>0</v>
      </c>
      <c r="BH67" s="480">
        <f t="shared" si="9"/>
        <v>0</v>
      </c>
      <c r="BI67" s="6">
        <f t="shared" si="10"/>
        <v>5496</v>
      </c>
      <c r="BJ67" s="480" t="str">
        <f t="shared" si="11"/>
        <v>Penthaz</v>
      </c>
    </row>
    <row r="68" spans="1:62" x14ac:dyDescent="0.25">
      <c r="A68" s="341">
        <v>5497</v>
      </c>
      <c r="B68" s="523" t="s">
        <v>170</v>
      </c>
      <c r="C68" s="394">
        <v>1074997.8799999999</v>
      </c>
      <c r="D68" s="394">
        <v>114145.41</v>
      </c>
      <c r="E68" s="391"/>
      <c r="F68" s="394">
        <v>0</v>
      </c>
      <c r="G68" s="394">
        <v>-12478.55</v>
      </c>
      <c r="H68" s="394">
        <v>2370.4</v>
      </c>
      <c r="I68" s="394">
        <v>0</v>
      </c>
      <c r="J68" s="394">
        <v>39390.080000000002</v>
      </c>
      <c r="K68" s="394">
        <v>3864.6</v>
      </c>
      <c r="L68" s="394">
        <v>147841.60000000001</v>
      </c>
      <c r="M68" s="334">
        <f t="shared" si="0"/>
        <v>1370131.42</v>
      </c>
      <c r="N68" s="398">
        <v>213258.85</v>
      </c>
      <c r="O68" s="398">
        <v>5039.8</v>
      </c>
      <c r="P68" s="398">
        <v>15180.5</v>
      </c>
      <c r="Q68" s="398">
        <v>150.94</v>
      </c>
      <c r="R68" s="398">
        <v>12418.2</v>
      </c>
      <c r="S68" s="398"/>
      <c r="T68" s="398"/>
      <c r="U68" s="398">
        <v>2925</v>
      </c>
      <c r="V68" s="398"/>
      <c r="W68" s="398"/>
      <c r="X68" s="382">
        <v>-1212.44</v>
      </c>
      <c r="Y68" s="485">
        <f t="shared" si="1"/>
        <v>1617892.27</v>
      </c>
      <c r="Z68" s="399">
        <v>12482.8</v>
      </c>
      <c r="AA68" s="399"/>
      <c r="AB68" s="399">
        <v>94044.6</v>
      </c>
      <c r="AC68" s="399"/>
      <c r="AD68" s="399">
        <v>91765.19</v>
      </c>
      <c r="AE68" s="399"/>
      <c r="AF68" s="399"/>
      <c r="AG68" s="399"/>
      <c r="AH68" s="399"/>
      <c r="AI68" s="399">
        <v>28468.7</v>
      </c>
      <c r="AJ68" s="399"/>
      <c r="AK68" s="399"/>
      <c r="AL68" s="477"/>
      <c r="AM68" s="485">
        <f t="shared" si="2"/>
        <v>226761.29000000004</v>
      </c>
      <c r="AN68" s="399">
        <v>66</v>
      </c>
      <c r="AO68" s="402">
        <v>847</v>
      </c>
      <c r="AP68" s="480">
        <v>-22727.43</v>
      </c>
      <c r="AQ68" s="490"/>
      <c r="AR68" s="490">
        <v>-141.41</v>
      </c>
      <c r="AS68" s="520">
        <v>1</v>
      </c>
      <c r="AT68" s="533">
        <v>1617892.27</v>
      </c>
      <c r="AU68" s="533">
        <v>2925</v>
      </c>
      <c r="AV68" s="533">
        <v>-1212.44</v>
      </c>
      <c r="AW68" s="533">
        <v>226761.29</v>
      </c>
      <c r="AX68" s="533">
        <v>0</v>
      </c>
      <c r="AY68" s="533">
        <v>-22727.43</v>
      </c>
      <c r="AZ68" s="533">
        <v>0</v>
      </c>
      <c r="BA68" s="533">
        <v>-141.41</v>
      </c>
      <c r="BB68" s="480">
        <f t="shared" si="3"/>
        <v>0</v>
      </c>
      <c r="BC68" s="480">
        <f t="shared" si="4"/>
        <v>0</v>
      </c>
      <c r="BD68" s="480">
        <f t="shared" si="5"/>
        <v>0</v>
      </c>
      <c r="BE68" s="480">
        <f t="shared" si="6"/>
        <v>0</v>
      </c>
      <c r="BF68" s="480">
        <f t="shared" si="7"/>
        <v>0</v>
      </c>
      <c r="BG68" s="480">
        <f t="shared" si="8"/>
        <v>0</v>
      </c>
      <c r="BH68" s="480">
        <f t="shared" si="9"/>
        <v>0</v>
      </c>
      <c r="BI68" s="6">
        <f t="shared" si="10"/>
        <v>5497</v>
      </c>
      <c r="BJ68" s="480" t="str">
        <f t="shared" si="11"/>
        <v>Pompaples</v>
      </c>
    </row>
    <row r="69" spans="1:62" x14ac:dyDescent="0.25">
      <c r="A69" s="341">
        <v>5498</v>
      </c>
      <c r="B69" s="523" t="s">
        <v>171</v>
      </c>
      <c r="C69" s="394">
        <v>4137746.03</v>
      </c>
      <c r="D69" s="394">
        <v>466301.8</v>
      </c>
      <c r="E69" s="391"/>
      <c r="F69" s="394">
        <v>0</v>
      </c>
      <c r="G69" s="394">
        <v>48142.95</v>
      </c>
      <c r="H69" s="394">
        <v>7763.7</v>
      </c>
      <c r="I69" s="394">
        <v>0</v>
      </c>
      <c r="J69" s="394">
        <v>122651.8</v>
      </c>
      <c r="K69" s="394">
        <v>15544.65</v>
      </c>
      <c r="L69" s="394">
        <v>404938.35</v>
      </c>
      <c r="M69" s="334">
        <f t="shared" si="0"/>
        <v>5203089.28</v>
      </c>
      <c r="N69" s="398">
        <v>80908.7</v>
      </c>
      <c r="O69" s="398">
        <v>3821.3</v>
      </c>
      <c r="P69" s="398">
        <v>186689.9</v>
      </c>
      <c r="Q69" s="398">
        <v>-1517.98</v>
      </c>
      <c r="R69" s="398">
        <v>102073.4</v>
      </c>
      <c r="S69" s="398">
        <v>1150</v>
      </c>
      <c r="T69" s="398">
        <v>9521.9500000000007</v>
      </c>
      <c r="U69" s="398">
        <v>18000</v>
      </c>
      <c r="V69" s="398"/>
      <c r="W69" s="398"/>
      <c r="X69" s="382">
        <v>6705.83</v>
      </c>
      <c r="Y69" s="485">
        <f t="shared" si="1"/>
        <v>5610442.3800000008</v>
      </c>
      <c r="Z69" s="399">
        <v>23571</v>
      </c>
      <c r="AA69" s="399"/>
      <c r="AB69" s="399">
        <v>342022.2</v>
      </c>
      <c r="AC69" s="399"/>
      <c r="AD69" s="399">
        <v>288469.84999999998</v>
      </c>
      <c r="AE69" s="399"/>
      <c r="AF69" s="399"/>
      <c r="AG69" s="399"/>
      <c r="AH69" s="399"/>
      <c r="AI69" s="399">
        <v>55643.199999999997</v>
      </c>
      <c r="AJ69" s="399"/>
      <c r="AK69" s="399"/>
      <c r="AL69" s="477"/>
      <c r="AM69" s="485">
        <f t="shared" si="2"/>
        <v>709706.25</v>
      </c>
      <c r="AN69" s="399">
        <v>66</v>
      </c>
      <c r="AO69" s="402">
        <v>2598</v>
      </c>
      <c r="AP69" s="480">
        <v>-92376.85</v>
      </c>
      <c r="AQ69" s="490"/>
      <c r="AR69" s="490">
        <v>-356.31</v>
      </c>
      <c r="AS69" s="520">
        <v>1</v>
      </c>
      <c r="AT69" s="533">
        <v>5610442.3799999999</v>
      </c>
      <c r="AU69" s="533">
        <f>1150+9521.95+18000</f>
        <v>28671.95</v>
      </c>
      <c r="AV69" s="533">
        <v>6705.83</v>
      </c>
      <c r="AW69" s="533">
        <v>709706.25</v>
      </c>
      <c r="AX69" s="533">
        <v>0</v>
      </c>
      <c r="AY69" s="533">
        <v>-92376.85</v>
      </c>
      <c r="AZ69" s="533">
        <v>0</v>
      </c>
      <c r="BA69" s="533">
        <v>-356.31</v>
      </c>
      <c r="BB69" s="480">
        <f t="shared" si="3"/>
        <v>0</v>
      </c>
      <c r="BC69" s="480">
        <f t="shared" si="4"/>
        <v>0</v>
      </c>
      <c r="BD69" s="480">
        <f t="shared" si="5"/>
        <v>0</v>
      </c>
      <c r="BE69" s="480">
        <f t="shared" si="6"/>
        <v>0</v>
      </c>
      <c r="BF69" s="480">
        <f t="shared" si="7"/>
        <v>0</v>
      </c>
      <c r="BG69" s="480">
        <f t="shared" si="8"/>
        <v>0</v>
      </c>
      <c r="BH69" s="480">
        <f t="shared" si="9"/>
        <v>0</v>
      </c>
      <c r="BI69" s="6">
        <f t="shared" si="10"/>
        <v>5498</v>
      </c>
      <c r="BJ69" s="480" t="str">
        <f t="shared" si="11"/>
        <v>La Sarraz</v>
      </c>
    </row>
    <row r="70" spans="1:62" x14ac:dyDescent="0.25">
      <c r="A70" s="341">
        <v>5499</v>
      </c>
      <c r="B70" s="523" t="s">
        <v>172</v>
      </c>
      <c r="C70" s="394">
        <v>1012881.53</v>
      </c>
      <c r="D70" s="394">
        <v>188884.9</v>
      </c>
      <c r="E70" s="391"/>
      <c r="F70" s="394">
        <v>0</v>
      </c>
      <c r="G70" s="394">
        <v>28779.75</v>
      </c>
      <c r="H70" s="394">
        <v>478.1</v>
      </c>
      <c r="I70" s="394">
        <v>0</v>
      </c>
      <c r="J70" s="394">
        <v>13064.58</v>
      </c>
      <c r="K70" s="394">
        <v>0</v>
      </c>
      <c r="L70" s="394">
        <v>99314.8</v>
      </c>
      <c r="M70" s="334">
        <f t="shared" si="0"/>
        <v>1343403.6600000001</v>
      </c>
      <c r="N70" s="398">
        <v>15029.85</v>
      </c>
      <c r="O70" s="398">
        <v>101975.7</v>
      </c>
      <c r="P70" s="398">
        <v>75413.8</v>
      </c>
      <c r="Q70" s="398">
        <v>0</v>
      </c>
      <c r="R70" s="398">
        <v>64569</v>
      </c>
      <c r="S70" s="398"/>
      <c r="T70" s="398"/>
      <c r="U70" s="398">
        <v>1425</v>
      </c>
      <c r="V70" s="398"/>
      <c r="W70" s="398"/>
      <c r="X70" s="382">
        <v>3509.39</v>
      </c>
      <c r="Y70" s="485">
        <f t="shared" si="1"/>
        <v>1605326.4000000001</v>
      </c>
      <c r="Z70" s="399">
        <v>18001.599999999999</v>
      </c>
      <c r="AA70" s="399"/>
      <c r="AB70" s="399">
        <v>33220</v>
      </c>
      <c r="AC70" s="399"/>
      <c r="AD70" s="399">
        <v>39592.199999999997</v>
      </c>
      <c r="AE70" s="399"/>
      <c r="AF70" s="399">
        <v>18001.599999999999</v>
      </c>
      <c r="AG70" s="399"/>
      <c r="AH70" s="399"/>
      <c r="AI70" s="399"/>
      <c r="AJ70" s="399"/>
      <c r="AK70" s="399"/>
      <c r="AL70" s="477"/>
      <c r="AM70" s="485">
        <f t="shared" si="2"/>
        <v>108815.4</v>
      </c>
      <c r="AN70" s="399">
        <v>68.5</v>
      </c>
      <c r="AO70" s="402">
        <v>496</v>
      </c>
      <c r="AP70" s="480">
        <v>-255.22</v>
      </c>
      <c r="AQ70" s="490"/>
      <c r="AR70" s="490">
        <v>-328.18</v>
      </c>
      <c r="AS70" s="520">
        <v>1</v>
      </c>
      <c r="AT70" s="533">
        <v>1605326.4</v>
      </c>
      <c r="AU70" s="533">
        <v>1425</v>
      </c>
      <c r="AV70" s="533">
        <v>3509.39</v>
      </c>
      <c r="AW70" s="533">
        <v>108815.4</v>
      </c>
      <c r="AX70" s="533">
        <v>0</v>
      </c>
      <c r="AY70" s="533">
        <v>-255.22</v>
      </c>
      <c r="AZ70" s="533">
        <v>0</v>
      </c>
      <c r="BA70" s="533">
        <v>-328.18</v>
      </c>
      <c r="BB70" s="480">
        <f t="shared" si="3"/>
        <v>0</v>
      </c>
      <c r="BC70" s="480">
        <f t="shared" si="4"/>
        <v>0</v>
      </c>
      <c r="BD70" s="480">
        <f t="shared" si="5"/>
        <v>0</v>
      </c>
      <c r="BE70" s="480">
        <f t="shared" si="6"/>
        <v>0</v>
      </c>
      <c r="BF70" s="480">
        <f t="shared" si="7"/>
        <v>0</v>
      </c>
      <c r="BG70" s="480">
        <f t="shared" si="8"/>
        <v>0</v>
      </c>
      <c r="BH70" s="480">
        <f t="shared" si="9"/>
        <v>0</v>
      </c>
      <c r="BI70" s="6">
        <f t="shared" si="10"/>
        <v>5499</v>
      </c>
      <c r="BJ70" s="480" t="str">
        <f t="shared" si="11"/>
        <v>Senarclens</v>
      </c>
    </row>
    <row r="71" spans="1:62" x14ac:dyDescent="0.25">
      <c r="A71" s="341">
        <v>5500</v>
      </c>
      <c r="B71" s="523" t="s">
        <v>173</v>
      </c>
      <c r="C71" s="394">
        <v>439904.47</v>
      </c>
      <c r="D71" s="394">
        <v>87103.31</v>
      </c>
      <c r="E71" s="391"/>
      <c r="F71" s="394">
        <v>0</v>
      </c>
      <c r="G71" s="394">
        <v>5719.65</v>
      </c>
      <c r="H71" s="394">
        <v>591.1</v>
      </c>
      <c r="I71" s="394">
        <v>0</v>
      </c>
      <c r="J71" s="394">
        <v>2401.0700000000002</v>
      </c>
      <c r="K71" s="394">
        <v>469.95</v>
      </c>
      <c r="L71" s="394">
        <v>51500.4</v>
      </c>
      <c r="M71" s="334">
        <f t="shared" ref="M71:M134" si="12">SUM(C71:L71)</f>
        <v>587689.94999999995</v>
      </c>
      <c r="N71" s="398">
        <v>0</v>
      </c>
      <c r="O71" s="398">
        <v>0</v>
      </c>
      <c r="P71" s="398">
        <v>14527.45</v>
      </c>
      <c r="Q71" s="398">
        <v>2012.25</v>
      </c>
      <c r="R71" s="398">
        <v>13159.1</v>
      </c>
      <c r="S71" s="398"/>
      <c r="T71" s="398"/>
      <c r="U71" s="398">
        <v>1150</v>
      </c>
      <c r="V71" s="398"/>
      <c r="W71" s="398"/>
      <c r="X71" s="382">
        <v>756.95</v>
      </c>
      <c r="Y71" s="485">
        <f t="shared" si="1"/>
        <v>619295.69999999984</v>
      </c>
      <c r="Z71" s="399">
        <v>242</v>
      </c>
      <c r="AA71" s="399"/>
      <c r="AB71" s="399">
        <v>29016.799999999999</v>
      </c>
      <c r="AC71" s="399"/>
      <c r="AD71" s="399">
        <v>20648.349999999999</v>
      </c>
      <c r="AE71" s="399">
        <v>132</v>
      </c>
      <c r="AF71" s="399"/>
      <c r="AG71" s="399"/>
      <c r="AH71" s="399"/>
      <c r="AI71" s="399"/>
      <c r="AJ71" s="399"/>
      <c r="AK71" s="399"/>
      <c r="AL71" s="477"/>
      <c r="AM71" s="485">
        <f t="shared" si="2"/>
        <v>50039.149999999994</v>
      </c>
      <c r="AN71" s="399">
        <v>73</v>
      </c>
      <c r="AO71" s="402">
        <v>214</v>
      </c>
      <c r="AP71" s="480">
        <v>-33172.57</v>
      </c>
      <c r="AQ71" s="490"/>
      <c r="AR71" s="490">
        <v>-24.95</v>
      </c>
      <c r="AS71" s="520">
        <v>1.2</v>
      </c>
      <c r="AT71" s="533">
        <v>619295.69999999995</v>
      </c>
      <c r="AU71" s="533">
        <v>1150</v>
      </c>
      <c r="AV71" s="533">
        <v>756.95</v>
      </c>
      <c r="AW71" s="533">
        <v>50039.15</v>
      </c>
      <c r="AX71" s="533">
        <v>0</v>
      </c>
      <c r="AY71" s="533">
        <v>-33172.57</v>
      </c>
      <c r="AZ71" s="533">
        <v>0</v>
      </c>
      <c r="BA71" s="533">
        <v>-24.95</v>
      </c>
      <c r="BB71" s="480">
        <f t="shared" si="3"/>
        <v>0</v>
      </c>
      <c r="BC71" s="480">
        <f t="shared" si="4"/>
        <v>0</v>
      </c>
      <c r="BD71" s="480">
        <f t="shared" si="5"/>
        <v>0</v>
      </c>
      <c r="BE71" s="480">
        <f t="shared" si="6"/>
        <v>0</v>
      </c>
      <c r="BF71" s="480">
        <f t="shared" si="7"/>
        <v>0</v>
      </c>
      <c r="BG71" s="480">
        <f t="shared" si="8"/>
        <v>0</v>
      </c>
      <c r="BH71" s="480">
        <f t="shared" si="9"/>
        <v>0</v>
      </c>
      <c r="BI71" s="6">
        <f t="shared" si="10"/>
        <v>5500</v>
      </c>
      <c r="BJ71" s="480" t="str">
        <f t="shared" si="11"/>
        <v>Sévery</v>
      </c>
    </row>
    <row r="72" spans="1:62" x14ac:dyDescent="0.25">
      <c r="A72" s="341">
        <v>5501</v>
      </c>
      <c r="B72" s="523" t="s">
        <v>174</v>
      </c>
      <c r="C72" s="394">
        <v>2120436.9300000002</v>
      </c>
      <c r="D72" s="394">
        <v>522946.87</v>
      </c>
      <c r="E72" s="391"/>
      <c r="F72" s="394">
        <v>0</v>
      </c>
      <c r="G72" s="394">
        <v>35198.85</v>
      </c>
      <c r="H72" s="394">
        <v>526.65</v>
      </c>
      <c r="I72" s="394">
        <v>-76949.3</v>
      </c>
      <c r="J72" s="394">
        <v>45296.28</v>
      </c>
      <c r="K72" s="394">
        <v>-78.400000000000006</v>
      </c>
      <c r="L72" s="394">
        <v>226887.35</v>
      </c>
      <c r="M72" s="334">
        <f t="shared" si="12"/>
        <v>2874265.2300000004</v>
      </c>
      <c r="N72" s="398">
        <v>6179.4</v>
      </c>
      <c r="O72" s="398">
        <v>5956374</v>
      </c>
      <c r="P72" s="398">
        <v>200417.65</v>
      </c>
      <c r="Q72" s="398">
        <v>15405.19</v>
      </c>
      <c r="R72" s="398">
        <v>215513.60000000001</v>
      </c>
      <c r="S72" s="398"/>
      <c r="T72" s="398"/>
      <c r="U72" s="398">
        <v>4125</v>
      </c>
      <c r="V72" s="398"/>
      <c r="W72" s="398"/>
      <c r="X72" s="382">
        <v>4285.16</v>
      </c>
      <c r="Y72" s="485">
        <f t="shared" ref="Y72:Y135" si="13">SUM(M72:X72)</f>
        <v>9276565.2300000004</v>
      </c>
      <c r="Z72" s="399">
        <v>69079.55</v>
      </c>
      <c r="AA72" s="399"/>
      <c r="AB72" s="399">
        <v>39575.599999999999</v>
      </c>
      <c r="AC72" s="399"/>
      <c r="AD72" s="399">
        <v>119000.7</v>
      </c>
      <c r="AE72" s="399">
        <v>98492.45</v>
      </c>
      <c r="AF72" s="399"/>
      <c r="AG72" s="399"/>
      <c r="AH72" s="399"/>
      <c r="AI72" s="399"/>
      <c r="AJ72" s="399"/>
      <c r="AK72" s="399"/>
      <c r="AL72" s="477"/>
      <c r="AM72" s="485">
        <f t="shared" ref="AM72:AM135" si="14">SUM(Z72:AL72)</f>
        <v>326148.3</v>
      </c>
      <c r="AN72" s="399">
        <v>68.5</v>
      </c>
      <c r="AO72" s="402">
        <v>1041</v>
      </c>
      <c r="AP72" s="480">
        <v>-21505.52</v>
      </c>
      <c r="AQ72" s="490"/>
      <c r="AR72" s="490">
        <v>-851.87</v>
      </c>
      <c r="AS72" s="520">
        <v>1</v>
      </c>
      <c r="AT72" s="533">
        <v>9276565.2300000004</v>
      </c>
      <c r="AU72" s="533">
        <v>4125</v>
      </c>
      <c r="AV72" s="533">
        <v>4285.16</v>
      </c>
      <c r="AW72" s="533">
        <v>326148.3</v>
      </c>
      <c r="AX72" s="533">
        <v>0</v>
      </c>
      <c r="AY72" s="533">
        <v>-21505.52</v>
      </c>
      <c r="AZ72" s="533">
        <v>0</v>
      </c>
      <c r="BA72" s="533">
        <v>-851.87</v>
      </c>
      <c r="BB72" s="480">
        <f t="shared" ref="BB72:BB135" si="15">+AT72-Y72</f>
        <v>0</v>
      </c>
      <c r="BC72" s="480">
        <f t="shared" ref="BC72:BC135" si="16">+AW72-AM72</f>
        <v>0</v>
      </c>
      <c r="BD72" s="480">
        <f t="shared" ref="BD72:BD135" si="17">+AY72-AP72</f>
        <v>0</v>
      </c>
      <c r="BE72" s="480">
        <f t="shared" ref="BE72:BE135" si="18">+AZ72-AQ72</f>
        <v>0</v>
      </c>
      <c r="BF72" s="480">
        <f t="shared" ref="BF72:BF135" si="19">+BA72-AR72</f>
        <v>0</v>
      </c>
      <c r="BG72" s="480">
        <f t="shared" ref="BG72:BG135" si="20">+AV72-X72</f>
        <v>0</v>
      </c>
      <c r="BH72" s="480">
        <f t="shared" ref="BH72:BH135" si="21">+S72+T72+U72+V72+W72-AU72</f>
        <v>0</v>
      </c>
      <c r="BI72" s="6">
        <f t="shared" ref="BI72:BI135" si="22">+A72</f>
        <v>5501</v>
      </c>
      <c r="BJ72" s="480" t="str">
        <f t="shared" ref="BJ72:BJ135" si="23">+B72</f>
        <v>Sullens</v>
      </c>
    </row>
    <row r="73" spans="1:62" x14ac:dyDescent="0.25">
      <c r="A73" s="341">
        <v>5503</v>
      </c>
      <c r="B73" s="523" t="s">
        <v>175</v>
      </c>
      <c r="C73" s="394">
        <v>2992558.39</v>
      </c>
      <c r="D73" s="394">
        <v>477042.71</v>
      </c>
      <c r="E73" s="391"/>
      <c r="F73" s="394">
        <v>0</v>
      </c>
      <c r="G73" s="394">
        <v>486392.4</v>
      </c>
      <c r="H73" s="394">
        <v>17394.75</v>
      </c>
      <c r="I73" s="394">
        <v>0</v>
      </c>
      <c r="J73" s="394">
        <v>75571.78</v>
      </c>
      <c r="K73" s="394">
        <v>34894.550000000003</v>
      </c>
      <c r="L73" s="394">
        <v>445164.2</v>
      </c>
      <c r="M73" s="334">
        <f t="shared" si="12"/>
        <v>4529018.7799999993</v>
      </c>
      <c r="N73" s="398">
        <v>90208.95</v>
      </c>
      <c r="O73" s="398">
        <v>157734.20000000001</v>
      </c>
      <c r="P73" s="398">
        <v>52834.7</v>
      </c>
      <c r="Q73" s="398">
        <v>1599.13</v>
      </c>
      <c r="R73" s="398">
        <v>28902.25</v>
      </c>
      <c r="S73" s="398"/>
      <c r="T73" s="398"/>
      <c r="U73" s="398">
        <v>6760</v>
      </c>
      <c r="V73" s="398"/>
      <c r="W73" s="398"/>
      <c r="X73" s="382">
        <v>143046.97</v>
      </c>
      <c r="Y73" s="485">
        <f t="shared" si="13"/>
        <v>5010104.9799999995</v>
      </c>
      <c r="Z73" s="399">
        <v>191296.7</v>
      </c>
      <c r="AA73" s="399"/>
      <c r="AB73" s="399">
        <v>209922.8</v>
      </c>
      <c r="AC73" s="399"/>
      <c r="AD73" s="399">
        <v>145873.35</v>
      </c>
      <c r="AE73" s="399">
        <v>204671.85</v>
      </c>
      <c r="AF73" s="399"/>
      <c r="AG73" s="399"/>
      <c r="AH73" s="399"/>
      <c r="AI73" s="399"/>
      <c r="AJ73" s="399"/>
      <c r="AK73" s="399"/>
      <c r="AL73" s="477"/>
      <c r="AM73" s="485">
        <f t="shared" si="14"/>
        <v>751764.7</v>
      </c>
      <c r="AN73" s="399">
        <v>67</v>
      </c>
      <c r="AO73" s="402">
        <v>1349</v>
      </c>
      <c r="AP73" s="480">
        <v>-48348.13</v>
      </c>
      <c r="AQ73" s="490"/>
      <c r="AR73" s="490">
        <v>-1085.33</v>
      </c>
      <c r="AS73" s="520">
        <v>1.2</v>
      </c>
      <c r="AT73" s="533">
        <v>5010104.9800000004</v>
      </c>
      <c r="AU73" s="533">
        <v>6760</v>
      </c>
      <c r="AV73" s="533">
        <v>143046.97</v>
      </c>
      <c r="AW73" s="533">
        <v>751764.7</v>
      </c>
      <c r="AX73" s="533">
        <v>0</v>
      </c>
      <c r="AY73" s="533">
        <v>-48348.13</v>
      </c>
      <c r="AZ73" s="533">
        <v>0</v>
      </c>
      <c r="BA73" s="533">
        <v>-1085.33</v>
      </c>
      <c r="BB73" s="480">
        <f t="shared" si="15"/>
        <v>0</v>
      </c>
      <c r="BC73" s="480">
        <f t="shared" si="16"/>
        <v>0</v>
      </c>
      <c r="BD73" s="480">
        <f t="shared" si="17"/>
        <v>0</v>
      </c>
      <c r="BE73" s="480">
        <f t="shared" si="18"/>
        <v>0</v>
      </c>
      <c r="BF73" s="480">
        <f t="shared" si="19"/>
        <v>0</v>
      </c>
      <c r="BG73" s="480">
        <f t="shared" si="20"/>
        <v>0</v>
      </c>
      <c r="BH73" s="480">
        <f t="shared" si="21"/>
        <v>0</v>
      </c>
      <c r="BI73" s="6">
        <f t="shared" si="22"/>
        <v>5503</v>
      </c>
      <c r="BJ73" s="480" t="str">
        <f t="shared" si="23"/>
        <v>Vufflens-la-Ville</v>
      </c>
    </row>
    <row r="74" spans="1:62" x14ac:dyDescent="0.25">
      <c r="A74" s="341">
        <v>5511</v>
      </c>
      <c r="B74" s="523" t="s">
        <v>176</v>
      </c>
      <c r="C74" s="394">
        <v>2308029.88</v>
      </c>
      <c r="D74" s="394">
        <v>294972.92</v>
      </c>
      <c r="E74" s="391"/>
      <c r="F74" s="394">
        <v>0</v>
      </c>
      <c r="G74" s="394">
        <v>189115.35</v>
      </c>
      <c r="H74" s="394">
        <v>4965.6499999999996</v>
      </c>
      <c r="I74" s="394">
        <v>0</v>
      </c>
      <c r="J74" s="394">
        <v>35956.800000000003</v>
      </c>
      <c r="K74" s="394">
        <v>6306.55</v>
      </c>
      <c r="L74" s="394">
        <v>251989.8</v>
      </c>
      <c r="M74" s="334">
        <f t="shared" si="12"/>
        <v>3091336.9499999993</v>
      </c>
      <c r="N74" s="398">
        <v>19141.8</v>
      </c>
      <c r="O74" s="398">
        <v>0</v>
      </c>
      <c r="P74" s="398">
        <v>63532.7</v>
      </c>
      <c r="Q74" s="398">
        <v>22377.64</v>
      </c>
      <c r="R74" s="398">
        <v>53718.5</v>
      </c>
      <c r="S74" s="398"/>
      <c r="T74" s="398">
        <v>12771.25</v>
      </c>
      <c r="U74" s="398">
        <v>13875</v>
      </c>
      <c r="V74" s="398"/>
      <c r="W74" s="398"/>
      <c r="X74" s="382">
        <v>23279.41</v>
      </c>
      <c r="Y74" s="485">
        <f t="shared" si="13"/>
        <v>3300033.2499999995</v>
      </c>
      <c r="Z74" s="399">
        <v>9192.9</v>
      </c>
      <c r="AA74" s="399"/>
      <c r="AB74" s="399">
        <v>266103.40000000002</v>
      </c>
      <c r="AC74" s="399"/>
      <c r="AD74" s="399">
        <v>139848.4</v>
      </c>
      <c r="AE74" s="399">
        <v>8127.85</v>
      </c>
      <c r="AF74" s="399"/>
      <c r="AG74" s="399"/>
      <c r="AH74" s="399"/>
      <c r="AI74" s="399">
        <v>23432.9</v>
      </c>
      <c r="AJ74" s="399"/>
      <c r="AK74" s="399"/>
      <c r="AL74" s="477"/>
      <c r="AM74" s="485">
        <f t="shared" si="14"/>
        <v>446705.45000000007</v>
      </c>
      <c r="AN74" s="399">
        <v>70</v>
      </c>
      <c r="AO74" s="402">
        <v>1141</v>
      </c>
      <c r="AP74" s="480">
        <v>-23428.68</v>
      </c>
      <c r="AQ74" s="490"/>
      <c r="AR74" s="490">
        <v>-333.34</v>
      </c>
      <c r="AS74" s="520">
        <v>1</v>
      </c>
      <c r="AT74" s="533">
        <v>3300033.25</v>
      </c>
      <c r="AU74" s="533">
        <f>12771.25+13875</f>
        <v>26646.25</v>
      </c>
      <c r="AV74" s="533">
        <v>23279.41</v>
      </c>
      <c r="AW74" s="533">
        <v>446705.45</v>
      </c>
      <c r="AX74" s="533">
        <v>0</v>
      </c>
      <c r="AY74" s="533">
        <v>-23428.68</v>
      </c>
      <c r="AZ74" s="533">
        <v>0</v>
      </c>
      <c r="BA74" s="533">
        <v>-333.34</v>
      </c>
      <c r="BB74" s="480">
        <f t="shared" si="15"/>
        <v>0</v>
      </c>
      <c r="BC74" s="480">
        <f t="shared" si="16"/>
        <v>0</v>
      </c>
      <c r="BD74" s="480">
        <f t="shared" si="17"/>
        <v>0</v>
      </c>
      <c r="BE74" s="480">
        <f t="shared" si="18"/>
        <v>0</v>
      </c>
      <c r="BF74" s="480">
        <f t="shared" si="19"/>
        <v>0</v>
      </c>
      <c r="BG74" s="480">
        <f t="shared" si="20"/>
        <v>0</v>
      </c>
      <c r="BH74" s="480">
        <f t="shared" si="21"/>
        <v>0</v>
      </c>
      <c r="BI74" s="6">
        <f t="shared" si="22"/>
        <v>5511</v>
      </c>
      <c r="BJ74" s="480" t="str">
        <f t="shared" si="23"/>
        <v>Assens</v>
      </c>
    </row>
    <row r="75" spans="1:62" x14ac:dyDescent="0.25">
      <c r="A75" s="341">
        <v>5512</v>
      </c>
      <c r="B75" s="523" t="s">
        <v>177</v>
      </c>
      <c r="C75" s="394">
        <v>2449835.96</v>
      </c>
      <c r="D75" s="394">
        <v>396930.92</v>
      </c>
      <c r="E75" s="391"/>
      <c r="F75" s="394">
        <v>0</v>
      </c>
      <c r="G75" s="394">
        <v>31666.1</v>
      </c>
      <c r="H75" s="394">
        <v>3627.95</v>
      </c>
      <c r="I75" s="394">
        <v>0</v>
      </c>
      <c r="J75" s="394">
        <v>62370.33</v>
      </c>
      <c r="K75" s="394">
        <v>9941.1</v>
      </c>
      <c r="L75" s="394">
        <v>260611.65</v>
      </c>
      <c r="M75" s="334">
        <f t="shared" si="12"/>
        <v>3214984.0100000002</v>
      </c>
      <c r="N75" s="398">
        <v>67506.7</v>
      </c>
      <c r="O75" s="398">
        <v>27240.400000000001</v>
      </c>
      <c r="P75" s="398">
        <v>56322.75</v>
      </c>
      <c r="Q75" s="398">
        <v>2543.9899999999998</v>
      </c>
      <c r="R75" s="398">
        <v>44301.1</v>
      </c>
      <c r="S75" s="398">
        <v>6205.35</v>
      </c>
      <c r="T75" s="398"/>
      <c r="U75" s="398">
        <v>9350</v>
      </c>
      <c r="V75" s="398"/>
      <c r="W75" s="398"/>
      <c r="X75" s="382">
        <v>4233.41</v>
      </c>
      <c r="Y75" s="485">
        <f t="shared" si="13"/>
        <v>3432687.7100000009</v>
      </c>
      <c r="Z75" s="399">
        <v>22284.15</v>
      </c>
      <c r="AA75" s="399"/>
      <c r="AB75" s="399">
        <v>386565.1</v>
      </c>
      <c r="AC75" s="399"/>
      <c r="AD75" s="399">
        <v>165319.5</v>
      </c>
      <c r="AE75" s="399">
        <v>23414.6</v>
      </c>
      <c r="AF75" s="399"/>
      <c r="AG75" s="399"/>
      <c r="AH75" s="399"/>
      <c r="AI75" s="399"/>
      <c r="AJ75" s="399"/>
      <c r="AK75" s="399"/>
      <c r="AL75" s="477"/>
      <c r="AM75" s="485">
        <f t="shared" si="14"/>
        <v>597583.35</v>
      </c>
      <c r="AN75" s="399">
        <v>79</v>
      </c>
      <c r="AO75" s="402">
        <v>1323</v>
      </c>
      <c r="AP75" s="480">
        <v>-35372.620000000003</v>
      </c>
      <c r="AQ75" s="490"/>
      <c r="AR75" s="490">
        <v>-1623.65</v>
      </c>
      <c r="AS75" s="520">
        <v>1</v>
      </c>
      <c r="AT75" s="533">
        <v>3432687.71</v>
      </c>
      <c r="AU75" s="533">
        <f>6205.35+9350</f>
        <v>15555.35</v>
      </c>
      <c r="AV75" s="533">
        <v>4233.41</v>
      </c>
      <c r="AW75" s="533">
        <v>597583.35</v>
      </c>
      <c r="AX75" s="533">
        <v>0</v>
      </c>
      <c r="AY75" s="533">
        <v>-35372.620000000003</v>
      </c>
      <c r="AZ75" s="533">
        <v>0</v>
      </c>
      <c r="BA75" s="533">
        <v>-1623.65</v>
      </c>
      <c r="BB75" s="480">
        <f t="shared" si="15"/>
        <v>0</v>
      </c>
      <c r="BC75" s="480">
        <f t="shared" si="16"/>
        <v>0</v>
      </c>
      <c r="BD75" s="480">
        <f t="shared" si="17"/>
        <v>0</v>
      </c>
      <c r="BE75" s="480">
        <f t="shared" si="18"/>
        <v>0</v>
      </c>
      <c r="BF75" s="480">
        <f t="shared" si="19"/>
        <v>0</v>
      </c>
      <c r="BG75" s="480">
        <f t="shared" si="20"/>
        <v>0</v>
      </c>
      <c r="BH75" s="480">
        <f t="shared" si="21"/>
        <v>0</v>
      </c>
      <c r="BI75" s="6">
        <f t="shared" si="22"/>
        <v>5512</v>
      </c>
      <c r="BJ75" s="480" t="str">
        <f t="shared" si="23"/>
        <v>Bercher</v>
      </c>
    </row>
    <row r="76" spans="1:62" x14ac:dyDescent="0.25">
      <c r="A76" s="341">
        <v>5513</v>
      </c>
      <c r="B76" s="523" t="s">
        <v>178</v>
      </c>
      <c r="C76" s="394">
        <v>964148.39</v>
      </c>
      <c r="D76" s="394">
        <v>101107.66</v>
      </c>
      <c r="E76" s="391"/>
      <c r="F76" s="394">
        <v>0</v>
      </c>
      <c r="G76" s="394">
        <v>276426.75</v>
      </c>
      <c r="H76" s="394">
        <v>13986.55</v>
      </c>
      <c r="I76" s="394">
        <v>0</v>
      </c>
      <c r="J76" s="394">
        <v>29805.64</v>
      </c>
      <c r="K76" s="394">
        <v>10077.25</v>
      </c>
      <c r="L76" s="394">
        <v>59982.3</v>
      </c>
      <c r="M76" s="334">
        <f t="shared" si="12"/>
        <v>1455534.54</v>
      </c>
      <c r="N76" s="398">
        <v>308830.75</v>
      </c>
      <c r="O76" s="398">
        <v>2932.9</v>
      </c>
      <c r="P76" s="398">
        <v>31592</v>
      </c>
      <c r="Q76" s="398">
        <v>0</v>
      </c>
      <c r="R76" s="398">
        <v>35181.300000000003</v>
      </c>
      <c r="S76" s="398"/>
      <c r="T76" s="398"/>
      <c r="U76" s="398">
        <v>6825</v>
      </c>
      <c r="V76" s="398"/>
      <c r="W76" s="398"/>
      <c r="X76" s="382">
        <v>34834.17</v>
      </c>
      <c r="Y76" s="485">
        <f t="shared" si="13"/>
        <v>1875730.66</v>
      </c>
      <c r="Z76" s="399">
        <v>1455.6</v>
      </c>
      <c r="AA76" s="399"/>
      <c r="AB76" s="399">
        <v>84594</v>
      </c>
      <c r="AC76" s="399"/>
      <c r="AD76" s="399">
        <v>41965.15</v>
      </c>
      <c r="AE76" s="399">
        <v>2102.25</v>
      </c>
      <c r="AF76" s="399"/>
      <c r="AG76" s="399"/>
      <c r="AH76" s="399"/>
      <c r="AI76" s="399"/>
      <c r="AJ76" s="399"/>
      <c r="AK76" s="399"/>
      <c r="AL76" s="477"/>
      <c r="AM76" s="485">
        <f t="shared" si="14"/>
        <v>130117</v>
      </c>
      <c r="AN76" s="399">
        <v>68</v>
      </c>
      <c r="AO76" s="402">
        <v>525</v>
      </c>
      <c r="AP76" s="480">
        <v>-10493.57</v>
      </c>
      <c r="AQ76" s="490"/>
      <c r="AR76" s="490">
        <v>0</v>
      </c>
      <c r="AS76" s="520">
        <v>0.5</v>
      </c>
      <c r="AT76" s="533">
        <v>1875730.66</v>
      </c>
      <c r="AU76" s="533">
        <v>6825</v>
      </c>
      <c r="AV76" s="533">
        <v>34834.17</v>
      </c>
      <c r="AW76" s="533">
        <v>130117</v>
      </c>
      <c r="AX76" s="533">
        <v>0</v>
      </c>
      <c r="AY76" s="533">
        <v>-10493.57</v>
      </c>
      <c r="AZ76" s="533">
        <v>0</v>
      </c>
      <c r="BA76" s="533">
        <v>0</v>
      </c>
      <c r="BB76" s="480">
        <f t="shared" si="15"/>
        <v>0</v>
      </c>
      <c r="BC76" s="480">
        <f t="shared" si="16"/>
        <v>0</v>
      </c>
      <c r="BD76" s="480">
        <f t="shared" si="17"/>
        <v>0</v>
      </c>
      <c r="BE76" s="480">
        <f t="shared" si="18"/>
        <v>0</v>
      </c>
      <c r="BF76" s="480">
        <f t="shared" si="19"/>
        <v>0</v>
      </c>
      <c r="BG76" s="480">
        <f t="shared" si="20"/>
        <v>0</v>
      </c>
      <c r="BH76" s="480">
        <f t="shared" si="21"/>
        <v>0</v>
      </c>
      <c r="BI76" s="6">
        <f t="shared" si="22"/>
        <v>5513</v>
      </c>
      <c r="BJ76" s="480" t="str">
        <f t="shared" si="23"/>
        <v>Bioley-Orjulaz</v>
      </c>
    </row>
    <row r="77" spans="1:62" x14ac:dyDescent="0.25">
      <c r="A77" s="341">
        <v>5514</v>
      </c>
      <c r="B77" s="333" t="s">
        <v>179</v>
      </c>
      <c r="C77" s="394">
        <v>2629540.54</v>
      </c>
      <c r="D77" s="394">
        <v>298082.06</v>
      </c>
      <c r="E77" s="391"/>
      <c r="F77" s="394">
        <v>0</v>
      </c>
      <c r="G77" s="394">
        <v>361.89999999999901</v>
      </c>
      <c r="H77" s="394">
        <v>5751.2</v>
      </c>
      <c r="I77" s="394">
        <v>38369.15</v>
      </c>
      <c r="J77" s="394">
        <v>38757.56</v>
      </c>
      <c r="K77" s="394">
        <v>9768</v>
      </c>
      <c r="L77" s="394">
        <v>236150</v>
      </c>
      <c r="M77" s="334">
        <f t="shared" si="12"/>
        <v>3256780.41</v>
      </c>
      <c r="N77" s="398">
        <v>8976.5499999999993</v>
      </c>
      <c r="O77" s="398">
        <v>5398.7</v>
      </c>
      <c r="P77" s="398">
        <v>117069.5</v>
      </c>
      <c r="Q77" s="398">
        <v>13227.83</v>
      </c>
      <c r="R77" s="398">
        <v>58693.599999999999</v>
      </c>
      <c r="S77" s="398"/>
      <c r="T77" s="398"/>
      <c r="U77" s="398">
        <v>14020</v>
      </c>
      <c r="V77" s="398"/>
      <c r="W77" s="398"/>
      <c r="X77" s="382">
        <v>733.25</v>
      </c>
      <c r="Y77" s="485">
        <f t="shared" si="13"/>
        <v>3474899.8400000003</v>
      </c>
      <c r="Z77" s="399"/>
      <c r="AA77" s="399"/>
      <c r="AB77" s="399"/>
      <c r="AC77" s="399"/>
      <c r="AD77" s="399"/>
      <c r="AE77" s="399"/>
      <c r="AF77" s="399"/>
      <c r="AG77" s="399"/>
      <c r="AH77" s="399"/>
      <c r="AI77" s="399"/>
      <c r="AJ77" s="399"/>
      <c r="AK77" s="399"/>
      <c r="AL77" s="477"/>
      <c r="AM77" s="485">
        <f t="shared" si="14"/>
        <v>0</v>
      </c>
      <c r="AN77" s="399">
        <v>72.5</v>
      </c>
      <c r="AO77" s="402">
        <v>1330</v>
      </c>
      <c r="AP77" s="480">
        <v>-66722.64</v>
      </c>
      <c r="AQ77" s="490"/>
      <c r="AR77" s="490">
        <v>-217.11</v>
      </c>
      <c r="AS77" s="520">
        <v>1</v>
      </c>
      <c r="AT77" s="533"/>
      <c r="AU77" s="533"/>
      <c r="AV77" s="533"/>
      <c r="AW77" s="533"/>
      <c r="AX77" s="533"/>
      <c r="AY77" s="533"/>
      <c r="AZ77" s="533"/>
      <c r="BA77" s="533"/>
      <c r="BB77" s="480">
        <f t="shared" si="15"/>
        <v>-3474899.8400000003</v>
      </c>
      <c r="BC77" s="480">
        <f t="shared" si="16"/>
        <v>0</v>
      </c>
      <c r="BD77" s="480">
        <f t="shared" si="17"/>
        <v>66722.64</v>
      </c>
      <c r="BE77" s="480">
        <f t="shared" si="18"/>
        <v>0</v>
      </c>
      <c r="BF77" s="480">
        <f t="shared" si="19"/>
        <v>217.11</v>
      </c>
      <c r="BG77" s="480">
        <f t="shared" si="20"/>
        <v>-733.25</v>
      </c>
      <c r="BH77" s="480">
        <f t="shared" si="21"/>
        <v>14020</v>
      </c>
      <c r="BI77" s="6">
        <f t="shared" si="22"/>
        <v>5514</v>
      </c>
      <c r="BJ77" s="480" t="str">
        <f t="shared" si="23"/>
        <v>Bottens</v>
      </c>
    </row>
    <row r="78" spans="1:62" x14ac:dyDescent="0.25">
      <c r="A78" s="341">
        <v>5515</v>
      </c>
      <c r="B78" s="523" t="s">
        <v>180</v>
      </c>
      <c r="C78" s="394">
        <v>2106818.2400000002</v>
      </c>
      <c r="D78" s="394">
        <v>173934.71</v>
      </c>
      <c r="E78" s="391"/>
      <c r="F78" s="394">
        <v>0</v>
      </c>
      <c r="G78" s="394">
        <v>13504.75</v>
      </c>
      <c r="H78" s="394">
        <v>5687.15</v>
      </c>
      <c r="I78" s="394">
        <v>0</v>
      </c>
      <c r="J78" s="394">
        <v>3763.97</v>
      </c>
      <c r="K78" s="394">
        <v>7251.05</v>
      </c>
      <c r="L78" s="394">
        <v>171011.95</v>
      </c>
      <c r="M78" s="334">
        <f t="shared" si="12"/>
        <v>2481971.8200000003</v>
      </c>
      <c r="N78" s="398">
        <v>3757.1</v>
      </c>
      <c r="O78" s="398">
        <v>31652.9</v>
      </c>
      <c r="P78" s="398">
        <v>135711.4</v>
      </c>
      <c r="Q78" s="398">
        <v>4012.21</v>
      </c>
      <c r="R78" s="398">
        <v>67994.25</v>
      </c>
      <c r="S78" s="398"/>
      <c r="T78" s="398">
        <v>106</v>
      </c>
      <c r="U78" s="398">
        <v>6350</v>
      </c>
      <c r="V78" s="398"/>
      <c r="W78" s="398"/>
      <c r="X78" s="382">
        <v>2302.0100000000002</v>
      </c>
      <c r="Y78" s="485">
        <f t="shared" si="13"/>
        <v>2733857.69</v>
      </c>
      <c r="Z78" s="399">
        <v>-170112.15</v>
      </c>
      <c r="AA78" s="399"/>
      <c r="AB78" s="399">
        <v>230968.4</v>
      </c>
      <c r="AC78" s="399"/>
      <c r="AD78" s="399">
        <v>82475</v>
      </c>
      <c r="AE78" s="399">
        <v>10193.65</v>
      </c>
      <c r="AF78" s="399"/>
      <c r="AG78" s="399"/>
      <c r="AH78" s="399"/>
      <c r="AI78" s="399"/>
      <c r="AJ78" s="399"/>
      <c r="AK78" s="399"/>
      <c r="AL78" s="477"/>
      <c r="AM78" s="485">
        <f t="shared" si="14"/>
        <v>153524.9</v>
      </c>
      <c r="AN78" s="399">
        <v>81</v>
      </c>
      <c r="AO78" s="402">
        <v>859</v>
      </c>
      <c r="AP78" s="480">
        <v>-91679.65</v>
      </c>
      <c r="AQ78" s="490"/>
      <c r="AR78" s="490">
        <v>-101.26</v>
      </c>
      <c r="AS78" s="520">
        <v>1</v>
      </c>
      <c r="AT78" s="533">
        <v>2733857.69</v>
      </c>
      <c r="AU78" s="533">
        <f>106+6350</f>
        <v>6456</v>
      </c>
      <c r="AV78" s="533">
        <v>2302.0100000000002</v>
      </c>
      <c r="AW78" s="533">
        <v>153524.9</v>
      </c>
      <c r="AX78" s="533">
        <v>0</v>
      </c>
      <c r="AY78" s="533">
        <v>-91679.65</v>
      </c>
      <c r="AZ78" s="533">
        <v>0</v>
      </c>
      <c r="BA78" s="533">
        <v>-101.26</v>
      </c>
      <c r="BB78" s="480">
        <f t="shared" si="15"/>
        <v>0</v>
      </c>
      <c r="BC78" s="480">
        <f t="shared" si="16"/>
        <v>0</v>
      </c>
      <c r="BD78" s="480">
        <f t="shared" si="17"/>
        <v>0</v>
      </c>
      <c r="BE78" s="480">
        <f t="shared" si="18"/>
        <v>0</v>
      </c>
      <c r="BF78" s="480">
        <f t="shared" si="19"/>
        <v>0</v>
      </c>
      <c r="BG78" s="480">
        <f t="shared" si="20"/>
        <v>0</v>
      </c>
      <c r="BH78" s="480">
        <f t="shared" si="21"/>
        <v>0</v>
      </c>
      <c r="BI78" s="6">
        <f t="shared" si="22"/>
        <v>5515</v>
      </c>
      <c r="BJ78" s="480" t="str">
        <f t="shared" si="23"/>
        <v>Bretigny-sur-Morrens</v>
      </c>
    </row>
    <row r="79" spans="1:62" x14ac:dyDescent="0.25">
      <c r="A79" s="341">
        <v>5516</v>
      </c>
      <c r="B79" s="523" t="s">
        <v>181</v>
      </c>
      <c r="C79" s="394">
        <v>6527575.4900000002</v>
      </c>
      <c r="D79" s="394">
        <v>957990.65</v>
      </c>
      <c r="E79" s="391"/>
      <c r="F79" s="394">
        <v>0</v>
      </c>
      <c r="G79" s="394">
        <v>144669.54999999999</v>
      </c>
      <c r="H79" s="394">
        <v>12823.4</v>
      </c>
      <c r="I79" s="394">
        <v>0</v>
      </c>
      <c r="J79" s="394">
        <v>128686.25</v>
      </c>
      <c r="K79" s="394">
        <v>47147.6</v>
      </c>
      <c r="L79" s="394">
        <v>694173.55</v>
      </c>
      <c r="M79" s="334">
        <f t="shared" si="12"/>
        <v>8513066.4900000002</v>
      </c>
      <c r="N79" s="398">
        <v>99596.35</v>
      </c>
      <c r="O79" s="398">
        <v>103666.8</v>
      </c>
      <c r="P79" s="398">
        <v>359177.05</v>
      </c>
      <c r="Q79" s="398">
        <v>108801.53</v>
      </c>
      <c r="R79" s="398">
        <v>251205.65</v>
      </c>
      <c r="S79" s="398"/>
      <c r="T79" s="398"/>
      <c r="U79" s="398">
        <v>15600</v>
      </c>
      <c r="V79" s="398"/>
      <c r="W79" s="398">
        <v>12863.75</v>
      </c>
      <c r="X79" s="382">
        <v>18890.79</v>
      </c>
      <c r="Y79" s="485">
        <f t="shared" si="13"/>
        <v>9482868.4100000001</v>
      </c>
      <c r="Z79" s="399">
        <v>54916.5</v>
      </c>
      <c r="AA79" s="399"/>
      <c r="AB79" s="399">
        <v>529087.15</v>
      </c>
      <c r="AC79" s="399"/>
      <c r="AD79" s="399">
        <v>259078.52</v>
      </c>
      <c r="AE79" s="399">
        <v>56916.1</v>
      </c>
      <c r="AF79" s="399"/>
      <c r="AG79" s="399"/>
      <c r="AH79" s="399"/>
      <c r="AI79" s="399">
        <v>63353.35</v>
      </c>
      <c r="AJ79" s="399"/>
      <c r="AK79" s="399"/>
      <c r="AL79" s="477"/>
      <c r="AM79" s="485">
        <f t="shared" si="14"/>
        <v>963351.62</v>
      </c>
      <c r="AN79" s="399">
        <v>78</v>
      </c>
      <c r="AO79" s="402">
        <v>2760</v>
      </c>
      <c r="AP79" s="480">
        <v>-170665.98</v>
      </c>
      <c r="AQ79" s="490"/>
      <c r="AR79" s="490">
        <v>-3540.71</v>
      </c>
      <c r="AS79" s="520">
        <v>1.2</v>
      </c>
      <c r="AT79" s="533">
        <v>9482868.4100000001</v>
      </c>
      <c r="AU79" s="533">
        <f>15600+12863.75</f>
        <v>28463.75</v>
      </c>
      <c r="AV79" s="533">
        <v>18890.79</v>
      </c>
      <c r="AW79" s="533">
        <v>963351.62</v>
      </c>
      <c r="AX79" s="533">
        <v>0</v>
      </c>
      <c r="AY79" s="533">
        <v>-170665.98</v>
      </c>
      <c r="AZ79" s="533">
        <v>0</v>
      </c>
      <c r="BA79" s="533">
        <v>-3540.71</v>
      </c>
      <c r="BB79" s="480">
        <f t="shared" si="15"/>
        <v>0</v>
      </c>
      <c r="BC79" s="480">
        <f t="shared" si="16"/>
        <v>0</v>
      </c>
      <c r="BD79" s="480">
        <f t="shared" si="17"/>
        <v>0</v>
      </c>
      <c r="BE79" s="480">
        <f t="shared" si="18"/>
        <v>0</v>
      </c>
      <c r="BF79" s="480">
        <f t="shared" si="19"/>
        <v>0</v>
      </c>
      <c r="BG79" s="480">
        <f t="shared" si="20"/>
        <v>0</v>
      </c>
      <c r="BH79" s="480">
        <f t="shared" si="21"/>
        <v>0</v>
      </c>
      <c r="BI79" s="6">
        <f t="shared" si="22"/>
        <v>5516</v>
      </c>
      <c r="BJ79" s="480" t="str">
        <f t="shared" si="23"/>
        <v>Cugy</v>
      </c>
    </row>
    <row r="80" spans="1:62" x14ac:dyDescent="0.25">
      <c r="A80" s="341">
        <v>5518</v>
      </c>
      <c r="B80" s="523" t="s">
        <v>182</v>
      </c>
      <c r="C80" s="394">
        <v>10114571.98</v>
      </c>
      <c r="D80" s="394">
        <v>1165148.08</v>
      </c>
      <c r="E80" s="391"/>
      <c r="F80" s="394">
        <v>0</v>
      </c>
      <c r="G80" s="394">
        <v>434475.05</v>
      </c>
      <c r="H80" s="394">
        <v>80808.7</v>
      </c>
      <c r="I80" s="394">
        <v>0</v>
      </c>
      <c r="J80" s="394">
        <v>170429.47</v>
      </c>
      <c r="K80" s="394">
        <v>40923.449999999997</v>
      </c>
      <c r="L80" s="394">
        <v>1089067.8500000001</v>
      </c>
      <c r="M80" s="334">
        <f t="shared" si="12"/>
        <v>13095424.58</v>
      </c>
      <c r="N80" s="398">
        <v>164060.75</v>
      </c>
      <c r="O80" s="398">
        <v>407956.4</v>
      </c>
      <c r="P80" s="398">
        <v>366859.35</v>
      </c>
      <c r="Q80" s="398">
        <v>84559.98</v>
      </c>
      <c r="R80" s="398">
        <v>347212</v>
      </c>
      <c r="S80" s="398"/>
      <c r="T80" s="398">
        <v>29109.15</v>
      </c>
      <c r="U80" s="398">
        <v>21420</v>
      </c>
      <c r="V80" s="398"/>
      <c r="W80" s="398"/>
      <c r="X80" s="382">
        <v>61806.68</v>
      </c>
      <c r="Y80" s="485">
        <f t="shared" si="13"/>
        <v>14578408.890000001</v>
      </c>
      <c r="Z80" s="399">
        <v>46885.33</v>
      </c>
      <c r="AA80" s="399"/>
      <c r="AB80" s="399">
        <v>1077045.1000000001</v>
      </c>
      <c r="AC80" s="399"/>
      <c r="AD80" s="399">
        <v>680072.02</v>
      </c>
      <c r="AE80" s="399">
        <v>15798.45</v>
      </c>
      <c r="AF80" s="399"/>
      <c r="AG80" s="399"/>
      <c r="AH80" s="399"/>
      <c r="AI80" s="399"/>
      <c r="AJ80" s="399"/>
      <c r="AK80" s="399"/>
      <c r="AL80" s="477"/>
      <c r="AM80" s="485">
        <f t="shared" si="14"/>
        <v>1819800.9000000001</v>
      </c>
      <c r="AN80" s="399">
        <v>72.5</v>
      </c>
      <c r="AO80" s="402">
        <v>5731</v>
      </c>
      <c r="AP80" s="480">
        <v>-277762.42</v>
      </c>
      <c r="AQ80" s="490"/>
      <c r="AR80" s="490">
        <v>-4213.5200000000004</v>
      </c>
      <c r="AS80" s="520">
        <v>1</v>
      </c>
      <c r="AT80" s="533">
        <v>14578408.890000001</v>
      </c>
      <c r="AU80" s="533">
        <f>29109.15+21420</f>
        <v>50529.15</v>
      </c>
      <c r="AV80" s="533">
        <v>61806.68</v>
      </c>
      <c r="AW80" s="533">
        <v>1819800.9</v>
      </c>
      <c r="AX80" s="533">
        <v>0</v>
      </c>
      <c r="AY80" s="533">
        <v>-277762.42</v>
      </c>
      <c r="AZ80" s="533">
        <v>0</v>
      </c>
      <c r="BA80" s="533">
        <v>-4213.5200000000004</v>
      </c>
      <c r="BB80" s="480">
        <f t="shared" si="15"/>
        <v>0</v>
      </c>
      <c r="BC80" s="480">
        <f t="shared" si="16"/>
        <v>0</v>
      </c>
      <c r="BD80" s="480">
        <f t="shared" si="17"/>
        <v>0</v>
      </c>
      <c r="BE80" s="480">
        <f t="shared" si="18"/>
        <v>0</v>
      </c>
      <c r="BF80" s="480">
        <f t="shared" si="19"/>
        <v>0</v>
      </c>
      <c r="BG80" s="480">
        <f t="shared" si="20"/>
        <v>0</v>
      </c>
      <c r="BH80" s="480">
        <f t="shared" si="21"/>
        <v>0</v>
      </c>
      <c r="BI80" s="6">
        <f t="shared" si="22"/>
        <v>5518</v>
      </c>
      <c r="BJ80" s="480" t="str">
        <f t="shared" si="23"/>
        <v>Echallens</v>
      </c>
    </row>
    <row r="81" spans="1:62" x14ac:dyDescent="0.25">
      <c r="A81" s="341">
        <v>5520</v>
      </c>
      <c r="B81" s="523" t="s">
        <v>183</v>
      </c>
      <c r="C81" s="394">
        <v>1684874.05</v>
      </c>
      <c r="D81" s="394">
        <v>245928.86</v>
      </c>
      <c r="E81" s="391"/>
      <c r="F81" s="394">
        <v>0</v>
      </c>
      <c r="G81" s="394">
        <v>51481.4</v>
      </c>
      <c r="H81" s="394">
        <v>2891.55</v>
      </c>
      <c r="I81" s="394">
        <v>0</v>
      </c>
      <c r="J81" s="394">
        <v>35273.17</v>
      </c>
      <c r="K81" s="394">
        <v>-1251.3499999999999</v>
      </c>
      <c r="L81" s="394">
        <v>195369.1</v>
      </c>
      <c r="M81" s="334">
        <f t="shared" si="12"/>
        <v>2214566.7799999998</v>
      </c>
      <c r="N81" s="398">
        <v>5690.95</v>
      </c>
      <c r="O81" s="398">
        <v>3292.4</v>
      </c>
      <c r="P81" s="398">
        <v>140042.95000000001</v>
      </c>
      <c r="Q81" s="398">
        <v>4373.26</v>
      </c>
      <c r="R81" s="398">
        <v>117468.55</v>
      </c>
      <c r="S81" s="398"/>
      <c r="T81" s="398">
        <v>225.5</v>
      </c>
      <c r="U81" s="398">
        <v>10250</v>
      </c>
      <c r="V81" s="398"/>
      <c r="W81" s="398"/>
      <c r="X81" s="382">
        <v>6521.87</v>
      </c>
      <c r="Y81" s="485">
        <f t="shared" si="13"/>
        <v>2502432.2599999998</v>
      </c>
      <c r="Z81" s="399">
        <v>23537.3</v>
      </c>
      <c r="AA81" s="399">
        <v>99007.6</v>
      </c>
      <c r="AB81" s="399">
        <v>105268</v>
      </c>
      <c r="AC81" s="399"/>
      <c r="AD81" s="399">
        <v>78534.55</v>
      </c>
      <c r="AE81" s="399">
        <v>25500.2</v>
      </c>
      <c r="AF81" s="399">
        <v>32800.050000000003</v>
      </c>
      <c r="AG81" s="399"/>
      <c r="AH81" s="399"/>
      <c r="AI81" s="399"/>
      <c r="AJ81" s="399"/>
      <c r="AK81" s="399"/>
      <c r="AL81" s="477"/>
      <c r="AM81" s="485">
        <f t="shared" si="14"/>
        <v>364647.7</v>
      </c>
      <c r="AN81" s="399">
        <v>73</v>
      </c>
      <c r="AO81" s="402">
        <v>1036</v>
      </c>
      <c r="AP81" s="480">
        <v>-54423.63</v>
      </c>
      <c r="AQ81" s="490"/>
      <c r="AR81" s="490">
        <v>-470.39</v>
      </c>
      <c r="AS81" s="520">
        <v>1</v>
      </c>
      <c r="AT81" s="533">
        <f>2153252.31+349179.95</f>
        <v>2502432.2600000002</v>
      </c>
      <c r="AU81" s="533">
        <f>225.5+10250</f>
        <v>10475.5</v>
      </c>
      <c r="AV81" s="533">
        <v>6521.87</v>
      </c>
      <c r="AW81" s="533">
        <v>364647.7</v>
      </c>
      <c r="AX81" s="533">
        <v>0</v>
      </c>
      <c r="AY81" s="533">
        <v>-54423.63</v>
      </c>
      <c r="AZ81" s="533">
        <v>0</v>
      </c>
      <c r="BA81" s="533">
        <v>-470.39</v>
      </c>
      <c r="BB81" s="480">
        <f t="shared" si="15"/>
        <v>0</v>
      </c>
      <c r="BC81" s="480">
        <f t="shared" si="16"/>
        <v>0</v>
      </c>
      <c r="BD81" s="480">
        <f t="shared" si="17"/>
        <v>0</v>
      </c>
      <c r="BE81" s="480">
        <f t="shared" si="18"/>
        <v>0</v>
      </c>
      <c r="BF81" s="480">
        <f t="shared" si="19"/>
        <v>0</v>
      </c>
      <c r="BG81" s="480">
        <f t="shared" si="20"/>
        <v>0</v>
      </c>
      <c r="BH81" s="480">
        <f t="shared" si="21"/>
        <v>0</v>
      </c>
      <c r="BI81" s="6">
        <f t="shared" si="22"/>
        <v>5520</v>
      </c>
      <c r="BJ81" s="480" t="str">
        <f t="shared" si="23"/>
        <v>Essertines-sur-Yverdon</v>
      </c>
    </row>
    <row r="82" spans="1:62" x14ac:dyDescent="0.25">
      <c r="A82" s="341">
        <v>5521</v>
      </c>
      <c r="B82" s="523" t="s">
        <v>184</v>
      </c>
      <c r="C82" s="394">
        <v>2634645.0499999998</v>
      </c>
      <c r="D82" s="394">
        <v>224392.34</v>
      </c>
      <c r="E82" s="391"/>
      <c r="F82" s="394">
        <v>0</v>
      </c>
      <c r="G82" s="394">
        <v>226155.15</v>
      </c>
      <c r="H82" s="394">
        <v>3265.15</v>
      </c>
      <c r="I82" s="394">
        <v>0</v>
      </c>
      <c r="J82" s="394">
        <v>60459.64</v>
      </c>
      <c r="K82" s="394">
        <v>18552.5</v>
      </c>
      <c r="L82" s="394">
        <v>261565.7</v>
      </c>
      <c r="M82" s="334">
        <f t="shared" si="12"/>
        <v>3429035.53</v>
      </c>
      <c r="N82" s="398">
        <v>27188</v>
      </c>
      <c r="O82" s="398">
        <v>0</v>
      </c>
      <c r="P82" s="398">
        <v>105834.45</v>
      </c>
      <c r="Q82" s="398">
        <v>4949.3500000000004</v>
      </c>
      <c r="R82" s="398">
        <v>67499.75</v>
      </c>
      <c r="S82" s="398"/>
      <c r="T82" s="398">
        <v>5882.9</v>
      </c>
      <c r="U82" s="398">
        <v>4833.05</v>
      </c>
      <c r="V82" s="398"/>
      <c r="W82" s="398"/>
      <c r="X82" s="382">
        <v>27518.25</v>
      </c>
      <c r="Y82" s="485">
        <f t="shared" si="13"/>
        <v>3672741.28</v>
      </c>
      <c r="Z82" s="399">
        <v>68440</v>
      </c>
      <c r="AA82" s="399"/>
      <c r="AB82" s="399">
        <v>272251.96000000002</v>
      </c>
      <c r="AC82" s="399"/>
      <c r="AD82" s="399">
        <v>156573.38</v>
      </c>
      <c r="AE82" s="399"/>
      <c r="AF82" s="399"/>
      <c r="AG82" s="399"/>
      <c r="AH82" s="399"/>
      <c r="AI82" s="399">
        <v>32743.200000000001</v>
      </c>
      <c r="AJ82" s="399"/>
      <c r="AK82" s="399"/>
      <c r="AL82" s="477"/>
      <c r="AM82" s="485">
        <f t="shared" si="14"/>
        <v>530008.54</v>
      </c>
      <c r="AN82" s="399">
        <v>73</v>
      </c>
      <c r="AO82" s="402">
        <v>1148</v>
      </c>
      <c r="AP82" s="480">
        <v>-44244.07</v>
      </c>
      <c r="AQ82" s="490"/>
      <c r="AR82" s="490">
        <v>-1055.0899999999999</v>
      </c>
      <c r="AS82" s="520">
        <v>1</v>
      </c>
      <c r="AT82" s="533">
        <v>3672741.28</v>
      </c>
      <c r="AU82" s="533">
        <f>5882.9+4833.05</f>
        <v>10715.95</v>
      </c>
      <c r="AV82" s="533">
        <v>27518.25</v>
      </c>
      <c r="AW82" s="533">
        <v>530008.54</v>
      </c>
      <c r="AX82" s="533">
        <v>0</v>
      </c>
      <c r="AY82" s="533">
        <v>-44244.07</v>
      </c>
      <c r="AZ82" s="533">
        <v>0</v>
      </c>
      <c r="BA82" s="533">
        <v>-1055.0899999999999</v>
      </c>
      <c r="BB82" s="480">
        <f t="shared" si="15"/>
        <v>0</v>
      </c>
      <c r="BC82" s="480">
        <f t="shared" si="16"/>
        <v>0</v>
      </c>
      <c r="BD82" s="480">
        <f t="shared" si="17"/>
        <v>0</v>
      </c>
      <c r="BE82" s="480">
        <f t="shared" si="18"/>
        <v>0</v>
      </c>
      <c r="BF82" s="480">
        <f t="shared" si="19"/>
        <v>0</v>
      </c>
      <c r="BG82" s="480">
        <f t="shared" si="20"/>
        <v>0</v>
      </c>
      <c r="BH82" s="480">
        <f t="shared" si="21"/>
        <v>0</v>
      </c>
      <c r="BI82" s="6">
        <f t="shared" si="22"/>
        <v>5521</v>
      </c>
      <c r="BJ82" s="480" t="str">
        <f t="shared" si="23"/>
        <v>Etagnières</v>
      </c>
    </row>
    <row r="83" spans="1:62" x14ac:dyDescent="0.25">
      <c r="A83" s="341">
        <v>5522</v>
      </c>
      <c r="B83" s="523" t="s">
        <v>185</v>
      </c>
      <c r="C83" s="394">
        <v>1454531.96</v>
      </c>
      <c r="D83" s="394">
        <v>162353.18</v>
      </c>
      <c r="E83" s="391"/>
      <c r="F83" s="394">
        <v>0</v>
      </c>
      <c r="G83" s="394">
        <v>3356.6</v>
      </c>
      <c r="H83" s="394">
        <v>1431.65</v>
      </c>
      <c r="I83" s="394">
        <v>0</v>
      </c>
      <c r="J83" s="394">
        <v>13099.29</v>
      </c>
      <c r="K83" s="394">
        <v>2912.9</v>
      </c>
      <c r="L83" s="394">
        <v>138584.48000000001</v>
      </c>
      <c r="M83" s="334">
        <f t="shared" si="12"/>
        <v>1776270.0599999998</v>
      </c>
      <c r="N83" s="398">
        <v>15179</v>
      </c>
      <c r="O83" s="398">
        <v>0</v>
      </c>
      <c r="P83" s="398">
        <v>41181.75</v>
      </c>
      <c r="Q83" s="398">
        <v>7370.48</v>
      </c>
      <c r="R83" s="398">
        <v>5523.45</v>
      </c>
      <c r="S83" s="398">
        <v>880</v>
      </c>
      <c r="T83" s="398"/>
      <c r="U83" s="398">
        <v>3750</v>
      </c>
      <c r="V83" s="398"/>
      <c r="W83" s="398"/>
      <c r="X83" s="382">
        <v>574.34</v>
      </c>
      <c r="Y83" s="485">
        <f t="shared" si="13"/>
        <v>1850729.0799999998</v>
      </c>
      <c r="Z83" s="399">
        <v>6000</v>
      </c>
      <c r="AA83" s="399"/>
      <c r="AB83" s="399">
        <v>112590.6</v>
      </c>
      <c r="AC83" s="399"/>
      <c r="AD83" s="399">
        <v>42350</v>
      </c>
      <c r="AE83" s="399">
        <v>5000</v>
      </c>
      <c r="AF83" s="399"/>
      <c r="AG83" s="399"/>
      <c r="AH83" s="399"/>
      <c r="AI83" s="399"/>
      <c r="AJ83" s="399"/>
      <c r="AK83" s="399"/>
      <c r="AL83" s="477"/>
      <c r="AM83" s="485">
        <f t="shared" si="14"/>
        <v>165940.6</v>
      </c>
      <c r="AN83" s="399">
        <v>75</v>
      </c>
      <c r="AO83" s="402">
        <v>749</v>
      </c>
      <c r="AP83" s="480">
        <v>-4594.8</v>
      </c>
      <c r="AQ83" s="490"/>
      <c r="AR83" s="490">
        <v>-99.51</v>
      </c>
      <c r="AS83" s="520">
        <v>1</v>
      </c>
      <c r="AT83" s="533">
        <v>1850729.08</v>
      </c>
      <c r="AU83" s="533">
        <f>880+3750</f>
        <v>4630</v>
      </c>
      <c r="AV83" s="533">
        <v>574.34</v>
      </c>
      <c r="AW83" s="533">
        <v>165940.6</v>
      </c>
      <c r="AX83" s="533">
        <v>0</v>
      </c>
      <c r="AY83" s="533">
        <v>-4594.8</v>
      </c>
      <c r="AZ83" s="533">
        <v>0</v>
      </c>
      <c r="BA83" s="533">
        <v>-99.51</v>
      </c>
      <c r="BB83" s="480">
        <f t="shared" si="15"/>
        <v>0</v>
      </c>
      <c r="BC83" s="480">
        <f t="shared" si="16"/>
        <v>0</v>
      </c>
      <c r="BD83" s="480">
        <f t="shared" si="17"/>
        <v>0</v>
      </c>
      <c r="BE83" s="480">
        <f t="shared" si="18"/>
        <v>0</v>
      </c>
      <c r="BF83" s="480">
        <f t="shared" si="19"/>
        <v>0</v>
      </c>
      <c r="BG83" s="480">
        <f t="shared" si="20"/>
        <v>0</v>
      </c>
      <c r="BH83" s="480">
        <f t="shared" si="21"/>
        <v>0</v>
      </c>
      <c r="BI83" s="6">
        <f t="shared" si="22"/>
        <v>5522</v>
      </c>
      <c r="BJ83" s="480" t="str">
        <f t="shared" si="23"/>
        <v>Fey</v>
      </c>
    </row>
    <row r="84" spans="1:62" x14ac:dyDescent="0.25">
      <c r="A84" s="341">
        <v>5523</v>
      </c>
      <c r="B84" s="523" t="s">
        <v>186</v>
      </c>
      <c r="C84" s="394">
        <v>4913378.75</v>
      </c>
      <c r="D84" s="394">
        <v>698378.7</v>
      </c>
      <c r="E84" s="391"/>
      <c r="F84" s="394">
        <v>15230</v>
      </c>
      <c r="G84" s="394">
        <v>31577.1</v>
      </c>
      <c r="H84" s="394">
        <v>4804.1000000000004</v>
      </c>
      <c r="I84" s="394">
        <v>-54197.1</v>
      </c>
      <c r="J84" s="394">
        <v>97209.85</v>
      </c>
      <c r="K84" s="394">
        <v>16486.45</v>
      </c>
      <c r="L84" s="394">
        <v>636018.75</v>
      </c>
      <c r="M84" s="334">
        <f t="shared" si="12"/>
        <v>6358886.5999999996</v>
      </c>
      <c r="N84" s="398">
        <v>10619.3</v>
      </c>
      <c r="O84" s="398">
        <v>0</v>
      </c>
      <c r="P84" s="398">
        <v>157526.39999999999</v>
      </c>
      <c r="Q84" s="398">
        <v>16967.64</v>
      </c>
      <c r="R84" s="398">
        <v>119698.55</v>
      </c>
      <c r="S84" s="398">
        <v>125</v>
      </c>
      <c r="T84" s="398">
        <v>1222.8</v>
      </c>
      <c r="U84" s="398">
        <v>15000</v>
      </c>
      <c r="V84" s="398"/>
      <c r="W84" s="398"/>
      <c r="X84" s="382">
        <v>4363.8100000000004</v>
      </c>
      <c r="Y84" s="485">
        <f t="shared" si="13"/>
        <v>6684410.0999999987</v>
      </c>
      <c r="Z84" s="399">
        <v>52355</v>
      </c>
      <c r="AA84" s="399">
        <v>9500</v>
      </c>
      <c r="AB84" s="399">
        <v>565607.6</v>
      </c>
      <c r="AC84" s="399"/>
      <c r="AD84" s="399">
        <v>158324.15</v>
      </c>
      <c r="AE84" s="399"/>
      <c r="AF84" s="399">
        <v>52000</v>
      </c>
      <c r="AG84" s="399">
        <v>24820.95</v>
      </c>
      <c r="AH84" s="399"/>
      <c r="AI84" s="399">
        <v>45626.35</v>
      </c>
      <c r="AJ84" s="399"/>
      <c r="AK84" s="399"/>
      <c r="AL84" s="477"/>
      <c r="AM84" s="485">
        <f t="shared" si="14"/>
        <v>908234.04999999993</v>
      </c>
      <c r="AN84" s="399">
        <v>72</v>
      </c>
      <c r="AO84" s="402">
        <v>2694</v>
      </c>
      <c r="AP84" s="480">
        <v>-69486.94</v>
      </c>
      <c r="AQ84" s="490"/>
      <c r="AR84" s="490">
        <v>-970.39</v>
      </c>
      <c r="AS84" s="520">
        <v>1.25</v>
      </c>
      <c r="AT84" s="533">
        <v>6684410.0999999996</v>
      </c>
      <c r="AU84" s="533">
        <f>125+1222.8+15000</f>
        <v>16347.8</v>
      </c>
      <c r="AV84" s="533">
        <v>4363.8100000000004</v>
      </c>
      <c r="AW84" s="533">
        <v>908234.05</v>
      </c>
      <c r="AX84" s="533">
        <v>0</v>
      </c>
      <c r="AY84" s="533">
        <v>-69486.94</v>
      </c>
      <c r="AZ84" s="533">
        <v>0</v>
      </c>
      <c r="BA84" s="533">
        <v>-970.39</v>
      </c>
      <c r="BB84" s="480">
        <f t="shared" si="15"/>
        <v>0</v>
      </c>
      <c r="BC84" s="480">
        <f t="shared" si="16"/>
        <v>0</v>
      </c>
      <c r="BD84" s="480">
        <f t="shared" si="17"/>
        <v>0</v>
      </c>
      <c r="BE84" s="480">
        <f t="shared" si="18"/>
        <v>0</v>
      </c>
      <c r="BF84" s="480">
        <f t="shared" si="19"/>
        <v>0</v>
      </c>
      <c r="BG84" s="480">
        <f t="shared" si="20"/>
        <v>0</v>
      </c>
      <c r="BH84" s="480">
        <f t="shared" si="21"/>
        <v>0</v>
      </c>
      <c r="BI84" s="6">
        <f t="shared" si="22"/>
        <v>5523</v>
      </c>
      <c r="BJ84" s="480" t="str">
        <f t="shared" si="23"/>
        <v>Froideville</v>
      </c>
    </row>
    <row r="85" spans="1:62" x14ac:dyDescent="0.25">
      <c r="A85" s="341">
        <v>5527</v>
      </c>
      <c r="B85" s="523" t="s">
        <v>187</v>
      </c>
      <c r="C85" s="394">
        <v>2440482.67</v>
      </c>
      <c r="D85" s="394">
        <v>296196.84000000003</v>
      </c>
      <c r="E85" s="391"/>
      <c r="F85" s="394">
        <v>0</v>
      </c>
      <c r="G85" s="394">
        <v>4907.2</v>
      </c>
      <c r="H85" s="394">
        <v>1958.65</v>
      </c>
      <c r="I85" s="394">
        <v>0</v>
      </c>
      <c r="J85" s="394">
        <v>36272.03</v>
      </c>
      <c r="K85" s="394">
        <v>202.75</v>
      </c>
      <c r="L85" s="394">
        <v>240323.20000000001</v>
      </c>
      <c r="M85" s="334">
        <f t="shared" si="12"/>
        <v>3020343.34</v>
      </c>
      <c r="N85" s="398">
        <v>9803.75</v>
      </c>
      <c r="O85" s="398">
        <v>0</v>
      </c>
      <c r="P85" s="398">
        <v>104802.4</v>
      </c>
      <c r="Q85" s="398">
        <v>10734.48</v>
      </c>
      <c r="R85" s="398">
        <v>52459.55</v>
      </c>
      <c r="S85" s="398">
        <v>404.7</v>
      </c>
      <c r="T85" s="398"/>
      <c r="U85" s="398">
        <v>10100</v>
      </c>
      <c r="V85" s="398"/>
      <c r="W85" s="398"/>
      <c r="X85" s="382">
        <v>823.54</v>
      </c>
      <c r="Y85" s="485">
        <f t="shared" si="13"/>
        <v>3209471.76</v>
      </c>
      <c r="Z85" s="399">
        <v>11558.25</v>
      </c>
      <c r="AA85" s="399"/>
      <c r="AB85" s="399">
        <v>180124.45</v>
      </c>
      <c r="AC85" s="399"/>
      <c r="AD85" s="399">
        <v>85047.95</v>
      </c>
      <c r="AE85" s="399">
        <v>11012.7</v>
      </c>
      <c r="AF85" s="399"/>
      <c r="AG85" s="399"/>
      <c r="AH85" s="399"/>
      <c r="AI85" s="399">
        <v>25286.45</v>
      </c>
      <c r="AJ85" s="399"/>
      <c r="AK85" s="399"/>
      <c r="AL85" s="477"/>
      <c r="AM85" s="485">
        <f t="shared" si="14"/>
        <v>313029.80000000005</v>
      </c>
      <c r="AN85" s="399">
        <v>74</v>
      </c>
      <c r="AO85" s="402">
        <v>1153</v>
      </c>
      <c r="AP85" s="480">
        <v>-30067.71</v>
      </c>
      <c r="AQ85" s="490"/>
      <c r="AR85" s="490">
        <v>-82.51</v>
      </c>
      <c r="AS85" s="520">
        <v>1</v>
      </c>
      <c r="AT85" s="533">
        <v>3209471.76</v>
      </c>
      <c r="AU85" s="533">
        <f>404.7+10100</f>
        <v>10504.7</v>
      </c>
      <c r="AV85" s="533">
        <v>823.54</v>
      </c>
      <c r="AW85" s="533">
        <v>313029.8</v>
      </c>
      <c r="AX85" s="533">
        <v>0</v>
      </c>
      <c r="AY85" s="533">
        <v>-30067.71</v>
      </c>
      <c r="AZ85" s="533">
        <v>0</v>
      </c>
      <c r="BA85" s="533">
        <v>-82.51</v>
      </c>
      <c r="BB85" s="480">
        <f t="shared" si="15"/>
        <v>0</v>
      </c>
      <c r="BC85" s="480">
        <f t="shared" si="16"/>
        <v>0</v>
      </c>
      <c r="BD85" s="480">
        <f t="shared" si="17"/>
        <v>0</v>
      </c>
      <c r="BE85" s="480">
        <f t="shared" si="18"/>
        <v>0</v>
      </c>
      <c r="BF85" s="480">
        <f t="shared" si="19"/>
        <v>0</v>
      </c>
      <c r="BG85" s="480">
        <f t="shared" si="20"/>
        <v>0</v>
      </c>
      <c r="BH85" s="480">
        <f t="shared" si="21"/>
        <v>0</v>
      </c>
      <c r="BI85" s="6">
        <f t="shared" si="22"/>
        <v>5527</v>
      </c>
      <c r="BJ85" s="480" t="str">
        <f t="shared" si="23"/>
        <v>Morrens</v>
      </c>
    </row>
    <row r="86" spans="1:62" x14ac:dyDescent="0.25">
      <c r="A86" s="341">
        <v>5529</v>
      </c>
      <c r="B86" s="523" t="s">
        <v>188</v>
      </c>
      <c r="C86" s="394">
        <v>1168354.29</v>
      </c>
      <c r="D86" s="394">
        <v>107832.98</v>
      </c>
      <c r="E86" s="391"/>
      <c r="F86" s="394">
        <v>0</v>
      </c>
      <c r="G86" s="394">
        <v>10428.700000000001</v>
      </c>
      <c r="H86" s="394">
        <v>1638.55</v>
      </c>
      <c r="I86" s="394">
        <v>0</v>
      </c>
      <c r="J86" s="394">
        <v>17460.79</v>
      </c>
      <c r="K86" s="394">
        <v>2922.75</v>
      </c>
      <c r="L86" s="394">
        <v>120398.6</v>
      </c>
      <c r="M86" s="334">
        <f t="shared" si="12"/>
        <v>1429036.6600000001</v>
      </c>
      <c r="N86" s="398">
        <v>1847.9</v>
      </c>
      <c r="O86" s="398">
        <v>0</v>
      </c>
      <c r="P86" s="398">
        <v>38299.4</v>
      </c>
      <c r="Q86" s="398">
        <v>0</v>
      </c>
      <c r="R86" s="398">
        <v>4689.6000000000004</v>
      </c>
      <c r="S86" s="398"/>
      <c r="T86" s="398"/>
      <c r="U86" s="398">
        <v>3400</v>
      </c>
      <c r="V86" s="398"/>
      <c r="W86" s="398"/>
      <c r="X86" s="382">
        <v>1447.43</v>
      </c>
      <c r="Y86" s="485">
        <f t="shared" si="13"/>
        <v>1478720.99</v>
      </c>
      <c r="Z86" s="399">
        <v>4608</v>
      </c>
      <c r="AA86" s="399"/>
      <c r="AB86" s="399">
        <v>26604.799999999999</v>
      </c>
      <c r="AC86" s="399"/>
      <c r="AD86" s="399">
        <v>45686.55</v>
      </c>
      <c r="AE86" s="399">
        <v>2304</v>
      </c>
      <c r="AF86" s="399"/>
      <c r="AG86" s="399"/>
      <c r="AH86" s="399"/>
      <c r="AI86" s="399"/>
      <c r="AJ86" s="399"/>
      <c r="AK86" s="399"/>
      <c r="AL86" s="477"/>
      <c r="AM86" s="485">
        <f t="shared" si="14"/>
        <v>79203.350000000006</v>
      </c>
      <c r="AN86" s="399">
        <v>70</v>
      </c>
      <c r="AO86" s="402">
        <v>618</v>
      </c>
      <c r="AP86" s="480">
        <v>-16246.58</v>
      </c>
      <c r="AQ86" s="490"/>
      <c r="AR86" s="490">
        <v>-150.33000000000001</v>
      </c>
      <c r="AS86" s="520">
        <v>1</v>
      </c>
      <c r="AT86" s="533">
        <v>1478720.99</v>
      </c>
      <c r="AU86" s="533">
        <v>3400</v>
      </c>
      <c r="AV86" s="533">
        <v>1447.43</v>
      </c>
      <c r="AW86" s="533">
        <v>79203.350000000006</v>
      </c>
      <c r="AX86" s="533">
        <v>0</v>
      </c>
      <c r="AY86" s="533">
        <v>-16246.58</v>
      </c>
      <c r="AZ86" s="533">
        <v>0</v>
      </c>
      <c r="BA86" s="533">
        <v>-150.33000000000001</v>
      </c>
      <c r="BB86" s="480">
        <f t="shared" si="15"/>
        <v>0</v>
      </c>
      <c r="BC86" s="480">
        <f t="shared" si="16"/>
        <v>0</v>
      </c>
      <c r="BD86" s="480">
        <f t="shared" si="17"/>
        <v>0</v>
      </c>
      <c r="BE86" s="480">
        <f t="shared" si="18"/>
        <v>0</v>
      </c>
      <c r="BF86" s="480">
        <f t="shared" si="19"/>
        <v>0</v>
      </c>
      <c r="BG86" s="480">
        <f t="shared" si="20"/>
        <v>0</v>
      </c>
      <c r="BH86" s="480">
        <f t="shared" si="21"/>
        <v>0</v>
      </c>
      <c r="BI86" s="6">
        <f t="shared" si="22"/>
        <v>5529</v>
      </c>
      <c r="BJ86" s="480" t="str">
        <f t="shared" si="23"/>
        <v>Oulens-sous-Echallens</v>
      </c>
    </row>
    <row r="87" spans="1:62" x14ac:dyDescent="0.25">
      <c r="A87" s="341">
        <v>5530</v>
      </c>
      <c r="B87" s="523" t="s">
        <v>189</v>
      </c>
      <c r="C87" s="394">
        <v>1078526.7</v>
      </c>
      <c r="D87" s="394">
        <v>176838.16</v>
      </c>
      <c r="E87" s="391"/>
      <c r="F87" s="394">
        <v>0</v>
      </c>
      <c r="G87" s="394">
        <v>28292.05</v>
      </c>
      <c r="H87" s="394">
        <v>333.15</v>
      </c>
      <c r="I87" s="394">
        <v>0</v>
      </c>
      <c r="J87" s="394">
        <v>808.22</v>
      </c>
      <c r="K87" s="394">
        <v>674.5</v>
      </c>
      <c r="L87" s="394">
        <v>126412.85</v>
      </c>
      <c r="M87" s="334">
        <f t="shared" si="12"/>
        <v>1411885.63</v>
      </c>
      <c r="N87" s="398">
        <v>18495.150000000001</v>
      </c>
      <c r="O87" s="398">
        <v>708.4</v>
      </c>
      <c r="P87" s="398">
        <v>13194.15</v>
      </c>
      <c r="Q87" s="398">
        <v>0</v>
      </c>
      <c r="R87" s="398">
        <v>0</v>
      </c>
      <c r="S87" s="398">
        <v>225</v>
      </c>
      <c r="T87" s="398"/>
      <c r="U87" s="398">
        <v>2640</v>
      </c>
      <c r="V87" s="398"/>
      <c r="W87" s="398"/>
      <c r="X87" s="382">
        <v>3433.5</v>
      </c>
      <c r="Y87" s="485">
        <f t="shared" si="13"/>
        <v>1450581.8299999996</v>
      </c>
      <c r="Z87" s="399">
        <v>8944.25</v>
      </c>
      <c r="AA87" s="399"/>
      <c r="AB87" s="399">
        <v>181351.5</v>
      </c>
      <c r="AC87" s="399"/>
      <c r="AD87" s="399">
        <v>43310.6</v>
      </c>
      <c r="AE87" s="399">
        <v>2239</v>
      </c>
      <c r="AF87" s="399"/>
      <c r="AG87" s="399"/>
      <c r="AH87" s="399"/>
      <c r="AI87" s="399"/>
      <c r="AJ87" s="399"/>
      <c r="AK87" s="399"/>
      <c r="AL87" s="477"/>
      <c r="AM87" s="485">
        <f t="shared" si="14"/>
        <v>235845.35</v>
      </c>
      <c r="AN87" s="399">
        <v>76</v>
      </c>
      <c r="AO87" s="402">
        <v>567</v>
      </c>
      <c r="AP87" s="480">
        <v>-3293.75</v>
      </c>
      <c r="AQ87" s="490"/>
      <c r="AR87" s="490">
        <v>-3.85</v>
      </c>
      <c r="AS87" s="520">
        <v>1.2</v>
      </c>
      <c r="AT87" s="533">
        <v>1450581.83</v>
      </c>
      <c r="AU87" s="533">
        <f>225+2640</f>
        <v>2865</v>
      </c>
      <c r="AV87" s="533">
        <v>3433.5</v>
      </c>
      <c r="AW87" s="533">
        <v>235845.35</v>
      </c>
      <c r="AX87" s="533">
        <v>0</v>
      </c>
      <c r="AY87" s="533">
        <v>-3293.75</v>
      </c>
      <c r="AZ87" s="533">
        <v>0</v>
      </c>
      <c r="BA87" s="533">
        <v>-3.85</v>
      </c>
      <c r="BB87" s="480">
        <f t="shared" si="15"/>
        <v>0</v>
      </c>
      <c r="BC87" s="480">
        <f t="shared" si="16"/>
        <v>0</v>
      </c>
      <c r="BD87" s="480">
        <f t="shared" si="17"/>
        <v>0</v>
      </c>
      <c r="BE87" s="480">
        <f t="shared" si="18"/>
        <v>0</v>
      </c>
      <c r="BF87" s="480">
        <f t="shared" si="19"/>
        <v>0</v>
      </c>
      <c r="BG87" s="480">
        <f t="shared" si="20"/>
        <v>0</v>
      </c>
      <c r="BH87" s="480">
        <f t="shared" si="21"/>
        <v>0</v>
      </c>
      <c r="BI87" s="6">
        <f t="shared" si="22"/>
        <v>5530</v>
      </c>
      <c r="BJ87" s="480" t="str">
        <f t="shared" si="23"/>
        <v>Pailly</v>
      </c>
    </row>
    <row r="88" spans="1:62" x14ac:dyDescent="0.25">
      <c r="A88" s="341">
        <v>5531</v>
      </c>
      <c r="B88" s="523" t="s">
        <v>190</v>
      </c>
      <c r="C88" s="394">
        <v>846903.14</v>
      </c>
      <c r="D88" s="394">
        <v>79070.679999999993</v>
      </c>
      <c r="E88" s="391"/>
      <c r="F88" s="394">
        <v>0</v>
      </c>
      <c r="G88" s="394">
        <v>8496.6</v>
      </c>
      <c r="H88" s="394">
        <v>720.6</v>
      </c>
      <c r="I88" s="394">
        <v>0</v>
      </c>
      <c r="J88" s="394">
        <v>10707.29</v>
      </c>
      <c r="K88" s="394">
        <v>-352.25</v>
      </c>
      <c r="L88" s="394">
        <v>78103.3</v>
      </c>
      <c r="M88" s="334">
        <f t="shared" si="12"/>
        <v>1023649.3600000001</v>
      </c>
      <c r="N88" s="398">
        <v>19757.3</v>
      </c>
      <c r="O88" s="398">
        <v>0</v>
      </c>
      <c r="P88" s="398">
        <v>22086.05</v>
      </c>
      <c r="Q88" s="398">
        <v>2180.14</v>
      </c>
      <c r="R88" s="398">
        <v>22071.25</v>
      </c>
      <c r="S88" s="398"/>
      <c r="T88" s="398"/>
      <c r="U88" s="398">
        <v>4750</v>
      </c>
      <c r="V88" s="398"/>
      <c r="W88" s="398"/>
      <c r="X88" s="382">
        <v>1105.57</v>
      </c>
      <c r="Y88" s="485">
        <f t="shared" si="13"/>
        <v>1095599.6700000002</v>
      </c>
      <c r="Z88" s="399">
        <v>26400</v>
      </c>
      <c r="AA88" s="399"/>
      <c r="AB88" s="399">
        <v>95100.5</v>
      </c>
      <c r="AC88" s="399"/>
      <c r="AD88" s="399">
        <v>29717.5</v>
      </c>
      <c r="AE88" s="399">
        <v>7156.05</v>
      </c>
      <c r="AF88" s="399"/>
      <c r="AG88" s="399"/>
      <c r="AH88" s="399"/>
      <c r="AI88" s="399"/>
      <c r="AJ88" s="399"/>
      <c r="AK88" s="399"/>
      <c r="AL88" s="477"/>
      <c r="AM88" s="485">
        <f t="shared" si="14"/>
        <v>158374.04999999999</v>
      </c>
      <c r="AN88" s="399">
        <v>74</v>
      </c>
      <c r="AO88" s="402">
        <v>419</v>
      </c>
      <c r="AP88" s="480">
        <v>-2440.64</v>
      </c>
      <c r="AQ88" s="490"/>
      <c r="AR88" s="490">
        <v>-107.79</v>
      </c>
      <c r="AS88" s="520">
        <v>1</v>
      </c>
      <c r="AT88" s="533">
        <v>1095599.67</v>
      </c>
      <c r="AU88" s="533">
        <v>4750</v>
      </c>
      <c r="AV88" s="533">
        <v>1105.57</v>
      </c>
      <c r="AW88" s="533">
        <v>158374.04999999999</v>
      </c>
      <c r="AX88" s="533">
        <v>0</v>
      </c>
      <c r="AY88" s="533">
        <v>-2440.64</v>
      </c>
      <c r="AZ88" s="533">
        <v>0</v>
      </c>
      <c r="BA88" s="533">
        <v>-107.79</v>
      </c>
      <c r="BB88" s="480">
        <f t="shared" si="15"/>
        <v>0</v>
      </c>
      <c r="BC88" s="480">
        <f t="shared" si="16"/>
        <v>0</v>
      </c>
      <c r="BD88" s="480">
        <f t="shared" si="17"/>
        <v>0</v>
      </c>
      <c r="BE88" s="480">
        <f t="shared" si="18"/>
        <v>0</v>
      </c>
      <c r="BF88" s="480">
        <f t="shared" si="19"/>
        <v>0</v>
      </c>
      <c r="BG88" s="480">
        <f t="shared" si="20"/>
        <v>0</v>
      </c>
      <c r="BH88" s="480">
        <f t="shared" si="21"/>
        <v>0</v>
      </c>
      <c r="BI88" s="6">
        <f t="shared" si="22"/>
        <v>5531</v>
      </c>
      <c r="BJ88" s="480" t="str">
        <f t="shared" si="23"/>
        <v>Penthéréaz</v>
      </c>
    </row>
    <row r="89" spans="1:62" x14ac:dyDescent="0.25">
      <c r="A89" s="341">
        <v>5533</v>
      </c>
      <c r="B89" s="523" t="s">
        <v>191</v>
      </c>
      <c r="C89" s="394">
        <v>1488046.92</v>
      </c>
      <c r="D89" s="394">
        <v>214173.52</v>
      </c>
      <c r="E89" s="391"/>
      <c r="F89" s="394">
        <v>0</v>
      </c>
      <c r="G89" s="394">
        <v>61118.65</v>
      </c>
      <c r="H89" s="394">
        <v>546.75</v>
      </c>
      <c r="I89" s="394">
        <v>47228.4</v>
      </c>
      <c r="J89" s="394">
        <v>30627.98</v>
      </c>
      <c r="K89" s="394">
        <v>9054.9</v>
      </c>
      <c r="L89" s="394">
        <v>144487.20000000001</v>
      </c>
      <c r="M89" s="334">
        <f t="shared" si="12"/>
        <v>1995284.3199999996</v>
      </c>
      <c r="N89" s="398">
        <v>752.3</v>
      </c>
      <c r="O89" s="398">
        <v>0</v>
      </c>
      <c r="P89" s="398">
        <v>51951.35</v>
      </c>
      <c r="Q89" s="398">
        <v>55.75</v>
      </c>
      <c r="R89" s="398">
        <v>288547.34999999998</v>
      </c>
      <c r="S89" s="398"/>
      <c r="T89" s="398">
        <v>911</v>
      </c>
      <c r="U89" s="398">
        <v>6150</v>
      </c>
      <c r="V89" s="398"/>
      <c r="W89" s="398"/>
      <c r="X89" s="382">
        <v>7396.57</v>
      </c>
      <c r="Y89" s="485">
        <f t="shared" si="13"/>
        <v>2351048.6399999997</v>
      </c>
      <c r="Z89" s="399">
        <v>94300.9</v>
      </c>
      <c r="AA89" s="399"/>
      <c r="AB89" s="399">
        <v>104088.5</v>
      </c>
      <c r="AC89" s="399"/>
      <c r="AD89" s="399">
        <v>39561.65</v>
      </c>
      <c r="AE89" s="399">
        <v>95611.4</v>
      </c>
      <c r="AF89" s="399"/>
      <c r="AG89" s="399"/>
      <c r="AH89" s="399"/>
      <c r="AI89" s="399"/>
      <c r="AJ89" s="399"/>
      <c r="AK89" s="399"/>
      <c r="AL89" s="477"/>
      <c r="AM89" s="485">
        <f t="shared" si="14"/>
        <v>333562.44999999995</v>
      </c>
      <c r="AN89" s="399">
        <v>73</v>
      </c>
      <c r="AO89" s="402">
        <v>829</v>
      </c>
      <c r="AP89" s="480">
        <v>-17655.150000000001</v>
      </c>
      <c r="AQ89" s="490"/>
      <c r="AR89" s="490">
        <v>-199.23</v>
      </c>
      <c r="AS89" s="520">
        <v>1</v>
      </c>
      <c r="AT89" s="533">
        <v>2351048.64</v>
      </c>
      <c r="AU89" s="533">
        <f>911+6150</f>
        <v>7061</v>
      </c>
      <c r="AV89" s="533">
        <v>7396.57</v>
      </c>
      <c r="AW89" s="533">
        <v>333562.45</v>
      </c>
      <c r="AX89" s="533">
        <v>0</v>
      </c>
      <c r="AY89" s="533">
        <v>-17655.150000000001</v>
      </c>
      <c r="AZ89" s="533">
        <v>0</v>
      </c>
      <c r="BA89" s="533">
        <v>-199.23</v>
      </c>
      <c r="BB89" s="480">
        <f t="shared" si="15"/>
        <v>0</v>
      </c>
      <c r="BC89" s="480">
        <f t="shared" si="16"/>
        <v>0</v>
      </c>
      <c r="BD89" s="480">
        <f t="shared" si="17"/>
        <v>0</v>
      </c>
      <c r="BE89" s="480">
        <f t="shared" si="18"/>
        <v>0</v>
      </c>
      <c r="BF89" s="480">
        <f t="shared" si="19"/>
        <v>0</v>
      </c>
      <c r="BG89" s="480">
        <f t="shared" si="20"/>
        <v>0</v>
      </c>
      <c r="BH89" s="480">
        <f t="shared" si="21"/>
        <v>0</v>
      </c>
      <c r="BI89" s="6">
        <f t="shared" si="22"/>
        <v>5533</v>
      </c>
      <c r="BJ89" s="480" t="str">
        <f t="shared" si="23"/>
        <v>Poliez-Pittet</v>
      </c>
    </row>
    <row r="90" spans="1:62" x14ac:dyDescent="0.25">
      <c r="A90" s="341">
        <v>5534</v>
      </c>
      <c r="B90" s="523" t="s">
        <v>192</v>
      </c>
      <c r="C90" s="394">
        <v>478539.65</v>
      </c>
      <c r="D90" s="394">
        <v>84003.25</v>
      </c>
      <c r="E90" s="391"/>
      <c r="F90" s="394">
        <v>0</v>
      </c>
      <c r="G90" s="394">
        <v>47438.3</v>
      </c>
      <c r="H90" s="394">
        <v>-354.85</v>
      </c>
      <c r="I90" s="394">
        <v>0</v>
      </c>
      <c r="J90" s="394">
        <v>17090.21</v>
      </c>
      <c r="K90" s="394">
        <v>861</v>
      </c>
      <c r="L90" s="394">
        <v>94776.85</v>
      </c>
      <c r="M90" s="334">
        <f t="shared" si="12"/>
        <v>722354.41</v>
      </c>
      <c r="N90" s="398">
        <v>27496.9</v>
      </c>
      <c r="O90" s="398">
        <v>0</v>
      </c>
      <c r="P90" s="398">
        <v>20741.5</v>
      </c>
      <c r="Q90" s="398">
        <v>0</v>
      </c>
      <c r="R90" s="398">
        <v>13270.8</v>
      </c>
      <c r="S90" s="398"/>
      <c r="T90" s="398">
        <v>112</v>
      </c>
      <c r="U90" s="398">
        <v>1600</v>
      </c>
      <c r="V90" s="398"/>
      <c r="W90" s="398"/>
      <c r="X90" s="382">
        <v>5647.51</v>
      </c>
      <c r="Y90" s="485">
        <f t="shared" si="13"/>
        <v>791223.12000000011</v>
      </c>
      <c r="Z90" s="399">
        <v>51000</v>
      </c>
      <c r="AA90" s="399"/>
      <c r="AB90" s="399">
        <v>13293.7</v>
      </c>
      <c r="AC90" s="399"/>
      <c r="AD90" s="399">
        <v>12932.5</v>
      </c>
      <c r="AE90" s="399">
        <v>51000</v>
      </c>
      <c r="AF90" s="399"/>
      <c r="AG90" s="399"/>
      <c r="AH90" s="399"/>
      <c r="AI90" s="399">
        <v>24400</v>
      </c>
      <c r="AJ90" s="399"/>
      <c r="AK90" s="399">
        <v>49843.6</v>
      </c>
      <c r="AL90" s="477"/>
      <c r="AM90" s="485">
        <f t="shared" si="14"/>
        <v>202469.80000000002</v>
      </c>
      <c r="AN90" s="399">
        <v>73</v>
      </c>
      <c r="AO90" s="402">
        <v>266</v>
      </c>
      <c r="AP90" s="480">
        <v>-65.14</v>
      </c>
      <c r="AQ90" s="490"/>
      <c r="AR90" s="490">
        <v>0</v>
      </c>
      <c r="AS90" s="520">
        <v>1.2</v>
      </c>
      <c r="AT90" s="533">
        <v>791223.12</v>
      </c>
      <c r="AU90" s="533">
        <f>112+1600</f>
        <v>1712</v>
      </c>
      <c r="AV90" s="533">
        <v>5647.51</v>
      </c>
      <c r="AW90" s="533">
        <v>202469.8</v>
      </c>
      <c r="AX90" s="533">
        <v>0</v>
      </c>
      <c r="AY90" s="533">
        <v>-65.14</v>
      </c>
      <c r="AZ90" s="533">
        <v>0</v>
      </c>
      <c r="BA90" s="533">
        <v>0</v>
      </c>
      <c r="BB90" s="480">
        <f t="shared" si="15"/>
        <v>0</v>
      </c>
      <c r="BC90" s="480">
        <f t="shared" si="16"/>
        <v>0</v>
      </c>
      <c r="BD90" s="480">
        <f t="shared" si="17"/>
        <v>0</v>
      </c>
      <c r="BE90" s="480">
        <f t="shared" si="18"/>
        <v>0</v>
      </c>
      <c r="BF90" s="480">
        <f t="shared" si="19"/>
        <v>0</v>
      </c>
      <c r="BG90" s="480">
        <f t="shared" si="20"/>
        <v>0</v>
      </c>
      <c r="BH90" s="480">
        <f t="shared" si="21"/>
        <v>0</v>
      </c>
      <c r="BI90" s="6">
        <f t="shared" si="22"/>
        <v>5534</v>
      </c>
      <c r="BJ90" s="480" t="str">
        <f t="shared" si="23"/>
        <v>Rueyres</v>
      </c>
    </row>
    <row r="91" spans="1:62" x14ac:dyDescent="0.25">
      <c r="A91" s="341">
        <v>5535</v>
      </c>
      <c r="B91" s="523" t="s">
        <v>30</v>
      </c>
      <c r="C91" s="394">
        <v>1424371.91</v>
      </c>
      <c r="D91" s="394">
        <v>148080</v>
      </c>
      <c r="E91" s="391"/>
      <c r="F91" s="394">
        <v>0</v>
      </c>
      <c r="G91" s="394">
        <v>-9502</v>
      </c>
      <c r="H91" s="394">
        <v>3367.85</v>
      </c>
      <c r="I91" s="394">
        <v>0</v>
      </c>
      <c r="J91" s="394">
        <v>6266.37</v>
      </c>
      <c r="K91" s="394">
        <v>1379.3</v>
      </c>
      <c r="L91" s="394">
        <v>144966.9</v>
      </c>
      <c r="M91" s="334">
        <f t="shared" si="12"/>
        <v>1718930.33</v>
      </c>
      <c r="N91" s="398">
        <v>44895</v>
      </c>
      <c r="O91" s="398">
        <v>0</v>
      </c>
      <c r="P91" s="398">
        <v>35709.599999999999</v>
      </c>
      <c r="Q91" s="398">
        <v>410.86</v>
      </c>
      <c r="R91" s="398">
        <v>-518.95000000000005</v>
      </c>
      <c r="S91" s="398"/>
      <c r="T91" s="398">
        <v>66</v>
      </c>
      <c r="U91" s="398">
        <v>9150</v>
      </c>
      <c r="V91" s="398"/>
      <c r="W91" s="398"/>
      <c r="X91" s="382">
        <v>-735.77</v>
      </c>
      <c r="Y91" s="485">
        <f t="shared" si="13"/>
        <v>1807907.0700000003</v>
      </c>
      <c r="Z91" s="399">
        <v>3000</v>
      </c>
      <c r="AA91" s="399"/>
      <c r="AB91" s="399">
        <v>147580.75</v>
      </c>
      <c r="AC91" s="399">
        <v>56021.65</v>
      </c>
      <c r="AD91" s="399">
        <v>6105</v>
      </c>
      <c r="AE91" s="399"/>
      <c r="AF91" s="399"/>
      <c r="AG91" s="399"/>
      <c r="AH91" s="399"/>
      <c r="AI91" s="399"/>
      <c r="AJ91" s="399"/>
      <c r="AK91" s="399"/>
      <c r="AL91" s="477"/>
      <c r="AM91" s="485">
        <f t="shared" si="14"/>
        <v>212707.4</v>
      </c>
      <c r="AN91" s="399">
        <v>75</v>
      </c>
      <c r="AO91" s="402">
        <v>784</v>
      </c>
      <c r="AP91" s="480">
        <v>-31282.47</v>
      </c>
      <c r="AQ91" s="490"/>
      <c r="AR91" s="490">
        <v>-59.19</v>
      </c>
      <c r="AS91" s="520">
        <v>1</v>
      </c>
      <c r="AT91" s="533">
        <v>1807907.07</v>
      </c>
      <c r="AU91" s="533">
        <f>66+9150</f>
        <v>9216</v>
      </c>
      <c r="AV91" s="533">
        <v>-735.77</v>
      </c>
      <c r="AW91" s="533">
        <v>212707.4</v>
      </c>
      <c r="AX91" s="533">
        <v>0</v>
      </c>
      <c r="AY91" s="533">
        <v>-31282.47</v>
      </c>
      <c r="AZ91" s="533">
        <v>0</v>
      </c>
      <c r="BA91" s="533">
        <v>-59.19</v>
      </c>
      <c r="BB91" s="480">
        <f t="shared" si="15"/>
        <v>0</v>
      </c>
      <c r="BC91" s="480">
        <f t="shared" si="16"/>
        <v>0</v>
      </c>
      <c r="BD91" s="480">
        <f t="shared" si="17"/>
        <v>0</v>
      </c>
      <c r="BE91" s="480">
        <f t="shared" si="18"/>
        <v>0</v>
      </c>
      <c r="BF91" s="480">
        <f t="shared" si="19"/>
        <v>0</v>
      </c>
      <c r="BG91" s="480">
        <f t="shared" si="20"/>
        <v>0</v>
      </c>
      <c r="BH91" s="480">
        <f t="shared" si="21"/>
        <v>0</v>
      </c>
      <c r="BI91" s="6">
        <f t="shared" si="22"/>
        <v>5535</v>
      </c>
      <c r="BJ91" s="480" t="str">
        <f t="shared" si="23"/>
        <v>Saint-Barthélemy</v>
      </c>
    </row>
    <row r="92" spans="1:62" x14ac:dyDescent="0.25">
      <c r="A92" s="341">
        <v>5537</v>
      </c>
      <c r="B92" s="523" t="s">
        <v>31</v>
      </c>
      <c r="C92" s="394">
        <v>2256263.67</v>
      </c>
      <c r="D92" s="394">
        <v>279507.26</v>
      </c>
      <c r="E92" s="391"/>
      <c r="F92" s="394">
        <v>7030</v>
      </c>
      <c r="G92" s="394">
        <v>16907.349999999999</v>
      </c>
      <c r="H92" s="394">
        <v>883.1</v>
      </c>
      <c r="I92" s="394">
        <v>0</v>
      </c>
      <c r="J92" s="394">
        <v>4792.95</v>
      </c>
      <c r="K92" s="394">
        <v>833</v>
      </c>
      <c r="L92" s="394">
        <v>228114.65</v>
      </c>
      <c r="M92" s="334">
        <f t="shared" si="12"/>
        <v>2794331.98</v>
      </c>
      <c r="N92" s="398">
        <v>0</v>
      </c>
      <c r="O92" s="398">
        <v>859.2</v>
      </c>
      <c r="P92" s="398">
        <v>103590.85</v>
      </c>
      <c r="Q92" s="398">
        <v>6633.16</v>
      </c>
      <c r="R92" s="398">
        <v>90389.5</v>
      </c>
      <c r="S92" s="398">
        <v>377.25</v>
      </c>
      <c r="T92" s="398"/>
      <c r="U92" s="398">
        <v>9620</v>
      </c>
      <c r="V92" s="398"/>
      <c r="W92" s="398"/>
      <c r="X92" s="382">
        <v>2133.91</v>
      </c>
      <c r="Y92" s="485">
        <f t="shared" si="13"/>
        <v>3007935.8500000006</v>
      </c>
      <c r="Z92" s="399">
        <v>46535</v>
      </c>
      <c r="AA92" s="399"/>
      <c r="AB92" s="399">
        <v>277810.65000000002</v>
      </c>
      <c r="AC92" s="399"/>
      <c r="AD92" s="399">
        <v>145688.4</v>
      </c>
      <c r="AE92" s="399">
        <v>46535</v>
      </c>
      <c r="AF92" s="399"/>
      <c r="AG92" s="399"/>
      <c r="AH92" s="399"/>
      <c r="AI92" s="399"/>
      <c r="AJ92" s="399"/>
      <c r="AK92" s="399"/>
      <c r="AL92" s="477"/>
      <c r="AM92" s="485">
        <f t="shared" si="14"/>
        <v>516569.05000000005</v>
      </c>
      <c r="AN92" s="399">
        <v>73</v>
      </c>
      <c r="AO92" s="402">
        <v>1281</v>
      </c>
      <c r="AP92" s="480">
        <v>-31621.53</v>
      </c>
      <c r="AQ92" s="490"/>
      <c r="AR92" s="490">
        <v>-158.81</v>
      </c>
      <c r="AS92" s="520">
        <v>1</v>
      </c>
      <c r="AT92" s="533">
        <v>3007935.85</v>
      </c>
      <c r="AU92" s="533">
        <f>377.25+9620</f>
        <v>9997.25</v>
      </c>
      <c r="AV92" s="533">
        <v>2133.91</v>
      </c>
      <c r="AW92" s="533">
        <v>516569.05</v>
      </c>
      <c r="AX92" s="533">
        <v>0</v>
      </c>
      <c r="AY92" s="533">
        <v>-31621.53</v>
      </c>
      <c r="AZ92" s="533">
        <v>0</v>
      </c>
      <c r="BA92" s="533">
        <v>-158.81</v>
      </c>
      <c r="BB92" s="480">
        <f t="shared" si="15"/>
        <v>0</v>
      </c>
      <c r="BC92" s="480">
        <f t="shared" si="16"/>
        <v>0</v>
      </c>
      <c r="BD92" s="480">
        <f t="shared" si="17"/>
        <v>0</v>
      </c>
      <c r="BE92" s="480">
        <f t="shared" si="18"/>
        <v>0</v>
      </c>
      <c r="BF92" s="480">
        <f t="shared" si="19"/>
        <v>0</v>
      </c>
      <c r="BG92" s="480">
        <f t="shared" si="20"/>
        <v>0</v>
      </c>
      <c r="BH92" s="480">
        <f t="shared" si="21"/>
        <v>0</v>
      </c>
      <c r="BI92" s="6">
        <f t="shared" si="22"/>
        <v>5537</v>
      </c>
      <c r="BJ92" s="480" t="str">
        <f t="shared" si="23"/>
        <v>Villars-le-Terroir</v>
      </c>
    </row>
    <row r="93" spans="1:62" x14ac:dyDescent="0.25">
      <c r="A93" s="341">
        <v>5539</v>
      </c>
      <c r="B93" s="523" t="s">
        <v>32</v>
      </c>
      <c r="C93" s="394">
        <v>2203592.81</v>
      </c>
      <c r="D93" s="394">
        <v>209947.11</v>
      </c>
      <c r="E93" s="391"/>
      <c r="F93" s="394">
        <v>0</v>
      </c>
      <c r="G93" s="394">
        <v>21640.75</v>
      </c>
      <c r="H93" s="394">
        <v>478.25</v>
      </c>
      <c r="I93" s="394">
        <v>0</v>
      </c>
      <c r="J93" s="394">
        <v>10580.62</v>
      </c>
      <c r="K93" s="394">
        <v>5823.4</v>
      </c>
      <c r="L93" s="394">
        <v>149113.35</v>
      </c>
      <c r="M93" s="334">
        <f t="shared" si="12"/>
        <v>2601176.29</v>
      </c>
      <c r="N93" s="398">
        <v>19878.05</v>
      </c>
      <c r="O93" s="398">
        <v>129594.6</v>
      </c>
      <c r="P93" s="398">
        <v>139946.29999999999</v>
      </c>
      <c r="Q93" s="398">
        <v>24565.61</v>
      </c>
      <c r="R93" s="398">
        <v>51038.65</v>
      </c>
      <c r="S93" s="398"/>
      <c r="T93" s="398"/>
      <c r="U93" s="398">
        <v>7800</v>
      </c>
      <c r="V93" s="398"/>
      <c r="W93" s="398"/>
      <c r="X93" s="382">
        <v>2653.11</v>
      </c>
      <c r="Y93" s="485">
        <f t="shared" si="13"/>
        <v>2976652.6099999994</v>
      </c>
      <c r="Z93" s="399">
        <v>28565.4</v>
      </c>
      <c r="AA93" s="399"/>
      <c r="AB93" s="399">
        <v>319401.84999999998</v>
      </c>
      <c r="AC93" s="399"/>
      <c r="AD93" s="399">
        <v>66590</v>
      </c>
      <c r="AE93" s="399">
        <v>23824.5</v>
      </c>
      <c r="AF93" s="399"/>
      <c r="AG93" s="399"/>
      <c r="AH93" s="399"/>
      <c r="AI93" s="399">
        <v>20558.150000000001</v>
      </c>
      <c r="AJ93" s="399"/>
      <c r="AK93" s="399"/>
      <c r="AL93" s="477"/>
      <c r="AM93" s="485">
        <f t="shared" si="14"/>
        <v>458939.9</v>
      </c>
      <c r="AN93" s="399">
        <v>73.5</v>
      </c>
      <c r="AO93" s="402">
        <v>1060</v>
      </c>
      <c r="AP93" s="480">
        <v>-22282.17</v>
      </c>
      <c r="AQ93" s="490"/>
      <c r="AR93" s="490">
        <v>-212.45</v>
      </c>
      <c r="AS93" s="520">
        <v>0.8</v>
      </c>
      <c r="AT93" s="533">
        <v>2976652.61</v>
      </c>
      <c r="AU93" s="533">
        <v>7800</v>
      </c>
      <c r="AV93" s="533">
        <v>2653.11</v>
      </c>
      <c r="AW93" s="533">
        <v>458939.9</v>
      </c>
      <c r="AX93" s="533">
        <v>0</v>
      </c>
      <c r="AY93" s="533">
        <v>-22282.17</v>
      </c>
      <c r="AZ93" s="533">
        <v>0</v>
      </c>
      <c r="BA93" s="533">
        <v>-212.45</v>
      </c>
      <c r="BB93" s="480">
        <f t="shared" si="15"/>
        <v>0</v>
      </c>
      <c r="BC93" s="480">
        <f t="shared" si="16"/>
        <v>0</v>
      </c>
      <c r="BD93" s="480">
        <f t="shared" si="17"/>
        <v>0</v>
      </c>
      <c r="BE93" s="480">
        <f t="shared" si="18"/>
        <v>0</v>
      </c>
      <c r="BF93" s="480">
        <f t="shared" si="19"/>
        <v>0</v>
      </c>
      <c r="BG93" s="480">
        <f t="shared" si="20"/>
        <v>0</v>
      </c>
      <c r="BH93" s="480">
        <f t="shared" si="21"/>
        <v>0</v>
      </c>
      <c r="BI93" s="6">
        <f t="shared" si="22"/>
        <v>5539</v>
      </c>
      <c r="BJ93" s="480" t="str">
        <f t="shared" si="23"/>
        <v>Vuarrens</v>
      </c>
    </row>
    <row r="94" spans="1:62" x14ac:dyDescent="0.25">
      <c r="A94" s="341">
        <v>5540</v>
      </c>
      <c r="B94" s="523" t="s">
        <v>432</v>
      </c>
      <c r="C94" s="394">
        <v>3792448.27</v>
      </c>
      <c r="D94" s="394">
        <v>507693.9</v>
      </c>
      <c r="E94" s="391"/>
      <c r="F94" s="394">
        <v>0</v>
      </c>
      <c r="G94" s="394">
        <v>129555.8</v>
      </c>
      <c r="H94" s="394">
        <v>3850.6</v>
      </c>
      <c r="I94" s="394">
        <v>0</v>
      </c>
      <c r="J94" s="394">
        <v>50648.1</v>
      </c>
      <c r="K94" s="394">
        <v>13109.85</v>
      </c>
      <c r="L94" s="394">
        <v>280809</v>
      </c>
      <c r="M94" s="334">
        <f t="shared" si="12"/>
        <v>4778115.5199999986</v>
      </c>
      <c r="N94" s="398">
        <v>1260.8499999999999</v>
      </c>
      <c r="O94" s="398">
        <v>1159.9000000000001</v>
      </c>
      <c r="P94" s="398">
        <v>111431.35</v>
      </c>
      <c r="Q94" s="398">
        <v>9509.91</v>
      </c>
      <c r="R94" s="398">
        <v>83871.649999999994</v>
      </c>
      <c r="S94" s="398">
        <v>1585.35</v>
      </c>
      <c r="T94" s="398"/>
      <c r="U94" s="398">
        <v>14300</v>
      </c>
      <c r="V94" s="398"/>
      <c r="W94" s="398"/>
      <c r="X94" s="382">
        <v>16001.68</v>
      </c>
      <c r="Y94" s="485">
        <f t="shared" si="13"/>
        <v>5017236.2099999981</v>
      </c>
      <c r="Z94" s="399">
        <v>14145.35</v>
      </c>
      <c r="AA94" s="399"/>
      <c r="AB94" s="399">
        <v>195981</v>
      </c>
      <c r="AC94" s="399"/>
      <c r="AD94" s="399">
        <v>116426.65</v>
      </c>
      <c r="AE94" s="399">
        <v>7602.45</v>
      </c>
      <c r="AF94" s="399"/>
      <c r="AG94" s="399"/>
      <c r="AH94" s="399"/>
      <c r="AI94" s="399"/>
      <c r="AJ94" s="399"/>
      <c r="AK94" s="399"/>
      <c r="AL94" s="477"/>
      <c r="AM94" s="485">
        <f t="shared" si="14"/>
        <v>334155.45</v>
      </c>
      <c r="AN94" s="399">
        <v>72.5</v>
      </c>
      <c r="AO94" s="402">
        <v>1857</v>
      </c>
      <c r="AP94" s="480">
        <v>-69478.42</v>
      </c>
      <c r="AQ94" s="490"/>
      <c r="AR94" s="490">
        <v>-751.17</v>
      </c>
      <c r="AS94" s="520">
        <v>0.8</v>
      </c>
      <c r="AT94" s="533">
        <v>5017236.21</v>
      </c>
      <c r="AU94" s="533">
        <f>14300+1585.35</f>
        <v>15885.35</v>
      </c>
      <c r="AV94" s="533">
        <v>16001.68</v>
      </c>
      <c r="AW94" s="533">
        <v>334155.45</v>
      </c>
      <c r="AX94" s="533">
        <v>0</v>
      </c>
      <c r="AY94" s="533">
        <v>-69478.42</v>
      </c>
      <c r="AZ94" s="533">
        <v>0</v>
      </c>
      <c r="BA94" s="533">
        <v>-751.17</v>
      </c>
      <c r="BB94" s="480">
        <f t="shared" si="15"/>
        <v>0</v>
      </c>
      <c r="BC94" s="480">
        <f t="shared" si="16"/>
        <v>0</v>
      </c>
      <c r="BD94" s="480">
        <f t="shared" si="17"/>
        <v>0</v>
      </c>
      <c r="BE94" s="480">
        <f t="shared" si="18"/>
        <v>0</v>
      </c>
      <c r="BF94" s="480">
        <f t="shared" si="19"/>
        <v>0</v>
      </c>
      <c r="BG94" s="480">
        <f t="shared" si="20"/>
        <v>0</v>
      </c>
      <c r="BH94" s="480">
        <f t="shared" si="21"/>
        <v>0</v>
      </c>
      <c r="BI94" s="6">
        <f t="shared" si="22"/>
        <v>5540</v>
      </c>
      <c r="BJ94" s="480" t="str">
        <f t="shared" si="23"/>
        <v>Montilliez</v>
      </c>
    </row>
    <row r="95" spans="1:62" x14ac:dyDescent="0.25">
      <c r="A95" s="341">
        <v>5541</v>
      </c>
      <c r="B95" s="523" t="s">
        <v>431</v>
      </c>
      <c r="C95" s="394">
        <v>2239709.94</v>
      </c>
      <c r="D95" s="394">
        <v>301641.15999999997</v>
      </c>
      <c r="E95" s="391"/>
      <c r="F95" s="394">
        <v>0</v>
      </c>
      <c r="G95" s="394">
        <v>79459.75</v>
      </c>
      <c r="H95" s="394">
        <v>2703.75</v>
      </c>
      <c r="I95" s="394">
        <v>0</v>
      </c>
      <c r="J95" s="394">
        <v>11363.73</v>
      </c>
      <c r="K95" s="394">
        <v>1456.65</v>
      </c>
      <c r="L95" s="394">
        <v>209672.85</v>
      </c>
      <c r="M95" s="334">
        <f t="shared" si="12"/>
        <v>2846007.83</v>
      </c>
      <c r="N95" s="398">
        <v>9196.2999999999993</v>
      </c>
      <c r="O95" s="398">
        <v>109740.5</v>
      </c>
      <c r="P95" s="398">
        <v>98100.45</v>
      </c>
      <c r="Q95" s="398">
        <v>0</v>
      </c>
      <c r="R95" s="398">
        <v>46579.8</v>
      </c>
      <c r="S95" s="398"/>
      <c r="T95" s="398"/>
      <c r="U95" s="398">
        <v>7700</v>
      </c>
      <c r="V95" s="398"/>
      <c r="W95" s="398"/>
      <c r="X95" s="382">
        <v>9855.26</v>
      </c>
      <c r="Y95" s="485">
        <f t="shared" si="13"/>
        <v>3127180.1399999997</v>
      </c>
      <c r="Z95" s="399">
        <v>21424.799999999999</v>
      </c>
      <c r="AA95" s="399"/>
      <c r="AB95" s="399">
        <v>65239.8</v>
      </c>
      <c r="AC95" s="399"/>
      <c r="AD95" s="399">
        <v>64248.65</v>
      </c>
      <c r="AE95" s="399">
        <v>32666.35</v>
      </c>
      <c r="AF95" s="399"/>
      <c r="AG95" s="399"/>
      <c r="AH95" s="399"/>
      <c r="AI95" s="399"/>
      <c r="AJ95" s="399"/>
      <c r="AK95" s="399"/>
      <c r="AL95" s="477"/>
      <c r="AM95" s="485">
        <f t="shared" si="14"/>
        <v>183579.6</v>
      </c>
      <c r="AN95" s="399">
        <v>75.5</v>
      </c>
      <c r="AO95" s="402">
        <v>1153</v>
      </c>
      <c r="AP95" s="480">
        <v>-62440.43</v>
      </c>
      <c r="AQ95" s="490"/>
      <c r="AR95" s="490">
        <v>-27.51</v>
      </c>
      <c r="AS95" s="520">
        <v>1</v>
      </c>
      <c r="AT95" s="533">
        <v>3127180.14</v>
      </c>
      <c r="AU95" s="533">
        <v>7700</v>
      </c>
      <c r="AV95" s="533">
        <v>9855.26</v>
      </c>
      <c r="AW95" s="533">
        <v>183579.6</v>
      </c>
      <c r="AX95" s="533">
        <v>0</v>
      </c>
      <c r="AY95" s="533">
        <v>-62440.43</v>
      </c>
      <c r="AZ95" s="533">
        <v>0</v>
      </c>
      <c r="BA95" s="533">
        <v>-27.51</v>
      </c>
      <c r="BB95" s="480">
        <f t="shared" si="15"/>
        <v>0</v>
      </c>
      <c r="BC95" s="480">
        <f t="shared" si="16"/>
        <v>0</v>
      </c>
      <c r="BD95" s="480">
        <f t="shared" si="17"/>
        <v>0</v>
      </c>
      <c r="BE95" s="480">
        <f t="shared" si="18"/>
        <v>0</v>
      </c>
      <c r="BF95" s="480">
        <f t="shared" si="19"/>
        <v>0</v>
      </c>
      <c r="BG95" s="480">
        <f t="shared" si="20"/>
        <v>0</v>
      </c>
      <c r="BH95" s="480">
        <f t="shared" si="21"/>
        <v>0</v>
      </c>
      <c r="BI95" s="6">
        <f t="shared" si="22"/>
        <v>5541</v>
      </c>
      <c r="BJ95" s="480" t="str">
        <f t="shared" si="23"/>
        <v>Goumoëns</v>
      </c>
    </row>
    <row r="96" spans="1:62" x14ac:dyDescent="0.25">
      <c r="A96" s="341">
        <v>5551</v>
      </c>
      <c r="B96" s="523" t="s">
        <v>33</v>
      </c>
      <c r="C96" s="394">
        <v>786824.99</v>
      </c>
      <c r="D96" s="394">
        <v>133990.73000000001</v>
      </c>
      <c r="E96" s="391"/>
      <c r="F96" s="394">
        <v>0</v>
      </c>
      <c r="G96" s="394">
        <v>8216.35</v>
      </c>
      <c r="H96" s="394">
        <v>2729.55</v>
      </c>
      <c r="I96" s="394">
        <v>0</v>
      </c>
      <c r="J96" s="394">
        <v>-2026.29</v>
      </c>
      <c r="K96" s="394">
        <v>16988.400000000001</v>
      </c>
      <c r="L96" s="394">
        <v>113115.6</v>
      </c>
      <c r="M96" s="334">
        <f t="shared" si="12"/>
        <v>1059839.33</v>
      </c>
      <c r="N96" s="398">
        <v>30909.3</v>
      </c>
      <c r="O96" s="398">
        <v>120.5</v>
      </c>
      <c r="P96" s="398">
        <v>15785</v>
      </c>
      <c r="Q96" s="398">
        <v>0</v>
      </c>
      <c r="R96" s="398">
        <v>15577.45</v>
      </c>
      <c r="S96" s="398"/>
      <c r="T96" s="398"/>
      <c r="U96" s="398">
        <v>2990.5</v>
      </c>
      <c r="V96" s="398"/>
      <c r="W96" s="398"/>
      <c r="X96" s="382">
        <v>1312.93</v>
      </c>
      <c r="Y96" s="485">
        <f t="shared" si="13"/>
        <v>1126535.01</v>
      </c>
      <c r="Z96" s="399">
        <v>3456</v>
      </c>
      <c r="AA96" s="399">
        <v>40761</v>
      </c>
      <c r="AB96" s="399">
        <v>40329</v>
      </c>
      <c r="AC96" s="399"/>
      <c r="AD96" s="399">
        <v>32426.35</v>
      </c>
      <c r="AE96" s="399">
        <v>3840</v>
      </c>
      <c r="AF96" s="399"/>
      <c r="AG96" s="399"/>
      <c r="AH96" s="399">
        <v>2082</v>
      </c>
      <c r="AI96" s="399"/>
      <c r="AJ96" s="399"/>
      <c r="AK96" s="399"/>
      <c r="AL96" s="477"/>
      <c r="AM96" s="485">
        <f t="shared" si="14"/>
        <v>122894.35</v>
      </c>
      <c r="AN96" s="399">
        <v>55</v>
      </c>
      <c r="AO96" s="402">
        <v>489</v>
      </c>
      <c r="AP96" s="480">
        <v>-5687.44</v>
      </c>
      <c r="AQ96" s="490"/>
      <c r="AR96" s="490">
        <v>-1849.91</v>
      </c>
      <c r="AS96" s="520">
        <v>1</v>
      </c>
      <c r="AT96" s="533">
        <v>1126535.01</v>
      </c>
      <c r="AU96" s="533">
        <v>2990.5</v>
      </c>
      <c r="AV96" s="533">
        <v>1312.93</v>
      </c>
      <c r="AW96" s="533">
        <v>122894.35</v>
      </c>
      <c r="AX96" s="533"/>
      <c r="AY96" s="533">
        <v>-5687.44</v>
      </c>
      <c r="AZ96" s="533">
        <v>0</v>
      </c>
      <c r="BA96" s="533">
        <v>-1849.91</v>
      </c>
      <c r="BB96" s="480">
        <f t="shared" si="15"/>
        <v>0</v>
      </c>
      <c r="BC96" s="480">
        <f t="shared" si="16"/>
        <v>0</v>
      </c>
      <c r="BD96" s="480">
        <f t="shared" si="17"/>
        <v>0</v>
      </c>
      <c r="BE96" s="480">
        <f t="shared" si="18"/>
        <v>0</v>
      </c>
      <c r="BF96" s="480">
        <f t="shared" si="19"/>
        <v>0</v>
      </c>
      <c r="BG96" s="480">
        <f t="shared" si="20"/>
        <v>0</v>
      </c>
      <c r="BH96" s="480">
        <f t="shared" si="21"/>
        <v>0</v>
      </c>
      <c r="BI96" s="6">
        <f t="shared" si="22"/>
        <v>5551</v>
      </c>
      <c r="BJ96" s="480" t="str">
        <f t="shared" si="23"/>
        <v>Bonvillars</v>
      </c>
    </row>
    <row r="97" spans="1:62" x14ac:dyDescent="0.25">
      <c r="A97" s="341">
        <v>5552</v>
      </c>
      <c r="B97" s="523" t="s">
        <v>34</v>
      </c>
      <c r="C97" s="394">
        <v>950916.19</v>
      </c>
      <c r="D97" s="394">
        <v>176423.96</v>
      </c>
      <c r="E97" s="391"/>
      <c r="F97" s="394">
        <v>0</v>
      </c>
      <c r="G97" s="394">
        <v>-5547.7</v>
      </c>
      <c r="H97" s="394">
        <v>1950.05</v>
      </c>
      <c r="I97" s="394">
        <v>0</v>
      </c>
      <c r="J97" s="394">
        <v>15639.79</v>
      </c>
      <c r="K97" s="394">
        <v>-502.9</v>
      </c>
      <c r="L97" s="394">
        <v>122528.45</v>
      </c>
      <c r="M97" s="334">
        <f t="shared" si="12"/>
        <v>1261407.8400000001</v>
      </c>
      <c r="N97" s="398">
        <v>65482.45</v>
      </c>
      <c r="O97" s="398">
        <v>3247.6</v>
      </c>
      <c r="P97" s="398">
        <v>49797</v>
      </c>
      <c r="Q97" s="398">
        <v>1394.42</v>
      </c>
      <c r="R97" s="398">
        <v>51954.95</v>
      </c>
      <c r="S97" s="398"/>
      <c r="T97" s="398"/>
      <c r="U97" s="398">
        <v>5698</v>
      </c>
      <c r="V97" s="398"/>
      <c r="W97" s="398"/>
      <c r="X97" s="382">
        <v>-431.53</v>
      </c>
      <c r="Y97" s="485">
        <f t="shared" si="13"/>
        <v>1438550.73</v>
      </c>
      <c r="Z97" s="399">
        <v>4000</v>
      </c>
      <c r="AA97" s="399"/>
      <c r="AB97" s="399">
        <v>108915.5</v>
      </c>
      <c r="AC97" s="399"/>
      <c r="AD97" s="399">
        <v>73718.289999999994</v>
      </c>
      <c r="AE97" s="399">
        <v>3714.02</v>
      </c>
      <c r="AF97" s="399"/>
      <c r="AG97" s="399"/>
      <c r="AH97" s="399">
        <v>97755.8</v>
      </c>
      <c r="AI97" s="399">
        <v>22258.2</v>
      </c>
      <c r="AJ97" s="399"/>
      <c r="AK97" s="399"/>
      <c r="AL97" s="477"/>
      <c r="AM97" s="485">
        <f t="shared" si="14"/>
        <v>310361.81</v>
      </c>
      <c r="AN97" s="399">
        <v>71.5</v>
      </c>
      <c r="AO97" s="402">
        <v>657</v>
      </c>
      <c r="AP97" s="480">
        <v>-6720.92</v>
      </c>
      <c r="AQ97" s="490"/>
      <c r="AR97" s="490">
        <v>-365.96</v>
      </c>
      <c r="AS97" s="520">
        <v>1</v>
      </c>
      <c r="AT97" s="533">
        <v>1438550.73</v>
      </c>
      <c r="AU97" s="533">
        <v>5698</v>
      </c>
      <c r="AV97" s="533">
        <v>-431.53</v>
      </c>
      <c r="AW97" s="533">
        <v>310361.81</v>
      </c>
      <c r="AX97" s="533">
        <v>0</v>
      </c>
      <c r="AY97" s="533">
        <v>-6720.92</v>
      </c>
      <c r="AZ97" s="533">
        <v>0</v>
      </c>
      <c r="BA97" s="533">
        <v>-365.96</v>
      </c>
      <c r="BB97" s="480">
        <f t="shared" si="15"/>
        <v>0</v>
      </c>
      <c r="BC97" s="480">
        <f t="shared" si="16"/>
        <v>0</v>
      </c>
      <c r="BD97" s="480">
        <f t="shared" si="17"/>
        <v>0</v>
      </c>
      <c r="BE97" s="480">
        <f t="shared" si="18"/>
        <v>0</v>
      </c>
      <c r="BF97" s="480">
        <f t="shared" si="19"/>
        <v>0</v>
      </c>
      <c r="BG97" s="480">
        <f t="shared" si="20"/>
        <v>0</v>
      </c>
      <c r="BH97" s="480">
        <f t="shared" si="21"/>
        <v>0</v>
      </c>
      <c r="BI97" s="6">
        <f t="shared" si="22"/>
        <v>5552</v>
      </c>
      <c r="BJ97" s="480" t="str">
        <f t="shared" si="23"/>
        <v>Bullet</v>
      </c>
    </row>
    <row r="98" spans="1:62" x14ac:dyDescent="0.25">
      <c r="A98" s="341">
        <v>5553</v>
      </c>
      <c r="B98" s="523" t="s">
        <v>35</v>
      </c>
      <c r="C98" s="394">
        <v>1743747.65</v>
      </c>
      <c r="D98" s="394">
        <v>245397.49</v>
      </c>
      <c r="E98" s="391"/>
      <c r="F98" s="394">
        <v>0</v>
      </c>
      <c r="G98" s="394">
        <v>135210.1</v>
      </c>
      <c r="H98" s="394">
        <v>41707.300000000003</v>
      </c>
      <c r="I98" s="394">
        <v>0</v>
      </c>
      <c r="J98" s="394">
        <v>75757.75</v>
      </c>
      <c r="K98" s="394">
        <v>27799.65</v>
      </c>
      <c r="L98" s="394">
        <v>231568.6</v>
      </c>
      <c r="M98" s="334">
        <f t="shared" si="12"/>
        <v>2501188.5399999996</v>
      </c>
      <c r="N98" s="398">
        <v>172905.8</v>
      </c>
      <c r="O98" s="398">
        <v>157011.4</v>
      </c>
      <c r="P98" s="398">
        <v>34246.300000000003</v>
      </c>
      <c r="Q98" s="398">
        <v>1474.94</v>
      </c>
      <c r="R98" s="398">
        <v>19029.7</v>
      </c>
      <c r="S98" s="398"/>
      <c r="T98" s="398"/>
      <c r="U98" s="398">
        <v>6250</v>
      </c>
      <c r="V98" s="398"/>
      <c r="W98" s="398"/>
      <c r="X98" s="382">
        <v>21220.69</v>
      </c>
      <c r="Y98" s="485">
        <f t="shared" si="13"/>
        <v>2913327.3699999992</v>
      </c>
      <c r="Z98" s="399">
        <v>5789.85</v>
      </c>
      <c r="AA98" s="399"/>
      <c r="AB98" s="399">
        <v>142709.20000000001</v>
      </c>
      <c r="AC98" s="399"/>
      <c r="AD98" s="399">
        <v>78059.899999999994</v>
      </c>
      <c r="AE98" s="399">
        <v>7029.4</v>
      </c>
      <c r="AF98" s="399"/>
      <c r="AG98" s="399"/>
      <c r="AH98" s="399"/>
      <c r="AI98" s="399">
        <v>79328.899999999994</v>
      </c>
      <c r="AJ98" s="399"/>
      <c r="AK98" s="399"/>
      <c r="AL98" s="477"/>
      <c r="AM98" s="485">
        <f t="shared" si="14"/>
        <v>312917.25</v>
      </c>
      <c r="AN98" s="399">
        <v>65</v>
      </c>
      <c r="AO98" s="402">
        <v>1061</v>
      </c>
      <c r="AP98" s="480">
        <v>-9025.49</v>
      </c>
      <c r="AQ98" s="490"/>
      <c r="AR98" s="490">
        <v>-569.12</v>
      </c>
      <c r="AS98" s="520">
        <v>1</v>
      </c>
      <c r="AT98" s="533">
        <v>2913327.37</v>
      </c>
      <c r="AU98" s="533">
        <v>6250</v>
      </c>
      <c r="AV98" s="533">
        <v>21220.69</v>
      </c>
      <c r="AW98" s="533">
        <v>312917.25</v>
      </c>
      <c r="AX98" s="533">
        <v>0</v>
      </c>
      <c r="AY98" s="533">
        <v>-9025.49</v>
      </c>
      <c r="AZ98" s="533">
        <v>0</v>
      </c>
      <c r="BA98" s="533">
        <v>-569.12</v>
      </c>
      <c r="BB98" s="480">
        <f t="shared" si="15"/>
        <v>0</v>
      </c>
      <c r="BC98" s="480">
        <f t="shared" si="16"/>
        <v>0</v>
      </c>
      <c r="BD98" s="480">
        <f t="shared" si="17"/>
        <v>0</v>
      </c>
      <c r="BE98" s="480">
        <f t="shared" si="18"/>
        <v>0</v>
      </c>
      <c r="BF98" s="480">
        <f t="shared" si="19"/>
        <v>0</v>
      </c>
      <c r="BG98" s="480">
        <f t="shared" si="20"/>
        <v>0</v>
      </c>
      <c r="BH98" s="480">
        <f t="shared" si="21"/>
        <v>0</v>
      </c>
      <c r="BI98" s="6">
        <f t="shared" si="22"/>
        <v>5553</v>
      </c>
      <c r="BJ98" s="480" t="str">
        <f t="shared" si="23"/>
        <v>Champagne</v>
      </c>
    </row>
    <row r="99" spans="1:62" x14ac:dyDescent="0.25">
      <c r="A99" s="341">
        <v>5554</v>
      </c>
      <c r="B99" s="523" t="s">
        <v>36</v>
      </c>
      <c r="C99" s="394">
        <v>1769610.28</v>
      </c>
      <c r="D99" s="394">
        <v>446440.39</v>
      </c>
      <c r="E99" s="391"/>
      <c r="F99" s="394">
        <v>0</v>
      </c>
      <c r="G99" s="394">
        <v>22460.7</v>
      </c>
      <c r="H99" s="394">
        <v>422.15</v>
      </c>
      <c r="I99" s="394">
        <v>0</v>
      </c>
      <c r="J99" s="394">
        <v>36519.08</v>
      </c>
      <c r="K99" s="394">
        <v>-11415.05</v>
      </c>
      <c r="L99" s="394">
        <v>182402.2</v>
      </c>
      <c r="M99" s="334">
        <f t="shared" si="12"/>
        <v>2446439.7500000005</v>
      </c>
      <c r="N99" s="398">
        <v>2598.0500000000002</v>
      </c>
      <c r="O99" s="398">
        <v>106619.5</v>
      </c>
      <c r="P99" s="398">
        <v>86010.05</v>
      </c>
      <c r="Q99" s="398">
        <v>8111.93</v>
      </c>
      <c r="R99" s="398">
        <v>55126.95</v>
      </c>
      <c r="S99" s="398">
        <v>551.95000000000005</v>
      </c>
      <c r="T99" s="398"/>
      <c r="U99" s="398">
        <v>5812.5</v>
      </c>
      <c r="V99" s="398"/>
      <c r="W99" s="398"/>
      <c r="X99" s="382">
        <v>2744.73</v>
      </c>
      <c r="Y99" s="485">
        <f t="shared" si="13"/>
        <v>2714015.4100000006</v>
      </c>
      <c r="Z99" s="399"/>
      <c r="AA99" s="399">
        <v>48279</v>
      </c>
      <c r="AB99" s="399">
        <v>120697.5</v>
      </c>
      <c r="AC99" s="399">
        <v>218295</v>
      </c>
      <c r="AD99" s="399">
        <v>57072.05</v>
      </c>
      <c r="AE99" s="399"/>
      <c r="AF99" s="399"/>
      <c r="AG99" s="399"/>
      <c r="AH99" s="399">
        <v>26565.15</v>
      </c>
      <c r="AI99" s="399"/>
      <c r="AJ99" s="399"/>
      <c r="AK99" s="399"/>
      <c r="AL99" s="477"/>
      <c r="AM99" s="485">
        <f t="shared" si="14"/>
        <v>470908.7</v>
      </c>
      <c r="AN99" s="399">
        <v>75</v>
      </c>
      <c r="AO99" s="402">
        <v>1001</v>
      </c>
      <c r="AP99" s="480">
        <v>-27154.080000000002</v>
      </c>
      <c r="AQ99" s="490"/>
      <c r="AR99" s="490">
        <v>-5552</v>
      </c>
      <c r="AS99" s="520">
        <v>1</v>
      </c>
      <c r="AT99" s="533">
        <f>2713221.61-1950.93+2744.73</f>
        <v>2714015.4099999997</v>
      </c>
      <c r="AU99" s="533">
        <f>551.95+5812.5</f>
        <v>6364.45</v>
      </c>
      <c r="AV99" s="533">
        <v>2744.73</v>
      </c>
      <c r="AW99" s="533">
        <v>470908.7</v>
      </c>
      <c r="AX99" s="533">
        <v>0</v>
      </c>
      <c r="AY99" s="533">
        <v>-27154.080000000002</v>
      </c>
      <c r="AZ99" s="533">
        <v>0</v>
      </c>
      <c r="BA99" s="533">
        <v>-5552</v>
      </c>
      <c r="BB99" s="480">
        <f t="shared" si="15"/>
        <v>0</v>
      </c>
      <c r="BC99" s="480">
        <f t="shared" si="16"/>
        <v>0</v>
      </c>
      <c r="BD99" s="480">
        <f t="shared" si="17"/>
        <v>0</v>
      </c>
      <c r="BE99" s="480">
        <f t="shared" si="18"/>
        <v>0</v>
      </c>
      <c r="BF99" s="480">
        <f t="shared" si="19"/>
        <v>0</v>
      </c>
      <c r="BG99" s="480">
        <f t="shared" si="20"/>
        <v>0</v>
      </c>
      <c r="BH99" s="480">
        <f t="shared" si="21"/>
        <v>0</v>
      </c>
      <c r="BI99" s="6">
        <f t="shared" si="22"/>
        <v>5554</v>
      </c>
      <c r="BJ99" s="480" t="str">
        <f t="shared" si="23"/>
        <v>Concise</v>
      </c>
    </row>
    <row r="100" spans="1:62" x14ac:dyDescent="0.25">
      <c r="A100" s="341">
        <v>5555</v>
      </c>
      <c r="B100" s="523" t="s">
        <v>37</v>
      </c>
      <c r="C100" s="394">
        <v>638521.05000000005</v>
      </c>
      <c r="D100" s="394">
        <v>161554.32</v>
      </c>
      <c r="E100" s="391"/>
      <c r="F100" s="394">
        <v>0</v>
      </c>
      <c r="G100" s="394">
        <v>24744.1</v>
      </c>
      <c r="H100" s="394">
        <v>2261.6999999999998</v>
      </c>
      <c r="I100" s="394">
        <v>0</v>
      </c>
      <c r="J100" s="394">
        <v>17711.75</v>
      </c>
      <c r="K100" s="394">
        <v>2094.9</v>
      </c>
      <c r="L100" s="394">
        <v>90071.4</v>
      </c>
      <c r="M100" s="334">
        <f t="shared" si="12"/>
        <v>936959.22000000009</v>
      </c>
      <c r="N100" s="398">
        <v>8366.85</v>
      </c>
      <c r="O100" s="398">
        <v>100965</v>
      </c>
      <c r="P100" s="398">
        <v>46866.6</v>
      </c>
      <c r="Q100" s="398">
        <v>0</v>
      </c>
      <c r="R100" s="398">
        <v>29391.599999999999</v>
      </c>
      <c r="S100" s="398"/>
      <c r="T100" s="398"/>
      <c r="U100" s="398">
        <v>1590</v>
      </c>
      <c r="V100" s="398"/>
      <c r="W100" s="398"/>
      <c r="X100" s="382">
        <v>3239.26</v>
      </c>
      <c r="Y100" s="485">
        <f t="shared" si="13"/>
        <v>1127378.5300000003</v>
      </c>
      <c r="Z100" s="399">
        <v>2052</v>
      </c>
      <c r="AA100" s="399"/>
      <c r="AB100" s="399">
        <v>105117</v>
      </c>
      <c r="AC100" s="399"/>
      <c r="AD100" s="399">
        <v>21061.55</v>
      </c>
      <c r="AE100" s="399">
        <v>3420</v>
      </c>
      <c r="AF100" s="399"/>
      <c r="AG100" s="399"/>
      <c r="AH100" s="399">
        <v>10064.5</v>
      </c>
      <c r="AI100" s="399">
        <v>8458.5</v>
      </c>
      <c r="AJ100" s="399"/>
      <c r="AK100" s="399"/>
      <c r="AL100" s="477"/>
      <c r="AM100" s="485">
        <f t="shared" si="14"/>
        <v>150173.54999999999</v>
      </c>
      <c r="AN100" s="399">
        <v>69</v>
      </c>
      <c r="AO100" s="402">
        <v>419</v>
      </c>
      <c r="AP100" s="480">
        <v>-3578.72</v>
      </c>
      <c r="AQ100" s="490"/>
      <c r="AR100" s="490">
        <v>-252.22</v>
      </c>
      <c r="AS100" s="520">
        <v>1</v>
      </c>
      <c r="AT100" s="533">
        <v>1127378.53</v>
      </c>
      <c r="AU100" s="533">
        <v>1590</v>
      </c>
      <c r="AV100" s="533">
        <v>3239.26</v>
      </c>
      <c r="AW100" s="533">
        <v>150173.54999999999</v>
      </c>
      <c r="AX100" s="533">
        <v>0</v>
      </c>
      <c r="AY100" s="533">
        <v>-3578.72</v>
      </c>
      <c r="AZ100" s="533">
        <v>0</v>
      </c>
      <c r="BA100" s="533">
        <v>-252.22</v>
      </c>
      <c r="BB100" s="480">
        <f t="shared" si="15"/>
        <v>0</v>
      </c>
      <c r="BC100" s="480">
        <f t="shared" si="16"/>
        <v>0</v>
      </c>
      <c r="BD100" s="480">
        <f t="shared" si="17"/>
        <v>0</v>
      </c>
      <c r="BE100" s="480">
        <f t="shared" si="18"/>
        <v>0</v>
      </c>
      <c r="BF100" s="480">
        <f t="shared" si="19"/>
        <v>0</v>
      </c>
      <c r="BG100" s="480">
        <f t="shared" si="20"/>
        <v>0</v>
      </c>
      <c r="BH100" s="480">
        <f t="shared" si="21"/>
        <v>0</v>
      </c>
      <c r="BI100" s="6">
        <f t="shared" si="22"/>
        <v>5555</v>
      </c>
      <c r="BJ100" s="480" t="str">
        <f t="shared" si="23"/>
        <v>Corcelles-près-Concise</v>
      </c>
    </row>
    <row r="101" spans="1:62" x14ac:dyDescent="0.25">
      <c r="A101" s="341">
        <v>5556</v>
      </c>
      <c r="B101" s="523" t="s">
        <v>38</v>
      </c>
      <c r="C101" s="394">
        <v>801630.2</v>
      </c>
      <c r="D101" s="394">
        <v>83009.83</v>
      </c>
      <c r="E101" s="391"/>
      <c r="F101" s="394">
        <v>2420</v>
      </c>
      <c r="G101" s="394">
        <v>15836.05</v>
      </c>
      <c r="H101" s="394">
        <v>142.05000000000001</v>
      </c>
      <c r="I101" s="394">
        <v>0</v>
      </c>
      <c r="J101" s="394">
        <v>14914.82</v>
      </c>
      <c r="K101" s="394">
        <v>1271.6500000000001</v>
      </c>
      <c r="L101" s="394">
        <v>87296.85</v>
      </c>
      <c r="M101" s="334">
        <f t="shared" si="12"/>
        <v>1006521.45</v>
      </c>
      <c r="N101" s="398">
        <v>0</v>
      </c>
      <c r="O101" s="398">
        <v>0</v>
      </c>
      <c r="P101" s="398">
        <v>58162.5</v>
      </c>
      <c r="Q101" s="398">
        <v>0</v>
      </c>
      <c r="R101" s="398">
        <v>32570.45</v>
      </c>
      <c r="S101" s="398"/>
      <c r="T101" s="398"/>
      <c r="U101" s="398">
        <v>2516.3000000000002</v>
      </c>
      <c r="V101" s="398"/>
      <c r="W101" s="398"/>
      <c r="X101" s="382">
        <v>1916.52</v>
      </c>
      <c r="Y101" s="485">
        <f t="shared" si="13"/>
        <v>1101687.22</v>
      </c>
      <c r="Z101" s="399"/>
      <c r="AA101" s="399"/>
      <c r="AB101" s="399">
        <v>72003.199999999997</v>
      </c>
      <c r="AC101" s="399"/>
      <c r="AD101" s="399">
        <v>17701.099999999999</v>
      </c>
      <c r="AE101" s="399"/>
      <c r="AF101" s="399"/>
      <c r="AG101" s="399"/>
      <c r="AH101" s="399">
        <v>480</v>
      </c>
      <c r="AI101" s="399"/>
      <c r="AJ101" s="399"/>
      <c r="AK101" s="399"/>
      <c r="AL101" s="477"/>
      <c r="AM101" s="485">
        <f t="shared" si="14"/>
        <v>90184.299999999988</v>
      </c>
      <c r="AN101" s="399">
        <v>69</v>
      </c>
      <c r="AO101" s="402">
        <v>451</v>
      </c>
      <c r="AP101" s="480">
        <v>-40554.980000000003</v>
      </c>
      <c r="AQ101" s="490"/>
      <c r="AR101" s="490">
        <v>0</v>
      </c>
      <c r="AS101" s="520">
        <v>1.2</v>
      </c>
      <c r="AT101" s="533">
        <v>1101687.22</v>
      </c>
      <c r="AU101" s="533">
        <v>2516.3000000000002</v>
      </c>
      <c r="AV101" s="533">
        <v>1916.52</v>
      </c>
      <c r="AW101" s="533">
        <v>90184.3</v>
      </c>
      <c r="AX101" s="533">
        <v>0</v>
      </c>
      <c r="AY101" s="533">
        <v>-40554.980000000003</v>
      </c>
      <c r="AZ101" s="533">
        <v>0</v>
      </c>
      <c r="BA101" s="533">
        <v>0</v>
      </c>
      <c r="BB101" s="480">
        <f t="shared" si="15"/>
        <v>0</v>
      </c>
      <c r="BC101" s="480">
        <f t="shared" si="16"/>
        <v>0</v>
      </c>
      <c r="BD101" s="480">
        <f t="shared" si="17"/>
        <v>0</v>
      </c>
      <c r="BE101" s="480">
        <f t="shared" si="18"/>
        <v>0</v>
      </c>
      <c r="BF101" s="480">
        <f t="shared" si="19"/>
        <v>0</v>
      </c>
      <c r="BG101" s="480">
        <f t="shared" si="20"/>
        <v>0</v>
      </c>
      <c r="BH101" s="480">
        <f t="shared" si="21"/>
        <v>0</v>
      </c>
      <c r="BI101" s="6">
        <f t="shared" si="22"/>
        <v>5556</v>
      </c>
      <c r="BJ101" s="480" t="str">
        <f t="shared" si="23"/>
        <v>Fiez</v>
      </c>
    </row>
    <row r="102" spans="1:62" x14ac:dyDescent="0.25">
      <c r="A102" s="341">
        <v>5557</v>
      </c>
      <c r="B102" s="523" t="s">
        <v>39</v>
      </c>
      <c r="C102" s="394">
        <v>341351.41</v>
      </c>
      <c r="D102" s="394">
        <v>41149.370000000003</v>
      </c>
      <c r="E102" s="391"/>
      <c r="F102" s="394">
        <v>1040</v>
      </c>
      <c r="G102" s="394">
        <v>-10515.55</v>
      </c>
      <c r="H102" s="394">
        <v>92.1</v>
      </c>
      <c r="I102" s="394">
        <v>0</v>
      </c>
      <c r="J102" s="394">
        <v>229.55</v>
      </c>
      <c r="K102" s="394">
        <v>1136.45</v>
      </c>
      <c r="L102" s="394">
        <v>36690.800000000003</v>
      </c>
      <c r="M102" s="334">
        <f t="shared" si="12"/>
        <v>411174.12999999995</v>
      </c>
      <c r="N102" s="398">
        <v>0</v>
      </c>
      <c r="O102" s="398">
        <v>58410</v>
      </c>
      <c r="P102" s="398">
        <v>6329.6</v>
      </c>
      <c r="Q102" s="398">
        <v>3338.97</v>
      </c>
      <c r="R102" s="398">
        <v>170.15</v>
      </c>
      <c r="S102" s="398"/>
      <c r="T102" s="398"/>
      <c r="U102" s="398">
        <v>610</v>
      </c>
      <c r="V102" s="398"/>
      <c r="W102" s="398"/>
      <c r="X102" s="382">
        <v>-1250.26</v>
      </c>
      <c r="Y102" s="485">
        <f t="shared" si="13"/>
        <v>478782.58999999991</v>
      </c>
      <c r="Z102" s="399"/>
      <c r="AA102" s="399"/>
      <c r="AB102" s="399">
        <v>26200</v>
      </c>
      <c r="AC102" s="399"/>
      <c r="AD102" s="399">
        <v>14050.5</v>
      </c>
      <c r="AE102" s="399"/>
      <c r="AF102" s="399"/>
      <c r="AG102" s="399"/>
      <c r="AH102" s="399"/>
      <c r="AI102" s="399"/>
      <c r="AJ102" s="399"/>
      <c r="AK102" s="399"/>
      <c r="AL102" s="477"/>
      <c r="AM102" s="485">
        <f t="shared" si="14"/>
        <v>40250.5</v>
      </c>
      <c r="AN102" s="399">
        <v>69</v>
      </c>
      <c r="AO102" s="402">
        <v>219</v>
      </c>
      <c r="AP102" s="480">
        <v>-7520.21</v>
      </c>
      <c r="AQ102" s="490"/>
      <c r="AR102" s="490">
        <v>-0.03</v>
      </c>
      <c r="AS102" s="520">
        <v>1</v>
      </c>
      <c r="AT102" s="533">
        <v>478782.59</v>
      </c>
      <c r="AU102" s="533">
        <v>610</v>
      </c>
      <c r="AV102" s="533">
        <v>-1250.26</v>
      </c>
      <c r="AW102" s="533">
        <v>40250.5</v>
      </c>
      <c r="AX102" s="533">
        <v>0</v>
      </c>
      <c r="AY102" s="533">
        <v>-7520.21</v>
      </c>
      <c r="AZ102" s="533">
        <v>0</v>
      </c>
      <c r="BA102" s="533">
        <v>-0.03</v>
      </c>
      <c r="BB102" s="480">
        <f t="shared" si="15"/>
        <v>0</v>
      </c>
      <c r="BC102" s="480">
        <f t="shared" si="16"/>
        <v>0</v>
      </c>
      <c r="BD102" s="480">
        <f t="shared" si="17"/>
        <v>0</v>
      </c>
      <c r="BE102" s="480">
        <f t="shared" si="18"/>
        <v>0</v>
      </c>
      <c r="BF102" s="480">
        <f t="shared" si="19"/>
        <v>0</v>
      </c>
      <c r="BG102" s="480">
        <f t="shared" si="20"/>
        <v>0</v>
      </c>
      <c r="BH102" s="480">
        <f t="shared" si="21"/>
        <v>0</v>
      </c>
      <c r="BI102" s="6">
        <f t="shared" si="22"/>
        <v>5557</v>
      </c>
      <c r="BJ102" s="480" t="str">
        <f t="shared" si="23"/>
        <v>Fontaines-sur-Grandson</v>
      </c>
    </row>
    <row r="103" spans="1:62" x14ac:dyDescent="0.25">
      <c r="A103" s="341">
        <v>5559</v>
      </c>
      <c r="B103" s="523" t="s">
        <v>40</v>
      </c>
      <c r="C103" s="394">
        <v>881002.26</v>
      </c>
      <c r="D103" s="394">
        <v>257424.1</v>
      </c>
      <c r="E103" s="391"/>
      <c r="F103" s="394">
        <v>0</v>
      </c>
      <c r="G103" s="394">
        <v>-132533.9</v>
      </c>
      <c r="H103" s="394">
        <v>16530.650000000001</v>
      </c>
      <c r="I103" s="394">
        <v>0</v>
      </c>
      <c r="J103" s="394">
        <v>21462.39</v>
      </c>
      <c r="K103" s="394">
        <v>4011.5</v>
      </c>
      <c r="L103" s="394">
        <v>89093.1</v>
      </c>
      <c r="M103" s="334">
        <f t="shared" si="12"/>
        <v>1136990.1000000001</v>
      </c>
      <c r="N103" s="398">
        <v>15752.1</v>
      </c>
      <c r="O103" s="398">
        <v>1179.0999999999999</v>
      </c>
      <c r="P103" s="398">
        <v>60948.3</v>
      </c>
      <c r="Q103" s="398">
        <v>2580.88</v>
      </c>
      <c r="R103" s="398">
        <v>48456.75</v>
      </c>
      <c r="S103" s="398"/>
      <c r="T103" s="398">
        <v>115.3</v>
      </c>
      <c r="U103" s="398">
        <v>800</v>
      </c>
      <c r="V103" s="398"/>
      <c r="W103" s="398"/>
      <c r="X103" s="382">
        <v>-13914.23</v>
      </c>
      <c r="Y103" s="485">
        <f t="shared" si="13"/>
        <v>1252908.3000000003</v>
      </c>
      <c r="Z103" s="399">
        <v>746.2</v>
      </c>
      <c r="AA103" s="399"/>
      <c r="AB103" s="399">
        <v>75018.100000000006</v>
      </c>
      <c r="AC103" s="399"/>
      <c r="AD103" s="399">
        <v>26181.200000000001</v>
      </c>
      <c r="AE103" s="399">
        <v>11805</v>
      </c>
      <c r="AF103" s="399">
        <v>731.3</v>
      </c>
      <c r="AG103" s="399"/>
      <c r="AH103" s="399">
        <v>5949.2</v>
      </c>
      <c r="AI103" s="399">
        <v>8300</v>
      </c>
      <c r="AJ103" s="399"/>
      <c r="AK103" s="399"/>
      <c r="AL103" s="477"/>
      <c r="AM103" s="485">
        <f t="shared" si="14"/>
        <v>128731</v>
      </c>
      <c r="AN103" s="399">
        <v>66</v>
      </c>
      <c r="AO103" s="402">
        <v>414</v>
      </c>
      <c r="AP103" s="480">
        <v>-10216.77</v>
      </c>
      <c r="AQ103" s="490"/>
      <c r="AR103" s="490">
        <v>-197.15</v>
      </c>
      <c r="AS103" s="520">
        <v>1</v>
      </c>
      <c r="AT103" s="533">
        <v>1252908.3</v>
      </c>
      <c r="AU103" s="533">
        <f>115.3+800</f>
        <v>915.3</v>
      </c>
      <c r="AV103" s="533">
        <v>-13914.23</v>
      </c>
      <c r="AW103" s="533">
        <v>128731</v>
      </c>
      <c r="AX103" s="533">
        <v>0</v>
      </c>
      <c r="AY103" s="533">
        <v>-10216.77</v>
      </c>
      <c r="AZ103" s="533">
        <v>0</v>
      </c>
      <c r="BA103" s="533">
        <v>-197.15</v>
      </c>
      <c r="BB103" s="480">
        <f t="shared" si="15"/>
        <v>0</v>
      </c>
      <c r="BC103" s="480">
        <f t="shared" si="16"/>
        <v>0</v>
      </c>
      <c r="BD103" s="480">
        <f t="shared" si="17"/>
        <v>0</v>
      </c>
      <c r="BE103" s="480">
        <f t="shared" si="18"/>
        <v>0</v>
      </c>
      <c r="BF103" s="480">
        <f t="shared" si="19"/>
        <v>0</v>
      </c>
      <c r="BG103" s="480">
        <f t="shared" si="20"/>
        <v>0</v>
      </c>
      <c r="BH103" s="480">
        <f t="shared" si="21"/>
        <v>0</v>
      </c>
      <c r="BI103" s="6">
        <f t="shared" si="22"/>
        <v>5559</v>
      </c>
      <c r="BJ103" s="480" t="str">
        <f t="shared" si="23"/>
        <v>Giez</v>
      </c>
    </row>
    <row r="104" spans="1:62" x14ac:dyDescent="0.25">
      <c r="A104" s="341">
        <v>5560</v>
      </c>
      <c r="B104" s="523" t="s">
        <v>41</v>
      </c>
      <c r="C104" s="394">
        <v>328216.59000000003</v>
      </c>
      <c r="D104" s="394">
        <v>42596.61</v>
      </c>
      <c r="E104" s="391"/>
      <c r="F104" s="394">
        <v>0</v>
      </c>
      <c r="G104" s="394">
        <v>1000.8</v>
      </c>
      <c r="H104" s="394">
        <v>120.95</v>
      </c>
      <c r="I104" s="394">
        <v>0</v>
      </c>
      <c r="J104" s="394">
        <v>4056.5</v>
      </c>
      <c r="K104" s="394">
        <v>624.20000000000005</v>
      </c>
      <c r="L104" s="394">
        <v>42727.75</v>
      </c>
      <c r="M104" s="334">
        <f t="shared" si="12"/>
        <v>419343.4</v>
      </c>
      <c r="N104" s="398">
        <v>0</v>
      </c>
      <c r="O104" s="398">
        <v>0</v>
      </c>
      <c r="P104" s="398">
        <v>15838.9</v>
      </c>
      <c r="Q104" s="398">
        <v>0</v>
      </c>
      <c r="R104" s="398">
        <v>12286.6</v>
      </c>
      <c r="S104" s="398"/>
      <c r="T104" s="398"/>
      <c r="U104" s="398">
        <v>1475</v>
      </c>
      <c r="V104" s="398"/>
      <c r="W104" s="398"/>
      <c r="X104" s="382">
        <v>134.55000000000001</v>
      </c>
      <c r="Y104" s="485">
        <f t="shared" si="13"/>
        <v>449078.45</v>
      </c>
      <c r="Z104" s="399">
        <v>299</v>
      </c>
      <c r="AA104" s="399"/>
      <c r="AB104" s="399">
        <v>34384.5</v>
      </c>
      <c r="AC104" s="399"/>
      <c r="AD104" s="399">
        <v>13828.65</v>
      </c>
      <c r="AE104" s="399">
        <v>3570</v>
      </c>
      <c r="AF104" s="399"/>
      <c r="AG104" s="399"/>
      <c r="AH104" s="399">
        <v>1218.5</v>
      </c>
      <c r="AI104" s="399"/>
      <c r="AJ104" s="399"/>
      <c r="AK104" s="399"/>
      <c r="AL104" s="477"/>
      <c r="AM104" s="485">
        <f t="shared" si="14"/>
        <v>53300.65</v>
      </c>
      <c r="AN104" s="399">
        <v>68</v>
      </c>
      <c r="AO104" s="402">
        <v>226</v>
      </c>
      <c r="AP104" s="480">
        <v>-61.04</v>
      </c>
      <c r="AQ104" s="490"/>
      <c r="AR104" s="490">
        <v>0</v>
      </c>
      <c r="AS104" s="520">
        <v>1</v>
      </c>
      <c r="AT104" s="533">
        <v>449078.45</v>
      </c>
      <c r="AU104" s="533">
        <v>1475</v>
      </c>
      <c r="AV104" s="533">
        <v>134.55000000000001</v>
      </c>
      <c r="AW104" s="533">
        <v>53300.65</v>
      </c>
      <c r="AX104" s="533">
        <v>0</v>
      </c>
      <c r="AY104" s="533">
        <v>-61.04</v>
      </c>
      <c r="AZ104" s="533">
        <v>0</v>
      </c>
      <c r="BA104" s="533">
        <v>0</v>
      </c>
      <c r="BB104" s="480">
        <f t="shared" si="15"/>
        <v>0</v>
      </c>
      <c r="BC104" s="480">
        <f t="shared" si="16"/>
        <v>0</v>
      </c>
      <c r="BD104" s="480">
        <f t="shared" si="17"/>
        <v>0</v>
      </c>
      <c r="BE104" s="480">
        <f t="shared" si="18"/>
        <v>0</v>
      </c>
      <c r="BF104" s="480">
        <f t="shared" si="19"/>
        <v>0</v>
      </c>
      <c r="BG104" s="480">
        <f t="shared" si="20"/>
        <v>0</v>
      </c>
      <c r="BH104" s="480">
        <f t="shared" si="21"/>
        <v>0</v>
      </c>
      <c r="BI104" s="6">
        <f t="shared" si="22"/>
        <v>5560</v>
      </c>
      <c r="BJ104" s="480" t="str">
        <f t="shared" si="23"/>
        <v>Grandevent</v>
      </c>
    </row>
    <row r="105" spans="1:62" x14ac:dyDescent="0.25">
      <c r="A105" s="341">
        <v>5561</v>
      </c>
      <c r="B105" s="523" t="s">
        <v>42</v>
      </c>
      <c r="C105" s="394">
        <v>6030313.6699999999</v>
      </c>
      <c r="D105" s="394">
        <v>1018397.71</v>
      </c>
      <c r="E105" s="391"/>
      <c r="F105" s="394">
        <v>0</v>
      </c>
      <c r="G105" s="394">
        <v>155758.65</v>
      </c>
      <c r="H105" s="394">
        <v>15841.35</v>
      </c>
      <c r="I105" s="394">
        <v>0</v>
      </c>
      <c r="J105" s="394">
        <v>98024.05</v>
      </c>
      <c r="K105" s="394">
        <v>39938</v>
      </c>
      <c r="L105" s="394">
        <v>625231.19999999995</v>
      </c>
      <c r="M105" s="334">
        <f t="shared" si="12"/>
        <v>7983504.6299999999</v>
      </c>
      <c r="N105" s="398">
        <v>401465.1</v>
      </c>
      <c r="O105" s="398">
        <v>33786.199999999997</v>
      </c>
      <c r="P105" s="398">
        <v>302638.40000000002</v>
      </c>
      <c r="Q105" s="398">
        <v>24183.27</v>
      </c>
      <c r="R105" s="398">
        <v>332812.2</v>
      </c>
      <c r="S105" s="398"/>
      <c r="T105" s="398">
        <v>12083.6</v>
      </c>
      <c r="U105" s="398">
        <v>11580</v>
      </c>
      <c r="V105" s="398"/>
      <c r="W105" s="398"/>
      <c r="X105" s="382">
        <v>20582.89</v>
      </c>
      <c r="Y105" s="485">
        <f t="shared" si="13"/>
        <v>9122636.2899999991</v>
      </c>
      <c r="Z105" s="399">
        <v>9209.85</v>
      </c>
      <c r="AA105" s="399"/>
      <c r="AB105" s="399">
        <v>695548.85</v>
      </c>
      <c r="AC105" s="399"/>
      <c r="AD105" s="399">
        <v>346672.6</v>
      </c>
      <c r="AE105" s="399">
        <v>503599.75</v>
      </c>
      <c r="AF105" s="399"/>
      <c r="AG105" s="399"/>
      <c r="AH105" s="399">
        <v>77151.75</v>
      </c>
      <c r="AI105" s="399">
        <v>99790.15</v>
      </c>
      <c r="AJ105" s="399"/>
      <c r="AK105" s="399"/>
      <c r="AL105" s="477"/>
      <c r="AM105" s="485">
        <f t="shared" si="14"/>
        <v>1731972.9499999997</v>
      </c>
      <c r="AN105" s="399">
        <v>69</v>
      </c>
      <c r="AO105" s="402">
        <v>3356</v>
      </c>
      <c r="AP105" s="480">
        <v>-92039.66</v>
      </c>
      <c r="AQ105" s="490"/>
      <c r="AR105" s="490">
        <v>-2215.56</v>
      </c>
      <c r="AS105" s="520">
        <v>1</v>
      </c>
      <c r="AT105" s="533">
        <v>9122636.2899999991</v>
      </c>
      <c r="AU105" s="533">
        <f>12083.6+11580</f>
        <v>23663.599999999999</v>
      </c>
      <c r="AV105" s="533">
        <v>20582.89</v>
      </c>
      <c r="AW105" s="533">
        <v>1731972.95</v>
      </c>
      <c r="AX105" s="533">
        <v>0</v>
      </c>
      <c r="AY105" s="533">
        <v>-92039.66</v>
      </c>
      <c r="AZ105" s="533">
        <v>0</v>
      </c>
      <c r="BA105" s="533">
        <v>-2215.56</v>
      </c>
      <c r="BB105" s="480">
        <f t="shared" si="15"/>
        <v>0</v>
      </c>
      <c r="BC105" s="480">
        <f t="shared" si="16"/>
        <v>0</v>
      </c>
      <c r="BD105" s="480">
        <f t="shared" si="17"/>
        <v>0</v>
      </c>
      <c r="BE105" s="480">
        <f t="shared" si="18"/>
        <v>0</v>
      </c>
      <c r="BF105" s="480">
        <f t="shared" si="19"/>
        <v>0</v>
      </c>
      <c r="BG105" s="480">
        <f t="shared" si="20"/>
        <v>0</v>
      </c>
      <c r="BH105" s="480">
        <f t="shared" si="21"/>
        <v>0</v>
      </c>
      <c r="BI105" s="6">
        <f t="shared" si="22"/>
        <v>5561</v>
      </c>
      <c r="BJ105" s="480" t="str">
        <f t="shared" si="23"/>
        <v>Grandson</v>
      </c>
    </row>
    <row r="106" spans="1:62" x14ac:dyDescent="0.25">
      <c r="A106" s="341">
        <v>5562</v>
      </c>
      <c r="B106" s="523" t="s">
        <v>43</v>
      </c>
      <c r="C106" s="394">
        <v>204964.7</v>
      </c>
      <c r="D106" s="394">
        <v>182366.21</v>
      </c>
      <c r="E106" s="391"/>
      <c r="F106" s="394">
        <v>870</v>
      </c>
      <c r="G106" s="394">
        <v>2247.9</v>
      </c>
      <c r="H106" s="394">
        <v>34.35</v>
      </c>
      <c r="I106" s="394">
        <v>0</v>
      </c>
      <c r="J106" s="394">
        <v>6319.65</v>
      </c>
      <c r="K106" s="394">
        <v>1974.5</v>
      </c>
      <c r="L106" s="394">
        <v>36562.800000000003</v>
      </c>
      <c r="M106" s="334">
        <f t="shared" si="12"/>
        <v>435340.11000000004</v>
      </c>
      <c r="N106" s="398">
        <v>0</v>
      </c>
      <c r="O106" s="398">
        <v>7790.6</v>
      </c>
      <c r="P106" s="398">
        <v>5830</v>
      </c>
      <c r="Q106" s="398">
        <v>0</v>
      </c>
      <c r="R106" s="398">
        <v>11765.3</v>
      </c>
      <c r="S106" s="398"/>
      <c r="T106" s="398">
        <v>50</v>
      </c>
      <c r="U106" s="398">
        <v>400</v>
      </c>
      <c r="V106" s="398"/>
      <c r="W106" s="398"/>
      <c r="X106" s="382">
        <v>273.75</v>
      </c>
      <c r="Y106" s="485">
        <f t="shared" si="13"/>
        <v>461449.76</v>
      </c>
      <c r="Z106" s="399"/>
      <c r="AA106" s="399"/>
      <c r="AB106" s="399">
        <v>11016</v>
      </c>
      <c r="AC106" s="399"/>
      <c r="AD106" s="399">
        <v>14064.85</v>
      </c>
      <c r="AE106" s="399"/>
      <c r="AF106" s="399"/>
      <c r="AG106" s="399"/>
      <c r="AH106" s="399">
        <v>6711.4</v>
      </c>
      <c r="AI106" s="399"/>
      <c r="AJ106" s="399"/>
      <c r="AK106" s="399"/>
      <c r="AL106" s="477"/>
      <c r="AM106" s="485">
        <f t="shared" si="14"/>
        <v>31792.25</v>
      </c>
      <c r="AN106" s="399">
        <v>70</v>
      </c>
      <c r="AO106" s="402">
        <v>128</v>
      </c>
      <c r="AP106" s="480">
        <v>-6905.78</v>
      </c>
      <c r="AQ106" s="490"/>
      <c r="AR106" s="490">
        <v>-13.26</v>
      </c>
      <c r="AS106" s="520">
        <v>1.2</v>
      </c>
      <c r="AT106" s="533">
        <v>461449.76</v>
      </c>
      <c r="AU106" s="533">
        <f>50+400</f>
        <v>450</v>
      </c>
      <c r="AV106" s="533">
        <v>273.75</v>
      </c>
      <c r="AW106" s="533">
        <v>31792.25</v>
      </c>
      <c r="AX106" s="533">
        <v>0</v>
      </c>
      <c r="AY106" s="533">
        <v>-6905.78</v>
      </c>
      <c r="AZ106" s="533">
        <v>0</v>
      </c>
      <c r="BA106" s="533">
        <v>-13.26</v>
      </c>
      <c r="BB106" s="480">
        <f t="shared" si="15"/>
        <v>0</v>
      </c>
      <c r="BC106" s="480">
        <f t="shared" si="16"/>
        <v>0</v>
      </c>
      <c r="BD106" s="480">
        <f t="shared" si="17"/>
        <v>0</v>
      </c>
      <c r="BE106" s="480">
        <f t="shared" si="18"/>
        <v>0</v>
      </c>
      <c r="BF106" s="480">
        <f t="shared" si="19"/>
        <v>0</v>
      </c>
      <c r="BG106" s="480">
        <f t="shared" si="20"/>
        <v>0</v>
      </c>
      <c r="BH106" s="480">
        <f t="shared" si="21"/>
        <v>0</v>
      </c>
      <c r="BI106" s="6">
        <f t="shared" si="22"/>
        <v>5562</v>
      </c>
      <c r="BJ106" s="480" t="str">
        <f t="shared" si="23"/>
        <v>Mauborget</v>
      </c>
    </row>
    <row r="107" spans="1:62" x14ac:dyDescent="0.25">
      <c r="A107" s="341">
        <v>5563</v>
      </c>
      <c r="B107" s="523" t="s">
        <v>285</v>
      </c>
      <c r="C107" s="394">
        <v>286534.48</v>
      </c>
      <c r="D107" s="394">
        <v>20985.02</v>
      </c>
      <c r="E107" s="391"/>
      <c r="F107" s="394">
        <v>546</v>
      </c>
      <c r="G107" s="394">
        <v>427.35</v>
      </c>
      <c r="H107" s="394">
        <v>27.55</v>
      </c>
      <c r="I107" s="394">
        <v>0</v>
      </c>
      <c r="J107" s="394">
        <v>0</v>
      </c>
      <c r="K107" s="394">
        <v>0</v>
      </c>
      <c r="L107" s="394">
        <v>21812.55</v>
      </c>
      <c r="M107" s="334">
        <f t="shared" si="12"/>
        <v>330332.94999999995</v>
      </c>
      <c r="N107" s="398">
        <v>0</v>
      </c>
      <c r="O107" s="398">
        <v>3229.2</v>
      </c>
      <c r="P107" s="398">
        <v>19949.599999999999</v>
      </c>
      <c r="Q107" s="398">
        <v>0</v>
      </c>
      <c r="R107" s="398">
        <v>449.15</v>
      </c>
      <c r="S107" s="398"/>
      <c r="T107" s="398"/>
      <c r="U107" s="398">
        <v>697.95</v>
      </c>
      <c r="V107" s="398"/>
      <c r="W107" s="398"/>
      <c r="X107" s="382">
        <v>54.56</v>
      </c>
      <c r="Y107" s="485">
        <f t="shared" si="13"/>
        <v>354713.41</v>
      </c>
      <c r="Z107" s="399"/>
      <c r="AA107" s="399"/>
      <c r="AB107" s="399">
        <v>31348.45</v>
      </c>
      <c r="AC107" s="399"/>
      <c r="AD107" s="399">
        <v>10437.5</v>
      </c>
      <c r="AE107" s="399"/>
      <c r="AF107" s="399"/>
      <c r="AG107" s="399"/>
      <c r="AH107" s="399"/>
      <c r="AI107" s="399"/>
      <c r="AJ107" s="399"/>
      <c r="AK107" s="399"/>
      <c r="AL107" s="477"/>
      <c r="AM107" s="485">
        <f t="shared" si="14"/>
        <v>41785.949999999997</v>
      </c>
      <c r="AN107" s="399">
        <v>80</v>
      </c>
      <c r="AO107" s="526">
        <v>149</v>
      </c>
      <c r="AP107" s="480">
        <v>-4499.96</v>
      </c>
      <c r="AQ107" s="490"/>
      <c r="AR107" s="490">
        <v>-0.95</v>
      </c>
      <c r="AS107" s="520">
        <v>1</v>
      </c>
      <c r="AT107" s="533">
        <v>354713.41</v>
      </c>
      <c r="AU107" s="533">
        <v>697.95</v>
      </c>
      <c r="AV107" s="533">
        <v>54.56</v>
      </c>
      <c r="AW107" s="533">
        <v>41785.949999999997</v>
      </c>
      <c r="AX107" s="533">
        <v>0</v>
      </c>
      <c r="AY107" s="533">
        <v>-4499.96</v>
      </c>
      <c r="AZ107" s="533">
        <v>0</v>
      </c>
      <c r="BA107" s="533">
        <v>-0.95</v>
      </c>
      <c r="BB107" s="480">
        <f t="shared" si="15"/>
        <v>0</v>
      </c>
      <c r="BC107" s="480">
        <f t="shared" si="16"/>
        <v>0</v>
      </c>
      <c r="BD107" s="480">
        <f t="shared" si="17"/>
        <v>0</v>
      </c>
      <c r="BE107" s="480">
        <f t="shared" si="18"/>
        <v>0</v>
      </c>
      <c r="BF107" s="480">
        <f t="shared" si="19"/>
        <v>0</v>
      </c>
      <c r="BG107" s="480">
        <f t="shared" si="20"/>
        <v>0</v>
      </c>
      <c r="BH107" s="480">
        <f t="shared" si="21"/>
        <v>0</v>
      </c>
      <c r="BI107" s="6">
        <f t="shared" si="22"/>
        <v>5563</v>
      </c>
      <c r="BJ107" s="480" t="str">
        <f t="shared" si="23"/>
        <v>Mutrux</v>
      </c>
    </row>
    <row r="108" spans="1:62" x14ac:dyDescent="0.25">
      <c r="A108" s="341">
        <v>5564</v>
      </c>
      <c r="B108" s="523" t="s">
        <v>286</v>
      </c>
      <c r="C108" s="394">
        <v>132869.46</v>
      </c>
      <c r="D108" s="394">
        <v>12607.81</v>
      </c>
      <c r="E108" s="391"/>
      <c r="F108" s="394">
        <v>0</v>
      </c>
      <c r="G108" s="394">
        <v>-38.549999999999997</v>
      </c>
      <c r="H108" s="394">
        <v>23.75</v>
      </c>
      <c r="I108" s="394">
        <v>0</v>
      </c>
      <c r="J108" s="394">
        <v>0</v>
      </c>
      <c r="K108" s="394">
        <v>0</v>
      </c>
      <c r="L108" s="394">
        <v>10945.95</v>
      </c>
      <c r="M108" s="334">
        <f t="shared" si="12"/>
        <v>156408.42000000001</v>
      </c>
      <c r="N108" s="398">
        <v>0</v>
      </c>
      <c r="O108" s="398">
        <v>0</v>
      </c>
      <c r="P108" s="398">
        <v>13948</v>
      </c>
      <c r="Q108" s="398">
        <v>0</v>
      </c>
      <c r="R108" s="398">
        <v>12895.3</v>
      </c>
      <c r="S108" s="398"/>
      <c r="T108" s="398">
        <v>50</v>
      </c>
      <c r="U108" s="398">
        <v>260</v>
      </c>
      <c r="V108" s="398"/>
      <c r="W108" s="398"/>
      <c r="X108" s="382">
        <v>-1.78</v>
      </c>
      <c r="Y108" s="485">
        <f t="shared" si="13"/>
        <v>183559.94</v>
      </c>
      <c r="Z108" s="399"/>
      <c r="AA108" s="399"/>
      <c r="AB108" s="399">
        <v>21870.799999999999</v>
      </c>
      <c r="AC108" s="399"/>
      <c r="AD108" s="399">
        <v>7779.85</v>
      </c>
      <c r="AE108" s="399"/>
      <c r="AF108" s="399"/>
      <c r="AG108" s="399"/>
      <c r="AH108" s="399"/>
      <c r="AI108" s="399"/>
      <c r="AJ108" s="399"/>
      <c r="AK108" s="399"/>
      <c r="AL108" s="477"/>
      <c r="AM108" s="485">
        <f t="shared" si="14"/>
        <v>29650.65</v>
      </c>
      <c r="AN108" s="399">
        <v>76</v>
      </c>
      <c r="AO108" s="402">
        <v>99</v>
      </c>
      <c r="AP108" s="480">
        <v>-188.79</v>
      </c>
      <c r="AQ108" s="490"/>
      <c r="AR108" s="490">
        <v>0</v>
      </c>
      <c r="AS108" s="520">
        <v>0.8</v>
      </c>
      <c r="AT108" s="533">
        <v>183559.94</v>
      </c>
      <c r="AU108" s="533">
        <f>50+260</f>
        <v>310</v>
      </c>
      <c r="AV108" s="533">
        <v>-1.78</v>
      </c>
      <c r="AW108" s="533">
        <v>29650.65</v>
      </c>
      <c r="AX108" s="533">
        <v>0</v>
      </c>
      <c r="AY108" s="533">
        <v>-188.79</v>
      </c>
      <c r="AZ108" s="533">
        <v>0</v>
      </c>
      <c r="BA108" s="533">
        <v>0</v>
      </c>
      <c r="BB108" s="480">
        <f t="shared" si="15"/>
        <v>0</v>
      </c>
      <c r="BC108" s="480">
        <f t="shared" si="16"/>
        <v>0</v>
      </c>
      <c r="BD108" s="480">
        <f t="shared" si="17"/>
        <v>0</v>
      </c>
      <c r="BE108" s="480">
        <f t="shared" si="18"/>
        <v>0</v>
      </c>
      <c r="BF108" s="480">
        <f t="shared" si="19"/>
        <v>0</v>
      </c>
      <c r="BG108" s="480">
        <f t="shared" si="20"/>
        <v>0</v>
      </c>
      <c r="BH108" s="480">
        <f t="shared" si="21"/>
        <v>0</v>
      </c>
      <c r="BI108" s="6">
        <f t="shared" si="22"/>
        <v>5564</v>
      </c>
      <c r="BJ108" s="480" t="str">
        <f t="shared" si="23"/>
        <v>Novalles</v>
      </c>
    </row>
    <row r="109" spans="1:62" x14ac:dyDescent="0.25">
      <c r="A109" s="341">
        <v>5565</v>
      </c>
      <c r="B109" s="523" t="s">
        <v>287</v>
      </c>
      <c r="C109" s="394">
        <v>769737.31</v>
      </c>
      <c r="D109" s="394">
        <v>95749.2</v>
      </c>
      <c r="E109" s="391"/>
      <c r="F109" s="394">
        <v>0</v>
      </c>
      <c r="G109" s="394">
        <v>62768.5</v>
      </c>
      <c r="H109" s="394">
        <v>157657.20000000001</v>
      </c>
      <c r="I109" s="394">
        <v>0</v>
      </c>
      <c r="J109" s="394">
        <v>7621.6</v>
      </c>
      <c r="K109" s="394">
        <v>26852.5</v>
      </c>
      <c r="L109" s="394">
        <v>129580.95</v>
      </c>
      <c r="M109" s="334">
        <f t="shared" si="12"/>
        <v>1249967.26</v>
      </c>
      <c r="N109" s="398">
        <v>40728.550000000003</v>
      </c>
      <c r="O109" s="398">
        <v>0</v>
      </c>
      <c r="P109" s="398">
        <v>23569.200000000001</v>
      </c>
      <c r="Q109" s="398">
        <v>1733.33</v>
      </c>
      <c r="R109" s="398">
        <v>17554.599999999999</v>
      </c>
      <c r="S109" s="398">
        <v>1247.0999999999999</v>
      </c>
      <c r="T109" s="398"/>
      <c r="U109" s="398">
        <v>2280</v>
      </c>
      <c r="V109" s="398"/>
      <c r="W109" s="398"/>
      <c r="X109" s="382">
        <v>26439.38</v>
      </c>
      <c r="Y109" s="485">
        <f t="shared" si="13"/>
        <v>1363519.4200000002</v>
      </c>
      <c r="Z109" s="399"/>
      <c r="AA109" s="399"/>
      <c r="AB109" s="399">
        <v>94577.7</v>
      </c>
      <c r="AC109" s="399"/>
      <c r="AD109" s="399">
        <v>27652.95</v>
      </c>
      <c r="AE109" s="399">
        <v>2750</v>
      </c>
      <c r="AF109" s="399"/>
      <c r="AG109" s="399"/>
      <c r="AH109" s="399">
        <v>5840.15</v>
      </c>
      <c r="AI109" s="399">
        <v>44581.35</v>
      </c>
      <c r="AJ109" s="399"/>
      <c r="AK109" s="399"/>
      <c r="AL109" s="477"/>
      <c r="AM109" s="485">
        <f t="shared" si="14"/>
        <v>175402.15</v>
      </c>
      <c r="AN109" s="399">
        <v>63.5</v>
      </c>
      <c r="AO109" s="402">
        <v>505</v>
      </c>
      <c r="AP109" s="480">
        <v>-27776.720000000001</v>
      </c>
      <c r="AQ109" s="490"/>
      <c r="AR109" s="490">
        <v>-11.29</v>
      </c>
      <c r="AS109" s="520">
        <v>1</v>
      </c>
      <c r="AT109" s="533">
        <v>1363519.42</v>
      </c>
      <c r="AU109" s="533">
        <f>1247.1+2280</f>
        <v>3527.1</v>
      </c>
      <c r="AV109" s="533">
        <v>26439.38</v>
      </c>
      <c r="AW109" s="533">
        <v>175402.15</v>
      </c>
      <c r="AX109" s="533">
        <v>0</v>
      </c>
      <c r="AY109" s="533">
        <v>-27776.720000000001</v>
      </c>
      <c r="AZ109" s="533">
        <v>0</v>
      </c>
      <c r="BA109" s="533">
        <v>-11.29</v>
      </c>
      <c r="BB109" s="480">
        <f t="shared" si="15"/>
        <v>0</v>
      </c>
      <c r="BC109" s="480">
        <f t="shared" si="16"/>
        <v>0</v>
      </c>
      <c r="BD109" s="480">
        <f t="shared" si="17"/>
        <v>0</v>
      </c>
      <c r="BE109" s="480">
        <f t="shared" si="18"/>
        <v>0</v>
      </c>
      <c r="BF109" s="480">
        <f t="shared" si="19"/>
        <v>0</v>
      </c>
      <c r="BG109" s="480">
        <f t="shared" si="20"/>
        <v>0</v>
      </c>
      <c r="BH109" s="480">
        <f t="shared" si="21"/>
        <v>0</v>
      </c>
      <c r="BI109" s="6">
        <f t="shared" si="22"/>
        <v>5565</v>
      </c>
      <c r="BJ109" s="480" t="str">
        <f t="shared" si="23"/>
        <v>Onnens</v>
      </c>
    </row>
    <row r="110" spans="1:62" x14ac:dyDescent="0.25">
      <c r="A110" s="341">
        <v>5566</v>
      </c>
      <c r="B110" s="523" t="s">
        <v>288</v>
      </c>
      <c r="C110" s="394">
        <v>479374.21</v>
      </c>
      <c r="D110" s="394">
        <v>71057.25</v>
      </c>
      <c r="E110" s="391"/>
      <c r="F110" s="394">
        <v>2560</v>
      </c>
      <c r="G110" s="394">
        <v>19094.900000000001</v>
      </c>
      <c r="H110" s="394">
        <v>4592.3500000000004</v>
      </c>
      <c r="I110" s="394">
        <v>0</v>
      </c>
      <c r="J110" s="394">
        <v>-2241.41</v>
      </c>
      <c r="K110" s="394">
        <v>2992.35</v>
      </c>
      <c r="L110" s="394">
        <v>77257.7</v>
      </c>
      <c r="M110" s="334">
        <f t="shared" si="12"/>
        <v>654687.34999999986</v>
      </c>
      <c r="N110" s="398">
        <v>28034.799999999999</v>
      </c>
      <c r="O110" s="398">
        <v>89681.5</v>
      </c>
      <c r="P110" s="398">
        <v>39065.35</v>
      </c>
      <c r="Q110" s="398">
        <v>695.42</v>
      </c>
      <c r="R110" s="398">
        <v>9511.7999999999993</v>
      </c>
      <c r="S110" s="398"/>
      <c r="T110" s="398">
        <v>897.25</v>
      </c>
      <c r="U110" s="398">
        <v>1440</v>
      </c>
      <c r="V110" s="398"/>
      <c r="W110" s="398"/>
      <c r="X110" s="382">
        <v>2841.21</v>
      </c>
      <c r="Y110" s="485">
        <f t="shared" si="13"/>
        <v>826854.67999999993</v>
      </c>
      <c r="Z110" s="399"/>
      <c r="AA110" s="399"/>
      <c r="AB110" s="399">
        <v>29966</v>
      </c>
      <c r="AC110" s="399"/>
      <c r="AD110" s="399">
        <v>37376.910000000003</v>
      </c>
      <c r="AE110" s="399"/>
      <c r="AF110" s="399"/>
      <c r="AG110" s="399"/>
      <c r="AH110" s="399"/>
      <c r="AI110" s="399"/>
      <c r="AJ110" s="399"/>
      <c r="AK110" s="399"/>
      <c r="AL110" s="477"/>
      <c r="AM110" s="485">
        <f t="shared" si="14"/>
        <v>67342.91</v>
      </c>
      <c r="AN110" s="399">
        <v>81</v>
      </c>
      <c r="AO110" s="402">
        <v>392</v>
      </c>
      <c r="AP110" s="480">
        <v>-16973.87</v>
      </c>
      <c r="AQ110" s="490"/>
      <c r="AR110" s="490">
        <v>0</v>
      </c>
      <c r="AS110" s="520">
        <v>1.5</v>
      </c>
      <c r="AT110" s="533">
        <v>826854.68</v>
      </c>
      <c r="AU110" s="533">
        <f>897.25+1440</f>
        <v>2337.25</v>
      </c>
      <c r="AV110" s="533">
        <v>2841.21</v>
      </c>
      <c r="AW110" s="533">
        <v>67342.91</v>
      </c>
      <c r="AX110" s="533">
        <v>0</v>
      </c>
      <c r="AY110" s="533">
        <v>-16973.87</v>
      </c>
      <c r="AZ110" s="533">
        <v>0</v>
      </c>
      <c r="BA110" s="533">
        <v>0</v>
      </c>
      <c r="BB110" s="480">
        <f t="shared" si="15"/>
        <v>0</v>
      </c>
      <c r="BC110" s="480">
        <f t="shared" si="16"/>
        <v>0</v>
      </c>
      <c r="BD110" s="480">
        <f t="shared" si="17"/>
        <v>0</v>
      </c>
      <c r="BE110" s="480">
        <f t="shared" si="18"/>
        <v>0</v>
      </c>
      <c r="BF110" s="480">
        <f t="shared" si="19"/>
        <v>0</v>
      </c>
      <c r="BG110" s="480">
        <f t="shared" si="20"/>
        <v>0</v>
      </c>
      <c r="BH110" s="480">
        <f t="shared" si="21"/>
        <v>0</v>
      </c>
      <c r="BI110" s="6">
        <f t="shared" si="22"/>
        <v>5566</v>
      </c>
      <c r="BJ110" s="480" t="str">
        <f t="shared" si="23"/>
        <v>Provence</v>
      </c>
    </row>
    <row r="111" spans="1:62" x14ac:dyDescent="0.25">
      <c r="A111" s="341">
        <v>5568</v>
      </c>
      <c r="B111" s="523" t="s">
        <v>119</v>
      </c>
      <c r="C111" s="394">
        <v>5579599.8300000001</v>
      </c>
      <c r="D111" s="394">
        <v>861719.05</v>
      </c>
      <c r="E111" s="391"/>
      <c r="F111" s="394">
        <v>0</v>
      </c>
      <c r="G111" s="394">
        <v>271059.3</v>
      </c>
      <c r="H111" s="394">
        <v>73231.8</v>
      </c>
      <c r="I111" s="394">
        <v>34735.050000000003</v>
      </c>
      <c r="J111" s="394">
        <v>124726.16</v>
      </c>
      <c r="K111" s="394">
        <v>42009.7</v>
      </c>
      <c r="L111" s="394">
        <v>638478.94999999995</v>
      </c>
      <c r="M111" s="334">
        <f t="shared" si="12"/>
        <v>7625559.8399999999</v>
      </c>
      <c r="N111" s="398">
        <v>1941083.25</v>
      </c>
      <c r="O111" s="398">
        <v>397671.2</v>
      </c>
      <c r="P111" s="398">
        <v>272858.75</v>
      </c>
      <c r="Q111" s="398">
        <v>73754.06</v>
      </c>
      <c r="R111" s="398">
        <v>275736.40000000002</v>
      </c>
      <c r="S111" s="398"/>
      <c r="T111" s="398"/>
      <c r="U111" s="398">
        <v>0</v>
      </c>
      <c r="V111" s="398"/>
      <c r="W111" s="398"/>
      <c r="X111" s="382">
        <v>41296.639999999999</v>
      </c>
      <c r="Y111" s="485">
        <f t="shared" si="13"/>
        <v>10627960.140000001</v>
      </c>
      <c r="Z111" s="399">
        <v>36687.800000000003</v>
      </c>
      <c r="AA111" s="399"/>
      <c r="AB111" s="399">
        <v>1275479.75</v>
      </c>
      <c r="AC111" s="399"/>
      <c r="AD111" s="399">
        <v>934308.01</v>
      </c>
      <c r="AE111" s="399">
        <v>69373.45</v>
      </c>
      <c r="AF111" s="399"/>
      <c r="AG111" s="399"/>
      <c r="AH111" s="399">
        <v>65938.070000000007</v>
      </c>
      <c r="AI111" s="399"/>
      <c r="AJ111" s="399"/>
      <c r="AK111" s="399">
        <v>145705.54999999999</v>
      </c>
      <c r="AL111" s="477"/>
      <c r="AM111" s="485">
        <f t="shared" si="14"/>
        <v>2527492.63</v>
      </c>
      <c r="AN111" s="399">
        <v>70</v>
      </c>
      <c r="AO111" s="402">
        <v>4917</v>
      </c>
      <c r="AP111" s="480">
        <v>-276995.33</v>
      </c>
      <c r="AQ111" s="490"/>
      <c r="AR111" s="490">
        <v>-7531.87</v>
      </c>
      <c r="AS111" s="520">
        <v>1</v>
      </c>
      <c r="AT111" s="533">
        <v>10627960.140000001</v>
      </c>
      <c r="AU111" s="533">
        <v>0</v>
      </c>
      <c r="AV111" s="533">
        <v>41296.639999999999</v>
      </c>
      <c r="AW111" s="533">
        <v>2527492.63</v>
      </c>
      <c r="AX111" s="533">
        <v>0</v>
      </c>
      <c r="AY111" s="533">
        <v>-276995.33</v>
      </c>
      <c r="AZ111" s="533">
        <v>0</v>
      </c>
      <c r="BA111" s="533">
        <v>-7531.87</v>
      </c>
      <c r="BB111" s="480">
        <f t="shared" si="15"/>
        <v>0</v>
      </c>
      <c r="BC111" s="480">
        <f t="shared" si="16"/>
        <v>0</v>
      </c>
      <c r="BD111" s="480">
        <f t="shared" si="17"/>
        <v>0</v>
      </c>
      <c r="BE111" s="480">
        <f t="shared" si="18"/>
        <v>0</v>
      </c>
      <c r="BF111" s="480">
        <f t="shared" si="19"/>
        <v>0</v>
      </c>
      <c r="BG111" s="480">
        <f t="shared" si="20"/>
        <v>0</v>
      </c>
      <c r="BH111" s="480">
        <f t="shared" si="21"/>
        <v>0</v>
      </c>
      <c r="BI111" s="6">
        <f t="shared" si="22"/>
        <v>5568</v>
      </c>
      <c r="BJ111" s="480" t="str">
        <f t="shared" si="23"/>
        <v>Sainte-Croix</v>
      </c>
    </row>
    <row r="112" spans="1:62" x14ac:dyDescent="0.25">
      <c r="A112" s="341">
        <v>5571</v>
      </c>
      <c r="B112" s="523" t="s">
        <v>429</v>
      </c>
      <c r="C112" s="394">
        <v>1209284.0900000001</v>
      </c>
      <c r="D112" s="394">
        <v>140747.29999999999</v>
      </c>
      <c r="E112" s="391"/>
      <c r="F112" s="394">
        <v>0</v>
      </c>
      <c r="G112" s="394">
        <v>14503.55</v>
      </c>
      <c r="H112" s="394">
        <v>191.8</v>
      </c>
      <c r="I112" s="394">
        <v>0</v>
      </c>
      <c r="J112" s="394">
        <v>12529.03</v>
      </c>
      <c r="K112" s="394">
        <v>8767.2000000000007</v>
      </c>
      <c r="L112" s="394">
        <v>199766.6</v>
      </c>
      <c r="M112" s="334">
        <f t="shared" si="12"/>
        <v>1585789.5700000003</v>
      </c>
      <c r="N112" s="398">
        <v>43934.400000000001</v>
      </c>
      <c r="O112" s="398">
        <v>21402.799999999999</v>
      </c>
      <c r="P112" s="398">
        <v>70205.5</v>
      </c>
      <c r="Q112" s="398">
        <v>-21.02</v>
      </c>
      <c r="R112" s="398">
        <v>32604.15</v>
      </c>
      <c r="S112" s="398">
        <v>320.45</v>
      </c>
      <c r="T112" s="398"/>
      <c r="U112" s="398">
        <v>7400</v>
      </c>
      <c r="V112" s="398"/>
      <c r="W112" s="398"/>
      <c r="X112" s="382">
        <v>1762.66</v>
      </c>
      <c r="Y112" s="485">
        <f t="shared" si="13"/>
        <v>1763398.51</v>
      </c>
      <c r="Z112" s="399">
        <v>440</v>
      </c>
      <c r="AA112" s="399"/>
      <c r="AB112" s="399">
        <v>190705.8</v>
      </c>
      <c r="AC112" s="399"/>
      <c r="AD112" s="399">
        <v>65289.35</v>
      </c>
      <c r="AE112" s="399">
        <v>1100</v>
      </c>
      <c r="AF112" s="399"/>
      <c r="AG112" s="399"/>
      <c r="AH112" s="399">
        <v>12501.5</v>
      </c>
      <c r="AI112" s="399">
        <v>25151.65</v>
      </c>
      <c r="AJ112" s="399"/>
      <c r="AK112" s="399"/>
      <c r="AL112" s="477"/>
      <c r="AM112" s="485">
        <f t="shared" si="14"/>
        <v>295188.30000000005</v>
      </c>
      <c r="AN112" s="399">
        <v>71.5</v>
      </c>
      <c r="AO112" s="526">
        <v>894</v>
      </c>
      <c r="AP112" s="480">
        <v>-25560.43</v>
      </c>
      <c r="AQ112" s="490"/>
      <c r="AR112" s="490">
        <v>-0.11</v>
      </c>
      <c r="AS112" s="520">
        <v>1.2</v>
      </c>
      <c r="AT112" s="533">
        <f>1563311.46+200087.05</f>
        <v>1763398.51</v>
      </c>
      <c r="AU112" s="533">
        <f>7400+320.45</f>
        <v>7720.45</v>
      </c>
      <c r="AV112" s="533">
        <v>1762.66</v>
      </c>
      <c r="AW112" s="533">
        <v>295188.3</v>
      </c>
      <c r="AX112" s="533">
        <v>0</v>
      </c>
      <c r="AY112" s="533">
        <v>-25560.43</v>
      </c>
      <c r="AZ112" s="533">
        <v>0</v>
      </c>
      <c r="BA112" s="533">
        <v>-0.11</v>
      </c>
      <c r="BB112" s="480">
        <f t="shared" si="15"/>
        <v>0</v>
      </c>
      <c r="BC112" s="480">
        <f t="shared" si="16"/>
        <v>0</v>
      </c>
      <c r="BD112" s="480">
        <f t="shared" si="17"/>
        <v>0</v>
      </c>
      <c r="BE112" s="480">
        <f t="shared" si="18"/>
        <v>0</v>
      </c>
      <c r="BF112" s="480">
        <f t="shared" si="19"/>
        <v>0</v>
      </c>
      <c r="BG112" s="480">
        <f t="shared" si="20"/>
        <v>0</v>
      </c>
      <c r="BH112" s="480">
        <f t="shared" si="21"/>
        <v>0</v>
      </c>
      <c r="BI112" s="6">
        <f t="shared" si="22"/>
        <v>5571</v>
      </c>
      <c r="BJ112" s="480" t="str">
        <f t="shared" si="23"/>
        <v>Tévenon</v>
      </c>
    </row>
    <row r="113" spans="1:62" x14ac:dyDescent="0.25">
      <c r="A113" s="341">
        <v>5581</v>
      </c>
      <c r="B113" s="523" t="s">
        <v>389</v>
      </c>
      <c r="C113" s="394">
        <v>12060090.109999999</v>
      </c>
      <c r="D113" s="394">
        <v>1890860.16</v>
      </c>
      <c r="E113" s="391"/>
      <c r="F113" s="394">
        <v>0</v>
      </c>
      <c r="G113" s="394">
        <v>139260.54999999999</v>
      </c>
      <c r="H113" s="394">
        <v>14484.9</v>
      </c>
      <c r="I113" s="394">
        <v>131942.20000000001</v>
      </c>
      <c r="J113" s="394">
        <v>188125.99</v>
      </c>
      <c r="K113" s="394">
        <v>46451.95</v>
      </c>
      <c r="L113" s="394">
        <v>1404786.75</v>
      </c>
      <c r="M113" s="334">
        <f t="shared" si="12"/>
        <v>15876002.609999999</v>
      </c>
      <c r="N113" s="398">
        <v>6504.65</v>
      </c>
      <c r="O113" s="398">
        <v>403696.7</v>
      </c>
      <c r="P113" s="398">
        <v>817770.75</v>
      </c>
      <c r="Q113" s="398">
        <v>2457.84</v>
      </c>
      <c r="R113" s="398">
        <v>404928.55</v>
      </c>
      <c r="S113" s="398"/>
      <c r="T113" s="398"/>
      <c r="U113" s="398">
        <v>22000</v>
      </c>
      <c r="V113" s="398"/>
      <c r="W113" s="398"/>
      <c r="X113" s="382">
        <v>18441.29</v>
      </c>
      <c r="Y113" s="485">
        <f t="shared" si="13"/>
        <v>17551802.390000001</v>
      </c>
      <c r="Z113" s="399">
        <v>78285.62</v>
      </c>
      <c r="AA113" s="399"/>
      <c r="AB113" s="399">
        <v>587451.29</v>
      </c>
      <c r="AC113" s="399"/>
      <c r="AD113" s="399">
        <v>602654.52</v>
      </c>
      <c r="AE113" s="399">
        <v>27013.919999999998</v>
      </c>
      <c r="AF113" s="399"/>
      <c r="AG113" s="399"/>
      <c r="AH113" s="399">
        <v>10031.799999999999</v>
      </c>
      <c r="AI113" s="399"/>
      <c r="AJ113" s="399">
        <v>83160.58</v>
      </c>
      <c r="AK113" s="399">
        <v>24044.82</v>
      </c>
      <c r="AL113" s="477"/>
      <c r="AM113" s="485">
        <f t="shared" si="14"/>
        <v>1412642.5500000003</v>
      </c>
      <c r="AN113" s="399">
        <v>72</v>
      </c>
      <c r="AO113" s="402">
        <v>3756</v>
      </c>
      <c r="AP113" s="480">
        <v>-119092.76</v>
      </c>
      <c r="AQ113" s="490"/>
      <c r="AR113" s="490">
        <v>-13459.88</v>
      </c>
      <c r="AS113" s="520">
        <v>1.5</v>
      </c>
      <c r="AT113" s="533">
        <v>17551802.390000001</v>
      </c>
      <c r="AU113" s="533">
        <v>22000</v>
      </c>
      <c r="AV113" s="533">
        <v>18441.29</v>
      </c>
      <c r="AW113" s="533">
        <v>1412642.55</v>
      </c>
      <c r="AX113" s="533">
        <v>0</v>
      </c>
      <c r="AY113" s="533">
        <v>-119092.76</v>
      </c>
      <c r="AZ113" s="533">
        <v>0</v>
      </c>
      <c r="BA113" s="533">
        <v>-13459.88</v>
      </c>
      <c r="BB113" s="480">
        <f t="shared" si="15"/>
        <v>0</v>
      </c>
      <c r="BC113" s="480">
        <f t="shared" si="16"/>
        <v>0</v>
      </c>
      <c r="BD113" s="480">
        <f t="shared" si="17"/>
        <v>0</v>
      </c>
      <c r="BE113" s="480">
        <f t="shared" si="18"/>
        <v>0</v>
      </c>
      <c r="BF113" s="480">
        <f t="shared" si="19"/>
        <v>0</v>
      </c>
      <c r="BG113" s="480">
        <f t="shared" si="20"/>
        <v>0</v>
      </c>
      <c r="BH113" s="480">
        <f t="shared" si="21"/>
        <v>0</v>
      </c>
      <c r="BI113" s="6">
        <f t="shared" si="22"/>
        <v>5581</v>
      </c>
      <c r="BJ113" s="480" t="str">
        <f t="shared" si="23"/>
        <v>Belmont-sur-Lausanne</v>
      </c>
    </row>
    <row r="114" spans="1:62" x14ac:dyDescent="0.25">
      <c r="A114" s="341">
        <v>5582</v>
      </c>
      <c r="B114" s="523" t="s">
        <v>390</v>
      </c>
      <c r="C114" s="394">
        <v>9121701.8399999999</v>
      </c>
      <c r="D114" s="394">
        <v>1065704.1100000001</v>
      </c>
      <c r="E114" s="391"/>
      <c r="F114" s="394">
        <v>0</v>
      </c>
      <c r="G114" s="394">
        <v>230560.75</v>
      </c>
      <c r="H114" s="394">
        <v>165497.95000000001</v>
      </c>
      <c r="I114" s="394">
        <v>69493.399999999994</v>
      </c>
      <c r="J114" s="394">
        <v>325747.37</v>
      </c>
      <c r="K114" s="394">
        <v>81995.5</v>
      </c>
      <c r="L114" s="394">
        <v>921147.6</v>
      </c>
      <c r="M114" s="334">
        <f t="shared" si="12"/>
        <v>11981848.519999998</v>
      </c>
      <c r="N114" s="398">
        <v>472098.15</v>
      </c>
      <c r="O114" s="398">
        <v>121067</v>
      </c>
      <c r="P114" s="398">
        <v>279093.84999999998</v>
      </c>
      <c r="Q114" s="398">
        <v>39706.730000000003</v>
      </c>
      <c r="R114" s="398">
        <v>197899.8</v>
      </c>
      <c r="S114" s="398"/>
      <c r="T114" s="398"/>
      <c r="U114" s="398">
        <v>20950</v>
      </c>
      <c r="V114" s="398"/>
      <c r="W114" s="398"/>
      <c r="X114" s="382">
        <v>47506.01</v>
      </c>
      <c r="Y114" s="485">
        <f t="shared" si="13"/>
        <v>13160170.059999999</v>
      </c>
      <c r="Z114" s="399"/>
      <c r="AA114" s="399"/>
      <c r="AB114" s="399">
        <v>698079.6</v>
      </c>
      <c r="AC114" s="399"/>
      <c r="AD114" s="399">
        <v>497569.6</v>
      </c>
      <c r="AE114" s="399"/>
      <c r="AF114" s="399"/>
      <c r="AG114" s="399"/>
      <c r="AH114" s="399"/>
      <c r="AI114" s="399">
        <v>169662.2</v>
      </c>
      <c r="AJ114" s="399"/>
      <c r="AK114" s="399"/>
      <c r="AL114" s="477">
        <v>60615.05</v>
      </c>
      <c r="AM114" s="485">
        <f t="shared" si="14"/>
        <v>1425926.45</v>
      </c>
      <c r="AN114" s="399">
        <v>73</v>
      </c>
      <c r="AO114" s="402">
        <v>4367</v>
      </c>
      <c r="AP114" s="480">
        <v>-110947.42</v>
      </c>
      <c r="AQ114" s="490"/>
      <c r="AR114" s="490">
        <v>-2152.39</v>
      </c>
      <c r="AS114" s="520">
        <v>1</v>
      </c>
      <c r="AT114" s="533">
        <v>13160170.060000001</v>
      </c>
      <c r="AU114" s="533">
        <v>20950</v>
      </c>
      <c r="AV114" s="533">
        <v>47506.01</v>
      </c>
      <c r="AW114" s="533">
        <v>1425926.45</v>
      </c>
      <c r="AX114" s="533">
        <v>0</v>
      </c>
      <c r="AY114" s="533">
        <v>-110947.42</v>
      </c>
      <c r="AZ114" s="533">
        <v>0</v>
      </c>
      <c r="BA114" s="533">
        <v>-2152.39</v>
      </c>
      <c r="BB114" s="480">
        <f t="shared" si="15"/>
        <v>0</v>
      </c>
      <c r="BC114" s="480">
        <f t="shared" si="16"/>
        <v>0</v>
      </c>
      <c r="BD114" s="480">
        <f t="shared" si="17"/>
        <v>0</v>
      </c>
      <c r="BE114" s="480">
        <f t="shared" si="18"/>
        <v>0</v>
      </c>
      <c r="BF114" s="480">
        <f t="shared" si="19"/>
        <v>0</v>
      </c>
      <c r="BG114" s="480">
        <f t="shared" si="20"/>
        <v>0</v>
      </c>
      <c r="BH114" s="480">
        <f t="shared" si="21"/>
        <v>0</v>
      </c>
      <c r="BI114" s="6">
        <f t="shared" si="22"/>
        <v>5582</v>
      </c>
      <c r="BJ114" s="480" t="str">
        <f t="shared" si="23"/>
        <v>Cheseaux-sur-Lausanne</v>
      </c>
    </row>
    <row r="115" spans="1:62" x14ac:dyDescent="0.25">
      <c r="A115" s="341">
        <v>5583</v>
      </c>
      <c r="B115" s="523" t="s">
        <v>391</v>
      </c>
      <c r="C115" s="394">
        <v>12547638.689999999</v>
      </c>
      <c r="D115" s="394">
        <v>1846426.18</v>
      </c>
      <c r="E115" s="391"/>
      <c r="F115" s="394">
        <v>0</v>
      </c>
      <c r="G115" s="394">
        <v>4564226.3</v>
      </c>
      <c r="H115" s="394">
        <v>250947.65</v>
      </c>
      <c r="I115" s="394">
        <v>0</v>
      </c>
      <c r="J115" s="394">
        <v>1042296.27</v>
      </c>
      <c r="K115" s="394">
        <v>354891.75</v>
      </c>
      <c r="L115" s="394">
        <v>2476289.65</v>
      </c>
      <c r="M115" s="334">
        <f t="shared" si="12"/>
        <v>23082716.489999995</v>
      </c>
      <c r="N115" s="398">
        <v>2295455.25</v>
      </c>
      <c r="O115" s="398">
        <v>134944.04999999999</v>
      </c>
      <c r="P115" s="398">
        <v>967869.6</v>
      </c>
      <c r="Q115" s="398">
        <v>49453.58</v>
      </c>
      <c r="R115" s="398">
        <v>407895.5</v>
      </c>
      <c r="S115" s="398"/>
      <c r="T115" s="398"/>
      <c r="U115" s="398">
        <v>60075</v>
      </c>
      <c r="V115" s="398"/>
      <c r="W115" s="398">
        <v>142836.45000000001</v>
      </c>
      <c r="X115" s="382">
        <v>577565.11</v>
      </c>
      <c r="Y115" s="485">
        <f t="shared" si="13"/>
        <v>27718811.029999994</v>
      </c>
      <c r="Z115" s="399"/>
      <c r="AA115" s="399"/>
      <c r="AB115" s="399">
        <v>1541445.7</v>
      </c>
      <c r="AC115" s="399"/>
      <c r="AD115" s="399">
        <v>1021669.75</v>
      </c>
      <c r="AE115" s="399">
        <v>7112.8</v>
      </c>
      <c r="AF115" s="399">
        <v>16390</v>
      </c>
      <c r="AG115" s="399">
        <v>600</v>
      </c>
      <c r="AH115" s="399">
        <v>180420.4</v>
      </c>
      <c r="AI115" s="399">
        <v>574793.05000000005</v>
      </c>
      <c r="AJ115" s="399"/>
      <c r="AK115" s="399">
        <v>82313.399999999994</v>
      </c>
      <c r="AL115" s="477"/>
      <c r="AM115" s="485">
        <f t="shared" si="14"/>
        <v>3424745.1</v>
      </c>
      <c r="AN115" s="399">
        <v>63.5</v>
      </c>
      <c r="AO115" s="402">
        <v>8700</v>
      </c>
      <c r="AP115" s="480">
        <v>-331383.8</v>
      </c>
      <c r="AQ115" s="490"/>
      <c r="AR115" s="490">
        <v>-4299.21</v>
      </c>
      <c r="AS115" s="520">
        <v>1</v>
      </c>
      <c r="AT115" s="533">
        <v>27718811.030000001</v>
      </c>
      <c r="AU115" s="533">
        <f>60075+142836.45</f>
        <v>202911.45</v>
      </c>
      <c r="AV115" s="533">
        <v>577565.11</v>
      </c>
      <c r="AW115" s="533">
        <v>3424745.1</v>
      </c>
      <c r="AX115" s="533">
        <v>0</v>
      </c>
      <c r="AY115" s="533">
        <v>-331383.8</v>
      </c>
      <c r="AZ115" s="533">
        <v>0</v>
      </c>
      <c r="BA115" s="533">
        <v>-4299.21</v>
      </c>
      <c r="BB115" s="480">
        <f t="shared" si="15"/>
        <v>0</v>
      </c>
      <c r="BC115" s="480">
        <f t="shared" si="16"/>
        <v>0</v>
      </c>
      <c r="BD115" s="480">
        <f t="shared" si="17"/>
        <v>0</v>
      </c>
      <c r="BE115" s="480">
        <f t="shared" si="18"/>
        <v>0</v>
      </c>
      <c r="BF115" s="480">
        <f t="shared" si="19"/>
        <v>0</v>
      </c>
      <c r="BG115" s="480">
        <f t="shared" si="20"/>
        <v>0</v>
      </c>
      <c r="BH115" s="480">
        <f t="shared" si="21"/>
        <v>0</v>
      </c>
      <c r="BI115" s="6">
        <f t="shared" si="22"/>
        <v>5583</v>
      </c>
      <c r="BJ115" s="480" t="str">
        <f t="shared" si="23"/>
        <v>Crissier</v>
      </c>
    </row>
    <row r="116" spans="1:62" x14ac:dyDescent="0.25">
      <c r="A116" s="341">
        <v>5584</v>
      </c>
      <c r="B116" s="523" t="s">
        <v>392</v>
      </c>
      <c r="C116" s="394">
        <v>23013193.100000001</v>
      </c>
      <c r="D116" s="394">
        <v>4159910.18</v>
      </c>
      <c r="E116" s="391"/>
      <c r="F116" s="394">
        <v>0</v>
      </c>
      <c r="G116" s="394">
        <v>504337.95</v>
      </c>
      <c r="H116" s="394">
        <v>345897.95</v>
      </c>
      <c r="I116" s="394">
        <v>285041.2</v>
      </c>
      <c r="J116" s="394">
        <v>398882.56</v>
      </c>
      <c r="K116" s="394">
        <v>272356.65000000002</v>
      </c>
      <c r="L116" s="394">
        <v>2300043.75</v>
      </c>
      <c r="M116" s="334">
        <f t="shared" si="12"/>
        <v>31279663.339999996</v>
      </c>
      <c r="N116" s="398">
        <v>308569.90000000002</v>
      </c>
      <c r="O116" s="398">
        <v>801108.5</v>
      </c>
      <c r="P116" s="398">
        <v>1422716.85</v>
      </c>
      <c r="Q116" s="398">
        <v>93414.96</v>
      </c>
      <c r="R116" s="398">
        <v>1316494.45</v>
      </c>
      <c r="S116" s="398">
        <v>33121.9</v>
      </c>
      <c r="T116" s="398"/>
      <c r="U116" s="398">
        <v>36800</v>
      </c>
      <c r="V116" s="398"/>
      <c r="W116" s="398"/>
      <c r="X116" s="382">
        <v>101983.15</v>
      </c>
      <c r="Y116" s="485">
        <f t="shared" si="13"/>
        <v>35393873.049999997</v>
      </c>
      <c r="Z116" s="399">
        <v>749718.38</v>
      </c>
      <c r="AA116" s="399"/>
      <c r="AB116" s="399">
        <v>1525364.39</v>
      </c>
      <c r="AC116" s="399"/>
      <c r="AD116" s="399">
        <v>694557.59</v>
      </c>
      <c r="AE116" s="399"/>
      <c r="AF116" s="399"/>
      <c r="AG116" s="399"/>
      <c r="AH116" s="399"/>
      <c r="AI116" s="399">
        <v>240000</v>
      </c>
      <c r="AJ116" s="399"/>
      <c r="AK116" s="399"/>
      <c r="AL116" s="477"/>
      <c r="AM116" s="485">
        <f t="shared" si="14"/>
        <v>3209640.36</v>
      </c>
      <c r="AN116" s="399">
        <v>64.5</v>
      </c>
      <c r="AO116" s="402">
        <v>9755</v>
      </c>
      <c r="AP116" s="480">
        <v>-297070.43</v>
      </c>
      <c r="AQ116" s="490"/>
      <c r="AR116" s="490">
        <v>-81514.34</v>
      </c>
      <c r="AS116" s="520">
        <v>1</v>
      </c>
      <c r="AT116" s="533">
        <v>35393873.049999997</v>
      </c>
      <c r="AU116" s="533">
        <f>36800+33121.9</f>
        <v>69921.899999999994</v>
      </c>
      <c r="AV116" s="533">
        <v>101983.15</v>
      </c>
      <c r="AW116" s="533">
        <v>3209640.36</v>
      </c>
      <c r="AX116" s="533">
        <v>0</v>
      </c>
      <c r="AY116" s="533">
        <v>-297070.43</v>
      </c>
      <c r="AZ116" s="533">
        <v>0</v>
      </c>
      <c r="BA116" s="533">
        <v>-81514.34</v>
      </c>
      <c r="BB116" s="480">
        <f t="shared" si="15"/>
        <v>0</v>
      </c>
      <c r="BC116" s="480">
        <f t="shared" si="16"/>
        <v>0</v>
      </c>
      <c r="BD116" s="480">
        <f t="shared" si="17"/>
        <v>0</v>
      </c>
      <c r="BE116" s="480">
        <f t="shared" si="18"/>
        <v>0</v>
      </c>
      <c r="BF116" s="480">
        <f t="shared" si="19"/>
        <v>0</v>
      </c>
      <c r="BG116" s="480">
        <f t="shared" si="20"/>
        <v>0</v>
      </c>
      <c r="BH116" s="480">
        <f t="shared" si="21"/>
        <v>0</v>
      </c>
      <c r="BI116" s="6">
        <f t="shared" si="22"/>
        <v>5584</v>
      </c>
      <c r="BJ116" s="480" t="str">
        <f t="shared" si="23"/>
        <v>Epalinges</v>
      </c>
    </row>
    <row r="117" spans="1:62" x14ac:dyDescent="0.25">
      <c r="A117" s="341">
        <v>5585</v>
      </c>
      <c r="B117" s="523" t="s">
        <v>393</v>
      </c>
      <c r="C117" s="394">
        <v>7349240.29</v>
      </c>
      <c r="D117" s="394">
        <v>3606876.94</v>
      </c>
      <c r="E117" s="391"/>
      <c r="F117" s="394">
        <v>0</v>
      </c>
      <c r="G117" s="394">
        <v>80921.2</v>
      </c>
      <c r="H117" s="394">
        <v>3264.05</v>
      </c>
      <c r="I117" s="394">
        <v>296758.96000000002</v>
      </c>
      <c r="J117" s="394">
        <v>48157.27</v>
      </c>
      <c r="K117" s="394">
        <v>8097.1</v>
      </c>
      <c r="L117" s="394">
        <v>569301.85</v>
      </c>
      <c r="M117" s="334">
        <f t="shared" si="12"/>
        <v>11962617.66</v>
      </c>
      <c r="N117" s="398">
        <v>1302.3</v>
      </c>
      <c r="O117" s="398">
        <v>435141.9</v>
      </c>
      <c r="P117" s="398">
        <v>291775.95</v>
      </c>
      <c r="Q117" s="398">
        <v>0</v>
      </c>
      <c r="R117" s="398">
        <v>369624.65</v>
      </c>
      <c r="S117" s="398"/>
      <c r="T117" s="398"/>
      <c r="U117" s="398">
        <v>6960</v>
      </c>
      <c r="V117" s="398"/>
      <c r="W117" s="398"/>
      <c r="X117" s="382">
        <v>10097.76</v>
      </c>
      <c r="Y117" s="485">
        <f t="shared" si="13"/>
        <v>13077520.220000001</v>
      </c>
      <c r="Z117" s="399">
        <v>61731</v>
      </c>
      <c r="AA117" s="399"/>
      <c r="AB117" s="399">
        <v>448818</v>
      </c>
      <c r="AC117" s="399"/>
      <c r="AD117" s="399">
        <v>103762.92</v>
      </c>
      <c r="AE117" s="399"/>
      <c r="AF117" s="399"/>
      <c r="AG117" s="399"/>
      <c r="AH117" s="399"/>
      <c r="AI117" s="399"/>
      <c r="AJ117" s="399"/>
      <c r="AK117" s="399"/>
      <c r="AL117" s="477"/>
      <c r="AM117" s="485">
        <f t="shared" si="14"/>
        <v>614311.92000000004</v>
      </c>
      <c r="AN117" s="399">
        <v>59</v>
      </c>
      <c r="AO117" s="402">
        <v>1411</v>
      </c>
      <c r="AP117" s="480">
        <v>-10146.69</v>
      </c>
      <c r="AQ117" s="490"/>
      <c r="AR117" s="490">
        <v>-15778.42</v>
      </c>
      <c r="AS117" s="520">
        <v>1</v>
      </c>
      <c r="AT117" s="533">
        <v>13077520.220000001</v>
      </c>
      <c r="AU117" s="533">
        <v>6960</v>
      </c>
      <c r="AV117" s="533">
        <v>10097.76</v>
      </c>
      <c r="AW117" s="533">
        <v>614311.92000000004</v>
      </c>
      <c r="AX117" s="533">
        <v>0</v>
      </c>
      <c r="AY117" s="533">
        <v>-10146.69</v>
      </c>
      <c r="AZ117" s="533">
        <v>0</v>
      </c>
      <c r="BA117" s="533">
        <v>-15778.42</v>
      </c>
      <c r="BB117" s="480">
        <f t="shared" si="15"/>
        <v>0</v>
      </c>
      <c r="BC117" s="480">
        <f t="shared" si="16"/>
        <v>0</v>
      </c>
      <c r="BD117" s="480">
        <f t="shared" si="17"/>
        <v>0</v>
      </c>
      <c r="BE117" s="480">
        <f t="shared" si="18"/>
        <v>0</v>
      </c>
      <c r="BF117" s="480">
        <f t="shared" si="19"/>
        <v>0</v>
      </c>
      <c r="BG117" s="480">
        <f t="shared" si="20"/>
        <v>0</v>
      </c>
      <c r="BH117" s="480">
        <f t="shared" si="21"/>
        <v>0</v>
      </c>
      <c r="BI117" s="6">
        <f t="shared" si="22"/>
        <v>5585</v>
      </c>
      <c r="BJ117" s="480" t="str">
        <f t="shared" si="23"/>
        <v>Jouxtens-Mézery</v>
      </c>
    </row>
    <row r="118" spans="1:62" x14ac:dyDescent="0.25">
      <c r="A118" s="341">
        <v>5586</v>
      </c>
      <c r="B118" s="523" t="s">
        <v>120</v>
      </c>
      <c r="C118" s="394">
        <v>302465903.94</v>
      </c>
      <c r="D118" s="394">
        <v>39572236.310000002</v>
      </c>
      <c r="E118" s="391"/>
      <c r="F118" s="394">
        <v>0</v>
      </c>
      <c r="G118" s="394">
        <v>74432498.200000003</v>
      </c>
      <c r="H118" s="394">
        <v>6762092.75</v>
      </c>
      <c r="I118" s="394">
        <v>5562328.7800000003</v>
      </c>
      <c r="J118" s="394">
        <v>24474697.559999999</v>
      </c>
      <c r="K118" s="394">
        <v>6699861.25</v>
      </c>
      <c r="L118" s="394">
        <v>42927610.149999999</v>
      </c>
      <c r="M118" s="334">
        <f t="shared" si="12"/>
        <v>502897228.93999994</v>
      </c>
      <c r="N118" s="398">
        <v>13812872.5</v>
      </c>
      <c r="O118" s="398">
        <v>12289230.4</v>
      </c>
      <c r="P118" s="398">
        <v>11894547.550000001</v>
      </c>
      <c r="Q118" s="398">
        <v>1648272.55</v>
      </c>
      <c r="R118" s="398">
        <v>12773118.1</v>
      </c>
      <c r="S118" s="398"/>
      <c r="T118" s="398"/>
      <c r="U118" s="398">
        <v>389200</v>
      </c>
      <c r="V118" s="398">
        <v>2224265.5499999998</v>
      </c>
      <c r="W118" s="398"/>
      <c r="X118" s="382">
        <v>9739038.2200000007</v>
      </c>
      <c r="Y118" s="485">
        <f t="shared" si="13"/>
        <v>567667773.80999982</v>
      </c>
      <c r="Z118" s="399">
        <v>7585057.5899999999</v>
      </c>
      <c r="AA118" s="399"/>
      <c r="AB118" s="399">
        <v>15538877.27</v>
      </c>
      <c r="AC118" s="399"/>
      <c r="AD118" s="399">
        <v>20398634.539999999</v>
      </c>
      <c r="AE118" s="399">
        <v>5564314.5</v>
      </c>
      <c r="AF118" s="399"/>
      <c r="AG118" s="399"/>
      <c r="AH118" s="399">
        <v>2300080.15</v>
      </c>
      <c r="AI118" s="399">
        <v>7193242.5199999996</v>
      </c>
      <c r="AJ118" s="399">
        <v>5784363.1799999997</v>
      </c>
      <c r="AK118" s="399">
        <v>6659857.5199999996</v>
      </c>
      <c r="AL118" s="477">
        <v>6660190.8099999996</v>
      </c>
      <c r="AM118" s="485">
        <f t="shared" si="14"/>
        <v>77684618.079999998</v>
      </c>
      <c r="AN118" s="399">
        <v>78.5</v>
      </c>
      <c r="AO118" s="402">
        <v>140430</v>
      </c>
      <c r="AP118" s="480">
        <v>-6854187.4400000004</v>
      </c>
      <c r="AQ118" s="490"/>
      <c r="AR118" s="490">
        <v>-740552.9</v>
      </c>
      <c r="AS118" s="520">
        <v>1.5</v>
      </c>
      <c r="AT118" s="533">
        <v>567667773.80999994</v>
      </c>
      <c r="AU118" s="533">
        <f>389200+2224265.55</f>
        <v>2613465.5499999998</v>
      </c>
      <c r="AV118" s="533">
        <v>9739038.2200000007</v>
      </c>
      <c r="AW118" s="533">
        <v>77684618.079999998</v>
      </c>
      <c r="AX118" s="533">
        <v>0</v>
      </c>
      <c r="AY118" s="533">
        <v>-6854187.4400000004</v>
      </c>
      <c r="AZ118" s="533">
        <v>0</v>
      </c>
      <c r="BA118" s="533">
        <v>-740552.9</v>
      </c>
      <c r="BB118" s="480">
        <f t="shared" si="15"/>
        <v>0</v>
      </c>
      <c r="BC118" s="480">
        <f t="shared" si="16"/>
        <v>0</v>
      </c>
      <c r="BD118" s="480">
        <f t="shared" si="17"/>
        <v>0</v>
      </c>
      <c r="BE118" s="480">
        <f t="shared" si="18"/>
        <v>0</v>
      </c>
      <c r="BF118" s="480">
        <f t="shared" si="19"/>
        <v>0</v>
      </c>
      <c r="BG118" s="480">
        <f t="shared" si="20"/>
        <v>0</v>
      </c>
      <c r="BH118" s="480">
        <f t="shared" si="21"/>
        <v>0</v>
      </c>
      <c r="BI118" s="6">
        <f t="shared" si="22"/>
        <v>5586</v>
      </c>
      <c r="BJ118" s="480" t="str">
        <f t="shared" si="23"/>
        <v>Lausanne</v>
      </c>
    </row>
    <row r="119" spans="1:62" x14ac:dyDescent="0.25">
      <c r="A119" s="341">
        <v>5587</v>
      </c>
      <c r="B119" s="523" t="s">
        <v>121</v>
      </c>
      <c r="C119" s="394">
        <v>24657213.68</v>
      </c>
      <c r="D119" s="394">
        <v>3694286.73</v>
      </c>
      <c r="E119" s="391"/>
      <c r="F119" s="394">
        <v>0</v>
      </c>
      <c r="G119" s="394">
        <v>1450822.15</v>
      </c>
      <c r="H119" s="394">
        <v>491937.3</v>
      </c>
      <c r="I119" s="394">
        <v>303939.15000000002</v>
      </c>
      <c r="J119" s="394">
        <v>487004.75</v>
      </c>
      <c r="K119" s="394">
        <v>327992.5</v>
      </c>
      <c r="L119" s="394">
        <v>3059841.6</v>
      </c>
      <c r="M119" s="334">
        <f t="shared" si="12"/>
        <v>34473037.859999999</v>
      </c>
      <c r="N119" s="398">
        <v>522589.6</v>
      </c>
      <c r="O119" s="398">
        <v>1395734.6</v>
      </c>
      <c r="P119" s="398">
        <v>1269317.8</v>
      </c>
      <c r="Q119" s="398">
        <v>57226.67</v>
      </c>
      <c r="R119" s="398">
        <v>506246</v>
      </c>
      <c r="S119" s="398"/>
      <c r="T119" s="398">
        <v>34953.75</v>
      </c>
      <c r="U119" s="398">
        <v>37200</v>
      </c>
      <c r="V119" s="398"/>
      <c r="W119" s="398"/>
      <c r="X119" s="382">
        <v>233027.94</v>
      </c>
      <c r="Y119" s="485">
        <f t="shared" si="13"/>
        <v>38529334.219999999</v>
      </c>
      <c r="Z119" s="399">
        <v>66706.95</v>
      </c>
      <c r="AA119" s="399"/>
      <c r="AB119" s="399">
        <v>1412153.57</v>
      </c>
      <c r="AC119" s="399"/>
      <c r="AD119" s="399">
        <v>726331.95</v>
      </c>
      <c r="AE119" s="399"/>
      <c r="AF119" s="399"/>
      <c r="AG119" s="399"/>
      <c r="AH119" s="399"/>
      <c r="AI119" s="399">
        <v>272000</v>
      </c>
      <c r="AJ119" s="399"/>
      <c r="AK119" s="399"/>
      <c r="AL119" s="477">
        <v>272000</v>
      </c>
      <c r="AM119" s="485">
        <f t="shared" si="14"/>
        <v>2749192.4699999997</v>
      </c>
      <c r="AN119" s="399">
        <v>73.5</v>
      </c>
      <c r="AO119" s="402">
        <v>9136</v>
      </c>
      <c r="AP119" s="480">
        <v>-1660558.52</v>
      </c>
      <c r="AQ119" s="490"/>
      <c r="AR119" s="490">
        <v>-42495.95</v>
      </c>
      <c r="AS119" s="520">
        <v>1.2</v>
      </c>
      <c r="AT119" s="533">
        <v>38529334.219999999</v>
      </c>
      <c r="AU119" s="533">
        <f>34953.75+37200</f>
        <v>72153.75</v>
      </c>
      <c r="AV119" s="533">
        <v>233027.94</v>
      </c>
      <c r="AW119" s="533">
        <v>2749192.47</v>
      </c>
      <c r="AX119" s="533">
        <v>0</v>
      </c>
      <c r="AY119" s="533">
        <v>-1660558.52</v>
      </c>
      <c r="AZ119" s="533">
        <v>0</v>
      </c>
      <c r="BA119" s="533">
        <v>-42495.95</v>
      </c>
      <c r="BB119" s="480">
        <f t="shared" si="15"/>
        <v>0</v>
      </c>
      <c r="BC119" s="480">
        <f t="shared" si="16"/>
        <v>0</v>
      </c>
      <c r="BD119" s="480">
        <f t="shared" si="17"/>
        <v>0</v>
      </c>
      <c r="BE119" s="480">
        <f t="shared" si="18"/>
        <v>0</v>
      </c>
      <c r="BF119" s="480">
        <f t="shared" si="19"/>
        <v>0</v>
      </c>
      <c r="BG119" s="480">
        <f t="shared" si="20"/>
        <v>0</v>
      </c>
      <c r="BH119" s="480">
        <f t="shared" si="21"/>
        <v>0</v>
      </c>
      <c r="BI119" s="6">
        <f t="shared" si="22"/>
        <v>5587</v>
      </c>
      <c r="BJ119" s="480" t="str">
        <f t="shared" si="23"/>
        <v>Le Mont-sur-Lausanne</v>
      </c>
    </row>
    <row r="120" spans="1:62" x14ac:dyDescent="0.25">
      <c r="A120" s="341">
        <v>5588</v>
      </c>
      <c r="B120" s="523" t="s">
        <v>122</v>
      </c>
      <c r="C120" s="394">
        <v>4286190.13</v>
      </c>
      <c r="D120" s="394">
        <v>1662128.17</v>
      </c>
      <c r="E120" s="391"/>
      <c r="F120" s="394">
        <v>0</v>
      </c>
      <c r="G120" s="394">
        <v>25736.7</v>
      </c>
      <c r="H120" s="394">
        <v>349341.1</v>
      </c>
      <c r="I120" s="394">
        <v>1773887.12</v>
      </c>
      <c r="J120" s="394">
        <v>312946.12</v>
      </c>
      <c r="K120" s="394">
        <v>53488.55</v>
      </c>
      <c r="L120" s="394">
        <v>398367.05</v>
      </c>
      <c r="M120" s="334">
        <f t="shared" si="12"/>
        <v>8862084.9400000013</v>
      </c>
      <c r="N120" s="398">
        <v>18272.150000000001</v>
      </c>
      <c r="O120" s="398">
        <v>0</v>
      </c>
      <c r="P120" s="398">
        <v>324217.90000000002</v>
      </c>
      <c r="Q120" s="398">
        <v>4490.5600000000004</v>
      </c>
      <c r="R120" s="398">
        <v>210737.25</v>
      </c>
      <c r="S120" s="398"/>
      <c r="T120" s="398"/>
      <c r="U120" s="398">
        <v>4725</v>
      </c>
      <c r="V120" s="398"/>
      <c r="W120" s="398"/>
      <c r="X120" s="382">
        <v>44989.41</v>
      </c>
      <c r="Y120" s="485">
        <f t="shared" si="13"/>
        <v>9469517.2100000028</v>
      </c>
      <c r="Z120" s="399"/>
      <c r="AA120" s="399"/>
      <c r="AB120" s="399">
        <v>120814.37</v>
      </c>
      <c r="AC120" s="399"/>
      <c r="AD120" s="399">
        <v>140915</v>
      </c>
      <c r="AE120" s="399"/>
      <c r="AF120" s="399"/>
      <c r="AG120" s="399"/>
      <c r="AH120" s="399"/>
      <c r="AI120" s="399"/>
      <c r="AJ120" s="399">
        <v>29095.57</v>
      </c>
      <c r="AK120" s="399"/>
      <c r="AL120" s="477">
        <v>14547.79</v>
      </c>
      <c r="AM120" s="485">
        <f t="shared" si="14"/>
        <v>305372.73</v>
      </c>
      <c r="AN120" s="399">
        <v>66.5</v>
      </c>
      <c r="AO120" s="402">
        <v>1538</v>
      </c>
      <c r="AP120" s="480">
        <v>-21713.48</v>
      </c>
      <c r="AQ120" s="490"/>
      <c r="AR120" s="490">
        <v>-53249.09</v>
      </c>
      <c r="AS120" s="520">
        <v>0.7</v>
      </c>
      <c r="AT120" s="533">
        <v>9469517.2100000009</v>
      </c>
      <c r="AU120" s="533">
        <v>4725</v>
      </c>
      <c r="AV120" s="533">
        <v>44989.41</v>
      </c>
      <c r="AW120" s="533">
        <v>305372.73</v>
      </c>
      <c r="AX120" s="533">
        <v>0</v>
      </c>
      <c r="AY120" s="533">
        <v>-21713.48</v>
      </c>
      <c r="AZ120" s="533">
        <v>0</v>
      </c>
      <c r="BA120" s="533">
        <v>-53249.09</v>
      </c>
      <c r="BB120" s="480">
        <f t="shared" si="15"/>
        <v>0</v>
      </c>
      <c r="BC120" s="480">
        <f t="shared" si="16"/>
        <v>0</v>
      </c>
      <c r="BD120" s="480">
        <f t="shared" si="17"/>
        <v>0</v>
      </c>
      <c r="BE120" s="480">
        <f t="shared" si="18"/>
        <v>0</v>
      </c>
      <c r="BF120" s="480">
        <f t="shared" si="19"/>
        <v>0</v>
      </c>
      <c r="BG120" s="480">
        <f t="shared" si="20"/>
        <v>0</v>
      </c>
      <c r="BH120" s="480">
        <f t="shared" si="21"/>
        <v>0</v>
      </c>
      <c r="BI120" s="6">
        <f t="shared" si="22"/>
        <v>5588</v>
      </c>
      <c r="BJ120" s="480" t="str">
        <f t="shared" si="23"/>
        <v>Paudex</v>
      </c>
    </row>
    <row r="121" spans="1:62" x14ac:dyDescent="0.25">
      <c r="A121" s="341">
        <v>5589</v>
      </c>
      <c r="B121" s="523" t="s">
        <v>123</v>
      </c>
      <c r="C121" s="394">
        <v>19630511.370000001</v>
      </c>
      <c r="D121" s="394">
        <v>2177063.62</v>
      </c>
      <c r="E121" s="391"/>
      <c r="F121" s="394">
        <v>0</v>
      </c>
      <c r="G121" s="394">
        <v>5851512.4500000002</v>
      </c>
      <c r="H121" s="394">
        <v>316150.2</v>
      </c>
      <c r="I121" s="394">
        <v>194742.55</v>
      </c>
      <c r="J121" s="394">
        <v>1577734.95</v>
      </c>
      <c r="K121" s="394">
        <v>476420.1</v>
      </c>
      <c r="L121" s="394">
        <v>3009539.35</v>
      </c>
      <c r="M121" s="334">
        <f t="shared" si="12"/>
        <v>33233674.590000004</v>
      </c>
      <c r="N121" s="398">
        <v>1167452.6499999999</v>
      </c>
      <c r="O121" s="398">
        <v>710258.8</v>
      </c>
      <c r="P121" s="398">
        <v>666016.44999999995</v>
      </c>
      <c r="Q121" s="398">
        <v>64448.13</v>
      </c>
      <c r="R121" s="398">
        <v>566627.85</v>
      </c>
      <c r="S121" s="398"/>
      <c r="T121" s="398"/>
      <c r="U121" s="398">
        <v>41580</v>
      </c>
      <c r="V121" s="398"/>
      <c r="W121" s="398"/>
      <c r="X121" s="382">
        <v>739791.92</v>
      </c>
      <c r="Y121" s="485">
        <f t="shared" si="13"/>
        <v>37189850.390000008</v>
      </c>
      <c r="Z121" s="399">
        <v>50580</v>
      </c>
      <c r="AA121" s="399"/>
      <c r="AB121" s="399">
        <v>1348564.7</v>
      </c>
      <c r="AC121" s="399"/>
      <c r="AD121" s="399">
        <v>1105041.0900000001</v>
      </c>
      <c r="AE121" s="399"/>
      <c r="AF121" s="399"/>
      <c r="AG121" s="399"/>
      <c r="AH121" s="399"/>
      <c r="AI121" s="399">
        <v>350000</v>
      </c>
      <c r="AJ121" s="399"/>
      <c r="AK121" s="399">
        <v>200000</v>
      </c>
      <c r="AL121" s="477">
        <v>100000</v>
      </c>
      <c r="AM121" s="485">
        <f t="shared" si="14"/>
        <v>3154185.79</v>
      </c>
      <c r="AN121" s="399">
        <v>72.5</v>
      </c>
      <c r="AO121" s="402">
        <v>12383</v>
      </c>
      <c r="AP121" s="480">
        <v>-335813.23</v>
      </c>
      <c r="AQ121" s="490"/>
      <c r="AR121" s="490">
        <v>-18843.54</v>
      </c>
      <c r="AS121" s="520">
        <v>1.3</v>
      </c>
      <c r="AT121" s="533">
        <v>37189850.390000001</v>
      </c>
      <c r="AU121" s="533">
        <v>41580</v>
      </c>
      <c r="AV121" s="533">
        <v>739791.92</v>
      </c>
      <c r="AW121" s="533">
        <v>3154185.79</v>
      </c>
      <c r="AX121" s="533">
        <v>0</v>
      </c>
      <c r="AY121" s="533">
        <v>-335813.23</v>
      </c>
      <c r="AZ121" s="533">
        <v>0</v>
      </c>
      <c r="BA121" s="533">
        <v>-18843.54</v>
      </c>
      <c r="BB121" s="480">
        <f t="shared" si="15"/>
        <v>0</v>
      </c>
      <c r="BC121" s="480">
        <f t="shared" si="16"/>
        <v>0</v>
      </c>
      <c r="BD121" s="480">
        <f t="shared" si="17"/>
        <v>0</v>
      </c>
      <c r="BE121" s="480">
        <f t="shared" si="18"/>
        <v>0</v>
      </c>
      <c r="BF121" s="480">
        <f t="shared" si="19"/>
        <v>0</v>
      </c>
      <c r="BG121" s="480">
        <f t="shared" si="20"/>
        <v>0</v>
      </c>
      <c r="BH121" s="480">
        <f t="shared" si="21"/>
        <v>0</v>
      </c>
      <c r="BI121" s="6">
        <f t="shared" si="22"/>
        <v>5589</v>
      </c>
      <c r="BJ121" s="480" t="str">
        <f t="shared" si="23"/>
        <v>Prilly</v>
      </c>
    </row>
    <row r="122" spans="1:62" x14ac:dyDescent="0.25">
      <c r="A122" s="341">
        <v>5590</v>
      </c>
      <c r="B122" s="523" t="s">
        <v>124</v>
      </c>
      <c r="C122" s="394">
        <v>56258078.600000001</v>
      </c>
      <c r="D122" s="394">
        <v>16689820.6</v>
      </c>
      <c r="E122" s="391"/>
      <c r="F122" s="394">
        <v>0</v>
      </c>
      <c r="G122" s="394">
        <v>3618676.8</v>
      </c>
      <c r="H122" s="394">
        <v>4055683.6</v>
      </c>
      <c r="I122" s="394">
        <v>2885824.78</v>
      </c>
      <c r="J122" s="394">
        <v>1229871.8899999999</v>
      </c>
      <c r="K122" s="394">
        <v>372675.2</v>
      </c>
      <c r="L122" s="394">
        <v>3696803.45</v>
      </c>
      <c r="M122" s="334">
        <f t="shared" si="12"/>
        <v>88807434.920000002</v>
      </c>
      <c r="N122" s="398">
        <v>153086.15</v>
      </c>
      <c r="O122" s="398">
        <v>1762846</v>
      </c>
      <c r="P122" s="398">
        <v>4021807.65</v>
      </c>
      <c r="Q122" s="398">
        <v>97237.75</v>
      </c>
      <c r="R122" s="398">
        <v>3175239.05</v>
      </c>
      <c r="S122" s="398">
        <v>25750.2</v>
      </c>
      <c r="T122" s="398"/>
      <c r="U122" s="398">
        <v>61950</v>
      </c>
      <c r="V122" s="398"/>
      <c r="W122" s="398"/>
      <c r="X122" s="382">
        <v>920515.62</v>
      </c>
      <c r="Y122" s="485">
        <f t="shared" si="13"/>
        <v>99025867.340000018</v>
      </c>
      <c r="Z122" s="399">
        <v>453531.17</v>
      </c>
      <c r="AA122" s="399"/>
      <c r="AB122" s="399">
        <v>3642772.85</v>
      </c>
      <c r="AC122" s="399"/>
      <c r="AD122" s="399">
        <v>2190428.66</v>
      </c>
      <c r="AE122" s="399">
        <v>290200</v>
      </c>
      <c r="AF122" s="399"/>
      <c r="AG122" s="399"/>
      <c r="AH122" s="399">
        <v>34094.71</v>
      </c>
      <c r="AI122" s="399">
        <v>351480.78</v>
      </c>
      <c r="AJ122" s="399">
        <v>517314.2</v>
      </c>
      <c r="AK122" s="399"/>
      <c r="AL122" s="477"/>
      <c r="AM122" s="485">
        <f t="shared" si="14"/>
        <v>7479822.3700000001</v>
      </c>
      <c r="AN122" s="399">
        <v>61</v>
      </c>
      <c r="AO122" s="402">
        <v>18688</v>
      </c>
      <c r="AP122" s="480">
        <v>-425355.01</v>
      </c>
      <c r="AQ122" s="490"/>
      <c r="AR122" s="490">
        <v>-766422.94</v>
      </c>
      <c r="AS122" s="520">
        <v>0.7</v>
      </c>
      <c r="AT122" s="533">
        <v>99025867.340000004</v>
      </c>
      <c r="AU122" s="533">
        <f>25750.2+61950</f>
        <v>87700.2</v>
      </c>
      <c r="AV122" s="533">
        <v>920515.62</v>
      </c>
      <c r="AW122" s="533">
        <v>7479822.3700000001</v>
      </c>
      <c r="AX122" s="533">
        <v>0</v>
      </c>
      <c r="AY122" s="533">
        <v>-425355.01</v>
      </c>
      <c r="AZ122" s="533">
        <v>0</v>
      </c>
      <c r="BA122" s="533">
        <v>-766422.94</v>
      </c>
      <c r="BB122" s="480">
        <f t="shared" si="15"/>
        <v>0</v>
      </c>
      <c r="BC122" s="480">
        <f t="shared" si="16"/>
        <v>0</v>
      </c>
      <c r="BD122" s="480">
        <f t="shared" si="17"/>
        <v>0</v>
      </c>
      <c r="BE122" s="480">
        <f t="shared" si="18"/>
        <v>0</v>
      </c>
      <c r="BF122" s="480">
        <f t="shared" si="19"/>
        <v>0</v>
      </c>
      <c r="BG122" s="480">
        <f t="shared" si="20"/>
        <v>0</v>
      </c>
      <c r="BH122" s="480">
        <f t="shared" si="21"/>
        <v>0</v>
      </c>
      <c r="BI122" s="6">
        <f t="shared" si="22"/>
        <v>5590</v>
      </c>
      <c r="BJ122" s="480" t="str">
        <f t="shared" si="23"/>
        <v>Pully</v>
      </c>
    </row>
    <row r="123" spans="1:62" x14ac:dyDescent="0.25">
      <c r="A123" s="341">
        <v>5591</v>
      </c>
      <c r="B123" s="523" t="s">
        <v>396</v>
      </c>
      <c r="C123" s="394">
        <v>29655035.82</v>
      </c>
      <c r="D123" s="394">
        <v>3120595.88</v>
      </c>
      <c r="E123" s="391"/>
      <c r="F123" s="394">
        <v>0</v>
      </c>
      <c r="G123" s="394">
        <v>6210346.4000000004</v>
      </c>
      <c r="H123" s="394">
        <v>384973.7</v>
      </c>
      <c r="I123" s="394">
        <v>0</v>
      </c>
      <c r="J123" s="394">
        <v>2464233.13</v>
      </c>
      <c r="K123" s="394">
        <v>728905.4</v>
      </c>
      <c r="L123" s="394">
        <v>5014400.55</v>
      </c>
      <c r="M123" s="334">
        <f t="shared" si="12"/>
        <v>47578490.880000003</v>
      </c>
      <c r="N123" s="398">
        <v>2364789</v>
      </c>
      <c r="O123" s="398">
        <v>1102475.1000000001</v>
      </c>
      <c r="P123" s="398">
        <v>2169137.5</v>
      </c>
      <c r="Q123" s="398">
        <v>329854.67</v>
      </c>
      <c r="R123" s="398">
        <v>1117007.05</v>
      </c>
      <c r="S123" s="398"/>
      <c r="T123" s="398"/>
      <c r="U123" s="398">
        <v>71900</v>
      </c>
      <c r="V123" s="398">
        <v>23498.25</v>
      </c>
      <c r="W123" s="398">
        <v>49994.65</v>
      </c>
      <c r="X123" s="382">
        <v>791088.1</v>
      </c>
      <c r="Y123" s="485">
        <f t="shared" si="13"/>
        <v>55598235.200000003</v>
      </c>
      <c r="Z123" s="399">
        <v>395615.1</v>
      </c>
      <c r="AA123" s="399"/>
      <c r="AB123" s="399">
        <v>1434326.55</v>
      </c>
      <c r="AC123" s="399">
        <v>4320</v>
      </c>
      <c r="AD123" s="399">
        <v>2207015.27</v>
      </c>
      <c r="AE123" s="399"/>
      <c r="AF123" s="399"/>
      <c r="AG123" s="399"/>
      <c r="AH123" s="399">
        <v>1411.2</v>
      </c>
      <c r="AI123" s="399">
        <v>563986.68000000005</v>
      </c>
      <c r="AJ123" s="399"/>
      <c r="AK123" s="399"/>
      <c r="AL123" s="477">
        <v>241660.97</v>
      </c>
      <c r="AM123" s="485">
        <f t="shared" si="14"/>
        <v>4848335.7699999996</v>
      </c>
      <c r="AN123" s="399">
        <v>77</v>
      </c>
      <c r="AO123" s="402">
        <v>20863</v>
      </c>
      <c r="AP123" s="480">
        <v>-1308350.45</v>
      </c>
      <c r="AQ123" s="490"/>
      <c r="AR123" s="490">
        <v>-8754.91</v>
      </c>
      <c r="AS123" s="520">
        <v>1.4</v>
      </c>
      <c r="AT123" s="533">
        <v>55598235.200000003</v>
      </c>
      <c r="AU123" s="533">
        <f>71900+23498.25+49994.65</f>
        <v>145392.9</v>
      </c>
      <c r="AV123" s="533">
        <v>791088.1</v>
      </c>
      <c r="AW123" s="533">
        <v>4848335.7699999996</v>
      </c>
      <c r="AX123" s="533">
        <v>0</v>
      </c>
      <c r="AY123" s="533">
        <v>-1308350.45</v>
      </c>
      <c r="AZ123" s="533">
        <v>0</v>
      </c>
      <c r="BA123" s="533">
        <v>-8754.91</v>
      </c>
      <c r="BB123" s="480">
        <f t="shared" si="15"/>
        <v>0</v>
      </c>
      <c r="BC123" s="480">
        <f t="shared" si="16"/>
        <v>0</v>
      </c>
      <c r="BD123" s="480">
        <f t="shared" si="17"/>
        <v>0</v>
      </c>
      <c r="BE123" s="480">
        <f t="shared" si="18"/>
        <v>0</v>
      </c>
      <c r="BF123" s="480">
        <f t="shared" si="19"/>
        <v>0</v>
      </c>
      <c r="BG123" s="480">
        <f t="shared" si="20"/>
        <v>0</v>
      </c>
      <c r="BH123" s="480">
        <f t="shared" si="21"/>
        <v>0</v>
      </c>
      <c r="BI123" s="6">
        <f t="shared" si="22"/>
        <v>5591</v>
      </c>
      <c r="BJ123" s="480" t="str">
        <f t="shared" si="23"/>
        <v>Renens</v>
      </c>
    </row>
    <row r="124" spans="1:62" x14ac:dyDescent="0.25">
      <c r="A124" s="341">
        <v>5592</v>
      </c>
      <c r="B124" s="523" t="s">
        <v>216</v>
      </c>
      <c r="C124" s="394">
        <v>6087510.3099999996</v>
      </c>
      <c r="D124" s="394">
        <v>783894.22</v>
      </c>
      <c r="E124" s="391"/>
      <c r="F124" s="394">
        <v>0</v>
      </c>
      <c r="G124" s="394">
        <v>559962.4</v>
      </c>
      <c r="H124" s="394">
        <v>75994.75</v>
      </c>
      <c r="I124" s="394">
        <v>45581.35</v>
      </c>
      <c r="J124" s="394">
        <v>186916.63</v>
      </c>
      <c r="K124" s="394">
        <v>141567.75</v>
      </c>
      <c r="L124" s="394">
        <v>845890.95</v>
      </c>
      <c r="M124" s="334">
        <f t="shared" si="12"/>
        <v>8727318.3599999994</v>
      </c>
      <c r="N124" s="398">
        <v>220475.4</v>
      </c>
      <c r="O124" s="398">
        <v>83.5</v>
      </c>
      <c r="P124" s="398">
        <v>301143.25</v>
      </c>
      <c r="Q124" s="398">
        <v>50808.95</v>
      </c>
      <c r="R124" s="398">
        <v>112571.65</v>
      </c>
      <c r="S124" s="398">
        <v>150</v>
      </c>
      <c r="T124" s="398">
        <v>500</v>
      </c>
      <c r="U124" s="398">
        <v>16050</v>
      </c>
      <c r="V124" s="398"/>
      <c r="W124" s="398"/>
      <c r="X124" s="382">
        <v>71494.2</v>
      </c>
      <c r="Y124" s="485">
        <f t="shared" si="13"/>
        <v>9500595.3099999987</v>
      </c>
      <c r="Z124" s="399">
        <v>87746.05</v>
      </c>
      <c r="AA124" s="399"/>
      <c r="AB124" s="399">
        <v>393638.63</v>
      </c>
      <c r="AC124" s="399"/>
      <c r="AD124" s="399">
        <v>215256.58</v>
      </c>
      <c r="AE124" s="399"/>
      <c r="AF124" s="399"/>
      <c r="AG124" s="399"/>
      <c r="AH124" s="399"/>
      <c r="AI124" s="399">
        <v>98968.67</v>
      </c>
      <c r="AJ124" s="399">
        <v>84832.4</v>
      </c>
      <c r="AK124" s="399">
        <v>84832.42</v>
      </c>
      <c r="AL124" s="477"/>
      <c r="AM124" s="485">
        <f t="shared" si="14"/>
        <v>965274.75000000012</v>
      </c>
      <c r="AN124" s="399">
        <v>70.5</v>
      </c>
      <c r="AO124" s="402">
        <v>3247</v>
      </c>
      <c r="AP124" s="480">
        <v>-117204.62</v>
      </c>
      <c r="AQ124" s="490"/>
      <c r="AR124" s="490">
        <v>-12135.29</v>
      </c>
      <c r="AS124" s="520">
        <v>1.25</v>
      </c>
      <c r="AT124" s="533">
        <v>9500595.3100000005</v>
      </c>
      <c r="AU124" s="533">
        <f>150+500+16050</f>
        <v>16700</v>
      </c>
      <c r="AV124" s="533">
        <v>71494.2</v>
      </c>
      <c r="AW124" s="533">
        <v>965274.75</v>
      </c>
      <c r="AX124" s="533">
        <v>0</v>
      </c>
      <c r="AY124" s="533">
        <v>-117204.62</v>
      </c>
      <c r="AZ124" s="533">
        <v>0</v>
      </c>
      <c r="BA124" s="533">
        <v>-12135.29</v>
      </c>
      <c r="BB124" s="480">
        <f t="shared" si="15"/>
        <v>0</v>
      </c>
      <c r="BC124" s="480">
        <f t="shared" si="16"/>
        <v>0</v>
      </c>
      <c r="BD124" s="480">
        <f t="shared" si="17"/>
        <v>0</v>
      </c>
      <c r="BE124" s="480">
        <f t="shared" si="18"/>
        <v>0</v>
      </c>
      <c r="BF124" s="480">
        <f t="shared" si="19"/>
        <v>0</v>
      </c>
      <c r="BG124" s="480">
        <f t="shared" si="20"/>
        <v>0</v>
      </c>
      <c r="BH124" s="480">
        <f t="shared" si="21"/>
        <v>0</v>
      </c>
      <c r="BI124" s="6">
        <f t="shared" si="22"/>
        <v>5592</v>
      </c>
      <c r="BJ124" s="480" t="str">
        <f t="shared" si="23"/>
        <v>Romanel-sur-Lausanne</v>
      </c>
    </row>
    <row r="125" spans="1:62" x14ac:dyDescent="0.25">
      <c r="A125" s="341">
        <v>5601</v>
      </c>
      <c r="B125" s="523" t="s">
        <v>298</v>
      </c>
      <c r="C125" s="394">
        <v>4878850.43</v>
      </c>
      <c r="D125" s="394">
        <v>1060518.8799999999</v>
      </c>
      <c r="E125" s="391"/>
      <c r="F125" s="394">
        <v>0</v>
      </c>
      <c r="G125" s="394">
        <v>47216.1</v>
      </c>
      <c r="H125" s="394">
        <v>12717.25</v>
      </c>
      <c r="I125" s="394">
        <v>13068.55</v>
      </c>
      <c r="J125" s="394">
        <v>121037.52</v>
      </c>
      <c r="K125" s="394">
        <v>7556.7</v>
      </c>
      <c r="L125" s="394">
        <v>490552.9</v>
      </c>
      <c r="M125" s="334">
        <f t="shared" si="12"/>
        <v>6631518.3299999991</v>
      </c>
      <c r="N125" s="398">
        <v>47732.35</v>
      </c>
      <c r="O125" s="398">
        <v>310583.40000000002</v>
      </c>
      <c r="P125" s="398">
        <v>590638.19999999995</v>
      </c>
      <c r="Q125" s="398">
        <v>1536.82</v>
      </c>
      <c r="R125" s="398">
        <v>763633.75</v>
      </c>
      <c r="S125" s="398"/>
      <c r="T125" s="398"/>
      <c r="U125" s="398">
        <v>7087.5</v>
      </c>
      <c r="V125" s="398"/>
      <c r="W125" s="398"/>
      <c r="X125" s="382">
        <v>7188.82</v>
      </c>
      <c r="Y125" s="485">
        <f t="shared" si="13"/>
        <v>8359919.1699999999</v>
      </c>
      <c r="Z125" s="399"/>
      <c r="AA125" s="399">
        <v>2447.4899999999998</v>
      </c>
      <c r="AB125" s="399">
        <v>81868.38</v>
      </c>
      <c r="AC125" s="399">
        <v>257179.8</v>
      </c>
      <c r="AD125" s="399">
        <v>128052.7</v>
      </c>
      <c r="AE125" s="399"/>
      <c r="AF125" s="399">
        <v>4379.22</v>
      </c>
      <c r="AG125" s="399"/>
      <c r="AH125" s="399">
        <v>51332.05</v>
      </c>
      <c r="AI125" s="399">
        <v>45217.8</v>
      </c>
      <c r="AJ125" s="399"/>
      <c r="AK125" s="399"/>
      <c r="AL125" s="477"/>
      <c r="AM125" s="485">
        <f t="shared" si="14"/>
        <v>570477.44000000006</v>
      </c>
      <c r="AN125" s="399">
        <v>67.5</v>
      </c>
      <c r="AO125" s="402">
        <v>2251</v>
      </c>
      <c r="AP125" s="480">
        <v>-12673.96</v>
      </c>
      <c r="AQ125" s="490"/>
      <c r="AR125" s="490">
        <v>-7708.02</v>
      </c>
      <c r="AS125" s="520">
        <v>1</v>
      </c>
      <c r="AT125" s="534">
        <v>8359919.1699999999</v>
      </c>
      <c r="AU125" s="534">
        <v>7087.5</v>
      </c>
      <c r="AV125" s="534">
        <v>7188.82</v>
      </c>
      <c r="AW125" s="534">
        <v>570477.43999999994</v>
      </c>
      <c r="AX125" s="534">
        <v>0</v>
      </c>
      <c r="AY125" s="534">
        <v>-12673.96</v>
      </c>
      <c r="AZ125" s="534">
        <v>0</v>
      </c>
      <c r="BA125" s="534">
        <v>-7708.02</v>
      </c>
      <c r="BB125" s="480">
        <f t="shared" si="15"/>
        <v>0</v>
      </c>
      <c r="BC125" s="480">
        <f t="shared" si="16"/>
        <v>0</v>
      </c>
      <c r="BD125" s="480">
        <f t="shared" si="17"/>
        <v>0</v>
      </c>
      <c r="BE125" s="480">
        <f t="shared" si="18"/>
        <v>0</v>
      </c>
      <c r="BF125" s="480">
        <f t="shared" si="19"/>
        <v>0</v>
      </c>
      <c r="BG125" s="480">
        <f t="shared" si="20"/>
        <v>0</v>
      </c>
      <c r="BH125" s="480">
        <f t="shared" si="21"/>
        <v>0</v>
      </c>
      <c r="BI125" s="6">
        <f t="shared" si="22"/>
        <v>5601</v>
      </c>
      <c r="BJ125" s="480" t="str">
        <f t="shared" si="23"/>
        <v>Chexbres</v>
      </c>
    </row>
    <row r="126" spans="1:62" x14ac:dyDescent="0.25">
      <c r="A126" s="341">
        <v>5604</v>
      </c>
      <c r="B126" s="523" t="s">
        <v>143</v>
      </c>
      <c r="C126" s="394">
        <v>3713769.34</v>
      </c>
      <c r="D126" s="394">
        <v>567698.43999999994</v>
      </c>
      <c r="E126" s="391"/>
      <c r="F126" s="394">
        <v>0</v>
      </c>
      <c r="G126" s="394">
        <v>117455.5</v>
      </c>
      <c r="H126" s="394">
        <v>20763.3</v>
      </c>
      <c r="I126" s="394">
        <v>0</v>
      </c>
      <c r="J126" s="394">
        <v>86748.479999999996</v>
      </c>
      <c r="K126" s="394">
        <v>20348.599999999999</v>
      </c>
      <c r="L126" s="394">
        <v>405290.4</v>
      </c>
      <c r="M126" s="334">
        <f t="shared" si="12"/>
        <v>4932074.0599999996</v>
      </c>
      <c r="N126" s="398">
        <v>105948.3</v>
      </c>
      <c r="O126" s="398">
        <v>-54.75</v>
      </c>
      <c r="P126" s="398">
        <v>210749.5</v>
      </c>
      <c r="Q126" s="398">
        <v>16420.169999999998</v>
      </c>
      <c r="R126" s="398">
        <v>103810.7</v>
      </c>
      <c r="S126" s="398">
        <v>3008.25</v>
      </c>
      <c r="T126" s="398"/>
      <c r="U126" s="398">
        <v>22950</v>
      </c>
      <c r="V126" s="398"/>
      <c r="W126" s="398"/>
      <c r="X126" s="382">
        <v>16578.91</v>
      </c>
      <c r="Y126" s="485">
        <f t="shared" si="13"/>
        <v>5411485.1399999997</v>
      </c>
      <c r="Z126" s="399">
        <v>85747.05</v>
      </c>
      <c r="AA126" s="399"/>
      <c r="AB126" s="399">
        <v>409643.4</v>
      </c>
      <c r="AC126" s="399"/>
      <c r="AD126" s="399">
        <v>119175.01</v>
      </c>
      <c r="AE126" s="399">
        <v>93652.15</v>
      </c>
      <c r="AF126" s="399"/>
      <c r="AG126" s="399"/>
      <c r="AH126" s="399">
        <v>10132.299999999999</v>
      </c>
      <c r="AI126" s="399"/>
      <c r="AJ126" s="399"/>
      <c r="AK126" s="399"/>
      <c r="AL126" s="477"/>
      <c r="AM126" s="485">
        <f t="shared" si="14"/>
        <v>718349.91</v>
      </c>
      <c r="AN126" s="399">
        <v>69</v>
      </c>
      <c r="AO126" s="402">
        <v>2105</v>
      </c>
      <c r="AP126" s="480">
        <v>-43233.91</v>
      </c>
      <c r="AQ126" s="490"/>
      <c r="AR126" s="490">
        <v>-1455.11</v>
      </c>
      <c r="AS126" s="520">
        <v>1</v>
      </c>
      <c r="AT126" s="533">
        <v>5411485.1399999997</v>
      </c>
      <c r="AU126" s="533">
        <f>3008.25+22950</f>
        <v>25958.25</v>
      </c>
      <c r="AV126" s="533">
        <v>16578.91</v>
      </c>
      <c r="AW126" s="533">
        <v>718349.91</v>
      </c>
      <c r="AX126" s="533">
        <v>0</v>
      </c>
      <c r="AY126" s="533">
        <v>-43233.91</v>
      </c>
      <c r="AZ126" s="533">
        <v>0</v>
      </c>
      <c r="BA126" s="533">
        <v>-1455.11</v>
      </c>
      <c r="BB126" s="480">
        <f t="shared" si="15"/>
        <v>0</v>
      </c>
      <c r="BC126" s="480">
        <f t="shared" si="16"/>
        <v>0</v>
      </c>
      <c r="BD126" s="480">
        <f t="shared" si="17"/>
        <v>0</v>
      </c>
      <c r="BE126" s="480">
        <f t="shared" si="18"/>
        <v>0</v>
      </c>
      <c r="BF126" s="480">
        <f t="shared" si="19"/>
        <v>0</v>
      </c>
      <c r="BG126" s="480">
        <f t="shared" si="20"/>
        <v>0</v>
      </c>
      <c r="BH126" s="480">
        <f t="shared" si="21"/>
        <v>0</v>
      </c>
      <c r="BI126" s="6">
        <f t="shared" si="22"/>
        <v>5604</v>
      </c>
      <c r="BJ126" s="480" t="str">
        <f t="shared" si="23"/>
        <v>Forel (Lavaux)</v>
      </c>
    </row>
    <row r="127" spans="1:62" x14ac:dyDescent="0.25">
      <c r="A127" s="341">
        <v>5606</v>
      </c>
      <c r="B127" s="523" t="s">
        <v>144</v>
      </c>
      <c r="C127" s="394">
        <v>32329769.07</v>
      </c>
      <c r="D127" s="394">
        <v>7421290.46</v>
      </c>
      <c r="E127" s="391"/>
      <c r="F127" s="394">
        <v>0</v>
      </c>
      <c r="G127" s="394">
        <v>2477250.5499999998</v>
      </c>
      <c r="H127" s="394">
        <v>88295.6</v>
      </c>
      <c r="I127" s="394">
        <v>1361832.33</v>
      </c>
      <c r="J127" s="394">
        <v>271196.74</v>
      </c>
      <c r="K127" s="394">
        <v>139267.6</v>
      </c>
      <c r="L127" s="394">
        <v>2236909.9500000002</v>
      </c>
      <c r="M127" s="334">
        <f t="shared" si="12"/>
        <v>46325812.300000004</v>
      </c>
      <c r="N127" s="398">
        <v>149368.25</v>
      </c>
      <c r="O127" s="398">
        <v>1698280.7</v>
      </c>
      <c r="P127" s="398">
        <v>2307429.0499999998</v>
      </c>
      <c r="Q127" s="398">
        <v>-90098.94</v>
      </c>
      <c r="R127" s="398">
        <v>1525779.6</v>
      </c>
      <c r="S127" s="398"/>
      <c r="T127" s="398"/>
      <c r="U127" s="398">
        <v>90850</v>
      </c>
      <c r="V127" s="398"/>
      <c r="W127" s="398"/>
      <c r="X127" s="382">
        <v>307729.27</v>
      </c>
      <c r="Y127" s="485">
        <f t="shared" si="13"/>
        <v>52315150.230000012</v>
      </c>
      <c r="Z127" s="399">
        <v>169238</v>
      </c>
      <c r="AA127" s="399"/>
      <c r="AB127" s="399">
        <v>1365438.47</v>
      </c>
      <c r="AC127" s="399"/>
      <c r="AD127" s="399">
        <v>1599390.53</v>
      </c>
      <c r="AE127" s="399">
        <v>117117</v>
      </c>
      <c r="AF127" s="399"/>
      <c r="AG127" s="399"/>
      <c r="AH127" s="399">
        <v>15189.26</v>
      </c>
      <c r="AI127" s="399">
        <v>285842.8</v>
      </c>
      <c r="AJ127" s="399">
        <v>204173.45</v>
      </c>
      <c r="AK127" s="399">
        <v>81669.399999999994</v>
      </c>
      <c r="AL127" s="477"/>
      <c r="AM127" s="485">
        <f t="shared" si="14"/>
        <v>3838058.9099999997</v>
      </c>
      <c r="AN127" s="399">
        <v>54</v>
      </c>
      <c r="AO127" s="402">
        <v>10455</v>
      </c>
      <c r="AP127" s="480">
        <v>-128103.74</v>
      </c>
      <c r="AQ127" s="490"/>
      <c r="AR127" s="490">
        <v>-111574.46</v>
      </c>
      <c r="AS127" s="520">
        <v>0.7</v>
      </c>
      <c r="AT127" s="533">
        <v>52315150.229999997</v>
      </c>
      <c r="AU127" s="533">
        <v>90850</v>
      </c>
      <c r="AV127" s="533">
        <v>307729.27</v>
      </c>
      <c r="AW127" s="533">
        <v>3838058.91</v>
      </c>
      <c r="AX127" s="533">
        <v>0</v>
      </c>
      <c r="AY127" s="533">
        <v>-128103.74</v>
      </c>
      <c r="AZ127" s="533">
        <v>0</v>
      </c>
      <c r="BA127" s="533">
        <v>-111574.46</v>
      </c>
      <c r="BB127" s="480">
        <f t="shared" si="15"/>
        <v>0</v>
      </c>
      <c r="BC127" s="480">
        <f t="shared" si="16"/>
        <v>0</v>
      </c>
      <c r="BD127" s="480">
        <f t="shared" si="17"/>
        <v>0</v>
      </c>
      <c r="BE127" s="480">
        <f t="shared" si="18"/>
        <v>0</v>
      </c>
      <c r="BF127" s="480">
        <f t="shared" si="19"/>
        <v>0</v>
      </c>
      <c r="BG127" s="480">
        <f t="shared" si="20"/>
        <v>0</v>
      </c>
      <c r="BH127" s="480">
        <f t="shared" si="21"/>
        <v>0</v>
      </c>
      <c r="BI127" s="6">
        <f t="shared" si="22"/>
        <v>5606</v>
      </c>
      <c r="BJ127" s="480" t="str">
        <f t="shared" si="23"/>
        <v>Lutry</v>
      </c>
    </row>
    <row r="128" spans="1:62" x14ac:dyDescent="0.25">
      <c r="A128" s="341">
        <v>5607</v>
      </c>
      <c r="B128" s="523" t="s">
        <v>300</v>
      </c>
      <c r="C128" s="394">
        <v>4743377.83</v>
      </c>
      <c r="D128" s="394">
        <v>695095.51</v>
      </c>
      <c r="E128" s="391"/>
      <c r="F128" s="394">
        <v>0</v>
      </c>
      <c r="G128" s="394">
        <v>470589.95</v>
      </c>
      <c r="H128" s="394">
        <v>146403</v>
      </c>
      <c r="I128" s="394">
        <v>-135.85</v>
      </c>
      <c r="J128" s="394">
        <v>211359.3</v>
      </c>
      <c r="K128" s="394">
        <v>119887.6</v>
      </c>
      <c r="L128" s="394">
        <v>812063.85</v>
      </c>
      <c r="M128" s="334">
        <f t="shared" si="12"/>
        <v>7198641.1899999995</v>
      </c>
      <c r="N128" s="398">
        <v>241469.15</v>
      </c>
      <c r="O128" s="398">
        <v>22786.7</v>
      </c>
      <c r="P128" s="398">
        <v>644550.9</v>
      </c>
      <c r="Q128" s="398">
        <v>-2283.14</v>
      </c>
      <c r="R128" s="398">
        <v>478937.4</v>
      </c>
      <c r="S128" s="398"/>
      <c r="T128" s="398">
        <v>17993.7</v>
      </c>
      <c r="U128" s="398">
        <v>40050</v>
      </c>
      <c r="V128" s="398"/>
      <c r="W128" s="398"/>
      <c r="X128" s="382">
        <v>74006.38</v>
      </c>
      <c r="Y128" s="485">
        <f t="shared" si="13"/>
        <v>8716152.2800000012</v>
      </c>
      <c r="Z128" s="399">
        <v>106775.95</v>
      </c>
      <c r="AA128" s="399"/>
      <c r="AB128" s="399">
        <v>195820.45</v>
      </c>
      <c r="AC128" s="399">
        <v>400347.7</v>
      </c>
      <c r="AD128" s="399">
        <v>153953.65</v>
      </c>
      <c r="AE128" s="399">
        <v>217752</v>
      </c>
      <c r="AF128" s="399"/>
      <c r="AG128" s="399"/>
      <c r="AH128" s="399">
        <v>28637.4</v>
      </c>
      <c r="AI128" s="399">
        <v>147422.1</v>
      </c>
      <c r="AJ128" s="399"/>
      <c r="AK128" s="399"/>
      <c r="AL128" s="477"/>
      <c r="AM128" s="485">
        <f t="shared" si="14"/>
        <v>1250709.25</v>
      </c>
      <c r="AN128" s="399">
        <v>68.5</v>
      </c>
      <c r="AO128" s="402">
        <v>2894</v>
      </c>
      <c r="AP128" s="480">
        <v>-109442.74</v>
      </c>
      <c r="AQ128" s="490"/>
      <c r="AR128" s="490">
        <v>-3269.53</v>
      </c>
      <c r="AS128" s="520">
        <v>1.1499999999999999</v>
      </c>
      <c r="AT128" s="533">
        <v>8716152.2799999993</v>
      </c>
      <c r="AU128" s="533">
        <f>17993.7+40050</f>
        <v>58043.7</v>
      </c>
      <c r="AV128" s="533">
        <v>74006.38</v>
      </c>
      <c r="AW128" s="533">
        <v>1250709.25</v>
      </c>
      <c r="AX128" s="533">
        <v>0</v>
      </c>
      <c r="AY128" s="533">
        <v>-109442.74</v>
      </c>
      <c r="AZ128" s="533">
        <v>0</v>
      </c>
      <c r="BA128" s="533">
        <v>-3269.53</v>
      </c>
      <c r="BB128" s="480">
        <f t="shared" si="15"/>
        <v>0</v>
      </c>
      <c r="BC128" s="480">
        <f t="shared" si="16"/>
        <v>0</v>
      </c>
      <c r="BD128" s="480">
        <f t="shared" si="17"/>
        <v>0</v>
      </c>
      <c r="BE128" s="480">
        <f t="shared" si="18"/>
        <v>0</v>
      </c>
      <c r="BF128" s="480">
        <f t="shared" si="19"/>
        <v>0</v>
      </c>
      <c r="BG128" s="480">
        <f t="shared" si="20"/>
        <v>0</v>
      </c>
      <c r="BH128" s="480">
        <f t="shared" si="21"/>
        <v>0</v>
      </c>
      <c r="BI128" s="6">
        <f t="shared" si="22"/>
        <v>5607</v>
      </c>
      <c r="BJ128" s="480" t="str">
        <f t="shared" si="23"/>
        <v>Puidoux</v>
      </c>
    </row>
    <row r="129" spans="1:62" x14ac:dyDescent="0.25">
      <c r="A129" s="341">
        <v>5609</v>
      </c>
      <c r="B129" s="523" t="s">
        <v>128</v>
      </c>
      <c r="C129" s="394">
        <v>710367.19</v>
      </c>
      <c r="D129" s="394">
        <v>161320.57999999999</v>
      </c>
      <c r="E129" s="391"/>
      <c r="F129" s="394">
        <v>0</v>
      </c>
      <c r="G129" s="394">
        <v>8251</v>
      </c>
      <c r="H129" s="394">
        <v>720.9</v>
      </c>
      <c r="I129" s="394">
        <v>0</v>
      </c>
      <c r="J129" s="394">
        <v>59004.01</v>
      </c>
      <c r="K129" s="394">
        <v>185.9</v>
      </c>
      <c r="L129" s="394">
        <v>59111.8</v>
      </c>
      <c r="M129" s="334">
        <f t="shared" si="12"/>
        <v>998961.38</v>
      </c>
      <c r="N129" s="398">
        <v>0</v>
      </c>
      <c r="O129" s="398">
        <v>0</v>
      </c>
      <c r="P129" s="398">
        <v>22715</v>
      </c>
      <c r="Q129" s="398">
        <v>2003.79</v>
      </c>
      <c r="R129" s="398">
        <v>42729.15</v>
      </c>
      <c r="S129" s="398"/>
      <c r="T129" s="398"/>
      <c r="U129" s="398">
        <v>1200</v>
      </c>
      <c r="V129" s="398"/>
      <c r="W129" s="398"/>
      <c r="X129" s="382">
        <v>1076.1500000000001</v>
      </c>
      <c r="Y129" s="485">
        <f t="shared" si="13"/>
        <v>1068685.47</v>
      </c>
      <c r="Z129" s="399"/>
      <c r="AA129" s="399"/>
      <c r="AB129" s="399">
        <v>33015</v>
      </c>
      <c r="AC129" s="399">
        <v>37827.550000000003</v>
      </c>
      <c r="AD129" s="399">
        <v>21049.95</v>
      </c>
      <c r="AE129" s="399"/>
      <c r="AF129" s="399"/>
      <c r="AG129" s="399"/>
      <c r="AH129" s="399">
        <v>8932.5</v>
      </c>
      <c r="AI129" s="399">
        <v>5885.85</v>
      </c>
      <c r="AJ129" s="399"/>
      <c r="AK129" s="399"/>
      <c r="AL129" s="477"/>
      <c r="AM129" s="485">
        <f t="shared" si="14"/>
        <v>106710.85</v>
      </c>
      <c r="AN129" s="399">
        <v>62</v>
      </c>
      <c r="AO129" s="402">
        <v>337</v>
      </c>
      <c r="AP129" s="480">
        <v>-6552.11</v>
      </c>
      <c r="AQ129" s="490"/>
      <c r="AR129" s="490">
        <v>-460.48</v>
      </c>
      <c r="AS129" s="520">
        <v>1</v>
      </c>
      <c r="AT129" s="533">
        <v>1068685.47</v>
      </c>
      <c r="AU129" s="533">
        <v>1200</v>
      </c>
      <c r="AV129" s="533">
        <v>1076.1500000000001</v>
      </c>
      <c r="AW129" s="533">
        <v>106710.85</v>
      </c>
      <c r="AX129" s="533">
        <v>0</v>
      </c>
      <c r="AY129" s="533">
        <v>-6552.11</v>
      </c>
      <c r="AZ129" s="533">
        <v>0</v>
      </c>
      <c r="BA129" s="533">
        <v>-460.48</v>
      </c>
      <c r="BB129" s="480">
        <f t="shared" si="15"/>
        <v>0</v>
      </c>
      <c r="BC129" s="480">
        <f t="shared" si="16"/>
        <v>0</v>
      </c>
      <c r="BD129" s="480">
        <f t="shared" si="17"/>
        <v>0</v>
      </c>
      <c r="BE129" s="480">
        <f t="shared" si="18"/>
        <v>0</v>
      </c>
      <c r="BF129" s="480">
        <f t="shared" si="19"/>
        <v>0</v>
      </c>
      <c r="BG129" s="480">
        <f t="shared" si="20"/>
        <v>0</v>
      </c>
      <c r="BH129" s="480">
        <f t="shared" si="21"/>
        <v>0</v>
      </c>
      <c r="BI129" s="6">
        <f t="shared" si="22"/>
        <v>5609</v>
      </c>
      <c r="BJ129" s="480" t="str">
        <f t="shared" si="23"/>
        <v>Rivaz</v>
      </c>
    </row>
    <row r="130" spans="1:62" x14ac:dyDescent="0.25">
      <c r="A130" s="341">
        <v>5610</v>
      </c>
      <c r="B130" s="523" t="s">
        <v>129</v>
      </c>
      <c r="C130" s="394">
        <v>1003929.85</v>
      </c>
      <c r="D130" s="394">
        <v>221693.26</v>
      </c>
      <c r="E130" s="391"/>
      <c r="F130" s="394">
        <v>0</v>
      </c>
      <c r="G130" s="394">
        <v>1155.1500000000001</v>
      </c>
      <c r="H130" s="394">
        <v>4309.1000000000004</v>
      </c>
      <c r="I130" s="394">
        <v>42593.15</v>
      </c>
      <c r="J130" s="394">
        <v>26916.85</v>
      </c>
      <c r="K130" s="394">
        <v>6697.85</v>
      </c>
      <c r="L130" s="394">
        <v>120309.2</v>
      </c>
      <c r="M130" s="334">
        <f t="shared" si="12"/>
        <v>1427604.41</v>
      </c>
      <c r="N130" s="398">
        <v>1817.85</v>
      </c>
      <c r="O130" s="398">
        <v>5785.2</v>
      </c>
      <c r="P130" s="398">
        <v>55309.1</v>
      </c>
      <c r="Q130" s="398">
        <v>-13472.35</v>
      </c>
      <c r="R130" s="398">
        <v>65663</v>
      </c>
      <c r="S130" s="398"/>
      <c r="T130" s="398"/>
      <c r="U130" s="398">
        <v>4575</v>
      </c>
      <c r="V130" s="398"/>
      <c r="W130" s="398"/>
      <c r="X130" s="382">
        <v>655.42</v>
      </c>
      <c r="Y130" s="485">
        <f t="shared" si="13"/>
        <v>1547937.63</v>
      </c>
      <c r="Z130" s="399"/>
      <c r="AA130" s="399"/>
      <c r="AB130" s="399">
        <v>56659</v>
      </c>
      <c r="AC130" s="399">
        <v>50451.15</v>
      </c>
      <c r="AD130" s="399"/>
      <c r="AE130" s="399"/>
      <c r="AF130" s="399"/>
      <c r="AG130" s="399"/>
      <c r="AH130" s="399"/>
      <c r="AI130" s="399"/>
      <c r="AJ130" s="399"/>
      <c r="AK130" s="399"/>
      <c r="AL130" s="477"/>
      <c r="AM130" s="485">
        <f t="shared" si="14"/>
        <v>107110.15</v>
      </c>
      <c r="AN130" s="399">
        <v>72</v>
      </c>
      <c r="AO130" s="402">
        <v>388</v>
      </c>
      <c r="AP130" s="480">
        <v>-6131.57</v>
      </c>
      <c r="AQ130" s="490"/>
      <c r="AR130" s="490">
        <v>-5216.2700000000004</v>
      </c>
      <c r="AS130" s="520">
        <v>1.2</v>
      </c>
      <c r="AT130" s="533">
        <v>1547937.63</v>
      </c>
      <c r="AU130" s="533">
        <v>4575</v>
      </c>
      <c r="AV130" s="533">
        <v>655.42</v>
      </c>
      <c r="AW130" s="533">
        <v>107110.15</v>
      </c>
      <c r="AX130" s="533">
        <v>0</v>
      </c>
      <c r="AY130" s="533">
        <v>-6131.57</v>
      </c>
      <c r="AZ130" s="533">
        <v>0</v>
      </c>
      <c r="BA130" s="533">
        <v>-5216.2700000000004</v>
      </c>
      <c r="BB130" s="480">
        <f t="shared" si="15"/>
        <v>0</v>
      </c>
      <c r="BC130" s="480">
        <f t="shared" si="16"/>
        <v>0</v>
      </c>
      <c r="BD130" s="480">
        <f t="shared" si="17"/>
        <v>0</v>
      </c>
      <c r="BE130" s="480">
        <f t="shared" si="18"/>
        <v>0</v>
      </c>
      <c r="BF130" s="480">
        <f t="shared" si="19"/>
        <v>0</v>
      </c>
      <c r="BG130" s="480">
        <f t="shared" si="20"/>
        <v>0</v>
      </c>
      <c r="BH130" s="480">
        <f t="shared" si="21"/>
        <v>0</v>
      </c>
      <c r="BI130" s="6">
        <f t="shared" si="22"/>
        <v>5610</v>
      </c>
      <c r="BJ130" s="480" t="str">
        <f t="shared" si="23"/>
        <v>St-Saphorin (Lavaux)</v>
      </c>
    </row>
    <row r="131" spans="1:62" x14ac:dyDescent="0.25">
      <c r="A131" s="341">
        <v>5611</v>
      </c>
      <c r="B131" s="523" t="s">
        <v>297</v>
      </c>
      <c r="C131" s="394">
        <v>7096638.0499999998</v>
      </c>
      <c r="D131" s="394">
        <v>1083196.49</v>
      </c>
      <c r="E131" s="391"/>
      <c r="F131" s="394">
        <v>0</v>
      </c>
      <c r="G131" s="394">
        <v>338381.35</v>
      </c>
      <c r="H131" s="394">
        <v>22265.05</v>
      </c>
      <c r="I131" s="394">
        <v>90726.6</v>
      </c>
      <c r="J131" s="394">
        <v>106210.31</v>
      </c>
      <c r="K131" s="394">
        <v>18582.650000000001</v>
      </c>
      <c r="L131" s="394">
        <v>802625.45</v>
      </c>
      <c r="M131" s="334">
        <f t="shared" si="12"/>
        <v>9558625.9500000011</v>
      </c>
      <c r="N131" s="398">
        <v>108590.3</v>
      </c>
      <c r="O131" s="398">
        <v>360273.6</v>
      </c>
      <c r="P131" s="398">
        <v>433066.7</v>
      </c>
      <c r="Q131" s="398">
        <v>21308.07</v>
      </c>
      <c r="R131" s="398">
        <v>195452.3</v>
      </c>
      <c r="S131" s="398">
        <v>725</v>
      </c>
      <c r="T131" s="398">
        <v>11767.3</v>
      </c>
      <c r="U131" s="398">
        <v>19530</v>
      </c>
      <c r="V131" s="398">
        <v>1508</v>
      </c>
      <c r="W131" s="398"/>
      <c r="X131" s="382">
        <v>43258.41</v>
      </c>
      <c r="Y131" s="485">
        <f t="shared" si="13"/>
        <v>10754105.630000003</v>
      </c>
      <c r="Z131" s="399">
        <v>35395.06</v>
      </c>
      <c r="AA131" s="399"/>
      <c r="AB131" s="399"/>
      <c r="AC131" s="399"/>
      <c r="AD131" s="399">
        <v>319730.96000000002</v>
      </c>
      <c r="AE131" s="399">
        <v>50942.82</v>
      </c>
      <c r="AF131" s="399">
        <v>1322.54</v>
      </c>
      <c r="AG131" s="399"/>
      <c r="AH131" s="399"/>
      <c r="AI131" s="399"/>
      <c r="AJ131" s="399"/>
      <c r="AK131" s="399"/>
      <c r="AL131" s="477"/>
      <c r="AM131" s="485">
        <f t="shared" si="14"/>
        <v>407391.38</v>
      </c>
      <c r="AN131" s="399">
        <v>69</v>
      </c>
      <c r="AO131" s="402">
        <v>3348</v>
      </c>
      <c r="AP131" s="480">
        <v>-49490.14</v>
      </c>
      <c r="AQ131" s="490"/>
      <c r="AR131" s="490">
        <v>-6573</v>
      </c>
      <c r="AS131" s="520">
        <v>1.2</v>
      </c>
      <c r="AT131" s="533">
        <v>10754105.630000001</v>
      </c>
      <c r="AU131" s="533">
        <f>725+11767.3+19530+1508</f>
        <v>33530.300000000003</v>
      </c>
      <c r="AV131" s="533">
        <v>43258.41</v>
      </c>
      <c r="AW131" s="533">
        <v>407391.38</v>
      </c>
      <c r="AX131" s="533">
        <v>0</v>
      </c>
      <c r="AY131" s="533">
        <v>-49490.14</v>
      </c>
      <c r="AZ131" s="533">
        <v>0</v>
      </c>
      <c r="BA131" s="533">
        <v>-6573</v>
      </c>
      <c r="BB131" s="480">
        <f t="shared" si="15"/>
        <v>0</v>
      </c>
      <c r="BC131" s="480">
        <f t="shared" si="16"/>
        <v>0</v>
      </c>
      <c r="BD131" s="480">
        <f t="shared" si="17"/>
        <v>0</v>
      </c>
      <c r="BE131" s="480">
        <f t="shared" si="18"/>
        <v>0</v>
      </c>
      <c r="BF131" s="480">
        <f t="shared" si="19"/>
        <v>0</v>
      </c>
      <c r="BG131" s="480">
        <f t="shared" si="20"/>
        <v>0</v>
      </c>
      <c r="BH131" s="480">
        <f t="shared" si="21"/>
        <v>0</v>
      </c>
      <c r="BI131" s="6">
        <f t="shared" si="22"/>
        <v>5611</v>
      </c>
      <c r="BJ131" s="480" t="str">
        <f t="shared" si="23"/>
        <v>Savigny</v>
      </c>
    </row>
    <row r="132" spans="1:62" x14ac:dyDescent="0.25">
      <c r="A132" s="341">
        <v>5613</v>
      </c>
      <c r="B132" s="523" t="s">
        <v>428</v>
      </c>
      <c r="C132" s="394">
        <v>15371354.609999999</v>
      </c>
      <c r="D132" s="394">
        <v>3572285.72</v>
      </c>
      <c r="E132" s="391"/>
      <c r="F132" s="394">
        <v>0</v>
      </c>
      <c r="G132" s="394">
        <v>203162.45</v>
      </c>
      <c r="H132" s="394">
        <v>38116.050000000003</v>
      </c>
      <c r="I132" s="394">
        <v>247378.1</v>
      </c>
      <c r="J132" s="394">
        <v>527617.93000000005</v>
      </c>
      <c r="K132" s="394">
        <v>38012.449999999997</v>
      </c>
      <c r="L132" s="394">
        <v>2203648.5</v>
      </c>
      <c r="M132" s="334">
        <f t="shared" si="12"/>
        <v>22201575.809999999</v>
      </c>
      <c r="N132" s="398">
        <v>31370.7</v>
      </c>
      <c r="O132" s="398">
        <v>124049.9</v>
      </c>
      <c r="P132" s="398">
        <v>749989.65</v>
      </c>
      <c r="Q132" s="398">
        <v>70473.53</v>
      </c>
      <c r="R132" s="398">
        <v>817678.05</v>
      </c>
      <c r="S132" s="398"/>
      <c r="T132" s="398"/>
      <c r="U132" s="398">
        <v>26850</v>
      </c>
      <c r="V132" s="398"/>
      <c r="W132" s="398"/>
      <c r="X132" s="382">
        <v>28940.6</v>
      </c>
      <c r="Y132" s="485">
        <f t="shared" si="13"/>
        <v>24050928.239999998</v>
      </c>
      <c r="Z132" s="399">
        <v>-9202.7999999999993</v>
      </c>
      <c r="AA132" s="399"/>
      <c r="AB132" s="399">
        <v>676957.25</v>
      </c>
      <c r="AC132" s="399"/>
      <c r="AD132" s="399">
        <v>371059</v>
      </c>
      <c r="AE132" s="399">
        <v>47112</v>
      </c>
      <c r="AF132" s="399"/>
      <c r="AG132" s="399"/>
      <c r="AH132" s="399">
        <v>122720</v>
      </c>
      <c r="AI132" s="399">
        <v>158580</v>
      </c>
      <c r="AJ132" s="399"/>
      <c r="AK132" s="399"/>
      <c r="AL132" s="477"/>
      <c r="AM132" s="485">
        <f t="shared" si="14"/>
        <v>1367225.45</v>
      </c>
      <c r="AN132" s="399">
        <v>62.5</v>
      </c>
      <c r="AO132" s="402">
        <v>5389</v>
      </c>
      <c r="AP132" s="480">
        <v>-40257.919999999998</v>
      </c>
      <c r="AQ132" s="490"/>
      <c r="AR132" s="490">
        <v>-36921.5</v>
      </c>
      <c r="AS132" s="520">
        <v>1.5</v>
      </c>
      <c r="AT132" s="533">
        <v>24050928.239999998</v>
      </c>
      <c r="AU132" s="533">
        <v>26850</v>
      </c>
      <c r="AV132" s="533">
        <v>28940.6</v>
      </c>
      <c r="AW132" s="533">
        <v>1367225.45</v>
      </c>
      <c r="AX132" s="533">
        <v>0</v>
      </c>
      <c r="AY132" s="533">
        <v>-40257.919999999998</v>
      </c>
      <c r="AZ132" s="533">
        <v>0</v>
      </c>
      <c r="BA132" s="533">
        <v>-36921.5</v>
      </c>
      <c r="BB132" s="480">
        <f t="shared" si="15"/>
        <v>0</v>
      </c>
      <c r="BC132" s="480">
        <f t="shared" si="16"/>
        <v>0</v>
      </c>
      <c r="BD132" s="480">
        <f t="shared" si="17"/>
        <v>0</v>
      </c>
      <c r="BE132" s="480">
        <f t="shared" si="18"/>
        <v>0</v>
      </c>
      <c r="BF132" s="480">
        <f t="shared" si="19"/>
        <v>0</v>
      </c>
      <c r="BG132" s="480">
        <f t="shared" si="20"/>
        <v>0</v>
      </c>
      <c r="BH132" s="480">
        <f t="shared" si="21"/>
        <v>0</v>
      </c>
      <c r="BI132" s="6">
        <f t="shared" si="22"/>
        <v>5613</v>
      </c>
      <c r="BJ132" s="480" t="str">
        <f t="shared" si="23"/>
        <v>Bourg-en-Lavaux</v>
      </c>
    </row>
    <row r="133" spans="1:62" x14ac:dyDescent="0.25">
      <c r="A133" s="341">
        <v>5621</v>
      </c>
      <c r="B133" s="523" t="s">
        <v>405</v>
      </c>
      <c r="C133" s="394">
        <v>1022471.12</v>
      </c>
      <c r="D133" s="394">
        <v>128981.38</v>
      </c>
      <c r="E133" s="391"/>
      <c r="F133" s="394">
        <v>0</v>
      </c>
      <c r="G133" s="394">
        <v>419399.6</v>
      </c>
      <c r="H133" s="394">
        <v>2787.6</v>
      </c>
      <c r="I133" s="394">
        <v>0</v>
      </c>
      <c r="J133" s="394">
        <v>69241.11</v>
      </c>
      <c r="K133" s="394">
        <v>28236.75</v>
      </c>
      <c r="L133" s="394">
        <v>321936.59999999998</v>
      </c>
      <c r="M133" s="334">
        <f t="shared" si="12"/>
        <v>1993054.1600000001</v>
      </c>
      <c r="N133" s="398">
        <v>292461.5</v>
      </c>
      <c r="O133" s="398">
        <v>0.2</v>
      </c>
      <c r="P133" s="398">
        <v>82032.5</v>
      </c>
      <c r="Q133" s="398">
        <v>4629.88</v>
      </c>
      <c r="R133" s="398">
        <v>34672.9</v>
      </c>
      <c r="S133" s="398"/>
      <c r="T133" s="398">
        <v>769.2</v>
      </c>
      <c r="U133" s="398">
        <v>3200</v>
      </c>
      <c r="V133" s="398"/>
      <c r="W133" s="398"/>
      <c r="X133" s="382">
        <v>50640.04</v>
      </c>
      <c r="Y133" s="485">
        <f t="shared" si="13"/>
        <v>2461460.3800000004</v>
      </c>
      <c r="Z133" s="399">
        <v>50862.15</v>
      </c>
      <c r="AA133" s="399"/>
      <c r="AB133" s="399">
        <v>226296.25</v>
      </c>
      <c r="AC133" s="399"/>
      <c r="AD133" s="399">
        <v>42922.75</v>
      </c>
      <c r="AE133" s="399">
        <v>90089.8</v>
      </c>
      <c r="AF133" s="399"/>
      <c r="AG133" s="399"/>
      <c r="AH133" s="399"/>
      <c r="AI133" s="399">
        <v>104065.3</v>
      </c>
      <c r="AJ133" s="399"/>
      <c r="AK133" s="399"/>
      <c r="AL133" s="477"/>
      <c r="AM133" s="485">
        <f t="shared" si="14"/>
        <v>514236.25</v>
      </c>
      <c r="AN133" s="399">
        <v>62</v>
      </c>
      <c r="AO133" s="402">
        <v>528</v>
      </c>
      <c r="AP133" s="480">
        <v>-9314.2800000000007</v>
      </c>
      <c r="AQ133" s="490"/>
      <c r="AR133" s="490">
        <v>-204.26</v>
      </c>
      <c r="AS133" s="520">
        <v>1.1000000000000001</v>
      </c>
      <c r="AT133" s="533">
        <v>2461460.38</v>
      </c>
      <c r="AU133" s="533">
        <f>769.2+3200</f>
        <v>3969.2</v>
      </c>
      <c r="AV133" s="533">
        <v>50640.04</v>
      </c>
      <c r="AW133" s="533">
        <v>514236.25</v>
      </c>
      <c r="AX133" s="533">
        <v>0</v>
      </c>
      <c r="AY133" s="533">
        <v>-9314.2800000000007</v>
      </c>
      <c r="AZ133" s="533">
        <v>0</v>
      </c>
      <c r="BA133" s="533">
        <v>-204.26</v>
      </c>
      <c r="BB133" s="480">
        <f t="shared" si="15"/>
        <v>0</v>
      </c>
      <c r="BC133" s="480">
        <f t="shared" si="16"/>
        <v>0</v>
      </c>
      <c r="BD133" s="480">
        <f t="shared" si="17"/>
        <v>0</v>
      </c>
      <c r="BE133" s="480">
        <f t="shared" si="18"/>
        <v>0</v>
      </c>
      <c r="BF133" s="480">
        <f t="shared" si="19"/>
        <v>0</v>
      </c>
      <c r="BG133" s="480">
        <f t="shared" si="20"/>
        <v>0</v>
      </c>
      <c r="BH133" s="480">
        <f t="shared" si="21"/>
        <v>0</v>
      </c>
      <c r="BI133" s="6">
        <f t="shared" si="22"/>
        <v>5621</v>
      </c>
      <c r="BJ133" s="480" t="str">
        <f t="shared" si="23"/>
        <v>Aclens</v>
      </c>
    </row>
    <row r="134" spans="1:62" x14ac:dyDescent="0.25">
      <c r="A134" s="341">
        <v>5622</v>
      </c>
      <c r="B134" s="523" t="s">
        <v>147</v>
      </c>
      <c r="C134" s="394">
        <v>1460371.93</v>
      </c>
      <c r="D134" s="394">
        <v>247561.17</v>
      </c>
      <c r="E134" s="391"/>
      <c r="F134" s="394">
        <v>0</v>
      </c>
      <c r="G134" s="394">
        <v>10945.85</v>
      </c>
      <c r="H134" s="394">
        <v>2624.95</v>
      </c>
      <c r="I134" s="394">
        <v>0</v>
      </c>
      <c r="J134" s="394">
        <v>14665.45</v>
      </c>
      <c r="K134" s="394">
        <v>3690.5</v>
      </c>
      <c r="L134" s="394">
        <v>151065.4</v>
      </c>
      <c r="M134" s="334">
        <f t="shared" si="12"/>
        <v>1890925.2499999998</v>
      </c>
      <c r="N134" s="398">
        <v>26810.25</v>
      </c>
      <c r="O134" s="398">
        <v>0</v>
      </c>
      <c r="P134" s="398">
        <v>54697.5</v>
      </c>
      <c r="Q134" s="398">
        <v>0</v>
      </c>
      <c r="R134" s="398">
        <v>39404.65</v>
      </c>
      <c r="S134" s="398"/>
      <c r="T134" s="398"/>
      <c r="U134" s="398">
        <v>2900</v>
      </c>
      <c r="V134" s="398"/>
      <c r="W134" s="398"/>
      <c r="X134" s="382">
        <v>1627.78</v>
      </c>
      <c r="Y134" s="485">
        <f t="shared" si="13"/>
        <v>2016365.4299999997</v>
      </c>
      <c r="Z134" s="399">
        <v>20333.75</v>
      </c>
      <c r="AA134" s="399"/>
      <c r="AB134" s="399">
        <v>132415.4</v>
      </c>
      <c r="AC134" s="399"/>
      <c r="AD134" s="399">
        <v>74098.75</v>
      </c>
      <c r="AE134" s="399">
        <v>18880</v>
      </c>
      <c r="AF134" s="399"/>
      <c r="AG134" s="399"/>
      <c r="AH134" s="399"/>
      <c r="AI134" s="399"/>
      <c r="AJ134" s="399"/>
      <c r="AK134" s="399"/>
      <c r="AL134" s="477"/>
      <c r="AM134" s="485">
        <f t="shared" si="14"/>
        <v>245727.9</v>
      </c>
      <c r="AN134" s="399">
        <v>68</v>
      </c>
      <c r="AO134" s="402">
        <v>583</v>
      </c>
      <c r="AP134" s="480">
        <v>-1602.49</v>
      </c>
      <c r="AQ134" s="490"/>
      <c r="AR134" s="490">
        <v>-332.81</v>
      </c>
      <c r="AS134" s="520">
        <v>1</v>
      </c>
      <c r="AT134" s="533">
        <v>2016365.43</v>
      </c>
      <c r="AU134" s="533">
        <v>2900</v>
      </c>
      <c r="AV134" s="533">
        <v>1627.78</v>
      </c>
      <c r="AW134" s="533">
        <v>245727.9</v>
      </c>
      <c r="AX134" s="533">
        <v>0</v>
      </c>
      <c r="AY134" s="533">
        <v>-1602.49</v>
      </c>
      <c r="AZ134" s="533">
        <v>0</v>
      </c>
      <c r="BA134" s="533">
        <v>-332.81</v>
      </c>
      <c r="BB134" s="480">
        <f t="shared" si="15"/>
        <v>0</v>
      </c>
      <c r="BC134" s="480">
        <f t="shared" si="16"/>
        <v>0</v>
      </c>
      <c r="BD134" s="480">
        <f t="shared" si="17"/>
        <v>0</v>
      </c>
      <c r="BE134" s="480">
        <f t="shared" si="18"/>
        <v>0</v>
      </c>
      <c r="BF134" s="480">
        <f t="shared" si="19"/>
        <v>0</v>
      </c>
      <c r="BG134" s="480">
        <f t="shared" si="20"/>
        <v>0</v>
      </c>
      <c r="BH134" s="480">
        <f t="shared" si="21"/>
        <v>0</v>
      </c>
      <c r="BI134" s="6">
        <f t="shared" si="22"/>
        <v>5622</v>
      </c>
      <c r="BJ134" s="480" t="str">
        <f t="shared" si="23"/>
        <v>Bremblens</v>
      </c>
    </row>
    <row r="135" spans="1:62" x14ac:dyDescent="0.25">
      <c r="A135" s="341">
        <v>5623</v>
      </c>
      <c r="B135" s="523" t="s">
        <v>148</v>
      </c>
      <c r="C135" s="394">
        <v>3166423.62</v>
      </c>
      <c r="D135" s="394">
        <v>1287103</v>
      </c>
      <c r="E135" s="391"/>
      <c r="F135" s="394">
        <v>0</v>
      </c>
      <c r="G135" s="394">
        <v>-37222.6</v>
      </c>
      <c r="H135" s="394">
        <v>-10993.85</v>
      </c>
      <c r="I135" s="394">
        <v>172845.75</v>
      </c>
      <c r="J135" s="394">
        <v>55295.25</v>
      </c>
      <c r="K135" s="394">
        <v>-987</v>
      </c>
      <c r="L135" s="394">
        <v>353857.95</v>
      </c>
      <c r="M135" s="334">
        <f t="shared" ref="M135:M198" si="24">SUM(C135:L135)</f>
        <v>4986322.120000001</v>
      </c>
      <c r="N135" s="398">
        <v>2588.25</v>
      </c>
      <c r="O135" s="398">
        <v>0</v>
      </c>
      <c r="P135" s="398">
        <v>67045</v>
      </c>
      <c r="Q135" s="398">
        <v>14447.47</v>
      </c>
      <c r="R135" s="398">
        <v>181888.8</v>
      </c>
      <c r="S135" s="398"/>
      <c r="T135" s="398">
        <v>1150</v>
      </c>
      <c r="U135" s="398">
        <v>1562.5</v>
      </c>
      <c r="V135" s="398"/>
      <c r="W135" s="398"/>
      <c r="X135" s="382">
        <v>-5783.41</v>
      </c>
      <c r="Y135" s="485">
        <f t="shared" si="13"/>
        <v>5249220.7300000004</v>
      </c>
      <c r="Z135" s="399">
        <v>3248.3</v>
      </c>
      <c r="AA135" s="399"/>
      <c r="AB135" s="399">
        <v>152405.5</v>
      </c>
      <c r="AC135" s="399"/>
      <c r="AD135" s="399">
        <v>63374.95</v>
      </c>
      <c r="AE135" s="399">
        <v>194.2</v>
      </c>
      <c r="AF135" s="399">
        <v>1150</v>
      </c>
      <c r="AG135" s="399"/>
      <c r="AH135" s="399"/>
      <c r="AI135" s="399"/>
      <c r="AJ135" s="399"/>
      <c r="AK135" s="399"/>
      <c r="AL135" s="477"/>
      <c r="AM135" s="485">
        <f t="shared" si="14"/>
        <v>220372.95</v>
      </c>
      <c r="AN135" s="399">
        <v>52</v>
      </c>
      <c r="AO135" s="402">
        <v>686</v>
      </c>
      <c r="AP135" s="480">
        <v>-22779.51</v>
      </c>
      <c r="AQ135" s="490"/>
      <c r="AR135" s="490">
        <v>-63718.03</v>
      </c>
      <c r="AS135" s="520">
        <v>1</v>
      </c>
      <c r="AT135" s="533">
        <v>5249220.7300000004</v>
      </c>
      <c r="AU135" s="533">
        <f>1150+1562.5</f>
        <v>2712.5</v>
      </c>
      <c r="AV135" s="533">
        <v>-5783.41</v>
      </c>
      <c r="AW135" s="533">
        <v>220372.95</v>
      </c>
      <c r="AX135" s="533">
        <v>0</v>
      </c>
      <c r="AY135" s="533">
        <v>-22779.51</v>
      </c>
      <c r="AZ135" s="533">
        <v>0</v>
      </c>
      <c r="BA135" s="533">
        <v>-63718.03</v>
      </c>
      <c r="BB135" s="480">
        <f t="shared" si="15"/>
        <v>0</v>
      </c>
      <c r="BC135" s="480">
        <f t="shared" si="16"/>
        <v>0</v>
      </c>
      <c r="BD135" s="480">
        <f t="shared" si="17"/>
        <v>0</v>
      </c>
      <c r="BE135" s="480">
        <f t="shared" si="18"/>
        <v>0</v>
      </c>
      <c r="BF135" s="480">
        <f t="shared" si="19"/>
        <v>0</v>
      </c>
      <c r="BG135" s="480">
        <f t="shared" si="20"/>
        <v>0</v>
      </c>
      <c r="BH135" s="480">
        <f t="shared" si="21"/>
        <v>0</v>
      </c>
      <c r="BI135" s="6">
        <f t="shared" si="22"/>
        <v>5623</v>
      </c>
      <c r="BJ135" s="480" t="str">
        <f t="shared" si="23"/>
        <v>Buchillon</v>
      </c>
    </row>
    <row r="136" spans="1:62" x14ac:dyDescent="0.25">
      <c r="A136" s="341">
        <v>5624</v>
      </c>
      <c r="B136" s="523" t="s">
        <v>441</v>
      </c>
      <c r="C136" s="394">
        <v>14544566.779999999</v>
      </c>
      <c r="D136" s="394">
        <v>1407611.75</v>
      </c>
      <c r="E136" s="391"/>
      <c r="F136" s="394">
        <v>0</v>
      </c>
      <c r="G136" s="394">
        <v>2591301.62</v>
      </c>
      <c r="H136" s="394">
        <v>157895.29999999999</v>
      </c>
      <c r="I136" s="394">
        <v>0</v>
      </c>
      <c r="J136" s="394">
        <v>827180.89</v>
      </c>
      <c r="K136" s="394">
        <v>388139.95</v>
      </c>
      <c r="L136" s="394">
        <v>2741244.25</v>
      </c>
      <c r="M136" s="334">
        <f t="shared" si="24"/>
        <v>22657940.539999999</v>
      </c>
      <c r="N136" s="398">
        <v>1067240.95</v>
      </c>
      <c r="O136" s="398">
        <v>5816</v>
      </c>
      <c r="P136" s="398">
        <v>1752239.15</v>
      </c>
      <c r="Q136" s="398">
        <v>23694.2</v>
      </c>
      <c r="R136" s="398">
        <v>1002009.7</v>
      </c>
      <c r="S136" s="398">
        <v>54167.65</v>
      </c>
      <c r="T136" s="398"/>
      <c r="U136" s="398">
        <v>32760</v>
      </c>
      <c r="V136" s="398"/>
      <c r="W136" s="398"/>
      <c r="X136" s="382">
        <v>329781.56</v>
      </c>
      <c r="Y136" s="485">
        <f t="shared" ref="Y136:Y199" si="25">SUM(M136:X136)</f>
        <v>26925649.749999993</v>
      </c>
      <c r="Z136" s="399"/>
      <c r="AA136" s="399">
        <v>6658.55</v>
      </c>
      <c r="AB136" s="399">
        <v>1414316.11</v>
      </c>
      <c r="AC136" s="399"/>
      <c r="AD136" s="399">
        <v>1062197.94</v>
      </c>
      <c r="AE136" s="399"/>
      <c r="AF136" s="399">
        <v>-101988.15</v>
      </c>
      <c r="AG136" s="399"/>
      <c r="AH136" s="399">
        <v>130904.7</v>
      </c>
      <c r="AI136" s="399">
        <v>493233.13</v>
      </c>
      <c r="AJ136" s="399"/>
      <c r="AK136" s="399"/>
      <c r="AL136" s="477">
        <v>492972.48</v>
      </c>
      <c r="AM136" s="485">
        <f t="shared" ref="AM136:AM199" si="26">SUM(Z136:AL136)</f>
        <v>3498294.7600000002</v>
      </c>
      <c r="AN136" s="399">
        <v>62.5</v>
      </c>
      <c r="AO136" s="402">
        <v>9614</v>
      </c>
      <c r="AP136" s="480">
        <v>-327793.27</v>
      </c>
      <c r="AQ136" s="490"/>
      <c r="AR136" s="490">
        <v>-199.73</v>
      </c>
      <c r="AS136" s="520">
        <v>1.25</v>
      </c>
      <c r="AT136" s="533">
        <v>26925649.75</v>
      </c>
      <c r="AU136" s="533">
        <f>54167.65+32760</f>
        <v>86927.65</v>
      </c>
      <c r="AV136" s="533">
        <v>329781.56</v>
      </c>
      <c r="AW136" s="533">
        <v>3498294.76</v>
      </c>
      <c r="AX136" s="533">
        <v>-177021.28</v>
      </c>
      <c r="AY136" s="533">
        <v>-327793.27</v>
      </c>
      <c r="AZ136" s="533">
        <v>0</v>
      </c>
      <c r="BA136" s="533">
        <v>-199.73</v>
      </c>
      <c r="BB136" s="480">
        <f t="shared" ref="BB136:BB199" si="27">+AT136-Y136</f>
        <v>0</v>
      </c>
      <c r="BC136" s="480">
        <f t="shared" ref="BC136:BC199" si="28">+AW136-AM136</f>
        <v>0</v>
      </c>
      <c r="BD136" s="480">
        <f t="shared" ref="BD136:BD199" si="29">+AY136-AP136</f>
        <v>0</v>
      </c>
      <c r="BE136" s="480">
        <f t="shared" ref="BE136:BE199" si="30">+AZ136-AQ136</f>
        <v>0</v>
      </c>
      <c r="BF136" s="480">
        <f t="shared" ref="BF136:BF199" si="31">+BA136-AR136</f>
        <v>0</v>
      </c>
      <c r="BG136" s="480">
        <f t="shared" ref="BG136:BG199" si="32">+AV136-X136</f>
        <v>0</v>
      </c>
      <c r="BH136" s="480">
        <f t="shared" ref="BH136:BH199" si="33">+S136+T136+U136+V136+W136-AU136</f>
        <v>0</v>
      </c>
      <c r="BI136" s="6">
        <f t="shared" ref="BI136:BI199" si="34">+A136</f>
        <v>5624</v>
      </c>
      <c r="BJ136" s="480" t="str">
        <f t="shared" ref="BJ136:BJ199" si="35">+B136</f>
        <v>Bussigny</v>
      </c>
    </row>
    <row r="137" spans="1:62" x14ac:dyDescent="0.25">
      <c r="A137" s="341">
        <v>5625</v>
      </c>
      <c r="B137" s="523" t="s">
        <v>301</v>
      </c>
      <c r="C137" s="394">
        <v>1048996.71</v>
      </c>
      <c r="D137" s="394">
        <v>164706.1</v>
      </c>
      <c r="E137" s="391"/>
      <c r="F137" s="394">
        <v>0</v>
      </c>
      <c r="G137" s="394">
        <v>16987.25</v>
      </c>
      <c r="H137" s="394">
        <v>1120.5</v>
      </c>
      <c r="I137" s="394">
        <v>0</v>
      </c>
      <c r="J137" s="394">
        <v>25906.17</v>
      </c>
      <c r="K137" s="394">
        <v>9282.5</v>
      </c>
      <c r="L137" s="394">
        <v>116322</v>
      </c>
      <c r="M137" s="334">
        <f t="shared" si="24"/>
        <v>1383321.23</v>
      </c>
      <c r="N137" s="398">
        <v>0</v>
      </c>
      <c r="O137" s="398">
        <v>0</v>
      </c>
      <c r="P137" s="398">
        <v>144952.45000000001</v>
      </c>
      <c r="Q137" s="398">
        <v>0</v>
      </c>
      <c r="R137" s="398">
        <v>43281.7</v>
      </c>
      <c r="S137" s="398"/>
      <c r="T137" s="398"/>
      <c r="U137" s="398">
        <v>1260</v>
      </c>
      <c r="V137" s="398"/>
      <c r="W137" s="398"/>
      <c r="X137" s="382">
        <v>2171.9699999999998</v>
      </c>
      <c r="Y137" s="485">
        <f t="shared" si="25"/>
        <v>1574987.3499999999</v>
      </c>
      <c r="Z137" s="399"/>
      <c r="AA137" s="399"/>
      <c r="AB137" s="399">
        <v>99311.6</v>
      </c>
      <c r="AC137" s="399"/>
      <c r="AD137" s="399">
        <v>37547.449999999997</v>
      </c>
      <c r="AE137" s="399"/>
      <c r="AF137" s="399"/>
      <c r="AG137" s="399"/>
      <c r="AH137" s="399"/>
      <c r="AI137" s="399"/>
      <c r="AJ137" s="399"/>
      <c r="AK137" s="399"/>
      <c r="AL137" s="477"/>
      <c r="AM137" s="485">
        <f t="shared" si="26"/>
        <v>136859.04999999999</v>
      </c>
      <c r="AN137" s="399">
        <v>77</v>
      </c>
      <c r="AO137" s="402">
        <v>404</v>
      </c>
      <c r="AP137" s="480">
        <v>-88.77</v>
      </c>
      <c r="AQ137" s="490"/>
      <c r="AR137" s="490">
        <v>0</v>
      </c>
      <c r="AS137" s="520">
        <v>1.2</v>
      </c>
      <c r="AT137" s="533">
        <v>1574987.35</v>
      </c>
      <c r="AU137" s="533">
        <v>1260</v>
      </c>
      <c r="AV137" s="533">
        <v>2171.9699999999998</v>
      </c>
      <c r="AW137" s="533">
        <v>136859.04999999999</v>
      </c>
      <c r="AX137" s="533">
        <v>0</v>
      </c>
      <c r="AY137" s="533">
        <v>-88.77</v>
      </c>
      <c r="AZ137" s="533">
        <v>0</v>
      </c>
      <c r="BA137" s="533">
        <v>0</v>
      </c>
      <c r="BB137" s="480">
        <f t="shared" si="27"/>
        <v>0</v>
      </c>
      <c r="BC137" s="480">
        <f t="shared" si="28"/>
        <v>0</v>
      </c>
      <c r="BD137" s="480">
        <f t="shared" si="29"/>
        <v>0</v>
      </c>
      <c r="BE137" s="480">
        <f t="shared" si="30"/>
        <v>0</v>
      </c>
      <c r="BF137" s="480">
        <f t="shared" si="31"/>
        <v>0</v>
      </c>
      <c r="BG137" s="480">
        <f t="shared" si="32"/>
        <v>0</v>
      </c>
      <c r="BH137" s="480">
        <f t="shared" si="33"/>
        <v>0</v>
      </c>
      <c r="BI137" s="6">
        <f t="shared" si="34"/>
        <v>5625</v>
      </c>
      <c r="BJ137" s="480" t="str">
        <f t="shared" si="35"/>
        <v>Bussy-Chardonney</v>
      </c>
    </row>
    <row r="138" spans="1:62" x14ac:dyDescent="0.25">
      <c r="A138" s="341">
        <v>5627</v>
      </c>
      <c r="B138" s="523" t="s">
        <v>255</v>
      </c>
      <c r="C138" s="394">
        <v>10304498.880000001</v>
      </c>
      <c r="D138" s="394">
        <v>741408.26</v>
      </c>
      <c r="E138" s="391"/>
      <c r="F138" s="394">
        <v>0</v>
      </c>
      <c r="G138" s="394">
        <v>-507466</v>
      </c>
      <c r="H138" s="394">
        <v>168642.1</v>
      </c>
      <c r="I138" s="394">
        <v>0</v>
      </c>
      <c r="J138" s="394">
        <v>811299.64</v>
      </c>
      <c r="K138" s="394">
        <v>226072.5</v>
      </c>
      <c r="L138" s="394">
        <v>1626382.6</v>
      </c>
      <c r="M138" s="334">
        <f t="shared" si="24"/>
        <v>13370837.98</v>
      </c>
      <c r="N138" s="398">
        <v>351553.85</v>
      </c>
      <c r="O138" s="398">
        <v>26414.2</v>
      </c>
      <c r="P138" s="398">
        <v>663135.1</v>
      </c>
      <c r="Q138" s="398">
        <v>116725.81</v>
      </c>
      <c r="R138" s="398">
        <v>129165</v>
      </c>
      <c r="S138" s="398"/>
      <c r="T138" s="398">
        <v>59627.45</v>
      </c>
      <c r="U138" s="398">
        <v>32100</v>
      </c>
      <c r="V138" s="398"/>
      <c r="W138" s="398"/>
      <c r="X138" s="382">
        <v>-40640.870000000003</v>
      </c>
      <c r="Y138" s="485">
        <f t="shared" si="25"/>
        <v>14708918.52</v>
      </c>
      <c r="Z138" s="399">
        <v>38248.1</v>
      </c>
      <c r="AA138" s="399"/>
      <c r="AB138" s="399">
        <v>611524.6</v>
      </c>
      <c r="AC138" s="399"/>
      <c r="AD138" s="399">
        <v>481000.74</v>
      </c>
      <c r="AE138" s="399"/>
      <c r="AF138" s="399"/>
      <c r="AG138" s="399"/>
      <c r="AH138" s="399">
        <v>42467.19</v>
      </c>
      <c r="AI138" s="399"/>
      <c r="AJ138" s="399"/>
      <c r="AK138" s="399"/>
      <c r="AL138" s="477"/>
      <c r="AM138" s="485">
        <f t="shared" si="26"/>
        <v>1173240.6299999999</v>
      </c>
      <c r="AN138" s="399">
        <v>77.5</v>
      </c>
      <c r="AO138" s="402">
        <v>8487</v>
      </c>
      <c r="AP138" s="480">
        <v>-355491.9</v>
      </c>
      <c r="AQ138" s="490"/>
      <c r="AR138" s="490">
        <v>-1921.6</v>
      </c>
      <c r="AS138" s="520">
        <v>1.5</v>
      </c>
      <c r="AT138" s="533">
        <v>14708918.52</v>
      </c>
      <c r="AU138" s="533">
        <f>59627.45+32100</f>
        <v>91727.45</v>
      </c>
      <c r="AV138" s="533">
        <v>-40640.870000000003</v>
      </c>
      <c r="AW138" s="533">
        <v>1173240.6299999999</v>
      </c>
      <c r="AX138" s="533">
        <v>0</v>
      </c>
      <c r="AY138" s="533">
        <v>-355491.9</v>
      </c>
      <c r="AZ138" s="533">
        <v>0</v>
      </c>
      <c r="BA138" s="533">
        <v>-1921.6</v>
      </c>
      <c r="BB138" s="480">
        <f t="shared" si="27"/>
        <v>0</v>
      </c>
      <c r="BC138" s="480">
        <f t="shared" si="28"/>
        <v>0</v>
      </c>
      <c r="BD138" s="480">
        <f t="shared" si="29"/>
        <v>0</v>
      </c>
      <c r="BE138" s="480">
        <f t="shared" si="30"/>
        <v>0</v>
      </c>
      <c r="BF138" s="480">
        <f t="shared" si="31"/>
        <v>0</v>
      </c>
      <c r="BG138" s="480">
        <f t="shared" si="32"/>
        <v>0</v>
      </c>
      <c r="BH138" s="480">
        <f t="shared" si="33"/>
        <v>0</v>
      </c>
      <c r="BI138" s="6">
        <f t="shared" si="34"/>
        <v>5627</v>
      </c>
      <c r="BJ138" s="480" t="str">
        <f t="shared" si="35"/>
        <v>Chavannes-près-Renens</v>
      </c>
    </row>
    <row r="139" spans="1:62" x14ac:dyDescent="0.25">
      <c r="A139" s="341">
        <v>5628</v>
      </c>
      <c r="B139" s="523" t="s">
        <v>256</v>
      </c>
      <c r="C139" s="394">
        <v>1368519.47</v>
      </c>
      <c r="D139" s="394">
        <v>0</v>
      </c>
      <c r="E139" s="391"/>
      <c r="F139" s="394">
        <v>0</v>
      </c>
      <c r="G139" s="394">
        <v>4818.1499999999996</v>
      </c>
      <c r="H139" s="394">
        <v>923.75</v>
      </c>
      <c r="I139" s="394">
        <v>0</v>
      </c>
      <c r="J139" s="394">
        <v>62499.47</v>
      </c>
      <c r="K139" s="394">
        <v>859.5</v>
      </c>
      <c r="L139" s="394">
        <v>99101.3</v>
      </c>
      <c r="M139" s="334">
        <f t="shared" si="24"/>
        <v>1536721.64</v>
      </c>
      <c r="N139" s="398">
        <v>9088.4500000000007</v>
      </c>
      <c r="O139" s="398">
        <v>0</v>
      </c>
      <c r="P139" s="398">
        <v>61502.9</v>
      </c>
      <c r="Q139" s="398">
        <v>0</v>
      </c>
      <c r="R139" s="398">
        <v>62570.9</v>
      </c>
      <c r="S139" s="398"/>
      <c r="T139" s="398"/>
      <c r="U139" s="398">
        <v>0</v>
      </c>
      <c r="V139" s="398"/>
      <c r="W139" s="398"/>
      <c r="X139" s="382">
        <v>688.72</v>
      </c>
      <c r="Y139" s="485">
        <f t="shared" si="25"/>
        <v>1670572.6099999996</v>
      </c>
      <c r="Z139" s="399">
        <v>12595.8</v>
      </c>
      <c r="AA139" s="399"/>
      <c r="AB139" s="399">
        <v>77738</v>
      </c>
      <c r="AC139" s="399"/>
      <c r="AD139" s="399">
        <v>29556.7</v>
      </c>
      <c r="AE139" s="399"/>
      <c r="AF139" s="399"/>
      <c r="AG139" s="399"/>
      <c r="AH139" s="399"/>
      <c r="AI139" s="399">
        <v>9122.85</v>
      </c>
      <c r="AJ139" s="399"/>
      <c r="AK139" s="399"/>
      <c r="AL139" s="477"/>
      <c r="AM139" s="485">
        <f t="shared" si="26"/>
        <v>129013.35</v>
      </c>
      <c r="AN139" s="399">
        <v>62</v>
      </c>
      <c r="AO139" s="402">
        <v>396</v>
      </c>
      <c r="AP139" s="480">
        <v>-10689.49</v>
      </c>
      <c r="AQ139" s="490"/>
      <c r="AR139" s="490">
        <v>0</v>
      </c>
      <c r="AS139" s="520">
        <v>1</v>
      </c>
      <c r="AT139" s="533">
        <v>1670572.61</v>
      </c>
      <c r="AU139" s="533">
        <v>0</v>
      </c>
      <c r="AV139" s="533">
        <v>688.72</v>
      </c>
      <c r="AW139" s="533">
        <v>129013.35</v>
      </c>
      <c r="AX139" s="533">
        <v>0</v>
      </c>
      <c r="AY139" s="533">
        <v>-10689.49</v>
      </c>
      <c r="AZ139" s="533">
        <v>0</v>
      </c>
      <c r="BA139" s="533">
        <v>0</v>
      </c>
      <c r="BB139" s="480">
        <f t="shared" si="27"/>
        <v>0</v>
      </c>
      <c r="BC139" s="480">
        <f t="shared" si="28"/>
        <v>0</v>
      </c>
      <c r="BD139" s="480">
        <f t="shared" si="29"/>
        <v>0</v>
      </c>
      <c r="BE139" s="480">
        <f t="shared" si="30"/>
        <v>0</v>
      </c>
      <c r="BF139" s="480">
        <f t="shared" si="31"/>
        <v>0</v>
      </c>
      <c r="BG139" s="480">
        <f t="shared" si="32"/>
        <v>0</v>
      </c>
      <c r="BH139" s="480">
        <f t="shared" si="33"/>
        <v>0</v>
      </c>
      <c r="BI139" s="6">
        <f t="shared" si="34"/>
        <v>5628</v>
      </c>
      <c r="BJ139" s="480" t="str">
        <f t="shared" si="35"/>
        <v>Chigny</v>
      </c>
    </row>
    <row r="140" spans="1:62" x14ac:dyDescent="0.25">
      <c r="A140" s="341">
        <v>5629</v>
      </c>
      <c r="B140" s="523" t="s">
        <v>151</v>
      </c>
      <c r="C140" s="394">
        <v>537724.31999999995</v>
      </c>
      <c r="D140" s="394">
        <v>45029.75</v>
      </c>
      <c r="E140" s="391"/>
      <c r="F140" s="394">
        <v>0</v>
      </c>
      <c r="G140" s="394">
        <v>1804.15</v>
      </c>
      <c r="H140" s="394">
        <v>335.45</v>
      </c>
      <c r="I140" s="394">
        <v>0</v>
      </c>
      <c r="J140" s="394">
        <v>18243.009999999998</v>
      </c>
      <c r="K140" s="394">
        <v>715.55</v>
      </c>
      <c r="L140" s="394">
        <v>37549.25</v>
      </c>
      <c r="M140" s="334">
        <f t="shared" si="24"/>
        <v>641401.48</v>
      </c>
      <c r="N140" s="398">
        <v>0</v>
      </c>
      <c r="O140" s="398">
        <v>0</v>
      </c>
      <c r="P140" s="398">
        <v>2557.5</v>
      </c>
      <c r="Q140" s="398">
        <v>0</v>
      </c>
      <c r="R140" s="398">
        <v>1508.35</v>
      </c>
      <c r="S140" s="398"/>
      <c r="T140" s="398"/>
      <c r="U140" s="398">
        <v>1200</v>
      </c>
      <c r="V140" s="398"/>
      <c r="W140" s="398"/>
      <c r="X140" s="382">
        <v>256.64</v>
      </c>
      <c r="Y140" s="485">
        <f t="shared" si="25"/>
        <v>646923.97</v>
      </c>
      <c r="Z140" s="399"/>
      <c r="AA140" s="399"/>
      <c r="AB140" s="399">
        <v>40749.85</v>
      </c>
      <c r="AC140" s="399"/>
      <c r="AD140" s="399">
        <v>16142.8</v>
      </c>
      <c r="AE140" s="399"/>
      <c r="AF140" s="399"/>
      <c r="AG140" s="399"/>
      <c r="AH140" s="399"/>
      <c r="AI140" s="399"/>
      <c r="AJ140" s="399"/>
      <c r="AK140" s="399"/>
      <c r="AL140" s="477"/>
      <c r="AM140" s="485">
        <f t="shared" si="26"/>
        <v>56892.649999999994</v>
      </c>
      <c r="AN140" s="399">
        <v>73.5</v>
      </c>
      <c r="AO140" s="402">
        <v>201</v>
      </c>
      <c r="AP140" s="527">
        <v>-15345.52</v>
      </c>
      <c r="AQ140" s="490"/>
      <c r="AR140" s="490">
        <v>0</v>
      </c>
      <c r="AS140" s="520">
        <v>1</v>
      </c>
      <c r="AT140" s="533">
        <v>646923.97</v>
      </c>
      <c r="AU140" s="533">
        <v>1200</v>
      </c>
      <c r="AV140" s="533">
        <v>256.64</v>
      </c>
      <c r="AW140" s="533">
        <v>56892.65</v>
      </c>
      <c r="AX140" s="533">
        <v>0</v>
      </c>
      <c r="AY140" s="533">
        <v>-15345.52</v>
      </c>
      <c r="AZ140" s="533">
        <v>0</v>
      </c>
      <c r="BA140" s="533">
        <v>0</v>
      </c>
      <c r="BB140" s="480">
        <f t="shared" si="27"/>
        <v>0</v>
      </c>
      <c r="BC140" s="480">
        <f t="shared" si="28"/>
        <v>0</v>
      </c>
      <c r="BD140" s="480">
        <f t="shared" si="29"/>
        <v>0</v>
      </c>
      <c r="BE140" s="480">
        <f t="shared" si="30"/>
        <v>0</v>
      </c>
      <c r="BF140" s="480">
        <f t="shared" si="31"/>
        <v>0</v>
      </c>
      <c r="BG140" s="480">
        <f t="shared" si="32"/>
        <v>0</v>
      </c>
      <c r="BH140" s="480">
        <f t="shared" si="33"/>
        <v>0</v>
      </c>
      <c r="BI140" s="6">
        <f t="shared" si="34"/>
        <v>5629</v>
      </c>
      <c r="BJ140" s="480" t="str">
        <f t="shared" si="35"/>
        <v>Clarmont</v>
      </c>
    </row>
    <row r="141" spans="1:62" x14ac:dyDescent="0.25">
      <c r="A141" s="341">
        <v>5631</v>
      </c>
      <c r="B141" s="523" t="s">
        <v>152</v>
      </c>
      <c r="C141" s="394">
        <v>2172048.31</v>
      </c>
      <c r="D141" s="394">
        <v>441423.05</v>
      </c>
      <c r="E141" s="391"/>
      <c r="F141" s="394">
        <v>0</v>
      </c>
      <c r="G141" s="394">
        <v>34084.050000000003</v>
      </c>
      <c r="H141" s="394">
        <v>1414.7</v>
      </c>
      <c r="I141" s="394">
        <v>78240</v>
      </c>
      <c r="J141" s="394">
        <v>69432.86</v>
      </c>
      <c r="K141" s="394">
        <v>3267.65</v>
      </c>
      <c r="L141" s="394">
        <v>207013.45</v>
      </c>
      <c r="M141" s="334">
        <f t="shared" si="24"/>
        <v>3006924.07</v>
      </c>
      <c r="N141" s="398">
        <v>1561.75</v>
      </c>
      <c r="O141" s="398">
        <v>209452.6</v>
      </c>
      <c r="P141" s="398">
        <v>103772.75</v>
      </c>
      <c r="Q141" s="398">
        <v>0</v>
      </c>
      <c r="R141" s="398">
        <v>66947</v>
      </c>
      <c r="S141" s="398"/>
      <c r="T141" s="398"/>
      <c r="U141" s="398">
        <v>2662.5</v>
      </c>
      <c r="V141" s="398"/>
      <c r="W141" s="398"/>
      <c r="X141" s="382">
        <v>4257.96</v>
      </c>
      <c r="Y141" s="485">
        <f t="shared" si="25"/>
        <v>3395578.63</v>
      </c>
      <c r="Z141" s="399">
        <v>13094.85</v>
      </c>
      <c r="AA141" s="399"/>
      <c r="AB141" s="399">
        <v>137195.54999999999</v>
      </c>
      <c r="AC141" s="399"/>
      <c r="AD141" s="399">
        <v>57033.75</v>
      </c>
      <c r="AE141" s="399"/>
      <c r="AF141" s="399"/>
      <c r="AG141" s="399"/>
      <c r="AH141" s="399"/>
      <c r="AI141" s="399"/>
      <c r="AJ141" s="399"/>
      <c r="AK141" s="399"/>
      <c r="AL141" s="477"/>
      <c r="AM141" s="485">
        <f t="shared" si="26"/>
        <v>207324.15</v>
      </c>
      <c r="AN141" s="399">
        <v>68</v>
      </c>
      <c r="AO141" s="402">
        <v>742</v>
      </c>
      <c r="AP141" s="480">
        <v>-45226</v>
      </c>
      <c r="AQ141" s="490"/>
      <c r="AR141" s="490">
        <v>-11006.35</v>
      </c>
      <c r="AS141" s="520">
        <v>1</v>
      </c>
      <c r="AT141" s="533">
        <v>3395578.63</v>
      </c>
      <c r="AU141" s="533">
        <v>2662.5</v>
      </c>
      <c r="AV141" s="533">
        <v>4257.96</v>
      </c>
      <c r="AW141" s="533">
        <v>207324.15</v>
      </c>
      <c r="AX141" s="533">
        <v>0</v>
      </c>
      <c r="AY141" s="533">
        <v>-45226</v>
      </c>
      <c r="AZ141" s="533">
        <v>0</v>
      </c>
      <c r="BA141" s="533">
        <v>-11006.35</v>
      </c>
      <c r="BB141" s="480">
        <f t="shared" si="27"/>
        <v>0</v>
      </c>
      <c r="BC141" s="480">
        <f t="shared" si="28"/>
        <v>0</v>
      </c>
      <c r="BD141" s="480">
        <f t="shared" si="29"/>
        <v>0</v>
      </c>
      <c r="BE141" s="480">
        <f t="shared" si="30"/>
        <v>0</v>
      </c>
      <c r="BF141" s="480">
        <f t="shared" si="31"/>
        <v>0</v>
      </c>
      <c r="BG141" s="480">
        <f t="shared" si="32"/>
        <v>0</v>
      </c>
      <c r="BH141" s="480">
        <f t="shared" si="33"/>
        <v>0</v>
      </c>
      <c r="BI141" s="6">
        <f t="shared" si="34"/>
        <v>5631</v>
      </c>
      <c r="BJ141" s="480" t="str">
        <f t="shared" si="35"/>
        <v>Denens</v>
      </c>
    </row>
    <row r="142" spans="1:62" x14ac:dyDescent="0.25">
      <c r="A142" s="341">
        <v>5632</v>
      </c>
      <c r="B142" s="523" t="s">
        <v>153</v>
      </c>
      <c r="C142" s="394">
        <v>3320177.82</v>
      </c>
      <c r="D142" s="394">
        <v>628662.04</v>
      </c>
      <c r="E142" s="391"/>
      <c r="F142" s="394">
        <v>0</v>
      </c>
      <c r="G142" s="394">
        <v>208779.05</v>
      </c>
      <c r="H142" s="394">
        <v>14689.65</v>
      </c>
      <c r="I142" s="394">
        <v>0</v>
      </c>
      <c r="J142" s="394">
        <v>210458.31</v>
      </c>
      <c r="K142" s="394">
        <v>23646.6</v>
      </c>
      <c r="L142" s="394">
        <v>348972.1</v>
      </c>
      <c r="M142" s="334">
        <f t="shared" si="24"/>
        <v>4755385.5699999984</v>
      </c>
      <c r="N142" s="398">
        <v>74620.800000000003</v>
      </c>
      <c r="O142" s="398">
        <v>0</v>
      </c>
      <c r="P142" s="398">
        <v>285035.40000000002</v>
      </c>
      <c r="Q142" s="398">
        <v>4195.5</v>
      </c>
      <c r="R142" s="398">
        <v>95165.3</v>
      </c>
      <c r="S142" s="398"/>
      <c r="T142" s="398">
        <v>100</v>
      </c>
      <c r="U142" s="398">
        <v>4600</v>
      </c>
      <c r="V142" s="398"/>
      <c r="W142" s="398"/>
      <c r="X142" s="382">
        <v>26804.28</v>
      </c>
      <c r="Y142" s="485">
        <f t="shared" si="25"/>
        <v>5245906.8499999987</v>
      </c>
      <c r="Z142" s="399">
        <v>-10825.4</v>
      </c>
      <c r="AA142" s="399">
        <v>944.5</v>
      </c>
      <c r="AB142" s="399">
        <v>227849.85</v>
      </c>
      <c r="AC142" s="399">
        <v>73845.3</v>
      </c>
      <c r="AD142" s="399">
        <v>116811.1</v>
      </c>
      <c r="AE142" s="399"/>
      <c r="AF142" s="399"/>
      <c r="AG142" s="399"/>
      <c r="AH142" s="399"/>
      <c r="AI142" s="399">
        <v>48052.9</v>
      </c>
      <c r="AJ142" s="399"/>
      <c r="AK142" s="399"/>
      <c r="AL142" s="477"/>
      <c r="AM142" s="485">
        <f t="shared" si="26"/>
        <v>456678.25</v>
      </c>
      <c r="AN142" s="399">
        <v>62</v>
      </c>
      <c r="AO142" s="402">
        <v>1730</v>
      </c>
      <c r="AP142" s="480">
        <v>-43095.32</v>
      </c>
      <c r="AQ142" s="490"/>
      <c r="AR142" s="490">
        <v>-1532.09</v>
      </c>
      <c r="AS142" s="520">
        <v>1</v>
      </c>
      <c r="AT142" s="533">
        <v>5245906.8499999996</v>
      </c>
      <c r="AU142" s="533">
        <f>100+4600</f>
        <v>4700</v>
      </c>
      <c r="AV142" s="533">
        <v>26804.28</v>
      </c>
      <c r="AW142" s="533">
        <v>456678.25</v>
      </c>
      <c r="AX142" s="533">
        <v>0</v>
      </c>
      <c r="AY142" s="533">
        <v>-43095.32</v>
      </c>
      <c r="AZ142" s="533">
        <v>0</v>
      </c>
      <c r="BA142" s="533">
        <v>-1532.09</v>
      </c>
      <c r="BB142" s="480">
        <f t="shared" si="27"/>
        <v>0</v>
      </c>
      <c r="BC142" s="480">
        <f t="shared" si="28"/>
        <v>0</v>
      </c>
      <c r="BD142" s="480">
        <f t="shared" si="29"/>
        <v>0</v>
      </c>
      <c r="BE142" s="480">
        <f t="shared" si="30"/>
        <v>0</v>
      </c>
      <c r="BF142" s="480">
        <f t="shared" si="31"/>
        <v>0</v>
      </c>
      <c r="BG142" s="480">
        <f t="shared" si="32"/>
        <v>0</v>
      </c>
      <c r="BH142" s="480">
        <f t="shared" si="33"/>
        <v>0</v>
      </c>
      <c r="BI142" s="6">
        <f t="shared" si="34"/>
        <v>5632</v>
      </c>
      <c r="BJ142" s="480" t="str">
        <f t="shared" si="35"/>
        <v>Denges</v>
      </c>
    </row>
    <row r="143" spans="1:62" x14ac:dyDescent="0.25">
      <c r="A143" s="341">
        <v>5633</v>
      </c>
      <c r="B143" s="523" t="s">
        <v>154</v>
      </c>
      <c r="C143" s="394">
        <v>6100681.0800000001</v>
      </c>
      <c r="D143" s="394">
        <v>1493796.8</v>
      </c>
      <c r="E143" s="391"/>
      <c r="F143" s="394">
        <v>0</v>
      </c>
      <c r="G143" s="394">
        <v>383187.35</v>
      </c>
      <c r="H143" s="394">
        <v>103637.4</v>
      </c>
      <c r="I143" s="394">
        <v>0</v>
      </c>
      <c r="J143" s="394">
        <v>204276.94</v>
      </c>
      <c r="K143" s="394">
        <v>32221.7</v>
      </c>
      <c r="L143" s="394">
        <v>668572.05000000005</v>
      </c>
      <c r="M143" s="334">
        <f t="shared" si="24"/>
        <v>8986373.3200000003</v>
      </c>
      <c r="N143" s="398">
        <v>197742.25</v>
      </c>
      <c r="O143" s="398">
        <v>442498.3</v>
      </c>
      <c r="P143" s="398">
        <v>530269.5</v>
      </c>
      <c r="Q143" s="398">
        <v>2267.2600000000002</v>
      </c>
      <c r="R143" s="398">
        <v>476944.2</v>
      </c>
      <c r="S143" s="398"/>
      <c r="T143" s="398">
        <v>11323</v>
      </c>
      <c r="U143" s="398">
        <v>8700</v>
      </c>
      <c r="V143" s="398"/>
      <c r="W143" s="398"/>
      <c r="X143" s="382">
        <v>58393.11</v>
      </c>
      <c r="Y143" s="485">
        <f t="shared" si="25"/>
        <v>10714510.939999999</v>
      </c>
      <c r="Z143" s="399">
        <v>413557.81</v>
      </c>
      <c r="AA143" s="399"/>
      <c r="AB143" s="399">
        <v>509930.67</v>
      </c>
      <c r="AC143" s="399"/>
      <c r="AD143" s="399">
        <v>204986.48</v>
      </c>
      <c r="AE143" s="399"/>
      <c r="AF143" s="399"/>
      <c r="AG143" s="399"/>
      <c r="AH143" s="399"/>
      <c r="AI143" s="399"/>
      <c r="AJ143" s="399"/>
      <c r="AK143" s="399"/>
      <c r="AL143" s="477"/>
      <c r="AM143" s="485">
        <f t="shared" si="26"/>
        <v>1128474.96</v>
      </c>
      <c r="AN143" s="399">
        <v>60.5</v>
      </c>
      <c r="AO143" s="402">
        <v>2743</v>
      </c>
      <c r="AP143" s="480">
        <v>-40672.81</v>
      </c>
      <c r="AQ143" s="490"/>
      <c r="AR143" s="490">
        <v>0</v>
      </c>
      <c r="AS143" s="520">
        <v>1</v>
      </c>
      <c r="AT143" s="533">
        <v>10714510.939999999</v>
      </c>
      <c r="AU143" s="533">
        <f>11323+8700</f>
        <v>20023</v>
      </c>
      <c r="AV143" s="533">
        <v>58393.11</v>
      </c>
      <c r="AW143" s="533">
        <v>1128474.96</v>
      </c>
      <c r="AX143" s="533">
        <v>-533015.59</v>
      </c>
      <c r="AY143" s="533">
        <v>-40672.81</v>
      </c>
      <c r="AZ143" s="533">
        <v>0</v>
      </c>
      <c r="BA143" s="533">
        <v>0</v>
      </c>
      <c r="BB143" s="480">
        <f t="shared" si="27"/>
        <v>0</v>
      </c>
      <c r="BC143" s="480">
        <f t="shared" si="28"/>
        <v>0</v>
      </c>
      <c r="BD143" s="480">
        <f t="shared" si="29"/>
        <v>0</v>
      </c>
      <c r="BE143" s="480">
        <f t="shared" si="30"/>
        <v>0</v>
      </c>
      <c r="BF143" s="480">
        <f t="shared" si="31"/>
        <v>0</v>
      </c>
      <c r="BG143" s="480">
        <f t="shared" si="32"/>
        <v>0</v>
      </c>
      <c r="BH143" s="480">
        <f t="shared" si="33"/>
        <v>0</v>
      </c>
      <c r="BI143" s="6">
        <f t="shared" si="34"/>
        <v>5633</v>
      </c>
      <c r="BJ143" s="480" t="str">
        <f t="shared" si="35"/>
        <v>Echandens</v>
      </c>
    </row>
    <row r="144" spans="1:62" x14ac:dyDescent="0.25">
      <c r="A144" s="341">
        <v>5634</v>
      </c>
      <c r="B144" s="523" t="s">
        <v>155</v>
      </c>
      <c r="C144" s="394">
        <v>8120857.5800000001</v>
      </c>
      <c r="D144" s="394">
        <v>1419864.32</v>
      </c>
      <c r="E144" s="391"/>
      <c r="F144" s="394">
        <v>0</v>
      </c>
      <c r="G144" s="394">
        <v>330941.15000000002</v>
      </c>
      <c r="H144" s="394">
        <v>18026.2</v>
      </c>
      <c r="I144" s="394">
        <v>79996.100000000006</v>
      </c>
      <c r="J144" s="394">
        <v>114182.63</v>
      </c>
      <c r="K144" s="394">
        <v>30661.9</v>
      </c>
      <c r="L144" s="394">
        <v>717057.2</v>
      </c>
      <c r="M144" s="334">
        <f t="shared" si="24"/>
        <v>10831587.08</v>
      </c>
      <c r="N144" s="398">
        <v>34427.1</v>
      </c>
      <c r="O144" s="398">
        <v>110134.1</v>
      </c>
      <c r="P144" s="398">
        <v>419119.95</v>
      </c>
      <c r="Q144" s="398">
        <v>-22414.37</v>
      </c>
      <c r="R144" s="398">
        <v>301776.34999999998</v>
      </c>
      <c r="S144" s="398">
        <v>1047.5</v>
      </c>
      <c r="T144" s="398"/>
      <c r="U144" s="398">
        <v>8200</v>
      </c>
      <c r="V144" s="398"/>
      <c r="W144" s="398"/>
      <c r="X144" s="382">
        <v>41857.550000000003</v>
      </c>
      <c r="Y144" s="485">
        <f t="shared" si="25"/>
        <v>11725735.26</v>
      </c>
      <c r="Z144" s="399">
        <v>157144.54999999999</v>
      </c>
      <c r="AA144" s="399"/>
      <c r="AB144" s="399">
        <v>351058.2</v>
      </c>
      <c r="AC144" s="399"/>
      <c r="AD144" s="399">
        <v>216526.9</v>
      </c>
      <c r="AE144" s="399">
        <v>127331.05</v>
      </c>
      <c r="AF144" s="399"/>
      <c r="AG144" s="399"/>
      <c r="AH144" s="399"/>
      <c r="AI144" s="399"/>
      <c r="AJ144" s="399"/>
      <c r="AK144" s="399"/>
      <c r="AL144" s="477"/>
      <c r="AM144" s="485">
        <f t="shared" si="26"/>
        <v>852060.70000000007</v>
      </c>
      <c r="AN144" s="399">
        <v>66</v>
      </c>
      <c r="AO144" s="402">
        <v>3127</v>
      </c>
      <c r="AP144" s="480">
        <v>1122.06</v>
      </c>
      <c r="AQ144" s="490"/>
      <c r="AR144" s="490">
        <v>-16430.84</v>
      </c>
      <c r="AS144" s="520">
        <v>1</v>
      </c>
      <c r="AT144" s="533">
        <v>11725735.26</v>
      </c>
      <c r="AU144" s="533">
        <f>1047.5+8200</f>
        <v>9247.5</v>
      </c>
      <c r="AV144" s="533">
        <v>41857.550000000003</v>
      </c>
      <c r="AW144" s="533">
        <v>852060.7</v>
      </c>
      <c r="AX144" s="533">
        <v>0</v>
      </c>
      <c r="AY144" s="533">
        <v>1122.06</v>
      </c>
      <c r="AZ144" s="533">
        <v>0</v>
      </c>
      <c r="BA144" s="533">
        <v>-16430.84</v>
      </c>
      <c r="BB144" s="480">
        <f t="shared" si="27"/>
        <v>0</v>
      </c>
      <c r="BC144" s="480">
        <f t="shared" si="28"/>
        <v>0</v>
      </c>
      <c r="BD144" s="480">
        <f t="shared" si="29"/>
        <v>0</v>
      </c>
      <c r="BE144" s="480">
        <f t="shared" si="30"/>
        <v>0</v>
      </c>
      <c r="BF144" s="480">
        <f t="shared" si="31"/>
        <v>0</v>
      </c>
      <c r="BG144" s="480">
        <f t="shared" si="32"/>
        <v>0</v>
      </c>
      <c r="BH144" s="480">
        <f t="shared" si="33"/>
        <v>0</v>
      </c>
      <c r="BI144" s="6">
        <f t="shared" si="34"/>
        <v>5634</v>
      </c>
      <c r="BJ144" s="480" t="str">
        <f t="shared" si="35"/>
        <v>Echichens</v>
      </c>
    </row>
    <row r="145" spans="1:62" x14ac:dyDescent="0.25">
      <c r="A145" s="341">
        <v>5635</v>
      </c>
      <c r="B145" s="523" t="s">
        <v>156</v>
      </c>
      <c r="C145" s="394">
        <v>19560873.640000001</v>
      </c>
      <c r="D145" s="394">
        <v>2401276.71</v>
      </c>
      <c r="E145" s="391"/>
      <c r="F145" s="394">
        <v>0</v>
      </c>
      <c r="G145" s="394">
        <v>14005278</v>
      </c>
      <c r="H145" s="394">
        <v>806592.7</v>
      </c>
      <c r="I145" s="394">
        <v>0</v>
      </c>
      <c r="J145" s="394">
        <v>1749282.28</v>
      </c>
      <c r="K145" s="394">
        <v>453708.3</v>
      </c>
      <c r="L145" s="394">
        <v>2909270.35</v>
      </c>
      <c r="M145" s="334">
        <f t="shared" si="24"/>
        <v>41886281.980000004</v>
      </c>
      <c r="N145" s="398">
        <v>2487367.85</v>
      </c>
      <c r="O145" s="398">
        <v>328899.90000000002</v>
      </c>
      <c r="P145" s="398">
        <v>1907493.5</v>
      </c>
      <c r="Q145" s="398">
        <v>76637.2</v>
      </c>
      <c r="R145" s="398">
        <v>676244.1</v>
      </c>
      <c r="S145" s="398"/>
      <c r="T145" s="398">
        <v>69925</v>
      </c>
      <c r="U145" s="398">
        <v>46000</v>
      </c>
      <c r="V145" s="398">
        <v>17115.7</v>
      </c>
      <c r="W145" s="398"/>
      <c r="X145" s="382">
        <v>1776637.74</v>
      </c>
      <c r="Y145" s="485">
        <f t="shared" si="25"/>
        <v>49272602.970000014</v>
      </c>
      <c r="Z145" s="399">
        <v>133980</v>
      </c>
      <c r="AA145" s="399"/>
      <c r="AB145" s="399">
        <v>1342645.48</v>
      </c>
      <c r="AC145" s="399"/>
      <c r="AD145" s="399">
        <v>1353185.7</v>
      </c>
      <c r="AE145" s="399"/>
      <c r="AF145" s="399"/>
      <c r="AG145" s="399"/>
      <c r="AH145" s="399">
        <v>404257.3</v>
      </c>
      <c r="AI145" s="399">
        <v>1045958.65</v>
      </c>
      <c r="AJ145" s="399">
        <v>373556.5</v>
      </c>
      <c r="AK145" s="399"/>
      <c r="AL145" s="477">
        <v>272465.3</v>
      </c>
      <c r="AM145" s="485">
        <f t="shared" si="26"/>
        <v>4926048.93</v>
      </c>
      <c r="AN145" s="399">
        <v>62.5</v>
      </c>
      <c r="AO145" s="402">
        <v>13164</v>
      </c>
      <c r="AP145" s="480">
        <v>-620064.99</v>
      </c>
      <c r="AQ145" s="490"/>
      <c r="AR145" s="490">
        <v>-25901.47</v>
      </c>
      <c r="AS145" s="520">
        <v>1.2</v>
      </c>
      <c r="AT145" s="533">
        <v>49272602.969999999</v>
      </c>
      <c r="AU145" s="533">
        <f>69925+46000+17115.7</f>
        <v>133040.70000000001</v>
      </c>
      <c r="AV145" s="533">
        <v>1776637.74</v>
      </c>
      <c r="AW145" s="533">
        <v>4926048.93</v>
      </c>
      <c r="AX145" s="533">
        <v>0</v>
      </c>
      <c r="AY145" s="533">
        <v>-620064.99</v>
      </c>
      <c r="AZ145" s="533">
        <v>0</v>
      </c>
      <c r="BA145" s="533">
        <v>-25901.47</v>
      </c>
      <c r="BB145" s="480">
        <f t="shared" si="27"/>
        <v>0</v>
      </c>
      <c r="BC145" s="480">
        <f t="shared" si="28"/>
        <v>0</v>
      </c>
      <c r="BD145" s="480">
        <f t="shared" si="29"/>
        <v>0</v>
      </c>
      <c r="BE145" s="480">
        <f t="shared" si="30"/>
        <v>0</v>
      </c>
      <c r="BF145" s="480">
        <f t="shared" si="31"/>
        <v>0</v>
      </c>
      <c r="BG145" s="480">
        <f t="shared" si="32"/>
        <v>0</v>
      </c>
      <c r="BH145" s="480">
        <f t="shared" si="33"/>
        <v>0</v>
      </c>
      <c r="BI145" s="6">
        <f t="shared" si="34"/>
        <v>5635</v>
      </c>
      <c r="BJ145" s="480" t="str">
        <f t="shared" si="35"/>
        <v>Ecublens</v>
      </c>
    </row>
    <row r="146" spans="1:62" x14ac:dyDescent="0.25">
      <c r="A146" s="341">
        <v>5636</v>
      </c>
      <c r="B146" s="523" t="s">
        <v>157</v>
      </c>
      <c r="C146" s="394">
        <v>5896847.8300000001</v>
      </c>
      <c r="D146" s="394">
        <v>961158.63</v>
      </c>
      <c r="E146" s="391"/>
      <c r="F146" s="394">
        <v>0</v>
      </c>
      <c r="G146" s="394">
        <v>1252000.3500000001</v>
      </c>
      <c r="H146" s="394">
        <v>207905.95</v>
      </c>
      <c r="I146" s="394">
        <v>0</v>
      </c>
      <c r="J146" s="394">
        <v>357527.27</v>
      </c>
      <c r="K146" s="394">
        <v>284447.09999999998</v>
      </c>
      <c r="L146" s="394">
        <v>1189901.8500000001</v>
      </c>
      <c r="M146" s="334">
        <f t="shared" si="24"/>
        <v>10149788.98</v>
      </c>
      <c r="N146" s="398">
        <v>619311.94999999995</v>
      </c>
      <c r="O146" s="398">
        <v>211610.6</v>
      </c>
      <c r="P146" s="398">
        <v>400593</v>
      </c>
      <c r="Q146" s="398">
        <v>728.49</v>
      </c>
      <c r="R146" s="398">
        <v>366210.85</v>
      </c>
      <c r="S146" s="398"/>
      <c r="T146" s="398">
        <v>32470.45</v>
      </c>
      <c r="U146" s="398">
        <v>8025</v>
      </c>
      <c r="V146" s="398"/>
      <c r="W146" s="398"/>
      <c r="X146" s="382">
        <v>175111.21</v>
      </c>
      <c r="Y146" s="485">
        <f t="shared" si="25"/>
        <v>11963850.529999999</v>
      </c>
      <c r="Z146" s="399">
        <v>236626.75</v>
      </c>
      <c r="AA146" s="399"/>
      <c r="AB146" s="399">
        <v>269422.15000000002</v>
      </c>
      <c r="AC146" s="399"/>
      <c r="AD146" s="399">
        <v>119693.4</v>
      </c>
      <c r="AE146" s="399">
        <v>236728.9</v>
      </c>
      <c r="AF146" s="399"/>
      <c r="AG146" s="399"/>
      <c r="AH146" s="399"/>
      <c r="AI146" s="399">
        <v>152305.1</v>
      </c>
      <c r="AJ146" s="399"/>
      <c r="AK146" s="399"/>
      <c r="AL146" s="477"/>
      <c r="AM146" s="485">
        <f t="shared" si="26"/>
        <v>1014776.3</v>
      </c>
      <c r="AN146" s="399">
        <v>60</v>
      </c>
      <c r="AO146" s="402">
        <v>2909</v>
      </c>
      <c r="AP146" s="480">
        <v>-79322.78</v>
      </c>
      <c r="AQ146" s="490"/>
      <c r="AR146" s="490">
        <v>-3378.24</v>
      </c>
      <c r="AS146" s="520">
        <v>1</v>
      </c>
      <c r="AT146" s="533">
        <v>11963850.529999999</v>
      </c>
      <c r="AU146" s="533">
        <f>32470.45+8025</f>
        <v>40495.449999999997</v>
      </c>
      <c r="AV146" s="533">
        <v>175111.21</v>
      </c>
      <c r="AW146" s="533">
        <v>1014776.3</v>
      </c>
      <c r="AX146" s="533">
        <v>0</v>
      </c>
      <c r="AY146" s="533">
        <v>-79322.78</v>
      </c>
      <c r="AZ146" s="533">
        <v>0</v>
      </c>
      <c r="BA146" s="533">
        <v>-3378.24</v>
      </c>
      <c r="BB146" s="480">
        <f t="shared" si="27"/>
        <v>0</v>
      </c>
      <c r="BC146" s="480">
        <f t="shared" si="28"/>
        <v>0</v>
      </c>
      <c r="BD146" s="480">
        <f t="shared" si="29"/>
        <v>0</v>
      </c>
      <c r="BE146" s="480">
        <f t="shared" si="30"/>
        <v>0</v>
      </c>
      <c r="BF146" s="480">
        <f t="shared" si="31"/>
        <v>0</v>
      </c>
      <c r="BG146" s="480">
        <f t="shared" si="32"/>
        <v>0</v>
      </c>
      <c r="BH146" s="480">
        <f t="shared" si="33"/>
        <v>0</v>
      </c>
      <c r="BI146" s="6">
        <f t="shared" si="34"/>
        <v>5636</v>
      </c>
      <c r="BJ146" s="480" t="str">
        <f t="shared" si="35"/>
        <v>Etoy</v>
      </c>
    </row>
    <row r="147" spans="1:62" x14ac:dyDescent="0.25">
      <c r="A147" s="341">
        <v>5637</v>
      </c>
      <c r="B147" s="523" t="s">
        <v>158</v>
      </c>
      <c r="C147" s="394">
        <v>2534331.83</v>
      </c>
      <c r="D147" s="394">
        <v>215880.28</v>
      </c>
      <c r="E147" s="391"/>
      <c r="F147" s="394">
        <v>0</v>
      </c>
      <c r="G147" s="394">
        <v>11469.8</v>
      </c>
      <c r="H147" s="394">
        <v>583.35</v>
      </c>
      <c r="I147" s="394">
        <v>0</v>
      </c>
      <c r="J147" s="394">
        <v>75916.59</v>
      </c>
      <c r="K147" s="394">
        <v>5748.85</v>
      </c>
      <c r="L147" s="394">
        <v>289953.59999999998</v>
      </c>
      <c r="M147" s="334">
        <f t="shared" si="24"/>
        <v>3133884.3</v>
      </c>
      <c r="N147" s="398">
        <v>222888.05</v>
      </c>
      <c r="O147" s="398">
        <v>9743.7999999999993</v>
      </c>
      <c r="P147" s="398">
        <v>111469.3</v>
      </c>
      <c r="Q147" s="398">
        <v>2396.9899999999998</v>
      </c>
      <c r="R147" s="398">
        <v>102752.3</v>
      </c>
      <c r="S147" s="398"/>
      <c r="T147" s="398">
        <v>933.1</v>
      </c>
      <c r="U147" s="398">
        <v>4160</v>
      </c>
      <c r="V147" s="398"/>
      <c r="W147" s="398"/>
      <c r="X147" s="382">
        <v>1445.74</v>
      </c>
      <c r="Y147" s="485">
        <f t="shared" si="25"/>
        <v>3589673.5799999996</v>
      </c>
      <c r="Z147" s="399">
        <v>36922.949999999997</v>
      </c>
      <c r="AA147" s="399"/>
      <c r="AB147" s="399">
        <v>181410</v>
      </c>
      <c r="AC147" s="399"/>
      <c r="AD147" s="399">
        <v>61467.15</v>
      </c>
      <c r="AE147" s="399">
        <v>37399.800000000003</v>
      </c>
      <c r="AF147" s="399"/>
      <c r="AG147" s="399"/>
      <c r="AH147" s="399"/>
      <c r="AI147" s="399">
        <v>36424.199999999997</v>
      </c>
      <c r="AJ147" s="399"/>
      <c r="AK147" s="399"/>
      <c r="AL147" s="477"/>
      <c r="AM147" s="485">
        <f t="shared" si="26"/>
        <v>353624.10000000003</v>
      </c>
      <c r="AN147" s="399">
        <v>73</v>
      </c>
      <c r="AO147" s="402">
        <v>1008</v>
      </c>
      <c r="AP147" s="480">
        <v>-32228.12</v>
      </c>
      <c r="AQ147" s="490"/>
      <c r="AR147" s="490">
        <v>-1637.58</v>
      </c>
      <c r="AS147" s="520">
        <v>1.5</v>
      </c>
      <c r="AT147" s="533">
        <v>3589673.58</v>
      </c>
      <c r="AU147" s="533">
        <f>933.1+4160</f>
        <v>5093.1000000000004</v>
      </c>
      <c r="AV147" s="533">
        <v>1445.74</v>
      </c>
      <c r="AW147" s="533">
        <v>353624.1</v>
      </c>
      <c r="AX147" s="533">
        <v>0</v>
      </c>
      <c r="AY147" s="533">
        <v>-32228.12</v>
      </c>
      <c r="AZ147" s="533">
        <v>0</v>
      </c>
      <c r="BA147" s="533">
        <v>-1637.58</v>
      </c>
      <c r="BB147" s="480">
        <f t="shared" si="27"/>
        <v>0</v>
      </c>
      <c r="BC147" s="480">
        <f t="shared" si="28"/>
        <v>0</v>
      </c>
      <c r="BD147" s="480">
        <f t="shared" si="29"/>
        <v>0</v>
      </c>
      <c r="BE147" s="480">
        <f t="shared" si="30"/>
        <v>0</v>
      </c>
      <c r="BF147" s="480">
        <f t="shared" si="31"/>
        <v>0</v>
      </c>
      <c r="BG147" s="480">
        <f t="shared" si="32"/>
        <v>0</v>
      </c>
      <c r="BH147" s="480">
        <f t="shared" si="33"/>
        <v>0</v>
      </c>
      <c r="BI147" s="6">
        <f t="shared" si="34"/>
        <v>5637</v>
      </c>
      <c r="BJ147" s="480" t="str">
        <f t="shared" si="35"/>
        <v>Lavigny</v>
      </c>
    </row>
    <row r="148" spans="1:62" x14ac:dyDescent="0.25">
      <c r="A148" s="341">
        <v>5638</v>
      </c>
      <c r="B148" s="523" t="s">
        <v>159</v>
      </c>
      <c r="C148" s="394">
        <v>5413937.4900000002</v>
      </c>
      <c r="D148" s="394">
        <v>1398789.75</v>
      </c>
      <c r="E148" s="391"/>
      <c r="F148" s="394">
        <v>0</v>
      </c>
      <c r="G148" s="394">
        <v>6296.1</v>
      </c>
      <c r="H148" s="394">
        <v>39576</v>
      </c>
      <c r="I148" s="394">
        <v>317203.75</v>
      </c>
      <c r="J148" s="394">
        <v>128647.64</v>
      </c>
      <c r="K148" s="394">
        <v>64583.25</v>
      </c>
      <c r="L148" s="394">
        <v>678102.1</v>
      </c>
      <c r="M148" s="334">
        <f t="shared" si="24"/>
        <v>8047136.0799999991</v>
      </c>
      <c r="N148" s="398">
        <v>290954.15000000002</v>
      </c>
      <c r="O148" s="398">
        <v>1585561.3</v>
      </c>
      <c r="P148" s="398">
        <v>317299.65000000002</v>
      </c>
      <c r="Q148" s="398">
        <v>17148.830000000002</v>
      </c>
      <c r="R148" s="398">
        <v>218303.75</v>
      </c>
      <c r="S148" s="398">
        <v>150</v>
      </c>
      <c r="T148" s="398">
        <v>8560.1</v>
      </c>
      <c r="U148" s="398">
        <v>13800</v>
      </c>
      <c r="V148" s="398"/>
      <c r="W148" s="398"/>
      <c r="X148" s="382">
        <v>5502.22</v>
      </c>
      <c r="Y148" s="485">
        <f t="shared" si="25"/>
        <v>10504416.08</v>
      </c>
      <c r="Z148" s="399">
        <v>343792.3</v>
      </c>
      <c r="AA148" s="399"/>
      <c r="AB148" s="399">
        <v>2078.4</v>
      </c>
      <c r="AC148" s="399">
        <v>468344.4</v>
      </c>
      <c r="AD148" s="399">
        <v>323169.90000000002</v>
      </c>
      <c r="AE148" s="399"/>
      <c r="AF148" s="399"/>
      <c r="AG148" s="399"/>
      <c r="AH148" s="399"/>
      <c r="AI148" s="399"/>
      <c r="AJ148" s="399"/>
      <c r="AK148" s="399"/>
      <c r="AL148" s="477"/>
      <c r="AM148" s="485">
        <f t="shared" si="26"/>
        <v>1137385</v>
      </c>
      <c r="AN148" s="399">
        <v>55</v>
      </c>
      <c r="AO148" s="402">
        <v>2679</v>
      </c>
      <c r="AP148" s="480">
        <v>-53189.35</v>
      </c>
      <c r="AQ148" s="490"/>
      <c r="AR148" s="490">
        <v>-14646.69</v>
      </c>
      <c r="AS148" s="520">
        <v>1</v>
      </c>
      <c r="AT148" s="533">
        <v>10504416.08</v>
      </c>
      <c r="AU148" s="533">
        <f>150+8560.1+13800</f>
        <v>22510.1</v>
      </c>
      <c r="AV148" s="533">
        <v>5502.22</v>
      </c>
      <c r="AW148" s="533">
        <v>1137385</v>
      </c>
      <c r="AX148" s="533">
        <v>0</v>
      </c>
      <c r="AY148" s="533">
        <v>-53189.35</v>
      </c>
      <c r="AZ148" s="533">
        <v>0</v>
      </c>
      <c r="BA148" s="533">
        <v>-14646.69</v>
      </c>
      <c r="BB148" s="480">
        <f t="shared" si="27"/>
        <v>0</v>
      </c>
      <c r="BC148" s="480">
        <f t="shared" si="28"/>
        <v>0</v>
      </c>
      <c r="BD148" s="480">
        <f t="shared" si="29"/>
        <v>0</v>
      </c>
      <c r="BE148" s="480">
        <f t="shared" si="30"/>
        <v>0</v>
      </c>
      <c r="BF148" s="480">
        <f t="shared" si="31"/>
        <v>0</v>
      </c>
      <c r="BG148" s="480">
        <f t="shared" si="32"/>
        <v>0</v>
      </c>
      <c r="BH148" s="480">
        <f t="shared" si="33"/>
        <v>0</v>
      </c>
      <c r="BI148" s="6">
        <f t="shared" si="34"/>
        <v>5638</v>
      </c>
      <c r="BJ148" s="480" t="str">
        <f t="shared" si="35"/>
        <v>Lonay</v>
      </c>
    </row>
    <row r="149" spans="1:62" x14ac:dyDescent="0.25">
      <c r="A149" s="341">
        <v>5639</v>
      </c>
      <c r="B149" s="523" t="s">
        <v>160</v>
      </c>
      <c r="C149" s="394">
        <v>2141205.88</v>
      </c>
      <c r="D149" s="394">
        <v>510646.95</v>
      </c>
      <c r="E149" s="391"/>
      <c r="F149" s="394">
        <v>0</v>
      </c>
      <c r="G149" s="394">
        <v>-61349.1</v>
      </c>
      <c r="H149" s="394">
        <v>3361.6</v>
      </c>
      <c r="I149" s="394">
        <v>0</v>
      </c>
      <c r="J149" s="394">
        <v>9023.2800000000007</v>
      </c>
      <c r="K149" s="394">
        <v>-8250.15</v>
      </c>
      <c r="L149" s="394">
        <v>257092.2</v>
      </c>
      <c r="M149" s="334">
        <f t="shared" si="24"/>
        <v>2851730.66</v>
      </c>
      <c r="N149" s="398">
        <v>15484.7</v>
      </c>
      <c r="O149" s="398">
        <v>3045.2</v>
      </c>
      <c r="P149" s="398">
        <v>129002.9</v>
      </c>
      <c r="Q149" s="398">
        <v>669.49</v>
      </c>
      <c r="R149" s="398">
        <v>20303.5</v>
      </c>
      <c r="S149" s="398"/>
      <c r="T149" s="398">
        <v>194.5</v>
      </c>
      <c r="U149" s="398">
        <v>2325</v>
      </c>
      <c r="V149" s="398"/>
      <c r="W149" s="398"/>
      <c r="X149" s="382">
        <v>-6955.42</v>
      </c>
      <c r="Y149" s="485">
        <f t="shared" si="25"/>
        <v>3015800.5300000007</v>
      </c>
      <c r="Z149" s="399">
        <v>-3219.4</v>
      </c>
      <c r="AA149" s="399"/>
      <c r="AB149" s="399">
        <v>120271</v>
      </c>
      <c r="AC149" s="399"/>
      <c r="AD149" s="399">
        <v>64266.7</v>
      </c>
      <c r="AE149" s="399"/>
      <c r="AF149" s="399"/>
      <c r="AG149" s="399"/>
      <c r="AH149" s="399"/>
      <c r="AI149" s="399"/>
      <c r="AJ149" s="399"/>
      <c r="AK149" s="399"/>
      <c r="AL149" s="477"/>
      <c r="AM149" s="485">
        <f t="shared" si="26"/>
        <v>181318.3</v>
      </c>
      <c r="AN149" s="399">
        <v>61</v>
      </c>
      <c r="AO149" s="402">
        <v>825</v>
      </c>
      <c r="AP149" s="480">
        <v>-11017.54</v>
      </c>
      <c r="AQ149" s="490"/>
      <c r="AR149" s="490">
        <v>0</v>
      </c>
      <c r="AS149" s="520">
        <v>1.25</v>
      </c>
      <c r="AT149" s="533">
        <v>3015800.53</v>
      </c>
      <c r="AU149" s="533">
        <f>194.5+2325</f>
        <v>2519.5</v>
      </c>
      <c r="AV149" s="533">
        <v>-6955.42</v>
      </c>
      <c r="AW149" s="533">
        <v>181318.3</v>
      </c>
      <c r="AX149" s="533">
        <v>0</v>
      </c>
      <c r="AY149" s="533">
        <v>-11017.54</v>
      </c>
      <c r="AZ149" s="533">
        <v>0</v>
      </c>
      <c r="BA149" s="533">
        <v>0</v>
      </c>
      <c r="BB149" s="480">
        <f t="shared" si="27"/>
        <v>0</v>
      </c>
      <c r="BC149" s="480">
        <f t="shared" si="28"/>
        <v>0</v>
      </c>
      <c r="BD149" s="480">
        <f t="shared" si="29"/>
        <v>0</v>
      </c>
      <c r="BE149" s="480">
        <f t="shared" si="30"/>
        <v>0</v>
      </c>
      <c r="BF149" s="480">
        <f t="shared" si="31"/>
        <v>0</v>
      </c>
      <c r="BG149" s="480">
        <f t="shared" si="32"/>
        <v>0</v>
      </c>
      <c r="BH149" s="480">
        <f t="shared" si="33"/>
        <v>0</v>
      </c>
      <c r="BI149" s="6">
        <f t="shared" si="34"/>
        <v>5639</v>
      </c>
      <c r="BJ149" s="480" t="str">
        <f t="shared" si="35"/>
        <v>Lully</v>
      </c>
    </row>
    <row r="150" spans="1:62" x14ac:dyDescent="0.25">
      <c r="A150" s="341">
        <v>5640</v>
      </c>
      <c r="B150" s="523" t="s">
        <v>161</v>
      </c>
      <c r="C150" s="394">
        <v>2832777.84</v>
      </c>
      <c r="D150" s="394">
        <v>557058.31000000006</v>
      </c>
      <c r="E150" s="391"/>
      <c r="F150" s="394">
        <v>0</v>
      </c>
      <c r="G150" s="394">
        <v>20319.099999999999</v>
      </c>
      <c r="H150" s="394">
        <v>6040.6</v>
      </c>
      <c r="I150" s="394">
        <v>123554.25</v>
      </c>
      <c r="J150" s="394">
        <v>23735.61</v>
      </c>
      <c r="K150" s="394">
        <v>3322.35</v>
      </c>
      <c r="L150" s="394">
        <v>200088.65</v>
      </c>
      <c r="M150" s="334">
        <f t="shared" si="24"/>
        <v>3766896.71</v>
      </c>
      <c r="N150" s="398">
        <v>14468.85</v>
      </c>
      <c r="O150" s="398">
        <v>73401.600000000006</v>
      </c>
      <c r="P150" s="398">
        <v>158128.6</v>
      </c>
      <c r="Q150" s="398">
        <v>123.98</v>
      </c>
      <c r="R150" s="398">
        <v>111804.6</v>
      </c>
      <c r="S150" s="398"/>
      <c r="T150" s="398"/>
      <c r="U150" s="398">
        <v>3500</v>
      </c>
      <c r="V150" s="398"/>
      <c r="W150" s="398"/>
      <c r="X150" s="382">
        <v>3161.76</v>
      </c>
      <c r="Y150" s="485">
        <f t="shared" si="25"/>
        <v>4131486.1</v>
      </c>
      <c r="Z150" s="399">
        <v>18734.55</v>
      </c>
      <c r="AA150" s="399"/>
      <c r="AB150" s="399">
        <v>72185.75</v>
      </c>
      <c r="AC150" s="399"/>
      <c r="AD150" s="399">
        <v>46385</v>
      </c>
      <c r="AE150" s="399"/>
      <c r="AF150" s="399"/>
      <c r="AG150" s="399"/>
      <c r="AH150" s="399"/>
      <c r="AI150" s="399"/>
      <c r="AJ150" s="399"/>
      <c r="AK150" s="399"/>
      <c r="AL150" s="477"/>
      <c r="AM150" s="485">
        <f t="shared" si="26"/>
        <v>137305.29999999999</v>
      </c>
      <c r="AN150" s="399">
        <v>66</v>
      </c>
      <c r="AO150" s="402">
        <v>722</v>
      </c>
      <c r="AP150" s="480">
        <v>-3891.6</v>
      </c>
      <c r="AQ150" s="490"/>
      <c r="AR150" s="490">
        <v>-2209.71</v>
      </c>
      <c r="AS150" s="520">
        <v>1</v>
      </c>
      <c r="AT150" s="533">
        <v>4131486.1</v>
      </c>
      <c r="AU150" s="533">
        <v>3500</v>
      </c>
      <c r="AV150" s="533">
        <v>3161.76</v>
      </c>
      <c r="AW150" s="533">
        <v>137305.29999999999</v>
      </c>
      <c r="AX150" s="533">
        <v>0</v>
      </c>
      <c r="AY150" s="533">
        <v>-3891.6</v>
      </c>
      <c r="AZ150" s="533">
        <v>0</v>
      </c>
      <c r="BA150" s="533">
        <v>-2209.71</v>
      </c>
      <c r="BB150" s="480">
        <f t="shared" si="27"/>
        <v>0</v>
      </c>
      <c r="BC150" s="480">
        <f t="shared" si="28"/>
        <v>0</v>
      </c>
      <c r="BD150" s="480">
        <f t="shared" si="29"/>
        <v>0</v>
      </c>
      <c r="BE150" s="480">
        <f t="shared" si="30"/>
        <v>0</v>
      </c>
      <c r="BF150" s="480">
        <f t="shared" si="31"/>
        <v>0</v>
      </c>
      <c r="BG150" s="480">
        <f t="shared" si="32"/>
        <v>0</v>
      </c>
      <c r="BH150" s="480">
        <f t="shared" si="33"/>
        <v>0</v>
      </c>
      <c r="BI150" s="6">
        <f t="shared" si="34"/>
        <v>5640</v>
      </c>
      <c r="BJ150" s="480" t="str">
        <f t="shared" si="35"/>
        <v>Lussy-sur-Morges</v>
      </c>
    </row>
    <row r="151" spans="1:62" x14ac:dyDescent="0.25">
      <c r="A151" s="341">
        <v>5642</v>
      </c>
      <c r="B151" s="523" t="s">
        <v>162</v>
      </c>
      <c r="C151" s="394">
        <v>35745322.630000003</v>
      </c>
      <c r="D151" s="394">
        <v>5542645.3799999999</v>
      </c>
      <c r="E151" s="391"/>
      <c r="F151" s="394">
        <v>0</v>
      </c>
      <c r="G151" s="394">
        <v>3651770.75</v>
      </c>
      <c r="H151" s="394">
        <v>1108062.8</v>
      </c>
      <c r="I151" s="394">
        <v>1785593.95</v>
      </c>
      <c r="J151" s="394">
        <v>1767628.67</v>
      </c>
      <c r="K151" s="394">
        <v>528585.69999999995</v>
      </c>
      <c r="L151" s="394">
        <v>3270455.1</v>
      </c>
      <c r="M151" s="334">
        <f t="shared" si="24"/>
        <v>53400064.980000012</v>
      </c>
      <c r="N151" s="398">
        <v>1316828.75</v>
      </c>
      <c r="O151" s="398">
        <v>1575229.1</v>
      </c>
      <c r="P151" s="398">
        <v>1876741.5</v>
      </c>
      <c r="Q151" s="398">
        <v>124680.94</v>
      </c>
      <c r="R151" s="398">
        <v>1985121.55</v>
      </c>
      <c r="S151" s="398">
        <v>86516.45</v>
      </c>
      <c r="T151" s="398"/>
      <c r="U151" s="398">
        <v>48800</v>
      </c>
      <c r="V151" s="398"/>
      <c r="W151" s="398"/>
      <c r="X151" s="382">
        <v>570927.19999999995</v>
      </c>
      <c r="Y151" s="485">
        <f t="shared" si="25"/>
        <v>60984910.470000014</v>
      </c>
      <c r="Z151" s="399">
        <v>244080</v>
      </c>
      <c r="AA151" s="399"/>
      <c r="AB151" s="399">
        <v>3942007.54</v>
      </c>
      <c r="AC151" s="399"/>
      <c r="AD151" s="399">
        <v>1088587.25</v>
      </c>
      <c r="AE151" s="399">
        <v>174817.6</v>
      </c>
      <c r="AF151" s="399"/>
      <c r="AG151" s="399"/>
      <c r="AH151" s="399">
        <v>134164.5</v>
      </c>
      <c r="AI151" s="399"/>
      <c r="AJ151" s="399"/>
      <c r="AK151" s="399"/>
      <c r="AL151" s="477"/>
      <c r="AM151" s="485">
        <f t="shared" si="26"/>
        <v>5583656.8899999997</v>
      </c>
      <c r="AN151" s="399">
        <v>67</v>
      </c>
      <c r="AO151" s="402">
        <v>16095</v>
      </c>
      <c r="AP151" s="480">
        <v>-1266950.6599999999</v>
      </c>
      <c r="AQ151" s="490"/>
      <c r="AR151" s="490">
        <v>-65343.82</v>
      </c>
      <c r="AS151" s="520">
        <v>1</v>
      </c>
      <c r="AT151" s="533">
        <f>60926645.22-512661.95+570927.2</f>
        <v>60984910.469999999</v>
      </c>
      <c r="AU151" s="533">
        <f>86516.45+48800</f>
        <v>135316.45000000001</v>
      </c>
      <c r="AV151" s="533">
        <v>570927.19999999995</v>
      </c>
      <c r="AW151" s="533">
        <v>5583656.8899999997</v>
      </c>
      <c r="AX151" s="533">
        <v>0</v>
      </c>
      <c r="AY151" s="533">
        <v>-1266950.6599999999</v>
      </c>
      <c r="AZ151" s="533">
        <v>0</v>
      </c>
      <c r="BA151" s="533">
        <v>-65343.82</v>
      </c>
      <c r="BB151" s="480">
        <f t="shared" si="27"/>
        <v>0</v>
      </c>
      <c r="BC151" s="480">
        <f t="shared" si="28"/>
        <v>0</v>
      </c>
      <c r="BD151" s="480">
        <f t="shared" si="29"/>
        <v>0</v>
      </c>
      <c r="BE151" s="480">
        <f t="shared" si="30"/>
        <v>0</v>
      </c>
      <c r="BF151" s="480">
        <f t="shared" si="31"/>
        <v>0</v>
      </c>
      <c r="BG151" s="480">
        <f t="shared" si="32"/>
        <v>0</v>
      </c>
      <c r="BH151" s="480">
        <f t="shared" si="33"/>
        <v>0</v>
      </c>
      <c r="BI151" s="6">
        <f t="shared" si="34"/>
        <v>5642</v>
      </c>
      <c r="BJ151" s="480" t="str">
        <f t="shared" si="35"/>
        <v>Morges</v>
      </c>
    </row>
    <row r="152" spans="1:62" x14ac:dyDescent="0.25">
      <c r="A152" s="341">
        <v>5643</v>
      </c>
      <c r="B152" s="523" t="s">
        <v>163</v>
      </c>
      <c r="C152" s="394">
        <v>12324304.48</v>
      </c>
      <c r="D152" s="394">
        <v>1798238.34</v>
      </c>
      <c r="E152" s="391"/>
      <c r="F152" s="394">
        <v>0</v>
      </c>
      <c r="G152" s="394">
        <v>387344.6</v>
      </c>
      <c r="H152" s="394">
        <v>65130.75</v>
      </c>
      <c r="I152" s="394">
        <v>447354.21</v>
      </c>
      <c r="J152" s="394">
        <v>265216.28000000003</v>
      </c>
      <c r="K152" s="394">
        <v>126037</v>
      </c>
      <c r="L152" s="394">
        <v>1126087.1299999999</v>
      </c>
      <c r="M152" s="334">
        <f t="shared" si="24"/>
        <v>16539712.789999999</v>
      </c>
      <c r="N152" s="398">
        <v>212698.65</v>
      </c>
      <c r="O152" s="398">
        <v>90172</v>
      </c>
      <c r="P152" s="398">
        <v>427353.4</v>
      </c>
      <c r="Q152" s="398">
        <v>34745.64</v>
      </c>
      <c r="R152" s="398">
        <v>292102.59999999998</v>
      </c>
      <c r="S152" s="398">
        <v>1200</v>
      </c>
      <c r="T152" s="398">
        <v>594.85</v>
      </c>
      <c r="U152" s="398">
        <v>17955</v>
      </c>
      <c r="V152" s="398"/>
      <c r="W152" s="398"/>
      <c r="X152" s="382">
        <v>54273.01</v>
      </c>
      <c r="Y152" s="485">
        <f t="shared" si="25"/>
        <v>17670807.940000001</v>
      </c>
      <c r="Z152" s="399">
        <v>92526.6</v>
      </c>
      <c r="AA152" s="399"/>
      <c r="AB152" s="399">
        <v>902079.66</v>
      </c>
      <c r="AC152" s="399"/>
      <c r="AD152" s="399">
        <v>390501.3</v>
      </c>
      <c r="AE152" s="399"/>
      <c r="AF152" s="399"/>
      <c r="AG152" s="399"/>
      <c r="AH152" s="399"/>
      <c r="AI152" s="399">
        <v>116891.3</v>
      </c>
      <c r="AJ152" s="399"/>
      <c r="AK152" s="399"/>
      <c r="AL152" s="477"/>
      <c r="AM152" s="485">
        <f t="shared" si="26"/>
        <v>1501998.86</v>
      </c>
      <c r="AN152" s="399">
        <v>62.5</v>
      </c>
      <c r="AO152" s="402">
        <v>5241</v>
      </c>
      <c r="AP152" s="480">
        <v>-195126.12</v>
      </c>
      <c r="AQ152" s="490"/>
      <c r="AR152" s="490">
        <v>-37519.589999999997</v>
      </c>
      <c r="AS152" s="520">
        <v>1</v>
      </c>
      <c r="AT152" s="533">
        <v>17670807.940000001</v>
      </c>
      <c r="AU152" s="533">
        <f>1200+594.85+17955</f>
        <v>19749.849999999999</v>
      </c>
      <c r="AV152" s="533">
        <v>54273.01</v>
      </c>
      <c r="AW152" s="533">
        <v>1501998.86</v>
      </c>
      <c r="AX152" s="533">
        <v>0</v>
      </c>
      <c r="AY152" s="533">
        <v>-195126.12</v>
      </c>
      <c r="AZ152" s="533">
        <v>0</v>
      </c>
      <c r="BA152" s="533">
        <v>-37519.589999999997</v>
      </c>
      <c r="BB152" s="480">
        <f t="shared" si="27"/>
        <v>0</v>
      </c>
      <c r="BC152" s="480">
        <f t="shared" si="28"/>
        <v>0</v>
      </c>
      <c r="BD152" s="480">
        <f t="shared" si="29"/>
        <v>0</v>
      </c>
      <c r="BE152" s="480">
        <f t="shared" si="30"/>
        <v>0</v>
      </c>
      <c r="BF152" s="480">
        <f t="shared" si="31"/>
        <v>0</v>
      </c>
      <c r="BG152" s="480">
        <f t="shared" si="32"/>
        <v>0</v>
      </c>
      <c r="BH152" s="480">
        <f t="shared" si="33"/>
        <v>0</v>
      </c>
      <c r="BI152" s="6">
        <f t="shared" si="34"/>
        <v>5643</v>
      </c>
      <c r="BJ152" s="480" t="str">
        <f t="shared" si="35"/>
        <v>Préverenges</v>
      </c>
    </row>
    <row r="153" spans="1:62" x14ac:dyDescent="0.25">
      <c r="A153" s="341">
        <v>5644</v>
      </c>
      <c r="B153" s="523" t="s">
        <v>312</v>
      </c>
      <c r="C153" s="394">
        <v>896561.02</v>
      </c>
      <c r="D153" s="394">
        <v>174079.08</v>
      </c>
      <c r="E153" s="391"/>
      <c r="F153" s="394">
        <v>0</v>
      </c>
      <c r="G153" s="394">
        <v>26071.95</v>
      </c>
      <c r="H153" s="394">
        <v>-115.35</v>
      </c>
      <c r="I153" s="394">
        <v>0</v>
      </c>
      <c r="J153" s="394">
        <v>3739.98</v>
      </c>
      <c r="K153" s="394">
        <v>-150</v>
      </c>
      <c r="L153" s="394">
        <v>82657.55</v>
      </c>
      <c r="M153" s="334">
        <f t="shared" si="24"/>
        <v>1182844.23</v>
      </c>
      <c r="N153" s="398">
        <v>4509.8999999999996</v>
      </c>
      <c r="O153" s="398">
        <v>0</v>
      </c>
      <c r="P153" s="398">
        <v>24420</v>
      </c>
      <c r="Q153" s="398">
        <v>0</v>
      </c>
      <c r="R153" s="398">
        <v>1730.6</v>
      </c>
      <c r="S153" s="398"/>
      <c r="T153" s="398">
        <v>50</v>
      </c>
      <c r="U153" s="398">
        <v>2950</v>
      </c>
      <c r="V153" s="398"/>
      <c r="W153" s="398"/>
      <c r="X153" s="382">
        <v>3113.41</v>
      </c>
      <c r="Y153" s="485">
        <f t="shared" si="25"/>
        <v>1219618.1399999999</v>
      </c>
      <c r="Z153" s="399">
        <v>40784.800000000003</v>
      </c>
      <c r="AA153" s="399"/>
      <c r="AB153" s="399">
        <v>67487.5</v>
      </c>
      <c r="AC153" s="399"/>
      <c r="AD153" s="399">
        <v>36440</v>
      </c>
      <c r="AE153" s="399">
        <v>28410.799999999999</v>
      </c>
      <c r="AF153" s="399"/>
      <c r="AG153" s="399"/>
      <c r="AH153" s="399"/>
      <c r="AI153" s="399">
        <v>7102.25</v>
      </c>
      <c r="AJ153" s="399"/>
      <c r="AK153" s="399"/>
      <c r="AL153" s="477"/>
      <c r="AM153" s="485">
        <f t="shared" si="26"/>
        <v>180225.34999999998</v>
      </c>
      <c r="AN153" s="399">
        <v>74</v>
      </c>
      <c r="AO153" s="402">
        <v>407</v>
      </c>
      <c r="AP153" s="480">
        <v>-30.02</v>
      </c>
      <c r="AQ153" s="490"/>
      <c r="AR153" s="490">
        <v>-392.34</v>
      </c>
      <c r="AS153" s="520">
        <v>1</v>
      </c>
      <c r="AT153" s="533">
        <v>1219618.1399999999</v>
      </c>
      <c r="AU153" s="533">
        <f>50+2950</f>
        <v>3000</v>
      </c>
      <c r="AV153" s="533">
        <v>3113.41</v>
      </c>
      <c r="AW153" s="533">
        <v>180225.35</v>
      </c>
      <c r="AX153" s="533">
        <v>0</v>
      </c>
      <c r="AY153" s="533">
        <v>-30.02</v>
      </c>
      <c r="AZ153" s="533">
        <v>0</v>
      </c>
      <c r="BA153" s="533">
        <v>-392.34</v>
      </c>
      <c r="BB153" s="480">
        <f t="shared" si="27"/>
        <v>0</v>
      </c>
      <c r="BC153" s="480">
        <f t="shared" si="28"/>
        <v>0</v>
      </c>
      <c r="BD153" s="480">
        <f t="shared" si="29"/>
        <v>0</v>
      </c>
      <c r="BE153" s="480">
        <f t="shared" si="30"/>
        <v>0</v>
      </c>
      <c r="BF153" s="480">
        <f t="shared" si="31"/>
        <v>0</v>
      </c>
      <c r="BG153" s="480">
        <f t="shared" si="32"/>
        <v>0</v>
      </c>
      <c r="BH153" s="480">
        <f t="shared" si="33"/>
        <v>0</v>
      </c>
      <c r="BI153" s="6">
        <f t="shared" si="34"/>
        <v>5644</v>
      </c>
      <c r="BJ153" s="480" t="str">
        <f t="shared" si="35"/>
        <v>Reverolle</v>
      </c>
    </row>
    <row r="154" spans="1:62" x14ac:dyDescent="0.25">
      <c r="A154" s="341">
        <v>5645</v>
      </c>
      <c r="B154" s="525" t="s">
        <v>313</v>
      </c>
      <c r="C154" s="524">
        <v>965059.85</v>
      </c>
      <c r="D154" s="394">
        <v>174988.67</v>
      </c>
      <c r="E154" s="391"/>
      <c r="F154" s="394">
        <v>0</v>
      </c>
      <c r="G154" s="394">
        <v>71950.5</v>
      </c>
      <c r="H154" s="394">
        <v>65620.95</v>
      </c>
      <c r="I154" s="394">
        <v>0</v>
      </c>
      <c r="J154" s="394">
        <v>66708.12</v>
      </c>
      <c r="K154" s="394">
        <v>20606.599999999999</v>
      </c>
      <c r="L154" s="394">
        <v>159938.35</v>
      </c>
      <c r="M154" s="334">
        <f t="shared" si="24"/>
        <v>1524873.04</v>
      </c>
      <c r="N154" s="398">
        <v>37607.800000000003</v>
      </c>
      <c r="O154" s="398">
        <v>89491.8</v>
      </c>
      <c r="P154" s="398">
        <v>69675.649999999994</v>
      </c>
      <c r="Q154" s="398">
        <v>2974.46</v>
      </c>
      <c r="R154" s="398">
        <v>19294.45</v>
      </c>
      <c r="S154" s="398">
        <v>75</v>
      </c>
      <c r="T154" s="398"/>
      <c r="U154" s="398">
        <v>1175</v>
      </c>
      <c r="V154" s="398"/>
      <c r="W154" s="398"/>
      <c r="X154" s="382">
        <v>16501.27</v>
      </c>
      <c r="Y154" s="485">
        <f t="shared" si="25"/>
        <v>1761668.47</v>
      </c>
      <c r="Z154" s="399">
        <v>-10726.8</v>
      </c>
      <c r="AA154" s="399"/>
      <c r="AB154" s="399">
        <v>118770.3</v>
      </c>
      <c r="AC154" s="399"/>
      <c r="AD154" s="399">
        <v>53986.53</v>
      </c>
      <c r="AE154" s="399">
        <v>5330</v>
      </c>
      <c r="AF154" s="399"/>
      <c r="AG154" s="399"/>
      <c r="AH154" s="399"/>
      <c r="AI154" s="399">
        <v>29715.85</v>
      </c>
      <c r="AJ154" s="399"/>
      <c r="AK154" s="399"/>
      <c r="AL154" s="477"/>
      <c r="AM154" s="485">
        <f t="shared" si="26"/>
        <v>197075.88</v>
      </c>
      <c r="AN154" s="399">
        <v>56</v>
      </c>
      <c r="AO154" s="402">
        <v>466</v>
      </c>
      <c r="AP154" s="480">
        <v>-10244.790000000001</v>
      </c>
      <c r="AQ154" s="490"/>
      <c r="AR154" s="490">
        <v>-1656.45</v>
      </c>
      <c r="AS154" s="520">
        <v>1</v>
      </c>
      <c r="AT154" s="533">
        <v>1761668.47</v>
      </c>
      <c r="AU154" s="533">
        <f>75+1175</f>
        <v>1250</v>
      </c>
      <c r="AV154" s="533">
        <v>16501.27</v>
      </c>
      <c r="AW154" s="533">
        <v>197075.88</v>
      </c>
      <c r="AX154" s="533">
        <v>0</v>
      </c>
      <c r="AY154" s="533">
        <v>-10244.790000000001</v>
      </c>
      <c r="AZ154" s="533">
        <v>0</v>
      </c>
      <c r="BA154" s="533">
        <v>-1656.45</v>
      </c>
      <c r="BB154" s="480">
        <f t="shared" si="27"/>
        <v>0</v>
      </c>
      <c r="BC154" s="480">
        <f t="shared" si="28"/>
        <v>0</v>
      </c>
      <c r="BD154" s="480">
        <f t="shared" si="29"/>
        <v>0</v>
      </c>
      <c r="BE154" s="480">
        <f t="shared" si="30"/>
        <v>0</v>
      </c>
      <c r="BF154" s="480">
        <f t="shared" si="31"/>
        <v>0</v>
      </c>
      <c r="BG154" s="480">
        <f t="shared" si="32"/>
        <v>0</v>
      </c>
      <c r="BH154" s="480">
        <f t="shared" si="33"/>
        <v>0</v>
      </c>
      <c r="BI154" s="6">
        <f t="shared" si="34"/>
        <v>5645</v>
      </c>
      <c r="BJ154" s="480" t="str">
        <f t="shared" si="35"/>
        <v>Romanel-sur-Morges</v>
      </c>
    </row>
    <row r="155" spans="1:62" x14ac:dyDescent="0.25">
      <c r="A155" s="341">
        <v>5646</v>
      </c>
      <c r="B155" s="523" t="s">
        <v>314</v>
      </c>
      <c r="C155" s="394">
        <v>11983243.58</v>
      </c>
      <c r="D155" s="394">
        <v>2870606.54</v>
      </c>
      <c r="E155" s="391"/>
      <c r="F155" s="394">
        <v>0</v>
      </c>
      <c r="G155" s="394">
        <v>1370881.9</v>
      </c>
      <c r="H155" s="394">
        <v>9302227.5500000007</v>
      </c>
      <c r="I155" s="394">
        <v>762116.87</v>
      </c>
      <c r="J155" s="394">
        <v>587722.06000000006</v>
      </c>
      <c r="K155" s="394">
        <v>135101.5</v>
      </c>
      <c r="L155" s="394">
        <v>1656997.9</v>
      </c>
      <c r="M155" s="334">
        <f t="shared" si="24"/>
        <v>28668897.899999999</v>
      </c>
      <c r="N155" s="398">
        <v>1057317.55</v>
      </c>
      <c r="O155" s="398">
        <v>764394.2</v>
      </c>
      <c r="P155" s="398">
        <v>778605.7</v>
      </c>
      <c r="Q155" s="398">
        <v>23957.29</v>
      </c>
      <c r="R155" s="398">
        <v>751144.8</v>
      </c>
      <c r="S155" s="398"/>
      <c r="T155" s="398">
        <v>19158.45</v>
      </c>
      <c r="U155" s="398">
        <v>45900</v>
      </c>
      <c r="V155" s="398"/>
      <c r="W155" s="398"/>
      <c r="X155" s="382">
        <v>1280206.22</v>
      </c>
      <c r="Y155" s="485">
        <f t="shared" si="25"/>
        <v>33389582.109999996</v>
      </c>
      <c r="Z155" s="399">
        <v>94519</v>
      </c>
      <c r="AA155" s="399"/>
      <c r="AB155" s="399">
        <v>893521.23</v>
      </c>
      <c r="AC155" s="399"/>
      <c r="AD155" s="399">
        <v>503312.1</v>
      </c>
      <c r="AE155" s="399">
        <v>57443.5</v>
      </c>
      <c r="AF155" s="399"/>
      <c r="AG155" s="399"/>
      <c r="AH155" s="399"/>
      <c r="AI155" s="399"/>
      <c r="AJ155" s="399"/>
      <c r="AK155" s="399"/>
      <c r="AL155" s="477"/>
      <c r="AM155" s="485">
        <f t="shared" si="26"/>
        <v>1548795.83</v>
      </c>
      <c r="AN155" s="399">
        <v>55</v>
      </c>
      <c r="AO155" s="402">
        <v>5865</v>
      </c>
      <c r="AP155" s="480">
        <v>-178640.07</v>
      </c>
      <c r="AQ155" s="490"/>
      <c r="AR155" s="490">
        <v>-34323.89</v>
      </c>
      <c r="AS155" s="520">
        <v>1</v>
      </c>
      <c r="AT155" s="533">
        <v>33389582.109999999</v>
      </c>
      <c r="AU155" s="533">
        <f>19158.45+45900</f>
        <v>65058.45</v>
      </c>
      <c r="AV155" s="533">
        <v>1280206.22</v>
      </c>
      <c r="AW155" s="533">
        <v>1548795.83</v>
      </c>
      <c r="AX155" s="533">
        <v>0</v>
      </c>
      <c r="AY155" s="533">
        <v>-178640.07</v>
      </c>
      <c r="AZ155" s="533">
        <v>0</v>
      </c>
      <c r="BA155" s="533">
        <v>-34323.89</v>
      </c>
      <c r="BB155" s="480">
        <f t="shared" si="27"/>
        <v>0</v>
      </c>
      <c r="BC155" s="480">
        <f t="shared" si="28"/>
        <v>0</v>
      </c>
      <c r="BD155" s="480">
        <f t="shared" si="29"/>
        <v>0</v>
      </c>
      <c r="BE155" s="480">
        <f t="shared" si="30"/>
        <v>0</v>
      </c>
      <c r="BF155" s="480">
        <f t="shared" si="31"/>
        <v>0</v>
      </c>
      <c r="BG155" s="480">
        <f t="shared" si="32"/>
        <v>0</v>
      </c>
      <c r="BH155" s="480">
        <f t="shared" si="33"/>
        <v>0</v>
      </c>
      <c r="BI155" s="6">
        <f t="shared" si="34"/>
        <v>5646</v>
      </c>
      <c r="BJ155" s="480" t="str">
        <f t="shared" si="35"/>
        <v>Saint-Prex</v>
      </c>
    </row>
    <row r="156" spans="1:62" x14ac:dyDescent="0.25">
      <c r="A156" s="341">
        <v>5648</v>
      </c>
      <c r="B156" s="523" t="s">
        <v>315</v>
      </c>
      <c r="C156" s="394">
        <v>13667948.9</v>
      </c>
      <c r="D156" s="394">
        <v>3820279.14</v>
      </c>
      <c r="E156" s="391"/>
      <c r="F156" s="394">
        <v>0</v>
      </c>
      <c r="G156" s="394">
        <v>1159829.75</v>
      </c>
      <c r="H156" s="394">
        <v>221403.4</v>
      </c>
      <c r="I156" s="394">
        <v>548606.35</v>
      </c>
      <c r="J156" s="394">
        <v>709111.6</v>
      </c>
      <c r="K156" s="394">
        <v>137836.75</v>
      </c>
      <c r="L156" s="394">
        <v>1305411.8400000001</v>
      </c>
      <c r="M156" s="334">
        <f t="shared" si="24"/>
        <v>21570427.73</v>
      </c>
      <c r="N156" s="398">
        <v>85040.6</v>
      </c>
      <c r="O156" s="398">
        <v>333365.8</v>
      </c>
      <c r="P156" s="398">
        <v>655689</v>
      </c>
      <c r="Q156" s="398">
        <v>10214.629999999999</v>
      </c>
      <c r="R156" s="398">
        <v>680965.4</v>
      </c>
      <c r="S156" s="398"/>
      <c r="T156" s="398">
        <v>4558.6000000000004</v>
      </c>
      <c r="U156" s="398">
        <v>20300</v>
      </c>
      <c r="V156" s="398"/>
      <c r="W156" s="398"/>
      <c r="X156" s="382">
        <v>165674.60999999999</v>
      </c>
      <c r="Y156" s="485">
        <f t="shared" si="25"/>
        <v>23526236.370000001</v>
      </c>
      <c r="Z156" s="399">
        <v>372498.7</v>
      </c>
      <c r="AA156" s="399"/>
      <c r="AB156" s="399">
        <v>1190617.6599999999</v>
      </c>
      <c r="AC156" s="399"/>
      <c r="AD156" s="399">
        <v>362730.58</v>
      </c>
      <c r="AE156" s="399"/>
      <c r="AF156" s="399"/>
      <c r="AG156" s="399"/>
      <c r="AH156" s="399">
        <v>198885.1</v>
      </c>
      <c r="AI156" s="399">
        <v>131999.98000000001</v>
      </c>
      <c r="AJ156" s="399"/>
      <c r="AK156" s="399"/>
      <c r="AL156" s="477"/>
      <c r="AM156" s="485">
        <f t="shared" si="26"/>
        <v>2256732.02</v>
      </c>
      <c r="AN156" s="399">
        <v>55</v>
      </c>
      <c r="AO156" s="402">
        <v>4909</v>
      </c>
      <c r="AP156" s="480">
        <v>-152315.4</v>
      </c>
      <c r="AQ156" s="490"/>
      <c r="AR156" s="490">
        <v>-115155.93</v>
      </c>
      <c r="AS156" s="520">
        <v>0.8</v>
      </c>
      <c r="AT156" s="533">
        <v>23526236.370000001</v>
      </c>
      <c r="AU156" s="533">
        <f>4558.6+20300</f>
        <v>24858.6</v>
      </c>
      <c r="AV156" s="533">
        <v>165674.60999999999</v>
      </c>
      <c r="AW156" s="533">
        <v>2256732.02</v>
      </c>
      <c r="AX156" s="533">
        <v>0</v>
      </c>
      <c r="AY156" s="533">
        <v>-152315.4</v>
      </c>
      <c r="AZ156" s="533">
        <v>0</v>
      </c>
      <c r="BA156" s="533">
        <v>-115155.93</v>
      </c>
      <c r="BB156" s="480">
        <f t="shared" si="27"/>
        <v>0</v>
      </c>
      <c r="BC156" s="480">
        <f t="shared" si="28"/>
        <v>0</v>
      </c>
      <c r="BD156" s="480">
        <f t="shared" si="29"/>
        <v>0</v>
      </c>
      <c r="BE156" s="480">
        <f t="shared" si="30"/>
        <v>0</v>
      </c>
      <c r="BF156" s="480">
        <f t="shared" si="31"/>
        <v>0</v>
      </c>
      <c r="BG156" s="480">
        <f t="shared" si="32"/>
        <v>0</v>
      </c>
      <c r="BH156" s="480">
        <f t="shared" si="33"/>
        <v>0</v>
      </c>
      <c r="BI156" s="6">
        <f t="shared" si="34"/>
        <v>5648</v>
      </c>
      <c r="BJ156" s="480" t="str">
        <f t="shared" si="35"/>
        <v>Saint-Sulpice</v>
      </c>
    </row>
    <row r="157" spans="1:62" x14ac:dyDescent="0.25">
      <c r="A157" s="341">
        <v>5649</v>
      </c>
      <c r="B157" s="523" t="s">
        <v>316</v>
      </c>
      <c r="C157" s="394">
        <v>3951006.69</v>
      </c>
      <c r="D157" s="394">
        <v>651361.13</v>
      </c>
      <c r="E157" s="391"/>
      <c r="F157" s="394">
        <v>0</v>
      </c>
      <c r="G157" s="394">
        <v>6763769.25</v>
      </c>
      <c r="H157" s="394">
        <v>868223.1</v>
      </c>
      <c r="I157" s="394">
        <v>30789.15</v>
      </c>
      <c r="J157" s="394">
        <v>256600.22</v>
      </c>
      <c r="K157" s="394">
        <v>65122.1</v>
      </c>
      <c r="L157" s="394">
        <v>557667.69999999995</v>
      </c>
      <c r="M157" s="334">
        <f t="shared" si="24"/>
        <v>13144539.34</v>
      </c>
      <c r="N157" s="398">
        <v>588474.4</v>
      </c>
      <c r="O157" s="398">
        <v>0</v>
      </c>
      <c r="P157" s="398">
        <v>319670.95</v>
      </c>
      <c r="Q157" s="398">
        <v>19414.7</v>
      </c>
      <c r="R157" s="398">
        <v>40091.5</v>
      </c>
      <c r="S157" s="398"/>
      <c r="T157" s="398">
        <v>2537.3000000000002</v>
      </c>
      <c r="U157" s="398">
        <v>3435</v>
      </c>
      <c r="V157" s="398"/>
      <c r="W157" s="398"/>
      <c r="X157" s="382">
        <v>915433.7</v>
      </c>
      <c r="Y157" s="485">
        <f t="shared" si="25"/>
        <v>15033596.889999999</v>
      </c>
      <c r="Z157" s="399">
        <v>2400.1999999999998</v>
      </c>
      <c r="AA157" s="399"/>
      <c r="AB157" s="399">
        <v>488382.7</v>
      </c>
      <c r="AC157" s="399"/>
      <c r="AD157" s="399">
        <v>106692.5</v>
      </c>
      <c r="AE157" s="399"/>
      <c r="AF157" s="399"/>
      <c r="AG157" s="399"/>
      <c r="AH157" s="399"/>
      <c r="AI157" s="399">
        <v>118433.85</v>
      </c>
      <c r="AJ157" s="399"/>
      <c r="AK157" s="399"/>
      <c r="AL157" s="477"/>
      <c r="AM157" s="485">
        <f t="shared" si="26"/>
        <v>715909.25</v>
      </c>
      <c r="AN157" s="399">
        <v>65</v>
      </c>
      <c r="AO157" s="402">
        <v>1889</v>
      </c>
      <c r="AP157" s="480">
        <v>-65339.54</v>
      </c>
      <c r="AQ157" s="490"/>
      <c r="AR157" s="490">
        <v>-3405.73</v>
      </c>
      <c r="AS157" s="520">
        <v>1</v>
      </c>
      <c r="AT157" s="533">
        <v>15033596.890000001</v>
      </c>
      <c r="AU157" s="533">
        <f>2537.3+3435</f>
        <v>5972.3</v>
      </c>
      <c r="AV157" s="533">
        <v>915433.7</v>
      </c>
      <c r="AW157" s="533">
        <v>715909.25</v>
      </c>
      <c r="AX157" s="533">
        <v>0</v>
      </c>
      <c r="AY157" s="533">
        <v>-65339.54</v>
      </c>
      <c r="AZ157" s="533">
        <v>0</v>
      </c>
      <c r="BA157" s="533">
        <v>-3405.73</v>
      </c>
      <c r="BB157" s="480">
        <f t="shared" si="27"/>
        <v>0</v>
      </c>
      <c r="BC157" s="480">
        <f t="shared" si="28"/>
        <v>0</v>
      </c>
      <c r="BD157" s="480">
        <f t="shared" si="29"/>
        <v>0</v>
      </c>
      <c r="BE157" s="480">
        <f t="shared" si="30"/>
        <v>0</v>
      </c>
      <c r="BF157" s="480">
        <f t="shared" si="31"/>
        <v>0</v>
      </c>
      <c r="BG157" s="480">
        <f t="shared" si="32"/>
        <v>0</v>
      </c>
      <c r="BH157" s="480">
        <f t="shared" si="33"/>
        <v>0</v>
      </c>
      <c r="BI157" s="6">
        <f t="shared" si="34"/>
        <v>5649</v>
      </c>
      <c r="BJ157" s="480" t="str">
        <f t="shared" si="35"/>
        <v>Tolochenaz</v>
      </c>
    </row>
    <row r="158" spans="1:62" s="337" customFormat="1" x14ac:dyDescent="0.25">
      <c r="A158" s="342">
        <v>5650</v>
      </c>
      <c r="B158" s="523" t="s">
        <v>317</v>
      </c>
      <c r="C158" s="394">
        <v>2559525.7000000002</v>
      </c>
      <c r="D158" s="394">
        <v>945639.1</v>
      </c>
      <c r="E158" s="391"/>
      <c r="F158" s="394">
        <v>0</v>
      </c>
      <c r="G158" s="394">
        <v>5439.45</v>
      </c>
      <c r="H158" s="394">
        <v>23.5</v>
      </c>
      <c r="I158" s="394">
        <v>0</v>
      </c>
      <c r="J158" s="394">
        <v>-25222.14</v>
      </c>
      <c r="K158" s="394">
        <v>0</v>
      </c>
      <c r="L158" s="394">
        <v>57315</v>
      </c>
      <c r="M158" s="334">
        <f t="shared" si="24"/>
        <v>3542720.6100000003</v>
      </c>
      <c r="N158" s="398">
        <v>46.25</v>
      </c>
      <c r="O158" s="398">
        <v>21020126.699999999</v>
      </c>
      <c r="P158" s="398">
        <v>8745</v>
      </c>
      <c r="Q158" s="398">
        <v>0</v>
      </c>
      <c r="R158" s="398">
        <v>29908.799999999999</v>
      </c>
      <c r="S158" s="398"/>
      <c r="T158" s="398"/>
      <c r="U158" s="398">
        <v>495</v>
      </c>
      <c r="V158" s="398"/>
      <c r="W158" s="398"/>
      <c r="X158" s="382">
        <v>655.26</v>
      </c>
      <c r="Y158" s="485">
        <f t="shared" si="25"/>
        <v>24602697.620000001</v>
      </c>
      <c r="Z158" s="399"/>
      <c r="AA158" s="399"/>
      <c r="AB158" s="399">
        <v>29235.85</v>
      </c>
      <c r="AC158" s="399"/>
      <c r="AD158" s="399">
        <v>25912.05</v>
      </c>
      <c r="AE158" s="399"/>
      <c r="AF158" s="399"/>
      <c r="AG158" s="399"/>
      <c r="AH158" s="399"/>
      <c r="AI158" s="399"/>
      <c r="AJ158" s="399"/>
      <c r="AK158" s="399"/>
      <c r="AL158" s="477"/>
      <c r="AM158" s="485">
        <f t="shared" si="26"/>
        <v>55147.899999999994</v>
      </c>
      <c r="AN158" s="399">
        <v>56</v>
      </c>
      <c r="AO158" s="402">
        <v>194</v>
      </c>
      <c r="AP158" s="480">
        <v>-3776.83</v>
      </c>
      <c r="AQ158" s="336"/>
      <c r="AR158" s="490">
        <v>0</v>
      </c>
      <c r="AS158" s="520">
        <v>1.25</v>
      </c>
      <c r="AT158" s="533">
        <v>24602697.620000001</v>
      </c>
      <c r="AU158" s="533">
        <v>495</v>
      </c>
      <c r="AV158" s="533">
        <v>655.26</v>
      </c>
      <c r="AW158" s="533">
        <v>55147.9</v>
      </c>
      <c r="AX158" s="533">
        <v>0</v>
      </c>
      <c r="AY158" s="533">
        <v>-3776.83</v>
      </c>
      <c r="AZ158" s="533">
        <v>0</v>
      </c>
      <c r="BA158" s="533">
        <v>0</v>
      </c>
      <c r="BB158" s="480">
        <f t="shared" si="27"/>
        <v>0</v>
      </c>
      <c r="BC158" s="480">
        <f t="shared" si="28"/>
        <v>0</v>
      </c>
      <c r="BD158" s="480">
        <f t="shared" si="29"/>
        <v>0</v>
      </c>
      <c r="BE158" s="480">
        <f t="shared" si="30"/>
        <v>0</v>
      </c>
      <c r="BF158" s="480">
        <f t="shared" si="31"/>
        <v>0</v>
      </c>
      <c r="BG158" s="480">
        <f t="shared" si="32"/>
        <v>0</v>
      </c>
      <c r="BH158" s="480">
        <f t="shared" si="33"/>
        <v>0</v>
      </c>
      <c r="BI158" s="6">
        <f t="shared" si="34"/>
        <v>5650</v>
      </c>
      <c r="BJ158" s="480" t="str">
        <f t="shared" si="35"/>
        <v>Vaux-sur-Morges</v>
      </c>
    </row>
    <row r="159" spans="1:62" x14ac:dyDescent="0.25">
      <c r="A159" s="341">
        <v>5651</v>
      </c>
      <c r="B159" s="523" t="s">
        <v>318</v>
      </c>
      <c r="C159" s="394">
        <v>2086591.78</v>
      </c>
      <c r="D159" s="394">
        <v>272976.64000000001</v>
      </c>
      <c r="E159" s="391"/>
      <c r="F159" s="394">
        <v>0</v>
      </c>
      <c r="G159" s="394">
        <v>520466.05</v>
      </c>
      <c r="H159" s="394">
        <v>14644.8</v>
      </c>
      <c r="I159" s="394">
        <v>0</v>
      </c>
      <c r="J159" s="394">
        <v>32671.37</v>
      </c>
      <c r="K159" s="394">
        <v>36688.400000000001</v>
      </c>
      <c r="L159" s="394">
        <v>383846.1</v>
      </c>
      <c r="M159" s="334">
        <f t="shared" si="24"/>
        <v>3347885.1399999997</v>
      </c>
      <c r="N159" s="398">
        <v>170466.25</v>
      </c>
      <c r="O159" s="398">
        <v>0</v>
      </c>
      <c r="P159" s="398">
        <v>179231.25</v>
      </c>
      <c r="Q159" s="398">
        <v>8244.7000000000007</v>
      </c>
      <c r="R159" s="398">
        <v>112130.1</v>
      </c>
      <c r="S159" s="398"/>
      <c r="T159" s="398"/>
      <c r="U159" s="398">
        <v>4120</v>
      </c>
      <c r="V159" s="398"/>
      <c r="W159" s="398"/>
      <c r="X159" s="382">
        <v>42555.69</v>
      </c>
      <c r="Y159" s="485">
        <f t="shared" si="25"/>
        <v>3864633.13</v>
      </c>
      <c r="Z159" s="399"/>
      <c r="AA159" s="399"/>
      <c r="AB159" s="399">
        <v>115411.9</v>
      </c>
      <c r="AC159" s="399"/>
      <c r="AD159" s="399">
        <v>112941.6</v>
      </c>
      <c r="AE159" s="399"/>
      <c r="AF159" s="399"/>
      <c r="AG159" s="399"/>
      <c r="AH159" s="399"/>
      <c r="AI159" s="399"/>
      <c r="AJ159" s="399"/>
      <c r="AK159" s="399"/>
      <c r="AL159" s="477"/>
      <c r="AM159" s="485">
        <f t="shared" si="26"/>
        <v>228353.5</v>
      </c>
      <c r="AN159" s="399">
        <v>60.5</v>
      </c>
      <c r="AO159" s="402">
        <v>958</v>
      </c>
      <c r="AP159" s="480">
        <v>-25961.53</v>
      </c>
      <c r="AQ159" s="490"/>
      <c r="AR159" s="490">
        <v>-576.03</v>
      </c>
      <c r="AS159" s="520">
        <v>1</v>
      </c>
      <c r="AT159" s="533">
        <v>3864633.13</v>
      </c>
      <c r="AU159" s="533">
        <v>4120</v>
      </c>
      <c r="AV159" s="533">
        <v>42555.69</v>
      </c>
      <c r="AW159" s="533">
        <v>228353.5</v>
      </c>
      <c r="AX159" s="533"/>
      <c r="AY159" s="533">
        <v>-25961.53</v>
      </c>
      <c r="AZ159" s="533"/>
      <c r="BA159" s="533">
        <v>-576.03</v>
      </c>
      <c r="BB159" s="480">
        <f t="shared" si="27"/>
        <v>0</v>
      </c>
      <c r="BC159" s="480">
        <f t="shared" si="28"/>
        <v>0</v>
      </c>
      <c r="BD159" s="480">
        <f t="shared" si="29"/>
        <v>0</v>
      </c>
      <c r="BE159" s="480">
        <f t="shared" si="30"/>
        <v>0</v>
      </c>
      <c r="BF159" s="480">
        <f t="shared" si="31"/>
        <v>0</v>
      </c>
      <c r="BG159" s="480">
        <f t="shared" si="32"/>
        <v>0</v>
      </c>
      <c r="BH159" s="480">
        <f t="shared" si="33"/>
        <v>0</v>
      </c>
      <c r="BI159" s="6">
        <f t="shared" si="34"/>
        <v>5651</v>
      </c>
      <c r="BJ159" s="480" t="str">
        <f t="shared" si="35"/>
        <v>Villars-Sainte-Croix</v>
      </c>
    </row>
    <row r="160" spans="1:62" x14ac:dyDescent="0.25">
      <c r="A160" s="341">
        <v>5652</v>
      </c>
      <c r="B160" s="523" t="s">
        <v>198</v>
      </c>
      <c r="C160" s="394">
        <v>1431995.28</v>
      </c>
      <c r="D160" s="394">
        <v>365200.97</v>
      </c>
      <c r="E160" s="391"/>
      <c r="F160" s="394">
        <v>0</v>
      </c>
      <c r="G160" s="394">
        <v>24301.8</v>
      </c>
      <c r="H160" s="394">
        <v>534.04999999999995</v>
      </c>
      <c r="I160" s="394">
        <v>0</v>
      </c>
      <c r="J160" s="394">
        <v>28766.84</v>
      </c>
      <c r="K160" s="394">
        <v>817.15</v>
      </c>
      <c r="L160" s="394">
        <v>131709.35</v>
      </c>
      <c r="M160" s="334">
        <f t="shared" si="24"/>
        <v>1983325.4400000002</v>
      </c>
      <c r="N160" s="398">
        <v>3228.45</v>
      </c>
      <c r="O160" s="398">
        <v>78379.8</v>
      </c>
      <c r="P160" s="398">
        <v>37024.1</v>
      </c>
      <c r="Q160" s="398">
        <v>3767.87</v>
      </c>
      <c r="R160" s="398">
        <v>51803.95</v>
      </c>
      <c r="S160" s="398"/>
      <c r="T160" s="398">
        <v>395.5</v>
      </c>
      <c r="U160" s="398">
        <v>3600</v>
      </c>
      <c r="V160" s="398"/>
      <c r="W160" s="398"/>
      <c r="X160" s="382">
        <v>2978.98</v>
      </c>
      <c r="Y160" s="485">
        <f t="shared" si="25"/>
        <v>2164504.0900000003</v>
      </c>
      <c r="Z160" s="399">
        <v>4628.5</v>
      </c>
      <c r="AA160" s="399"/>
      <c r="AB160" s="399">
        <v>83906.25</v>
      </c>
      <c r="AC160" s="399"/>
      <c r="AD160" s="399">
        <v>44680.05</v>
      </c>
      <c r="AE160" s="399"/>
      <c r="AF160" s="399"/>
      <c r="AG160" s="399"/>
      <c r="AH160" s="399"/>
      <c r="AI160" s="399"/>
      <c r="AJ160" s="399"/>
      <c r="AK160" s="399"/>
      <c r="AL160" s="477"/>
      <c r="AM160" s="485">
        <f t="shared" si="26"/>
        <v>133214.79999999999</v>
      </c>
      <c r="AN160" s="399">
        <v>76</v>
      </c>
      <c r="AO160" s="402">
        <v>615</v>
      </c>
      <c r="AP160" s="480">
        <v>-17306.95</v>
      </c>
      <c r="AQ160" s="490"/>
      <c r="AR160" s="490">
        <v>-480.35</v>
      </c>
      <c r="AS160" s="520">
        <v>1.2</v>
      </c>
      <c r="AT160" s="533">
        <v>2164504.09</v>
      </c>
      <c r="AU160" s="533">
        <f>395.5+3600</f>
        <v>3995.5</v>
      </c>
      <c r="AV160" s="533">
        <v>2978.98</v>
      </c>
      <c r="AW160" s="533">
        <v>133214.79999999999</v>
      </c>
      <c r="AX160" s="533">
        <v>0</v>
      </c>
      <c r="AY160" s="533">
        <v>-17306.95</v>
      </c>
      <c r="AZ160" s="533">
        <v>0</v>
      </c>
      <c r="BA160" s="533">
        <v>-480.35</v>
      </c>
      <c r="BB160" s="480">
        <f t="shared" si="27"/>
        <v>0</v>
      </c>
      <c r="BC160" s="480">
        <f t="shared" si="28"/>
        <v>0</v>
      </c>
      <c r="BD160" s="480">
        <f t="shared" si="29"/>
        <v>0</v>
      </c>
      <c r="BE160" s="480">
        <f t="shared" si="30"/>
        <v>0</v>
      </c>
      <c r="BF160" s="480">
        <f t="shared" si="31"/>
        <v>0</v>
      </c>
      <c r="BG160" s="480">
        <f t="shared" si="32"/>
        <v>0</v>
      </c>
      <c r="BH160" s="480">
        <f t="shared" si="33"/>
        <v>0</v>
      </c>
      <c r="BI160" s="6">
        <f t="shared" si="34"/>
        <v>5652</v>
      </c>
      <c r="BJ160" s="480" t="str">
        <f t="shared" si="35"/>
        <v>Villars-sous-Yens</v>
      </c>
    </row>
    <row r="161" spans="1:62" x14ac:dyDescent="0.25">
      <c r="A161" s="341">
        <v>5653</v>
      </c>
      <c r="B161" s="523" t="s">
        <v>199</v>
      </c>
      <c r="C161" s="394">
        <v>2938661.51</v>
      </c>
      <c r="D161" s="394">
        <v>684946.15</v>
      </c>
      <c r="E161" s="391"/>
      <c r="F161" s="394">
        <v>0</v>
      </c>
      <c r="G161" s="394">
        <v>44890.55</v>
      </c>
      <c r="H161" s="394">
        <v>6263.3</v>
      </c>
      <c r="I161" s="394">
        <v>44343.35</v>
      </c>
      <c r="J161" s="394">
        <v>57614.15</v>
      </c>
      <c r="K161" s="394">
        <v>3412.75</v>
      </c>
      <c r="L161" s="394">
        <v>206787.20000000001</v>
      </c>
      <c r="M161" s="334">
        <f t="shared" si="24"/>
        <v>3986918.9599999995</v>
      </c>
      <c r="N161" s="398">
        <v>6135.7</v>
      </c>
      <c r="O161" s="398">
        <v>0</v>
      </c>
      <c r="P161" s="398">
        <v>223229.15</v>
      </c>
      <c r="Q161" s="398">
        <v>978.52</v>
      </c>
      <c r="R161" s="398">
        <v>133408.65</v>
      </c>
      <c r="S161" s="398"/>
      <c r="T161" s="398"/>
      <c r="U161" s="398">
        <v>5850</v>
      </c>
      <c r="V161" s="398"/>
      <c r="W161" s="398"/>
      <c r="X161" s="382">
        <v>6135.74</v>
      </c>
      <c r="Y161" s="485">
        <f t="shared" si="25"/>
        <v>4362656.72</v>
      </c>
      <c r="Z161" s="399">
        <v>-14095.7</v>
      </c>
      <c r="AA161" s="399"/>
      <c r="AB161" s="399">
        <v>144546.4</v>
      </c>
      <c r="AC161" s="399"/>
      <c r="AD161" s="399">
        <v>58749</v>
      </c>
      <c r="AE161" s="399"/>
      <c r="AF161" s="399"/>
      <c r="AG161" s="399"/>
      <c r="AH161" s="399"/>
      <c r="AI161" s="399"/>
      <c r="AJ161" s="399"/>
      <c r="AK161" s="399"/>
      <c r="AL161" s="477"/>
      <c r="AM161" s="485">
        <f t="shared" si="26"/>
        <v>189199.7</v>
      </c>
      <c r="AN161" s="399">
        <v>58.5</v>
      </c>
      <c r="AO161" s="402">
        <v>870</v>
      </c>
      <c r="AP161" s="480">
        <v>-7935.47</v>
      </c>
      <c r="AQ161" s="490"/>
      <c r="AR161" s="490">
        <v>-13811.53</v>
      </c>
      <c r="AS161" s="520">
        <v>0.8</v>
      </c>
      <c r="AT161" s="533">
        <v>4362656.72</v>
      </c>
      <c r="AU161" s="533">
        <v>5850</v>
      </c>
      <c r="AV161" s="533">
        <v>6135.74</v>
      </c>
      <c r="AW161" s="533">
        <v>189199.7</v>
      </c>
      <c r="AX161" s="533">
        <v>-1766.64</v>
      </c>
      <c r="AY161" s="533">
        <v>-7935.47</v>
      </c>
      <c r="AZ161" s="533">
        <v>0</v>
      </c>
      <c r="BA161" s="533">
        <v>-13811.53</v>
      </c>
      <c r="BB161" s="480">
        <f t="shared" si="27"/>
        <v>0</v>
      </c>
      <c r="BC161" s="480">
        <f t="shared" si="28"/>
        <v>0</v>
      </c>
      <c r="BD161" s="480">
        <f t="shared" si="29"/>
        <v>0</v>
      </c>
      <c r="BE161" s="480">
        <f t="shared" si="30"/>
        <v>0</v>
      </c>
      <c r="BF161" s="480">
        <f t="shared" si="31"/>
        <v>0</v>
      </c>
      <c r="BG161" s="480">
        <f t="shared" si="32"/>
        <v>0</v>
      </c>
      <c r="BH161" s="480">
        <f t="shared" si="33"/>
        <v>0</v>
      </c>
      <c r="BI161" s="6">
        <f t="shared" si="34"/>
        <v>5653</v>
      </c>
      <c r="BJ161" s="480" t="str">
        <f t="shared" si="35"/>
        <v>Vufflens-le-Château</v>
      </c>
    </row>
    <row r="162" spans="1:62" x14ac:dyDescent="0.25">
      <c r="A162" s="341">
        <v>5654</v>
      </c>
      <c r="B162" s="523" t="s">
        <v>200</v>
      </c>
      <c r="C162" s="394">
        <v>1139448.78</v>
      </c>
      <c r="D162" s="394">
        <v>155972.25</v>
      </c>
      <c r="E162" s="391"/>
      <c r="F162" s="394">
        <v>0</v>
      </c>
      <c r="G162" s="394">
        <v>793.79999999999905</v>
      </c>
      <c r="H162" s="394">
        <v>1271.2</v>
      </c>
      <c r="I162" s="394">
        <v>0</v>
      </c>
      <c r="J162" s="394">
        <v>41216.39</v>
      </c>
      <c r="K162" s="394">
        <v>1973.05</v>
      </c>
      <c r="L162" s="394">
        <v>106239.65</v>
      </c>
      <c r="M162" s="334">
        <f t="shared" si="24"/>
        <v>1446915.1199999999</v>
      </c>
      <c r="N162" s="398">
        <v>6506.75</v>
      </c>
      <c r="O162" s="398">
        <v>-5434.1</v>
      </c>
      <c r="P162" s="398">
        <v>81977.5</v>
      </c>
      <c r="Q162" s="398">
        <v>46734.8</v>
      </c>
      <c r="R162" s="398">
        <v>81561.55</v>
      </c>
      <c r="S162" s="398"/>
      <c r="T162" s="398">
        <v>701.25</v>
      </c>
      <c r="U162" s="398">
        <v>3850</v>
      </c>
      <c r="V162" s="398"/>
      <c r="W162" s="398"/>
      <c r="X162" s="382">
        <v>247.69</v>
      </c>
      <c r="Y162" s="485">
        <f t="shared" si="25"/>
        <v>1663060.5599999998</v>
      </c>
      <c r="Z162" s="399">
        <v>9200</v>
      </c>
      <c r="AA162" s="399"/>
      <c r="AB162" s="399">
        <v>174969.05</v>
      </c>
      <c r="AC162" s="399"/>
      <c r="AD162" s="399">
        <v>26030</v>
      </c>
      <c r="AE162" s="399">
        <v>2000</v>
      </c>
      <c r="AF162" s="399"/>
      <c r="AG162" s="399"/>
      <c r="AH162" s="399"/>
      <c r="AI162" s="399">
        <v>13316.2</v>
      </c>
      <c r="AJ162" s="399"/>
      <c r="AK162" s="399"/>
      <c r="AL162" s="477"/>
      <c r="AM162" s="485">
        <f t="shared" si="26"/>
        <v>225515.25</v>
      </c>
      <c r="AN162" s="399">
        <v>76</v>
      </c>
      <c r="AO162" s="402">
        <v>542</v>
      </c>
      <c r="AP162" s="480">
        <v>-29527.75</v>
      </c>
      <c r="AQ162" s="490"/>
      <c r="AR162" s="490">
        <v>-161.51</v>
      </c>
      <c r="AS162" s="520">
        <v>1</v>
      </c>
      <c r="AT162" s="533">
        <v>1663060.56</v>
      </c>
      <c r="AU162" s="533">
        <f>701.25+3850</f>
        <v>4551.25</v>
      </c>
      <c r="AV162" s="533">
        <v>247.69</v>
      </c>
      <c r="AW162" s="533">
        <v>225515.25</v>
      </c>
      <c r="AX162" s="533"/>
      <c r="AY162" s="533">
        <v>-29527.75</v>
      </c>
      <c r="AZ162" s="533">
        <v>0</v>
      </c>
      <c r="BA162" s="533">
        <v>-161.51</v>
      </c>
      <c r="BB162" s="480">
        <f t="shared" si="27"/>
        <v>0</v>
      </c>
      <c r="BC162" s="480">
        <f t="shared" si="28"/>
        <v>0</v>
      </c>
      <c r="BD162" s="480">
        <f t="shared" si="29"/>
        <v>0</v>
      </c>
      <c r="BE162" s="480">
        <f t="shared" si="30"/>
        <v>0</v>
      </c>
      <c r="BF162" s="480">
        <f t="shared" si="31"/>
        <v>0</v>
      </c>
      <c r="BG162" s="480">
        <f t="shared" si="32"/>
        <v>0</v>
      </c>
      <c r="BH162" s="480">
        <f t="shared" si="33"/>
        <v>0</v>
      </c>
      <c r="BI162" s="6">
        <f t="shared" si="34"/>
        <v>5654</v>
      </c>
      <c r="BJ162" s="480" t="str">
        <f t="shared" si="35"/>
        <v>Vullierens</v>
      </c>
    </row>
    <row r="163" spans="1:62" x14ac:dyDescent="0.25">
      <c r="A163" s="341">
        <v>5655</v>
      </c>
      <c r="B163" s="523" t="s">
        <v>201</v>
      </c>
      <c r="C163" s="394">
        <v>5111671.9400000004</v>
      </c>
      <c r="D163" s="394">
        <v>659201.59</v>
      </c>
      <c r="E163" s="391"/>
      <c r="F163" s="394">
        <v>0</v>
      </c>
      <c r="G163" s="394">
        <v>274162.8</v>
      </c>
      <c r="H163" s="394">
        <v>3191.55</v>
      </c>
      <c r="I163" s="394">
        <v>66010.45</v>
      </c>
      <c r="J163" s="394">
        <v>-13414.22</v>
      </c>
      <c r="K163" s="394">
        <v>11308.65</v>
      </c>
      <c r="L163" s="394">
        <v>415850.1</v>
      </c>
      <c r="M163" s="334">
        <f t="shared" si="24"/>
        <v>6527982.8600000003</v>
      </c>
      <c r="N163" s="398">
        <v>104127.75</v>
      </c>
      <c r="O163" s="398">
        <v>37934.400000000001</v>
      </c>
      <c r="P163" s="398">
        <v>179277.05</v>
      </c>
      <c r="Q163" s="398">
        <v>-76.89</v>
      </c>
      <c r="R163" s="398">
        <v>189406.9</v>
      </c>
      <c r="S163" s="398"/>
      <c r="T163" s="398"/>
      <c r="U163" s="398">
        <v>7170</v>
      </c>
      <c r="V163" s="398"/>
      <c r="W163" s="398"/>
      <c r="X163" s="382">
        <v>33267.79</v>
      </c>
      <c r="Y163" s="485">
        <f t="shared" si="25"/>
        <v>7079089.8600000013</v>
      </c>
      <c r="Z163" s="399">
        <v>23503.4</v>
      </c>
      <c r="AA163" s="399"/>
      <c r="AB163" s="399">
        <v>199050.2</v>
      </c>
      <c r="AC163" s="399"/>
      <c r="AD163" s="399">
        <v>105587.3</v>
      </c>
      <c r="AE163" s="399">
        <v>37106.85</v>
      </c>
      <c r="AF163" s="399"/>
      <c r="AG163" s="399"/>
      <c r="AH163" s="399"/>
      <c r="AI163" s="399"/>
      <c r="AJ163" s="399"/>
      <c r="AK163" s="399"/>
      <c r="AL163" s="477"/>
      <c r="AM163" s="485">
        <f t="shared" si="26"/>
        <v>365247.75</v>
      </c>
      <c r="AN163" s="399">
        <v>71.5</v>
      </c>
      <c r="AO163" s="402">
        <v>1480</v>
      </c>
      <c r="AP163" s="480">
        <v>-56723.22</v>
      </c>
      <c r="AQ163" s="490"/>
      <c r="AR163" s="490">
        <v>-2589.31</v>
      </c>
      <c r="AS163" s="520">
        <v>1</v>
      </c>
      <c r="AT163" s="533">
        <v>7079089.8600000003</v>
      </c>
      <c r="AU163" s="533">
        <v>7170</v>
      </c>
      <c r="AV163" s="533">
        <v>33267.79</v>
      </c>
      <c r="AW163" s="533">
        <v>365247.75</v>
      </c>
      <c r="AX163" s="533">
        <v>0</v>
      </c>
      <c r="AY163" s="533">
        <v>-56723.22</v>
      </c>
      <c r="AZ163" s="533">
        <v>0</v>
      </c>
      <c r="BA163" s="533">
        <v>-2589.31</v>
      </c>
      <c r="BB163" s="480">
        <f t="shared" si="27"/>
        <v>0</v>
      </c>
      <c r="BC163" s="480">
        <f t="shared" si="28"/>
        <v>0</v>
      </c>
      <c r="BD163" s="480">
        <f t="shared" si="29"/>
        <v>0</v>
      </c>
      <c r="BE163" s="480">
        <f t="shared" si="30"/>
        <v>0</v>
      </c>
      <c r="BF163" s="480">
        <f t="shared" si="31"/>
        <v>0</v>
      </c>
      <c r="BG163" s="480">
        <f t="shared" si="32"/>
        <v>0</v>
      </c>
      <c r="BH163" s="480">
        <f t="shared" si="33"/>
        <v>0</v>
      </c>
      <c r="BI163" s="6">
        <f t="shared" si="34"/>
        <v>5655</v>
      </c>
      <c r="BJ163" s="480" t="str">
        <f t="shared" si="35"/>
        <v>Yens</v>
      </c>
    </row>
    <row r="164" spans="1:62" x14ac:dyDescent="0.25">
      <c r="A164" s="341">
        <v>5661</v>
      </c>
      <c r="B164" s="523" t="s">
        <v>202</v>
      </c>
      <c r="C164" s="394">
        <v>602041.75</v>
      </c>
      <c r="D164" s="394">
        <v>44691.86</v>
      </c>
      <c r="E164" s="391"/>
      <c r="F164" s="394">
        <v>0</v>
      </c>
      <c r="G164" s="394">
        <v>12676.95</v>
      </c>
      <c r="H164" s="394">
        <v>507.1</v>
      </c>
      <c r="I164" s="394">
        <v>0</v>
      </c>
      <c r="J164" s="394">
        <v>6062.62</v>
      </c>
      <c r="K164" s="394">
        <v>425</v>
      </c>
      <c r="L164" s="394">
        <v>57867.5</v>
      </c>
      <c r="M164" s="334">
        <f t="shared" si="24"/>
        <v>724272.77999999991</v>
      </c>
      <c r="N164" s="398">
        <v>18651.95</v>
      </c>
      <c r="O164" s="398">
        <v>0</v>
      </c>
      <c r="P164" s="398">
        <v>16555</v>
      </c>
      <c r="Q164" s="398">
        <v>1200</v>
      </c>
      <c r="R164" s="398">
        <v>6543.15</v>
      </c>
      <c r="S164" s="398"/>
      <c r="T164" s="398"/>
      <c r="U164" s="398">
        <v>3800</v>
      </c>
      <c r="V164" s="398"/>
      <c r="W164" s="398"/>
      <c r="X164" s="382">
        <v>1581.39</v>
      </c>
      <c r="Y164" s="485">
        <f t="shared" si="25"/>
        <v>772604.2699999999</v>
      </c>
      <c r="Z164" s="399">
        <v>5000</v>
      </c>
      <c r="AA164" s="399"/>
      <c r="AB164" s="399">
        <v>34925.800000000003</v>
      </c>
      <c r="AC164" s="399"/>
      <c r="AD164" s="399">
        <v>25855.05</v>
      </c>
      <c r="AE164" s="399"/>
      <c r="AF164" s="399"/>
      <c r="AG164" s="399"/>
      <c r="AH164" s="399"/>
      <c r="AI164" s="399"/>
      <c r="AJ164" s="399"/>
      <c r="AK164" s="399"/>
      <c r="AL164" s="477"/>
      <c r="AM164" s="485">
        <f t="shared" si="26"/>
        <v>65780.850000000006</v>
      </c>
      <c r="AN164" s="399">
        <v>71.5</v>
      </c>
      <c r="AO164" s="402">
        <v>369</v>
      </c>
      <c r="AP164" s="480">
        <v>-52.72</v>
      </c>
      <c r="AQ164" s="490"/>
      <c r="AR164" s="490">
        <v>0</v>
      </c>
      <c r="AS164" s="520">
        <v>1</v>
      </c>
      <c r="AT164" s="533">
        <v>772604.27</v>
      </c>
      <c r="AU164" s="533">
        <v>3800</v>
      </c>
      <c r="AV164" s="533">
        <v>1581.39</v>
      </c>
      <c r="AW164" s="533">
        <v>65780.850000000006</v>
      </c>
      <c r="AX164" s="533">
        <v>0</v>
      </c>
      <c r="AY164" s="533">
        <v>-52.72</v>
      </c>
      <c r="AZ164" s="533">
        <v>0</v>
      </c>
      <c r="BA164" s="533">
        <v>0</v>
      </c>
      <c r="BB164" s="480">
        <f t="shared" si="27"/>
        <v>0</v>
      </c>
      <c r="BC164" s="480">
        <f t="shared" si="28"/>
        <v>0</v>
      </c>
      <c r="BD164" s="480">
        <f t="shared" si="29"/>
        <v>0</v>
      </c>
      <c r="BE164" s="480">
        <f t="shared" si="30"/>
        <v>0</v>
      </c>
      <c r="BF164" s="480">
        <f t="shared" si="31"/>
        <v>0</v>
      </c>
      <c r="BG164" s="480">
        <f t="shared" si="32"/>
        <v>0</v>
      </c>
      <c r="BH164" s="480">
        <f t="shared" si="33"/>
        <v>0</v>
      </c>
      <c r="BI164" s="6">
        <f t="shared" si="34"/>
        <v>5661</v>
      </c>
      <c r="BJ164" s="480" t="str">
        <f t="shared" si="35"/>
        <v>Boulens</v>
      </c>
    </row>
    <row r="165" spans="1:62" x14ac:dyDescent="0.25">
      <c r="A165" s="341">
        <v>5663</v>
      </c>
      <c r="B165" s="523" t="s">
        <v>203</v>
      </c>
      <c r="C165" s="394">
        <v>369889.6</v>
      </c>
      <c r="D165" s="394">
        <v>33569.839999999997</v>
      </c>
      <c r="E165" s="391"/>
      <c r="F165" s="394">
        <v>1280</v>
      </c>
      <c r="G165" s="394">
        <v>4875.5</v>
      </c>
      <c r="H165" s="394">
        <v>79.7</v>
      </c>
      <c r="I165" s="394">
        <v>0</v>
      </c>
      <c r="J165" s="394">
        <v>7597.84</v>
      </c>
      <c r="K165" s="394">
        <v>325.2</v>
      </c>
      <c r="L165" s="394">
        <v>32190.75</v>
      </c>
      <c r="M165" s="334">
        <f t="shared" si="24"/>
        <v>449808.43</v>
      </c>
      <c r="N165" s="398">
        <v>0</v>
      </c>
      <c r="O165" s="398">
        <v>0</v>
      </c>
      <c r="P165" s="398">
        <v>9427.15</v>
      </c>
      <c r="Q165" s="398">
        <v>0</v>
      </c>
      <c r="R165" s="398">
        <v>11775.6</v>
      </c>
      <c r="S165" s="398"/>
      <c r="T165" s="398"/>
      <c r="U165" s="398">
        <v>990</v>
      </c>
      <c r="V165" s="398"/>
      <c r="W165" s="398"/>
      <c r="X165" s="382">
        <v>594.36</v>
      </c>
      <c r="Y165" s="485">
        <f t="shared" si="25"/>
        <v>472595.54</v>
      </c>
      <c r="Z165" s="399"/>
      <c r="AA165" s="399"/>
      <c r="AB165" s="399">
        <v>28980</v>
      </c>
      <c r="AC165" s="399"/>
      <c r="AD165" s="399">
        <v>10558.3</v>
      </c>
      <c r="AE165" s="399"/>
      <c r="AF165" s="399"/>
      <c r="AG165" s="399"/>
      <c r="AH165" s="399"/>
      <c r="AI165" s="399"/>
      <c r="AJ165" s="399"/>
      <c r="AK165" s="399"/>
      <c r="AL165" s="477"/>
      <c r="AM165" s="485">
        <f t="shared" si="26"/>
        <v>39538.300000000003</v>
      </c>
      <c r="AN165" s="399">
        <v>80</v>
      </c>
      <c r="AO165" s="402">
        <v>219</v>
      </c>
      <c r="AP165" s="480">
        <v>-17752.509999999998</v>
      </c>
      <c r="AQ165" s="490"/>
      <c r="AR165" s="490">
        <v>0</v>
      </c>
      <c r="AS165" s="520">
        <v>1</v>
      </c>
      <c r="AT165" s="533">
        <v>472595.54</v>
      </c>
      <c r="AU165" s="533">
        <v>990</v>
      </c>
      <c r="AV165" s="533">
        <v>594.36</v>
      </c>
      <c r="AW165" s="533">
        <v>39538.300000000003</v>
      </c>
      <c r="AX165" s="533">
        <v>-8081.05</v>
      </c>
      <c r="AY165" s="533">
        <v>-17752.509999999998</v>
      </c>
      <c r="AZ165" s="533"/>
      <c r="BA165" s="533">
        <v>0</v>
      </c>
      <c r="BB165" s="480">
        <f t="shared" si="27"/>
        <v>0</v>
      </c>
      <c r="BC165" s="480">
        <f t="shared" si="28"/>
        <v>0</v>
      </c>
      <c r="BD165" s="480">
        <f t="shared" si="29"/>
        <v>0</v>
      </c>
      <c r="BE165" s="480">
        <f t="shared" si="30"/>
        <v>0</v>
      </c>
      <c r="BF165" s="480">
        <f t="shared" si="31"/>
        <v>0</v>
      </c>
      <c r="BG165" s="480">
        <f t="shared" si="32"/>
        <v>0</v>
      </c>
      <c r="BH165" s="480">
        <f t="shared" si="33"/>
        <v>0</v>
      </c>
      <c r="BI165" s="6">
        <f t="shared" si="34"/>
        <v>5663</v>
      </c>
      <c r="BJ165" s="480" t="str">
        <f t="shared" si="35"/>
        <v>Bussy-sur-Moudon</v>
      </c>
    </row>
    <row r="166" spans="1:62" x14ac:dyDescent="0.25">
      <c r="A166" s="341">
        <v>5665</v>
      </c>
      <c r="B166" s="523" t="s">
        <v>97</v>
      </c>
      <c r="C166" s="394">
        <v>416721.07</v>
      </c>
      <c r="D166" s="394">
        <v>46515.76</v>
      </c>
      <c r="E166" s="391"/>
      <c r="F166" s="394">
        <v>0</v>
      </c>
      <c r="G166" s="394">
        <v>128.55000000000001</v>
      </c>
      <c r="H166" s="394">
        <v>65.599999999999994</v>
      </c>
      <c r="I166" s="394">
        <v>0</v>
      </c>
      <c r="J166" s="394">
        <v>9972.25</v>
      </c>
      <c r="K166" s="394">
        <v>4.5</v>
      </c>
      <c r="L166" s="394">
        <v>25595.4</v>
      </c>
      <c r="M166" s="334">
        <f t="shared" si="24"/>
        <v>499003.13</v>
      </c>
      <c r="N166" s="398">
        <v>0</v>
      </c>
      <c r="O166" s="398">
        <v>0</v>
      </c>
      <c r="P166" s="398">
        <v>26698.65</v>
      </c>
      <c r="Q166" s="398">
        <v>0</v>
      </c>
      <c r="R166" s="398">
        <v>26239.25</v>
      </c>
      <c r="S166" s="398">
        <v>100</v>
      </c>
      <c r="T166" s="398"/>
      <c r="U166" s="398">
        <v>1690</v>
      </c>
      <c r="V166" s="398"/>
      <c r="W166" s="398"/>
      <c r="X166" s="382">
        <v>23.29</v>
      </c>
      <c r="Y166" s="485">
        <f t="shared" si="25"/>
        <v>553754.32000000007</v>
      </c>
      <c r="Z166" s="399"/>
      <c r="AA166" s="399"/>
      <c r="AB166" s="399">
        <v>16324.2</v>
      </c>
      <c r="AC166" s="399"/>
      <c r="AD166" s="399">
        <v>20813.599999999999</v>
      </c>
      <c r="AE166" s="399"/>
      <c r="AF166" s="399"/>
      <c r="AG166" s="399"/>
      <c r="AH166" s="399"/>
      <c r="AI166" s="399"/>
      <c r="AJ166" s="399"/>
      <c r="AK166" s="399"/>
      <c r="AL166" s="477"/>
      <c r="AM166" s="485">
        <f t="shared" si="26"/>
        <v>37137.800000000003</v>
      </c>
      <c r="AN166" s="399">
        <v>73</v>
      </c>
      <c r="AO166" s="402">
        <v>223</v>
      </c>
      <c r="AP166" s="480">
        <v>-84.4</v>
      </c>
      <c r="AQ166" s="490"/>
      <c r="AR166" s="490">
        <v>0</v>
      </c>
      <c r="AS166" s="520">
        <v>1</v>
      </c>
      <c r="AT166" s="533">
        <v>553754.31999999995</v>
      </c>
      <c r="AU166" s="533">
        <v>1790</v>
      </c>
      <c r="AV166" s="533">
        <v>23.29</v>
      </c>
      <c r="AW166" s="533">
        <v>37137.800000000003</v>
      </c>
      <c r="AX166" s="533">
        <v>0</v>
      </c>
      <c r="AY166" s="533">
        <v>-84.4</v>
      </c>
      <c r="AZ166" s="533">
        <v>0</v>
      </c>
      <c r="BA166" s="533">
        <v>0</v>
      </c>
      <c r="BB166" s="480">
        <f t="shared" si="27"/>
        <v>0</v>
      </c>
      <c r="BC166" s="480">
        <f t="shared" si="28"/>
        <v>0</v>
      </c>
      <c r="BD166" s="480">
        <f t="shared" si="29"/>
        <v>0</v>
      </c>
      <c r="BE166" s="480">
        <f t="shared" si="30"/>
        <v>0</v>
      </c>
      <c r="BF166" s="480">
        <f t="shared" si="31"/>
        <v>0</v>
      </c>
      <c r="BG166" s="480">
        <f t="shared" si="32"/>
        <v>0</v>
      </c>
      <c r="BH166" s="480">
        <f t="shared" si="33"/>
        <v>0</v>
      </c>
      <c r="BI166" s="6">
        <f t="shared" si="34"/>
        <v>5665</v>
      </c>
      <c r="BJ166" s="480" t="str">
        <f t="shared" si="35"/>
        <v>Chavannes-sur-Moudon</v>
      </c>
    </row>
    <row r="167" spans="1:62" x14ac:dyDescent="0.25">
      <c r="A167" s="341">
        <v>5669</v>
      </c>
      <c r="B167" s="523" t="s">
        <v>98</v>
      </c>
      <c r="C167" s="394">
        <v>595315.93999999994</v>
      </c>
      <c r="D167" s="394">
        <v>111124.7</v>
      </c>
      <c r="E167" s="391"/>
      <c r="F167" s="394">
        <v>0</v>
      </c>
      <c r="G167" s="394">
        <v>5656</v>
      </c>
      <c r="H167" s="394">
        <v>562.5</v>
      </c>
      <c r="I167" s="394">
        <v>0</v>
      </c>
      <c r="J167" s="394">
        <v>-2083.19</v>
      </c>
      <c r="K167" s="394">
        <v>356.7</v>
      </c>
      <c r="L167" s="394">
        <v>24133.95</v>
      </c>
      <c r="M167" s="334">
        <f t="shared" si="24"/>
        <v>735066.59999999986</v>
      </c>
      <c r="N167" s="398">
        <v>0</v>
      </c>
      <c r="O167" s="398">
        <v>4.8</v>
      </c>
      <c r="P167" s="398">
        <v>8856.4</v>
      </c>
      <c r="Q167" s="398">
        <v>0</v>
      </c>
      <c r="R167" s="398">
        <v>23453.599999999999</v>
      </c>
      <c r="S167" s="398"/>
      <c r="T167" s="398"/>
      <c r="U167" s="398">
        <v>4200</v>
      </c>
      <c r="V167" s="398"/>
      <c r="W167" s="398"/>
      <c r="X167" s="382">
        <v>745.89</v>
      </c>
      <c r="Y167" s="485">
        <f t="shared" si="25"/>
        <v>772327.28999999992</v>
      </c>
      <c r="Z167" s="399">
        <v>3000</v>
      </c>
      <c r="AA167" s="399"/>
      <c r="AB167" s="399">
        <v>21193.35</v>
      </c>
      <c r="AC167" s="399"/>
      <c r="AD167" s="399">
        <v>17772.650000000001</v>
      </c>
      <c r="AE167" s="399"/>
      <c r="AF167" s="399"/>
      <c r="AG167" s="399"/>
      <c r="AH167" s="399"/>
      <c r="AI167" s="399"/>
      <c r="AJ167" s="399"/>
      <c r="AK167" s="399"/>
      <c r="AL167" s="477"/>
      <c r="AM167" s="485">
        <f t="shared" si="26"/>
        <v>41966</v>
      </c>
      <c r="AN167" s="399">
        <v>73</v>
      </c>
      <c r="AO167" s="402">
        <v>301</v>
      </c>
      <c r="AP167" s="480">
        <v>-8889.51</v>
      </c>
      <c r="AQ167" s="490"/>
      <c r="AR167" s="490">
        <v>-116.59</v>
      </c>
      <c r="AS167" s="520">
        <v>0.5</v>
      </c>
      <c r="AT167" s="533">
        <v>772327.29</v>
      </c>
      <c r="AU167" s="533">
        <v>4200</v>
      </c>
      <c r="AV167" s="533">
        <v>745.89</v>
      </c>
      <c r="AW167" s="533">
        <v>41966</v>
      </c>
      <c r="AX167" s="533"/>
      <c r="AY167" s="533">
        <v>-8889.51</v>
      </c>
      <c r="AZ167" s="533">
        <v>0</v>
      </c>
      <c r="BA167" s="533">
        <v>-116.59</v>
      </c>
      <c r="BB167" s="480">
        <f t="shared" si="27"/>
        <v>0</v>
      </c>
      <c r="BC167" s="480">
        <f t="shared" si="28"/>
        <v>0</v>
      </c>
      <c r="BD167" s="480">
        <f t="shared" si="29"/>
        <v>0</v>
      </c>
      <c r="BE167" s="480">
        <f t="shared" si="30"/>
        <v>0</v>
      </c>
      <c r="BF167" s="480">
        <f t="shared" si="31"/>
        <v>0</v>
      </c>
      <c r="BG167" s="480">
        <f t="shared" si="32"/>
        <v>0</v>
      </c>
      <c r="BH167" s="480">
        <f t="shared" si="33"/>
        <v>0</v>
      </c>
      <c r="BI167" s="6">
        <f t="shared" si="34"/>
        <v>5669</v>
      </c>
      <c r="BJ167" s="480" t="str">
        <f t="shared" si="35"/>
        <v>Curtilles</v>
      </c>
    </row>
    <row r="168" spans="1:62" x14ac:dyDescent="0.25">
      <c r="A168" s="341">
        <v>5671</v>
      </c>
      <c r="B168" s="523" t="s">
        <v>99</v>
      </c>
      <c r="C168" s="394">
        <v>393577.67</v>
      </c>
      <c r="D168" s="394">
        <v>49036.56</v>
      </c>
      <c r="E168" s="391"/>
      <c r="F168" s="394">
        <v>0</v>
      </c>
      <c r="G168" s="394">
        <v>3443.65</v>
      </c>
      <c r="H168" s="394">
        <v>33.549999999999997</v>
      </c>
      <c r="I168" s="394">
        <v>0</v>
      </c>
      <c r="J168" s="394">
        <v>873.22</v>
      </c>
      <c r="K168" s="394">
        <v>223.5</v>
      </c>
      <c r="L168" s="394">
        <v>32024.9</v>
      </c>
      <c r="M168" s="334">
        <f t="shared" si="24"/>
        <v>479213.05</v>
      </c>
      <c r="N168" s="398">
        <v>0</v>
      </c>
      <c r="O168" s="398">
        <v>0</v>
      </c>
      <c r="P168" s="398">
        <v>21780</v>
      </c>
      <c r="Q168" s="398">
        <v>8434.0499999999993</v>
      </c>
      <c r="R168" s="398">
        <v>36520.65</v>
      </c>
      <c r="S168" s="398"/>
      <c r="T168" s="398"/>
      <c r="U168" s="398">
        <v>2250</v>
      </c>
      <c r="V168" s="398"/>
      <c r="W168" s="398"/>
      <c r="X168" s="382">
        <v>417.08</v>
      </c>
      <c r="Y168" s="485">
        <f t="shared" si="25"/>
        <v>548614.82999999996</v>
      </c>
      <c r="Z168" s="399"/>
      <c r="AA168" s="399"/>
      <c r="AB168" s="399">
        <v>12094.15</v>
      </c>
      <c r="AC168" s="399"/>
      <c r="AD168" s="399">
        <v>18629.099999999999</v>
      </c>
      <c r="AE168" s="399"/>
      <c r="AF168" s="399"/>
      <c r="AG168" s="399"/>
      <c r="AH168" s="399"/>
      <c r="AI168" s="399"/>
      <c r="AJ168" s="399"/>
      <c r="AK168" s="399"/>
      <c r="AL168" s="477"/>
      <c r="AM168" s="485">
        <f t="shared" si="26"/>
        <v>30723.25</v>
      </c>
      <c r="AN168" s="399">
        <v>78</v>
      </c>
      <c r="AO168" s="402">
        <v>245</v>
      </c>
      <c r="AP168" s="480">
        <v>-17407.05</v>
      </c>
      <c r="AQ168" s="490"/>
      <c r="AR168" s="490">
        <v>0</v>
      </c>
      <c r="AS168" s="520">
        <v>1</v>
      </c>
      <c r="AT168" s="533">
        <v>548614.82999999996</v>
      </c>
      <c r="AU168" s="533">
        <v>2250</v>
      </c>
      <c r="AV168" s="533">
        <v>417.08</v>
      </c>
      <c r="AW168" s="533">
        <v>30723.25</v>
      </c>
      <c r="AX168" s="533"/>
      <c r="AY168" s="533">
        <v>-17407.05</v>
      </c>
      <c r="AZ168" s="533"/>
      <c r="BA168" s="533">
        <v>0</v>
      </c>
      <c r="BB168" s="480">
        <f t="shared" si="27"/>
        <v>0</v>
      </c>
      <c r="BC168" s="480">
        <f t="shared" si="28"/>
        <v>0</v>
      </c>
      <c r="BD168" s="480">
        <f t="shared" si="29"/>
        <v>0</v>
      </c>
      <c r="BE168" s="480">
        <f t="shared" si="30"/>
        <v>0</v>
      </c>
      <c r="BF168" s="480">
        <f t="shared" si="31"/>
        <v>0</v>
      </c>
      <c r="BG168" s="480">
        <f t="shared" si="32"/>
        <v>0</v>
      </c>
      <c r="BH168" s="480">
        <f t="shared" si="33"/>
        <v>0</v>
      </c>
      <c r="BI168" s="6">
        <f t="shared" si="34"/>
        <v>5671</v>
      </c>
      <c r="BJ168" s="480" t="str">
        <f t="shared" si="35"/>
        <v>Dompierre</v>
      </c>
    </row>
    <row r="169" spans="1:62" x14ac:dyDescent="0.25">
      <c r="A169" s="341">
        <v>5673</v>
      </c>
      <c r="B169" s="523" t="s">
        <v>100</v>
      </c>
      <c r="C169" s="394">
        <v>650325.26</v>
      </c>
      <c r="D169" s="394">
        <v>85231.25</v>
      </c>
      <c r="E169" s="391"/>
      <c r="F169" s="394">
        <v>2030</v>
      </c>
      <c r="G169" s="394">
        <v>1879.65</v>
      </c>
      <c r="H169" s="394">
        <v>556.20000000000005</v>
      </c>
      <c r="I169" s="394">
        <v>0</v>
      </c>
      <c r="J169" s="394">
        <v>10930.52</v>
      </c>
      <c r="K169" s="394">
        <v>408</v>
      </c>
      <c r="L169" s="394">
        <v>28437</v>
      </c>
      <c r="M169" s="334">
        <f t="shared" si="24"/>
        <v>779797.88</v>
      </c>
      <c r="N169" s="398">
        <v>14893.5</v>
      </c>
      <c r="O169" s="398">
        <v>5892.3</v>
      </c>
      <c r="P169" s="398">
        <v>8946.2999999999993</v>
      </c>
      <c r="Q169" s="398">
        <v>0</v>
      </c>
      <c r="R169" s="398">
        <v>4401.95</v>
      </c>
      <c r="S169" s="398"/>
      <c r="T169" s="398"/>
      <c r="U169" s="398">
        <v>1325</v>
      </c>
      <c r="V169" s="398"/>
      <c r="W169" s="398"/>
      <c r="X169" s="382">
        <v>292.17</v>
      </c>
      <c r="Y169" s="485">
        <f t="shared" si="25"/>
        <v>815549.10000000009</v>
      </c>
      <c r="Z169" s="399"/>
      <c r="AA169" s="399"/>
      <c r="AB169" s="399">
        <v>65033.35</v>
      </c>
      <c r="AC169" s="399"/>
      <c r="AD169" s="399">
        <v>24041.200000000001</v>
      </c>
      <c r="AE169" s="399">
        <v>2400</v>
      </c>
      <c r="AF169" s="399"/>
      <c r="AG169" s="399"/>
      <c r="AH169" s="399"/>
      <c r="AI169" s="399"/>
      <c r="AJ169" s="399"/>
      <c r="AK169" s="399"/>
      <c r="AL169" s="477"/>
      <c r="AM169" s="485">
        <f t="shared" si="26"/>
        <v>91474.55</v>
      </c>
      <c r="AN169" s="399">
        <v>73.5</v>
      </c>
      <c r="AO169" s="402">
        <v>384</v>
      </c>
      <c r="AP169" s="480">
        <v>-17050.080000000002</v>
      </c>
      <c r="AQ169" s="490"/>
      <c r="AR169" s="490">
        <v>-51.43</v>
      </c>
      <c r="AS169" s="520">
        <v>0.6</v>
      </c>
      <c r="AT169" s="535">
        <v>815549.1</v>
      </c>
      <c r="AU169" s="535">
        <v>1325</v>
      </c>
      <c r="AV169" s="535">
        <v>292.17</v>
      </c>
      <c r="AW169" s="535">
        <v>91474.55</v>
      </c>
      <c r="AX169" s="535">
        <v>-16056.55</v>
      </c>
      <c r="AY169" s="535">
        <v>-17050.080000000002</v>
      </c>
      <c r="AZ169" s="535">
        <v>0</v>
      </c>
      <c r="BA169" s="535">
        <v>-51.43</v>
      </c>
      <c r="BB169" s="480">
        <f t="shared" si="27"/>
        <v>0</v>
      </c>
      <c r="BC169" s="480">
        <f t="shared" si="28"/>
        <v>0</v>
      </c>
      <c r="BD169" s="480">
        <f t="shared" si="29"/>
        <v>0</v>
      </c>
      <c r="BE169" s="480">
        <f t="shared" si="30"/>
        <v>0</v>
      </c>
      <c r="BF169" s="480">
        <f t="shared" si="31"/>
        <v>0</v>
      </c>
      <c r="BG169" s="480">
        <f t="shared" si="32"/>
        <v>0</v>
      </c>
      <c r="BH169" s="480">
        <f t="shared" si="33"/>
        <v>0</v>
      </c>
      <c r="BI169" s="6">
        <f t="shared" si="34"/>
        <v>5673</v>
      </c>
      <c r="BJ169" s="480" t="str">
        <f t="shared" si="35"/>
        <v>Hermenches</v>
      </c>
    </row>
    <row r="170" spans="1:62" x14ac:dyDescent="0.25">
      <c r="A170" s="341">
        <v>5674</v>
      </c>
      <c r="B170" s="523" t="s">
        <v>101</v>
      </c>
      <c r="C170" s="394">
        <v>210042.16</v>
      </c>
      <c r="D170" s="394">
        <v>40238.36</v>
      </c>
      <c r="E170" s="391"/>
      <c r="F170" s="394">
        <v>0</v>
      </c>
      <c r="G170" s="394">
        <v>97.6</v>
      </c>
      <c r="H170" s="394">
        <v>159.6</v>
      </c>
      <c r="I170" s="394">
        <v>0</v>
      </c>
      <c r="J170" s="394">
        <v>96.23</v>
      </c>
      <c r="K170" s="394">
        <v>64.099999999999994</v>
      </c>
      <c r="L170" s="394">
        <v>13331.95</v>
      </c>
      <c r="M170" s="334">
        <f t="shared" si="24"/>
        <v>264030.00000000006</v>
      </c>
      <c r="N170" s="398">
        <v>0</v>
      </c>
      <c r="O170" s="398">
        <v>74578</v>
      </c>
      <c r="P170" s="398">
        <v>950.4</v>
      </c>
      <c r="Q170" s="398">
        <v>0</v>
      </c>
      <c r="R170" s="398">
        <v>0</v>
      </c>
      <c r="S170" s="398"/>
      <c r="T170" s="398"/>
      <c r="U170" s="398">
        <v>540</v>
      </c>
      <c r="V170" s="398"/>
      <c r="W170" s="398"/>
      <c r="X170" s="382">
        <v>30.85</v>
      </c>
      <c r="Y170" s="485">
        <f t="shared" si="25"/>
        <v>340129.25000000006</v>
      </c>
      <c r="Z170" s="399">
        <v>1500</v>
      </c>
      <c r="AA170" s="399"/>
      <c r="AB170" s="399">
        <v>8755.4500000000007</v>
      </c>
      <c r="AC170" s="399"/>
      <c r="AD170" s="399">
        <v>13549.15</v>
      </c>
      <c r="AE170" s="399">
        <v>9576.15</v>
      </c>
      <c r="AF170" s="399"/>
      <c r="AG170" s="399"/>
      <c r="AH170" s="399"/>
      <c r="AI170" s="399">
        <v>3449</v>
      </c>
      <c r="AJ170" s="399"/>
      <c r="AK170" s="399"/>
      <c r="AL170" s="477"/>
      <c r="AM170" s="485">
        <f t="shared" si="26"/>
        <v>36829.75</v>
      </c>
      <c r="AN170" s="399">
        <v>75</v>
      </c>
      <c r="AO170" s="402">
        <v>142</v>
      </c>
      <c r="AP170" s="480">
        <v>-1000.44</v>
      </c>
      <c r="AQ170" s="490">
        <v>-11419.4</v>
      </c>
      <c r="AR170" s="490">
        <v>-49.05</v>
      </c>
      <c r="AS170" s="520">
        <v>0.7</v>
      </c>
      <c r="AT170" s="535">
        <v>340129.25</v>
      </c>
      <c r="AU170" s="535">
        <v>540</v>
      </c>
      <c r="AV170" s="535">
        <v>30.85</v>
      </c>
      <c r="AW170" s="535">
        <v>36829.75</v>
      </c>
      <c r="AX170" s="535">
        <v>0</v>
      </c>
      <c r="AY170" s="535">
        <v>-1000.44</v>
      </c>
      <c r="AZ170" s="535">
        <v>-11419.4</v>
      </c>
      <c r="BA170" s="535">
        <v>-49.05</v>
      </c>
      <c r="BB170" s="480">
        <f t="shared" si="27"/>
        <v>0</v>
      </c>
      <c r="BC170" s="480">
        <f t="shared" si="28"/>
        <v>0</v>
      </c>
      <c r="BD170" s="480">
        <f t="shared" si="29"/>
        <v>0</v>
      </c>
      <c r="BE170" s="480">
        <f t="shared" si="30"/>
        <v>0</v>
      </c>
      <c r="BF170" s="480">
        <f t="shared" si="31"/>
        <v>0</v>
      </c>
      <c r="BG170" s="480">
        <f t="shared" si="32"/>
        <v>0</v>
      </c>
      <c r="BH170" s="480">
        <f t="shared" si="33"/>
        <v>0</v>
      </c>
      <c r="BI170" s="6">
        <f t="shared" si="34"/>
        <v>5674</v>
      </c>
      <c r="BJ170" s="480" t="str">
        <f t="shared" si="35"/>
        <v>Lovatens</v>
      </c>
    </row>
    <row r="171" spans="1:62" x14ac:dyDescent="0.25">
      <c r="A171" s="341">
        <v>5675</v>
      </c>
      <c r="B171" s="523" t="s">
        <v>102</v>
      </c>
      <c r="C171" s="394">
        <v>4637124.51</v>
      </c>
      <c r="D171" s="394">
        <v>498932.09</v>
      </c>
      <c r="E171" s="391"/>
      <c r="F171" s="394">
        <v>0</v>
      </c>
      <c r="G171" s="394">
        <v>611854.6</v>
      </c>
      <c r="H171" s="394">
        <v>13009.9</v>
      </c>
      <c r="I171" s="394">
        <v>0</v>
      </c>
      <c r="J171" s="394">
        <v>233881.34</v>
      </c>
      <c r="K171" s="394">
        <v>-37589.300000000003</v>
      </c>
      <c r="L171" s="394">
        <v>708904.45</v>
      </c>
      <c r="M171" s="334">
        <f t="shared" si="24"/>
        <v>6666117.5899999999</v>
      </c>
      <c r="N171" s="398">
        <v>47289.1</v>
      </c>
      <c r="O171" s="398">
        <v>52773</v>
      </c>
      <c r="P171" s="398">
        <v>242645.75</v>
      </c>
      <c r="Q171" s="398">
        <v>50050.27</v>
      </c>
      <c r="R171" s="398">
        <v>195866.65</v>
      </c>
      <c r="S171" s="398"/>
      <c r="T171" s="398">
        <v>9086.2000000000007</v>
      </c>
      <c r="U171" s="398">
        <v>27400</v>
      </c>
      <c r="V171" s="398"/>
      <c r="W171" s="398">
        <v>450</v>
      </c>
      <c r="X171" s="382">
        <v>74950.55</v>
      </c>
      <c r="Y171" s="485">
        <f t="shared" si="25"/>
        <v>7366629.1099999994</v>
      </c>
      <c r="Z171" s="399">
        <v>144494.39999999999</v>
      </c>
      <c r="AA171" s="399"/>
      <c r="AB171" s="399">
        <v>294259.90000000002</v>
      </c>
      <c r="AC171" s="399"/>
      <c r="AD171" s="399">
        <v>413750</v>
      </c>
      <c r="AE171" s="399">
        <v>87066.85</v>
      </c>
      <c r="AF171" s="399"/>
      <c r="AG171" s="399"/>
      <c r="AH171" s="399"/>
      <c r="AI171" s="399">
        <v>405319.75</v>
      </c>
      <c r="AJ171" s="399"/>
      <c r="AK171" s="399"/>
      <c r="AL171" s="477"/>
      <c r="AM171" s="485">
        <f t="shared" si="26"/>
        <v>1344890.9</v>
      </c>
      <c r="AN171" s="399">
        <v>67.5</v>
      </c>
      <c r="AO171" s="402">
        <v>4309</v>
      </c>
      <c r="AP171" s="480">
        <v>-166505.23000000001</v>
      </c>
      <c r="AQ171" s="490"/>
      <c r="AR171" s="490">
        <v>-2257.4899999999998</v>
      </c>
      <c r="AS171" s="520">
        <v>1.1000000000000001</v>
      </c>
      <c r="AT171" s="535">
        <v>7366629.1100000003</v>
      </c>
      <c r="AU171" s="535">
        <f>9086.2+27400+450</f>
        <v>36936.199999999997</v>
      </c>
      <c r="AV171" s="535">
        <v>74950.55</v>
      </c>
      <c r="AW171" s="535">
        <v>1344890.9</v>
      </c>
      <c r="AX171" s="535">
        <v>0</v>
      </c>
      <c r="AY171" s="535">
        <v>-166505.23000000001</v>
      </c>
      <c r="AZ171" s="535">
        <v>0</v>
      </c>
      <c r="BA171" s="535">
        <v>-2257.4899999999998</v>
      </c>
      <c r="BB171" s="480">
        <f t="shared" si="27"/>
        <v>0</v>
      </c>
      <c r="BC171" s="480">
        <f t="shared" si="28"/>
        <v>0</v>
      </c>
      <c r="BD171" s="480">
        <f t="shared" si="29"/>
        <v>0</v>
      </c>
      <c r="BE171" s="480">
        <f t="shared" si="30"/>
        <v>0</v>
      </c>
      <c r="BF171" s="480">
        <f t="shared" si="31"/>
        <v>0</v>
      </c>
      <c r="BG171" s="480">
        <f t="shared" si="32"/>
        <v>0</v>
      </c>
      <c r="BH171" s="480">
        <f t="shared" si="33"/>
        <v>0</v>
      </c>
      <c r="BI171" s="6">
        <f t="shared" si="34"/>
        <v>5675</v>
      </c>
      <c r="BJ171" s="480" t="str">
        <f t="shared" si="35"/>
        <v>Lucens</v>
      </c>
    </row>
    <row r="172" spans="1:62" x14ac:dyDescent="0.25">
      <c r="A172" s="341">
        <v>5678</v>
      </c>
      <c r="B172" s="523" t="s">
        <v>103</v>
      </c>
      <c r="C172" s="394">
        <v>6839296.1699999999</v>
      </c>
      <c r="D172" s="394">
        <v>738087.63</v>
      </c>
      <c r="E172" s="391"/>
      <c r="F172" s="394">
        <v>34545.9</v>
      </c>
      <c r="G172" s="394">
        <v>322442.7</v>
      </c>
      <c r="H172" s="394">
        <v>21866.35</v>
      </c>
      <c r="I172" s="394">
        <v>0</v>
      </c>
      <c r="J172" s="394">
        <v>471175.92</v>
      </c>
      <c r="K172" s="394">
        <v>68232.7</v>
      </c>
      <c r="L172" s="394">
        <v>815906.65</v>
      </c>
      <c r="M172" s="334">
        <f t="shared" si="24"/>
        <v>9311554.0199999996</v>
      </c>
      <c r="N172" s="398">
        <v>194976.2</v>
      </c>
      <c r="O172" s="398">
        <v>250407.2</v>
      </c>
      <c r="P172" s="398">
        <v>568072.9</v>
      </c>
      <c r="Q172" s="398">
        <v>58437.71</v>
      </c>
      <c r="R172" s="398">
        <v>381293.65</v>
      </c>
      <c r="S172" s="398">
        <v>52700.6</v>
      </c>
      <c r="T172" s="398">
        <v>-100</v>
      </c>
      <c r="U172" s="398">
        <v>41100</v>
      </c>
      <c r="V172" s="398">
        <v>5696.8</v>
      </c>
      <c r="W172" s="398"/>
      <c r="X172" s="382">
        <v>41298.800000000003</v>
      </c>
      <c r="Y172" s="485">
        <f t="shared" si="25"/>
        <v>10905437.880000001</v>
      </c>
      <c r="Z172" s="399">
        <v>68680.350000000006</v>
      </c>
      <c r="AA172" s="399"/>
      <c r="AB172" s="399">
        <v>949104</v>
      </c>
      <c r="AC172" s="399"/>
      <c r="AD172" s="399">
        <v>674619.28</v>
      </c>
      <c r="AE172" s="399">
        <v>35778.85</v>
      </c>
      <c r="AF172" s="399"/>
      <c r="AG172" s="399"/>
      <c r="AH172" s="399">
        <v>4000.5</v>
      </c>
      <c r="AI172" s="399"/>
      <c r="AJ172" s="399">
        <v>195000</v>
      </c>
      <c r="AK172" s="399"/>
      <c r="AL172" s="477"/>
      <c r="AM172" s="485">
        <f t="shared" si="26"/>
        <v>1927182.98</v>
      </c>
      <c r="AN172" s="399">
        <v>72.5</v>
      </c>
      <c r="AO172" s="402">
        <v>6109</v>
      </c>
      <c r="AP172" s="480">
        <v>-347595.64</v>
      </c>
      <c r="AQ172" s="490"/>
      <c r="AR172" s="490">
        <v>-3702.04</v>
      </c>
      <c r="AS172" s="520">
        <v>1</v>
      </c>
      <c r="AT172" s="535">
        <v>10905437.880000001</v>
      </c>
      <c r="AU172" s="535">
        <f>52700.6-100+41100+5696.8</f>
        <v>99397.400000000009</v>
      </c>
      <c r="AV172" s="535">
        <v>41298.800000000003</v>
      </c>
      <c r="AW172" s="535">
        <v>1927182.98</v>
      </c>
      <c r="AX172" s="535">
        <v>0</v>
      </c>
      <c r="AY172" s="535">
        <v>-347595.64</v>
      </c>
      <c r="AZ172" s="535">
        <v>0</v>
      </c>
      <c r="BA172" s="535">
        <v>-3702.04</v>
      </c>
      <c r="BB172" s="480">
        <f t="shared" si="27"/>
        <v>0</v>
      </c>
      <c r="BC172" s="480">
        <f t="shared" si="28"/>
        <v>0</v>
      </c>
      <c r="BD172" s="480">
        <f t="shared" si="29"/>
        <v>0</v>
      </c>
      <c r="BE172" s="480">
        <f t="shared" si="30"/>
        <v>0</v>
      </c>
      <c r="BF172" s="480">
        <f t="shared" si="31"/>
        <v>0</v>
      </c>
      <c r="BG172" s="480">
        <f t="shared" si="32"/>
        <v>0</v>
      </c>
      <c r="BH172" s="480">
        <f t="shared" si="33"/>
        <v>0</v>
      </c>
      <c r="BI172" s="6">
        <f t="shared" si="34"/>
        <v>5678</v>
      </c>
      <c r="BJ172" s="480" t="str">
        <f t="shared" si="35"/>
        <v>Moudon</v>
      </c>
    </row>
    <row r="173" spans="1:62" x14ac:dyDescent="0.25">
      <c r="A173" s="341">
        <v>5680</v>
      </c>
      <c r="B173" s="523" t="s">
        <v>104</v>
      </c>
      <c r="C173" s="394">
        <v>556506.6</v>
      </c>
      <c r="D173" s="394">
        <v>70148.83</v>
      </c>
      <c r="E173" s="391"/>
      <c r="F173" s="394">
        <v>0</v>
      </c>
      <c r="G173" s="394">
        <v>2894.75</v>
      </c>
      <c r="H173" s="394">
        <v>321.7</v>
      </c>
      <c r="I173" s="394">
        <v>0</v>
      </c>
      <c r="J173" s="394">
        <v>9518.5499999999993</v>
      </c>
      <c r="K173" s="394">
        <v>625</v>
      </c>
      <c r="L173" s="394">
        <v>76529.05</v>
      </c>
      <c r="M173" s="334">
        <f t="shared" si="24"/>
        <v>716544.48</v>
      </c>
      <c r="N173" s="398">
        <v>0</v>
      </c>
      <c r="O173" s="398">
        <v>0</v>
      </c>
      <c r="P173" s="398">
        <v>41969.2</v>
      </c>
      <c r="Q173" s="398">
        <v>27156.61</v>
      </c>
      <c r="R173" s="398">
        <v>60938.6</v>
      </c>
      <c r="S173" s="398"/>
      <c r="T173" s="398"/>
      <c r="U173" s="398">
        <v>2150</v>
      </c>
      <c r="V173" s="398"/>
      <c r="W173" s="398"/>
      <c r="X173" s="382">
        <v>385.8</v>
      </c>
      <c r="Y173" s="485">
        <f t="shared" si="25"/>
        <v>849144.69</v>
      </c>
      <c r="Z173" s="399"/>
      <c r="AA173" s="399"/>
      <c r="AB173" s="399">
        <v>30583.3</v>
      </c>
      <c r="AC173" s="399"/>
      <c r="AD173" s="399">
        <v>13985.74</v>
      </c>
      <c r="AE173" s="399">
        <v>64000</v>
      </c>
      <c r="AF173" s="399"/>
      <c r="AG173" s="399"/>
      <c r="AH173" s="399"/>
      <c r="AI173" s="399">
        <v>5710.25</v>
      </c>
      <c r="AJ173" s="399"/>
      <c r="AK173" s="399"/>
      <c r="AL173" s="477"/>
      <c r="AM173" s="485">
        <f t="shared" si="26"/>
        <v>114279.29000000001</v>
      </c>
      <c r="AN173" s="399">
        <v>78</v>
      </c>
      <c r="AO173" s="402">
        <v>301</v>
      </c>
      <c r="AP173" s="480">
        <v>-41881.83</v>
      </c>
      <c r="AQ173" s="490"/>
      <c r="AR173" s="490">
        <v>-40.29</v>
      </c>
      <c r="AS173" s="520">
        <v>1.5</v>
      </c>
      <c r="AT173" s="535">
        <v>849144.69</v>
      </c>
      <c r="AU173" s="535">
        <v>2150</v>
      </c>
      <c r="AV173" s="535">
        <v>385.8</v>
      </c>
      <c r="AW173" s="535">
        <v>114279.29</v>
      </c>
      <c r="AX173" s="535">
        <v>0</v>
      </c>
      <c r="AY173" s="535">
        <v>-41881.83</v>
      </c>
      <c r="AZ173" s="535">
        <v>0</v>
      </c>
      <c r="BA173" s="535">
        <v>-40.29</v>
      </c>
      <c r="BB173" s="480">
        <f t="shared" si="27"/>
        <v>0</v>
      </c>
      <c r="BC173" s="480">
        <f t="shared" si="28"/>
        <v>0</v>
      </c>
      <c r="BD173" s="480">
        <f t="shared" si="29"/>
        <v>0</v>
      </c>
      <c r="BE173" s="480">
        <f t="shared" si="30"/>
        <v>0</v>
      </c>
      <c r="BF173" s="480">
        <f t="shared" si="31"/>
        <v>0</v>
      </c>
      <c r="BG173" s="480">
        <f t="shared" si="32"/>
        <v>0</v>
      </c>
      <c r="BH173" s="480">
        <f t="shared" si="33"/>
        <v>0</v>
      </c>
      <c r="BI173" s="6">
        <f t="shared" si="34"/>
        <v>5680</v>
      </c>
      <c r="BJ173" s="480" t="str">
        <f t="shared" si="35"/>
        <v>Ogens</v>
      </c>
    </row>
    <row r="174" spans="1:62" x14ac:dyDescent="0.25">
      <c r="A174" s="341">
        <v>5683</v>
      </c>
      <c r="B174" s="523" t="s">
        <v>105</v>
      </c>
      <c r="C174" s="394">
        <v>318868.86</v>
      </c>
      <c r="D174" s="394">
        <v>21247.200000000001</v>
      </c>
      <c r="E174" s="391"/>
      <c r="F174" s="394">
        <v>0</v>
      </c>
      <c r="G174" s="394">
        <v>-3564.4</v>
      </c>
      <c r="H174" s="394">
        <v>769.25</v>
      </c>
      <c r="I174" s="394">
        <v>0</v>
      </c>
      <c r="J174" s="394">
        <v>-1870.79</v>
      </c>
      <c r="K174" s="394">
        <v>2220.5</v>
      </c>
      <c r="L174" s="394">
        <v>28563.75</v>
      </c>
      <c r="M174" s="334">
        <f t="shared" si="24"/>
        <v>366234.37</v>
      </c>
      <c r="N174" s="398">
        <v>0</v>
      </c>
      <c r="O174" s="398">
        <v>1149.2</v>
      </c>
      <c r="P174" s="398">
        <v>0</v>
      </c>
      <c r="Q174" s="398">
        <v>0</v>
      </c>
      <c r="R174" s="398">
        <v>3217.9</v>
      </c>
      <c r="S174" s="398"/>
      <c r="T174" s="398"/>
      <c r="U174" s="398">
        <v>1225</v>
      </c>
      <c r="V174" s="398"/>
      <c r="W174" s="398"/>
      <c r="X174" s="382">
        <v>-335.27</v>
      </c>
      <c r="Y174" s="485">
        <f t="shared" si="25"/>
        <v>371491.2</v>
      </c>
      <c r="Z174" s="399">
        <v>6000</v>
      </c>
      <c r="AA174" s="399"/>
      <c r="AB174" s="399">
        <v>11827.7</v>
      </c>
      <c r="AC174" s="399"/>
      <c r="AD174" s="399">
        <v>10910</v>
      </c>
      <c r="AE174" s="399">
        <v>5000</v>
      </c>
      <c r="AF174" s="399"/>
      <c r="AG174" s="399"/>
      <c r="AH174" s="399"/>
      <c r="AI174" s="399"/>
      <c r="AJ174" s="399"/>
      <c r="AK174" s="399"/>
      <c r="AL174" s="477"/>
      <c r="AM174" s="485">
        <f t="shared" si="26"/>
        <v>33737.699999999997</v>
      </c>
      <c r="AN174" s="399">
        <v>72.5</v>
      </c>
      <c r="AO174" s="402">
        <v>202</v>
      </c>
      <c r="AP174" s="480">
        <v>-2962.05</v>
      </c>
      <c r="AQ174" s="490"/>
      <c r="AR174" s="490">
        <v>0</v>
      </c>
      <c r="AS174" s="520">
        <v>1</v>
      </c>
      <c r="AT174" s="535">
        <v>371491.2</v>
      </c>
      <c r="AU174" s="535">
        <f>1225+0</f>
        <v>1225</v>
      </c>
      <c r="AV174" s="535">
        <v>-335.27</v>
      </c>
      <c r="AW174" s="535">
        <v>33737.699999999997</v>
      </c>
      <c r="AX174" s="535">
        <v>0</v>
      </c>
      <c r="AY174" s="535">
        <v>-2962.05</v>
      </c>
      <c r="AZ174" s="535">
        <v>0</v>
      </c>
      <c r="BA174" s="535">
        <v>0</v>
      </c>
      <c r="BB174" s="480">
        <f t="shared" si="27"/>
        <v>0</v>
      </c>
      <c r="BC174" s="480">
        <f t="shared" si="28"/>
        <v>0</v>
      </c>
      <c r="BD174" s="480">
        <f t="shared" si="29"/>
        <v>0</v>
      </c>
      <c r="BE174" s="480">
        <f t="shared" si="30"/>
        <v>0</v>
      </c>
      <c r="BF174" s="480">
        <f t="shared" si="31"/>
        <v>0</v>
      </c>
      <c r="BG174" s="480">
        <f t="shared" si="32"/>
        <v>0</v>
      </c>
      <c r="BH174" s="480">
        <f t="shared" si="33"/>
        <v>0</v>
      </c>
      <c r="BI174" s="6">
        <f t="shared" si="34"/>
        <v>5683</v>
      </c>
      <c r="BJ174" s="538" t="str">
        <f t="shared" si="35"/>
        <v>Prévonloup</v>
      </c>
    </row>
    <row r="175" spans="1:62" x14ac:dyDescent="0.25">
      <c r="A175" s="341">
        <v>5684</v>
      </c>
      <c r="B175" s="523" t="s">
        <v>106</v>
      </c>
      <c r="C175" s="394">
        <v>249986.56</v>
      </c>
      <c r="D175" s="394">
        <v>69536.34</v>
      </c>
      <c r="E175" s="391"/>
      <c r="F175" s="394">
        <v>0</v>
      </c>
      <c r="G175" s="394">
        <v>228.95</v>
      </c>
      <c r="H175" s="394">
        <v>-258.25</v>
      </c>
      <c r="I175" s="394">
        <v>0</v>
      </c>
      <c r="J175" s="394">
        <v>121.38</v>
      </c>
      <c r="K175" s="394">
        <v>0</v>
      </c>
      <c r="L175" s="394">
        <v>6461.9</v>
      </c>
      <c r="M175" s="334">
        <f t="shared" si="24"/>
        <v>326076.88000000006</v>
      </c>
      <c r="N175" s="398">
        <v>0</v>
      </c>
      <c r="O175" s="398">
        <v>0</v>
      </c>
      <c r="P175" s="398">
        <v>0</v>
      </c>
      <c r="Q175" s="398">
        <v>0</v>
      </c>
      <c r="R175" s="398">
        <v>0</v>
      </c>
      <c r="S175" s="398"/>
      <c r="T175" s="398"/>
      <c r="U175" s="398">
        <v>0</v>
      </c>
      <c r="V175" s="398"/>
      <c r="W175" s="398"/>
      <c r="X175" s="382">
        <v>-3.51</v>
      </c>
      <c r="Y175" s="485">
        <f t="shared" si="25"/>
        <v>326073.37000000005</v>
      </c>
      <c r="Z175" s="399"/>
      <c r="AA175" s="399"/>
      <c r="AB175" s="399">
        <v>3686.25</v>
      </c>
      <c r="AC175" s="399"/>
      <c r="AD175" s="399">
        <v>3336.65</v>
      </c>
      <c r="AE175" s="399">
        <v>103925</v>
      </c>
      <c r="AF175" s="399"/>
      <c r="AG175" s="399"/>
      <c r="AH175" s="399"/>
      <c r="AI175" s="399"/>
      <c r="AJ175" s="399"/>
      <c r="AK175" s="399"/>
      <c r="AL175" s="477"/>
      <c r="AM175" s="485">
        <f t="shared" si="26"/>
        <v>110947.9</v>
      </c>
      <c r="AN175" s="399">
        <v>75</v>
      </c>
      <c r="AO175" s="402">
        <v>84</v>
      </c>
      <c r="AP175" s="480">
        <v>-2517.2399999999998</v>
      </c>
      <c r="AQ175" s="490"/>
      <c r="AR175" s="490">
        <v>-22.35</v>
      </c>
      <c r="AS175" s="520">
        <v>0.8</v>
      </c>
      <c r="AT175" s="535">
        <v>326073.37</v>
      </c>
      <c r="AU175" s="535">
        <v>0</v>
      </c>
      <c r="AV175" s="535">
        <v>-3.51</v>
      </c>
      <c r="AW175" s="535">
        <v>110947.9</v>
      </c>
      <c r="AX175" s="535"/>
      <c r="AY175" s="535">
        <v>-2517.2399999999998</v>
      </c>
      <c r="AZ175" s="535"/>
      <c r="BA175" s="535">
        <v>-22.35</v>
      </c>
      <c r="BB175" s="480">
        <f t="shared" si="27"/>
        <v>0</v>
      </c>
      <c r="BC175" s="480">
        <f t="shared" si="28"/>
        <v>0</v>
      </c>
      <c r="BD175" s="480">
        <f t="shared" si="29"/>
        <v>0</v>
      </c>
      <c r="BE175" s="480">
        <f t="shared" si="30"/>
        <v>0</v>
      </c>
      <c r="BF175" s="480">
        <f t="shared" si="31"/>
        <v>0</v>
      </c>
      <c r="BG175" s="480">
        <f t="shared" si="32"/>
        <v>0</v>
      </c>
      <c r="BH175" s="480">
        <f t="shared" si="33"/>
        <v>0</v>
      </c>
      <c r="BI175" s="6">
        <f t="shared" si="34"/>
        <v>5684</v>
      </c>
      <c r="BJ175" s="480" t="str">
        <f t="shared" si="35"/>
        <v>Rossenges</v>
      </c>
    </row>
    <row r="176" spans="1:62" x14ac:dyDescent="0.25">
      <c r="A176" s="341">
        <v>5688</v>
      </c>
      <c r="B176" s="523" t="s">
        <v>107</v>
      </c>
      <c r="C176" s="524">
        <v>295382.48</v>
      </c>
      <c r="D176" s="394">
        <v>52453.85</v>
      </c>
      <c r="E176" s="391"/>
      <c r="F176" s="394">
        <v>0</v>
      </c>
      <c r="G176" s="394">
        <v>10685.7</v>
      </c>
      <c r="H176" s="394">
        <v>146.6</v>
      </c>
      <c r="I176" s="394">
        <v>0</v>
      </c>
      <c r="J176" s="394">
        <v>1283.3900000000001</v>
      </c>
      <c r="K176" s="394">
        <v>157.5</v>
      </c>
      <c r="L176" s="394">
        <v>23710.400000000001</v>
      </c>
      <c r="M176" s="334">
        <f t="shared" si="24"/>
        <v>383819.92</v>
      </c>
      <c r="N176" s="398">
        <v>0</v>
      </c>
      <c r="O176" s="398">
        <v>0</v>
      </c>
      <c r="P176" s="398">
        <v>40.65</v>
      </c>
      <c r="Q176" s="398">
        <v>0</v>
      </c>
      <c r="R176" s="398">
        <v>0</v>
      </c>
      <c r="S176" s="398"/>
      <c r="T176" s="398"/>
      <c r="U176" s="398">
        <v>720</v>
      </c>
      <c r="V176" s="398"/>
      <c r="W176" s="398"/>
      <c r="X176" s="382">
        <v>1299.3</v>
      </c>
      <c r="Y176" s="485">
        <f t="shared" si="25"/>
        <v>385879.87</v>
      </c>
      <c r="Z176" s="399">
        <v>15900</v>
      </c>
      <c r="AA176" s="399"/>
      <c r="AB176" s="399">
        <v>7520</v>
      </c>
      <c r="AC176" s="399"/>
      <c r="AD176" s="399">
        <v>14980.75</v>
      </c>
      <c r="AE176" s="399"/>
      <c r="AF176" s="399"/>
      <c r="AG176" s="399"/>
      <c r="AH176" s="399"/>
      <c r="AI176" s="399"/>
      <c r="AJ176" s="399"/>
      <c r="AK176" s="399"/>
      <c r="AL176" s="477"/>
      <c r="AM176" s="485">
        <f t="shared" si="26"/>
        <v>38400.75</v>
      </c>
      <c r="AN176" s="399">
        <v>75.599999999999994</v>
      </c>
      <c r="AO176" s="402">
        <v>156</v>
      </c>
      <c r="AP176" s="480">
        <v>-7.04</v>
      </c>
      <c r="AQ176" s="490"/>
      <c r="AR176" s="490">
        <v>0</v>
      </c>
      <c r="AS176" s="520">
        <v>1</v>
      </c>
      <c r="AT176" s="535">
        <v>385879.87</v>
      </c>
      <c r="AU176" s="535">
        <v>720</v>
      </c>
      <c r="AV176" s="535">
        <v>1299.3</v>
      </c>
      <c r="AW176" s="535">
        <v>38400.75</v>
      </c>
      <c r="AX176" s="535">
        <v>-22616.400000000001</v>
      </c>
      <c r="AY176" s="535">
        <v>-7.04</v>
      </c>
      <c r="AZ176" s="535">
        <v>0</v>
      </c>
      <c r="BA176" s="535">
        <v>0</v>
      </c>
      <c r="BB176" s="480">
        <f t="shared" si="27"/>
        <v>0</v>
      </c>
      <c r="BC176" s="480">
        <f t="shared" si="28"/>
        <v>0</v>
      </c>
      <c r="BD176" s="480">
        <f t="shared" si="29"/>
        <v>0</v>
      </c>
      <c r="BE176" s="480">
        <f t="shared" si="30"/>
        <v>0</v>
      </c>
      <c r="BF176" s="480">
        <f t="shared" si="31"/>
        <v>0</v>
      </c>
      <c r="BG176" s="480">
        <f t="shared" si="32"/>
        <v>0</v>
      </c>
      <c r="BH176" s="480">
        <f t="shared" si="33"/>
        <v>0</v>
      </c>
      <c r="BI176" s="6">
        <f t="shared" si="34"/>
        <v>5688</v>
      </c>
      <c r="BJ176" s="480" t="str">
        <f t="shared" si="35"/>
        <v>Syens</v>
      </c>
    </row>
    <row r="177" spans="1:62" x14ac:dyDescent="0.25">
      <c r="A177" s="341">
        <v>5690</v>
      </c>
      <c r="B177" s="523" t="s">
        <v>108</v>
      </c>
      <c r="C177" s="394">
        <v>182885.96</v>
      </c>
      <c r="D177" s="394">
        <v>41063.230000000003</v>
      </c>
      <c r="E177" s="391"/>
      <c r="F177" s="394">
        <v>750</v>
      </c>
      <c r="G177" s="394">
        <v>-14.45</v>
      </c>
      <c r="H177" s="394">
        <v>409.7</v>
      </c>
      <c r="I177" s="394">
        <v>0</v>
      </c>
      <c r="J177" s="394">
        <v>0</v>
      </c>
      <c r="K177" s="394">
        <v>184.1</v>
      </c>
      <c r="L177" s="394">
        <v>24858</v>
      </c>
      <c r="M177" s="334">
        <f t="shared" si="24"/>
        <v>250136.54</v>
      </c>
      <c r="N177" s="398">
        <v>0</v>
      </c>
      <c r="O177" s="398">
        <v>11060.8</v>
      </c>
      <c r="P177" s="398">
        <v>13276.15</v>
      </c>
      <c r="Q177" s="398">
        <v>0</v>
      </c>
      <c r="R177" s="398">
        <v>11217.45</v>
      </c>
      <c r="S177" s="398"/>
      <c r="T177" s="398"/>
      <c r="U177" s="398">
        <v>450</v>
      </c>
      <c r="V177" s="398"/>
      <c r="W177" s="398"/>
      <c r="X177" s="382">
        <v>47.41</v>
      </c>
      <c r="Y177" s="485">
        <f t="shared" si="25"/>
        <v>286188.34999999998</v>
      </c>
      <c r="Z177" s="399">
        <v>19360</v>
      </c>
      <c r="AA177" s="399"/>
      <c r="AB177" s="399">
        <v>22677</v>
      </c>
      <c r="AC177" s="399"/>
      <c r="AD177" s="399">
        <v>12940</v>
      </c>
      <c r="AE177" s="399">
        <v>1000</v>
      </c>
      <c r="AF177" s="399"/>
      <c r="AG177" s="399"/>
      <c r="AH177" s="399"/>
      <c r="AI177" s="399"/>
      <c r="AJ177" s="399"/>
      <c r="AK177" s="399"/>
      <c r="AL177" s="477"/>
      <c r="AM177" s="485">
        <f t="shared" si="26"/>
        <v>55977</v>
      </c>
      <c r="AN177" s="399">
        <v>70</v>
      </c>
      <c r="AO177" s="402">
        <v>120</v>
      </c>
      <c r="AP177" s="480">
        <v>-2176.4299999999998</v>
      </c>
      <c r="AQ177" s="490"/>
      <c r="AR177" s="490">
        <v>0</v>
      </c>
      <c r="AS177" s="520">
        <v>1.2</v>
      </c>
      <c r="AT177" s="535">
        <v>286188.34999999998</v>
      </c>
      <c r="AU177" s="535">
        <v>450</v>
      </c>
      <c r="AV177" s="535">
        <v>47.41</v>
      </c>
      <c r="AW177" s="535">
        <v>55977</v>
      </c>
      <c r="AX177" s="535">
        <v>0</v>
      </c>
      <c r="AY177" s="535">
        <v>-2176.4299999999998</v>
      </c>
      <c r="AZ177" s="535">
        <v>0</v>
      </c>
      <c r="BA177" s="535">
        <v>0</v>
      </c>
      <c r="BB177" s="480">
        <f t="shared" si="27"/>
        <v>0</v>
      </c>
      <c r="BC177" s="480">
        <f t="shared" si="28"/>
        <v>0</v>
      </c>
      <c r="BD177" s="480">
        <f t="shared" si="29"/>
        <v>0</v>
      </c>
      <c r="BE177" s="480">
        <f t="shared" si="30"/>
        <v>0</v>
      </c>
      <c r="BF177" s="480">
        <f t="shared" si="31"/>
        <v>0</v>
      </c>
      <c r="BG177" s="480">
        <f t="shared" si="32"/>
        <v>0</v>
      </c>
      <c r="BH177" s="480">
        <f t="shared" si="33"/>
        <v>0</v>
      </c>
      <c r="BI177" s="6">
        <f t="shared" si="34"/>
        <v>5690</v>
      </c>
      <c r="BJ177" s="480" t="str">
        <f t="shared" si="35"/>
        <v>Villars-le-Comte</v>
      </c>
    </row>
    <row r="178" spans="1:62" x14ac:dyDescent="0.25">
      <c r="A178" s="341">
        <v>5692</v>
      </c>
      <c r="B178" s="523" t="s">
        <v>109</v>
      </c>
      <c r="C178" s="394">
        <v>1141126.29</v>
      </c>
      <c r="D178" s="394">
        <v>112254.65</v>
      </c>
      <c r="E178" s="391"/>
      <c r="F178" s="394">
        <v>0</v>
      </c>
      <c r="G178" s="394">
        <v>11896.9</v>
      </c>
      <c r="H178" s="394">
        <v>1470.1</v>
      </c>
      <c r="I178" s="394">
        <v>0</v>
      </c>
      <c r="J178" s="394">
        <v>24468.36</v>
      </c>
      <c r="K178" s="394">
        <v>3158.45</v>
      </c>
      <c r="L178" s="394">
        <v>97934.1</v>
      </c>
      <c r="M178" s="334">
        <f t="shared" si="24"/>
        <v>1392308.85</v>
      </c>
      <c r="N178" s="398">
        <v>13335.05</v>
      </c>
      <c r="O178" s="398">
        <v>94.8</v>
      </c>
      <c r="P178" s="398">
        <v>73087.45</v>
      </c>
      <c r="Q178" s="398">
        <v>11.77</v>
      </c>
      <c r="R178" s="398">
        <v>27137.200000000001</v>
      </c>
      <c r="S178" s="398">
        <v>75</v>
      </c>
      <c r="T178" s="398">
        <v>430</v>
      </c>
      <c r="U178" s="398">
        <v>6150</v>
      </c>
      <c r="V178" s="398"/>
      <c r="W178" s="398"/>
      <c r="X178" s="382">
        <v>1603.33</v>
      </c>
      <c r="Y178" s="485">
        <f t="shared" si="25"/>
        <v>1514233.4500000002</v>
      </c>
      <c r="Z178" s="399">
        <v>3514</v>
      </c>
      <c r="AA178" s="399"/>
      <c r="AB178" s="399">
        <v>77233.5</v>
      </c>
      <c r="AC178" s="399"/>
      <c r="AD178" s="399">
        <v>35698.5</v>
      </c>
      <c r="AE178" s="399">
        <v>268.55</v>
      </c>
      <c r="AF178" s="399"/>
      <c r="AG178" s="399"/>
      <c r="AH178" s="399"/>
      <c r="AI178" s="399"/>
      <c r="AJ178" s="399"/>
      <c r="AK178" s="399">
        <v>8300.65</v>
      </c>
      <c r="AL178" s="477"/>
      <c r="AM178" s="485">
        <f t="shared" si="26"/>
        <v>125015.2</v>
      </c>
      <c r="AN178" s="399">
        <v>77</v>
      </c>
      <c r="AO178" s="402">
        <v>617</v>
      </c>
      <c r="AP178" s="480">
        <v>-1412.65</v>
      </c>
      <c r="AQ178" s="490"/>
      <c r="AR178" s="490">
        <v>-0.46</v>
      </c>
      <c r="AS178" s="520">
        <v>1</v>
      </c>
      <c r="AT178" s="535">
        <v>1514233.45</v>
      </c>
      <c r="AU178" s="535">
        <f>75+430+6150</f>
        <v>6655</v>
      </c>
      <c r="AV178" s="535">
        <v>1603.33</v>
      </c>
      <c r="AW178" s="535">
        <v>125015.2</v>
      </c>
      <c r="AX178" s="535">
        <v>0</v>
      </c>
      <c r="AY178" s="535">
        <v>-1412.65</v>
      </c>
      <c r="AZ178" s="535">
        <v>0</v>
      </c>
      <c r="BA178" s="535">
        <v>-0.46</v>
      </c>
      <c r="BB178" s="480">
        <f t="shared" si="27"/>
        <v>0</v>
      </c>
      <c r="BC178" s="480">
        <f t="shared" si="28"/>
        <v>0</v>
      </c>
      <c r="BD178" s="480">
        <f t="shared" si="29"/>
        <v>0</v>
      </c>
      <c r="BE178" s="480">
        <f t="shared" si="30"/>
        <v>0</v>
      </c>
      <c r="BF178" s="480">
        <f t="shared" si="31"/>
        <v>0</v>
      </c>
      <c r="BG178" s="480">
        <f t="shared" si="32"/>
        <v>0</v>
      </c>
      <c r="BH178" s="480">
        <f t="shared" si="33"/>
        <v>0</v>
      </c>
      <c r="BI178" s="6">
        <f t="shared" si="34"/>
        <v>5692</v>
      </c>
      <c r="BJ178" s="480" t="str">
        <f t="shared" si="35"/>
        <v>Vucherens</v>
      </c>
    </row>
    <row r="179" spans="1:62" x14ac:dyDescent="0.25">
      <c r="A179" s="341">
        <v>5693</v>
      </c>
      <c r="B179" s="523" t="s">
        <v>443</v>
      </c>
      <c r="C179" s="394">
        <v>4202520.2699999996</v>
      </c>
      <c r="D179" s="394">
        <v>484604.06</v>
      </c>
      <c r="E179" s="391"/>
      <c r="F179" s="394">
        <v>0</v>
      </c>
      <c r="G179" s="394">
        <v>33536.199999999997</v>
      </c>
      <c r="H179" s="394">
        <v>3591.3</v>
      </c>
      <c r="I179" s="394">
        <v>0</v>
      </c>
      <c r="J179" s="394">
        <v>72440.38</v>
      </c>
      <c r="K179" s="394">
        <v>9495.6</v>
      </c>
      <c r="L179" s="394">
        <v>423772.3</v>
      </c>
      <c r="M179" s="334">
        <f t="shared" si="24"/>
        <v>5229960.1099999985</v>
      </c>
      <c r="N179" s="398">
        <v>48251.05</v>
      </c>
      <c r="O179" s="398">
        <v>144312.70000000001</v>
      </c>
      <c r="P179" s="398">
        <v>209249.75</v>
      </c>
      <c r="Q179" s="398">
        <v>11807.36</v>
      </c>
      <c r="R179" s="398">
        <v>133540.75</v>
      </c>
      <c r="S179" s="398">
        <v>650</v>
      </c>
      <c r="T179" s="398">
        <v>5413.4</v>
      </c>
      <c r="U179" s="398">
        <v>30850</v>
      </c>
      <c r="V179" s="398"/>
      <c r="W179" s="398"/>
      <c r="X179" s="382">
        <v>4453.33</v>
      </c>
      <c r="Y179" s="485">
        <f t="shared" si="25"/>
        <v>5818488.4499999993</v>
      </c>
      <c r="Z179" s="399">
        <v>109350.15</v>
      </c>
      <c r="AA179" s="399"/>
      <c r="AB179" s="399">
        <v>454144</v>
      </c>
      <c r="AC179" s="399"/>
      <c r="AD179" s="399">
        <v>302881.42</v>
      </c>
      <c r="AE179" s="399">
        <v>33602.800000000003</v>
      </c>
      <c r="AF179" s="399"/>
      <c r="AG179" s="399"/>
      <c r="AH179" s="399"/>
      <c r="AI179" s="399">
        <v>64163.15</v>
      </c>
      <c r="AJ179" s="399"/>
      <c r="AK179" s="399"/>
      <c r="AL179" s="477"/>
      <c r="AM179" s="485">
        <f t="shared" si="26"/>
        <v>964141.52000000014</v>
      </c>
      <c r="AN179" s="399">
        <v>72</v>
      </c>
      <c r="AO179" s="402">
        <v>2782</v>
      </c>
      <c r="AP179" s="480">
        <v>-125251.55</v>
      </c>
      <c r="AQ179" s="490"/>
      <c r="AR179" s="490">
        <v>-290.72000000000003</v>
      </c>
      <c r="AS179" s="520">
        <v>1</v>
      </c>
      <c r="AT179" s="535">
        <v>5818488.4500000002</v>
      </c>
      <c r="AU179" s="535">
        <f>650+5413.4+30850</f>
        <v>36913.4</v>
      </c>
      <c r="AV179" s="535">
        <v>4453.33</v>
      </c>
      <c r="AW179" s="535">
        <v>964141.52</v>
      </c>
      <c r="AX179" s="535">
        <v>0</v>
      </c>
      <c r="AY179" s="535">
        <v>-125251.55</v>
      </c>
      <c r="AZ179" s="535">
        <v>0</v>
      </c>
      <c r="BA179" s="535">
        <v>-290.72000000000003</v>
      </c>
      <c r="BB179" s="480">
        <f t="shared" si="27"/>
        <v>0</v>
      </c>
      <c r="BC179" s="480">
        <f t="shared" si="28"/>
        <v>0</v>
      </c>
      <c r="BD179" s="480">
        <f t="shared" si="29"/>
        <v>0</v>
      </c>
      <c r="BE179" s="480">
        <f t="shared" si="30"/>
        <v>0</v>
      </c>
      <c r="BF179" s="480">
        <f t="shared" si="31"/>
        <v>0</v>
      </c>
      <c r="BG179" s="480">
        <f t="shared" si="32"/>
        <v>0</v>
      </c>
      <c r="BH179" s="480">
        <f t="shared" si="33"/>
        <v>0</v>
      </c>
      <c r="BI179" s="6">
        <f t="shared" si="34"/>
        <v>5693</v>
      </c>
      <c r="BJ179" s="480" t="str">
        <f t="shared" si="35"/>
        <v>Montanaire</v>
      </c>
    </row>
    <row r="180" spans="1:62" x14ac:dyDescent="0.25">
      <c r="A180" s="341">
        <v>5701</v>
      </c>
      <c r="B180" s="523" t="s">
        <v>110</v>
      </c>
      <c r="C180" s="394">
        <v>647416.28</v>
      </c>
      <c r="D180" s="394">
        <v>113002.67</v>
      </c>
      <c r="E180" s="391"/>
      <c r="F180" s="394">
        <v>0</v>
      </c>
      <c r="G180" s="394">
        <v>4508.5</v>
      </c>
      <c r="H180" s="394">
        <v>938.9</v>
      </c>
      <c r="I180" s="394">
        <v>65044.25</v>
      </c>
      <c r="J180" s="394">
        <v>-11789.17</v>
      </c>
      <c r="K180" s="394">
        <v>510.25</v>
      </c>
      <c r="L180" s="394">
        <v>71655.100000000006</v>
      </c>
      <c r="M180" s="334">
        <f t="shared" si="24"/>
        <v>891286.78</v>
      </c>
      <c r="N180" s="398">
        <v>0</v>
      </c>
      <c r="O180" s="398">
        <v>0</v>
      </c>
      <c r="P180" s="398">
        <v>97039.3</v>
      </c>
      <c r="Q180" s="398">
        <v>0</v>
      </c>
      <c r="R180" s="398">
        <v>57927.55</v>
      </c>
      <c r="S180" s="398"/>
      <c r="T180" s="398"/>
      <c r="U180" s="398">
        <v>900</v>
      </c>
      <c r="V180" s="398"/>
      <c r="W180" s="398"/>
      <c r="X180" s="382">
        <v>653.4</v>
      </c>
      <c r="Y180" s="485">
        <f t="shared" si="25"/>
        <v>1047807.0300000001</v>
      </c>
      <c r="Z180" s="399">
        <v>44240</v>
      </c>
      <c r="AA180" s="399"/>
      <c r="AB180" s="399">
        <v>36211.019999999997</v>
      </c>
      <c r="AC180" s="399"/>
      <c r="AD180" s="399">
        <v>17626.150000000001</v>
      </c>
      <c r="AE180" s="399">
        <v>350</v>
      </c>
      <c r="AF180" s="399"/>
      <c r="AG180" s="399"/>
      <c r="AH180" s="399">
        <v>240</v>
      </c>
      <c r="AI180" s="399"/>
      <c r="AJ180" s="399"/>
      <c r="AK180" s="399"/>
      <c r="AL180" s="477"/>
      <c r="AM180" s="485">
        <f t="shared" si="26"/>
        <v>98667.169999999984</v>
      </c>
      <c r="AN180" s="399">
        <v>70</v>
      </c>
      <c r="AO180" s="402">
        <v>240</v>
      </c>
      <c r="AP180" s="480">
        <v>-11178.47</v>
      </c>
      <c r="AQ180" s="490"/>
      <c r="AR180" s="490">
        <v>-204.29</v>
      </c>
      <c r="AS180" s="520">
        <v>1</v>
      </c>
      <c r="AT180" s="535">
        <v>1047807.03</v>
      </c>
      <c r="AU180" s="535">
        <v>900</v>
      </c>
      <c r="AV180" s="535">
        <v>653.4</v>
      </c>
      <c r="AW180" s="535">
        <v>98667.17</v>
      </c>
      <c r="AX180" s="535">
        <v>0</v>
      </c>
      <c r="AY180" s="535">
        <v>-11178.47</v>
      </c>
      <c r="AZ180" s="535">
        <v>0</v>
      </c>
      <c r="BA180" s="535">
        <v>-204.29</v>
      </c>
      <c r="BB180" s="480">
        <f t="shared" si="27"/>
        <v>0</v>
      </c>
      <c r="BC180" s="480">
        <f t="shared" si="28"/>
        <v>0</v>
      </c>
      <c r="BD180" s="480">
        <f t="shared" si="29"/>
        <v>0</v>
      </c>
      <c r="BE180" s="480">
        <f t="shared" si="30"/>
        <v>0</v>
      </c>
      <c r="BF180" s="480">
        <f t="shared" si="31"/>
        <v>0</v>
      </c>
      <c r="BG180" s="480">
        <f t="shared" si="32"/>
        <v>0</v>
      </c>
      <c r="BH180" s="480">
        <f t="shared" si="33"/>
        <v>0</v>
      </c>
      <c r="BI180" s="6">
        <f t="shared" si="34"/>
        <v>5701</v>
      </c>
      <c r="BJ180" s="480" t="str">
        <f t="shared" si="35"/>
        <v>Arnex-sur-Nyon</v>
      </c>
    </row>
    <row r="181" spans="1:62" x14ac:dyDescent="0.25">
      <c r="A181" s="341">
        <v>5702</v>
      </c>
      <c r="B181" s="523" t="s">
        <v>442</v>
      </c>
      <c r="C181" s="394">
        <v>7875971.5999999996</v>
      </c>
      <c r="D181" s="394">
        <v>1457247.64</v>
      </c>
      <c r="E181" s="391"/>
      <c r="F181" s="394">
        <v>0</v>
      </c>
      <c r="G181" s="394">
        <v>72986</v>
      </c>
      <c r="H181" s="394">
        <v>23125.05</v>
      </c>
      <c r="I181" s="394">
        <v>377543.7</v>
      </c>
      <c r="J181" s="394">
        <v>143021.01999999999</v>
      </c>
      <c r="K181" s="394">
        <v>15460.15</v>
      </c>
      <c r="L181" s="394">
        <v>1229545.3</v>
      </c>
      <c r="M181" s="334">
        <f t="shared" si="24"/>
        <v>11194900.460000001</v>
      </c>
      <c r="N181" s="398">
        <v>74885.100000000006</v>
      </c>
      <c r="O181" s="398">
        <v>18531.8</v>
      </c>
      <c r="P181" s="398">
        <v>540349.94999999995</v>
      </c>
      <c r="Q181" s="398">
        <v>10125.129999999999</v>
      </c>
      <c r="R181" s="398">
        <v>383157.9</v>
      </c>
      <c r="S181" s="398"/>
      <c r="T181" s="398"/>
      <c r="U181" s="398">
        <v>0</v>
      </c>
      <c r="V181" s="398"/>
      <c r="W181" s="398"/>
      <c r="X181" s="382">
        <v>11528.22</v>
      </c>
      <c r="Y181" s="485">
        <f t="shared" si="25"/>
        <v>12233478.560000002</v>
      </c>
      <c r="Z181" s="399">
        <v>113514.15</v>
      </c>
      <c r="AA181" s="399"/>
      <c r="AB181" s="399">
        <v>306839.45</v>
      </c>
      <c r="AC181" s="399"/>
      <c r="AD181" s="399">
        <v>300037.7</v>
      </c>
      <c r="AE181" s="399">
        <v>224075.65</v>
      </c>
      <c r="AF181" s="399"/>
      <c r="AG181" s="399"/>
      <c r="AH181" s="399">
        <v>26855.5</v>
      </c>
      <c r="AI181" s="399"/>
      <c r="AJ181" s="399"/>
      <c r="AK181" s="399"/>
      <c r="AL181" s="477"/>
      <c r="AM181" s="485">
        <f t="shared" si="26"/>
        <v>971322.45000000007</v>
      </c>
      <c r="AN181" s="399">
        <v>64</v>
      </c>
      <c r="AO181" s="402">
        <v>2912</v>
      </c>
      <c r="AP181" s="480">
        <v>-36504.25</v>
      </c>
      <c r="AQ181" s="490"/>
      <c r="AR181" s="490">
        <v>-34129.629999999997</v>
      </c>
      <c r="AS181" s="520">
        <v>1.5</v>
      </c>
      <c r="AT181" s="535">
        <v>12233478.560000001</v>
      </c>
      <c r="AU181" s="535">
        <v>0</v>
      </c>
      <c r="AV181" s="535">
        <v>11528.22</v>
      </c>
      <c r="AW181" s="535">
        <v>971322.45</v>
      </c>
      <c r="AX181" s="535">
        <v>0</v>
      </c>
      <c r="AY181" s="535">
        <v>-36504.25</v>
      </c>
      <c r="AZ181" s="535">
        <v>0</v>
      </c>
      <c r="BA181" s="535">
        <v>-34129.629999999997</v>
      </c>
      <c r="BB181" s="480">
        <f t="shared" si="27"/>
        <v>0</v>
      </c>
      <c r="BC181" s="480">
        <f t="shared" si="28"/>
        <v>0</v>
      </c>
      <c r="BD181" s="480">
        <f t="shared" si="29"/>
        <v>0</v>
      </c>
      <c r="BE181" s="480">
        <f t="shared" si="30"/>
        <v>0</v>
      </c>
      <c r="BF181" s="480">
        <f t="shared" si="31"/>
        <v>0</v>
      </c>
      <c r="BG181" s="480">
        <f t="shared" si="32"/>
        <v>0</v>
      </c>
      <c r="BH181" s="480">
        <f t="shared" si="33"/>
        <v>0</v>
      </c>
      <c r="BI181" s="6">
        <f t="shared" si="34"/>
        <v>5702</v>
      </c>
      <c r="BJ181" s="480" t="str">
        <f t="shared" si="35"/>
        <v>Arzier-Le Muids</v>
      </c>
    </row>
    <row r="182" spans="1:62" x14ac:dyDescent="0.25">
      <c r="A182" s="341">
        <v>5703</v>
      </c>
      <c r="B182" s="523" t="s">
        <v>111</v>
      </c>
      <c r="C182" s="394">
        <v>3965129.42</v>
      </c>
      <c r="D182" s="394">
        <v>502240.81</v>
      </c>
      <c r="E182" s="391"/>
      <c r="F182" s="394">
        <v>0</v>
      </c>
      <c r="G182" s="394">
        <v>54945.2</v>
      </c>
      <c r="H182" s="394">
        <v>2762.9</v>
      </c>
      <c r="I182" s="394">
        <v>1654.45</v>
      </c>
      <c r="J182" s="394">
        <v>75222.679999999993</v>
      </c>
      <c r="K182" s="394">
        <v>1865</v>
      </c>
      <c r="L182" s="394">
        <v>456764.85</v>
      </c>
      <c r="M182" s="334">
        <f t="shared" si="24"/>
        <v>5060585.3099999996</v>
      </c>
      <c r="N182" s="398">
        <v>30174.35</v>
      </c>
      <c r="O182" s="398">
        <v>8122.8</v>
      </c>
      <c r="P182" s="398">
        <v>255576.7</v>
      </c>
      <c r="Q182" s="398">
        <v>17195.88</v>
      </c>
      <c r="R182" s="398">
        <v>244553.75</v>
      </c>
      <c r="S182" s="398"/>
      <c r="T182" s="398"/>
      <c r="U182" s="398">
        <v>14040</v>
      </c>
      <c r="V182" s="398"/>
      <c r="W182" s="398"/>
      <c r="X182" s="382">
        <v>6921.91</v>
      </c>
      <c r="Y182" s="485">
        <f t="shared" si="25"/>
        <v>5637170.6999999993</v>
      </c>
      <c r="Z182" s="399">
        <v>21683.5</v>
      </c>
      <c r="AA182" s="399"/>
      <c r="AB182" s="399">
        <v>272690.34999999998</v>
      </c>
      <c r="AC182" s="399"/>
      <c r="AD182" s="399">
        <v>102584.6</v>
      </c>
      <c r="AE182" s="399">
        <v>28190</v>
      </c>
      <c r="AF182" s="399"/>
      <c r="AG182" s="399"/>
      <c r="AH182" s="399"/>
      <c r="AI182" s="399"/>
      <c r="AJ182" s="399"/>
      <c r="AK182" s="399"/>
      <c r="AL182" s="477"/>
      <c r="AM182" s="485">
        <f t="shared" si="26"/>
        <v>425148.44999999995</v>
      </c>
      <c r="AN182" s="399">
        <v>72.5</v>
      </c>
      <c r="AO182" s="402">
        <v>1475</v>
      </c>
      <c r="AP182" s="480">
        <v>-101171.26</v>
      </c>
      <c r="AQ182" s="490"/>
      <c r="AR182" s="490">
        <v>-2461.21</v>
      </c>
      <c r="AS182" s="520">
        <v>1.4</v>
      </c>
      <c r="AT182" s="535">
        <v>5637170.7000000002</v>
      </c>
      <c r="AU182" s="535">
        <v>14040</v>
      </c>
      <c r="AV182" s="535">
        <v>6921.91</v>
      </c>
      <c r="AW182" s="535">
        <v>425148.45</v>
      </c>
      <c r="AX182" s="535">
        <v>0</v>
      </c>
      <c r="AY182" s="535">
        <v>-101171.26</v>
      </c>
      <c r="AZ182" s="535">
        <v>0</v>
      </c>
      <c r="BA182" s="535">
        <v>-2461.21</v>
      </c>
      <c r="BB182" s="480">
        <f t="shared" si="27"/>
        <v>0</v>
      </c>
      <c r="BC182" s="480">
        <f t="shared" si="28"/>
        <v>0</v>
      </c>
      <c r="BD182" s="480">
        <f t="shared" si="29"/>
        <v>0</v>
      </c>
      <c r="BE182" s="480">
        <f t="shared" si="30"/>
        <v>0</v>
      </c>
      <c r="BF182" s="480">
        <f t="shared" si="31"/>
        <v>0</v>
      </c>
      <c r="BG182" s="480">
        <f t="shared" si="32"/>
        <v>0</v>
      </c>
      <c r="BH182" s="480">
        <f t="shared" si="33"/>
        <v>0</v>
      </c>
      <c r="BI182" s="6">
        <f t="shared" si="34"/>
        <v>5703</v>
      </c>
      <c r="BJ182" s="480" t="str">
        <f t="shared" si="35"/>
        <v>Bassins</v>
      </c>
    </row>
    <row r="183" spans="1:62" x14ac:dyDescent="0.25">
      <c r="A183" s="341">
        <v>5704</v>
      </c>
      <c r="B183" s="523" t="s">
        <v>221</v>
      </c>
      <c r="C183" s="394">
        <v>5756736.4299999997</v>
      </c>
      <c r="D183" s="394">
        <v>2096667.49</v>
      </c>
      <c r="E183" s="391"/>
      <c r="F183" s="394">
        <v>0</v>
      </c>
      <c r="G183" s="394">
        <v>18297.75</v>
      </c>
      <c r="H183" s="394">
        <v>6797.45</v>
      </c>
      <c r="I183" s="394">
        <v>381207.8</v>
      </c>
      <c r="J183" s="394">
        <v>90862.86</v>
      </c>
      <c r="K183" s="394">
        <v>18287.150000000001</v>
      </c>
      <c r="L183" s="394">
        <v>800220.65</v>
      </c>
      <c r="M183" s="334">
        <f t="shared" si="24"/>
        <v>9169077.5800000001</v>
      </c>
      <c r="N183" s="398">
        <v>30752.45</v>
      </c>
      <c r="O183" s="398">
        <v>308.89999999999998</v>
      </c>
      <c r="P183" s="398">
        <v>287128.2</v>
      </c>
      <c r="Q183" s="398">
        <v>73562.570000000007</v>
      </c>
      <c r="R183" s="398">
        <v>125953</v>
      </c>
      <c r="S183" s="398"/>
      <c r="T183" s="398"/>
      <c r="U183" s="398">
        <v>13350</v>
      </c>
      <c r="V183" s="398"/>
      <c r="W183" s="398"/>
      <c r="X183" s="382">
        <v>3010.09</v>
      </c>
      <c r="Y183" s="485">
        <f t="shared" si="25"/>
        <v>9703142.7899999991</v>
      </c>
      <c r="Z183" s="399">
        <v>105795.04</v>
      </c>
      <c r="AA183" s="399"/>
      <c r="AB183" s="399">
        <v>201669.94</v>
      </c>
      <c r="AC183" s="399"/>
      <c r="AD183" s="399">
        <v>108209.2</v>
      </c>
      <c r="AE183" s="399">
        <v>190588.67</v>
      </c>
      <c r="AF183" s="399"/>
      <c r="AG183" s="399"/>
      <c r="AH183" s="399">
        <v>7104.2</v>
      </c>
      <c r="AI183" s="399">
        <v>45913.94</v>
      </c>
      <c r="AJ183" s="399">
        <v>26236.87</v>
      </c>
      <c r="AK183" s="399"/>
      <c r="AL183" s="477"/>
      <c r="AM183" s="485">
        <f t="shared" si="26"/>
        <v>685517.86</v>
      </c>
      <c r="AN183" s="399">
        <v>62.5</v>
      </c>
      <c r="AO183" s="402">
        <v>1928</v>
      </c>
      <c r="AP183" s="480">
        <v>-48920.72</v>
      </c>
      <c r="AQ183" s="490"/>
      <c r="AR183" s="490">
        <v>-83814.63</v>
      </c>
      <c r="AS183" s="520">
        <v>1.5</v>
      </c>
      <c r="AT183" s="535">
        <f>9717655.74-17523.04+3010.09</f>
        <v>9703142.790000001</v>
      </c>
      <c r="AU183" s="535">
        <v>13350</v>
      </c>
      <c r="AV183" s="535">
        <v>3010.09</v>
      </c>
      <c r="AW183" s="535">
        <v>685517.86</v>
      </c>
      <c r="AX183" s="535">
        <v>0</v>
      </c>
      <c r="AY183" s="535">
        <v>-48920.72</v>
      </c>
      <c r="AZ183" s="535">
        <v>0</v>
      </c>
      <c r="BA183" s="535">
        <v>-83814.63</v>
      </c>
      <c r="BB183" s="480">
        <f t="shared" si="27"/>
        <v>0</v>
      </c>
      <c r="BC183" s="480">
        <f t="shared" si="28"/>
        <v>0</v>
      </c>
      <c r="BD183" s="480">
        <f t="shared" si="29"/>
        <v>0</v>
      </c>
      <c r="BE183" s="480">
        <f t="shared" si="30"/>
        <v>0</v>
      </c>
      <c r="BF183" s="480">
        <f t="shared" si="31"/>
        <v>0</v>
      </c>
      <c r="BG183" s="480">
        <f t="shared" si="32"/>
        <v>0</v>
      </c>
      <c r="BH183" s="480">
        <f t="shared" si="33"/>
        <v>0</v>
      </c>
      <c r="BI183" s="6">
        <f t="shared" si="34"/>
        <v>5704</v>
      </c>
      <c r="BJ183" s="480" t="str">
        <f t="shared" si="35"/>
        <v>Begnins</v>
      </c>
    </row>
    <row r="184" spans="1:62" x14ac:dyDescent="0.25">
      <c r="A184" s="341">
        <v>5705</v>
      </c>
      <c r="B184" s="525" t="s">
        <v>222</v>
      </c>
      <c r="C184" s="394">
        <v>3488421.72</v>
      </c>
      <c r="D184" s="394">
        <v>504053.46</v>
      </c>
      <c r="E184" s="391"/>
      <c r="F184" s="394">
        <v>0</v>
      </c>
      <c r="G184" s="394">
        <v>17661.849999999999</v>
      </c>
      <c r="H184" s="394">
        <v>1355.7</v>
      </c>
      <c r="I184" s="394">
        <v>38823.85</v>
      </c>
      <c r="J184" s="394">
        <v>10099.85</v>
      </c>
      <c r="K184" s="394">
        <v>9634.25</v>
      </c>
      <c r="L184" s="394">
        <v>227558</v>
      </c>
      <c r="M184" s="334">
        <f t="shared" si="24"/>
        <v>4297608.6800000006</v>
      </c>
      <c r="N184" s="398">
        <v>37516</v>
      </c>
      <c r="O184" s="398">
        <v>0</v>
      </c>
      <c r="P184" s="398">
        <v>276386</v>
      </c>
      <c r="Q184" s="398">
        <v>143.03</v>
      </c>
      <c r="R184" s="398">
        <v>114169.9</v>
      </c>
      <c r="S184" s="398"/>
      <c r="T184" s="398"/>
      <c r="U184" s="398">
        <v>1905</v>
      </c>
      <c r="V184" s="398"/>
      <c r="W184" s="398"/>
      <c r="X184" s="382">
        <v>2281.1</v>
      </c>
      <c r="Y184" s="485">
        <f t="shared" si="25"/>
        <v>4730009.7100000009</v>
      </c>
      <c r="Z184" s="399"/>
      <c r="AA184" s="399"/>
      <c r="AB184" s="399"/>
      <c r="AC184" s="399"/>
      <c r="AD184" s="399"/>
      <c r="AE184" s="399"/>
      <c r="AF184" s="399"/>
      <c r="AG184" s="399"/>
      <c r="AH184" s="399"/>
      <c r="AI184" s="399"/>
      <c r="AJ184" s="399"/>
      <c r="AK184" s="399"/>
      <c r="AL184" s="477"/>
      <c r="AM184" s="485">
        <f t="shared" si="26"/>
        <v>0</v>
      </c>
      <c r="AN184" s="399">
        <v>74.5</v>
      </c>
      <c r="AO184" s="402">
        <v>835</v>
      </c>
      <c r="AP184" s="480">
        <v>-497.79</v>
      </c>
      <c r="AQ184" s="490"/>
      <c r="AR184" s="490">
        <v>-116438.39</v>
      </c>
      <c r="AS184" s="520">
        <v>1</v>
      </c>
      <c r="AT184" s="535">
        <v>4730009.71</v>
      </c>
      <c r="AU184" s="535">
        <v>1905</v>
      </c>
      <c r="AV184" s="535">
        <v>2281.1</v>
      </c>
      <c r="AW184" s="535">
        <v>0</v>
      </c>
      <c r="AX184" s="535">
        <v>0</v>
      </c>
      <c r="AY184" s="535">
        <v>-497.79</v>
      </c>
      <c r="AZ184" s="535">
        <v>0</v>
      </c>
      <c r="BA184" s="535">
        <v>-116438.39</v>
      </c>
      <c r="BB184" s="480">
        <f t="shared" si="27"/>
        <v>0</v>
      </c>
      <c r="BC184" s="480">
        <f t="shared" si="28"/>
        <v>0</v>
      </c>
      <c r="BD184" s="480">
        <f t="shared" si="29"/>
        <v>0</v>
      </c>
      <c r="BE184" s="480">
        <f t="shared" si="30"/>
        <v>0</v>
      </c>
      <c r="BF184" s="480">
        <f t="shared" si="31"/>
        <v>0</v>
      </c>
      <c r="BG184" s="480">
        <f t="shared" si="32"/>
        <v>0</v>
      </c>
      <c r="BH184" s="480">
        <f t="shared" si="33"/>
        <v>0</v>
      </c>
      <c r="BI184" s="6">
        <f t="shared" si="34"/>
        <v>5705</v>
      </c>
      <c r="BJ184" s="480" t="str">
        <f t="shared" si="35"/>
        <v>Bogis-Bossey</v>
      </c>
    </row>
    <row r="185" spans="1:62" x14ac:dyDescent="0.25">
      <c r="A185" s="341">
        <v>5706</v>
      </c>
      <c r="B185" s="523" t="s">
        <v>223</v>
      </c>
      <c r="C185" s="394">
        <v>3933647.55</v>
      </c>
      <c r="D185" s="394">
        <v>613073</v>
      </c>
      <c r="E185" s="391"/>
      <c r="F185" s="394">
        <v>0</v>
      </c>
      <c r="G185" s="394">
        <v>-8849.35</v>
      </c>
      <c r="H185" s="394">
        <v>7030.85</v>
      </c>
      <c r="I185" s="394">
        <v>4063.55</v>
      </c>
      <c r="J185" s="394">
        <v>-26932.26</v>
      </c>
      <c r="K185" s="394">
        <v>10352.700000000001</v>
      </c>
      <c r="L185" s="394">
        <v>449353.2</v>
      </c>
      <c r="M185" s="334">
        <f t="shared" si="24"/>
        <v>4981739.24</v>
      </c>
      <c r="N185" s="398">
        <v>15345.4</v>
      </c>
      <c r="O185" s="398">
        <v>1914</v>
      </c>
      <c r="P185" s="398">
        <v>161150</v>
      </c>
      <c r="Q185" s="398">
        <v>0</v>
      </c>
      <c r="R185" s="398">
        <v>89834.7</v>
      </c>
      <c r="S185" s="398">
        <v>177.25</v>
      </c>
      <c r="T185" s="398"/>
      <c r="U185" s="398">
        <v>4575</v>
      </c>
      <c r="V185" s="398"/>
      <c r="W185" s="398"/>
      <c r="X185" s="382">
        <v>-218.12</v>
      </c>
      <c r="Y185" s="485">
        <f t="shared" si="25"/>
        <v>5254517.4700000007</v>
      </c>
      <c r="Z185" s="399">
        <v>15179</v>
      </c>
      <c r="AA185" s="399"/>
      <c r="AB185" s="399">
        <v>173234.83</v>
      </c>
      <c r="AC185" s="399"/>
      <c r="AD185" s="399">
        <v>91857.05</v>
      </c>
      <c r="AE185" s="399"/>
      <c r="AF185" s="399"/>
      <c r="AG185" s="399"/>
      <c r="AH185" s="399"/>
      <c r="AI185" s="399">
        <v>27698.35</v>
      </c>
      <c r="AJ185" s="399"/>
      <c r="AK185" s="399"/>
      <c r="AL185" s="477"/>
      <c r="AM185" s="485">
        <f t="shared" si="26"/>
        <v>307969.23</v>
      </c>
      <c r="AN185" s="399">
        <v>57</v>
      </c>
      <c r="AO185" s="402">
        <v>1157</v>
      </c>
      <c r="AP185" s="480">
        <v>-29073.74</v>
      </c>
      <c r="AQ185" s="490"/>
      <c r="AR185" s="490">
        <v>-11373.69</v>
      </c>
      <c r="AS185" s="520">
        <v>1.5</v>
      </c>
      <c r="AT185" s="535">
        <v>5254517.47</v>
      </c>
      <c r="AU185" s="535">
        <f>177.25+4575</f>
        <v>4752.25</v>
      </c>
      <c r="AV185" s="535">
        <v>-218.12</v>
      </c>
      <c r="AW185" s="535">
        <v>307969.23</v>
      </c>
      <c r="AX185" s="535">
        <v>0</v>
      </c>
      <c r="AY185" s="535">
        <v>-29073.74</v>
      </c>
      <c r="AZ185" s="535">
        <v>0</v>
      </c>
      <c r="BA185" s="535">
        <v>-11373.69</v>
      </c>
      <c r="BB185" s="480">
        <f t="shared" si="27"/>
        <v>0</v>
      </c>
      <c r="BC185" s="480">
        <f t="shared" si="28"/>
        <v>0</v>
      </c>
      <c r="BD185" s="480">
        <f t="shared" si="29"/>
        <v>0</v>
      </c>
      <c r="BE185" s="480">
        <f t="shared" si="30"/>
        <v>0</v>
      </c>
      <c r="BF185" s="480">
        <f t="shared" si="31"/>
        <v>0</v>
      </c>
      <c r="BG185" s="480">
        <f t="shared" si="32"/>
        <v>0</v>
      </c>
      <c r="BH185" s="480">
        <f t="shared" si="33"/>
        <v>0</v>
      </c>
      <c r="BI185" s="6">
        <f t="shared" si="34"/>
        <v>5706</v>
      </c>
      <c r="BJ185" s="480" t="str">
        <f t="shared" si="35"/>
        <v>Borex</v>
      </c>
    </row>
    <row r="186" spans="1:62" x14ac:dyDescent="0.25">
      <c r="A186" s="341">
        <v>5707</v>
      </c>
      <c r="B186" s="523" t="s">
        <v>224</v>
      </c>
      <c r="C186" s="394">
        <v>3310714.53</v>
      </c>
      <c r="D186" s="394">
        <v>527422.66</v>
      </c>
      <c r="E186" s="391"/>
      <c r="F186" s="394">
        <v>0</v>
      </c>
      <c r="G186" s="394">
        <v>236397.45</v>
      </c>
      <c r="H186" s="394">
        <v>15042.2</v>
      </c>
      <c r="I186" s="394">
        <v>14123.7</v>
      </c>
      <c r="J186" s="394">
        <v>108890.43</v>
      </c>
      <c r="K186" s="394">
        <v>62295.199999999997</v>
      </c>
      <c r="L186" s="394">
        <v>711434.05</v>
      </c>
      <c r="M186" s="334">
        <f t="shared" si="24"/>
        <v>4986320.2200000007</v>
      </c>
      <c r="N186" s="398">
        <v>787653.25</v>
      </c>
      <c r="O186" s="398">
        <v>0</v>
      </c>
      <c r="P186" s="398">
        <v>275588.5</v>
      </c>
      <c r="Q186" s="398">
        <v>0</v>
      </c>
      <c r="R186" s="398">
        <v>93291.5</v>
      </c>
      <c r="S186" s="398">
        <v>39516.699999999997</v>
      </c>
      <c r="T186" s="398"/>
      <c r="U186" s="398">
        <v>5150</v>
      </c>
      <c r="V186" s="398"/>
      <c r="W186" s="398"/>
      <c r="X186" s="382">
        <v>30159.4</v>
      </c>
      <c r="Y186" s="485">
        <f t="shared" si="25"/>
        <v>6217679.5700000012</v>
      </c>
      <c r="Z186" s="399"/>
      <c r="AA186" s="399"/>
      <c r="AB186" s="399"/>
      <c r="AC186" s="399"/>
      <c r="AD186" s="399">
        <v>115526.2</v>
      </c>
      <c r="AE186" s="399"/>
      <c r="AF186" s="399"/>
      <c r="AG186" s="399"/>
      <c r="AH186" s="399">
        <v>86100</v>
      </c>
      <c r="AI186" s="399">
        <v>93109.3</v>
      </c>
      <c r="AJ186" s="399"/>
      <c r="AK186" s="399"/>
      <c r="AL186" s="477"/>
      <c r="AM186" s="485">
        <f t="shared" si="26"/>
        <v>294735.5</v>
      </c>
      <c r="AN186" s="399">
        <v>58</v>
      </c>
      <c r="AO186" s="402">
        <v>1329</v>
      </c>
      <c r="AP186" s="480">
        <v>-25658.06</v>
      </c>
      <c r="AQ186" s="490"/>
      <c r="AR186" s="490">
        <v>-7228.29</v>
      </c>
      <c r="AS186" s="520">
        <v>1.5</v>
      </c>
      <c r="AT186" s="535">
        <v>6217679.5700000003</v>
      </c>
      <c r="AU186" s="535">
        <f>39516.7+5150</f>
        <v>44666.7</v>
      </c>
      <c r="AV186" s="535">
        <v>30159.4</v>
      </c>
      <c r="AW186" s="535">
        <v>294735.5</v>
      </c>
      <c r="AX186" s="535"/>
      <c r="AY186" s="535">
        <v>-25658.06</v>
      </c>
      <c r="AZ186" s="535">
        <v>0</v>
      </c>
      <c r="BA186" s="535">
        <v>-7228.29</v>
      </c>
      <c r="BB186" s="480">
        <f t="shared" si="27"/>
        <v>0</v>
      </c>
      <c r="BC186" s="480">
        <f t="shared" si="28"/>
        <v>0</v>
      </c>
      <c r="BD186" s="480">
        <f t="shared" si="29"/>
        <v>0</v>
      </c>
      <c r="BE186" s="480">
        <f t="shared" si="30"/>
        <v>0</v>
      </c>
      <c r="BF186" s="480">
        <f t="shared" si="31"/>
        <v>0</v>
      </c>
      <c r="BG186" s="480">
        <f t="shared" si="32"/>
        <v>0</v>
      </c>
      <c r="BH186" s="480">
        <f t="shared" si="33"/>
        <v>0</v>
      </c>
      <c r="BI186" s="6">
        <f t="shared" si="34"/>
        <v>5707</v>
      </c>
      <c r="BJ186" s="480" t="str">
        <f t="shared" si="35"/>
        <v>Chavannes-de-Bogis</v>
      </c>
    </row>
    <row r="187" spans="1:62" x14ac:dyDescent="0.25">
      <c r="A187" s="341">
        <v>5708</v>
      </c>
      <c r="B187" s="523" t="s">
        <v>225</v>
      </c>
      <c r="C187" s="394">
        <v>3815208.27</v>
      </c>
      <c r="D187" s="394">
        <v>452436.55</v>
      </c>
      <c r="E187" s="391"/>
      <c r="F187" s="394">
        <v>0</v>
      </c>
      <c r="G187" s="394">
        <v>28896.55</v>
      </c>
      <c r="H187" s="394">
        <v>1997.1</v>
      </c>
      <c r="I187" s="394">
        <v>0</v>
      </c>
      <c r="J187" s="394">
        <v>-17158.88</v>
      </c>
      <c r="K187" s="394">
        <v>2539.65</v>
      </c>
      <c r="L187" s="394">
        <v>431921.25</v>
      </c>
      <c r="M187" s="334">
        <f t="shared" si="24"/>
        <v>4715840.49</v>
      </c>
      <c r="N187" s="398">
        <v>8131.3</v>
      </c>
      <c r="O187" s="398">
        <v>0</v>
      </c>
      <c r="P187" s="398">
        <v>231686.35</v>
      </c>
      <c r="Q187" s="398">
        <v>11199.88</v>
      </c>
      <c r="R187" s="398">
        <v>71721.55</v>
      </c>
      <c r="S187" s="398"/>
      <c r="T187" s="398"/>
      <c r="U187" s="398">
        <v>5080</v>
      </c>
      <c r="V187" s="398"/>
      <c r="W187" s="398"/>
      <c r="X187" s="382">
        <v>3705.6</v>
      </c>
      <c r="Y187" s="485">
        <f t="shared" si="25"/>
        <v>5047365.169999999</v>
      </c>
      <c r="Z187" s="399"/>
      <c r="AA187" s="399"/>
      <c r="AB187" s="399"/>
      <c r="AC187" s="399"/>
      <c r="AD187" s="399">
        <v>108519</v>
      </c>
      <c r="AE187" s="399"/>
      <c r="AF187" s="399"/>
      <c r="AG187" s="399"/>
      <c r="AH187" s="399"/>
      <c r="AI187" s="399"/>
      <c r="AJ187" s="399"/>
      <c r="AK187" s="399"/>
      <c r="AL187" s="477"/>
      <c r="AM187" s="485">
        <f t="shared" si="26"/>
        <v>108519</v>
      </c>
      <c r="AN187" s="399">
        <v>68</v>
      </c>
      <c r="AO187" s="402">
        <v>1013</v>
      </c>
      <c r="AP187" s="480">
        <v>-12006.52</v>
      </c>
      <c r="AQ187" s="490"/>
      <c r="AR187" s="490">
        <v>-1350.03</v>
      </c>
      <c r="AS187" s="520">
        <v>1.5</v>
      </c>
      <c r="AT187" s="535">
        <v>5047365.17</v>
      </c>
      <c r="AU187" s="535">
        <v>5080</v>
      </c>
      <c r="AV187" s="535">
        <v>3705.6</v>
      </c>
      <c r="AW187" s="535">
        <v>108519</v>
      </c>
      <c r="AX187" s="535"/>
      <c r="AY187" s="535">
        <v>-12006.52</v>
      </c>
      <c r="AZ187" s="535"/>
      <c r="BA187" s="535">
        <v>-1350.03</v>
      </c>
      <c r="BB187" s="480">
        <f t="shared" si="27"/>
        <v>0</v>
      </c>
      <c r="BC187" s="480">
        <f t="shared" si="28"/>
        <v>0</v>
      </c>
      <c r="BD187" s="480">
        <f t="shared" si="29"/>
        <v>0</v>
      </c>
      <c r="BE187" s="480">
        <f t="shared" si="30"/>
        <v>0</v>
      </c>
      <c r="BF187" s="480">
        <f t="shared" si="31"/>
        <v>0</v>
      </c>
      <c r="BG187" s="480">
        <f t="shared" si="32"/>
        <v>0</v>
      </c>
      <c r="BH187" s="480">
        <f t="shared" si="33"/>
        <v>0</v>
      </c>
      <c r="BI187" s="6">
        <f t="shared" si="34"/>
        <v>5708</v>
      </c>
      <c r="BJ187" s="480" t="str">
        <f t="shared" si="35"/>
        <v>Chavannes-des-Bois</v>
      </c>
    </row>
    <row r="188" spans="1:62" x14ac:dyDescent="0.25">
      <c r="A188" s="341">
        <v>5709</v>
      </c>
      <c r="B188" s="523" t="s">
        <v>226</v>
      </c>
      <c r="C188" s="394">
        <v>3863691.39</v>
      </c>
      <c r="D188" s="394">
        <v>746816.44</v>
      </c>
      <c r="E188" s="391"/>
      <c r="F188" s="394">
        <v>0</v>
      </c>
      <c r="G188" s="394">
        <v>4433.3500000000004</v>
      </c>
      <c r="H188" s="394">
        <v>7372.95</v>
      </c>
      <c r="I188" s="394">
        <v>503480.6</v>
      </c>
      <c r="J188" s="394">
        <v>65878.34</v>
      </c>
      <c r="K188" s="394">
        <v>6088.85</v>
      </c>
      <c r="L188" s="394">
        <v>364212.4</v>
      </c>
      <c r="M188" s="334">
        <f t="shared" si="24"/>
        <v>5561974.3199999994</v>
      </c>
      <c r="N188" s="398">
        <v>40941</v>
      </c>
      <c r="O188" s="398">
        <v>4819.2</v>
      </c>
      <c r="P188" s="398">
        <v>223130.95</v>
      </c>
      <c r="Q188" s="398">
        <v>45204.33</v>
      </c>
      <c r="R188" s="398">
        <v>221765</v>
      </c>
      <c r="S188" s="398">
        <v>314.60000000000002</v>
      </c>
      <c r="T188" s="398">
        <v>800.05</v>
      </c>
      <c r="U188" s="398">
        <v>11050</v>
      </c>
      <c r="V188" s="398"/>
      <c r="W188" s="398"/>
      <c r="X188" s="382">
        <v>1416.13</v>
      </c>
      <c r="Y188" s="485">
        <f t="shared" si="25"/>
        <v>6111415.5799999991</v>
      </c>
      <c r="Z188" s="399">
        <v>73662.149999999994</v>
      </c>
      <c r="AA188" s="399">
        <v>9843.5499999999993</v>
      </c>
      <c r="AB188" s="399">
        <v>46563.199999999997</v>
      </c>
      <c r="AC188" s="399"/>
      <c r="AD188" s="399">
        <v>143934</v>
      </c>
      <c r="AE188" s="399"/>
      <c r="AF188" s="399"/>
      <c r="AG188" s="399"/>
      <c r="AH188" s="399">
        <v>14620.6</v>
      </c>
      <c r="AI188" s="399"/>
      <c r="AJ188" s="399"/>
      <c r="AK188" s="399"/>
      <c r="AL188" s="477"/>
      <c r="AM188" s="485">
        <f t="shared" si="26"/>
        <v>288623.5</v>
      </c>
      <c r="AN188" s="399">
        <v>57</v>
      </c>
      <c r="AO188" s="402">
        <v>1248</v>
      </c>
      <c r="AP188" s="480">
        <v>-48890.62</v>
      </c>
      <c r="AQ188" s="490"/>
      <c r="AR188" s="490">
        <v>-9724.3799999999992</v>
      </c>
      <c r="AS188" s="520">
        <v>1</v>
      </c>
      <c r="AT188" s="535">
        <v>6111415.5800000001</v>
      </c>
      <c r="AU188" s="535">
        <f>314.6+800.05+11050</f>
        <v>12164.65</v>
      </c>
      <c r="AV188" s="535">
        <v>1416.13</v>
      </c>
      <c r="AW188" s="535">
        <v>288623.5</v>
      </c>
      <c r="AX188" s="535"/>
      <c r="AY188" s="535">
        <v>-48890.62</v>
      </c>
      <c r="AZ188" s="535">
        <v>0</v>
      </c>
      <c r="BA188" s="535">
        <v>-9724.3799999999992</v>
      </c>
      <c r="BB188" s="480">
        <f t="shared" si="27"/>
        <v>0</v>
      </c>
      <c r="BC188" s="480">
        <f t="shared" si="28"/>
        <v>0</v>
      </c>
      <c r="BD188" s="480">
        <f t="shared" si="29"/>
        <v>0</v>
      </c>
      <c r="BE188" s="480">
        <f t="shared" si="30"/>
        <v>0</v>
      </c>
      <c r="BF188" s="480">
        <f t="shared" si="31"/>
        <v>0</v>
      </c>
      <c r="BG188" s="480">
        <f t="shared" si="32"/>
        <v>0</v>
      </c>
      <c r="BH188" s="480">
        <f t="shared" si="33"/>
        <v>0</v>
      </c>
      <c r="BI188" s="6">
        <f t="shared" si="34"/>
        <v>5709</v>
      </c>
      <c r="BJ188" s="480" t="str">
        <f t="shared" si="35"/>
        <v>Chéserex</v>
      </c>
    </row>
    <row r="189" spans="1:62" x14ac:dyDescent="0.25">
      <c r="A189" s="341">
        <v>5710</v>
      </c>
      <c r="B189" s="523" t="s">
        <v>227</v>
      </c>
      <c r="C189" s="394">
        <v>1527325.61</v>
      </c>
      <c r="D189" s="394">
        <v>255370.94</v>
      </c>
      <c r="E189" s="391"/>
      <c r="F189" s="394">
        <v>0</v>
      </c>
      <c r="G189" s="394">
        <v>67388.800000000003</v>
      </c>
      <c r="H189" s="394">
        <v>-22694.199999999899</v>
      </c>
      <c r="I189" s="394">
        <v>110957.8</v>
      </c>
      <c r="J189" s="394">
        <v>30135.7</v>
      </c>
      <c r="K189" s="394">
        <v>5015.25</v>
      </c>
      <c r="L189" s="394">
        <v>135779.20000000001</v>
      </c>
      <c r="M189" s="334">
        <f t="shared" si="24"/>
        <v>2109279.1</v>
      </c>
      <c r="N189" s="398">
        <v>29012.95</v>
      </c>
      <c r="O189" s="398">
        <v>5170.3</v>
      </c>
      <c r="P189" s="398">
        <v>63344</v>
      </c>
      <c r="Q189" s="398">
        <v>-320.83</v>
      </c>
      <c r="R189" s="398">
        <v>2291.65</v>
      </c>
      <c r="S189" s="398"/>
      <c r="T189" s="398"/>
      <c r="U189" s="398">
        <v>0</v>
      </c>
      <c r="V189" s="398"/>
      <c r="W189" s="398"/>
      <c r="X189" s="382">
        <v>5360.98</v>
      </c>
      <c r="Y189" s="485">
        <f t="shared" si="25"/>
        <v>2214138.15</v>
      </c>
      <c r="Z189" s="399">
        <v>6360</v>
      </c>
      <c r="AA189" s="399"/>
      <c r="AB189" s="399">
        <v>75026.399999999994</v>
      </c>
      <c r="AC189" s="399"/>
      <c r="AD189" s="399">
        <v>39230.300000000003</v>
      </c>
      <c r="AE189" s="399">
        <v>3360</v>
      </c>
      <c r="AF189" s="399"/>
      <c r="AG189" s="399"/>
      <c r="AH189" s="399">
        <v>5646</v>
      </c>
      <c r="AI189" s="399">
        <v>19799.93</v>
      </c>
      <c r="AJ189" s="399"/>
      <c r="AK189" s="399"/>
      <c r="AL189" s="477"/>
      <c r="AM189" s="485">
        <f t="shared" si="26"/>
        <v>149422.63</v>
      </c>
      <c r="AN189" s="399">
        <v>51</v>
      </c>
      <c r="AO189" s="402">
        <v>509</v>
      </c>
      <c r="AP189" s="480">
        <v>-3790.71</v>
      </c>
      <c r="AQ189" s="490"/>
      <c r="AR189" s="490">
        <v>-13971.31</v>
      </c>
      <c r="AS189" s="520">
        <v>1</v>
      </c>
      <c r="AT189" s="535">
        <v>2214138.15</v>
      </c>
      <c r="AU189" s="535">
        <v>0</v>
      </c>
      <c r="AV189" s="535">
        <v>5360.98</v>
      </c>
      <c r="AW189" s="535">
        <v>149422.63</v>
      </c>
      <c r="AX189" s="535">
        <v>0</v>
      </c>
      <c r="AY189" s="535">
        <v>-3790.71</v>
      </c>
      <c r="AZ189" s="535">
        <v>0</v>
      </c>
      <c r="BA189" s="535">
        <v>-13971.31</v>
      </c>
      <c r="BB189" s="480">
        <f t="shared" si="27"/>
        <v>0</v>
      </c>
      <c r="BC189" s="480">
        <f t="shared" si="28"/>
        <v>0</v>
      </c>
      <c r="BD189" s="480">
        <f t="shared" si="29"/>
        <v>0</v>
      </c>
      <c r="BE189" s="480">
        <f t="shared" si="30"/>
        <v>0</v>
      </c>
      <c r="BF189" s="480">
        <f t="shared" si="31"/>
        <v>0</v>
      </c>
      <c r="BG189" s="480">
        <f t="shared" si="32"/>
        <v>0</v>
      </c>
      <c r="BH189" s="480">
        <f t="shared" si="33"/>
        <v>0</v>
      </c>
      <c r="BI189" s="6">
        <f t="shared" si="34"/>
        <v>5710</v>
      </c>
      <c r="BJ189" s="480" t="str">
        <f t="shared" si="35"/>
        <v>Coinsins</v>
      </c>
    </row>
    <row r="190" spans="1:62" x14ac:dyDescent="0.25">
      <c r="A190" s="341">
        <v>5711</v>
      </c>
      <c r="B190" s="523" t="s">
        <v>228</v>
      </c>
      <c r="C190" s="394">
        <v>10413691.77</v>
      </c>
      <c r="D190" s="394">
        <v>2460536.0099999998</v>
      </c>
      <c r="E190" s="391"/>
      <c r="F190" s="394">
        <v>0</v>
      </c>
      <c r="G190" s="394">
        <v>46135</v>
      </c>
      <c r="H190" s="394">
        <v>8226.9</v>
      </c>
      <c r="I190" s="394">
        <v>181988.1</v>
      </c>
      <c r="J190" s="394">
        <v>184128.86</v>
      </c>
      <c r="K190" s="394">
        <v>14036.65</v>
      </c>
      <c r="L190" s="394">
        <v>1183990.3</v>
      </c>
      <c r="M190" s="334">
        <f t="shared" si="24"/>
        <v>14492733.59</v>
      </c>
      <c r="N190" s="398">
        <v>40394.75</v>
      </c>
      <c r="O190" s="398">
        <v>0</v>
      </c>
      <c r="P190" s="398">
        <v>734368.5</v>
      </c>
      <c r="Q190" s="398">
        <v>10623.89</v>
      </c>
      <c r="R190" s="398">
        <v>525442.6</v>
      </c>
      <c r="S190" s="398"/>
      <c r="T190" s="398"/>
      <c r="U190" s="398">
        <v>20000</v>
      </c>
      <c r="V190" s="398"/>
      <c r="W190" s="398"/>
      <c r="X190" s="382">
        <v>6520.54</v>
      </c>
      <c r="Y190" s="485">
        <f t="shared" si="25"/>
        <v>15830083.869999999</v>
      </c>
      <c r="Z190" s="399"/>
      <c r="AA190" s="399"/>
      <c r="AB190" s="399"/>
      <c r="AC190" s="399"/>
      <c r="AD190" s="399">
        <v>264149.98</v>
      </c>
      <c r="AE190" s="399"/>
      <c r="AF190" s="399"/>
      <c r="AG190" s="399"/>
      <c r="AH190" s="399">
        <v>7981</v>
      </c>
      <c r="AI190" s="399"/>
      <c r="AJ190" s="399"/>
      <c r="AK190" s="399"/>
      <c r="AL190" s="477"/>
      <c r="AM190" s="485">
        <f t="shared" si="26"/>
        <v>272130.98</v>
      </c>
      <c r="AN190" s="399">
        <v>55.5</v>
      </c>
      <c r="AO190" s="402">
        <v>2997</v>
      </c>
      <c r="AP190" s="480">
        <v>-66802.02</v>
      </c>
      <c r="AQ190" s="490"/>
      <c r="AR190" s="490">
        <v>-140964.12</v>
      </c>
      <c r="AS190" s="520">
        <v>1.3</v>
      </c>
      <c r="AT190" s="535">
        <v>15830083.869999999</v>
      </c>
      <c r="AU190" s="535">
        <v>20000</v>
      </c>
      <c r="AV190" s="535">
        <v>6520.54</v>
      </c>
      <c r="AW190" s="535">
        <v>272130.98</v>
      </c>
      <c r="AX190" s="535">
        <v>0</v>
      </c>
      <c r="AY190" s="535">
        <v>-66802.02</v>
      </c>
      <c r="AZ190" s="535">
        <v>0</v>
      </c>
      <c r="BA190" s="535">
        <v>-140964.12</v>
      </c>
      <c r="BB190" s="480">
        <f t="shared" si="27"/>
        <v>0</v>
      </c>
      <c r="BC190" s="480">
        <f t="shared" si="28"/>
        <v>0</v>
      </c>
      <c r="BD190" s="480">
        <f t="shared" si="29"/>
        <v>0</v>
      </c>
      <c r="BE190" s="480">
        <f t="shared" si="30"/>
        <v>0</v>
      </c>
      <c r="BF190" s="480">
        <f t="shared" si="31"/>
        <v>0</v>
      </c>
      <c r="BG190" s="480">
        <f t="shared" si="32"/>
        <v>0</v>
      </c>
      <c r="BH190" s="480">
        <f t="shared" si="33"/>
        <v>0</v>
      </c>
      <c r="BI190" s="6">
        <f t="shared" si="34"/>
        <v>5711</v>
      </c>
      <c r="BJ190" s="480" t="str">
        <f t="shared" si="35"/>
        <v>Commugny</v>
      </c>
    </row>
    <row r="191" spans="1:62" x14ac:dyDescent="0.25">
      <c r="A191" s="341">
        <v>5712</v>
      </c>
      <c r="B191" s="523" t="s">
        <v>229</v>
      </c>
      <c r="C191" s="394">
        <v>12726327.6</v>
      </c>
      <c r="D191" s="394">
        <v>4652788.47</v>
      </c>
      <c r="E191" s="391"/>
      <c r="F191" s="394">
        <v>0</v>
      </c>
      <c r="G191" s="394">
        <v>133659.20000000001</v>
      </c>
      <c r="H191" s="394">
        <v>29457.45</v>
      </c>
      <c r="I191" s="394">
        <v>1121150.23</v>
      </c>
      <c r="J191" s="394">
        <v>358802.08</v>
      </c>
      <c r="K191" s="394">
        <v>45987</v>
      </c>
      <c r="L191" s="394">
        <v>1809204.2</v>
      </c>
      <c r="M191" s="334">
        <f t="shared" si="24"/>
        <v>20877376.229999997</v>
      </c>
      <c r="N191" s="398">
        <v>122896.1</v>
      </c>
      <c r="O191" s="398">
        <v>160922.9</v>
      </c>
      <c r="P191" s="398">
        <v>529276.94999999995</v>
      </c>
      <c r="Q191" s="398">
        <v>21486.39</v>
      </c>
      <c r="R191" s="398">
        <v>927376.7</v>
      </c>
      <c r="S191" s="398"/>
      <c r="T191" s="398"/>
      <c r="U191" s="398">
        <v>10400</v>
      </c>
      <c r="V191" s="398"/>
      <c r="W191" s="398"/>
      <c r="X191" s="382">
        <v>19565.330000000002</v>
      </c>
      <c r="Y191" s="485">
        <f t="shared" si="25"/>
        <v>22669300.599999994</v>
      </c>
      <c r="Z191" s="399"/>
      <c r="AA191" s="399"/>
      <c r="AB191" s="399"/>
      <c r="AC191" s="399"/>
      <c r="AD191" s="399">
        <v>611626.4</v>
      </c>
      <c r="AE191" s="399"/>
      <c r="AF191" s="399"/>
      <c r="AG191" s="399"/>
      <c r="AH191" s="399"/>
      <c r="AI191" s="399"/>
      <c r="AJ191" s="399"/>
      <c r="AK191" s="399"/>
      <c r="AL191" s="477"/>
      <c r="AM191" s="485">
        <f t="shared" si="26"/>
        <v>611626.4</v>
      </c>
      <c r="AN191" s="399">
        <v>53</v>
      </c>
      <c r="AO191" s="402">
        <v>3247</v>
      </c>
      <c r="AP191" s="480">
        <v>-20670.150000000001</v>
      </c>
      <c r="AQ191" s="490"/>
      <c r="AR191" s="490">
        <v>-48473.31</v>
      </c>
      <c r="AS191" s="520">
        <v>1.5</v>
      </c>
      <c r="AT191" s="535">
        <v>22669300.600000001</v>
      </c>
      <c r="AU191" s="535">
        <v>10400</v>
      </c>
      <c r="AV191" s="535">
        <v>19565.330000000002</v>
      </c>
      <c r="AW191" s="535">
        <v>611626.4</v>
      </c>
      <c r="AX191" s="535">
        <v>0</v>
      </c>
      <c r="AY191" s="535">
        <v>-20670.150000000001</v>
      </c>
      <c r="AZ191" s="535">
        <v>0</v>
      </c>
      <c r="BA191" s="535">
        <v>-48473.31</v>
      </c>
      <c r="BB191" s="480">
        <f t="shared" si="27"/>
        <v>0</v>
      </c>
      <c r="BC191" s="480">
        <f t="shared" si="28"/>
        <v>0</v>
      </c>
      <c r="BD191" s="480">
        <f t="shared" si="29"/>
        <v>0</v>
      </c>
      <c r="BE191" s="480">
        <f t="shared" si="30"/>
        <v>0</v>
      </c>
      <c r="BF191" s="480">
        <f t="shared" si="31"/>
        <v>0</v>
      </c>
      <c r="BG191" s="480">
        <f t="shared" si="32"/>
        <v>0</v>
      </c>
      <c r="BH191" s="480">
        <f t="shared" si="33"/>
        <v>0</v>
      </c>
      <c r="BI191" s="6">
        <f t="shared" si="34"/>
        <v>5712</v>
      </c>
      <c r="BJ191" s="480" t="str">
        <f t="shared" si="35"/>
        <v>Coppet</v>
      </c>
    </row>
    <row r="192" spans="1:62" x14ac:dyDescent="0.25">
      <c r="A192" s="341">
        <v>5713</v>
      </c>
      <c r="B192" s="523" t="s">
        <v>230</v>
      </c>
      <c r="C192" s="394">
        <v>10288116.029999999</v>
      </c>
      <c r="D192" s="394">
        <v>5113777.3</v>
      </c>
      <c r="E192" s="391"/>
      <c r="F192" s="394">
        <v>0</v>
      </c>
      <c r="G192" s="394">
        <v>30435.4</v>
      </c>
      <c r="H192" s="394">
        <v>3221.15</v>
      </c>
      <c r="I192" s="394">
        <v>828053.35</v>
      </c>
      <c r="J192" s="394">
        <v>204965.06</v>
      </c>
      <c r="K192" s="394">
        <v>10573.5</v>
      </c>
      <c r="L192" s="394">
        <v>840352.05</v>
      </c>
      <c r="M192" s="334">
        <f t="shared" si="24"/>
        <v>17319493.84</v>
      </c>
      <c r="N192" s="398">
        <v>47661.35</v>
      </c>
      <c r="O192" s="398">
        <v>600651.1</v>
      </c>
      <c r="P192" s="398">
        <v>897113.1</v>
      </c>
      <c r="Q192" s="398">
        <v>0</v>
      </c>
      <c r="R192" s="398">
        <v>446422.15</v>
      </c>
      <c r="S192" s="398"/>
      <c r="T192" s="398"/>
      <c r="U192" s="398">
        <v>17050</v>
      </c>
      <c r="V192" s="398"/>
      <c r="W192" s="398"/>
      <c r="X192" s="382">
        <v>4037</v>
      </c>
      <c r="Y192" s="485">
        <f t="shared" si="25"/>
        <v>19332428.540000003</v>
      </c>
      <c r="Z192" s="399">
        <v>107883</v>
      </c>
      <c r="AA192" s="399"/>
      <c r="AB192" s="399">
        <v>592283.52</v>
      </c>
      <c r="AC192" s="399"/>
      <c r="AD192" s="399">
        <v>201999.21</v>
      </c>
      <c r="AE192" s="399"/>
      <c r="AF192" s="399"/>
      <c r="AG192" s="399"/>
      <c r="AH192" s="399">
        <v>6295</v>
      </c>
      <c r="AI192" s="399">
        <v>79827.399999999994</v>
      </c>
      <c r="AJ192" s="399"/>
      <c r="AK192" s="399"/>
      <c r="AL192" s="477"/>
      <c r="AM192" s="485">
        <f t="shared" si="26"/>
        <v>988288.13</v>
      </c>
      <c r="AN192" s="399">
        <v>56</v>
      </c>
      <c r="AO192" s="402">
        <v>2340</v>
      </c>
      <c r="AP192" s="480">
        <v>-8309.74</v>
      </c>
      <c r="AQ192" s="490"/>
      <c r="AR192" s="490">
        <v>-29766.61</v>
      </c>
      <c r="AS192" s="520">
        <v>1</v>
      </c>
      <c r="AT192" s="535">
        <v>19332428.539999999</v>
      </c>
      <c r="AU192" s="535">
        <f>17050+0</f>
        <v>17050</v>
      </c>
      <c r="AV192" s="535">
        <v>4037</v>
      </c>
      <c r="AW192" s="535">
        <v>988288.13</v>
      </c>
      <c r="AX192" s="535">
        <v>0</v>
      </c>
      <c r="AY192" s="535">
        <v>-8309.74</v>
      </c>
      <c r="AZ192" s="535">
        <v>0</v>
      </c>
      <c r="BA192" s="535">
        <v>-29766.61</v>
      </c>
      <c r="BB192" s="480">
        <f t="shared" si="27"/>
        <v>0</v>
      </c>
      <c r="BC192" s="480">
        <f t="shared" si="28"/>
        <v>0</v>
      </c>
      <c r="BD192" s="480">
        <f t="shared" si="29"/>
        <v>0</v>
      </c>
      <c r="BE192" s="480">
        <f t="shared" si="30"/>
        <v>0</v>
      </c>
      <c r="BF192" s="480">
        <f t="shared" si="31"/>
        <v>0</v>
      </c>
      <c r="BG192" s="480">
        <f t="shared" si="32"/>
        <v>0</v>
      </c>
      <c r="BH192" s="480">
        <f t="shared" si="33"/>
        <v>0</v>
      </c>
      <c r="BI192" s="6">
        <f t="shared" si="34"/>
        <v>5713</v>
      </c>
      <c r="BJ192" s="480" t="str">
        <f t="shared" si="35"/>
        <v>Crans-près-Céligny</v>
      </c>
    </row>
    <row r="193" spans="1:62" x14ac:dyDescent="0.25">
      <c r="A193" s="341">
        <v>5714</v>
      </c>
      <c r="B193" s="523" t="s">
        <v>231</v>
      </c>
      <c r="C193" s="394">
        <v>2837015.13</v>
      </c>
      <c r="D193" s="394">
        <v>464790.94</v>
      </c>
      <c r="E193" s="391"/>
      <c r="F193" s="394">
        <v>0</v>
      </c>
      <c r="G193" s="394">
        <v>-85584.25</v>
      </c>
      <c r="H193" s="394">
        <v>8520.9500000000007</v>
      </c>
      <c r="I193" s="394">
        <v>110782.45</v>
      </c>
      <c r="J193" s="394">
        <v>65008.5</v>
      </c>
      <c r="K193" s="394">
        <v>6742.5</v>
      </c>
      <c r="L193" s="394">
        <v>289820.05</v>
      </c>
      <c r="M193" s="334">
        <f t="shared" si="24"/>
        <v>3697096.27</v>
      </c>
      <c r="N193" s="398">
        <v>130763.45</v>
      </c>
      <c r="O193" s="398">
        <v>0</v>
      </c>
      <c r="P193" s="398">
        <v>175166.2</v>
      </c>
      <c r="Q193" s="398">
        <v>0</v>
      </c>
      <c r="R193" s="398">
        <v>73143.55</v>
      </c>
      <c r="S193" s="398">
        <v>430.55</v>
      </c>
      <c r="T193" s="398"/>
      <c r="U193" s="398">
        <v>4710</v>
      </c>
      <c r="V193" s="398"/>
      <c r="W193" s="398"/>
      <c r="X193" s="382">
        <v>-9243.5</v>
      </c>
      <c r="Y193" s="485">
        <f t="shared" si="25"/>
        <v>4072066.52</v>
      </c>
      <c r="Z193" s="399"/>
      <c r="AA193" s="399"/>
      <c r="AB193" s="399"/>
      <c r="AC193" s="399"/>
      <c r="AD193" s="399">
        <v>110626.65</v>
      </c>
      <c r="AE193" s="399"/>
      <c r="AF193" s="399"/>
      <c r="AG193" s="399"/>
      <c r="AH193" s="399">
        <v>210.75</v>
      </c>
      <c r="AI193" s="399">
        <v>30319.15</v>
      </c>
      <c r="AJ193" s="399"/>
      <c r="AK193" s="399"/>
      <c r="AL193" s="477"/>
      <c r="AM193" s="485">
        <f t="shared" si="26"/>
        <v>141156.54999999999</v>
      </c>
      <c r="AN193" s="399">
        <v>68</v>
      </c>
      <c r="AO193" s="402">
        <v>1174</v>
      </c>
      <c r="AP193" s="480">
        <v>-19075.849999999999</v>
      </c>
      <c r="AQ193" s="490"/>
      <c r="AR193" s="490">
        <v>-35557.89</v>
      </c>
      <c r="AS193" s="520">
        <v>1</v>
      </c>
      <c r="AT193" s="535">
        <v>4072066.52</v>
      </c>
      <c r="AU193" s="535">
        <f>430.55+4710</f>
        <v>5140.55</v>
      </c>
      <c r="AV193" s="535">
        <v>-9243.5</v>
      </c>
      <c r="AW193" s="535">
        <v>141156.54999999999</v>
      </c>
      <c r="AX193" s="535">
        <v>0</v>
      </c>
      <c r="AY193" s="535">
        <v>-19075.849999999999</v>
      </c>
      <c r="AZ193" s="535">
        <v>0</v>
      </c>
      <c r="BA193" s="535">
        <v>-35557.89</v>
      </c>
      <c r="BB193" s="480">
        <f t="shared" si="27"/>
        <v>0</v>
      </c>
      <c r="BC193" s="480">
        <f t="shared" si="28"/>
        <v>0</v>
      </c>
      <c r="BD193" s="480">
        <f t="shared" si="29"/>
        <v>0</v>
      </c>
      <c r="BE193" s="480">
        <f t="shared" si="30"/>
        <v>0</v>
      </c>
      <c r="BF193" s="480">
        <f t="shared" si="31"/>
        <v>0</v>
      </c>
      <c r="BG193" s="480">
        <f t="shared" si="32"/>
        <v>0</v>
      </c>
      <c r="BH193" s="480">
        <f t="shared" si="33"/>
        <v>0</v>
      </c>
      <c r="BI193" s="6">
        <f t="shared" si="34"/>
        <v>5714</v>
      </c>
      <c r="BJ193" s="480" t="str">
        <f t="shared" si="35"/>
        <v>Crassier</v>
      </c>
    </row>
    <row r="194" spans="1:62" x14ac:dyDescent="0.25">
      <c r="A194" s="341">
        <v>5715</v>
      </c>
      <c r="B194" s="525" t="s">
        <v>232</v>
      </c>
      <c r="C194" s="394">
        <v>3155469.33</v>
      </c>
      <c r="D194" s="394">
        <v>575535.76</v>
      </c>
      <c r="E194" s="391"/>
      <c r="F194" s="394">
        <v>0</v>
      </c>
      <c r="G194" s="394">
        <v>25872</v>
      </c>
      <c r="H194" s="394">
        <v>9112.9</v>
      </c>
      <c r="I194" s="394">
        <v>267.19999999999698</v>
      </c>
      <c r="J194" s="394">
        <v>111145.55</v>
      </c>
      <c r="K194" s="394">
        <v>2940.5</v>
      </c>
      <c r="L194" s="394">
        <v>280968.40000000002</v>
      </c>
      <c r="M194" s="334">
        <f t="shared" si="24"/>
        <v>4161311.6399999997</v>
      </c>
      <c r="N194" s="398">
        <v>89546.35</v>
      </c>
      <c r="O194" s="398">
        <v>0</v>
      </c>
      <c r="P194" s="398">
        <v>242319</v>
      </c>
      <c r="Q194" s="398">
        <v>14698.53</v>
      </c>
      <c r="R194" s="398">
        <v>180000.6</v>
      </c>
      <c r="S194" s="398"/>
      <c r="T194" s="398"/>
      <c r="U194" s="398">
        <v>8150</v>
      </c>
      <c r="V194" s="398"/>
      <c r="W194" s="398"/>
      <c r="X194" s="382">
        <v>4196.33</v>
      </c>
      <c r="Y194" s="485">
        <f t="shared" si="25"/>
        <v>4700222.4499999993</v>
      </c>
      <c r="Z194" s="399"/>
      <c r="AA194" s="399"/>
      <c r="AB194" s="399"/>
      <c r="AC194" s="399"/>
      <c r="AD194" s="399"/>
      <c r="AE194" s="399"/>
      <c r="AF194" s="399"/>
      <c r="AG194" s="399"/>
      <c r="AH194" s="399"/>
      <c r="AI194" s="399"/>
      <c r="AJ194" s="399"/>
      <c r="AK194" s="399"/>
      <c r="AL194" s="477"/>
      <c r="AM194" s="485">
        <f t="shared" si="26"/>
        <v>0</v>
      </c>
      <c r="AN194" s="399">
        <v>66</v>
      </c>
      <c r="AO194" s="402">
        <v>1128</v>
      </c>
      <c r="AP194" s="480">
        <v>-111564.9</v>
      </c>
      <c r="AQ194" s="490"/>
      <c r="AR194" s="490">
        <v>-4776.46</v>
      </c>
      <c r="AS194" s="520">
        <v>1</v>
      </c>
      <c r="AT194" s="535">
        <v>4700222.45</v>
      </c>
      <c r="AU194" s="535">
        <v>8150</v>
      </c>
      <c r="AV194" s="535">
        <v>4196.33</v>
      </c>
      <c r="AW194" s="535">
        <v>0</v>
      </c>
      <c r="AX194" s="535">
        <v>0</v>
      </c>
      <c r="AY194" s="535">
        <v>-111564.9</v>
      </c>
      <c r="AZ194" s="535">
        <v>0</v>
      </c>
      <c r="BA194" s="535">
        <v>-4776.46</v>
      </c>
      <c r="BB194" s="480">
        <f t="shared" si="27"/>
        <v>0</v>
      </c>
      <c r="BC194" s="480">
        <f t="shared" si="28"/>
        <v>0</v>
      </c>
      <c r="BD194" s="480">
        <f t="shared" si="29"/>
        <v>0</v>
      </c>
      <c r="BE194" s="480">
        <f t="shared" si="30"/>
        <v>0</v>
      </c>
      <c r="BF194" s="480">
        <f t="shared" si="31"/>
        <v>0</v>
      </c>
      <c r="BG194" s="480">
        <f t="shared" si="32"/>
        <v>0</v>
      </c>
      <c r="BH194" s="480">
        <f t="shared" si="33"/>
        <v>0</v>
      </c>
      <c r="BI194" s="6">
        <f t="shared" si="34"/>
        <v>5715</v>
      </c>
      <c r="BJ194" s="480" t="str">
        <f t="shared" si="35"/>
        <v>Duillier</v>
      </c>
    </row>
    <row r="195" spans="1:62" x14ac:dyDescent="0.25">
      <c r="A195" s="341">
        <v>5716</v>
      </c>
      <c r="B195" s="523" t="s">
        <v>233</v>
      </c>
      <c r="C195" s="394">
        <v>4063002.44</v>
      </c>
      <c r="D195" s="394">
        <v>533591.48</v>
      </c>
      <c r="E195" s="391"/>
      <c r="F195" s="394">
        <v>0</v>
      </c>
      <c r="G195" s="394">
        <v>9567108.0999999996</v>
      </c>
      <c r="H195" s="394">
        <v>1195545.6000000001</v>
      </c>
      <c r="I195" s="394">
        <v>0</v>
      </c>
      <c r="J195" s="394">
        <v>1090328.49</v>
      </c>
      <c r="K195" s="394">
        <v>191319.35</v>
      </c>
      <c r="L195" s="394">
        <v>648283.1</v>
      </c>
      <c r="M195" s="334">
        <f t="shared" si="24"/>
        <v>17289178.559999999</v>
      </c>
      <c r="N195" s="398">
        <v>574592.4</v>
      </c>
      <c r="O195" s="398">
        <v>104368.8</v>
      </c>
      <c r="P195" s="398">
        <v>1109474.6499999999</v>
      </c>
      <c r="Q195" s="398">
        <v>9607.18</v>
      </c>
      <c r="R195" s="398">
        <v>123842.9</v>
      </c>
      <c r="S195" s="398">
        <v>9045.7000000000007</v>
      </c>
      <c r="T195" s="398"/>
      <c r="U195" s="398">
        <v>9050</v>
      </c>
      <c r="V195" s="398"/>
      <c r="W195" s="398"/>
      <c r="X195" s="382">
        <v>1290946.78</v>
      </c>
      <c r="Y195" s="485">
        <f t="shared" si="25"/>
        <v>20520106.969999995</v>
      </c>
      <c r="Z195" s="399">
        <v>1050</v>
      </c>
      <c r="AA195" s="399"/>
      <c r="AB195" s="399">
        <v>215929.29</v>
      </c>
      <c r="AC195" s="399"/>
      <c r="AD195" s="399">
        <v>108022.6</v>
      </c>
      <c r="AE195" s="399"/>
      <c r="AF195" s="399"/>
      <c r="AG195" s="399"/>
      <c r="AH195" s="399"/>
      <c r="AI195" s="399">
        <v>72250.399999999994</v>
      </c>
      <c r="AJ195" s="399"/>
      <c r="AK195" s="399"/>
      <c r="AL195" s="477"/>
      <c r="AM195" s="485">
        <f t="shared" si="26"/>
        <v>397252.29000000004</v>
      </c>
      <c r="AN195" s="399">
        <v>59.5</v>
      </c>
      <c r="AO195" s="402">
        <v>1740</v>
      </c>
      <c r="AP195" s="480">
        <v>-54028.74</v>
      </c>
      <c r="AQ195" s="490"/>
      <c r="AR195" s="490">
        <v>-1488.32</v>
      </c>
      <c r="AS195" s="520">
        <v>1</v>
      </c>
      <c r="AT195" s="535">
        <v>20520106.969999999</v>
      </c>
      <c r="AU195" s="535">
        <f>9050+9045.7</f>
        <v>18095.7</v>
      </c>
      <c r="AV195" s="535">
        <v>1290946.78</v>
      </c>
      <c r="AW195" s="535">
        <v>397252.29</v>
      </c>
      <c r="AX195" s="535">
        <v>0</v>
      </c>
      <c r="AY195" s="535">
        <v>-54028.74</v>
      </c>
      <c r="AZ195" s="535">
        <v>0</v>
      </c>
      <c r="BA195" s="535">
        <v>-1488.32</v>
      </c>
      <c r="BB195" s="480">
        <f t="shared" si="27"/>
        <v>0</v>
      </c>
      <c r="BC195" s="480">
        <f t="shared" si="28"/>
        <v>0</v>
      </c>
      <c r="BD195" s="480">
        <f t="shared" si="29"/>
        <v>0</v>
      </c>
      <c r="BE195" s="480">
        <f t="shared" si="30"/>
        <v>0</v>
      </c>
      <c r="BF195" s="480">
        <f t="shared" si="31"/>
        <v>0</v>
      </c>
      <c r="BG195" s="480">
        <f t="shared" si="32"/>
        <v>0</v>
      </c>
      <c r="BH195" s="480">
        <f t="shared" si="33"/>
        <v>0</v>
      </c>
      <c r="BI195" s="6">
        <f t="shared" si="34"/>
        <v>5716</v>
      </c>
      <c r="BJ195" s="480" t="str">
        <f t="shared" si="35"/>
        <v>Eysins</v>
      </c>
    </row>
    <row r="196" spans="1:62" x14ac:dyDescent="0.25">
      <c r="A196" s="341">
        <v>5717</v>
      </c>
      <c r="B196" s="523" t="s">
        <v>234</v>
      </c>
      <c r="C196" s="394">
        <v>16107344.529999999</v>
      </c>
      <c r="D196" s="394">
        <v>4014240.05</v>
      </c>
      <c r="E196" s="391"/>
      <c r="F196" s="394">
        <v>0</v>
      </c>
      <c r="G196" s="394">
        <v>72282.55</v>
      </c>
      <c r="H196" s="394">
        <v>35336.949999999997</v>
      </c>
      <c r="I196" s="394">
        <v>925308</v>
      </c>
      <c r="J196" s="394">
        <v>-287667.32</v>
      </c>
      <c r="K196" s="394">
        <v>41372</v>
      </c>
      <c r="L196" s="394">
        <v>1332232.8999999999</v>
      </c>
      <c r="M196" s="334">
        <f t="shared" si="24"/>
        <v>22240449.659999996</v>
      </c>
      <c r="N196" s="398">
        <v>222193.9</v>
      </c>
      <c r="O196" s="398">
        <v>244729.2</v>
      </c>
      <c r="P196" s="398">
        <v>998803.45</v>
      </c>
      <c r="Q196" s="398">
        <v>12068.44</v>
      </c>
      <c r="R196" s="398">
        <v>935119.25</v>
      </c>
      <c r="S196" s="398"/>
      <c r="T196" s="398"/>
      <c r="U196" s="398">
        <v>20895</v>
      </c>
      <c r="V196" s="398"/>
      <c r="W196" s="398"/>
      <c r="X196" s="382">
        <v>12908.62</v>
      </c>
      <c r="Y196" s="485">
        <f t="shared" si="25"/>
        <v>24687167.519999996</v>
      </c>
      <c r="Z196" s="399"/>
      <c r="AA196" s="399"/>
      <c r="AB196" s="399"/>
      <c r="AC196" s="399"/>
      <c r="AD196" s="399">
        <v>492313.07</v>
      </c>
      <c r="AE196" s="399"/>
      <c r="AF196" s="399"/>
      <c r="AG196" s="399"/>
      <c r="AH196" s="399">
        <v>438</v>
      </c>
      <c r="AI196" s="399"/>
      <c r="AJ196" s="399"/>
      <c r="AK196" s="399">
        <v>118756.25</v>
      </c>
      <c r="AL196" s="477"/>
      <c r="AM196" s="485">
        <f t="shared" si="26"/>
        <v>611507.32000000007</v>
      </c>
      <c r="AN196" s="399">
        <v>57</v>
      </c>
      <c r="AO196" s="402">
        <v>3834</v>
      </c>
      <c r="AP196" s="480">
        <v>-115528.89</v>
      </c>
      <c r="AQ196" s="490"/>
      <c r="AR196" s="490">
        <v>-102206.5</v>
      </c>
      <c r="AS196" s="520">
        <v>1</v>
      </c>
      <c r="AT196" s="535">
        <v>24687167.52</v>
      </c>
      <c r="AU196" s="535">
        <v>20895</v>
      </c>
      <c r="AV196" s="535">
        <v>12908.62</v>
      </c>
      <c r="AW196" s="535">
        <v>611507.31999999995</v>
      </c>
      <c r="AX196" s="535">
        <v>0</v>
      </c>
      <c r="AY196" s="535">
        <v>-115528.89</v>
      </c>
      <c r="AZ196" s="535">
        <v>0</v>
      </c>
      <c r="BA196" s="535">
        <v>-102206.5</v>
      </c>
      <c r="BB196" s="480">
        <f t="shared" si="27"/>
        <v>0</v>
      </c>
      <c r="BC196" s="480">
        <f t="shared" si="28"/>
        <v>0</v>
      </c>
      <c r="BD196" s="480">
        <f t="shared" si="29"/>
        <v>0</v>
      </c>
      <c r="BE196" s="480">
        <f t="shared" si="30"/>
        <v>0</v>
      </c>
      <c r="BF196" s="480">
        <f t="shared" si="31"/>
        <v>0</v>
      </c>
      <c r="BG196" s="480">
        <f t="shared" si="32"/>
        <v>0</v>
      </c>
      <c r="BH196" s="480">
        <f t="shared" si="33"/>
        <v>0</v>
      </c>
      <c r="BI196" s="6">
        <f t="shared" si="34"/>
        <v>5717</v>
      </c>
      <c r="BJ196" s="480" t="str">
        <f t="shared" si="35"/>
        <v>Founex</v>
      </c>
    </row>
    <row r="197" spans="1:62" x14ac:dyDescent="0.25">
      <c r="A197" s="341">
        <v>5718</v>
      </c>
      <c r="B197" s="523" t="s">
        <v>235</v>
      </c>
      <c r="C197" s="394">
        <v>10057337.779999999</v>
      </c>
      <c r="D197" s="394">
        <v>1844585.49</v>
      </c>
      <c r="E197" s="391"/>
      <c r="F197" s="394">
        <v>0</v>
      </c>
      <c r="G197" s="394">
        <v>377437.85</v>
      </c>
      <c r="H197" s="394">
        <v>-57521.1</v>
      </c>
      <c r="I197" s="394">
        <v>345616.43</v>
      </c>
      <c r="J197" s="394">
        <v>183001.21</v>
      </c>
      <c r="K197" s="394">
        <v>41921.599999999999</v>
      </c>
      <c r="L197" s="394">
        <v>685761.5</v>
      </c>
      <c r="M197" s="334">
        <f t="shared" si="24"/>
        <v>13478140.76</v>
      </c>
      <c r="N197" s="398">
        <v>269907.05</v>
      </c>
      <c r="O197" s="398">
        <v>-40770.400000000001</v>
      </c>
      <c r="P197" s="398">
        <v>480990.65</v>
      </c>
      <c r="Q197" s="398">
        <v>2276.39</v>
      </c>
      <c r="R197" s="398">
        <v>383919.55</v>
      </c>
      <c r="S197" s="398"/>
      <c r="T197" s="398">
        <v>50</v>
      </c>
      <c r="U197" s="398">
        <v>8250</v>
      </c>
      <c r="V197" s="398"/>
      <c r="W197" s="398"/>
      <c r="X197" s="382">
        <v>38373.019999999997</v>
      </c>
      <c r="Y197" s="485">
        <f t="shared" si="25"/>
        <v>14621137.020000001</v>
      </c>
      <c r="Z197" s="399">
        <v>83165.399999999994</v>
      </c>
      <c r="AA197" s="399"/>
      <c r="AB197" s="399">
        <v>226430.7</v>
      </c>
      <c r="AC197" s="399"/>
      <c r="AD197" s="399">
        <v>185872.61</v>
      </c>
      <c r="AE197" s="399">
        <v>215917.35</v>
      </c>
      <c r="AF197" s="399"/>
      <c r="AG197" s="399"/>
      <c r="AH197" s="399">
        <v>20440.3</v>
      </c>
      <c r="AI197" s="399"/>
      <c r="AJ197" s="399"/>
      <c r="AK197" s="399"/>
      <c r="AL197" s="477"/>
      <c r="AM197" s="485">
        <f t="shared" si="26"/>
        <v>731826.36</v>
      </c>
      <c r="AN197" s="399">
        <v>55</v>
      </c>
      <c r="AO197" s="402">
        <v>1996</v>
      </c>
      <c r="AP197" s="480">
        <v>-26729.54</v>
      </c>
      <c r="AQ197" s="490"/>
      <c r="AR197" s="490">
        <v>-12535.27</v>
      </c>
      <c r="AS197" s="520">
        <v>1</v>
      </c>
      <c r="AT197" s="535">
        <v>14621137.02</v>
      </c>
      <c r="AU197" s="535">
        <f>8250+50</f>
        <v>8300</v>
      </c>
      <c r="AV197" s="535">
        <v>38373.019999999997</v>
      </c>
      <c r="AW197" s="535">
        <v>731826.36</v>
      </c>
      <c r="AX197" s="535">
        <v>0</v>
      </c>
      <c r="AY197" s="535">
        <v>-26729.54</v>
      </c>
      <c r="AZ197" s="535">
        <v>0</v>
      </c>
      <c r="BA197" s="535">
        <v>-12535.27</v>
      </c>
      <c r="BB197" s="480">
        <f t="shared" si="27"/>
        <v>0</v>
      </c>
      <c r="BC197" s="480">
        <f t="shared" si="28"/>
        <v>0</v>
      </c>
      <c r="BD197" s="480">
        <f t="shared" si="29"/>
        <v>0</v>
      </c>
      <c r="BE197" s="480">
        <f t="shared" si="30"/>
        <v>0</v>
      </c>
      <c r="BF197" s="480">
        <f t="shared" si="31"/>
        <v>0</v>
      </c>
      <c r="BG197" s="480">
        <f t="shared" si="32"/>
        <v>0</v>
      </c>
      <c r="BH197" s="480">
        <f t="shared" si="33"/>
        <v>0</v>
      </c>
      <c r="BI197" s="6">
        <f t="shared" si="34"/>
        <v>5718</v>
      </c>
      <c r="BJ197" s="480" t="str">
        <f t="shared" si="35"/>
        <v>Genolier</v>
      </c>
    </row>
    <row r="198" spans="1:62" x14ac:dyDescent="0.25">
      <c r="A198" s="341">
        <v>5719</v>
      </c>
      <c r="B198" s="523" t="s">
        <v>236</v>
      </c>
      <c r="C198" s="394">
        <v>4694001.5</v>
      </c>
      <c r="D198" s="394">
        <v>2494921.4</v>
      </c>
      <c r="E198" s="391"/>
      <c r="F198" s="394">
        <v>0</v>
      </c>
      <c r="G198" s="394">
        <v>465106.15</v>
      </c>
      <c r="H198" s="394">
        <v>5786.1</v>
      </c>
      <c r="I198" s="394">
        <v>162245.15</v>
      </c>
      <c r="J198" s="394">
        <v>49408.41</v>
      </c>
      <c r="K198" s="394">
        <v>6062.8</v>
      </c>
      <c r="L198" s="394">
        <v>245952.5</v>
      </c>
      <c r="M198" s="334">
        <f t="shared" si="24"/>
        <v>8123484.0100000007</v>
      </c>
      <c r="N198" s="398">
        <v>52212.85</v>
      </c>
      <c r="O198" s="398">
        <v>12175.7</v>
      </c>
      <c r="P198" s="398">
        <v>292425.45</v>
      </c>
      <c r="Q198" s="398">
        <v>0</v>
      </c>
      <c r="R198" s="398">
        <v>108446.75</v>
      </c>
      <c r="S198" s="398"/>
      <c r="T198" s="398"/>
      <c r="U198" s="398">
        <v>15250</v>
      </c>
      <c r="V198" s="398"/>
      <c r="W198" s="398"/>
      <c r="X198" s="382">
        <v>56482.06</v>
      </c>
      <c r="Y198" s="485">
        <f t="shared" si="25"/>
        <v>8660476.8200000003</v>
      </c>
      <c r="Z198" s="399">
        <v>19506</v>
      </c>
      <c r="AA198" s="399"/>
      <c r="AB198" s="399">
        <v>93648.31</v>
      </c>
      <c r="AC198" s="399"/>
      <c r="AD198" s="399">
        <v>97684.9</v>
      </c>
      <c r="AE198" s="399">
        <v>22050</v>
      </c>
      <c r="AF198" s="399"/>
      <c r="AG198" s="399"/>
      <c r="AH198" s="399"/>
      <c r="AI198" s="399"/>
      <c r="AJ198" s="399"/>
      <c r="AK198" s="399"/>
      <c r="AL198" s="477"/>
      <c r="AM198" s="485">
        <f t="shared" si="26"/>
        <v>232889.21</v>
      </c>
      <c r="AN198" s="399">
        <v>57</v>
      </c>
      <c r="AO198" s="402">
        <v>1257</v>
      </c>
      <c r="AP198" s="480">
        <v>-22774.51</v>
      </c>
      <c r="AQ198" s="490"/>
      <c r="AR198" s="490">
        <v>-12758.73</v>
      </c>
      <c r="AS198" s="520">
        <v>0.6</v>
      </c>
      <c r="AT198" s="535">
        <v>8660476.8200000003</v>
      </c>
      <c r="AU198" s="535">
        <v>15250</v>
      </c>
      <c r="AV198" s="535">
        <v>56482.06</v>
      </c>
      <c r="AW198" s="535">
        <v>232889.21</v>
      </c>
      <c r="AX198" s="535">
        <v>0</v>
      </c>
      <c r="AY198" s="535">
        <v>-22774.51</v>
      </c>
      <c r="AZ198" s="535">
        <v>0</v>
      </c>
      <c r="BA198" s="535">
        <v>-12758.73</v>
      </c>
      <c r="BB198" s="480">
        <f t="shared" si="27"/>
        <v>0</v>
      </c>
      <c r="BC198" s="480">
        <f t="shared" si="28"/>
        <v>0</v>
      </c>
      <c r="BD198" s="480">
        <f t="shared" si="29"/>
        <v>0</v>
      </c>
      <c r="BE198" s="480">
        <f t="shared" si="30"/>
        <v>0</v>
      </c>
      <c r="BF198" s="480">
        <f t="shared" si="31"/>
        <v>0</v>
      </c>
      <c r="BG198" s="480">
        <f t="shared" si="32"/>
        <v>0</v>
      </c>
      <c r="BH198" s="480">
        <f t="shared" si="33"/>
        <v>0</v>
      </c>
      <c r="BI198" s="6">
        <f t="shared" si="34"/>
        <v>5719</v>
      </c>
      <c r="BJ198" s="480" t="str">
        <f t="shared" si="35"/>
        <v>Gingins</v>
      </c>
    </row>
    <row r="199" spans="1:62" x14ac:dyDescent="0.25">
      <c r="A199" s="341">
        <v>5720</v>
      </c>
      <c r="B199" s="523" t="s">
        <v>237</v>
      </c>
      <c r="C199" s="394">
        <v>3912817.1</v>
      </c>
      <c r="D199" s="394">
        <v>1042942.18</v>
      </c>
      <c r="E199" s="391"/>
      <c r="F199" s="394">
        <v>0</v>
      </c>
      <c r="G199" s="394">
        <v>31672.799999999999</v>
      </c>
      <c r="H199" s="394">
        <v>13651.6</v>
      </c>
      <c r="I199" s="394">
        <v>324111.55</v>
      </c>
      <c r="J199" s="394">
        <v>36650.199999999997</v>
      </c>
      <c r="K199" s="394">
        <v>0</v>
      </c>
      <c r="L199" s="394">
        <v>277389.84999999998</v>
      </c>
      <c r="M199" s="334">
        <f t="shared" ref="M199:M262" si="36">SUM(C199:L199)</f>
        <v>5639235.2799999993</v>
      </c>
      <c r="N199" s="398">
        <v>9872.7000000000007</v>
      </c>
      <c r="O199" s="398">
        <v>0</v>
      </c>
      <c r="P199" s="398">
        <v>223479.45</v>
      </c>
      <c r="Q199" s="398">
        <v>1506.3</v>
      </c>
      <c r="R199" s="398">
        <v>336799.65</v>
      </c>
      <c r="S199" s="398"/>
      <c r="T199" s="398">
        <v>191.75</v>
      </c>
      <c r="U199" s="398">
        <v>6160</v>
      </c>
      <c r="V199" s="398"/>
      <c r="W199" s="398"/>
      <c r="X199" s="382">
        <v>5436.52</v>
      </c>
      <c r="Y199" s="485">
        <f t="shared" si="25"/>
        <v>6222681.6499999994</v>
      </c>
      <c r="Z199" s="399">
        <v>35760.65</v>
      </c>
      <c r="AA199" s="399"/>
      <c r="AB199" s="399">
        <v>151974.95000000001</v>
      </c>
      <c r="AC199" s="399"/>
      <c r="AD199" s="399">
        <v>60037.7</v>
      </c>
      <c r="AE199" s="399">
        <v>48634.35</v>
      </c>
      <c r="AF199" s="399"/>
      <c r="AG199" s="399"/>
      <c r="AH199" s="399"/>
      <c r="AI199" s="399"/>
      <c r="AJ199" s="399"/>
      <c r="AK199" s="399"/>
      <c r="AL199" s="477"/>
      <c r="AM199" s="485">
        <f t="shared" si="26"/>
        <v>296407.64999999997</v>
      </c>
      <c r="AN199" s="399">
        <v>67</v>
      </c>
      <c r="AO199" s="402">
        <v>1031</v>
      </c>
      <c r="AP199" s="480">
        <v>-24457.919999999998</v>
      </c>
      <c r="AQ199" s="490"/>
      <c r="AR199" s="490">
        <v>-13000.22</v>
      </c>
      <c r="AS199" s="520">
        <v>0.9</v>
      </c>
      <c r="AT199" s="535">
        <v>6222681.6500000004</v>
      </c>
      <c r="AU199" s="535">
        <f>191.75+6160</f>
        <v>6351.75</v>
      </c>
      <c r="AV199" s="535">
        <v>5436.52</v>
      </c>
      <c r="AW199" s="535">
        <v>296407.65000000002</v>
      </c>
      <c r="AX199" s="535">
        <v>0</v>
      </c>
      <c r="AY199" s="535">
        <v>-24457.919999999998</v>
      </c>
      <c r="AZ199" s="535">
        <v>0</v>
      </c>
      <c r="BA199" s="535">
        <v>-13000.22</v>
      </c>
      <c r="BB199" s="480">
        <f t="shared" si="27"/>
        <v>0</v>
      </c>
      <c r="BC199" s="480">
        <f t="shared" si="28"/>
        <v>0</v>
      </c>
      <c r="BD199" s="480">
        <f t="shared" si="29"/>
        <v>0</v>
      </c>
      <c r="BE199" s="480">
        <f t="shared" si="30"/>
        <v>0</v>
      </c>
      <c r="BF199" s="480">
        <f t="shared" si="31"/>
        <v>0</v>
      </c>
      <c r="BG199" s="480">
        <f t="shared" si="32"/>
        <v>0</v>
      </c>
      <c r="BH199" s="480">
        <f t="shared" si="33"/>
        <v>0</v>
      </c>
      <c r="BI199" s="6">
        <f t="shared" si="34"/>
        <v>5720</v>
      </c>
      <c r="BJ199" s="480" t="str">
        <f t="shared" si="35"/>
        <v>Givrins</v>
      </c>
    </row>
    <row r="200" spans="1:62" x14ac:dyDescent="0.25">
      <c r="A200" s="341">
        <v>5721</v>
      </c>
      <c r="B200" s="523" t="s">
        <v>238</v>
      </c>
      <c r="C200" s="394">
        <v>25541606.73</v>
      </c>
      <c r="D200" s="394">
        <v>5504031.6900000004</v>
      </c>
      <c r="E200" s="391"/>
      <c r="F200" s="394">
        <v>0</v>
      </c>
      <c r="G200" s="394">
        <v>3274072.85</v>
      </c>
      <c r="H200" s="394">
        <v>504382.5</v>
      </c>
      <c r="I200" s="394">
        <v>570158.6</v>
      </c>
      <c r="J200" s="394">
        <v>1086520.6299999999</v>
      </c>
      <c r="K200" s="394">
        <v>512957.5</v>
      </c>
      <c r="L200" s="394">
        <v>2975096.15</v>
      </c>
      <c r="M200" s="334">
        <f t="shared" si="36"/>
        <v>39968826.650000006</v>
      </c>
      <c r="N200" s="398">
        <v>2223465.7000000002</v>
      </c>
      <c r="O200" s="398">
        <v>238437</v>
      </c>
      <c r="P200" s="398">
        <v>2072198.5</v>
      </c>
      <c r="Q200" s="398">
        <v>150029.39000000001</v>
      </c>
      <c r="R200" s="398">
        <v>766926.3</v>
      </c>
      <c r="S200" s="398"/>
      <c r="T200" s="398"/>
      <c r="U200" s="398">
        <v>68700</v>
      </c>
      <c r="V200" s="398"/>
      <c r="W200" s="398"/>
      <c r="X200" s="382">
        <v>453213.95</v>
      </c>
      <c r="Y200" s="485">
        <f t="shared" ref="Y200:Y263" si="37">SUM(M200:X200)</f>
        <v>45941797.49000001</v>
      </c>
      <c r="Z200" s="399">
        <v>1389709.5</v>
      </c>
      <c r="AA200" s="399"/>
      <c r="AB200" s="399">
        <v>1164237.8</v>
      </c>
      <c r="AC200" s="399"/>
      <c r="AD200" s="399">
        <v>1413311.6</v>
      </c>
      <c r="AE200" s="399">
        <v>555883.75</v>
      </c>
      <c r="AF200" s="399"/>
      <c r="AG200" s="399"/>
      <c r="AH200" s="399">
        <v>45173.85</v>
      </c>
      <c r="AI200" s="399">
        <v>477328.71</v>
      </c>
      <c r="AJ200" s="399">
        <v>272768.69</v>
      </c>
      <c r="AK200" s="399">
        <v>477328.71</v>
      </c>
      <c r="AL200" s="477">
        <v>340988.64</v>
      </c>
      <c r="AM200" s="485">
        <f t="shared" ref="AM200:AM263" si="38">SUM(Z200:AL200)</f>
        <v>6136731.25</v>
      </c>
      <c r="AN200" s="399">
        <v>61</v>
      </c>
      <c r="AO200" s="402">
        <v>13243</v>
      </c>
      <c r="AP200" s="480">
        <v>-813563.98</v>
      </c>
      <c r="AQ200" s="490"/>
      <c r="AR200" s="490">
        <v>-40976.54</v>
      </c>
      <c r="AS200" s="520">
        <v>1</v>
      </c>
      <c r="AT200" s="535">
        <v>45941797.490000002</v>
      </c>
      <c r="AU200" s="535">
        <v>68700</v>
      </c>
      <c r="AV200" s="535">
        <v>453213.95</v>
      </c>
      <c r="AW200" s="535">
        <v>6136731.25</v>
      </c>
      <c r="AX200" s="535">
        <v>0</v>
      </c>
      <c r="AY200" s="535">
        <v>-813563.98</v>
      </c>
      <c r="AZ200" s="535">
        <v>0</v>
      </c>
      <c r="BA200" s="535">
        <v>-40976.54</v>
      </c>
      <c r="BB200" s="480">
        <f t="shared" ref="BB200:BB263" si="39">+AT200-Y200</f>
        <v>0</v>
      </c>
      <c r="BC200" s="480">
        <f t="shared" ref="BC200:BC263" si="40">+AW200-AM200</f>
        <v>0</v>
      </c>
      <c r="BD200" s="480">
        <f t="shared" ref="BD200:BD263" si="41">+AY200-AP200</f>
        <v>0</v>
      </c>
      <c r="BE200" s="480">
        <f t="shared" ref="BE200:BE263" si="42">+AZ200-AQ200</f>
        <v>0</v>
      </c>
      <c r="BF200" s="480">
        <f t="shared" ref="BF200:BF263" si="43">+BA200-AR200</f>
        <v>0</v>
      </c>
      <c r="BG200" s="480">
        <f t="shared" ref="BG200:BG263" si="44">+AV200-X200</f>
        <v>0</v>
      </c>
      <c r="BH200" s="480">
        <f t="shared" ref="BH200:BH263" si="45">+S200+T200+U200+V200+W200-AU200</f>
        <v>0</v>
      </c>
      <c r="BI200" s="6">
        <f t="shared" ref="BI200:BI263" si="46">+A200</f>
        <v>5721</v>
      </c>
      <c r="BJ200" s="480" t="str">
        <f t="shared" ref="BJ200:BJ263" si="47">+B200</f>
        <v>Gland</v>
      </c>
    </row>
    <row r="201" spans="1:62" x14ac:dyDescent="0.25">
      <c r="A201" s="341">
        <v>5722</v>
      </c>
      <c r="B201" s="523" t="s">
        <v>239</v>
      </c>
      <c r="C201" s="394">
        <v>1316073.32</v>
      </c>
      <c r="D201" s="394">
        <v>181810.65</v>
      </c>
      <c r="E201" s="391"/>
      <c r="F201" s="394">
        <v>0</v>
      </c>
      <c r="G201" s="394">
        <v>8334.5499999999993</v>
      </c>
      <c r="H201" s="394">
        <v>1812.35</v>
      </c>
      <c r="I201" s="394">
        <v>0</v>
      </c>
      <c r="J201" s="394">
        <v>-18719.46</v>
      </c>
      <c r="K201" s="394">
        <v>6180.6</v>
      </c>
      <c r="L201" s="394">
        <v>87955.05</v>
      </c>
      <c r="M201" s="334">
        <f t="shared" si="36"/>
        <v>1583447.0600000003</v>
      </c>
      <c r="N201" s="398">
        <v>22755.3</v>
      </c>
      <c r="O201" s="398">
        <v>0</v>
      </c>
      <c r="P201" s="398">
        <v>9605.25</v>
      </c>
      <c r="Q201" s="398">
        <v>0</v>
      </c>
      <c r="R201" s="398">
        <v>4608.2</v>
      </c>
      <c r="S201" s="398"/>
      <c r="T201" s="398"/>
      <c r="U201" s="398">
        <v>1650</v>
      </c>
      <c r="V201" s="398"/>
      <c r="W201" s="398"/>
      <c r="X201" s="382">
        <v>1217.0899999999999</v>
      </c>
      <c r="Y201" s="485">
        <f t="shared" si="37"/>
        <v>1623282.9000000004</v>
      </c>
      <c r="Z201" s="399">
        <v>70000</v>
      </c>
      <c r="AA201" s="399"/>
      <c r="AB201" s="399">
        <v>43480.24</v>
      </c>
      <c r="AC201" s="399"/>
      <c r="AD201" s="399">
        <v>29116.5</v>
      </c>
      <c r="AE201" s="399"/>
      <c r="AF201" s="399"/>
      <c r="AG201" s="399"/>
      <c r="AH201" s="399"/>
      <c r="AI201" s="399">
        <v>12055.4</v>
      </c>
      <c r="AJ201" s="399"/>
      <c r="AK201" s="399"/>
      <c r="AL201" s="477"/>
      <c r="AM201" s="485">
        <f t="shared" si="38"/>
        <v>154652.13999999998</v>
      </c>
      <c r="AN201" s="399">
        <v>62</v>
      </c>
      <c r="AO201" s="402">
        <v>405</v>
      </c>
      <c r="AP201" s="480">
        <v>-672.99</v>
      </c>
      <c r="AQ201" s="490"/>
      <c r="AR201" s="490">
        <v>-1403.84</v>
      </c>
      <c r="AS201" s="520">
        <v>1</v>
      </c>
      <c r="AT201" s="535">
        <v>1623282.9</v>
      </c>
      <c r="AU201" s="535">
        <v>1650</v>
      </c>
      <c r="AV201" s="535">
        <v>1217.0899999999999</v>
      </c>
      <c r="AW201" s="535">
        <v>154652.14000000001</v>
      </c>
      <c r="AX201" s="535">
        <v>0</v>
      </c>
      <c r="AY201" s="535">
        <v>-672.99</v>
      </c>
      <c r="AZ201" s="535">
        <v>0</v>
      </c>
      <c r="BA201" s="535">
        <v>-1403.84</v>
      </c>
      <c r="BB201" s="480">
        <f t="shared" si="39"/>
        <v>0</v>
      </c>
      <c r="BC201" s="480">
        <f t="shared" si="40"/>
        <v>0</v>
      </c>
      <c r="BD201" s="480">
        <f t="shared" si="41"/>
        <v>0</v>
      </c>
      <c r="BE201" s="480">
        <f t="shared" si="42"/>
        <v>0</v>
      </c>
      <c r="BF201" s="480">
        <f t="shared" si="43"/>
        <v>0</v>
      </c>
      <c r="BG201" s="480">
        <f t="shared" si="44"/>
        <v>0</v>
      </c>
      <c r="BH201" s="480">
        <f t="shared" si="45"/>
        <v>0</v>
      </c>
      <c r="BI201" s="6">
        <f t="shared" si="46"/>
        <v>5722</v>
      </c>
      <c r="BJ201" s="480" t="str">
        <f t="shared" si="47"/>
        <v>Grens</v>
      </c>
    </row>
    <row r="202" spans="1:62" x14ac:dyDescent="0.25">
      <c r="A202" s="341">
        <v>5723</v>
      </c>
      <c r="B202" s="525" t="s">
        <v>240</v>
      </c>
      <c r="C202" s="394">
        <v>7107772.0099999998</v>
      </c>
      <c r="D202" s="394">
        <v>1488527.3</v>
      </c>
      <c r="E202" s="391"/>
      <c r="F202" s="394">
        <v>0</v>
      </c>
      <c r="G202" s="394">
        <v>298019.84999999998</v>
      </c>
      <c r="H202" s="394">
        <v>21372.45</v>
      </c>
      <c r="I202" s="394">
        <v>472945.47</v>
      </c>
      <c r="J202" s="394">
        <v>121417.13</v>
      </c>
      <c r="K202" s="394">
        <v>41667.85</v>
      </c>
      <c r="L202" s="394">
        <v>834188</v>
      </c>
      <c r="M202" s="334">
        <f t="shared" si="36"/>
        <v>10385910.060000001</v>
      </c>
      <c r="N202" s="398">
        <v>92665.45</v>
      </c>
      <c r="O202" s="398">
        <v>163699.20000000001</v>
      </c>
      <c r="P202" s="398">
        <v>622549.6</v>
      </c>
      <c r="Q202" s="398">
        <v>29262.59</v>
      </c>
      <c r="R202" s="398">
        <v>448780.75</v>
      </c>
      <c r="S202" s="398"/>
      <c r="T202" s="398"/>
      <c r="U202" s="398">
        <v>8100</v>
      </c>
      <c r="V202" s="398"/>
      <c r="W202" s="398"/>
      <c r="X202" s="382">
        <v>38310.11</v>
      </c>
      <c r="Y202" s="485">
        <f t="shared" si="37"/>
        <v>11789277.759999998</v>
      </c>
      <c r="Z202" s="399"/>
      <c r="AA202" s="399"/>
      <c r="AB202" s="399"/>
      <c r="AC202" s="399"/>
      <c r="AD202" s="399"/>
      <c r="AE202" s="399"/>
      <c r="AF202" s="399"/>
      <c r="AG202" s="399"/>
      <c r="AH202" s="399"/>
      <c r="AI202" s="399"/>
      <c r="AJ202" s="399"/>
      <c r="AK202" s="399"/>
      <c r="AL202" s="477"/>
      <c r="AM202" s="485">
        <f t="shared" si="38"/>
        <v>0</v>
      </c>
      <c r="AN202" s="399">
        <v>52</v>
      </c>
      <c r="AO202" s="402">
        <v>2172</v>
      </c>
      <c r="AP202" s="480">
        <v>-63187.28</v>
      </c>
      <c r="AQ202" s="490"/>
      <c r="AR202" s="490">
        <v>-104426.37</v>
      </c>
      <c r="AS202" s="520">
        <v>1</v>
      </c>
      <c r="AT202" s="535">
        <v>11789277.76</v>
      </c>
      <c r="AU202" s="535">
        <v>8100</v>
      </c>
      <c r="AV202" s="535">
        <v>38310.11</v>
      </c>
      <c r="AW202" s="535">
        <v>0</v>
      </c>
      <c r="AX202" s="535">
        <v>0</v>
      </c>
      <c r="AY202" s="535">
        <v>-63187.28</v>
      </c>
      <c r="AZ202" s="535">
        <v>0</v>
      </c>
      <c r="BA202" s="535">
        <v>-104426.37</v>
      </c>
      <c r="BB202" s="480">
        <f t="shared" si="39"/>
        <v>0</v>
      </c>
      <c r="BC202" s="480">
        <f t="shared" si="40"/>
        <v>0</v>
      </c>
      <c r="BD202" s="480">
        <f t="shared" si="41"/>
        <v>0</v>
      </c>
      <c r="BE202" s="480">
        <f t="shared" si="42"/>
        <v>0</v>
      </c>
      <c r="BF202" s="480">
        <f t="shared" si="43"/>
        <v>0</v>
      </c>
      <c r="BG202" s="480">
        <f t="shared" si="44"/>
        <v>0</v>
      </c>
      <c r="BH202" s="480">
        <f t="shared" si="45"/>
        <v>0</v>
      </c>
      <c r="BI202" s="6">
        <f t="shared" si="46"/>
        <v>5723</v>
      </c>
      <c r="BJ202" s="480" t="str">
        <f t="shared" si="47"/>
        <v>Mies</v>
      </c>
    </row>
    <row r="203" spans="1:62" x14ac:dyDescent="0.25">
      <c r="A203" s="341">
        <v>5724</v>
      </c>
      <c r="B203" s="523" t="s">
        <v>69</v>
      </c>
      <c r="C203" s="394">
        <v>55961942.75</v>
      </c>
      <c r="D203" s="394">
        <v>10392603.390000001</v>
      </c>
      <c r="E203" s="391"/>
      <c r="F203" s="394">
        <v>0</v>
      </c>
      <c r="G203" s="394">
        <v>6917965.6500000004</v>
      </c>
      <c r="H203" s="394">
        <v>1090769.95</v>
      </c>
      <c r="I203" s="394">
        <v>1912327.79</v>
      </c>
      <c r="J203" s="394">
        <v>3427119.1</v>
      </c>
      <c r="K203" s="394">
        <v>958188.35</v>
      </c>
      <c r="L203" s="394">
        <v>8360072.1500000004</v>
      </c>
      <c r="M203" s="334">
        <f t="shared" si="36"/>
        <v>89020989.13000001</v>
      </c>
      <c r="N203" s="398">
        <v>4660553.0999999996</v>
      </c>
      <c r="O203" s="398">
        <v>3180216.45</v>
      </c>
      <c r="P203" s="398">
        <v>3803960.5</v>
      </c>
      <c r="Q203" s="398">
        <v>174414.38</v>
      </c>
      <c r="R203" s="398">
        <v>6244454.2999999998</v>
      </c>
      <c r="S203" s="398"/>
      <c r="T203" s="398">
        <v>75954.8</v>
      </c>
      <c r="U203" s="398">
        <v>46160</v>
      </c>
      <c r="V203" s="398"/>
      <c r="W203" s="398"/>
      <c r="X203" s="382">
        <v>960622.88</v>
      </c>
      <c r="Y203" s="485">
        <f t="shared" si="37"/>
        <v>108167325.53999999</v>
      </c>
      <c r="Z203" s="399">
        <v>744827.8</v>
      </c>
      <c r="AA203" s="399"/>
      <c r="AB203" s="399">
        <v>3985581.29</v>
      </c>
      <c r="AC203" s="399"/>
      <c r="AD203" s="399">
        <v>2030770.87</v>
      </c>
      <c r="AE203" s="399">
        <v>1148046.04</v>
      </c>
      <c r="AF203" s="399"/>
      <c r="AG203" s="399"/>
      <c r="AH203" s="399">
        <v>92134</v>
      </c>
      <c r="AI203" s="399">
        <v>695341.24</v>
      </c>
      <c r="AJ203" s="399">
        <v>794649.55</v>
      </c>
      <c r="AK203" s="399">
        <v>496768.16</v>
      </c>
      <c r="AL203" s="477">
        <v>198662.17</v>
      </c>
      <c r="AM203" s="485">
        <f t="shared" si="38"/>
        <v>10186781.120000001</v>
      </c>
      <c r="AN203" s="399">
        <v>61</v>
      </c>
      <c r="AO203" s="402">
        <v>21743</v>
      </c>
      <c r="AP203" s="480">
        <v>-889891.87</v>
      </c>
      <c r="AQ203" s="490"/>
      <c r="AR203" s="490">
        <v>-119872.56</v>
      </c>
      <c r="AS203" s="520">
        <v>1.5</v>
      </c>
      <c r="AT203" s="535">
        <v>108167325.54000001</v>
      </c>
      <c r="AU203" s="535">
        <f>75954.8+46160</f>
        <v>122114.8</v>
      </c>
      <c r="AV203" s="535">
        <v>960622.88</v>
      </c>
      <c r="AW203" s="535">
        <v>10186781.119999999</v>
      </c>
      <c r="AX203" s="535">
        <v>0</v>
      </c>
      <c r="AY203" s="535">
        <v>-889891.87</v>
      </c>
      <c r="AZ203" s="535">
        <v>0</v>
      </c>
      <c r="BA203" s="535">
        <v>-119872.56</v>
      </c>
      <c r="BB203" s="480">
        <f t="shared" si="39"/>
        <v>0</v>
      </c>
      <c r="BC203" s="480">
        <f t="shared" si="40"/>
        <v>0</v>
      </c>
      <c r="BD203" s="480">
        <f t="shared" si="41"/>
        <v>0</v>
      </c>
      <c r="BE203" s="480">
        <f t="shared" si="42"/>
        <v>0</v>
      </c>
      <c r="BF203" s="480">
        <f t="shared" si="43"/>
        <v>0</v>
      </c>
      <c r="BG203" s="480">
        <f t="shared" si="44"/>
        <v>0</v>
      </c>
      <c r="BH203" s="480">
        <f t="shared" si="45"/>
        <v>0</v>
      </c>
      <c r="BI203" s="6">
        <f t="shared" si="46"/>
        <v>5724</v>
      </c>
      <c r="BJ203" s="480" t="str">
        <f t="shared" si="47"/>
        <v>Nyon</v>
      </c>
    </row>
    <row r="204" spans="1:62" x14ac:dyDescent="0.25">
      <c r="A204" s="341">
        <v>5725</v>
      </c>
      <c r="B204" s="523" t="s">
        <v>70</v>
      </c>
      <c r="C204" s="394">
        <v>11722067.34</v>
      </c>
      <c r="D204" s="394">
        <v>3058268.7</v>
      </c>
      <c r="E204" s="391"/>
      <c r="F204" s="394">
        <v>0</v>
      </c>
      <c r="G204" s="394">
        <v>924047.65</v>
      </c>
      <c r="H204" s="394">
        <v>29289.5</v>
      </c>
      <c r="I204" s="394">
        <v>182065.3</v>
      </c>
      <c r="J204" s="394">
        <v>276974.82</v>
      </c>
      <c r="K204" s="394">
        <v>-14130.45</v>
      </c>
      <c r="L204" s="394">
        <v>1682065.45</v>
      </c>
      <c r="M204" s="334">
        <f t="shared" si="36"/>
        <v>17860648.310000002</v>
      </c>
      <c r="N204" s="398">
        <v>1101910.6000000001</v>
      </c>
      <c r="O204" s="398">
        <v>61383.1</v>
      </c>
      <c r="P204" s="398">
        <v>474229.25</v>
      </c>
      <c r="Q204" s="398">
        <v>12972.19</v>
      </c>
      <c r="R204" s="398">
        <v>609396.55000000005</v>
      </c>
      <c r="S204" s="398"/>
      <c r="T204" s="398"/>
      <c r="U204" s="398">
        <v>16945</v>
      </c>
      <c r="V204" s="398"/>
      <c r="W204" s="398"/>
      <c r="X204" s="382">
        <v>114349.82</v>
      </c>
      <c r="Y204" s="485">
        <f t="shared" si="37"/>
        <v>20251834.820000008</v>
      </c>
      <c r="Z204" s="399">
        <v>58907.16</v>
      </c>
      <c r="AA204" s="399"/>
      <c r="AB204" s="399">
        <v>363263.98</v>
      </c>
      <c r="AC204" s="399"/>
      <c r="AD204" s="399">
        <v>295470.65999999997</v>
      </c>
      <c r="AE204" s="399"/>
      <c r="AF204" s="399"/>
      <c r="AG204" s="399"/>
      <c r="AH204" s="399">
        <v>31644.35</v>
      </c>
      <c r="AI204" s="399"/>
      <c r="AJ204" s="399"/>
      <c r="AK204" s="399">
        <v>202899.6</v>
      </c>
      <c r="AL204" s="477"/>
      <c r="AM204" s="485">
        <f t="shared" si="38"/>
        <v>952185.75</v>
      </c>
      <c r="AN204" s="399">
        <v>55</v>
      </c>
      <c r="AO204" s="402">
        <v>4101</v>
      </c>
      <c r="AP204" s="480">
        <v>-190443.67</v>
      </c>
      <c r="AQ204" s="490"/>
      <c r="AR204" s="490">
        <v>-112665.15</v>
      </c>
      <c r="AS204" s="520">
        <v>1.4</v>
      </c>
      <c r="AT204" s="535">
        <v>20251834.82</v>
      </c>
      <c r="AU204" s="535">
        <v>16945</v>
      </c>
      <c r="AV204" s="535">
        <v>114349.82</v>
      </c>
      <c r="AW204" s="535">
        <v>952185.75</v>
      </c>
      <c r="AX204" s="535">
        <v>0</v>
      </c>
      <c r="AY204" s="535">
        <v>-190443.67</v>
      </c>
      <c r="AZ204" s="535">
        <v>0</v>
      </c>
      <c r="BA204" s="535">
        <v>-112665.15</v>
      </c>
      <c r="BB204" s="480">
        <f t="shared" si="39"/>
        <v>0</v>
      </c>
      <c r="BC204" s="480">
        <f t="shared" si="40"/>
        <v>0</v>
      </c>
      <c r="BD204" s="480">
        <f t="shared" si="41"/>
        <v>0</v>
      </c>
      <c r="BE204" s="480">
        <f t="shared" si="42"/>
        <v>0</v>
      </c>
      <c r="BF204" s="480">
        <f t="shared" si="43"/>
        <v>0</v>
      </c>
      <c r="BG204" s="480">
        <f t="shared" si="44"/>
        <v>0</v>
      </c>
      <c r="BH204" s="480">
        <f t="shared" si="45"/>
        <v>0</v>
      </c>
      <c r="BI204" s="6">
        <f t="shared" si="46"/>
        <v>5725</v>
      </c>
      <c r="BJ204" s="480" t="str">
        <f t="shared" si="47"/>
        <v>Prangins</v>
      </c>
    </row>
    <row r="205" spans="1:62" x14ac:dyDescent="0.25">
      <c r="A205" s="341">
        <v>5726</v>
      </c>
      <c r="B205" s="523" t="s">
        <v>319</v>
      </c>
      <c r="C205" s="394">
        <v>3309540.49</v>
      </c>
      <c r="D205" s="394">
        <v>655150.18999999994</v>
      </c>
      <c r="E205" s="391"/>
      <c r="F205" s="394">
        <v>0</v>
      </c>
      <c r="G205" s="394">
        <v>37122.199999999997</v>
      </c>
      <c r="H205" s="394">
        <v>-7922.6</v>
      </c>
      <c r="I205" s="394">
        <v>0</v>
      </c>
      <c r="J205" s="394">
        <v>123021.68</v>
      </c>
      <c r="K205" s="394">
        <v>6611.15</v>
      </c>
      <c r="L205" s="394">
        <v>266920.95</v>
      </c>
      <c r="M205" s="334">
        <f t="shared" si="36"/>
        <v>4390444.0600000005</v>
      </c>
      <c r="N205" s="398">
        <v>38077.35</v>
      </c>
      <c r="O205" s="398">
        <v>22827.8</v>
      </c>
      <c r="P205" s="398">
        <v>272060.79999999999</v>
      </c>
      <c r="Q205" s="398">
        <v>540.36</v>
      </c>
      <c r="R205" s="398">
        <v>234275.15</v>
      </c>
      <c r="S205" s="398"/>
      <c r="T205" s="398"/>
      <c r="U205" s="398">
        <v>10800</v>
      </c>
      <c r="V205" s="398"/>
      <c r="W205" s="398"/>
      <c r="X205" s="382">
        <v>3502.4</v>
      </c>
      <c r="Y205" s="485">
        <f t="shared" si="37"/>
        <v>4972527.9200000009</v>
      </c>
      <c r="Z205" s="399">
        <v>87779.11</v>
      </c>
      <c r="AA205" s="399"/>
      <c r="AB205" s="399">
        <v>177310.05</v>
      </c>
      <c r="AC205" s="399"/>
      <c r="AD205" s="399">
        <v>83569.38</v>
      </c>
      <c r="AE205" s="399">
        <v>59016.55</v>
      </c>
      <c r="AF205" s="399"/>
      <c r="AG205" s="399"/>
      <c r="AH205" s="399">
        <v>7273.75</v>
      </c>
      <c r="AI205" s="399"/>
      <c r="AJ205" s="399"/>
      <c r="AK205" s="399"/>
      <c r="AL205" s="477"/>
      <c r="AM205" s="485">
        <f t="shared" si="38"/>
        <v>414948.83999999997</v>
      </c>
      <c r="AN205" s="399">
        <v>65</v>
      </c>
      <c r="AO205" s="402">
        <v>1131</v>
      </c>
      <c r="AP205" s="480">
        <v>-76675.289999999994</v>
      </c>
      <c r="AQ205" s="490"/>
      <c r="AR205" s="490">
        <v>-6701.86</v>
      </c>
      <c r="AS205" s="520">
        <v>1</v>
      </c>
      <c r="AT205" s="535">
        <v>4972527.92</v>
      </c>
      <c r="AU205" s="535">
        <v>10800</v>
      </c>
      <c r="AV205" s="535">
        <v>3502.4</v>
      </c>
      <c r="AW205" s="535">
        <v>414948.84</v>
      </c>
      <c r="AX205" s="535">
        <v>0</v>
      </c>
      <c r="AY205" s="535">
        <v>-76675.289999999994</v>
      </c>
      <c r="AZ205" s="535">
        <v>0</v>
      </c>
      <c r="BA205" s="535">
        <v>-6701.86</v>
      </c>
      <c r="BB205" s="480">
        <f t="shared" si="39"/>
        <v>0</v>
      </c>
      <c r="BC205" s="480">
        <f t="shared" si="40"/>
        <v>0</v>
      </c>
      <c r="BD205" s="480">
        <f t="shared" si="41"/>
        <v>0</v>
      </c>
      <c r="BE205" s="480">
        <f t="shared" si="42"/>
        <v>0</v>
      </c>
      <c r="BF205" s="480">
        <f t="shared" si="43"/>
        <v>0</v>
      </c>
      <c r="BG205" s="480">
        <f t="shared" si="44"/>
        <v>0</v>
      </c>
      <c r="BH205" s="480">
        <f t="shared" si="45"/>
        <v>0</v>
      </c>
      <c r="BI205" s="6">
        <f t="shared" si="46"/>
        <v>5726</v>
      </c>
      <c r="BJ205" s="480" t="str">
        <f t="shared" si="47"/>
        <v>La Rippe</v>
      </c>
    </row>
    <row r="206" spans="1:62" x14ac:dyDescent="0.25">
      <c r="A206" s="341">
        <v>5727</v>
      </c>
      <c r="B206" s="523" t="s">
        <v>320</v>
      </c>
      <c r="C206" s="394">
        <v>5348000.72</v>
      </c>
      <c r="D206" s="394">
        <v>843909.1</v>
      </c>
      <c r="E206" s="391"/>
      <c r="F206" s="394">
        <v>0</v>
      </c>
      <c r="G206" s="394">
        <v>42946.35</v>
      </c>
      <c r="H206" s="394">
        <v>5677.3</v>
      </c>
      <c r="I206" s="394">
        <v>117296</v>
      </c>
      <c r="J206" s="394">
        <v>162032.23000000001</v>
      </c>
      <c r="K206" s="394">
        <v>12987.55</v>
      </c>
      <c r="L206" s="394">
        <v>788108</v>
      </c>
      <c r="M206" s="334">
        <f t="shared" si="36"/>
        <v>7320957.2499999991</v>
      </c>
      <c r="N206" s="398">
        <v>191922.4</v>
      </c>
      <c r="O206" s="398">
        <v>28210.9</v>
      </c>
      <c r="P206" s="398">
        <v>440442.05</v>
      </c>
      <c r="Q206" s="398">
        <v>15197.2</v>
      </c>
      <c r="R206" s="398">
        <v>180763</v>
      </c>
      <c r="S206" s="398"/>
      <c r="T206" s="398"/>
      <c r="U206" s="398">
        <v>13200</v>
      </c>
      <c r="V206" s="398"/>
      <c r="W206" s="398"/>
      <c r="X206" s="382">
        <v>5832.26</v>
      </c>
      <c r="Y206" s="485">
        <f t="shared" si="37"/>
        <v>8196525.0599999996</v>
      </c>
      <c r="Z206" s="399">
        <v>115301.3</v>
      </c>
      <c r="AA206" s="399"/>
      <c r="AB206" s="399">
        <v>325939.75</v>
      </c>
      <c r="AC206" s="399"/>
      <c r="AD206" s="399">
        <v>268263</v>
      </c>
      <c r="AE206" s="399">
        <v>115301.3</v>
      </c>
      <c r="AF206" s="399"/>
      <c r="AG206" s="399"/>
      <c r="AH206" s="399">
        <v>70057</v>
      </c>
      <c r="AI206" s="399"/>
      <c r="AJ206" s="399"/>
      <c r="AK206" s="399"/>
      <c r="AL206" s="477"/>
      <c r="AM206" s="485">
        <f t="shared" si="38"/>
        <v>894862.35000000009</v>
      </c>
      <c r="AN206" s="399">
        <v>66</v>
      </c>
      <c r="AO206" s="402">
        <v>2674</v>
      </c>
      <c r="AP206" s="480">
        <v>-139243.04999999999</v>
      </c>
      <c r="AQ206" s="490"/>
      <c r="AR206" s="490">
        <v>-1787.6</v>
      </c>
      <c r="AS206" s="520">
        <v>1.5</v>
      </c>
      <c r="AT206" s="535">
        <v>8196525.0599999996</v>
      </c>
      <c r="AU206" s="535">
        <v>13200</v>
      </c>
      <c r="AV206" s="535">
        <v>5832.26</v>
      </c>
      <c r="AW206" s="535">
        <v>894862.35</v>
      </c>
      <c r="AX206" s="535">
        <v>0</v>
      </c>
      <c r="AY206" s="535">
        <v>-139243.04999999999</v>
      </c>
      <c r="AZ206" s="535">
        <v>0</v>
      </c>
      <c r="BA206" s="535">
        <v>-1787.6</v>
      </c>
      <c r="BB206" s="480">
        <f t="shared" si="39"/>
        <v>0</v>
      </c>
      <c r="BC206" s="480">
        <f t="shared" si="40"/>
        <v>0</v>
      </c>
      <c r="BD206" s="480">
        <f t="shared" si="41"/>
        <v>0</v>
      </c>
      <c r="BE206" s="480">
        <f t="shared" si="42"/>
        <v>0</v>
      </c>
      <c r="BF206" s="480">
        <f t="shared" si="43"/>
        <v>0</v>
      </c>
      <c r="BG206" s="480">
        <f t="shared" si="44"/>
        <v>0</v>
      </c>
      <c r="BH206" s="480">
        <f t="shared" si="45"/>
        <v>0</v>
      </c>
      <c r="BI206" s="6">
        <f t="shared" si="46"/>
        <v>5727</v>
      </c>
      <c r="BJ206" s="480" t="str">
        <f t="shared" si="47"/>
        <v>Saint-Cergue</v>
      </c>
    </row>
    <row r="207" spans="1:62" x14ac:dyDescent="0.25">
      <c r="A207" s="341">
        <v>5728</v>
      </c>
      <c r="B207" s="523" t="s">
        <v>321</v>
      </c>
      <c r="C207" s="394">
        <v>1683505.22</v>
      </c>
      <c r="D207" s="394">
        <v>236380.76</v>
      </c>
      <c r="E207" s="391"/>
      <c r="F207" s="394">
        <v>0</v>
      </c>
      <c r="G207" s="394">
        <v>678234.05</v>
      </c>
      <c r="H207" s="394">
        <v>5159.55</v>
      </c>
      <c r="I207" s="394">
        <v>29967.200000000001</v>
      </c>
      <c r="J207" s="394">
        <v>-123996.3</v>
      </c>
      <c r="K207" s="394">
        <v>51471.45</v>
      </c>
      <c r="L207" s="394">
        <v>226272.4</v>
      </c>
      <c r="M207" s="334">
        <f t="shared" si="36"/>
        <v>2786994.3300000005</v>
      </c>
      <c r="N207" s="398">
        <v>219621.1</v>
      </c>
      <c r="O207" s="398">
        <v>0</v>
      </c>
      <c r="P207" s="398">
        <v>86694.3</v>
      </c>
      <c r="Q207" s="398">
        <v>84.58</v>
      </c>
      <c r="R207" s="398">
        <v>23554.2</v>
      </c>
      <c r="S207" s="398"/>
      <c r="T207" s="398">
        <v>67541.350000000006</v>
      </c>
      <c r="U207" s="398">
        <v>2375</v>
      </c>
      <c r="V207" s="398"/>
      <c r="W207" s="398"/>
      <c r="X207" s="382">
        <v>81970.929999999993</v>
      </c>
      <c r="Y207" s="485">
        <f t="shared" si="37"/>
        <v>3268835.790000001</v>
      </c>
      <c r="Z207" s="399"/>
      <c r="AA207" s="399"/>
      <c r="AB207" s="399">
        <v>96162.04</v>
      </c>
      <c r="AC207" s="399"/>
      <c r="AD207" s="399">
        <v>41823.15</v>
      </c>
      <c r="AE207" s="399"/>
      <c r="AF207" s="399"/>
      <c r="AG207" s="399"/>
      <c r="AH207" s="399"/>
      <c r="AI207" s="399">
        <v>55457.75</v>
      </c>
      <c r="AJ207" s="399"/>
      <c r="AK207" s="399"/>
      <c r="AL207" s="477"/>
      <c r="AM207" s="485">
        <f t="shared" si="38"/>
        <v>193442.94</v>
      </c>
      <c r="AN207" s="399">
        <v>58</v>
      </c>
      <c r="AO207" s="402">
        <v>581</v>
      </c>
      <c r="AP207" s="480">
        <v>-5243.87</v>
      </c>
      <c r="AQ207" s="490">
        <v>-4197.5</v>
      </c>
      <c r="AR207" s="490">
        <v>-972.86</v>
      </c>
      <c r="AS207" s="520">
        <v>1</v>
      </c>
      <c r="AT207" s="535">
        <v>3268835.79</v>
      </c>
      <c r="AU207" s="535">
        <f>67541.35+2375</f>
        <v>69916.350000000006</v>
      </c>
      <c r="AV207" s="535">
        <v>81970.929999999993</v>
      </c>
      <c r="AW207" s="535">
        <v>193442.94</v>
      </c>
      <c r="AX207" s="535">
        <v>0</v>
      </c>
      <c r="AY207" s="535">
        <v>-5243.87</v>
      </c>
      <c r="AZ207" s="535">
        <v>-4197.5</v>
      </c>
      <c r="BA207" s="535">
        <v>-972.86</v>
      </c>
      <c r="BB207" s="480">
        <f t="shared" si="39"/>
        <v>0</v>
      </c>
      <c r="BC207" s="480">
        <f t="shared" si="40"/>
        <v>0</v>
      </c>
      <c r="BD207" s="480">
        <f t="shared" si="41"/>
        <v>0</v>
      </c>
      <c r="BE207" s="480">
        <f t="shared" si="42"/>
        <v>0</v>
      </c>
      <c r="BF207" s="480">
        <f t="shared" si="43"/>
        <v>0</v>
      </c>
      <c r="BG207" s="480">
        <f t="shared" si="44"/>
        <v>0</v>
      </c>
      <c r="BH207" s="480">
        <f t="shared" si="45"/>
        <v>0</v>
      </c>
      <c r="BI207" s="6">
        <f t="shared" si="46"/>
        <v>5728</v>
      </c>
      <c r="BJ207" s="480" t="str">
        <f t="shared" si="47"/>
        <v>Signy-Avenex</v>
      </c>
    </row>
    <row r="208" spans="1:62" x14ac:dyDescent="0.25">
      <c r="A208" s="341">
        <v>5729</v>
      </c>
      <c r="B208" s="523" t="s">
        <v>322</v>
      </c>
      <c r="C208" s="394">
        <v>4915059.9400000004</v>
      </c>
      <c r="D208" s="394">
        <v>1796236.97</v>
      </c>
      <c r="E208" s="391"/>
      <c r="F208" s="394">
        <v>0</v>
      </c>
      <c r="G208" s="394">
        <v>317257.34999999998</v>
      </c>
      <c r="H208" s="394">
        <v>17292.3</v>
      </c>
      <c r="I208" s="394">
        <v>137925.35</v>
      </c>
      <c r="J208" s="394">
        <v>129611.93</v>
      </c>
      <c r="K208" s="394">
        <v>5699.5</v>
      </c>
      <c r="L208" s="394">
        <v>867101.9</v>
      </c>
      <c r="M208" s="334">
        <f t="shared" si="36"/>
        <v>8186185.2399999993</v>
      </c>
      <c r="N208" s="398">
        <v>15293.7</v>
      </c>
      <c r="O208" s="398">
        <v>0</v>
      </c>
      <c r="P208" s="398">
        <v>590034.25</v>
      </c>
      <c r="Q208" s="398">
        <v>168519.2</v>
      </c>
      <c r="R208" s="398">
        <v>532620.6</v>
      </c>
      <c r="S208" s="398"/>
      <c r="T208" s="398"/>
      <c r="U208" s="398">
        <v>8880</v>
      </c>
      <c r="V208" s="398"/>
      <c r="W208" s="398"/>
      <c r="X208" s="382">
        <v>40128.19</v>
      </c>
      <c r="Y208" s="485">
        <f t="shared" si="37"/>
        <v>9541661.1799999978</v>
      </c>
      <c r="Z208" s="399"/>
      <c r="AA208" s="399"/>
      <c r="AB208" s="399"/>
      <c r="AC208" s="399"/>
      <c r="AD208" s="399">
        <v>210450.65</v>
      </c>
      <c r="AE208" s="399"/>
      <c r="AF208" s="399"/>
      <c r="AG208" s="399"/>
      <c r="AH208" s="399">
        <v>692.93</v>
      </c>
      <c r="AI208" s="399"/>
      <c r="AJ208" s="399"/>
      <c r="AK208" s="399"/>
      <c r="AL208" s="477"/>
      <c r="AM208" s="485">
        <f t="shared" si="38"/>
        <v>211143.58</v>
      </c>
      <c r="AN208" s="399">
        <v>60.5</v>
      </c>
      <c r="AO208" s="402">
        <v>1636</v>
      </c>
      <c r="AP208" s="480">
        <v>-174957.96</v>
      </c>
      <c r="AQ208" s="490"/>
      <c r="AR208" s="490">
        <v>-15827.25</v>
      </c>
      <c r="AS208" s="520">
        <v>1.5</v>
      </c>
      <c r="AT208" s="535">
        <v>9541661.1799999997</v>
      </c>
      <c r="AU208" s="535">
        <v>8880</v>
      </c>
      <c r="AV208" s="535">
        <v>40128.19</v>
      </c>
      <c r="AW208" s="535">
        <v>211143.58</v>
      </c>
      <c r="AX208" s="535">
        <v>0</v>
      </c>
      <c r="AY208" s="535">
        <v>-174957.96</v>
      </c>
      <c r="AZ208" s="535">
        <v>0</v>
      </c>
      <c r="BA208" s="535">
        <v>-15827.25</v>
      </c>
      <c r="BB208" s="480">
        <f t="shared" si="39"/>
        <v>0</v>
      </c>
      <c r="BC208" s="480">
        <f t="shared" si="40"/>
        <v>0</v>
      </c>
      <c r="BD208" s="480">
        <f t="shared" si="41"/>
        <v>0</v>
      </c>
      <c r="BE208" s="480">
        <f t="shared" si="42"/>
        <v>0</v>
      </c>
      <c r="BF208" s="480">
        <f t="shared" si="43"/>
        <v>0</v>
      </c>
      <c r="BG208" s="480">
        <f t="shared" si="44"/>
        <v>0</v>
      </c>
      <c r="BH208" s="480">
        <f t="shared" si="45"/>
        <v>0</v>
      </c>
      <c r="BI208" s="6">
        <f t="shared" si="46"/>
        <v>5729</v>
      </c>
      <c r="BJ208" s="480" t="str">
        <f t="shared" si="47"/>
        <v>Tannay</v>
      </c>
    </row>
    <row r="209" spans="1:62" x14ac:dyDescent="0.25">
      <c r="A209" s="341">
        <v>5730</v>
      </c>
      <c r="B209" s="523" t="s">
        <v>323</v>
      </c>
      <c r="C209" s="394">
        <v>4735299.1100000003</v>
      </c>
      <c r="D209" s="394">
        <v>1087007.96</v>
      </c>
      <c r="E209" s="391"/>
      <c r="F209" s="394">
        <v>0</v>
      </c>
      <c r="G209" s="394">
        <v>-6597.45</v>
      </c>
      <c r="H209" s="394">
        <v>2061.75</v>
      </c>
      <c r="I209" s="394">
        <v>66554.25</v>
      </c>
      <c r="J209" s="394">
        <v>-1891.14</v>
      </c>
      <c r="K209" s="394">
        <v>6900.7</v>
      </c>
      <c r="L209" s="394">
        <v>391099.5</v>
      </c>
      <c r="M209" s="334">
        <f t="shared" si="36"/>
        <v>6280434.6800000006</v>
      </c>
      <c r="N209" s="398">
        <v>7297.75</v>
      </c>
      <c r="O209" s="398">
        <v>0</v>
      </c>
      <c r="P209" s="398">
        <v>552401.6</v>
      </c>
      <c r="Q209" s="398">
        <v>1316.23</v>
      </c>
      <c r="R209" s="398">
        <v>258777.7</v>
      </c>
      <c r="S209" s="398"/>
      <c r="T209" s="398"/>
      <c r="U209" s="398">
        <v>5650</v>
      </c>
      <c r="V209" s="398"/>
      <c r="W209" s="398"/>
      <c r="X209" s="382">
        <v>-544.04</v>
      </c>
      <c r="Y209" s="485">
        <f t="shared" si="37"/>
        <v>7105333.9200000009</v>
      </c>
      <c r="Z209" s="399">
        <v>26427.3</v>
      </c>
      <c r="AA209" s="399"/>
      <c r="AB209" s="399">
        <v>187583.2</v>
      </c>
      <c r="AC209" s="399"/>
      <c r="AD209" s="399">
        <v>105382.8</v>
      </c>
      <c r="AE209" s="399">
        <v>48156.4</v>
      </c>
      <c r="AF209" s="399"/>
      <c r="AG209" s="399"/>
      <c r="AH209" s="399"/>
      <c r="AI209" s="399"/>
      <c r="AJ209" s="399"/>
      <c r="AK209" s="399"/>
      <c r="AL209" s="477"/>
      <c r="AM209" s="485">
        <f t="shared" si="38"/>
        <v>367549.7</v>
      </c>
      <c r="AN209" s="399">
        <v>55.5</v>
      </c>
      <c r="AO209" s="402">
        <v>1445</v>
      </c>
      <c r="AP209" s="480">
        <v>-55826.86</v>
      </c>
      <c r="AQ209" s="490"/>
      <c r="AR209" s="490">
        <v>-73593.2</v>
      </c>
      <c r="AS209" s="520">
        <v>0.9</v>
      </c>
      <c r="AT209" s="535">
        <v>7105333.9199999999</v>
      </c>
      <c r="AU209" s="535">
        <v>5650</v>
      </c>
      <c r="AV209" s="535">
        <v>-544.04</v>
      </c>
      <c r="AW209" s="535">
        <f>26427.3+187583.2+105382.8+48156.4</f>
        <v>367549.7</v>
      </c>
      <c r="AX209" s="535">
        <v>0</v>
      </c>
      <c r="AY209" s="535">
        <v>-55826.86</v>
      </c>
      <c r="AZ209" s="535">
        <v>0</v>
      </c>
      <c r="BA209" s="535">
        <v>-73593.2</v>
      </c>
      <c r="BB209" s="480">
        <f t="shared" si="39"/>
        <v>0</v>
      </c>
      <c r="BC209" s="480">
        <f t="shared" si="40"/>
        <v>0</v>
      </c>
      <c r="BD209" s="480">
        <f t="shared" si="41"/>
        <v>0</v>
      </c>
      <c r="BE209" s="480">
        <f t="shared" si="42"/>
        <v>0</v>
      </c>
      <c r="BF209" s="480">
        <f t="shared" si="43"/>
        <v>0</v>
      </c>
      <c r="BG209" s="480">
        <f t="shared" si="44"/>
        <v>0</v>
      </c>
      <c r="BH209" s="480">
        <f t="shared" si="45"/>
        <v>0</v>
      </c>
      <c r="BI209" s="6">
        <f t="shared" si="46"/>
        <v>5730</v>
      </c>
      <c r="BJ209" s="480" t="str">
        <f t="shared" si="47"/>
        <v>Trélex</v>
      </c>
    </row>
    <row r="210" spans="1:62" x14ac:dyDescent="0.25">
      <c r="A210" s="341">
        <v>5731</v>
      </c>
      <c r="B210" s="523" t="s">
        <v>324</v>
      </c>
      <c r="C210" s="394">
        <v>3955625.16</v>
      </c>
      <c r="D210" s="394">
        <v>479179.06</v>
      </c>
      <c r="E210" s="391"/>
      <c r="F210" s="394">
        <v>0</v>
      </c>
      <c r="G210" s="394">
        <v>5989.25</v>
      </c>
      <c r="H210" s="394">
        <v>3883.85</v>
      </c>
      <c r="I210" s="394">
        <v>0</v>
      </c>
      <c r="J210" s="394">
        <v>18094.62</v>
      </c>
      <c r="K210" s="394">
        <v>2622.5</v>
      </c>
      <c r="L210" s="394">
        <v>403398.85</v>
      </c>
      <c r="M210" s="334">
        <f t="shared" si="36"/>
        <v>4868793.2899999991</v>
      </c>
      <c r="N210" s="398">
        <v>25723.95</v>
      </c>
      <c r="O210" s="398">
        <v>1782</v>
      </c>
      <c r="P210" s="398">
        <v>164927.15</v>
      </c>
      <c r="Q210" s="398">
        <v>49018.96</v>
      </c>
      <c r="R210" s="398">
        <v>122290</v>
      </c>
      <c r="S210" s="398">
        <v>584.45000000000005</v>
      </c>
      <c r="T210" s="398"/>
      <c r="U210" s="398">
        <v>12950</v>
      </c>
      <c r="V210" s="398"/>
      <c r="W210" s="398"/>
      <c r="X210" s="382">
        <v>1184.25</v>
      </c>
      <c r="Y210" s="485">
        <f t="shared" si="37"/>
        <v>5247254.05</v>
      </c>
      <c r="Z210" s="399">
        <v>252</v>
      </c>
      <c r="AA210" s="399"/>
      <c r="AB210" s="399">
        <v>197515</v>
      </c>
      <c r="AC210" s="399"/>
      <c r="AD210" s="399">
        <v>126847.55</v>
      </c>
      <c r="AE210" s="399">
        <v>7350</v>
      </c>
      <c r="AF210" s="399"/>
      <c r="AG210" s="399"/>
      <c r="AH210" s="399">
        <v>10614.35</v>
      </c>
      <c r="AI210" s="399"/>
      <c r="AJ210" s="399"/>
      <c r="AK210" s="399"/>
      <c r="AL210" s="477"/>
      <c r="AM210" s="485">
        <f t="shared" si="38"/>
        <v>342578.89999999997</v>
      </c>
      <c r="AN210" s="399">
        <v>74</v>
      </c>
      <c r="AO210" s="402">
        <v>1366</v>
      </c>
      <c r="AP210" s="480">
        <v>-51330.74</v>
      </c>
      <c r="AQ210" s="490"/>
      <c r="AR210" s="490">
        <v>-1476.19</v>
      </c>
      <c r="AS210" s="520">
        <v>1.5</v>
      </c>
      <c r="AT210" s="535">
        <v>5247254.05</v>
      </c>
      <c r="AU210" s="535">
        <f>584.45+12950</f>
        <v>13534.45</v>
      </c>
      <c r="AV210" s="535">
        <v>1184.25</v>
      </c>
      <c r="AW210" s="535">
        <v>342578.9</v>
      </c>
      <c r="AX210" s="535">
        <v>0</v>
      </c>
      <c r="AY210" s="535">
        <v>-51330.74</v>
      </c>
      <c r="AZ210" s="535">
        <v>0</v>
      </c>
      <c r="BA210" s="535">
        <v>-1476.19</v>
      </c>
      <c r="BB210" s="480">
        <f t="shared" si="39"/>
        <v>0</v>
      </c>
      <c r="BC210" s="480">
        <f t="shared" si="40"/>
        <v>0</v>
      </c>
      <c r="BD210" s="480">
        <f t="shared" si="41"/>
        <v>0</v>
      </c>
      <c r="BE210" s="480">
        <f t="shared" si="42"/>
        <v>0</v>
      </c>
      <c r="BF210" s="480">
        <f t="shared" si="43"/>
        <v>0</v>
      </c>
      <c r="BG210" s="480">
        <f t="shared" si="44"/>
        <v>0</v>
      </c>
      <c r="BH210" s="480">
        <f t="shared" si="45"/>
        <v>0</v>
      </c>
      <c r="BI210" s="6">
        <f t="shared" si="46"/>
        <v>5731</v>
      </c>
      <c r="BJ210" s="480" t="str">
        <f t="shared" si="47"/>
        <v>Le Vaud</v>
      </c>
    </row>
    <row r="211" spans="1:62" x14ac:dyDescent="0.25">
      <c r="A211" s="341">
        <v>5732</v>
      </c>
      <c r="B211" s="523" t="s">
        <v>325</v>
      </c>
      <c r="C211" s="394">
        <v>3124539.72</v>
      </c>
      <c r="D211" s="394">
        <v>684152.23</v>
      </c>
      <c r="E211" s="391"/>
      <c r="F211" s="394">
        <v>0</v>
      </c>
      <c r="G211" s="394">
        <v>18145.900000000001</v>
      </c>
      <c r="H211" s="394">
        <v>9532.4</v>
      </c>
      <c r="I211" s="394">
        <v>257945.60000000001</v>
      </c>
      <c r="J211" s="394">
        <v>40696.36</v>
      </c>
      <c r="K211" s="394">
        <v>23683.599999999999</v>
      </c>
      <c r="L211" s="394">
        <v>367886.6</v>
      </c>
      <c r="M211" s="334">
        <f t="shared" si="36"/>
        <v>4526582.41</v>
      </c>
      <c r="N211" s="398">
        <v>118685.7</v>
      </c>
      <c r="O211" s="398">
        <v>0</v>
      </c>
      <c r="P211" s="398">
        <v>364237.1</v>
      </c>
      <c r="Q211" s="398">
        <v>3664.05</v>
      </c>
      <c r="R211" s="398">
        <v>166940.45000000001</v>
      </c>
      <c r="S211" s="398"/>
      <c r="T211" s="398"/>
      <c r="U211" s="398">
        <v>9050</v>
      </c>
      <c r="V211" s="398"/>
      <c r="W211" s="398"/>
      <c r="X211" s="382">
        <v>3319.93</v>
      </c>
      <c r="Y211" s="485">
        <f t="shared" si="37"/>
        <v>5192479.6399999997</v>
      </c>
      <c r="Z211" s="399">
        <v>99184</v>
      </c>
      <c r="AA211" s="399">
        <v>48000</v>
      </c>
      <c r="AB211" s="399">
        <v>176346.49</v>
      </c>
      <c r="AC211" s="399"/>
      <c r="AD211" s="399">
        <v>80675.05</v>
      </c>
      <c r="AE211" s="399">
        <v>187170</v>
      </c>
      <c r="AF211" s="399"/>
      <c r="AG211" s="399"/>
      <c r="AH211" s="399">
        <v>6333.7</v>
      </c>
      <c r="AI211" s="399">
        <v>47489.06</v>
      </c>
      <c r="AJ211" s="399"/>
      <c r="AK211" s="399"/>
      <c r="AL211" s="477"/>
      <c r="AM211" s="485">
        <f t="shared" si="38"/>
        <v>645198.30000000005</v>
      </c>
      <c r="AN211" s="399">
        <v>63</v>
      </c>
      <c r="AO211" s="402">
        <v>1156</v>
      </c>
      <c r="AP211" s="480">
        <v>-53257.83</v>
      </c>
      <c r="AQ211" s="490"/>
      <c r="AR211" s="490">
        <v>-6869.3</v>
      </c>
      <c r="AS211" s="520">
        <v>1</v>
      </c>
      <c r="AT211" s="535">
        <v>5192479.6399999997</v>
      </c>
      <c r="AU211" s="535">
        <v>9050</v>
      </c>
      <c r="AV211" s="535">
        <v>3319.93</v>
      </c>
      <c r="AW211" s="535">
        <v>645198.30000000005</v>
      </c>
      <c r="AX211" s="535">
        <v>0</v>
      </c>
      <c r="AY211" s="535">
        <v>-53257.83</v>
      </c>
      <c r="AZ211" s="535">
        <v>0</v>
      </c>
      <c r="BA211" s="535">
        <v>-6869.3</v>
      </c>
      <c r="BB211" s="480">
        <f t="shared" si="39"/>
        <v>0</v>
      </c>
      <c r="BC211" s="480">
        <f t="shared" si="40"/>
        <v>0</v>
      </c>
      <c r="BD211" s="480">
        <f t="shared" si="41"/>
        <v>0</v>
      </c>
      <c r="BE211" s="480">
        <f t="shared" si="42"/>
        <v>0</v>
      </c>
      <c r="BF211" s="480">
        <f t="shared" si="43"/>
        <v>0</v>
      </c>
      <c r="BG211" s="480">
        <f t="shared" si="44"/>
        <v>0</v>
      </c>
      <c r="BH211" s="480">
        <f t="shared" si="45"/>
        <v>0</v>
      </c>
      <c r="BI211" s="6">
        <f t="shared" si="46"/>
        <v>5732</v>
      </c>
      <c r="BJ211" s="480" t="str">
        <f t="shared" si="47"/>
        <v>Vich</v>
      </c>
    </row>
    <row r="212" spans="1:62" x14ac:dyDescent="0.25">
      <c r="A212" s="341">
        <v>5741</v>
      </c>
      <c r="B212" s="523" t="s">
        <v>326</v>
      </c>
      <c r="C212" s="394">
        <v>486921.99</v>
      </c>
      <c r="D212" s="394">
        <v>76110.460000000006</v>
      </c>
      <c r="E212" s="391"/>
      <c r="F212" s="394">
        <v>1440</v>
      </c>
      <c r="G212" s="394">
        <v>4585.6000000000004</v>
      </c>
      <c r="H212" s="394">
        <v>874.25</v>
      </c>
      <c r="I212" s="394">
        <v>0</v>
      </c>
      <c r="J212" s="394">
        <v>1112.07</v>
      </c>
      <c r="K212" s="394">
        <v>0</v>
      </c>
      <c r="L212" s="394">
        <v>47791.45</v>
      </c>
      <c r="M212" s="334">
        <f t="shared" si="36"/>
        <v>618835.81999999983</v>
      </c>
      <c r="N212" s="398">
        <v>10634.3</v>
      </c>
      <c r="O212" s="398">
        <v>0</v>
      </c>
      <c r="P212" s="398">
        <v>18196.75</v>
      </c>
      <c r="Q212" s="398">
        <v>565.82000000000005</v>
      </c>
      <c r="R212" s="398">
        <v>25927.95</v>
      </c>
      <c r="S212" s="398"/>
      <c r="T212" s="398"/>
      <c r="U212" s="398">
        <v>1080</v>
      </c>
      <c r="V212" s="398"/>
      <c r="W212" s="398"/>
      <c r="X212" s="382">
        <v>654.89</v>
      </c>
      <c r="Y212" s="485">
        <f t="shared" si="37"/>
        <v>675895.5299999998</v>
      </c>
      <c r="Z212" s="399">
        <v>6142.4</v>
      </c>
      <c r="AA212" s="399"/>
      <c r="AB212" s="399">
        <v>63004.45</v>
      </c>
      <c r="AC212" s="399"/>
      <c r="AD212" s="399">
        <v>26515.35</v>
      </c>
      <c r="AE212" s="399">
        <v>19365.3</v>
      </c>
      <c r="AF212" s="399"/>
      <c r="AG212" s="399"/>
      <c r="AH212" s="399"/>
      <c r="AI212" s="399"/>
      <c r="AJ212" s="399"/>
      <c r="AK212" s="399"/>
      <c r="AL212" s="477"/>
      <c r="AM212" s="485">
        <f t="shared" si="38"/>
        <v>115027.49999999999</v>
      </c>
      <c r="AN212" s="399">
        <v>81</v>
      </c>
      <c r="AO212" s="402">
        <v>256</v>
      </c>
      <c r="AP212" s="480">
        <v>-15207.92</v>
      </c>
      <c r="AQ212" s="490"/>
      <c r="AR212" s="490">
        <v>-0.06</v>
      </c>
      <c r="AS212" s="520">
        <v>1.2</v>
      </c>
      <c r="AT212" s="535">
        <f>675905.47-664.83+654.89</f>
        <v>675895.53</v>
      </c>
      <c r="AU212" s="535">
        <v>1080</v>
      </c>
      <c r="AV212" s="535">
        <v>654.89</v>
      </c>
      <c r="AW212" s="535">
        <v>115027.5</v>
      </c>
      <c r="AX212" s="535">
        <v>0</v>
      </c>
      <c r="AY212" s="535">
        <v>-15207.92</v>
      </c>
      <c r="AZ212" s="535">
        <v>0</v>
      </c>
      <c r="BA212" s="535">
        <v>-0.06</v>
      </c>
      <c r="BB212" s="480">
        <f t="shared" si="39"/>
        <v>0</v>
      </c>
      <c r="BC212" s="480">
        <f t="shared" si="40"/>
        <v>0</v>
      </c>
      <c r="BD212" s="480">
        <f t="shared" si="41"/>
        <v>0</v>
      </c>
      <c r="BE212" s="480">
        <f t="shared" si="42"/>
        <v>0</v>
      </c>
      <c r="BF212" s="480">
        <f t="shared" si="43"/>
        <v>0</v>
      </c>
      <c r="BG212" s="480">
        <f t="shared" si="44"/>
        <v>0</v>
      </c>
      <c r="BH212" s="480">
        <f t="shared" si="45"/>
        <v>0</v>
      </c>
      <c r="BI212" s="6">
        <f t="shared" si="46"/>
        <v>5741</v>
      </c>
      <c r="BJ212" s="480" t="str">
        <f t="shared" si="47"/>
        <v>L'Abergement</v>
      </c>
    </row>
    <row r="213" spans="1:62" x14ac:dyDescent="0.25">
      <c r="A213" s="341">
        <v>5742</v>
      </c>
      <c r="B213" s="523" t="s">
        <v>327</v>
      </c>
      <c r="C213" s="394">
        <v>547295</v>
      </c>
      <c r="D213" s="394">
        <v>63158.720000000001</v>
      </c>
      <c r="E213" s="391"/>
      <c r="F213" s="394">
        <v>0</v>
      </c>
      <c r="G213" s="394">
        <v>3172.35</v>
      </c>
      <c r="H213" s="394">
        <v>-38.450000000000003</v>
      </c>
      <c r="I213" s="394">
        <v>0</v>
      </c>
      <c r="J213" s="394">
        <v>24170.26</v>
      </c>
      <c r="K213" s="394">
        <v>-6690.2</v>
      </c>
      <c r="L213" s="394">
        <v>27056.5</v>
      </c>
      <c r="M213" s="334">
        <f t="shared" si="36"/>
        <v>658124.18000000005</v>
      </c>
      <c r="N213" s="398">
        <v>0</v>
      </c>
      <c r="O213" s="398">
        <v>178.2</v>
      </c>
      <c r="P213" s="398">
        <v>17490</v>
      </c>
      <c r="Q213" s="398">
        <v>5903.49</v>
      </c>
      <c r="R213" s="398">
        <v>14262</v>
      </c>
      <c r="S213" s="398"/>
      <c r="T213" s="398"/>
      <c r="U213" s="398">
        <v>2560</v>
      </c>
      <c r="V213" s="398"/>
      <c r="W213" s="398"/>
      <c r="X213" s="382">
        <v>375.9</v>
      </c>
      <c r="Y213" s="485">
        <f t="shared" si="37"/>
        <v>698893.77</v>
      </c>
      <c r="Z213" s="399"/>
      <c r="AA213" s="399"/>
      <c r="AB213" s="399">
        <v>32605.200000000001</v>
      </c>
      <c r="AC213" s="399"/>
      <c r="AD213" s="399">
        <v>28502.35</v>
      </c>
      <c r="AE213" s="399">
        <v>4517</v>
      </c>
      <c r="AF213" s="399"/>
      <c r="AG213" s="399"/>
      <c r="AH213" s="399"/>
      <c r="AI213" s="399"/>
      <c r="AJ213" s="399"/>
      <c r="AK213" s="399"/>
      <c r="AL213" s="477"/>
      <c r="AM213" s="485">
        <f t="shared" si="38"/>
        <v>65624.55</v>
      </c>
      <c r="AN213" s="399">
        <v>76</v>
      </c>
      <c r="AO213" s="402">
        <v>377</v>
      </c>
      <c r="AP213" s="480">
        <v>-10427.08</v>
      </c>
      <c r="AQ213" s="490"/>
      <c r="AR213" s="490">
        <v>-62.6</v>
      </c>
      <c r="AS213" s="520">
        <v>0.5</v>
      </c>
      <c r="AT213" s="535">
        <v>698893.77</v>
      </c>
      <c r="AU213" s="535">
        <v>2560</v>
      </c>
      <c r="AV213" s="535">
        <v>375.9</v>
      </c>
      <c r="AW213" s="535">
        <v>65624.55</v>
      </c>
      <c r="AX213" s="535">
        <v>0</v>
      </c>
      <c r="AY213" s="535">
        <v>-10427.08</v>
      </c>
      <c r="AZ213" s="535">
        <v>0</v>
      </c>
      <c r="BA213" s="535">
        <v>-62.6</v>
      </c>
      <c r="BB213" s="480">
        <f t="shared" si="39"/>
        <v>0</v>
      </c>
      <c r="BC213" s="480">
        <f t="shared" si="40"/>
        <v>0</v>
      </c>
      <c r="BD213" s="480">
        <f t="shared" si="41"/>
        <v>0</v>
      </c>
      <c r="BE213" s="480">
        <f t="shared" si="42"/>
        <v>0</v>
      </c>
      <c r="BF213" s="480">
        <f t="shared" si="43"/>
        <v>0</v>
      </c>
      <c r="BG213" s="480">
        <f t="shared" si="44"/>
        <v>0</v>
      </c>
      <c r="BH213" s="480">
        <f t="shared" si="45"/>
        <v>0</v>
      </c>
      <c r="BI213" s="6">
        <f t="shared" si="46"/>
        <v>5742</v>
      </c>
      <c r="BJ213" s="480" t="str">
        <f t="shared" si="47"/>
        <v>Agiez</v>
      </c>
    </row>
    <row r="214" spans="1:62" x14ac:dyDescent="0.25">
      <c r="A214" s="341">
        <v>5743</v>
      </c>
      <c r="B214" s="523" t="s">
        <v>265</v>
      </c>
      <c r="C214" s="394">
        <v>1223125.02</v>
      </c>
      <c r="D214" s="394">
        <v>137962.57</v>
      </c>
      <c r="E214" s="391"/>
      <c r="F214" s="394">
        <v>0</v>
      </c>
      <c r="G214" s="394">
        <v>10959.5</v>
      </c>
      <c r="H214" s="394">
        <v>716</v>
      </c>
      <c r="I214" s="394">
        <v>0</v>
      </c>
      <c r="J214" s="394">
        <v>437.06</v>
      </c>
      <c r="K214" s="394">
        <v>0</v>
      </c>
      <c r="L214" s="394">
        <v>69445.100000000006</v>
      </c>
      <c r="M214" s="334">
        <f t="shared" si="36"/>
        <v>1442645.2500000002</v>
      </c>
      <c r="N214" s="398">
        <v>24432.05</v>
      </c>
      <c r="O214" s="398">
        <v>-33.799999999999997</v>
      </c>
      <c r="P214" s="398">
        <v>38323.949999999997</v>
      </c>
      <c r="Q214" s="398">
        <v>0</v>
      </c>
      <c r="R214" s="398">
        <v>13143.1</v>
      </c>
      <c r="S214" s="398"/>
      <c r="T214" s="398"/>
      <c r="U214" s="398">
        <v>3360</v>
      </c>
      <c r="V214" s="398"/>
      <c r="W214" s="398">
        <v>324</v>
      </c>
      <c r="X214" s="382">
        <v>1400.44</v>
      </c>
      <c r="Y214" s="485">
        <f t="shared" si="37"/>
        <v>1523594.9900000002</v>
      </c>
      <c r="Z214" s="399">
        <v>16298.4</v>
      </c>
      <c r="AA214" s="399"/>
      <c r="AB214" s="399">
        <v>41073.199999999997</v>
      </c>
      <c r="AC214" s="399"/>
      <c r="AD214" s="399">
        <v>29394.799999999999</v>
      </c>
      <c r="AE214" s="399">
        <v>273.3</v>
      </c>
      <c r="AF214" s="399"/>
      <c r="AG214" s="399"/>
      <c r="AH214" s="399"/>
      <c r="AI214" s="399"/>
      <c r="AJ214" s="399"/>
      <c r="AK214" s="399"/>
      <c r="AL214" s="477"/>
      <c r="AM214" s="485">
        <f t="shared" si="38"/>
        <v>87039.7</v>
      </c>
      <c r="AN214" s="399">
        <v>71</v>
      </c>
      <c r="AO214" s="402">
        <v>637</v>
      </c>
      <c r="AP214" s="480">
        <v>-3376.36</v>
      </c>
      <c r="AQ214" s="490"/>
      <c r="AR214" s="490">
        <v>-639.04999999999995</v>
      </c>
      <c r="AS214" s="520">
        <v>0.8</v>
      </c>
      <c r="AT214" s="535">
        <v>1523594.99</v>
      </c>
      <c r="AU214" s="535">
        <f>3360+324</f>
        <v>3684</v>
      </c>
      <c r="AV214" s="535">
        <v>1400.44</v>
      </c>
      <c r="AW214" s="535">
        <v>87039.7</v>
      </c>
      <c r="AX214" s="535">
        <v>0</v>
      </c>
      <c r="AY214" s="535">
        <v>-3376.36</v>
      </c>
      <c r="AZ214" s="535">
        <v>0</v>
      </c>
      <c r="BA214" s="535">
        <v>-639.04999999999995</v>
      </c>
      <c r="BB214" s="480">
        <f t="shared" si="39"/>
        <v>0</v>
      </c>
      <c r="BC214" s="480">
        <f t="shared" si="40"/>
        <v>0</v>
      </c>
      <c r="BD214" s="480">
        <f t="shared" si="41"/>
        <v>0</v>
      </c>
      <c r="BE214" s="480">
        <f t="shared" si="42"/>
        <v>0</v>
      </c>
      <c r="BF214" s="480">
        <f t="shared" si="43"/>
        <v>0</v>
      </c>
      <c r="BG214" s="480">
        <f t="shared" si="44"/>
        <v>0</v>
      </c>
      <c r="BH214" s="480">
        <f t="shared" si="45"/>
        <v>0</v>
      </c>
      <c r="BI214" s="6">
        <f t="shared" si="46"/>
        <v>5743</v>
      </c>
      <c r="BJ214" s="480" t="str">
        <f t="shared" si="47"/>
        <v>Arnex-sur-Orbe</v>
      </c>
    </row>
    <row r="215" spans="1:62" x14ac:dyDescent="0.25">
      <c r="A215" s="341">
        <v>5744</v>
      </c>
      <c r="B215" s="523" t="s">
        <v>266</v>
      </c>
      <c r="C215" s="394">
        <v>1370470.81</v>
      </c>
      <c r="D215" s="394">
        <v>144396.04999999999</v>
      </c>
      <c r="E215" s="391"/>
      <c r="F215" s="394">
        <v>0</v>
      </c>
      <c r="G215" s="394">
        <v>758789.9</v>
      </c>
      <c r="H215" s="394">
        <v>16975.3</v>
      </c>
      <c r="I215" s="394">
        <v>0</v>
      </c>
      <c r="J215" s="394">
        <v>125282.45</v>
      </c>
      <c r="K215" s="394">
        <v>0</v>
      </c>
      <c r="L215" s="394">
        <v>180433.55</v>
      </c>
      <c r="M215" s="334">
        <f t="shared" si="36"/>
        <v>2596348.06</v>
      </c>
      <c r="N215" s="398">
        <v>1275736.1499999999</v>
      </c>
      <c r="O215" s="398">
        <v>38907.9</v>
      </c>
      <c r="P215" s="398">
        <v>81541.3</v>
      </c>
      <c r="Q215" s="398">
        <v>318.24</v>
      </c>
      <c r="R215" s="398">
        <v>36949.5</v>
      </c>
      <c r="S215" s="398">
        <v>125</v>
      </c>
      <c r="T215" s="398"/>
      <c r="U215" s="398">
        <v>5275</v>
      </c>
      <c r="V215" s="398"/>
      <c r="W215" s="398"/>
      <c r="X215" s="382">
        <v>93050.62</v>
      </c>
      <c r="Y215" s="485">
        <f t="shared" si="37"/>
        <v>4128251.77</v>
      </c>
      <c r="Z215" s="399">
        <v>20733</v>
      </c>
      <c r="AA215" s="399"/>
      <c r="AB215" s="399">
        <v>60061.599999999999</v>
      </c>
      <c r="AC215" s="399"/>
      <c r="AD215" s="399">
        <v>113971.97</v>
      </c>
      <c r="AE215" s="399">
        <v>20733</v>
      </c>
      <c r="AF215" s="399"/>
      <c r="AG215" s="399"/>
      <c r="AH215" s="399">
        <v>6190</v>
      </c>
      <c r="AI215" s="399"/>
      <c r="AJ215" s="399"/>
      <c r="AK215" s="399"/>
      <c r="AL215" s="477"/>
      <c r="AM215" s="485">
        <f t="shared" si="38"/>
        <v>221689.57</v>
      </c>
      <c r="AN215" s="399">
        <v>65</v>
      </c>
      <c r="AO215" s="402">
        <v>1143</v>
      </c>
      <c r="AP215" s="480">
        <v>-58554.74</v>
      </c>
      <c r="AQ215" s="490"/>
      <c r="AR215" s="490">
        <v>-1693.86</v>
      </c>
      <c r="AS215" s="520">
        <v>1</v>
      </c>
      <c r="AT215" s="535">
        <v>4128251.77</v>
      </c>
      <c r="AU215" s="535">
        <f>125+5275</f>
        <v>5400</v>
      </c>
      <c r="AV215" s="535">
        <v>93050.62</v>
      </c>
      <c r="AW215" s="535">
        <v>221689.57</v>
      </c>
      <c r="AX215" s="535">
        <v>0</v>
      </c>
      <c r="AY215" s="535">
        <v>-58554.74</v>
      </c>
      <c r="AZ215" s="535">
        <v>0</v>
      </c>
      <c r="BA215" s="535">
        <v>-1693.86</v>
      </c>
      <c r="BB215" s="480">
        <f t="shared" si="39"/>
        <v>0</v>
      </c>
      <c r="BC215" s="480">
        <f t="shared" si="40"/>
        <v>0</v>
      </c>
      <c r="BD215" s="480">
        <f t="shared" si="41"/>
        <v>0</v>
      </c>
      <c r="BE215" s="480">
        <f t="shared" si="42"/>
        <v>0</v>
      </c>
      <c r="BF215" s="480">
        <f t="shared" si="43"/>
        <v>0</v>
      </c>
      <c r="BG215" s="480">
        <f t="shared" si="44"/>
        <v>0</v>
      </c>
      <c r="BH215" s="480">
        <f t="shared" si="45"/>
        <v>0</v>
      </c>
      <c r="BI215" s="6">
        <f t="shared" si="46"/>
        <v>5744</v>
      </c>
      <c r="BJ215" s="480" t="str">
        <f t="shared" si="47"/>
        <v>Ballaigues</v>
      </c>
    </row>
    <row r="216" spans="1:62" x14ac:dyDescent="0.25">
      <c r="A216" s="341">
        <v>5745</v>
      </c>
      <c r="B216" s="523" t="s">
        <v>267</v>
      </c>
      <c r="C216" s="394">
        <v>1680922.99</v>
      </c>
      <c r="D216" s="394">
        <v>205342.68</v>
      </c>
      <c r="E216" s="391"/>
      <c r="F216" s="394">
        <v>0</v>
      </c>
      <c r="G216" s="394">
        <v>7853.7</v>
      </c>
      <c r="H216" s="394">
        <v>6092.25</v>
      </c>
      <c r="I216" s="394">
        <v>0</v>
      </c>
      <c r="J216" s="394">
        <v>29002.38</v>
      </c>
      <c r="K216" s="394">
        <v>0</v>
      </c>
      <c r="L216" s="394">
        <v>136327</v>
      </c>
      <c r="M216" s="334">
        <f t="shared" si="36"/>
        <v>2065540.9999999998</v>
      </c>
      <c r="N216" s="398">
        <v>205276.15</v>
      </c>
      <c r="O216" s="398">
        <v>3960</v>
      </c>
      <c r="P216" s="398">
        <v>61580.6</v>
      </c>
      <c r="Q216" s="398">
        <v>14623.15</v>
      </c>
      <c r="R216" s="398">
        <v>23032.15</v>
      </c>
      <c r="S216" s="398"/>
      <c r="T216" s="398"/>
      <c r="U216" s="398">
        <v>4025</v>
      </c>
      <c r="V216" s="398"/>
      <c r="W216" s="398"/>
      <c r="X216" s="382">
        <v>1672.77</v>
      </c>
      <c r="Y216" s="485">
        <f t="shared" si="37"/>
        <v>2379710.8199999998</v>
      </c>
      <c r="Z216" s="399">
        <v>2150.25</v>
      </c>
      <c r="AA216" s="399"/>
      <c r="AB216" s="399">
        <v>142359.20000000001</v>
      </c>
      <c r="AC216" s="399"/>
      <c r="AD216" s="399">
        <v>70487.05</v>
      </c>
      <c r="AE216" s="399"/>
      <c r="AF216" s="399"/>
      <c r="AG216" s="399"/>
      <c r="AH216" s="399"/>
      <c r="AI216" s="399">
        <v>25296.45</v>
      </c>
      <c r="AJ216" s="399"/>
      <c r="AK216" s="399"/>
      <c r="AL216" s="477"/>
      <c r="AM216" s="485">
        <f t="shared" si="38"/>
        <v>240292.95</v>
      </c>
      <c r="AN216" s="399">
        <v>76.5</v>
      </c>
      <c r="AO216" s="402">
        <v>1074</v>
      </c>
      <c r="AP216" s="480">
        <v>-29461.5</v>
      </c>
      <c r="AQ216" s="490"/>
      <c r="AR216" s="490">
        <v>-64.849999999999994</v>
      </c>
      <c r="AS216" s="520">
        <v>1</v>
      </c>
      <c r="AT216" s="535">
        <v>2379710.8199999998</v>
      </c>
      <c r="AU216" s="535">
        <v>4025</v>
      </c>
      <c r="AV216" s="535">
        <v>1672.77</v>
      </c>
      <c r="AW216" s="535">
        <v>240292.95</v>
      </c>
      <c r="AX216" s="535">
        <v>0</v>
      </c>
      <c r="AY216" s="535">
        <v>-29461.5</v>
      </c>
      <c r="AZ216" s="535">
        <v>0</v>
      </c>
      <c r="BA216" s="535">
        <v>-64.849999999999994</v>
      </c>
      <c r="BB216" s="480">
        <f t="shared" si="39"/>
        <v>0</v>
      </c>
      <c r="BC216" s="480">
        <f t="shared" si="40"/>
        <v>0</v>
      </c>
      <c r="BD216" s="480">
        <f t="shared" si="41"/>
        <v>0</v>
      </c>
      <c r="BE216" s="480">
        <f t="shared" si="42"/>
        <v>0</v>
      </c>
      <c r="BF216" s="480">
        <f t="shared" si="43"/>
        <v>0</v>
      </c>
      <c r="BG216" s="480">
        <f t="shared" si="44"/>
        <v>0</v>
      </c>
      <c r="BH216" s="480">
        <f t="shared" si="45"/>
        <v>0</v>
      </c>
      <c r="BI216" s="6">
        <f t="shared" si="46"/>
        <v>5745</v>
      </c>
      <c r="BJ216" s="480" t="str">
        <f t="shared" si="47"/>
        <v>Baulmes</v>
      </c>
    </row>
    <row r="217" spans="1:62" x14ac:dyDescent="0.25">
      <c r="A217" s="341">
        <v>5746</v>
      </c>
      <c r="B217" s="523" t="s">
        <v>268</v>
      </c>
      <c r="C217" s="394">
        <v>1836127.63</v>
      </c>
      <c r="D217" s="394">
        <v>162046.48000000001</v>
      </c>
      <c r="E217" s="391"/>
      <c r="F217" s="394">
        <v>0</v>
      </c>
      <c r="G217" s="394">
        <v>4894.55</v>
      </c>
      <c r="H217" s="394">
        <v>1916.6</v>
      </c>
      <c r="I217" s="394">
        <v>0</v>
      </c>
      <c r="J217" s="394">
        <v>15801.14</v>
      </c>
      <c r="K217" s="394">
        <v>19580.25</v>
      </c>
      <c r="L217" s="394">
        <v>213207.4</v>
      </c>
      <c r="M217" s="334">
        <f t="shared" si="36"/>
        <v>2253574.0499999998</v>
      </c>
      <c r="N217" s="398">
        <v>22104.3</v>
      </c>
      <c r="O217" s="398">
        <v>250149</v>
      </c>
      <c r="P217" s="398">
        <v>87804.15</v>
      </c>
      <c r="Q217" s="398">
        <v>21672.13</v>
      </c>
      <c r="R217" s="398">
        <v>58860.95</v>
      </c>
      <c r="S217" s="398">
        <v>375</v>
      </c>
      <c r="T217" s="398">
        <v>1846.25</v>
      </c>
      <c r="U217" s="398">
        <v>5250</v>
      </c>
      <c r="V217" s="398"/>
      <c r="W217" s="398"/>
      <c r="X217" s="382">
        <v>816.98</v>
      </c>
      <c r="Y217" s="485">
        <f t="shared" si="37"/>
        <v>2702452.8099999996</v>
      </c>
      <c r="Z217" s="399">
        <v>119432.1</v>
      </c>
      <c r="AA217" s="399"/>
      <c r="AB217" s="399">
        <v>109425.7</v>
      </c>
      <c r="AC217" s="399"/>
      <c r="AD217" s="399">
        <v>71115.95</v>
      </c>
      <c r="AE217" s="399">
        <v>13447</v>
      </c>
      <c r="AF217" s="399"/>
      <c r="AG217" s="399"/>
      <c r="AH217" s="399"/>
      <c r="AI217" s="399">
        <v>29789.95</v>
      </c>
      <c r="AJ217" s="399"/>
      <c r="AK217" s="399"/>
      <c r="AL217" s="477"/>
      <c r="AM217" s="485">
        <f t="shared" si="38"/>
        <v>343210.7</v>
      </c>
      <c r="AN217" s="399">
        <v>73</v>
      </c>
      <c r="AO217" s="402">
        <v>994</v>
      </c>
      <c r="AP217" s="480">
        <v>-16408.57</v>
      </c>
      <c r="AQ217" s="490"/>
      <c r="AR217" s="490">
        <v>-57.41</v>
      </c>
      <c r="AS217" s="520">
        <v>1.2</v>
      </c>
      <c r="AT217" s="535">
        <v>2702452.81</v>
      </c>
      <c r="AU217" s="535">
        <f>375+1846.25+5250</f>
        <v>7471.25</v>
      </c>
      <c r="AV217" s="535">
        <v>816.98</v>
      </c>
      <c r="AW217" s="535">
        <v>343210.7</v>
      </c>
      <c r="AX217" s="535">
        <v>0</v>
      </c>
      <c r="AY217" s="535">
        <v>-16408.57</v>
      </c>
      <c r="AZ217" s="535">
        <v>0</v>
      </c>
      <c r="BA217" s="535">
        <v>-57.41</v>
      </c>
      <c r="BB217" s="480">
        <f t="shared" si="39"/>
        <v>0</v>
      </c>
      <c r="BC217" s="480">
        <f t="shared" si="40"/>
        <v>0</v>
      </c>
      <c r="BD217" s="480">
        <f t="shared" si="41"/>
        <v>0</v>
      </c>
      <c r="BE217" s="480">
        <f t="shared" si="42"/>
        <v>0</v>
      </c>
      <c r="BF217" s="480">
        <f t="shared" si="43"/>
        <v>0</v>
      </c>
      <c r="BG217" s="480">
        <f t="shared" si="44"/>
        <v>0</v>
      </c>
      <c r="BH217" s="480">
        <f t="shared" si="45"/>
        <v>0</v>
      </c>
      <c r="BI217" s="6">
        <f t="shared" si="46"/>
        <v>5746</v>
      </c>
      <c r="BJ217" s="480" t="str">
        <f t="shared" si="47"/>
        <v>Bavois</v>
      </c>
    </row>
    <row r="218" spans="1:62" x14ac:dyDescent="0.25">
      <c r="A218" s="341">
        <v>5747</v>
      </c>
      <c r="B218" s="525" t="s">
        <v>269</v>
      </c>
      <c r="C218" s="394">
        <v>292485.21999999997</v>
      </c>
      <c r="D218" s="394">
        <v>27661.63</v>
      </c>
      <c r="E218" s="391"/>
      <c r="F218" s="394">
        <v>0</v>
      </c>
      <c r="G218" s="394">
        <v>20413.150000000001</v>
      </c>
      <c r="H218" s="394">
        <v>211.25</v>
      </c>
      <c r="I218" s="394">
        <v>0</v>
      </c>
      <c r="J218" s="394">
        <v>11774.59</v>
      </c>
      <c r="K218" s="394">
        <v>0</v>
      </c>
      <c r="L218" s="394">
        <v>32074.9</v>
      </c>
      <c r="M218" s="334">
        <f t="shared" si="36"/>
        <v>384620.74000000005</v>
      </c>
      <c r="N218" s="398">
        <v>0</v>
      </c>
      <c r="O218" s="398">
        <v>0</v>
      </c>
      <c r="P218" s="398">
        <v>26165.599999999999</v>
      </c>
      <c r="Q218" s="398">
        <v>0</v>
      </c>
      <c r="R218" s="398">
        <v>22602.1</v>
      </c>
      <c r="S218" s="398"/>
      <c r="T218" s="398"/>
      <c r="U218" s="398">
        <v>440</v>
      </c>
      <c r="V218" s="398"/>
      <c r="W218" s="398"/>
      <c r="X218" s="382">
        <v>2473.83</v>
      </c>
      <c r="Y218" s="485">
        <f t="shared" si="37"/>
        <v>436302.27</v>
      </c>
      <c r="Z218" s="399"/>
      <c r="AA218" s="399"/>
      <c r="AB218" s="399"/>
      <c r="AC218" s="399"/>
      <c r="AD218" s="399"/>
      <c r="AE218" s="399"/>
      <c r="AF218" s="399"/>
      <c r="AG218" s="399"/>
      <c r="AH218" s="399"/>
      <c r="AI218" s="399"/>
      <c r="AJ218" s="399"/>
      <c r="AK218" s="399"/>
      <c r="AL218" s="477"/>
      <c r="AM218" s="485">
        <f t="shared" si="38"/>
        <v>0</v>
      </c>
      <c r="AN218" s="399">
        <v>69</v>
      </c>
      <c r="AO218" s="402">
        <v>206</v>
      </c>
      <c r="AP218" s="480">
        <v>-88.84</v>
      </c>
      <c r="AQ218" s="490"/>
      <c r="AR218" s="490">
        <v>0</v>
      </c>
      <c r="AS218" s="520">
        <v>1</v>
      </c>
      <c r="AT218" s="535">
        <v>436302.27</v>
      </c>
      <c r="AU218" s="535">
        <v>440</v>
      </c>
      <c r="AV218" s="535">
        <v>2473.83</v>
      </c>
      <c r="AW218" s="535">
        <v>0</v>
      </c>
      <c r="AX218" s="535">
        <v>0</v>
      </c>
      <c r="AY218" s="535">
        <v>-88.84</v>
      </c>
      <c r="AZ218" s="535">
        <v>0</v>
      </c>
      <c r="BA218" s="535">
        <v>0</v>
      </c>
      <c r="BB218" s="480">
        <f t="shared" si="39"/>
        <v>0</v>
      </c>
      <c r="BC218" s="480">
        <f t="shared" si="40"/>
        <v>0</v>
      </c>
      <c r="BD218" s="480">
        <f t="shared" si="41"/>
        <v>0</v>
      </c>
      <c r="BE218" s="480">
        <f t="shared" si="42"/>
        <v>0</v>
      </c>
      <c r="BF218" s="480">
        <f t="shared" si="43"/>
        <v>0</v>
      </c>
      <c r="BG218" s="480">
        <f t="shared" si="44"/>
        <v>0</v>
      </c>
      <c r="BH218" s="480">
        <f t="shared" si="45"/>
        <v>0</v>
      </c>
      <c r="BI218" s="6">
        <f t="shared" si="46"/>
        <v>5747</v>
      </c>
      <c r="BJ218" s="480" t="str">
        <f t="shared" si="47"/>
        <v>Bofflens</v>
      </c>
    </row>
    <row r="219" spans="1:62" x14ac:dyDescent="0.25">
      <c r="A219" s="341">
        <v>5748</v>
      </c>
      <c r="B219" s="523" t="s">
        <v>270</v>
      </c>
      <c r="C219" s="394">
        <v>319130.2</v>
      </c>
      <c r="D219" s="394">
        <v>44587.85</v>
      </c>
      <c r="E219" s="391"/>
      <c r="F219" s="394">
        <v>2130</v>
      </c>
      <c r="G219" s="394">
        <v>3491.2</v>
      </c>
      <c r="H219" s="394">
        <v>75.05</v>
      </c>
      <c r="I219" s="394">
        <v>0</v>
      </c>
      <c r="J219" s="394">
        <v>193.7</v>
      </c>
      <c r="K219" s="394">
        <v>0</v>
      </c>
      <c r="L219" s="394">
        <v>22491.200000000001</v>
      </c>
      <c r="M219" s="334">
        <f t="shared" si="36"/>
        <v>392099.2</v>
      </c>
      <c r="N219" s="398">
        <v>0</v>
      </c>
      <c r="O219" s="398">
        <v>0</v>
      </c>
      <c r="P219" s="398">
        <v>7315</v>
      </c>
      <c r="Q219" s="398">
        <v>12216.72</v>
      </c>
      <c r="R219" s="398">
        <v>21476.05</v>
      </c>
      <c r="S219" s="398"/>
      <c r="T219" s="398"/>
      <c r="U219" s="398">
        <v>1400</v>
      </c>
      <c r="V219" s="398"/>
      <c r="W219" s="398"/>
      <c r="X219" s="382">
        <v>427.76</v>
      </c>
      <c r="Y219" s="485">
        <f t="shared" si="37"/>
        <v>434934.73</v>
      </c>
      <c r="Z219" s="399"/>
      <c r="AA219" s="399"/>
      <c r="AB219" s="399">
        <v>29200.6</v>
      </c>
      <c r="AC219" s="399"/>
      <c r="AD219" s="399">
        <v>24640.9</v>
      </c>
      <c r="AE219" s="399"/>
      <c r="AF219" s="399"/>
      <c r="AG219" s="399"/>
      <c r="AH219" s="399"/>
      <c r="AI219" s="399"/>
      <c r="AJ219" s="399"/>
      <c r="AK219" s="399"/>
      <c r="AL219" s="477"/>
      <c r="AM219" s="485">
        <f t="shared" si="38"/>
        <v>53841.5</v>
      </c>
      <c r="AN219" s="399">
        <v>70.5</v>
      </c>
      <c r="AO219" s="402">
        <v>268</v>
      </c>
      <c r="AP219" s="480">
        <v>-11543.63</v>
      </c>
      <c r="AQ219" s="490"/>
      <c r="AR219" s="490">
        <v>0</v>
      </c>
      <c r="AS219" s="520">
        <v>0.6</v>
      </c>
      <c r="AT219" s="535">
        <v>434934.73</v>
      </c>
      <c r="AU219" s="535">
        <v>1400</v>
      </c>
      <c r="AV219" s="535">
        <v>427.76</v>
      </c>
      <c r="AW219" s="535">
        <v>53841.5</v>
      </c>
      <c r="AX219" s="535">
        <v>0</v>
      </c>
      <c r="AY219" s="535">
        <v>-11543.63</v>
      </c>
      <c r="AZ219" s="535">
        <v>0</v>
      </c>
      <c r="BA219" s="535">
        <v>0</v>
      </c>
      <c r="BB219" s="480">
        <f t="shared" si="39"/>
        <v>0</v>
      </c>
      <c r="BC219" s="480">
        <f t="shared" si="40"/>
        <v>0</v>
      </c>
      <c r="BD219" s="480">
        <f t="shared" si="41"/>
        <v>0</v>
      </c>
      <c r="BE219" s="480">
        <f t="shared" si="42"/>
        <v>0</v>
      </c>
      <c r="BF219" s="480">
        <f t="shared" si="43"/>
        <v>0</v>
      </c>
      <c r="BG219" s="480">
        <f t="shared" si="44"/>
        <v>0</v>
      </c>
      <c r="BH219" s="480">
        <f t="shared" si="45"/>
        <v>0</v>
      </c>
      <c r="BI219" s="6">
        <f t="shared" si="46"/>
        <v>5748</v>
      </c>
      <c r="BJ219" s="480" t="str">
        <f t="shared" si="47"/>
        <v>Bretonnières</v>
      </c>
    </row>
    <row r="220" spans="1:62" x14ac:dyDescent="0.25">
      <c r="A220" s="341">
        <v>5749</v>
      </c>
      <c r="B220" s="523" t="s">
        <v>271</v>
      </c>
      <c r="C220" s="394">
        <v>8074024.3700000001</v>
      </c>
      <c r="D220" s="394">
        <v>725957.88</v>
      </c>
      <c r="E220" s="391"/>
      <c r="F220" s="394">
        <v>0</v>
      </c>
      <c r="G220" s="394">
        <v>97132.799999999901</v>
      </c>
      <c r="H220" s="394">
        <v>34149.15</v>
      </c>
      <c r="I220" s="394">
        <v>0</v>
      </c>
      <c r="J220" s="394">
        <v>210085.08</v>
      </c>
      <c r="K220" s="394">
        <v>49595.7</v>
      </c>
      <c r="L220" s="394">
        <v>833055.5</v>
      </c>
      <c r="M220" s="334">
        <f t="shared" si="36"/>
        <v>10024000.48</v>
      </c>
      <c r="N220" s="398">
        <v>712723.2</v>
      </c>
      <c r="O220" s="398">
        <v>121500</v>
      </c>
      <c r="P220" s="398">
        <v>392838.5</v>
      </c>
      <c r="Q220" s="398">
        <v>153959.79999999999</v>
      </c>
      <c r="R220" s="398">
        <v>232311.1</v>
      </c>
      <c r="S220" s="398"/>
      <c r="T220" s="398">
        <v>9296.5</v>
      </c>
      <c r="U220" s="398">
        <v>26160</v>
      </c>
      <c r="V220" s="398"/>
      <c r="W220" s="398"/>
      <c r="X220" s="382">
        <v>15746.86</v>
      </c>
      <c r="Y220" s="485">
        <f t="shared" si="37"/>
        <v>11688536.439999999</v>
      </c>
      <c r="Z220" s="399">
        <v>72481.25</v>
      </c>
      <c r="AA220" s="399"/>
      <c r="AB220" s="399">
        <v>856366.8</v>
      </c>
      <c r="AC220" s="399"/>
      <c r="AD220" s="399">
        <v>608498.21</v>
      </c>
      <c r="AE220" s="399">
        <v>67983.399999999994</v>
      </c>
      <c r="AF220" s="399"/>
      <c r="AG220" s="399"/>
      <c r="AH220" s="399"/>
      <c r="AI220" s="399">
        <v>162794.95000000001</v>
      </c>
      <c r="AJ220" s="399"/>
      <c r="AK220" s="399"/>
      <c r="AL220" s="477"/>
      <c r="AM220" s="485">
        <f t="shared" si="38"/>
        <v>1768124.6099999999</v>
      </c>
      <c r="AN220" s="399">
        <v>70.5</v>
      </c>
      <c r="AO220" s="402">
        <v>5227</v>
      </c>
      <c r="AP220" s="480">
        <v>-272346.67</v>
      </c>
      <c r="AQ220" s="490"/>
      <c r="AR220" s="490">
        <v>-3645.56</v>
      </c>
      <c r="AS220" s="520">
        <v>1</v>
      </c>
      <c r="AT220" s="535">
        <v>11688536.439999999</v>
      </c>
      <c r="AU220" s="535">
        <f>9296.5+26160</f>
        <v>35456.5</v>
      </c>
      <c r="AV220" s="535">
        <v>15746.86</v>
      </c>
      <c r="AW220" s="535">
        <v>1768124.61</v>
      </c>
      <c r="AX220" s="535">
        <v>0</v>
      </c>
      <c r="AY220" s="535">
        <v>-272346.67</v>
      </c>
      <c r="AZ220" s="535">
        <v>0</v>
      </c>
      <c r="BA220" s="535">
        <v>-3645.56</v>
      </c>
      <c r="BB220" s="480">
        <f t="shared" si="39"/>
        <v>0</v>
      </c>
      <c r="BC220" s="480">
        <f t="shared" si="40"/>
        <v>0</v>
      </c>
      <c r="BD220" s="480">
        <f t="shared" si="41"/>
        <v>0</v>
      </c>
      <c r="BE220" s="480">
        <f t="shared" si="42"/>
        <v>0</v>
      </c>
      <c r="BF220" s="480">
        <f t="shared" si="43"/>
        <v>0</v>
      </c>
      <c r="BG220" s="480">
        <f t="shared" si="44"/>
        <v>0</v>
      </c>
      <c r="BH220" s="480">
        <f t="shared" si="45"/>
        <v>0</v>
      </c>
      <c r="BI220" s="6">
        <f t="shared" si="46"/>
        <v>5749</v>
      </c>
      <c r="BJ220" s="480" t="str">
        <f t="shared" si="47"/>
        <v>Chavornay</v>
      </c>
    </row>
    <row r="221" spans="1:62" x14ac:dyDescent="0.25">
      <c r="A221" s="341">
        <v>5750</v>
      </c>
      <c r="B221" s="523" t="s">
        <v>272</v>
      </c>
      <c r="C221" s="394">
        <v>412663.95</v>
      </c>
      <c r="D221" s="394">
        <v>55061</v>
      </c>
      <c r="E221" s="391"/>
      <c r="F221" s="394">
        <v>1130</v>
      </c>
      <c r="G221" s="394">
        <v>-146.6</v>
      </c>
      <c r="H221" s="394">
        <v>77.8</v>
      </c>
      <c r="I221" s="394">
        <v>0</v>
      </c>
      <c r="J221" s="394">
        <v>-3129.71</v>
      </c>
      <c r="K221" s="394">
        <v>15.55</v>
      </c>
      <c r="L221" s="394">
        <v>13725.15</v>
      </c>
      <c r="M221" s="334">
        <f t="shared" si="36"/>
        <v>479397.14</v>
      </c>
      <c r="N221" s="398">
        <v>7784.9</v>
      </c>
      <c r="O221" s="398">
        <v>15.7</v>
      </c>
      <c r="P221" s="398">
        <v>1080.95</v>
      </c>
      <c r="Q221" s="398">
        <v>3011.5</v>
      </c>
      <c r="R221" s="398">
        <v>0</v>
      </c>
      <c r="S221" s="398"/>
      <c r="T221" s="398"/>
      <c r="U221" s="398">
        <v>620</v>
      </c>
      <c r="V221" s="398"/>
      <c r="W221" s="398"/>
      <c r="X221" s="382">
        <v>-8.25</v>
      </c>
      <c r="Y221" s="485">
        <f t="shared" si="37"/>
        <v>491901.94000000006</v>
      </c>
      <c r="Z221" s="399">
        <v>594.35</v>
      </c>
      <c r="AA221" s="399"/>
      <c r="AB221" s="399">
        <v>41373.199999999997</v>
      </c>
      <c r="AC221" s="399"/>
      <c r="AD221" s="399">
        <v>20490.900000000001</v>
      </c>
      <c r="AE221" s="399">
        <v>596.20000000000005</v>
      </c>
      <c r="AF221" s="399"/>
      <c r="AG221" s="399"/>
      <c r="AH221" s="399">
        <v>256</v>
      </c>
      <c r="AI221" s="399">
        <v>4399.3999999999996</v>
      </c>
      <c r="AJ221" s="399"/>
      <c r="AK221" s="399"/>
      <c r="AL221" s="477"/>
      <c r="AM221" s="485">
        <f t="shared" si="38"/>
        <v>67710.049999999988</v>
      </c>
      <c r="AN221" s="399">
        <v>80</v>
      </c>
      <c r="AO221" s="402">
        <v>187</v>
      </c>
      <c r="AP221" s="480">
        <v>-7429.7</v>
      </c>
      <c r="AQ221" s="490"/>
      <c r="AR221" s="490">
        <v>-1085.29</v>
      </c>
      <c r="AS221" s="520">
        <v>0.6</v>
      </c>
      <c r="AT221" s="535">
        <v>491901.94</v>
      </c>
      <c r="AU221" s="535">
        <v>620</v>
      </c>
      <c r="AV221" s="535">
        <v>-8.25</v>
      </c>
      <c r="AW221" s="535">
        <v>67710.05</v>
      </c>
      <c r="AX221" s="535">
        <v>0</v>
      </c>
      <c r="AY221" s="535">
        <v>-7429.7</v>
      </c>
      <c r="AZ221" s="535">
        <v>0</v>
      </c>
      <c r="BA221" s="535">
        <v>-1085.29</v>
      </c>
      <c r="BB221" s="480">
        <f t="shared" si="39"/>
        <v>0</v>
      </c>
      <c r="BC221" s="480">
        <f t="shared" si="40"/>
        <v>0</v>
      </c>
      <c r="BD221" s="480">
        <f t="shared" si="41"/>
        <v>0</v>
      </c>
      <c r="BE221" s="480">
        <f t="shared" si="42"/>
        <v>0</v>
      </c>
      <c r="BF221" s="480">
        <f t="shared" si="43"/>
        <v>0</v>
      </c>
      <c r="BG221" s="480">
        <f t="shared" si="44"/>
        <v>0</v>
      </c>
      <c r="BH221" s="480">
        <f t="shared" si="45"/>
        <v>0</v>
      </c>
      <c r="BI221" s="6">
        <f t="shared" si="46"/>
        <v>5750</v>
      </c>
      <c r="BJ221" s="480" t="str">
        <f t="shared" si="47"/>
        <v>Les Clées</v>
      </c>
    </row>
    <row r="222" spans="1:62" x14ac:dyDescent="0.25">
      <c r="A222" s="341">
        <v>5752</v>
      </c>
      <c r="B222" s="523" t="s">
        <v>332</v>
      </c>
      <c r="C222" s="394">
        <v>549569.98</v>
      </c>
      <c r="D222" s="394">
        <v>86688.19</v>
      </c>
      <c r="E222" s="391"/>
      <c r="F222" s="394">
        <v>0</v>
      </c>
      <c r="G222" s="394">
        <v>10554.25</v>
      </c>
      <c r="H222" s="394">
        <v>659</v>
      </c>
      <c r="I222" s="394">
        <v>0</v>
      </c>
      <c r="J222" s="394">
        <v>10649.79</v>
      </c>
      <c r="K222" s="394">
        <v>833.4</v>
      </c>
      <c r="L222" s="394">
        <v>42401</v>
      </c>
      <c r="M222" s="334">
        <f t="shared" si="36"/>
        <v>701355.61</v>
      </c>
      <c r="N222" s="398">
        <v>34854.65</v>
      </c>
      <c r="O222" s="398">
        <v>1430.1</v>
      </c>
      <c r="P222" s="398">
        <v>20277.599999999999</v>
      </c>
      <c r="Q222" s="398">
        <v>0</v>
      </c>
      <c r="R222" s="398">
        <v>25630.6</v>
      </c>
      <c r="S222" s="398"/>
      <c r="T222" s="398"/>
      <c r="U222" s="398">
        <v>2700</v>
      </c>
      <c r="V222" s="398"/>
      <c r="W222" s="398"/>
      <c r="X222" s="382">
        <v>1344.99</v>
      </c>
      <c r="Y222" s="485">
        <f t="shared" si="37"/>
        <v>787593.54999999993</v>
      </c>
      <c r="Z222" s="399"/>
      <c r="AA222" s="399">
        <v>50</v>
      </c>
      <c r="AB222" s="399">
        <v>65566.8</v>
      </c>
      <c r="AC222" s="399"/>
      <c r="AD222" s="399">
        <v>30215</v>
      </c>
      <c r="AE222" s="399"/>
      <c r="AF222" s="399">
        <v>50</v>
      </c>
      <c r="AG222" s="399"/>
      <c r="AH222" s="399"/>
      <c r="AI222" s="399"/>
      <c r="AJ222" s="399"/>
      <c r="AK222" s="399"/>
      <c r="AL222" s="477"/>
      <c r="AM222" s="485">
        <f t="shared" si="38"/>
        <v>95881.8</v>
      </c>
      <c r="AN222" s="399">
        <v>74</v>
      </c>
      <c r="AO222" s="402">
        <v>397</v>
      </c>
      <c r="AP222" s="480">
        <v>-23961.74</v>
      </c>
      <c r="AQ222" s="490"/>
      <c r="AR222" s="490">
        <v>-67.73</v>
      </c>
      <c r="AS222" s="520">
        <v>0.7</v>
      </c>
      <c r="AT222" s="535">
        <v>787593.55</v>
      </c>
      <c r="AU222" s="535">
        <v>2700</v>
      </c>
      <c r="AV222" s="535">
        <v>1344.99</v>
      </c>
      <c r="AW222" s="535">
        <v>95881.8</v>
      </c>
      <c r="AX222" s="535">
        <v>0</v>
      </c>
      <c r="AY222" s="535">
        <v>-23961.74</v>
      </c>
      <c r="AZ222" s="535">
        <v>0</v>
      </c>
      <c r="BA222" s="535">
        <v>-67.73</v>
      </c>
      <c r="BB222" s="480">
        <f t="shared" si="39"/>
        <v>0</v>
      </c>
      <c r="BC222" s="480">
        <f t="shared" si="40"/>
        <v>0</v>
      </c>
      <c r="BD222" s="480">
        <f t="shared" si="41"/>
        <v>0</v>
      </c>
      <c r="BE222" s="480">
        <f t="shared" si="42"/>
        <v>0</v>
      </c>
      <c r="BF222" s="480">
        <f t="shared" si="43"/>
        <v>0</v>
      </c>
      <c r="BG222" s="480">
        <f t="shared" si="44"/>
        <v>0</v>
      </c>
      <c r="BH222" s="480">
        <f t="shared" si="45"/>
        <v>0</v>
      </c>
      <c r="BI222" s="6">
        <f t="shared" si="46"/>
        <v>5752</v>
      </c>
      <c r="BJ222" s="480" t="str">
        <f t="shared" si="47"/>
        <v>Croy</v>
      </c>
    </row>
    <row r="223" spans="1:62" x14ac:dyDescent="0.25">
      <c r="A223" s="341">
        <v>5754</v>
      </c>
      <c r="B223" s="523" t="s">
        <v>333</v>
      </c>
      <c r="C223" s="394">
        <v>544454.93000000005</v>
      </c>
      <c r="D223" s="394">
        <v>42775.13</v>
      </c>
      <c r="E223" s="391"/>
      <c r="F223" s="394">
        <v>0</v>
      </c>
      <c r="G223" s="394">
        <v>992.8</v>
      </c>
      <c r="H223" s="394">
        <v>919.95</v>
      </c>
      <c r="I223" s="394">
        <v>0</v>
      </c>
      <c r="J223" s="394">
        <v>2830.32</v>
      </c>
      <c r="K223" s="394">
        <v>1588.5</v>
      </c>
      <c r="L223" s="394">
        <v>41885.1</v>
      </c>
      <c r="M223" s="334">
        <f t="shared" si="36"/>
        <v>635446.73</v>
      </c>
      <c r="N223" s="398">
        <v>0</v>
      </c>
      <c r="O223" s="398">
        <v>1386</v>
      </c>
      <c r="P223" s="398">
        <v>21175</v>
      </c>
      <c r="Q223" s="398">
        <v>-837.37</v>
      </c>
      <c r="R223" s="398">
        <v>1849.15</v>
      </c>
      <c r="S223" s="398"/>
      <c r="T223" s="398"/>
      <c r="U223" s="398">
        <v>1960</v>
      </c>
      <c r="V223" s="398"/>
      <c r="W223" s="398"/>
      <c r="X223" s="382">
        <v>229.43</v>
      </c>
      <c r="Y223" s="485">
        <f t="shared" si="37"/>
        <v>661208.94000000006</v>
      </c>
      <c r="Z223" s="399"/>
      <c r="AA223" s="399"/>
      <c r="AB223" s="399">
        <v>44025</v>
      </c>
      <c r="AC223" s="399"/>
      <c r="AD223" s="399">
        <v>21542.45</v>
      </c>
      <c r="AE223" s="399"/>
      <c r="AF223" s="399"/>
      <c r="AG223" s="399"/>
      <c r="AH223" s="399"/>
      <c r="AI223" s="399"/>
      <c r="AJ223" s="399"/>
      <c r="AK223" s="399"/>
      <c r="AL223" s="477"/>
      <c r="AM223" s="485">
        <f t="shared" si="38"/>
        <v>65567.45</v>
      </c>
      <c r="AN223" s="399">
        <v>79</v>
      </c>
      <c r="AO223" s="402">
        <v>336</v>
      </c>
      <c r="AP223" s="480">
        <v>705.93</v>
      </c>
      <c r="AQ223" s="490"/>
      <c r="AR223" s="490">
        <v>-85.63</v>
      </c>
      <c r="AS223" s="520">
        <v>1</v>
      </c>
      <c r="AT223" s="535">
        <v>661208.93999999994</v>
      </c>
      <c r="AU223" s="535">
        <v>1960</v>
      </c>
      <c r="AV223" s="535">
        <v>229.43</v>
      </c>
      <c r="AW223" s="535">
        <v>65567.45</v>
      </c>
      <c r="AX223" s="535">
        <v>0</v>
      </c>
      <c r="AY223" s="535">
        <v>705.93</v>
      </c>
      <c r="AZ223" s="535">
        <v>0</v>
      </c>
      <c r="BA223" s="535">
        <v>-85.63</v>
      </c>
      <c r="BB223" s="480">
        <f t="shared" si="39"/>
        <v>0</v>
      </c>
      <c r="BC223" s="480">
        <f t="shared" si="40"/>
        <v>0</v>
      </c>
      <c r="BD223" s="480">
        <f t="shared" si="41"/>
        <v>0</v>
      </c>
      <c r="BE223" s="480">
        <f t="shared" si="42"/>
        <v>0</v>
      </c>
      <c r="BF223" s="480">
        <f t="shared" si="43"/>
        <v>0</v>
      </c>
      <c r="BG223" s="480">
        <f t="shared" si="44"/>
        <v>0</v>
      </c>
      <c r="BH223" s="480">
        <f t="shared" si="45"/>
        <v>0</v>
      </c>
      <c r="BI223" s="6">
        <f t="shared" si="46"/>
        <v>5754</v>
      </c>
      <c r="BJ223" s="480" t="str">
        <f t="shared" si="47"/>
        <v>Juriens</v>
      </c>
    </row>
    <row r="224" spans="1:62" x14ac:dyDescent="0.25">
      <c r="A224" s="341">
        <v>5755</v>
      </c>
      <c r="B224" s="523" t="s">
        <v>334</v>
      </c>
      <c r="C224" s="394">
        <v>580072.43999999994</v>
      </c>
      <c r="D224" s="394">
        <v>56969.24</v>
      </c>
      <c r="E224" s="391"/>
      <c r="F224" s="394">
        <v>0</v>
      </c>
      <c r="G224" s="394">
        <v>6470.9</v>
      </c>
      <c r="H224" s="394">
        <v>1108.4000000000001</v>
      </c>
      <c r="I224" s="394">
        <v>0</v>
      </c>
      <c r="J224" s="394">
        <v>2001.7</v>
      </c>
      <c r="K224" s="394">
        <v>2533.1</v>
      </c>
      <c r="L224" s="394">
        <v>43841.9</v>
      </c>
      <c r="M224" s="334">
        <f t="shared" si="36"/>
        <v>692997.67999999993</v>
      </c>
      <c r="N224" s="398">
        <v>23527.15</v>
      </c>
      <c r="O224" s="398">
        <v>251932.6</v>
      </c>
      <c r="P224" s="398">
        <v>7650.5</v>
      </c>
      <c r="Q224" s="398">
        <v>355.56</v>
      </c>
      <c r="R224" s="398">
        <v>11972.4</v>
      </c>
      <c r="S224" s="398"/>
      <c r="T224" s="398"/>
      <c r="U224" s="398">
        <v>2450</v>
      </c>
      <c r="V224" s="398"/>
      <c r="W224" s="398"/>
      <c r="X224" s="382">
        <v>909.11</v>
      </c>
      <c r="Y224" s="485">
        <f t="shared" si="37"/>
        <v>991795</v>
      </c>
      <c r="Z224" s="399"/>
      <c r="AA224" s="399"/>
      <c r="AB224" s="399">
        <v>68951</v>
      </c>
      <c r="AC224" s="399"/>
      <c r="AD224" s="399">
        <v>54331.47</v>
      </c>
      <c r="AE224" s="399">
        <v>12600</v>
      </c>
      <c r="AF224" s="399"/>
      <c r="AG224" s="399"/>
      <c r="AH224" s="399"/>
      <c r="AI224" s="399"/>
      <c r="AJ224" s="399"/>
      <c r="AK224" s="399"/>
      <c r="AL224" s="477"/>
      <c r="AM224" s="485">
        <f t="shared" si="38"/>
        <v>135882.47</v>
      </c>
      <c r="AN224" s="399">
        <v>78.5</v>
      </c>
      <c r="AO224" s="402">
        <v>435</v>
      </c>
      <c r="AP224" s="480">
        <v>-2212.75</v>
      </c>
      <c r="AQ224" s="490"/>
      <c r="AR224" s="490">
        <v>0</v>
      </c>
      <c r="AS224" s="520">
        <v>0.7</v>
      </c>
      <c r="AT224" s="535">
        <v>991795</v>
      </c>
      <c r="AU224" s="535">
        <v>2450</v>
      </c>
      <c r="AV224" s="535">
        <v>909.11</v>
      </c>
      <c r="AW224" s="535">
        <v>135882.47</v>
      </c>
      <c r="AX224" s="535">
        <v>0</v>
      </c>
      <c r="AY224" s="535">
        <v>-2212.75</v>
      </c>
      <c r="AZ224" s="535">
        <v>0</v>
      </c>
      <c r="BA224" s="535">
        <v>0</v>
      </c>
      <c r="BB224" s="480">
        <f t="shared" si="39"/>
        <v>0</v>
      </c>
      <c r="BC224" s="480">
        <f t="shared" si="40"/>
        <v>0</v>
      </c>
      <c r="BD224" s="480">
        <f t="shared" si="41"/>
        <v>0</v>
      </c>
      <c r="BE224" s="480">
        <f t="shared" si="42"/>
        <v>0</v>
      </c>
      <c r="BF224" s="480">
        <f t="shared" si="43"/>
        <v>0</v>
      </c>
      <c r="BG224" s="480">
        <f t="shared" si="44"/>
        <v>0</v>
      </c>
      <c r="BH224" s="480">
        <f t="shared" si="45"/>
        <v>0</v>
      </c>
      <c r="BI224" s="6">
        <f t="shared" si="46"/>
        <v>5755</v>
      </c>
      <c r="BJ224" s="480" t="str">
        <f t="shared" si="47"/>
        <v>Lignerolle</v>
      </c>
    </row>
    <row r="225" spans="1:64" x14ac:dyDescent="0.25">
      <c r="A225" s="341">
        <v>5756</v>
      </c>
      <c r="B225" s="523" t="s">
        <v>335</v>
      </c>
      <c r="C225" s="394">
        <v>846194.99</v>
      </c>
      <c r="D225" s="394">
        <v>183414.38</v>
      </c>
      <c r="E225" s="391"/>
      <c r="F225" s="394">
        <v>0</v>
      </c>
      <c r="G225" s="394">
        <v>16471.75</v>
      </c>
      <c r="H225" s="394">
        <v>888.4</v>
      </c>
      <c r="I225" s="394">
        <v>0</v>
      </c>
      <c r="J225" s="394">
        <v>7518.7</v>
      </c>
      <c r="K225" s="394">
        <v>-349.6</v>
      </c>
      <c r="L225" s="394">
        <v>87315</v>
      </c>
      <c r="M225" s="334">
        <f t="shared" si="36"/>
        <v>1141453.6199999999</v>
      </c>
      <c r="N225" s="398">
        <v>34587.5</v>
      </c>
      <c r="O225" s="398">
        <v>0</v>
      </c>
      <c r="P225" s="398">
        <v>38445</v>
      </c>
      <c r="Q225" s="398">
        <v>2224.9499999999998</v>
      </c>
      <c r="R225" s="398">
        <v>49479.25</v>
      </c>
      <c r="S225" s="398"/>
      <c r="T225" s="398">
        <v>300</v>
      </c>
      <c r="U225" s="398">
        <v>2850</v>
      </c>
      <c r="V225" s="398"/>
      <c r="W225" s="398"/>
      <c r="X225" s="382">
        <v>2082.3000000000002</v>
      </c>
      <c r="Y225" s="485">
        <f t="shared" si="37"/>
        <v>1271422.6199999999</v>
      </c>
      <c r="Z225" s="399">
        <v>2028</v>
      </c>
      <c r="AA225" s="399"/>
      <c r="AB225" s="399">
        <v>64759.4</v>
      </c>
      <c r="AC225" s="399"/>
      <c r="AD225" s="399">
        <v>29478.35</v>
      </c>
      <c r="AE225" s="399"/>
      <c r="AF225" s="399"/>
      <c r="AG225" s="399"/>
      <c r="AH225" s="399"/>
      <c r="AI225" s="399">
        <v>17496.349999999999</v>
      </c>
      <c r="AJ225" s="399"/>
      <c r="AK225" s="399"/>
      <c r="AL225" s="477"/>
      <c r="AM225" s="485">
        <f t="shared" si="38"/>
        <v>113762.1</v>
      </c>
      <c r="AN225" s="399">
        <v>72</v>
      </c>
      <c r="AO225" s="402">
        <v>506</v>
      </c>
      <c r="AP225" s="480">
        <v>-9371.33</v>
      </c>
      <c r="AQ225" s="490"/>
      <c r="AR225" s="490">
        <v>-1791.32</v>
      </c>
      <c r="AS225" s="520">
        <v>1</v>
      </c>
      <c r="AT225" s="535">
        <v>1271422.6200000001</v>
      </c>
      <c r="AU225" s="535">
        <f>300+2850</f>
        <v>3150</v>
      </c>
      <c r="AV225" s="535">
        <v>2082.3000000000002</v>
      </c>
      <c r="AW225" s="535">
        <v>113762.1</v>
      </c>
      <c r="AX225" s="535">
        <v>0</v>
      </c>
      <c r="AY225" s="535">
        <v>-9371.33</v>
      </c>
      <c r="AZ225" s="535">
        <v>0</v>
      </c>
      <c r="BA225" s="535">
        <v>-1791.32</v>
      </c>
      <c r="BB225" s="480">
        <f t="shared" si="39"/>
        <v>0</v>
      </c>
      <c r="BC225" s="480">
        <f t="shared" si="40"/>
        <v>0</v>
      </c>
      <c r="BD225" s="480">
        <f t="shared" si="41"/>
        <v>0</v>
      </c>
      <c r="BE225" s="480">
        <f t="shared" si="42"/>
        <v>0</v>
      </c>
      <c r="BF225" s="480">
        <f t="shared" si="43"/>
        <v>0</v>
      </c>
      <c r="BG225" s="480">
        <f t="shared" si="44"/>
        <v>0</v>
      </c>
      <c r="BH225" s="480">
        <f t="shared" si="45"/>
        <v>0</v>
      </c>
      <c r="BI225" s="6">
        <f t="shared" si="46"/>
        <v>5756</v>
      </c>
      <c r="BJ225" s="480" t="str">
        <f t="shared" si="47"/>
        <v>Montcherand</v>
      </c>
    </row>
    <row r="226" spans="1:64" x14ac:dyDescent="0.25">
      <c r="A226" s="341">
        <v>5757</v>
      </c>
      <c r="B226" s="523" t="s">
        <v>336</v>
      </c>
      <c r="C226" s="394">
        <v>11219078.699999999</v>
      </c>
      <c r="D226" s="394">
        <v>1074880.25</v>
      </c>
      <c r="E226" s="391"/>
      <c r="F226" s="394">
        <v>0</v>
      </c>
      <c r="G226" s="394">
        <v>998526.4</v>
      </c>
      <c r="H226" s="394">
        <v>60181.65</v>
      </c>
      <c r="I226" s="394">
        <v>0</v>
      </c>
      <c r="J226" s="394">
        <v>437458.61</v>
      </c>
      <c r="K226" s="394">
        <v>171329.3</v>
      </c>
      <c r="L226" s="394">
        <v>1559237</v>
      </c>
      <c r="M226" s="334">
        <f t="shared" si="36"/>
        <v>15520691.91</v>
      </c>
      <c r="N226" s="398">
        <v>2913726.35</v>
      </c>
      <c r="O226" s="398">
        <v>201441.5</v>
      </c>
      <c r="P226" s="398">
        <v>769220.45</v>
      </c>
      <c r="Q226" s="398">
        <v>22444.84</v>
      </c>
      <c r="R226" s="398">
        <v>235922.25</v>
      </c>
      <c r="S226" s="398">
        <v>38669.65</v>
      </c>
      <c r="T226" s="398"/>
      <c r="U226" s="398">
        <v>45650</v>
      </c>
      <c r="V226" s="398"/>
      <c r="W226" s="398"/>
      <c r="X226" s="382">
        <v>126988.73</v>
      </c>
      <c r="Y226" s="485">
        <f t="shared" si="37"/>
        <v>19874755.68</v>
      </c>
      <c r="Z226" s="399">
        <v>339450</v>
      </c>
      <c r="AA226" s="399"/>
      <c r="AB226" s="399">
        <v>1292805.1000000001</v>
      </c>
      <c r="AC226" s="399"/>
      <c r="AD226" s="399">
        <v>1014055.57</v>
      </c>
      <c r="AE226" s="399">
        <v>212470</v>
      </c>
      <c r="AF226" s="399"/>
      <c r="AG226" s="399"/>
      <c r="AH226" s="399">
        <v>33877.5</v>
      </c>
      <c r="AI226" s="399">
        <v>194126.76</v>
      </c>
      <c r="AJ226" s="399">
        <v>210000</v>
      </c>
      <c r="AK226" s="399">
        <v>189012.6</v>
      </c>
      <c r="AL226" s="477">
        <v>20987.4</v>
      </c>
      <c r="AM226" s="485">
        <f t="shared" si="38"/>
        <v>3506784.9299999997</v>
      </c>
      <c r="AN226" s="399">
        <v>75.5</v>
      </c>
      <c r="AO226" s="402">
        <v>7124</v>
      </c>
      <c r="AP226" s="480">
        <v>-281564.02</v>
      </c>
      <c r="AQ226" s="490"/>
      <c r="AR226" s="490">
        <v>-2912.13</v>
      </c>
      <c r="AS226" s="520">
        <v>1</v>
      </c>
      <c r="AT226" s="535">
        <v>19874755.68</v>
      </c>
      <c r="AU226" s="535">
        <f>38669.65+45650</f>
        <v>84319.65</v>
      </c>
      <c r="AV226" s="535">
        <v>126988.73</v>
      </c>
      <c r="AW226" s="535">
        <v>3506784.93</v>
      </c>
      <c r="AX226" s="535">
        <v>0</v>
      </c>
      <c r="AY226" s="535">
        <v>-281564.02</v>
      </c>
      <c r="AZ226" s="535">
        <v>0</v>
      </c>
      <c r="BA226" s="535">
        <v>-2912.13</v>
      </c>
      <c r="BB226" s="480">
        <f t="shared" si="39"/>
        <v>0</v>
      </c>
      <c r="BC226" s="480">
        <f t="shared" si="40"/>
        <v>0</v>
      </c>
      <c r="BD226" s="480">
        <f t="shared" si="41"/>
        <v>0</v>
      </c>
      <c r="BE226" s="480">
        <f t="shared" si="42"/>
        <v>0</v>
      </c>
      <c r="BF226" s="480">
        <f t="shared" si="43"/>
        <v>0</v>
      </c>
      <c r="BG226" s="480">
        <f t="shared" si="44"/>
        <v>0</v>
      </c>
      <c r="BH226" s="480">
        <f t="shared" si="45"/>
        <v>0</v>
      </c>
      <c r="BI226" s="6">
        <f t="shared" si="46"/>
        <v>5757</v>
      </c>
      <c r="BJ226" s="480" t="str">
        <f t="shared" si="47"/>
        <v>Orbe</v>
      </c>
    </row>
    <row r="227" spans="1:64" x14ac:dyDescent="0.25">
      <c r="A227" s="341">
        <v>5758</v>
      </c>
      <c r="B227" s="523" t="s">
        <v>217</v>
      </c>
      <c r="C227" s="394">
        <v>290175.24</v>
      </c>
      <c r="D227" s="394">
        <v>28835.040000000001</v>
      </c>
      <c r="E227" s="391"/>
      <c r="F227" s="394">
        <v>920</v>
      </c>
      <c r="G227" s="394">
        <v>5309.35</v>
      </c>
      <c r="H227" s="394">
        <v>965.55</v>
      </c>
      <c r="I227" s="394">
        <v>0</v>
      </c>
      <c r="J227" s="394">
        <v>3129.12</v>
      </c>
      <c r="K227" s="394">
        <v>0</v>
      </c>
      <c r="L227" s="394">
        <v>25357.05</v>
      </c>
      <c r="M227" s="334">
        <f t="shared" si="36"/>
        <v>354691.34999999992</v>
      </c>
      <c r="N227" s="398">
        <v>6425.4</v>
      </c>
      <c r="O227" s="398">
        <v>2917.6</v>
      </c>
      <c r="P227" s="398">
        <v>17141.55</v>
      </c>
      <c r="Q227" s="398">
        <v>0</v>
      </c>
      <c r="R227" s="398">
        <v>874.8</v>
      </c>
      <c r="S227" s="398"/>
      <c r="T227" s="398"/>
      <c r="U227" s="398">
        <v>1060</v>
      </c>
      <c r="V227" s="398"/>
      <c r="W227" s="398"/>
      <c r="X227" s="382">
        <v>752.65</v>
      </c>
      <c r="Y227" s="485">
        <f t="shared" si="37"/>
        <v>383863.34999999992</v>
      </c>
      <c r="Z227" s="399">
        <v>3737.5</v>
      </c>
      <c r="AA227" s="399"/>
      <c r="AB227" s="399">
        <v>51387.55</v>
      </c>
      <c r="AC227" s="399"/>
      <c r="AD227" s="399">
        <v>13513.35</v>
      </c>
      <c r="AE227" s="399">
        <v>5266</v>
      </c>
      <c r="AF227" s="399"/>
      <c r="AG227" s="399"/>
      <c r="AH227" s="399"/>
      <c r="AI227" s="399">
        <v>4915.05</v>
      </c>
      <c r="AJ227" s="399"/>
      <c r="AK227" s="399"/>
      <c r="AL227" s="477"/>
      <c r="AM227" s="485">
        <f t="shared" si="38"/>
        <v>78819.450000000012</v>
      </c>
      <c r="AN227" s="399">
        <v>83</v>
      </c>
      <c r="AO227" s="402">
        <v>175</v>
      </c>
      <c r="AP227" s="480">
        <v>-249.75</v>
      </c>
      <c r="AQ227" s="490"/>
      <c r="AR227" s="490">
        <v>0</v>
      </c>
      <c r="AS227" s="520">
        <v>0.9</v>
      </c>
      <c r="AT227" s="535">
        <v>383863.35</v>
      </c>
      <c r="AU227" s="535">
        <v>1060</v>
      </c>
      <c r="AV227" s="535">
        <v>752.65</v>
      </c>
      <c r="AW227" s="535">
        <v>78819.45</v>
      </c>
      <c r="AX227" s="535">
        <v>0</v>
      </c>
      <c r="AY227" s="535">
        <v>-249.75</v>
      </c>
      <c r="AZ227" s="535"/>
      <c r="BA227" s="535">
        <v>0</v>
      </c>
      <c r="BB227" s="480">
        <f t="shared" si="39"/>
        <v>0</v>
      </c>
      <c r="BC227" s="480">
        <f t="shared" si="40"/>
        <v>0</v>
      </c>
      <c r="BD227" s="480">
        <f t="shared" si="41"/>
        <v>0</v>
      </c>
      <c r="BE227" s="480">
        <f t="shared" si="42"/>
        <v>0</v>
      </c>
      <c r="BF227" s="480">
        <f t="shared" si="43"/>
        <v>0</v>
      </c>
      <c r="BG227" s="480">
        <f t="shared" si="44"/>
        <v>0</v>
      </c>
      <c r="BH227" s="480">
        <f t="shared" si="45"/>
        <v>0</v>
      </c>
      <c r="BI227" s="6">
        <f t="shared" si="46"/>
        <v>5758</v>
      </c>
      <c r="BJ227" s="480" t="str">
        <f t="shared" si="47"/>
        <v>La Praz</v>
      </c>
    </row>
    <row r="228" spans="1:64" x14ac:dyDescent="0.25">
      <c r="A228" s="341">
        <v>5759</v>
      </c>
      <c r="B228" s="523" t="s">
        <v>218</v>
      </c>
      <c r="C228" s="394">
        <v>334364.01</v>
      </c>
      <c r="D228" s="394">
        <v>48677.88</v>
      </c>
      <c r="E228" s="391"/>
      <c r="F228" s="394">
        <v>0</v>
      </c>
      <c r="G228" s="394">
        <v>703.15</v>
      </c>
      <c r="H228" s="394">
        <v>172.15</v>
      </c>
      <c r="I228" s="394">
        <v>0</v>
      </c>
      <c r="J228" s="394">
        <v>2926.91</v>
      </c>
      <c r="K228" s="394">
        <v>242.95</v>
      </c>
      <c r="L228" s="394">
        <v>30520.7</v>
      </c>
      <c r="M228" s="334">
        <f t="shared" si="36"/>
        <v>417607.75000000006</v>
      </c>
      <c r="N228" s="398">
        <v>1530.1</v>
      </c>
      <c r="O228" s="398">
        <v>0</v>
      </c>
      <c r="P228" s="398">
        <v>22605</v>
      </c>
      <c r="Q228" s="398">
        <v>12976.44</v>
      </c>
      <c r="R228" s="398">
        <v>17548.650000000001</v>
      </c>
      <c r="S228" s="398"/>
      <c r="T228" s="398"/>
      <c r="U228" s="398">
        <v>875</v>
      </c>
      <c r="V228" s="398"/>
      <c r="W228" s="398"/>
      <c r="X228" s="382">
        <v>104.99</v>
      </c>
      <c r="Y228" s="485">
        <f t="shared" si="37"/>
        <v>473247.93000000005</v>
      </c>
      <c r="Z228" s="399">
        <v>6970</v>
      </c>
      <c r="AA228" s="399">
        <v>1120</v>
      </c>
      <c r="AB228" s="399">
        <v>31340.25</v>
      </c>
      <c r="AC228" s="399"/>
      <c r="AD228" s="399">
        <v>19740.900000000001</v>
      </c>
      <c r="AE228" s="399">
        <v>13140</v>
      </c>
      <c r="AF228" s="399">
        <v>1200</v>
      </c>
      <c r="AG228" s="399"/>
      <c r="AH228" s="399"/>
      <c r="AI228" s="399"/>
      <c r="AJ228" s="399"/>
      <c r="AK228" s="399"/>
      <c r="AL228" s="477"/>
      <c r="AM228" s="485">
        <f t="shared" si="38"/>
        <v>73511.149999999994</v>
      </c>
      <c r="AN228" s="399">
        <v>79.5</v>
      </c>
      <c r="AO228" s="402">
        <v>218</v>
      </c>
      <c r="AP228" s="480">
        <v>-8201.16</v>
      </c>
      <c r="AQ228" s="490"/>
      <c r="AR228" s="490">
        <v>-543.04</v>
      </c>
      <c r="AS228" s="520">
        <v>1</v>
      </c>
      <c r="AT228" s="535">
        <v>473247.93</v>
      </c>
      <c r="AU228" s="535">
        <v>875</v>
      </c>
      <c r="AV228" s="535">
        <v>104.99</v>
      </c>
      <c r="AW228" s="535">
        <v>73511.149999999994</v>
      </c>
      <c r="AX228" s="535">
        <v>0</v>
      </c>
      <c r="AY228" s="535">
        <v>-8201.16</v>
      </c>
      <c r="AZ228" s="535">
        <v>0</v>
      </c>
      <c r="BA228" s="535">
        <v>-543.04</v>
      </c>
      <c r="BB228" s="480">
        <f t="shared" si="39"/>
        <v>0</v>
      </c>
      <c r="BC228" s="480">
        <f t="shared" si="40"/>
        <v>0</v>
      </c>
      <c r="BD228" s="480">
        <f t="shared" si="41"/>
        <v>0</v>
      </c>
      <c r="BE228" s="480">
        <f t="shared" si="42"/>
        <v>0</v>
      </c>
      <c r="BF228" s="480">
        <f t="shared" si="43"/>
        <v>0</v>
      </c>
      <c r="BG228" s="480">
        <f t="shared" si="44"/>
        <v>0</v>
      </c>
      <c r="BH228" s="480">
        <f t="shared" si="45"/>
        <v>0</v>
      </c>
      <c r="BI228" s="6">
        <f t="shared" si="46"/>
        <v>5759</v>
      </c>
      <c r="BJ228" s="480" t="str">
        <f t="shared" si="47"/>
        <v>Premier</v>
      </c>
    </row>
    <row r="229" spans="1:64" x14ac:dyDescent="0.25">
      <c r="A229" s="341">
        <v>5760</v>
      </c>
      <c r="B229" s="523" t="s">
        <v>219</v>
      </c>
      <c r="C229" s="394">
        <v>838931.47</v>
      </c>
      <c r="D229" s="394">
        <v>79510.600000000006</v>
      </c>
      <c r="E229" s="391"/>
      <c r="F229" s="394">
        <v>0</v>
      </c>
      <c r="G229" s="394">
        <v>1359.75</v>
      </c>
      <c r="H229" s="394">
        <v>1487.35</v>
      </c>
      <c r="I229" s="394">
        <v>0</v>
      </c>
      <c r="J229" s="394">
        <v>832.32</v>
      </c>
      <c r="K229" s="394">
        <v>0</v>
      </c>
      <c r="L229" s="394">
        <v>113239.85</v>
      </c>
      <c r="M229" s="334">
        <f t="shared" si="36"/>
        <v>1035361.3399999999</v>
      </c>
      <c r="N229" s="398">
        <v>22152.05</v>
      </c>
      <c r="O229" s="398">
        <v>11202.7</v>
      </c>
      <c r="P229" s="398">
        <v>44138.9</v>
      </c>
      <c r="Q229" s="398">
        <v>10272.66</v>
      </c>
      <c r="R229" s="398">
        <v>40310.300000000003</v>
      </c>
      <c r="S229" s="398"/>
      <c r="T229" s="398"/>
      <c r="U229" s="398">
        <v>3110</v>
      </c>
      <c r="V229" s="398"/>
      <c r="W229" s="398"/>
      <c r="X229" s="382">
        <v>341.5</v>
      </c>
      <c r="Y229" s="485">
        <f t="shared" si="37"/>
        <v>1166889.4499999997</v>
      </c>
      <c r="Z229" s="399"/>
      <c r="AA229" s="399"/>
      <c r="AB229" s="399">
        <v>49135.3</v>
      </c>
      <c r="AC229" s="399">
        <v>70331.199999999997</v>
      </c>
      <c r="AD229" s="399">
        <v>26530.9</v>
      </c>
      <c r="AE229" s="399"/>
      <c r="AF229" s="399"/>
      <c r="AG229" s="399"/>
      <c r="AH229" s="399"/>
      <c r="AI229" s="399"/>
      <c r="AJ229" s="399"/>
      <c r="AK229" s="399"/>
      <c r="AL229" s="477"/>
      <c r="AM229" s="485">
        <f t="shared" si="38"/>
        <v>145997.4</v>
      </c>
      <c r="AN229" s="399">
        <v>76.5</v>
      </c>
      <c r="AO229" s="402">
        <v>513</v>
      </c>
      <c r="AP229" s="480">
        <v>-25144.9</v>
      </c>
      <c r="AQ229" s="490"/>
      <c r="AR229" s="490">
        <v>-1893.53</v>
      </c>
      <c r="AS229" s="520">
        <v>1.5</v>
      </c>
      <c r="AT229" s="535">
        <v>1166889.45</v>
      </c>
      <c r="AU229" s="535">
        <v>3110</v>
      </c>
      <c r="AV229" s="535">
        <v>341.5</v>
      </c>
      <c r="AW229" s="535">
        <v>145997.4</v>
      </c>
      <c r="AX229" s="535">
        <v>0</v>
      </c>
      <c r="AY229" s="535">
        <v>-25144.9</v>
      </c>
      <c r="AZ229" s="535">
        <v>0</v>
      </c>
      <c r="BA229" s="535">
        <v>-1893.53</v>
      </c>
      <c r="BB229" s="480">
        <f t="shared" si="39"/>
        <v>0</v>
      </c>
      <c r="BC229" s="480">
        <f t="shared" si="40"/>
        <v>0</v>
      </c>
      <c r="BD229" s="480">
        <f t="shared" si="41"/>
        <v>0</v>
      </c>
      <c r="BE229" s="480">
        <f t="shared" si="42"/>
        <v>0</v>
      </c>
      <c r="BF229" s="480">
        <f t="shared" si="43"/>
        <v>0</v>
      </c>
      <c r="BG229" s="480">
        <f t="shared" si="44"/>
        <v>0</v>
      </c>
      <c r="BH229" s="480">
        <f t="shared" si="45"/>
        <v>0</v>
      </c>
      <c r="BI229" s="6">
        <f t="shared" si="46"/>
        <v>5760</v>
      </c>
      <c r="BJ229" s="480" t="str">
        <f t="shared" si="47"/>
        <v>Rances</v>
      </c>
    </row>
    <row r="230" spans="1:64" x14ac:dyDescent="0.25">
      <c r="A230" s="341">
        <v>5761</v>
      </c>
      <c r="B230" s="523" t="s">
        <v>135</v>
      </c>
      <c r="C230" s="394">
        <v>802821.06</v>
      </c>
      <c r="D230" s="394">
        <v>100245.18</v>
      </c>
      <c r="E230" s="391"/>
      <c r="F230" s="394">
        <v>0</v>
      </c>
      <c r="G230" s="394">
        <v>3742</v>
      </c>
      <c r="H230" s="394">
        <v>833.3</v>
      </c>
      <c r="I230" s="394">
        <v>0</v>
      </c>
      <c r="J230" s="394">
        <v>11547.56</v>
      </c>
      <c r="K230" s="394">
        <v>3997.55</v>
      </c>
      <c r="L230" s="394">
        <v>91237.8</v>
      </c>
      <c r="M230" s="334">
        <f t="shared" si="36"/>
        <v>1014424.4500000002</v>
      </c>
      <c r="N230" s="398">
        <v>62764.25</v>
      </c>
      <c r="O230" s="398">
        <v>8830.5</v>
      </c>
      <c r="P230" s="398">
        <v>77623.199999999997</v>
      </c>
      <c r="Q230" s="398">
        <v>0</v>
      </c>
      <c r="R230" s="398">
        <v>48004.25</v>
      </c>
      <c r="S230" s="398">
        <v>1251.5</v>
      </c>
      <c r="T230" s="398"/>
      <c r="U230" s="398">
        <v>4104</v>
      </c>
      <c r="V230" s="398">
        <v>1476.5</v>
      </c>
      <c r="W230" s="398"/>
      <c r="X230" s="382">
        <v>548.79</v>
      </c>
      <c r="Y230" s="485">
        <f t="shared" si="37"/>
        <v>1219027.4400000002</v>
      </c>
      <c r="Z230" s="399">
        <v>3102</v>
      </c>
      <c r="AA230" s="399"/>
      <c r="AB230" s="399">
        <v>97045.05</v>
      </c>
      <c r="AC230" s="399"/>
      <c r="AD230" s="399">
        <v>53028.3</v>
      </c>
      <c r="AE230" s="399">
        <v>1128</v>
      </c>
      <c r="AF230" s="399"/>
      <c r="AG230" s="399"/>
      <c r="AH230" s="399"/>
      <c r="AI230" s="399">
        <v>15346.3</v>
      </c>
      <c r="AJ230" s="399"/>
      <c r="AK230" s="399"/>
      <c r="AL230" s="477"/>
      <c r="AM230" s="485">
        <f t="shared" si="38"/>
        <v>169649.65</v>
      </c>
      <c r="AN230" s="399">
        <v>81</v>
      </c>
      <c r="AO230" s="402">
        <v>525</v>
      </c>
      <c r="AP230" s="480">
        <v>-23743.54</v>
      </c>
      <c r="AQ230" s="490"/>
      <c r="AR230" s="490">
        <v>0</v>
      </c>
      <c r="AS230" s="520">
        <v>1.1000000000000001</v>
      </c>
      <c r="AT230" s="535">
        <v>1219027.44</v>
      </c>
      <c r="AU230" s="535">
        <f>1251.5+4104+1476.5</f>
        <v>6832</v>
      </c>
      <c r="AV230" s="535">
        <v>548.79</v>
      </c>
      <c r="AW230" s="535">
        <v>169649.65</v>
      </c>
      <c r="AX230" s="535">
        <v>0</v>
      </c>
      <c r="AY230" s="535">
        <v>-23743.54</v>
      </c>
      <c r="AZ230" s="535">
        <v>0</v>
      </c>
      <c r="BA230" s="535">
        <v>0</v>
      </c>
      <c r="BB230" s="480">
        <f t="shared" si="39"/>
        <v>0</v>
      </c>
      <c r="BC230" s="480">
        <f t="shared" si="40"/>
        <v>0</v>
      </c>
      <c r="BD230" s="480">
        <f t="shared" si="41"/>
        <v>0</v>
      </c>
      <c r="BE230" s="480">
        <f t="shared" si="42"/>
        <v>0</v>
      </c>
      <c r="BF230" s="480">
        <f t="shared" si="43"/>
        <v>0</v>
      </c>
      <c r="BG230" s="480">
        <f t="shared" si="44"/>
        <v>0</v>
      </c>
      <c r="BH230" s="480">
        <f t="shared" si="45"/>
        <v>0</v>
      </c>
      <c r="BI230" s="6">
        <f t="shared" si="46"/>
        <v>5761</v>
      </c>
      <c r="BJ230" s="480" t="str">
        <f t="shared" si="47"/>
        <v>Romainmôtier-Envy</v>
      </c>
    </row>
    <row r="231" spans="1:64" x14ac:dyDescent="0.25">
      <c r="A231" s="341">
        <v>5762</v>
      </c>
      <c r="B231" s="523" t="s">
        <v>136</v>
      </c>
      <c r="C231" s="394">
        <v>244337.46</v>
      </c>
      <c r="D231" s="394">
        <v>26289.18</v>
      </c>
      <c r="E231" s="391"/>
      <c r="F231" s="394">
        <v>0</v>
      </c>
      <c r="G231" s="394">
        <v>3645.9</v>
      </c>
      <c r="H231" s="394">
        <v>120.8</v>
      </c>
      <c r="I231" s="394">
        <v>0</v>
      </c>
      <c r="J231" s="394">
        <v>-1087.5</v>
      </c>
      <c r="K231" s="394">
        <v>75</v>
      </c>
      <c r="L231" s="394">
        <v>20516.599999999999</v>
      </c>
      <c r="M231" s="334">
        <f t="shared" si="36"/>
        <v>293897.44</v>
      </c>
      <c r="N231" s="398">
        <v>0</v>
      </c>
      <c r="O231" s="398">
        <v>0</v>
      </c>
      <c r="P231" s="398">
        <v>0</v>
      </c>
      <c r="Q231" s="398">
        <v>9.4</v>
      </c>
      <c r="R231" s="398">
        <v>0</v>
      </c>
      <c r="S231" s="398"/>
      <c r="T231" s="398"/>
      <c r="U231" s="398">
        <v>1100</v>
      </c>
      <c r="V231" s="398"/>
      <c r="W231" s="398"/>
      <c r="X231" s="382">
        <v>451.8</v>
      </c>
      <c r="Y231" s="485">
        <f t="shared" si="37"/>
        <v>295458.64</v>
      </c>
      <c r="Z231" s="399"/>
      <c r="AA231" s="399"/>
      <c r="AB231" s="399">
        <v>6136.8</v>
      </c>
      <c r="AC231" s="399"/>
      <c r="AD231" s="399">
        <v>8739.35</v>
      </c>
      <c r="AE231" s="399"/>
      <c r="AF231" s="399"/>
      <c r="AG231" s="399"/>
      <c r="AH231" s="399"/>
      <c r="AI231" s="399"/>
      <c r="AJ231" s="399"/>
      <c r="AK231" s="399"/>
      <c r="AL231" s="477"/>
      <c r="AM231" s="485">
        <f t="shared" si="38"/>
        <v>14876.150000000001</v>
      </c>
      <c r="AN231" s="399">
        <v>78</v>
      </c>
      <c r="AO231" s="402">
        <v>145</v>
      </c>
      <c r="AP231" s="480">
        <v>-62.44</v>
      </c>
      <c r="AQ231" s="490"/>
      <c r="AR231" s="490">
        <v>0</v>
      </c>
      <c r="AS231" s="520">
        <v>1</v>
      </c>
      <c r="AT231" s="535">
        <v>295458.64</v>
      </c>
      <c r="AU231" s="535">
        <v>1100</v>
      </c>
      <c r="AV231" s="535">
        <v>451.8</v>
      </c>
      <c r="AW231" s="535">
        <v>14876.15</v>
      </c>
      <c r="AX231" s="535">
        <v>0</v>
      </c>
      <c r="AY231" s="535">
        <v>-62.44</v>
      </c>
      <c r="AZ231" s="535">
        <v>0</v>
      </c>
      <c r="BA231" s="535">
        <v>0</v>
      </c>
      <c r="BB231" s="480">
        <f t="shared" si="39"/>
        <v>0</v>
      </c>
      <c r="BC231" s="480">
        <f t="shared" si="40"/>
        <v>0</v>
      </c>
      <c r="BD231" s="480">
        <f t="shared" si="41"/>
        <v>0</v>
      </c>
      <c r="BE231" s="480">
        <f t="shared" si="42"/>
        <v>0</v>
      </c>
      <c r="BF231" s="480">
        <f t="shared" si="43"/>
        <v>0</v>
      </c>
      <c r="BG231" s="480">
        <f t="shared" si="44"/>
        <v>0</v>
      </c>
      <c r="BH231" s="480">
        <f t="shared" si="45"/>
        <v>0</v>
      </c>
      <c r="BI231" s="6">
        <f t="shared" si="46"/>
        <v>5762</v>
      </c>
      <c r="BJ231" s="480" t="str">
        <f t="shared" si="47"/>
        <v>Sergey</v>
      </c>
    </row>
    <row r="232" spans="1:64" x14ac:dyDescent="0.25">
      <c r="A232" s="341">
        <v>5763</v>
      </c>
      <c r="B232" s="523" t="s">
        <v>137</v>
      </c>
      <c r="C232" s="394">
        <v>1148817.9099999999</v>
      </c>
      <c r="D232" s="394">
        <v>109998.57</v>
      </c>
      <c r="E232" s="391"/>
      <c r="F232" s="394">
        <v>0</v>
      </c>
      <c r="G232" s="394">
        <v>15735.95</v>
      </c>
      <c r="H232" s="394">
        <v>1410.35</v>
      </c>
      <c r="I232" s="394">
        <v>0</v>
      </c>
      <c r="J232" s="394">
        <v>27278.89</v>
      </c>
      <c r="K232" s="394">
        <v>3988.7</v>
      </c>
      <c r="L232" s="394">
        <v>88872.5</v>
      </c>
      <c r="M232" s="334">
        <f t="shared" si="36"/>
        <v>1396102.8699999999</v>
      </c>
      <c r="N232" s="398">
        <v>40842.1</v>
      </c>
      <c r="O232" s="398">
        <v>0</v>
      </c>
      <c r="P232" s="398">
        <v>21871.35</v>
      </c>
      <c r="Q232" s="398">
        <v>0</v>
      </c>
      <c r="R232" s="398">
        <v>8235.85</v>
      </c>
      <c r="S232" s="398"/>
      <c r="T232" s="398"/>
      <c r="U232" s="398">
        <v>5050</v>
      </c>
      <c r="V232" s="398"/>
      <c r="W232" s="398"/>
      <c r="X232" s="382">
        <v>2056.65</v>
      </c>
      <c r="Y232" s="485">
        <f t="shared" si="37"/>
        <v>1474158.82</v>
      </c>
      <c r="Z232" s="399">
        <v>11040</v>
      </c>
      <c r="AA232" s="399"/>
      <c r="AB232" s="399">
        <v>96350.45</v>
      </c>
      <c r="AC232" s="399"/>
      <c r="AD232" s="399">
        <v>53654.1</v>
      </c>
      <c r="AE232" s="399"/>
      <c r="AF232" s="399"/>
      <c r="AG232" s="399"/>
      <c r="AH232" s="399"/>
      <c r="AI232" s="399"/>
      <c r="AJ232" s="399"/>
      <c r="AK232" s="399"/>
      <c r="AL232" s="477"/>
      <c r="AM232" s="485">
        <f t="shared" si="38"/>
        <v>161044.54999999999</v>
      </c>
      <c r="AN232" s="399">
        <v>68</v>
      </c>
      <c r="AO232" s="402">
        <v>609</v>
      </c>
      <c r="AP232" s="480">
        <v>-6605.27</v>
      </c>
      <c r="AQ232" s="490"/>
      <c r="AR232" s="490">
        <v>-752.01</v>
      </c>
      <c r="AS232" s="520">
        <v>1</v>
      </c>
      <c r="AT232" s="535">
        <v>1474158.82</v>
      </c>
      <c r="AU232" s="535">
        <v>5050</v>
      </c>
      <c r="AV232" s="535">
        <v>2056.65</v>
      </c>
      <c r="AW232" s="535">
        <f>11040+96350.45+53654.1</f>
        <v>161044.54999999999</v>
      </c>
      <c r="AX232" s="535">
        <v>0</v>
      </c>
      <c r="AY232" s="535">
        <v>-6605.27</v>
      </c>
      <c r="AZ232" s="535">
        <v>0</v>
      </c>
      <c r="BA232" s="535">
        <v>-752.01</v>
      </c>
      <c r="BB232" s="480">
        <f t="shared" si="39"/>
        <v>0</v>
      </c>
      <c r="BC232" s="480">
        <f t="shared" si="40"/>
        <v>0</v>
      </c>
      <c r="BD232" s="480">
        <f t="shared" si="41"/>
        <v>0</v>
      </c>
      <c r="BE232" s="480">
        <f t="shared" si="42"/>
        <v>0</v>
      </c>
      <c r="BF232" s="480">
        <f t="shared" si="43"/>
        <v>0</v>
      </c>
      <c r="BG232" s="480">
        <f t="shared" si="44"/>
        <v>0</v>
      </c>
      <c r="BH232" s="480">
        <f t="shared" si="45"/>
        <v>0</v>
      </c>
      <c r="BI232" s="6">
        <f t="shared" si="46"/>
        <v>5763</v>
      </c>
      <c r="BJ232" s="480" t="str">
        <f t="shared" si="47"/>
        <v>Valeyres-sous-Rances</v>
      </c>
    </row>
    <row r="233" spans="1:64" x14ac:dyDescent="0.25">
      <c r="A233" s="341">
        <v>5764</v>
      </c>
      <c r="B233" s="523" t="s">
        <v>337</v>
      </c>
      <c r="C233" s="394">
        <v>4656608.49</v>
      </c>
      <c r="D233" s="394">
        <v>443702.2</v>
      </c>
      <c r="E233" s="391"/>
      <c r="F233" s="394">
        <v>0</v>
      </c>
      <c r="G233" s="394">
        <v>289952.59999999998</v>
      </c>
      <c r="H233" s="394">
        <v>43838.25</v>
      </c>
      <c r="I233" s="394">
        <v>0</v>
      </c>
      <c r="J233" s="394">
        <v>215461.1</v>
      </c>
      <c r="K233" s="394">
        <v>40595.599999999999</v>
      </c>
      <c r="L233" s="394">
        <v>463831.75</v>
      </c>
      <c r="M233" s="334">
        <f t="shared" si="36"/>
        <v>6153989.9899999993</v>
      </c>
      <c r="N233" s="398">
        <v>2315164.4</v>
      </c>
      <c r="O233" s="398">
        <v>135412.4</v>
      </c>
      <c r="P233" s="398">
        <v>164862.54999999999</v>
      </c>
      <c r="Q233" s="398">
        <v>29176.75</v>
      </c>
      <c r="R233" s="398">
        <v>54187.95</v>
      </c>
      <c r="S233" s="398">
        <v>225</v>
      </c>
      <c r="T233" s="398">
        <v>11440.55</v>
      </c>
      <c r="U233" s="398">
        <v>22537.5</v>
      </c>
      <c r="V233" s="398">
        <v>43972.5</v>
      </c>
      <c r="W233" s="398"/>
      <c r="X233" s="382">
        <v>40037.17</v>
      </c>
      <c r="Y233" s="485">
        <f t="shared" si="37"/>
        <v>8971006.7599999998</v>
      </c>
      <c r="Z233" s="399">
        <v>166143.35</v>
      </c>
      <c r="AA233" s="399">
        <v>18890</v>
      </c>
      <c r="AB233" s="399">
        <v>633596.51</v>
      </c>
      <c r="AC233" s="399"/>
      <c r="AD233" s="399">
        <v>535528.06000000006</v>
      </c>
      <c r="AE233" s="399">
        <v>104258.45</v>
      </c>
      <c r="AF233" s="399">
        <v>18565.95</v>
      </c>
      <c r="AG233" s="399"/>
      <c r="AH233" s="399">
        <v>9516.5</v>
      </c>
      <c r="AI233" s="399">
        <v>178018.55</v>
      </c>
      <c r="AJ233" s="399"/>
      <c r="AK233" s="399"/>
      <c r="AL233" s="477"/>
      <c r="AM233" s="485">
        <f t="shared" si="38"/>
        <v>1664517.3699999999</v>
      </c>
      <c r="AN233" s="399">
        <v>71.5</v>
      </c>
      <c r="AO233" s="402">
        <v>3874</v>
      </c>
      <c r="AP233" s="480">
        <v>-191456.46</v>
      </c>
      <c r="AQ233" s="490"/>
      <c r="AR233" s="490">
        <v>-3532.07</v>
      </c>
      <c r="AS233" s="520">
        <v>1</v>
      </c>
      <c r="AT233" s="535">
        <v>8971006.7599999998</v>
      </c>
      <c r="AU233" s="535">
        <f>225+11440.55+22537.5+43972.5</f>
        <v>78175.55</v>
      </c>
      <c r="AV233" s="535">
        <v>40037.17</v>
      </c>
      <c r="AW233" s="535">
        <v>1664517.37</v>
      </c>
      <c r="AX233" s="535">
        <v>0</v>
      </c>
      <c r="AY233" s="535">
        <v>-191456.46</v>
      </c>
      <c r="AZ233" s="535">
        <v>0</v>
      </c>
      <c r="BA233" s="535">
        <v>-3532.07</v>
      </c>
      <c r="BB233" s="480">
        <f t="shared" si="39"/>
        <v>0</v>
      </c>
      <c r="BC233" s="480">
        <f t="shared" si="40"/>
        <v>0</v>
      </c>
      <c r="BD233" s="480">
        <f t="shared" si="41"/>
        <v>0</v>
      </c>
      <c r="BE233" s="480">
        <f t="shared" si="42"/>
        <v>0</v>
      </c>
      <c r="BF233" s="480">
        <f t="shared" si="43"/>
        <v>0</v>
      </c>
      <c r="BG233" s="480">
        <f t="shared" si="44"/>
        <v>0</v>
      </c>
      <c r="BH233" s="480">
        <f t="shared" si="45"/>
        <v>0</v>
      </c>
      <c r="BI233" s="6">
        <f t="shared" si="46"/>
        <v>5764</v>
      </c>
      <c r="BJ233" s="480" t="str">
        <f t="shared" si="47"/>
        <v>Vallorbe</v>
      </c>
    </row>
    <row r="234" spans="1:64" x14ac:dyDescent="0.25">
      <c r="A234" s="341">
        <v>5765</v>
      </c>
      <c r="B234" s="523" t="s">
        <v>338</v>
      </c>
      <c r="C234" s="394">
        <v>756147.51</v>
      </c>
      <c r="D234" s="394">
        <v>88921.59</v>
      </c>
      <c r="E234" s="391"/>
      <c r="F234" s="394">
        <v>0</v>
      </c>
      <c r="G234" s="394">
        <v>897.75</v>
      </c>
      <c r="H234" s="394">
        <v>970.15</v>
      </c>
      <c r="I234" s="394">
        <v>0</v>
      </c>
      <c r="J234" s="394">
        <v>12677.3</v>
      </c>
      <c r="K234" s="394">
        <v>0</v>
      </c>
      <c r="L234" s="394">
        <v>32449.3</v>
      </c>
      <c r="M234" s="334">
        <f t="shared" si="36"/>
        <v>892063.60000000009</v>
      </c>
      <c r="N234" s="398">
        <v>53317.25</v>
      </c>
      <c r="O234" s="398">
        <v>5642.5</v>
      </c>
      <c r="P234" s="398">
        <v>31419</v>
      </c>
      <c r="Q234" s="398">
        <v>29995.119999999999</v>
      </c>
      <c r="R234" s="398">
        <v>61265.5</v>
      </c>
      <c r="S234" s="398"/>
      <c r="T234" s="398">
        <v>841.35</v>
      </c>
      <c r="U234" s="398">
        <v>3480</v>
      </c>
      <c r="V234" s="398"/>
      <c r="W234" s="398"/>
      <c r="X234" s="382">
        <v>224.05</v>
      </c>
      <c r="Y234" s="485">
        <f t="shared" si="37"/>
        <v>1078248.3700000003</v>
      </c>
      <c r="Z234" s="399"/>
      <c r="AA234" s="399">
        <v>38325.9</v>
      </c>
      <c r="AB234" s="399">
        <v>6071.5</v>
      </c>
      <c r="AC234" s="399">
        <v>123089.9</v>
      </c>
      <c r="AD234" s="399"/>
      <c r="AE234" s="399">
        <v>64431.4</v>
      </c>
      <c r="AF234" s="399">
        <v>2244</v>
      </c>
      <c r="AG234" s="399">
        <v>8616</v>
      </c>
      <c r="AH234" s="399"/>
      <c r="AI234" s="399"/>
      <c r="AJ234" s="399"/>
      <c r="AK234" s="399"/>
      <c r="AL234" s="477"/>
      <c r="AM234" s="485">
        <f t="shared" si="38"/>
        <v>242778.69999999998</v>
      </c>
      <c r="AN234" s="399">
        <v>81</v>
      </c>
      <c r="AO234" s="402">
        <v>506</v>
      </c>
      <c r="AP234" s="480">
        <v>-38231.56</v>
      </c>
      <c r="AQ234" s="490"/>
      <c r="AR234" s="490">
        <v>-18.149999999999999</v>
      </c>
      <c r="AS234" s="520">
        <v>0.5</v>
      </c>
      <c r="AT234" s="535">
        <v>1078248.3700000001</v>
      </c>
      <c r="AU234" s="535">
        <f>841.35+3480+0</f>
        <v>4321.3500000000004</v>
      </c>
      <c r="AV234" s="535">
        <v>224.05</v>
      </c>
      <c r="AW234" s="535">
        <v>242778.7</v>
      </c>
      <c r="AX234" s="535">
        <v>0</v>
      </c>
      <c r="AY234" s="535">
        <v>-38231.56</v>
      </c>
      <c r="AZ234" s="535">
        <v>0</v>
      </c>
      <c r="BA234" s="535">
        <v>-18.149999999999999</v>
      </c>
      <c r="BB234" s="480">
        <f t="shared" si="39"/>
        <v>0</v>
      </c>
      <c r="BC234" s="480">
        <f t="shared" si="40"/>
        <v>0</v>
      </c>
      <c r="BD234" s="480">
        <f t="shared" si="41"/>
        <v>0</v>
      </c>
      <c r="BE234" s="480">
        <f t="shared" si="42"/>
        <v>0</v>
      </c>
      <c r="BF234" s="480">
        <f t="shared" si="43"/>
        <v>0</v>
      </c>
      <c r="BG234" s="480">
        <f t="shared" si="44"/>
        <v>0</v>
      </c>
      <c r="BH234" s="480">
        <f t="shared" si="45"/>
        <v>0</v>
      </c>
      <c r="BI234" s="6">
        <f t="shared" si="46"/>
        <v>5765</v>
      </c>
      <c r="BJ234" s="480" t="str">
        <f t="shared" si="47"/>
        <v>Vaulion</v>
      </c>
    </row>
    <row r="235" spans="1:64" x14ac:dyDescent="0.25">
      <c r="A235" s="341">
        <v>5766</v>
      </c>
      <c r="B235" s="523" t="s">
        <v>339</v>
      </c>
      <c r="C235" s="394">
        <v>981665.95</v>
      </c>
      <c r="D235" s="394">
        <v>139105.19</v>
      </c>
      <c r="E235" s="391"/>
      <c r="F235" s="394">
        <v>0</v>
      </c>
      <c r="G235" s="394">
        <v>9412.5</v>
      </c>
      <c r="H235" s="394">
        <v>1692.6</v>
      </c>
      <c r="I235" s="394">
        <v>0</v>
      </c>
      <c r="J235" s="394">
        <v>30624.49</v>
      </c>
      <c r="K235" s="394">
        <v>-5391.85</v>
      </c>
      <c r="L235" s="394">
        <v>58987.6</v>
      </c>
      <c r="M235" s="334">
        <f t="shared" si="36"/>
        <v>1216096.48</v>
      </c>
      <c r="N235" s="398">
        <v>27786</v>
      </c>
      <c r="O235" s="398">
        <v>0</v>
      </c>
      <c r="P235" s="398">
        <v>20955</v>
      </c>
      <c r="Q235" s="398">
        <v>5493.2</v>
      </c>
      <c r="R235" s="398">
        <v>18660.849999999999</v>
      </c>
      <c r="S235" s="398"/>
      <c r="T235" s="398"/>
      <c r="U235" s="398">
        <v>1900</v>
      </c>
      <c r="V235" s="398"/>
      <c r="W235" s="398"/>
      <c r="X235" s="382">
        <v>1332.02</v>
      </c>
      <c r="Y235" s="485">
        <f t="shared" si="37"/>
        <v>1292223.55</v>
      </c>
      <c r="Z235" s="399"/>
      <c r="AA235" s="399"/>
      <c r="AB235" s="399">
        <v>42200.2</v>
      </c>
      <c r="AC235" s="399"/>
      <c r="AD235" s="399">
        <v>23935.35</v>
      </c>
      <c r="AE235" s="399"/>
      <c r="AF235" s="399"/>
      <c r="AG235" s="399"/>
      <c r="AH235" s="399"/>
      <c r="AI235" s="399">
        <v>14698.4</v>
      </c>
      <c r="AJ235" s="399"/>
      <c r="AK235" s="399"/>
      <c r="AL235" s="477"/>
      <c r="AM235" s="485">
        <f t="shared" si="38"/>
        <v>80833.949999999983</v>
      </c>
      <c r="AN235" s="399">
        <v>77</v>
      </c>
      <c r="AO235" s="402">
        <v>584</v>
      </c>
      <c r="AP235" s="480">
        <v>-16611.82</v>
      </c>
      <c r="AQ235" s="490"/>
      <c r="AR235" s="490">
        <v>-86.19</v>
      </c>
      <c r="AS235" s="520">
        <v>0.7</v>
      </c>
      <c r="AT235" s="535">
        <v>1292223.55</v>
      </c>
      <c r="AU235" s="535">
        <v>1900</v>
      </c>
      <c r="AV235" s="535">
        <v>1332.02</v>
      </c>
      <c r="AW235" s="535">
        <v>80833.95</v>
      </c>
      <c r="AX235" s="535">
        <v>0</v>
      </c>
      <c r="AY235" s="535">
        <v>-16611.82</v>
      </c>
      <c r="AZ235" s="535">
        <v>0</v>
      </c>
      <c r="BA235" s="535">
        <v>-86.19</v>
      </c>
      <c r="BB235" s="480">
        <f t="shared" si="39"/>
        <v>0</v>
      </c>
      <c r="BC235" s="480">
        <f t="shared" si="40"/>
        <v>0</v>
      </c>
      <c r="BD235" s="480">
        <f t="shared" si="41"/>
        <v>0</v>
      </c>
      <c r="BE235" s="480">
        <f t="shared" si="42"/>
        <v>0</v>
      </c>
      <c r="BF235" s="480">
        <f t="shared" si="43"/>
        <v>0</v>
      </c>
      <c r="BG235" s="480">
        <f t="shared" si="44"/>
        <v>0</v>
      </c>
      <c r="BH235" s="480">
        <f t="shared" si="45"/>
        <v>0</v>
      </c>
      <c r="BI235" s="6">
        <f t="shared" si="46"/>
        <v>5766</v>
      </c>
      <c r="BJ235" s="480" t="str">
        <f t="shared" si="47"/>
        <v>Vuiteboeuf</v>
      </c>
    </row>
    <row r="236" spans="1:64" x14ac:dyDescent="0.25">
      <c r="A236" s="341">
        <v>5785</v>
      </c>
      <c r="B236" s="523" t="s">
        <v>279</v>
      </c>
      <c r="C236" s="394">
        <v>1073755.75</v>
      </c>
      <c r="D236" s="394">
        <v>188448.48</v>
      </c>
      <c r="E236" s="391"/>
      <c r="F236" s="394">
        <v>0</v>
      </c>
      <c r="G236" s="394">
        <v>2096.0500000000002</v>
      </c>
      <c r="H236" s="394">
        <v>297.25</v>
      </c>
      <c r="I236" s="394">
        <v>0</v>
      </c>
      <c r="J236" s="394">
        <v>19643.89</v>
      </c>
      <c r="K236" s="394">
        <v>1202.5999999999999</v>
      </c>
      <c r="L236" s="394">
        <v>74271.75</v>
      </c>
      <c r="M236" s="334">
        <f t="shared" si="36"/>
        <v>1359715.77</v>
      </c>
      <c r="N236" s="398">
        <v>0</v>
      </c>
      <c r="O236" s="398">
        <v>32518.2</v>
      </c>
      <c r="P236" s="398">
        <v>67824.5</v>
      </c>
      <c r="Q236" s="398">
        <v>399.81</v>
      </c>
      <c r="R236" s="398">
        <v>32452.7</v>
      </c>
      <c r="S236" s="398">
        <v>201.1</v>
      </c>
      <c r="T236" s="398">
        <v>10</v>
      </c>
      <c r="U236" s="398">
        <v>2940</v>
      </c>
      <c r="V236" s="398"/>
      <c r="W236" s="398"/>
      <c r="X236" s="382">
        <v>287.07</v>
      </c>
      <c r="Y236" s="485">
        <f t="shared" si="37"/>
        <v>1496349.1500000001</v>
      </c>
      <c r="Z236" s="399">
        <v>27000</v>
      </c>
      <c r="AA236" s="399"/>
      <c r="AB236" s="399">
        <v>87115.35</v>
      </c>
      <c r="AC236" s="399"/>
      <c r="AD236" s="399">
        <v>41709.75</v>
      </c>
      <c r="AE236" s="399">
        <v>21000</v>
      </c>
      <c r="AF236" s="399"/>
      <c r="AG236" s="399"/>
      <c r="AH236" s="399"/>
      <c r="AI236" s="399"/>
      <c r="AJ236" s="399"/>
      <c r="AK236" s="399"/>
      <c r="AL236" s="477"/>
      <c r="AM236" s="485">
        <f t="shared" si="38"/>
        <v>176825.1</v>
      </c>
      <c r="AN236" s="399">
        <v>77</v>
      </c>
      <c r="AO236" s="402">
        <v>451</v>
      </c>
      <c r="AP236" s="480">
        <v>-9764.2800000000007</v>
      </c>
      <c r="AQ236" s="490"/>
      <c r="AR236" s="490">
        <v>-1741.16</v>
      </c>
      <c r="AS236" s="520">
        <v>1</v>
      </c>
      <c r="AT236" s="535">
        <v>1496349.15</v>
      </c>
      <c r="AU236" s="535">
        <f>201.1+10+2940</f>
        <v>3151.1</v>
      </c>
      <c r="AV236" s="535">
        <v>287.07</v>
      </c>
      <c r="AW236" s="535">
        <v>176825.1</v>
      </c>
      <c r="AX236" s="535">
        <v>0</v>
      </c>
      <c r="AY236" s="535">
        <v>-9764.2800000000007</v>
      </c>
      <c r="AZ236" s="535">
        <v>0</v>
      </c>
      <c r="BA236" s="535">
        <v>-1741.16</v>
      </c>
      <c r="BB236" s="480">
        <f t="shared" si="39"/>
        <v>0</v>
      </c>
      <c r="BC236" s="480">
        <f t="shared" si="40"/>
        <v>0</v>
      </c>
      <c r="BD236" s="480">
        <f t="shared" si="41"/>
        <v>0</v>
      </c>
      <c r="BE236" s="480">
        <f t="shared" si="42"/>
        <v>0</v>
      </c>
      <c r="BF236" s="480">
        <f t="shared" si="43"/>
        <v>0</v>
      </c>
      <c r="BG236" s="480">
        <f t="shared" si="44"/>
        <v>0</v>
      </c>
      <c r="BH236" s="480">
        <f t="shared" si="45"/>
        <v>0</v>
      </c>
      <c r="BI236" s="6">
        <f t="shared" si="46"/>
        <v>5785</v>
      </c>
      <c r="BJ236" s="480" t="str">
        <f t="shared" si="47"/>
        <v>Corcelles-le-Jorat</v>
      </c>
    </row>
    <row r="237" spans="1:64" x14ac:dyDescent="0.25">
      <c r="A237" s="341">
        <v>5788</v>
      </c>
      <c r="B237" s="523" t="s">
        <v>280</v>
      </c>
      <c r="C237" s="394">
        <v>949994.2</v>
      </c>
      <c r="D237" s="394">
        <v>116678.12</v>
      </c>
      <c r="E237" s="391"/>
      <c r="F237" s="394">
        <v>0</v>
      </c>
      <c r="G237" s="394">
        <v>1971.25</v>
      </c>
      <c r="H237" s="394">
        <v>558.9</v>
      </c>
      <c r="I237" s="394">
        <v>0</v>
      </c>
      <c r="J237" s="394">
        <v>21465.43</v>
      </c>
      <c r="K237" s="394">
        <v>4364</v>
      </c>
      <c r="L237" s="394">
        <v>86768.65</v>
      </c>
      <c r="M237" s="334">
        <f t="shared" si="36"/>
        <v>1181800.5499999996</v>
      </c>
      <c r="N237" s="398">
        <v>445.1</v>
      </c>
      <c r="O237" s="398">
        <v>0</v>
      </c>
      <c r="P237" s="398">
        <v>23527.65</v>
      </c>
      <c r="Q237" s="398">
        <v>5664.79</v>
      </c>
      <c r="R237" s="398">
        <v>49678</v>
      </c>
      <c r="S237" s="398">
        <v>75</v>
      </c>
      <c r="T237" s="398"/>
      <c r="U237" s="398">
        <v>1800</v>
      </c>
      <c r="V237" s="398"/>
      <c r="W237" s="398"/>
      <c r="X237" s="382">
        <v>303.48</v>
      </c>
      <c r="Y237" s="485">
        <f t="shared" si="37"/>
        <v>1263294.5699999996</v>
      </c>
      <c r="Z237" s="399">
        <v>725</v>
      </c>
      <c r="AA237" s="399"/>
      <c r="AB237" s="399">
        <v>50485.8</v>
      </c>
      <c r="AC237" s="399"/>
      <c r="AD237" s="399">
        <v>31772.9</v>
      </c>
      <c r="AE237" s="399"/>
      <c r="AF237" s="399"/>
      <c r="AG237" s="399"/>
      <c r="AH237" s="399"/>
      <c r="AI237" s="399"/>
      <c r="AJ237" s="399"/>
      <c r="AK237" s="399"/>
      <c r="AL237" s="477"/>
      <c r="AM237" s="485">
        <f t="shared" si="38"/>
        <v>82983.700000000012</v>
      </c>
      <c r="AN237" s="399">
        <v>71.5</v>
      </c>
      <c r="AO237" s="402">
        <v>389</v>
      </c>
      <c r="AP237" s="480">
        <v>-10265.540000000001</v>
      </c>
      <c r="AQ237" s="490"/>
      <c r="AR237" s="490">
        <v>-69.650000000000006</v>
      </c>
      <c r="AS237" s="520">
        <v>1.25</v>
      </c>
      <c r="AT237" s="535">
        <v>1263294.57</v>
      </c>
      <c r="AU237" s="535">
        <f>75+1800</f>
        <v>1875</v>
      </c>
      <c r="AV237" s="535">
        <v>303.48</v>
      </c>
      <c r="AW237" s="535">
        <v>82983.7</v>
      </c>
      <c r="AX237" s="535">
        <v>0</v>
      </c>
      <c r="AY237" s="535">
        <v>-10265.540000000001</v>
      </c>
      <c r="AZ237" s="535">
        <v>0</v>
      </c>
      <c r="BA237" s="535">
        <v>-69.650000000000006</v>
      </c>
      <c r="BB237" s="480">
        <f t="shared" si="39"/>
        <v>0</v>
      </c>
      <c r="BC237" s="480">
        <f t="shared" si="40"/>
        <v>0</v>
      </c>
      <c r="BD237" s="480">
        <f t="shared" si="41"/>
        <v>0</v>
      </c>
      <c r="BE237" s="480">
        <f t="shared" si="42"/>
        <v>0</v>
      </c>
      <c r="BF237" s="480">
        <f t="shared" si="43"/>
        <v>0</v>
      </c>
      <c r="BG237" s="480">
        <f t="shared" si="44"/>
        <v>0</v>
      </c>
      <c r="BH237" s="480">
        <f t="shared" si="45"/>
        <v>0</v>
      </c>
      <c r="BI237" s="6">
        <f t="shared" si="46"/>
        <v>5788</v>
      </c>
      <c r="BJ237" s="538" t="str">
        <f t="shared" si="47"/>
        <v>Essertes</v>
      </c>
      <c r="BL237" s="15" t="s">
        <v>629</v>
      </c>
    </row>
    <row r="238" spans="1:64" x14ac:dyDescent="0.25">
      <c r="A238" s="341">
        <v>5790</v>
      </c>
      <c r="B238" s="523" t="s">
        <v>281</v>
      </c>
      <c r="C238" s="394">
        <v>779342.54</v>
      </c>
      <c r="D238" s="394">
        <v>92962.16</v>
      </c>
      <c r="E238" s="391"/>
      <c r="F238" s="394">
        <v>0</v>
      </c>
      <c r="G238" s="394">
        <v>7423.25</v>
      </c>
      <c r="H238" s="394">
        <v>648.20000000000005</v>
      </c>
      <c r="I238" s="394">
        <v>0</v>
      </c>
      <c r="J238" s="394">
        <v>23539.63</v>
      </c>
      <c r="K238" s="394">
        <v>2948</v>
      </c>
      <c r="L238" s="394">
        <v>90812.25</v>
      </c>
      <c r="M238" s="334">
        <f t="shared" si="36"/>
        <v>997676.03</v>
      </c>
      <c r="N238" s="398">
        <v>8885.9</v>
      </c>
      <c r="O238" s="398">
        <v>0</v>
      </c>
      <c r="P238" s="398">
        <v>38445.15</v>
      </c>
      <c r="Q238" s="398">
        <v>0</v>
      </c>
      <c r="R238" s="398">
        <v>17586.650000000001</v>
      </c>
      <c r="S238" s="398"/>
      <c r="T238" s="398"/>
      <c r="U238" s="398">
        <v>4900</v>
      </c>
      <c r="V238" s="398"/>
      <c r="W238" s="398"/>
      <c r="X238" s="382">
        <v>968.15</v>
      </c>
      <c r="Y238" s="485">
        <f t="shared" si="37"/>
        <v>1068461.8799999999</v>
      </c>
      <c r="Z238" s="399"/>
      <c r="AA238" s="399"/>
      <c r="AB238" s="399">
        <v>69055.55</v>
      </c>
      <c r="AC238" s="399"/>
      <c r="AD238" s="399">
        <v>27425</v>
      </c>
      <c r="AE238" s="399"/>
      <c r="AF238" s="399"/>
      <c r="AG238" s="399"/>
      <c r="AH238" s="399"/>
      <c r="AI238" s="399"/>
      <c r="AJ238" s="399"/>
      <c r="AK238" s="399"/>
      <c r="AL238" s="477"/>
      <c r="AM238" s="485">
        <f t="shared" si="38"/>
        <v>96480.55</v>
      </c>
      <c r="AN238" s="399">
        <v>74.5</v>
      </c>
      <c r="AO238" s="402">
        <v>538</v>
      </c>
      <c r="AP238" s="480">
        <v>-91.98</v>
      </c>
      <c r="AQ238" s="490"/>
      <c r="AR238" s="490">
        <v>-394.87</v>
      </c>
      <c r="AS238" s="520">
        <v>1</v>
      </c>
      <c r="AT238" s="535">
        <v>1068461.8799999999</v>
      </c>
      <c r="AU238" s="535">
        <v>4900</v>
      </c>
      <c r="AV238" s="535">
        <v>968.15</v>
      </c>
      <c r="AW238" s="535">
        <v>96480.55</v>
      </c>
      <c r="AX238" s="535">
        <v>0</v>
      </c>
      <c r="AY238" s="535">
        <v>-91.98</v>
      </c>
      <c r="AZ238" s="535">
        <v>0</v>
      </c>
      <c r="BA238" s="535">
        <v>-394.87</v>
      </c>
      <c r="BB238" s="480">
        <f t="shared" si="39"/>
        <v>0</v>
      </c>
      <c r="BC238" s="480">
        <f t="shared" si="40"/>
        <v>0</v>
      </c>
      <c r="BD238" s="480">
        <f t="shared" si="41"/>
        <v>0</v>
      </c>
      <c r="BE238" s="480">
        <f t="shared" si="42"/>
        <v>0</v>
      </c>
      <c r="BF238" s="480">
        <f t="shared" si="43"/>
        <v>0</v>
      </c>
      <c r="BG238" s="480">
        <f t="shared" si="44"/>
        <v>0</v>
      </c>
      <c r="BH238" s="480">
        <f t="shared" si="45"/>
        <v>0</v>
      </c>
      <c r="BI238" s="6">
        <f t="shared" si="46"/>
        <v>5790</v>
      </c>
      <c r="BJ238" s="480" t="str">
        <f t="shared" si="47"/>
        <v>Maracon</v>
      </c>
    </row>
    <row r="239" spans="1:64" x14ac:dyDescent="0.25">
      <c r="A239" s="341">
        <v>5792</v>
      </c>
      <c r="B239" s="523" t="s">
        <v>282</v>
      </c>
      <c r="C239" s="394">
        <v>1096366.48</v>
      </c>
      <c r="D239" s="394">
        <v>95741.17</v>
      </c>
      <c r="E239" s="391"/>
      <c r="F239" s="394">
        <v>0</v>
      </c>
      <c r="G239" s="394">
        <v>693.8</v>
      </c>
      <c r="H239" s="394">
        <v>2274.4</v>
      </c>
      <c r="I239" s="394">
        <v>0</v>
      </c>
      <c r="J239" s="394">
        <v>18841.11</v>
      </c>
      <c r="K239" s="394">
        <v>-1992</v>
      </c>
      <c r="L239" s="394">
        <v>118656.4</v>
      </c>
      <c r="M239" s="334">
        <f t="shared" si="36"/>
        <v>1330581.3599999999</v>
      </c>
      <c r="N239" s="398">
        <v>116.15</v>
      </c>
      <c r="O239" s="398">
        <v>7826.8</v>
      </c>
      <c r="P239" s="398">
        <v>52272</v>
      </c>
      <c r="Q239" s="398">
        <v>1084.8900000000001</v>
      </c>
      <c r="R239" s="398">
        <v>51778.25</v>
      </c>
      <c r="S239" s="398"/>
      <c r="T239" s="398"/>
      <c r="U239" s="398">
        <v>4270</v>
      </c>
      <c r="V239" s="398"/>
      <c r="W239" s="398"/>
      <c r="X239" s="382">
        <v>356.03</v>
      </c>
      <c r="Y239" s="485">
        <f t="shared" si="37"/>
        <v>1448285.4799999997</v>
      </c>
      <c r="Z239" s="399">
        <v>646.4</v>
      </c>
      <c r="AA239" s="399"/>
      <c r="AB239" s="399">
        <v>84872.9</v>
      </c>
      <c r="AC239" s="399"/>
      <c r="AD239" s="399">
        <v>38520</v>
      </c>
      <c r="AE239" s="399">
        <v>855</v>
      </c>
      <c r="AF239" s="399"/>
      <c r="AG239" s="399"/>
      <c r="AH239" s="399"/>
      <c r="AI239" s="399">
        <v>6700</v>
      </c>
      <c r="AJ239" s="399"/>
      <c r="AK239" s="399"/>
      <c r="AL239" s="477"/>
      <c r="AM239" s="485">
        <f t="shared" si="38"/>
        <v>131594.29999999999</v>
      </c>
      <c r="AN239" s="399">
        <v>75</v>
      </c>
      <c r="AO239" s="402">
        <v>653</v>
      </c>
      <c r="AP239" s="480">
        <v>-11325.64</v>
      </c>
      <c r="AQ239" s="490"/>
      <c r="AR239" s="490">
        <v>-4.33</v>
      </c>
      <c r="AS239" s="520">
        <v>1</v>
      </c>
      <c r="AT239" s="535">
        <v>1448285.48</v>
      </c>
      <c r="AU239" s="535">
        <v>4270</v>
      </c>
      <c r="AV239" s="535">
        <v>356.03</v>
      </c>
      <c r="AW239" s="535">
        <v>131594.29999999999</v>
      </c>
      <c r="AX239" s="535">
        <v>0</v>
      </c>
      <c r="AY239" s="535">
        <v>-11325.64</v>
      </c>
      <c r="AZ239" s="535">
        <v>0</v>
      </c>
      <c r="BA239" s="535">
        <v>-4.33</v>
      </c>
      <c r="BB239" s="480">
        <f t="shared" si="39"/>
        <v>0</v>
      </c>
      <c r="BC239" s="480">
        <f t="shared" si="40"/>
        <v>0</v>
      </c>
      <c r="BD239" s="480">
        <f t="shared" si="41"/>
        <v>0</v>
      </c>
      <c r="BE239" s="480">
        <f t="shared" si="42"/>
        <v>0</v>
      </c>
      <c r="BF239" s="480">
        <f t="shared" si="43"/>
        <v>0</v>
      </c>
      <c r="BG239" s="480">
        <f t="shared" si="44"/>
        <v>0</v>
      </c>
      <c r="BH239" s="480">
        <f t="shared" si="45"/>
        <v>0</v>
      </c>
      <c r="BI239" s="6">
        <f t="shared" si="46"/>
        <v>5792</v>
      </c>
      <c r="BJ239" s="480" t="str">
        <f t="shared" si="47"/>
        <v>Montpreveyres</v>
      </c>
    </row>
    <row r="240" spans="1:64" x14ac:dyDescent="0.25">
      <c r="A240" s="341">
        <v>5798</v>
      </c>
      <c r="B240" s="523" t="s">
        <v>283</v>
      </c>
      <c r="C240" s="394">
        <v>980135.85</v>
      </c>
      <c r="D240" s="394">
        <v>134403.87</v>
      </c>
      <c r="E240" s="391"/>
      <c r="F240" s="394">
        <v>0</v>
      </c>
      <c r="G240" s="394">
        <v>9506.1</v>
      </c>
      <c r="H240" s="394">
        <v>1528.15</v>
      </c>
      <c r="I240" s="394">
        <v>0</v>
      </c>
      <c r="J240" s="394">
        <v>21076.43</v>
      </c>
      <c r="K240" s="394">
        <v>6288.25</v>
      </c>
      <c r="L240" s="394">
        <v>40243.65</v>
      </c>
      <c r="M240" s="334">
        <f t="shared" si="36"/>
        <v>1193182.2999999998</v>
      </c>
      <c r="N240" s="398">
        <v>21843.25</v>
      </c>
      <c r="O240" s="398">
        <v>15707.6</v>
      </c>
      <c r="P240" s="398">
        <v>42477.9</v>
      </c>
      <c r="Q240" s="398">
        <v>791.08</v>
      </c>
      <c r="R240" s="398">
        <v>10790.15</v>
      </c>
      <c r="S240" s="398"/>
      <c r="T240" s="398">
        <v>97.25</v>
      </c>
      <c r="U240" s="398">
        <v>2970</v>
      </c>
      <c r="V240" s="398"/>
      <c r="W240" s="398"/>
      <c r="X240" s="382">
        <v>1323.52</v>
      </c>
      <c r="Y240" s="485">
        <f t="shared" si="37"/>
        <v>1289183.0499999998</v>
      </c>
      <c r="Z240" s="399">
        <v>79640</v>
      </c>
      <c r="AA240" s="399"/>
      <c r="AB240" s="399">
        <v>56397</v>
      </c>
      <c r="AC240" s="399"/>
      <c r="AD240" s="399">
        <v>33210.15</v>
      </c>
      <c r="AE240" s="399">
        <v>70278</v>
      </c>
      <c r="AF240" s="399"/>
      <c r="AG240" s="399"/>
      <c r="AH240" s="399"/>
      <c r="AI240" s="399"/>
      <c r="AJ240" s="399"/>
      <c r="AK240" s="399"/>
      <c r="AL240" s="477"/>
      <c r="AM240" s="485">
        <f t="shared" si="38"/>
        <v>239525.15</v>
      </c>
      <c r="AN240" s="399">
        <v>77.5</v>
      </c>
      <c r="AO240" s="402">
        <v>528</v>
      </c>
      <c r="AP240" s="480">
        <v>-13965.28</v>
      </c>
      <c r="AQ240" s="490"/>
      <c r="AR240" s="490">
        <v>-77.489999999999995</v>
      </c>
      <c r="AS240" s="520">
        <v>0.5</v>
      </c>
      <c r="AT240" s="535">
        <v>1289183.05</v>
      </c>
      <c r="AU240" s="535">
        <f>97.25+2970</f>
        <v>3067.25</v>
      </c>
      <c r="AV240" s="535">
        <v>1323.52</v>
      </c>
      <c r="AW240" s="535">
        <v>239525.15</v>
      </c>
      <c r="AX240" s="535">
        <v>0</v>
      </c>
      <c r="AY240" s="535">
        <v>-13965.28</v>
      </c>
      <c r="AZ240" s="535">
        <v>0</v>
      </c>
      <c r="BA240" s="535">
        <v>-77.489999999999995</v>
      </c>
      <c r="BB240" s="480">
        <f t="shared" si="39"/>
        <v>0</v>
      </c>
      <c r="BC240" s="480">
        <f t="shared" si="40"/>
        <v>0</v>
      </c>
      <c r="BD240" s="480">
        <f t="shared" si="41"/>
        <v>0</v>
      </c>
      <c r="BE240" s="480">
        <f t="shared" si="42"/>
        <v>0</v>
      </c>
      <c r="BF240" s="480">
        <f t="shared" si="43"/>
        <v>0</v>
      </c>
      <c r="BG240" s="480">
        <f t="shared" si="44"/>
        <v>0</v>
      </c>
      <c r="BH240" s="480">
        <f t="shared" si="45"/>
        <v>0</v>
      </c>
      <c r="BI240" s="6">
        <f t="shared" si="46"/>
        <v>5798</v>
      </c>
      <c r="BJ240" s="480" t="str">
        <f t="shared" si="47"/>
        <v>Ropraz</v>
      </c>
    </row>
    <row r="241" spans="1:62" x14ac:dyDescent="0.25">
      <c r="A241" s="341">
        <v>5799</v>
      </c>
      <c r="B241" s="523" t="s">
        <v>284</v>
      </c>
      <c r="C241" s="394">
        <v>3795368.05</v>
      </c>
      <c r="D241" s="394">
        <v>513167.28</v>
      </c>
      <c r="E241" s="391"/>
      <c r="F241" s="394">
        <v>0</v>
      </c>
      <c r="G241" s="394">
        <v>23065.65</v>
      </c>
      <c r="H241" s="394">
        <v>2587.4</v>
      </c>
      <c r="I241" s="394">
        <v>0</v>
      </c>
      <c r="J241" s="394">
        <v>61021.97</v>
      </c>
      <c r="K241" s="394">
        <v>20849.349999999999</v>
      </c>
      <c r="L241" s="394">
        <v>395030.85</v>
      </c>
      <c r="M241" s="334">
        <f t="shared" si="36"/>
        <v>4811090.55</v>
      </c>
      <c r="N241" s="398">
        <v>26847.85</v>
      </c>
      <c r="O241" s="398">
        <v>39892.699999999997</v>
      </c>
      <c r="P241" s="398">
        <v>284271.75</v>
      </c>
      <c r="Q241" s="398">
        <v>11812.31</v>
      </c>
      <c r="R241" s="398">
        <v>250111.05</v>
      </c>
      <c r="S241" s="398"/>
      <c r="T241" s="398"/>
      <c r="U241" s="398">
        <v>9600</v>
      </c>
      <c r="V241" s="398">
        <v>26017.25</v>
      </c>
      <c r="W241" s="398"/>
      <c r="X241" s="382">
        <v>3077</v>
      </c>
      <c r="Y241" s="485">
        <f t="shared" si="37"/>
        <v>5462720.459999999</v>
      </c>
      <c r="Z241" s="399">
        <v>39794.800000000003</v>
      </c>
      <c r="AA241" s="399"/>
      <c r="AB241" s="399">
        <v>395843.5</v>
      </c>
      <c r="AC241" s="399"/>
      <c r="AD241" s="399">
        <v>231853.15</v>
      </c>
      <c r="AE241" s="399"/>
      <c r="AF241" s="399"/>
      <c r="AG241" s="399"/>
      <c r="AH241" s="399"/>
      <c r="AI241" s="399">
        <v>57816.05</v>
      </c>
      <c r="AJ241" s="399"/>
      <c r="AK241" s="399"/>
      <c r="AL241" s="477"/>
      <c r="AM241" s="485">
        <f t="shared" si="38"/>
        <v>725307.5</v>
      </c>
      <c r="AN241" s="399">
        <v>69</v>
      </c>
      <c r="AO241" s="402">
        <v>2076</v>
      </c>
      <c r="AP241" s="480">
        <v>-37689.599999999999</v>
      </c>
      <c r="AQ241" s="490"/>
      <c r="AR241" s="490">
        <v>-571.88</v>
      </c>
      <c r="AS241" s="520">
        <v>1</v>
      </c>
      <c r="AT241" s="535">
        <v>5462720.46</v>
      </c>
      <c r="AU241" s="535">
        <f>9600+26017.25</f>
        <v>35617.25</v>
      </c>
      <c r="AV241" s="535">
        <v>3077</v>
      </c>
      <c r="AW241" s="535">
        <v>725307.5</v>
      </c>
      <c r="AX241" s="535">
        <v>-25709.71</v>
      </c>
      <c r="AY241" s="535">
        <v>-37689.599999999999</v>
      </c>
      <c r="AZ241" s="535">
        <v>0</v>
      </c>
      <c r="BA241" s="535">
        <v>-571.88</v>
      </c>
      <c r="BB241" s="480">
        <f t="shared" si="39"/>
        <v>0</v>
      </c>
      <c r="BC241" s="480">
        <f t="shared" si="40"/>
        <v>0</v>
      </c>
      <c r="BD241" s="480">
        <f t="shared" si="41"/>
        <v>0</v>
      </c>
      <c r="BE241" s="480">
        <f t="shared" si="42"/>
        <v>0</v>
      </c>
      <c r="BF241" s="480">
        <f t="shared" si="43"/>
        <v>0</v>
      </c>
      <c r="BG241" s="480">
        <f t="shared" si="44"/>
        <v>0</v>
      </c>
      <c r="BH241" s="480">
        <f t="shared" si="45"/>
        <v>0</v>
      </c>
      <c r="BI241" s="6">
        <f t="shared" si="46"/>
        <v>5799</v>
      </c>
      <c r="BJ241" s="480" t="str">
        <f t="shared" si="47"/>
        <v>Servion</v>
      </c>
    </row>
    <row r="242" spans="1:62" x14ac:dyDescent="0.25">
      <c r="A242" s="341">
        <v>5803</v>
      </c>
      <c r="B242" s="523" t="s">
        <v>386</v>
      </c>
      <c r="C242" s="394">
        <v>1193997.79</v>
      </c>
      <c r="D242" s="394">
        <v>147057.65</v>
      </c>
      <c r="E242" s="391"/>
      <c r="F242" s="394">
        <v>0</v>
      </c>
      <c r="G242" s="394">
        <v>-2068</v>
      </c>
      <c r="H242" s="394">
        <v>580.29999999999995</v>
      </c>
      <c r="I242" s="394">
        <v>0</v>
      </c>
      <c r="J242" s="394">
        <v>26442.34</v>
      </c>
      <c r="K242" s="394">
        <v>0</v>
      </c>
      <c r="L242" s="394">
        <v>105284.85</v>
      </c>
      <c r="M242" s="334">
        <f t="shared" si="36"/>
        <v>1471294.9300000002</v>
      </c>
      <c r="N242" s="398">
        <v>959.9</v>
      </c>
      <c r="O242" s="398">
        <v>39814.300000000003</v>
      </c>
      <c r="P242" s="398">
        <v>12735.6</v>
      </c>
      <c r="Q242" s="398">
        <v>3726.78</v>
      </c>
      <c r="R242" s="398">
        <v>11322.85</v>
      </c>
      <c r="S242" s="398">
        <v>626.15</v>
      </c>
      <c r="T242" s="398"/>
      <c r="U242" s="398">
        <v>5300</v>
      </c>
      <c r="V242" s="398"/>
      <c r="W242" s="398"/>
      <c r="X242" s="382">
        <v>-178.44</v>
      </c>
      <c r="Y242" s="485">
        <f t="shared" si="37"/>
        <v>1545602.0700000003</v>
      </c>
      <c r="Z242" s="399">
        <v>1385</v>
      </c>
      <c r="AA242" s="399"/>
      <c r="AB242" s="399">
        <v>80704.800000000003</v>
      </c>
      <c r="AC242" s="399"/>
      <c r="AD242" s="399">
        <v>44960.9</v>
      </c>
      <c r="AE242" s="399">
        <v>9502.7000000000007</v>
      </c>
      <c r="AF242" s="399">
        <v>13625</v>
      </c>
      <c r="AG242" s="399"/>
      <c r="AH242" s="399"/>
      <c r="AI242" s="399"/>
      <c r="AJ242" s="399"/>
      <c r="AK242" s="399"/>
      <c r="AL242" s="477"/>
      <c r="AM242" s="485">
        <f t="shared" si="38"/>
        <v>150178.40000000002</v>
      </c>
      <c r="AN242" s="399">
        <v>76</v>
      </c>
      <c r="AO242" s="402">
        <v>624</v>
      </c>
      <c r="AP242" s="480">
        <v>-39936.660000000003</v>
      </c>
      <c r="AQ242" s="490"/>
      <c r="AR242" s="490">
        <v>-335.67</v>
      </c>
      <c r="AS242" s="520">
        <v>1</v>
      </c>
      <c r="AT242" s="535">
        <v>1545602.07</v>
      </c>
      <c r="AU242" s="535">
        <f>626.15+5300</f>
        <v>5926.15</v>
      </c>
      <c r="AV242" s="535">
        <v>-178.44</v>
      </c>
      <c r="AW242" s="535">
        <v>150178.4</v>
      </c>
      <c r="AX242" s="535">
        <v>0</v>
      </c>
      <c r="AY242" s="535">
        <v>-39936.660000000003</v>
      </c>
      <c r="AZ242" s="535">
        <v>0</v>
      </c>
      <c r="BA242" s="535">
        <f>-335.67</f>
        <v>-335.67</v>
      </c>
      <c r="BB242" s="480">
        <f t="shared" si="39"/>
        <v>0</v>
      </c>
      <c r="BC242" s="480">
        <f t="shared" si="40"/>
        <v>0</v>
      </c>
      <c r="BD242" s="480">
        <f t="shared" si="41"/>
        <v>0</v>
      </c>
      <c r="BE242" s="480">
        <f t="shared" si="42"/>
        <v>0</v>
      </c>
      <c r="BF242" s="480">
        <f t="shared" si="43"/>
        <v>0</v>
      </c>
      <c r="BG242" s="480">
        <f t="shared" si="44"/>
        <v>0</v>
      </c>
      <c r="BH242" s="480">
        <f t="shared" si="45"/>
        <v>0</v>
      </c>
      <c r="BI242" s="6">
        <f t="shared" si="46"/>
        <v>5803</v>
      </c>
      <c r="BJ242" s="480" t="str">
        <f t="shared" si="47"/>
        <v>Vulliens</v>
      </c>
    </row>
    <row r="243" spans="1:62" x14ac:dyDescent="0.25">
      <c r="A243" s="341">
        <v>5804</v>
      </c>
      <c r="B243" s="523" t="s">
        <v>433</v>
      </c>
      <c r="C243" s="394">
        <v>2607873.27</v>
      </c>
      <c r="D243" s="394">
        <v>401016.37</v>
      </c>
      <c r="E243" s="391"/>
      <c r="F243" s="394">
        <v>0</v>
      </c>
      <c r="G243" s="394">
        <v>54944.3</v>
      </c>
      <c r="H243" s="394">
        <v>1302.4000000000001</v>
      </c>
      <c r="I243" s="394">
        <v>0</v>
      </c>
      <c r="J243" s="394">
        <v>17046.580000000002</v>
      </c>
      <c r="K243" s="394">
        <v>3532.6</v>
      </c>
      <c r="L243" s="394">
        <v>270624.8</v>
      </c>
      <c r="M243" s="334">
        <f t="shared" si="36"/>
        <v>3356340.32</v>
      </c>
      <c r="N243" s="398">
        <v>8222.75</v>
      </c>
      <c r="O243" s="398">
        <v>117376.8</v>
      </c>
      <c r="P243" s="398">
        <v>158492.65</v>
      </c>
      <c r="Q243" s="398">
        <v>603.1</v>
      </c>
      <c r="R243" s="398">
        <v>116405.75</v>
      </c>
      <c r="S243" s="398">
        <v>1319.7</v>
      </c>
      <c r="T243" s="398"/>
      <c r="U243" s="398">
        <v>15450</v>
      </c>
      <c r="V243" s="398"/>
      <c r="W243" s="398"/>
      <c r="X243" s="382">
        <v>6746.62</v>
      </c>
      <c r="Y243" s="485">
        <f t="shared" si="37"/>
        <v>3780957.69</v>
      </c>
      <c r="Z243" s="399">
        <v>43699.8</v>
      </c>
      <c r="AA243" s="399"/>
      <c r="AB243" s="399">
        <v>279448.8</v>
      </c>
      <c r="AC243" s="399"/>
      <c r="AD243" s="399">
        <v>192131.25</v>
      </c>
      <c r="AE243" s="399">
        <v>31887.25</v>
      </c>
      <c r="AF243" s="399"/>
      <c r="AG243" s="399"/>
      <c r="AH243" s="399"/>
      <c r="AI243" s="399">
        <v>38592.6</v>
      </c>
      <c r="AJ243" s="399"/>
      <c r="AK243" s="399"/>
      <c r="AL243" s="477"/>
      <c r="AM243" s="485">
        <f t="shared" si="38"/>
        <v>585759.69999999995</v>
      </c>
      <c r="AN243" s="399">
        <v>70.5</v>
      </c>
      <c r="AO243" s="402">
        <v>1602</v>
      </c>
      <c r="AP243" s="480">
        <v>-71782.210000000006</v>
      </c>
      <c r="AQ243" s="490"/>
      <c r="AR243" s="490">
        <v>-60.84</v>
      </c>
      <c r="AS243" s="520">
        <v>1</v>
      </c>
      <c r="AT243" s="535">
        <v>3780957.69</v>
      </c>
      <c r="AU243" s="535">
        <f>1319.7+15450</f>
        <v>16769.7</v>
      </c>
      <c r="AV243" s="535">
        <v>6746.62</v>
      </c>
      <c r="AW243" s="535">
        <v>585759.69999999995</v>
      </c>
      <c r="AX243" s="535"/>
      <c r="AY243" s="535">
        <v>-71782.210000000006</v>
      </c>
      <c r="AZ243" s="535">
        <v>0</v>
      </c>
      <c r="BA243" s="535">
        <v>-60.84</v>
      </c>
      <c r="BB243" s="480">
        <f t="shared" si="39"/>
        <v>0</v>
      </c>
      <c r="BC243" s="480">
        <f t="shared" si="40"/>
        <v>0</v>
      </c>
      <c r="BD243" s="480">
        <f t="shared" si="41"/>
        <v>0</v>
      </c>
      <c r="BE243" s="480">
        <f t="shared" si="42"/>
        <v>0</v>
      </c>
      <c r="BF243" s="480">
        <f t="shared" si="43"/>
        <v>0</v>
      </c>
      <c r="BG243" s="480">
        <f t="shared" si="44"/>
        <v>0</v>
      </c>
      <c r="BH243" s="480">
        <f t="shared" si="45"/>
        <v>0</v>
      </c>
      <c r="BI243" s="6">
        <f t="shared" si="46"/>
        <v>5804</v>
      </c>
      <c r="BJ243" s="480" t="str">
        <f t="shared" si="47"/>
        <v>Jorat-Menthue</v>
      </c>
    </row>
    <row r="244" spans="1:62" x14ac:dyDescent="0.25">
      <c r="A244" s="341">
        <v>5805</v>
      </c>
      <c r="B244" s="523" t="s">
        <v>435</v>
      </c>
      <c r="C244" s="394">
        <v>8139400.0999999996</v>
      </c>
      <c r="D244" s="394">
        <v>910030.75</v>
      </c>
      <c r="E244" s="391"/>
      <c r="F244" s="394">
        <v>0</v>
      </c>
      <c r="G244" s="394">
        <v>551933.9</v>
      </c>
      <c r="H244" s="394">
        <v>59318.7</v>
      </c>
      <c r="I244" s="394">
        <v>0</v>
      </c>
      <c r="J244" s="394">
        <v>172989.54</v>
      </c>
      <c r="K244" s="394">
        <v>1707.05</v>
      </c>
      <c r="L244" s="394">
        <v>1034309.95</v>
      </c>
      <c r="M244" s="334">
        <f t="shared" si="36"/>
        <v>10869689.989999998</v>
      </c>
      <c r="N244" s="398">
        <v>124255.6</v>
      </c>
      <c r="O244" s="398">
        <v>147130.09</v>
      </c>
      <c r="P244" s="398">
        <v>305685.7</v>
      </c>
      <c r="Q244" s="398">
        <v>56114.74</v>
      </c>
      <c r="R244" s="398">
        <v>186201.7</v>
      </c>
      <c r="S244" s="398">
        <v>38191.550000000003</v>
      </c>
      <c r="T244" s="398"/>
      <c r="U244" s="398">
        <v>38830</v>
      </c>
      <c r="V244" s="398"/>
      <c r="W244" s="398">
        <v>450</v>
      </c>
      <c r="X244" s="382">
        <v>73317.84</v>
      </c>
      <c r="Y244" s="485">
        <f t="shared" si="37"/>
        <v>11839867.209999997</v>
      </c>
      <c r="Z244" s="399">
        <v>101547.35</v>
      </c>
      <c r="AA244" s="399"/>
      <c r="AB244" s="399">
        <v>837495.01</v>
      </c>
      <c r="AC244" s="399"/>
      <c r="AD244" s="399">
        <v>386306.85</v>
      </c>
      <c r="AE244" s="399">
        <v>79004.3</v>
      </c>
      <c r="AF244" s="399"/>
      <c r="AG244" s="399"/>
      <c r="AH244" s="399"/>
      <c r="AI244" s="399"/>
      <c r="AJ244" s="399">
        <v>160267.25</v>
      </c>
      <c r="AK244" s="399"/>
      <c r="AL244" s="477"/>
      <c r="AM244" s="485">
        <f t="shared" si="38"/>
        <v>1564620.76</v>
      </c>
      <c r="AN244" s="399">
        <v>69</v>
      </c>
      <c r="AO244" s="402">
        <v>5663</v>
      </c>
      <c r="AP244" s="480">
        <v>-218205.85</v>
      </c>
      <c r="AQ244" s="490"/>
      <c r="AR244" s="490">
        <v>-10693.07</v>
      </c>
      <c r="AS244" s="520">
        <v>1.1000000000000001</v>
      </c>
      <c r="AT244" s="535">
        <f>11851547.59-84998.22+73317.84</f>
        <v>11839867.209999999</v>
      </c>
      <c r="AU244" s="535">
        <f>38191.55+38830+450</f>
        <v>77471.55</v>
      </c>
      <c r="AV244" s="535">
        <v>73317.84</v>
      </c>
      <c r="AW244" s="535">
        <v>1564620.76</v>
      </c>
      <c r="AX244" s="535"/>
      <c r="AY244" s="535">
        <v>-218205.85</v>
      </c>
      <c r="AZ244" s="535">
        <v>0</v>
      </c>
      <c r="BA244" s="535">
        <v>-10693.07</v>
      </c>
      <c r="BB244" s="480">
        <f t="shared" si="39"/>
        <v>0</v>
      </c>
      <c r="BC244" s="480">
        <f t="shared" si="40"/>
        <v>0</v>
      </c>
      <c r="BD244" s="480">
        <f t="shared" si="41"/>
        <v>0</v>
      </c>
      <c r="BE244" s="480">
        <f t="shared" si="42"/>
        <v>0</v>
      </c>
      <c r="BF244" s="480">
        <f t="shared" si="43"/>
        <v>0</v>
      </c>
      <c r="BG244" s="480">
        <f t="shared" si="44"/>
        <v>0</v>
      </c>
      <c r="BH244" s="480">
        <f t="shared" si="45"/>
        <v>0</v>
      </c>
      <c r="BI244" s="6">
        <f t="shared" si="46"/>
        <v>5805</v>
      </c>
      <c r="BJ244" s="480" t="str">
        <f t="shared" si="47"/>
        <v>Oron</v>
      </c>
    </row>
    <row r="245" spans="1:62" x14ac:dyDescent="0.25">
      <c r="A245" s="341">
        <v>5806</v>
      </c>
      <c r="B245" s="523" t="s">
        <v>524</v>
      </c>
      <c r="C245" s="394">
        <v>5326602.63</v>
      </c>
      <c r="D245" s="394">
        <v>563139.16</v>
      </c>
      <c r="E245" s="391"/>
      <c r="F245" s="394">
        <v>0</v>
      </c>
      <c r="G245" s="394">
        <v>90461.85</v>
      </c>
      <c r="H245" s="394">
        <v>9574.4500000000007</v>
      </c>
      <c r="I245" s="394">
        <v>53124.25</v>
      </c>
      <c r="J245" s="394">
        <v>61110.42</v>
      </c>
      <c r="K245" s="394">
        <v>16744.75</v>
      </c>
      <c r="L245" s="394">
        <v>521911.25</v>
      </c>
      <c r="M245" s="334">
        <f t="shared" si="36"/>
        <v>6642668.7599999998</v>
      </c>
      <c r="N245" s="398">
        <v>30186.6</v>
      </c>
      <c r="O245" s="398">
        <v>99419.199999999997</v>
      </c>
      <c r="P245" s="398">
        <v>230887.7</v>
      </c>
      <c r="Q245" s="398">
        <v>26120.86</v>
      </c>
      <c r="R245" s="398">
        <v>197024.7</v>
      </c>
      <c r="S245" s="398"/>
      <c r="T245" s="398"/>
      <c r="U245" s="398">
        <v>12660</v>
      </c>
      <c r="V245" s="398"/>
      <c r="W245" s="398"/>
      <c r="X245" s="382">
        <v>11999.04</v>
      </c>
      <c r="Y245" s="485">
        <f t="shared" si="37"/>
        <v>7250966.8600000003</v>
      </c>
      <c r="Z245" s="399">
        <v>231890</v>
      </c>
      <c r="AA245" s="399"/>
      <c r="AB245" s="399">
        <v>581998.85</v>
      </c>
      <c r="AC245" s="399"/>
      <c r="AD245" s="399">
        <v>308983.64</v>
      </c>
      <c r="AE245" s="399">
        <v>142824</v>
      </c>
      <c r="AF245" s="399"/>
      <c r="AG245" s="399"/>
      <c r="AH245" s="399">
        <v>4025.5</v>
      </c>
      <c r="AI245" s="399"/>
      <c r="AJ245" s="399"/>
      <c r="AK245" s="399"/>
      <c r="AL245" s="477"/>
      <c r="AM245" s="485">
        <f t="shared" si="38"/>
        <v>1269721.99</v>
      </c>
      <c r="AN245" s="399">
        <v>73</v>
      </c>
      <c r="AO245" s="402">
        <v>2966</v>
      </c>
      <c r="AP245" s="480">
        <v>-28820.5</v>
      </c>
      <c r="AQ245" s="490"/>
      <c r="AR245" s="490">
        <v>-2223.91</v>
      </c>
      <c r="AS245" s="520">
        <v>1</v>
      </c>
      <c r="AT245" s="535">
        <v>7250966.8600000003</v>
      </c>
      <c r="AU245" s="535">
        <v>12660</v>
      </c>
      <c r="AV245" s="535">
        <v>11999.04</v>
      </c>
      <c r="AW245" s="535">
        <v>1269721.99</v>
      </c>
      <c r="AX245" s="535"/>
      <c r="AY245" s="535">
        <v>-28820.5</v>
      </c>
      <c r="AZ245" s="535">
        <v>0</v>
      </c>
      <c r="BA245" s="535">
        <v>-2223.91</v>
      </c>
      <c r="BB245" s="480">
        <f t="shared" si="39"/>
        <v>0</v>
      </c>
      <c r="BC245" s="480">
        <f t="shared" si="40"/>
        <v>0</v>
      </c>
      <c r="BD245" s="480">
        <f t="shared" si="41"/>
        <v>0</v>
      </c>
      <c r="BE245" s="480">
        <f t="shared" si="42"/>
        <v>0</v>
      </c>
      <c r="BF245" s="480">
        <f t="shared" si="43"/>
        <v>0</v>
      </c>
      <c r="BG245" s="480">
        <f t="shared" si="44"/>
        <v>0</v>
      </c>
      <c r="BH245" s="480">
        <f t="shared" si="45"/>
        <v>0</v>
      </c>
      <c r="BI245" s="6">
        <f t="shared" si="46"/>
        <v>5806</v>
      </c>
      <c r="BJ245" s="480" t="str">
        <f t="shared" si="47"/>
        <v>Jorat-Mézières</v>
      </c>
    </row>
    <row r="246" spans="1:62" x14ac:dyDescent="0.25">
      <c r="A246" s="341">
        <v>5812</v>
      </c>
      <c r="B246" s="523" t="s">
        <v>387</v>
      </c>
      <c r="C246" s="394">
        <v>150659.70000000001</v>
      </c>
      <c r="D246" s="394">
        <v>31222.799999999999</v>
      </c>
      <c r="E246" s="391"/>
      <c r="F246" s="394">
        <v>0</v>
      </c>
      <c r="G246" s="394">
        <v>-4529.45</v>
      </c>
      <c r="H246" s="394">
        <v>693.7</v>
      </c>
      <c r="I246" s="394">
        <v>0</v>
      </c>
      <c r="J246" s="394">
        <v>0</v>
      </c>
      <c r="K246" s="394">
        <v>637.5</v>
      </c>
      <c r="L246" s="394">
        <v>14867.15</v>
      </c>
      <c r="M246" s="334">
        <f t="shared" si="36"/>
        <v>193551.4</v>
      </c>
      <c r="N246" s="398">
        <v>0</v>
      </c>
      <c r="O246" s="398">
        <v>1716.7</v>
      </c>
      <c r="P246" s="398">
        <v>9223.0499999999993</v>
      </c>
      <c r="Q246" s="398">
        <v>0</v>
      </c>
      <c r="R246" s="398">
        <v>15795.2</v>
      </c>
      <c r="S246" s="398"/>
      <c r="T246" s="398"/>
      <c r="U246" s="398">
        <v>500</v>
      </c>
      <c r="V246" s="398"/>
      <c r="W246" s="398"/>
      <c r="X246" s="382">
        <v>-460.09</v>
      </c>
      <c r="Y246" s="485">
        <f t="shared" si="37"/>
        <v>220326.26</v>
      </c>
      <c r="Z246" s="399">
        <v>4997</v>
      </c>
      <c r="AA246" s="399"/>
      <c r="AB246" s="399">
        <v>10019.1</v>
      </c>
      <c r="AC246" s="399"/>
      <c r="AD246" s="399">
        <v>5775.35</v>
      </c>
      <c r="AE246" s="399">
        <v>5000</v>
      </c>
      <c r="AF246" s="399"/>
      <c r="AG246" s="399"/>
      <c r="AH246" s="399"/>
      <c r="AI246" s="399">
        <v>3677.15</v>
      </c>
      <c r="AJ246" s="399"/>
      <c r="AK246" s="399"/>
      <c r="AL246" s="477"/>
      <c r="AM246" s="485">
        <f t="shared" si="38"/>
        <v>29468.600000000002</v>
      </c>
      <c r="AN246" s="399">
        <v>77</v>
      </c>
      <c r="AO246" s="402">
        <v>144</v>
      </c>
      <c r="AP246" s="480">
        <v>-5185.42</v>
      </c>
      <c r="AQ246" s="490"/>
      <c r="AR246" s="490">
        <v>-82.27</v>
      </c>
      <c r="AS246" s="520">
        <v>0.8</v>
      </c>
      <c r="AT246" s="535">
        <v>220326.26</v>
      </c>
      <c r="AU246" s="535">
        <v>500</v>
      </c>
      <c r="AV246" s="535">
        <v>-460.09</v>
      </c>
      <c r="AW246" s="535">
        <v>29468.6</v>
      </c>
      <c r="AX246" s="535"/>
      <c r="AY246" s="535">
        <v>-5185.42</v>
      </c>
      <c r="AZ246" s="535"/>
      <c r="BA246" s="535">
        <v>-82.27</v>
      </c>
      <c r="BB246" s="480">
        <f t="shared" si="39"/>
        <v>0</v>
      </c>
      <c r="BC246" s="480">
        <f t="shared" si="40"/>
        <v>0</v>
      </c>
      <c r="BD246" s="480">
        <f t="shared" si="41"/>
        <v>0</v>
      </c>
      <c r="BE246" s="480">
        <f t="shared" si="42"/>
        <v>0</v>
      </c>
      <c r="BF246" s="480">
        <f t="shared" si="43"/>
        <v>0</v>
      </c>
      <c r="BG246" s="480">
        <f t="shared" si="44"/>
        <v>0</v>
      </c>
      <c r="BH246" s="480">
        <f t="shared" si="45"/>
        <v>0</v>
      </c>
      <c r="BI246" s="6">
        <f t="shared" si="46"/>
        <v>5812</v>
      </c>
      <c r="BJ246" s="480" t="str">
        <f t="shared" si="47"/>
        <v>Champtauroz</v>
      </c>
    </row>
    <row r="247" spans="1:62" x14ac:dyDescent="0.25">
      <c r="A247" s="341">
        <v>5813</v>
      </c>
      <c r="B247" s="523" t="s">
        <v>388</v>
      </c>
      <c r="C247" s="394">
        <v>814631.96</v>
      </c>
      <c r="D247" s="394">
        <v>104000.15</v>
      </c>
      <c r="E247" s="391"/>
      <c r="F247" s="394">
        <v>3140</v>
      </c>
      <c r="G247" s="394">
        <v>20282.599999999999</v>
      </c>
      <c r="H247" s="394">
        <v>386.35</v>
      </c>
      <c r="I247" s="394">
        <v>0</v>
      </c>
      <c r="J247" s="394">
        <v>19887.509999999998</v>
      </c>
      <c r="K247" s="394">
        <v>0</v>
      </c>
      <c r="L247" s="394">
        <v>111751.8</v>
      </c>
      <c r="M247" s="334">
        <f t="shared" si="36"/>
        <v>1074080.3699999999</v>
      </c>
      <c r="N247" s="398">
        <v>0</v>
      </c>
      <c r="O247" s="398">
        <v>0</v>
      </c>
      <c r="P247" s="398">
        <v>31951.200000000001</v>
      </c>
      <c r="Q247" s="398">
        <v>0</v>
      </c>
      <c r="R247" s="398">
        <v>21245.65</v>
      </c>
      <c r="S247" s="398"/>
      <c r="T247" s="398">
        <v>1041.75</v>
      </c>
      <c r="U247" s="398">
        <v>5800</v>
      </c>
      <c r="V247" s="398"/>
      <c r="W247" s="398"/>
      <c r="X247" s="382">
        <v>2479.1799999999998</v>
      </c>
      <c r="Y247" s="485">
        <f t="shared" si="37"/>
        <v>1136598.1499999997</v>
      </c>
      <c r="Z247" s="399">
        <v>554.79999999999995</v>
      </c>
      <c r="AA247" s="399"/>
      <c r="AB247" s="399">
        <v>53336</v>
      </c>
      <c r="AC247" s="399"/>
      <c r="AD247" s="399">
        <v>56539.5</v>
      </c>
      <c r="AE247" s="399">
        <v>3676.32</v>
      </c>
      <c r="AF247" s="399"/>
      <c r="AG247" s="399"/>
      <c r="AH247" s="399">
        <v>82524</v>
      </c>
      <c r="AI247" s="399"/>
      <c r="AJ247" s="399">
        <v>20692.599999999999</v>
      </c>
      <c r="AK247" s="399"/>
      <c r="AL247" s="477"/>
      <c r="AM247" s="485">
        <f t="shared" si="38"/>
        <v>217323.22</v>
      </c>
      <c r="AN247" s="399">
        <v>68.5</v>
      </c>
      <c r="AO247" s="402">
        <v>495</v>
      </c>
      <c r="AP247" s="480">
        <v>-18087.39</v>
      </c>
      <c r="AQ247" s="490"/>
      <c r="AR247" s="490">
        <v>-32.130000000000003</v>
      </c>
      <c r="AS247" s="520">
        <v>1.2</v>
      </c>
      <c r="AT247" s="535">
        <v>1136598.1499999999</v>
      </c>
      <c r="AU247" s="535">
        <f>1041.75+5800</f>
        <v>6841.75</v>
      </c>
      <c r="AV247" s="535">
        <v>2479.1799999999998</v>
      </c>
      <c r="AW247" s="535">
        <v>217323.22</v>
      </c>
      <c r="AX247" s="535"/>
      <c r="AY247" s="535">
        <v>-18087.39</v>
      </c>
      <c r="AZ247" s="535">
        <v>0</v>
      </c>
      <c r="BA247" s="535">
        <v>-32.130000000000003</v>
      </c>
      <c r="BB247" s="480">
        <f t="shared" si="39"/>
        <v>0</v>
      </c>
      <c r="BC247" s="480">
        <f t="shared" si="40"/>
        <v>0</v>
      </c>
      <c r="BD247" s="480">
        <f t="shared" si="41"/>
        <v>0</v>
      </c>
      <c r="BE247" s="480">
        <f t="shared" si="42"/>
        <v>0</v>
      </c>
      <c r="BF247" s="480">
        <f t="shared" si="43"/>
        <v>0</v>
      </c>
      <c r="BG247" s="480">
        <f t="shared" si="44"/>
        <v>0</v>
      </c>
      <c r="BH247" s="480">
        <f t="shared" si="45"/>
        <v>0</v>
      </c>
      <c r="BI247" s="6">
        <f t="shared" si="46"/>
        <v>5813</v>
      </c>
      <c r="BJ247" s="480" t="str">
        <f t="shared" si="47"/>
        <v>Chevroux</v>
      </c>
    </row>
    <row r="248" spans="1:62" x14ac:dyDescent="0.25">
      <c r="A248" s="341">
        <v>5816</v>
      </c>
      <c r="B248" s="523" t="s">
        <v>6</v>
      </c>
      <c r="C248" s="394">
        <v>3187254.37</v>
      </c>
      <c r="D248" s="394">
        <v>322933.43</v>
      </c>
      <c r="E248" s="391"/>
      <c r="F248" s="394">
        <v>0</v>
      </c>
      <c r="G248" s="394">
        <v>81218.5</v>
      </c>
      <c r="H248" s="394">
        <v>27613.7</v>
      </c>
      <c r="I248" s="394">
        <v>0</v>
      </c>
      <c r="J248" s="394">
        <v>141840.5</v>
      </c>
      <c r="K248" s="394">
        <v>35251</v>
      </c>
      <c r="L248" s="394">
        <v>266096.55</v>
      </c>
      <c r="M248" s="334">
        <f t="shared" si="36"/>
        <v>4062208.0500000003</v>
      </c>
      <c r="N248" s="398">
        <v>21017.599999999999</v>
      </c>
      <c r="O248" s="398">
        <v>1729.1</v>
      </c>
      <c r="P248" s="398">
        <v>274976.25</v>
      </c>
      <c r="Q248" s="398">
        <v>60788.11</v>
      </c>
      <c r="R248" s="398">
        <v>66491.5</v>
      </c>
      <c r="S248" s="398">
        <v>850</v>
      </c>
      <c r="T248" s="398">
        <v>1490</v>
      </c>
      <c r="U248" s="398">
        <v>8850</v>
      </c>
      <c r="V248" s="398"/>
      <c r="W248" s="398"/>
      <c r="X248" s="382">
        <v>13054.08</v>
      </c>
      <c r="Y248" s="485">
        <f t="shared" si="37"/>
        <v>4511454.6900000004</v>
      </c>
      <c r="Z248" s="399">
        <v>38801.599999999999</v>
      </c>
      <c r="AA248" s="399"/>
      <c r="AB248" s="399">
        <v>490320.95</v>
      </c>
      <c r="AC248" s="399"/>
      <c r="AD248" s="399">
        <v>232783.35999999999</v>
      </c>
      <c r="AE248" s="399">
        <v>23253.25</v>
      </c>
      <c r="AF248" s="399"/>
      <c r="AG248" s="399"/>
      <c r="AH248" s="399"/>
      <c r="AI248" s="399"/>
      <c r="AJ248" s="399"/>
      <c r="AK248" s="399"/>
      <c r="AL248" s="477"/>
      <c r="AM248" s="485">
        <f t="shared" si="38"/>
        <v>785159.16</v>
      </c>
      <c r="AN248" s="399">
        <v>68.5</v>
      </c>
      <c r="AO248" s="402">
        <v>2681</v>
      </c>
      <c r="AP248" s="480">
        <v>-103745.94</v>
      </c>
      <c r="AQ248" s="490"/>
      <c r="AR248" s="490">
        <v>-109.39</v>
      </c>
      <c r="AS248" s="520">
        <v>0.7</v>
      </c>
      <c r="AT248" s="535">
        <f>4516554.14-18153.53+13054.08</f>
        <v>4511454.6899999995</v>
      </c>
      <c r="AU248" s="535">
        <f>850+1490+8850</f>
        <v>11190</v>
      </c>
      <c r="AV248" s="535">
        <v>13054.08</v>
      </c>
      <c r="AW248" s="535">
        <v>785159.16</v>
      </c>
      <c r="AX248" s="535"/>
      <c r="AY248" s="535">
        <v>-103745.94</v>
      </c>
      <c r="AZ248" s="535">
        <v>0</v>
      </c>
      <c r="BA248" s="535">
        <v>-109.39</v>
      </c>
      <c r="BB248" s="480">
        <f t="shared" si="39"/>
        <v>0</v>
      </c>
      <c r="BC248" s="480">
        <f t="shared" si="40"/>
        <v>0</v>
      </c>
      <c r="BD248" s="480">
        <f t="shared" si="41"/>
        <v>0</v>
      </c>
      <c r="BE248" s="480">
        <f t="shared" si="42"/>
        <v>0</v>
      </c>
      <c r="BF248" s="480">
        <f t="shared" si="43"/>
        <v>0</v>
      </c>
      <c r="BG248" s="480">
        <f t="shared" si="44"/>
        <v>0</v>
      </c>
      <c r="BH248" s="480">
        <f t="shared" si="45"/>
        <v>0</v>
      </c>
      <c r="BI248" s="6">
        <f t="shared" si="46"/>
        <v>5816</v>
      </c>
      <c r="BJ248" s="480" t="str">
        <f t="shared" si="47"/>
        <v>Corcelles-près-Payerne</v>
      </c>
    </row>
    <row r="249" spans="1:62" x14ac:dyDescent="0.25">
      <c r="A249" s="341">
        <v>5817</v>
      </c>
      <c r="B249" s="523" t="s">
        <v>7</v>
      </c>
      <c r="C249" s="394">
        <v>1317629.3700000001</v>
      </c>
      <c r="D249" s="394">
        <v>140626.59</v>
      </c>
      <c r="E249" s="391"/>
      <c r="F249" s="394">
        <v>0</v>
      </c>
      <c r="G249" s="394">
        <v>7545.75</v>
      </c>
      <c r="H249" s="394">
        <v>922.75</v>
      </c>
      <c r="I249" s="394">
        <v>0</v>
      </c>
      <c r="J249" s="394">
        <v>28493.41</v>
      </c>
      <c r="K249" s="394">
        <v>4565.45</v>
      </c>
      <c r="L249" s="394">
        <v>130590.9</v>
      </c>
      <c r="M249" s="334">
        <f t="shared" si="36"/>
        <v>1630374.22</v>
      </c>
      <c r="N249" s="398">
        <v>597.70000000000005</v>
      </c>
      <c r="O249" s="398">
        <v>0</v>
      </c>
      <c r="P249" s="398">
        <v>42402.65</v>
      </c>
      <c r="Q249" s="398">
        <v>0</v>
      </c>
      <c r="R249" s="398">
        <v>11832.55</v>
      </c>
      <c r="S249" s="398"/>
      <c r="T249" s="398"/>
      <c r="U249" s="398">
        <v>4375</v>
      </c>
      <c r="V249" s="398"/>
      <c r="W249" s="398"/>
      <c r="X249" s="382">
        <v>1015.77</v>
      </c>
      <c r="Y249" s="485">
        <f t="shared" si="37"/>
        <v>1690597.89</v>
      </c>
      <c r="Z249" s="399">
        <v>16713.150000000001</v>
      </c>
      <c r="AA249" s="399"/>
      <c r="AB249" s="399">
        <v>280817.2</v>
      </c>
      <c r="AC249" s="399"/>
      <c r="AD249" s="399">
        <v>33093.75</v>
      </c>
      <c r="AE249" s="399">
        <v>5203</v>
      </c>
      <c r="AF249" s="399"/>
      <c r="AG249" s="399"/>
      <c r="AH249" s="399"/>
      <c r="AI249" s="399">
        <v>26408.85</v>
      </c>
      <c r="AJ249" s="399"/>
      <c r="AK249" s="399"/>
      <c r="AL249" s="477"/>
      <c r="AM249" s="485">
        <f t="shared" si="38"/>
        <v>362235.95</v>
      </c>
      <c r="AN249" s="399">
        <v>73.5</v>
      </c>
      <c r="AO249" s="402">
        <v>967</v>
      </c>
      <c r="AP249" s="480">
        <v>-30557.05</v>
      </c>
      <c r="AQ249" s="490"/>
      <c r="AR249" s="490">
        <v>-58.94</v>
      </c>
      <c r="AS249" s="520">
        <v>1</v>
      </c>
      <c r="AT249" s="535">
        <v>1690597.89</v>
      </c>
      <c r="AU249" s="535">
        <v>4375</v>
      </c>
      <c r="AV249" s="535">
        <v>1015.77</v>
      </c>
      <c r="AW249" s="535">
        <v>362235.95</v>
      </c>
      <c r="AX249" s="535"/>
      <c r="AY249" s="535">
        <v>-30557.05</v>
      </c>
      <c r="AZ249" s="535"/>
      <c r="BA249" s="535">
        <v>-58.94</v>
      </c>
      <c r="BB249" s="480">
        <f t="shared" si="39"/>
        <v>0</v>
      </c>
      <c r="BC249" s="480">
        <f t="shared" si="40"/>
        <v>0</v>
      </c>
      <c r="BD249" s="480">
        <f t="shared" si="41"/>
        <v>0</v>
      </c>
      <c r="BE249" s="480">
        <f t="shared" si="42"/>
        <v>0</v>
      </c>
      <c r="BF249" s="480">
        <f t="shared" si="43"/>
        <v>0</v>
      </c>
      <c r="BG249" s="480">
        <f t="shared" si="44"/>
        <v>0</v>
      </c>
      <c r="BH249" s="480">
        <f t="shared" si="45"/>
        <v>0</v>
      </c>
      <c r="BI249" s="6">
        <f t="shared" si="46"/>
        <v>5817</v>
      </c>
      <c r="BJ249" s="480" t="str">
        <f t="shared" si="47"/>
        <v>Grandcour</v>
      </c>
    </row>
    <row r="250" spans="1:62" x14ac:dyDescent="0.25">
      <c r="A250" s="341">
        <v>5819</v>
      </c>
      <c r="B250" s="523" t="s">
        <v>8</v>
      </c>
      <c r="C250" s="394">
        <v>528859</v>
      </c>
      <c r="D250" s="394">
        <v>176748.12</v>
      </c>
      <c r="E250" s="391"/>
      <c r="F250" s="394">
        <v>0</v>
      </c>
      <c r="G250" s="394">
        <v>82194</v>
      </c>
      <c r="H250" s="394">
        <v>-958</v>
      </c>
      <c r="I250" s="394">
        <v>0</v>
      </c>
      <c r="J250" s="394">
        <v>11764.43</v>
      </c>
      <c r="K250" s="394">
        <v>2047.3</v>
      </c>
      <c r="L250" s="394">
        <v>84289.25</v>
      </c>
      <c r="M250" s="334">
        <f t="shared" si="36"/>
        <v>884944.10000000009</v>
      </c>
      <c r="N250" s="398">
        <v>4251.7</v>
      </c>
      <c r="O250" s="398">
        <v>-57.25</v>
      </c>
      <c r="P250" s="398">
        <v>39219.949999999997</v>
      </c>
      <c r="Q250" s="398">
        <v>7342.54</v>
      </c>
      <c r="R250" s="398">
        <v>0</v>
      </c>
      <c r="S250" s="398"/>
      <c r="T250" s="398"/>
      <c r="U250" s="398">
        <v>850</v>
      </c>
      <c r="V250" s="398"/>
      <c r="W250" s="398"/>
      <c r="X250" s="382">
        <v>9744.01</v>
      </c>
      <c r="Y250" s="485">
        <f t="shared" si="37"/>
        <v>946295.05</v>
      </c>
      <c r="Z250" s="399"/>
      <c r="AA250" s="399"/>
      <c r="AB250" s="399">
        <v>33520.5</v>
      </c>
      <c r="AC250" s="399"/>
      <c r="AD250" s="399">
        <v>35923.35</v>
      </c>
      <c r="AE250" s="399"/>
      <c r="AF250" s="399">
        <v>830</v>
      </c>
      <c r="AG250" s="399"/>
      <c r="AH250" s="399"/>
      <c r="AI250" s="399">
        <v>55718.85</v>
      </c>
      <c r="AJ250" s="399"/>
      <c r="AK250" s="399"/>
      <c r="AL250" s="477"/>
      <c r="AM250" s="485">
        <f t="shared" si="38"/>
        <v>125992.70000000001</v>
      </c>
      <c r="AN250" s="399">
        <v>69</v>
      </c>
      <c r="AO250" s="402">
        <v>396</v>
      </c>
      <c r="AP250" s="480">
        <v>-110582.45</v>
      </c>
      <c r="AQ250" s="490"/>
      <c r="AR250" s="490">
        <v>-141.16999999999999</v>
      </c>
      <c r="AS250" s="520">
        <v>1</v>
      </c>
      <c r="AT250" s="535">
        <v>946295.05</v>
      </c>
      <c r="AU250" s="535">
        <v>850</v>
      </c>
      <c r="AV250" s="535">
        <v>9744.01</v>
      </c>
      <c r="AW250" s="535">
        <v>125992.7</v>
      </c>
      <c r="AX250" s="535"/>
      <c r="AY250" s="535">
        <v>-110582.45</v>
      </c>
      <c r="AZ250" s="535">
        <v>0</v>
      </c>
      <c r="BA250" s="535">
        <v>-141.16999999999999</v>
      </c>
      <c r="BB250" s="480">
        <f t="shared" si="39"/>
        <v>0</v>
      </c>
      <c r="BC250" s="480">
        <f t="shared" si="40"/>
        <v>0</v>
      </c>
      <c r="BD250" s="480">
        <f t="shared" si="41"/>
        <v>0</v>
      </c>
      <c r="BE250" s="480">
        <f t="shared" si="42"/>
        <v>0</v>
      </c>
      <c r="BF250" s="480">
        <f t="shared" si="43"/>
        <v>0</v>
      </c>
      <c r="BG250" s="480">
        <f t="shared" si="44"/>
        <v>0</v>
      </c>
      <c r="BH250" s="480">
        <f t="shared" si="45"/>
        <v>0</v>
      </c>
      <c r="BI250" s="6">
        <f t="shared" si="46"/>
        <v>5819</v>
      </c>
      <c r="BJ250" s="480" t="str">
        <f t="shared" si="47"/>
        <v>Henniez</v>
      </c>
    </row>
    <row r="251" spans="1:62" x14ac:dyDescent="0.25">
      <c r="A251" s="341">
        <v>5821</v>
      </c>
      <c r="B251" s="523" t="s">
        <v>9</v>
      </c>
      <c r="C251" s="394">
        <v>490051.39</v>
      </c>
      <c r="D251" s="394">
        <v>58055.65</v>
      </c>
      <c r="E251" s="391"/>
      <c r="F251" s="394">
        <v>0</v>
      </c>
      <c r="G251" s="394">
        <v>3495.65</v>
      </c>
      <c r="H251" s="394">
        <v>406.55</v>
      </c>
      <c r="I251" s="394">
        <v>0</v>
      </c>
      <c r="J251" s="394">
        <v>14087.59</v>
      </c>
      <c r="K251" s="394">
        <v>1305</v>
      </c>
      <c r="L251" s="394">
        <v>51709.8</v>
      </c>
      <c r="M251" s="334">
        <f t="shared" si="36"/>
        <v>619111.63000000012</v>
      </c>
      <c r="N251" s="398">
        <v>0</v>
      </c>
      <c r="O251" s="398">
        <v>0</v>
      </c>
      <c r="P251" s="398">
        <v>25626.400000000001</v>
      </c>
      <c r="Q251" s="398">
        <v>290.04000000000002</v>
      </c>
      <c r="R251" s="398">
        <v>6413.9</v>
      </c>
      <c r="S251" s="398"/>
      <c r="T251" s="398"/>
      <c r="U251" s="398">
        <v>2100</v>
      </c>
      <c r="V251" s="398"/>
      <c r="W251" s="398"/>
      <c r="X251" s="382">
        <v>468.06</v>
      </c>
      <c r="Y251" s="485">
        <f t="shared" si="37"/>
        <v>654010.03000000026</v>
      </c>
      <c r="Z251" s="399"/>
      <c r="AA251" s="399"/>
      <c r="AB251" s="399">
        <v>49724</v>
      </c>
      <c r="AC251" s="399"/>
      <c r="AD251" s="399">
        <v>14486.2</v>
      </c>
      <c r="AE251" s="399"/>
      <c r="AF251" s="399"/>
      <c r="AG251" s="399"/>
      <c r="AH251" s="399"/>
      <c r="AI251" s="399">
        <v>8777.4</v>
      </c>
      <c r="AJ251" s="399"/>
      <c r="AK251" s="399">
        <v>97.4</v>
      </c>
      <c r="AL251" s="477"/>
      <c r="AM251" s="485">
        <f t="shared" si="38"/>
        <v>73084.999999999985</v>
      </c>
      <c r="AN251" s="399">
        <v>72</v>
      </c>
      <c r="AO251" s="402">
        <v>368</v>
      </c>
      <c r="AP251" s="480">
        <v>-53017.08</v>
      </c>
      <c r="AQ251" s="490"/>
      <c r="AR251" s="490">
        <v>-15.82</v>
      </c>
      <c r="AS251" s="520">
        <v>1</v>
      </c>
      <c r="AT251" s="535">
        <v>654010.03</v>
      </c>
      <c r="AU251" s="535">
        <v>2100</v>
      </c>
      <c r="AV251" s="535">
        <v>468.06</v>
      </c>
      <c r="AW251" s="535">
        <v>73085</v>
      </c>
      <c r="AX251" s="535"/>
      <c r="AY251" s="535">
        <v>-53017.08</v>
      </c>
      <c r="AZ251" s="535"/>
      <c r="BA251" s="535">
        <v>-15.82</v>
      </c>
      <c r="BB251" s="480">
        <f t="shared" si="39"/>
        <v>0</v>
      </c>
      <c r="BC251" s="480">
        <f t="shared" si="40"/>
        <v>0</v>
      </c>
      <c r="BD251" s="480">
        <f t="shared" si="41"/>
        <v>0</v>
      </c>
      <c r="BE251" s="480">
        <f t="shared" si="42"/>
        <v>0</v>
      </c>
      <c r="BF251" s="480">
        <f t="shared" si="43"/>
        <v>0</v>
      </c>
      <c r="BG251" s="480">
        <f t="shared" si="44"/>
        <v>0</v>
      </c>
      <c r="BH251" s="480">
        <f t="shared" si="45"/>
        <v>0</v>
      </c>
      <c r="BI251" s="6">
        <f t="shared" si="46"/>
        <v>5821</v>
      </c>
      <c r="BJ251" s="480" t="str">
        <f t="shared" si="47"/>
        <v>Missy</v>
      </c>
    </row>
    <row r="252" spans="1:62" x14ac:dyDescent="0.25">
      <c r="A252" s="341">
        <v>5822</v>
      </c>
      <c r="B252" s="523" t="s">
        <v>10</v>
      </c>
      <c r="C252" s="394">
        <v>12985756.17</v>
      </c>
      <c r="D252" s="394">
        <v>1423089.49</v>
      </c>
      <c r="E252" s="391"/>
      <c r="F252" s="394">
        <v>0</v>
      </c>
      <c r="G252" s="394">
        <v>976716.9</v>
      </c>
      <c r="H252" s="394">
        <v>98606.6</v>
      </c>
      <c r="I252" s="394">
        <v>0</v>
      </c>
      <c r="J252" s="394">
        <v>604941.57999999996</v>
      </c>
      <c r="K252" s="394">
        <v>190380.7</v>
      </c>
      <c r="L252" s="394">
        <v>1440447.85</v>
      </c>
      <c r="M252" s="334">
        <f t="shared" si="36"/>
        <v>17719939.289999999</v>
      </c>
      <c r="N252" s="398">
        <v>57956.25</v>
      </c>
      <c r="O252" s="398">
        <v>225116.9</v>
      </c>
      <c r="P252" s="398">
        <v>687297.2</v>
      </c>
      <c r="Q252" s="398">
        <v>71942.77</v>
      </c>
      <c r="R252" s="398">
        <v>705567.35</v>
      </c>
      <c r="S252" s="398">
        <v>81801.399999999994</v>
      </c>
      <c r="T252" s="398">
        <v>3985</v>
      </c>
      <c r="U252" s="398">
        <v>24100</v>
      </c>
      <c r="V252" s="398">
        <v>6344</v>
      </c>
      <c r="W252" s="398"/>
      <c r="X252" s="382">
        <v>128981.7</v>
      </c>
      <c r="Y252" s="485">
        <f t="shared" si="37"/>
        <v>19713031.859999996</v>
      </c>
      <c r="Z252" s="399">
        <v>306980.84999999998</v>
      </c>
      <c r="AA252" s="399"/>
      <c r="AB252" s="399">
        <v>1716842.25</v>
      </c>
      <c r="AC252" s="399"/>
      <c r="AD252" s="399">
        <v>1118893.26</v>
      </c>
      <c r="AE252" s="399">
        <v>79662.5</v>
      </c>
      <c r="AF252" s="399"/>
      <c r="AG252" s="399"/>
      <c r="AH252" s="399">
        <v>1080</v>
      </c>
      <c r="AI252" s="399"/>
      <c r="AJ252" s="399"/>
      <c r="AK252" s="399"/>
      <c r="AL252" s="477"/>
      <c r="AM252" s="485">
        <f t="shared" si="38"/>
        <v>3223458.8600000003</v>
      </c>
      <c r="AN252" s="399">
        <v>73</v>
      </c>
      <c r="AO252" s="402">
        <v>10108</v>
      </c>
      <c r="AP252" s="480">
        <v>-554597.1</v>
      </c>
      <c r="AQ252" s="490"/>
      <c r="AR252" s="490">
        <v>-3101.92</v>
      </c>
      <c r="AS252" s="520">
        <v>1</v>
      </c>
      <c r="AT252" s="535">
        <v>19713031.859999999</v>
      </c>
      <c r="AU252" s="535">
        <f>81801.4+3985+24100+6344</f>
        <v>116230.39999999999</v>
      </c>
      <c r="AV252" s="535">
        <v>128981.7</v>
      </c>
      <c r="AW252" s="535">
        <v>3223458.86</v>
      </c>
      <c r="AX252" s="535"/>
      <c r="AY252" s="535">
        <v>-554597.1</v>
      </c>
      <c r="AZ252" s="535"/>
      <c r="BA252" s="535">
        <v>-3101.92</v>
      </c>
      <c r="BB252" s="480">
        <f t="shared" si="39"/>
        <v>0</v>
      </c>
      <c r="BC252" s="480">
        <f t="shared" si="40"/>
        <v>0</v>
      </c>
      <c r="BD252" s="480">
        <f t="shared" si="41"/>
        <v>0</v>
      </c>
      <c r="BE252" s="480">
        <f t="shared" si="42"/>
        <v>0</v>
      </c>
      <c r="BF252" s="480">
        <f t="shared" si="43"/>
        <v>0</v>
      </c>
      <c r="BG252" s="480">
        <f t="shared" si="44"/>
        <v>0</v>
      </c>
      <c r="BH252" s="480">
        <f t="shared" si="45"/>
        <v>0</v>
      </c>
      <c r="BI252" s="6">
        <f t="shared" si="46"/>
        <v>5822</v>
      </c>
      <c r="BJ252" s="480" t="str">
        <f t="shared" si="47"/>
        <v>Payerne</v>
      </c>
    </row>
    <row r="253" spans="1:62" x14ac:dyDescent="0.25">
      <c r="A253" s="341">
        <v>5827</v>
      </c>
      <c r="B253" s="523" t="s">
        <v>11</v>
      </c>
      <c r="C253" s="394">
        <v>378201.61</v>
      </c>
      <c r="D253" s="394">
        <v>39377.360000000001</v>
      </c>
      <c r="E253" s="391"/>
      <c r="F253" s="394">
        <v>1610</v>
      </c>
      <c r="G253" s="394">
        <v>17784.900000000001</v>
      </c>
      <c r="H253" s="394">
        <v>1235.05</v>
      </c>
      <c r="I253" s="394">
        <v>0</v>
      </c>
      <c r="J253" s="394">
        <v>6017.26</v>
      </c>
      <c r="K253" s="394">
        <v>-155.65</v>
      </c>
      <c r="L253" s="394">
        <v>38030.15</v>
      </c>
      <c r="M253" s="334">
        <f t="shared" si="36"/>
        <v>482100.68</v>
      </c>
      <c r="N253" s="398">
        <v>0</v>
      </c>
      <c r="O253" s="398">
        <v>0</v>
      </c>
      <c r="P253" s="398">
        <v>12236.9</v>
      </c>
      <c r="Q253" s="398">
        <v>0</v>
      </c>
      <c r="R253" s="398">
        <v>13692.55</v>
      </c>
      <c r="S253" s="398"/>
      <c r="T253" s="398">
        <v>80</v>
      </c>
      <c r="U253" s="398">
        <v>1900</v>
      </c>
      <c r="V253" s="398"/>
      <c r="W253" s="398"/>
      <c r="X253" s="382">
        <v>2281.38</v>
      </c>
      <c r="Y253" s="485">
        <f t="shared" si="37"/>
        <v>512291.51</v>
      </c>
      <c r="Z253" s="399">
        <v>12000</v>
      </c>
      <c r="AA253" s="399"/>
      <c r="AB253" s="399">
        <v>33562.300000000003</v>
      </c>
      <c r="AC253" s="399"/>
      <c r="AD253" s="399">
        <v>15440</v>
      </c>
      <c r="AE253" s="399">
        <v>10626.15</v>
      </c>
      <c r="AF253" s="399"/>
      <c r="AG253" s="399"/>
      <c r="AH253" s="399"/>
      <c r="AI253" s="399">
        <v>6528.05</v>
      </c>
      <c r="AJ253" s="399"/>
      <c r="AK253" s="399"/>
      <c r="AL253" s="477"/>
      <c r="AM253" s="485">
        <f t="shared" si="38"/>
        <v>78156.5</v>
      </c>
      <c r="AN253" s="399">
        <v>78</v>
      </c>
      <c r="AO253" s="402">
        <v>302</v>
      </c>
      <c r="AP253" s="480">
        <v>-3618.99</v>
      </c>
      <c r="AQ253" s="490"/>
      <c r="AR253" s="490">
        <v>0</v>
      </c>
      <c r="AS253" s="520">
        <v>1</v>
      </c>
      <c r="AT253" s="535">
        <v>512291.51</v>
      </c>
      <c r="AU253" s="535">
        <f>80+1900</f>
        <v>1980</v>
      </c>
      <c r="AV253" s="535">
        <v>2281.38</v>
      </c>
      <c r="AW253" s="535">
        <v>78156.5</v>
      </c>
      <c r="AX253" s="535"/>
      <c r="AY253" s="535">
        <v>-3618.99</v>
      </c>
      <c r="AZ253" s="535"/>
      <c r="BA253" s="535">
        <v>0</v>
      </c>
      <c r="BB253" s="480">
        <f t="shared" si="39"/>
        <v>0</v>
      </c>
      <c r="BC253" s="480">
        <f t="shared" si="40"/>
        <v>0</v>
      </c>
      <c r="BD253" s="480">
        <f t="shared" si="41"/>
        <v>0</v>
      </c>
      <c r="BE253" s="480">
        <f t="shared" si="42"/>
        <v>0</v>
      </c>
      <c r="BF253" s="480">
        <f t="shared" si="43"/>
        <v>0</v>
      </c>
      <c r="BG253" s="480">
        <f t="shared" si="44"/>
        <v>0</v>
      </c>
      <c r="BH253" s="480">
        <f t="shared" si="45"/>
        <v>0</v>
      </c>
      <c r="BI253" s="6">
        <f t="shared" si="46"/>
        <v>5827</v>
      </c>
      <c r="BJ253" s="480" t="str">
        <f t="shared" si="47"/>
        <v>Trey</v>
      </c>
    </row>
    <row r="254" spans="1:62" x14ac:dyDescent="0.25">
      <c r="A254" s="341">
        <v>5828</v>
      </c>
      <c r="B254" s="523" t="s">
        <v>514</v>
      </c>
      <c r="C254" s="394">
        <v>156893.87</v>
      </c>
      <c r="D254" s="394">
        <v>20438.78</v>
      </c>
      <c r="E254" s="391"/>
      <c r="F254" s="394">
        <v>0</v>
      </c>
      <c r="G254" s="394">
        <v>-73.5</v>
      </c>
      <c r="H254" s="394">
        <v>11.6</v>
      </c>
      <c r="I254" s="394">
        <v>0</v>
      </c>
      <c r="J254" s="394">
        <v>275.24</v>
      </c>
      <c r="K254" s="394">
        <v>0</v>
      </c>
      <c r="L254" s="394">
        <v>24629.8</v>
      </c>
      <c r="M254" s="334">
        <f t="shared" si="36"/>
        <v>202175.78999999998</v>
      </c>
      <c r="N254" s="398">
        <v>0</v>
      </c>
      <c r="O254" s="398">
        <v>318.10000000000002</v>
      </c>
      <c r="P254" s="398">
        <v>5731</v>
      </c>
      <c r="Q254" s="398">
        <v>0</v>
      </c>
      <c r="R254" s="398">
        <v>0</v>
      </c>
      <c r="S254" s="398"/>
      <c r="T254" s="398"/>
      <c r="U254" s="398">
        <v>675</v>
      </c>
      <c r="V254" s="398"/>
      <c r="W254" s="398"/>
      <c r="X254" s="382">
        <v>-7.42</v>
      </c>
      <c r="Y254" s="485">
        <f t="shared" si="37"/>
        <v>208892.46999999997</v>
      </c>
      <c r="Z254" s="399">
        <v>6000</v>
      </c>
      <c r="AA254" s="399"/>
      <c r="AB254" s="399">
        <v>18887</v>
      </c>
      <c r="AC254" s="399"/>
      <c r="AD254" s="399">
        <v>10252.799999999999</v>
      </c>
      <c r="AE254" s="399">
        <v>10610.8</v>
      </c>
      <c r="AF254" s="399"/>
      <c r="AG254" s="399"/>
      <c r="AH254" s="399"/>
      <c r="AI254" s="399">
        <v>3113.7</v>
      </c>
      <c r="AJ254" s="399"/>
      <c r="AK254" s="399"/>
      <c r="AL254" s="477"/>
      <c r="AM254" s="485">
        <f t="shared" si="38"/>
        <v>48864.3</v>
      </c>
      <c r="AN254" s="399">
        <v>84</v>
      </c>
      <c r="AO254" s="402">
        <v>114</v>
      </c>
      <c r="AP254" s="480">
        <v>-1731.49</v>
      </c>
      <c r="AQ254" s="490"/>
      <c r="AR254" s="490">
        <v>0</v>
      </c>
      <c r="AS254" s="520">
        <v>1.5</v>
      </c>
      <c r="AT254" s="535">
        <v>208892.47</v>
      </c>
      <c r="AU254" s="535">
        <v>675</v>
      </c>
      <c r="AV254" s="535">
        <v>-7.42</v>
      </c>
      <c r="AW254" s="535">
        <v>48864.3</v>
      </c>
      <c r="AX254" s="535"/>
      <c r="AY254" s="535">
        <f>-1731.49</f>
        <v>-1731.49</v>
      </c>
      <c r="AZ254" s="535"/>
      <c r="BA254" s="535">
        <v>0</v>
      </c>
      <c r="BB254" s="480">
        <f t="shared" si="39"/>
        <v>0</v>
      </c>
      <c r="BC254" s="480">
        <f t="shared" si="40"/>
        <v>0</v>
      </c>
      <c r="BD254" s="480">
        <f t="shared" si="41"/>
        <v>0</v>
      </c>
      <c r="BE254" s="480">
        <f t="shared" si="42"/>
        <v>0</v>
      </c>
      <c r="BF254" s="480">
        <f t="shared" si="43"/>
        <v>0</v>
      </c>
      <c r="BG254" s="480">
        <f t="shared" si="44"/>
        <v>0</v>
      </c>
      <c r="BH254" s="480">
        <f t="shared" si="45"/>
        <v>0</v>
      </c>
      <c r="BI254" s="6">
        <f t="shared" si="46"/>
        <v>5828</v>
      </c>
      <c r="BJ254" s="480" t="str">
        <f t="shared" si="47"/>
        <v>Treytorrens (Payerne)</v>
      </c>
    </row>
    <row r="255" spans="1:62" x14ac:dyDescent="0.25">
      <c r="A255" s="341">
        <v>5830</v>
      </c>
      <c r="B255" s="523" t="s">
        <v>12</v>
      </c>
      <c r="C255" s="394">
        <v>797328.26</v>
      </c>
      <c r="D255" s="394">
        <v>96072.74</v>
      </c>
      <c r="E255" s="391"/>
      <c r="F255" s="394">
        <v>0</v>
      </c>
      <c r="G255" s="394">
        <v>5165.3500000000004</v>
      </c>
      <c r="H255" s="394">
        <v>274.85000000000002</v>
      </c>
      <c r="I255" s="394">
        <v>0</v>
      </c>
      <c r="J255" s="394">
        <v>10849.04</v>
      </c>
      <c r="K255" s="394">
        <v>2089.6999999999998</v>
      </c>
      <c r="L255" s="394">
        <v>57415</v>
      </c>
      <c r="M255" s="334">
        <f t="shared" si="36"/>
        <v>969194.94</v>
      </c>
      <c r="N255" s="398">
        <v>6516</v>
      </c>
      <c r="O255" s="398">
        <v>0</v>
      </c>
      <c r="P255" s="398">
        <v>59520</v>
      </c>
      <c r="Q255" s="398">
        <v>9106.51</v>
      </c>
      <c r="R255" s="398">
        <v>18343.95</v>
      </c>
      <c r="S255" s="398"/>
      <c r="T255" s="398"/>
      <c r="U255" s="398">
        <v>3540</v>
      </c>
      <c r="V255" s="398"/>
      <c r="W255" s="398"/>
      <c r="X255" s="382">
        <v>652.54</v>
      </c>
      <c r="Y255" s="485">
        <f t="shared" si="37"/>
        <v>1066873.94</v>
      </c>
      <c r="Z255" s="399">
        <v>57000</v>
      </c>
      <c r="AA255" s="399">
        <v>51960</v>
      </c>
      <c r="AB255" s="399"/>
      <c r="AC255" s="399"/>
      <c r="AD255" s="399">
        <v>37301.599999999999</v>
      </c>
      <c r="AE255" s="399">
        <v>21000</v>
      </c>
      <c r="AF255" s="399"/>
      <c r="AG255" s="399"/>
      <c r="AH255" s="399"/>
      <c r="AI255" s="399"/>
      <c r="AJ255" s="399"/>
      <c r="AK255" s="399"/>
      <c r="AL255" s="477"/>
      <c r="AM255" s="485">
        <f t="shared" si="38"/>
        <v>167261.6</v>
      </c>
      <c r="AN255" s="399">
        <v>77</v>
      </c>
      <c r="AO255" s="402">
        <v>477</v>
      </c>
      <c r="AP255" s="480">
        <v>-18510.71</v>
      </c>
      <c r="AQ255" s="490"/>
      <c r="AR255" s="490">
        <v>-182.73</v>
      </c>
      <c r="AS255" s="520">
        <v>1</v>
      </c>
      <c r="AT255" s="535">
        <v>1066873.94</v>
      </c>
      <c r="AU255" s="535">
        <v>3540</v>
      </c>
      <c r="AV255" s="535">
        <v>652.54</v>
      </c>
      <c r="AW255" s="535">
        <v>167261.6</v>
      </c>
      <c r="AX255" s="535"/>
      <c r="AY255" s="535">
        <v>-18510.71</v>
      </c>
      <c r="AZ255" s="535"/>
      <c r="BA255" s="535">
        <v>-182.73</v>
      </c>
      <c r="BB255" s="480">
        <f t="shared" si="39"/>
        <v>0</v>
      </c>
      <c r="BC255" s="480">
        <f t="shared" si="40"/>
        <v>0</v>
      </c>
      <c r="BD255" s="480">
        <f t="shared" si="41"/>
        <v>0</v>
      </c>
      <c r="BE255" s="480">
        <f t="shared" si="42"/>
        <v>0</v>
      </c>
      <c r="BF255" s="480">
        <f t="shared" si="43"/>
        <v>0</v>
      </c>
      <c r="BG255" s="480">
        <f t="shared" si="44"/>
        <v>0</v>
      </c>
      <c r="BH255" s="480">
        <f t="shared" si="45"/>
        <v>0</v>
      </c>
      <c r="BI255" s="6">
        <f t="shared" si="46"/>
        <v>5830</v>
      </c>
      <c r="BJ255" s="480" t="str">
        <f t="shared" si="47"/>
        <v>Villarzel</v>
      </c>
    </row>
    <row r="256" spans="1:62" x14ac:dyDescent="0.25">
      <c r="A256" s="341">
        <v>5831</v>
      </c>
      <c r="B256" s="523" t="s">
        <v>434</v>
      </c>
      <c r="C256" s="394">
        <v>4583089.24</v>
      </c>
      <c r="D256" s="394">
        <v>632740.66</v>
      </c>
      <c r="E256" s="391"/>
      <c r="F256" s="394">
        <v>0</v>
      </c>
      <c r="G256" s="394">
        <v>45607.5</v>
      </c>
      <c r="H256" s="394">
        <v>17249.05</v>
      </c>
      <c r="I256" s="394">
        <v>0</v>
      </c>
      <c r="J256" s="394">
        <v>170860.28</v>
      </c>
      <c r="K256" s="394">
        <v>24914.05</v>
      </c>
      <c r="L256" s="394">
        <v>295268.84999999998</v>
      </c>
      <c r="M256" s="334">
        <f t="shared" si="36"/>
        <v>5769729.6299999999</v>
      </c>
      <c r="N256" s="398">
        <v>22474.9</v>
      </c>
      <c r="O256" s="398">
        <v>83792.850000000006</v>
      </c>
      <c r="P256" s="398">
        <v>278845.59999999998</v>
      </c>
      <c r="Q256" s="398">
        <v>71958.5</v>
      </c>
      <c r="R256" s="398">
        <v>130362.9</v>
      </c>
      <c r="S256" s="398">
        <v>1430</v>
      </c>
      <c r="T256" s="398">
        <v>2916</v>
      </c>
      <c r="U256" s="398">
        <v>17775</v>
      </c>
      <c r="V256" s="398"/>
      <c r="W256" s="398"/>
      <c r="X256" s="382">
        <v>7539.45</v>
      </c>
      <c r="Y256" s="485">
        <f t="shared" si="37"/>
        <v>6386824.8300000001</v>
      </c>
      <c r="Z256" s="399">
        <v>296000</v>
      </c>
      <c r="AA256" s="399"/>
      <c r="AB256" s="399">
        <v>355093.9</v>
      </c>
      <c r="AC256" s="399"/>
      <c r="AD256" s="399">
        <v>333655.18</v>
      </c>
      <c r="AE256" s="399">
        <v>84238.5</v>
      </c>
      <c r="AF256" s="399"/>
      <c r="AG256" s="399"/>
      <c r="AH256" s="399"/>
      <c r="AI256" s="399">
        <v>139416.75</v>
      </c>
      <c r="AJ256" s="399"/>
      <c r="AK256" s="399"/>
      <c r="AL256" s="477"/>
      <c r="AM256" s="485">
        <f t="shared" si="38"/>
        <v>1208404.33</v>
      </c>
      <c r="AN256" s="399">
        <v>70.5</v>
      </c>
      <c r="AO256" s="402">
        <v>3373</v>
      </c>
      <c r="AP256" s="480">
        <v>-139996.24</v>
      </c>
      <c r="AQ256" s="490"/>
      <c r="AR256" s="490">
        <v>-1227.58</v>
      </c>
      <c r="AS256" s="520">
        <v>0.6</v>
      </c>
      <c r="AT256" s="535">
        <v>6386824.8300000001</v>
      </c>
      <c r="AU256" s="535">
        <f>1430+2916+17775</f>
        <v>22121</v>
      </c>
      <c r="AV256" s="535">
        <v>7539.45</v>
      </c>
      <c r="AW256" s="535">
        <v>1208404.33</v>
      </c>
      <c r="AX256" s="535"/>
      <c r="AY256" s="535">
        <v>-139996.24</v>
      </c>
      <c r="AZ256" s="535"/>
      <c r="BA256" s="535">
        <v>-1227.58</v>
      </c>
      <c r="BB256" s="480">
        <f t="shared" si="39"/>
        <v>0</v>
      </c>
      <c r="BC256" s="480">
        <f t="shared" si="40"/>
        <v>0</v>
      </c>
      <c r="BD256" s="480">
        <f t="shared" si="41"/>
        <v>0</v>
      </c>
      <c r="BE256" s="480">
        <f t="shared" si="42"/>
        <v>0</v>
      </c>
      <c r="BF256" s="480">
        <f t="shared" si="43"/>
        <v>0</v>
      </c>
      <c r="BG256" s="480">
        <f t="shared" si="44"/>
        <v>0</v>
      </c>
      <c r="BH256" s="480">
        <f t="shared" si="45"/>
        <v>0</v>
      </c>
      <c r="BI256" s="6">
        <f t="shared" si="46"/>
        <v>5831</v>
      </c>
      <c r="BJ256" s="480" t="str">
        <f t="shared" si="47"/>
        <v>Valbroye</v>
      </c>
    </row>
    <row r="257" spans="1:62" x14ac:dyDescent="0.25">
      <c r="A257" s="341">
        <v>5841</v>
      </c>
      <c r="B257" s="523" t="s">
        <v>13</v>
      </c>
      <c r="C257" s="394">
        <v>5501242.5</v>
      </c>
      <c r="D257" s="394">
        <v>1495685.1</v>
      </c>
      <c r="E257" s="391"/>
      <c r="F257" s="394">
        <v>0</v>
      </c>
      <c r="G257" s="394">
        <v>46403.65</v>
      </c>
      <c r="H257" s="394">
        <v>68547.649999999994</v>
      </c>
      <c r="I257" s="394">
        <v>531790.05000000005</v>
      </c>
      <c r="J257" s="394">
        <v>282488.05</v>
      </c>
      <c r="K257" s="394">
        <v>23768.85</v>
      </c>
      <c r="L257" s="394">
        <v>1499428.65</v>
      </c>
      <c r="M257" s="334">
        <f t="shared" si="36"/>
        <v>9449354.5</v>
      </c>
      <c r="N257" s="398">
        <v>7425.55</v>
      </c>
      <c r="O257" s="398">
        <v>1020620.5</v>
      </c>
      <c r="P257" s="398">
        <v>353825.05</v>
      </c>
      <c r="Q257" s="398">
        <v>15481.08</v>
      </c>
      <c r="R257" s="398">
        <v>252646.95</v>
      </c>
      <c r="S257" s="398"/>
      <c r="T257" s="398">
        <v>33554.9</v>
      </c>
      <c r="U257" s="398">
        <v>24360</v>
      </c>
      <c r="V257" s="398"/>
      <c r="W257" s="398"/>
      <c r="X257" s="382">
        <v>13788.05</v>
      </c>
      <c r="Y257" s="485">
        <f t="shared" si="37"/>
        <v>11171056.580000002</v>
      </c>
      <c r="Z257" s="399">
        <v>110213.54</v>
      </c>
      <c r="AA257" s="399"/>
      <c r="AB257" s="399">
        <v>1151641.2</v>
      </c>
      <c r="AC257" s="399"/>
      <c r="AD257" s="399">
        <v>605766.76</v>
      </c>
      <c r="AE257" s="399"/>
      <c r="AF257" s="399"/>
      <c r="AG257" s="399"/>
      <c r="AH257" s="399">
        <v>753720.05</v>
      </c>
      <c r="AI257" s="399">
        <v>149532.5</v>
      </c>
      <c r="AJ257" s="399"/>
      <c r="AK257" s="399"/>
      <c r="AL257" s="477"/>
      <c r="AM257" s="485">
        <f t="shared" si="38"/>
        <v>2770874.05</v>
      </c>
      <c r="AN257" s="399">
        <v>81.5</v>
      </c>
      <c r="AO257" s="402">
        <v>3494</v>
      </c>
      <c r="AP257" s="480">
        <v>-109064.02</v>
      </c>
      <c r="AQ257" s="490"/>
      <c r="AR257" s="490">
        <v>-14091.22</v>
      </c>
      <c r="AS257" s="520">
        <v>1.5</v>
      </c>
      <c r="AT257" s="535">
        <v>11171056.58</v>
      </c>
      <c r="AU257" s="535">
        <f>33554.9+24360</f>
        <v>57914.9</v>
      </c>
      <c r="AV257" s="535">
        <v>13788.05</v>
      </c>
      <c r="AW257" s="535">
        <v>2770874.05</v>
      </c>
      <c r="AX257" s="535"/>
      <c r="AY257" s="535">
        <v>-109064.02</v>
      </c>
      <c r="AZ257" s="535"/>
      <c r="BA257" s="535">
        <v>-14091.22</v>
      </c>
      <c r="BB257" s="480">
        <f t="shared" si="39"/>
        <v>0</v>
      </c>
      <c r="BC257" s="480">
        <f t="shared" si="40"/>
        <v>0</v>
      </c>
      <c r="BD257" s="480">
        <f t="shared" si="41"/>
        <v>0</v>
      </c>
      <c r="BE257" s="480">
        <f t="shared" si="42"/>
        <v>0</v>
      </c>
      <c r="BF257" s="480">
        <f t="shared" si="43"/>
        <v>0</v>
      </c>
      <c r="BG257" s="480">
        <f t="shared" si="44"/>
        <v>0</v>
      </c>
      <c r="BH257" s="480">
        <f t="shared" si="45"/>
        <v>0</v>
      </c>
      <c r="BI257" s="6">
        <f t="shared" si="46"/>
        <v>5841</v>
      </c>
      <c r="BJ257" s="480" t="str">
        <f t="shared" si="47"/>
        <v>Château-d'Oex</v>
      </c>
    </row>
    <row r="258" spans="1:62" x14ac:dyDescent="0.25">
      <c r="A258" s="341">
        <v>5842</v>
      </c>
      <c r="B258" s="523" t="s">
        <v>14</v>
      </c>
      <c r="C258" s="394">
        <v>853231.4</v>
      </c>
      <c r="D258" s="394">
        <v>182023.81</v>
      </c>
      <c r="E258" s="391"/>
      <c r="F258" s="394">
        <v>0</v>
      </c>
      <c r="G258" s="394">
        <v>16817.599999999999</v>
      </c>
      <c r="H258" s="394">
        <v>2332.4499999999998</v>
      </c>
      <c r="I258" s="394">
        <v>0</v>
      </c>
      <c r="J258" s="394">
        <v>22435.73</v>
      </c>
      <c r="K258" s="394">
        <v>916.35</v>
      </c>
      <c r="L258" s="394">
        <v>145282.1</v>
      </c>
      <c r="M258" s="334">
        <f t="shared" si="36"/>
        <v>1223039.4400000002</v>
      </c>
      <c r="N258" s="398">
        <v>0</v>
      </c>
      <c r="O258" s="398">
        <v>0</v>
      </c>
      <c r="P258" s="398">
        <v>38379</v>
      </c>
      <c r="Q258" s="398">
        <v>143.91999999999999</v>
      </c>
      <c r="R258" s="398">
        <v>33838.050000000003</v>
      </c>
      <c r="S258" s="398"/>
      <c r="T258" s="398"/>
      <c r="U258" s="398">
        <v>4000</v>
      </c>
      <c r="V258" s="398"/>
      <c r="W258" s="398"/>
      <c r="X258" s="382">
        <v>2296.9899999999998</v>
      </c>
      <c r="Y258" s="485">
        <f t="shared" si="37"/>
        <v>1301697.4000000001</v>
      </c>
      <c r="Z258" s="399">
        <v>2799.85</v>
      </c>
      <c r="AA258" s="399"/>
      <c r="AB258" s="399">
        <v>83736</v>
      </c>
      <c r="AC258" s="399"/>
      <c r="AD258" s="399">
        <v>42832.3</v>
      </c>
      <c r="AE258" s="399">
        <v>2799.85</v>
      </c>
      <c r="AF258" s="399"/>
      <c r="AG258" s="399"/>
      <c r="AH258" s="399"/>
      <c r="AI258" s="399"/>
      <c r="AJ258" s="399"/>
      <c r="AK258" s="399"/>
      <c r="AL258" s="477"/>
      <c r="AM258" s="485">
        <f t="shared" si="38"/>
        <v>132168</v>
      </c>
      <c r="AN258" s="399">
        <v>81</v>
      </c>
      <c r="AO258" s="402">
        <v>537</v>
      </c>
      <c r="AP258" s="480">
        <v>-216.64</v>
      </c>
      <c r="AQ258" s="490"/>
      <c r="AR258" s="490">
        <v>-1530.31</v>
      </c>
      <c r="AS258" s="520">
        <v>1.5</v>
      </c>
      <c r="AT258" s="535">
        <v>1301697.3999999999</v>
      </c>
      <c r="AU258" s="535">
        <v>4000</v>
      </c>
      <c r="AV258" s="535">
        <v>2296.9899999999998</v>
      </c>
      <c r="AW258" s="535">
        <v>132168</v>
      </c>
      <c r="AX258" s="535"/>
      <c r="AY258" s="535">
        <v>-216.64</v>
      </c>
      <c r="AZ258" s="535"/>
      <c r="BA258" s="535">
        <v>-1530.31</v>
      </c>
      <c r="BB258" s="480">
        <f t="shared" si="39"/>
        <v>0</v>
      </c>
      <c r="BC258" s="480">
        <f t="shared" si="40"/>
        <v>0</v>
      </c>
      <c r="BD258" s="480">
        <f t="shared" si="41"/>
        <v>0</v>
      </c>
      <c r="BE258" s="480">
        <f t="shared" si="42"/>
        <v>0</v>
      </c>
      <c r="BF258" s="480">
        <f t="shared" si="43"/>
        <v>0</v>
      </c>
      <c r="BG258" s="480">
        <f t="shared" si="44"/>
        <v>0</v>
      </c>
      <c r="BH258" s="480">
        <f t="shared" si="45"/>
        <v>0</v>
      </c>
      <c r="BI258" s="6">
        <f t="shared" si="46"/>
        <v>5842</v>
      </c>
      <c r="BJ258" s="480" t="str">
        <f t="shared" si="47"/>
        <v>Rossinière</v>
      </c>
    </row>
    <row r="259" spans="1:62" x14ac:dyDescent="0.25">
      <c r="A259" s="341">
        <v>5843</v>
      </c>
      <c r="B259" s="523" t="s">
        <v>15</v>
      </c>
      <c r="C259" s="394">
        <v>3300739.36</v>
      </c>
      <c r="D259" s="394">
        <v>1916664.67</v>
      </c>
      <c r="E259" s="391"/>
      <c r="F259" s="394">
        <v>0</v>
      </c>
      <c r="G259" s="394">
        <v>39652.949999999997</v>
      </c>
      <c r="H259" s="394">
        <v>14383.95</v>
      </c>
      <c r="I259" s="394">
        <v>1271760.1000000001</v>
      </c>
      <c r="J259" s="394">
        <v>95400.23</v>
      </c>
      <c r="K259" s="394">
        <v>33861.050000000003</v>
      </c>
      <c r="L259" s="394">
        <v>1191482.7</v>
      </c>
      <c r="M259" s="334">
        <f t="shared" si="36"/>
        <v>7863945.0099999998</v>
      </c>
      <c r="N259" s="398">
        <v>0</v>
      </c>
      <c r="O259" s="398">
        <v>674623.9</v>
      </c>
      <c r="P259" s="398">
        <v>404220.25</v>
      </c>
      <c r="Q259" s="398">
        <v>0</v>
      </c>
      <c r="R259" s="398">
        <v>194786.55</v>
      </c>
      <c r="S259" s="398"/>
      <c r="T259" s="398">
        <v>3150.95</v>
      </c>
      <c r="U259" s="398">
        <v>5910</v>
      </c>
      <c r="V259" s="398"/>
      <c r="W259" s="398"/>
      <c r="X259" s="382">
        <v>6481.56</v>
      </c>
      <c r="Y259" s="485">
        <f t="shared" si="37"/>
        <v>9153118.2200000007</v>
      </c>
      <c r="Z259" s="399">
        <v>33637.5</v>
      </c>
      <c r="AA259" s="399"/>
      <c r="AB259" s="399">
        <v>223807.91</v>
      </c>
      <c r="AC259" s="399"/>
      <c r="AD259" s="399">
        <v>310687.99</v>
      </c>
      <c r="AE259" s="399">
        <v>71362.5</v>
      </c>
      <c r="AF259" s="399"/>
      <c r="AG259" s="399"/>
      <c r="AH259" s="399">
        <v>1035666.9</v>
      </c>
      <c r="AI259" s="399">
        <v>84616.1</v>
      </c>
      <c r="AJ259" s="399"/>
      <c r="AK259" s="399"/>
      <c r="AL259" s="477"/>
      <c r="AM259" s="485">
        <f t="shared" si="38"/>
        <v>1759778.9000000001</v>
      </c>
      <c r="AN259" s="399">
        <v>74</v>
      </c>
      <c r="AO259" s="402">
        <v>863</v>
      </c>
      <c r="AP259" s="480">
        <v>-8788.98</v>
      </c>
      <c r="AQ259" s="490"/>
      <c r="AR259" s="490">
        <v>-29770.84</v>
      </c>
      <c r="AS259" s="520">
        <v>1.5</v>
      </c>
      <c r="AT259" s="535">
        <v>9153118.2200000007</v>
      </c>
      <c r="AU259" s="535">
        <f>3150.95+5910</f>
        <v>9060.9500000000007</v>
      </c>
      <c r="AV259" s="535">
        <v>6481.56</v>
      </c>
      <c r="AW259" s="535">
        <v>1759778.9</v>
      </c>
      <c r="AX259" s="535"/>
      <c r="AY259" s="535">
        <v>-8788.98</v>
      </c>
      <c r="AZ259" s="535"/>
      <c r="BA259" s="535">
        <v>-29770.84</v>
      </c>
      <c r="BB259" s="480">
        <f t="shared" si="39"/>
        <v>0</v>
      </c>
      <c r="BC259" s="480">
        <f t="shared" si="40"/>
        <v>0</v>
      </c>
      <c r="BD259" s="480">
        <f t="shared" si="41"/>
        <v>0</v>
      </c>
      <c r="BE259" s="480">
        <f t="shared" si="42"/>
        <v>0</v>
      </c>
      <c r="BF259" s="480">
        <f t="shared" si="43"/>
        <v>0</v>
      </c>
      <c r="BG259" s="480">
        <f t="shared" si="44"/>
        <v>0</v>
      </c>
      <c r="BH259" s="480">
        <f t="shared" si="45"/>
        <v>0</v>
      </c>
      <c r="BI259" s="6">
        <f t="shared" si="46"/>
        <v>5843</v>
      </c>
      <c r="BJ259" s="480" t="str">
        <f t="shared" si="47"/>
        <v>Rougemont</v>
      </c>
    </row>
    <row r="260" spans="1:62" x14ac:dyDescent="0.25">
      <c r="A260" s="341">
        <v>5851</v>
      </c>
      <c r="B260" s="523" t="s">
        <v>16</v>
      </c>
      <c r="C260" s="394">
        <v>811569.12</v>
      </c>
      <c r="D260" s="394">
        <v>156228.74</v>
      </c>
      <c r="E260" s="391"/>
      <c r="F260" s="394">
        <v>0</v>
      </c>
      <c r="G260" s="394">
        <v>91027.35</v>
      </c>
      <c r="H260" s="394">
        <v>3485.35</v>
      </c>
      <c r="I260" s="394">
        <v>137387.79999999999</v>
      </c>
      <c r="J260" s="394">
        <v>29560.63</v>
      </c>
      <c r="K260" s="394">
        <v>29978.65</v>
      </c>
      <c r="L260" s="394">
        <v>243622.2</v>
      </c>
      <c r="M260" s="334">
        <f t="shared" si="36"/>
        <v>1502859.8399999999</v>
      </c>
      <c r="N260" s="398">
        <v>73719.45</v>
      </c>
      <c r="O260" s="398">
        <v>0</v>
      </c>
      <c r="P260" s="398">
        <v>207.65</v>
      </c>
      <c r="Q260" s="398">
        <v>0</v>
      </c>
      <c r="R260" s="398">
        <v>0</v>
      </c>
      <c r="S260" s="398"/>
      <c r="T260" s="398"/>
      <c r="U260" s="398">
        <v>2150</v>
      </c>
      <c r="V260" s="398"/>
      <c r="W260" s="398"/>
      <c r="X260" s="382">
        <v>11336.5</v>
      </c>
      <c r="Y260" s="485">
        <f t="shared" si="37"/>
        <v>1590273.4399999997</v>
      </c>
      <c r="Z260" s="399"/>
      <c r="AA260" s="399"/>
      <c r="AB260" s="399">
        <v>175942.45</v>
      </c>
      <c r="AC260" s="399"/>
      <c r="AD260" s="399">
        <v>57354.2</v>
      </c>
      <c r="AE260" s="399"/>
      <c r="AF260" s="399"/>
      <c r="AG260" s="399"/>
      <c r="AH260" s="399"/>
      <c r="AI260" s="399"/>
      <c r="AJ260" s="399">
        <v>56000</v>
      </c>
      <c r="AK260" s="399"/>
      <c r="AL260" s="477"/>
      <c r="AM260" s="485">
        <f t="shared" si="38"/>
        <v>289296.65000000002</v>
      </c>
      <c r="AN260" s="399">
        <v>60</v>
      </c>
      <c r="AO260" s="402">
        <v>443</v>
      </c>
      <c r="AP260" s="480">
        <v>-32697.91</v>
      </c>
      <c r="AQ260" s="490"/>
      <c r="AR260" s="490">
        <v>-498.12</v>
      </c>
      <c r="AS260" s="520">
        <v>1.1000000000000001</v>
      </c>
      <c r="AT260" s="535">
        <v>1590273.44</v>
      </c>
      <c r="AU260" s="535">
        <v>2150</v>
      </c>
      <c r="AV260" s="535">
        <v>11336.5</v>
      </c>
      <c r="AW260" s="535">
        <v>289296.65000000002</v>
      </c>
      <c r="AX260" s="535"/>
      <c r="AY260" s="535">
        <v>-32697.91</v>
      </c>
      <c r="AZ260" s="535"/>
      <c r="BA260" s="535">
        <v>-498.12</v>
      </c>
      <c r="BB260" s="480">
        <f t="shared" si="39"/>
        <v>0</v>
      </c>
      <c r="BC260" s="480">
        <f t="shared" si="40"/>
        <v>0</v>
      </c>
      <c r="BD260" s="480">
        <f t="shared" si="41"/>
        <v>0</v>
      </c>
      <c r="BE260" s="480">
        <f t="shared" si="42"/>
        <v>0</v>
      </c>
      <c r="BF260" s="480">
        <f t="shared" si="43"/>
        <v>0</v>
      </c>
      <c r="BG260" s="480">
        <f t="shared" si="44"/>
        <v>0</v>
      </c>
      <c r="BH260" s="480">
        <f t="shared" si="45"/>
        <v>0</v>
      </c>
      <c r="BI260" s="6">
        <f t="shared" si="46"/>
        <v>5851</v>
      </c>
      <c r="BJ260" s="480" t="str">
        <f t="shared" si="47"/>
        <v>Allaman</v>
      </c>
    </row>
    <row r="261" spans="1:62" x14ac:dyDescent="0.25">
      <c r="A261" s="341">
        <v>5852</v>
      </c>
      <c r="B261" s="523" t="s">
        <v>17</v>
      </c>
      <c r="C261" s="394">
        <v>1547012.28</v>
      </c>
      <c r="D261" s="394">
        <v>789882.52</v>
      </c>
      <c r="E261" s="391"/>
      <c r="F261" s="394">
        <v>0</v>
      </c>
      <c r="G261" s="394">
        <v>11358.9</v>
      </c>
      <c r="H261" s="394">
        <v>2212.9</v>
      </c>
      <c r="I261" s="394">
        <v>207092.4</v>
      </c>
      <c r="J261" s="394">
        <v>-64794.71</v>
      </c>
      <c r="K261" s="394">
        <v>7344.35</v>
      </c>
      <c r="L261" s="394">
        <v>139471</v>
      </c>
      <c r="M261" s="334">
        <f t="shared" si="36"/>
        <v>2639579.6399999997</v>
      </c>
      <c r="N261" s="398">
        <v>8183.75</v>
      </c>
      <c r="O261" s="398">
        <v>0</v>
      </c>
      <c r="P261" s="398">
        <v>61570.65</v>
      </c>
      <c r="Q261" s="398">
        <v>0</v>
      </c>
      <c r="R261" s="398">
        <v>13682.65</v>
      </c>
      <c r="S261" s="398"/>
      <c r="T261" s="398"/>
      <c r="U261" s="398">
        <v>3442.5</v>
      </c>
      <c r="V261" s="398"/>
      <c r="W261" s="398"/>
      <c r="X261" s="382">
        <v>1627.9</v>
      </c>
      <c r="Y261" s="485">
        <f t="shared" si="37"/>
        <v>2728087.0899999994</v>
      </c>
      <c r="Z261" s="399">
        <v>41183.5</v>
      </c>
      <c r="AA261" s="399"/>
      <c r="AB261" s="399">
        <v>62343</v>
      </c>
      <c r="AC261" s="399"/>
      <c r="AD261" s="399">
        <v>22000</v>
      </c>
      <c r="AE261" s="399"/>
      <c r="AF261" s="399"/>
      <c r="AG261" s="399"/>
      <c r="AH261" s="399">
        <v>5598.02</v>
      </c>
      <c r="AI261" s="399"/>
      <c r="AJ261" s="399"/>
      <c r="AK261" s="399"/>
      <c r="AL261" s="477"/>
      <c r="AM261" s="485">
        <f t="shared" si="38"/>
        <v>131124.51999999999</v>
      </c>
      <c r="AN261" s="399">
        <v>65.5</v>
      </c>
      <c r="AO261" s="402">
        <v>491</v>
      </c>
      <c r="AP261" s="480">
        <v>-19184.080000000002</v>
      </c>
      <c r="AQ261" s="490"/>
      <c r="AR261" s="490">
        <v>-2256.67</v>
      </c>
      <c r="AS261" s="520">
        <v>0.75</v>
      </c>
      <c r="AT261" s="535">
        <v>2728087.09</v>
      </c>
      <c r="AU261" s="535">
        <f>3442.5+0</f>
        <v>3442.5</v>
      </c>
      <c r="AV261" s="535">
        <v>1627.9</v>
      </c>
      <c r="AW261" s="535">
        <v>131124.51999999999</v>
      </c>
      <c r="AX261" s="535"/>
      <c r="AY261" s="535">
        <v>-19184.080000000002</v>
      </c>
      <c r="AZ261" s="535"/>
      <c r="BA261" s="535">
        <v>-2256.67</v>
      </c>
      <c r="BB261" s="480">
        <f t="shared" si="39"/>
        <v>0</v>
      </c>
      <c r="BC261" s="480">
        <f t="shared" si="40"/>
        <v>0</v>
      </c>
      <c r="BD261" s="480">
        <f t="shared" si="41"/>
        <v>0</v>
      </c>
      <c r="BE261" s="480">
        <f t="shared" si="42"/>
        <v>0</v>
      </c>
      <c r="BF261" s="480">
        <f t="shared" si="43"/>
        <v>0</v>
      </c>
      <c r="BG261" s="480">
        <f t="shared" si="44"/>
        <v>0</v>
      </c>
      <c r="BH261" s="480">
        <f t="shared" si="45"/>
        <v>0</v>
      </c>
      <c r="BI261" s="6">
        <f t="shared" si="46"/>
        <v>5852</v>
      </c>
      <c r="BJ261" s="480" t="str">
        <f t="shared" si="47"/>
        <v>Bursinel</v>
      </c>
    </row>
    <row r="262" spans="1:62" x14ac:dyDescent="0.25">
      <c r="A262" s="341">
        <v>5853</v>
      </c>
      <c r="B262" s="523" t="s">
        <v>18</v>
      </c>
      <c r="C262" s="394">
        <v>2111873.56</v>
      </c>
      <c r="D262" s="394">
        <v>416006.79</v>
      </c>
      <c r="E262" s="391"/>
      <c r="F262" s="394">
        <v>0</v>
      </c>
      <c r="G262" s="394">
        <v>64598.85</v>
      </c>
      <c r="H262" s="394">
        <v>-3890.35</v>
      </c>
      <c r="I262" s="394">
        <v>192967.04000000001</v>
      </c>
      <c r="J262" s="394">
        <v>84796</v>
      </c>
      <c r="K262" s="394">
        <v>15561.65</v>
      </c>
      <c r="L262" s="394">
        <v>210822.3</v>
      </c>
      <c r="M262" s="334">
        <f t="shared" si="36"/>
        <v>3092735.84</v>
      </c>
      <c r="N262" s="398">
        <v>65850.05</v>
      </c>
      <c r="O262" s="398">
        <v>6636346.2000000002</v>
      </c>
      <c r="P262" s="398">
        <v>221924.2</v>
      </c>
      <c r="Q262" s="398">
        <v>684.76</v>
      </c>
      <c r="R262" s="398">
        <v>268394.8</v>
      </c>
      <c r="S262" s="398"/>
      <c r="T262" s="398"/>
      <c r="U262" s="398">
        <v>6200</v>
      </c>
      <c r="V262" s="398"/>
      <c r="W262" s="398"/>
      <c r="X262" s="382">
        <v>7281.8</v>
      </c>
      <c r="Y262" s="485">
        <f t="shared" si="37"/>
        <v>10299417.65</v>
      </c>
      <c r="Z262" s="399">
        <v>27748.15</v>
      </c>
      <c r="AA262" s="399"/>
      <c r="AB262" s="399">
        <v>176624.25</v>
      </c>
      <c r="AC262" s="399"/>
      <c r="AD262" s="399">
        <v>54509.67</v>
      </c>
      <c r="AE262" s="399"/>
      <c r="AF262" s="399"/>
      <c r="AG262" s="399"/>
      <c r="AH262" s="399"/>
      <c r="AI262" s="399"/>
      <c r="AJ262" s="399"/>
      <c r="AK262" s="399"/>
      <c r="AL262" s="477"/>
      <c r="AM262" s="485">
        <f t="shared" si="38"/>
        <v>258882.07</v>
      </c>
      <c r="AN262" s="399">
        <v>71</v>
      </c>
      <c r="AO262" s="402">
        <v>773</v>
      </c>
      <c r="AP262" s="480">
        <v>-116166.46</v>
      </c>
      <c r="AQ262" s="490"/>
      <c r="AR262" s="490">
        <v>-1408.33</v>
      </c>
      <c r="AS262" s="520">
        <v>1</v>
      </c>
      <c r="AT262" s="535">
        <v>10299417.65</v>
      </c>
      <c r="AU262" s="535">
        <v>6200</v>
      </c>
      <c r="AV262" s="535">
        <v>7281.8</v>
      </c>
      <c r="AW262" s="535">
        <v>258882.07</v>
      </c>
      <c r="AX262" s="535"/>
      <c r="AY262" s="535">
        <v>-116166.46</v>
      </c>
      <c r="AZ262" s="535"/>
      <c r="BA262" s="535">
        <v>-1408.33</v>
      </c>
      <c r="BB262" s="480">
        <f t="shared" si="39"/>
        <v>0</v>
      </c>
      <c r="BC262" s="480">
        <f t="shared" si="40"/>
        <v>0</v>
      </c>
      <c r="BD262" s="480">
        <f t="shared" si="41"/>
        <v>0</v>
      </c>
      <c r="BE262" s="480">
        <f t="shared" si="42"/>
        <v>0</v>
      </c>
      <c r="BF262" s="480">
        <f t="shared" si="43"/>
        <v>0</v>
      </c>
      <c r="BG262" s="480">
        <f t="shared" si="44"/>
        <v>0</v>
      </c>
      <c r="BH262" s="480">
        <f t="shared" si="45"/>
        <v>0</v>
      </c>
      <c r="BI262" s="6">
        <f t="shared" si="46"/>
        <v>5853</v>
      </c>
      <c r="BJ262" s="480" t="str">
        <f t="shared" si="47"/>
        <v>Bursins</v>
      </c>
    </row>
    <row r="263" spans="1:62" x14ac:dyDescent="0.25">
      <c r="A263" s="341">
        <v>5854</v>
      </c>
      <c r="B263" s="523" t="s">
        <v>19</v>
      </c>
      <c r="C263" s="394">
        <v>644956.29</v>
      </c>
      <c r="D263" s="394">
        <v>142661.87</v>
      </c>
      <c r="E263" s="391"/>
      <c r="F263" s="394">
        <v>0</v>
      </c>
      <c r="G263" s="394">
        <v>-765.650000000001</v>
      </c>
      <c r="H263" s="394">
        <v>772.35</v>
      </c>
      <c r="I263" s="394">
        <v>0</v>
      </c>
      <c r="J263" s="394">
        <v>4608.1000000000004</v>
      </c>
      <c r="K263" s="394">
        <v>2031.9</v>
      </c>
      <c r="L263" s="394">
        <v>112054.15</v>
      </c>
      <c r="M263" s="334">
        <f t="shared" ref="M263:M315" si="48">SUM(C263:L263)</f>
        <v>906319.01</v>
      </c>
      <c r="N263" s="398">
        <v>24487.9</v>
      </c>
      <c r="O263" s="398">
        <v>0</v>
      </c>
      <c r="P263" s="398">
        <v>37590</v>
      </c>
      <c r="Q263" s="398">
        <v>745.3</v>
      </c>
      <c r="R263" s="398">
        <v>68535.350000000006</v>
      </c>
      <c r="S263" s="398"/>
      <c r="T263" s="398"/>
      <c r="U263" s="398">
        <v>1050</v>
      </c>
      <c r="V263" s="398"/>
      <c r="W263" s="398"/>
      <c r="X263" s="382">
        <v>0.8</v>
      </c>
      <c r="Y263" s="485">
        <f t="shared" si="37"/>
        <v>1038728.3600000001</v>
      </c>
      <c r="Z263" s="399">
        <v>28946.25</v>
      </c>
      <c r="AA263" s="399"/>
      <c r="AB263" s="399">
        <v>35916.25</v>
      </c>
      <c r="AC263" s="399"/>
      <c r="AD263" s="399">
        <v>27610.45</v>
      </c>
      <c r="AE263" s="399">
        <v>17230.45</v>
      </c>
      <c r="AF263" s="399"/>
      <c r="AG263" s="399"/>
      <c r="AH263" s="399">
        <v>3659.1</v>
      </c>
      <c r="AI263" s="399">
        <v>8192.85</v>
      </c>
      <c r="AJ263" s="399"/>
      <c r="AK263" s="399"/>
      <c r="AL263" s="477"/>
      <c r="AM263" s="485">
        <f t="shared" si="38"/>
        <v>121555.35</v>
      </c>
      <c r="AN263" s="399">
        <v>80</v>
      </c>
      <c r="AO263" s="402">
        <v>404</v>
      </c>
      <c r="AP263" s="480">
        <v>-6688.48</v>
      </c>
      <c r="AQ263" s="490"/>
      <c r="AR263" s="490">
        <v>-393.73</v>
      </c>
      <c r="AS263" s="520">
        <v>1.5</v>
      </c>
      <c r="AT263" s="535">
        <v>1038728.36</v>
      </c>
      <c r="AU263" s="535">
        <v>1050</v>
      </c>
      <c r="AV263" s="535">
        <v>0.8</v>
      </c>
      <c r="AW263" s="535">
        <v>121555.35</v>
      </c>
      <c r="AX263" s="535"/>
      <c r="AY263" s="535">
        <v>-6688.48</v>
      </c>
      <c r="AZ263" s="535"/>
      <c r="BA263" s="535">
        <v>-393.73</v>
      </c>
      <c r="BB263" s="480">
        <f t="shared" si="39"/>
        <v>0</v>
      </c>
      <c r="BC263" s="480">
        <f t="shared" si="40"/>
        <v>0</v>
      </c>
      <c r="BD263" s="480">
        <f t="shared" si="41"/>
        <v>0</v>
      </c>
      <c r="BE263" s="480">
        <f t="shared" si="42"/>
        <v>0</v>
      </c>
      <c r="BF263" s="480">
        <f t="shared" si="43"/>
        <v>0</v>
      </c>
      <c r="BG263" s="480">
        <f t="shared" si="44"/>
        <v>0</v>
      </c>
      <c r="BH263" s="480">
        <f t="shared" si="45"/>
        <v>0</v>
      </c>
      <c r="BI263" s="6">
        <f t="shared" si="46"/>
        <v>5854</v>
      </c>
      <c r="BJ263" s="480" t="str">
        <f t="shared" si="47"/>
        <v>Burtigny</v>
      </c>
    </row>
    <row r="264" spans="1:62" x14ac:dyDescent="0.25">
      <c r="A264" s="341">
        <v>5855</v>
      </c>
      <c r="B264" s="523" t="s">
        <v>20</v>
      </c>
      <c r="C264" s="394">
        <v>2711534.14</v>
      </c>
      <c r="D264" s="394">
        <v>683023.02</v>
      </c>
      <c r="E264" s="391"/>
      <c r="F264" s="394">
        <v>0</v>
      </c>
      <c r="G264" s="394">
        <v>45759.9</v>
      </c>
      <c r="H264" s="394">
        <v>16464</v>
      </c>
      <c r="I264" s="394">
        <v>624296.19999999995</v>
      </c>
      <c r="J264" s="394">
        <v>20299.87</v>
      </c>
      <c r="K264" s="394">
        <v>12031</v>
      </c>
      <c r="L264" s="394">
        <v>355651.7</v>
      </c>
      <c r="M264" s="334">
        <f t="shared" si="48"/>
        <v>4469059.83</v>
      </c>
      <c r="N264" s="398">
        <v>1221.55</v>
      </c>
      <c r="O264" s="398">
        <v>0</v>
      </c>
      <c r="P264" s="398">
        <v>281968.5</v>
      </c>
      <c r="Q264" s="398">
        <v>13553.69</v>
      </c>
      <c r="R264" s="398">
        <v>259119.6</v>
      </c>
      <c r="S264" s="398"/>
      <c r="T264" s="398"/>
      <c r="U264" s="398">
        <v>2040</v>
      </c>
      <c r="V264" s="398"/>
      <c r="W264" s="398"/>
      <c r="X264" s="382">
        <v>7463.56</v>
      </c>
      <c r="Y264" s="485">
        <f t="shared" ref="Y264:Y316" si="49">SUM(M264:X264)</f>
        <v>5034426.7299999995</v>
      </c>
      <c r="Z264" s="399">
        <v>62982.05</v>
      </c>
      <c r="AA264" s="399"/>
      <c r="AB264" s="399">
        <v>107915.95</v>
      </c>
      <c r="AC264" s="399"/>
      <c r="AD264" s="399">
        <v>33629.050000000003</v>
      </c>
      <c r="AE264" s="399"/>
      <c r="AF264" s="399"/>
      <c r="AG264" s="399"/>
      <c r="AH264" s="399">
        <v>11780.28</v>
      </c>
      <c r="AI264" s="399"/>
      <c r="AJ264" s="399"/>
      <c r="AK264" s="399"/>
      <c r="AL264" s="477"/>
      <c r="AM264" s="485">
        <f t="shared" ref="AM264:AM316" si="50">SUM(Z264:AL264)</f>
        <v>216307.33</v>
      </c>
      <c r="AN264" s="399">
        <v>49</v>
      </c>
      <c r="AO264" s="402">
        <v>628</v>
      </c>
      <c r="AP264" s="480">
        <v>-16694.16</v>
      </c>
      <c r="AQ264" s="490"/>
      <c r="AR264" s="490">
        <v>-19267.39</v>
      </c>
      <c r="AS264" s="520">
        <v>0.5</v>
      </c>
      <c r="AT264" s="535">
        <v>5034426.7300000004</v>
      </c>
      <c r="AU264" s="535">
        <v>2040</v>
      </c>
      <c r="AV264" s="535">
        <v>7463.56</v>
      </c>
      <c r="AW264" s="535">
        <v>216307.33</v>
      </c>
      <c r="AX264" s="535"/>
      <c r="AY264" s="535">
        <v>-16694.16</v>
      </c>
      <c r="AZ264" s="535"/>
      <c r="BA264" s="535">
        <v>-19267.39</v>
      </c>
      <c r="BB264" s="480">
        <f t="shared" ref="BB264:BB315" si="51">+AT264-Y264</f>
        <v>0</v>
      </c>
      <c r="BC264" s="480">
        <f t="shared" ref="BC264:BC315" si="52">+AW264-AM264</f>
        <v>0</v>
      </c>
      <c r="BD264" s="480">
        <f t="shared" ref="BD264:BD315" si="53">+AY264-AP264</f>
        <v>0</v>
      </c>
      <c r="BE264" s="480">
        <f t="shared" ref="BE264:BE315" si="54">+AZ264-AQ264</f>
        <v>0</v>
      </c>
      <c r="BF264" s="480">
        <f t="shared" ref="BF264:BF315" si="55">+BA264-AR264</f>
        <v>0</v>
      </c>
      <c r="BG264" s="480">
        <f t="shared" ref="BG264:BG315" si="56">+AV264-X264</f>
        <v>0</v>
      </c>
      <c r="BH264" s="480">
        <f t="shared" ref="BH264:BH315" si="57">+S264+T264+U264+V264+W264-AU264</f>
        <v>0</v>
      </c>
      <c r="BI264" s="6">
        <f t="shared" ref="BI264:BI315" si="58">+A264</f>
        <v>5855</v>
      </c>
      <c r="BJ264" s="480" t="str">
        <f t="shared" ref="BJ264:BJ315" si="59">+B264</f>
        <v>Dully</v>
      </c>
    </row>
    <row r="265" spans="1:62" x14ac:dyDescent="0.25">
      <c r="A265" s="341">
        <v>5856</v>
      </c>
      <c r="B265" s="523" t="s">
        <v>21</v>
      </c>
      <c r="C265" s="394">
        <v>1684915.18</v>
      </c>
      <c r="D265" s="394">
        <v>250682.95</v>
      </c>
      <c r="E265" s="391"/>
      <c r="F265" s="394">
        <v>0</v>
      </c>
      <c r="G265" s="394">
        <v>-111.65</v>
      </c>
      <c r="H265" s="394">
        <v>1542.8</v>
      </c>
      <c r="I265" s="394">
        <v>246810.25</v>
      </c>
      <c r="J265" s="394">
        <v>19297.080000000002</v>
      </c>
      <c r="K265" s="394">
        <v>974.25</v>
      </c>
      <c r="L265" s="394">
        <v>245409.85</v>
      </c>
      <c r="M265" s="334">
        <f t="shared" si="48"/>
        <v>2449520.7100000004</v>
      </c>
      <c r="N265" s="398">
        <v>7661.75</v>
      </c>
      <c r="O265" s="398">
        <v>2586.6</v>
      </c>
      <c r="P265" s="398">
        <v>174442.55</v>
      </c>
      <c r="Q265" s="398">
        <v>0</v>
      </c>
      <c r="R265" s="398">
        <v>98051.85</v>
      </c>
      <c r="S265" s="398"/>
      <c r="T265" s="398"/>
      <c r="U265" s="398">
        <v>3525</v>
      </c>
      <c r="V265" s="398"/>
      <c r="W265" s="398"/>
      <c r="X265" s="382">
        <v>171.66</v>
      </c>
      <c r="Y265" s="485">
        <f t="shared" si="49"/>
        <v>2735960.1200000006</v>
      </c>
      <c r="Z265" s="399">
        <v>14796.65</v>
      </c>
      <c r="AA265" s="399"/>
      <c r="AB265" s="399">
        <v>142804.15</v>
      </c>
      <c r="AC265" s="399"/>
      <c r="AD265" s="399">
        <v>71274.7</v>
      </c>
      <c r="AE265" s="399">
        <v>18747.3</v>
      </c>
      <c r="AF265" s="399"/>
      <c r="AG265" s="399"/>
      <c r="AH265" s="399"/>
      <c r="AI265" s="399"/>
      <c r="AJ265" s="399"/>
      <c r="AK265" s="399"/>
      <c r="AL265" s="477"/>
      <c r="AM265" s="485">
        <f t="shared" si="50"/>
        <v>247622.8</v>
      </c>
      <c r="AN265" s="399">
        <v>66.5</v>
      </c>
      <c r="AO265" s="402">
        <v>740</v>
      </c>
      <c r="AP265" s="480">
        <v>-16746.740000000002</v>
      </c>
      <c r="AQ265" s="490"/>
      <c r="AR265" s="490">
        <v>-1487.96</v>
      </c>
      <c r="AS265" s="520">
        <v>1.3</v>
      </c>
      <c r="AT265" s="535">
        <v>2735960.12</v>
      </c>
      <c r="AU265" s="535">
        <v>3525</v>
      </c>
      <c r="AV265" s="535">
        <v>171.66</v>
      </c>
      <c r="AW265" s="535">
        <v>247622.8</v>
      </c>
      <c r="AX265" s="535"/>
      <c r="AY265" s="535">
        <v>-16746.740000000002</v>
      </c>
      <c r="AZ265" s="535"/>
      <c r="BA265" s="535">
        <v>-1487.96</v>
      </c>
      <c r="BB265" s="480">
        <f t="shared" si="51"/>
        <v>0</v>
      </c>
      <c r="BC265" s="480">
        <f t="shared" si="52"/>
        <v>0</v>
      </c>
      <c r="BD265" s="480">
        <f t="shared" si="53"/>
        <v>0</v>
      </c>
      <c r="BE265" s="480">
        <f t="shared" si="54"/>
        <v>0</v>
      </c>
      <c r="BF265" s="480">
        <f t="shared" si="55"/>
        <v>0</v>
      </c>
      <c r="BG265" s="480">
        <f t="shared" si="56"/>
        <v>0</v>
      </c>
      <c r="BH265" s="480">
        <f t="shared" si="57"/>
        <v>0</v>
      </c>
      <c r="BI265" s="6">
        <f t="shared" si="58"/>
        <v>5856</v>
      </c>
      <c r="BJ265" s="480" t="str">
        <f t="shared" si="59"/>
        <v>Essertines-sur-Rolle</v>
      </c>
    </row>
    <row r="266" spans="1:62" x14ac:dyDescent="0.25">
      <c r="A266" s="341">
        <v>5857</v>
      </c>
      <c r="B266" s="523" t="s">
        <v>22</v>
      </c>
      <c r="C266" s="394">
        <v>4121526.97</v>
      </c>
      <c r="D266" s="394">
        <v>730156.66</v>
      </c>
      <c r="E266" s="391"/>
      <c r="F266" s="394">
        <v>0</v>
      </c>
      <c r="G266" s="394">
        <v>-9539.0499999999993</v>
      </c>
      <c r="H266" s="394">
        <v>4083.55</v>
      </c>
      <c r="I266" s="394">
        <v>0</v>
      </c>
      <c r="J266" s="394">
        <v>44842.03</v>
      </c>
      <c r="K266" s="394">
        <v>12376.1</v>
      </c>
      <c r="L266" s="394">
        <v>416421.6</v>
      </c>
      <c r="M266" s="334">
        <f t="shared" si="48"/>
        <v>5319867.8599999994</v>
      </c>
      <c r="N266" s="398">
        <v>83818.8</v>
      </c>
      <c r="O266" s="398">
        <v>7273.5</v>
      </c>
      <c r="P266" s="398">
        <v>167585.70000000001</v>
      </c>
      <c r="Q266" s="398">
        <v>1.81</v>
      </c>
      <c r="R266" s="398">
        <v>55483.5</v>
      </c>
      <c r="S266" s="398"/>
      <c r="T266" s="398">
        <v>233.8</v>
      </c>
      <c r="U266" s="398">
        <v>2960</v>
      </c>
      <c r="V266" s="398"/>
      <c r="W266" s="398"/>
      <c r="X266" s="382">
        <v>-654.37</v>
      </c>
      <c r="Y266" s="485">
        <f t="shared" si="49"/>
        <v>5636570.5999999987</v>
      </c>
      <c r="Z266" s="399">
        <v>76439.5</v>
      </c>
      <c r="AA266" s="399"/>
      <c r="AB266" s="399">
        <v>125148.65</v>
      </c>
      <c r="AC266" s="399"/>
      <c r="AD266" s="399">
        <v>107025.3</v>
      </c>
      <c r="AE266" s="399"/>
      <c r="AF266" s="399"/>
      <c r="AG266" s="399"/>
      <c r="AH266" s="399">
        <v>1838.75</v>
      </c>
      <c r="AI266" s="399">
        <v>30825.75</v>
      </c>
      <c r="AJ266" s="399"/>
      <c r="AK266" s="399"/>
      <c r="AL266" s="477"/>
      <c r="AM266" s="485">
        <f t="shared" si="50"/>
        <v>341277.95</v>
      </c>
      <c r="AN266" s="399">
        <v>64.5</v>
      </c>
      <c r="AO266" s="402">
        <v>1428</v>
      </c>
      <c r="AP266" s="480">
        <v>-20777.62</v>
      </c>
      <c r="AQ266" s="490"/>
      <c r="AR266" s="490">
        <v>-1154.3499999999999</v>
      </c>
      <c r="AS266" s="520">
        <v>1</v>
      </c>
      <c r="AT266" s="535">
        <v>5636570.5999999996</v>
      </c>
      <c r="AU266" s="535">
        <f>233.8+2960</f>
        <v>3193.8</v>
      </c>
      <c r="AV266" s="535">
        <v>-654.37</v>
      </c>
      <c r="AW266" s="535">
        <v>341277.95</v>
      </c>
      <c r="AX266" s="535"/>
      <c r="AY266" s="535">
        <v>-20777.62</v>
      </c>
      <c r="AZ266" s="535"/>
      <c r="BA266" s="535">
        <v>-1154.3499999999999</v>
      </c>
      <c r="BB266" s="480">
        <f t="shared" si="51"/>
        <v>0</v>
      </c>
      <c r="BC266" s="480">
        <f t="shared" si="52"/>
        <v>0</v>
      </c>
      <c r="BD266" s="480">
        <f t="shared" si="53"/>
        <v>0</v>
      </c>
      <c r="BE266" s="480">
        <f t="shared" si="54"/>
        <v>0</v>
      </c>
      <c r="BF266" s="480">
        <f t="shared" si="55"/>
        <v>0</v>
      </c>
      <c r="BG266" s="480">
        <f t="shared" si="56"/>
        <v>0</v>
      </c>
      <c r="BH266" s="480">
        <f t="shared" si="57"/>
        <v>0</v>
      </c>
      <c r="BI266" s="6">
        <f t="shared" si="58"/>
        <v>5857</v>
      </c>
      <c r="BJ266" s="480" t="str">
        <f t="shared" si="59"/>
        <v>Gilly</v>
      </c>
    </row>
    <row r="267" spans="1:62" x14ac:dyDescent="0.25">
      <c r="A267" s="341">
        <v>5858</v>
      </c>
      <c r="B267" s="523" t="s">
        <v>23</v>
      </c>
      <c r="C267" s="394">
        <v>1722015.64</v>
      </c>
      <c r="D267" s="394">
        <v>271762.64</v>
      </c>
      <c r="E267" s="391"/>
      <c r="F267" s="394">
        <v>0</v>
      </c>
      <c r="G267" s="394">
        <v>35061.1</v>
      </c>
      <c r="H267" s="394">
        <v>399.5</v>
      </c>
      <c r="I267" s="394">
        <v>176046.84</v>
      </c>
      <c r="J267" s="394">
        <v>34452.339999999997</v>
      </c>
      <c r="K267" s="394">
        <v>1071.1500000000001</v>
      </c>
      <c r="L267" s="394">
        <v>233519.8</v>
      </c>
      <c r="M267" s="334">
        <f t="shared" si="48"/>
        <v>2474329.0099999993</v>
      </c>
      <c r="N267" s="398">
        <v>4072.3</v>
      </c>
      <c r="O267" s="398">
        <v>19001.400000000001</v>
      </c>
      <c r="P267" s="398">
        <v>74517.25</v>
      </c>
      <c r="Q267" s="398">
        <v>1660.35</v>
      </c>
      <c r="R267" s="398">
        <v>21161.9</v>
      </c>
      <c r="S267" s="398"/>
      <c r="T267" s="398">
        <v>50</v>
      </c>
      <c r="U267" s="398">
        <v>2670</v>
      </c>
      <c r="V267" s="398"/>
      <c r="W267" s="398"/>
      <c r="X267" s="382">
        <v>4253.3900000000003</v>
      </c>
      <c r="Y267" s="485">
        <f t="shared" si="49"/>
        <v>2601715.5999999992</v>
      </c>
      <c r="Z267" s="399"/>
      <c r="AA267" s="399"/>
      <c r="AB267" s="399">
        <v>85863</v>
      </c>
      <c r="AC267" s="399"/>
      <c r="AD267" s="399">
        <v>35342</v>
      </c>
      <c r="AE267" s="399"/>
      <c r="AF267" s="399"/>
      <c r="AG267" s="399"/>
      <c r="AH267" s="399">
        <v>43</v>
      </c>
      <c r="AI267" s="399">
        <v>19732</v>
      </c>
      <c r="AJ267" s="399"/>
      <c r="AK267" s="399"/>
      <c r="AL267" s="477"/>
      <c r="AM267" s="485">
        <f t="shared" si="50"/>
        <v>140980</v>
      </c>
      <c r="AN267" s="399">
        <v>58.5</v>
      </c>
      <c r="AO267" s="402">
        <v>619</v>
      </c>
      <c r="AP267" s="480">
        <v>-41048.5</v>
      </c>
      <c r="AQ267" s="490"/>
      <c r="AR267" s="490">
        <v>-4349.6899999999996</v>
      </c>
      <c r="AS267" s="520">
        <v>1.5</v>
      </c>
      <c r="AT267" s="535">
        <v>2601715.6</v>
      </c>
      <c r="AU267" s="535">
        <f>50+2670</f>
        <v>2720</v>
      </c>
      <c r="AV267" s="535">
        <v>4253.3900000000003</v>
      </c>
      <c r="AW267" s="535">
        <v>140980</v>
      </c>
      <c r="AX267" s="535"/>
      <c r="AY267" s="535">
        <v>-41048.5</v>
      </c>
      <c r="AZ267" s="535"/>
      <c r="BA267" s="535">
        <v>-4349.6899999999996</v>
      </c>
      <c r="BB267" s="480">
        <f t="shared" si="51"/>
        <v>0</v>
      </c>
      <c r="BC267" s="480">
        <f t="shared" si="52"/>
        <v>0</v>
      </c>
      <c r="BD267" s="480">
        <f t="shared" si="53"/>
        <v>0</v>
      </c>
      <c r="BE267" s="480">
        <f t="shared" si="54"/>
        <v>0</v>
      </c>
      <c r="BF267" s="480">
        <f t="shared" si="55"/>
        <v>0</v>
      </c>
      <c r="BG267" s="480">
        <f t="shared" si="56"/>
        <v>0</v>
      </c>
      <c r="BH267" s="480">
        <f t="shared" si="57"/>
        <v>0</v>
      </c>
      <c r="BI267" s="6">
        <f t="shared" si="58"/>
        <v>5858</v>
      </c>
      <c r="BJ267" s="480" t="str">
        <f t="shared" si="59"/>
        <v>Luins</v>
      </c>
    </row>
    <row r="268" spans="1:62" x14ac:dyDescent="0.25">
      <c r="A268" s="341">
        <v>5859</v>
      </c>
      <c r="B268" s="523" t="s">
        <v>24</v>
      </c>
      <c r="C268" s="394">
        <v>6729253.2199999997</v>
      </c>
      <c r="D268" s="394">
        <v>1430023.46</v>
      </c>
      <c r="E268" s="391"/>
      <c r="F268" s="394">
        <v>0</v>
      </c>
      <c r="G268" s="394">
        <v>67966.149999999994</v>
      </c>
      <c r="H268" s="394">
        <v>5080.95</v>
      </c>
      <c r="I268" s="394">
        <v>325204.3</v>
      </c>
      <c r="J268" s="394">
        <v>116484.27</v>
      </c>
      <c r="K268" s="394">
        <v>23121.5</v>
      </c>
      <c r="L268" s="394">
        <v>664772.1</v>
      </c>
      <c r="M268" s="334">
        <f t="shared" si="48"/>
        <v>9361905.9499999993</v>
      </c>
      <c r="N268" s="398">
        <v>117869.3</v>
      </c>
      <c r="O268" s="398">
        <v>102227.9</v>
      </c>
      <c r="P268" s="398">
        <v>342244.95</v>
      </c>
      <c r="Q268" s="398">
        <v>9685.19</v>
      </c>
      <c r="R268" s="398">
        <v>207997.85</v>
      </c>
      <c r="S268" s="398"/>
      <c r="T268" s="398"/>
      <c r="U268" s="398">
        <v>16500</v>
      </c>
      <c r="V268" s="398"/>
      <c r="W268" s="398"/>
      <c r="X268" s="382">
        <v>8761.77</v>
      </c>
      <c r="Y268" s="485">
        <f t="shared" si="49"/>
        <v>10167192.909999998</v>
      </c>
      <c r="Z268" s="399">
        <v>19803.150000000001</v>
      </c>
      <c r="AA268" s="399"/>
      <c r="AB268" s="399">
        <v>370599.75</v>
      </c>
      <c r="AC268" s="399"/>
      <c r="AD268" s="399">
        <v>169684.3</v>
      </c>
      <c r="AE268" s="399"/>
      <c r="AF268" s="399"/>
      <c r="AG268" s="399"/>
      <c r="AH268" s="399"/>
      <c r="AI268" s="399"/>
      <c r="AJ268" s="399"/>
      <c r="AK268" s="399"/>
      <c r="AL268" s="477"/>
      <c r="AM268" s="485">
        <f t="shared" si="50"/>
        <v>560087.19999999995</v>
      </c>
      <c r="AN268" s="399">
        <v>63.5</v>
      </c>
      <c r="AO268" s="402">
        <v>2646</v>
      </c>
      <c r="AP268" s="480">
        <v>-59061.15</v>
      </c>
      <c r="AQ268" s="490"/>
      <c r="AR268" s="490">
        <v>-20714.57</v>
      </c>
      <c r="AS268" s="520">
        <v>1</v>
      </c>
      <c r="AT268" s="535">
        <v>10167192.91</v>
      </c>
      <c r="AU268" s="535">
        <v>16500</v>
      </c>
      <c r="AV268" s="535">
        <v>8761.77</v>
      </c>
      <c r="AW268" s="535">
        <v>560087.19999999995</v>
      </c>
      <c r="AX268" s="535"/>
      <c r="AY268" s="535">
        <v>-59061.15</v>
      </c>
      <c r="AZ268" s="535"/>
      <c r="BA268" s="535">
        <v>-20714.57</v>
      </c>
      <c r="BB268" s="480">
        <f t="shared" si="51"/>
        <v>0</v>
      </c>
      <c r="BC268" s="480">
        <f t="shared" si="52"/>
        <v>0</v>
      </c>
      <c r="BD268" s="480">
        <f t="shared" si="53"/>
        <v>0</v>
      </c>
      <c r="BE268" s="480">
        <f t="shared" si="54"/>
        <v>0</v>
      </c>
      <c r="BF268" s="480">
        <f t="shared" si="55"/>
        <v>0</v>
      </c>
      <c r="BG268" s="480">
        <f t="shared" si="56"/>
        <v>0</v>
      </c>
      <c r="BH268" s="480">
        <f t="shared" si="57"/>
        <v>0</v>
      </c>
      <c r="BI268" s="6">
        <f t="shared" si="58"/>
        <v>5859</v>
      </c>
      <c r="BJ268" s="480" t="str">
        <f t="shared" si="59"/>
        <v>Mont-sur-Rolle</v>
      </c>
    </row>
    <row r="269" spans="1:62" x14ac:dyDescent="0.25">
      <c r="A269" s="341">
        <v>5860</v>
      </c>
      <c r="B269" s="523" t="s">
        <v>25</v>
      </c>
      <c r="C269" s="394">
        <v>5494019.4000000004</v>
      </c>
      <c r="D269" s="394">
        <v>4284191.96</v>
      </c>
      <c r="E269" s="391"/>
      <c r="F269" s="394">
        <v>0</v>
      </c>
      <c r="G269" s="394">
        <v>147539.15</v>
      </c>
      <c r="H269" s="394">
        <v>8321</v>
      </c>
      <c r="I269" s="394">
        <v>494034.2</v>
      </c>
      <c r="J269" s="394">
        <v>66967.210000000006</v>
      </c>
      <c r="K269" s="394">
        <v>28394.799999999999</v>
      </c>
      <c r="L269" s="394">
        <v>674032.8</v>
      </c>
      <c r="M269" s="334">
        <f t="shared" si="48"/>
        <v>11197500.520000001</v>
      </c>
      <c r="N269" s="398">
        <v>22451.35</v>
      </c>
      <c r="O269" s="398">
        <v>27524.7</v>
      </c>
      <c r="P269" s="398">
        <v>480096.5</v>
      </c>
      <c r="Q269" s="398">
        <v>3443.13</v>
      </c>
      <c r="R269" s="398">
        <v>711859.85</v>
      </c>
      <c r="S269" s="398"/>
      <c r="T269" s="398">
        <v>3531.3</v>
      </c>
      <c r="U269" s="398">
        <v>8080</v>
      </c>
      <c r="V269" s="398"/>
      <c r="W269" s="398"/>
      <c r="X269" s="382">
        <v>18694.939999999999</v>
      </c>
      <c r="Y269" s="485">
        <f t="shared" si="49"/>
        <v>12473182.290000001</v>
      </c>
      <c r="Z269" s="399">
        <v>-12876.59</v>
      </c>
      <c r="AA269" s="399"/>
      <c r="AB269" s="399">
        <v>269129</v>
      </c>
      <c r="AC269" s="399"/>
      <c r="AD269" s="399">
        <v>36592.400000000001</v>
      </c>
      <c r="AE269" s="399"/>
      <c r="AF269" s="399"/>
      <c r="AG269" s="399"/>
      <c r="AH269" s="399">
        <v>31767</v>
      </c>
      <c r="AI269" s="399"/>
      <c r="AJ269" s="399"/>
      <c r="AK269" s="399"/>
      <c r="AL269" s="477"/>
      <c r="AM269" s="485">
        <f t="shared" si="50"/>
        <v>324611.81</v>
      </c>
      <c r="AN269" s="399">
        <v>58.5</v>
      </c>
      <c r="AO269" s="402">
        <v>1518</v>
      </c>
      <c r="AP269" s="480">
        <v>-96821.82</v>
      </c>
      <c r="AQ269" s="490"/>
      <c r="AR269" s="490">
        <v>-17501.400000000001</v>
      </c>
      <c r="AS269" s="520">
        <v>1.3</v>
      </c>
      <c r="AT269" s="535">
        <v>12473182.289999999</v>
      </c>
      <c r="AU269" s="535">
        <f>3531.3+8080</f>
        <v>11611.3</v>
      </c>
      <c r="AV269" s="535">
        <v>18694.939999999999</v>
      </c>
      <c r="AW269" s="535">
        <v>324611.81</v>
      </c>
      <c r="AX269" s="535"/>
      <c r="AY269" s="535">
        <v>-96821.82</v>
      </c>
      <c r="AZ269" s="535"/>
      <c r="BA269" s="535">
        <v>-17501.400000000001</v>
      </c>
      <c r="BB269" s="480">
        <f t="shared" si="51"/>
        <v>0</v>
      </c>
      <c r="BC269" s="480">
        <f t="shared" si="52"/>
        <v>0</v>
      </c>
      <c r="BD269" s="480">
        <f t="shared" si="53"/>
        <v>0</v>
      </c>
      <c r="BE269" s="480">
        <f t="shared" si="54"/>
        <v>0</v>
      </c>
      <c r="BF269" s="480">
        <f t="shared" si="55"/>
        <v>0</v>
      </c>
      <c r="BG269" s="480">
        <f t="shared" si="56"/>
        <v>0</v>
      </c>
      <c r="BH269" s="480">
        <f t="shared" si="57"/>
        <v>0</v>
      </c>
      <c r="BI269" s="6">
        <f t="shared" si="58"/>
        <v>5860</v>
      </c>
      <c r="BJ269" s="480" t="str">
        <f t="shared" si="59"/>
        <v>Perroy</v>
      </c>
    </row>
    <row r="270" spans="1:62" x14ac:dyDescent="0.25">
      <c r="A270" s="341">
        <v>5861</v>
      </c>
      <c r="B270" s="523" t="s">
        <v>26</v>
      </c>
      <c r="C270" s="394">
        <v>14324702.609999999</v>
      </c>
      <c r="D270" s="394">
        <v>2945979.44</v>
      </c>
      <c r="E270" s="391"/>
      <c r="F270" s="394">
        <v>0</v>
      </c>
      <c r="G270" s="394">
        <v>83722893.200000003</v>
      </c>
      <c r="H270" s="394">
        <v>232192.8</v>
      </c>
      <c r="I270" s="394">
        <v>278867.45</v>
      </c>
      <c r="J270" s="394">
        <v>2067650.94</v>
      </c>
      <c r="K270" s="394">
        <v>146593.04999999999</v>
      </c>
      <c r="L270" s="394">
        <v>1845516.8</v>
      </c>
      <c r="M270" s="334">
        <f t="shared" si="48"/>
        <v>105564396.28999999</v>
      </c>
      <c r="N270" s="398">
        <v>582154.1</v>
      </c>
      <c r="O270" s="398">
        <v>287516.09999999998</v>
      </c>
      <c r="P270" s="398">
        <v>924862.7</v>
      </c>
      <c r="Q270" s="398">
        <v>33825.89</v>
      </c>
      <c r="R270" s="398">
        <v>514069.1</v>
      </c>
      <c r="S270" s="398"/>
      <c r="T270" s="398"/>
      <c r="U270" s="398">
        <v>19650</v>
      </c>
      <c r="V270" s="398"/>
      <c r="W270" s="398"/>
      <c r="X270" s="382">
        <v>10070150.960000001</v>
      </c>
      <c r="Y270" s="485">
        <f t="shared" si="49"/>
        <v>117996625.13999999</v>
      </c>
      <c r="Z270" s="399">
        <v>7192.57</v>
      </c>
      <c r="AA270" s="399">
        <v>806111.09</v>
      </c>
      <c r="AB270" s="399">
        <v>1447818.21</v>
      </c>
      <c r="AC270" s="399"/>
      <c r="AD270" s="399">
        <v>467053.08</v>
      </c>
      <c r="AE270" s="399"/>
      <c r="AF270" s="399"/>
      <c r="AG270" s="399"/>
      <c r="AH270" s="399">
        <v>82247</v>
      </c>
      <c r="AI270" s="399">
        <v>196800</v>
      </c>
      <c r="AJ270" s="399"/>
      <c r="AK270" s="399"/>
      <c r="AL270" s="477"/>
      <c r="AM270" s="485">
        <f t="shared" si="50"/>
        <v>3007221.95</v>
      </c>
      <c r="AN270" s="399">
        <v>59.5</v>
      </c>
      <c r="AO270" s="402">
        <v>6259</v>
      </c>
      <c r="AP270" s="480">
        <v>-203108.18</v>
      </c>
      <c r="AQ270" s="490"/>
      <c r="AR270" s="490">
        <v>-134280.85</v>
      </c>
      <c r="AS270" s="520">
        <v>1</v>
      </c>
      <c r="AT270" s="535">
        <v>117996625.14</v>
      </c>
      <c r="AU270" s="535">
        <v>19650</v>
      </c>
      <c r="AV270" s="535">
        <v>10070150.960000001</v>
      </c>
      <c r="AW270" s="535">
        <v>3007221.95</v>
      </c>
      <c r="AX270" s="535"/>
      <c r="AY270" s="535">
        <v>-203108.18</v>
      </c>
      <c r="AZ270" s="535"/>
      <c r="BA270" s="535">
        <v>-134280.85</v>
      </c>
      <c r="BB270" s="480">
        <f t="shared" si="51"/>
        <v>0</v>
      </c>
      <c r="BC270" s="480">
        <f t="shared" si="52"/>
        <v>0</v>
      </c>
      <c r="BD270" s="480">
        <f t="shared" si="53"/>
        <v>0</v>
      </c>
      <c r="BE270" s="480">
        <f t="shared" si="54"/>
        <v>0</v>
      </c>
      <c r="BF270" s="480">
        <f t="shared" si="55"/>
        <v>0</v>
      </c>
      <c r="BG270" s="480">
        <f t="shared" si="56"/>
        <v>0</v>
      </c>
      <c r="BH270" s="480">
        <f t="shared" si="57"/>
        <v>0</v>
      </c>
      <c r="BI270" s="6">
        <f t="shared" si="58"/>
        <v>5861</v>
      </c>
      <c r="BJ270" s="480" t="str">
        <f t="shared" si="59"/>
        <v>Rolle</v>
      </c>
    </row>
    <row r="271" spans="1:62" x14ac:dyDescent="0.25">
      <c r="A271" s="341">
        <v>5862</v>
      </c>
      <c r="B271" s="523" t="s">
        <v>27</v>
      </c>
      <c r="C271" s="394">
        <v>511535.32</v>
      </c>
      <c r="D271" s="394">
        <v>81412.039999999994</v>
      </c>
      <c r="E271" s="391"/>
      <c r="F271" s="394">
        <v>0</v>
      </c>
      <c r="G271" s="394">
        <v>8860.7000000000007</v>
      </c>
      <c r="H271" s="394">
        <v>64.7</v>
      </c>
      <c r="I271" s="394">
        <v>0</v>
      </c>
      <c r="J271" s="394">
        <v>-535.36</v>
      </c>
      <c r="K271" s="394">
        <v>0</v>
      </c>
      <c r="L271" s="394">
        <v>49658.5</v>
      </c>
      <c r="M271" s="334">
        <f t="shared" si="48"/>
        <v>650995.89999999991</v>
      </c>
      <c r="N271" s="398">
        <v>11024.15</v>
      </c>
      <c r="O271" s="398">
        <v>1757.6</v>
      </c>
      <c r="P271" s="398">
        <v>0</v>
      </c>
      <c r="Q271" s="398">
        <v>0.49</v>
      </c>
      <c r="R271" s="398">
        <v>-3733.3</v>
      </c>
      <c r="S271" s="398"/>
      <c r="T271" s="398"/>
      <c r="U271" s="398">
        <v>950</v>
      </c>
      <c r="V271" s="398"/>
      <c r="W271" s="398"/>
      <c r="X271" s="382">
        <v>1070.57</v>
      </c>
      <c r="Y271" s="485">
        <f t="shared" si="49"/>
        <v>662065.4099999998</v>
      </c>
      <c r="Z271" s="399"/>
      <c r="AA271" s="399"/>
      <c r="AB271" s="399">
        <v>47619.1</v>
      </c>
      <c r="AC271" s="399"/>
      <c r="AD271" s="399">
        <v>21258.95</v>
      </c>
      <c r="AE271" s="399"/>
      <c r="AF271" s="399"/>
      <c r="AG271" s="399"/>
      <c r="AH271" s="399"/>
      <c r="AI271" s="399"/>
      <c r="AJ271" s="399"/>
      <c r="AK271" s="399"/>
      <c r="AL271" s="477"/>
      <c r="AM271" s="485">
        <f t="shared" si="50"/>
        <v>68878.05</v>
      </c>
      <c r="AN271" s="399">
        <v>79</v>
      </c>
      <c r="AO271" s="402">
        <v>236</v>
      </c>
      <c r="AP271" s="480">
        <v>-12404.54</v>
      </c>
      <c r="AQ271" s="490"/>
      <c r="AR271" s="490">
        <v>-43.81</v>
      </c>
      <c r="AS271" s="520">
        <v>1</v>
      </c>
      <c r="AT271" s="535">
        <v>662065.41</v>
      </c>
      <c r="AU271" s="535">
        <v>950</v>
      </c>
      <c r="AV271" s="535">
        <v>1070.57</v>
      </c>
      <c r="AW271" s="535">
        <v>68878.05</v>
      </c>
      <c r="AX271" s="535"/>
      <c r="AY271" s="535">
        <v>-12404.54</v>
      </c>
      <c r="AZ271" s="535"/>
      <c r="BA271" s="535">
        <v>-43.81</v>
      </c>
      <c r="BB271" s="480">
        <f t="shared" si="51"/>
        <v>0</v>
      </c>
      <c r="BC271" s="480">
        <f t="shared" si="52"/>
        <v>0</v>
      </c>
      <c r="BD271" s="480">
        <f t="shared" si="53"/>
        <v>0</v>
      </c>
      <c r="BE271" s="480">
        <f t="shared" si="54"/>
        <v>0</v>
      </c>
      <c r="BF271" s="480">
        <f t="shared" si="55"/>
        <v>0</v>
      </c>
      <c r="BG271" s="480">
        <f t="shared" si="56"/>
        <v>0</v>
      </c>
      <c r="BH271" s="480">
        <f t="shared" si="57"/>
        <v>0</v>
      </c>
      <c r="BI271" s="6">
        <f t="shared" si="58"/>
        <v>5862</v>
      </c>
      <c r="BJ271" s="480" t="str">
        <f t="shared" si="59"/>
        <v>Tartegnin</v>
      </c>
    </row>
    <row r="272" spans="1:62" x14ac:dyDescent="0.25">
      <c r="A272" s="341">
        <v>5863</v>
      </c>
      <c r="B272" s="523" t="s">
        <v>28</v>
      </c>
      <c r="C272" s="394">
        <v>1005152.06</v>
      </c>
      <c r="D272" s="394">
        <v>243236.83</v>
      </c>
      <c r="F272" s="394">
        <v>0</v>
      </c>
      <c r="G272" s="394">
        <v>33174.400000000001</v>
      </c>
      <c r="H272" s="394">
        <v>2026.3</v>
      </c>
      <c r="I272" s="394">
        <v>42786.85</v>
      </c>
      <c r="J272" s="394">
        <v>55477.87</v>
      </c>
      <c r="K272" s="394">
        <v>2606.4</v>
      </c>
      <c r="L272" s="394">
        <v>84223.3</v>
      </c>
      <c r="M272" s="334">
        <f t="shared" si="48"/>
        <v>1468684.0100000002</v>
      </c>
      <c r="N272" s="398">
        <v>23922.95</v>
      </c>
      <c r="O272" s="398">
        <v>1834.6</v>
      </c>
      <c r="P272" s="398">
        <v>57310</v>
      </c>
      <c r="Q272" s="398">
        <v>0</v>
      </c>
      <c r="R272" s="398">
        <v>41481.300000000003</v>
      </c>
      <c r="S272" s="398">
        <v>343.75</v>
      </c>
      <c r="T272" s="398"/>
      <c r="U272" s="398">
        <v>2100</v>
      </c>
      <c r="V272" s="398"/>
      <c r="W272" s="398"/>
      <c r="X272" s="382">
        <v>4222.21</v>
      </c>
      <c r="Y272" s="485">
        <f t="shared" si="49"/>
        <v>1599898.8200000003</v>
      </c>
      <c r="Z272" s="399"/>
      <c r="AA272" s="399"/>
      <c r="AB272" s="399">
        <v>17215.25</v>
      </c>
      <c r="AC272" s="399"/>
      <c r="AD272" s="399">
        <v>21002.05</v>
      </c>
      <c r="AE272" s="399"/>
      <c r="AF272" s="399"/>
      <c r="AG272" s="399"/>
      <c r="AH272" s="399">
        <v>1490</v>
      </c>
      <c r="AI272" s="399">
        <v>7521.05</v>
      </c>
      <c r="AJ272" s="399"/>
      <c r="AK272" s="399"/>
      <c r="AL272" s="477"/>
      <c r="AM272" s="485">
        <f t="shared" si="50"/>
        <v>47228.350000000006</v>
      </c>
      <c r="AN272" s="399">
        <v>67</v>
      </c>
      <c r="AO272" s="402">
        <v>385</v>
      </c>
      <c r="AP272" s="480">
        <v>-1184.92</v>
      </c>
      <c r="AQ272" s="490"/>
      <c r="AR272" s="490">
        <v>-2163.7399999999998</v>
      </c>
      <c r="AS272" s="520">
        <v>1</v>
      </c>
      <c r="AT272" s="535">
        <v>1599898.82</v>
      </c>
      <c r="AU272" s="535">
        <f>343.75+2100</f>
        <v>2443.75</v>
      </c>
      <c r="AV272" s="535">
        <v>4222.21</v>
      </c>
      <c r="AW272" s="535">
        <v>47228.35</v>
      </c>
      <c r="AX272" s="535"/>
      <c r="AY272" s="535">
        <v>-1184.92</v>
      </c>
      <c r="AZ272" s="535"/>
      <c r="BA272" s="535">
        <v>-2163.7399999999998</v>
      </c>
      <c r="BB272" s="480">
        <f t="shared" si="51"/>
        <v>0</v>
      </c>
      <c r="BC272" s="480">
        <f t="shared" si="52"/>
        <v>0</v>
      </c>
      <c r="BD272" s="480">
        <f t="shared" si="53"/>
        <v>0</v>
      </c>
      <c r="BE272" s="480">
        <f t="shared" si="54"/>
        <v>0</v>
      </c>
      <c r="BF272" s="480">
        <f t="shared" si="55"/>
        <v>0</v>
      </c>
      <c r="BG272" s="480">
        <f t="shared" si="56"/>
        <v>0</v>
      </c>
      <c r="BH272" s="480">
        <f t="shared" si="57"/>
        <v>0</v>
      </c>
      <c r="BI272" s="6">
        <f t="shared" si="58"/>
        <v>5863</v>
      </c>
      <c r="BJ272" s="480" t="str">
        <f t="shared" si="59"/>
        <v>Vinzel</v>
      </c>
    </row>
    <row r="273" spans="1:62" x14ac:dyDescent="0.25">
      <c r="A273" s="341">
        <v>5871</v>
      </c>
      <c r="B273" s="523" t="s">
        <v>29</v>
      </c>
      <c r="C273" s="391">
        <v>2902630.91</v>
      </c>
      <c r="D273" s="391">
        <v>507392.42</v>
      </c>
      <c r="F273" s="394">
        <v>0</v>
      </c>
      <c r="G273" s="391">
        <v>96263.15</v>
      </c>
      <c r="H273" s="15">
        <v>7575.2</v>
      </c>
      <c r="I273" s="394">
        <v>0</v>
      </c>
      <c r="J273" s="394">
        <v>80648.320000000007</v>
      </c>
      <c r="K273" s="394">
        <v>4789.3500000000004</v>
      </c>
      <c r="L273" s="394">
        <v>271625.09999999998</v>
      </c>
      <c r="M273" s="334">
        <f>SUM(C273:L273)</f>
        <v>3870924.45</v>
      </c>
      <c r="N273" s="398">
        <v>757257.95</v>
      </c>
      <c r="O273" s="398">
        <v>84633.75</v>
      </c>
      <c r="P273" s="398">
        <v>129090.45</v>
      </c>
      <c r="Q273" s="398">
        <v>28.04</v>
      </c>
      <c r="R273" s="398">
        <v>52955.5</v>
      </c>
      <c r="S273" s="398">
        <v>600</v>
      </c>
      <c r="T273" s="398"/>
      <c r="U273" s="398">
        <v>10850</v>
      </c>
      <c r="V273" s="398"/>
      <c r="W273" s="398"/>
      <c r="X273" s="382">
        <v>12455.09</v>
      </c>
      <c r="Y273" s="485">
        <f t="shared" si="49"/>
        <v>4918795.2300000004</v>
      </c>
      <c r="Z273" s="399">
        <v>50386.7</v>
      </c>
      <c r="AA273" s="399">
        <v>9334.7999999999993</v>
      </c>
      <c r="AB273" s="399">
        <v>304807</v>
      </c>
      <c r="AC273" s="399"/>
      <c r="AD273" s="399">
        <v>149693.1</v>
      </c>
      <c r="AE273" s="399"/>
      <c r="AF273" s="399"/>
      <c r="AG273" s="399"/>
      <c r="AH273" s="399">
        <v>82814.03</v>
      </c>
      <c r="AI273" s="399"/>
      <c r="AJ273" s="399"/>
      <c r="AK273" s="399"/>
      <c r="AL273" s="477"/>
      <c r="AM273" s="485">
        <f t="shared" si="50"/>
        <v>597035.63</v>
      </c>
      <c r="AN273" s="399">
        <v>77.56</v>
      </c>
      <c r="AO273" s="402">
        <v>1473</v>
      </c>
      <c r="AP273" s="480">
        <v>-42701.279999999999</v>
      </c>
      <c r="AQ273" s="490"/>
      <c r="AR273" s="490">
        <v>-437.59</v>
      </c>
      <c r="AS273" s="520">
        <v>1</v>
      </c>
      <c r="AT273" s="535">
        <v>4918795.2300000004</v>
      </c>
      <c r="AU273" s="535">
        <f>600+10850</f>
        <v>11450</v>
      </c>
      <c r="AV273" s="535">
        <v>12455.09</v>
      </c>
      <c r="AW273" s="535">
        <v>597035.63</v>
      </c>
      <c r="AX273" s="535"/>
      <c r="AY273" s="535">
        <v>-42701.279999999999</v>
      </c>
      <c r="AZ273" s="535"/>
      <c r="BA273" s="535">
        <v>-437.59</v>
      </c>
      <c r="BB273" s="480">
        <f t="shared" si="51"/>
        <v>0</v>
      </c>
      <c r="BC273" s="480">
        <f t="shared" si="52"/>
        <v>0</v>
      </c>
      <c r="BD273" s="480">
        <f t="shared" si="53"/>
        <v>0</v>
      </c>
      <c r="BE273" s="480">
        <f t="shared" si="54"/>
        <v>0</v>
      </c>
      <c r="BF273" s="480">
        <f t="shared" si="55"/>
        <v>0</v>
      </c>
      <c r="BG273" s="480">
        <f t="shared" si="56"/>
        <v>0</v>
      </c>
      <c r="BH273" s="480">
        <f t="shared" si="57"/>
        <v>0</v>
      </c>
      <c r="BI273" s="6">
        <f t="shared" si="58"/>
        <v>5871</v>
      </c>
      <c r="BJ273" s="480" t="str">
        <f t="shared" si="59"/>
        <v>L'Abbaye</v>
      </c>
    </row>
    <row r="274" spans="1:62" x14ac:dyDescent="0.25">
      <c r="A274" s="341">
        <v>5872</v>
      </c>
      <c r="B274" s="523" t="s">
        <v>204</v>
      </c>
      <c r="C274" s="394">
        <v>7013888.5099999998</v>
      </c>
      <c r="D274" s="394">
        <v>1062250.6000000001</v>
      </c>
      <c r="F274" s="394">
        <v>0</v>
      </c>
      <c r="G274" s="394">
        <v>5299070.6500000004</v>
      </c>
      <c r="H274" s="394">
        <v>660721.15</v>
      </c>
      <c r="I274" s="394">
        <v>0</v>
      </c>
      <c r="J274" s="394">
        <v>373594.06</v>
      </c>
      <c r="K274" s="394">
        <v>67449.3</v>
      </c>
      <c r="L274" s="394">
        <v>747071</v>
      </c>
      <c r="M274" s="334">
        <f t="shared" si="48"/>
        <v>15224045.270000001</v>
      </c>
      <c r="N274" s="398">
        <v>6124106.2999999998</v>
      </c>
      <c r="O274" s="398">
        <v>3501245.6</v>
      </c>
      <c r="P274" s="398">
        <v>231754.35</v>
      </c>
      <c r="Q274" s="398">
        <v>6153.84</v>
      </c>
      <c r="R274" s="398">
        <v>208071.35</v>
      </c>
      <c r="S274" s="398">
        <v>1650</v>
      </c>
      <c r="T274" s="398"/>
      <c r="U274" s="398">
        <v>33400</v>
      </c>
      <c r="V274" s="398"/>
      <c r="W274" s="398"/>
      <c r="X274" s="382">
        <v>714858.46</v>
      </c>
      <c r="Y274" s="485">
        <f t="shared" si="49"/>
        <v>26045285.170000006</v>
      </c>
      <c r="Z274" s="399">
        <v>22972.5</v>
      </c>
      <c r="AA274" s="399">
        <v>45945</v>
      </c>
      <c r="AB274" s="399">
        <v>956085.75</v>
      </c>
      <c r="AC274" s="399"/>
      <c r="AD274" s="399">
        <v>414753.2</v>
      </c>
      <c r="AE274" s="399">
        <v>21628.3</v>
      </c>
      <c r="AF274" s="399">
        <v>43256.7</v>
      </c>
      <c r="AG274" s="399"/>
      <c r="AH274" s="399">
        <v>118401.9</v>
      </c>
      <c r="AI274" s="399"/>
      <c r="AJ274" s="399"/>
      <c r="AK274" s="399"/>
      <c r="AL274" s="477"/>
      <c r="AM274" s="485">
        <f t="shared" si="50"/>
        <v>1623043.3499999999</v>
      </c>
      <c r="AN274" s="399">
        <v>66.95</v>
      </c>
      <c r="AO274" s="402">
        <v>4600</v>
      </c>
      <c r="AP274" s="480">
        <v>-119434.9</v>
      </c>
      <c r="AQ274" s="490"/>
      <c r="AR274" s="490">
        <v>-22558.400000000001</v>
      </c>
      <c r="AS274" s="520">
        <v>1</v>
      </c>
      <c r="AT274" s="535">
        <v>26045285.170000002</v>
      </c>
      <c r="AU274" s="535">
        <f>33400+1650</f>
        <v>35050</v>
      </c>
      <c r="AV274" s="535">
        <v>714858.46</v>
      </c>
      <c r="AW274" s="535">
        <v>1623043.35</v>
      </c>
      <c r="AX274" s="535"/>
      <c r="AY274" s="535">
        <v>-119434.9</v>
      </c>
      <c r="AZ274" s="535"/>
      <c r="BA274" s="535">
        <v>-22558.400000000001</v>
      </c>
      <c r="BB274" s="480">
        <f t="shared" si="51"/>
        <v>0</v>
      </c>
      <c r="BC274" s="480">
        <f t="shared" si="52"/>
        <v>0</v>
      </c>
      <c r="BD274" s="480">
        <f t="shared" si="53"/>
        <v>0</v>
      </c>
      <c r="BE274" s="480">
        <f t="shared" si="54"/>
        <v>0</v>
      </c>
      <c r="BF274" s="480">
        <f t="shared" si="55"/>
        <v>0</v>
      </c>
      <c r="BG274" s="480">
        <f t="shared" si="56"/>
        <v>0</v>
      </c>
      <c r="BH274" s="480">
        <f t="shared" si="57"/>
        <v>0</v>
      </c>
      <c r="BI274" s="6">
        <f t="shared" si="58"/>
        <v>5872</v>
      </c>
      <c r="BJ274" s="480" t="str">
        <f t="shared" si="59"/>
        <v>Le Chenit</v>
      </c>
    </row>
    <row r="275" spans="1:62" x14ac:dyDescent="0.25">
      <c r="A275" s="341">
        <v>5873</v>
      </c>
      <c r="B275" s="523" t="s">
        <v>205</v>
      </c>
      <c r="C275" s="391">
        <v>1609618.85</v>
      </c>
      <c r="D275" s="391">
        <v>265375.38</v>
      </c>
      <c r="F275" s="522">
        <v>0</v>
      </c>
      <c r="G275" s="482">
        <v>78051.600000000006</v>
      </c>
      <c r="H275" s="15">
        <v>10960.3</v>
      </c>
      <c r="I275" s="394">
        <v>0</v>
      </c>
      <c r="J275" s="394">
        <v>26413.360000000001</v>
      </c>
      <c r="K275" s="394">
        <v>0</v>
      </c>
      <c r="L275" s="394">
        <v>115314.75</v>
      </c>
      <c r="M275" s="334">
        <f>SUM(C275:L275)</f>
        <v>2105734.2400000002</v>
      </c>
      <c r="N275" s="398">
        <v>1061298.2</v>
      </c>
      <c r="O275" s="398">
        <v>11484</v>
      </c>
      <c r="P275" s="398">
        <v>51848.55</v>
      </c>
      <c r="Q275" s="398">
        <v>3491.13</v>
      </c>
      <c r="R275" s="398">
        <v>40297.5</v>
      </c>
      <c r="S275" s="398">
        <v>1184.7</v>
      </c>
      <c r="T275" s="398"/>
      <c r="U275" s="398">
        <v>6500</v>
      </c>
      <c r="V275" s="398"/>
      <c r="W275" s="398"/>
      <c r="X275" s="382">
        <v>10676.7</v>
      </c>
      <c r="Y275" s="485">
        <f t="shared" si="49"/>
        <v>3292515.0200000005</v>
      </c>
      <c r="Z275" s="399">
        <v>215</v>
      </c>
      <c r="AA275" s="399"/>
      <c r="AB275" s="399">
        <v>223685.35</v>
      </c>
      <c r="AC275" s="399"/>
      <c r="AD275" s="399">
        <v>88878.86</v>
      </c>
      <c r="AE275" s="399">
        <v>6620</v>
      </c>
      <c r="AF275" s="399"/>
      <c r="AG275" s="399"/>
      <c r="AH275" s="399">
        <v>28351.18</v>
      </c>
      <c r="AI275" s="399"/>
      <c r="AJ275" s="399"/>
      <c r="AK275" s="399"/>
      <c r="AL275" s="477"/>
      <c r="AM275" s="485">
        <f t="shared" si="50"/>
        <v>347750.39</v>
      </c>
      <c r="AN275" s="399">
        <v>70</v>
      </c>
      <c r="AO275" s="402">
        <v>888</v>
      </c>
      <c r="AP275" s="480">
        <v>-17239.73</v>
      </c>
      <c r="AQ275" s="490"/>
      <c r="AR275" s="490">
        <v>-662.44</v>
      </c>
      <c r="AS275" s="520">
        <v>0.8</v>
      </c>
      <c r="AT275" s="535">
        <v>3292515.02</v>
      </c>
      <c r="AU275" s="535">
        <f>1184.7+6500</f>
        <v>7684.7</v>
      </c>
      <c r="AV275" s="535">
        <v>10676.7</v>
      </c>
      <c r="AW275" s="535">
        <v>347750.39</v>
      </c>
      <c r="AX275" s="535"/>
      <c r="AY275" s="535">
        <v>-17239.73</v>
      </c>
      <c r="AZ275" s="535"/>
      <c r="BA275" s="535">
        <v>-662.44</v>
      </c>
      <c r="BB275" s="480">
        <f t="shared" si="51"/>
        <v>0</v>
      </c>
      <c r="BC275" s="480">
        <f t="shared" si="52"/>
        <v>0</v>
      </c>
      <c r="BD275" s="480">
        <f t="shared" si="53"/>
        <v>0</v>
      </c>
      <c r="BE275" s="480">
        <f t="shared" si="54"/>
        <v>0</v>
      </c>
      <c r="BF275" s="480">
        <f t="shared" si="55"/>
        <v>0</v>
      </c>
      <c r="BG275" s="480">
        <f t="shared" si="56"/>
        <v>0</v>
      </c>
      <c r="BH275" s="480">
        <f t="shared" si="57"/>
        <v>0</v>
      </c>
      <c r="BI275" s="6">
        <f t="shared" si="58"/>
        <v>5873</v>
      </c>
      <c r="BJ275" s="480" t="str">
        <f t="shared" si="59"/>
        <v>Le Lieu</v>
      </c>
    </row>
    <row r="276" spans="1:62" x14ac:dyDescent="0.25">
      <c r="A276" s="341">
        <v>5881</v>
      </c>
      <c r="B276" s="523" t="s">
        <v>206</v>
      </c>
      <c r="C276" s="394">
        <v>18308381.289999999</v>
      </c>
      <c r="D276" s="394">
        <v>3735893.77</v>
      </c>
      <c r="F276" s="394">
        <v>0</v>
      </c>
      <c r="G276" s="394">
        <v>40774.1</v>
      </c>
      <c r="H276" s="394">
        <v>68762.850000000006</v>
      </c>
      <c r="I276" s="394">
        <v>752751.77</v>
      </c>
      <c r="J276" s="394">
        <v>363218.37</v>
      </c>
      <c r="K276" s="394">
        <v>68796.05</v>
      </c>
      <c r="L276" s="394">
        <v>1699087.65</v>
      </c>
      <c r="M276" s="334">
        <f t="shared" si="48"/>
        <v>25037665.850000001</v>
      </c>
      <c r="N276" s="398">
        <v>98862.75</v>
      </c>
      <c r="O276" s="398">
        <v>1226908.58</v>
      </c>
      <c r="P276" s="398">
        <v>1058411.3</v>
      </c>
      <c r="Q276" s="398">
        <v>-20982.91</v>
      </c>
      <c r="R276" s="398">
        <v>1342987.8</v>
      </c>
      <c r="S276" s="398"/>
      <c r="T276" s="398"/>
      <c r="U276" s="398">
        <v>41850</v>
      </c>
      <c r="V276" s="398"/>
      <c r="W276" s="398"/>
      <c r="X276" s="382">
        <v>13138.62</v>
      </c>
      <c r="Y276" s="485">
        <f t="shared" si="49"/>
        <v>28798841.990000002</v>
      </c>
      <c r="Z276" s="399">
        <v>457431.65</v>
      </c>
      <c r="AA276" s="399"/>
      <c r="AB276" s="399">
        <v>469587.45</v>
      </c>
      <c r="AC276" s="399"/>
      <c r="AD276" s="399">
        <v>719447.4</v>
      </c>
      <c r="AE276" s="399">
        <v>652600</v>
      </c>
      <c r="AF276" s="399"/>
      <c r="AG276" s="399"/>
      <c r="AH276" s="399"/>
      <c r="AI276" s="399"/>
      <c r="AJ276" s="399"/>
      <c r="AK276" s="399"/>
      <c r="AL276" s="477"/>
      <c r="AM276" s="485">
        <f t="shared" si="50"/>
        <v>2299066.5</v>
      </c>
      <c r="AN276" s="399">
        <v>68.5</v>
      </c>
      <c r="AO276" s="402">
        <v>6215</v>
      </c>
      <c r="AP276" s="480">
        <v>-88153.42</v>
      </c>
      <c r="AQ276" s="490"/>
      <c r="AR276" s="490">
        <v>-57917.68</v>
      </c>
      <c r="AS276" s="520">
        <v>1</v>
      </c>
      <c r="AT276" s="535">
        <v>28798841.989999998</v>
      </c>
      <c r="AU276" s="535">
        <v>41850</v>
      </c>
      <c r="AV276" s="535">
        <v>13138.62</v>
      </c>
      <c r="AW276" s="535">
        <v>2299066.5</v>
      </c>
      <c r="AX276" s="535"/>
      <c r="AY276" s="535">
        <v>-88153.42</v>
      </c>
      <c r="AZ276" s="535"/>
      <c r="BA276" s="535">
        <v>-57917.68</v>
      </c>
      <c r="BB276" s="480">
        <f t="shared" si="51"/>
        <v>0</v>
      </c>
      <c r="BC276" s="480">
        <f t="shared" si="52"/>
        <v>0</v>
      </c>
      <c r="BD276" s="480">
        <f t="shared" si="53"/>
        <v>0</v>
      </c>
      <c r="BE276" s="480">
        <f t="shared" si="54"/>
        <v>0</v>
      </c>
      <c r="BF276" s="480">
        <f t="shared" si="55"/>
        <v>0</v>
      </c>
      <c r="BG276" s="480">
        <f t="shared" si="56"/>
        <v>0</v>
      </c>
      <c r="BH276" s="480">
        <f t="shared" si="57"/>
        <v>0</v>
      </c>
      <c r="BI276" s="6">
        <f t="shared" si="58"/>
        <v>5881</v>
      </c>
      <c r="BJ276" s="480" t="str">
        <f t="shared" si="59"/>
        <v>Blonay</v>
      </c>
    </row>
    <row r="277" spans="1:62" x14ac:dyDescent="0.25">
      <c r="A277" s="341">
        <v>5882</v>
      </c>
      <c r="B277" s="523" t="s">
        <v>207</v>
      </c>
      <c r="C277" s="394">
        <v>8696796</v>
      </c>
      <c r="D277" s="394">
        <v>1856762.65</v>
      </c>
      <c r="E277" s="391"/>
      <c r="F277" s="394">
        <v>0</v>
      </c>
      <c r="G277" s="394">
        <v>113522.15</v>
      </c>
      <c r="H277" s="394">
        <v>17631.5</v>
      </c>
      <c r="I277" s="394">
        <v>212678.05</v>
      </c>
      <c r="J277" s="394">
        <v>239252.6</v>
      </c>
      <c r="K277" s="394">
        <v>66179.25</v>
      </c>
      <c r="L277" s="394">
        <v>988422.55</v>
      </c>
      <c r="M277" s="334">
        <f t="shared" si="48"/>
        <v>12191244.750000002</v>
      </c>
      <c r="N277" s="398">
        <v>11194.95</v>
      </c>
      <c r="O277" s="398">
        <v>95838</v>
      </c>
      <c r="P277" s="398">
        <v>631834.94999999995</v>
      </c>
      <c r="Q277" s="398">
        <v>107884.07</v>
      </c>
      <c r="R277" s="398">
        <v>508255.7</v>
      </c>
      <c r="S277" s="398"/>
      <c r="T277" s="398"/>
      <c r="U277" s="398">
        <v>15880</v>
      </c>
      <c r="V277" s="398"/>
      <c r="W277" s="398"/>
      <c r="X277" s="382">
        <v>15731.47</v>
      </c>
      <c r="Y277" s="485">
        <f t="shared" si="49"/>
        <v>13577863.890000001</v>
      </c>
      <c r="Z277" s="399">
        <v>107970.9</v>
      </c>
      <c r="AA277" s="399"/>
      <c r="AB277" s="399">
        <v>344955.94</v>
      </c>
      <c r="AC277" s="399"/>
      <c r="AD277" s="399">
        <v>296119.64</v>
      </c>
      <c r="AE277" s="399"/>
      <c r="AF277" s="399"/>
      <c r="AG277" s="399"/>
      <c r="AH277" s="399"/>
      <c r="AI277" s="399"/>
      <c r="AJ277" s="399"/>
      <c r="AK277" s="399"/>
      <c r="AL277" s="477"/>
      <c r="AM277" s="485">
        <f t="shared" si="50"/>
        <v>749046.48</v>
      </c>
      <c r="AN277" s="399">
        <v>68</v>
      </c>
      <c r="AO277" s="402">
        <v>3093</v>
      </c>
      <c r="AP277" s="480">
        <v>-128511.67</v>
      </c>
      <c r="AQ277" s="490"/>
      <c r="AR277" s="490">
        <v>-12147.19</v>
      </c>
      <c r="AS277" s="520">
        <v>1</v>
      </c>
      <c r="AT277" s="535">
        <v>13577863.890000001</v>
      </c>
      <c r="AU277" s="535">
        <v>15880</v>
      </c>
      <c r="AV277" s="535">
        <v>15731.47</v>
      </c>
      <c r="AW277" s="535">
        <v>749046.48</v>
      </c>
      <c r="AX277" s="535"/>
      <c r="AY277" s="535">
        <v>-128511.67</v>
      </c>
      <c r="AZ277" s="535"/>
      <c r="BA277" s="535">
        <v>-12147.19</v>
      </c>
      <c r="BB277" s="480">
        <f t="shared" si="51"/>
        <v>0</v>
      </c>
      <c r="BC277" s="480">
        <f t="shared" si="52"/>
        <v>0</v>
      </c>
      <c r="BD277" s="480">
        <f t="shared" si="53"/>
        <v>0</v>
      </c>
      <c r="BE277" s="480">
        <f t="shared" si="54"/>
        <v>0</v>
      </c>
      <c r="BF277" s="480">
        <f t="shared" si="55"/>
        <v>0</v>
      </c>
      <c r="BG277" s="480">
        <f t="shared" si="56"/>
        <v>0</v>
      </c>
      <c r="BH277" s="480">
        <f t="shared" si="57"/>
        <v>0</v>
      </c>
      <c r="BI277" s="6">
        <f t="shared" si="58"/>
        <v>5882</v>
      </c>
      <c r="BJ277" s="480" t="str">
        <f t="shared" si="59"/>
        <v>Chardonne</v>
      </c>
    </row>
    <row r="278" spans="1:62" x14ac:dyDescent="0.25">
      <c r="A278" s="341">
        <v>5883</v>
      </c>
      <c r="B278" s="523" t="s">
        <v>208</v>
      </c>
      <c r="C278" s="394">
        <v>7639774.4400000004</v>
      </c>
      <c r="D278" s="394">
        <v>2166925.09</v>
      </c>
      <c r="E278" s="391"/>
      <c r="F278" s="394">
        <v>0</v>
      </c>
      <c r="G278" s="394">
        <v>144358.95000000001</v>
      </c>
      <c r="H278" s="394">
        <v>36312.25</v>
      </c>
      <c r="I278" s="394">
        <v>517436.72</v>
      </c>
      <c r="J278" s="394">
        <v>203423.91</v>
      </c>
      <c r="K278" s="394">
        <v>12409.9</v>
      </c>
      <c r="L278" s="394">
        <v>666003.35</v>
      </c>
      <c r="M278" s="334">
        <f t="shared" si="48"/>
        <v>11386644.610000001</v>
      </c>
      <c r="N278" s="398">
        <v>0</v>
      </c>
      <c r="O278" s="398">
        <v>115406.1</v>
      </c>
      <c r="P278" s="398">
        <v>394138.15</v>
      </c>
      <c r="Q278" s="398">
        <v>32383.77</v>
      </c>
      <c r="R278" s="398">
        <v>346407.15</v>
      </c>
      <c r="S278" s="398"/>
      <c r="T278" s="398"/>
      <c r="U278" s="398">
        <v>5750</v>
      </c>
      <c r="V278" s="398"/>
      <c r="W278" s="398"/>
      <c r="X278" s="382">
        <v>21670.95</v>
      </c>
      <c r="Y278" s="485">
        <f t="shared" si="49"/>
        <v>12302400.73</v>
      </c>
      <c r="Z278" s="399"/>
      <c r="AA278" s="399"/>
      <c r="AB278" s="399">
        <v>153825.88</v>
      </c>
      <c r="AC278" s="399"/>
      <c r="AD278" s="399">
        <v>336493.21</v>
      </c>
      <c r="AE278" s="399"/>
      <c r="AF278" s="399"/>
      <c r="AG278" s="399"/>
      <c r="AH278" s="399"/>
      <c r="AI278" s="399"/>
      <c r="AJ278" s="399"/>
      <c r="AK278" s="399"/>
      <c r="AL278" s="477"/>
      <c r="AM278" s="485">
        <f t="shared" si="50"/>
        <v>490319.09</v>
      </c>
      <c r="AN278" s="399">
        <v>67.5</v>
      </c>
      <c r="AO278" s="402">
        <v>2311</v>
      </c>
      <c r="AP278" s="480">
        <v>-94134.23</v>
      </c>
      <c r="AQ278" s="490"/>
      <c r="AR278" s="490">
        <v>-13760.55</v>
      </c>
      <c r="AS278" s="520">
        <v>1</v>
      </c>
      <c r="AT278" s="535">
        <f>11636397.38+666003.35</f>
        <v>12302400.73</v>
      </c>
      <c r="AU278" s="535">
        <v>5750</v>
      </c>
      <c r="AV278" s="535">
        <v>21670.95</v>
      </c>
      <c r="AW278" s="535">
        <v>490319.09</v>
      </c>
      <c r="AX278" s="535"/>
      <c r="AY278" s="535">
        <v>-94134.23</v>
      </c>
      <c r="AZ278" s="535"/>
      <c r="BA278" s="535">
        <v>-13760.55</v>
      </c>
      <c r="BB278" s="480">
        <f t="shared" si="51"/>
        <v>0</v>
      </c>
      <c r="BC278" s="480">
        <f t="shared" si="52"/>
        <v>0</v>
      </c>
      <c r="BD278" s="480">
        <f t="shared" si="53"/>
        <v>0</v>
      </c>
      <c r="BE278" s="480">
        <f t="shared" si="54"/>
        <v>0</v>
      </c>
      <c r="BF278" s="480">
        <f t="shared" si="55"/>
        <v>0</v>
      </c>
      <c r="BG278" s="480">
        <f t="shared" si="56"/>
        <v>0</v>
      </c>
      <c r="BH278" s="480">
        <f t="shared" si="57"/>
        <v>0</v>
      </c>
      <c r="BI278" s="6">
        <f t="shared" si="58"/>
        <v>5883</v>
      </c>
      <c r="BJ278" s="480" t="str">
        <f t="shared" si="59"/>
        <v>Corseaux</v>
      </c>
    </row>
    <row r="279" spans="1:62" x14ac:dyDescent="0.25">
      <c r="A279" s="341">
        <v>5884</v>
      </c>
      <c r="B279" s="523" t="s">
        <v>49</v>
      </c>
      <c r="C279" s="394">
        <v>5773686.8200000003</v>
      </c>
      <c r="D279" s="394">
        <v>836336.35</v>
      </c>
      <c r="E279" s="391"/>
      <c r="F279" s="394">
        <v>0</v>
      </c>
      <c r="G279" s="394">
        <v>268358.59999999998</v>
      </c>
      <c r="H279" s="394">
        <v>63978.75</v>
      </c>
      <c r="I279" s="394">
        <v>26243.7</v>
      </c>
      <c r="J279" s="394">
        <v>129192.63</v>
      </c>
      <c r="K279" s="394">
        <v>184918.95</v>
      </c>
      <c r="L279" s="394">
        <v>968413.55</v>
      </c>
      <c r="M279" s="334">
        <f t="shared" si="48"/>
        <v>8251129.3499999996</v>
      </c>
      <c r="N279" s="398">
        <v>471954.75</v>
      </c>
      <c r="O279" s="398">
        <v>0</v>
      </c>
      <c r="P279" s="398">
        <v>312090.3</v>
      </c>
      <c r="Q279" s="398">
        <v>6608.53</v>
      </c>
      <c r="R279" s="398">
        <v>214673.65</v>
      </c>
      <c r="S279" s="398"/>
      <c r="T279" s="398"/>
      <c r="U279" s="398">
        <v>20300</v>
      </c>
      <c r="V279" s="398"/>
      <c r="W279" s="398"/>
      <c r="X279" s="382">
        <v>39862.83</v>
      </c>
      <c r="Y279" s="485">
        <f t="shared" si="49"/>
        <v>9316619.4100000001</v>
      </c>
      <c r="Z279" s="399"/>
      <c r="AA279" s="399"/>
      <c r="AB279" s="399">
        <v>339297.05</v>
      </c>
      <c r="AC279" s="399">
        <v>614997.71</v>
      </c>
      <c r="AD279" s="399">
        <v>251477.38</v>
      </c>
      <c r="AE279" s="399"/>
      <c r="AF279" s="399"/>
      <c r="AG279" s="399"/>
      <c r="AH279" s="399">
        <v>12122.5</v>
      </c>
      <c r="AI279" s="399">
        <v>256913.25</v>
      </c>
      <c r="AJ279" s="399"/>
      <c r="AK279" s="399"/>
      <c r="AL279" s="477">
        <v>73153.55</v>
      </c>
      <c r="AM279" s="485">
        <f t="shared" si="50"/>
        <v>1547961.4400000002</v>
      </c>
      <c r="AN279" s="399">
        <v>66</v>
      </c>
      <c r="AO279" s="402">
        <v>3420</v>
      </c>
      <c r="AP279" s="480">
        <v>-68462.78</v>
      </c>
      <c r="AQ279" s="490"/>
      <c r="AR279" s="490">
        <v>-4466.72</v>
      </c>
      <c r="AS279" s="520">
        <v>1.2</v>
      </c>
      <c r="AT279" s="535">
        <v>9316619.4100000001</v>
      </c>
      <c r="AU279" s="535">
        <v>20300</v>
      </c>
      <c r="AV279" s="535">
        <v>39862.83</v>
      </c>
      <c r="AW279" s="535">
        <v>1547961.44</v>
      </c>
      <c r="AX279" s="535"/>
      <c r="AY279" s="535">
        <v>-68462.78</v>
      </c>
      <c r="AZ279" s="535"/>
      <c r="BA279" s="535">
        <v>-4466.72</v>
      </c>
      <c r="BB279" s="480">
        <f t="shared" si="51"/>
        <v>0</v>
      </c>
      <c r="BC279" s="480">
        <f t="shared" si="52"/>
        <v>0</v>
      </c>
      <c r="BD279" s="480">
        <f t="shared" si="53"/>
        <v>0</v>
      </c>
      <c r="BE279" s="480">
        <f t="shared" si="54"/>
        <v>0</v>
      </c>
      <c r="BF279" s="480">
        <f t="shared" si="55"/>
        <v>0</v>
      </c>
      <c r="BG279" s="480">
        <f t="shared" si="56"/>
        <v>0</v>
      </c>
      <c r="BH279" s="480">
        <f t="shared" si="57"/>
        <v>0</v>
      </c>
      <c r="BI279" s="6">
        <f t="shared" si="58"/>
        <v>5884</v>
      </c>
      <c r="BJ279" s="480" t="str">
        <f t="shared" si="59"/>
        <v>Corsier-sur-Vevey</v>
      </c>
    </row>
    <row r="280" spans="1:62" x14ac:dyDescent="0.25">
      <c r="A280" s="341">
        <v>5885</v>
      </c>
      <c r="B280" s="523" t="s">
        <v>50</v>
      </c>
      <c r="C280" s="394">
        <v>4629092.49</v>
      </c>
      <c r="D280" s="394">
        <v>712082.44</v>
      </c>
      <c r="E280" s="391"/>
      <c r="F280" s="394">
        <v>0</v>
      </c>
      <c r="G280" s="394">
        <v>-4833</v>
      </c>
      <c r="H280" s="394">
        <v>5043.1000000000004</v>
      </c>
      <c r="I280" s="394">
        <v>65358.400000000001</v>
      </c>
      <c r="J280" s="394">
        <v>105212.06</v>
      </c>
      <c r="K280" s="394">
        <v>-4704.55</v>
      </c>
      <c r="L280" s="394">
        <v>499533.85</v>
      </c>
      <c r="M280" s="334">
        <f t="shared" si="48"/>
        <v>6006784.7899999991</v>
      </c>
      <c r="N280" s="398">
        <v>2144.65</v>
      </c>
      <c r="O280" s="398">
        <v>24912.400000000001</v>
      </c>
      <c r="P280" s="398">
        <v>362478.35</v>
      </c>
      <c r="Q280" s="398">
        <v>0</v>
      </c>
      <c r="R280" s="398">
        <v>290352.55</v>
      </c>
      <c r="S280" s="398"/>
      <c r="T280" s="398"/>
      <c r="U280" s="398">
        <v>8600</v>
      </c>
      <c r="V280" s="398"/>
      <c r="W280" s="398"/>
      <c r="X280" s="382">
        <v>25.2</v>
      </c>
      <c r="Y280" s="485">
        <f t="shared" si="49"/>
        <v>6695297.9399999995</v>
      </c>
      <c r="Z280" s="399">
        <v>27285</v>
      </c>
      <c r="AA280" s="399"/>
      <c r="AB280" s="399">
        <v>27921.599999999999</v>
      </c>
      <c r="AC280" s="399"/>
      <c r="AD280" s="399">
        <v>155506.98000000001</v>
      </c>
      <c r="AE280" s="399"/>
      <c r="AF280" s="399"/>
      <c r="AG280" s="399"/>
      <c r="AH280" s="399"/>
      <c r="AI280" s="399"/>
      <c r="AJ280" s="399"/>
      <c r="AK280" s="399"/>
      <c r="AL280" s="477"/>
      <c r="AM280" s="485">
        <f t="shared" si="50"/>
        <v>210713.58000000002</v>
      </c>
      <c r="AN280" s="399">
        <v>69.5</v>
      </c>
      <c r="AO280" s="402">
        <v>1670</v>
      </c>
      <c r="AP280" s="480">
        <v>-5103.87</v>
      </c>
      <c r="AQ280" s="490"/>
      <c r="AR280" s="490">
        <v>-3916.17</v>
      </c>
      <c r="AS280" s="520">
        <v>1.2</v>
      </c>
      <c r="AT280" s="535">
        <v>6695297.9400000004</v>
      </c>
      <c r="AU280" s="535">
        <v>8600</v>
      </c>
      <c r="AV280" s="535">
        <v>25.2</v>
      </c>
      <c r="AW280" s="535">
        <v>210713.58</v>
      </c>
      <c r="AX280" s="535"/>
      <c r="AY280" s="535">
        <v>-5103.87</v>
      </c>
      <c r="AZ280" s="535"/>
      <c r="BA280" s="535">
        <v>-3916.17</v>
      </c>
      <c r="BB280" s="480">
        <f t="shared" si="51"/>
        <v>0</v>
      </c>
      <c r="BC280" s="480">
        <f t="shared" si="52"/>
        <v>0</v>
      </c>
      <c r="BD280" s="480">
        <f t="shared" si="53"/>
        <v>0</v>
      </c>
      <c r="BE280" s="480">
        <f t="shared" si="54"/>
        <v>0</v>
      </c>
      <c r="BF280" s="480">
        <f t="shared" si="55"/>
        <v>0</v>
      </c>
      <c r="BG280" s="480">
        <f t="shared" si="56"/>
        <v>0</v>
      </c>
      <c r="BH280" s="480">
        <f t="shared" si="57"/>
        <v>0</v>
      </c>
      <c r="BI280" s="6">
        <f t="shared" si="58"/>
        <v>5885</v>
      </c>
      <c r="BJ280" s="480" t="str">
        <f t="shared" si="59"/>
        <v>Jongny</v>
      </c>
    </row>
    <row r="281" spans="1:62" x14ac:dyDescent="0.25">
      <c r="A281" s="341">
        <v>5886</v>
      </c>
      <c r="B281" s="523" t="s">
        <v>51</v>
      </c>
      <c r="C281" s="394">
        <v>43386223.619999997</v>
      </c>
      <c r="D281" s="394">
        <v>11400811.4</v>
      </c>
      <c r="E281" s="391"/>
      <c r="F281" s="394">
        <v>0</v>
      </c>
      <c r="G281" s="394">
        <v>2613974.9500000002</v>
      </c>
      <c r="H281" s="394">
        <v>439182</v>
      </c>
      <c r="I281" s="394">
        <v>3440972.13</v>
      </c>
      <c r="J281" s="394">
        <v>2273892.98</v>
      </c>
      <c r="K281" s="394">
        <v>713553.05</v>
      </c>
      <c r="L281" s="394">
        <v>11309162</v>
      </c>
      <c r="M281" s="334">
        <f t="shared" si="48"/>
        <v>75577772.129999995</v>
      </c>
      <c r="N281" s="398">
        <v>1113954.95</v>
      </c>
      <c r="O281" s="398">
        <v>14175436.6</v>
      </c>
      <c r="P281" s="398">
        <v>4226896.3</v>
      </c>
      <c r="Q281" s="398">
        <v>233403.51</v>
      </c>
      <c r="R281" s="398">
        <v>3021737.75</v>
      </c>
      <c r="S281" s="398"/>
      <c r="T281" s="398"/>
      <c r="U281" s="398">
        <v>93050</v>
      </c>
      <c r="V281" s="398"/>
      <c r="W281" s="398"/>
      <c r="X281" s="382">
        <v>366216.66</v>
      </c>
      <c r="Y281" s="485">
        <f t="shared" si="49"/>
        <v>98808467.899999991</v>
      </c>
      <c r="Z281" s="399"/>
      <c r="AA281" s="399"/>
      <c r="AB281" s="399">
        <v>2975108</v>
      </c>
      <c r="AC281" s="399"/>
      <c r="AD281" s="399">
        <v>1812366</v>
      </c>
      <c r="AE281" s="399"/>
      <c r="AF281" s="399"/>
      <c r="AG281" s="399"/>
      <c r="AH281" s="399"/>
      <c r="AI281" s="399"/>
      <c r="AJ281" s="399"/>
      <c r="AK281" s="399"/>
      <c r="AL281" s="477"/>
      <c r="AM281" s="485">
        <f t="shared" si="50"/>
        <v>4787474</v>
      </c>
      <c r="AN281" s="399">
        <v>65</v>
      </c>
      <c r="AO281" s="402">
        <v>26180</v>
      </c>
      <c r="AP281" s="480">
        <v>-979478.85</v>
      </c>
      <c r="AQ281" s="490"/>
      <c r="AR281" s="490">
        <v>-118292.14</v>
      </c>
      <c r="AS281" s="520">
        <v>1.5</v>
      </c>
      <c r="AT281" s="535">
        <v>98808467.900000006</v>
      </c>
      <c r="AU281" s="535">
        <v>93050</v>
      </c>
      <c r="AV281" s="535">
        <v>366216.66</v>
      </c>
      <c r="AW281" s="535">
        <v>4787474</v>
      </c>
      <c r="AX281" s="535"/>
      <c r="AY281" s="535">
        <v>-979478.85</v>
      </c>
      <c r="AZ281" s="535"/>
      <c r="BA281" s="535">
        <v>-118292.14</v>
      </c>
      <c r="BB281" s="480">
        <f t="shared" si="51"/>
        <v>0</v>
      </c>
      <c r="BC281" s="480">
        <f t="shared" si="52"/>
        <v>0</v>
      </c>
      <c r="BD281" s="480">
        <f t="shared" si="53"/>
        <v>0</v>
      </c>
      <c r="BE281" s="480">
        <f t="shared" si="54"/>
        <v>0</v>
      </c>
      <c r="BF281" s="480">
        <f t="shared" si="55"/>
        <v>0</v>
      </c>
      <c r="BG281" s="480">
        <f t="shared" si="56"/>
        <v>0</v>
      </c>
      <c r="BH281" s="480">
        <f t="shared" si="57"/>
        <v>0</v>
      </c>
      <c r="BI281" s="6">
        <f t="shared" si="58"/>
        <v>5886</v>
      </c>
      <c r="BJ281" s="480" t="str">
        <f t="shared" si="59"/>
        <v>Montreux</v>
      </c>
    </row>
    <row r="282" spans="1:62" x14ac:dyDescent="0.25">
      <c r="A282" s="341">
        <v>5888</v>
      </c>
      <c r="B282" s="523" t="s">
        <v>515</v>
      </c>
      <c r="C282" s="394">
        <v>15796998.060000001</v>
      </c>
      <c r="D282" s="394">
        <v>3834766.96</v>
      </c>
      <c r="E282" s="391"/>
      <c r="F282" s="394">
        <v>0</v>
      </c>
      <c r="G282" s="394">
        <v>371061.15</v>
      </c>
      <c r="H282" s="394">
        <v>49222.3</v>
      </c>
      <c r="I282" s="394">
        <v>318286.65000000002</v>
      </c>
      <c r="J282" s="394">
        <v>307136.8</v>
      </c>
      <c r="K282" s="394">
        <v>79417.5</v>
      </c>
      <c r="L282" s="394">
        <v>1845705.25</v>
      </c>
      <c r="M282" s="334">
        <f t="shared" si="48"/>
        <v>22602594.669999998</v>
      </c>
      <c r="N282" s="398">
        <v>190374.5</v>
      </c>
      <c r="O282" s="398">
        <v>4698.6000000000004</v>
      </c>
      <c r="P282" s="398">
        <v>1379677.55</v>
      </c>
      <c r="Q282" s="398">
        <v>46542.17</v>
      </c>
      <c r="R282" s="398">
        <v>585396.15</v>
      </c>
      <c r="S282" s="398"/>
      <c r="T282" s="398"/>
      <c r="U282" s="398">
        <v>35650</v>
      </c>
      <c r="V282" s="398"/>
      <c r="W282" s="398"/>
      <c r="X282" s="382">
        <v>50411.69</v>
      </c>
      <c r="Y282" s="485">
        <f t="shared" si="49"/>
        <v>24895345.330000002</v>
      </c>
      <c r="Z282" s="399">
        <v>68374</v>
      </c>
      <c r="AA282" s="399"/>
      <c r="AB282" s="399">
        <v>743845.05</v>
      </c>
      <c r="AC282" s="399">
        <v>1069162.3700000001</v>
      </c>
      <c r="AD282" s="399">
        <v>403645.75</v>
      </c>
      <c r="AE282" s="399">
        <v>62373.5</v>
      </c>
      <c r="AF282" s="399"/>
      <c r="AG282" s="399"/>
      <c r="AH282" s="399">
        <v>45926</v>
      </c>
      <c r="AI282" s="399"/>
      <c r="AJ282" s="399"/>
      <c r="AK282" s="399"/>
      <c r="AL282" s="477"/>
      <c r="AM282" s="485">
        <f t="shared" si="50"/>
        <v>2393326.67</v>
      </c>
      <c r="AN282" s="399">
        <v>68.5</v>
      </c>
      <c r="AO282" s="402">
        <v>5522</v>
      </c>
      <c r="AP282" s="480">
        <v>-59918.26</v>
      </c>
      <c r="AQ282" s="490"/>
      <c r="AR282" s="490">
        <v>-29801</v>
      </c>
      <c r="AS282" s="520">
        <v>1.2</v>
      </c>
      <c r="AT282" s="535">
        <v>24895345.329999998</v>
      </c>
      <c r="AU282" s="535">
        <v>35650</v>
      </c>
      <c r="AV282" s="535">
        <v>50411.69</v>
      </c>
      <c r="AW282" s="535">
        <v>2393326.67</v>
      </c>
      <c r="AX282" s="535"/>
      <c r="AY282" s="535">
        <v>-59918.26</v>
      </c>
      <c r="AZ282" s="535"/>
      <c r="BA282" s="535">
        <v>-29801</v>
      </c>
      <c r="BB282" s="480">
        <f t="shared" si="51"/>
        <v>0</v>
      </c>
      <c r="BC282" s="480">
        <f t="shared" si="52"/>
        <v>0</v>
      </c>
      <c r="BD282" s="480">
        <f t="shared" si="53"/>
        <v>0</v>
      </c>
      <c r="BE282" s="480">
        <f t="shared" si="54"/>
        <v>0</v>
      </c>
      <c r="BF282" s="480">
        <f t="shared" si="55"/>
        <v>0</v>
      </c>
      <c r="BG282" s="480">
        <f t="shared" si="56"/>
        <v>0</v>
      </c>
      <c r="BH282" s="480">
        <f t="shared" si="57"/>
        <v>0</v>
      </c>
      <c r="BI282" s="6">
        <f t="shared" si="58"/>
        <v>5888</v>
      </c>
      <c r="BJ282" s="480" t="str">
        <f t="shared" si="59"/>
        <v>Saint-Légier-La Chiésaz</v>
      </c>
    </row>
    <row r="283" spans="1:62" x14ac:dyDescent="0.25">
      <c r="A283" s="341">
        <v>5889</v>
      </c>
      <c r="B283" s="523" t="s">
        <v>52</v>
      </c>
      <c r="C283" s="394">
        <v>28877988.780000001</v>
      </c>
      <c r="D283" s="394">
        <v>5931076</v>
      </c>
      <c r="E283" s="391"/>
      <c r="F283" s="394">
        <v>0</v>
      </c>
      <c r="G283" s="394">
        <v>4371006.4000000004</v>
      </c>
      <c r="H283" s="394">
        <v>21240.5</v>
      </c>
      <c r="I283" s="394">
        <v>496028.45</v>
      </c>
      <c r="J283" s="394">
        <v>567329.85</v>
      </c>
      <c r="K283" s="394">
        <v>211743.9</v>
      </c>
      <c r="L283" s="394">
        <v>2987312.4</v>
      </c>
      <c r="M283" s="334">
        <f t="shared" si="48"/>
        <v>43463726.280000001</v>
      </c>
      <c r="N283" s="398">
        <v>213995.45</v>
      </c>
      <c r="O283" s="398">
        <v>700990.6</v>
      </c>
      <c r="P283" s="398">
        <v>1610117.1</v>
      </c>
      <c r="Q283" s="398">
        <v>136325.79999999999</v>
      </c>
      <c r="R283" s="398">
        <v>968601.5</v>
      </c>
      <c r="S283" s="398"/>
      <c r="T283" s="398"/>
      <c r="U283" s="398">
        <v>45300</v>
      </c>
      <c r="V283" s="398"/>
      <c r="W283" s="398">
        <v>288154.38</v>
      </c>
      <c r="X283" s="382">
        <v>526836.32999999996</v>
      </c>
      <c r="Y283" s="485">
        <f t="shared" si="49"/>
        <v>47954047.440000005</v>
      </c>
      <c r="Z283" s="399"/>
      <c r="AA283" s="399"/>
      <c r="AB283" s="399">
        <v>832820.5</v>
      </c>
      <c r="AC283" s="399">
        <v>1846856.94</v>
      </c>
      <c r="AD283" s="399">
        <v>1117797.48</v>
      </c>
      <c r="AE283" s="399">
        <v>275345.90000000002</v>
      </c>
      <c r="AF283" s="399"/>
      <c r="AG283" s="399"/>
      <c r="AH283" s="399"/>
      <c r="AI283" s="399">
        <v>217172.3</v>
      </c>
      <c r="AJ283" s="399"/>
      <c r="AK283" s="399"/>
      <c r="AL283" s="477"/>
      <c r="AM283" s="485">
        <f t="shared" si="50"/>
        <v>4289993.12</v>
      </c>
      <c r="AN283" s="399">
        <v>64</v>
      </c>
      <c r="AO283" s="402">
        <v>12088</v>
      </c>
      <c r="AP283" s="480">
        <v>-279655.38</v>
      </c>
      <c r="AQ283" s="490"/>
      <c r="AR283" s="490">
        <v>-87734.82</v>
      </c>
      <c r="AS283" s="520">
        <v>1.2</v>
      </c>
      <c r="AT283" s="535">
        <v>47954047.439999998</v>
      </c>
      <c r="AU283" s="535">
        <f>45300+288154.38</f>
        <v>333454.38</v>
      </c>
      <c r="AV283" s="535">
        <v>526836.32999999996</v>
      </c>
      <c r="AW283" s="535">
        <v>4289993.12</v>
      </c>
      <c r="AX283" s="535"/>
      <c r="AY283" s="535">
        <v>-279655.38</v>
      </c>
      <c r="AZ283" s="535"/>
      <c r="BA283" s="535">
        <f>-87734.82</f>
        <v>-87734.82</v>
      </c>
      <c r="BB283" s="480">
        <f t="shared" si="51"/>
        <v>0</v>
      </c>
      <c r="BC283" s="480">
        <f t="shared" si="52"/>
        <v>0</v>
      </c>
      <c r="BD283" s="480">
        <f t="shared" si="53"/>
        <v>0</v>
      </c>
      <c r="BE283" s="480">
        <f t="shared" si="54"/>
        <v>0</v>
      </c>
      <c r="BF283" s="480">
        <f t="shared" si="55"/>
        <v>0</v>
      </c>
      <c r="BG283" s="480">
        <f t="shared" si="56"/>
        <v>0</v>
      </c>
      <c r="BH283" s="480">
        <f t="shared" si="57"/>
        <v>0</v>
      </c>
      <c r="BI283" s="6">
        <f t="shared" si="58"/>
        <v>5889</v>
      </c>
      <c r="BJ283" s="480" t="str">
        <f t="shared" si="59"/>
        <v>La Tour-de-Peilz</v>
      </c>
    </row>
    <row r="284" spans="1:62" x14ac:dyDescent="0.25">
      <c r="A284" s="341">
        <v>5890</v>
      </c>
      <c r="B284" s="523" t="s">
        <v>53</v>
      </c>
      <c r="C284" s="394">
        <v>36593192.490000002</v>
      </c>
      <c r="D284" s="394">
        <v>4894427.3600000003</v>
      </c>
      <c r="E284" s="391"/>
      <c r="F284" s="394">
        <v>0</v>
      </c>
      <c r="G284" s="394">
        <v>11758942.699999999</v>
      </c>
      <c r="H284" s="394">
        <v>1039132.1</v>
      </c>
      <c r="I284" s="394">
        <v>301640.81</v>
      </c>
      <c r="J284" s="394">
        <v>3962548.39</v>
      </c>
      <c r="K284" s="394">
        <v>749667.7</v>
      </c>
      <c r="L284" s="394">
        <v>5674001.8399999999</v>
      </c>
      <c r="M284" s="334">
        <f t="shared" si="48"/>
        <v>64973553.390000001</v>
      </c>
      <c r="N284" s="398">
        <v>928887.1</v>
      </c>
      <c r="O284" s="398">
        <v>2559081.2000000002</v>
      </c>
      <c r="P284" s="398">
        <v>1570397.45</v>
      </c>
      <c r="Q284" s="398">
        <v>146582.91</v>
      </c>
      <c r="R284" s="398">
        <v>2095879.35</v>
      </c>
      <c r="S284" s="398"/>
      <c r="T284" s="398"/>
      <c r="U284" s="398">
        <v>54900</v>
      </c>
      <c r="V284" s="398"/>
      <c r="W284" s="398"/>
      <c r="X284" s="382">
        <v>1535089.19</v>
      </c>
      <c r="Y284" s="485">
        <f t="shared" si="49"/>
        <v>73864370.589999989</v>
      </c>
      <c r="Z284" s="399"/>
      <c r="AA284" s="399"/>
      <c r="AB284" s="399">
        <v>898662.34</v>
      </c>
      <c r="AC284" s="399"/>
      <c r="AD284" s="399">
        <v>1625710.59</v>
      </c>
      <c r="AE284" s="399"/>
      <c r="AF284" s="399"/>
      <c r="AG284" s="399"/>
      <c r="AH284" s="399"/>
      <c r="AI284" s="399">
        <v>654640.80000000005</v>
      </c>
      <c r="AJ284" s="399"/>
      <c r="AK284" s="399"/>
      <c r="AL284" s="477">
        <v>277111.65000000002</v>
      </c>
      <c r="AM284" s="485">
        <f t="shared" si="50"/>
        <v>3456125.3800000004</v>
      </c>
      <c r="AN284" s="399">
        <v>74.5</v>
      </c>
      <c r="AO284" s="402">
        <v>19780</v>
      </c>
      <c r="AP284" s="480">
        <v>-463900.91</v>
      </c>
      <c r="AQ284" s="490"/>
      <c r="AR284" s="490">
        <v>-34364.050000000003</v>
      </c>
      <c r="AS284" s="520">
        <v>1.5</v>
      </c>
      <c r="AT284" s="535">
        <v>73864370.590000004</v>
      </c>
      <c r="AU284" s="535">
        <v>54900</v>
      </c>
      <c r="AV284" s="535">
        <v>1535089.19</v>
      </c>
      <c r="AW284" s="535">
        <v>3456125.38</v>
      </c>
      <c r="AX284" s="535"/>
      <c r="AY284" s="535">
        <v>-463900.91</v>
      </c>
      <c r="AZ284" s="535"/>
      <c r="BA284" s="535">
        <v>-34364.050000000003</v>
      </c>
      <c r="BB284" s="480">
        <f t="shared" si="51"/>
        <v>0</v>
      </c>
      <c r="BC284" s="480">
        <f t="shared" si="52"/>
        <v>0</v>
      </c>
      <c r="BD284" s="480">
        <f t="shared" si="53"/>
        <v>0</v>
      </c>
      <c r="BE284" s="480">
        <f t="shared" si="54"/>
        <v>0</v>
      </c>
      <c r="BF284" s="480">
        <f t="shared" si="55"/>
        <v>0</v>
      </c>
      <c r="BG284" s="480">
        <f t="shared" si="56"/>
        <v>0</v>
      </c>
      <c r="BH284" s="480">
        <f t="shared" si="57"/>
        <v>0</v>
      </c>
      <c r="BI284" s="6">
        <f t="shared" si="58"/>
        <v>5890</v>
      </c>
      <c r="BJ284" s="480" t="str">
        <f t="shared" si="59"/>
        <v>Vevey</v>
      </c>
    </row>
    <row r="285" spans="1:62" x14ac:dyDescent="0.25">
      <c r="A285" s="341">
        <v>5891</v>
      </c>
      <c r="B285" s="523" t="s">
        <v>54</v>
      </c>
      <c r="C285" s="394">
        <v>2132943.9500000002</v>
      </c>
      <c r="D285" s="394">
        <v>571965.80000000005</v>
      </c>
      <c r="E285" s="391"/>
      <c r="F285" s="394">
        <v>0</v>
      </c>
      <c r="G285" s="394">
        <v>23606.2</v>
      </c>
      <c r="H285" s="394">
        <v>8117.3</v>
      </c>
      <c r="I285" s="394">
        <v>33065.75</v>
      </c>
      <c r="J285" s="394">
        <v>60261.36</v>
      </c>
      <c r="K285" s="394">
        <v>13791.35</v>
      </c>
      <c r="L285" s="394">
        <v>447474.05</v>
      </c>
      <c r="M285" s="334">
        <f t="shared" si="48"/>
        <v>3291225.76</v>
      </c>
      <c r="N285" s="398">
        <v>413.25</v>
      </c>
      <c r="O285" s="398">
        <v>192719</v>
      </c>
      <c r="P285" s="398">
        <v>82503.95</v>
      </c>
      <c r="Q285" s="398">
        <v>25585.96</v>
      </c>
      <c r="R285" s="398">
        <v>39283.199999999997</v>
      </c>
      <c r="S285" s="398"/>
      <c r="T285" s="398"/>
      <c r="U285" s="398">
        <v>4650</v>
      </c>
      <c r="V285" s="398">
        <v>120431</v>
      </c>
      <c r="W285" s="398"/>
      <c r="X285" s="382">
        <v>3805.13</v>
      </c>
      <c r="Y285" s="485">
        <f t="shared" si="49"/>
        <v>3760617.25</v>
      </c>
      <c r="Z285" s="399">
        <v>9728.75</v>
      </c>
      <c r="AA285" s="399"/>
      <c r="AB285" s="399">
        <v>53358.1</v>
      </c>
      <c r="AC285" s="399"/>
      <c r="AD285" s="399">
        <v>94346.6</v>
      </c>
      <c r="AE285" s="399"/>
      <c r="AF285" s="399"/>
      <c r="AG285" s="399"/>
      <c r="AH285" s="399"/>
      <c r="AI285" s="399">
        <v>25515.05</v>
      </c>
      <c r="AJ285" s="399"/>
      <c r="AK285" s="399"/>
      <c r="AL285" s="477">
        <v>7290</v>
      </c>
      <c r="AM285" s="485">
        <f t="shared" si="50"/>
        <v>190238.5</v>
      </c>
      <c r="AN285" s="399">
        <v>69.5</v>
      </c>
      <c r="AO285" s="402">
        <v>956</v>
      </c>
      <c r="AP285" s="480">
        <v>-113319.94</v>
      </c>
      <c r="AQ285" s="490"/>
      <c r="AR285" s="490">
        <v>-3587.09</v>
      </c>
      <c r="AS285" s="520">
        <v>1.5</v>
      </c>
      <c r="AT285" s="535">
        <v>3760617.25</v>
      </c>
      <c r="AU285" s="535">
        <f>4650+120431</f>
        <v>125081</v>
      </c>
      <c r="AV285" s="535">
        <v>3805.13</v>
      </c>
      <c r="AW285" s="535">
        <v>190238.5</v>
      </c>
      <c r="AX285" s="535"/>
      <c r="AY285" s="535">
        <v>-113319.94</v>
      </c>
      <c r="AZ285" s="535"/>
      <c r="BA285" s="535">
        <v>-3587.09</v>
      </c>
      <c r="BB285" s="480">
        <f t="shared" si="51"/>
        <v>0</v>
      </c>
      <c r="BC285" s="480">
        <f t="shared" si="52"/>
        <v>0</v>
      </c>
      <c r="BD285" s="480">
        <f t="shared" si="53"/>
        <v>0</v>
      </c>
      <c r="BE285" s="480">
        <f t="shared" si="54"/>
        <v>0</v>
      </c>
      <c r="BF285" s="480">
        <f t="shared" si="55"/>
        <v>0</v>
      </c>
      <c r="BG285" s="480">
        <f t="shared" si="56"/>
        <v>0</v>
      </c>
      <c r="BH285" s="480">
        <f t="shared" si="57"/>
        <v>0</v>
      </c>
      <c r="BI285" s="6">
        <f t="shared" si="58"/>
        <v>5891</v>
      </c>
      <c r="BJ285" s="480" t="str">
        <f t="shared" si="59"/>
        <v>Veytaux</v>
      </c>
    </row>
    <row r="286" spans="1:62" x14ac:dyDescent="0.25">
      <c r="A286" s="341">
        <v>5902</v>
      </c>
      <c r="B286" s="523" t="s">
        <v>55</v>
      </c>
      <c r="C286" s="394">
        <v>682651.15</v>
      </c>
      <c r="D286" s="394">
        <v>75931.8</v>
      </c>
      <c r="E286" s="391"/>
      <c r="F286" s="394">
        <v>0</v>
      </c>
      <c r="G286" s="394">
        <v>3802.45</v>
      </c>
      <c r="H286" s="394">
        <v>166.95</v>
      </c>
      <c r="I286" s="394">
        <v>0</v>
      </c>
      <c r="J286" s="394">
        <v>2866.92</v>
      </c>
      <c r="K286" s="394">
        <v>0</v>
      </c>
      <c r="L286" s="394">
        <v>56555.93</v>
      </c>
      <c r="M286" s="334">
        <f t="shared" si="48"/>
        <v>821975.20000000007</v>
      </c>
      <c r="N286" s="398">
        <v>0</v>
      </c>
      <c r="O286" s="398">
        <v>78113.899999999994</v>
      </c>
      <c r="P286" s="398">
        <v>59304.9</v>
      </c>
      <c r="Q286" s="398">
        <v>0</v>
      </c>
      <c r="R286" s="398">
        <v>31121.5</v>
      </c>
      <c r="S286" s="398"/>
      <c r="T286" s="398">
        <v>50</v>
      </c>
      <c r="U286" s="398">
        <v>2760</v>
      </c>
      <c r="V286" s="398"/>
      <c r="W286" s="398"/>
      <c r="X286" s="382">
        <v>476.12</v>
      </c>
      <c r="Y286" s="485">
        <f t="shared" si="49"/>
        <v>993801.62000000011</v>
      </c>
      <c r="Z286" s="399">
        <v>2880</v>
      </c>
      <c r="AA286" s="399"/>
      <c r="AB286" s="399">
        <v>71745.7</v>
      </c>
      <c r="AC286" s="399"/>
      <c r="AD286" s="399">
        <v>24724.65</v>
      </c>
      <c r="AE286" s="399">
        <v>4366.5</v>
      </c>
      <c r="AF286" s="399"/>
      <c r="AG286" s="399"/>
      <c r="AH286" s="399"/>
      <c r="AI286" s="399"/>
      <c r="AJ286" s="399"/>
      <c r="AK286" s="399"/>
      <c r="AL286" s="477"/>
      <c r="AM286" s="485">
        <f t="shared" si="50"/>
        <v>103716.85</v>
      </c>
      <c r="AN286" s="399">
        <v>70</v>
      </c>
      <c r="AO286" s="402">
        <v>396</v>
      </c>
      <c r="AP286" s="480">
        <v>-9.7200000000000006</v>
      </c>
      <c r="AQ286" s="490"/>
      <c r="AR286" s="490">
        <v>0</v>
      </c>
      <c r="AS286" s="520">
        <v>1</v>
      </c>
      <c r="AT286" s="535">
        <v>993801.62</v>
      </c>
      <c r="AU286" s="535">
        <f>50+2760</f>
        <v>2810</v>
      </c>
      <c r="AV286" s="535">
        <v>476.12</v>
      </c>
      <c r="AW286" s="535">
        <v>103716.85</v>
      </c>
      <c r="AX286" s="535"/>
      <c r="AY286" s="535">
        <v>-9.7200000000000006</v>
      </c>
      <c r="AZ286" s="535"/>
      <c r="BA286" s="535">
        <v>0</v>
      </c>
      <c r="BB286" s="480">
        <f t="shared" si="51"/>
        <v>0</v>
      </c>
      <c r="BC286" s="480">
        <f t="shared" si="52"/>
        <v>0</v>
      </c>
      <c r="BD286" s="480">
        <f t="shared" si="53"/>
        <v>0</v>
      </c>
      <c r="BE286" s="480">
        <f t="shared" si="54"/>
        <v>0</v>
      </c>
      <c r="BF286" s="480">
        <f t="shared" si="55"/>
        <v>0</v>
      </c>
      <c r="BG286" s="480">
        <f t="shared" si="56"/>
        <v>0</v>
      </c>
      <c r="BH286" s="480">
        <f t="shared" si="57"/>
        <v>0</v>
      </c>
      <c r="BI286" s="6">
        <f t="shared" si="58"/>
        <v>5902</v>
      </c>
      <c r="BJ286" s="480" t="str">
        <f t="shared" si="59"/>
        <v>Belmont-sur-Yverdon</v>
      </c>
    </row>
    <row r="287" spans="1:62" x14ac:dyDescent="0.25">
      <c r="A287" s="341">
        <v>5903</v>
      </c>
      <c r="B287" s="523" t="s">
        <v>56</v>
      </c>
      <c r="C287" s="394">
        <v>290269.96999999997</v>
      </c>
      <c r="D287" s="394">
        <v>35810.870000000003</v>
      </c>
      <c r="E287" s="391"/>
      <c r="F287" s="394">
        <v>0</v>
      </c>
      <c r="G287" s="394">
        <v>-4241.55</v>
      </c>
      <c r="H287" s="394">
        <v>297.14999999999998</v>
      </c>
      <c r="I287" s="394">
        <v>0</v>
      </c>
      <c r="J287" s="394">
        <v>4873.83</v>
      </c>
      <c r="K287" s="394">
        <v>0</v>
      </c>
      <c r="L287" s="394">
        <v>25651</v>
      </c>
      <c r="M287" s="334">
        <f t="shared" si="48"/>
        <v>352661.27</v>
      </c>
      <c r="N287" s="398">
        <v>24639.1</v>
      </c>
      <c r="O287" s="398">
        <v>0</v>
      </c>
      <c r="P287" s="398">
        <v>2591.9499999999998</v>
      </c>
      <c r="Q287" s="398">
        <v>0</v>
      </c>
      <c r="R287" s="398">
        <v>4523.55</v>
      </c>
      <c r="S287" s="398"/>
      <c r="T287" s="398"/>
      <c r="U287" s="398">
        <v>1120</v>
      </c>
      <c r="V287" s="398"/>
      <c r="W287" s="398"/>
      <c r="X287" s="382">
        <v>-473.12</v>
      </c>
      <c r="Y287" s="485">
        <f t="shared" si="49"/>
        <v>385062.75</v>
      </c>
      <c r="Z287" s="399"/>
      <c r="AA287" s="399"/>
      <c r="AB287" s="399">
        <v>16185</v>
      </c>
      <c r="AC287" s="399"/>
      <c r="AD287" s="399">
        <v>10927</v>
      </c>
      <c r="AE287" s="399"/>
      <c r="AF287" s="399"/>
      <c r="AG287" s="399"/>
      <c r="AH287" s="399"/>
      <c r="AI287" s="399"/>
      <c r="AJ287" s="399"/>
      <c r="AK287" s="399"/>
      <c r="AL287" s="477"/>
      <c r="AM287" s="485">
        <f t="shared" si="50"/>
        <v>27112</v>
      </c>
      <c r="AN287" s="399">
        <v>72</v>
      </c>
      <c r="AO287" s="402">
        <v>230</v>
      </c>
      <c r="AP287" s="480">
        <v>-1937.45</v>
      </c>
      <c r="AQ287" s="490"/>
      <c r="AR287" s="490">
        <v>-4.63</v>
      </c>
      <c r="AS287" s="520">
        <v>0.7</v>
      </c>
      <c r="AT287" s="535">
        <v>385062.75</v>
      </c>
      <c r="AU287" s="535">
        <v>1120</v>
      </c>
      <c r="AV287" s="535">
        <v>-473.12</v>
      </c>
      <c r="AW287" s="535">
        <v>27112</v>
      </c>
      <c r="AX287" s="535"/>
      <c r="AY287" s="535">
        <v>-1937.45</v>
      </c>
      <c r="AZ287" s="535"/>
      <c r="BA287" s="535">
        <v>-4.63</v>
      </c>
      <c r="BB287" s="480">
        <f t="shared" si="51"/>
        <v>0</v>
      </c>
      <c r="BC287" s="480">
        <f t="shared" si="52"/>
        <v>0</v>
      </c>
      <c r="BD287" s="480">
        <f t="shared" si="53"/>
        <v>0</v>
      </c>
      <c r="BE287" s="480">
        <f t="shared" si="54"/>
        <v>0</v>
      </c>
      <c r="BF287" s="480">
        <f t="shared" si="55"/>
        <v>0</v>
      </c>
      <c r="BG287" s="480">
        <f t="shared" si="56"/>
        <v>0</v>
      </c>
      <c r="BH287" s="480">
        <f t="shared" si="57"/>
        <v>0</v>
      </c>
      <c r="BI287" s="6">
        <f t="shared" si="58"/>
        <v>5903</v>
      </c>
      <c r="BJ287" s="480" t="str">
        <f t="shared" si="59"/>
        <v>Bioley-Magnoux</v>
      </c>
    </row>
    <row r="288" spans="1:62" x14ac:dyDescent="0.25">
      <c r="A288" s="341">
        <v>5904</v>
      </c>
      <c r="B288" s="523" t="s">
        <v>57</v>
      </c>
      <c r="C288" s="394">
        <v>1169285.06</v>
      </c>
      <c r="D288" s="394">
        <v>151914.60999999999</v>
      </c>
      <c r="E288" s="391"/>
      <c r="F288" s="394">
        <v>0</v>
      </c>
      <c r="G288" s="394">
        <v>2906.4</v>
      </c>
      <c r="H288" s="394">
        <v>602.95000000000005</v>
      </c>
      <c r="I288" s="394">
        <v>0</v>
      </c>
      <c r="J288" s="394">
        <v>17456.939999999999</v>
      </c>
      <c r="K288" s="394">
        <v>3864.65</v>
      </c>
      <c r="L288" s="394">
        <v>95964.1</v>
      </c>
      <c r="M288" s="334">
        <f t="shared" si="48"/>
        <v>1441994.7099999997</v>
      </c>
      <c r="N288" s="398">
        <v>34103.599999999999</v>
      </c>
      <c r="O288" s="398">
        <v>0</v>
      </c>
      <c r="P288" s="398">
        <v>50985</v>
      </c>
      <c r="Q288" s="398">
        <v>441.06</v>
      </c>
      <c r="R288" s="398">
        <v>21469.3</v>
      </c>
      <c r="S288" s="398"/>
      <c r="T288" s="398">
        <v>297.25</v>
      </c>
      <c r="U288" s="398">
        <v>3750</v>
      </c>
      <c r="V288" s="398"/>
      <c r="W288" s="398"/>
      <c r="X288" s="382">
        <v>420.94</v>
      </c>
      <c r="Y288" s="485">
        <f t="shared" si="49"/>
        <v>1553461.8599999999</v>
      </c>
      <c r="Z288" s="399">
        <v>3960</v>
      </c>
      <c r="AA288" s="399"/>
      <c r="AB288" s="399">
        <v>93776.5</v>
      </c>
      <c r="AC288" s="399"/>
      <c r="AD288" s="399">
        <v>55977.9</v>
      </c>
      <c r="AE288" s="399">
        <v>4110</v>
      </c>
      <c r="AF288" s="399"/>
      <c r="AG288" s="399"/>
      <c r="AH288" s="399">
        <v>1175</v>
      </c>
      <c r="AI288" s="399">
        <v>19676.099999999999</v>
      </c>
      <c r="AJ288" s="399"/>
      <c r="AK288" s="399"/>
      <c r="AL288" s="477"/>
      <c r="AM288" s="485">
        <f t="shared" si="50"/>
        <v>178675.5</v>
      </c>
      <c r="AN288" s="399">
        <v>66</v>
      </c>
      <c r="AO288" s="402">
        <v>559</v>
      </c>
      <c r="AP288" s="480">
        <v>-10795.87</v>
      </c>
      <c r="AQ288" s="490"/>
      <c r="AR288" s="490">
        <v>-253.12</v>
      </c>
      <c r="AS288" s="520">
        <v>1</v>
      </c>
      <c r="AT288" s="535">
        <v>1553461.86</v>
      </c>
      <c r="AU288" s="535">
        <f>297.25+3750</f>
        <v>4047.25</v>
      </c>
      <c r="AV288" s="535">
        <v>420.94</v>
      </c>
      <c r="AW288" s="535">
        <v>178675.5</v>
      </c>
      <c r="AX288" s="535"/>
      <c r="AY288" s="535">
        <v>-10795.87</v>
      </c>
      <c r="AZ288" s="535"/>
      <c r="BA288" s="535">
        <v>-253.12</v>
      </c>
      <c r="BB288" s="480">
        <f t="shared" si="51"/>
        <v>0</v>
      </c>
      <c r="BC288" s="480">
        <f t="shared" si="52"/>
        <v>0</v>
      </c>
      <c r="BD288" s="480">
        <f t="shared" si="53"/>
        <v>0</v>
      </c>
      <c r="BE288" s="480">
        <f t="shared" si="54"/>
        <v>0</v>
      </c>
      <c r="BF288" s="480">
        <f t="shared" si="55"/>
        <v>0</v>
      </c>
      <c r="BG288" s="480">
        <f t="shared" si="56"/>
        <v>0</v>
      </c>
      <c r="BH288" s="480">
        <f t="shared" si="57"/>
        <v>0</v>
      </c>
      <c r="BI288" s="6">
        <f t="shared" si="58"/>
        <v>5904</v>
      </c>
      <c r="BJ288" s="480" t="str">
        <f t="shared" si="59"/>
        <v>Chamblon</v>
      </c>
    </row>
    <row r="289" spans="1:62" x14ac:dyDescent="0.25">
      <c r="A289" s="341">
        <v>5905</v>
      </c>
      <c r="B289" s="333" t="s">
        <v>58</v>
      </c>
      <c r="C289" s="394">
        <v>1142195.71</v>
      </c>
      <c r="D289" s="394">
        <v>126078.03</v>
      </c>
      <c r="E289" s="391"/>
      <c r="F289" s="394">
        <v>0</v>
      </c>
      <c r="G289" s="394">
        <v>120352.9</v>
      </c>
      <c r="H289" s="394">
        <v>8414.7999999999993</v>
      </c>
      <c r="I289" s="394">
        <v>0</v>
      </c>
      <c r="J289" s="394">
        <v>31182.99</v>
      </c>
      <c r="K289" s="394">
        <v>-3012.45</v>
      </c>
      <c r="L289" s="543">
        <v>99805.85</v>
      </c>
      <c r="M289" s="334">
        <f t="shared" si="48"/>
        <v>1525017.83</v>
      </c>
      <c r="N289" s="398">
        <v>1903.55</v>
      </c>
      <c r="O289" s="398">
        <v>0</v>
      </c>
      <c r="P289" s="398">
        <v>54574.85</v>
      </c>
      <c r="Q289" s="398">
        <v>-665.43</v>
      </c>
      <c r="R289" s="398">
        <v>87319.85</v>
      </c>
      <c r="S289" s="398"/>
      <c r="T289" s="398"/>
      <c r="U289" s="398">
        <v>0</v>
      </c>
      <c r="V289" s="398"/>
      <c r="W289" s="398"/>
      <c r="X289" s="382">
        <v>15445.28</v>
      </c>
      <c r="Y289" s="485">
        <f t="shared" si="49"/>
        <v>1683595.9300000004</v>
      </c>
      <c r="Z289" s="399"/>
      <c r="AA289" s="399"/>
      <c r="AB289" s="399"/>
      <c r="AC289" s="399"/>
      <c r="AD289" s="399"/>
      <c r="AE289" s="399"/>
      <c r="AF289" s="399"/>
      <c r="AG289" s="399"/>
      <c r="AH289" s="399"/>
      <c r="AI289" s="399"/>
      <c r="AJ289" s="399"/>
      <c r="AK289" s="399"/>
      <c r="AL289" s="477"/>
      <c r="AM289" s="485">
        <f t="shared" si="50"/>
        <v>0</v>
      </c>
      <c r="AN289" s="399">
        <v>71</v>
      </c>
      <c r="AO289" s="402">
        <v>696</v>
      </c>
      <c r="AP289" s="480">
        <v>-4598.74</v>
      </c>
      <c r="AQ289" s="490"/>
      <c r="AR289" s="490">
        <v>-24.88</v>
      </c>
      <c r="AS289" s="520">
        <v>1</v>
      </c>
      <c r="AT289" s="535"/>
      <c r="AU289" s="535"/>
      <c r="AV289" s="535"/>
      <c r="AW289" s="535"/>
      <c r="AX289" s="535"/>
      <c r="AY289" s="535"/>
      <c r="AZ289" s="535"/>
      <c r="BA289" s="535"/>
      <c r="BB289" s="480">
        <f t="shared" si="51"/>
        <v>-1683595.9300000004</v>
      </c>
      <c r="BC289" s="480">
        <f t="shared" si="52"/>
        <v>0</v>
      </c>
      <c r="BD289" s="480">
        <f t="shared" si="53"/>
        <v>4598.74</v>
      </c>
      <c r="BE289" s="480">
        <f t="shared" si="54"/>
        <v>0</v>
      </c>
      <c r="BF289" s="480">
        <f t="shared" si="55"/>
        <v>24.88</v>
      </c>
      <c r="BG289" s="480">
        <f t="shared" si="56"/>
        <v>-15445.28</v>
      </c>
      <c r="BH289" s="480">
        <f t="shared" si="57"/>
        <v>0</v>
      </c>
      <c r="BI289" s="6">
        <f t="shared" si="58"/>
        <v>5905</v>
      </c>
      <c r="BJ289" s="480" t="str">
        <f t="shared" si="59"/>
        <v>Champvent</v>
      </c>
    </row>
    <row r="290" spans="1:62" x14ac:dyDescent="0.25">
      <c r="A290" s="341">
        <v>5907</v>
      </c>
      <c r="B290" s="523" t="s">
        <v>59</v>
      </c>
      <c r="C290" s="394">
        <v>645814.72</v>
      </c>
      <c r="D290" s="394">
        <v>57117.01</v>
      </c>
      <c r="E290" s="391"/>
      <c r="F290" s="394">
        <v>1950</v>
      </c>
      <c r="G290" s="394">
        <v>844.8</v>
      </c>
      <c r="H290" s="394">
        <v>-310.05</v>
      </c>
      <c r="I290" s="394">
        <v>0</v>
      </c>
      <c r="J290" s="394">
        <v>-1250.77</v>
      </c>
      <c r="K290" s="394">
        <v>520.70000000000005</v>
      </c>
      <c r="L290" s="394">
        <v>44658.25</v>
      </c>
      <c r="M290" s="334">
        <f t="shared" si="48"/>
        <v>749344.65999999992</v>
      </c>
      <c r="N290" s="398">
        <v>7607.85</v>
      </c>
      <c r="O290" s="398">
        <v>0</v>
      </c>
      <c r="P290" s="398">
        <v>14552.4</v>
      </c>
      <c r="Q290" s="398">
        <v>2826.42</v>
      </c>
      <c r="R290" s="398">
        <v>17180.400000000001</v>
      </c>
      <c r="S290" s="398"/>
      <c r="T290" s="398">
        <v>790</v>
      </c>
      <c r="U290" s="398">
        <v>2040</v>
      </c>
      <c r="V290" s="398"/>
      <c r="W290" s="398"/>
      <c r="X290" s="382">
        <v>64.14</v>
      </c>
      <c r="Y290" s="485">
        <f t="shared" si="49"/>
        <v>794405.87</v>
      </c>
      <c r="Z290" s="399"/>
      <c r="AA290" s="399"/>
      <c r="AB290" s="399">
        <v>7626</v>
      </c>
      <c r="AC290" s="399"/>
      <c r="AD290" s="399">
        <v>11189.55</v>
      </c>
      <c r="AE290" s="399"/>
      <c r="AF290" s="399"/>
      <c r="AG290" s="399"/>
      <c r="AH290" s="399"/>
      <c r="AI290" s="399"/>
      <c r="AJ290" s="399"/>
      <c r="AK290" s="399"/>
      <c r="AL290" s="477"/>
      <c r="AM290" s="485">
        <f t="shared" si="50"/>
        <v>18815.55</v>
      </c>
      <c r="AN290" s="399">
        <v>75</v>
      </c>
      <c r="AO290" s="402">
        <v>324</v>
      </c>
      <c r="AP290" s="480">
        <v>-10393.469999999999</v>
      </c>
      <c r="AQ290" s="490"/>
      <c r="AR290" s="490">
        <v>-13.33</v>
      </c>
      <c r="AS290" s="520">
        <v>1</v>
      </c>
      <c r="AT290" s="535">
        <v>794405.87</v>
      </c>
      <c r="AU290" s="535">
        <f>790+2040</f>
        <v>2830</v>
      </c>
      <c r="AV290" s="535">
        <v>64.14</v>
      </c>
      <c r="AW290" s="535">
        <v>18815.55</v>
      </c>
      <c r="AX290" s="535"/>
      <c r="AY290" s="535">
        <v>-10393.469999999999</v>
      </c>
      <c r="AZ290" s="535"/>
      <c r="BA290" s="535">
        <v>-13.33</v>
      </c>
      <c r="BB290" s="480">
        <f t="shared" si="51"/>
        <v>0</v>
      </c>
      <c r="BC290" s="480">
        <f t="shared" si="52"/>
        <v>0</v>
      </c>
      <c r="BD290" s="480">
        <f t="shared" si="53"/>
        <v>0</v>
      </c>
      <c r="BE290" s="480">
        <f t="shared" si="54"/>
        <v>0</v>
      </c>
      <c r="BF290" s="480">
        <f t="shared" si="55"/>
        <v>0</v>
      </c>
      <c r="BG290" s="480">
        <f t="shared" si="56"/>
        <v>0</v>
      </c>
      <c r="BH290" s="480">
        <f t="shared" si="57"/>
        <v>0</v>
      </c>
      <c r="BI290" s="6">
        <f t="shared" si="58"/>
        <v>5907</v>
      </c>
      <c r="BJ290" s="480" t="str">
        <f t="shared" si="59"/>
        <v>Chavannes-le-Chêne</v>
      </c>
    </row>
    <row r="291" spans="1:62" x14ac:dyDescent="0.25">
      <c r="A291" s="341">
        <v>5908</v>
      </c>
      <c r="B291" s="523" t="s">
        <v>60</v>
      </c>
      <c r="C291" s="394">
        <v>438227.64</v>
      </c>
      <c r="D291" s="394">
        <v>41689.279999999999</v>
      </c>
      <c r="E291" s="391"/>
      <c r="F291" s="394">
        <v>0</v>
      </c>
      <c r="G291" s="394">
        <v>107.25</v>
      </c>
      <c r="H291" s="394">
        <v>399.95</v>
      </c>
      <c r="I291" s="394">
        <v>0</v>
      </c>
      <c r="J291" s="394">
        <v>12982.5</v>
      </c>
      <c r="K291" s="394">
        <v>92.95</v>
      </c>
      <c r="L291" s="394">
        <v>21328.25</v>
      </c>
      <c r="M291" s="334">
        <f t="shared" si="48"/>
        <v>514827.82000000007</v>
      </c>
      <c r="N291" s="398">
        <v>4476.1000000000004</v>
      </c>
      <c r="O291" s="398">
        <v>0</v>
      </c>
      <c r="P291" s="398">
        <v>5995</v>
      </c>
      <c r="Q291" s="398">
        <v>0</v>
      </c>
      <c r="R291" s="398">
        <v>2762.55</v>
      </c>
      <c r="S291" s="398"/>
      <c r="T291" s="398"/>
      <c r="U291" s="398">
        <v>1584</v>
      </c>
      <c r="V291" s="398"/>
      <c r="W291" s="398"/>
      <c r="X291" s="382">
        <v>60.84</v>
      </c>
      <c r="Y291" s="485">
        <f t="shared" si="49"/>
        <v>529706.31000000006</v>
      </c>
      <c r="Z291" s="399">
        <v>28000</v>
      </c>
      <c r="AA291" s="399"/>
      <c r="AB291" s="399">
        <v>40368</v>
      </c>
      <c r="AC291" s="399"/>
      <c r="AD291" s="399">
        <v>5901.25</v>
      </c>
      <c r="AE291" s="399">
        <v>2035</v>
      </c>
      <c r="AF291" s="399"/>
      <c r="AG291" s="399"/>
      <c r="AH291" s="399"/>
      <c r="AI291" s="399"/>
      <c r="AJ291" s="399"/>
      <c r="AK291" s="399"/>
      <c r="AL291" s="477"/>
      <c r="AM291" s="485">
        <f t="shared" si="50"/>
        <v>76304.25</v>
      </c>
      <c r="AN291" s="399">
        <v>79</v>
      </c>
      <c r="AO291" s="402">
        <v>144</v>
      </c>
      <c r="AP291" s="480">
        <v>-1088.49</v>
      </c>
      <c r="AQ291" s="490"/>
      <c r="AR291" s="490">
        <v>-103.75</v>
      </c>
      <c r="AS291" s="520">
        <v>1</v>
      </c>
      <c r="AT291" s="535">
        <v>529706.31000000006</v>
      </c>
      <c r="AU291" s="535">
        <v>1584</v>
      </c>
      <c r="AV291" s="535">
        <v>60.84</v>
      </c>
      <c r="AW291" s="535">
        <v>76304.25</v>
      </c>
      <c r="AX291" s="535"/>
      <c r="AY291" s="535">
        <v>-1088.49</v>
      </c>
      <c r="AZ291" s="535"/>
      <c r="BA291" s="535">
        <v>-103.75</v>
      </c>
      <c r="BB291" s="480">
        <f t="shared" si="51"/>
        <v>0</v>
      </c>
      <c r="BC291" s="480">
        <f t="shared" si="52"/>
        <v>0</v>
      </c>
      <c r="BD291" s="480">
        <f t="shared" si="53"/>
        <v>0</v>
      </c>
      <c r="BE291" s="480">
        <f t="shared" si="54"/>
        <v>0</v>
      </c>
      <c r="BF291" s="480">
        <f t="shared" si="55"/>
        <v>0</v>
      </c>
      <c r="BG291" s="480">
        <f t="shared" si="56"/>
        <v>0</v>
      </c>
      <c r="BH291" s="480">
        <f t="shared" si="57"/>
        <v>0</v>
      </c>
      <c r="BI291" s="6">
        <f t="shared" si="58"/>
        <v>5908</v>
      </c>
      <c r="BJ291" s="480" t="str">
        <f t="shared" si="59"/>
        <v>Chêne-Pâquier</v>
      </c>
    </row>
    <row r="292" spans="1:62" x14ac:dyDescent="0.25">
      <c r="A292" s="341">
        <v>5909</v>
      </c>
      <c r="B292" s="523" t="s">
        <v>61</v>
      </c>
      <c r="C292" s="394">
        <v>2031141.72</v>
      </c>
      <c r="D292" s="394">
        <v>393465.19</v>
      </c>
      <c r="E292" s="391"/>
      <c r="F292" s="394">
        <v>0</v>
      </c>
      <c r="G292" s="394">
        <v>17077.900000000001</v>
      </c>
      <c r="H292" s="394">
        <v>2169.1</v>
      </c>
      <c r="I292" s="394">
        <v>0</v>
      </c>
      <c r="J292" s="394">
        <v>25616.45</v>
      </c>
      <c r="K292" s="394">
        <v>-2571.0500000000002</v>
      </c>
      <c r="L292" s="394">
        <v>163073</v>
      </c>
      <c r="M292" s="334">
        <f t="shared" si="48"/>
        <v>2629972.3100000005</v>
      </c>
      <c r="N292" s="398">
        <v>8854.75</v>
      </c>
      <c r="O292" s="398">
        <v>2966.4</v>
      </c>
      <c r="P292" s="398">
        <v>45029.45</v>
      </c>
      <c r="Q292" s="398">
        <v>724.05</v>
      </c>
      <c r="R292" s="398">
        <v>42814.05</v>
      </c>
      <c r="S292" s="398"/>
      <c r="T292" s="398">
        <v>632.70000000000005</v>
      </c>
      <c r="U292" s="398">
        <v>928.2</v>
      </c>
      <c r="V292" s="398">
        <v>2000</v>
      </c>
      <c r="W292" s="398"/>
      <c r="X292" s="382">
        <v>2308.62</v>
      </c>
      <c r="Y292" s="485">
        <f t="shared" si="49"/>
        <v>2736230.5300000007</v>
      </c>
      <c r="Z292" s="399">
        <v>11463.87</v>
      </c>
      <c r="AA292" s="399"/>
      <c r="AB292" s="399">
        <v>97544.24</v>
      </c>
      <c r="AC292" s="399">
        <v>26241.5</v>
      </c>
      <c r="AD292" s="399">
        <v>45011.1</v>
      </c>
      <c r="AE292" s="399">
        <v>10945.28</v>
      </c>
      <c r="AF292" s="399"/>
      <c r="AG292" s="399"/>
      <c r="AH292" s="399">
        <v>74761.5</v>
      </c>
      <c r="AI292" s="399"/>
      <c r="AJ292" s="399"/>
      <c r="AK292" s="399"/>
      <c r="AL292" s="477"/>
      <c r="AM292" s="485">
        <f t="shared" si="50"/>
        <v>265967.49</v>
      </c>
      <c r="AN292" s="399">
        <v>67</v>
      </c>
      <c r="AO292" s="402">
        <v>741</v>
      </c>
      <c r="AP292" s="480">
        <v>-2037.97</v>
      </c>
      <c r="AQ292" s="490"/>
      <c r="AR292" s="490">
        <v>-606.21</v>
      </c>
      <c r="AS292" s="520">
        <v>1</v>
      </c>
      <c r="AT292" s="535">
        <f>2569596.63+166633.9</f>
        <v>2736230.53</v>
      </c>
      <c r="AU292" s="535">
        <f>632.7+928.2+2000</f>
        <v>3560.9</v>
      </c>
      <c r="AV292" s="535">
        <v>2308.62</v>
      </c>
      <c r="AW292" s="535">
        <v>265967.49</v>
      </c>
      <c r="AX292" s="535"/>
      <c r="AY292" s="535">
        <v>-2037.97</v>
      </c>
      <c r="AZ292" s="535"/>
      <c r="BA292" s="535">
        <v>-606.21</v>
      </c>
      <c r="BB292" s="480">
        <f t="shared" si="51"/>
        <v>0</v>
      </c>
      <c r="BC292" s="480">
        <f t="shared" si="52"/>
        <v>0</v>
      </c>
      <c r="BD292" s="480">
        <f t="shared" si="53"/>
        <v>0</v>
      </c>
      <c r="BE292" s="480">
        <f t="shared" si="54"/>
        <v>0</v>
      </c>
      <c r="BF292" s="480">
        <f t="shared" si="55"/>
        <v>0</v>
      </c>
      <c r="BG292" s="480">
        <f t="shared" si="56"/>
        <v>0</v>
      </c>
      <c r="BH292" s="480">
        <f t="shared" si="57"/>
        <v>0</v>
      </c>
      <c r="BI292" s="6">
        <f t="shared" si="58"/>
        <v>5909</v>
      </c>
      <c r="BJ292" s="480" t="str">
        <f t="shared" si="59"/>
        <v>Cheseaux-Noréaz</v>
      </c>
    </row>
    <row r="293" spans="1:62" x14ac:dyDescent="0.25">
      <c r="A293" s="341">
        <v>5910</v>
      </c>
      <c r="B293" s="523" t="s">
        <v>62</v>
      </c>
      <c r="C293" s="394">
        <v>633913.11</v>
      </c>
      <c r="D293" s="394">
        <v>68095.48</v>
      </c>
      <c r="E293" s="391"/>
      <c r="F293" s="394">
        <v>2290</v>
      </c>
      <c r="G293" s="394">
        <v>4515.6000000000004</v>
      </c>
      <c r="H293" s="394">
        <v>118.05</v>
      </c>
      <c r="I293" s="394">
        <v>0</v>
      </c>
      <c r="J293" s="394">
        <v>7757.32</v>
      </c>
      <c r="K293" s="394">
        <v>0</v>
      </c>
      <c r="L293" s="394">
        <v>56520</v>
      </c>
      <c r="M293" s="334">
        <f t="shared" si="48"/>
        <v>773209.55999999994</v>
      </c>
      <c r="N293" s="398">
        <v>0</v>
      </c>
      <c r="O293" s="398">
        <v>9.8000000000000007</v>
      </c>
      <c r="P293" s="398">
        <v>25300</v>
      </c>
      <c r="Q293" s="398">
        <v>0</v>
      </c>
      <c r="R293" s="398">
        <v>-35616.050000000003</v>
      </c>
      <c r="S293" s="398"/>
      <c r="T293" s="398">
        <v>80</v>
      </c>
      <c r="U293" s="398">
        <v>3850</v>
      </c>
      <c r="V293" s="398"/>
      <c r="W293" s="398"/>
      <c r="X293" s="382">
        <v>555.79</v>
      </c>
      <c r="Y293" s="485">
        <f t="shared" si="49"/>
        <v>767389.1</v>
      </c>
      <c r="Z293" s="399">
        <v>56165</v>
      </c>
      <c r="AA293" s="399"/>
      <c r="AB293" s="399">
        <v>27766.5</v>
      </c>
      <c r="AC293" s="399"/>
      <c r="AD293" s="399">
        <v>20765.45</v>
      </c>
      <c r="AE293" s="399">
        <v>13500</v>
      </c>
      <c r="AF293" s="399"/>
      <c r="AG293" s="399"/>
      <c r="AH293" s="399"/>
      <c r="AI293" s="399"/>
      <c r="AJ293" s="399"/>
      <c r="AK293" s="399"/>
      <c r="AL293" s="477"/>
      <c r="AM293" s="485">
        <f t="shared" si="50"/>
        <v>118196.95</v>
      </c>
      <c r="AN293" s="399">
        <v>77</v>
      </c>
      <c r="AO293" s="402">
        <v>393</v>
      </c>
      <c r="AP293" s="480">
        <v>-5598.18</v>
      </c>
      <c r="AQ293" s="490"/>
      <c r="AR293" s="490">
        <v>-15.01</v>
      </c>
      <c r="AS293" s="520">
        <v>1</v>
      </c>
      <c r="AT293" s="535">
        <v>767389.1</v>
      </c>
      <c r="AU293" s="535">
        <f>80+3850</f>
        <v>3930</v>
      </c>
      <c r="AV293" s="535">
        <v>555.79</v>
      </c>
      <c r="AW293" s="535">
        <v>118196.95</v>
      </c>
      <c r="AX293" s="535"/>
      <c r="AY293" s="535">
        <v>-5598.18</v>
      </c>
      <c r="AZ293" s="535"/>
      <c r="BA293" s="535">
        <v>-15.01</v>
      </c>
      <c r="BB293" s="480">
        <f t="shared" si="51"/>
        <v>0</v>
      </c>
      <c r="BC293" s="480">
        <f t="shared" si="52"/>
        <v>0</v>
      </c>
      <c r="BD293" s="480">
        <f t="shared" si="53"/>
        <v>0</v>
      </c>
      <c r="BE293" s="480">
        <f t="shared" si="54"/>
        <v>0</v>
      </c>
      <c r="BF293" s="480">
        <f t="shared" si="55"/>
        <v>0</v>
      </c>
      <c r="BG293" s="480">
        <f t="shared" si="56"/>
        <v>0</v>
      </c>
      <c r="BH293" s="480">
        <f t="shared" si="57"/>
        <v>0</v>
      </c>
      <c r="BI293" s="6">
        <f t="shared" si="58"/>
        <v>5910</v>
      </c>
      <c r="BJ293" s="480" t="str">
        <f t="shared" si="59"/>
        <v>Cronay</v>
      </c>
    </row>
    <row r="294" spans="1:62" x14ac:dyDescent="0.25">
      <c r="A294" s="341">
        <v>5911</v>
      </c>
      <c r="B294" s="523" t="s">
        <v>63</v>
      </c>
      <c r="C294" s="394">
        <v>451703.82</v>
      </c>
      <c r="D294" s="394">
        <v>45378.8</v>
      </c>
      <c r="E294" s="391"/>
      <c r="F294" s="394">
        <v>1460</v>
      </c>
      <c r="G294" s="394">
        <v>1604.05</v>
      </c>
      <c r="H294" s="394">
        <v>102.85</v>
      </c>
      <c r="I294" s="394">
        <v>0</v>
      </c>
      <c r="J294" s="394">
        <v>1137.6199999999999</v>
      </c>
      <c r="K294" s="394">
        <v>830.3</v>
      </c>
      <c r="L294" s="394">
        <v>33892.5</v>
      </c>
      <c r="M294" s="334">
        <f t="shared" si="48"/>
        <v>536109.93999999994</v>
      </c>
      <c r="N294" s="398">
        <v>1274</v>
      </c>
      <c r="O294" s="398">
        <v>1237.2</v>
      </c>
      <c r="P294" s="398">
        <v>0</v>
      </c>
      <c r="Q294" s="398">
        <v>0</v>
      </c>
      <c r="R294" s="398">
        <v>0</v>
      </c>
      <c r="S294" s="398"/>
      <c r="T294" s="398"/>
      <c r="U294" s="398">
        <v>879.15</v>
      </c>
      <c r="V294" s="398"/>
      <c r="W294" s="398"/>
      <c r="X294" s="382">
        <v>204.74</v>
      </c>
      <c r="Y294" s="485">
        <f t="shared" si="49"/>
        <v>539705.02999999991</v>
      </c>
      <c r="Z294" s="399"/>
      <c r="AA294" s="399"/>
      <c r="AB294" s="399">
        <v>35619.199999999997</v>
      </c>
      <c r="AC294" s="399"/>
      <c r="AD294" s="399">
        <v>12284.1</v>
      </c>
      <c r="AE294" s="399"/>
      <c r="AF294" s="399"/>
      <c r="AG294" s="399"/>
      <c r="AH294" s="399"/>
      <c r="AI294" s="399"/>
      <c r="AJ294" s="399"/>
      <c r="AK294" s="399"/>
      <c r="AL294" s="477"/>
      <c r="AM294" s="485">
        <f t="shared" si="50"/>
        <v>47903.299999999996</v>
      </c>
      <c r="AN294" s="399">
        <v>77</v>
      </c>
      <c r="AO294" s="402">
        <v>234</v>
      </c>
      <c r="AP294" s="480">
        <v>-99.75</v>
      </c>
      <c r="AQ294" s="490"/>
      <c r="AR294" s="490">
        <v>-1865.97</v>
      </c>
      <c r="AS294" s="520">
        <v>1</v>
      </c>
      <c r="AT294" s="535">
        <v>539705.03</v>
      </c>
      <c r="AU294" s="535">
        <v>879.15</v>
      </c>
      <c r="AV294" s="535">
        <v>204.74</v>
      </c>
      <c r="AW294" s="535">
        <v>47903.3</v>
      </c>
      <c r="AX294" s="535"/>
      <c r="AY294" s="535">
        <v>-99.75</v>
      </c>
      <c r="AZ294" s="535"/>
      <c r="BA294" s="535">
        <v>-1865.97</v>
      </c>
      <c r="BB294" s="480">
        <f t="shared" si="51"/>
        <v>0</v>
      </c>
      <c r="BC294" s="480">
        <f t="shared" si="52"/>
        <v>0</v>
      </c>
      <c r="BD294" s="480">
        <f t="shared" si="53"/>
        <v>0</v>
      </c>
      <c r="BE294" s="480">
        <f t="shared" si="54"/>
        <v>0</v>
      </c>
      <c r="BF294" s="480">
        <f t="shared" si="55"/>
        <v>0</v>
      </c>
      <c r="BG294" s="480">
        <f t="shared" si="56"/>
        <v>0</v>
      </c>
      <c r="BH294" s="480">
        <f t="shared" si="57"/>
        <v>0</v>
      </c>
      <c r="BI294" s="6">
        <f t="shared" si="58"/>
        <v>5911</v>
      </c>
      <c r="BJ294" s="480" t="str">
        <f t="shared" si="59"/>
        <v>Cuarny</v>
      </c>
    </row>
    <row r="295" spans="1:62" x14ac:dyDescent="0.25">
      <c r="A295" s="341">
        <v>5912</v>
      </c>
      <c r="B295" s="523" t="s">
        <v>64</v>
      </c>
      <c r="C295" s="394">
        <v>259454.18</v>
      </c>
      <c r="D295" s="394">
        <v>29070.1</v>
      </c>
      <c r="E295" s="391"/>
      <c r="F295" s="394">
        <v>0</v>
      </c>
      <c r="G295" s="394">
        <v>9191.2000000000007</v>
      </c>
      <c r="H295" s="394">
        <v>187</v>
      </c>
      <c r="I295" s="394">
        <v>0</v>
      </c>
      <c r="J295" s="394">
        <v>9417.1</v>
      </c>
      <c r="K295" s="394">
        <v>0</v>
      </c>
      <c r="L295" s="394">
        <v>21041.3</v>
      </c>
      <c r="M295" s="334">
        <f t="shared" si="48"/>
        <v>328360.87999999995</v>
      </c>
      <c r="N295" s="398">
        <v>2837.6</v>
      </c>
      <c r="O295" s="398">
        <v>0</v>
      </c>
      <c r="P295" s="398">
        <v>14300</v>
      </c>
      <c r="Q295" s="398">
        <v>0</v>
      </c>
      <c r="R295" s="398">
        <v>6755.3</v>
      </c>
      <c r="S295" s="398"/>
      <c r="T295" s="398"/>
      <c r="U295" s="398">
        <v>1400</v>
      </c>
      <c r="V295" s="398"/>
      <c r="W295" s="398"/>
      <c r="X295" s="382">
        <v>1124.8900000000001</v>
      </c>
      <c r="Y295" s="485">
        <f t="shared" si="49"/>
        <v>354778.66999999993</v>
      </c>
      <c r="Z295" s="399"/>
      <c r="AA295" s="399"/>
      <c r="AB295" s="399">
        <v>19549.5</v>
      </c>
      <c r="AC295" s="399"/>
      <c r="AD295" s="399">
        <v>9104.2000000000007</v>
      </c>
      <c r="AE295" s="399">
        <v>5423.3</v>
      </c>
      <c r="AF295" s="399"/>
      <c r="AG295" s="399"/>
      <c r="AH295" s="399"/>
      <c r="AI295" s="399"/>
      <c r="AJ295" s="399"/>
      <c r="AK295" s="399"/>
      <c r="AL295" s="477"/>
      <c r="AM295" s="485">
        <f t="shared" si="50"/>
        <v>34077</v>
      </c>
      <c r="AN295" s="399">
        <v>81</v>
      </c>
      <c r="AO295" s="402">
        <v>158</v>
      </c>
      <c r="AP295" s="480">
        <v>-664.05</v>
      </c>
      <c r="AQ295" s="490"/>
      <c r="AR295" s="490">
        <v>0</v>
      </c>
      <c r="AS295" s="520">
        <v>1</v>
      </c>
      <c r="AT295" s="535">
        <v>354778.67</v>
      </c>
      <c r="AU295" s="535">
        <v>1400</v>
      </c>
      <c r="AV295" s="535">
        <v>1124.8900000000001</v>
      </c>
      <c r="AW295" s="535">
        <v>34077</v>
      </c>
      <c r="AX295" s="535"/>
      <c r="AY295" s="535">
        <v>-664.05</v>
      </c>
      <c r="AZ295" s="535"/>
      <c r="BA295" s="535">
        <v>0</v>
      </c>
      <c r="BB295" s="480">
        <f t="shared" si="51"/>
        <v>0</v>
      </c>
      <c r="BC295" s="480">
        <f t="shared" si="52"/>
        <v>0</v>
      </c>
      <c r="BD295" s="480">
        <f t="shared" si="53"/>
        <v>0</v>
      </c>
      <c r="BE295" s="480">
        <f t="shared" si="54"/>
        <v>0</v>
      </c>
      <c r="BF295" s="480">
        <f t="shared" si="55"/>
        <v>0</v>
      </c>
      <c r="BG295" s="480">
        <f t="shared" si="56"/>
        <v>0</v>
      </c>
      <c r="BH295" s="480">
        <f t="shared" si="57"/>
        <v>0</v>
      </c>
      <c r="BI295" s="6">
        <f t="shared" si="58"/>
        <v>5912</v>
      </c>
      <c r="BJ295" s="480" t="str">
        <f t="shared" si="59"/>
        <v>Démoret</v>
      </c>
    </row>
    <row r="296" spans="1:62" x14ac:dyDescent="0.25">
      <c r="A296" s="341">
        <v>5913</v>
      </c>
      <c r="B296" s="523" t="s">
        <v>65</v>
      </c>
      <c r="C296" s="394">
        <v>1203492.3799999999</v>
      </c>
      <c r="D296" s="394">
        <v>123166.94</v>
      </c>
      <c r="E296" s="391"/>
      <c r="F296" s="394">
        <v>0</v>
      </c>
      <c r="G296" s="394">
        <v>11187.35</v>
      </c>
      <c r="H296" s="394">
        <v>282.14999999999998</v>
      </c>
      <c r="I296" s="394">
        <v>0</v>
      </c>
      <c r="J296" s="394">
        <v>12856.2</v>
      </c>
      <c r="K296" s="394">
        <v>-258.35000000000002</v>
      </c>
      <c r="L296" s="394">
        <v>119379.2</v>
      </c>
      <c r="M296" s="334">
        <f t="shared" si="48"/>
        <v>1470105.8699999996</v>
      </c>
      <c r="N296" s="398">
        <v>30586.9</v>
      </c>
      <c r="O296" s="398">
        <v>0</v>
      </c>
      <c r="P296" s="398">
        <v>43192.7</v>
      </c>
      <c r="Q296" s="398">
        <v>1533.53</v>
      </c>
      <c r="R296" s="398">
        <v>30580</v>
      </c>
      <c r="S296" s="398"/>
      <c r="T296" s="398">
        <v>428.75</v>
      </c>
      <c r="U296" s="398">
        <v>5700.5</v>
      </c>
      <c r="V296" s="398"/>
      <c r="W296" s="398"/>
      <c r="X296" s="382">
        <v>1375.73</v>
      </c>
      <c r="Y296" s="485">
        <f t="shared" si="49"/>
        <v>1583503.9799999995</v>
      </c>
      <c r="Z296" s="399">
        <v>1325</v>
      </c>
      <c r="AA296" s="399"/>
      <c r="AB296" s="399">
        <v>72787</v>
      </c>
      <c r="AC296" s="399"/>
      <c r="AD296" s="399">
        <v>37169.5</v>
      </c>
      <c r="AE296" s="399">
        <v>34441</v>
      </c>
      <c r="AF296" s="399"/>
      <c r="AG296" s="399"/>
      <c r="AH296" s="399">
        <v>414</v>
      </c>
      <c r="AI296" s="399">
        <v>17417.55</v>
      </c>
      <c r="AJ296" s="399"/>
      <c r="AK296" s="399"/>
      <c r="AL296" s="477"/>
      <c r="AM296" s="485">
        <f t="shared" si="50"/>
        <v>163554.04999999999</v>
      </c>
      <c r="AN296" s="399">
        <v>73</v>
      </c>
      <c r="AO296" s="402">
        <v>829</v>
      </c>
      <c r="AP296" s="480">
        <v>-20736.669999999998</v>
      </c>
      <c r="AQ296" s="490"/>
      <c r="AR296" s="490">
        <v>-977.98</v>
      </c>
      <c r="AS296" s="520">
        <v>1</v>
      </c>
      <c r="AT296" s="535">
        <v>1583503.98</v>
      </c>
      <c r="AU296" s="535">
        <f>428.75+5700.5</f>
        <v>6129.25</v>
      </c>
      <c r="AV296" s="535">
        <v>1375.73</v>
      </c>
      <c r="AW296" s="535">
        <v>163554.04999999999</v>
      </c>
      <c r="AX296" s="535"/>
      <c r="AY296" s="535">
        <v>-20736.669999999998</v>
      </c>
      <c r="AZ296" s="535"/>
      <c r="BA296" s="535">
        <v>-977.98</v>
      </c>
      <c r="BB296" s="480">
        <f t="shared" si="51"/>
        <v>0</v>
      </c>
      <c r="BC296" s="480">
        <f t="shared" si="52"/>
        <v>0</v>
      </c>
      <c r="BD296" s="480">
        <f t="shared" si="53"/>
        <v>0</v>
      </c>
      <c r="BE296" s="480">
        <f t="shared" si="54"/>
        <v>0</v>
      </c>
      <c r="BF296" s="480">
        <f t="shared" si="55"/>
        <v>0</v>
      </c>
      <c r="BG296" s="480">
        <f t="shared" si="56"/>
        <v>0</v>
      </c>
      <c r="BH296" s="480">
        <f t="shared" si="57"/>
        <v>0</v>
      </c>
      <c r="BI296" s="6">
        <f t="shared" si="58"/>
        <v>5913</v>
      </c>
      <c r="BJ296" s="480" t="str">
        <f t="shared" si="59"/>
        <v>Donneloye</v>
      </c>
    </row>
    <row r="297" spans="1:62" x14ac:dyDescent="0.25">
      <c r="A297" s="341">
        <v>5914</v>
      </c>
      <c r="B297" s="523" t="s">
        <v>66</v>
      </c>
      <c r="C297" s="394">
        <v>653562</v>
      </c>
      <c r="D297" s="394">
        <v>34044.410000000003</v>
      </c>
      <c r="E297" s="391"/>
      <c r="F297" s="394">
        <v>2090</v>
      </c>
      <c r="G297" s="394">
        <v>21746.35</v>
      </c>
      <c r="H297" s="394">
        <v>3796.95</v>
      </c>
      <c r="I297" s="394">
        <v>0</v>
      </c>
      <c r="J297" s="394">
        <v>9723.82</v>
      </c>
      <c r="K297" s="394">
        <v>7718.95</v>
      </c>
      <c r="L297" s="394">
        <v>57671.15</v>
      </c>
      <c r="M297" s="334">
        <f t="shared" si="48"/>
        <v>790353.62999999989</v>
      </c>
      <c r="N297" s="398">
        <v>4770.75</v>
      </c>
      <c r="O297" s="398">
        <v>0</v>
      </c>
      <c r="P297" s="398">
        <v>30904.5</v>
      </c>
      <c r="Q297" s="398">
        <v>0</v>
      </c>
      <c r="R297" s="398">
        <v>14806.6</v>
      </c>
      <c r="S297" s="398"/>
      <c r="T297" s="398">
        <v>310</v>
      </c>
      <c r="U297" s="398">
        <v>1180</v>
      </c>
      <c r="V297" s="398"/>
      <c r="W297" s="398"/>
      <c r="X297" s="382">
        <v>3063.84</v>
      </c>
      <c r="Y297" s="485">
        <f t="shared" si="49"/>
        <v>845389.31999999983</v>
      </c>
      <c r="Z297" s="399">
        <v>4772</v>
      </c>
      <c r="AA297" s="399"/>
      <c r="AB297" s="399">
        <v>66557.75</v>
      </c>
      <c r="AC297" s="399"/>
      <c r="AD297" s="399">
        <v>32471.5</v>
      </c>
      <c r="AE297" s="399"/>
      <c r="AF297" s="399"/>
      <c r="AG297" s="399"/>
      <c r="AH297" s="399"/>
      <c r="AI297" s="399"/>
      <c r="AJ297" s="399"/>
      <c r="AK297" s="399"/>
      <c r="AL297" s="477"/>
      <c r="AM297" s="485">
        <f t="shared" si="50"/>
        <v>103801.25</v>
      </c>
      <c r="AN297" s="399">
        <v>73.5</v>
      </c>
      <c r="AO297" s="402">
        <v>388</v>
      </c>
      <c r="AP297" s="480">
        <v>-9754.3700000000008</v>
      </c>
      <c r="AQ297" s="490"/>
      <c r="AR297" s="490">
        <v>-0.59</v>
      </c>
      <c r="AS297" s="520">
        <v>1</v>
      </c>
      <c r="AT297" s="535">
        <v>845389.32</v>
      </c>
      <c r="AU297" s="535">
        <f>310+1180</f>
        <v>1490</v>
      </c>
      <c r="AV297" s="535">
        <v>3063.84</v>
      </c>
      <c r="AW297" s="535">
        <v>103801.25</v>
      </c>
      <c r="AX297" s="535"/>
      <c r="AY297" s="535">
        <v>-9754.3700000000008</v>
      </c>
      <c r="AZ297" s="535"/>
      <c r="BA297" s="535">
        <v>-0.59</v>
      </c>
      <c r="BB297" s="480">
        <f t="shared" si="51"/>
        <v>0</v>
      </c>
      <c r="BC297" s="480">
        <f t="shared" si="52"/>
        <v>0</v>
      </c>
      <c r="BD297" s="480">
        <f t="shared" si="53"/>
        <v>0</v>
      </c>
      <c r="BE297" s="480">
        <f t="shared" si="54"/>
        <v>0</v>
      </c>
      <c r="BF297" s="480">
        <f t="shared" si="55"/>
        <v>0</v>
      </c>
      <c r="BG297" s="480">
        <f t="shared" si="56"/>
        <v>0</v>
      </c>
      <c r="BH297" s="480">
        <f t="shared" si="57"/>
        <v>0</v>
      </c>
      <c r="BI297" s="6">
        <f t="shared" si="58"/>
        <v>5914</v>
      </c>
      <c r="BJ297" s="480" t="str">
        <f t="shared" si="59"/>
        <v>Ependes</v>
      </c>
    </row>
    <row r="298" spans="1:62" x14ac:dyDescent="0.25">
      <c r="A298" s="341">
        <v>5919</v>
      </c>
      <c r="B298" s="523" t="s">
        <v>394</v>
      </c>
      <c r="C298" s="394">
        <v>1091336.24</v>
      </c>
      <c r="D298" s="394">
        <v>270444.49</v>
      </c>
      <c r="E298" s="391"/>
      <c r="F298" s="394">
        <v>3550</v>
      </c>
      <c r="G298" s="394">
        <v>55352.6</v>
      </c>
      <c r="H298" s="394">
        <v>1685.85</v>
      </c>
      <c r="I298" s="394">
        <v>0</v>
      </c>
      <c r="J298" s="394">
        <v>21563.51</v>
      </c>
      <c r="K298" s="394">
        <v>9312.4500000000007</v>
      </c>
      <c r="L298" s="394">
        <v>137901.95000000001</v>
      </c>
      <c r="M298" s="334">
        <f t="shared" si="48"/>
        <v>1591147.09</v>
      </c>
      <c r="N298" s="398">
        <v>11500.6</v>
      </c>
      <c r="O298" s="398">
        <v>100085.8</v>
      </c>
      <c r="P298" s="398">
        <v>110471.95</v>
      </c>
      <c r="Q298" s="398">
        <v>0</v>
      </c>
      <c r="R298" s="398">
        <v>55582.5</v>
      </c>
      <c r="S298" s="398">
        <v>250</v>
      </c>
      <c r="T298" s="398">
        <v>694.5</v>
      </c>
      <c r="U298" s="398">
        <v>3550</v>
      </c>
      <c r="V298" s="398"/>
      <c r="W298" s="398"/>
      <c r="X298" s="382">
        <v>6841.58</v>
      </c>
      <c r="Y298" s="485">
        <f t="shared" si="49"/>
        <v>1880124.0200000003</v>
      </c>
      <c r="Z298" s="399">
        <v>11654.35</v>
      </c>
      <c r="AA298" s="399"/>
      <c r="AB298" s="399">
        <v>157868.79999999999</v>
      </c>
      <c r="AC298" s="399"/>
      <c r="AD298" s="399">
        <v>59491.199999999997</v>
      </c>
      <c r="AE298" s="399">
        <v>11281.15</v>
      </c>
      <c r="AF298" s="399"/>
      <c r="AG298" s="399"/>
      <c r="AH298" s="399">
        <v>1686</v>
      </c>
      <c r="AI298" s="399"/>
      <c r="AJ298" s="399"/>
      <c r="AK298" s="399"/>
      <c r="AL298" s="477"/>
      <c r="AM298" s="485">
        <f t="shared" si="50"/>
        <v>241981.49999999997</v>
      </c>
      <c r="AN298" s="399">
        <v>72</v>
      </c>
      <c r="AO298" s="402">
        <v>651</v>
      </c>
      <c r="AP298" s="480">
        <v>-22225.9</v>
      </c>
      <c r="AQ298" s="490"/>
      <c r="AR298" s="490">
        <v>-56.05</v>
      </c>
      <c r="AS298" s="520">
        <v>1.2</v>
      </c>
      <c r="AT298" s="535">
        <v>1880124.02</v>
      </c>
      <c r="AU298" s="535">
        <f>250+694.5+3550</f>
        <v>4494.5</v>
      </c>
      <c r="AV298" s="535">
        <v>6841.58</v>
      </c>
      <c r="AW298" s="535">
        <v>241981.5</v>
      </c>
      <c r="AX298" s="535"/>
      <c r="AY298" s="535">
        <v>-22225.9</v>
      </c>
      <c r="AZ298" s="535"/>
      <c r="BA298" s="535">
        <v>-56.05</v>
      </c>
      <c r="BB298" s="480">
        <f t="shared" si="51"/>
        <v>0</v>
      </c>
      <c r="BC298" s="480">
        <f t="shared" si="52"/>
        <v>0</v>
      </c>
      <c r="BD298" s="480">
        <f t="shared" si="53"/>
        <v>0</v>
      </c>
      <c r="BE298" s="480">
        <f t="shared" si="54"/>
        <v>0</v>
      </c>
      <c r="BF298" s="480">
        <f t="shared" si="55"/>
        <v>0</v>
      </c>
      <c r="BG298" s="480">
        <f t="shared" si="56"/>
        <v>0</v>
      </c>
      <c r="BH298" s="480">
        <f t="shared" si="57"/>
        <v>0</v>
      </c>
      <c r="BI298" s="6">
        <f t="shared" si="58"/>
        <v>5919</v>
      </c>
      <c r="BJ298" s="480" t="str">
        <f t="shared" si="59"/>
        <v>Mathod</v>
      </c>
    </row>
    <row r="299" spans="1:62" x14ac:dyDescent="0.25">
      <c r="A299" s="341">
        <v>5921</v>
      </c>
      <c r="B299" s="523" t="s">
        <v>395</v>
      </c>
      <c r="C299" s="394">
        <v>376073.69</v>
      </c>
      <c r="D299" s="394">
        <v>52508.05</v>
      </c>
      <c r="E299" s="391"/>
      <c r="F299" s="394">
        <v>0</v>
      </c>
      <c r="G299" s="394">
        <v>-4707.55</v>
      </c>
      <c r="H299" s="394">
        <v>1338.9</v>
      </c>
      <c r="I299" s="394">
        <v>0</v>
      </c>
      <c r="J299" s="394">
        <v>7243.61</v>
      </c>
      <c r="K299" s="394">
        <v>0</v>
      </c>
      <c r="L299" s="394">
        <v>33713.25</v>
      </c>
      <c r="M299" s="334">
        <f t="shared" si="48"/>
        <v>466169.95</v>
      </c>
      <c r="N299" s="398">
        <v>1548.45</v>
      </c>
      <c r="O299" s="398">
        <v>6074.9</v>
      </c>
      <c r="P299" s="398">
        <v>16006.1</v>
      </c>
      <c r="Q299" s="398">
        <v>0</v>
      </c>
      <c r="R299" s="398">
        <v>882.55</v>
      </c>
      <c r="S299" s="398"/>
      <c r="T299" s="398">
        <v>350</v>
      </c>
      <c r="U299" s="398">
        <v>1552.5</v>
      </c>
      <c r="V299" s="398"/>
      <c r="W299" s="398"/>
      <c r="X299" s="382">
        <v>-404.06</v>
      </c>
      <c r="Y299" s="485">
        <f t="shared" si="49"/>
        <v>492180.39</v>
      </c>
      <c r="Z299" s="399">
        <v>9600</v>
      </c>
      <c r="AA299" s="399"/>
      <c r="AB299" s="399">
        <v>43530</v>
      </c>
      <c r="AC299" s="399"/>
      <c r="AD299" s="399">
        <v>8656.9</v>
      </c>
      <c r="AE299" s="399"/>
      <c r="AF299" s="399"/>
      <c r="AG299" s="399"/>
      <c r="AH299" s="399"/>
      <c r="AI299" s="399"/>
      <c r="AJ299" s="399"/>
      <c r="AK299" s="399"/>
      <c r="AL299" s="477"/>
      <c r="AM299" s="485">
        <f t="shared" si="50"/>
        <v>61786.9</v>
      </c>
      <c r="AN299" s="399">
        <v>81</v>
      </c>
      <c r="AO299" s="402">
        <v>252</v>
      </c>
      <c r="AP299" s="480">
        <v>-5989.48</v>
      </c>
      <c r="AQ299" s="490"/>
      <c r="AR299" s="490">
        <v>-29.05</v>
      </c>
      <c r="AS299" s="520">
        <v>1</v>
      </c>
      <c r="AT299" s="535">
        <v>492180.39</v>
      </c>
      <c r="AU299" s="535">
        <f>350+1552.5</f>
        <v>1902.5</v>
      </c>
      <c r="AV299" s="535">
        <v>-404.06</v>
      </c>
      <c r="AW299" s="535">
        <v>61786.9</v>
      </c>
      <c r="AX299" s="535"/>
      <c r="AY299" s="535">
        <v>-5989.48</v>
      </c>
      <c r="AZ299" s="535"/>
      <c r="BA299" s="535">
        <v>-29.05</v>
      </c>
      <c r="BB299" s="480">
        <f t="shared" si="51"/>
        <v>0</v>
      </c>
      <c r="BC299" s="480">
        <f t="shared" si="52"/>
        <v>0</v>
      </c>
      <c r="BD299" s="480">
        <f t="shared" si="53"/>
        <v>0</v>
      </c>
      <c r="BE299" s="480">
        <f t="shared" si="54"/>
        <v>0</v>
      </c>
      <c r="BF299" s="480">
        <f t="shared" si="55"/>
        <v>0</v>
      </c>
      <c r="BG299" s="480">
        <f t="shared" si="56"/>
        <v>0</v>
      </c>
      <c r="BH299" s="480">
        <f t="shared" si="57"/>
        <v>0</v>
      </c>
      <c r="BI299" s="6">
        <f t="shared" si="58"/>
        <v>5921</v>
      </c>
      <c r="BJ299" s="480" t="str">
        <f t="shared" si="59"/>
        <v>Molondin</v>
      </c>
    </row>
    <row r="300" spans="1:62" x14ac:dyDescent="0.25">
      <c r="A300" s="341">
        <v>5922</v>
      </c>
      <c r="B300" s="523" t="s">
        <v>273</v>
      </c>
      <c r="C300" s="394">
        <v>1175357.67</v>
      </c>
      <c r="D300" s="394">
        <v>177661.9</v>
      </c>
      <c r="E300" s="391"/>
      <c r="F300" s="394">
        <v>0</v>
      </c>
      <c r="G300" s="394">
        <v>394569.7</v>
      </c>
      <c r="H300" s="394">
        <v>11621.1</v>
      </c>
      <c r="I300" s="394">
        <v>0</v>
      </c>
      <c r="J300" s="394">
        <v>58040.38</v>
      </c>
      <c r="K300" s="394">
        <v>-444.65000000000902</v>
      </c>
      <c r="L300" s="394">
        <v>259028.05</v>
      </c>
      <c r="M300" s="334">
        <f t="shared" si="48"/>
        <v>2075834.15</v>
      </c>
      <c r="N300" s="398">
        <v>275454.95</v>
      </c>
      <c r="O300" s="398">
        <v>-6233.6</v>
      </c>
      <c r="P300" s="398">
        <v>97702.85</v>
      </c>
      <c r="Q300" s="398">
        <v>1375.5</v>
      </c>
      <c r="R300" s="398">
        <v>33978.300000000003</v>
      </c>
      <c r="S300" s="398">
        <v>3875</v>
      </c>
      <c r="T300" s="398">
        <v>81835.3</v>
      </c>
      <c r="U300" s="398">
        <v>1560</v>
      </c>
      <c r="V300" s="398"/>
      <c r="W300" s="398"/>
      <c r="X300" s="382">
        <v>48721.32</v>
      </c>
      <c r="Y300" s="485">
        <f t="shared" si="49"/>
        <v>2614103.7699999996</v>
      </c>
      <c r="Z300" s="399">
        <v>12710.6</v>
      </c>
      <c r="AA300" s="399"/>
      <c r="AB300" s="399">
        <v>179138.15</v>
      </c>
      <c r="AC300" s="399"/>
      <c r="AD300" s="399">
        <v>133888.75</v>
      </c>
      <c r="AE300" s="399">
        <v>1560.95</v>
      </c>
      <c r="AF300" s="399"/>
      <c r="AG300" s="399"/>
      <c r="AH300" s="399">
        <v>72</v>
      </c>
      <c r="AI300" s="399">
        <v>90006.35</v>
      </c>
      <c r="AJ300" s="399"/>
      <c r="AK300" s="399"/>
      <c r="AL300" s="477"/>
      <c r="AM300" s="485">
        <f t="shared" si="50"/>
        <v>417376.80000000005</v>
      </c>
      <c r="AN300" s="399">
        <v>63.5</v>
      </c>
      <c r="AO300" s="402">
        <v>737</v>
      </c>
      <c r="AP300" s="480">
        <v>-73955.02</v>
      </c>
      <c r="AQ300" s="490"/>
      <c r="AR300" s="490">
        <v>-506.68</v>
      </c>
      <c r="AS300" s="520">
        <v>0.8</v>
      </c>
      <c r="AT300" s="535">
        <v>2614103.77</v>
      </c>
      <c r="AU300" s="535">
        <f>3875+81835.3+1560</f>
        <v>87270.3</v>
      </c>
      <c r="AV300" s="535">
        <v>48721.32</v>
      </c>
      <c r="AW300" s="535">
        <v>417376.8</v>
      </c>
      <c r="AX300" s="535"/>
      <c r="AY300" s="535">
        <v>-73955.02</v>
      </c>
      <c r="AZ300" s="535"/>
      <c r="BA300" s="535">
        <v>-506.68</v>
      </c>
      <c r="BB300" s="480">
        <f t="shared" si="51"/>
        <v>0</v>
      </c>
      <c r="BC300" s="480">
        <f t="shared" si="52"/>
        <v>0</v>
      </c>
      <c r="BD300" s="480">
        <f t="shared" si="53"/>
        <v>0</v>
      </c>
      <c r="BE300" s="480">
        <f t="shared" si="54"/>
        <v>0</v>
      </c>
      <c r="BF300" s="480">
        <f t="shared" si="55"/>
        <v>0</v>
      </c>
      <c r="BG300" s="480">
        <f t="shared" si="56"/>
        <v>0</v>
      </c>
      <c r="BH300" s="480">
        <f t="shared" si="57"/>
        <v>0</v>
      </c>
      <c r="BI300" s="6">
        <f t="shared" si="58"/>
        <v>5922</v>
      </c>
      <c r="BJ300" s="480" t="str">
        <f t="shared" si="59"/>
        <v>Montagny-près-Yverdon</v>
      </c>
    </row>
    <row r="301" spans="1:62" x14ac:dyDescent="0.25">
      <c r="A301" s="341">
        <v>5923</v>
      </c>
      <c r="B301" s="523" t="s">
        <v>274</v>
      </c>
      <c r="C301" s="394">
        <v>318747.53000000003</v>
      </c>
      <c r="D301" s="394">
        <v>18226.830000000002</v>
      </c>
      <c r="E301" s="391"/>
      <c r="F301" s="394">
        <v>0</v>
      </c>
      <c r="G301" s="394">
        <v>2196.6999999999998</v>
      </c>
      <c r="H301" s="394">
        <v>1026.5999999999999</v>
      </c>
      <c r="I301" s="394">
        <v>0</v>
      </c>
      <c r="J301" s="394">
        <v>26224.33</v>
      </c>
      <c r="K301" s="394">
        <v>0</v>
      </c>
      <c r="L301" s="394">
        <v>25830.400000000001</v>
      </c>
      <c r="M301" s="334">
        <f t="shared" si="48"/>
        <v>392252.39000000007</v>
      </c>
      <c r="N301" s="398">
        <v>19955.7</v>
      </c>
      <c r="O301" s="398">
        <v>10</v>
      </c>
      <c r="P301" s="398">
        <v>6036.25</v>
      </c>
      <c r="Q301" s="398">
        <v>0</v>
      </c>
      <c r="R301" s="398">
        <v>14162.6</v>
      </c>
      <c r="S301" s="398"/>
      <c r="T301" s="398"/>
      <c r="U301" s="398">
        <v>2617.5</v>
      </c>
      <c r="V301" s="398"/>
      <c r="W301" s="398"/>
      <c r="X301" s="382">
        <v>386.62</v>
      </c>
      <c r="Y301" s="485">
        <f t="shared" si="49"/>
        <v>435421.06000000006</v>
      </c>
      <c r="Z301" s="399"/>
      <c r="AA301" s="399"/>
      <c r="AB301" s="399">
        <v>52166.5</v>
      </c>
      <c r="AC301" s="399"/>
      <c r="AD301" s="399">
        <v>13558.1</v>
      </c>
      <c r="AE301" s="399"/>
      <c r="AF301" s="399"/>
      <c r="AG301" s="399"/>
      <c r="AH301" s="399"/>
      <c r="AI301" s="399"/>
      <c r="AJ301" s="399"/>
      <c r="AK301" s="399"/>
      <c r="AL301" s="477"/>
      <c r="AM301" s="485">
        <f t="shared" si="50"/>
        <v>65724.600000000006</v>
      </c>
      <c r="AN301" s="399">
        <v>81</v>
      </c>
      <c r="AO301" s="402">
        <v>201</v>
      </c>
      <c r="AP301" s="480">
        <v>-3900.52</v>
      </c>
      <c r="AQ301" s="490"/>
      <c r="AR301" s="490">
        <v>0</v>
      </c>
      <c r="AS301" s="520">
        <v>1</v>
      </c>
      <c r="AT301" s="535">
        <v>435421.06</v>
      </c>
      <c r="AU301" s="535">
        <v>2617.5</v>
      </c>
      <c r="AV301" s="535">
        <v>386.62</v>
      </c>
      <c r="AW301" s="535">
        <v>65724.600000000006</v>
      </c>
      <c r="AX301" s="535"/>
      <c r="AY301" s="535">
        <v>-3900.52</v>
      </c>
      <c r="AZ301" s="535"/>
      <c r="BA301" s="535">
        <v>0</v>
      </c>
      <c r="BB301" s="480">
        <f t="shared" si="51"/>
        <v>0</v>
      </c>
      <c r="BC301" s="480">
        <f t="shared" si="52"/>
        <v>0</v>
      </c>
      <c r="BD301" s="480">
        <f t="shared" si="53"/>
        <v>0</v>
      </c>
      <c r="BE301" s="480">
        <f t="shared" si="54"/>
        <v>0</v>
      </c>
      <c r="BF301" s="480">
        <f t="shared" si="55"/>
        <v>0</v>
      </c>
      <c r="BG301" s="480">
        <f t="shared" si="56"/>
        <v>0</v>
      </c>
      <c r="BH301" s="480">
        <f t="shared" si="57"/>
        <v>0</v>
      </c>
      <c r="BI301" s="6">
        <f t="shared" si="58"/>
        <v>5923</v>
      </c>
      <c r="BJ301" s="480" t="str">
        <f t="shared" si="59"/>
        <v>Oppens</v>
      </c>
    </row>
    <row r="302" spans="1:62" x14ac:dyDescent="0.25">
      <c r="A302" s="341">
        <v>5924</v>
      </c>
      <c r="B302" s="523" t="s">
        <v>275</v>
      </c>
      <c r="C302" s="394">
        <v>755331.63</v>
      </c>
      <c r="D302" s="394">
        <v>77955.509999999995</v>
      </c>
      <c r="E302" s="391"/>
      <c r="F302" s="394">
        <v>0</v>
      </c>
      <c r="G302" s="394">
        <v>32631.1</v>
      </c>
      <c r="H302" s="394">
        <v>182.1</v>
      </c>
      <c r="I302" s="394">
        <v>0</v>
      </c>
      <c r="J302" s="394">
        <v>2483.7199999999998</v>
      </c>
      <c r="K302" s="394">
        <v>0</v>
      </c>
      <c r="L302" s="394">
        <v>58527</v>
      </c>
      <c r="M302" s="334">
        <f t="shared" si="48"/>
        <v>927111.05999999994</v>
      </c>
      <c r="N302" s="398">
        <v>16319.85</v>
      </c>
      <c r="O302" s="398">
        <v>7385</v>
      </c>
      <c r="P302" s="398">
        <v>71747.649999999994</v>
      </c>
      <c r="Q302" s="398">
        <v>0</v>
      </c>
      <c r="R302" s="398">
        <v>89990.55</v>
      </c>
      <c r="S302" s="398">
        <v>350</v>
      </c>
      <c r="T302" s="398"/>
      <c r="U302" s="398">
        <v>3091.65</v>
      </c>
      <c r="V302" s="398"/>
      <c r="W302" s="398"/>
      <c r="X302" s="382">
        <v>3935.84</v>
      </c>
      <c r="Y302" s="485">
        <f t="shared" si="49"/>
        <v>1119931.5999999999</v>
      </c>
      <c r="Z302" s="399">
        <v>-17369</v>
      </c>
      <c r="AA302" s="399"/>
      <c r="AB302" s="399">
        <v>-8884.5</v>
      </c>
      <c r="AC302" s="399"/>
      <c r="AD302" s="399">
        <v>15176.2</v>
      </c>
      <c r="AE302" s="399">
        <v>-12765.1</v>
      </c>
      <c r="AF302" s="399"/>
      <c r="AG302" s="399"/>
      <c r="AH302" s="399">
        <v>2656</v>
      </c>
      <c r="AI302" s="399"/>
      <c r="AJ302" s="399"/>
      <c r="AK302" s="399"/>
      <c r="AL302" s="477"/>
      <c r="AM302" s="485">
        <f t="shared" si="50"/>
        <v>-21186.400000000001</v>
      </c>
      <c r="AN302" s="399">
        <v>74</v>
      </c>
      <c r="AO302" s="402">
        <v>343</v>
      </c>
      <c r="AP302" s="480">
        <v>-4091.03</v>
      </c>
      <c r="AQ302" s="490"/>
      <c r="AR302" s="490">
        <v>-74.400000000000006</v>
      </c>
      <c r="AS302" s="520">
        <v>1</v>
      </c>
      <c r="AT302" s="535">
        <v>1119931.6000000001</v>
      </c>
      <c r="AU302" s="535">
        <f>350+3091.65</f>
        <v>3441.65</v>
      </c>
      <c r="AV302" s="535">
        <v>3935.84</v>
      </c>
      <c r="AW302" s="535">
        <v>-21186.400000000001</v>
      </c>
      <c r="AX302" s="535"/>
      <c r="AY302" s="535">
        <v>-4091.03</v>
      </c>
      <c r="AZ302" s="535"/>
      <c r="BA302" s="535">
        <v>-74.400000000000006</v>
      </c>
      <c r="BB302" s="480">
        <f t="shared" si="51"/>
        <v>0</v>
      </c>
      <c r="BC302" s="480">
        <f t="shared" si="52"/>
        <v>0</v>
      </c>
      <c r="BD302" s="480">
        <f t="shared" si="53"/>
        <v>0</v>
      </c>
      <c r="BE302" s="480">
        <f t="shared" si="54"/>
        <v>0</v>
      </c>
      <c r="BF302" s="480">
        <f t="shared" si="55"/>
        <v>0</v>
      </c>
      <c r="BG302" s="480">
        <f t="shared" si="56"/>
        <v>0</v>
      </c>
      <c r="BH302" s="480">
        <f t="shared" si="57"/>
        <v>0</v>
      </c>
      <c r="BI302" s="6">
        <f t="shared" si="58"/>
        <v>5924</v>
      </c>
      <c r="BJ302" s="480" t="str">
        <f t="shared" si="59"/>
        <v>Orges</v>
      </c>
    </row>
    <row r="303" spans="1:62" x14ac:dyDescent="0.25">
      <c r="A303" s="341">
        <v>5925</v>
      </c>
      <c r="B303" s="523" t="s">
        <v>399</v>
      </c>
      <c r="C303" s="394">
        <v>419520.89</v>
      </c>
      <c r="D303" s="394">
        <v>17382.150000000001</v>
      </c>
      <c r="E303" s="391"/>
      <c r="F303" s="394">
        <v>1230</v>
      </c>
      <c r="G303" s="394">
        <v>-4018.55</v>
      </c>
      <c r="H303" s="394">
        <v>253.75</v>
      </c>
      <c r="I303" s="394">
        <v>0</v>
      </c>
      <c r="J303" s="394">
        <v>10449.290000000001</v>
      </c>
      <c r="K303" s="394">
        <v>0</v>
      </c>
      <c r="L303" s="394">
        <v>31788.1</v>
      </c>
      <c r="M303" s="334">
        <f t="shared" si="48"/>
        <v>476605.63</v>
      </c>
      <c r="N303" s="398">
        <v>7684.4</v>
      </c>
      <c r="O303" s="398">
        <v>112427.7</v>
      </c>
      <c r="P303" s="398">
        <v>15290</v>
      </c>
      <c r="Q303" s="398">
        <v>0</v>
      </c>
      <c r="R303" s="398">
        <v>4637.55</v>
      </c>
      <c r="S303" s="398"/>
      <c r="T303" s="398">
        <v>100</v>
      </c>
      <c r="U303" s="398">
        <v>2440</v>
      </c>
      <c r="V303" s="398"/>
      <c r="W303" s="398"/>
      <c r="X303" s="382">
        <v>-451.58</v>
      </c>
      <c r="Y303" s="485">
        <f t="shared" si="49"/>
        <v>618733.70000000007</v>
      </c>
      <c r="Z303" s="399"/>
      <c r="AA303" s="399">
        <v>700</v>
      </c>
      <c r="AB303" s="399">
        <v>40583.5</v>
      </c>
      <c r="AC303" s="399"/>
      <c r="AD303" s="399">
        <v>13985.6</v>
      </c>
      <c r="AE303" s="399">
        <v>1320</v>
      </c>
      <c r="AF303" s="399">
        <v>182.15</v>
      </c>
      <c r="AG303" s="399"/>
      <c r="AH303" s="399"/>
      <c r="AI303" s="399"/>
      <c r="AJ303" s="399"/>
      <c r="AK303" s="399"/>
      <c r="AL303" s="477"/>
      <c r="AM303" s="485">
        <f t="shared" si="50"/>
        <v>56771.25</v>
      </c>
      <c r="AN303" s="399">
        <v>79</v>
      </c>
      <c r="AO303" s="402">
        <v>201</v>
      </c>
      <c r="AP303" s="480">
        <v>-11676.58</v>
      </c>
      <c r="AQ303" s="490"/>
      <c r="AR303" s="490">
        <v>0</v>
      </c>
      <c r="AS303" s="520">
        <v>1</v>
      </c>
      <c r="AT303" s="535">
        <v>618733.69999999995</v>
      </c>
      <c r="AU303" s="535">
        <f>100+2440</f>
        <v>2540</v>
      </c>
      <c r="AV303" s="535">
        <v>-451.58</v>
      </c>
      <c r="AW303" s="535">
        <v>56771.25</v>
      </c>
      <c r="AX303" s="535"/>
      <c r="AY303" s="535">
        <v>-11676.58</v>
      </c>
      <c r="AZ303" s="535"/>
      <c r="BA303" s="535">
        <v>0</v>
      </c>
      <c r="BB303" s="480">
        <f t="shared" si="51"/>
        <v>0</v>
      </c>
      <c r="BC303" s="480">
        <f t="shared" si="52"/>
        <v>0</v>
      </c>
      <c r="BD303" s="480">
        <f t="shared" si="53"/>
        <v>0</v>
      </c>
      <c r="BE303" s="480">
        <f t="shared" si="54"/>
        <v>0</v>
      </c>
      <c r="BF303" s="480">
        <f t="shared" si="55"/>
        <v>0</v>
      </c>
      <c r="BG303" s="480">
        <f t="shared" si="56"/>
        <v>0</v>
      </c>
      <c r="BH303" s="480">
        <f t="shared" si="57"/>
        <v>0</v>
      </c>
      <c r="BI303" s="6">
        <f t="shared" si="58"/>
        <v>5925</v>
      </c>
      <c r="BJ303" s="480" t="str">
        <f t="shared" si="59"/>
        <v>Orzens</v>
      </c>
    </row>
    <row r="304" spans="1:62" x14ac:dyDescent="0.25">
      <c r="A304" s="341">
        <v>5926</v>
      </c>
      <c r="B304" s="333" t="s">
        <v>400</v>
      </c>
      <c r="C304" s="394">
        <v>1558340.11</v>
      </c>
      <c r="D304" s="394">
        <v>252513.13</v>
      </c>
      <c r="E304" s="391"/>
      <c r="F304" s="394">
        <v>0</v>
      </c>
      <c r="G304" s="394">
        <v>5409.6499999999896</v>
      </c>
      <c r="H304" s="394">
        <v>-128.30000000000001</v>
      </c>
      <c r="I304" s="394">
        <v>0</v>
      </c>
      <c r="J304" s="394">
        <v>22139.54</v>
      </c>
      <c r="K304" s="394">
        <v>0</v>
      </c>
      <c r="L304" s="544">
        <v>121418</v>
      </c>
      <c r="M304" s="334">
        <f t="shared" si="48"/>
        <v>1959692.1300000001</v>
      </c>
      <c r="N304" s="398">
        <v>11494.6</v>
      </c>
      <c r="O304" s="398">
        <v>19099.900000000001</v>
      </c>
      <c r="P304" s="398">
        <v>100571.3</v>
      </c>
      <c r="Q304" s="398">
        <v>4972.66</v>
      </c>
      <c r="R304" s="398">
        <v>51321.7</v>
      </c>
      <c r="S304" s="398"/>
      <c r="T304" s="398"/>
      <c r="U304" s="398">
        <v>4300</v>
      </c>
      <c r="V304" s="398"/>
      <c r="W304" s="398"/>
      <c r="X304" s="382">
        <v>633.48</v>
      </c>
      <c r="Y304" s="485">
        <f t="shared" si="49"/>
        <v>2152085.77</v>
      </c>
      <c r="Z304" s="399"/>
      <c r="AA304" s="399"/>
      <c r="AB304" s="399"/>
      <c r="AC304" s="399"/>
      <c r="AD304" s="399"/>
      <c r="AE304" s="399"/>
      <c r="AF304" s="399"/>
      <c r="AG304" s="399"/>
      <c r="AH304" s="399"/>
      <c r="AI304" s="399"/>
      <c r="AJ304" s="399"/>
      <c r="AK304" s="399"/>
      <c r="AL304" s="477"/>
      <c r="AM304" s="485">
        <f t="shared" si="50"/>
        <v>0</v>
      </c>
      <c r="AN304" s="399">
        <v>71</v>
      </c>
      <c r="AO304" s="402">
        <v>803</v>
      </c>
      <c r="AP304" s="480">
        <v>-11331.52</v>
      </c>
      <c r="AQ304" s="490"/>
      <c r="AR304" s="490">
        <v>-90.08</v>
      </c>
      <c r="AS304" s="520">
        <v>1</v>
      </c>
      <c r="AT304" s="535"/>
      <c r="AU304" s="535"/>
      <c r="AV304" s="535"/>
      <c r="AW304" s="535"/>
      <c r="AX304" s="535"/>
      <c r="AY304" s="535"/>
      <c r="AZ304" s="535"/>
      <c r="BA304" s="535"/>
      <c r="BB304" s="480">
        <f t="shared" si="51"/>
        <v>-2152085.77</v>
      </c>
      <c r="BC304" s="480">
        <f t="shared" si="52"/>
        <v>0</v>
      </c>
      <c r="BD304" s="480">
        <f t="shared" si="53"/>
        <v>11331.52</v>
      </c>
      <c r="BE304" s="480">
        <f t="shared" si="54"/>
        <v>0</v>
      </c>
      <c r="BF304" s="480">
        <f t="shared" si="55"/>
        <v>90.08</v>
      </c>
      <c r="BG304" s="480">
        <f t="shared" si="56"/>
        <v>-633.48</v>
      </c>
      <c r="BH304" s="480">
        <f t="shared" si="57"/>
        <v>4300</v>
      </c>
      <c r="BI304" s="6">
        <f t="shared" si="58"/>
        <v>5926</v>
      </c>
      <c r="BJ304" s="480" t="str">
        <f t="shared" si="59"/>
        <v>Pomy</v>
      </c>
    </row>
    <row r="305" spans="1:62" x14ac:dyDescent="0.25">
      <c r="A305" s="341">
        <v>5928</v>
      </c>
      <c r="B305" s="333" t="s">
        <v>401</v>
      </c>
      <c r="C305" s="394">
        <v>299784.45</v>
      </c>
      <c r="D305" s="394">
        <v>52813.62</v>
      </c>
      <c r="E305" s="391"/>
      <c r="F305" s="394">
        <v>0</v>
      </c>
      <c r="G305" s="394">
        <v>3182.7</v>
      </c>
      <c r="H305" s="394">
        <v>45.5</v>
      </c>
      <c r="I305" s="394">
        <v>0</v>
      </c>
      <c r="J305" s="394">
        <v>25596.57</v>
      </c>
      <c r="K305" s="394">
        <v>0</v>
      </c>
      <c r="L305" s="394">
        <v>22647</v>
      </c>
      <c r="M305" s="334">
        <f t="shared" si="48"/>
        <v>404069.84</v>
      </c>
      <c r="N305" s="398">
        <v>5029.1499999999996</v>
      </c>
      <c r="O305" s="398">
        <v>-22567.3</v>
      </c>
      <c r="P305" s="398">
        <v>12822.7</v>
      </c>
      <c r="Q305" s="398">
        <v>-1.82</v>
      </c>
      <c r="R305" s="398">
        <v>14703.3</v>
      </c>
      <c r="S305" s="398"/>
      <c r="T305" s="398"/>
      <c r="U305" s="398">
        <v>1440</v>
      </c>
      <c r="V305" s="398"/>
      <c r="W305" s="398"/>
      <c r="X305" s="382">
        <v>387.21</v>
      </c>
      <c r="Y305" s="485">
        <f t="shared" si="49"/>
        <v>415883.08000000007</v>
      </c>
      <c r="Z305" s="399"/>
      <c r="AA305" s="399"/>
      <c r="AB305" s="399"/>
      <c r="AC305" s="399"/>
      <c r="AD305" s="399"/>
      <c r="AE305" s="399"/>
      <c r="AF305" s="399"/>
      <c r="AG305" s="399"/>
      <c r="AH305" s="399"/>
      <c r="AI305" s="399"/>
      <c r="AJ305" s="399"/>
      <c r="AK305" s="399"/>
      <c r="AL305" s="477"/>
      <c r="AM305" s="485">
        <f t="shared" si="50"/>
        <v>0</v>
      </c>
      <c r="AN305" s="399">
        <v>71.5</v>
      </c>
      <c r="AO305" s="402">
        <v>204</v>
      </c>
      <c r="AP305" s="480">
        <v>-6650.09</v>
      </c>
      <c r="AQ305" s="490"/>
      <c r="AR305" s="490">
        <v>-21.61</v>
      </c>
      <c r="AS305" s="520">
        <v>1</v>
      </c>
      <c r="AT305" s="535"/>
      <c r="AU305" s="535"/>
      <c r="AV305" s="535"/>
      <c r="AW305" s="535"/>
      <c r="AX305" s="535"/>
      <c r="AY305" s="535"/>
      <c r="AZ305" s="535"/>
      <c r="BA305" s="535"/>
      <c r="BB305" s="480">
        <f t="shared" si="51"/>
        <v>-415883.08000000007</v>
      </c>
      <c r="BC305" s="480">
        <f t="shared" si="52"/>
        <v>0</v>
      </c>
      <c r="BD305" s="480">
        <f t="shared" si="53"/>
        <v>6650.09</v>
      </c>
      <c r="BE305" s="480">
        <f t="shared" si="54"/>
        <v>0</v>
      </c>
      <c r="BF305" s="480">
        <f t="shared" si="55"/>
        <v>21.61</v>
      </c>
      <c r="BG305" s="480">
        <f t="shared" si="56"/>
        <v>-387.21</v>
      </c>
      <c r="BH305" s="480">
        <f t="shared" si="57"/>
        <v>1440</v>
      </c>
      <c r="BI305" s="6">
        <f t="shared" si="58"/>
        <v>5928</v>
      </c>
      <c r="BJ305" s="480" t="str">
        <f t="shared" si="59"/>
        <v>Rovray</v>
      </c>
    </row>
    <row r="306" spans="1:62" x14ac:dyDescent="0.25">
      <c r="A306" s="341">
        <v>5929</v>
      </c>
      <c r="B306" s="523" t="s">
        <v>402</v>
      </c>
      <c r="C306" s="394">
        <v>1106902.06</v>
      </c>
      <c r="D306" s="394">
        <v>99030.74</v>
      </c>
      <c r="E306" s="391"/>
      <c r="F306" s="394">
        <v>0</v>
      </c>
      <c r="G306" s="394">
        <v>30281.7</v>
      </c>
      <c r="H306" s="394">
        <v>90</v>
      </c>
      <c r="I306" s="394">
        <v>41100.15</v>
      </c>
      <c r="J306" s="394">
        <v>14288.28</v>
      </c>
      <c r="K306" s="394">
        <v>0</v>
      </c>
      <c r="L306" s="394">
        <v>91059.25</v>
      </c>
      <c r="M306" s="334">
        <f t="shared" si="48"/>
        <v>1382752.18</v>
      </c>
      <c r="N306" s="398">
        <v>10330.75</v>
      </c>
      <c r="O306" s="398">
        <v>0</v>
      </c>
      <c r="P306" s="398">
        <v>54620.5</v>
      </c>
      <c r="Q306" s="398">
        <v>0</v>
      </c>
      <c r="R306" s="398">
        <v>35210</v>
      </c>
      <c r="S306" s="398"/>
      <c r="T306" s="398">
        <v>412.2</v>
      </c>
      <c r="U306" s="398">
        <v>2370</v>
      </c>
      <c r="V306" s="398"/>
      <c r="W306" s="398"/>
      <c r="X306" s="382">
        <v>3642.99</v>
      </c>
      <c r="Y306" s="485">
        <f t="shared" si="49"/>
        <v>1489338.6199999999</v>
      </c>
      <c r="Z306" s="399"/>
      <c r="AA306" s="399"/>
      <c r="AB306" s="399">
        <v>199179.45</v>
      </c>
      <c r="AC306" s="399"/>
      <c r="AD306" s="399">
        <v>70561.2</v>
      </c>
      <c r="AE306" s="399"/>
      <c r="AF306" s="399"/>
      <c r="AG306" s="399"/>
      <c r="AH306" s="399"/>
      <c r="AI306" s="399">
        <v>12211.8</v>
      </c>
      <c r="AJ306" s="399"/>
      <c r="AK306" s="399"/>
      <c r="AL306" s="477"/>
      <c r="AM306" s="485">
        <f t="shared" si="50"/>
        <v>281952.45</v>
      </c>
      <c r="AN306" s="399">
        <v>70</v>
      </c>
      <c r="AO306" s="402">
        <v>656</v>
      </c>
      <c r="AP306" s="480">
        <v>-21227.27</v>
      </c>
      <c r="AQ306" s="490"/>
      <c r="AR306" s="490">
        <v>-14.49</v>
      </c>
      <c r="AS306" s="520">
        <v>0.8</v>
      </c>
      <c r="AT306" s="535">
        <v>1489338.62</v>
      </c>
      <c r="AU306" s="535">
        <f>412.2+2370</f>
        <v>2782.2</v>
      </c>
      <c r="AV306" s="535">
        <v>3642.99</v>
      </c>
      <c r="AW306" s="535">
        <v>281952.45</v>
      </c>
      <c r="AX306" s="535"/>
      <c r="AY306" s="535">
        <v>-21227.27</v>
      </c>
      <c r="AZ306" s="535"/>
      <c r="BA306" s="535">
        <v>-14.49</v>
      </c>
      <c r="BB306" s="480">
        <f t="shared" si="51"/>
        <v>0</v>
      </c>
      <c r="BC306" s="480">
        <f t="shared" si="52"/>
        <v>0</v>
      </c>
      <c r="BD306" s="480">
        <f t="shared" si="53"/>
        <v>0</v>
      </c>
      <c r="BE306" s="480">
        <f t="shared" si="54"/>
        <v>0</v>
      </c>
      <c r="BF306" s="480">
        <f t="shared" si="55"/>
        <v>0</v>
      </c>
      <c r="BG306" s="480">
        <f t="shared" si="56"/>
        <v>0</v>
      </c>
      <c r="BH306" s="480">
        <f t="shared" si="57"/>
        <v>0</v>
      </c>
      <c r="BI306" s="6">
        <f t="shared" si="58"/>
        <v>5929</v>
      </c>
      <c r="BJ306" s="480" t="str">
        <f t="shared" si="59"/>
        <v>Suchy</v>
      </c>
    </row>
    <row r="307" spans="1:62" x14ac:dyDescent="0.25">
      <c r="A307" s="341">
        <v>5930</v>
      </c>
      <c r="B307" s="523" t="s">
        <v>403</v>
      </c>
      <c r="C307" s="394">
        <v>346088.66</v>
      </c>
      <c r="D307" s="394">
        <v>36966.019999999997</v>
      </c>
      <c r="E307" s="391"/>
      <c r="F307" s="394">
        <v>1180</v>
      </c>
      <c r="G307" s="394">
        <v>4488.8</v>
      </c>
      <c r="H307" s="394">
        <v>81</v>
      </c>
      <c r="I307" s="394">
        <v>0</v>
      </c>
      <c r="J307" s="394">
        <v>9254.5</v>
      </c>
      <c r="K307" s="394">
        <v>228.6</v>
      </c>
      <c r="L307" s="394">
        <v>29960.15</v>
      </c>
      <c r="M307" s="334">
        <f t="shared" si="48"/>
        <v>428247.73</v>
      </c>
      <c r="N307" s="398">
        <v>3787.4</v>
      </c>
      <c r="O307" s="398">
        <v>4.9000000000000004</v>
      </c>
      <c r="P307" s="398">
        <v>2762.35</v>
      </c>
      <c r="Q307" s="398">
        <v>0</v>
      </c>
      <c r="R307" s="398">
        <v>0</v>
      </c>
      <c r="S307" s="398"/>
      <c r="T307" s="398"/>
      <c r="U307" s="398">
        <v>600</v>
      </c>
      <c r="V307" s="398"/>
      <c r="W307" s="398"/>
      <c r="X307" s="382">
        <v>548.13</v>
      </c>
      <c r="Y307" s="485">
        <f t="shared" si="49"/>
        <v>435950.51</v>
      </c>
      <c r="Z307" s="399"/>
      <c r="AA307" s="399"/>
      <c r="AB307" s="399">
        <v>24979.599999999999</v>
      </c>
      <c r="AC307" s="399"/>
      <c r="AD307" s="399">
        <v>8315.7999999999993</v>
      </c>
      <c r="AE307" s="399">
        <v>2715.15</v>
      </c>
      <c r="AF307" s="399"/>
      <c r="AG307" s="399"/>
      <c r="AH307" s="399"/>
      <c r="AI307" s="399"/>
      <c r="AJ307" s="399"/>
      <c r="AK307" s="399"/>
      <c r="AL307" s="477"/>
      <c r="AM307" s="485">
        <f t="shared" si="50"/>
        <v>36010.549999999996</v>
      </c>
      <c r="AN307" s="399">
        <v>72</v>
      </c>
      <c r="AO307" s="402">
        <v>204</v>
      </c>
      <c r="AP307" s="480">
        <v>-13416.71</v>
      </c>
      <c r="AQ307" s="490"/>
      <c r="AR307" s="490">
        <v>0</v>
      </c>
      <c r="AS307" s="520">
        <v>1</v>
      </c>
      <c r="AT307" s="535">
        <v>435950.51</v>
      </c>
      <c r="AU307" s="535">
        <v>600</v>
      </c>
      <c r="AV307" s="535">
        <v>548.13</v>
      </c>
      <c r="AW307" s="535">
        <v>36010.550000000003</v>
      </c>
      <c r="AX307" s="535"/>
      <c r="AY307" s="535">
        <v>-13416.71</v>
      </c>
      <c r="AZ307" s="535"/>
      <c r="BA307" s="535">
        <v>0</v>
      </c>
      <c r="BB307" s="480">
        <f t="shared" si="51"/>
        <v>0</v>
      </c>
      <c r="BC307" s="480">
        <f t="shared" si="52"/>
        <v>0</v>
      </c>
      <c r="BD307" s="480">
        <f t="shared" si="53"/>
        <v>0</v>
      </c>
      <c r="BE307" s="480">
        <f t="shared" si="54"/>
        <v>0</v>
      </c>
      <c r="BF307" s="480">
        <f t="shared" si="55"/>
        <v>0</v>
      </c>
      <c r="BG307" s="480">
        <f t="shared" si="56"/>
        <v>0</v>
      </c>
      <c r="BH307" s="480">
        <f t="shared" si="57"/>
        <v>0</v>
      </c>
      <c r="BI307" s="6">
        <f t="shared" si="58"/>
        <v>5930</v>
      </c>
      <c r="BJ307" s="480" t="str">
        <f t="shared" si="59"/>
        <v>Suscévaz</v>
      </c>
    </row>
    <row r="308" spans="1:62" x14ac:dyDescent="0.25">
      <c r="A308" s="341">
        <v>5931</v>
      </c>
      <c r="B308" s="523" t="s">
        <v>404</v>
      </c>
      <c r="C308" s="394">
        <v>913796.2</v>
      </c>
      <c r="D308" s="394">
        <v>120948.33</v>
      </c>
      <c r="E308" s="391"/>
      <c r="F308" s="394">
        <v>0</v>
      </c>
      <c r="G308" s="394">
        <v>16709.650000000001</v>
      </c>
      <c r="H308" s="394">
        <v>980.2</v>
      </c>
      <c r="I308" s="394">
        <v>0</v>
      </c>
      <c r="J308" s="394">
        <v>19888.89</v>
      </c>
      <c r="K308" s="394">
        <v>644.4</v>
      </c>
      <c r="L308" s="394">
        <v>78865.8</v>
      </c>
      <c r="M308" s="334">
        <f t="shared" si="48"/>
        <v>1151833.4699999997</v>
      </c>
      <c r="N308" s="398">
        <v>24166.85</v>
      </c>
      <c r="O308" s="398">
        <v>0</v>
      </c>
      <c r="P308" s="398">
        <v>38500</v>
      </c>
      <c r="Q308" s="398">
        <v>4418.49</v>
      </c>
      <c r="R308" s="398">
        <v>42587.45</v>
      </c>
      <c r="S308" s="398"/>
      <c r="T308" s="398">
        <v>197.25</v>
      </c>
      <c r="U308" s="398">
        <v>3850</v>
      </c>
      <c r="V308" s="398"/>
      <c r="W308" s="398"/>
      <c r="X308" s="382">
        <v>2121.84</v>
      </c>
      <c r="Y308" s="485">
        <f t="shared" si="49"/>
        <v>1267675.3499999999</v>
      </c>
      <c r="Z308" s="399">
        <v>24000</v>
      </c>
      <c r="AA308" s="399"/>
      <c r="AB308" s="399">
        <v>74873.8</v>
      </c>
      <c r="AC308" s="399"/>
      <c r="AD308" s="399">
        <v>40174.5</v>
      </c>
      <c r="AE308" s="399">
        <v>15595.2</v>
      </c>
      <c r="AF308" s="399"/>
      <c r="AG308" s="399"/>
      <c r="AH308" s="399">
        <v>150</v>
      </c>
      <c r="AI308" s="399">
        <v>12660.35</v>
      </c>
      <c r="AJ308" s="399"/>
      <c r="AK308" s="399"/>
      <c r="AL308" s="477"/>
      <c r="AM308" s="485">
        <f t="shared" si="50"/>
        <v>167453.85</v>
      </c>
      <c r="AN308" s="399">
        <v>75</v>
      </c>
      <c r="AO308" s="402">
        <v>485</v>
      </c>
      <c r="AP308" s="480">
        <v>-4549.88</v>
      </c>
      <c r="AQ308" s="490"/>
      <c r="AR308" s="490">
        <v>-53.69</v>
      </c>
      <c r="AS308" s="520">
        <v>1</v>
      </c>
      <c r="AT308" s="535">
        <v>1267675.3500000001</v>
      </c>
      <c r="AU308" s="535">
        <f>197.25+3850</f>
        <v>4047.25</v>
      </c>
      <c r="AV308" s="535">
        <v>2121.84</v>
      </c>
      <c r="AW308" s="535">
        <v>167453.85</v>
      </c>
      <c r="AX308" s="535"/>
      <c r="AY308" s="535">
        <v>-4549.88</v>
      </c>
      <c r="AZ308" s="535"/>
      <c r="BA308" s="535">
        <v>-53.69</v>
      </c>
      <c r="BB308" s="480">
        <f t="shared" si="51"/>
        <v>0</v>
      </c>
      <c r="BC308" s="480">
        <f t="shared" si="52"/>
        <v>0</v>
      </c>
      <c r="BD308" s="480">
        <f t="shared" si="53"/>
        <v>0</v>
      </c>
      <c r="BE308" s="480">
        <f t="shared" si="54"/>
        <v>0</v>
      </c>
      <c r="BF308" s="480">
        <f t="shared" si="55"/>
        <v>0</v>
      </c>
      <c r="BG308" s="480">
        <f t="shared" si="56"/>
        <v>0</v>
      </c>
      <c r="BH308" s="480">
        <f t="shared" si="57"/>
        <v>0</v>
      </c>
      <c r="BI308" s="6">
        <f t="shared" si="58"/>
        <v>5931</v>
      </c>
      <c r="BJ308" s="480" t="str">
        <f t="shared" si="59"/>
        <v>Treycovagnes</v>
      </c>
    </row>
    <row r="309" spans="1:62" x14ac:dyDescent="0.25">
      <c r="A309" s="341">
        <v>5932</v>
      </c>
      <c r="B309" s="523" t="s">
        <v>276</v>
      </c>
      <c r="C309" s="394">
        <v>390485.92</v>
      </c>
      <c r="D309" s="394">
        <v>48108.9</v>
      </c>
      <c r="E309" s="391"/>
      <c r="F309" s="394">
        <v>1380</v>
      </c>
      <c r="G309" s="394">
        <v>-224.45</v>
      </c>
      <c r="H309" s="394">
        <v>665.65</v>
      </c>
      <c r="I309" s="394">
        <v>38299.85</v>
      </c>
      <c r="J309" s="394">
        <v>907.44</v>
      </c>
      <c r="K309" s="394">
        <v>819.5</v>
      </c>
      <c r="L309" s="394">
        <v>33076.699999999997</v>
      </c>
      <c r="M309" s="334">
        <f t="shared" si="48"/>
        <v>513519.51</v>
      </c>
      <c r="N309" s="398">
        <v>0</v>
      </c>
      <c r="O309" s="398">
        <v>0</v>
      </c>
      <c r="P309" s="398">
        <v>0</v>
      </c>
      <c r="Q309" s="398">
        <v>14393.89</v>
      </c>
      <c r="R309" s="398">
        <v>0</v>
      </c>
      <c r="S309" s="398"/>
      <c r="T309" s="398">
        <v>150</v>
      </c>
      <c r="U309" s="398">
        <v>1700</v>
      </c>
      <c r="V309" s="398"/>
      <c r="W309" s="398"/>
      <c r="X309" s="382">
        <v>52.92</v>
      </c>
      <c r="Y309" s="485">
        <f t="shared" si="49"/>
        <v>529816.32000000007</v>
      </c>
      <c r="Z309" s="399">
        <v>375</v>
      </c>
      <c r="AA309" s="399"/>
      <c r="AB309" s="399">
        <v>14833.2</v>
      </c>
      <c r="AC309" s="399"/>
      <c r="AD309" s="399">
        <v>14418.1</v>
      </c>
      <c r="AE309" s="399">
        <v>-2226.3000000000002</v>
      </c>
      <c r="AF309" s="399"/>
      <c r="AG309" s="399"/>
      <c r="AH309" s="399"/>
      <c r="AI309" s="399"/>
      <c r="AJ309" s="399"/>
      <c r="AK309" s="399"/>
      <c r="AL309" s="477"/>
      <c r="AM309" s="485">
        <f t="shared" si="50"/>
        <v>27400.000000000004</v>
      </c>
      <c r="AN309" s="399">
        <v>75</v>
      </c>
      <c r="AO309" s="402">
        <v>238</v>
      </c>
      <c r="AP309" s="480">
        <v>-16511.14</v>
      </c>
      <c r="AQ309" s="490"/>
      <c r="AR309" s="490">
        <v>0</v>
      </c>
      <c r="AS309" s="520">
        <v>1</v>
      </c>
      <c r="AT309" s="535">
        <v>529816.31999999995</v>
      </c>
      <c r="AU309" s="535">
        <f>150+1700</f>
        <v>1850</v>
      </c>
      <c r="AV309" s="535">
        <v>52.92</v>
      </c>
      <c r="AW309" s="535">
        <v>27400</v>
      </c>
      <c r="AX309" s="535"/>
      <c r="AY309" s="535">
        <v>-16511.14</v>
      </c>
      <c r="AZ309" s="535"/>
      <c r="BA309" s="535">
        <v>0</v>
      </c>
      <c r="BB309" s="480">
        <f t="shared" si="51"/>
        <v>0</v>
      </c>
      <c r="BC309" s="480">
        <f t="shared" si="52"/>
        <v>0</v>
      </c>
      <c r="BD309" s="480">
        <f t="shared" si="53"/>
        <v>0</v>
      </c>
      <c r="BE309" s="480">
        <f t="shared" si="54"/>
        <v>0</v>
      </c>
      <c r="BF309" s="480">
        <f t="shared" si="55"/>
        <v>0</v>
      </c>
      <c r="BG309" s="480">
        <f t="shared" si="56"/>
        <v>0</v>
      </c>
      <c r="BH309" s="480">
        <f t="shared" si="57"/>
        <v>0</v>
      </c>
      <c r="BI309" s="6">
        <f t="shared" si="58"/>
        <v>5932</v>
      </c>
      <c r="BJ309" s="480" t="str">
        <f t="shared" si="59"/>
        <v>Ursins</v>
      </c>
    </row>
    <row r="310" spans="1:62" x14ac:dyDescent="0.25">
      <c r="A310" s="341">
        <v>5933</v>
      </c>
      <c r="B310" s="523" t="s">
        <v>397</v>
      </c>
      <c r="C310" s="394">
        <v>1257232.6399999999</v>
      </c>
      <c r="D310" s="394">
        <v>145825.01999999999</v>
      </c>
      <c r="E310" s="391"/>
      <c r="F310" s="394">
        <v>0</v>
      </c>
      <c r="G310" s="394">
        <v>28538.15</v>
      </c>
      <c r="H310" s="394">
        <v>427.75</v>
      </c>
      <c r="I310" s="394">
        <v>0</v>
      </c>
      <c r="J310" s="394">
        <v>15517.38</v>
      </c>
      <c r="K310" s="394">
        <v>2972.55</v>
      </c>
      <c r="L310" s="394">
        <v>119486.85</v>
      </c>
      <c r="M310" s="334">
        <f t="shared" si="48"/>
        <v>1570000.3399999999</v>
      </c>
      <c r="N310" s="398">
        <v>17913.95</v>
      </c>
      <c r="O310" s="398">
        <v>10361.5</v>
      </c>
      <c r="P310" s="398">
        <v>32743.5</v>
      </c>
      <c r="Q310" s="398">
        <v>28810.02</v>
      </c>
      <c r="R310" s="398">
        <v>19802.150000000001</v>
      </c>
      <c r="S310" s="398"/>
      <c r="T310" s="398">
        <v>4139.6000000000004</v>
      </c>
      <c r="U310" s="398">
        <v>4160</v>
      </c>
      <c r="V310" s="398"/>
      <c r="W310" s="398"/>
      <c r="X310" s="382">
        <v>3474.37</v>
      </c>
      <c r="Y310" s="485">
        <f t="shared" si="49"/>
        <v>1691405.43</v>
      </c>
      <c r="Z310" s="399">
        <v>1087</v>
      </c>
      <c r="AA310" s="399"/>
      <c r="AB310" s="399">
        <v>83408.899999999994</v>
      </c>
      <c r="AC310" s="399"/>
      <c r="AD310" s="399">
        <v>32988.75</v>
      </c>
      <c r="AE310" s="399">
        <v>3432.7</v>
      </c>
      <c r="AF310" s="399"/>
      <c r="AG310" s="399"/>
      <c r="AH310" s="399"/>
      <c r="AI310" s="399"/>
      <c r="AJ310" s="399"/>
      <c r="AK310" s="399"/>
      <c r="AL310" s="477"/>
      <c r="AM310" s="485">
        <f t="shared" si="50"/>
        <v>120917.34999999999</v>
      </c>
      <c r="AN310" s="399">
        <v>70.5</v>
      </c>
      <c r="AO310" s="402">
        <v>714</v>
      </c>
      <c r="AP310" s="480">
        <v>-6607.18</v>
      </c>
      <c r="AQ310" s="490"/>
      <c r="AR310" s="490">
        <v>-4324.91</v>
      </c>
      <c r="AS310" s="520">
        <v>1</v>
      </c>
      <c r="AT310" s="535">
        <v>1691405.43</v>
      </c>
      <c r="AU310" s="535">
        <f>4139.6+4160</f>
        <v>8299.6</v>
      </c>
      <c r="AV310" s="535">
        <v>3474.37</v>
      </c>
      <c r="AW310" s="535">
        <v>120917.35</v>
      </c>
      <c r="AX310" s="535"/>
      <c r="AY310" s="535">
        <v>-6607.18</v>
      </c>
      <c r="AZ310" s="535"/>
      <c r="BA310" s="535">
        <v>-4324.91</v>
      </c>
      <c r="BB310" s="480">
        <f t="shared" si="51"/>
        <v>0</v>
      </c>
      <c r="BC310" s="480">
        <f t="shared" si="52"/>
        <v>0</v>
      </c>
      <c r="BD310" s="480">
        <f t="shared" si="53"/>
        <v>0</v>
      </c>
      <c r="BE310" s="480">
        <f t="shared" si="54"/>
        <v>0</v>
      </c>
      <c r="BF310" s="480">
        <f t="shared" si="55"/>
        <v>0</v>
      </c>
      <c r="BG310" s="480">
        <f t="shared" si="56"/>
        <v>0</v>
      </c>
      <c r="BH310" s="480">
        <f t="shared" si="57"/>
        <v>0</v>
      </c>
      <c r="BI310" s="6">
        <f t="shared" si="58"/>
        <v>5933</v>
      </c>
      <c r="BJ310" s="480" t="str">
        <f t="shared" si="59"/>
        <v>Valeyres-sous-Montagny</v>
      </c>
    </row>
    <row r="311" spans="1:62" x14ac:dyDescent="0.25">
      <c r="A311" s="341">
        <v>5934</v>
      </c>
      <c r="B311" s="523" t="s">
        <v>398</v>
      </c>
      <c r="C311" s="394">
        <v>501688.86</v>
      </c>
      <c r="D311" s="394">
        <v>54633.58</v>
      </c>
      <c r="E311" s="391"/>
      <c r="F311" s="394">
        <v>1420</v>
      </c>
      <c r="G311" s="394">
        <v>-256.39999999999998</v>
      </c>
      <c r="H311" s="394">
        <v>85.6</v>
      </c>
      <c r="I311" s="394">
        <v>0</v>
      </c>
      <c r="J311" s="394">
        <v>13513.16</v>
      </c>
      <c r="K311" s="394">
        <v>55.5</v>
      </c>
      <c r="L311" s="394">
        <v>28017.5</v>
      </c>
      <c r="M311" s="334">
        <f t="shared" si="48"/>
        <v>599157.79999999993</v>
      </c>
      <c r="N311" s="398">
        <v>5644.55</v>
      </c>
      <c r="O311" s="398">
        <v>0</v>
      </c>
      <c r="P311" s="398">
        <v>17975.900000000001</v>
      </c>
      <c r="Q311" s="398">
        <v>0</v>
      </c>
      <c r="R311" s="398">
        <v>14383.95</v>
      </c>
      <c r="S311" s="398"/>
      <c r="T311" s="398"/>
      <c r="U311" s="398">
        <v>900</v>
      </c>
      <c r="V311" s="398"/>
      <c r="W311" s="398"/>
      <c r="X311" s="382">
        <v>-20.49</v>
      </c>
      <c r="Y311" s="485">
        <f t="shared" si="49"/>
        <v>638041.71</v>
      </c>
      <c r="Z311" s="399">
        <v>4000</v>
      </c>
      <c r="AA311" s="399"/>
      <c r="AB311" s="399">
        <v>29216.75</v>
      </c>
      <c r="AC311" s="399"/>
      <c r="AD311" s="399">
        <v>11335</v>
      </c>
      <c r="AE311" s="399">
        <v>1661</v>
      </c>
      <c r="AF311" s="399"/>
      <c r="AG311" s="399"/>
      <c r="AH311" s="399"/>
      <c r="AI311" s="399"/>
      <c r="AJ311" s="399"/>
      <c r="AK311" s="399"/>
      <c r="AL311" s="477"/>
      <c r="AM311" s="485">
        <f t="shared" si="50"/>
        <v>46212.75</v>
      </c>
      <c r="AN311" s="399">
        <v>79</v>
      </c>
      <c r="AO311" s="402">
        <v>241</v>
      </c>
      <c r="AP311" s="480">
        <v>-524.38</v>
      </c>
      <c r="AQ311" s="490"/>
      <c r="AR311" s="490">
        <v>0</v>
      </c>
      <c r="AS311" s="520">
        <v>1</v>
      </c>
      <c r="AT311" s="535">
        <v>638041.71</v>
      </c>
      <c r="AU311" s="535">
        <v>900</v>
      </c>
      <c r="AV311" s="535">
        <v>-20.49</v>
      </c>
      <c r="AW311" s="535">
        <v>46212.75</v>
      </c>
      <c r="AX311" s="535"/>
      <c r="AY311" s="535">
        <v>-524.38</v>
      </c>
      <c r="AZ311" s="535"/>
      <c r="BA311" s="535">
        <v>0</v>
      </c>
      <c r="BB311" s="480">
        <f t="shared" si="51"/>
        <v>0</v>
      </c>
      <c r="BC311" s="480">
        <f t="shared" si="52"/>
        <v>0</v>
      </c>
      <c r="BD311" s="480">
        <f t="shared" si="53"/>
        <v>0</v>
      </c>
      <c r="BE311" s="480">
        <f t="shared" si="54"/>
        <v>0</v>
      </c>
      <c r="BF311" s="480">
        <f t="shared" si="55"/>
        <v>0</v>
      </c>
      <c r="BG311" s="480">
        <f t="shared" si="56"/>
        <v>0</v>
      </c>
      <c r="BH311" s="480">
        <f t="shared" si="57"/>
        <v>0</v>
      </c>
      <c r="BI311" s="6">
        <f t="shared" si="58"/>
        <v>5934</v>
      </c>
      <c r="BJ311" s="480" t="str">
        <f t="shared" si="59"/>
        <v>Valeyres-sous-Ursins</v>
      </c>
    </row>
    <row r="312" spans="1:62" x14ac:dyDescent="0.25">
      <c r="A312" s="341">
        <v>5935</v>
      </c>
      <c r="B312" s="523" t="s">
        <v>299</v>
      </c>
      <c r="C312" s="394">
        <v>175127.23</v>
      </c>
      <c r="D312" s="394">
        <v>39650.93</v>
      </c>
      <c r="E312" s="391"/>
      <c r="F312" s="394">
        <v>0</v>
      </c>
      <c r="G312" s="394">
        <v>-432.35</v>
      </c>
      <c r="H312" s="394">
        <v>868</v>
      </c>
      <c r="I312" s="394">
        <v>0</v>
      </c>
      <c r="J312" s="394">
        <v>1705.98</v>
      </c>
      <c r="K312" s="394">
        <v>0</v>
      </c>
      <c r="L312" s="394">
        <v>18717.95</v>
      </c>
      <c r="M312" s="334">
        <f t="shared" si="48"/>
        <v>235637.74000000002</v>
      </c>
      <c r="N312" s="398">
        <v>0</v>
      </c>
      <c r="O312" s="398">
        <v>0</v>
      </c>
      <c r="P312" s="398">
        <v>17844</v>
      </c>
      <c r="Q312" s="398">
        <v>0</v>
      </c>
      <c r="R312" s="398">
        <v>10999.25</v>
      </c>
      <c r="S312" s="398"/>
      <c r="T312" s="398"/>
      <c r="U312" s="398">
        <v>100</v>
      </c>
      <c r="V312" s="398"/>
      <c r="W312" s="398"/>
      <c r="X312" s="382">
        <v>52.25</v>
      </c>
      <c r="Y312" s="485">
        <f t="shared" si="49"/>
        <v>264633.24</v>
      </c>
      <c r="Z312" s="399">
        <v>9809.5</v>
      </c>
      <c r="AA312" s="399">
        <v>1270</v>
      </c>
      <c r="AB312" s="399">
        <v>15880</v>
      </c>
      <c r="AC312" s="399"/>
      <c r="AD312" s="399">
        <v>8008</v>
      </c>
      <c r="AE312" s="399">
        <v>9825</v>
      </c>
      <c r="AF312" s="399">
        <v>5250</v>
      </c>
      <c r="AG312" s="399"/>
      <c r="AH312" s="399"/>
      <c r="AI312" s="399"/>
      <c r="AJ312" s="399"/>
      <c r="AK312" s="399"/>
      <c r="AL312" s="477"/>
      <c r="AM312" s="485">
        <f t="shared" si="50"/>
        <v>50042.5</v>
      </c>
      <c r="AN312" s="399">
        <v>60</v>
      </c>
      <c r="AO312" s="402">
        <v>101</v>
      </c>
      <c r="AP312" s="480">
        <v>-28.68</v>
      </c>
      <c r="AQ312" s="490"/>
      <c r="AR312" s="490">
        <v>-889.13</v>
      </c>
      <c r="AS312" s="520">
        <v>1</v>
      </c>
      <c r="AT312" s="535">
        <v>264633.24</v>
      </c>
      <c r="AU312" s="535">
        <v>100</v>
      </c>
      <c r="AV312" s="535">
        <v>52.25</v>
      </c>
      <c r="AW312" s="535">
        <v>50042.5</v>
      </c>
      <c r="AX312" s="535"/>
      <c r="AY312" s="535">
        <v>-28.68</v>
      </c>
      <c r="AZ312" s="535"/>
      <c r="BA312" s="535">
        <v>-889.13</v>
      </c>
      <c r="BB312" s="480">
        <f t="shared" si="51"/>
        <v>0</v>
      </c>
      <c r="BC312" s="480">
        <f t="shared" si="52"/>
        <v>0</v>
      </c>
      <c r="BD312" s="480">
        <f t="shared" si="53"/>
        <v>0</v>
      </c>
      <c r="BE312" s="480">
        <f t="shared" si="54"/>
        <v>0</v>
      </c>
      <c r="BF312" s="480">
        <f t="shared" si="55"/>
        <v>0</v>
      </c>
      <c r="BG312" s="480">
        <f t="shared" si="56"/>
        <v>0</v>
      </c>
      <c r="BH312" s="480">
        <f t="shared" si="57"/>
        <v>0</v>
      </c>
      <c r="BI312" s="6">
        <f t="shared" si="58"/>
        <v>5935</v>
      </c>
      <c r="BJ312" s="480" t="str">
        <f t="shared" si="59"/>
        <v>Villars-Epeney</v>
      </c>
    </row>
    <row r="313" spans="1:62" x14ac:dyDescent="0.25">
      <c r="A313" s="341">
        <v>5937</v>
      </c>
      <c r="B313" s="523" t="s">
        <v>277</v>
      </c>
      <c r="C313" s="394">
        <v>172031.26</v>
      </c>
      <c r="D313" s="394">
        <v>31313.35</v>
      </c>
      <c r="E313" s="391"/>
      <c r="F313" s="394">
        <v>0</v>
      </c>
      <c r="G313" s="394">
        <v>5470</v>
      </c>
      <c r="H313" s="394">
        <v>160</v>
      </c>
      <c r="I313" s="394">
        <v>0</v>
      </c>
      <c r="J313" s="394">
        <v>1313.24</v>
      </c>
      <c r="K313" s="394">
        <v>0</v>
      </c>
      <c r="L313" s="394">
        <v>11202.25</v>
      </c>
      <c r="M313" s="334">
        <f t="shared" si="48"/>
        <v>221490.1</v>
      </c>
      <c r="N313" s="398">
        <v>0</v>
      </c>
      <c r="O313" s="398">
        <v>0</v>
      </c>
      <c r="P313" s="398">
        <v>5446.25</v>
      </c>
      <c r="Q313" s="398">
        <v>0</v>
      </c>
      <c r="R313" s="398">
        <v>10627.5</v>
      </c>
      <c r="S313" s="398"/>
      <c r="T313" s="398"/>
      <c r="U313" s="398">
        <v>1175</v>
      </c>
      <c r="V313" s="398"/>
      <c r="W313" s="398"/>
      <c r="X313" s="382">
        <v>675.3</v>
      </c>
      <c r="Y313" s="485">
        <f t="shared" si="49"/>
        <v>239414.15</v>
      </c>
      <c r="Z313" s="399"/>
      <c r="AA313" s="399"/>
      <c r="AB313" s="399">
        <v>13575</v>
      </c>
      <c r="AC313" s="399"/>
      <c r="AD313" s="399">
        <v>5771</v>
      </c>
      <c r="AE313" s="399"/>
      <c r="AF313" s="399"/>
      <c r="AG313" s="399"/>
      <c r="AH313" s="399"/>
      <c r="AI313" s="399"/>
      <c r="AJ313" s="399"/>
      <c r="AK313" s="399"/>
      <c r="AL313" s="477"/>
      <c r="AM313" s="485">
        <f t="shared" si="50"/>
        <v>19346</v>
      </c>
      <c r="AN313" s="399">
        <v>70</v>
      </c>
      <c r="AO313" s="402">
        <v>138</v>
      </c>
      <c r="AP313" s="480">
        <v>-3791.05</v>
      </c>
      <c r="AQ313" s="490"/>
      <c r="AR313" s="490">
        <v>-36.61</v>
      </c>
      <c r="AS313" s="520">
        <v>0.7</v>
      </c>
      <c r="AT313" s="535">
        <v>239414.15</v>
      </c>
      <c r="AU313" s="535">
        <v>1175</v>
      </c>
      <c r="AV313" s="535">
        <v>675.3</v>
      </c>
      <c r="AW313" s="535">
        <v>19346</v>
      </c>
      <c r="AX313" s="535"/>
      <c r="AY313" s="535">
        <v>-3791.05</v>
      </c>
      <c r="AZ313" s="535"/>
      <c r="BA313" s="535">
        <v>-36.61</v>
      </c>
      <c r="BB313" s="480">
        <f t="shared" si="51"/>
        <v>0</v>
      </c>
      <c r="BC313" s="480">
        <f t="shared" si="52"/>
        <v>0</v>
      </c>
      <c r="BD313" s="480">
        <f t="shared" si="53"/>
        <v>0</v>
      </c>
      <c r="BE313" s="480">
        <f t="shared" si="54"/>
        <v>0</v>
      </c>
      <c r="BF313" s="480">
        <f t="shared" si="55"/>
        <v>0</v>
      </c>
      <c r="BG313" s="480">
        <f t="shared" si="56"/>
        <v>0</v>
      </c>
      <c r="BH313" s="480">
        <f t="shared" si="57"/>
        <v>0</v>
      </c>
      <c r="BI313" s="6">
        <f t="shared" si="58"/>
        <v>5937</v>
      </c>
      <c r="BJ313" s="480" t="str">
        <f t="shared" si="59"/>
        <v>Vugelles-La Mothe</v>
      </c>
    </row>
    <row r="314" spans="1:62" x14ac:dyDescent="0.25">
      <c r="A314" s="341">
        <v>5938</v>
      </c>
      <c r="B314" s="523" t="s">
        <v>150</v>
      </c>
      <c r="C314" s="394">
        <v>43215065.729999997</v>
      </c>
      <c r="D314" s="394">
        <v>4681840.97</v>
      </c>
      <c r="E314" s="391"/>
      <c r="F314" s="394">
        <v>0</v>
      </c>
      <c r="G314" s="394">
        <v>4911534.2</v>
      </c>
      <c r="H314" s="394">
        <v>789701.95</v>
      </c>
      <c r="I314" s="394">
        <v>36575.35</v>
      </c>
      <c r="J314" s="394">
        <v>1609583.91</v>
      </c>
      <c r="K314" s="394">
        <v>590078.35</v>
      </c>
      <c r="L314" s="394">
        <v>4385542.5999999996</v>
      </c>
      <c r="M314" s="334">
        <f t="shared" si="48"/>
        <v>60219923.060000002</v>
      </c>
      <c r="N314" s="398">
        <v>4750911.95</v>
      </c>
      <c r="O314" s="398">
        <v>1060319.1000000001</v>
      </c>
      <c r="P314" s="398">
        <v>1647037.75</v>
      </c>
      <c r="Q314" s="398">
        <v>254442.56</v>
      </c>
      <c r="R314" s="398">
        <v>1227824.3999999999</v>
      </c>
      <c r="S314" s="398"/>
      <c r="T314" s="398"/>
      <c r="U314" s="398">
        <v>59115</v>
      </c>
      <c r="V314" s="398"/>
      <c r="W314" s="398"/>
      <c r="X314" s="382">
        <v>683845.51</v>
      </c>
      <c r="Y314" s="485">
        <f t="shared" si="49"/>
        <v>69903419.330000028</v>
      </c>
      <c r="Z314" s="399">
        <v>298802</v>
      </c>
      <c r="AA314" s="399"/>
      <c r="AB314" s="399">
        <v>4773672</v>
      </c>
      <c r="AC314" s="399">
        <v>1198173</v>
      </c>
      <c r="AD314" s="399">
        <v>2140472</v>
      </c>
      <c r="AE314" s="399">
        <v>604323</v>
      </c>
      <c r="AF314" s="399"/>
      <c r="AG314" s="399"/>
      <c r="AH314" s="399">
        <v>185658</v>
      </c>
      <c r="AI314" s="399">
        <v>832685</v>
      </c>
      <c r="AJ314" s="399">
        <v>773204</v>
      </c>
      <c r="AK314" s="399">
        <v>713721</v>
      </c>
      <c r="AL314" s="477"/>
      <c r="AM314" s="485">
        <f t="shared" si="50"/>
        <v>11520710</v>
      </c>
      <c r="AN314" s="399">
        <v>75</v>
      </c>
      <c r="AO314" s="402">
        <v>29981</v>
      </c>
      <c r="AP314" s="480">
        <v>-1373361.28</v>
      </c>
      <c r="AQ314" s="490"/>
      <c r="AR314" s="490">
        <v>-43494.7</v>
      </c>
      <c r="AS314" s="520">
        <v>1</v>
      </c>
      <c r="AT314" s="535">
        <v>69903419.329999998</v>
      </c>
      <c r="AU314" s="535">
        <v>59115</v>
      </c>
      <c r="AV314" s="535">
        <v>683845.51</v>
      </c>
      <c r="AW314" s="535">
        <v>11520710</v>
      </c>
      <c r="AX314" s="535"/>
      <c r="AY314" s="535">
        <v>-1373361.28</v>
      </c>
      <c r="AZ314" s="535"/>
      <c r="BA314" s="535">
        <v>-43494.7</v>
      </c>
      <c r="BB314" s="480">
        <f t="shared" si="51"/>
        <v>0</v>
      </c>
      <c r="BC314" s="480">
        <f t="shared" si="52"/>
        <v>0</v>
      </c>
      <c r="BD314" s="480">
        <f t="shared" si="53"/>
        <v>0</v>
      </c>
      <c r="BE314" s="480">
        <f t="shared" si="54"/>
        <v>0</v>
      </c>
      <c r="BF314" s="480">
        <f t="shared" si="55"/>
        <v>0</v>
      </c>
      <c r="BG314" s="480">
        <f t="shared" si="56"/>
        <v>0</v>
      </c>
      <c r="BH314" s="480">
        <f t="shared" si="57"/>
        <v>0</v>
      </c>
      <c r="BI314" s="6">
        <f t="shared" si="58"/>
        <v>5938</v>
      </c>
      <c r="BJ314" s="480" t="str">
        <f t="shared" si="59"/>
        <v>Yverdon-les-Bains</v>
      </c>
    </row>
    <row r="315" spans="1:62" x14ac:dyDescent="0.25">
      <c r="A315" s="341">
        <v>5939</v>
      </c>
      <c r="B315" s="523" t="s">
        <v>149</v>
      </c>
      <c r="C315" s="394">
        <v>5197311.1100000003</v>
      </c>
      <c r="D315" s="394">
        <v>616319.37</v>
      </c>
      <c r="E315" s="391"/>
      <c r="F315" s="394">
        <v>0</v>
      </c>
      <c r="G315" s="394">
        <v>196191.05</v>
      </c>
      <c r="H315" s="394">
        <v>4834.8999999999996</v>
      </c>
      <c r="I315" s="394">
        <v>0</v>
      </c>
      <c r="J315" s="394">
        <v>104381.6</v>
      </c>
      <c r="K315" s="394">
        <v>-1086.4000000000001</v>
      </c>
      <c r="L315" s="394">
        <v>572998.35</v>
      </c>
      <c r="M315" s="334">
        <f t="shared" si="48"/>
        <v>6690949.9799999995</v>
      </c>
      <c r="N315" s="398">
        <v>170935.7</v>
      </c>
      <c r="O315" s="398">
        <v>124886.7</v>
      </c>
      <c r="P315" s="398">
        <v>388020.45</v>
      </c>
      <c r="Q315" s="398">
        <v>18715.98</v>
      </c>
      <c r="R315" s="398">
        <v>104220.35</v>
      </c>
      <c r="S315" s="398">
        <v>9827.25</v>
      </c>
      <c r="T315" s="398"/>
      <c r="U315" s="398">
        <v>20300</v>
      </c>
      <c r="V315" s="398"/>
      <c r="W315" s="398"/>
      <c r="X315" s="382">
        <v>24112.44</v>
      </c>
      <c r="Y315" s="485">
        <f t="shared" si="49"/>
        <v>7551968.8500000006</v>
      </c>
      <c r="Z315" s="401">
        <v>10632</v>
      </c>
      <c r="AA315" s="401"/>
      <c r="AB315" s="401">
        <v>739021.2</v>
      </c>
      <c r="AC315" s="401"/>
      <c r="AD315" s="401">
        <v>269259.2</v>
      </c>
      <c r="AE315" s="401">
        <v>33957.35</v>
      </c>
      <c r="AF315" s="401"/>
      <c r="AG315" s="401"/>
      <c r="AH315" s="401">
        <v>11078.9</v>
      </c>
      <c r="AI315" s="401">
        <v>83406.399999999994</v>
      </c>
      <c r="AJ315" s="401"/>
      <c r="AK315" s="401"/>
      <c r="AL315" s="476"/>
      <c r="AM315" s="485">
        <f t="shared" si="50"/>
        <v>1147355.0499999998</v>
      </c>
      <c r="AN315" s="401">
        <v>71.5</v>
      </c>
      <c r="AO315" s="404">
        <v>3467</v>
      </c>
      <c r="AP315" s="480">
        <v>-91229.45</v>
      </c>
      <c r="AQ315" s="490"/>
      <c r="AR315" s="493">
        <v>-910.88</v>
      </c>
      <c r="AS315" s="521">
        <v>1</v>
      </c>
      <c r="AT315" s="535">
        <v>7551968.8499999996</v>
      </c>
      <c r="AU315" s="535">
        <f>9827.25+20300</f>
        <v>30127.25</v>
      </c>
      <c r="AV315" s="535">
        <v>24112.44</v>
      </c>
      <c r="AW315" s="535">
        <v>1147355.05</v>
      </c>
      <c r="AX315" s="535"/>
      <c r="AY315" s="535">
        <v>-91229.45</v>
      </c>
      <c r="AZ315" s="535"/>
      <c r="BA315" s="535">
        <v>-910.88</v>
      </c>
      <c r="BB315" s="480">
        <f t="shared" si="51"/>
        <v>0</v>
      </c>
      <c r="BC315" s="480">
        <f t="shared" si="52"/>
        <v>0</v>
      </c>
      <c r="BD315" s="480">
        <f t="shared" si="53"/>
        <v>0</v>
      </c>
      <c r="BE315" s="480">
        <f t="shared" si="54"/>
        <v>0</v>
      </c>
      <c r="BF315" s="480">
        <f t="shared" si="55"/>
        <v>0</v>
      </c>
      <c r="BG315" s="480">
        <f t="shared" si="56"/>
        <v>0</v>
      </c>
      <c r="BH315" s="480">
        <f t="shared" si="57"/>
        <v>0</v>
      </c>
      <c r="BI315" s="6">
        <f t="shared" si="58"/>
        <v>5939</v>
      </c>
      <c r="BJ315" s="480" t="str">
        <f t="shared" si="59"/>
        <v>Yvonand</v>
      </c>
    </row>
    <row r="316" spans="1:62" x14ac:dyDescent="0.25">
      <c r="A316" s="343"/>
      <c r="B316" s="362">
        <f>COUNTA(B7:B315)</f>
        <v>309</v>
      </c>
      <c r="C316" s="390">
        <f>SUM(C7:C315)</f>
        <v>1681571655.1200004</v>
      </c>
      <c r="D316" s="390">
        <f t="shared" ref="D316:F316" si="60">SUM(D7:D315)</f>
        <v>301519283.0999999</v>
      </c>
      <c r="E316" s="390">
        <f t="shared" si="60"/>
        <v>0</v>
      </c>
      <c r="F316" s="390">
        <f t="shared" si="60"/>
        <v>100711.9</v>
      </c>
      <c r="G316" s="393">
        <f t="shared" ref="G316:J316" si="61">SUM(G7:G315)</f>
        <v>296351501.66999996</v>
      </c>
      <c r="H316" s="393">
        <f t="shared" si="61"/>
        <v>35220030.050000012</v>
      </c>
      <c r="I316" s="393">
        <f t="shared" si="61"/>
        <v>42860556.82000003</v>
      </c>
      <c r="J316" s="393">
        <f t="shared" si="61"/>
        <v>75388874.820000008</v>
      </c>
      <c r="K316" s="393">
        <f t="shared" ref="K316" si="62">SUM(K7:K315)</f>
        <v>20340412.849999998</v>
      </c>
      <c r="L316" s="393">
        <f t="shared" ref="L316" si="63">SUM(L7:L315)</f>
        <v>217100612.85000014</v>
      </c>
      <c r="M316" s="395">
        <f t="shared" ref="M316" si="64">SUM(M7:M315)</f>
        <v>2670453639.1799994</v>
      </c>
      <c r="N316" s="393">
        <f t="shared" ref="N316:X316" si="65">SUM(N7:N315)</f>
        <v>80161098.050000027</v>
      </c>
      <c r="O316" s="19">
        <f t="shared" si="65"/>
        <v>100667665.32000001</v>
      </c>
      <c r="P316" s="19">
        <f t="shared" si="65"/>
        <v>99028053.100000054</v>
      </c>
      <c r="Q316" s="19">
        <f t="shared" si="65"/>
        <v>7083204.4899999974</v>
      </c>
      <c r="R316" s="19">
        <f t="shared" si="65"/>
        <v>76510288.049999982</v>
      </c>
      <c r="S316" s="481">
        <f t="shared" si="65"/>
        <v>564578.35</v>
      </c>
      <c r="T316" s="481">
        <f t="shared" si="65"/>
        <v>809984.5</v>
      </c>
      <c r="U316" s="481">
        <f t="shared" si="65"/>
        <v>3693677.05</v>
      </c>
      <c r="V316" s="481">
        <f t="shared" si="65"/>
        <v>2580870.65</v>
      </c>
      <c r="W316" s="481">
        <f t="shared" si="65"/>
        <v>512297.58999999997</v>
      </c>
      <c r="X316" s="470">
        <f t="shared" si="65"/>
        <v>39766209.059999973</v>
      </c>
      <c r="Y316" s="395">
        <f t="shared" si="49"/>
        <v>3081831565.3899999</v>
      </c>
      <c r="Z316" s="472"/>
      <c r="AA316" s="472"/>
      <c r="AB316" s="472"/>
      <c r="AC316" s="472"/>
      <c r="AD316" s="472"/>
      <c r="AE316" s="472"/>
      <c r="AF316" s="472"/>
      <c r="AG316" s="472"/>
      <c r="AH316" s="472"/>
      <c r="AI316" s="472"/>
      <c r="AJ316" s="472"/>
      <c r="AK316" s="472"/>
      <c r="AL316" s="493"/>
      <c r="AM316" s="479">
        <f t="shared" si="50"/>
        <v>0</v>
      </c>
      <c r="AN316" s="487"/>
      <c r="AO316" s="18">
        <f>SUM(AO7:AO315)</f>
        <v>815300</v>
      </c>
      <c r="AP316" s="19">
        <f t="shared" ref="AP316:AR316" si="66">SUM(AP7:AP315)</f>
        <v>-34375710.649999991</v>
      </c>
      <c r="AQ316" s="19">
        <f t="shared" si="66"/>
        <v>-15616.9</v>
      </c>
      <c r="AR316" s="483">
        <f t="shared" si="66"/>
        <v>-4437286.6099999994</v>
      </c>
      <c r="AS316" s="483"/>
      <c r="AU316" s="405"/>
      <c r="AV316" s="405"/>
      <c r="AW316" s="405"/>
      <c r="AX316" s="405"/>
      <c r="AY316" s="405"/>
      <c r="BB316" s="15">
        <f>SUM(BB7:BB315)</f>
        <v>-7726464.620000001</v>
      </c>
      <c r="BC316" s="480">
        <f t="shared" ref="BC316:BH316" si="67">SUM(BC7:BC315)</f>
        <v>0</v>
      </c>
      <c r="BD316" s="480">
        <f t="shared" si="67"/>
        <v>89302.99</v>
      </c>
      <c r="BE316" s="480">
        <f t="shared" si="67"/>
        <v>0</v>
      </c>
      <c r="BF316" s="480">
        <f t="shared" si="67"/>
        <v>353.68</v>
      </c>
      <c r="BG316" s="480">
        <f t="shared" si="67"/>
        <v>-17199.22</v>
      </c>
      <c r="BH316" s="480">
        <f t="shared" si="67"/>
        <v>19760</v>
      </c>
    </row>
    <row r="317" spans="1:62" x14ac:dyDescent="0.25">
      <c r="A317" s="340"/>
      <c r="I317" s="373"/>
      <c r="J317" s="373"/>
      <c r="K317" s="373"/>
      <c r="L317" s="373"/>
      <c r="M317" s="373"/>
      <c r="N317" s="373"/>
      <c r="O317" s="373"/>
      <c r="P317" s="373"/>
      <c r="Q317" s="373"/>
      <c r="R317" s="373"/>
      <c r="X317" s="492"/>
      <c r="AM317" s="484"/>
      <c r="AW317" s="405"/>
      <c r="AX317" s="405"/>
      <c r="AY317" s="405"/>
    </row>
    <row r="318" spans="1:62" s="337" customFormat="1" x14ac:dyDescent="0.25">
      <c r="A318" s="435"/>
      <c r="C318" s="436"/>
      <c r="D318" s="436"/>
      <c r="E318" s="436"/>
      <c r="F318" s="436"/>
      <c r="G318" s="436"/>
      <c r="H318" s="436"/>
      <c r="I318" s="436"/>
      <c r="J318" s="436"/>
      <c r="K318" s="436"/>
      <c r="L318" s="405"/>
      <c r="M318" s="405"/>
      <c r="N318" s="405"/>
      <c r="O318" s="405"/>
      <c r="P318" s="405"/>
      <c r="Q318" s="405"/>
      <c r="R318" s="405"/>
      <c r="S318" s="405"/>
      <c r="T318" s="405"/>
      <c r="U318" s="405"/>
      <c r="V318" s="405"/>
      <c r="W318" s="405"/>
      <c r="X318" s="492"/>
      <c r="Y318" s="405"/>
      <c r="Z318" s="471"/>
      <c r="AA318" s="471"/>
      <c r="AB318" s="471"/>
      <c r="AC318" s="471"/>
      <c r="AD318" s="471"/>
      <c r="AE318" s="471"/>
      <c r="AF318" s="471"/>
      <c r="AG318" s="471"/>
      <c r="AH318" s="471"/>
      <c r="AI318" s="471"/>
      <c r="AJ318" s="471"/>
      <c r="AK318" s="471"/>
      <c r="AL318" s="471"/>
      <c r="AM318" s="484"/>
      <c r="AN318" s="405"/>
      <c r="AO318" s="405"/>
      <c r="AP318" s="405"/>
      <c r="AQ318" s="405"/>
      <c r="AR318" s="405"/>
      <c r="AS318" s="405"/>
      <c r="AT318" s="405"/>
      <c r="AU318" s="405"/>
      <c r="AV318" s="405"/>
      <c r="AW318" s="405"/>
      <c r="AX318" s="405"/>
      <c r="AY318" s="405"/>
      <c r="BI318" s="537"/>
    </row>
    <row r="319" spans="1:62" x14ac:dyDescent="0.25">
      <c r="AM319" s="486"/>
    </row>
  </sheetData>
  <protectedRanges>
    <protectedRange sqref="A7:B315 C316:M316 N7:W315 AN7:AR315" name="Plage1"/>
    <protectedRange sqref="E8:E170 X317:X318 E172:E271 C7:L7 X7:X315 F8:F315 I8:L303 G8:H272 E277:E315 C8:D315 G273:G274 H274 G276:H315 I305:L315 I304:K304" name="Plage1_1"/>
    <protectedRange sqref="E171" name="Plage1_3"/>
    <protectedRange sqref="L304" name="Plage1_1_1"/>
  </protectedRanges>
  <mergeCells count="45">
    <mergeCell ref="K4:K5"/>
    <mergeCell ref="M4:M5"/>
    <mergeCell ref="P4:P5"/>
    <mergeCell ref="R4:R5"/>
    <mergeCell ref="X4:X5"/>
    <mergeCell ref="T4:T5"/>
    <mergeCell ref="U4:U5"/>
    <mergeCell ref="V4:V5"/>
    <mergeCell ref="W4:W5"/>
    <mergeCell ref="S4:S6"/>
    <mergeCell ref="AN4:AN5"/>
    <mergeCell ref="A4:A6"/>
    <mergeCell ref="B4:B6"/>
    <mergeCell ref="Q4:Q6"/>
    <mergeCell ref="L4:L5"/>
    <mergeCell ref="G4:G5"/>
    <mergeCell ref="H4:H5"/>
    <mergeCell ref="I4:I5"/>
    <mergeCell ref="J4:J5"/>
    <mergeCell ref="C4:C5"/>
    <mergeCell ref="D4:D5"/>
    <mergeCell ref="E4:E5"/>
    <mergeCell ref="N4:N5"/>
    <mergeCell ref="Y4:Y5"/>
    <mergeCell ref="O4:O5"/>
    <mergeCell ref="F4:F5"/>
    <mergeCell ref="AS4:AS6"/>
    <mergeCell ref="AO4:AO5"/>
    <mergeCell ref="AP4:AP6"/>
    <mergeCell ref="AR4:AR6"/>
    <mergeCell ref="AQ4:AQ6"/>
    <mergeCell ref="Z4:Z5"/>
    <mergeCell ref="AA4:AA5"/>
    <mergeCell ref="AD4:AD5"/>
    <mergeCell ref="AE4:AE5"/>
    <mergeCell ref="AF4:AF5"/>
    <mergeCell ref="AB4:AB5"/>
    <mergeCell ref="AC4:AC5"/>
    <mergeCell ref="AG4:AG5"/>
    <mergeCell ref="AM4:AM5"/>
    <mergeCell ref="AL4:AL6"/>
    <mergeCell ref="AH4:AH5"/>
    <mergeCell ref="AI4:AI6"/>
    <mergeCell ref="AJ4:AJ6"/>
    <mergeCell ref="AK4:AK6"/>
  </mergeCells>
  <phoneticPr fontId="21" type="noConversion"/>
  <pageMargins left="0.19685039370078741" right="0.39370078740157483" top="0.98425196850393704" bottom="0.98425196850393704" header="0.51181102362204722" footer="0.51181102362204722"/>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2"/>
  <dimension ref="A1:AS7815"/>
  <sheetViews>
    <sheetView topLeftCell="AK1" workbookViewId="0">
      <pane ySplit="5" topLeftCell="A6" activePane="bottomLeft" state="frozenSplit"/>
      <selection pane="bottomLeft" activeCell="AR17" sqref="AR17"/>
    </sheetView>
  </sheetViews>
  <sheetFormatPr baseColWidth="10" defaultRowHeight="14.25" x14ac:dyDescent="0.2"/>
  <cols>
    <col min="1" max="1" width="13.25" style="459" customWidth="1"/>
    <col min="2" max="2" width="14.625" style="459" customWidth="1"/>
    <col min="3" max="4" width="14.625" style="460" customWidth="1"/>
    <col min="5" max="6" width="14.625" style="461" customWidth="1"/>
    <col min="7" max="7" width="14.625" style="469" customWidth="1"/>
    <col min="8" max="43" width="14.625" style="451" customWidth="1"/>
    <col min="44" max="45" width="14.625" style="451" bestFit="1" customWidth="1"/>
    <col min="46" max="256" width="11" style="451"/>
    <col min="257" max="257" width="13.25" style="451" customWidth="1"/>
    <col min="258" max="299" width="14.625" style="451" customWidth="1"/>
    <col min="300" max="301" width="14.625" style="451" bestFit="1" customWidth="1"/>
    <col min="302" max="512" width="11" style="451"/>
    <col min="513" max="513" width="13.25" style="451" customWidth="1"/>
    <col min="514" max="555" width="14.625" style="451" customWidth="1"/>
    <col min="556" max="557" width="14.625" style="451" bestFit="1" customWidth="1"/>
    <col min="558" max="768" width="11" style="451"/>
    <col min="769" max="769" width="13.25" style="451" customWidth="1"/>
    <col min="770" max="811" width="14.625" style="451" customWidth="1"/>
    <col min="812" max="813" width="14.625" style="451" bestFit="1" customWidth="1"/>
    <col min="814" max="1024" width="11" style="451"/>
    <col min="1025" max="1025" width="13.25" style="451" customWidth="1"/>
    <col min="1026" max="1067" width="14.625" style="451" customWidth="1"/>
    <col min="1068" max="1069" width="14.625" style="451" bestFit="1" customWidth="1"/>
    <col min="1070" max="1280" width="11" style="451"/>
    <col min="1281" max="1281" width="13.25" style="451" customWidth="1"/>
    <col min="1282" max="1323" width="14.625" style="451" customWidth="1"/>
    <col min="1324" max="1325" width="14.625" style="451" bestFit="1" customWidth="1"/>
    <col min="1326" max="1536" width="11" style="451"/>
    <col min="1537" max="1537" width="13.25" style="451" customWidth="1"/>
    <col min="1538" max="1579" width="14.625" style="451" customWidth="1"/>
    <col min="1580" max="1581" width="14.625" style="451" bestFit="1" customWidth="1"/>
    <col min="1582" max="1792" width="11" style="451"/>
    <col min="1793" max="1793" width="13.25" style="451" customWidth="1"/>
    <col min="1794" max="1835" width="14.625" style="451" customWidth="1"/>
    <col min="1836" max="1837" width="14.625" style="451" bestFit="1" customWidth="1"/>
    <col min="1838" max="2048" width="11" style="451"/>
    <col min="2049" max="2049" width="13.25" style="451" customWidth="1"/>
    <col min="2050" max="2091" width="14.625" style="451" customWidth="1"/>
    <col min="2092" max="2093" width="14.625" style="451" bestFit="1" customWidth="1"/>
    <col min="2094" max="2304" width="11" style="451"/>
    <col min="2305" max="2305" width="13.25" style="451" customWidth="1"/>
    <col min="2306" max="2347" width="14.625" style="451" customWidth="1"/>
    <col min="2348" max="2349" width="14.625" style="451" bestFit="1" customWidth="1"/>
    <col min="2350" max="2560" width="11" style="451"/>
    <col min="2561" max="2561" width="13.25" style="451" customWidth="1"/>
    <col min="2562" max="2603" width="14.625" style="451" customWidth="1"/>
    <col min="2604" max="2605" width="14.625" style="451" bestFit="1" customWidth="1"/>
    <col min="2606" max="2816" width="11" style="451"/>
    <col min="2817" max="2817" width="13.25" style="451" customWidth="1"/>
    <col min="2818" max="2859" width="14.625" style="451" customWidth="1"/>
    <col min="2860" max="2861" width="14.625" style="451" bestFit="1" customWidth="1"/>
    <col min="2862" max="3072" width="11" style="451"/>
    <col min="3073" max="3073" width="13.25" style="451" customWidth="1"/>
    <col min="3074" max="3115" width="14.625" style="451" customWidth="1"/>
    <col min="3116" max="3117" width="14.625" style="451" bestFit="1" customWidth="1"/>
    <col min="3118" max="3328" width="11" style="451"/>
    <col min="3329" max="3329" width="13.25" style="451" customWidth="1"/>
    <col min="3330" max="3371" width="14.625" style="451" customWidth="1"/>
    <col min="3372" max="3373" width="14.625" style="451" bestFit="1" customWidth="1"/>
    <col min="3374" max="3584" width="11" style="451"/>
    <col min="3585" max="3585" width="13.25" style="451" customWidth="1"/>
    <col min="3586" max="3627" width="14.625" style="451" customWidth="1"/>
    <col min="3628" max="3629" width="14.625" style="451" bestFit="1" customWidth="1"/>
    <col min="3630" max="3840" width="11" style="451"/>
    <col min="3841" max="3841" width="13.25" style="451" customWidth="1"/>
    <col min="3842" max="3883" width="14.625" style="451" customWidth="1"/>
    <col min="3884" max="3885" width="14.625" style="451" bestFit="1" customWidth="1"/>
    <col min="3886" max="4096" width="11" style="451"/>
    <col min="4097" max="4097" width="13.25" style="451" customWidth="1"/>
    <col min="4098" max="4139" width="14.625" style="451" customWidth="1"/>
    <col min="4140" max="4141" width="14.625" style="451" bestFit="1" customWidth="1"/>
    <col min="4142" max="4352" width="11" style="451"/>
    <col min="4353" max="4353" width="13.25" style="451" customWidth="1"/>
    <col min="4354" max="4395" width="14.625" style="451" customWidth="1"/>
    <col min="4396" max="4397" width="14.625" style="451" bestFit="1" customWidth="1"/>
    <col min="4398" max="4608" width="11" style="451"/>
    <col min="4609" max="4609" width="13.25" style="451" customWidth="1"/>
    <col min="4610" max="4651" width="14.625" style="451" customWidth="1"/>
    <col min="4652" max="4653" width="14.625" style="451" bestFit="1" customWidth="1"/>
    <col min="4654" max="4864" width="11" style="451"/>
    <col min="4865" max="4865" width="13.25" style="451" customWidth="1"/>
    <col min="4866" max="4907" width="14.625" style="451" customWidth="1"/>
    <col min="4908" max="4909" width="14.625" style="451" bestFit="1" customWidth="1"/>
    <col min="4910" max="5120" width="11" style="451"/>
    <col min="5121" max="5121" width="13.25" style="451" customWidth="1"/>
    <col min="5122" max="5163" width="14.625" style="451" customWidth="1"/>
    <col min="5164" max="5165" width="14.625" style="451" bestFit="1" customWidth="1"/>
    <col min="5166" max="5376" width="11" style="451"/>
    <col min="5377" max="5377" width="13.25" style="451" customWidth="1"/>
    <col min="5378" max="5419" width="14.625" style="451" customWidth="1"/>
    <col min="5420" max="5421" width="14.625" style="451" bestFit="1" customWidth="1"/>
    <col min="5422" max="5632" width="11" style="451"/>
    <col min="5633" max="5633" width="13.25" style="451" customWidth="1"/>
    <col min="5634" max="5675" width="14.625" style="451" customWidth="1"/>
    <col min="5676" max="5677" width="14.625" style="451" bestFit="1" customWidth="1"/>
    <col min="5678" max="5888" width="11" style="451"/>
    <col min="5889" max="5889" width="13.25" style="451" customWidth="1"/>
    <col min="5890" max="5931" width="14.625" style="451" customWidth="1"/>
    <col min="5932" max="5933" width="14.625" style="451" bestFit="1" customWidth="1"/>
    <col min="5934" max="6144" width="11" style="451"/>
    <col min="6145" max="6145" width="13.25" style="451" customWidth="1"/>
    <col min="6146" max="6187" width="14.625" style="451" customWidth="1"/>
    <col min="6188" max="6189" width="14.625" style="451" bestFit="1" customWidth="1"/>
    <col min="6190" max="6400" width="11" style="451"/>
    <col min="6401" max="6401" width="13.25" style="451" customWidth="1"/>
    <col min="6402" max="6443" width="14.625" style="451" customWidth="1"/>
    <col min="6444" max="6445" width="14.625" style="451" bestFit="1" customWidth="1"/>
    <col min="6446" max="6656" width="11" style="451"/>
    <col min="6657" max="6657" width="13.25" style="451" customWidth="1"/>
    <col min="6658" max="6699" width="14.625" style="451" customWidth="1"/>
    <col min="6700" max="6701" width="14.625" style="451" bestFit="1" customWidth="1"/>
    <col min="6702" max="6912" width="11" style="451"/>
    <col min="6913" max="6913" width="13.25" style="451" customWidth="1"/>
    <col min="6914" max="6955" width="14.625" style="451" customWidth="1"/>
    <col min="6956" max="6957" width="14.625" style="451" bestFit="1" customWidth="1"/>
    <col min="6958" max="7168" width="11" style="451"/>
    <col min="7169" max="7169" width="13.25" style="451" customWidth="1"/>
    <col min="7170" max="7211" width="14.625" style="451" customWidth="1"/>
    <col min="7212" max="7213" width="14.625" style="451" bestFit="1" customWidth="1"/>
    <col min="7214" max="7424" width="11" style="451"/>
    <col min="7425" max="7425" width="13.25" style="451" customWidth="1"/>
    <col min="7426" max="7467" width="14.625" style="451" customWidth="1"/>
    <col min="7468" max="7469" width="14.625" style="451" bestFit="1" customWidth="1"/>
    <col min="7470" max="7680" width="11" style="451"/>
    <col min="7681" max="7681" width="13.25" style="451" customWidth="1"/>
    <col min="7682" max="7723" width="14.625" style="451" customWidth="1"/>
    <col min="7724" max="7725" width="14.625" style="451" bestFit="1" customWidth="1"/>
    <col min="7726" max="7936" width="11" style="451"/>
    <col min="7937" max="7937" width="13.25" style="451" customWidth="1"/>
    <col min="7938" max="7979" width="14.625" style="451" customWidth="1"/>
    <col min="7980" max="7981" width="14.625" style="451" bestFit="1" customWidth="1"/>
    <col min="7982" max="8192" width="11" style="451"/>
    <col min="8193" max="8193" width="13.25" style="451" customWidth="1"/>
    <col min="8194" max="8235" width="14.625" style="451" customWidth="1"/>
    <col min="8236" max="8237" width="14.625" style="451" bestFit="1" customWidth="1"/>
    <col min="8238" max="8448" width="11" style="451"/>
    <col min="8449" max="8449" width="13.25" style="451" customWidth="1"/>
    <col min="8450" max="8491" width="14.625" style="451" customWidth="1"/>
    <col min="8492" max="8493" width="14.625" style="451" bestFit="1" customWidth="1"/>
    <col min="8494" max="8704" width="11" style="451"/>
    <col min="8705" max="8705" width="13.25" style="451" customWidth="1"/>
    <col min="8706" max="8747" width="14.625" style="451" customWidth="1"/>
    <col min="8748" max="8749" width="14.625" style="451" bestFit="1" customWidth="1"/>
    <col min="8750" max="8960" width="11" style="451"/>
    <col min="8961" max="8961" width="13.25" style="451" customWidth="1"/>
    <col min="8962" max="9003" width="14.625" style="451" customWidth="1"/>
    <col min="9004" max="9005" width="14.625" style="451" bestFit="1" customWidth="1"/>
    <col min="9006" max="9216" width="11" style="451"/>
    <col min="9217" max="9217" width="13.25" style="451" customWidth="1"/>
    <col min="9218" max="9259" width="14.625" style="451" customWidth="1"/>
    <col min="9260" max="9261" width="14.625" style="451" bestFit="1" customWidth="1"/>
    <col min="9262" max="9472" width="11" style="451"/>
    <col min="9473" max="9473" width="13.25" style="451" customWidth="1"/>
    <col min="9474" max="9515" width="14.625" style="451" customWidth="1"/>
    <col min="9516" max="9517" width="14.625" style="451" bestFit="1" customWidth="1"/>
    <col min="9518" max="9728" width="11" style="451"/>
    <col min="9729" max="9729" width="13.25" style="451" customWidth="1"/>
    <col min="9730" max="9771" width="14.625" style="451" customWidth="1"/>
    <col min="9772" max="9773" width="14.625" style="451" bestFit="1" customWidth="1"/>
    <col min="9774" max="9984" width="11" style="451"/>
    <col min="9985" max="9985" width="13.25" style="451" customWidth="1"/>
    <col min="9986" max="10027" width="14.625" style="451" customWidth="1"/>
    <col min="10028" max="10029" width="14.625" style="451" bestFit="1" customWidth="1"/>
    <col min="10030" max="10240" width="11" style="451"/>
    <col min="10241" max="10241" width="13.25" style="451" customWidth="1"/>
    <col min="10242" max="10283" width="14.625" style="451" customWidth="1"/>
    <col min="10284" max="10285" width="14.625" style="451" bestFit="1" customWidth="1"/>
    <col min="10286" max="10496" width="11" style="451"/>
    <col min="10497" max="10497" width="13.25" style="451" customWidth="1"/>
    <col min="10498" max="10539" width="14.625" style="451" customWidth="1"/>
    <col min="10540" max="10541" width="14.625" style="451" bestFit="1" customWidth="1"/>
    <col min="10542" max="10752" width="11" style="451"/>
    <col min="10753" max="10753" width="13.25" style="451" customWidth="1"/>
    <col min="10754" max="10795" width="14.625" style="451" customWidth="1"/>
    <col min="10796" max="10797" width="14.625" style="451" bestFit="1" customWidth="1"/>
    <col min="10798" max="11008" width="11" style="451"/>
    <col min="11009" max="11009" width="13.25" style="451" customWidth="1"/>
    <col min="11010" max="11051" width="14.625" style="451" customWidth="1"/>
    <col min="11052" max="11053" width="14.625" style="451" bestFit="1" customWidth="1"/>
    <col min="11054" max="11264" width="11" style="451"/>
    <col min="11265" max="11265" width="13.25" style="451" customWidth="1"/>
    <col min="11266" max="11307" width="14.625" style="451" customWidth="1"/>
    <col min="11308" max="11309" width="14.625" style="451" bestFit="1" customWidth="1"/>
    <col min="11310" max="11520" width="11" style="451"/>
    <col min="11521" max="11521" width="13.25" style="451" customWidth="1"/>
    <col min="11522" max="11563" width="14.625" style="451" customWidth="1"/>
    <col min="11564" max="11565" width="14.625" style="451" bestFit="1" customWidth="1"/>
    <col min="11566" max="11776" width="11" style="451"/>
    <col min="11777" max="11777" width="13.25" style="451" customWidth="1"/>
    <col min="11778" max="11819" width="14.625" style="451" customWidth="1"/>
    <col min="11820" max="11821" width="14.625" style="451" bestFit="1" customWidth="1"/>
    <col min="11822" max="12032" width="11" style="451"/>
    <col min="12033" max="12033" width="13.25" style="451" customWidth="1"/>
    <col min="12034" max="12075" width="14.625" style="451" customWidth="1"/>
    <col min="12076" max="12077" width="14.625" style="451" bestFit="1" customWidth="1"/>
    <col min="12078" max="12288" width="11" style="451"/>
    <col min="12289" max="12289" width="13.25" style="451" customWidth="1"/>
    <col min="12290" max="12331" width="14.625" style="451" customWidth="1"/>
    <col min="12332" max="12333" width="14.625" style="451" bestFit="1" customWidth="1"/>
    <col min="12334" max="12544" width="11" style="451"/>
    <col min="12545" max="12545" width="13.25" style="451" customWidth="1"/>
    <col min="12546" max="12587" width="14.625" style="451" customWidth="1"/>
    <col min="12588" max="12589" width="14.625" style="451" bestFit="1" customWidth="1"/>
    <col min="12590" max="12800" width="11" style="451"/>
    <col min="12801" max="12801" width="13.25" style="451" customWidth="1"/>
    <col min="12802" max="12843" width="14.625" style="451" customWidth="1"/>
    <col min="12844" max="12845" width="14.625" style="451" bestFit="1" customWidth="1"/>
    <col min="12846" max="13056" width="11" style="451"/>
    <col min="13057" max="13057" width="13.25" style="451" customWidth="1"/>
    <col min="13058" max="13099" width="14.625" style="451" customWidth="1"/>
    <col min="13100" max="13101" width="14.625" style="451" bestFit="1" customWidth="1"/>
    <col min="13102" max="13312" width="11" style="451"/>
    <col min="13313" max="13313" width="13.25" style="451" customWidth="1"/>
    <col min="13314" max="13355" width="14.625" style="451" customWidth="1"/>
    <col min="13356" max="13357" width="14.625" style="451" bestFit="1" customWidth="1"/>
    <col min="13358" max="13568" width="11" style="451"/>
    <col min="13569" max="13569" width="13.25" style="451" customWidth="1"/>
    <col min="13570" max="13611" width="14.625" style="451" customWidth="1"/>
    <col min="13612" max="13613" width="14.625" style="451" bestFit="1" customWidth="1"/>
    <col min="13614" max="13824" width="11" style="451"/>
    <col min="13825" max="13825" width="13.25" style="451" customWidth="1"/>
    <col min="13826" max="13867" width="14.625" style="451" customWidth="1"/>
    <col min="13868" max="13869" width="14.625" style="451" bestFit="1" customWidth="1"/>
    <col min="13870" max="14080" width="11" style="451"/>
    <col min="14081" max="14081" width="13.25" style="451" customWidth="1"/>
    <col min="14082" max="14123" width="14.625" style="451" customWidth="1"/>
    <col min="14124" max="14125" width="14.625" style="451" bestFit="1" customWidth="1"/>
    <col min="14126" max="14336" width="11" style="451"/>
    <col min="14337" max="14337" width="13.25" style="451" customWidth="1"/>
    <col min="14338" max="14379" width="14.625" style="451" customWidth="1"/>
    <col min="14380" max="14381" width="14.625" style="451" bestFit="1" customWidth="1"/>
    <col min="14382" max="14592" width="11" style="451"/>
    <col min="14593" max="14593" width="13.25" style="451" customWidth="1"/>
    <col min="14594" max="14635" width="14.625" style="451" customWidth="1"/>
    <col min="14636" max="14637" width="14.625" style="451" bestFit="1" customWidth="1"/>
    <col min="14638" max="14848" width="11" style="451"/>
    <col min="14849" max="14849" width="13.25" style="451" customWidth="1"/>
    <col min="14850" max="14891" width="14.625" style="451" customWidth="1"/>
    <col min="14892" max="14893" width="14.625" style="451" bestFit="1" customWidth="1"/>
    <col min="14894" max="15104" width="11" style="451"/>
    <col min="15105" max="15105" width="13.25" style="451" customWidth="1"/>
    <col min="15106" max="15147" width="14.625" style="451" customWidth="1"/>
    <col min="15148" max="15149" width="14.625" style="451" bestFit="1" customWidth="1"/>
    <col min="15150" max="15360" width="11" style="451"/>
    <col min="15361" max="15361" width="13.25" style="451" customWidth="1"/>
    <col min="15362" max="15403" width="14.625" style="451" customWidth="1"/>
    <col min="15404" max="15405" width="14.625" style="451" bestFit="1" customWidth="1"/>
    <col min="15406" max="15616" width="11" style="451"/>
    <col min="15617" max="15617" width="13.25" style="451" customWidth="1"/>
    <col min="15618" max="15659" width="14.625" style="451" customWidth="1"/>
    <col min="15660" max="15661" width="14.625" style="451" bestFit="1" customWidth="1"/>
    <col min="15662" max="15872" width="11" style="451"/>
    <col min="15873" max="15873" width="13.25" style="451" customWidth="1"/>
    <col min="15874" max="15915" width="14.625" style="451" customWidth="1"/>
    <col min="15916" max="15917" width="14.625" style="451" bestFit="1" customWidth="1"/>
    <col min="15918" max="16128" width="11" style="451"/>
    <col min="16129" max="16129" width="13.25" style="451" customWidth="1"/>
    <col min="16130" max="16171" width="14.625" style="451" customWidth="1"/>
    <col min="16172" max="16173" width="14.625" style="451" bestFit="1" customWidth="1"/>
    <col min="16174" max="16384" width="11" style="451"/>
  </cols>
  <sheetData>
    <row r="1" spans="1:45" s="455" customFormat="1" x14ac:dyDescent="0.2">
      <c r="A1" s="451"/>
      <c r="B1" s="451"/>
      <c r="C1" s="452"/>
      <c r="D1" s="452"/>
      <c r="E1" s="453"/>
      <c r="F1" s="453"/>
      <c r="G1" s="454"/>
    </row>
    <row r="2" spans="1:45" s="458" customFormat="1" ht="15" x14ac:dyDescent="0.2">
      <c r="A2" s="451"/>
      <c r="B2" s="451"/>
      <c r="C2" s="456"/>
      <c r="D2" s="456"/>
      <c r="E2" s="457"/>
      <c r="F2" s="457"/>
      <c r="G2" s="457"/>
    </row>
    <row r="3" spans="1:45" s="458" customFormat="1" ht="15" x14ac:dyDescent="0.2">
      <c r="A3" s="451"/>
      <c r="B3" s="451"/>
      <c r="C3" s="456"/>
      <c r="D3" s="456"/>
      <c r="E3" s="457"/>
      <c r="F3" s="457"/>
      <c r="G3" s="457"/>
    </row>
    <row r="4" spans="1:45" s="458" customFormat="1" ht="15" x14ac:dyDescent="0.2">
      <c r="A4" s="451"/>
      <c r="B4" s="451"/>
      <c r="C4" s="456"/>
      <c r="D4" s="456"/>
      <c r="E4" s="457"/>
      <c r="F4" s="457"/>
      <c r="G4" s="457"/>
    </row>
    <row r="5" spans="1:45" ht="50.25" customHeight="1" x14ac:dyDescent="0.2">
      <c r="G5" s="461"/>
    </row>
    <row r="6" spans="1:45" x14ac:dyDescent="0.2">
      <c r="A6" s="462"/>
      <c r="B6" s="463" t="s">
        <v>559</v>
      </c>
      <c r="C6" s="463" t="s">
        <v>560</v>
      </c>
      <c r="D6" s="463"/>
      <c r="E6" s="463"/>
      <c r="F6" s="463"/>
      <c r="G6" s="463"/>
      <c r="H6" s="463"/>
      <c r="I6" s="463"/>
      <c r="J6" s="463"/>
      <c r="K6" s="463"/>
      <c r="L6" s="463"/>
      <c r="M6" s="463"/>
      <c r="N6" s="463"/>
      <c r="O6" s="463"/>
      <c r="P6" s="463"/>
      <c r="Q6" s="463"/>
      <c r="R6" s="463"/>
      <c r="S6" s="463"/>
      <c r="T6" s="463"/>
      <c r="U6" s="463"/>
      <c r="V6" s="463"/>
      <c r="W6" s="463"/>
      <c r="X6" s="463"/>
      <c r="Y6" s="463"/>
      <c r="Z6" s="463"/>
      <c r="AA6" s="463"/>
      <c r="AB6" s="463"/>
      <c r="AC6" s="463"/>
      <c r="AD6" s="463"/>
      <c r="AE6" s="463"/>
      <c r="AF6" s="463"/>
      <c r="AG6" s="463"/>
      <c r="AH6" s="463"/>
      <c r="AI6" s="463"/>
      <c r="AJ6" s="463"/>
      <c r="AK6" s="463"/>
      <c r="AL6" s="463"/>
      <c r="AM6" s="463"/>
      <c r="AN6" s="463"/>
      <c r="AO6" s="463"/>
      <c r="AP6" s="463"/>
      <c r="AQ6" s="463"/>
      <c r="AR6" s="463"/>
      <c r="AS6" s="463"/>
    </row>
    <row r="7" spans="1:45" x14ac:dyDescent="0.2">
      <c r="A7" s="462"/>
      <c r="B7" s="463" t="s">
        <v>561</v>
      </c>
      <c r="C7" s="463"/>
      <c r="D7" s="463"/>
      <c r="E7" s="463"/>
      <c r="F7" s="463"/>
      <c r="G7" s="463"/>
      <c r="H7" s="463"/>
      <c r="I7" s="463"/>
      <c r="J7" s="463"/>
      <c r="K7" s="463"/>
      <c r="L7" s="463"/>
      <c r="M7" s="463"/>
      <c r="N7" s="463"/>
      <c r="O7" s="463"/>
      <c r="P7" s="463"/>
      <c r="Q7" s="463"/>
      <c r="R7" s="463"/>
      <c r="S7" s="463"/>
      <c r="T7" s="463"/>
      <c r="U7" s="463"/>
      <c r="V7" s="463"/>
      <c r="W7" s="463"/>
      <c r="X7" s="463" t="s">
        <v>562</v>
      </c>
      <c r="Y7" s="463"/>
      <c r="Z7" s="463"/>
      <c r="AA7" s="463"/>
      <c r="AB7" s="463"/>
      <c r="AC7" s="463"/>
      <c r="AD7" s="463"/>
      <c r="AE7" s="463"/>
      <c r="AF7" s="463"/>
      <c r="AG7" s="463"/>
      <c r="AH7" s="463"/>
      <c r="AI7" s="463"/>
      <c r="AJ7" s="463"/>
      <c r="AK7" s="463"/>
      <c r="AL7" s="463"/>
      <c r="AM7" s="463"/>
      <c r="AN7" s="463"/>
      <c r="AO7" s="463"/>
      <c r="AP7" s="463"/>
      <c r="AQ7" s="463"/>
      <c r="AR7" s="463"/>
      <c r="AS7" s="463"/>
    </row>
    <row r="8" spans="1:45" x14ac:dyDescent="0.2">
      <c r="A8" s="462" t="s">
        <v>563</v>
      </c>
      <c r="B8" s="464">
        <v>451</v>
      </c>
      <c r="C8" s="464">
        <v>3186</v>
      </c>
      <c r="D8" s="464">
        <v>3290</v>
      </c>
      <c r="E8" s="464">
        <v>3301</v>
      </c>
      <c r="F8" s="464">
        <v>4001</v>
      </c>
      <c r="G8" s="464">
        <v>4002</v>
      </c>
      <c r="H8" s="464">
        <v>4003</v>
      </c>
      <c r="I8" s="464">
        <v>4004</v>
      </c>
      <c r="J8" s="464">
        <v>4005</v>
      </c>
      <c r="K8" s="464">
        <v>4011</v>
      </c>
      <c r="L8" s="464">
        <v>4012</v>
      </c>
      <c r="M8" s="464">
        <v>4013</v>
      </c>
      <c r="N8" s="464">
        <v>4020</v>
      </c>
      <c r="O8" s="464">
        <v>4040</v>
      </c>
      <c r="P8" s="464">
        <v>4050</v>
      </c>
      <c r="Q8" s="464">
        <v>4061</v>
      </c>
      <c r="R8" s="464">
        <v>4090</v>
      </c>
      <c r="S8" s="464">
        <v>4223</v>
      </c>
      <c r="T8" s="464">
        <v>4370</v>
      </c>
      <c r="U8" s="464">
        <v>4411</v>
      </c>
      <c r="V8" s="464" t="s">
        <v>564</v>
      </c>
      <c r="W8" s="464" t="s">
        <v>565</v>
      </c>
      <c r="X8" s="464">
        <v>451</v>
      </c>
      <c r="Y8" s="464">
        <v>3186</v>
      </c>
      <c r="Z8" s="464">
        <v>3290</v>
      </c>
      <c r="AA8" s="464">
        <v>3301</v>
      </c>
      <c r="AB8" s="464">
        <v>4001</v>
      </c>
      <c r="AC8" s="464">
        <v>4002</v>
      </c>
      <c r="AD8" s="464">
        <v>4003</v>
      </c>
      <c r="AE8" s="464">
        <v>4004</v>
      </c>
      <c r="AF8" s="464">
        <v>4005</v>
      </c>
      <c r="AG8" s="464">
        <v>4011</v>
      </c>
      <c r="AH8" s="464">
        <v>4012</v>
      </c>
      <c r="AI8" s="464">
        <v>4013</v>
      </c>
      <c r="AJ8" s="464">
        <v>4020</v>
      </c>
      <c r="AK8" s="464">
        <v>4040</v>
      </c>
      <c r="AL8" s="464">
        <v>4050</v>
      </c>
      <c r="AM8" s="464">
        <v>4061</v>
      </c>
      <c r="AN8" s="464">
        <v>4090</v>
      </c>
      <c r="AO8" s="464">
        <v>4223</v>
      </c>
      <c r="AP8" s="464">
        <v>4370</v>
      </c>
      <c r="AQ8" s="464">
        <v>4411</v>
      </c>
      <c r="AR8" s="464" t="s">
        <v>564</v>
      </c>
      <c r="AS8" s="464" t="s">
        <v>565</v>
      </c>
    </row>
    <row r="9" spans="1:45" x14ac:dyDescent="0.2">
      <c r="A9" s="465">
        <v>5401</v>
      </c>
      <c r="B9" s="466"/>
      <c r="C9" s="466">
        <v>19495.13</v>
      </c>
      <c r="D9" s="466">
        <v>3417.1</v>
      </c>
      <c r="E9" s="466">
        <v>326033.98</v>
      </c>
      <c r="F9" s="466">
        <v>0</v>
      </c>
      <c r="G9" s="466">
        <v>0</v>
      </c>
      <c r="H9" s="466">
        <v>0</v>
      </c>
      <c r="I9" s="466">
        <v>0</v>
      </c>
      <c r="J9" s="466"/>
      <c r="K9" s="466">
        <v>0</v>
      </c>
      <c r="L9" s="466">
        <v>0</v>
      </c>
      <c r="M9" s="466">
        <v>0</v>
      </c>
      <c r="N9" s="466">
        <v>0</v>
      </c>
      <c r="O9" s="466">
        <v>0</v>
      </c>
      <c r="P9" s="466">
        <v>0</v>
      </c>
      <c r="Q9" s="466">
        <v>0</v>
      </c>
      <c r="R9" s="466">
        <v>0</v>
      </c>
      <c r="S9" s="466">
        <v>0</v>
      </c>
      <c r="T9" s="466"/>
      <c r="U9" s="466">
        <v>0</v>
      </c>
      <c r="V9" s="466"/>
      <c r="W9" s="466"/>
      <c r="X9" s="466">
        <v>277770.93</v>
      </c>
      <c r="Y9" s="466">
        <v>0</v>
      </c>
      <c r="Z9" s="466">
        <v>0</v>
      </c>
      <c r="AA9" s="466">
        <v>0</v>
      </c>
      <c r="AB9" s="466">
        <v>12061365.84</v>
      </c>
      <c r="AC9" s="466">
        <v>1793352.62</v>
      </c>
      <c r="AD9" s="466">
        <v>604742.80000000005</v>
      </c>
      <c r="AE9" s="466">
        <v>11522.44</v>
      </c>
      <c r="AF9" s="466"/>
      <c r="AG9" s="466">
        <v>2214823.5499999998</v>
      </c>
      <c r="AH9" s="466">
        <v>100959.25</v>
      </c>
      <c r="AI9" s="466">
        <v>183083.15</v>
      </c>
      <c r="AJ9" s="466">
        <v>2146829.7000000002</v>
      </c>
      <c r="AK9" s="466">
        <v>765608.15</v>
      </c>
      <c r="AL9" s="466">
        <v>239381</v>
      </c>
      <c r="AM9" s="466">
        <v>56150</v>
      </c>
      <c r="AN9" s="466">
        <v>100742.68</v>
      </c>
      <c r="AO9" s="466">
        <v>172381.79</v>
      </c>
      <c r="AP9" s="466"/>
      <c r="AQ9" s="466">
        <v>415357.65</v>
      </c>
      <c r="AR9" s="466">
        <v>20400.3</v>
      </c>
      <c r="AS9" s="466">
        <v>1288148.8</v>
      </c>
    </row>
    <row r="10" spans="1:45" x14ac:dyDescent="0.2">
      <c r="A10" s="465">
        <v>5402</v>
      </c>
      <c r="B10" s="466"/>
      <c r="C10" s="466">
        <v>10746.27</v>
      </c>
      <c r="D10" s="466">
        <v>3318.13</v>
      </c>
      <c r="E10" s="466">
        <v>208361.81</v>
      </c>
      <c r="F10" s="466">
        <v>0</v>
      </c>
      <c r="G10" s="466">
        <v>0</v>
      </c>
      <c r="H10" s="466">
        <v>0</v>
      </c>
      <c r="I10" s="466">
        <v>0</v>
      </c>
      <c r="J10" s="466"/>
      <c r="K10" s="466">
        <v>0</v>
      </c>
      <c r="L10" s="466">
        <v>0</v>
      </c>
      <c r="M10" s="466">
        <v>0</v>
      </c>
      <c r="N10" s="466"/>
      <c r="O10" s="466">
        <v>0</v>
      </c>
      <c r="P10" s="466">
        <v>0</v>
      </c>
      <c r="Q10" s="466">
        <v>0</v>
      </c>
      <c r="R10" s="466">
        <v>0</v>
      </c>
      <c r="S10" s="466">
        <v>0</v>
      </c>
      <c r="T10" s="466"/>
      <c r="U10" s="466">
        <v>0</v>
      </c>
      <c r="V10" s="466"/>
      <c r="W10" s="466"/>
      <c r="X10" s="466">
        <v>123529.06</v>
      </c>
      <c r="Y10" s="466">
        <v>0</v>
      </c>
      <c r="Z10" s="466">
        <v>0</v>
      </c>
      <c r="AA10" s="466">
        <v>0</v>
      </c>
      <c r="AB10" s="466">
        <v>8696027.5899999999</v>
      </c>
      <c r="AC10" s="466">
        <v>1343621.1</v>
      </c>
      <c r="AD10" s="466">
        <v>311153.5</v>
      </c>
      <c r="AE10" s="466">
        <v>-55670.9</v>
      </c>
      <c r="AF10" s="466"/>
      <c r="AG10" s="466">
        <v>957640.85</v>
      </c>
      <c r="AH10" s="466">
        <v>72223.8</v>
      </c>
      <c r="AI10" s="466">
        <v>124770.15</v>
      </c>
      <c r="AJ10" s="466"/>
      <c r="AK10" s="466">
        <v>624842.19999999995</v>
      </c>
      <c r="AL10" s="466">
        <v>119032.9</v>
      </c>
      <c r="AM10" s="466">
        <v>59250</v>
      </c>
      <c r="AN10" s="466">
        <v>42549.23</v>
      </c>
      <c r="AO10" s="466">
        <v>127970.16</v>
      </c>
      <c r="AP10" s="466"/>
      <c r="AQ10" s="466">
        <v>329056.45</v>
      </c>
      <c r="AR10" s="466">
        <v>2713.5</v>
      </c>
      <c r="AS10" s="466">
        <v>273206.65000000002</v>
      </c>
    </row>
    <row r="11" spans="1:45" x14ac:dyDescent="0.2">
      <c r="A11" s="465">
        <v>5403</v>
      </c>
      <c r="B11" s="466"/>
      <c r="C11" s="466">
        <v>684.96</v>
      </c>
      <c r="D11" s="466">
        <v>147.83000000000001</v>
      </c>
      <c r="E11" s="466">
        <v>40025.58</v>
      </c>
      <c r="F11" s="466">
        <v>0</v>
      </c>
      <c r="G11" s="466">
        <v>0</v>
      </c>
      <c r="H11" s="466">
        <v>0</v>
      </c>
      <c r="I11" s="466"/>
      <c r="J11" s="466"/>
      <c r="K11" s="466">
        <v>0</v>
      </c>
      <c r="L11" s="466">
        <v>0</v>
      </c>
      <c r="M11" s="466">
        <v>0</v>
      </c>
      <c r="N11" s="466">
        <v>0</v>
      </c>
      <c r="O11" s="466">
        <v>0</v>
      </c>
      <c r="P11" s="466"/>
      <c r="Q11" s="466">
        <v>0</v>
      </c>
      <c r="R11" s="466"/>
      <c r="S11" s="466">
        <v>0</v>
      </c>
      <c r="T11" s="466"/>
      <c r="U11" s="466">
        <v>0</v>
      </c>
      <c r="V11" s="466"/>
      <c r="W11" s="466"/>
      <c r="X11" s="466">
        <v>607.05999999999995</v>
      </c>
      <c r="Y11" s="466">
        <v>0</v>
      </c>
      <c r="Z11" s="466">
        <v>0</v>
      </c>
      <c r="AA11" s="466">
        <v>0</v>
      </c>
      <c r="AB11" s="466">
        <v>662617.01</v>
      </c>
      <c r="AC11" s="466">
        <v>59421.75</v>
      </c>
      <c r="AD11" s="466">
        <v>21554.639999999999</v>
      </c>
      <c r="AE11" s="466"/>
      <c r="AF11" s="466"/>
      <c r="AG11" s="466">
        <v>4169.3999999999996</v>
      </c>
      <c r="AH11" s="466">
        <v>891.7</v>
      </c>
      <c r="AI11" s="466">
        <v>8424.7999999999993</v>
      </c>
      <c r="AJ11" s="466">
        <v>81372</v>
      </c>
      <c r="AK11" s="466">
        <v>82687.350000000006</v>
      </c>
      <c r="AL11" s="466"/>
      <c r="AM11" s="466">
        <v>6550</v>
      </c>
      <c r="AN11" s="466"/>
      <c r="AO11" s="466">
        <v>7990.83</v>
      </c>
      <c r="AP11" s="466"/>
      <c r="AQ11" s="466">
        <v>29709.7</v>
      </c>
      <c r="AR11" s="466"/>
      <c r="AS11" s="466">
        <v>8460.15</v>
      </c>
    </row>
    <row r="12" spans="1:45" x14ac:dyDescent="0.2">
      <c r="A12" s="465">
        <v>5404</v>
      </c>
      <c r="B12" s="466"/>
      <c r="C12" s="466">
        <v>42.35</v>
      </c>
      <c r="D12" s="466">
        <v>208.01</v>
      </c>
      <c r="E12" s="466">
        <v>1959.06</v>
      </c>
      <c r="F12" s="466">
        <v>0</v>
      </c>
      <c r="G12" s="466">
        <v>0</v>
      </c>
      <c r="H12" s="466">
        <v>0</v>
      </c>
      <c r="I12" s="466"/>
      <c r="J12" s="466"/>
      <c r="K12" s="466">
        <v>0</v>
      </c>
      <c r="L12" s="466">
        <v>0</v>
      </c>
      <c r="M12" s="466">
        <v>0</v>
      </c>
      <c r="N12" s="466"/>
      <c r="O12" s="466">
        <v>0</v>
      </c>
      <c r="P12" s="466">
        <v>0</v>
      </c>
      <c r="Q12" s="466">
        <v>0</v>
      </c>
      <c r="R12" s="466"/>
      <c r="S12" s="466">
        <v>0</v>
      </c>
      <c r="T12" s="466"/>
      <c r="U12" s="466">
        <v>0</v>
      </c>
      <c r="V12" s="466"/>
      <c r="W12" s="466"/>
      <c r="X12" s="466">
        <v>578.47</v>
      </c>
      <c r="Y12" s="466">
        <v>0</v>
      </c>
      <c r="Z12" s="466">
        <v>0</v>
      </c>
      <c r="AA12" s="466">
        <v>0</v>
      </c>
      <c r="AB12" s="466">
        <v>618428.80000000005</v>
      </c>
      <c r="AC12" s="466">
        <v>119447.41</v>
      </c>
      <c r="AD12" s="466">
        <v>1197.28</v>
      </c>
      <c r="AE12" s="466"/>
      <c r="AF12" s="466"/>
      <c r="AG12" s="466">
        <v>-1133.05</v>
      </c>
      <c r="AH12" s="466">
        <v>5955.8</v>
      </c>
      <c r="AI12" s="466">
        <v>5412.05</v>
      </c>
      <c r="AJ12" s="466"/>
      <c r="AK12" s="466">
        <v>33854.400000000001</v>
      </c>
      <c r="AL12" s="466">
        <v>34998.699999999997</v>
      </c>
      <c r="AM12" s="466">
        <v>6400</v>
      </c>
      <c r="AN12" s="466"/>
      <c r="AO12" s="466">
        <v>7515.9</v>
      </c>
      <c r="AP12" s="466"/>
      <c r="AQ12" s="466">
        <v>42010.2</v>
      </c>
      <c r="AR12" s="466">
        <v>183.3</v>
      </c>
      <c r="AS12" s="466">
        <v>16587</v>
      </c>
    </row>
    <row r="13" spans="1:45" x14ac:dyDescent="0.2">
      <c r="A13" s="465">
        <v>5405</v>
      </c>
      <c r="B13" s="466"/>
      <c r="C13" s="466">
        <v>3780.59</v>
      </c>
      <c r="D13" s="466">
        <v>1503.1</v>
      </c>
      <c r="E13" s="466">
        <v>28222.07</v>
      </c>
      <c r="F13" s="466">
        <v>0</v>
      </c>
      <c r="G13" s="466">
        <v>0</v>
      </c>
      <c r="H13" s="466">
        <v>0</v>
      </c>
      <c r="I13" s="466">
        <v>0</v>
      </c>
      <c r="J13" s="466"/>
      <c r="K13" s="466">
        <v>0</v>
      </c>
      <c r="L13" s="466">
        <v>0</v>
      </c>
      <c r="M13" s="466">
        <v>0</v>
      </c>
      <c r="N13" s="466"/>
      <c r="O13" s="466"/>
      <c r="P13" s="466"/>
      <c r="Q13" s="466"/>
      <c r="R13" s="466">
        <v>0</v>
      </c>
      <c r="S13" s="466">
        <v>0</v>
      </c>
      <c r="T13" s="466">
        <v>0</v>
      </c>
      <c r="U13" s="466">
        <v>0</v>
      </c>
      <c r="V13" s="466"/>
      <c r="W13" s="466"/>
      <c r="X13" s="466">
        <v>3913.71</v>
      </c>
      <c r="Y13" s="466">
        <v>0</v>
      </c>
      <c r="Z13" s="466">
        <v>0</v>
      </c>
      <c r="AA13" s="466">
        <v>0</v>
      </c>
      <c r="AB13" s="466">
        <v>2836111.66</v>
      </c>
      <c r="AC13" s="466">
        <v>1169780.57</v>
      </c>
      <c r="AD13" s="466">
        <v>138909.26999999999</v>
      </c>
      <c r="AE13" s="466">
        <v>319555.25</v>
      </c>
      <c r="AF13" s="466"/>
      <c r="AG13" s="466">
        <v>29285.05</v>
      </c>
      <c r="AH13" s="466">
        <v>3343.65</v>
      </c>
      <c r="AI13" s="466">
        <v>13374.65</v>
      </c>
      <c r="AJ13" s="466"/>
      <c r="AK13" s="466"/>
      <c r="AL13" s="466"/>
      <c r="AM13" s="466"/>
      <c r="AN13" s="466">
        <v>3626.44</v>
      </c>
      <c r="AO13" s="466">
        <v>35845.11</v>
      </c>
      <c r="AP13" s="466">
        <v>29896.9</v>
      </c>
      <c r="AQ13" s="466">
        <v>285741.75</v>
      </c>
      <c r="AR13" s="466">
        <v>1860.82</v>
      </c>
      <c r="AS13" s="466">
        <v>463.15</v>
      </c>
    </row>
    <row r="14" spans="1:45" x14ac:dyDescent="0.2">
      <c r="A14" s="465">
        <v>5406</v>
      </c>
      <c r="B14" s="466"/>
      <c r="C14" s="466">
        <v>790.54</v>
      </c>
      <c r="D14" s="466">
        <v>457.53</v>
      </c>
      <c r="E14" s="466">
        <v>15500.27</v>
      </c>
      <c r="F14" s="466">
        <v>0</v>
      </c>
      <c r="G14" s="466">
        <v>0</v>
      </c>
      <c r="H14" s="466">
        <v>0</v>
      </c>
      <c r="I14" s="466"/>
      <c r="J14" s="466"/>
      <c r="K14" s="466">
        <v>0</v>
      </c>
      <c r="L14" s="466">
        <v>0</v>
      </c>
      <c r="M14" s="466">
        <v>0</v>
      </c>
      <c r="N14" s="466"/>
      <c r="O14" s="466">
        <v>0</v>
      </c>
      <c r="P14" s="466">
        <v>0</v>
      </c>
      <c r="Q14" s="466">
        <v>0</v>
      </c>
      <c r="R14" s="466">
        <v>0</v>
      </c>
      <c r="S14" s="466">
        <v>0</v>
      </c>
      <c r="T14" s="466"/>
      <c r="U14" s="466">
        <v>0</v>
      </c>
      <c r="V14" s="466"/>
      <c r="W14" s="466"/>
      <c r="X14" s="466">
        <v>6972.45</v>
      </c>
      <c r="Y14" s="466">
        <v>0</v>
      </c>
      <c r="Z14" s="466">
        <v>0</v>
      </c>
      <c r="AA14" s="466">
        <v>0</v>
      </c>
      <c r="AB14" s="466">
        <v>1151461.03</v>
      </c>
      <c r="AC14" s="466">
        <v>151707.82</v>
      </c>
      <c r="AD14" s="466">
        <v>48632.09</v>
      </c>
      <c r="AE14" s="466"/>
      <c r="AF14" s="466"/>
      <c r="AG14" s="466">
        <v>55191.3</v>
      </c>
      <c r="AH14" s="466">
        <v>2938.2</v>
      </c>
      <c r="AI14" s="466">
        <v>9389.5499999999993</v>
      </c>
      <c r="AJ14" s="466"/>
      <c r="AK14" s="466">
        <v>75697.350000000006</v>
      </c>
      <c r="AL14" s="466">
        <v>73255.8</v>
      </c>
      <c r="AM14" s="466">
        <v>7250</v>
      </c>
      <c r="AN14" s="466">
        <v>796.54</v>
      </c>
      <c r="AO14" s="466">
        <v>11343.66</v>
      </c>
      <c r="AP14" s="466"/>
      <c r="AQ14" s="466">
        <v>60384.6</v>
      </c>
      <c r="AR14" s="466">
        <v>592.92999999999995</v>
      </c>
      <c r="AS14" s="466">
        <v>1891.95</v>
      </c>
    </row>
    <row r="15" spans="1:45" x14ac:dyDescent="0.2">
      <c r="A15" s="465">
        <v>5407</v>
      </c>
      <c r="B15" s="466"/>
      <c r="C15" s="466">
        <v>12963.98</v>
      </c>
      <c r="D15" s="466">
        <v>1811.02</v>
      </c>
      <c r="E15" s="466">
        <v>71820.56</v>
      </c>
      <c r="F15" s="466">
        <v>0</v>
      </c>
      <c r="G15" s="466">
        <v>0</v>
      </c>
      <c r="H15" s="466">
        <v>0</v>
      </c>
      <c r="I15" s="466">
        <v>0</v>
      </c>
      <c r="J15" s="466"/>
      <c r="K15" s="466">
        <v>0</v>
      </c>
      <c r="L15" s="466">
        <v>0</v>
      </c>
      <c r="M15" s="466">
        <v>0</v>
      </c>
      <c r="N15" s="466"/>
      <c r="O15" s="466">
        <v>0</v>
      </c>
      <c r="P15" s="466">
        <v>0</v>
      </c>
      <c r="Q15" s="466">
        <v>0</v>
      </c>
      <c r="R15" s="466">
        <v>0</v>
      </c>
      <c r="S15" s="466">
        <v>0</v>
      </c>
      <c r="T15" s="466"/>
      <c r="U15" s="466">
        <v>0</v>
      </c>
      <c r="V15" s="466"/>
      <c r="W15" s="466"/>
      <c r="X15" s="466">
        <v>31741.45</v>
      </c>
      <c r="Y15" s="466">
        <v>0</v>
      </c>
      <c r="Z15" s="466">
        <v>0</v>
      </c>
      <c r="AA15" s="466">
        <v>0</v>
      </c>
      <c r="AB15" s="466">
        <v>4237562.6100000003</v>
      </c>
      <c r="AC15" s="466">
        <v>1060772.3</v>
      </c>
      <c r="AD15" s="466">
        <v>445408.01</v>
      </c>
      <c r="AE15" s="466">
        <v>155949.29999999999</v>
      </c>
      <c r="AF15" s="466"/>
      <c r="AG15" s="466">
        <v>164373.54999999999</v>
      </c>
      <c r="AH15" s="466">
        <v>100255.7</v>
      </c>
      <c r="AI15" s="466">
        <v>63329.7</v>
      </c>
      <c r="AJ15" s="466"/>
      <c r="AK15" s="466">
        <v>404776.3</v>
      </c>
      <c r="AL15" s="466">
        <v>157815.9</v>
      </c>
      <c r="AM15" s="466">
        <v>17800</v>
      </c>
      <c r="AN15" s="466">
        <v>39319.53</v>
      </c>
      <c r="AO15" s="466">
        <v>82355.679999999993</v>
      </c>
      <c r="AP15" s="466"/>
      <c r="AQ15" s="466">
        <v>187357.15</v>
      </c>
      <c r="AR15" s="466">
        <v>6701.08</v>
      </c>
      <c r="AS15" s="466">
        <v>64008.35</v>
      </c>
    </row>
    <row r="16" spans="1:45" x14ac:dyDescent="0.2">
      <c r="A16" s="465">
        <v>5408</v>
      </c>
      <c r="B16" s="466"/>
      <c r="C16" s="466">
        <v>1743.38</v>
      </c>
      <c r="D16" s="466">
        <v>2878.29</v>
      </c>
      <c r="E16" s="466">
        <v>11840.69</v>
      </c>
      <c r="F16" s="466">
        <v>0</v>
      </c>
      <c r="G16" s="466">
        <v>0</v>
      </c>
      <c r="H16" s="466">
        <v>0</v>
      </c>
      <c r="I16" s="466"/>
      <c r="J16" s="466"/>
      <c r="K16" s="466">
        <v>0</v>
      </c>
      <c r="L16" s="466">
        <v>0</v>
      </c>
      <c r="M16" s="466">
        <v>0</v>
      </c>
      <c r="N16" s="466">
        <v>0</v>
      </c>
      <c r="O16" s="466">
        <v>0</v>
      </c>
      <c r="P16" s="466">
        <v>0</v>
      </c>
      <c r="Q16" s="466">
        <v>0</v>
      </c>
      <c r="R16" s="466">
        <v>0</v>
      </c>
      <c r="S16" s="466">
        <v>0</v>
      </c>
      <c r="T16" s="466"/>
      <c r="U16" s="466">
        <v>0</v>
      </c>
      <c r="V16" s="466"/>
      <c r="W16" s="466"/>
      <c r="X16" s="466">
        <v>74767.759999999995</v>
      </c>
      <c r="Y16" s="466">
        <v>0</v>
      </c>
      <c r="Z16" s="466">
        <v>0</v>
      </c>
      <c r="AA16" s="466">
        <v>0</v>
      </c>
      <c r="AB16" s="466">
        <v>2087701.68</v>
      </c>
      <c r="AC16" s="466">
        <v>226024.85</v>
      </c>
      <c r="AD16" s="466">
        <v>60551.19</v>
      </c>
      <c r="AE16" s="466"/>
      <c r="AF16" s="466"/>
      <c r="AG16" s="466">
        <v>605712</v>
      </c>
      <c r="AH16" s="466">
        <v>17628.599999999999</v>
      </c>
      <c r="AI16" s="466">
        <v>39431.800000000003</v>
      </c>
      <c r="AJ16" s="466">
        <v>494795.6</v>
      </c>
      <c r="AK16" s="466">
        <v>123908.95</v>
      </c>
      <c r="AL16" s="466">
        <v>0</v>
      </c>
      <c r="AM16" s="466">
        <v>13650</v>
      </c>
      <c r="AN16" s="466">
        <v>11987.28</v>
      </c>
      <c r="AO16" s="466">
        <v>23787.49</v>
      </c>
      <c r="AP16" s="466"/>
      <c r="AQ16" s="466">
        <v>61146.95</v>
      </c>
      <c r="AR16" s="466">
        <v>384.63</v>
      </c>
      <c r="AS16" s="466">
        <v>204831.45</v>
      </c>
    </row>
    <row r="17" spans="1:45" x14ac:dyDescent="0.2">
      <c r="A17" s="465">
        <v>5409</v>
      </c>
      <c r="B17" s="466"/>
      <c r="C17" s="466">
        <v>20167.59</v>
      </c>
      <c r="D17" s="466">
        <v>7934.98</v>
      </c>
      <c r="E17" s="466">
        <v>120552.78</v>
      </c>
      <c r="F17" s="466">
        <v>0</v>
      </c>
      <c r="G17" s="466">
        <v>0</v>
      </c>
      <c r="H17" s="466">
        <v>0</v>
      </c>
      <c r="I17" s="466">
        <v>0</v>
      </c>
      <c r="J17" s="466"/>
      <c r="K17" s="466">
        <v>0</v>
      </c>
      <c r="L17" s="466">
        <v>0</v>
      </c>
      <c r="M17" s="466">
        <v>0</v>
      </c>
      <c r="N17" s="466">
        <v>0</v>
      </c>
      <c r="O17" s="466">
        <v>0</v>
      </c>
      <c r="P17" s="466">
        <v>0</v>
      </c>
      <c r="Q17" s="466">
        <v>0</v>
      </c>
      <c r="R17" s="466">
        <v>0</v>
      </c>
      <c r="S17" s="466">
        <v>0</v>
      </c>
      <c r="T17" s="466">
        <v>0</v>
      </c>
      <c r="U17" s="466">
        <v>0</v>
      </c>
      <c r="V17" s="466"/>
      <c r="W17" s="466"/>
      <c r="X17" s="466">
        <v>74800.479999999996</v>
      </c>
      <c r="Y17" s="466">
        <v>0</v>
      </c>
      <c r="Z17" s="466">
        <v>0</v>
      </c>
      <c r="AA17" s="466">
        <v>0</v>
      </c>
      <c r="AB17" s="466">
        <v>14301237.390000001</v>
      </c>
      <c r="AC17" s="466">
        <v>5091587.37</v>
      </c>
      <c r="AD17" s="466">
        <v>687004.7</v>
      </c>
      <c r="AE17" s="466">
        <v>2558500.9900000002</v>
      </c>
      <c r="AF17" s="466"/>
      <c r="AG17" s="466">
        <v>450525.2</v>
      </c>
      <c r="AH17" s="466">
        <v>173088.2</v>
      </c>
      <c r="AI17" s="466">
        <v>134495.5</v>
      </c>
      <c r="AJ17" s="466">
        <v>4093364.15</v>
      </c>
      <c r="AK17" s="466">
        <v>1596824.45</v>
      </c>
      <c r="AL17" s="466">
        <v>688910.65</v>
      </c>
      <c r="AM17" s="466">
        <v>57300</v>
      </c>
      <c r="AN17" s="466">
        <v>15596.56</v>
      </c>
      <c r="AO17" s="466">
        <v>211460.82</v>
      </c>
      <c r="AP17" s="466">
        <v>10549.35</v>
      </c>
      <c r="AQ17" s="466">
        <v>1165765.7</v>
      </c>
      <c r="AR17" s="466">
        <v>50041.19</v>
      </c>
      <c r="AS17" s="466">
        <v>75640.75</v>
      </c>
    </row>
    <row r="18" spans="1:45" x14ac:dyDescent="0.2">
      <c r="A18" s="465">
        <v>5410</v>
      </c>
      <c r="B18" s="466"/>
      <c r="C18" s="466">
        <v>874.09</v>
      </c>
      <c r="D18" s="466">
        <v>954.76</v>
      </c>
      <c r="E18" s="466">
        <v>46117.599999999999</v>
      </c>
      <c r="F18" s="466">
        <v>0</v>
      </c>
      <c r="G18" s="466">
        <v>0</v>
      </c>
      <c r="H18" s="466">
        <v>0</v>
      </c>
      <c r="I18" s="466"/>
      <c r="J18" s="466"/>
      <c r="K18" s="466">
        <v>0</v>
      </c>
      <c r="L18" s="466">
        <v>0</v>
      </c>
      <c r="M18" s="466">
        <v>0</v>
      </c>
      <c r="N18" s="466"/>
      <c r="O18" s="466">
        <v>0</v>
      </c>
      <c r="P18" s="466">
        <v>0</v>
      </c>
      <c r="Q18" s="466">
        <v>0</v>
      </c>
      <c r="R18" s="466">
        <v>0</v>
      </c>
      <c r="S18" s="466">
        <v>0</v>
      </c>
      <c r="T18" s="466"/>
      <c r="U18" s="466">
        <v>0</v>
      </c>
      <c r="V18" s="466"/>
      <c r="W18" s="466"/>
      <c r="X18" s="466">
        <v>2706.11</v>
      </c>
      <c r="Y18" s="466">
        <v>0</v>
      </c>
      <c r="Z18" s="466">
        <v>0</v>
      </c>
      <c r="AA18" s="466">
        <v>0</v>
      </c>
      <c r="AB18" s="466">
        <v>1995922.34</v>
      </c>
      <c r="AC18" s="466">
        <v>578932.27</v>
      </c>
      <c r="AD18" s="466">
        <v>90778.81</v>
      </c>
      <c r="AE18" s="466"/>
      <c r="AF18" s="466"/>
      <c r="AG18" s="466">
        <v>20435.400000000001</v>
      </c>
      <c r="AH18" s="466">
        <v>2125.5</v>
      </c>
      <c r="AI18" s="466">
        <v>11095.15</v>
      </c>
      <c r="AJ18" s="466"/>
      <c r="AK18" s="466">
        <v>117342.75</v>
      </c>
      <c r="AL18" s="466">
        <v>223995</v>
      </c>
      <c r="AM18" s="466">
        <v>16750</v>
      </c>
      <c r="AN18" s="466">
        <v>4965.3</v>
      </c>
      <c r="AO18" s="466">
        <v>21680.84</v>
      </c>
      <c r="AP18" s="466"/>
      <c r="AQ18" s="466">
        <v>93741.4</v>
      </c>
      <c r="AR18" s="466">
        <v>397.44</v>
      </c>
      <c r="AS18" s="466">
        <v>6858.4</v>
      </c>
    </row>
    <row r="19" spans="1:45" x14ac:dyDescent="0.2">
      <c r="A19" s="465">
        <v>5411</v>
      </c>
      <c r="B19" s="466"/>
      <c r="C19" s="466">
        <v>4150.5600000000004</v>
      </c>
      <c r="D19" s="466">
        <v>1924.88</v>
      </c>
      <c r="E19" s="466">
        <v>29780.3</v>
      </c>
      <c r="F19" s="466">
        <v>0</v>
      </c>
      <c r="G19" s="466">
        <v>0</v>
      </c>
      <c r="H19" s="466">
        <v>0</v>
      </c>
      <c r="I19" s="466">
        <v>0</v>
      </c>
      <c r="J19" s="466"/>
      <c r="K19" s="466">
        <v>0</v>
      </c>
      <c r="L19" s="466">
        <v>0</v>
      </c>
      <c r="M19" s="466">
        <v>0</v>
      </c>
      <c r="N19" s="466"/>
      <c r="O19" s="466">
        <v>0</v>
      </c>
      <c r="P19" s="466">
        <v>0</v>
      </c>
      <c r="Q19" s="466">
        <v>0</v>
      </c>
      <c r="R19" s="466">
        <v>0</v>
      </c>
      <c r="S19" s="466">
        <v>0</v>
      </c>
      <c r="T19" s="466"/>
      <c r="U19" s="466">
        <v>0</v>
      </c>
      <c r="V19" s="466"/>
      <c r="W19" s="466"/>
      <c r="X19" s="466">
        <v>12030.32</v>
      </c>
      <c r="Y19" s="466">
        <v>0</v>
      </c>
      <c r="Z19" s="466">
        <v>0</v>
      </c>
      <c r="AA19" s="466">
        <v>0</v>
      </c>
      <c r="AB19" s="466">
        <v>2762612.3</v>
      </c>
      <c r="AC19" s="466">
        <v>1194553.5</v>
      </c>
      <c r="AD19" s="466">
        <v>172898.25</v>
      </c>
      <c r="AE19" s="466">
        <v>115498.45</v>
      </c>
      <c r="AF19" s="466"/>
      <c r="AG19" s="466">
        <v>91289.9</v>
      </c>
      <c r="AH19" s="466">
        <v>9007.2000000000007</v>
      </c>
      <c r="AI19" s="466">
        <v>22562.15</v>
      </c>
      <c r="AJ19" s="466"/>
      <c r="AK19" s="466">
        <v>436124.45</v>
      </c>
      <c r="AL19" s="466">
        <v>191122.9</v>
      </c>
      <c r="AM19" s="466">
        <v>11350</v>
      </c>
      <c r="AN19" s="466">
        <v>11983.24</v>
      </c>
      <c r="AO19" s="466">
        <v>30930.2</v>
      </c>
      <c r="AP19" s="466"/>
      <c r="AQ19" s="466">
        <v>285985.05</v>
      </c>
      <c r="AR19" s="466">
        <v>2357.0100000000002</v>
      </c>
      <c r="AS19" s="466">
        <v>22248.05</v>
      </c>
    </row>
    <row r="20" spans="1:45" x14ac:dyDescent="0.2">
      <c r="A20" s="465">
        <v>5412</v>
      </c>
      <c r="B20" s="466"/>
      <c r="C20" s="466">
        <v>3895.32</v>
      </c>
      <c r="D20" s="466">
        <v>371.59</v>
      </c>
      <c r="E20" s="466">
        <v>24854.75</v>
      </c>
      <c r="F20" s="466">
        <v>0</v>
      </c>
      <c r="G20" s="466">
        <v>0</v>
      </c>
      <c r="H20" s="466">
        <v>0</v>
      </c>
      <c r="I20" s="466">
        <v>0</v>
      </c>
      <c r="J20" s="466"/>
      <c r="K20" s="466">
        <v>0</v>
      </c>
      <c r="L20" s="466">
        <v>0</v>
      </c>
      <c r="M20" s="466">
        <v>0</v>
      </c>
      <c r="N20" s="466"/>
      <c r="O20" s="466">
        <v>0</v>
      </c>
      <c r="P20" s="466"/>
      <c r="Q20" s="466">
        <v>0</v>
      </c>
      <c r="R20" s="466">
        <v>0</v>
      </c>
      <c r="S20" s="466">
        <v>0</v>
      </c>
      <c r="T20" s="466"/>
      <c r="U20" s="466">
        <v>0</v>
      </c>
      <c r="V20" s="466"/>
      <c r="W20" s="466"/>
      <c r="X20" s="466">
        <v>8172.14</v>
      </c>
      <c r="Y20" s="466">
        <v>0</v>
      </c>
      <c r="Z20" s="466">
        <v>0</v>
      </c>
      <c r="AA20" s="466">
        <v>0</v>
      </c>
      <c r="AB20" s="466">
        <v>1134887.54</v>
      </c>
      <c r="AC20" s="466">
        <v>94894.45</v>
      </c>
      <c r="AD20" s="466">
        <v>124988.42</v>
      </c>
      <c r="AE20" s="466">
        <v>0</v>
      </c>
      <c r="AF20" s="466"/>
      <c r="AG20" s="466">
        <v>55997.8</v>
      </c>
      <c r="AH20" s="466">
        <v>12133.55</v>
      </c>
      <c r="AI20" s="466">
        <v>37931.25</v>
      </c>
      <c r="AJ20" s="466"/>
      <c r="AK20" s="466">
        <v>390203</v>
      </c>
      <c r="AL20" s="466"/>
      <c r="AM20" s="466">
        <v>5350</v>
      </c>
      <c r="AN20" s="466">
        <v>10379.57</v>
      </c>
      <c r="AO20" s="466">
        <v>13430.07</v>
      </c>
      <c r="AP20" s="466"/>
      <c r="AQ20" s="466">
        <v>61549.05</v>
      </c>
      <c r="AR20" s="466">
        <v>120.95</v>
      </c>
      <c r="AS20" s="466">
        <v>257000.25</v>
      </c>
    </row>
    <row r="21" spans="1:45" x14ac:dyDescent="0.2">
      <c r="A21" s="465">
        <v>5413</v>
      </c>
      <c r="B21" s="466"/>
      <c r="C21" s="466">
        <v>2618.52</v>
      </c>
      <c r="D21" s="466">
        <v>1517.48</v>
      </c>
      <c r="E21" s="466">
        <v>119303.93</v>
      </c>
      <c r="F21" s="466">
        <v>0</v>
      </c>
      <c r="G21" s="466">
        <v>0</v>
      </c>
      <c r="H21" s="466">
        <v>0</v>
      </c>
      <c r="I21" s="466"/>
      <c r="J21" s="466"/>
      <c r="K21" s="466">
        <v>0</v>
      </c>
      <c r="L21" s="466">
        <v>0</v>
      </c>
      <c r="M21" s="466">
        <v>0</v>
      </c>
      <c r="N21" s="466">
        <v>0</v>
      </c>
      <c r="O21" s="466">
        <v>0</v>
      </c>
      <c r="P21" s="466">
        <v>0</v>
      </c>
      <c r="Q21" s="466">
        <v>0</v>
      </c>
      <c r="R21" s="466">
        <v>0</v>
      </c>
      <c r="S21" s="466">
        <v>0</v>
      </c>
      <c r="T21" s="466">
        <v>0</v>
      </c>
      <c r="U21" s="466">
        <v>0</v>
      </c>
      <c r="V21" s="466"/>
      <c r="W21" s="466"/>
      <c r="X21" s="466">
        <v>20856.650000000001</v>
      </c>
      <c r="Y21" s="466">
        <v>0</v>
      </c>
      <c r="Z21" s="466">
        <v>0</v>
      </c>
      <c r="AA21" s="466">
        <v>0</v>
      </c>
      <c r="AB21" s="466">
        <v>2566280.35</v>
      </c>
      <c r="AC21" s="466">
        <v>185445.91</v>
      </c>
      <c r="AD21" s="466">
        <v>69128.09</v>
      </c>
      <c r="AE21" s="466"/>
      <c r="AF21" s="466"/>
      <c r="AG21" s="466">
        <v>164746.1</v>
      </c>
      <c r="AH21" s="466">
        <v>9136.2999999999993</v>
      </c>
      <c r="AI21" s="466">
        <v>33987.300000000003</v>
      </c>
      <c r="AJ21" s="466">
        <v>359187.85</v>
      </c>
      <c r="AK21" s="466">
        <v>40660.800000000003</v>
      </c>
      <c r="AL21" s="466">
        <v>5414</v>
      </c>
      <c r="AM21" s="466">
        <v>14850</v>
      </c>
      <c r="AN21" s="466">
        <v>35230.839999999997</v>
      </c>
      <c r="AO21" s="466">
        <v>31843</v>
      </c>
      <c r="AP21" s="466">
        <v>-16550</v>
      </c>
      <c r="AQ21" s="466">
        <v>234295.95</v>
      </c>
      <c r="AR21" s="466">
        <v>322.97000000000003</v>
      </c>
      <c r="AS21" s="466">
        <v>275376.59999999998</v>
      </c>
    </row>
    <row r="22" spans="1:45" x14ac:dyDescent="0.2">
      <c r="A22" s="465">
        <v>5414</v>
      </c>
      <c r="B22" s="466"/>
      <c r="C22" s="466">
        <v>13361.21</v>
      </c>
      <c r="D22" s="466">
        <v>2632.71</v>
      </c>
      <c r="E22" s="466">
        <v>525365.79</v>
      </c>
      <c r="F22" s="466">
        <v>0</v>
      </c>
      <c r="G22" s="466">
        <v>0</v>
      </c>
      <c r="H22" s="466">
        <v>0</v>
      </c>
      <c r="I22" s="466">
        <v>0</v>
      </c>
      <c r="J22" s="466"/>
      <c r="K22" s="466">
        <v>0</v>
      </c>
      <c r="L22" s="466">
        <v>0</v>
      </c>
      <c r="M22" s="466">
        <v>0</v>
      </c>
      <c r="N22" s="466">
        <v>0</v>
      </c>
      <c r="O22" s="466">
        <v>0</v>
      </c>
      <c r="P22" s="466">
        <v>0</v>
      </c>
      <c r="Q22" s="466">
        <v>0</v>
      </c>
      <c r="R22" s="466">
        <v>0</v>
      </c>
      <c r="S22" s="466">
        <v>0</v>
      </c>
      <c r="T22" s="466"/>
      <c r="U22" s="466">
        <v>0</v>
      </c>
      <c r="V22" s="466"/>
      <c r="W22" s="466"/>
      <c r="X22" s="466">
        <v>59073.45</v>
      </c>
      <c r="Y22" s="466">
        <v>0</v>
      </c>
      <c r="Z22" s="466">
        <v>0</v>
      </c>
      <c r="AA22" s="466">
        <v>0</v>
      </c>
      <c r="AB22" s="466">
        <v>7518171.6699999999</v>
      </c>
      <c r="AC22" s="466">
        <v>1268760</v>
      </c>
      <c r="AD22" s="466">
        <v>377905.1</v>
      </c>
      <c r="AE22" s="466">
        <v>60504.7</v>
      </c>
      <c r="AF22" s="466"/>
      <c r="AG22" s="466">
        <v>339775.15</v>
      </c>
      <c r="AH22" s="466">
        <v>152721.60000000001</v>
      </c>
      <c r="AI22" s="466">
        <v>170265.60000000001</v>
      </c>
      <c r="AJ22" s="466">
        <v>1233070.3</v>
      </c>
      <c r="AK22" s="466">
        <v>395929.45</v>
      </c>
      <c r="AL22" s="466">
        <v>125495</v>
      </c>
      <c r="AM22" s="466">
        <v>23460</v>
      </c>
      <c r="AN22" s="466">
        <v>114730.6</v>
      </c>
      <c r="AO22" s="466">
        <v>126579.62</v>
      </c>
      <c r="AP22" s="466"/>
      <c r="AQ22" s="466">
        <v>291274.25</v>
      </c>
      <c r="AR22" s="466">
        <v>5477.89</v>
      </c>
      <c r="AS22" s="466">
        <v>1579016.8</v>
      </c>
    </row>
    <row r="23" spans="1:45" x14ac:dyDescent="0.2">
      <c r="A23" s="465">
        <v>5415</v>
      </c>
      <c r="B23" s="466"/>
      <c r="C23" s="466">
        <v>1659.06</v>
      </c>
      <c r="D23" s="466">
        <v>636</v>
      </c>
      <c r="E23" s="466">
        <v>33484.75</v>
      </c>
      <c r="F23" s="466">
        <v>0</v>
      </c>
      <c r="G23" s="466">
        <v>0</v>
      </c>
      <c r="H23" s="466">
        <v>0</v>
      </c>
      <c r="I23" s="466">
        <v>0</v>
      </c>
      <c r="J23" s="466"/>
      <c r="K23" s="466">
        <v>0</v>
      </c>
      <c r="L23" s="466">
        <v>0</v>
      </c>
      <c r="M23" s="466">
        <v>0</v>
      </c>
      <c r="N23" s="466">
        <v>0</v>
      </c>
      <c r="O23" s="466">
        <v>0</v>
      </c>
      <c r="P23" s="466">
        <v>0</v>
      </c>
      <c r="Q23" s="466">
        <v>0</v>
      </c>
      <c r="R23" s="466">
        <v>0</v>
      </c>
      <c r="S23" s="466">
        <v>0</v>
      </c>
      <c r="T23" s="466"/>
      <c r="U23" s="466">
        <v>0</v>
      </c>
      <c r="V23" s="466"/>
      <c r="W23" s="466"/>
      <c r="X23" s="466">
        <v>5470.09</v>
      </c>
      <c r="Y23" s="466">
        <v>0</v>
      </c>
      <c r="Z23" s="466">
        <v>0</v>
      </c>
      <c r="AA23" s="466">
        <v>0</v>
      </c>
      <c r="AB23" s="466">
        <v>2092581.95</v>
      </c>
      <c r="AC23" s="466">
        <v>313907.99</v>
      </c>
      <c r="AD23" s="466">
        <v>50941.15</v>
      </c>
      <c r="AE23" s="466">
        <v>-1112.8</v>
      </c>
      <c r="AF23" s="466"/>
      <c r="AG23" s="466">
        <v>39694.5</v>
      </c>
      <c r="AH23" s="466">
        <v>5909.75</v>
      </c>
      <c r="AI23" s="466">
        <v>8446.2000000000007</v>
      </c>
      <c r="AJ23" s="466">
        <v>363802.15</v>
      </c>
      <c r="AK23" s="466">
        <v>36502.699999999997</v>
      </c>
      <c r="AL23" s="466">
        <v>301698.3</v>
      </c>
      <c r="AM23" s="466">
        <v>7400</v>
      </c>
      <c r="AN23" s="466">
        <v>3993.56</v>
      </c>
      <c r="AO23" s="466">
        <v>21897.22</v>
      </c>
      <c r="AP23" s="466"/>
      <c r="AQ23" s="466">
        <v>4057.75</v>
      </c>
      <c r="AR23" s="466">
        <v>798.47</v>
      </c>
      <c r="AS23" s="466">
        <v>40570.300000000003</v>
      </c>
    </row>
    <row r="24" spans="1:45" x14ac:dyDescent="0.2">
      <c r="A24" s="465">
        <v>5421</v>
      </c>
      <c r="B24" s="466"/>
      <c r="C24" s="466">
        <v>13561.67</v>
      </c>
      <c r="D24" s="466">
        <v>1174.1500000000001</v>
      </c>
      <c r="E24" s="466">
        <v>36044.699999999997</v>
      </c>
      <c r="F24" s="466">
        <v>0</v>
      </c>
      <c r="G24" s="466">
        <v>0</v>
      </c>
      <c r="H24" s="466">
        <v>0</v>
      </c>
      <c r="I24" s="466">
        <v>0</v>
      </c>
      <c r="J24" s="466"/>
      <c r="K24" s="466">
        <v>0</v>
      </c>
      <c r="L24" s="466">
        <v>0</v>
      </c>
      <c r="M24" s="466">
        <v>0</v>
      </c>
      <c r="N24" s="466"/>
      <c r="O24" s="466">
        <v>0</v>
      </c>
      <c r="P24" s="466">
        <v>0</v>
      </c>
      <c r="Q24" s="466">
        <v>0</v>
      </c>
      <c r="R24" s="466">
        <v>0</v>
      </c>
      <c r="S24" s="466">
        <v>0</v>
      </c>
      <c r="T24" s="466"/>
      <c r="U24" s="466">
        <v>0</v>
      </c>
      <c r="V24" s="466"/>
      <c r="W24" s="466"/>
      <c r="X24" s="466">
        <v>7520.19</v>
      </c>
      <c r="Y24" s="466">
        <v>0</v>
      </c>
      <c r="Z24" s="466">
        <v>0</v>
      </c>
      <c r="AA24" s="466">
        <v>0</v>
      </c>
      <c r="AB24" s="466">
        <v>3646825.56</v>
      </c>
      <c r="AC24" s="466">
        <v>554544.91</v>
      </c>
      <c r="AD24" s="466">
        <v>292311.67999999999</v>
      </c>
      <c r="AE24" s="466">
        <v>67515.199999999997</v>
      </c>
      <c r="AF24" s="466"/>
      <c r="AG24" s="466">
        <v>21678.95</v>
      </c>
      <c r="AH24" s="466">
        <v>41017.050000000003</v>
      </c>
      <c r="AI24" s="466">
        <v>12858.9</v>
      </c>
      <c r="AJ24" s="466"/>
      <c r="AK24" s="466">
        <v>77387.399999999994</v>
      </c>
      <c r="AL24" s="466">
        <v>44006.400000000001</v>
      </c>
      <c r="AM24" s="466">
        <v>9400</v>
      </c>
      <c r="AN24" s="466">
        <v>2464.04</v>
      </c>
      <c r="AO24" s="466">
        <v>24117.82</v>
      </c>
      <c r="AP24" s="466"/>
      <c r="AQ24" s="466">
        <v>60347.75</v>
      </c>
      <c r="AR24" s="466">
        <v>5260.21</v>
      </c>
      <c r="AS24" s="466">
        <v>37966.6</v>
      </c>
    </row>
    <row r="25" spans="1:45" x14ac:dyDescent="0.2">
      <c r="A25" s="465">
        <v>5422</v>
      </c>
      <c r="B25" s="466"/>
      <c r="C25" s="466">
        <v>30141.55</v>
      </c>
      <c r="D25" s="466">
        <v>2848.32</v>
      </c>
      <c r="E25" s="466">
        <v>91855.75</v>
      </c>
      <c r="F25" s="466">
        <v>0</v>
      </c>
      <c r="G25" s="466">
        <v>0</v>
      </c>
      <c r="H25" s="466">
        <v>0</v>
      </c>
      <c r="I25" s="466">
        <v>0</v>
      </c>
      <c r="J25" s="466"/>
      <c r="K25" s="466">
        <v>0</v>
      </c>
      <c r="L25" s="466">
        <v>0</v>
      </c>
      <c r="M25" s="466">
        <v>0</v>
      </c>
      <c r="N25" s="466"/>
      <c r="O25" s="466"/>
      <c r="P25" s="466"/>
      <c r="Q25" s="466">
        <v>0</v>
      </c>
      <c r="R25" s="466">
        <v>0</v>
      </c>
      <c r="S25" s="466">
        <v>0</v>
      </c>
      <c r="T25" s="466"/>
      <c r="U25" s="466">
        <v>0</v>
      </c>
      <c r="V25" s="466"/>
      <c r="W25" s="466"/>
      <c r="X25" s="466">
        <v>624398.88</v>
      </c>
      <c r="Y25" s="466">
        <v>0</v>
      </c>
      <c r="Z25" s="466">
        <v>0</v>
      </c>
      <c r="AA25" s="466">
        <v>0</v>
      </c>
      <c r="AB25" s="466">
        <v>8611608.4399999995</v>
      </c>
      <c r="AC25" s="466">
        <v>187077.49</v>
      </c>
      <c r="AD25" s="466">
        <v>541853.35</v>
      </c>
      <c r="AE25" s="466">
        <v>319908</v>
      </c>
      <c r="AF25" s="466"/>
      <c r="AG25" s="466">
        <v>5158799.7</v>
      </c>
      <c r="AH25" s="466">
        <v>46828.45</v>
      </c>
      <c r="AI25" s="466">
        <v>182483.5</v>
      </c>
      <c r="AJ25" s="466"/>
      <c r="AK25" s="466"/>
      <c r="AL25" s="466"/>
      <c r="AM25" s="466">
        <v>23150</v>
      </c>
      <c r="AN25" s="466">
        <v>37116.94</v>
      </c>
      <c r="AO25" s="466">
        <v>190977.13</v>
      </c>
      <c r="AP25" s="466"/>
      <c r="AQ25" s="466">
        <v>440850.9</v>
      </c>
      <c r="AR25" s="466">
        <v>6465.77</v>
      </c>
      <c r="AS25" s="466">
        <v>1045403.05</v>
      </c>
    </row>
    <row r="26" spans="1:45" x14ac:dyDescent="0.2">
      <c r="A26" s="465">
        <v>5423</v>
      </c>
      <c r="B26" s="466"/>
      <c r="C26" s="466">
        <v>1221.07</v>
      </c>
      <c r="D26" s="466">
        <v>147.30000000000001</v>
      </c>
      <c r="E26" s="466">
        <v>22543.01</v>
      </c>
      <c r="F26" s="466">
        <v>0</v>
      </c>
      <c r="G26" s="466">
        <v>0</v>
      </c>
      <c r="H26" s="466">
        <v>0</v>
      </c>
      <c r="I26" s="466"/>
      <c r="J26" s="466"/>
      <c r="K26" s="466">
        <v>0</v>
      </c>
      <c r="L26" s="466">
        <v>0</v>
      </c>
      <c r="M26" s="466">
        <v>0</v>
      </c>
      <c r="N26" s="466"/>
      <c r="O26" s="466"/>
      <c r="P26" s="466"/>
      <c r="Q26" s="466"/>
      <c r="R26" s="466">
        <v>0</v>
      </c>
      <c r="S26" s="466">
        <v>0</v>
      </c>
      <c r="T26" s="466"/>
      <c r="U26" s="466">
        <v>0</v>
      </c>
      <c r="V26" s="466"/>
      <c r="W26" s="466"/>
      <c r="X26" s="466">
        <v>471.79</v>
      </c>
      <c r="Y26" s="466">
        <v>0</v>
      </c>
      <c r="Z26" s="466">
        <v>0</v>
      </c>
      <c r="AA26" s="466">
        <v>0</v>
      </c>
      <c r="AB26" s="466">
        <v>1064057.79</v>
      </c>
      <c r="AC26" s="466">
        <v>95526.720000000001</v>
      </c>
      <c r="AD26" s="466">
        <v>22628</v>
      </c>
      <c r="AE26" s="466"/>
      <c r="AF26" s="466"/>
      <c r="AG26" s="466">
        <v>2477.1999999999998</v>
      </c>
      <c r="AH26" s="466">
        <v>1456.15</v>
      </c>
      <c r="AI26" s="466">
        <v>2520.85</v>
      </c>
      <c r="AJ26" s="466"/>
      <c r="AK26" s="466"/>
      <c r="AL26" s="466"/>
      <c r="AM26" s="466"/>
      <c r="AN26" s="466">
        <v>0</v>
      </c>
      <c r="AO26" s="466">
        <v>8157.35</v>
      </c>
      <c r="AP26" s="466"/>
      <c r="AQ26" s="466">
        <v>21474</v>
      </c>
      <c r="AR26" s="466">
        <v>28.57</v>
      </c>
      <c r="AS26" s="466">
        <v>23095.75</v>
      </c>
    </row>
    <row r="27" spans="1:45" x14ac:dyDescent="0.2">
      <c r="A27" s="465">
        <v>5424</v>
      </c>
      <c r="B27" s="466"/>
      <c r="C27" s="466">
        <v>692.89</v>
      </c>
      <c r="D27" s="466">
        <v>109.47</v>
      </c>
      <c r="E27" s="466">
        <v>17136.48</v>
      </c>
      <c r="F27" s="466">
        <v>0</v>
      </c>
      <c r="G27" s="466">
        <v>0</v>
      </c>
      <c r="H27" s="466">
        <v>0</v>
      </c>
      <c r="I27" s="466">
        <v>0</v>
      </c>
      <c r="J27" s="466"/>
      <c r="K27" s="466">
        <v>0</v>
      </c>
      <c r="L27" s="466">
        <v>0</v>
      </c>
      <c r="M27" s="466">
        <v>0</v>
      </c>
      <c r="N27" s="466"/>
      <c r="O27" s="466"/>
      <c r="P27" s="466"/>
      <c r="Q27" s="466"/>
      <c r="R27" s="466">
        <v>0</v>
      </c>
      <c r="S27" s="466">
        <v>0</v>
      </c>
      <c r="T27" s="466"/>
      <c r="U27" s="466">
        <v>0</v>
      </c>
      <c r="V27" s="466"/>
      <c r="W27" s="466"/>
      <c r="X27" s="466">
        <v>134.44999999999999</v>
      </c>
      <c r="Y27" s="466">
        <v>0</v>
      </c>
      <c r="Z27" s="466">
        <v>0</v>
      </c>
      <c r="AA27" s="466">
        <v>0</v>
      </c>
      <c r="AB27" s="466">
        <v>563266.75</v>
      </c>
      <c r="AC27" s="466">
        <v>46223.47</v>
      </c>
      <c r="AD27" s="466">
        <v>4367.42</v>
      </c>
      <c r="AE27" s="466">
        <v>38612.949999999997</v>
      </c>
      <c r="AF27" s="466"/>
      <c r="AG27" s="466">
        <v>535</v>
      </c>
      <c r="AH27" s="466">
        <v>585.9</v>
      </c>
      <c r="AI27" s="466">
        <v>766</v>
      </c>
      <c r="AJ27" s="466"/>
      <c r="AK27" s="466"/>
      <c r="AL27" s="466"/>
      <c r="AM27" s="466"/>
      <c r="AN27" s="466">
        <v>401.9</v>
      </c>
      <c r="AO27" s="466">
        <v>7282.95</v>
      </c>
      <c r="AP27" s="466"/>
      <c r="AQ27" s="466">
        <v>29602.85</v>
      </c>
      <c r="AR27" s="466"/>
      <c r="AS27" s="466"/>
    </row>
    <row r="28" spans="1:45" x14ac:dyDescent="0.2">
      <c r="A28" s="465">
        <v>5425</v>
      </c>
      <c r="B28" s="466"/>
      <c r="C28" s="466">
        <v>4484.87</v>
      </c>
      <c r="D28" s="466">
        <v>479.09</v>
      </c>
      <c r="E28" s="466">
        <v>94131.28</v>
      </c>
      <c r="F28" s="466">
        <v>0</v>
      </c>
      <c r="G28" s="466">
        <v>0</v>
      </c>
      <c r="H28" s="466">
        <v>0</v>
      </c>
      <c r="I28" s="466"/>
      <c r="J28" s="466"/>
      <c r="K28" s="466">
        <v>0</v>
      </c>
      <c r="L28" s="466">
        <v>0</v>
      </c>
      <c r="M28" s="466">
        <v>0</v>
      </c>
      <c r="N28" s="466"/>
      <c r="O28" s="466"/>
      <c r="P28" s="466"/>
      <c r="Q28" s="466">
        <v>0</v>
      </c>
      <c r="R28" s="466">
        <v>0</v>
      </c>
      <c r="S28" s="466">
        <v>0</v>
      </c>
      <c r="T28" s="466"/>
      <c r="U28" s="466">
        <v>0</v>
      </c>
      <c r="V28" s="466"/>
      <c r="W28" s="466"/>
      <c r="X28" s="466">
        <v>23435.08</v>
      </c>
      <c r="Y28" s="466">
        <v>0</v>
      </c>
      <c r="Z28" s="466">
        <v>0</v>
      </c>
      <c r="AA28" s="466">
        <v>0</v>
      </c>
      <c r="AB28" s="466">
        <v>2028303.79</v>
      </c>
      <c r="AC28" s="466">
        <v>238915.91</v>
      </c>
      <c r="AD28" s="466">
        <v>142233.89000000001</v>
      </c>
      <c r="AE28" s="466"/>
      <c r="AF28" s="466"/>
      <c r="AG28" s="466">
        <v>192982.2</v>
      </c>
      <c r="AH28" s="466">
        <v>2396.65</v>
      </c>
      <c r="AI28" s="466">
        <v>-12948.1</v>
      </c>
      <c r="AJ28" s="466"/>
      <c r="AK28" s="466"/>
      <c r="AL28" s="466"/>
      <c r="AM28" s="466">
        <v>12200</v>
      </c>
      <c r="AN28" s="466">
        <v>44838.27</v>
      </c>
      <c r="AO28" s="466">
        <v>29493.57</v>
      </c>
      <c r="AP28" s="466"/>
      <c r="AQ28" s="466">
        <v>95170.1</v>
      </c>
      <c r="AR28" s="466">
        <v>27.35</v>
      </c>
      <c r="AS28" s="466">
        <v>61405.1</v>
      </c>
    </row>
    <row r="29" spans="1:45" x14ac:dyDescent="0.2">
      <c r="A29" s="465">
        <v>5426</v>
      </c>
      <c r="B29" s="466"/>
      <c r="C29" s="466">
        <v>2042.38</v>
      </c>
      <c r="D29" s="466">
        <v>1836.59</v>
      </c>
      <c r="E29" s="466">
        <v>12412.44</v>
      </c>
      <c r="F29" s="466">
        <v>0</v>
      </c>
      <c r="G29" s="466">
        <v>0</v>
      </c>
      <c r="H29" s="466">
        <v>0</v>
      </c>
      <c r="I29" s="466">
        <v>0</v>
      </c>
      <c r="J29" s="466"/>
      <c r="K29" s="466">
        <v>0</v>
      </c>
      <c r="L29" s="466">
        <v>0</v>
      </c>
      <c r="M29" s="466">
        <v>0</v>
      </c>
      <c r="N29" s="466">
        <v>0</v>
      </c>
      <c r="O29" s="466">
        <v>0</v>
      </c>
      <c r="P29" s="466">
        <v>0</v>
      </c>
      <c r="Q29" s="466">
        <v>0</v>
      </c>
      <c r="R29" s="466"/>
      <c r="S29" s="466">
        <v>0</v>
      </c>
      <c r="T29" s="466"/>
      <c r="U29" s="466">
        <v>0</v>
      </c>
      <c r="V29" s="466"/>
      <c r="W29" s="466"/>
      <c r="X29" s="466">
        <v>204.83</v>
      </c>
      <c r="Y29" s="466">
        <v>0</v>
      </c>
      <c r="Z29" s="466">
        <v>0</v>
      </c>
      <c r="AA29" s="466">
        <v>0</v>
      </c>
      <c r="AB29" s="466">
        <v>2048478.28</v>
      </c>
      <c r="AC29" s="466">
        <v>661296.6</v>
      </c>
      <c r="AD29" s="466">
        <v>31633.53</v>
      </c>
      <c r="AE29" s="466">
        <v>619980.80000000005</v>
      </c>
      <c r="AF29" s="466"/>
      <c r="AG29" s="466">
        <v>-698.25</v>
      </c>
      <c r="AH29" s="466">
        <v>2405.9</v>
      </c>
      <c r="AI29" s="466">
        <v>-1742.2</v>
      </c>
      <c r="AJ29" s="466">
        <v>293111.05</v>
      </c>
      <c r="AK29" s="466">
        <v>180712.4</v>
      </c>
      <c r="AL29" s="466">
        <v>10073.6</v>
      </c>
      <c r="AM29" s="466">
        <v>4320</v>
      </c>
      <c r="AN29" s="466"/>
      <c r="AO29" s="466">
        <v>24313.360000000001</v>
      </c>
      <c r="AP29" s="466"/>
      <c r="AQ29" s="466">
        <v>90087.7</v>
      </c>
      <c r="AR29" s="466">
        <v>4586.82</v>
      </c>
      <c r="AS29" s="466">
        <v>12909.65</v>
      </c>
    </row>
    <row r="30" spans="1:45" x14ac:dyDescent="0.2">
      <c r="A30" s="465">
        <v>5427</v>
      </c>
      <c r="B30" s="466"/>
      <c r="C30" s="466">
        <v>7317.26</v>
      </c>
      <c r="D30" s="466">
        <v>74.66</v>
      </c>
      <c r="E30" s="466">
        <v>7062.19</v>
      </c>
      <c r="F30" s="466">
        <v>0</v>
      </c>
      <c r="G30" s="466"/>
      <c r="H30" s="466">
        <v>0</v>
      </c>
      <c r="I30" s="466"/>
      <c r="J30" s="466"/>
      <c r="K30" s="466">
        <v>0</v>
      </c>
      <c r="L30" s="466">
        <v>0</v>
      </c>
      <c r="M30" s="466">
        <v>0</v>
      </c>
      <c r="N30" s="466"/>
      <c r="O30" s="466"/>
      <c r="P30" s="466"/>
      <c r="Q30" s="466"/>
      <c r="R30" s="466">
        <v>0</v>
      </c>
      <c r="S30" s="466">
        <v>0</v>
      </c>
      <c r="T30" s="466"/>
      <c r="U30" s="466">
        <v>0</v>
      </c>
      <c r="V30" s="466"/>
      <c r="W30" s="466"/>
      <c r="X30" s="466">
        <v>5106.34</v>
      </c>
      <c r="Y30" s="466">
        <v>0</v>
      </c>
      <c r="Z30" s="466">
        <v>0</v>
      </c>
      <c r="AA30" s="466">
        <v>0</v>
      </c>
      <c r="AB30" s="466">
        <v>-212461.19</v>
      </c>
      <c r="AC30" s="466"/>
      <c r="AD30" s="466">
        <v>51538.01</v>
      </c>
      <c r="AE30" s="466"/>
      <c r="AF30" s="466"/>
      <c r="AG30" s="466">
        <v>37522.449999999997</v>
      </c>
      <c r="AH30" s="466">
        <v>5049.25</v>
      </c>
      <c r="AI30" s="466">
        <v>-319.75</v>
      </c>
      <c r="AJ30" s="466"/>
      <c r="AK30" s="466"/>
      <c r="AL30" s="466"/>
      <c r="AM30" s="466"/>
      <c r="AN30" s="466">
        <v>6191.36</v>
      </c>
      <c r="AO30" s="466">
        <v>1769.56</v>
      </c>
      <c r="AP30" s="466"/>
      <c r="AQ30" s="466">
        <v>78166.850000000006</v>
      </c>
      <c r="AR30" s="466"/>
      <c r="AS30" s="466">
        <v>11820.25</v>
      </c>
    </row>
    <row r="31" spans="1:45" x14ac:dyDescent="0.2">
      <c r="A31" s="465">
        <v>5428</v>
      </c>
      <c r="B31" s="466"/>
      <c r="C31" s="466">
        <v>7807.28</v>
      </c>
      <c r="D31" s="466">
        <v>1112.57</v>
      </c>
      <c r="E31" s="466">
        <v>58057.22</v>
      </c>
      <c r="F31" s="466">
        <v>0</v>
      </c>
      <c r="G31" s="466">
        <v>0</v>
      </c>
      <c r="H31" s="466">
        <v>0</v>
      </c>
      <c r="I31" s="466"/>
      <c r="J31" s="466"/>
      <c r="K31" s="466">
        <v>0</v>
      </c>
      <c r="L31" s="466">
        <v>0</v>
      </c>
      <c r="M31" s="466">
        <v>0</v>
      </c>
      <c r="N31" s="466"/>
      <c r="O31" s="466"/>
      <c r="P31" s="466"/>
      <c r="Q31" s="466"/>
      <c r="R31" s="466">
        <v>0</v>
      </c>
      <c r="S31" s="466">
        <v>0</v>
      </c>
      <c r="T31" s="466"/>
      <c r="U31" s="466">
        <v>0</v>
      </c>
      <c r="V31" s="466"/>
      <c r="W31" s="466"/>
      <c r="X31" s="466">
        <v>13587.8</v>
      </c>
      <c r="Y31" s="466">
        <v>0</v>
      </c>
      <c r="Z31" s="466">
        <v>0</v>
      </c>
      <c r="AA31" s="466">
        <v>0</v>
      </c>
      <c r="AB31" s="466">
        <v>4065143.36</v>
      </c>
      <c r="AC31" s="466">
        <v>490874.68</v>
      </c>
      <c r="AD31" s="466">
        <v>204065.92000000001</v>
      </c>
      <c r="AE31" s="466"/>
      <c r="AF31" s="466"/>
      <c r="AG31" s="466">
        <v>106214.75</v>
      </c>
      <c r="AH31" s="466">
        <v>7067.1</v>
      </c>
      <c r="AI31" s="466">
        <v>16220.5</v>
      </c>
      <c r="AJ31" s="466"/>
      <c r="AK31" s="466"/>
      <c r="AL31" s="466"/>
      <c r="AM31" s="466"/>
      <c r="AN31" s="466">
        <v>3726.29</v>
      </c>
      <c r="AO31" s="466">
        <v>40996.65</v>
      </c>
      <c r="AP31" s="466"/>
      <c r="AQ31" s="466">
        <v>68445.399999999994</v>
      </c>
      <c r="AR31" s="466">
        <v>212.36</v>
      </c>
      <c r="AS31" s="466">
        <v>249456.7</v>
      </c>
    </row>
    <row r="32" spans="1:45" x14ac:dyDescent="0.2">
      <c r="A32" s="465">
        <v>5429</v>
      </c>
      <c r="B32" s="466"/>
      <c r="C32" s="466">
        <v>390.67</v>
      </c>
      <c r="D32" s="466">
        <v>210.91</v>
      </c>
      <c r="E32" s="466">
        <v>19217.95</v>
      </c>
      <c r="F32" s="466">
        <v>0</v>
      </c>
      <c r="G32" s="466">
        <v>0</v>
      </c>
      <c r="H32" s="466">
        <v>0</v>
      </c>
      <c r="I32" s="466"/>
      <c r="J32" s="466"/>
      <c r="K32" s="466">
        <v>0</v>
      </c>
      <c r="L32" s="466">
        <v>0</v>
      </c>
      <c r="M32" s="466">
        <v>0</v>
      </c>
      <c r="N32" s="466"/>
      <c r="O32" s="466"/>
      <c r="P32" s="466"/>
      <c r="Q32" s="466"/>
      <c r="R32" s="466">
        <v>0</v>
      </c>
      <c r="S32" s="466">
        <v>0</v>
      </c>
      <c r="T32" s="466"/>
      <c r="U32" s="466">
        <v>0</v>
      </c>
      <c r="V32" s="466"/>
      <c r="W32" s="466"/>
      <c r="X32" s="466">
        <v>1990.5</v>
      </c>
      <c r="Y32" s="466">
        <v>0</v>
      </c>
      <c r="Z32" s="466">
        <v>0</v>
      </c>
      <c r="AA32" s="466">
        <v>0</v>
      </c>
      <c r="AB32" s="466">
        <v>998736.44</v>
      </c>
      <c r="AC32" s="466">
        <v>138044.16</v>
      </c>
      <c r="AD32" s="466">
        <v>9020.59</v>
      </c>
      <c r="AE32" s="466"/>
      <c r="AF32" s="466"/>
      <c r="AG32" s="466">
        <v>13341</v>
      </c>
      <c r="AH32" s="466">
        <v>3253.85</v>
      </c>
      <c r="AI32" s="466">
        <v>3793.9</v>
      </c>
      <c r="AJ32" s="466"/>
      <c r="AK32" s="466"/>
      <c r="AL32" s="466"/>
      <c r="AM32" s="466"/>
      <c r="AN32" s="466">
        <v>104.2</v>
      </c>
      <c r="AO32" s="466">
        <v>11989.43</v>
      </c>
      <c r="AP32" s="466"/>
      <c r="AQ32" s="466">
        <v>7985.1</v>
      </c>
      <c r="AR32" s="466">
        <v>38.01</v>
      </c>
      <c r="AS32" s="466"/>
    </row>
    <row r="33" spans="1:45" x14ac:dyDescent="0.2">
      <c r="A33" s="465">
        <v>5430</v>
      </c>
      <c r="B33" s="466"/>
      <c r="C33" s="466">
        <v>581.95000000000005</v>
      </c>
      <c r="D33" s="466">
        <v>334.73</v>
      </c>
      <c r="E33" s="466">
        <v>25464.82</v>
      </c>
      <c r="F33" s="466">
        <v>0</v>
      </c>
      <c r="G33" s="466">
        <v>0</v>
      </c>
      <c r="H33" s="466">
        <v>0</v>
      </c>
      <c r="I33" s="466"/>
      <c r="J33" s="466"/>
      <c r="K33" s="466">
        <v>0</v>
      </c>
      <c r="L33" s="466">
        <v>0</v>
      </c>
      <c r="M33" s="466">
        <v>0</v>
      </c>
      <c r="N33" s="466">
        <v>0</v>
      </c>
      <c r="O33" s="466">
        <v>0</v>
      </c>
      <c r="P33" s="466"/>
      <c r="Q33" s="466">
        <v>0</v>
      </c>
      <c r="R33" s="466"/>
      <c r="S33" s="466">
        <v>0</v>
      </c>
      <c r="T33" s="466"/>
      <c r="U33" s="466">
        <v>0</v>
      </c>
      <c r="V33" s="466"/>
      <c r="W33" s="466"/>
      <c r="X33" s="466">
        <v>-12.87</v>
      </c>
      <c r="Y33" s="466">
        <v>0</v>
      </c>
      <c r="Z33" s="466">
        <v>0</v>
      </c>
      <c r="AA33" s="466">
        <v>0</v>
      </c>
      <c r="AB33" s="466">
        <v>961123.91</v>
      </c>
      <c r="AC33" s="466">
        <v>97223.13</v>
      </c>
      <c r="AD33" s="466">
        <v>23189.25</v>
      </c>
      <c r="AE33" s="466"/>
      <c r="AF33" s="466"/>
      <c r="AG33" s="466">
        <v>-2883.75</v>
      </c>
      <c r="AH33" s="466">
        <v>2776.45</v>
      </c>
      <c r="AI33" s="466">
        <v>756.8</v>
      </c>
      <c r="AJ33" s="466">
        <v>94155.8</v>
      </c>
      <c r="AK33" s="466">
        <v>61825.5</v>
      </c>
      <c r="AL33" s="466"/>
      <c r="AM33" s="466">
        <v>3360</v>
      </c>
      <c r="AN33" s="466"/>
      <c r="AO33" s="466">
        <v>6785.52</v>
      </c>
      <c r="AP33" s="466"/>
      <c r="AQ33" s="466">
        <v>21966.95</v>
      </c>
      <c r="AR33" s="466">
        <v>108.97</v>
      </c>
      <c r="AS33" s="466">
        <v>6870.3</v>
      </c>
    </row>
    <row r="34" spans="1:45" x14ac:dyDescent="0.2">
      <c r="A34" s="465">
        <v>5431</v>
      </c>
      <c r="B34" s="466"/>
      <c r="C34" s="466">
        <v>505.81</v>
      </c>
      <c r="D34" s="466">
        <v>103.68</v>
      </c>
      <c r="E34" s="466">
        <v>790.65</v>
      </c>
      <c r="F34" s="466">
        <v>0</v>
      </c>
      <c r="G34" s="466">
        <v>0</v>
      </c>
      <c r="H34" s="466">
        <v>0</v>
      </c>
      <c r="I34" s="466"/>
      <c r="J34" s="466"/>
      <c r="K34" s="466">
        <v>0</v>
      </c>
      <c r="L34" s="466">
        <v>0</v>
      </c>
      <c r="M34" s="466">
        <v>0</v>
      </c>
      <c r="N34" s="466"/>
      <c r="O34" s="466">
        <v>0</v>
      </c>
      <c r="P34" s="466">
        <v>0</v>
      </c>
      <c r="Q34" s="466">
        <v>0</v>
      </c>
      <c r="R34" s="466">
        <v>0</v>
      </c>
      <c r="S34" s="466">
        <v>0</v>
      </c>
      <c r="T34" s="466"/>
      <c r="U34" s="466">
        <v>0</v>
      </c>
      <c r="V34" s="466"/>
      <c r="W34" s="466"/>
      <c r="X34" s="466">
        <v>132.47999999999999</v>
      </c>
      <c r="Y34" s="466">
        <v>0</v>
      </c>
      <c r="Z34" s="466">
        <v>0</v>
      </c>
      <c r="AA34" s="466">
        <v>0</v>
      </c>
      <c r="AB34" s="466">
        <v>562913.55000000005</v>
      </c>
      <c r="AC34" s="466">
        <v>51730.8</v>
      </c>
      <c r="AD34" s="466">
        <v>25776.17</v>
      </c>
      <c r="AE34" s="466"/>
      <c r="AF34" s="466"/>
      <c r="AG34" s="466">
        <v>877.6</v>
      </c>
      <c r="AH34" s="466">
        <v>226.85</v>
      </c>
      <c r="AI34" s="466">
        <v>283.85000000000002</v>
      </c>
      <c r="AJ34" s="466"/>
      <c r="AK34" s="466">
        <v>38146.949999999997</v>
      </c>
      <c r="AL34" s="466">
        <v>66740.100000000006</v>
      </c>
      <c r="AM34" s="466">
        <v>2200</v>
      </c>
      <c r="AN34" s="466">
        <v>77.349999999999994</v>
      </c>
      <c r="AO34" s="466">
        <v>3880.67</v>
      </c>
      <c r="AP34" s="466"/>
      <c r="AQ34" s="466">
        <v>68319.649999999994</v>
      </c>
      <c r="AR34" s="466">
        <v>2388.17</v>
      </c>
      <c r="AS34" s="466">
        <v>178.1</v>
      </c>
    </row>
    <row r="35" spans="1:45" x14ac:dyDescent="0.2">
      <c r="A35" s="465">
        <v>5432</v>
      </c>
      <c r="B35" s="466"/>
      <c r="C35" s="466">
        <v>1191.74</v>
      </c>
      <c r="D35" s="466">
        <v>274.86</v>
      </c>
      <c r="E35" s="466">
        <v>31192.400000000001</v>
      </c>
      <c r="F35" s="466">
        <v>0</v>
      </c>
      <c r="G35" s="466">
        <v>0</v>
      </c>
      <c r="H35" s="466">
        <v>0</v>
      </c>
      <c r="I35" s="466"/>
      <c r="J35" s="466"/>
      <c r="K35" s="466">
        <v>0</v>
      </c>
      <c r="L35" s="466">
        <v>0</v>
      </c>
      <c r="M35" s="466">
        <v>0</v>
      </c>
      <c r="N35" s="466"/>
      <c r="O35" s="466"/>
      <c r="P35" s="466"/>
      <c r="Q35" s="466"/>
      <c r="R35" s="466"/>
      <c r="S35" s="466">
        <v>0</v>
      </c>
      <c r="T35" s="466"/>
      <c r="U35" s="466">
        <v>0</v>
      </c>
      <c r="V35" s="466"/>
      <c r="W35" s="466"/>
      <c r="X35" s="466">
        <v>348.55</v>
      </c>
      <c r="Y35" s="466">
        <v>0</v>
      </c>
      <c r="Z35" s="466">
        <v>0</v>
      </c>
      <c r="AA35" s="466">
        <v>0</v>
      </c>
      <c r="AB35" s="466">
        <v>1022163.94</v>
      </c>
      <c r="AC35" s="466">
        <v>97460.85</v>
      </c>
      <c r="AD35" s="466">
        <v>39753.660000000003</v>
      </c>
      <c r="AE35" s="466"/>
      <c r="AF35" s="466"/>
      <c r="AG35" s="466">
        <v>2782.85</v>
      </c>
      <c r="AH35" s="466">
        <v>123</v>
      </c>
      <c r="AI35" s="466">
        <v>5497.3</v>
      </c>
      <c r="AJ35" s="466"/>
      <c r="AK35" s="466"/>
      <c r="AL35" s="466"/>
      <c r="AM35" s="466"/>
      <c r="AN35" s="466"/>
      <c r="AO35" s="466">
        <v>13643.11</v>
      </c>
      <c r="AP35" s="466"/>
      <c r="AQ35" s="466">
        <v>53098.65</v>
      </c>
      <c r="AR35" s="466"/>
      <c r="AS35" s="466">
        <v>17115.900000000001</v>
      </c>
    </row>
    <row r="36" spans="1:45" x14ac:dyDescent="0.2">
      <c r="A36" s="465">
        <v>5434</v>
      </c>
      <c r="B36" s="466"/>
      <c r="C36" s="466">
        <v>3871.26</v>
      </c>
      <c r="D36" s="466">
        <v>23.35</v>
      </c>
      <c r="E36" s="466">
        <v>40.14</v>
      </c>
      <c r="F36" s="466">
        <v>0</v>
      </c>
      <c r="G36" s="466"/>
      <c r="H36" s="466">
        <v>0</v>
      </c>
      <c r="I36" s="466"/>
      <c r="J36" s="466"/>
      <c r="K36" s="466">
        <v>0</v>
      </c>
      <c r="L36" s="466">
        <v>0</v>
      </c>
      <c r="M36" s="466">
        <v>0</v>
      </c>
      <c r="N36" s="466"/>
      <c r="O36" s="466"/>
      <c r="P36" s="466"/>
      <c r="Q36" s="466"/>
      <c r="R36" s="466"/>
      <c r="S36" s="466">
        <v>0</v>
      </c>
      <c r="T36" s="466"/>
      <c r="U36" s="466">
        <v>0</v>
      </c>
      <c r="V36" s="466"/>
      <c r="W36" s="466"/>
      <c r="X36" s="466">
        <v>2007.32</v>
      </c>
      <c r="Y36" s="466">
        <v>0</v>
      </c>
      <c r="Z36" s="466">
        <v>0</v>
      </c>
      <c r="AA36" s="466">
        <v>0</v>
      </c>
      <c r="AB36" s="466">
        <v>94917.74</v>
      </c>
      <c r="AC36" s="466"/>
      <c r="AD36" s="466">
        <v>30028.28</v>
      </c>
      <c r="AE36" s="466"/>
      <c r="AF36" s="466"/>
      <c r="AG36" s="466">
        <v>13483.25</v>
      </c>
      <c r="AH36" s="466">
        <v>3251.85</v>
      </c>
      <c r="AI36" s="466">
        <v>2850.7</v>
      </c>
      <c r="AJ36" s="466"/>
      <c r="AK36" s="466"/>
      <c r="AL36" s="466"/>
      <c r="AM36" s="466"/>
      <c r="AN36" s="466"/>
      <c r="AO36" s="466">
        <v>694.9</v>
      </c>
      <c r="AP36" s="466"/>
      <c r="AQ36" s="466">
        <v>102197.45</v>
      </c>
      <c r="AR36" s="466"/>
      <c r="AS36" s="466">
        <v>27638.1</v>
      </c>
    </row>
    <row r="37" spans="1:45" x14ac:dyDescent="0.2">
      <c r="A37" s="465">
        <v>5435</v>
      </c>
      <c r="B37" s="466"/>
      <c r="C37" s="466">
        <v>2299.61</v>
      </c>
      <c r="D37" s="466">
        <v>213.27</v>
      </c>
      <c r="E37" s="466">
        <v>31813.23</v>
      </c>
      <c r="F37" s="466">
        <v>0</v>
      </c>
      <c r="G37" s="466">
        <v>0</v>
      </c>
      <c r="H37" s="466">
        <v>0</v>
      </c>
      <c r="I37" s="466"/>
      <c r="J37" s="466"/>
      <c r="K37" s="466">
        <v>0</v>
      </c>
      <c r="L37" s="466">
        <v>0</v>
      </c>
      <c r="M37" s="466"/>
      <c r="N37" s="466"/>
      <c r="O37" s="466"/>
      <c r="P37" s="466"/>
      <c r="Q37" s="466"/>
      <c r="R37" s="466">
        <v>0</v>
      </c>
      <c r="S37" s="466">
        <v>0</v>
      </c>
      <c r="T37" s="466"/>
      <c r="U37" s="466">
        <v>0</v>
      </c>
      <c r="V37" s="466"/>
      <c r="W37" s="466"/>
      <c r="X37" s="466">
        <v>3230.79</v>
      </c>
      <c r="Y37" s="466">
        <v>0</v>
      </c>
      <c r="Z37" s="466">
        <v>0</v>
      </c>
      <c r="AA37" s="466">
        <v>0</v>
      </c>
      <c r="AB37" s="466">
        <v>1505496.82</v>
      </c>
      <c r="AC37" s="466">
        <v>195673.15</v>
      </c>
      <c r="AD37" s="466">
        <v>-8020.53</v>
      </c>
      <c r="AE37" s="466"/>
      <c r="AF37" s="466"/>
      <c r="AG37" s="466">
        <v>26748.95</v>
      </c>
      <c r="AH37" s="466">
        <v>186.2</v>
      </c>
      <c r="AI37" s="466"/>
      <c r="AJ37" s="466"/>
      <c r="AK37" s="466"/>
      <c r="AL37" s="466"/>
      <c r="AM37" s="466"/>
      <c r="AN37" s="466">
        <v>2137.23</v>
      </c>
      <c r="AO37" s="466">
        <v>20505.189999999999</v>
      </c>
      <c r="AP37" s="466"/>
      <c r="AQ37" s="466">
        <v>40476.35</v>
      </c>
      <c r="AR37" s="466">
        <v>280.23</v>
      </c>
      <c r="AS37" s="466">
        <v>18525.05</v>
      </c>
    </row>
    <row r="38" spans="1:45" x14ac:dyDescent="0.2">
      <c r="A38" s="465">
        <v>5436</v>
      </c>
      <c r="B38" s="466"/>
      <c r="C38" s="466">
        <v>1498.05</v>
      </c>
      <c r="D38" s="466">
        <v>161.61000000000001</v>
      </c>
      <c r="E38" s="466">
        <v>-5914.13</v>
      </c>
      <c r="F38" s="466">
        <v>0</v>
      </c>
      <c r="G38" s="466">
        <v>0</v>
      </c>
      <c r="H38" s="466">
        <v>0</v>
      </c>
      <c r="I38" s="466"/>
      <c r="J38" s="466"/>
      <c r="K38" s="466">
        <v>0</v>
      </c>
      <c r="L38" s="466">
        <v>0</v>
      </c>
      <c r="M38" s="466"/>
      <c r="N38" s="466"/>
      <c r="O38" s="466">
        <v>0</v>
      </c>
      <c r="P38" s="466">
        <v>0</v>
      </c>
      <c r="Q38" s="466"/>
      <c r="R38" s="466"/>
      <c r="S38" s="466">
        <v>0</v>
      </c>
      <c r="T38" s="466"/>
      <c r="U38" s="466">
        <v>0</v>
      </c>
      <c r="V38" s="466"/>
      <c r="W38" s="466"/>
      <c r="X38" s="466">
        <v>868.48</v>
      </c>
      <c r="Y38" s="466">
        <v>0</v>
      </c>
      <c r="Z38" s="466">
        <v>0</v>
      </c>
      <c r="AA38" s="466">
        <v>0</v>
      </c>
      <c r="AB38" s="466">
        <v>1187247.43</v>
      </c>
      <c r="AC38" s="466">
        <v>72432.31</v>
      </c>
      <c r="AD38" s="466">
        <v>-2382.0300000000002</v>
      </c>
      <c r="AE38" s="466"/>
      <c r="AF38" s="466"/>
      <c r="AG38" s="466">
        <v>7340.35</v>
      </c>
      <c r="AH38" s="466">
        <v>-99.85</v>
      </c>
      <c r="AI38" s="466"/>
      <c r="AJ38" s="466"/>
      <c r="AK38" s="466">
        <v>51717.1</v>
      </c>
      <c r="AL38" s="466">
        <v>8820.4</v>
      </c>
      <c r="AM38" s="466"/>
      <c r="AN38" s="466"/>
      <c r="AO38" s="466">
        <v>12254.95</v>
      </c>
      <c r="AP38" s="466"/>
      <c r="AQ38" s="466">
        <v>1182.3</v>
      </c>
      <c r="AR38" s="466">
        <v>758.29</v>
      </c>
      <c r="AS38" s="466">
        <v>171.1</v>
      </c>
    </row>
    <row r="39" spans="1:45" x14ac:dyDescent="0.2">
      <c r="A39" s="465">
        <v>5437</v>
      </c>
      <c r="B39" s="466"/>
      <c r="C39" s="466">
        <v>1454.95</v>
      </c>
      <c r="D39" s="466">
        <v>105.54</v>
      </c>
      <c r="E39" s="466">
        <v>12796.07</v>
      </c>
      <c r="F39" s="466">
        <v>0</v>
      </c>
      <c r="G39" s="466">
        <v>0</v>
      </c>
      <c r="H39" s="466">
        <v>0</v>
      </c>
      <c r="I39" s="466"/>
      <c r="J39" s="466"/>
      <c r="K39" s="466">
        <v>0</v>
      </c>
      <c r="L39" s="466">
        <v>0</v>
      </c>
      <c r="M39" s="466">
        <v>0</v>
      </c>
      <c r="N39" s="466"/>
      <c r="O39" s="466">
        <v>0</v>
      </c>
      <c r="P39" s="466"/>
      <c r="Q39" s="466">
        <v>0</v>
      </c>
      <c r="R39" s="466"/>
      <c r="S39" s="466">
        <v>0</v>
      </c>
      <c r="T39" s="466"/>
      <c r="U39" s="466">
        <v>0</v>
      </c>
      <c r="V39" s="466"/>
      <c r="W39" s="466"/>
      <c r="X39" s="466">
        <v>5922.85</v>
      </c>
      <c r="Y39" s="466">
        <v>0</v>
      </c>
      <c r="Z39" s="466">
        <v>0</v>
      </c>
      <c r="AA39" s="466">
        <v>0</v>
      </c>
      <c r="AB39" s="466">
        <v>937254.5</v>
      </c>
      <c r="AC39" s="466">
        <v>85412.5</v>
      </c>
      <c r="AD39" s="466">
        <v>-63166.080000000002</v>
      </c>
      <c r="AE39" s="466"/>
      <c r="AF39" s="466"/>
      <c r="AG39" s="466">
        <v>48932.800000000003</v>
      </c>
      <c r="AH39" s="466">
        <v>446.1</v>
      </c>
      <c r="AI39" s="466">
        <v>746.35</v>
      </c>
      <c r="AJ39" s="466"/>
      <c r="AK39" s="466">
        <v>65452.7</v>
      </c>
      <c r="AL39" s="466"/>
      <c r="AM39" s="466">
        <v>4125</v>
      </c>
      <c r="AN39" s="466"/>
      <c r="AO39" s="466">
        <v>8195.83</v>
      </c>
      <c r="AP39" s="466"/>
      <c r="AQ39" s="466">
        <v>42105.9</v>
      </c>
      <c r="AR39" s="466">
        <v>411.53</v>
      </c>
      <c r="AS39" s="466"/>
    </row>
    <row r="40" spans="1:45" x14ac:dyDescent="0.2">
      <c r="A40" s="465">
        <v>5451</v>
      </c>
      <c r="B40" s="466"/>
      <c r="C40" s="466">
        <v>9598.82</v>
      </c>
      <c r="D40" s="466">
        <v>2072.9299999999998</v>
      </c>
      <c r="E40" s="466">
        <v>312503.08</v>
      </c>
      <c r="F40" s="466">
        <v>0</v>
      </c>
      <c r="G40" s="466">
        <v>0</v>
      </c>
      <c r="H40" s="466">
        <v>0</v>
      </c>
      <c r="I40" s="466"/>
      <c r="J40" s="466"/>
      <c r="K40" s="466">
        <v>0</v>
      </c>
      <c r="L40" s="466">
        <v>0</v>
      </c>
      <c r="M40" s="466">
        <v>0</v>
      </c>
      <c r="N40" s="466">
        <v>0</v>
      </c>
      <c r="O40" s="466">
        <v>0</v>
      </c>
      <c r="P40" s="466">
        <v>0</v>
      </c>
      <c r="Q40" s="466">
        <v>0</v>
      </c>
      <c r="R40" s="466">
        <v>0</v>
      </c>
      <c r="S40" s="466">
        <v>0</v>
      </c>
      <c r="T40" s="466"/>
      <c r="U40" s="466">
        <v>0</v>
      </c>
      <c r="V40" s="466"/>
      <c r="W40" s="466"/>
      <c r="X40" s="466">
        <v>185817.96</v>
      </c>
      <c r="Y40" s="466">
        <v>0</v>
      </c>
      <c r="Z40" s="466">
        <v>0</v>
      </c>
      <c r="AA40" s="466">
        <v>0</v>
      </c>
      <c r="AB40" s="466">
        <v>5023992.76</v>
      </c>
      <c r="AC40" s="466">
        <v>539463.47</v>
      </c>
      <c r="AD40" s="466">
        <v>376921.76</v>
      </c>
      <c r="AE40" s="466"/>
      <c r="AF40" s="466"/>
      <c r="AG40" s="466">
        <v>1500278.3</v>
      </c>
      <c r="AH40" s="466">
        <v>48890.400000000001</v>
      </c>
      <c r="AI40" s="466">
        <v>171098.05</v>
      </c>
      <c r="AJ40" s="466">
        <v>1466170.35</v>
      </c>
      <c r="AK40" s="466">
        <v>379904.45</v>
      </c>
      <c r="AL40" s="466">
        <v>107992.3</v>
      </c>
      <c r="AM40" s="466">
        <v>25300</v>
      </c>
      <c r="AN40" s="466">
        <v>101555.19</v>
      </c>
      <c r="AO40" s="466">
        <v>83724.320000000007</v>
      </c>
      <c r="AP40" s="466"/>
      <c r="AQ40" s="466">
        <v>134929.70000000001</v>
      </c>
      <c r="AR40" s="466">
        <v>1157.72</v>
      </c>
      <c r="AS40" s="466">
        <v>537089.1</v>
      </c>
    </row>
    <row r="41" spans="1:45" x14ac:dyDescent="0.2">
      <c r="A41" s="465">
        <v>5456</v>
      </c>
      <c r="B41" s="466"/>
      <c r="C41" s="466">
        <v>1293.54</v>
      </c>
      <c r="D41" s="466">
        <v>957.81</v>
      </c>
      <c r="E41" s="466">
        <v>22900.59</v>
      </c>
      <c r="F41" s="466">
        <v>0</v>
      </c>
      <c r="G41" s="466">
        <v>0</v>
      </c>
      <c r="H41" s="466">
        <v>0</v>
      </c>
      <c r="I41" s="466"/>
      <c r="J41" s="466"/>
      <c r="K41" s="466">
        <v>0</v>
      </c>
      <c r="L41" s="466">
        <v>0</v>
      </c>
      <c r="M41" s="466">
        <v>0</v>
      </c>
      <c r="N41" s="466">
        <v>0</v>
      </c>
      <c r="O41" s="466">
        <v>0</v>
      </c>
      <c r="P41" s="466">
        <v>0</v>
      </c>
      <c r="Q41" s="466">
        <v>0</v>
      </c>
      <c r="R41" s="466">
        <v>0</v>
      </c>
      <c r="S41" s="466">
        <v>0</v>
      </c>
      <c r="T41" s="466"/>
      <c r="U41" s="466">
        <v>0</v>
      </c>
      <c r="V41" s="466"/>
      <c r="W41" s="466"/>
      <c r="X41" s="466">
        <v>4738.2</v>
      </c>
      <c r="Y41" s="466">
        <v>0</v>
      </c>
      <c r="Z41" s="466">
        <v>0</v>
      </c>
      <c r="AA41" s="466">
        <v>0</v>
      </c>
      <c r="AB41" s="466">
        <v>3072603.9</v>
      </c>
      <c r="AC41" s="466">
        <v>327297.08</v>
      </c>
      <c r="AD41" s="466">
        <v>34218.730000000003</v>
      </c>
      <c r="AE41" s="466"/>
      <c r="AF41" s="466"/>
      <c r="AG41" s="466">
        <v>37844.6</v>
      </c>
      <c r="AH41" s="466">
        <v>1657.9</v>
      </c>
      <c r="AI41" s="466">
        <v>-7000.35</v>
      </c>
      <c r="AJ41" s="466">
        <v>511943.6</v>
      </c>
      <c r="AK41" s="466">
        <v>234467.75</v>
      </c>
      <c r="AL41" s="466">
        <v>34794.400000000001</v>
      </c>
      <c r="AM41" s="466">
        <v>15850</v>
      </c>
      <c r="AN41" s="466">
        <v>42.93</v>
      </c>
      <c r="AO41" s="466">
        <v>39061.730000000003</v>
      </c>
      <c r="AP41" s="466"/>
      <c r="AQ41" s="466">
        <v>92485.75</v>
      </c>
      <c r="AR41" s="466">
        <v>409.07</v>
      </c>
      <c r="AS41" s="466">
        <v>5787.35</v>
      </c>
    </row>
    <row r="42" spans="1:45" x14ac:dyDescent="0.2">
      <c r="A42" s="465">
        <v>5458</v>
      </c>
      <c r="B42" s="466"/>
      <c r="C42" s="466">
        <v>1207.4100000000001</v>
      </c>
      <c r="D42" s="466">
        <v>948.26</v>
      </c>
      <c r="E42" s="466">
        <v>57688.77</v>
      </c>
      <c r="F42" s="466">
        <v>0</v>
      </c>
      <c r="G42" s="466">
        <v>0</v>
      </c>
      <c r="H42" s="466">
        <v>0</v>
      </c>
      <c r="I42" s="466"/>
      <c r="J42" s="466"/>
      <c r="K42" s="466">
        <v>0</v>
      </c>
      <c r="L42" s="466">
        <v>0</v>
      </c>
      <c r="M42" s="466">
        <v>0</v>
      </c>
      <c r="N42" s="466">
        <v>0</v>
      </c>
      <c r="O42" s="466">
        <v>0</v>
      </c>
      <c r="P42" s="466">
        <v>0</v>
      </c>
      <c r="Q42" s="466">
        <v>0</v>
      </c>
      <c r="R42" s="466">
        <v>0</v>
      </c>
      <c r="S42" s="466">
        <v>0</v>
      </c>
      <c r="T42" s="466"/>
      <c r="U42" s="466">
        <v>0</v>
      </c>
      <c r="V42" s="466"/>
      <c r="W42" s="466"/>
      <c r="X42" s="466">
        <v>1750.88</v>
      </c>
      <c r="Y42" s="466">
        <v>0</v>
      </c>
      <c r="Z42" s="466">
        <v>0</v>
      </c>
      <c r="AA42" s="466">
        <v>0</v>
      </c>
      <c r="AB42" s="466">
        <v>1623427.51</v>
      </c>
      <c r="AC42" s="466">
        <v>237541.87</v>
      </c>
      <c r="AD42" s="466">
        <v>49454.2</v>
      </c>
      <c r="AE42" s="466"/>
      <c r="AF42" s="466"/>
      <c r="AG42" s="466">
        <v>12767.8</v>
      </c>
      <c r="AH42" s="466">
        <v>1829.35</v>
      </c>
      <c r="AI42" s="466">
        <v>22318.75</v>
      </c>
      <c r="AJ42" s="466">
        <v>306000.45</v>
      </c>
      <c r="AK42" s="466">
        <v>89368.4</v>
      </c>
      <c r="AL42" s="466">
        <v>12968.6</v>
      </c>
      <c r="AM42" s="466">
        <v>10700</v>
      </c>
      <c r="AN42" s="466">
        <v>30227.78</v>
      </c>
      <c r="AO42" s="466">
        <v>18230.32</v>
      </c>
      <c r="AP42" s="466"/>
      <c r="AQ42" s="466">
        <v>60517.3</v>
      </c>
      <c r="AR42" s="466">
        <v>535</v>
      </c>
      <c r="AS42" s="466">
        <v>3878.8</v>
      </c>
    </row>
    <row r="43" spans="1:45" x14ac:dyDescent="0.2">
      <c r="A43" s="465">
        <v>5464</v>
      </c>
      <c r="B43" s="466"/>
      <c r="C43" s="466">
        <v>4665.0600000000004</v>
      </c>
      <c r="D43" s="466">
        <v>2706.48</v>
      </c>
      <c r="E43" s="466">
        <v>75302.34</v>
      </c>
      <c r="F43" s="466">
        <v>0</v>
      </c>
      <c r="G43" s="466">
        <v>0</v>
      </c>
      <c r="H43" s="466">
        <v>0</v>
      </c>
      <c r="I43" s="466"/>
      <c r="J43" s="466"/>
      <c r="K43" s="466">
        <v>0</v>
      </c>
      <c r="L43" s="466">
        <v>0</v>
      </c>
      <c r="M43" s="466">
        <v>0</v>
      </c>
      <c r="N43" s="466">
        <v>0</v>
      </c>
      <c r="O43" s="466">
        <v>0</v>
      </c>
      <c r="P43" s="466">
        <v>0</v>
      </c>
      <c r="Q43" s="466">
        <v>0</v>
      </c>
      <c r="R43" s="466">
        <v>0</v>
      </c>
      <c r="S43" s="466">
        <v>0</v>
      </c>
      <c r="T43" s="466"/>
      <c r="U43" s="466">
        <v>0</v>
      </c>
      <c r="V43" s="466"/>
      <c r="W43" s="466"/>
      <c r="X43" s="466">
        <v>5448.52</v>
      </c>
      <c r="Y43" s="466">
        <v>0</v>
      </c>
      <c r="Z43" s="466">
        <v>0</v>
      </c>
      <c r="AA43" s="466">
        <v>0</v>
      </c>
      <c r="AB43" s="466">
        <v>5639565.2400000002</v>
      </c>
      <c r="AC43" s="466">
        <v>1086046.95</v>
      </c>
      <c r="AD43" s="466">
        <v>71492.95</v>
      </c>
      <c r="AE43" s="466"/>
      <c r="AF43" s="466"/>
      <c r="AG43" s="466">
        <v>37325.15</v>
      </c>
      <c r="AH43" s="466">
        <v>8099.25</v>
      </c>
      <c r="AI43" s="466">
        <v>14232.3</v>
      </c>
      <c r="AJ43" s="466">
        <v>1024904.1</v>
      </c>
      <c r="AK43" s="466">
        <v>305626.15000000002</v>
      </c>
      <c r="AL43" s="466">
        <v>31224.799999999999</v>
      </c>
      <c r="AM43" s="466">
        <v>25100</v>
      </c>
      <c r="AN43" s="466">
        <v>9482.2800000000007</v>
      </c>
      <c r="AO43" s="466">
        <v>57901.26</v>
      </c>
      <c r="AP43" s="466"/>
      <c r="AQ43" s="466">
        <v>127042.1</v>
      </c>
      <c r="AR43" s="466">
        <v>2639.33</v>
      </c>
      <c r="AS43" s="466">
        <v>1564.15</v>
      </c>
    </row>
    <row r="44" spans="1:45" x14ac:dyDescent="0.2">
      <c r="A44" s="465">
        <v>5471</v>
      </c>
      <c r="B44" s="466"/>
      <c r="C44" s="466">
        <v>1870.74</v>
      </c>
      <c r="D44" s="466">
        <v>563.83000000000004</v>
      </c>
      <c r="E44" s="466">
        <v>14777.53</v>
      </c>
      <c r="F44" s="466">
        <v>0</v>
      </c>
      <c r="G44" s="466">
        <v>0</v>
      </c>
      <c r="H44" s="466">
        <v>0</v>
      </c>
      <c r="I44" s="466"/>
      <c r="J44" s="466"/>
      <c r="K44" s="466">
        <v>0</v>
      </c>
      <c r="L44" s="466">
        <v>0</v>
      </c>
      <c r="M44" s="466">
        <v>0</v>
      </c>
      <c r="N44" s="466">
        <v>0</v>
      </c>
      <c r="O44" s="466">
        <v>0</v>
      </c>
      <c r="P44" s="466">
        <v>0</v>
      </c>
      <c r="Q44" s="466">
        <v>0</v>
      </c>
      <c r="R44" s="466"/>
      <c r="S44" s="466">
        <v>0</v>
      </c>
      <c r="T44" s="466"/>
      <c r="U44" s="466">
        <v>0</v>
      </c>
      <c r="V44" s="466"/>
      <c r="W44" s="466"/>
      <c r="X44" s="466">
        <v>1964.56</v>
      </c>
      <c r="Y44" s="466">
        <v>0</v>
      </c>
      <c r="Z44" s="466">
        <v>0</v>
      </c>
      <c r="AA44" s="466">
        <v>0</v>
      </c>
      <c r="AB44" s="466">
        <v>1130154.1499999999</v>
      </c>
      <c r="AC44" s="466">
        <v>108398.85</v>
      </c>
      <c r="AD44" s="466">
        <v>49518.400000000001</v>
      </c>
      <c r="AE44" s="466"/>
      <c r="AF44" s="466"/>
      <c r="AG44" s="466">
        <v>14746.65</v>
      </c>
      <c r="AH44" s="466">
        <v>1631.9</v>
      </c>
      <c r="AI44" s="466">
        <v>4158.25</v>
      </c>
      <c r="AJ44" s="466">
        <v>118449.1</v>
      </c>
      <c r="AK44" s="466">
        <v>46619.8</v>
      </c>
      <c r="AL44" s="466">
        <v>5068.6000000000004</v>
      </c>
      <c r="AM44" s="466">
        <v>5100</v>
      </c>
      <c r="AN44" s="466"/>
      <c r="AO44" s="466">
        <v>13156.63</v>
      </c>
      <c r="AP44" s="466"/>
      <c r="AQ44" s="466">
        <v>4257.8500000000004</v>
      </c>
      <c r="AR44" s="466">
        <v>435.55</v>
      </c>
      <c r="AS44" s="466">
        <v>24383.75</v>
      </c>
    </row>
    <row r="45" spans="1:45" x14ac:dyDescent="0.2">
      <c r="A45" s="465">
        <v>5472</v>
      </c>
      <c r="B45" s="466"/>
      <c r="C45" s="466">
        <v>4004.91</v>
      </c>
      <c r="D45" s="466">
        <v>580.91</v>
      </c>
      <c r="E45" s="466">
        <v>38254.06</v>
      </c>
      <c r="F45" s="466">
        <v>0</v>
      </c>
      <c r="G45" s="466">
        <v>0</v>
      </c>
      <c r="H45" s="466">
        <v>0</v>
      </c>
      <c r="I45" s="466"/>
      <c r="J45" s="466"/>
      <c r="K45" s="466">
        <v>0</v>
      </c>
      <c r="L45" s="466">
        <v>0</v>
      </c>
      <c r="M45" s="466">
        <v>0</v>
      </c>
      <c r="N45" s="466">
        <v>0</v>
      </c>
      <c r="O45" s="466">
        <v>0</v>
      </c>
      <c r="P45" s="466"/>
      <c r="Q45" s="466">
        <v>0</v>
      </c>
      <c r="R45" s="466">
        <v>0</v>
      </c>
      <c r="S45" s="466">
        <v>0</v>
      </c>
      <c r="T45" s="466"/>
      <c r="U45" s="466">
        <v>0</v>
      </c>
      <c r="V45" s="466"/>
      <c r="W45" s="466"/>
      <c r="X45" s="466">
        <v>1730.93</v>
      </c>
      <c r="Y45" s="466">
        <v>0</v>
      </c>
      <c r="Z45" s="466">
        <v>0</v>
      </c>
      <c r="AA45" s="466">
        <v>0</v>
      </c>
      <c r="AB45" s="466">
        <v>1234639.1200000001</v>
      </c>
      <c r="AC45" s="466">
        <v>111357.63</v>
      </c>
      <c r="AD45" s="466">
        <v>25542.11</v>
      </c>
      <c r="AE45" s="466"/>
      <c r="AF45" s="466"/>
      <c r="AG45" s="466">
        <v>14403.9</v>
      </c>
      <c r="AH45" s="466">
        <v>26.9</v>
      </c>
      <c r="AI45" s="466">
        <v>640.25</v>
      </c>
      <c r="AJ45" s="466">
        <v>92037.65</v>
      </c>
      <c r="AK45" s="466">
        <v>112701.35</v>
      </c>
      <c r="AL45" s="466"/>
      <c r="AM45" s="466">
        <v>2070</v>
      </c>
      <c r="AN45" s="466">
        <v>10497.55</v>
      </c>
      <c r="AO45" s="466">
        <v>12380.78</v>
      </c>
      <c r="AP45" s="466"/>
      <c r="AQ45" s="466">
        <v>61656.800000000003</v>
      </c>
      <c r="AR45" s="466">
        <v>2314.36</v>
      </c>
      <c r="AS45" s="466"/>
    </row>
    <row r="46" spans="1:45" x14ac:dyDescent="0.2">
      <c r="A46" s="465">
        <v>5473</v>
      </c>
      <c r="B46" s="466"/>
      <c r="C46" s="466">
        <v>1636.4</v>
      </c>
      <c r="D46" s="466">
        <v>877.65</v>
      </c>
      <c r="E46" s="466">
        <v>35099.97</v>
      </c>
      <c r="F46" s="466">
        <v>0</v>
      </c>
      <c r="G46" s="466">
        <v>0</v>
      </c>
      <c r="H46" s="466">
        <v>0</v>
      </c>
      <c r="I46" s="466"/>
      <c r="J46" s="466"/>
      <c r="K46" s="466">
        <v>0</v>
      </c>
      <c r="L46" s="466">
        <v>0</v>
      </c>
      <c r="M46" s="466">
        <v>0</v>
      </c>
      <c r="N46" s="466">
        <v>0</v>
      </c>
      <c r="O46" s="466">
        <v>0</v>
      </c>
      <c r="P46" s="466"/>
      <c r="Q46" s="466">
        <v>0</v>
      </c>
      <c r="R46" s="466">
        <v>0</v>
      </c>
      <c r="S46" s="466">
        <v>0</v>
      </c>
      <c r="T46" s="466"/>
      <c r="U46" s="466">
        <v>0</v>
      </c>
      <c r="V46" s="466"/>
      <c r="W46" s="466"/>
      <c r="X46" s="466">
        <v>3167.22</v>
      </c>
      <c r="Y46" s="466">
        <v>0</v>
      </c>
      <c r="Z46" s="466">
        <v>0</v>
      </c>
      <c r="AA46" s="466">
        <v>0</v>
      </c>
      <c r="AB46" s="466">
        <v>2091780.69</v>
      </c>
      <c r="AC46" s="466">
        <v>247907.76</v>
      </c>
      <c r="AD46" s="466">
        <v>15808.71</v>
      </c>
      <c r="AE46" s="466"/>
      <c r="AF46" s="466"/>
      <c r="AG46" s="466">
        <v>25721.55</v>
      </c>
      <c r="AH46" s="466">
        <v>683.65</v>
      </c>
      <c r="AI46" s="466">
        <v>6176.2</v>
      </c>
      <c r="AJ46" s="466">
        <v>186339.9</v>
      </c>
      <c r="AK46" s="466">
        <v>36017.35</v>
      </c>
      <c r="AL46" s="466"/>
      <c r="AM46" s="466">
        <v>4960</v>
      </c>
      <c r="AN46" s="466">
        <v>7627.71</v>
      </c>
      <c r="AO46" s="466">
        <v>26833.38</v>
      </c>
      <c r="AP46" s="466"/>
      <c r="AQ46" s="466">
        <v>57547.95</v>
      </c>
      <c r="AR46" s="466">
        <v>291.43</v>
      </c>
      <c r="AS46" s="466">
        <v>5808.45</v>
      </c>
    </row>
    <row r="47" spans="1:45" x14ac:dyDescent="0.2">
      <c r="A47" s="465">
        <v>5474</v>
      </c>
      <c r="B47" s="466"/>
      <c r="C47" s="466">
        <v>84.82</v>
      </c>
      <c r="D47" s="466">
        <v>151.57</v>
      </c>
      <c r="E47" s="466">
        <v>3161.84</v>
      </c>
      <c r="F47" s="466">
        <v>0</v>
      </c>
      <c r="G47" s="466">
        <v>0</v>
      </c>
      <c r="H47" s="466">
        <v>0</v>
      </c>
      <c r="I47" s="466">
        <v>0</v>
      </c>
      <c r="J47" s="466"/>
      <c r="K47" s="466">
        <v>0</v>
      </c>
      <c r="L47" s="466">
        <v>0</v>
      </c>
      <c r="M47" s="466">
        <v>0</v>
      </c>
      <c r="N47" s="466">
        <v>0</v>
      </c>
      <c r="O47" s="466">
        <v>0</v>
      </c>
      <c r="P47" s="466">
        <v>0</v>
      </c>
      <c r="Q47" s="466">
        <v>0</v>
      </c>
      <c r="R47" s="466"/>
      <c r="S47" s="466">
        <v>0</v>
      </c>
      <c r="T47" s="466"/>
      <c r="U47" s="466">
        <v>0</v>
      </c>
      <c r="V47" s="466"/>
      <c r="W47" s="466"/>
      <c r="X47" s="466">
        <v>367.06</v>
      </c>
      <c r="Y47" s="466">
        <v>0</v>
      </c>
      <c r="Z47" s="466">
        <v>0</v>
      </c>
      <c r="AA47" s="466">
        <v>0</v>
      </c>
      <c r="AB47" s="466">
        <v>818241.83</v>
      </c>
      <c r="AC47" s="466">
        <v>83387.72</v>
      </c>
      <c r="AD47" s="466">
        <v>3514.83</v>
      </c>
      <c r="AE47" s="466">
        <v>37654</v>
      </c>
      <c r="AF47" s="466"/>
      <c r="AG47" s="466">
        <v>2916.5</v>
      </c>
      <c r="AH47" s="466">
        <v>143.65</v>
      </c>
      <c r="AI47" s="466">
        <v>665</v>
      </c>
      <c r="AJ47" s="466">
        <v>85667.15</v>
      </c>
      <c r="AK47" s="466">
        <v>30913.15</v>
      </c>
      <c r="AL47" s="466">
        <v>1548.3</v>
      </c>
      <c r="AM47" s="466">
        <v>1725</v>
      </c>
      <c r="AN47" s="466"/>
      <c r="AO47" s="466">
        <v>7531.14</v>
      </c>
      <c r="AP47" s="466"/>
      <c r="AQ47" s="466">
        <v>74635.199999999997</v>
      </c>
      <c r="AR47" s="466">
        <v>63.88</v>
      </c>
      <c r="AS47" s="466">
        <v>2422.9499999999998</v>
      </c>
    </row>
    <row r="48" spans="1:45" x14ac:dyDescent="0.2">
      <c r="A48" s="465">
        <v>5475</v>
      </c>
      <c r="B48" s="466"/>
      <c r="C48" s="466">
        <v>138.13999999999999</v>
      </c>
      <c r="D48" s="466">
        <v>12.48</v>
      </c>
      <c r="E48" s="466">
        <v>10215.799999999999</v>
      </c>
      <c r="F48" s="466">
        <v>0</v>
      </c>
      <c r="G48" s="466">
        <v>0</v>
      </c>
      <c r="H48" s="466">
        <v>0</v>
      </c>
      <c r="I48" s="466"/>
      <c r="J48" s="466"/>
      <c r="K48" s="466">
        <v>0</v>
      </c>
      <c r="L48" s="466">
        <v>0</v>
      </c>
      <c r="M48" s="466"/>
      <c r="N48" s="466">
        <v>0</v>
      </c>
      <c r="O48" s="466">
        <v>0</v>
      </c>
      <c r="P48" s="466"/>
      <c r="Q48" s="466">
        <v>0</v>
      </c>
      <c r="R48" s="466"/>
      <c r="S48" s="466">
        <v>0</v>
      </c>
      <c r="T48" s="466"/>
      <c r="U48" s="466">
        <v>0</v>
      </c>
      <c r="V48" s="466"/>
      <c r="W48" s="466"/>
      <c r="X48" s="466">
        <v>51.46</v>
      </c>
      <c r="Y48" s="466">
        <v>0</v>
      </c>
      <c r="Z48" s="466">
        <v>0</v>
      </c>
      <c r="AA48" s="466">
        <v>0</v>
      </c>
      <c r="AB48" s="466">
        <v>223447.6</v>
      </c>
      <c r="AC48" s="466">
        <v>58009.88</v>
      </c>
      <c r="AD48" s="466">
        <v>3838.68</v>
      </c>
      <c r="AE48" s="466"/>
      <c r="AF48" s="466"/>
      <c r="AG48" s="466">
        <v>248.65</v>
      </c>
      <c r="AH48" s="466">
        <v>180.4</v>
      </c>
      <c r="AI48" s="466"/>
      <c r="AJ48" s="466">
        <v>22788.3</v>
      </c>
      <c r="AK48" s="466">
        <v>22431.05</v>
      </c>
      <c r="AL48" s="466"/>
      <c r="AM48" s="466">
        <v>450</v>
      </c>
      <c r="AN48" s="466"/>
      <c r="AO48" s="466">
        <v>4010.69</v>
      </c>
      <c r="AP48" s="466"/>
      <c r="AQ48" s="466">
        <v>1096.75</v>
      </c>
      <c r="AR48" s="466"/>
      <c r="AS48" s="466"/>
    </row>
    <row r="49" spans="1:45" x14ac:dyDescent="0.2">
      <c r="A49" s="465">
        <v>5476</v>
      </c>
      <c r="B49" s="466"/>
      <c r="C49" s="466">
        <v>425.64</v>
      </c>
      <c r="D49" s="466">
        <v>228.37</v>
      </c>
      <c r="E49" s="466">
        <v>17755.439999999999</v>
      </c>
      <c r="F49" s="466">
        <v>0</v>
      </c>
      <c r="G49" s="466">
        <v>0</v>
      </c>
      <c r="H49" s="466">
        <v>0</v>
      </c>
      <c r="I49" s="466"/>
      <c r="J49" s="466"/>
      <c r="K49" s="466">
        <v>0</v>
      </c>
      <c r="L49" s="466">
        <v>0</v>
      </c>
      <c r="M49" s="466"/>
      <c r="N49" s="466">
        <v>0</v>
      </c>
      <c r="O49" s="466">
        <v>0</v>
      </c>
      <c r="P49" s="466">
        <v>0</v>
      </c>
      <c r="Q49" s="466">
        <v>0</v>
      </c>
      <c r="R49" s="466">
        <v>0</v>
      </c>
      <c r="S49" s="466">
        <v>0</v>
      </c>
      <c r="T49" s="466"/>
      <c r="U49" s="466">
        <v>0</v>
      </c>
      <c r="V49" s="466"/>
      <c r="W49" s="466"/>
      <c r="X49" s="466">
        <v>-181.65</v>
      </c>
      <c r="Y49" s="466">
        <v>0</v>
      </c>
      <c r="Z49" s="466">
        <v>0</v>
      </c>
      <c r="AA49" s="466">
        <v>0</v>
      </c>
      <c r="AB49" s="466">
        <v>737166.77</v>
      </c>
      <c r="AC49" s="466">
        <v>84319.91</v>
      </c>
      <c r="AD49" s="466">
        <v>-1416.62</v>
      </c>
      <c r="AE49" s="466"/>
      <c r="AF49" s="466"/>
      <c r="AG49" s="466">
        <v>618.5</v>
      </c>
      <c r="AH49" s="466">
        <v>-2132.9</v>
      </c>
      <c r="AI49" s="466"/>
      <c r="AJ49" s="466">
        <v>61081.15</v>
      </c>
      <c r="AK49" s="466">
        <v>7150</v>
      </c>
      <c r="AL49" s="466">
        <v>5367.6</v>
      </c>
      <c r="AM49" s="466">
        <v>2950</v>
      </c>
      <c r="AN49" s="466">
        <v>15596.19</v>
      </c>
      <c r="AO49" s="466">
        <v>5875.53</v>
      </c>
      <c r="AP49" s="466"/>
      <c r="AQ49" s="466">
        <v>713.5</v>
      </c>
      <c r="AR49" s="466">
        <v>1180.55</v>
      </c>
      <c r="AS49" s="466"/>
    </row>
    <row r="50" spans="1:45" x14ac:dyDescent="0.2">
      <c r="A50" s="465">
        <v>5477</v>
      </c>
      <c r="B50" s="466"/>
      <c r="C50" s="466">
        <v>8526.0300000000007</v>
      </c>
      <c r="D50" s="466">
        <v>3990.22</v>
      </c>
      <c r="E50" s="466">
        <v>1816304.42</v>
      </c>
      <c r="F50" s="466">
        <v>0</v>
      </c>
      <c r="G50" s="466">
        <v>0</v>
      </c>
      <c r="H50" s="466">
        <v>0</v>
      </c>
      <c r="I50" s="466"/>
      <c r="J50" s="466"/>
      <c r="K50" s="466">
        <v>0</v>
      </c>
      <c r="L50" s="466">
        <v>0</v>
      </c>
      <c r="M50" s="466">
        <v>0</v>
      </c>
      <c r="N50" s="466">
        <v>0</v>
      </c>
      <c r="O50" s="466">
        <v>0</v>
      </c>
      <c r="P50" s="466">
        <v>0</v>
      </c>
      <c r="Q50" s="466">
        <v>0</v>
      </c>
      <c r="R50" s="466">
        <v>0</v>
      </c>
      <c r="S50" s="466">
        <v>0</v>
      </c>
      <c r="T50" s="466"/>
      <c r="U50" s="466">
        <v>0</v>
      </c>
      <c r="V50" s="466"/>
      <c r="W50" s="466"/>
      <c r="X50" s="466">
        <v>41859.449999999997</v>
      </c>
      <c r="Y50" s="466">
        <v>0</v>
      </c>
      <c r="Z50" s="466">
        <v>0</v>
      </c>
      <c r="AA50" s="466">
        <v>0</v>
      </c>
      <c r="AB50" s="466">
        <v>7794213.9500000002</v>
      </c>
      <c r="AC50" s="466">
        <v>866499.74</v>
      </c>
      <c r="AD50" s="466">
        <v>225196.08</v>
      </c>
      <c r="AE50" s="466"/>
      <c r="AF50" s="466"/>
      <c r="AG50" s="466">
        <v>350504.5</v>
      </c>
      <c r="AH50" s="466">
        <v>-1521.3</v>
      </c>
      <c r="AI50" s="466">
        <v>42523.75</v>
      </c>
      <c r="AJ50" s="466">
        <v>724533.6</v>
      </c>
      <c r="AK50" s="466">
        <v>1133035.8999999999</v>
      </c>
      <c r="AL50" s="466">
        <v>48641.4</v>
      </c>
      <c r="AM50" s="466">
        <v>20600</v>
      </c>
      <c r="AN50" s="466">
        <v>84909.06</v>
      </c>
      <c r="AO50" s="466">
        <v>370763.65</v>
      </c>
      <c r="AP50" s="466"/>
      <c r="AQ50" s="466">
        <v>234708.25</v>
      </c>
      <c r="AR50" s="466">
        <v>3034.85</v>
      </c>
      <c r="AS50" s="466">
        <v>78423.75</v>
      </c>
    </row>
    <row r="51" spans="1:45" x14ac:dyDescent="0.2">
      <c r="A51" s="465">
        <v>5478</v>
      </c>
      <c r="B51" s="466"/>
      <c r="C51" s="466">
        <v>1118.73</v>
      </c>
      <c r="D51" s="466">
        <v>278.7</v>
      </c>
      <c r="E51" s="466">
        <v>16720.62</v>
      </c>
      <c r="F51" s="466">
        <v>0</v>
      </c>
      <c r="G51" s="466">
        <v>0</v>
      </c>
      <c r="H51" s="466">
        <v>0</v>
      </c>
      <c r="I51" s="466"/>
      <c r="J51" s="466"/>
      <c r="K51" s="466">
        <v>0</v>
      </c>
      <c r="L51" s="466">
        <v>0</v>
      </c>
      <c r="M51" s="466">
        <v>0</v>
      </c>
      <c r="N51" s="466">
        <v>0</v>
      </c>
      <c r="O51" s="466"/>
      <c r="P51" s="466"/>
      <c r="Q51" s="466">
        <v>0</v>
      </c>
      <c r="R51" s="466">
        <v>0</v>
      </c>
      <c r="S51" s="466">
        <v>0</v>
      </c>
      <c r="T51" s="466"/>
      <c r="U51" s="466">
        <v>0</v>
      </c>
      <c r="V51" s="466"/>
      <c r="W51" s="466"/>
      <c r="X51" s="466">
        <v>-1529.14</v>
      </c>
      <c r="Y51" s="466">
        <v>0</v>
      </c>
      <c r="Z51" s="466">
        <v>0</v>
      </c>
      <c r="AA51" s="466">
        <v>0</v>
      </c>
      <c r="AB51" s="466">
        <v>966556.11</v>
      </c>
      <c r="AC51" s="466">
        <v>147856.32999999999</v>
      </c>
      <c r="AD51" s="466">
        <v>35788.699999999997</v>
      </c>
      <c r="AE51" s="466"/>
      <c r="AF51" s="466"/>
      <c r="AG51" s="466">
        <v>-13448.65</v>
      </c>
      <c r="AH51" s="466">
        <v>700.2</v>
      </c>
      <c r="AI51" s="466">
        <v>250</v>
      </c>
      <c r="AJ51" s="466">
        <v>80550.25</v>
      </c>
      <c r="AK51" s="466"/>
      <c r="AL51" s="466"/>
      <c r="AM51" s="466">
        <v>1925</v>
      </c>
      <c r="AN51" s="466">
        <v>5569.15</v>
      </c>
      <c r="AO51" s="466">
        <v>5940.26</v>
      </c>
      <c r="AP51" s="466"/>
      <c r="AQ51" s="466">
        <v>9277.4500000000007</v>
      </c>
      <c r="AR51" s="466">
        <v>1.49</v>
      </c>
      <c r="AS51" s="466"/>
    </row>
    <row r="52" spans="1:45" x14ac:dyDescent="0.2">
      <c r="A52" s="465">
        <v>5479</v>
      </c>
      <c r="B52" s="466"/>
      <c r="C52" s="466">
        <v>858.97</v>
      </c>
      <c r="D52" s="466">
        <v>220.88</v>
      </c>
      <c r="E52" s="466">
        <v>4126.4399999999996</v>
      </c>
      <c r="F52" s="466">
        <v>0</v>
      </c>
      <c r="G52" s="466">
        <v>0</v>
      </c>
      <c r="H52" s="466">
        <v>0</v>
      </c>
      <c r="I52" s="466">
        <v>0</v>
      </c>
      <c r="J52" s="466"/>
      <c r="K52" s="466">
        <v>0</v>
      </c>
      <c r="L52" s="466">
        <v>0</v>
      </c>
      <c r="M52" s="466">
        <v>0</v>
      </c>
      <c r="N52" s="466">
        <v>0</v>
      </c>
      <c r="O52" s="466">
        <v>0</v>
      </c>
      <c r="P52" s="466"/>
      <c r="Q52" s="466">
        <v>0</v>
      </c>
      <c r="R52" s="466"/>
      <c r="S52" s="466">
        <v>0</v>
      </c>
      <c r="T52" s="466"/>
      <c r="U52" s="466">
        <v>0</v>
      </c>
      <c r="V52" s="466"/>
      <c r="W52" s="466"/>
      <c r="X52" s="466">
        <v>1859.82</v>
      </c>
      <c r="Y52" s="466">
        <v>0</v>
      </c>
      <c r="Z52" s="466">
        <v>0</v>
      </c>
      <c r="AA52" s="466">
        <v>0</v>
      </c>
      <c r="AB52" s="466">
        <v>1050972.1499999999</v>
      </c>
      <c r="AC52" s="466">
        <v>90873.41</v>
      </c>
      <c r="AD52" s="466">
        <v>11675.49</v>
      </c>
      <c r="AE52" s="466">
        <v>136813.5</v>
      </c>
      <c r="AF52" s="466"/>
      <c r="AG52" s="466">
        <v>14717.4</v>
      </c>
      <c r="AH52" s="466">
        <v>788</v>
      </c>
      <c r="AI52" s="466">
        <v>1973.25</v>
      </c>
      <c r="AJ52" s="466">
        <v>85764.75</v>
      </c>
      <c r="AK52" s="466">
        <v>88973.3</v>
      </c>
      <c r="AL52" s="466"/>
      <c r="AM52" s="466">
        <v>2040</v>
      </c>
      <c r="AN52" s="466"/>
      <c r="AO52" s="466">
        <v>13816.16</v>
      </c>
      <c r="AP52" s="466"/>
      <c r="AQ52" s="466">
        <v>73291</v>
      </c>
      <c r="AR52" s="466"/>
      <c r="AS52" s="466">
        <v>8570.9500000000007</v>
      </c>
    </row>
    <row r="53" spans="1:45" x14ac:dyDescent="0.2">
      <c r="A53" s="465">
        <v>5480</v>
      </c>
      <c r="B53" s="466"/>
      <c r="C53" s="466">
        <v>2098.7199999999998</v>
      </c>
      <c r="D53" s="466">
        <v>693.26</v>
      </c>
      <c r="E53" s="466">
        <v>33354.28</v>
      </c>
      <c r="F53" s="466">
        <v>0</v>
      </c>
      <c r="G53" s="466">
        <v>0</v>
      </c>
      <c r="H53" s="466">
        <v>0</v>
      </c>
      <c r="I53" s="466"/>
      <c r="J53" s="466"/>
      <c r="K53" s="466">
        <v>0</v>
      </c>
      <c r="L53" s="466">
        <v>0</v>
      </c>
      <c r="M53" s="466">
        <v>0</v>
      </c>
      <c r="N53" s="466">
        <v>0</v>
      </c>
      <c r="O53" s="466">
        <v>0</v>
      </c>
      <c r="P53" s="466"/>
      <c r="Q53" s="466">
        <v>0</v>
      </c>
      <c r="R53" s="466">
        <v>0</v>
      </c>
      <c r="S53" s="466">
        <v>0</v>
      </c>
      <c r="T53" s="466"/>
      <c r="U53" s="466">
        <v>0</v>
      </c>
      <c r="V53" s="466"/>
      <c r="W53" s="466"/>
      <c r="X53" s="466">
        <v>3518.25</v>
      </c>
      <c r="Y53" s="466">
        <v>0</v>
      </c>
      <c r="Z53" s="466">
        <v>0</v>
      </c>
      <c r="AA53" s="466">
        <v>0</v>
      </c>
      <c r="AB53" s="466">
        <v>2104436.65</v>
      </c>
      <c r="AC53" s="466">
        <v>252833.16</v>
      </c>
      <c r="AD53" s="466">
        <v>21681</v>
      </c>
      <c r="AE53" s="466"/>
      <c r="AF53" s="466"/>
      <c r="AG53" s="466">
        <v>15177.3</v>
      </c>
      <c r="AH53" s="466">
        <v>14154.4</v>
      </c>
      <c r="AI53" s="466">
        <v>11300.15</v>
      </c>
      <c r="AJ53" s="466">
        <v>368315.1</v>
      </c>
      <c r="AK53" s="466">
        <v>155782</v>
      </c>
      <c r="AL53" s="466"/>
      <c r="AM53" s="466">
        <v>9450</v>
      </c>
      <c r="AN53" s="466">
        <v>11525.4</v>
      </c>
      <c r="AO53" s="466">
        <v>18226.310000000001</v>
      </c>
      <c r="AP53" s="466"/>
      <c r="AQ53" s="466">
        <v>54282.8</v>
      </c>
      <c r="AR53" s="466">
        <v>758.12</v>
      </c>
      <c r="AS53" s="466">
        <v>204900.85</v>
      </c>
    </row>
    <row r="54" spans="1:45" x14ac:dyDescent="0.2">
      <c r="A54" s="465">
        <v>5481</v>
      </c>
      <c r="B54" s="466"/>
      <c r="C54" s="466">
        <v>190.75</v>
      </c>
      <c r="D54" s="466">
        <v>367.46</v>
      </c>
      <c r="E54" s="466">
        <v>1618.39</v>
      </c>
      <c r="F54" s="466">
        <v>0</v>
      </c>
      <c r="G54" s="466">
        <v>0</v>
      </c>
      <c r="H54" s="466">
        <v>0</v>
      </c>
      <c r="I54" s="466"/>
      <c r="J54" s="466"/>
      <c r="K54" s="466">
        <v>0</v>
      </c>
      <c r="L54" s="466">
        <v>0</v>
      </c>
      <c r="M54" s="466"/>
      <c r="N54" s="466">
        <v>0</v>
      </c>
      <c r="O54" s="466">
        <v>0</v>
      </c>
      <c r="P54" s="466"/>
      <c r="Q54" s="466">
        <v>0</v>
      </c>
      <c r="R54" s="466">
        <v>0</v>
      </c>
      <c r="S54" s="466">
        <v>0</v>
      </c>
      <c r="T54" s="466"/>
      <c r="U54" s="466">
        <v>0</v>
      </c>
      <c r="V54" s="466"/>
      <c r="W54" s="466"/>
      <c r="X54" s="466">
        <v>7265.11</v>
      </c>
      <c r="Y54" s="466">
        <v>0</v>
      </c>
      <c r="Z54" s="466">
        <v>0</v>
      </c>
      <c r="AA54" s="466">
        <v>0</v>
      </c>
      <c r="AB54" s="466">
        <v>380456.01</v>
      </c>
      <c r="AC54" s="466">
        <v>115243.38</v>
      </c>
      <c r="AD54" s="466">
        <v>4904.03</v>
      </c>
      <c r="AE54" s="466"/>
      <c r="AF54" s="466"/>
      <c r="AG54" s="466">
        <v>60479.9</v>
      </c>
      <c r="AH54" s="466">
        <v>89.5</v>
      </c>
      <c r="AI54" s="466"/>
      <c r="AJ54" s="466">
        <v>39166.050000000003</v>
      </c>
      <c r="AK54" s="466">
        <v>6491.55</v>
      </c>
      <c r="AL54" s="466"/>
      <c r="AM54" s="466">
        <v>800</v>
      </c>
      <c r="AN54" s="466">
        <v>3326.95</v>
      </c>
      <c r="AO54" s="466">
        <v>2333.2800000000002</v>
      </c>
      <c r="AP54" s="466"/>
      <c r="AQ54" s="466">
        <v>1182</v>
      </c>
      <c r="AR54" s="466"/>
      <c r="AS54" s="466"/>
    </row>
    <row r="55" spans="1:45" x14ac:dyDescent="0.2">
      <c r="A55" s="465">
        <v>5482</v>
      </c>
      <c r="B55" s="466"/>
      <c r="C55" s="466">
        <v>2725.36</v>
      </c>
      <c r="D55" s="466">
        <v>1187.3900000000001</v>
      </c>
      <c r="E55" s="466">
        <v>33996.83</v>
      </c>
      <c r="F55" s="466">
        <v>0</v>
      </c>
      <c r="G55" s="466">
        <v>0</v>
      </c>
      <c r="H55" s="466">
        <v>0</v>
      </c>
      <c r="I55" s="466"/>
      <c r="J55" s="466"/>
      <c r="K55" s="466">
        <v>0</v>
      </c>
      <c r="L55" s="466">
        <v>0</v>
      </c>
      <c r="M55" s="466">
        <v>0</v>
      </c>
      <c r="N55" s="466">
        <v>0</v>
      </c>
      <c r="O55" s="466">
        <v>0</v>
      </c>
      <c r="P55" s="466">
        <v>0</v>
      </c>
      <c r="Q55" s="466">
        <v>0</v>
      </c>
      <c r="R55" s="466">
        <v>0</v>
      </c>
      <c r="S55" s="466">
        <v>0</v>
      </c>
      <c r="T55" s="466"/>
      <c r="U55" s="466">
        <v>0</v>
      </c>
      <c r="V55" s="466"/>
      <c r="W55" s="466"/>
      <c r="X55" s="466">
        <v>120391.2</v>
      </c>
      <c r="Y55" s="466">
        <v>0</v>
      </c>
      <c r="Z55" s="466">
        <v>0</v>
      </c>
      <c r="AA55" s="466">
        <v>0</v>
      </c>
      <c r="AB55" s="466">
        <v>1442397.62</v>
      </c>
      <c r="AC55" s="466">
        <v>181554.29</v>
      </c>
      <c r="AD55" s="466">
        <v>74027.98</v>
      </c>
      <c r="AE55" s="466"/>
      <c r="AF55" s="466"/>
      <c r="AG55" s="466">
        <v>985295.05</v>
      </c>
      <c r="AH55" s="466">
        <v>18409.25</v>
      </c>
      <c r="AI55" s="466">
        <v>41453.800000000003</v>
      </c>
      <c r="AJ55" s="466">
        <v>426745.35</v>
      </c>
      <c r="AK55" s="466">
        <v>57954.25</v>
      </c>
      <c r="AL55" s="466">
        <v>11323.9</v>
      </c>
      <c r="AM55" s="466">
        <v>11400</v>
      </c>
      <c r="AN55" s="466">
        <v>6323.09</v>
      </c>
      <c r="AO55" s="466">
        <v>13304.78</v>
      </c>
      <c r="AP55" s="466"/>
      <c r="AQ55" s="466">
        <v>35836.949999999997</v>
      </c>
      <c r="AR55" s="466">
        <v>652.01</v>
      </c>
      <c r="AS55" s="466">
        <v>338711.25</v>
      </c>
    </row>
    <row r="56" spans="1:45" x14ac:dyDescent="0.2">
      <c r="A56" s="465">
        <v>5483</v>
      </c>
      <c r="B56" s="466"/>
      <c r="C56" s="466">
        <v>-89.14</v>
      </c>
      <c r="D56" s="466">
        <v>186.22</v>
      </c>
      <c r="E56" s="466">
        <v>247.76</v>
      </c>
      <c r="F56" s="466">
        <v>0</v>
      </c>
      <c r="G56" s="466">
        <v>0</v>
      </c>
      <c r="H56" s="466">
        <v>0</v>
      </c>
      <c r="I56" s="466"/>
      <c r="J56" s="466"/>
      <c r="K56" s="466">
        <v>0</v>
      </c>
      <c r="L56" s="466">
        <v>0</v>
      </c>
      <c r="M56" s="466">
        <v>0</v>
      </c>
      <c r="N56" s="466">
        <v>0</v>
      </c>
      <c r="O56" s="466">
        <v>0</v>
      </c>
      <c r="P56" s="466"/>
      <c r="Q56" s="466">
        <v>0</v>
      </c>
      <c r="R56" s="466"/>
      <c r="S56" s="466">
        <v>0</v>
      </c>
      <c r="T56" s="466"/>
      <c r="U56" s="466">
        <v>0</v>
      </c>
      <c r="V56" s="466"/>
      <c r="W56" s="466"/>
      <c r="X56" s="466">
        <v>1100.73</v>
      </c>
      <c r="Y56" s="466">
        <v>0</v>
      </c>
      <c r="Z56" s="466">
        <v>0</v>
      </c>
      <c r="AA56" s="466">
        <v>0</v>
      </c>
      <c r="AB56" s="466">
        <v>671967.59</v>
      </c>
      <c r="AC56" s="466">
        <v>82723.63</v>
      </c>
      <c r="AD56" s="466">
        <v>1743.05</v>
      </c>
      <c r="AE56" s="466"/>
      <c r="AF56" s="466"/>
      <c r="AG56" s="466">
        <v>8051.95</v>
      </c>
      <c r="AH56" s="466">
        <v>1124.8499999999999</v>
      </c>
      <c r="AI56" s="466">
        <v>702</v>
      </c>
      <c r="AJ56" s="466">
        <v>56873.65</v>
      </c>
      <c r="AK56" s="466">
        <v>16280</v>
      </c>
      <c r="AL56" s="466"/>
      <c r="AM56" s="466">
        <v>1410</v>
      </c>
      <c r="AN56" s="466"/>
      <c r="AO56" s="466">
        <v>5657.94</v>
      </c>
      <c r="AP56" s="466"/>
      <c r="AQ56" s="466">
        <v>2916.7</v>
      </c>
      <c r="AR56" s="466">
        <v>1695.75</v>
      </c>
      <c r="AS56" s="466"/>
    </row>
    <row r="57" spans="1:45" x14ac:dyDescent="0.2">
      <c r="A57" s="465">
        <v>5484</v>
      </c>
      <c r="B57" s="466"/>
      <c r="C57" s="466">
        <v>2464.21</v>
      </c>
      <c r="D57" s="466">
        <v>668.47</v>
      </c>
      <c r="E57" s="466">
        <v>11351.64</v>
      </c>
      <c r="F57" s="466">
        <v>0</v>
      </c>
      <c r="G57" s="466">
        <v>0</v>
      </c>
      <c r="H57" s="466">
        <v>0</v>
      </c>
      <c r="I57" s="466"/>
      <c r="J57" s="466"/>
      <c r="K57" s="466">
        <v>0</v>
      </c>
      <c r="L57" s="466">
        <v>0</v>
      </c>
      <c r="M57" s="466">
        <v>0</v>
      </c>
      <c r="N57" s="466">
        <v>0</v>
      </c>
      <c r="O57" s="466">
        <v>0</v>
      </c>
      <c r="P57" s="466">
        <v>0</v>
      </c>
      <c r="Q57" s="466">
        <v>0</v>
      </c>
      <c r="R57" s="466">
        <v>0</v>
      </c>
      <c r="S57" s="466">
        <v>0</v>
      </c>
      <c r="T57" s="466"/>
      <c r="U57" s="466">
        <v>0</v>
      </c>
      <c r="V57" s="466"/>
      <c r="W57" s="466"/>
      <c r="X57" s="466">
        <v>11542.05</v>
      </c>
      <c r="Y57" s="466">
        <v>0</v>
      </c>
      <c r="Z57" s="466">
        <v>0</v>
      </c>
      <c r="AA57" s="466">
        <v>0</v>
      </c>
      <c r="AB57" s="466">
        <v>2004003.49</v>
      </c>
      <c r="AC57" s="466">
        <v>240591.06</v>
      </c>
      <c r="AD57" s="466">
        <v>55357.64</v>
      </c>
      <c r="AE57" s="466"/>
      <c r="AF57" s="466"/>
      <c r="AG57" s="466">
        <v>93288.85</v>
      </c>
      <c r="AH57" s="466">
        <v>2937.5</v>
      </c>
      <c r="AI57" s="466">
        <v>7066.75</v>
      </c>
      <c r="AJ57" s="466">
        <v>184181.25</v>
      </c>
      <c r="AK57" s="466">
        <v>119899.25</v>
      </c>
      <c r="AL57" s="466">
        <v>60233</v>
      </c>
      <c r="AM57" s="466">
        <v>6200</v>
      </c>
      <c r="AN57" s="466">
        <v>2417.2399999999998</v>
      </c>
      <c r="AO57" s="466">
        <v>18498.48</v>
      </c>
      <c r="AP57" s="466"/>
      <c r="AQ57" s="466">
        <v>29382.85</v>
      </c>
      <c r="AR57" s="466">
        <v>257.26</v>
      </c>
      <c r="AS57" s="466">
        <v>25418.75</v>
      </c>
    </row>
    <row r="58" spans="1:45" x14ac:dyDescent="0.2">
      <c r="A58" s="465">
        <v>5485</v>
      </c>
      <c r="B58" s="466"/>
      <c r="C58" s="466">
        <v>937.63</v>
      </c>
      <c r="D58" s="466">
        <v>481.46</v>
      </c>
      <c r="E58" s="466">
        <v>37256.61</v>
      </c>
      <c r="F58" s="466">
        <v>0</v>
      </c>
      <c r="G58" s="466">
        <v>0</v>
      </c>
      <c r="H58" s="466">
        <v>0</v>
      </c>
      <c r="I58" s="466"/>
      <c r="J58" s="466"/>
      <c r="K58" s="466">
        <v>0</v>
      </c>
      <c r="L58" s="466">
        <v>0</v>
      </c>
      <c r="M58" s="466">
        <v>0</v>
      </c>
      <c r="N58" s="466">
        <v>0</v>
      </c>
      <c r="O58" s="466">
        <v>0</v>
      </c>
      <c r="P58" s="466">
        <v>0</v>
      </c>
      <c r="Q58" s="466">
        <v>0</v>
      </c>
      <c r="R58" s="466">
        <v>0</v>
      </c>
      <c r="S58" s="466">
        <v>0</v>
      </c>
      <c r="T58" s="466"/>
      <c r="U58" s="466">
        <v>0</v>
      </c>
      <c r="V58" s="466"/>
      <c r="W58" s="466"/>
      <c r="X58" s="466">
        <v>1540.18</v>
      </c>
      <c r="Y58" s="466">
        <v>0</v>
      </c>
      <c r="Z58" s="466">
        <v>0</v>
      </c>
      <c r="AA58" s="466">
        <v>0</v>
      </c>
      <c r="AB58" s="466">
        <v>756576.18</v>
      </c>
      <c r="AC58" s="466">
        <v>162807.43</v>
      </c>
      <c r="AD58" s="466">
        <v>24736.73</v>
      </c>
      <c r="AE58" s="466"/>
      <c r="AF58" s="466"/>
      <c r="AG58" s="466">
        <v>12652.85</v>
      </c>
      <c r="AH58" s="466">
        <v>187.7</v>
      </c>
      <c r="AI58" s="466">
        <v>319</v>
      </c>
      <c r="AJ58" s="466">
        <v>76196.850000000006</v>
      </c>
      <c r="AK58" s="466">
        <v>99344.4</v>
      </c>
      <c r="AL58" s="466">
        <v>2707.8</v>
      </c>
      <c r="AM58" s="466">
        <v>1340</v>
      </c>
      <c r="AN58" s="466">
        <v>20445.93</v>
      </c>
      <c r="AO58" s="466">
        <v>6598.57</v>
      </c>
      <c r="AP58" s="466"/>
      <c r="AQ58" s="466">
        <v>52274.400000000001</v>
      </c>
      <c r="AR58" s="466">
        <v>241.55</v>
      </c>
      <c r="AS58" s="466">
        <v>13845.05</v>
      </c>
    </row>
    <row r="59" spans="1:45" x14ac:dyDescent="0.2">
      <c r="A59" s="465">
        <v>5486</v>
      </c>
      <c r="B59" s="466"/>
      <c r="C59" s="466">
        <v>4072.26</v>
      </c>
      <c r="D59" s="466">
        <v>604.30999999999995</v>
      </c>
      <c r="E59" s="466">
        <v>26862.79</v>
      </c>
      <c r="F59" s="466">
        <v>0</v>
      </c>
      <c r="G59" s="466">
        <v>0</v>
      </c>
      <c r="H59" s="466">
        <v>0</v>
      </c>
      <c r="I59" s="466">
        <v>0</v>
      </c>
      <c r="J59" s="466"/>
      <c r="K59" s="466">
        <v>0</v>
      </c>
      <c r="L59" s="466">
        <v>0</v>
      </c>
      <c r="M59" s="466">
        <v>0</v>
      </c>
      <c r="N59" s="466">
        <v>0</v>
      </c>
      <c r="O59" s="466">
        <v>0</v>
      </c>
      <c r="P59" s="466">
        <v>0</v>
      </c>
      <c r="Q59" s="466">
        <v>0</v>
      </c>
      <c r="R59" s="466">
        <v>0</v>
      </c>
      <c r="S59" s="466">
        <v>0</v>
      </c>
      <c r="T59" s="466"/>
      <c r="U59" s="466">
        <v>0</v>
      </c>
      <c r="V59" s="466"/>
      <c r="W59" s="466"/>
      <c r="X59" s="466">
        <v>2375.4499999999998</v>
      </c>
      <c r="Y59" s="466">
        <v>0</v>
      </c>
      <c r="Z59" s="466">
        <v>0</v>
      </c>
      <c r="AA59" s="466">
        <v>0</v>
      </c>
      <c r="AB59" s="466">
        <v>2186883.33</v>
      </c>
      <c r="AC59" s="466">
        <v>337681.32</v>
      </c>
      <c r="AD59" s="466">
        <v>46072.47</v>
      </c>
      <c r="AE59" s="466">
        <v>35256</v>
      </c>
      <c r="AF59" s="466"/>
      <c r="AG59" s="466">
        <v>16509.400000000001</v>
      </c>
      <c r="AH59" s="466">
        <v>3294.8</v>
      </c>
      <c r="AI59" s="466">
        <v>9098.7999999999993</v>
      </c>
      <c r="AJ59" s="466">
        <v>193552.3</v>
      </c>
      <c r="AK59" s="466">
        <v>42994.75</v>
      </c>
      <c r="AL59" s="466">
        <v>18816.5</v>
      </c>
      <c r="AM59" s="466">
        <v>9750</v>
      </c>
      <c r="AN59" s="466">
        <v>5606.47</v>
      </c>
      <c r="AO59" s="466">
        <v>16142.71</v>
      </c>
      <c r="AP59" s="466"/>
      <c r="AQ59" s="466">
        <v>49697.45</v>
      </c>
      <c r="AR59" s="466">
        <v>0.52</v>
      </c>
      <c r="AS59" s="466">
        <v>54932.45</v>
      </c>
    </row>
    <row r="60" spans="1:45" x14ac:dyDescent="0.2">
      <c r="A60" s="465">
        <v>5487</v>
      </c>
      <c r="B60" s="466"/>
      <c r="C60" s="466">
        <v>490.1</v>
      </c>
      <c r="D60" s="466">
        <v>251.56</v>
      </c>
      <c r="E60" s="466">
        <v>6686.12</v>
      </c>
      <c r="F60" s="466">
        <v>0</v>
      </c>
      <c r="G60" s="466">
        <v>0</v>
      </c>
      <c r="H60" s="466">
        <v>0</v>
      </c>
      <c r="I60" s="466"/>
      <c r="J60" s="466"/>
      <c r="K60" s="466">
        <v>0</v>
      </c>
      <c r="L60" s="466">
        <v>0</v>
      </c>
      <c r="M60" s="466">
        <v>0</v>
      </c>
      <c r="N60" s="466">
        <v>0</v>
      </c>
      <c r="O60" s="466">
        <v>0</v>
      </c>
      <c r="P60" s="466">
        <v>0</v>
      </c>
      <c r="Q60" s="466">
        <v>0</v>
      </c>
      <c r="R60" s="466">
        <v>0</v>
      </c>
      <c r="S60" s="466">
        <v>0</v>
      </c>
      <c r="T60" s="466"/>
      <c r="U60" s="466">
        <v>0</v>
      </c>
      <c r="V60" s="466"/>
      <c r="W60" s="466"/>
      <c r="X60" s="466">
        <v>-49.77</v>
      </c>
      <c r="Y60" s="466">
        <v>0</v>
      </c>
      <c r="Z60" s="466">
        <v>0</v>
      </c>
      <c r="AA60" s="466">
        <v>0</v>
      </c>
      <c r="AB60" s="466">
        <v>828023.56</v>
      </c>
      <c r="AC60" s="466">
        <v>61416.21</v>
      </c>
      <c r="AD60" s="466">
        <v>4392.13</v>
      </c>
      <c r="AE60" s="466"/>
      <c r="AF60" s="466"/>
      <c r="AG60" s="466">
        <v>-612.4</v>
      </c>
      <c r="AH60" s="466">
        <v>197.5</v>
      </c>
      <c r="AI60" s="466">
        <v>994</v>
      </c>
      <c r="AJ60" s="466">
        <v>79012.800000000003</v>
      </c>
      <c r="AK60" s="466">
        <v>29510.55</v>
      </c>
      <c r="AL60" s="466">
        <v>282.5</v>
      </c>
      <c r="AM60" s="466">
        <v>2910</v>
      </c>
      <c r="AN60" s="466">
        <v>384.3</v>
      </c>
      <c r="AO60" s="466">
        <v>8447.02</v>
      </c>
      <c r="AP60" s="466"/>
      <c r="AQ60" s="466">
        <v>1238.05</v>
      </c>
      <c r="AR60" s="466">
        <v>332.3</v>
      </c>
      <c r="AS60" s="466"/>
    </row>
    <row r="61" spans="1:45" x14ac:dyDescent="0.2">
      <c r="A61" s="465">
        <v>5488</v>
      </c>
      <c r="B61" s="466"/>
      <c r="C61" s="466">
        <v>122.32</v>
      </c>
      <c r="D61" s="466">
        <v>40.450000000000003</v>
      </c>
      <c r="E61" s="466">
        <v>15.48</v>
      </c>
      <c r="F61" s="466">
        <v>0</v>
      </c>
      <c r="G61" s="466">
        <v>0</v>
      </c>
      <c r="H61" s="466">
        <v>0</v>
      </c>
      <c r="I61" s="466"/>
      <c r="J61" s="466"/>
      <c r="K61" s="466">
        <v>0</v>
      </c>
      <c r="L61" s="466">
        <v>0</v>
      </c>
      <c r="M61" s="466"/>
      <c r="N61" s="466">
        <v>0</v>
      </c>
      <c r="O61" s="466"/>
      <c r="P61" s="466"/>
      <c r="Q61" s="466">
        <v>0</v>
      </c>
      <c r="R61" s="466"/>
      <c r="S61" s="466">
        <v>0</v>
      </c>
      <c r="T61" s="466"/>
      <c r="U61" s="466"/>
      <c r="V61" s="466"/>
      <c r="W61" s="466"/>
      <c r="X61" s="466">
        <v>109.97</v>
      </c>
      <c r="Y61" s="466">
        <v>0</v>
      </c>
      <c r="Z61" s="466">
        <v>0</v>
      </c>
      <c r="AA61" s="466">
        <v>0</v>
      </c>
      <c r="AB61" s="466">
        <v>103815.1</v>
      </c>
      <c r="AC61" s="466">
        <v>10331.379999999999</v>
      </c>
      <c r="AD61" s="466">
        <v>2109.0500000000002</v>
      </c>
      <c r="AE61" s="466"/>
      <c r="AF61" s="466"/>
      <c r="AG61" s="466">
        <v>705.25</v>
      </c>
      <c r="AH61" s="466">
        <v>211.6</v>
      </c>
      <c r="AI61" s="466"/>
      <c r="AJ61" s="466">
        <v>8426</v>
      </c>
      <c r="AK61" s="466"/>
      <c r="AL61" s="466"/>
      <c r="AM61" s="466">
        <v>150</v>
      </c>
      <c r="AN61" s="466"/>
      <c r="AO61" s="466">
        <v>1180.73</v>
      </c>
      <c r="AP61" s="466"/>
      <c r="AQ61" s="466"/>
      <c r="AR61" s="466">
        <v>16.309999999999999</v>
      </c>
      <c r="AS61" s="466"/>
    </row>
    <row r="62" spans="1:45" x14ac:dyDescent="0.2">
      <c r="A62" s="465">
        <v>5489</v>
      </c>
      <c r="B62" s="466"/>
      <c r="C62" s="466">
        <v>8419.36</v>
      </c>
      <c r="D62" s="466">
        <v>859.11</v>
      </c>
      <c r="E62" s="466">
        <v>49065.04</v>
      </c>
      <c r="F62" s="466">
        <v>0</v>
      </c>
      <c r="G62" s="466">
        <v>0</v>
      </c>
      <c r="H62" s="466">
        <v>0</v>
      </c>
      <c r="I62" s="466"/>
      <c r="J62" s="466"/>
      <c r="K62" s="466">
        <v>0</v>
      </c>
      <c r="L62" s="466">
        <v>0</v>
      </c>
      <c r="M62" s="466">
        <v>0</v>
      </c>
      <c r="N62" s="466">
        <v>0</v>
      </c>
      <c r="O62" s="466">
        <v>0</v>
      </c>
      <c r="P62" s="466">
        <v>0</v>
      </c>
      <c r="Q62" s="466">
        <v>0</v>
      </c>
      <c r="R62" s="466">
        <v>0</v>
      </c>
      <c r="S62" s="466">
        <v>0</v>
      </c>
      <c r="T62" s="466"/>
      <c r="U62" s="466">
        <v>0</v>
      </c>
      <c r="V62" s="466"/>
      <c r="W62" s="466"/>
      <c r="X62" s="466">
        <v>8301.94</v>
      </c>
      <c r="Y62" s="466">
        <v>0</v>
      </c>
      <c r="Z62" s="466">
        <v>0</v>
      </c>
      <c r="AA62" s="466">
        <v>0</v>
      </c>
      <c r="AB62" s="466">
        <v>1861554.17</v>
      </c>
      <c r="AC62" s="466">
        <v>684808.6</v>
      </c>
      <c r="AD62" s="466">
        <v>37440.42</v>
      </c>
      <c r="AE62" s="466"/>
      <c r="AF62" s="466"/>
      <c r="AG62" s="466">
        <v>15184.5</v>
      </c>
      <c r="AH62" s="466">
        <v>54029</v>
      </c>
      <c r="AI62" s="466">
        <v>6591.5</v>
      </c>
      <c r="AJ62" s="466">
        <v>293345.55</v>
      </c>
      <c r="AK62" s="466">
        <v>245386</v>
      </c>
      <c r="AL62" s="466">
        <v>458.7</v>
      </c>
      <c r="AM62" s="466">
        <v>4590</v>
      </c>
      <c r="AN62" s="466">
        <v>1202.4000000000001</v>
      </c>
      <c r="AO62" s="466">
        <v>42469.77</v>
      </c>
      <c r="AP62" s="466"/>
      <c r="AQ62" s="466">
        <v>276699.8</v>
      </c>
      <c r="AR62" s="466">
        <v>846.97</v>
      </c>
      <c r="AS62" s="466">
        <v>199343.7</v>
      </c>
    </row>
    <row r="63" spans="1:45" x14ac:dyDescent="0.2">
      <c r="A63" s="465">
        <v>5490</v>
      </c>
      <c r="B63" s="466"/>
      <c r="C63" s="466">
        <v>2.4</v>
      </c>
      <c r="D63" s="466">
        <v>155.83000000000001</v>
      </c>
      <c r="E63" s="466">
        <v>17085.490000000002</v>
      </c>
      <c r="F63" s="466">
        <v>0</v>
      </c>
      <c r="G63" s="466">
        <v>0</v>
      </c>
      <c r="H63" s="466">
        <v>0</v>
      </c>
      <c r="I63" s="466"/>
      <c r="J63" s="466"/>
      <c r="K63" s="466">
        <v>0</v>
      </c>
      <c r="L63" s="466">
        <v>0</v>
      </c>
      <c r="M63" s="466"/>
      <c r="N63" s="466">
        <v>0</v>
      </c>
      <c r="O63" s="466">
        <v>0</v>
      </c>
      <c r="P63" s="466">
        <v>0</v>
      </c>
      <c r="Q63" s="466">
        <v>0</v>
      </c>
      <c r="R63" s="466"/>
      <c r="S63" s="466">
        <v>0</v>
      </c>
      <c r="T63" s="466"/>
      <c r="U63" s="466">
        <v>0</v>
      </c>
      <c r="V63" s="466"/>
      <c r="W63" s="466"/>
      <c r="X63" s="466">
        <v>90.62</v>
      </c>
      <c r="Y63" s="466">
        <v>0</v>
      </c>
      <c r="Z63" s="466">
        <v>0</v>
      </c>
      <c r="AA63" s="466">
        <v>0</v>
      </c>
      <c r="AB63" s="466">
        <v>559754.14</v>
      </c>
      <c r="AC63" s="466">
        <v>82620.210000000006</v>
      </c>
      <c r="AD63" s="466">
        <v>-683.29</v>
      </c>
      <c r="AE63" s="466"/>
      <c r="AF63" s="466"/>
      <c r="AG63" s="466">
        <v>609.79999999999995</v>
      </c>
      <c r="AH63" s="466">
        <v>145.69999999999999</v>
      </c>
      <c r="AI63" s="466"/>
      <c r="AJ63" s="466">
        <v>46100.25</v>
      </c>
      <c r="AK63" s="466">
        <v>23760.95</v>
      </c>
      <c r="AL63" s="466">
        <v>15576.4</v>
      </c>
      <c r="AM63" s="466">
        <v>1220</v>
      </c>
      <c r="AN63" s="466"/>
      <c r="AO63" s="466">
        <v>7093.61</v>
      </c>
      <c r="AP63" s="466"/>
      <c r="AQ63" s="466">
        <v>315</v>
      </c>
      <c r="AR63" s="466">
        <v>718.97</v>
      </c>
      <c r="AS63" s="466"/>
    </row>
    <row r="64" spans="1:45" x14ac:dyDescent="0.2">
      <c r="A64" s="465">
        <v>5491</v>
      </c>
      <c r="B64" s="466"/>
      <c r="C64" s="466">
        <v>648.69000000000005</v>
      </c>
      <c r="D64" s="466">
        <v>162.91</v>
      </c>
      <c r="E64" s="466">
        <v>15167.75</v>
      </c>
      <c r="F64" s="466">
        <v>0</v>
      </c>
      <c r="G64" s="466">
        <v>0</v>
      </c>
      <c r="H64" s="466">
        <v>0</v>
      </c>
      <c r="I64" s="466"/>
      <c r="J64" s="466"/>
      <c r="K64" s="466">
        <v>0</v>
      </c>
      <c r="L64" s="466">
        <v>0</v>
      </c>
      <c r="M64" s="466">
        <v>0</v>
      </c>
      <c r="N64" s="466">
        <v>0</v>
      </c>
      <c r="O64" s="466">
        <v>0</v>
      </c>
      <c r="P64" s="466"/>
      <c r="Q64" s="466">
        <v>0</v>
      </c>
      <c r="R64" s="466">
        <v>0</v>
      </c>
      <c r="S64" s="466">
        <v>0</v>
      </c>
      <c r="T64" s="466"/>
      <c r="U64" s="466">
        <v>0</v>
      </c>
      <c r="V64" s="466"/>
      <c r="W64" s="466"/>
      <c r="X64" s="466">
        <v>1955.63</v>
      </c>
      <c r="Y64" s="466">
        <v>0</v>
      </c>
      <c r="Z64" s="466">
        <v>0</v>
      </c>
      <c r="AA64" s="466">
        <v>0</v>
      </c>
      <c r="AB64" s="466">
        <v>897407.82</v>
      </c>
      <c r="AC64" s="466">
        <v>85568.14</v>
      </c>
      <c r="AD64" s="466">
        <v>8918.35</v>
      </c>
      <c r="AE64" s="466"/>
      <c r="AF64" s="466"/>
      <c r="AG64" s="466">
        <v>14293.7</v>
      </c>
      <c r="AH64" s="466">
        <v>2010.45</v>
      </c>
      <c r="AI64" s="466">
        <v>1245.75</v>
      </c>
      <c r="AJ64" s="466">
        <v>89042.1</v>
      </c>
      <c r="AK64" s="466">
        <v>68902.649999999994</v>
      </c>
      <c r="AL64" s="466"/>
      <c r="AM64" s="466">
        <v>5250</v>
      </c>
      <c r="AN64" s="466">
        <v>705.45</v>
      </c>
      <c r="AO64" s="466">
        <v>6079.81</v>
      </c>
      <c r="AP64" s="466"/>
      <c r="AQ64" s="466">
        <v>24058.55</v>
      </c>
      <c r="AR64" s="466"/>
      <c r="AS64" s="466">
        <v>1976.15</v>
      </c>
    </row>
    <row r="65" spans="1:45" x14ac:dyDescent="0.2">
      <c r="A65" s="465">
        <v>5492</v>
      </c>
      <c r="B65" s="466"/>
      <c r="C65" s="466">
        <v>3824.83</v>
      </c>
      <c r="D65" s="466">
        <v>5767.57</v>
      </c>
      <c r="E65" s="466">
        <v>62889.32</v>
      </c>
      <c r="F65" s="466">
        <v>0</v>
      </c>
      <c r="G65" s="466">
        <v>0</v>
      </c>
      <c r="H65" s="466">
        <v>0</v>
      </c>
      <c r="I65" s="466"/>
      <c r="J65" s="466"/>
      <c r="K65" s="466">
        <v>0</v>
      </c>
      <c r="L65" s="466">
        <v>0</v>
      </c>
      <c r="M65" s="466">
        <v>0</v>
      </c>
      <c r="N65" s="466">
        <v>0</v>
      </c>
      <c r="O65" s="466">
        <v>0</v>
      </c>
      <c r="P65" s="466">
        <v>0</v>
      </c>
      <c r="Q65" s="466">
        <v>0</v>
      </c>
      <c r="R65" s="466">
        <v>0</v>
      </c>
      <c r="S65" s="466">
        <v>0</v>
      </c>
      <c r="T65" s="466"/>
      <c r="U65" s="466">
        <v>0</v>
      </c>
      <c r="V65" s="466"/>
      <c r="W65" s="466"/>
      <c r="X65" s="466">
        <v>4503.71</v>
      </c>
      <c r="Y65" s="466">
        <v>0</v>
      </c>
      <c r="Z65" s="466">
        <v>0</v>
      </c>
      <c r="AA65" s="466">
        <v>0</v>
      </c>
      <c r="AB65" s="466">
        <v>6057160.8099999996</v>
      </c>
      <c r="AC65" s="466">
        <v>3670769.54</v>
      </c>
      <c r="AD65" s="466">
        <v>101215.21</v>
      </c>
      <c r="AE65" s="466"/>
      <c r="AF65" s="466"/>
      <c r="AG65" s="466">
        <v>34535.449999999997</v>
      </c>
      <c r="AH65" s="466">
        <v>3012.05</v>
      </c>
      <c r="AI65" s="466">
        <v>4245.45</v>
      </c>
      <c r="AJ65" s="466">
        <v>73486.45</v>
      </c>
      <c r="AK65" s="466">
        <v>111883.75</v>
      </c>
      <c r="AL65" s="466">
        <v>138790.79999999999</v>
      </c>
      <c r="AM65" s="466">
        <v>7260</v>
      </c>
      <c r="AN65" s="466">
        <v>6716.98</v>
      </c>
      <c r="AO65" s="466">
        <v>13477.39</v>
      </c>
      <c r="AP65" s="466"/>
      <c r="AQ65" s="466">
        <v>69404.100000000006</v>
      </c>
      <c r="AR65" s="466">
        <v>6306.83</v>
      </c>
      <c r="AS65" s="466">
        <v>6535.1</v>
      </c>
    </row>
    <row r="66" spans="1:45" x14ac:dyDescent="0.2">
      <c r="A66" s="465">
        <v>5493</v>
      </c>
      <c r="B66" s="466"/>
      <c r="C66" s="466">
        <v>1322.88</v>
      </c>
      <c r="D66" s="466">
        <v>145.44999999999999</v>
      </c>
      <c r="E66" s="466">
        <v>33436.629999999997</v>
      </c>
      <c r="F66" s="466">
        <v>0</v>
      </c>
      <c r="G66" s="466">
        <v>0</v>
      </c>
      <c r="H66" s="466">
        <v>0</v>
      </c>
      <c r="I66" s="466"/>
      <c r="J66" s="466"/>
      <c r="K66" s="466">
        <v>0</v>
      </c>
      <c r="L66" s="466">
        <v>0</v>
      </c>
      <c r="M66" s="466">
        <v>0</v>
      </c>
      <c r="N66" s="466">
        <v>0</v>
      </c>
      <c r="O66" s="466">
        <v>0</v>
      </c>
      <c r="P66" s="466">
        <v>0</v>
      </c>
      <c r="Q66" s="466">
        <v>0</v>
      </c>
      <c r="R66" s="466">
        <v>0</v>
      </c>
      <c r="S66" s="466">
        <v>0</v>
      </c>
      <c r="T66" s="466"/>
      <c r="U66" s="466">
        <v>0</v>
      </c>
      <c r="V66" s="466"/>
      <c r="W66" s="466"/>
      <c r="X66" s="466">
        <v>3273.4</v>
      </c>
      <c r="Y66" s="466">
        <v>0</v>
      </c>
      <c r="Z66" s="466">
        <v>0</v>
      </c>
      <c r="AA66" s="466">
        <v>0</v>
      </c>
      <c r="AB66" s="466">
        <v>759812.46</v>
      </c>
      <c r="AC66" s="466">
        <v>76360.600000000006</v>
      </c>
      <c r="AD66" s="466">
        <v>36469.08</v>
      </c>
      <c r="AE66" s="466"/>
      <c r="AF66" s="466"/>
      <c r="AG66" s="466">
        <v>25986.1</v>
      </c>
      <c r="AH66" s="466">
        <v>1304.3499999999999</v>
      </c>
      <c r="AI66" s="466">
        <v>455.85</v>
      </c>
      <c r="AJ66" s="466">
        <v>39318.6</v>
      </c>
      <c r="AK66" s="466">
        <v>73882.3</v>
      </c>
      <c r="AL66" s="466">
        <v>26175.5</v>
      </c>
      <c r="AM66" s="466">
        <v>1825</v>
      </c>
      <c r="AN66" s="466">
        <v>9903.36</v>
      </c>
      <c r="AO66" s="466">
        <v>7705.61</v>
      </c>
      <c r="AP66" s="466"/>
      <c r="AQ66" s="466">
        <v>23013.200000000001</v>
      </c>
      <c r="AR66" s="466">
        <v>12.43</v>
      </c>
      <c r="AS66" s="466">
        <v>72407.399999999994</v>
      </c>
    </row>
    <row r="67" spans="1:45" x14ac:dyDescent="0.2">
      <c r="A67" s="465">
        <v>5494</v>
      </c>
      <c r="B67" s="466"/>
      <c r="C67" s="466">
        <v>1910.58</v>
      </c>
      <c r="D67" s="466">
        <v>780.54</v>
      </c>
      <c r="E67" s="466">
        <v>107113.81</v>
      </c>
      <c r="F67" s="466">
        <v>0</v>
      </c>
      <c r="G67" s="466">
        <v>0</v>
      </c>
      <c r="H67" s="466">
        <v>0</v>
      </c>
      <c r="I67" s="466"/>
      <c r="J67" s="466"/>
      <c r="K67" s="466">
        <v>0</v>
      </c>
      <c r="L67" s="466">
        <v>0</v>
      </c>
      <c r="M67" s="466">
        <v>0</v>
      </c>
      <c r="N67" s="466">
        <v>0</v>
      </c>
      <c r="O67" s="466">
        <v>0</v>
      </c>
      <c r="P67" s="466"/>
      <c r="Q67" s="466">
        <v>0</v>
      </c>
      <c r="R67" s="466">
        <v>0</v>
      </c>
      <c r="S67" s="466">
        <v>0</v>
      </c>
      <c r="T67" s="466"/>
      <c r="U67" s="466">
        <v>0</v>
      </c>
      <c r="V67" s="466"/>
      <c r="W67" s="466"/>
      <c r="X67" s="466">
        <v>511.19</v>
      </c>
      <c r="Y67" s="466">
        <v>0</v>
      </c>
      <c r="Z67" s="466">
        <v>0</v>
      </c>
      <c r="AA67" s="466">
        <v>0</v>
      </c>
      <c r="AB67" s="466">
        <v>2246174.4</v>
      </c>
      <c r="AC67" s="466">
        <v>234414.92</v>
      </c>
      <c r="AD67" s="466">
        <v>35288.769999999997</v>
      </c>
      <c r="AE67" s="466"/>
      <c r="AF67" s="466"/>
      <c r="AG67" s="466">
        <v>79</v>
      </c>
      <c r="AH67" s="466">
        <v>4182.8</v>
      </c>
      <c r="AI67" s="466">
        <v>2805.45</v>
      </c>
      <c r="AJ67" s="466">
        <v>230450.85</v>
      </c>
      <c r="AK67" s="466">
        <v>157347.6</v>
      </c>
      <c r="AL67" s="466"/>
      <c r="AM67" s="466">
        <v>6080</v>
      </c>
      <c r="AN67" s="466">
        <v>32797.43</v>
      </c>
      <c r="AO67" s="466">
        <v>26695.27</v>
      </c>
      <c r="AP67" s="466"/>
      <c r="AQ67" s="466">
        <v>37034.5</v>
      </c>
      <c r="AR67" s="466">
        <v>386.89</v>
      </c>
      <c r="AS67" s="466">
        <v>25200.400000000001</v>
      </c>
    </row>
    <row r="68" spans="1:45" x14ac:dyDescent="0.2">
      <c r="A68" s="465">
        <v>5495</v>
      </c>
      <c r="B68" s="466"/>
      <c r="C68" s="466">
        <v>5717.32</v>
      </c>
      <c r="D68" s="466">
        <v>2426.81</v>
      </c>
      <c r="E68" s="466">
        <v>145970.59</v>
      </c>
      <c r="F68" s="466">
        <v>0</v>
      </c>
      <c r="G68" s="466">
        <v>0</v>
      </c>
      <c r="H68" s="466">
        <v>0</v>
      </c>
      <c r="I68" s="466">
        <v>0</v>
      </c>
      <c r="J68" s="466"/>
      <c r="K68" s="466">
        <v>0</v>
      </c>
      <c r="L68" s="466">
        <v>0</v>
      </c>
      <c r="M68" s="466">
        <v>0</v>
      </c>
      <c r="N68" s="466">
        <v>0</v>
      </c>
      <c r="O68" s="466">
        <v>0</v>
      </c>
      <c r="P68" s="466">
        <v>0</v>
      </c>
      <c r="Q68" s="466">
        <v>0</v>
      </c>
      <c r="R68" s="466">
        <v>0</v>
      </c>
      <c r="S68" s="466">
        <v>0</v>
      </c>
      <c r="T68" s="466"/>
      <c r="U68" s="466">
        <v>0</v>
      </c>
      <c r="V68" s="466"/>
      <c r="W68" s="466"/>
      <c r="X68" s="466">
        <v>7489.08</v>
      </c>
      <c r="Y68" s="466">
        <v>0</v>
      </c>
      <c r="Z68" s="466">
        <v>0</v>
      </c>
      <c r="AA68" s="466">
        <v>0</v>
      </c>
      <c r="AB68" s="466">
        <v>5539969.3899999997</v>
      </c>
      <c r="AC68" s="466">
        <v>618875.32999999996</v>
      </c>
      <c r="AD68" s="466">
        <v>190029.21</v>
      </c>
      <c r="AE68" s="466">
        <v>78730.81</v>
      </c>
      <c r="AF68" s="466"/>
      <c r="AG68" s="466">
        <v>53984.85</v>
      </c>
      <c r="AH68" s="466">
        <v>8451.75</v>
      </c>
      <c r="AI68" s="466">
        <v>67979.850000000006</v>
      </c>
      <c r="AJ68" s="466">
        <v>483696.95</v>
      </c>
      <c r="AK68" s="466">
        <v>270017.09999999998</v>
      </c>
      <c r="AL68" s="466">
        <v>39110</v>
      </c>
      <c r="AM68" s="466">
        <v>12510</v>
      </c>
      <c r="AN68" s="466">
        <v>7944.7</v>
      </c>
      <c r="AO68" s="466">
        <v>86581.52</v>
      </c>
      <c r="AP68" s="466"/>
      <c r="AQ68" s="466">
        <v>116011.65</v>
      </c>
      <c r="AR68" s="466">
        <v>2432.35</v>
      </c>
      <c r="AS68" s="466">
        <v>253218.8</v>
      </c>
    </row>
    <row r="69" spans="1:45" x14ac:dyDescent="0.2">
      <c r="A69" s="465">
        <v>5496</v>
      </c>
      <c r="B69" s="466"/>
      <c r="C69" s="466">
        <v>3577.25</v>
      </c>
      <c r="D69" s="466">
        <v>994.81</v>
      </c>
      <c r="E69" s="466">
        <v>80202.8</v>
      </c>
      <c r="F69" s="466">
        <v>0</v>
      </c>
      <c r="G69" s="466">
        <v>0</v>
      </c>
      <c r="H69" s="466">
        <v>0</v>
      </c>
      <c r="I69" s="466"/>
      <c r="J69" s="466"/>
      <c r="K69" s="466">
        <v>0</v>
      </c>
      <c r="L69" s="466">
        <v>0</v>
      </c>
      <c r="M69" s="466">
        <v>0</v>
      </c>
      <c r="N69" s="466">
        <v>0</v>
      </c>
      <c r="O69" s="466">
        <v>0</v>
      </c>
      <c r="P69" s="466">
        <v>0</v>
      </c>
      <c r="Q69" s="466">
        <v>0</v>
      </c>
      <c r="R69" s="466">
        <v>0</v>
      </c>
      <c r="S69" s="466">
        <v>0</v>
      </c>
      <c r="T69" s="466"/>
      <c r="U69" s="466">
        <v>0</v>
      </c>
      <c r="V69" s="466"/>
      <c r="W69" s="466"/>
      <c r="X69" s="466">
        <v>7462.5</v>
      </c>
      <c r="Y69" s="466">
        <v>0</v>
      </c>
      <c r="Z69" s="466">
        <v>0</v>
      </c>
      <c r="AA69" s="466">
        <v>0</v>
      </c>
      <c r="AB69" s="466">
        <v>3422843.61</v>
      </c>
      <c r="AC69" s="466">
        <v>311795.25</v>
      </c>
      <c r="AD69" s="466">
        <v>88669.98</v>
      </c>
      <c r="AE69" s="466"/>
      <c r="AF69" s="466"/>
      <c r="AG69" s="466">
        <v>43854.85</v>
      </c>
      <c r="AH69" s="466">
        <v>18360.150000000001</v>
      </c>
      <c r="AI69" s="466">
        <v>20912.599999999999</v>
      </c>
      <c r="AJ69" s="466">
        <v>337197.7</v>
      </c>
      <c r="AK69" s="466">
        <v>206027.45</v>
      </c>
      <c r="AL69" s="466">
        <v>37736.6</v>
      </c>
      <c r="AM69" s="466">
        <v>13650</v>
      </c>
      <c r="AN69" s="466">
        <v>8458.61</v>
      </c>
      <c r="AO69" s="466">
        <v>30501.33</v>
      </c>
      <c r="AP69" s="466"/>
      <c r="AQ69" s="466">
        <v>65521.2</v>
      </c>
      <c r="AR69" s="466">
        <v>239.67</v>
      </c>
      <c r="AS69" s="466">
        <v>84746.65</v>
      </c>
    </row>
    <row r="70" spans="1:45" x14ac:dyDescent="0.2">
      <c r="A70" s="465">
        <v>5497</v>
      </c>
      <c r="B70" s="466"/>
      <c r="C70" s="466">
        <v>1582.72</v>
      </c>
      <c r="D70" s="466">
        <v>262.13</v>
      </c>
      <c r="E70" s="466">
        <v>22727.43</v>
      </c>
      <c r="F70" s="466">
        <v>0</v>
      </c>
      <c r="G70" s="466">
        <v>0</v>
      </c>
      <c r="H70" s="466">
        <v>0</v>
      </c>
      <c r="I70" s="466"/>
      <c r="J70" s="466"/>
      <c r="K70" s="466">
        <v>0</v>
      </c>
      <c r="L70" s="466">
        <v>0</v>
      </c>
      <c r="M70" s="466">
        <v>0</v>
      </c>
      <c r="N70" s="466">
        <v>0</v>
      </c>
      <c r="O70" s="466">
        <v>0</v>
      </c>
      <c r="P70" s="466">
        <v>0</v>
      </c>
      <c r="Q70" s="466">
        <v>0</v>
      </c>
      <c r="R70" s="466">
        <v>0</v>
      </c>
      <c r="S70" s="466">
        <v>0</v>
      </c>
      <c r="T70" s="466"/>
      <c r="U70" s="466">
        <v>0</v>
      </c>
      <c r="V70" s="466"/>
      <c r="W70" s="466"/>
      <c r="X70" s="466">
        <v>-1212.44</v>
      </c>
      <c r="Y70" s="466">
        <v>0</v>
      </c>
      <c r="Z70" s="466">
        <v>0</v>
      </c>
      <c r="AA70" s="466">
        <v>0</v>
      </c>
      <c r="AB70" s="466">
        <v>1074997.8799999999</v>
      </c>
      <c r="AC70" s="466">
        <v>114145.41</v>
      </c>
      <c r="AD70" s="466">
        <v>39390.080000000002</v>
      </c>
      <c r="AE70" s="466"/>
      <c r="AF70" s="466"/>
      <c r="AG70" s="466">
        <v>-12478.55</v>
      </c>
      <c r="AH70" s="466">
        <v>2370.4</v>
      </c>
      <c r="AI70" s="466">
        <v>3864.6</v>
      </c>
      <c r="AJ70" s="466">
        <v>147841.60000000001</v>
      </c>
      <c r="AK70" s="466">
        <v>15180.5</v>
      </c>
      <c r="AL70" s="466">
        <v>5039.8</v>
      </c>
      <c r="AM70" s="466">
        <v>2925</v>
      </c>
      <c r="AN70" s="466">
        <v>150.94</v>
      </c>
      <c r="AO70" s="466">
        <v>10438.41</v>
      </c>
      <c r="AP70" s="466"/>
      <c r="AQ70" s="466">
        <v>12418.2</v>
      </c>
      <c r="AR70" s="466">
        <v>141.41</v>
      </c>
      <c r="AS70" s="466">
        <v>213258.85</v>
      </c>
    </row>
    <row r="71" spans="1:45" x14ac:dyDescent="0.2">
      <c r="A71" s="465">
        <v>5498</v>
      </c>
      <c r="B71" s="466"/>
      <c r="C71" s="466">
        <v>6645.11</v>
      </c>
      <c r="D71" s="466">
        <v>1127.07</v>
      </c>
      <c r="E71" s="466">
        <v>92376.85</v>
      </c>
      <c r="F71" s="466">
        <v>0</v>
      </c>
      <c r="G71" s="466">
        <v>0</v>
      </c>
      <c r="H71" s="466">
        <v>0</v>
      </c>
      <c r="I71" s="466"/>
      <c r="J71" s="466"/>
      <c r="K71" s="466">
        <v>0</v>
      </c>
      <c r="L71" s="466">
        <v>0</v>
      </c>
      <c r="M71" s="466">
        <v>0</v>
      </c>
      <c r="N71" s="466">
        <v>0</v>
      </c>
      <c r="O71" s="466">
        <v>0</v>
      </c>
      <c r="P71" s="466">
        <v>0</v>
      </c>
      <c r="Q71" s="466">
        <v>0</v>
      </c>
      <c r="R71" s="466">
        <v>0</v>
      </c>
      <c r="S71" s="466">
        <v>0</v>
      </c>
      <c r="T71" s="466"/>
      <c r="U71" s="466">
        <v>0</v>
      </c>
      <c r="V71" s="466"/>
      <c r="W71" s="466"/>
      <c r="X71" s="466">
        <v>6705.83</v>
      </c>
      <c r="Y71" s="466">
        <v>0</v>
      </c>
      <c r="Z71" s="466">
        <v>0</v>
      </c>
      <c r="AA71" s="466">
        <v>0</v>
      </c>
      <c r="AB71" s="466">
        <v>4137330.33</v>
      </c>
      <c r="AC71" s="466">
        <v>466301.8</v>
      </c>
      <c r="AD71" s="466">
        <v>122651.8</v>
      </c>
      <c r="AE71" s="466"/>
      <c r="AF71" s="466"/>
      <c r="AG71" s="466">
        <v>48142.95</v>
      </c>
      <c r="AH71" s="466">
        <v>7763.7</v>
      </c>
      <c r="AI71" s="466">
        <v>15544.65</v>
      </c>
      <c r="AJ71" s="466">
        <v>404938.35</v>
      </c>
      <c r="AK71" s="466">
        <v>186689.9</v>
      </c>
      <c r="AL71" s="466">
        <v>3821.3</v>
      </c>
      <c r="AM71" s="466">
        <v>18000</v>
      </c>
      <c r="AN71" s="466">
        <v>-1517.98</v>
      </c>
      <c r="AO71" s="466">
        <v>36538.589999999997</v>
      </c>
      <c r="AP71" s="466"/>
      <c r="AQ71" s="466">
        <v>102073.4</v>
      </c>
      <c r="AR71" s="466">
        <v>356.31</v>
      </c>
      <c r="AS71" s="466">
        <v>80908.7</v>
      </c>
    </row>
    <row r="72" spans="1:45" x14ac:dyDescent="0.2">
      <c r="A72" s="465">
        <v>5499</v>
      </c>
      <c r="B72" s="466"/>
      <c r="C72" s="466">
        <v>689.38</v>
      </c>
      <c r="D72" s="466">
        <v>466.35</v>
      </c>
      <c r="E72" s="466">
        <v>255.22</v>
      </c>
      <c r="F72" s="466">
        <v>0</v>
      </c>
      <c r="G72" s="466">
        <v>0</v>
      </c>
      <c r="H72" s="466">
        <v>0</v>
      </c>
      <c r="I72" s="466"/>
      <c r="J72" s="466"/>
      <c r="K72" s="466">
        <v>0</v>
      </c>
      <c r="L72" s="466">
        <v>0</v>
      </c>
      <c r="M72" s="466"/>
      <c r="N72" s="466">
        <v>0</v>
      </c>
      <c r="O72" s="466">
        <v>0</v>
      </c>
      <c r="P72" s="466">
        <v>0</v>
      </c>
      <c r="Q72" s="466">
        <v>0</v>
      </c>
      <c r="R72" s="466"/>
      <c r="S72" s="466">
        <v>0</v>
      </c>
      <c r="T72" s="466"/>
      <c r="U72" s="466">
        <v>0</v>
      </c>
      <c r="V72" s="466"/>
      <c r="W72" s="466"/>
      <c r="X72" s="466">
        <v>3509.39</v>
      </c>
      <c r="Y72" s="466">
        <v>0</v>
      </c>
      <c r="Z72" s="466">
        <v>0</v>
      </c>
      <c r="AA72" s="466">
        <v>0</v>
      </c>
      <c r="AB72" s="466">
        <v>1012881.53</v>
      </c>
      <c r="AC72" s="466">
        <v>188884.9</v>
      </c>
      <c r="AD72" s="466">
        <v>13064.58</v>
      </c>
      <c r="AE72" s="466"/>
      <c r="AF72" s="466"/>
      <c r="AG72" s="466">
        <v>28779.75</v>
      </c>
      <c r="AH72" s="466">
        <v>478.1</v>
      </c>
      <c r="AI72" s="466"/>
      <c r="AJ72" s="466">
        <v>99314.8</v>
      </c>
      <c r="AK72" s="466">
        <v>75413.8</v>
      </c>
      <c r="AL72" s="466">
        <v>101975.7</v>
      </c>
      <c r="AM72" s="466">
        <v>1425</v>
      </c>
      <c r="AN72" s="466"/>
      <c r="AO72" s="466">
        <v>4662.0200000000004</v>
      </c>
      <c r="AP72" s="466"/>
      <c r="AQ72" s="466">
        <v>64569</v>
      </c>
      <c r="AR72" s="466">
        <v>328.18</v>
      </c>
      <c r="AS72" s="466">
        <v>15029.85</v>
      </c>
    </row>
    <row r="73" spans="1:45" x14ac:dyDescent="0.2">
      <c r="A73" s="465">
        <v>5500</v>
      </c>
      <c r="B73" s="466"/>
      <c r="C73" s="466">
        <v>61.51</v>
      </c>
      <c r="D73" s="466">
        <v>105.93</v>
      </c>
      <c r="E73" s="466">
        <v>33172.57</v>
      </c>
      <c r="F73" s="466">
        <v>0</v>
      </c>
      <c r="G73" s="466">
        <v>0</v>
      </c>
      <c r="H73" s="466">
        <v>0</v>
      </c>
      <c r="I73" s="466"/>
      <c r="J73" s="466"/>
      <c r="K73" s="466">
        <v>0</v>
      </c>
      <c r="L73" s="466">
        <v>0</v>
      </c>
      <c r="M73" s="466">
        <v>0</v>
      </c>
      <c r="N73" s="466">
        <v>0</v>
      </c>
      <c r="O73" s="466">
        <v>0</v>
      </c>
      <c r="P73" s="466"/>
      <c r="Q73" s="466">
        <v>0</v>
      </c>
      <c r="R73" s="466">
        <v>0</v>
      </c>
      <c r="S73" s="466">
        <v>0</v>
      </c>
      <c r="T73" s="466"/>
      <c r="U73" s="466">
        <v>0</v>
      </c>
      <c r="V73" s="466"/>
      <c r="W73" s="466"/>
      <c r="X73" s="466">
        <v>756.95</v>
      </c>
      <c r="Y73" s="466">
        <v>0</v>
      </c>
      <c r="Z73" s="466">
        <v>0</v>
      </c>
      <c r="AA73" s="466">
        <v>0</v>
      </c>
      <c r="AB73" s="466">
        <v>439904.47</v>
      </c>
      <c r="AC73" s="466">
        <v>87103.31</v>
      </c>
      <c r="AD73" s="466">
        <v>2401.0700000000002</v>
      </c>
      <c r="AE73" s="466"/>
      <c r="AF73" s="466"/>
      <c r="AG73" s="466">
        <v>5719.65</v>
      </c>
      <c r="AH73" s="466">
        <v>591.1</v>
      </c>
      <c r="AI73" s="466">
        <v>469.95</v>
      </c>
      <c r="AJ73" s="466">
        <v>51500.4</v>
      </c>
      <c r="AK73" s="466">
        <v>14527.45</v>
      </c>
      <c r="AL73" s="466"/>
      <c r="AM73" s="466">
        <v>1150</v>
      </c>
      <c r="AN73" s="466">
        <v>2012.25</v>
      </c>
      <c r="AO73" s="466">
        <v>7815.96</v>
      </c>
      <c r="AP73" s="466"/>
      <c r="AQ73" s="466">
        <v>13159.1</v>
      </c>
      <c r="AR73" s="466">
        <v>24.95</v>
      </c>
      <c r="AS73" s="466"/>
    </row>
    <row r="74" spans="1:45" x14ac:dyDescent="0.2">
      <c r="A74" s="465">
        <v>5501</v>
      </c>
      <c r="B74" s="466"/>
      <c r="C74" s="466">
        <v>1253.17</v>
      </c>
      <c r="D74" s="466">
        <v>815.05</v>
      </c>
      <c r="E74" s="466">
        <v>21505.52</v>
      </c>
      <c r="F74" s="466">
        <v>0</v>
      </c>
      <c r="G74" s="466">
        <v>0</v>
      </c>
      <c r="H74" s="466">
        <v>0</v>
      </c>
      <c r="I74" s="466">
        <v>0</v>
      </c>
      <c r="J74" s="466"/>
      <c r="K74" s="466">
        <v>0</v>
      </c>
      <c r="L74" s="466">
        <v>0</v>
      </c>
      <c r="M74" s="466">
        <v>0</v>
      </c>
      <c r="N74" s="466">
        <v>0</v>
      </c>
      <c r="O74" s="466">
        <v>0</v>
      </c>
      <c r="P74" s="466">
        <v>0</v>
      </c>
      <c r="Q74" s="466">
        <v>0</v>
      </c>
      <c r="R74" s="466">
        <v>0</v>
      </c>
      <c r="S74" s="466">
        <v>0</v>
      </c>
      <c r="T74" s="466"/>
      <c r="U74" s="466">
        <v>0</v>
      </c>
      <c r="V74" s="466"/>
      <c r="W74" s="466"/>
      <c r="X74" s="466">
        <v>4285.16</v>
      </c>
      <c r="Y74" s="466">
        <v>0</v>
      </c>
      <c r="Z74" s="466">
        <v>0</v>
      </c>
      <c r="AA74" s="466">
        <v>0</v>
      </c>
      <c r="AB74" s="466">
        <v>2120436.9300000002</v>
      </c>
      <c r="AC74" s="466">
        <v>522946.87</v>
      </c>
      <c r="AD74" s="466">
        <v>45296.28</v>
      </c>
      <c r="AE74" s="466">
        <v>-76949.3</v>
      </c>
      <c r="AF74" s="466"/>
      <c r="AG74" s="466">
        <v>35198.85</v>
      </c>
      <c r="AH74" s="466">
        <v>526.65</v>
      </c>
      <c r="AI74" s="466">
        <v>-78.400000000000006</v>
      </c>
      <c r="AJ74" s="466">
        <v>226887.35</v>
      </c>
      <c r="AK74" s="466">
        <v>200417.65</v>
      </c>
      <c r="AL74" s="466">
        <v>5956374</v>
      </c>
      <c r="AM74" s="466">
        <v>4125</v>
      </c>
      <c r="AN74" s="466">
        <v>15405.19</v>
      </c>
      <c r="AO74" s="466">
        <v>18421.09</v>
      </c>
      <c r="AP74" s="466"/>
      <c r="AQ74" s="466">
        <v>215513.60000000001</v>
      </c>
      <c r="AR74" s="466">
        <v>851.87</v>
      </c>
      <c r="AS74" s="466">
        <v>6179.4</v>
      </c>
    </row>
    <row r="75" spans="1:45" x14ac:dyDescent="0.2">
      <c r="A75" s="465">
        <v>5503</v>
      </c>
      <c r="B75" s="466"/>
      <c r="C75" s="466">
        <v>2998.18</v>
      </c>
      <c r="D75" s="466">
        <v>1525.12</v>
      </c>
      <c r="E75" s="466">
        <v>48348.13</v>
      </c>
      <c r="F75" s="466">
        <v>0</v>
      </c>
      <c r="G75" s="466">
        <v>0</v>
      </c>
      <c r="H75" s="466">
        <v>0</v>
      </c>
      <c r="I75" s="466"/>
      <c r="J75" s="466"/>
      <c r="K75" s="466">
        <v>0</v>
      </c>
      <c r="L75" s="466">
        <v>0</v>
      </c>
      <c r="M75" s="466">
        <v>0</v>
      </c>
      <c r="N75" s="466">
        <v>0</v>
      </c>
      <c r="O75" s="466">
        <v>0</v>
      </c>
      <c r="P75" s="466">
        <v>0</v>
      </c>
      <c r="Q75" s="466">
        <v>0</v>
      </c>
      <c r="R75" s="466">
        <v>0</v>
      </c>
      <c r="S75" s="466">
        <v>0</v>
      </c>
      <c r="T75" s="466"/>
      <c r="U75" s="466">
        <v>0</v>
      </c>
      <c r="V75" s="466"/>
      <c r="W75" s="466"/>
      <c r="X75" s="466">
        <v>143046.97</v>
      </c>
      <c r="Y75" s="466">
        <v>0</v>
      </c>
      <c r="Z75" s="466">
        <v>0</v>
      </c>
      <c r="AA75" s="466">
        <v>0</v>
      </c>
      <c r="AB75" s="466">
        <v>2992560.84</v>
      </c>
      <c r="AC75" s="466">
        <v>477042.71</v>
      </c>
      <c r="AD75" s="466">
        <v>75571.78</v>
      </c>
      <c r="AE75" s="466"/>
      <c r="AF75" s="466"/>
      <c r="AG75" s="466">
        <v>1200213.1000000001</v>
      </c>
      <c r="AH75" s="466">
        <v>-7627.15</v>
      </c>
      <c r="AI75" s="466">
        <v>34894.550000000003</v>
      </c>
      <c r="AJ75" s="466">
        <v>445164.2</v>
      </c>
      <c r="AK75" s="466">
        <v>52834.7</v>
      </c>
      <c r="AL75" s="466">
        <v>157734.20000000001</v>
      </c>
      <c r="AM75" s="466">
        <v>6760</v>
      </c>
      <c r="AN75" s="466">
        <v>1599.13</v>
      </c>
      <c r="AO75" s="466">
        <v>42371.06</v>
      </c>
      <c r="AP75" s="466"/>
      <c r="AQ75" s="466">
        <v>28902.25</v>
      </c>
      <c r="AR75" s="466">
        <v>1085.33</v>
      </c>
      <c r="AS75" s="466">
        <v>85743</v>
      </c>
    </row>
    <row r="76" spans="1:45" x14ac:dyDescent="0.2">
      <c r="A76" s="465">
        <v>5511</v>
      </c>
      <c r="B76" s="466"/>
      <c r="C76" s="466">
        <v>1001.08</v>
      </c>
      <c r="D76" s="466">
        <v>1549.97</v>
      </c>
      <c r="E76" s="466">
        <v>23428.68</v>
      </c>
      <c r="F76" s="466">
        <v>0</v>
      </c>
      <c r="G76" s="466">
        <v>0</v>
      </c>
      <c r="H76" s="466">
        <v>0</v>
      </c>
      <c r="I76" s="466"/>
      <c r="J76" s="466"/>
      <c r="K76" s="466">
        <v>0</v>
      </c>
      <c r="L76" s="466">
        <v>0</v>
      </c>
      <c r="M76" s="466">
        <v>0</v>
      </c>
      <c r="N76" s="466"/>
      <c r="O76" s="466">
        <v>0</v>
      </c>
      <c r="P76" s="466"/>
      <c r="Q76" s="466">
        <v>0</v>
      </c>
      <c r="R76" s="466">
        <v>0</v>
      </c>
      <c r="S76" s="466">
        <v>0</v>
      </c>
      <c r="T76" s="466"/>
      <c r="U76" s="466">
        <v>0</v>
      </c>
      <c r="V76" s="466"/>
      <c r="W76" s="466"/>
      <c r="X76" s="466">
        <v>23279.41</v>
      </c>
      <c r="Y76" s="466">
        <v>0</v>
      </c>
      <c r="Z76" s="466">
        <v>0</v>
      </c>
      <c r="AA76" s="466">
        <v>0</v>
      </c>
      <c r="AB76" s="466">
        <v>2308029.88</v>
      </c>
      <c r="AC76" s="466">
        <v>294972.92</v>
      </c>
      <c r="AD76" s="466">
        <v>35956.800000000003</v>
      </c>
      <c r="AE76" s="466"/>
      <c r="AF76" s="466"/>
      <c r="AG76" s="466">
        <v>189115.35</v>
      </c>
      <c r="AH76" s="466">
        <v>4965.6499999999996</v>
      </c>
      <c r="AI76" s="466">
        <v>6306.55</v>
      </c>
      <c r="AJ76" s="466"/>
      <c r="AK76" s="466">
        <v>63532.7</v>
      </c>
      <c r="AL76" s="466"/>
      <c r="AM76" s="466">
        <v>13875</v>
      </c>
      <c r="AN76" s="466">
        <v>22377.64</v>
      </c>
      <c r="AO76" s="466">
        <v>26974.36</v>
      </c>
      <c r="AP76" s="466"/>
      <c r="AQ76" s="466">
        <v>53718.5</v>
      </c>
      <c r="AR76" s="466">
        <v>333.34</v>
      </c>
      <c r="AS76" s="466">
        <v>19141.8</v>
      </c>
    </row>
    <row r="77" spans="1:45" x14ac:dyDescent="0.2">
      <c r="A77" s="465">
        <v>5512</v>
      </c>
      <c r="B77" s="466"/>
      <c r="C77" s="466">
        <v>1913.54</v>
      </c>
      <c r="D77" s="466">
        <v>964.98</v>
      </c>
      <c r="E77" s="466">
        <v>35372.620000000003</v>
      </c>
      <c r="F77" s="466">
        <v>0</v>
      </c>
      <c r="G77" s="466">
        <v>0</v>
      </c>
      <c r="H77" s="466">
        <v>0</v>
      </c>
      <c r="I77" s="466"/>
      <c r="J77" s="466"/>
      <c r="K77" s="466">
        <v>0</v>
      </c>
      <c r="L77" s="466">
        <v>0</v>
      </c>
      <c r="M77" s="466">
        <v>0</v>
      </c>
      <c r="N77" s="466"/>
      <c r="O77" s="466"/>
      <c r="P77" s="466"/>
      <c r="Q77" s="466"/>
      <c r="R77" s="466">
        <v>0</v>
      </c>
      <c r="S77" s="466">
        <v>0</v>
      </c>
      <c r="T77" s="466"/>
      <c r="U77" s="466">
        <v>0</v>
      </c>
      <c r="V77" s="466"/>
      <c r="W77" s="466"/>
      <c r="X77" s="466">
        <v>4233.41</v>
      </c>
      <c r="Y77" s="466">
        <v>0</v>
      </c>
      <c r="Z77" s="466">
        <v>0</v>
      </c>
      <c r="AA77" s="466">
        <v>0</v>
      </c>
      <c r="AB77" s="466">
        <v>2449835.96</v>
      </c>
      <c r="AC77" s="466">
        <v>396930.92</v>
      </c>
      <c r="AD77" s="466">
        <v>62370.33</v>
      </c>
      <c r="AE77" s="466"/>
      <c r="AF77" s="466"/>
      <c r="AG77" s="466">
        <v>31666.1</v>
      </c>
      <c r="AH77" s="466">
        <v>3627.95</v>
      </c>
      <c r="AI77" s="466">
        <v>9941.1</v>
      </c>
      <c r="AJ77" s="466"/>
      <c r="AK77" s="466"/>
      <c r="AL77" s="466"/>
      <c r="AM77" s="466"/>
      <c r="AN77" s="466">
        <v>2543.9899999999998</v>
      </c>
      <c r="AO77" s="466">
        <v>27834.28</v>
      </c>
      <c r="AP77" s="466"/>
      <c r="AQ77" s="466">
        <v>44301.1</v>
      </c>
      <c r="AR77" s="466">
        <v>1623.65</v>
      </c>
      <c r="AS77" s="466">
        <v>67506.7</v>
      </c>
    </row>
    <row r="78" spans="1:45" x14ac:dyDescent="0.2">
      <c r="A78" s="465">
        <v>5513</v>
      </c>
      <c r="B78" s="466"/>
      <c r="C78" s="466">
        <v>711.15</v>
      </c>
      <c r="D78" s="466">
        <v>445.3</v>
      </c>
      <c r="E78" s="466">
        <v>10493.57</v>
      </c>
      <c r="F78" s="466">
        <v>0</v>
      </c>
      <c r="G78" s="466">
        <v>0</v>
      </c>
      <c r="H78" s="466">
        <v>0</v>
      </c>
      <c r="I78" s="466"/>
      <c r="J78" s="466"/>
      <c r="K78" s="466">
        <v>0</v>
      </c>
      <c r="L78" s="466">
        <v>0</v>
      </c>
      <c r="M78" s="466">
        <v>0</v>
      </c>
      <c r="N78" s="466">
        <v>0</v>
      </c>
      <c r="O78" s="466">
        <v>0</v>
      </c>
      <c r="P78" s="466">
        <v>0</v>
      </c>
      <c r="Q78" s="466">
        <v>0</v>
      </c>
      <c r="R78" s="466"/>
      <c r="S78" s="466">
        <v>0</v>
      </c>
      <c r="T78" s="466"/>
      <c r="U78" s="466">
        <v>0</v>
      </c>
      <c r="V78" s="466"/>
      <c r="W78" s="466"/>
      <c r="X78" s="466">
        <v>34834.17</v>
      </c>
      <c r="Y78" s="466">
        <v>0</v>
      </c>
      <c r="Z78" s="466">
        <v>0</v>
      </c>
      <c r="AA78" s="466">
        <v>0</v>
      </c>
      <c r="AB78" s="466">
        <v>964148.39</v>
      </c>
      <c r="AC78" s="466">
        <v>101107.66</v>
      </c>
      <c r="AD78" s="466">
        <v>29805.64</v>
      </c>
      <c r="AE78" s="466"/>
      <c r="AF78" s="466"/>
      <c r="AG78" s="466">
        <v>276426.75</v>
      </c>
      <c r="AH78" s="466">
        <v>13986.55</v>
      </c>
      <c r="AI78" s="466">
        <v>10077.25</v>
      </c>
      <c r="AJ78" s="466">
        <v>59982.3</v>
      </c>
      <c r="AK78" s="466">
        <v>31592</v>
      </c>
      <c r="AL78" s="466">
        <v>2932.9</v>
      </c>
      <c r="AM78" s="466">
        <v>6825</v>
      </c>
      <c r="AN78" s="466"/>
      <c r="AO78" s="466">
        <v>9803.67</v>
      </c>
      <c r="AP78" s="466"/>
      <c r="AQ78" s="466">
        <v>35181.300000000003</v>
      </c>
      <c r="AR78" s="466"/>
      <c r="AS78" s="466">
        <v>308830.75</v>
      </c>
    </row>
    <row r="79" spans="1:45" x14ac:dyDescent="0.2">
      <c r="A79" s="465">
        <v>5514</v>
      </c>
      <c r="B79" s="466"/>
      <c r="C79" s="466">
        <v>1214.5999999999999</v>
      </c>
      <c r="D79" s="466">
        <v>741.89</v>
      </c>
      <c r="E79" s="466">
        <v>66722.64</v>
      </c>
      <c r="F79" s="466">
        <v>0</v>
      </c>
      <c r="G79" s="466">
        <v>0</v>
      </c>
      <c r="H79" s="466">
        <v>0</v>
      </c>
      <c r="I79" s="466">
        <v>0</v>
      </c>
      <c r="J79" s="466"/>
      <c r="K79" s="466">
        <v>0</v>
      </c>
      <c r="L79" s="466">
        <v>0</v>
      </c>
      <c r="M79" s="466">
        <v>0</v>
      </c>
      <c r="N79" s="466">
        <v>0</v>
      </c>
      <c r="O79" s="466">
        <v>0</v>
      </c>
      <c r="P79" s="466">
        <v>0</v>
      </c>
      <c r="Q79" s="466">
        <v>0</v>
      </c>
      <c r="R79" s="466">
        <v>0</v>
      </c>
      <c r="S79" s="466">
        <v>0</v>
      </c>
      <c r="T79" s="466"/>
      <c r="U79" s="466">
        <v>0</v>
      </c>
      <c r="V79" s="466"/>
      <c r="W79" s="466"/>
      <c r="X79" s="466">
        <v>733.25</v>
      </c>
      <c r="Y79" s="466">
        <v>0</v>
      </c>
      <c r="Z79" s="466">
        <v>0</v>
      </c>
      <c r="AA79" s="466">
        <v>0</v>
      </c>
      <c r="AB79" s="466">
        <v>2629540.54</v>
      </c>
      <c r="AC79" s="466">
        <v>298082.06</v>
      </c>
      <c r="AD79" s="466">
        <v>38757.56</v>
      </c>
      <c r="AE79" s="466">
        <v>38369.15</v>
      </c>
      <c r="AF79" s="466"/>
      <c r="AG79" s="466">
        <v>361.89999999999901</v>
      </c>
      <c r="AH79" s="466">
        <v>5751.2</v>
      </c>
      <c r="AI79" s="466">
        <v>9768</v>
      </c>
      <c r="AJ79" s="466">
        <v>236150</v>
      </c>
      <c r="AK79" s="466">
        <v>117069.5</v>
      </c>
      <c r="AL79" s="466">
        <v>5398.7</v>
      </c>
      <c r="AM79" s="466">
        <v>14020</v>
      </c>
      <c r="AN79" s="466">
        <v>13227.83</v>
      </c>
      <c r="AO79" s="466">
        <v>27742.42</v>
      </c>
      <c r="AP79" s="466"/>
      <c r="AQ79" s="466">
        <v>58693.599999999999</v>
      </c>
      <c r="AR79" s="466">
        <v>217.11</v>
      </c>
      <c r="AS79" s="466">
        <v>8976.5499999999993</v>
      </c>
    </row>
    <row r="80" spans="1:45" x14ac:dyDescent="0.2">
      <c r="A80" s="465">
        <v>5515</v>
      </c>
      <c r="B80" s="466"/>
      <c r="C80" s="466">
        <v>627.41</v>
      </c>
      <c r="D80" s="466">
        <v>529.49</v>
      </c>
      <c r="E80" s="466">
        <v>91679.65</v>
      </c>
      <c r="F80" s="466">
        <v>0</v>
      </c>
      <c r="G80" s="466">
        <v>0</v>
      </c>
      <c r="H80" s="466">
        <v>0</v>
      </c>
      <c r="I80" s="466"/>
      <c r="J80" s="466"/>
      <c r="K80" s="466">
        <v>0</v>
      </c>
      <c r="L80" s="466">
        <v>0</v>
      </c>
      <c r="M80" s="466">
        <v>0</v>
      </c>
      <c r="N80" s="466">
        <v>0</v>
      </c>
      <c r="O80" s="466">
        <v>0</v>
      </c>
      <c r="P80" s="466"/>
      <c r="Q80" s="466">
        <v>0</v>
      </c>
      <c r="R80" s="466">
        <v>0</v>
      </c>
      <c r="S80" s="466">
        <v>0</v>
      </c>
      <c r="T80" s="466"/>
      <c r="U80" s="466">
        <v>0</v>
      </c>
      <c r="V80" s="466"/>
      <c r="W80" s="466"/>
      <c r="X80" s="466">
        <v>2302.0100000000002</v>
      </c>
      <c r="Y80" s="466">
        <v>0</v>
      </c>
      <c r="Z80" s="466">
        <v>0</v>
      </c>
      <c r="AA80" s="466">
        <v>0</v>
      </c>
      <c r="AB80" s="466">
        <v>2106818.2400000002</v>
      </c>
      <c r="AC80" s="466">
        <v>173934.71</v>
      </c>
      <c r="AD80" s="466">
        <v>3763.97</v>
      </c>
      <c r="AE80" s="466"/>
      <c r="AF80" s="466"/>
      <c r="AG80" s="466">
        <v>13504.75</v>
      </c>
      <c r="AH80" s="466">
        <v>5687.15</v>
      </c>
      <c r="AI80" s="466">
        <v>7251.05</v>
      </c>
      <c r="AJ80" s="466">
        <v>171011.95</v>
      </c>
      <c r="AK80" s="466">
        <v>135711.4</v>
      </c>
      <c r="AL80" s="466"/>
      <c r="AM80" s="466">
        <v>6350</v>
      </c>
      <c r="AN80" s="466">
        <v>4012.21</v>
      </c>
      <c r="AO80" s="466">
        <v>17003.080000000002</v>
      </c>
      <c r="AP80" s="466"/>
      <c r="AQ80" s="466">
        <v>67994.25</v>
      </c>
      <c r="AR80" s="466">
        <v>101.26</v>
      </c>
      <c r="AS80" s="466">
        <v>3757.1</v>
      </c>
    </row>
    <row r="81" spans="1:45" x14ac:dyDescent="0.2">
      <c r="A81" s="465">
        <v>5516</v>
      </c>
      <c r="B81" s="466"/>
      <c r="C81" s="466">
        <v>5548.23</v>
      </c>
      <c r="D81" s="466">
        <v>2599.94</v>
      </c>
      <c r="E81" s="466">
        <v>170665.98</v>
      </c>
      <c r="F81" s="466">
        <v>0</v>
      </c>
      <c r="G81" s="466">
        <v>0</v>
      </c>
      <c r="H81" s="466">
        <v>0</v>
      </c>
      <c r="I81" s="466"/>
      <c r="J81" s="466"/>
      <c r="K81" s="466">
        <v>0</v>
      </c>
      <c r="L81" s="466">
        <v>0</v>
      </c>
      <c r="M81" s="466">
        <v>0</v>
      </c>
      <c r="N81" s="466"/>
      <c r="O81" s="466">
        <v>0</v>
      </c>
      <c r="P81" s="466"/>
      <c r="Q81" s="466">
        <v>0</v>
      </c>
      <c r="R81" s="466">
        <v>0</v>
      </c>
      <c r="S81" s="466">
        <v>0</v>
      </c>
      <c r="T81" s="466"/>
      <c r="U81" s="466">
        <v>0</v>
      </c>
      <c r="V81" s="466"/>
      <c r="W81" s="466"/>
      <c r="X81" s="466">
        <v>18890.79</v>
      </c>
      <c r="Y81" s="466">
        <v>0</v>
      </c>
      <c r="Z81" s="466">
        <v>0</v>
      </c>
      <c r="AA81" s="466">
        <v>0</v>
      </c>
      <c r="AB81" s="466">
        <v>6541203.9900000002</v>
      </c>
      <c r="AC81" s="466">
        <v>957990.65</v>
      </c>
      <c r="AD81" s="466">
        <v>128686.25</v>
      </c>
      <c r="AE81" s="466"/>
      <c r="AF81" s="466"/>
      <c r="AG81" s="466">
        <v>144669.54999999999</v>
      </c>
      <c r="AH81" s="466">
        <v>12823.4</v>
      </c>
      <c r="AI81" s="466">
        <v>47147.6</v>
      </c>
      <c r="AJ81" s="466"/>
      <c r="AK81" s="466">
        <v>359177.05</v>
      </c>
      <c r="AL81" s="466"/>
      <c r="AM81" s="466">
        <v>15600</v>
      </c>
      <c r="AN81" s="466">
        <v>108801.53</v>
      </c>
      <c r="AO81" s="466">
        <v>67902.33</v>
      </c>
      <c r="AP81" s="466"/>
      <c r="AQ81" s="466">
        <v>251205.65</v>
      </c>
      <c r="AR81" s="466">
        <v>3540.71</v>
      </c>
      <c r="AS81" s="466">
        <v>99596.35</v>
      </c>
    </row>
    <row r="82" spans="1:45" x14ac:dyDescent="0.2">
      <c r="A82" s="465">
        <v>5518</v>
      </c>
      <c r="B82" s="466"/>
      <c r="C82" s="466">
        <v>8401.8700000000008</v>
      </c>
      <c r="D82" s="466">
        <v>4145.74</v>
      </c>
      <c r="E82" s="466">
        <v>277762.42</v>
      </c>
      <c r="F82" s="466">
        <v>0</v>
      </c>
      <c r="G82" s="466">
        <v>0</v>
      </c>
      <c r="H82" s="466">
        <v>0</v>
      </c>
      <c r="I82" s="466"/>
      <c r="J82" s="466"/>
      <c r="K82" s="466">
        <v>0</v>
      </c>
      <c r="L82" s="466">
        <v>0</v>
      </c>
      <c r="M82" s="466">
        <v>0</v>
      </c>
      <c r="N82" s="466"/>
      <c r="O82" s="466">
        <v>0</v>
      </c>
      <c r="P82" s="466">
        <v>0</v>
      </c>
      <c r="Q82" s="466">
        <v>0</v>
      </c>
      <c r="R82" s="466">
        <v>0</v>
      </c>
      <c r="S82" s="466">
        <v>0</v>
      </c>
      <c r="T82" s="466"/>
      <c r="U82" s="466">
        <v>0</v>
      </c>
      <c r="V82" s="466"/>
      <c r="W82" s="466"/>
      <c r="X82" s="466">
        <v>61806.68</v>
      </c>
      <c r="Y82" s="466">
        <v>0</v>
      </c>
      <c r="Z82" s="466">
        <v>0</v>
      </c>
      <c r="AA82" s="466">
        <v>0</v>
      </c>
      <c r="AB82" s="466">
        <v>10114571.98</v>
      </c>
      <c r="AC82" s="466">
        <v>1165148.08</v>
      </c>
      <c r="AD82" s="466">
        <v>170429.47</v>
      </c>
      <c r="AE82" s="466"/>
      <c r="AF82" s="466"/>
      <c r="AG82" s="466">
        <v>434475.05</v>
      </c>
      <c r="AH82" s="466">
        <v>80808.7</v>
      </c>
      <c r="AI82" s="466">
        <v>40923.449999999997</v>
      </c>
      <c r="AJ82" s="466"/>
      <c r="AK82" s="466">
        <v>366859.35</v>
      </c>
      <c r="AL82" s="466">
        <v>407956.4</v>
      </c>
      <c r="AM82" s="466">
        <v>21420</v>
      </c>
      <c r="AN82" s="466">
        <v>84559.98</v>
      </c>
      <c r="AO82" s="466">
        <v>109431.39</v>
      </c>
      <c r="AP82" s="466"/>
      <c r="AQ82" s="466">
        <v>347212</v>
      </c>
      <c r="AR82" s="466">
        <v>4213.5200000000004</v>
      </c>
      <c r="AS82" s="466">
        <v>164060.75</v>
      </c>
    </row>
    <row r="83" spans="1:45" x14ac:dyDescent="0.2">
      <c r="A83" s="465">
        <v>5520</v>
      </c>
      <c r="B83" s="466"/>
      <c r="C83" s="466">
        <v>1274.72</v>
      </c>
      <c r="D83" s="466">
        <v>767.54</v>
      </c>
      <c r="E83" s="466">
        <v>54423.63</v>
      </c>
      <c r="F83" s="466">
        <v>0</v>
      </c>
      <c r="G83" s="466">
        <v>0</v>
      </c>
      <c r="H83" s="466">
        <v>0</v>
      </c>
      <c r="I83" s="466"/>
      <c r="J83" s="466"/>
      <c r="K83" s="466">
        <v>0</v>
      </c>
      <c r="L83" s="466">
        <v>0</v>
      </c>
      <c r="M83" s="466">
        <v>0</v>
      </c>
      <c r="N83" s="466"/>
      <c r="O83" s="466"/>
      <c r="P83" s="466"/>
      <c r="Q83" s="466"/>
      <c r="R83" s="466">
        <v>0</v>
      </c>
      <c r="S83" s="466">
        <v>0</v>
      </c>
      <c r="T83" s="466"/>
      <c r="U83" s="466">
        <v>0</v>
      </c>
      <c r="V83" s="466"/>
      <c r="W83" s="466"/>
      <c r="X83" s="466">
        <v>6521.87</v>
      </c>
      <c r="Y83" s="466">
        <v>0</v>
      </c>
      <c r="Z83" s="466">
        <v>0</v>
      </c>
      <c r="AA83" s="466">
        <v>0</v>
      </c>
      <c r="AB83" s="466">
        <v>1684874.05</v>
      </c>
      <c r="AC83" s="466">
        <v>245928.86</v>
      </c>
      <c r="AD83" s="466">
        <v>35273.17</v>
      </c>
      <c r="AE83" s="466"/>
      <c r="AF83" s="466"/>
      <c r="AG83" s="466">
        <v>51481.4</v>
      </c>
      <c r="AH83" s="466">
        <v>2891.55</v>
      </c>
      <c r="AI83" s="466">
        <v>-1251.3499999999999</v>
      </c>
      <c r="AJ83" s="466"/>
      <c r="AK83" s="466"/>
      <c r="AL83" s="466"/>
      <c r="AM83" s="466"/>
      <c r="AN83" s="466">
        <v>4373.26</v>
      </c>
      <c r="AO83" s="466">
        <v>20221.400000000001</v>
      </c>
      <c r="AP83" s="466"/>
      <c r="AQ83" s="466">
        <v>117468.55</v>
      </c>
      <c r="AR83" s="466">
        <v>470.39</v>
      </c>
      <c r="AS83" s="466">
        <v>5690.95</v>
      </c>
    </row>
    <row r="84" spans="1:45" x14ac:dyDescent="0.2">
      <c r="A84" s="465">
        <v>5521</v>
      </c>
      <c r="B84" s="466"/>
      <c r="C84" s="466">
        <v>2512.34</v>
      </c>
      <c r="D84" s="466">
        <v>713.8</v>
      </c>
      <c r="E84" s="466">
        <v>44244.07</v>
      </c>
      <c r="F84" s="466">
        <v>0</v>
      </c>
      <c r="G84" s="466">
        <v>0</v>
      </c>
      <c r="H84" s="466">
        <v>0</v>
      </c>
      <c r="I84" s="466"/>
      <c r="J84" s="466"/>
      <c r="K84" s="466">
        <v>0</v>
      </c>
      <c r="L84" s="466">
        <v>0</v>
      </c>
      <c r="M84" s="466">
        <v>0</v>
      </c>
      <c r="N84" s="466"/>
      <c r="O84" s="466">
        <v>0</v>
      </c>
      <c r="P84" s="466"/>
      <c r="Q84" s="466"/>
      <c r="R84" s="466">
        <v>0</v>
      </c>
      <c r="S84" s="466">
        <v>0</v>
      </c>
      <c r="T84" s="466"/>
      <c r="U84" s="466">
        <v>0</v>
      </c>
      <c r="V84" s="466"/>
      <c r="W84" s="466"/>
      <c r="X84" s="466">
        <v>27518.25</v>
      </c>
      <c r="Y84" s="466">
        <v>0</v>
      </c>
      <c r="Z84" s="466">
        <v>0</v>
      </c>
      <c r="AA84" s="466">
        <v>0</v>
      </c>
      <c r="AB84" s="466">
        <v>2634645.0499999998</v>
      </c>
      <c r="AC84" s="466">
        <v>224392.34</v>
      </c>
      <c r="AD84" s="466">
        <v>60459.64</v>
      </c>
      <c r="AE84" s="466"/>
      <c r="AF84" s="466"/>
      <c r="AG84" s="466">
        <v>226155.15</v>
      </c>
      <c r="AH84" s="466">
        <v>3265.15</v>
      </c>
      <c r="AI84" s="466">
        <v>18552.5</v>
      </c>
      <c r="AJ84" s="466"/>
      <c r="AK84" s="466">
        <v>105834.45</v>
      </c>
      <c r="AL84" s="466"/>
      <c r="AM84" s="466"/>
      <c r="AN84" s="466">
        <v>4949.3500000000004</v>
      </c>
      <c r="AO84" s="466">
        <v>23226.79</v>
      </c>
      <c r="AP84" s="466"/>
      <c r="AQ84" s="466">
        <v>67499.75</v>
      </c>
      <c r="AR84" s="466">
        <v>1055.0899999999999</v>
      </c>
      <c r="AS84" s="466">
        <v>27188</v>
      </c>
    </row>
    <row r="85" spans="1:45" x14ac:dyDescent="0.2">
      <c r="A85" s="465">
        <v>5522</v>
      </c>
      <c r="B85" s="466"/>
      <c r="C85" s="466">
        <v>357.56</v>
      </c>
      <c r="D85" s="466">
        <v>515.55999999999995</v>
      </c>
      <c r="E85" s="466">
        <v>4594.8</v>
      </c>
      <c r="F85" s="466">
        <v>0</v>
      </c>
      <c r="G85" s="466">
        <v>0</v>
      </c>
      <c r="H85" s="466">
        <v>0</v>
      </c>
      <c r="I85" s="466"/>
      <c r="J85" s="466"/>
      <c r="K85" s="466">
        <v>0</v>
      </c>
      <c r="L85" s="466">
        <v>0</v>
      </c>
      <c r="M85" s="466">
        <v>0</v>
      </c>
      <c r="N85" s="466"/>
      <c r="O85" s="466">
        <v>0</v>
      </c>
      <c r="P85" s="466"/>
      <c r="Q85" s="466"/>
      <c r="R85" s="466">
        <v>0</v>
      </c>
      <c r="S85" s="466">
        <v>0</v>
      </c>
      <c r="T85" s="466"/>
      <c r="U85" s="466">
        <v>0</v>
      </c>
      <c r="V85" s="466"/>
      <c r="W85" s="466"/>
      <c r="X85" s="466">
        <v>574.34</v>
      </c>
      <c r="Y85" s="466">
        <v>0</v>
      </c>
      <c r="Z85" s="466">
        <v>0</v>
      </c>
      <c r="AA85" s="466">
        <v>0</v>
      </c>
      <c r="AB85" s="466">
        <v>1454531.96</v>
      </c>
      <c r="AC85" s="466">
        <v>162353.18</v>
      </c>
      <c r="AD85" s="466">
        <v>13099.29</v>
      </c>
      <c r="AE85" s="466"/>
      <c r="AF85" s="466"/>
      <c r="AG85" s="466">
        <v>3356.6</v>
      </c>
      <c r="AH85" s="466">
        <v>1431.65</v>
      </c>
      <c r="AI85" s="466">
        <v>2912.9</v>
      </c>
      <c r="AJ85" s="466"/>
      <c r="AK85" s="466">
        <v>41181.75</v>
      </c>
      <c r="AL85" s="466"/>
      <c r="AM85" s="466"/>
      <c r="AN85" s="466">
        <v>7370.48</v>
      </c>
      <c r="AO85" s="466">
        <v>11296.53</v>
      </c>
      <c r="AP85" s="466"/>
      <c r="AQ85" s="466">
        <v>5523.45</v>
      </c>
      <c r="AR85" s="466">
        <v>99.51</v>
      </c>
      <c r="AS85" s="466">
        <v>15179</v>
      </c>
    </row>
    <row r="86" spans="1:45" x14ac:dyDescent="0.2">
      <c r="A86" s="465">
        <v>5523</v>
      </c>
      <c r="B86" s="466"/>
      <c r="C86" s="466">
        <v>5553.32</v>
      </c>
      <c r="D86" s="466">
        <v>1934.21</v>
      </c>
      <c r="E86" s="466">
        <v>69486.94</v>
      </c>
      <c r="F86" s="466">
        <v>0</v>
      </c>
      <c r="G86" s="466">
        <v>0</v>
      </c>
      <c r="H86" s="466">
        <v>0</v>
      </c>
      <c r="I86" s="466">
        <v>0</v>
      </c>
      <c r="J86" s="466"/>
      <c r="K86" s="466">
        <v>0</v>
      </c>
      <c r="L86" s="466">
        <v>0</v>
      </c>
      <c r="M86" s="466">
        <v>0</v>
      </c>
      <c r="N86" s="466"/>
      <c r="O86" s="466"/>
      <c r="P86" s="466"/>
      <c r="Q86" s="466"/>
      <c r="R86" s="466">
        <v>0</v>
      </c>
      <c r="S86" s="466">
        <v>0</v>
      </c>
      <c r="T86" s="466"/>
      <c r="U86" s="466">
        <v>0</v>
      </c>
      <c r="V86" s="466"/>
      <c r="W86" s="466"/>
      <c r="X86" s="466">
        <v>4363.8100000000004</v>
      </c>
      <c r="Y86" s="466">
        <v>0</v>
      </c>
      <c r="Z86" s="466">
        <v>0</v>
      </c>
      <c r="AA86" s="466">
        <v>0</v>
      </c>
      <c r="AB86" s="466">
        <v>4917591.5</v>
      </c>
      <c r="AC86" s="466">
        <v>698378.7</v>
      </c>
      <c r="AD86" s="466">
        <v>97209.85</v>
      </c>
      <c r="AE86" s="466">
        <v>-54197.1</v>
      </c>
      <c r="AF86" s="466"/>
      <c r="AG86" s="466">
        <v>31577.1</v>
      </c>
      <c r="AH86" s="466">
        <v>4804.1000000000004</v>
      </c>
      <c r="AI86" s="466">
        <v>16486.45</v>
      </c>
      <c r="AJ86" s="466"/>
      <c r="AK86" s="466"/>
      <c r="AL86" s="466"/>
      <c r="AM86" s="466"/>
      <c r="AN86" s="466">
        <v>16967.64</v>
      </c>
      <c r="AO86" s="466">
        <v>53191.37</v>
      </c>
      <c r="AP86" s="466"/>
      <c r="AQ86" s="466">
        <v>119698.55</v>
      </c>
      <c r="AR86" s="466">
        <v>970.39</v>
      </c>
      <c r="AS86" s="466">
        <v>10619.3</v>
      </c>
    </row>
    <row r="87" spans="1:45" x14ac:dyDescent="0.2">
      <c r="A87" s="465">
        <v>5527</v>
      </c>
      <c r="B87" s="466"/>
      <c r="C87" s="466">
        <v>2343.7600000000002</v>
      </c>
      <c r="D87" s="466">
        <v>798.46</v>
      </c>
      <c r="E87" s="466">
        <v>30067.71</v>
      </c>
      <c r="F87" s="466">
        <v>0</v>
      </c>
      <c r="G87" s="466">
        <v>0</v>
      </c>
      <c r="H87" s="466">
        <v>0</v>
      </c>
      <c r="I87" s="466"/>
      <c r="J87" s="466"/>
      <c r="K87" s="466">
        <v>0</v>
      </c>
      <c r="L87" s="466">
        <v>0</v>
      </c>
      <c r="M87" s="466">
        <v>0</v>
      </c>
      <c r="N87" s="466"/>
      <c r="O87" s="466"/>
      <c r="P87" s="466"/>
      <c r="Q87" s="466"/>
      <c r="R87" s="466">
        <v>0</v>
      </c>
      <c r="S87" s="466">
        <v>0</v>
      </c>
      <c r="T87" s="466"/>
      <c r="U87" s="466">
        <v>0</v>
      </c>
      <c r="V87" s="466"/>
      <c r="W87" s="466"/>
      <c r="X87" s="466">
        <v>823.54</v>
      </c>
      <c r="Y87" s="466">
        <v>0</v>
      </c>
      <c r="Z87" s="466">
        <v>0</v>
      </c>
      <c r="AA87" s="466">
        <v>0</v>
      </c>
      <c r="AB87" s="466">
        <v>2440482.67</v>
      </c>
      <c r="AC87" s="466">
        <v>296196.84000000003</v>
      </c>
      <c r="AD87" s="466">
        <v>36272.03</v>
      </c>
      <c r="AE87" s="466"/>
      <c r="AF87" s="466"/>
      <c r="AG87" s="466">
        <v>4907.2</v>
      </c>
      <c r="AH87" s="466">
        <v>1958.65</v>
      </c>
      <c r="AI87" s="466">
        <v>202.75</v>
      </c>
      <c r="AJ87" s="466"/>
      <c r="AK87" s="466"/>
      <c r="AL87" s="466"/>
      <c r="AM87" s="466"/>
      <c r="AN87" s="466">
        <v>10734.48</v>
      </c>
      <c r="AO87" s="466">
        <v>23852.98</v>
      </c>
      <c r="AP87" s="466"/>
      <c r="AQ87" s="466">
        <v>52459.55</v>
      </c>
      <c r="AR87" s="466">
        <v>82.51</v>
      </c>
      <c r="AS87" s="466">
        <v>9803.75</v>
      </c>
    </row>
    <row r="88" spans="1:45" x14ac:dyDescent="0.2">
      <c r="A88" s="465">
        <v>5529</v>
      </c>
      <c r="B88" s="466"/>
      <c r="C88" s="466">
        <v>1517.25</v>
      </c>
      <c r="D88" s="466">
        <v>490.61</v>
      </c>
      <c r="E88" s="466">
        <v>16246.58</v>
      </c>
      <c r="F88" s="466">
        <v>0</v>
      </c>
      <c r="G88" s="466">
        <v>0</v>
      </c>
      <c r="H88" s="466">
        <v>0</v>
      </c>
      <c r="I88" s="466"/>
      <c r="J88" s="466"/>
      <c r="K88" s="466">
        <v>0</v>
      </c>
      <c r="L88" s="466">
        <v>0</v>
      </c>
      <c r="M88" s="466">
        <v>0</v>
      </c>
      <c r="N88" s="466">
        <v>0</v>
      </c>
      <c r="O88" s="466">
        <v>0</v>
      </c>
      <c r="P88" s="466"/>
      <c r="Q88" s="466">
        <v>0</v>
      </c>
      <c r="R88" s="466"/>
      <c r="S88" s="466">
        <v>0</v>
      </c>
      <c r="T88" s="466"/>
      <c r="U88" s="466">
        <v>0</v>
      </c>
      <c r="V88" s="466"/>
      <c r="W88" s="466"/>
      <c r="X88" s="466">
        <v>1447.43</v>
      </c>
      <c r="Y88" s="466">
        <v>0</v>
      </c>
      <c r="Z88" s="466">
        <v>0</v>
      </c>
      <c r="AA88" s="466">
        <v>0</v>
      </c>
      <c r="AB88" s="466">
        <v>1168354.29</v>
      </c>
      <c r="AC88" s="466">
        <v>107832.98</v>
      </c>
      <c r="AD88" s="466">
        <v>17460.79</v>
      </c>
      <c r="AE88" s="466"/>
      <c r="AF88" s="466"/>
      <c r="AG88" s="466">
        <v>10428.700000000001</v>
      </c>
      <c r="AH88" s="466">
        <v>1638.55</v>
      </c>
      <c r="AI88" s="466">
        <v>2922.75</v>
      </c>
      <c r="AJ88" s="466">
        <v>120398.6</v>
      </c>
      <c r="AK88" s="466">
        <v>38299.4</v>
      </c>
      <c r="AL88" s="466"/>
      <c r="AM88" s="466">
        <v>3400</v>
      </c>
      <c r="AN88" s="466"/>
      <c r="AO88" s="466">
        <v>10675.91</v>
      </c>
      <c r="AP88" s="466"/>
      <c r="AQ88" s="466">
        <v>4689.6000000000004</v>
      </c>
      <c r="AR88" s="466">
        <v>150.33000000000001</v>
      </c>
      <c r="AS88" s="466">
        <v>1847.9</v>
      </c>
    </row>
    <row r="89" spans="1:45" x14ac:dyDescent="0.2">
      <c r="A89" s="465">
        <v>5530</v>
      </c>
      <c r="B89" s="466"/>
      <c r="C89" s="466">
        <v>488.62</v>
      </c>
      <c r="D89" s="466">
        <v>528.63</v>
      </c>
      <c r="E89" s="466">
        <v>3284.25</v>
      </c>
      <c r="F89" s="466">
        <v>0</v>
      </c>
      <c r="G89" s="466">
        <v>0</v>
      </c>
      <c r="H89" s="466">
        <v>0</v>
      </c>
      <c r="I89" s="466"/>
      <c r="J89" s="466"/>
      <c r="K89" s="466">
        <v>0</v>
      </c>
      <c r="L89" s="466">
        <v>0</v>
      </c>
      <c r="M89" s="466">
        <v>0</v>
      </c>
      <c r="N89" s="466"/>
      <c r="O89" s="466">
        <v>0</v>
      </c>
      <c r="P89" s="466">
        <v>0</v>
      </c>
      <c r="Q89" s="466">
        <v>0</v>
      </c>
      <c r="R89" s="466"/>
      <c r="S89" s="466">
        <v>0</v>
      </c>
      <c r="T89" s="466"/>
      <c r="U89" s="466"/>
      <c r="V89" s="466"/>
      <c r="W89" s="466"/>
      <c r="X89" s="466">
        <v>3433.5</v>
      </c>
      <c r="Y89" s="466">
        <v>0</v>
      </c>
      <c r="Z89" s="466">
        <v>0</v>
      </c>
      <c r="AA89" s="466">
        <v>0</v>
      </c>
      <c r="AB89" s="466">
        <v>1078526.7</v>
      </c>
      <c r="AC89" s="466">
        <v>176838.16</v>
      </c>
      <c r="AD89" s="466">
        <v>808.22</v>
      </c>
      <c r="AE89" s="466"/>
      <c r="AF89" s="466"/>
      <c r="AG89" s="466">
        <v>28292.05</v>
      </c>
      <c r="AH89" s="466">
        <v>333.15</v>
      </c>
      <c r="AI89" s="466">
        <v>674.5</v>
      </c>
      <c r="AJ89" s="466"/>
      <c r="AK89" s="466">
        <v>13194.15</v>
      </c>
      <c r="AL89" s="466">
        <v>708.4</v>
      </c>
      <c r="AM89" s="466">
        <v>2610</v>
      </c>
      <c r="AN89" s="466"/>
      <c r="AO89" s="466">
        <v>11529.76</v>
      </c>
      <c r="AP89" s="466"/>
      <c r="AQ89" s="466"/>
      <c r="AR89" s="466">
        <v>3.85</v>
      </c>
      <c r="AS89" s="466">
        <v>18495.150000000001</v>
      </c>
    </row>
    <row r="90" spans="1:45" x14ac:dyDescent="0.2">
      <c r="A90" s="465">
        <v>5531</v>
      </c>
      <c r="B90" s="466"/>
      <c r="C90" s="466">
        <v>967.65</v>
      </c>
      <c r="D90" s="466">
        <v>551.53</v>
      </c>
      <c r="E90" s="466">
        <v>2440.64</v>
      </c>
      <c r="F90" s="466">
        <v>0</v>
      </c>
      <c r="G90" s="466">
        <v>0</v>
      </c>
      <c r="H90" s="466">
        <v>0</v>
      </c>
      <c r="I90" s="466"/>
      <c r="J90" s="466"/>
      <c r="K90" s="466">
        <v>0</v>
      </c>
      <c r="L90" s="466">
        <v>0</v>
      </c>
      <c r="M90" s="466">
        <v>0</v>
      </c>
      <c r="N90" s="466"/>
      <c r="O90" s="466"/>
      <c r="P90" s="466"/>
      <c r="Q90" s="466"/>
      <c r="R90" s="466">
        <v>0</v>
      </c>
      <c r="S90" s="466">
        <v>0</v>
      </c>
      <c r="T90" s="466"/>
      <c r="U90" s="466">
        <v>0</v>
      </c>
      <c r="V90" s="466"/>
      <c r="W90" s="466"/>
      <c r="X90" s="466">
        <v>1105.57</v>
      </c>
      <c r="Y90" s="466">
        <v>0</v>
      </c>
      <c r="Z90" s="466">
        <v>0</v>
      </c>
      <c r="AA90" s="466">
        <v>0</v>
      </c>
      <c r="AB90" s="466">
        <v>846903.14</v>
      </c>
      <c r="AC90" s="466">
        <v>79070.679999999993</v>
      </c>
      <c r="AD90" s="466">
        <v>10707.29</v>
      </c>
      <c r="AE90" s="466"/>
      <c r="AF90" s="466"/>
      <c r="AG90" s="466">
        <v>8496.6</v>
      </c>
      <c r="AH90" s="466">
        <v>720.6</v>
      </c>
      <c r="AI90" s="466">
        <v>-352.25</v>
      </c>
      <c r="AJ90" s="466"/>
      <c r="AK90" s="466"/>
      <c r="AL90" s="466"/>
      <c r="AM90" s="466"/>
      <c r="AN90" s="466">
        <v>2180.14</v>
      </c>
      <c r="AO90" s="466">
        <v>4965.45</v>
      </c>
      <c r="AP90" s="466"/>
      <c r="AQ90" s="466">
        <v>22071.25</v>
      </c>
      <c r="AR90" s="466">
        <v>107.79</v>
      </c>
      <c r="AS90" s="466">
        <v>19757.3</v>
      </c>
    </row>
    <row r="91" spans="1:45" x14ac:dyDescent="0.2">
      <c r="A91" s="465">
        <v>5533</v>
      </c>
      <c r="B91" s="466"/>
      <c r="C91" s="466">
        <v>1595.94</v>
      </c>
      <c r="D91" s="466">
        <v>438.59</v>
      </c>
      <c r="E91" s="466">
        <v>17655.150000000001</v>
      </c>
      <c r="F91" s="466">
        <v>0</v>
      </c>
      <c r="G91" s="466">
        <v>0</v>
      </c>
      <c r="H91" s="466">
        <v>0</v>
      </c>
      <c r="I91" s="466">
        <v>0</v>
      </c>
      <c r="J91" s="466"/>
      <c r="K91" s="466">
        <v>0</v>
      </c>
      <c r="L91" s="466">
        <v>0</v>
      </c>
      <c r="M91" s="466">
        <v>0</v>
      </c>
      <c r="N91" s="466"/>
      <c r="O91" s="466"/>
      <c r="P91" s="466"/>
      <c r="Q91" s="466">
        <v>0</v>
      </c>
      <c r="R91" s="466">
        <v>0</v>
      </c>
      <c r="S91" s="466">
        <v>0</v>
      </c>
      <c r="T91" s="466"/>
      <c r="U91" s="466">
        <v>0</v>
      </c>
      <c r="V91" s="466"/>
      <c r="W91" s="466"/>
      <c r="X91" s="466">
        <v>7396.57</v>
      </c>
      <c r="Y91" s="466">
        <v>0</v>
      </c>
      <c r="Z91" s="466">
        <v>0</v>
      </c>
      <c r="AA91" s="466">
        <v>0</v>
      </c>
      <c r="AB91" s="466">
        <v>1488046.92</v>
      </c>
      <c r="AC91" s="466">
        <v>214173.52</v>
      </c>
      <c r="AD91" s="466">
        <v>30627.98</v>
      </c>
      <c r="AE91" s="466">
        <v>47228.4</v>
      </c>
      <c r="AF91" s="466"/>
      <c r="AG91" s="466">
        <v>61118.65</v>
      </c>
      <c r="AH91" s="466">
        <v>546.75</v>
      </c>
      <c r="AI91" s="466">
        <v>9054.9</v>
      </c>
      <c r="AJ91" s="466"/>
      <c r="AK91" s="466"/>
      <c r="AL91" s="466"/>
      <c r="AM91" s="466">
        <v>6150</v>
      </c>
      <c r="AN91" s="466">
        <v>55.75</v>
      </c>
      <c r="AO91" s="466">
        <v>9733.7999999999993</v>
      </c>
      <c r="AP91" s="466"/>
      <c r="AQ91" s="466">
        <v>288547.34999999998</v>
      </c>
      <c r="AR91" s="466">
        <v>199.23</v>
      </c>
      <c r="AS91" s="466">
        <v>752.3</v>
      </c>
    </row>
    <row r="92" spans="1:45" x14ac:dyDescent="0.2">
      <c r="A92" s="465">
        <v>5534</v>
      </c>
      <c r="B92" s="466"/>
      <c r="C92" s="466">
        <v>480.73</v>
      </c>
      <c r="D92" s="466">
        <v>251.8</v>
      </c>
      <c r="E92" s="466">
        <v>65.14</v>
      </c>
      <c r="F92" s="466">
        <v>0</v>
      </c>
      <c r="G92" s="466">
        <v>0</v>
      </c>
      <c r="H92" s="466">
        <v>0</v>
      </c>
      <c r="I92" s="466"/>
      <c r="J92" s="466"/>
      <c r="K92" s="466">
        <v>0</v>
      </c>
      <c r="L92" s="466">
        <v>0</v>
      </c>
      <c r="M92" s="466">
        <v>0</v>
      </c>
      <c r="N92" s="466"/>
      <c r="O92" s="466">
        <v>0</v>
      </c>
      <c r="P92" s="466"/>
      <c r="Q92" s="466"/>
      <c r="R92" s="466"/>
      <c r="S92" s="466">
        <v>0</v>
      </c>
      <c r="T92" s="466"/>
      <c r="U92" s="466">
        <v>0</v>
      </c>
      <c r="V92" s="466"/>
      <c r="W92" s="466"/>
      <c r="X92" s="466">
        <v>5647.51</v>
      </c>
      <c r="Y92" s="466">
        <v>0</v>
      </c>
      <c r="Z92" s="466">
        <v>0</v>
      </c>
      <c r="AA92" s="466">
        <v>0</v>
      </c>
      <c r="AB92" s="466">
        <v>478539.65</v>
      </c>
      <c r="AC92" s="466">
        <v>84003.25</v>
      </c>
      <c r="AD92" s="466">
        <v>17090.21</v>
      </c>
      <c r="AE92" s="466"/>
      <c r="AF92" s="466"/>
      <c r="AG92" s="466">
        <v>47438.3</v>
      </c>
      <c r="AH92" s="466">
        <v>-354.85</v>
      </c>
      <c r="AI92" s="466">
        <v>861</v>
      </c>
      <c r="AJ92" s="466"/>
      <c r="AK92" s="466">
        <v>20741.5</v>
      </c>
      <c r="AL92" s="466"/>
      <c r="AM92" s="466"/>
      <c r="AN92" s="466"/>
      <c r="AO92" s="466">
        <v>3028.56</v>
      </c>
      <c r="AP92" s="466"/>
      <c r="AQ92" s="466">
        <v>13270.8</v>
      </c>
      <c r="AR92" s="466"/>
      <c r="AS92" s="466">
        <v>27496.9</v>
      </c>
    </row>
    <row r="93" spans="1:45" x14ac:dyDescent="0.2">
      <c r="A93" s="465">
        <v>5535</v>
      </c>
      <c r="B93" s="466"/>
      <c r="C93" s="466">
        <v>1080.04</v>
      </c>
      <c r="D93" s="466">
        <v>550.58000000000004</v>
      </c>
      <c r="E93" s="466">
        <v>31282.47</v>
      </c>
      <c r="F93" s="466">
        <v>0</v>
      </c>
      <c r="G93" s="466">
        <v>0</v>
      </c>
      <c r="H93" s="466">
        <v>0</v>
      </c>
      <c r="I93" s="466"/>
      <c r="J93" s="466"/>
      <c r="K93" s="466">
        <v>0</v>
      </c>
      <c r="L93" s="466">
        <v>0</v>
      </c>
      <c r="M93" s="466">
        <v>0</v>
      </c>
      <c r="N93" s="466"/>
      <c r="O93" s="466"/>
      <c r="P93" s="466"/>
      <c r="Q93" s="466"/>
      <c r="R93" s="466">
        <v>0</v>
      </c>
      <c r="S93" s="466">
        <v>0</v>
      </c>
      <c r="T93" s="466"/>
      <c r="U93" s="466">
        <v>0</v>
      </c>
      <c r="V93" s="466"/>
      <c r="W93" s="466"/>
      <c r="X93" s="466">
        <v>-735.77</v>
      </c>
      <c r="Y93" s="466">
        <v>0</v>
      </c>
      <c r="Z93" s="466">
        <v>0</v>
      </c>
      <c r="AA93" s="466">
        <v>0</v>
      </c>
      <c r="AB93" s="466">
        <v>1424371.91</v>
      </c>
      <c r="AC93" s="466">
        <v>148080</v>
      </c>
      <c r="AD93" s="466">
        <v>6266.37</v>
      </c>
      <c r="AE93" s="466"/>
      <c r="AF93" s="466"/>
      <c r="AG93" s="466">
        <v>-9502</v>
      </c>
      <c r="AH93" s="466">
        <v>3367.85</v>
      </c>
      <c r="AI93" s="466">
        <v>1379.3</v>
      </c>
      <c r="AJ93" s="466"/>
      <c r="AK93" s="466"/>
      <c r="AL93" s="466"/>
      <c r="AM93" s="466"/>
      <c r="AN93" s="466">
        <v>410.86</v>
      </c>
      <c r="AO93" s="466">
        <v>15499.32</v>
      </c>
      <c r="AP93" s="466"/>
      <c r="AQ93" s="466">
        <v>-518.95000000000005</v>
      </c>
      <c r="AR93" s="466">
        <v>59.19</v>
      </c>
      <c r="AS93" s="466">
        <v>44895</v>
      </c>
    </row>
    <row r="94" spans="1:45" x14ac:dyDescent="0.2">
      <c r="A94" s="465">
        <v>5537</v>
      </c>
      <c r="B94" s="466"/>
      <c r="C94" s="466">
        <v>649.53</v>
      </c>
      <c r="D94" s="466">
        <v>810.46</v>
      </c>
      <c r="E94" s="466">
        <v>31621.53</v>
      </c>
      <c r="F94" s="466">
        <v>0</v>
      </c>
      <c r="G94" s="466">
        <v>0</v>
      </c>
      <c r="H94" s="466">
        <v>0</v>
      </c>
      <c r="I94" s="466"/>
      <c r="J94" s="466"/>
      <c r="K94" s="466">
        <v>0</v>
      </c>
      <c r="L94" s="466">
        <v>0</v>
      </c>
      <c r="M94" s="466">
        <v>0</v>
      </c>
      <c r="N94" s="466"/>
      <c r="O94" s="466"/>
      <c r="P94" s="466"/>
      <c r="Q94" s="466"/>
      <c r="R94" s="466">
        <v>0</v>
      </c>
      <c r="S94" s="466">
        <v>0</v>
      </c>
      <c r="T94" s="466"/>
      <c r="U94" s="466">
        <v>0</v>
      </c>
      <c r="V94" s="466"/>
      <c r="W94" s="466"/>
      <c r="X94" s="466">
        <v>2133.91</v>
      </c>
      <c r="Y94" s="466">
        <v>0</v>
      </c>
      <c r="Z94" s="466">
        <v>0</v>
      </c>
      <c r="AA94" s="466">
        <v>0</v>
      </c>
      <c r="AB94" s="466">
        <v>2256263.67</v>
      </c>
      <c r="AC94" s="466">
        <v>279507.26</v>
      </c>
      <c r="AD94" s="466">
        <v>4792.95</v>
      </c>
      <c r="AE94" s="466"/>
      <c r="AF94" s="466"/>
      <c r="AG94" s="466">
        <v>16907.349999999999</v>
      </c>
      <c r="AH94" s="466">
        <v>883.1</v>
      </c>
      <c r="AI94" s="466">
        <v>833</v>
      </c>
      <c r="AJ94" s="466"/>
      <c r="AK94" s="466"/>
      <c r="AL94" s="466"/>
      <c r="AM94" s="466"/>
      <c r="AN94" s="466">
        <v>6633.16</v>
      </c>
      <c r="AO94" s="466">
        <v>44243.43</v>
      </c>
      <c r="AP94" s="466"/>
      <c r="AQ94" s="466">
        <v>90389.5</v>
      </c>
      <c r="AR94" s="466">
        <v>158.81</v>
      </c>
      <c r="AS94" s="466"/>
    </row>
    <row r="95" spans="1:45" x14ac:dyDescent="0.2">
      <c r="A95" s="465">
        <v>5539</v>
      </c>
      <c r="B95" s="466"/>
      <c r="C95" s="466">
        <v>882.55</v>
      </c>
      <c r="D95" s="466">
        <v>409.16</v>
      </c>
      <c r="E95" s="466">
        <v>22282.17</v>
      </c>
      <c r="F95" s="466">
        <v>0</v>
      </c>
      <c r="G95" s="466">
        <v>0</v>
      </c>
      <c r="H95" s="466">
        <v>0</v>
      </c>
      <c r="I95" s="466"/>
      <c r="J95" s="466"/>
      <c r="K95" s="466">
        <v>0</v>
      </c>
      <c r="L95" s="466">
        <v>0</v>
      </c>
      <c r="M95" s="466">
        <v>0</v>
      </c>
      <c r="N95" s="466"/>
      <c r="O95" s="466">
        <v>0</v>
      </c>
      <c r="P95" s="466">
        <v>0</v>
      </c>
      <c r="Q95" s="466"/>
      <c r="R95" s="466">
        <v>0</v>
      </c>
      <c r="S95" s="466">
        <v>0</v>
      </c>
      <c r="T95" s="466"/>
      <c r="U95" s="466">
        <v>0</v>
      </c>
      <c r="V95" s="466"/>
      <c r="W95" s="466"/>
      <c r="X95" s="466">
        <v>2653.11</v>
      </c>
      <c r="Y95" s="466">
        <v>0</v>
      </c>
      <c r="Z95" s="466">
        <v>0</v>
      </c>
      <c r="AA95" s="466">
        <v>0</v>
      </c>
      <c r="AB95" s="466">
        <v>2203592.81</v>
      </c>
      <c r="AC95" s="466">
        <v>209947.11</v>
      </c>
      <c r="AD95" s="466">
        <v>10580.62</v>
      </c>
      <c r="AE95" s="466"/>
      <c r="AF95" s="466"/>
      <c r="AG95" s="466">
        <v>21640.75</v>
      </c>
      <c r="AH95" s="466">
        <v>478.25</v>
      </c>
      <c r="AI95" s="466">
        <v>5823.4</v>
      </c>
      <c r="AJ95" s="466"/>
      <c r="AK95" s="466">
        <v>139946.29999999999</v>
      </c>
      <c r="AL95" s="466">
        <v>129594.6</v>
      </c>
      <c r="AM95" s="466"/>
      <c r="AN95" s="466">
        <v>24565.61</v>
      </c>
      <c r="AO95" s="466">
        <v>22219.13</v>
      </c>
      <c r="AP95" s="466"/>
      <c r="AQ95" s="466">
        <v>51038.65</v>
      </c>
      <c r="AR95" s="466">
        <v>212.45</v>
      </c>
      <c r="AS95" s="466">
        <v>19878.05</v>
      </c>
    </row>
    <row r="96" spans="1:45" x14ac:dyDescent="0.2">
      <c r="A96" s="465">
        <v>5540</v>
      </c>
      <c r="B96" s="466"/>
      <c r="C96" s="466">
        <v>2680.07</v>
      </c>
      <c r="D96" s="466">
        <v>935.4</v>
      </c>
      <c r="E96" s="466">
        <v>69478.42</v>
      </c>
      <c r="F96" s="466">
        <v>0</v>
      </c>
      <c r="G96" s="466">
        <v>0</v>
      </c>
      <c r="H96" s="466">
        <v>0</v>
      </c>
      <c r="I96" s="466"/>
      <c r="J96" s="466"/>
      <c r="K96" s="466">
        <v>0</v>
      </c>
      <c r="L96" s="466">
        <v>0</v>
      </c>
      <c r="M96" s="466">
        <v>0</v>
      </c>
      <c r="N96" s="466"/>
      <c r="O96" s="466"/>
      <c r="P96" s="466"/>
      <c r="Q96" s="466"/>
      <c r="R96" s="466">
        <v>0</v>
      </c>
      <c r="S96" s="466">
        <v>0</v>
      </c>
      <c r="T96" s="466"/>
      <c r="U96" s="466">
        <v>0</v>
      </c>
      <c r="V96" s="466"/>
      <c r="W96" s="466"/>
      <c r="X96" s="466">
        <v>16001.68</v>
      </c>
      <c r="Y96" s="466">
        <v>0</v>
      </c>
      <c r="Z96" s="466">
        <v>0</v>
      </c>
      <c r="AA96" s="466">
        <v>0</v>
      </c>
      <c r="AB96" s="466">
        <v>3792448.27</v>
      </c>
      <c r="AC96" s="466">
        <v>507693.9</v>
      </c>
      <c r="AD96" s="466">
        <v>50648.1</v>
      </c>
      <c r="AE96" s="466"/>
      <c r="AF96" s="466"/>
      <c r="AG96" s="466">
        <v>129555.8</v>
      </c>
      <c r="AH96" s="466">
        <v>3850.6</v>
      </c>
      <c r="AI96" s="466">
        <v>13109.85</v>
      </c>
      <c r="AJ96" s="466"/>
      <c r="AK96" s="466"/>
      <c r="AL96" s="466"/>
      <c r="AM96" s="466"/>
      <c r="AN96" s="466">
        <v>9509.91</v>
      </c>
      <c r="AO96" s="466">
        <v>37743.040000000001</v>
      </c>
      <c r="AP96" s="466"/>
      <c r="AQ96" s="466">
        <v>83871.649999999994</v>
      </c>
      <c r="AR96" s="466">
        <v>751.17</v>
      </c>
      <c r="AS96" s="466">
        <v>1260.8499999999999</v>
      </c>
    </row>
    <row r="97" spans="1:45" x14ac:dyDescent="0.2">
      <c r="A97" s="465">
        <v>5541</v>
      </c>
      <c r="B97" s="466"/>
      <c r="C97" s="466">
        <v>1817.73</v>
      </c>
      <c r="D97" s="466">
        <v>948.99</v>
      </c>
      <c r="E97" s="466">
        <v>62440.43</v>
      </c>
      <c r="F97" s="466">
        <v>0</v>
      </c>
      <c r="G97" s="466">
        <v>0</v>
      </c>
      <c r="H97" s="466">
        <v>0</v>
      </c>
      <c r="I97" s="466"/>
      <c r="J97" s="466"/>
      <c r="K97" s="466">
        <v>0</v>
      </c>
      <c r="L97" s="466">
        <v>0</v>
      </c>
      <c r="M97" s="466">
        <v>0</v>
      </c>
      <c r="N97" s="466">
        <v>0</v>
      </c>
      <c r="O97" s="466">
        <v>0</v>
      </c>
      <c r="P97" s="466">
        <v>0</v>
      </c>
      <c r="Q97" s="466">
        <v>0</v>
      </c>
      <c r="R97" s="466"/>
      <c r="S97" s="466">
        <v>0</v>
      </c>
      <c r="T97" s="466"/>
      <c r="U97" s="466">
        <v>0</v>
      </c>
      <c r="V97" s="466"/>
      <c r="W97" s="466"/>
      <c r="X97" s="466">
        <v>9855.26</v>
      </c>
      <c r="Y97" s="466">
        <v>0</v>
      </c>
      <c r="Z97" s="466">
        <v>0</v>
      </c>
      <c r="AA97" s="466">
        <v>0</v>
      </c>
      <c r="AB97" s="466">
        <v>2239709.94</v>
      </c>
      <c r="AC97" s="466">
        <v>301641.15999999997</v>
      </c>
      <c r="AD97" s="466">
        <v>11363.73</v>
      </c>
      <c r="AE97" s="466"/>
      <c r="AF97" s="466"/>
      <c r="AG97" s="466">
        <v>79459.75</v>
      </c>
      <c r="AH97" s="466">
        <v>2703.75</v>
      </c>
      <c r="AI97" s="466">
        <v>1456.65</v>
      </c>
      <c r="AJ97" s="466">
        <v>209672.85</v>
      </c>
      <c r="AK97" s="466">
        <v>98100.45</v>
      </c>
      <c r="AL97" s="466">
        <v>109740.5</v>
      </c>
      <c r="AM97" s="466">
        <v>7700</v>
      </c>
      <c r="AN97" s="466"/>
      <c r="AO97" s="466">
        <v>28978.33</v>
      </c>
      <c r="AP97" s="466"/>
      <c r="AQ97" s="466">
        <v>46579.8</v>
      </c>
      <c r="AR97" s="466">
        <v>27.51</v>
      </c>
      <c r="AS97" s="466">
        <v>9196.2999999999993</v>
      </c>
    </row>
    <row r="98" spans="1:45" x14ac:dyDescent="0.2">
      <c r="A98" s="465">
        <v>5551</v>
      </c>
      <c r="B98" s="466"/>
      <c r="C98" s="466">
        <v>29.46</v>
      </c>
      <c r="D98" s="466">
        <v>357.75</v>
      </c>
      <c r="E98" s="466">
        <v>5687.44</v>
      </c>
      <c r="F98" s="466">
        <v>0</v>
      </c>
      <c r="G98" s="466">
        <v>0</v>
      </c>
      <c r="H98" s="466">
        <v>0</v>
      </c>
      <c r="I98" s="466"/>
      <c r="J98" s="466"/>
      <c r="K98" s="466">
        <v>0</v>
      </c>
      <c r="L98" s="466">
        <v>0</v>
      </c>
      <c r="M98" s="466">
        <v>0</v>
      </c>
      <c r="N98" s="466"/>
      <c r="O98" s="466">
        <v>0</v>
      </c>
      <c r="P98" s="466">
        <v>0</v>
      </c>
      <c r="Q98" s="466"/>
      <c r="R98" s="466"/>
      <c r="S98" s="466">
        <v>0</v>
      </c>
      <c r="T98" s="466"/>
      <c r="U98" s="466">
        <v>0</v>
      </c>
      <c r="V98" s="466"/>
      <c r="W98" s="466"/>
      <c r="X98" s="466">
        <v>1312.93</v>
      </c>
      <c r="Y98" s="466">
        <v>0</v>
      </c>
      <c r="Z98" s="466">
        <v>0</v>
      </c>
      <c r="AA98" s="466">
        <v>0</v>
      </c>
      <c r="AB98" s="466">
        <v>786824.99</v>
      </c>
      <c r="AC98" s="466">
        <v>133990.73000000001</v>
      </c>
      <c r="AD98" s="466">
        <v>-2026.29</v>
      </c>
      <c r="AE98" s="466"/>
      <c r="AF98" s="466"/>
      <c r="AG98" s="466">
        <v>8216.35</v>
      </c>
      <c r="AH98" s="466">
        <v>2729.55</v>
      </c>
      <c r="AI98" s="466">
        <v>16988.400000000001</v>
      </c>
      <c r="AJ98" s="466"/>
      <c r="AK98" s="466">
        <v>15785</v>
      </c>
      <c r="AL98" s="466">
        <v>120.5</v>
      </c>
      <c r="AM98" s="466"/>
      <c r="AN98" s="466"/>
      <c r="AO98" s="466">
        <v>7306.99</v>
      </c>
      <c r="AP98" s="466"/>
      <c r="AQ98" s="466">
        <v>15577.45</v>
      </c>
      <c r="AR98" s="466">
        <v>1849.91</v>
      </c>
      <c r="AS98" s="466">
        <v>30909.3</v>
      </c>
    </row>
    <row r="99" spans="1:45" x14ac:dyDescent="0.2">
      <c r="A99" s="465">
        <v>5552</v>
      </c>
      <c r="B99" s="466"/>
      <c r="C99" s="466">
        <v>411.43</v>
      </c>
      <c r="D99" s="466">
        <v>461.71</v>
      </c>
      <c r="E99" s="466">
        <v>6720.92</v>
      </c>
      <c r="F99" s="466">
        <v>0</v>
      </c>
      <c r="G99" s="466">
        <v>0</v>
      </c>
      <c r="H99" s="466">
        <v>0</v>
      </c>
      <c r="I99" s="466"/>
      <c r="J99" s="466"/>
      <c r="K99" s="466">
        <v>0</v>
      </c>
      <c r="L99" s="466">
        <v>0</v>
      </c>
      <c r="M99" s="466">
        <v>0</v>
      </c>
      <c r="N99" s="466"/>
      <c r="O99" s="466">
        <v>0</v>
      </c>
      <c r="P99" s="466">
        <v>0</v>
      </c>
      <c r="Q99" s="466"/>
      <c r="R99" s="466">
        <v>0</v>
      </c>
      <c r="S99" s="466">
        <v>0</v>
      </c>
      <c r="T99" s="466"/>
      <c r="U99" s="466">
        <v>0</v>
      </c>
      <c r="V99" s="466"/>
      <c r="W99" s="466"/>
      <c r="X99" s="466">
        <v>-431.53</v>
      </c>
      <c r="Y99" s="466">
        <v>0</v>
      </c>
      <c r="Z99" s="466">
        <v>0</v>
      </c>
      <c r="AA99" s="466">
        <v>0</v>
      </c>
      <c r="AB99" s="466">
        <v>950916.19</v>
      </c>
      <c r="AC99" s="466">
        <v>176423.96</v>
      </c>
      <c r="AD99" s="466">
        <v>15639.79</v>
      </c>
      <c r="AE99" s="466"/>
      <c r="AF99" s="466"/>
      <c r="AG99" s="466">
        <v>-5547.7</v>
      </c>
      <c r="AH99" s="466">
        <v>1950.05</v>
      </c>
      <c r="AI99" s="466">
        <v>-502.9</v>
      </c>
      <c r="AJ99" s="466"/>
      <c r="AK99" s="466">
        <v>49797</v>
      </c>
      <c r="AL99" s="466">
        <v>3247.6</v>
      </c>
      <c r="AM99" s="466"/>
      <c r="AN99" s="466">
        <v>1394.42</v>
      </c>
      <c r="AO99" s="466">
        <v>8164.87</v>
      </c>
      <c r="AP99" s="466"/>
      <c r="AQ99" s="466">
        <v>51954.95</v>
      </c>
      <c r="AR99" s="466">
        <v>365.96</v>
      </c>
      <c r="AS99" s="466">
        <v>65482.45</v>
      </c>
    </row>
    <row r="100" spans="1:45" x14ac:dyDescent="0.2">
      <c r="A100" s="465">
        <v>5553</v>
      </c>
      <c r="B100" s="466"/>
      <c r="C100" s="466">
        <v>2224.31</v>
      </c>
      <c r="D100" s="466">
        <v>847.43</v>
      </c>
      <c r="E100" s="466">
        <v>9025.49</v>
      </c>
      <c r="F100" s="466">
        <v>0</v>
      </c>
      <c r="G100" s="466">
        <v>0</v>
      </c>
      <c r="H100" s="466">
        <v>0</v>
      </c>
      <c r="I100" s="466"/>
      <c r="J100" s="466"/>
      <c r="K100" s="466">
        <v>0</v>
      </c>
      <c r="L100" s="466">
        <v>0</v>
      </c>
      <c r="M100" s="466">
        <v>0</v>
      </c>
      <c r="N100" s="466"/>
      <c r="O100" s="466">
        <v>0</v>
      </c>
      <c r="P100" s="466">
        <v>0</v>
      </c>
      <c r="Q100" s="466"/>
      <c r="R100" s="466">
        <v>0</v>
      </c>
      <c r="S100" s="466">
        <v>0</v>
      </c>
      <c r="T100" s="466"/>
      <c r="U100" s="466">
        <v>0</v>
      </c>
      <c r="V100" s="466"/>
      <c r="W100" s="466"/>
      <c r="X100" s="466">
        <v>21220.69</v>
      </c>
      <c r="Y100" s="466">
        <v>0</v>
      </c>
      <c r="Z100" s="466">
        <v>0</v>
      </c>
      <c r="AA100" s="466">
        <v>0</v>
      </c>
      <c r="AB100" s="466">
        <v>1743747.65</v>
      </c>
      <c r="AC100" s="466">
        <v>245397.49</v>
      </c>
      <c r="AD100" s="466">
        <v>75757.75</v>
      </c>
      <c r="AE100" s="466"/>
      <c r="AF100" s="466"/>
      <c r="AG100" s="466">
        <v>135210.1</v>
      </c>
      <c r="AH100" s="466">
        <v>41707.300000000003</v>
      </c>
      <c r="AI100" s="466">
        <v>27799.65</v>
      </c>
      <c r="AJ100" s="466"/>
      <c r="AK100" s="466">
        <v>34246.300000000003</v>
      </c>
      <c r="AL100" s="466">
        <v>157011.4</v>
      </c>
      <c r="AM100" s="466"/>
      <c r="AN100" s="466">
        <v>1474.94</v>
      </c>
      <c r="AO100" s="466">
        <v>17541.12</v>
      </c>
      <c r="AP100" s="466"/>
      <c r="AQ100" s="466">
        <v>19029.7</v>
      </c>
      <c r="AR100" s="466">
        <v>569.12</v>
      </c>
      <c r="AS100" s="466">
        <v>172905.8</v>
      </c>
    </row>
    <row r="101" spans="1:45" x14ac:dyDescent="0.2">
      <c r="A101" s="465">
        <v>5554</v>
      </c>
      <c r="B101" s="466"/>
      <c r="C101" s="466">
        <v>2189.2199999999998</v>
      </c>
      <c r="D101" s="466">
        <v>695.21</v>
      </c>
      <c r="E101" s="466">
        <v>27154.080000000002</v>
      </c>
      <c r="F101" s="466">
        <v>0</v>
      </c>
      <c r="G101" s="466">
        <v>0</v>
      </c>
      <c r="H101" s="466">
        <v>0</v>
      </c>
      <c r="I101" s="466"/>
      <c r="J101" s="466"/>
      <c r="K101" s="466">
        <v>0</v>
      </c>
      <c r="L101" s="466">
        <v>0</v>
      </c>
      <c r="M101" s="466">
        <v>0</v>
      </c>
      <c r="N101" s="466">
        <v>0</v>
      </c>
      <c r="O101" s="466">
        <v>0</v>
      </c>
      <c r="P101" s="466">
        <v>0</v>
      </c>
      <c r="Q101" s="466">
        <v>0</v>
      </c>
      <c r="R101" s="466">
        <v>0</v>
      </c>
      <c r="S101" s="466">
        <v>0</v>
      </c>
      <c r="T101" s="466">
        <v>0</v>
      </c>
      <c r="U101" s="466">
        <v>0</v>
      </c>
      <c r="V101" s="466"/>
      <c r="W101" s="466"/>
      <c r="X101" s="466">
        <v>2744.73</v>
      </c>
      <c r="Y101" s="466">
        <v>0</v>
      </c>
      <c r="Z101" s="466">
        <v>0</v>
      </c>
      <c r="AA101" s="466">
        <v>0</v>
      </c>
      <c r="AB101" s="466">
        <v>1769610.28</v>
      </c>
      <c r="AC101" s="466">
        <v>446440.39</v>
      </c>
      <c r="AD101" s="466">
        <v>36519.08</v>
      </c>
      <c r="AE101" s="466"/>
      <c r="AF101" s="466"/>
      <c r="AG101" s="466">
        <v>22460.7</v>
      </c>
      <c r="AH101" s="466">
        <v>422.15</v>
      </c>
      <c r="AI101" s="466">
        <v>-11415.05</v>
      </c>
      <c r="AJ101" s="466">
        <v>182402.2</v>
      </c>
      <c r="AK101" s="466">
        <v>86010.05</v>
      </c>
      <c r="AL101" s="466">
        <v>106619.5</v>
      </c>
      <c r="AM101" s="466">
        <v>5812.5</v>
      </c>
      <c r="AN101" s="466">
        <v>8111.93</v>
      </c>
      <c r="AO101" s="466">
        <v>56429.4</v>
      </c>
      <c r="AP101" s="466">
        <v>33040</v>
      </c>
      <c r="AQ101" s="466">
        <v>55126.95</v>
      </c>
      <c r="AR101" s="466">
        <v>5552</v>
      </c>
      <c r="AS101" s="466">
        <v>2598.0500000000002</v>
      </c>
    </row>
    <row r="102" spans="1:45" x14ac:dyDescent="0.2">
      <c r="A102" s="465">
        <v>5555</v>
      </c>
      <c r="B102" s="466"/>
      <c r="C102" s="466">
        <v>238.59</v>
      </c>
      <c r="D102" s="466">
        <v>437.53</v>
      </c>
      <c r="E102" s="466">
        <v>3578.72</v>
      </c>
      <c r="F102" s="466">
        <v>0</v>
      </c>
      <c r="G102" s="466">
        <v>0</v>
      </c>
      <c r="H102" s="466">
        <v>0</v>
      </c>
      <c r="I102" s="466"/>
      <c r="J102" s="466"/>
      <c r="K102" s="466">
        <v>0</v>
      </c>
      <c r="L102" s="466">
        <v>0</v>
      </c>
      <c r="M102" s="466">
        <v>0</v>
      </c>
      <c r="N102" s="466"/>
      <c r="O102" s="466">
        <v>0</v>
      </c>
      <c r="P102" s="466">
        <v>0</v>
      </c>
      <c r="Q102" s="466">
        <v>0</v>
      </c>
      <c r="R102" s="466"/>
      <c r="S102" s="466">
        <v>0</v>
      </c>
      <c r="T102" s="466"/>
      <c r="U102" s="466">
        <v>0</v>
      </c>
      <c r="V102" s="466"/>
      <c r="W102" s="466"/>
      <c r="X102" s="466">
        <v>3239.26</v>
      </c>
      <c r="Y102" s="466">
        <v>0</v>
      </c>
      <c r="Z102" s="466">
        <v>0</v>
      </c>
      <c r="AA102" s="466">
        <v>0</v>
      </c>
      <c r="AB102" s="466">
        <v>638521.05000000005</v>
      </c>
      <c r="AC102" s="466">
        <v>161554.32</v>
      </c>
      <c r="AD102" s="466">
        <v>17711.75</v>
      </c>
      <c r="AE102" s="466"/>
      <c r="AF102" s="466"/>
      <c r="AG102" s="466">
        <v>24744.1</v>
      </c>
      <c r="AH102" s="466">
        <v>2261.6999999999998</v>
      </c>
      <c r="AI102" s="466">
        <v>2094.9</v>
      </c>
      <c r="AJ102" s="466"/>
      <c r="AK102" s="466">
        <v>46866.6</v>
      </c>
      <c r="AL102" s="466">
        <v>100965</v>
      </c>
      <c r="AM102" s="466">
        <v>1590</v>
      </c>
      <c r="AN102" s="466"/>
      <c r="AO102" s="466">
        <v>5845.99</v>
      </c>
      <c r="AP102" s="466"/>
      <c r="AQ102" s="466">
        <v>29391.599999999999</v>
      </c>
      <c r="AR102" s="466">
        <v>252.22</v>
      </c>
      <c r="AS102" s="466">
        <v>8366.85</v>
      </c>
    </row>
    <row r="103" spans="1:45" x14ac:dyDescent="0.2">
      <c r="A103" s="465">
        <v>5556</v>
      </c>
      <c r="B103" s="466"/>
      <c r="C103" s="466">
        <v>817.51</v>
      </c>
      <c r="D103" s="466">
        <v>287.42</v>
      </c>
      <c r="E103" s="466">
        <v>40554.980000000003</v>
      </c>
      <c r="F103" s="466">
        <v>0</v>
      </c>
      <c r="G103" s="466">
        <v>0</v>
      </c>
      <c r="H103" s="466">
        <v>0</v>
      </c>
      <c r="I103" s="466"/>
      <c r="J103" s="466"/>
      <c r="K103" s="466">
        <v>0</v>
      </c>
      <c r="L103" s="466">
        <v>0</v>
      </c>
      <c r="M103" s="466">
        <v>0</v>
      </c>
      <c r="N103" s="466"/>
      <c r="O103" s="466">
        <v>0</v>
      </c>
      <c r="P103" s="466"/>
      <c r="Q103" s="466"/>
      <c r="R103" s="466"/>
      <c r="S103" s="466">
        <v>0</v>
      </c>
      <c r="T103" s="466"/>
      <c r="U103" s="466">
        <v>0</v>
      </c>
      <c r="V103" s="466"/>
      <c r="W103" s="466"/>
      <c r="X103" s="466">
        <v>1916.52</v>
      </c>
      <c r="Y103" s="466">
        <v>0</v>
      </c>
      <c r="Z103" s="466">
        <v>0</v>
      </c>
      <c r="AA103" s="466">
        <v>0</v>
      </c>
      <c r="AB103" s="466">
        <v>801630.2</v>
      </c>
      <c r="AC103" s="466">
        <v>83009.83</v>
      </c>
      <c r="AD103" s="466">
        <v>14914.82</v>
      </c>
      <c r="AE103" s="466"/>
      <c r="AF103" s="466"/>
      <c r="AG103" s="466">
        <v>15836.05</v>
      </c>
      <c r="AH103" s="466">
        <v>142.05000000000001</v>
      </c>
      <c r="AI103" s="466">
        <v>1271.6500000000001</v>
      </c>
      <c r="AJ103" s="466"/>
      <c r="AK103" s="466">
        <v>58162.5</v>
      </c>
      <c r="AL103" s="466"/>
      <c r="AM103" s="466"/>
      <c r="AN103" s="466"/>
      <c r="AO103" s="466">
        <v>5592.09</v>
      </c>
      <c r="AP103" s="466"/>
      <c r="AQ103" s="466">
        <v>32570.45</v>
      </c>
      <c r="AR103" s="466"/>
      <c r="AS103" s="466"/>
    </row>
    <row r="104" spans="1:45" x14ac:dyDescent="0.2">
      <c r="A104" s="465">
        <v>5557</v>
      </c>
      <c r="B104" s="466"/>
      <c r="C104" s="466">
        <v>162.41999999999999</v>
      </c>
      <c r="D104" s="466">
        <v>122.19</v>
      </c>
      <c r="E104" s="466">
        <v>7520.21</v>
      </c>
      <c r="F104" s="466">
        <v>0</v>
      </c>
      <c r="G104" s="466">
        <v>0</v>
      </c>
      <c r="H104" s="466">
        <v>0</v>
      </c>
      <c r="I104" s="466"/>
      <c r="J104" s="466"/>
      <c r="K104" s="466">
        <v>0</v>
      </c>
      <c r="L104" s="466">
        <v>0</v>
      </c>
      <c r="M104" s="466">
        <v>0</v>
      </c>
      <c r="N104" s="466"/>
      <c r="O104" s="466">
        <v>0</v>
      </c>
      <c r="P104" s="466">
        <v>0</v>
      </c>
      <c r="Q104" s="466"/>
      <c r="R104" s="466">
        <v>0</v>
      </c>
      <c r="S104" s="466">
        <v>0</v>
      </c>
      <c r="T104" s="466"/>
      <c r="U104" s="466">
        <v>0</v>
      </c>
      <c r="V104" s="466"/>
      <c r="W104" s="466"/>
      <c r="X104" s="466">
        <v>-1250.26</v>
      </c>
      <c r="Y104" s="466">
        <v>0</v>
      </c>
      <c r="Z104" s="466">
        <v>0</v>
      </c>
      <c r="AA104" s="466">
        <v>0</v>
      </c>
      <c r="AB104" s="466">
        <v>341351.41</v>
      </c>
      <c r="AC104" s="466">
        <v>41149.370000000003</v>
      </c>
      <c r="AD104" s="466">
        <v>229.55</v>
      </c>
      <c r="AE104" s="466"/>
      <c r="AF104" s="466"/>
      <c r="AG104" s="466">
        <v>-10515.55</v>
      </c>
      <c r="AH104" s="466">
        <v>92.1</v>
      </c>
      <c r="AI104" s="466">
        <v>1136.45</v>
      </c>
      <c r="AJ104" s="466"/>
      <c r="AK104" s="466">
        <v>6329.6</v>
      </c>
      <c r="AL104" s="466">
        <v>58410</v>
      </c>
      <c r="AM104" s="466"/>
      <c r="AN104" s="466">
        <v>3338.97</v>
      </c>
      <c r="AO104" s="466">
        <v>7033.15</v>
      </c>
      <c r="AP104" s="466"/>
      <c r="AQ104" s="466">
        <v>170.15</v>
      </c>
      <c r="AR104" s="466">
        <v>0.03</v>
      </c>
      <c r="AS104" s="466"/>
    </row>
    <row r="105" spans="1:45" x14ac:dyDescent="0.2">
      <c r="A105" s="465">
        <v>5559</v>
      </c>
      <c r="B105" s="466"/>
      <c r="C105" s="466">
        <v>841.17</v>
      </c>
      <c r="D105" s="466">
        <v>362.8</v>
      </c>
      <c r="E105" s="466">
        <v>10216.77</v>
      </c>
      <c r="F105" s="466">
        <v>0</v>
      </c>
      <c r="G105" s="466">
        <v>0</v>
      </c>
      <c r="H105" s="466">
        <v>0</v>
      </c>
      <c r="I105" s="466"/>
      <c r="J105" s="466"/>
      <c r="K105" s="466">
        <v>0</v>
      </c>
      <c r="L105" s="466">
        <v>0</v>
      </c>
      <c r="M105" s="466">
        <v>0</v>
      </c>
      <c r="N105" s="466"/>
      <c r="O105" s="466">
        <v>0</v>
      </c>
      <c r="P105" s="466">
        <v>0</v>
      </c>
      <c r="Q105" s="466"/>
      <c r="R105" s="466">
        <v>0</v>
      </c>
      <c r="S105" s="466">
        <v>0</v>
      </c>
      <c r="T105" s="466"/>
      <c r="U105" s="466">
        <v>0</v>
      </c>
      <c r="V105" s="466"/>
      <c r="W105" s="466"/>
      <c r="X105" s="466">
        <v>-13914.23</v>
      </c>
      <c r="Y105" s="466">
        <v>0</v>
      </c>
      <c r="Z105" s="466">
        <v>0</v>
      </c>
      <c r="AA105" s="466">
        <v>0</v>
      </c>
      <c r="AB105" s="466">
        <v>881002.26</v>
      </c>
      <c r="AC105" s="466">
        <v>257424.1</v>
      </c>
      <c r="AD105" s="466">
        <v>21462.39</v>
      </c>
      <c r="AE105" s="466"/>
      <c r="AF105" s="466"/>
      <c r="AG105" s="466">
        <v>-132533.9</v>
      </c>
      <c r="AH105" s="466">
        <v>16530.650000000001</v>
      </c>
      <c r="AI105" s="466">
        <v>4011.5</v>
      </c>
      <c r="AJ105" s="466"/>
      <c r="AK105" s="466">
        <v>60948.3</v>
      </c>
      <c r="AL105" s="466">
        <v>1179.0999999999999</v>
      </c>
      <c r="AM105" s="466"/>
      <c r="AN105" s="466">
        <v>2580.88</v>
      </c>
      <c r="AO105" s="466">
        <v>11895.65</v>
      </c>
      <c r="AP105" s="466"/>
      <c r="AQ105" s="466">
        <v>48456.75</v>
      </c>
      <c r="AR105" s="466">
        <v>197.15</v>
      </c>
      <c r="AS105" s="466">
        <v>15752.1</v>
      </c>
    </row>
    <row r="106" spans="1:45" x14ac:dyDescent="0.2">
      <c r="A106" s="465">
        <v>5560</v>
      </c>
      <c r="B106" s="466"/>
      <c r="C106" s="466">
        <v>1905.91</v>
      </c>
      <c r="D106" s="466">
        <v>174.54</v>
      </c>
      <c r="E106" s="466">
        <v>61.04</v>
      </c>
      <c r="F106" s="466">
        <v>0</v>
      </c>
      <c r="G106" s="466">
        <v>0</v>
      </c>
      <c r="H106" s="466">
        <v>0</v>
      </c>
      <c r="I106" s="466"/>
      <c r="J106" s="466"/>
      <c r="K106" s="466">
        <v>0</v>
      </c>
      <c r="L106" s="466">
        <v>0</v>
      </c>
      <c r="M106" s="466">
        <v>0</v>
      </c>
      <c r="N106" s="466"/>
      <c r="O106" s="466">
        <v>0</v>
      </c>
      <c r="P106" s="466"/>
      <c r="Q106" s="466"/>
      <c r="R106" s="466"/>
      <c r="S106" s="466">
        <v>0</v>
      </c>
      <c r="T106" s="466"/>
      <c r="U106" s="466">
        <v>0</v>
      </c>
      <c r="V106" s="466"/>
      <c r="W106" s="466"/>
      <c r="X106" s="466">
        <v>134.55000000000001</v>
      </c>
      <c r="Y106" s="466">
        <v>0</v>
      </c>
      <c r="Z106" s="466">
        <v>0</v>
      </c>
      <c r="AA106" s="466">
        <v>0</v>
      </c>
      <c r="AB106" s="466">
        <v>328216.59000000003</v>
      </c>
      <c r="AC106" s="466">
        <v>42596.61</v>
      </c>
      <c r="AD106" s="466">
        <v>4056.5</v>
      </c>
      <c r="AE106" s="466"/>
      <c r="AF106" s="466"/>
      <c r="AG106" s="466">
        <v>1000.8</v>
      </c>
      <c r="AH106" s="466">
        <v>120.95</v>
      </c>
      <c r="AI106" s="466">
        <v>624.20000000000005</v>
      </c>
      <c r="AJ106" s="466"/>
      <c r="AK106" s="466">
        <v>15838.9</v>
      </c>
      <c r="AL106" s="466"/>
      <c r="AM106" s="466"/>
      <c r="AN106" s="466"/>
      <c r="AO106" s="466">
        <v>1974.06</v>
      </c>
      <c r="AP106" s="466"/>
      <c r="AQ106" s="466">
        <v>12286.6</v>
      </c>
      <c r="AR106" s="466"/>
      <c r="AS106" s="466"/>
    </row>
    <row r="107" spans="1:45" x14ac:dyDescent="0.2">
      <c r="A107" s="465">
        <v>5561</v>
      </c>
      <c r="B107" s="466"/>
      <c r="C107" s="466">
        <v>7220.91</v>
      </c>
      <c r="D107" s="466">
        <v>2361.7800000000002</v>
      </c>
      <c r="E107" s="466">
        <v>92039.66</v>
      </c>
      <c r="F107" s="466">
        <v>0</v>
      </c>
      <c r="G107" s="466">
        <v>0</v>
      </c>
      <c r="H107" s="466">
        <v>0</v>
      </c>
      <c r="I107" s="466"/>
      <c r="J107" s="466"/>
      <c r="K107" s="466">
        <v>0</v>
      </c>
      <c r="L107" s="466">
        <v>0</v>
      </c>
      <c r="M107" s="466">
        <v>0</v>
      </c>
      <c r="N107" s="466"/>
      <c r="O107" s="466">
        <v>0</v>
      </c>
      <c r="P107" s="466">
        <v>0</v>
      </c>
      <c r="Q107" s="466"/>
      <c r="R107" s="466">
        <v>0</v>
      </c>
      <c r="S107" s="466">
        <v>0</v>
      </c>
      <c r="T107" s="466"/>
      <c r="U107" s="466">
        <v>0</v>
      </c>
      <c r="V107" s="466"/>
      <c r="W107" s="466"/>
      <c r="X107" s="466">
        <v>20582.89</v>
      </c>
      <c r="Y107" s="466">
        <v>0</v>
      </c>
      <c r="Z107" s="466">
        <v>0</v>
      </c>
      <c r="AA107" s="466">
        <v>0</v>
      </c>
      <c r="AB107" s="466">
        <v>6030313.6699999999</v>
      </c>
      <c r="AC107" s="466">
        <v>1018397.71</v>
      </c>
      <c r="AD107" s="466">
        <v>98024.05</v>
      </c>
      <c r="AE107" s="466"/>
      <c r="AF107" s="466"/>
      <c r="AG107" s="466">
        <v>155758.65</v>
      </c>
      <c r="AH107" s="466">
        <v>15841.35</v>
      </c>
      <c r="AI107" s="466">
        <v>39938</v>
      </c>
      <c r="AJ107" s="466"/>
      <c r="AK107" s="466">
        <v>302638.40000000002</v>
      </c>
      <c r="AL107" s="466">
        <v>33786.199999999997</v>
      </c>
      <c r="AM107" s="466"/>
      <c r="AN107" s="466">
        <v>24183.27</v>
      </c>
      <c r="AO107" s="466">
        <v>77851.100000000006</v>
      </c>
      <c r="AP107" s="466"/>
      <c r="AQ107" s="466">
        <v>332812.2</v>
      </c>
      <c r="AR107" s="466">
        <v>2215.56</v>
      </c>
      <c r="AS107" s="466">
        <v>401465.1</v>
      </c>
    </row>
    <row r="108" spans="1:45" x14ac:dyDescent="0.2">
      <c r="A108" s="465">
        <v>5562</v>
      </c>
      <c r="B108" s="466"/>
      <c r="C108" s="466">
        <v>274.04000000000002</v>
      </c>
      <c r="D108" s="466">
        <v>149.16</v>
      </c>
      <c r="E108" s="466">
        <v>6905.78</v>
      </c>
      <c r="F108" s="466">
        <v>0</v>
      </c>
      <c r="G108" s="466">
        <v>0</v>
      </c>
      <c r="H108" s="466">
        <v>0</v>
      </c>
      <c r="I108" s="466"/>
      <c r="J108" s="466"/>
      <c r="K108" s="466">
        <v>0</v>
      </c>
      <c r="L108" s="466">
        <v>0</v>
      </c>
      <c r="M108" s="466">
        <v>0</v>
      </c>
      <c r="N108" s="466"/>
      <c r="O108" s="466">
        <v>0</v>
      </c>
      <c r="P108" s="466">
        <v>0</v>
      </c>
      <c r="Q108" s="466"/>
      <c r="R108" s="466"/>
      <c r="S108" s="466">
        <v>0</v>
      </c>
      <c r="T108" s="466"/>
      <c r="U108" s="466">
        <v>0</v>
      </c>
      <c r="V108" s="466"/>
      <c r="W108" s="466"/>
      <c r="X108" s="466">
        <v>273.75</v>
      </c>
      <c r="Y108" s="466">
        <v>0</v>
      </c>
      <c r="Z108" s="466">
        <v>0</v>
      </c>
      <c r="AA108" s="466">
        <v>0</v>
      </c>
      <c r="AB108" s="466">
        <v>204964.7</v>
      </c>
      <c r="AC108" s="466">
        <v>182366.21</v>
      </c>
      <c r="AD108" s="466">
        <v>6319.65</v>
      </c>
      <c r="AE108" s="466"/>
      <c r="AF108" s="466"/>
      <c r="AG108" s="466">
        <v>2247.9</v>
      </c>
      <c r="AH108" s="466">
        <v>34.35</v>
      </c>
      <c r="AI108" s="466">
        <v>1974.5</v>
      </c>
      <c r="AJ108" s="466"/>
      <c r="AK108" s="466">
        <v>5830</v>
      </c>
      <c r="AL108" s="466">
        <v>7790.6</v>
      </c>
      <c r="AM108" s="466"/>
      <c r="AN108" s="466"/>
      <c r="AO108" s="466">
        <v>2391.84</v>
      </c>
      <c r="AP108" s="466"/>
      <c r="AQ108" s="466">
        <v>11765.3</v>
      </c>
      <c r="AR108" s="466">
        <v>13.26</v>
      </c>
      <c r="AS108" s="466"/>
    </row>
    <row r="109" spans="1:45" x14ac:dyDescent="0.2">
      <c r="A109" s="465">
        <v>5563</v>
      </c>
      <c r="B109" s="466"/>
      <c r="C109" s="466"/>
      <c r="D109" s="466">
        <v>78.900000000000006</v>
      </c>
      <c r="E109" s="466">
        <v>4499.96</v>
      </c>
      <c r="F109" s="466">
        <v>0</v>
      </c>
      <c r="G109" s="466">
        <v>0</v>
      </c>
      <c r="H109" s="466"/>
      <c r="I109" s="466"/>
      <c r="J109" s="466"/>
      <c r="K109" s="466">
        <v>0</v>
      </c>
      <c r="L109" s="466">
        <v>0</v>
      </c>
      <c r="M109" s="466"/>
      <c r="N109" s="466"/>
      <c r="O109" s="466">
        <v>0</v>
      </c>
      <c r="P109" s="466">
        <v>0</v>
      </c>
      <c r="Q109" s="466"/>
      <c r="R109" s="466"/>
      <c r="S109" s="466">
        <v>0</v>
      </c>
      <c r="T109" s="466"/>
      <c r="U109" s="466">
        <v>0</v>
      </c>
      <c r="V109" s="466"/>
      <c r="W109" s="466"/>
      <c r="X109" s="466">
        <v>54.56</v>
      </c>
      <c r="Y109" s="466"/>
      <c r="Z109" s="466">
        <v>0</v>
      </c>
      <c r="AA109" s="466">
        <v>0</v>
      </c>
      <c r="AB109" s="466">
        <v>286534.48</v>
      </c>
      <c r="AC109" s="466">
        <v>20985.02</v>
      </c>
      <c r="AD109" s="466"/>
      <c r="AE109" s="466"/>
      <c r="AF109" s="466"/>
      <c r="AG109" s="466">
        <v>427.35</v>
      </c>
      <c r="AH109" s="466">
        <v>27.55</v>
      </c>
      <c r="AI109" s="466"/>
      <c r="AJ109" s="466"/>
      <c r="AK109" s="466">
        <v>19949.599999999999</v>
      </c>
      <c r="AL109" s="466">
        <v>3229.2</v>
      </c>
      <c r="AM109" s="466"/>
      <c r="AN109" s="466"/>
      <c r="AO109" s="466">
        <v>3884.23</v>
      </c>
      <c r="AP109" s="466"/>
      <c r="AQ109" s="466">
        <v>449.15</v>
      </c>
      <c r="AR109" s="466">
        <v>0.95</v>
      </c>
      <c r="AS109" s="466"/>
    </row>
    <row r="110" spans="1:45" x14ac:dyDescent="0.2">
      <c r="A110" s="465">
        <v>5564</v>
      </c>
      <c r="B110" s="466"/>
      <c r="C110" s="466">
        <v>13.16</v>
      </c>
      <c r="D110" s="466">
        <v>73.959999999999994</v>
      </c>
      <c r="E110" s="466">
        <v>188.79</v>
      </c>
      <c r="F110" s="466">
        <v>0</v>
      </c>
      <c r="G110" s="466">
        <v>0</v>
      </c>
      <c r="H110" s="466"/>
      <c r="I110" s="466"/>
      <c r="J110" s="466"/>
      <c r="K110" s="466">
        <v>0</v>
      </c>
      <c r="L110" s="466">
        <v>0</v>
      </c>
      <c r="M110" s="466"/>
      <c r="N110" s="466">
        <v>0</v>
      </c>
      <c r="O110" s="466">
        <v>0</v>
      </c>
      <c r="P110" s="466"/>
      <c r="Q110" s="466"/>
      <c r="R110" s="466"/>
      <c r="S110" s="466">
        <v>0</v>
      </c>
      <c r="T110" s="466"/>
      <c r="U110" s="466">
        <v>0</v>
      </c>
      <c r="V110" s="466"/>
      <c r="W110" s="466"/>
      <c r="X110" s="466">
        <v>-1.78</v>
      </c>
      <c r="Y110" s="466">
        <v>0</v>
      </c>
      <c r="Z110" s="466">
        <v>0</v>
      </c>
      <c r="AA110" s="466">
        <v>0</v>
      </c>
      <c r="AB110" s="466">
        <v>132869.46</v>
      </c>
      <c r="AC110" s="466">
        <v>12607.81</v>
      </c>
      <c r="AD110" s="466"/>
      <c r="AE110" s="466"/>
      <c r="AF110" s="466"/>
      <c r="AG110" s="466">
        <v>-38.549999999999997</v>
      </c>
      <c r="AH110" s="466">
        <v>23.75</v>
      </c>
      <c r="AI110" s="466"/>
      <c r="AJ110" s="466">
        <v>10945.95</v>
      </c>
      <c r="AK110" s="466">
        <v>13948</v>
      </c>
      <c r="AL110" s="466"/>
      <c r="AM110" s="466"/>
      <c r="AN110" s="466"/>
      <c r="AO110" s="466">
        <v>1278.4000000000001</v>
      </c>
      <c r="AP110" s="466"/>
      <c r="AQ110" s="466">
        <v>12895.3</v>
      </c>
      <c r="AR110" s="466"/>
      <c r="AS110" s="466"/>
    </row>
    <row r="111" spans="1:45" x14ac:dyDescent="0.2">
      <c r="A111" s="465">
        <v>5565</v>
      </c>
      <c r="B111" s="466"/>
      <c r="C111" s="466">
        <v>156.66999999999999</v>
      </c>
      <c r="D111" s="466">
        <v>322.55</v>
      </c>
      <c r="E111" s="466">
        <v>27776.720000000001</v>
      </c>
      <c r="F111" s="466">
        <v>0</v>
      </c>
      <c r="G111" s="466">
        <v>0</v>
      </c>
      <c r="H111" s="466">
        <v>0</v>
      </c>
      <c r="I111" s="466"/>
      <c r="J111" s="466"/>
      <c r="K111" s="466">
        <v>0</v>
      </c>
      <c r="L111" s="466">
        <v>0</v>
      </c>
      <c r="M111" s="466">
        <v>0</v>
      </c>
      <c r="N111" s="466"/>
      <c r="O111" s="466">
        <v>0</v>
      </c>
      <c r="P111" s="466"/>
      <c r="Q111" s="466"/>
      <c r="R111" s="466">
        <v>0</v>
      </c>
      <c r="S111" s="466">
        <v>0</v>
      </c>
      <c r="T111" s="466"/>
      <c r="U111" s="466">
        <v>0</v>
      </c>
      <c r="V111" s="466"/>
      <c r="W111" s="466"/>
      <c r="X111" s="466">
        <v>26439.38</v>
      </c>
      <c r="Y111" s="466">
        <v>0</v>
      </c>
      <c r="Z111" s="466">
        <v>0</v>
      </c>
      <c r="AA111" s="466">
        <v>0</v>
      </c>
      <c r="AB111" s="466">
        <v>769737.31</v>
      </c>
      <c r="AC111" s="466">
        <v>95749.2</v>
      </c>
      <c r="AD111" s="466">
        <v>7621.6</v>
      </c>
      <c r="AE111" s="466"/>
      <c r="AF111" s="466"/>
      <c r="AG111" s="466">
        <v>62768.5</v>
      </c>
      <c r="AH111" s="466">
        <v>157657.20000000001</v>
      </c>
      <c r="AI111" s="466">
        <v>26852.5</v>
      </c>
      <c r="AJ111" s="466"/>
      <c r="AK111" s="466">
        <v>23569.200000000001</v>
      </c>
      <c r="AL111" s="466"/>
      <c r="AM111" s="466"/>
      <c r="AN111" s="466">
        <v>1733.33</v>
      </c>
      <c r="AO111" s="466">
        <v>8402.19</v>
      </c>
      <c r="AP111" s="466"/>
      <c r="AQ111" s="466">
        <v>17554.599999999999</v>
      </c>
      <c r="AR111" s="466">
        <v>11.29</v>
      </c>
      <c r="AS111" s="466">
        <v>40728.550000000003</v>
      </c>
    </row>
    <row r="112" spans="1:45" x14ac:dyDescent="0.2">
      <c r="A112" s="465">
        <v>5566</v>
      </c>
      <c r="B112" s="466"/>
      <c r="C112" s="466">
        <v>-84.74</v>
      </c>
      <c r="D112" s="466">
        <v>264.91000000000003</v>
      </c>
      <c r="E112" s="466">
        <v>16973.87</v>
      </c>
      <c r="F112" s="466">
        <v>0</v>
      </c>
      <c r="G112" s="466">
        <v>0</v>
      </c>
      <c r="H112" s="466">
        <v>0</v>
      </c>
      <c r="I112" s="466"/>
      <c r="J112" s="466"/>
      <c r="K112" s="466">
        <v>0</v>
      </c>
      <c r="L112" s="466">
        <v>0</v>
      </c>
      <c r="M112" s="466">
        <v>0</v>
      </c>
      <c r="N112" s="466">
        <v>0</v>
      </c>
      <c r="O112" s="466">
        <v>0</v>
      </c>
      <c r="P112" s="466">
        <v>0</v>
      </c>
      <c r="Q112" s="466"/>
      <c r="R112" s="466">
        <v>0</v>
      </c>
      <c r="S112" s="466">
        <v>0</v>
      </c>
      <c r="T112" s="466"/>
      <c r="U112" s="466">
        <v>0</v>
      </c>
      <c r="V112" s="466"/>
      <c r="W112" s="466"/>
      <c r="X112" s="466">
        <v>2841.21</v>
      </c>
      <c r="Y112" s="466">
        <v>0</v>
      </c>
      <c r="Z112" s="466">
        <v>0</v>
      </c>
      <c r="AA112" s="466">
        <v>0</v>
      </c>
      <c r="AB112" s="466">
        <v>479374.21</v>
      </c>
      <c r="AC112" s="466">
        <v>71057.25</v>
      </c>
      <c r="AD112" s="466">
        <v>-2241.41</v>
      </c>
      <c r="AE112" s="466"/>
      <c r="AF112" s="466"/>
      <c r="AG112" s="466">
        <v>19094.900000000001</v>
      </c>
      <c r="AH112" s="466">
        <v>4592.3500000000004</v>
      </c>
      <c r="AI112" s="466">
        <v>2992.35</v>
      </c>
      <c r="AJ112" s="466">
        <v>77257.7</v>
      </c>
      <c r="AK112" s="466">
        <v>39065.35</v>
      </c>
      <c r="AL112" s="466">
        <v>89681.5</v>
      </c>
      <c r="AM112" s="466"/>
      <c r="AN112" s="466">
        <v>695.42</v>
      </c>
      <c r="AO112" s="466">
        <v>8833.52</v>
      </c>
      <c r="AP112" s="466"/>
      <c r="AQ112" s="466">
        <v>9511.7999999999993</v>
      </c>
      <c r="AR112" s="466"/>
      <c r="AS112" s="466">
        <v>28034.799999999999</v>
      </c>
    </row>
    <row r="113" spans="1:45" x14ac:dyDescent="0.2">
      <c r="A113" s="465">
        <v>5568</v>
      </c>
      <c r="B113" s="466"/>
      <c r="C113" s="466">
        <v>5537.8</v>
      </c>
      <c r="D113" s="466">
        <v>2345.62</v>
      </c>
      <c r="E113" s="466">
        <v>276995.33</v>
      </c>
      <c r="F113" s="466">
        <v>0</v>
      </c>
      <c r="G113" s="466">
        <v>0</v>
      </c>
      <c r="H113" s="466">
        <v>0</v>
      </c>
      <c r="I113" s="466">
        <v>0</v>
      </c>
      <c r="J113" s="466"/>
      <c r="K113" s="466">
        <v>0</v>
      </c>
      <c r="L113" s="466">
        <v>0</v>
      </c>
      <c r="M113" s="466">
        <v>0</v>
      </c>
      <c r="N113" s="466"/>
      <c r="O113" s="466">
        <v>0</v>
      </c>
      <c r="P113" s="466">
        <v>0</v>
      </c>
      <c r="Q113" s="466"/>
      <c r="R113" s="466">
        <v>0</v>
      </c>
      <c r="S113" s="466">
        <v>0</v>
      </c>
      <c r="T113" s="466"/>
      <c r="U113" s="466">
        <v>0</v>
      </c>
      <c r="V113" s="466"/>
      <c r="W113" s="466"/>
      <c r="X113" s="466">
        <v>41296.639999999999</v>
      </c>
      <c r="Y113" s="466">
        <v>0</v>
      </c>
      <c r="Z113" s="466">
        <v>0</v>
      </c>
      <c r="AA113" s="466">
        <v>0</v>
      </c>
      <c r="AB113" s="466">
        <v>5579599.8300000001</v>
      </c>
      <c r="AC113" s="466">
        <v>861719.05</v>
      </c>
      <c r="AD113" s="466">
        <v>124726.16</v>
      </c>
      <c r="AE113" s="466">
        <v>34735.050000000003</v>
      </c>
      <c r="AF113" s="466"/>
      <c r="AG113" s="466">
        <v>271059.3</v>
      </c>
      <c r="AH113" s="466">
        <v>73231.8</v>
      </c>
      <c r="AI113" s="466">
        <v>42009.7</v>
      </c>
      <c r="AJ113" s="466"/>
      <c r="AK113" s="466">
        <v>272655.25</v>
      </c>
      <c r="AL113" s="466">
        <v>397671.2</v>
      </c>
      <c r="AM113" s="466"/>
      <c r="AN113" s="466">
        <v>73754.06</v>
      </c>
      <c r="AO113" s="466">
        <v>73103.48</v>
      </c>
      <c r="AP113" s="466"/>
      <c r="AQ113" s="466">
        <v>275736.40000000002</v>
      </c>
      <c r="AR113" s="466">
        <v>7531.87</v>
      </c>
      <c r="AS113" s="466">
        <v>1941083.25</v>
      </c>
    </row>
    <row r="114" spans="1:45" x14ac:dyDescent="0.2">
      <c r="A114" s="465">
        <v>5571</v>
      </c>
      <c r="B114" s="466"/>
      <c r="C114" s="466">
        <v>1014.89</v>
      </c>
      <c r="D114" s="466">
        <v>838.75</v>
      </c>
      <c r="E114" s="466">
        <v>25560.43</v>
      </c>
      <c r="F114" s="466">
        <v>0</v>
      </c>
      <c r="G114" s="466">
        <v>0</v>
      </c>
      <c r="H114" s="466">
        <v>0</v>
      </c>
      <c r="I114" s="466"/>
      <c r="J114" s="466"/>
      <c r="K114" s="466">
        <v>0</v>
      </c>
      <c r="L114" s="466">
        <v>0</v>
      </c>
      <c r="M114" s="466">
        <v>0</v>
      </c>
      <c r="N114" s="466"/>
      <c r="O114" s="466">
        <v>0</v>
      </c>
      <c r="P114" s="466">
        <v>0</v>
      </c>
      <c r="Q114" s="466">
        <v>0</v>
      </c>
      <c r="R114" s="466">
        <v>0</v>
      </c>
      <c r="S114" s="466">
        <v>0</v>
      </c>
      <c r="T114" s="466"/>
      <c r="U114" s="466">
        <v>0</v>
      </c>
      <c r="V114" s="466"/>
      <c r="W114" s="466"/>
      <c r="X114" s="466">
        <v>1762.66</v>
      </c>
      <c r="Y114" s="466">
        <v>0</v>
      </c>
      <c r="Z114" s="466">
        <v>0</v>
      </c>
      <c r="AA114" s="466">
        <v>0</v>
      </c>
      <c r="AB114" s="466">
        <v>1209284.0900000001</v>
      </c>
      <c r="AC114" s="466">
        <v>140747.29999999999</v>
      </c>
      <c r="AD114" s="466">
        <v>12529.03</v>
      </c>
      <c r="AE114" s="466"/>
      <c r="AF114" s="466"/>
      <c r="AG114" s="466">
        <v>14503.55</v>
      </c>
      <c r="AH114" s="466">
        <v>191.8</v>
      </c>
      <c r="AI114" s="466">
        <v>8767.2000000000007</v>
      </c>
      <c r="AJ114" s="466"/>
      <c r="AK114" s="466">
        <v>70205.5</v>
      </c>
      <c r="AL114" s="466">
        <v>21402.799999999999</v>
      </c>
      <c r="AM114" s="466">
        <v>7400</v>
      </c>
      <c r="AN114" s="466">
        <v>-21.02</v>
      </c>
      <c r="AO114" s="466">
        <v>12979.42</v>
      </c>
      <c r="AP114" s="466"/>
      <c r="AQ114" s="466">
        <v>32604.15</v>
      </c>
      <c r="AR114" s="466">
        <v>0.11</v>
      </c>
      <c r="AS114" s="466">
        <v>43934.400000000001</v>
      </c>
    </row>
    <row r="115" spans="1:45" x14ac:dyDescent="0.2">
      <c r="A115" s="465">
        <v>5581</v>
      </c>
      <c r="B115" s="466"/>
      <c r="C115" s="466">
        <v>45795.99</v>
      </c>
      <c r="D115" s="466">
        <v>2799.86</v>
      </c>
      <c r="E115" s="466">
        <v>119092.76</v>
      </c>
      <c r="F115" s="466">
        <v>0</v>
      </c>
      <c r="G115" s="466">
        <v>0</v>
      </c>
      <c r="H115" s="466">
        <v>0</v>
      </c>
      <c r="I115" s="466">
        <v>0</v>
      </c>
      <c r="J115" s="466"/>
      <c r="K115" s="466">
        <v>0</v>
      </c>
      <c r="L115" s="466">
        <v>0</v>
      </c>
      <c r="M115" s="466">
        <v>0</v>
      </c>
      <c r="N115" s="466">
        <v>0</v>
      </c>
      <c r="O115" s="466">
        <v>0</v>
      </c>
      <c r="P115" s="466">
        <v>0</v>
      </c>
      <c r="Q115" s="466">
        <v>0</v>
      </c>
      <c r="R115" s="466">
        <v>0</v>
      </c>
      <c r="S115" s="466">
        <v>0</v>
      </c>
      <c r="T115" s="466"/>
      <c r="U115" s="466">
        <v>0</v>
      </c>
      <c r="V115" s="466"/>
      <c r="W115" s="466"/>
      <c r="X115" s="466">
        <v>18441.29</v>
      </c>
      <c r="Y115" s="466">
        <v>0</v>
      </c>
      <c r="Z115" s="466">
        <v>0</v>
      </c>
      <c r="AA115" s="466">
        <v>0</v>
      </c>
      <c r="AB115" s="466">
        <v>12060090.109999999</v>
      </c>
      <c r="AC115" s="466">
        <v>1890860.16</v>
      </c>
      <c r="AD115" s="466">
        <v>188125.99</v>
      </c>
      <c r="AE115" s="466">
        <v>131942.20000000001</v>
      </c>
      <c r="AF115" s="466"/>
      <c r="AG115" s="466">
        <v>139260.54999999999</v>
      </c>
      <c r="AH115" s="466">
        <v>14484.9</v>
      </c>
      <c r="AI115" s="466">
        <v>46451.95</v>
      </c>
      <c r="AJ115" s="466">
        <v>1404786.75</v>
      </c>
      <c r="AK115" s="466">
        <v>817770.75</v>
      </c>
      <c r="AL115" s="466">
        <v>403696.7</v>
      </c>
      <c r="AM115" s="466">
        <v>22000</v>
      </c>
      <c r="AN115" s="466">
        <v>2457.84</v>
      </c>
      <c r="AO115" s="466">
        <v>154105.53</v>
      </c>
      <c r="AP115" s="466"/>
      <c r="AQ115" s="466">
        <v>404928.55</v>
      </c>
      <c r="AR115" s="466">
        <v>13459.88</v>
      </c>
      <c r="AS115" s="466">
        <v>6504.65</v>
      </c>
    </row>
    <row r="116" spans="1:45" x14ac:dyDescent="0.2">
      <c r="A116" s="465">
        <v>5582</v>
      </c>
      <c r="B116" s="466"/>
      <c r="C116" s="466">
        <v>13317.82</v>
      </c>
      <c r="D116" s="466">
        <v>2655.42</v>
      </c>
      <c r="E116" s="466">
        <v>110947.42</v>
      </c>
      <c r="F116" s="466">
        <v>0</v>
      </c>
      <c r="G116" s="466">
        <v>0</v>
      </c>
      <c r="H116" s="466">
        <v>0</v>
      </c>
      <c r="I116" s="466">
        <v>0</v>
      </c>
      <c r="J116" s="466"/>
      <c r="K116" s="466">
        <v>0</v>
      </c>
      <c r="L116" s="466">
        <v>0</v>
      </c>
      <c r="M116" s="466">
        <v>0</v>
      </c>
      <c r="N116" s="466">
        <v>0</v>
      </c>
      <c r="O116" s="466">
        <v>0</v>
      </c>
      <c r="P116" s="466">
        <v>0</v>
      </c>
      <c r="Q116" s="466">
        <v>0</v>
      </c>
      <c r="R116" s="466">
        <v>0</v>
      </c>
      <c r="S116" s="466">
        <v>0</v>
      </c>
      <c r="T116" s="466"/>
      <c r="U116" s="466">
        <v>0</v>
      </c>
      <c r="V116" s="466"/>
      <c r="W116" s="466"/>
      <c r="X116" s="466">
        <v>47506.01</v>
      </c>
      <c r="Y116" s="466">
        <v>0</v>
      </c>
      <c r="Z116" s="466">
        <v>0</v>
      </c>
      <c r="AA116" s="466">
        <v>0</v>
      </c>
      <c r="AB116" s="466">
        <v>9121701.8399999999</v>
      </c>
      <c r="AC116" s="466">
        <v>1065704.1100000001</v>
      </c>
      <c r="AD116" s="466">
        <v>325747.37</v>
      </c>
      <c r="AE116" s="466">
        <v>69493.399999999994</v>
      </c>
      <c r="AF116" s="466"/>
      <c r="AG116" s="466">
        <v>230560.75</v>
      </c>
      <c r="AH116" s="466">
        <v>165497.95000000001</v>
      </c>
      <c r="AI116" s="466">
        <v>81995.5</v>
      </c>
      <c r="AJ116" s="466">
        <v>921147.6</v>
      </c>
      <c r="AK116" s="466">
        <v>279093.84999999998</v>
      </c>
      <c r="AL116" s="466">
        <v>121067</v>
      </c>
      <c r="AM116" s="466">
        <v>20950</v>
      </c>
      <c r="AN116" s="466">
        <v>39706.730000000003</v>
      </c>
      <c r="AO116" s="466">
        <v>104513.56</v>
      </c>
      <c r="AP116" s="466"/>
      <c r="AQ116" s="466">
        <v>197899.8</v>
      </c>
      <c r="AR116" s="466">
        <v>2152.39</v>
      </c>
      <c r="AS116" s="466">
        <v>472098.15</v>
      </c>
    </row>
    <row r="117" spans="1:45" x14ac:dyDescent="0.2">
      <c r="A117" s="465">
        <v>5583</v>
      </c>
      <c r="B117" s="466"/>
      <c r="C117" s="466">
        <v>31216.74</v>
      </c>
      <c r="D117" s="466">
        <v>7321.69</v>
      </c>
      <c r="E117" s="466">
        <v>331383.8</v>
      </c>
      <c r="F117" s="466">
        <v>0</v>
      </c>
      <c r="G117" s="466">
        <v>0</v>
      </c>
      <c r="H117" s="466">
        <v>0</v>
      </c>
      <c r="I117" s="466"/>
      <c r="J117" s="466"/>
      <c r="K117" s="466">
        <v>0</v>
      </c>
      <c r="L117" s="466">
        <v>0</v>
      </c>
      <c r="M117" s="466">
        <v>0</v>
      </c>
      <c r="N117" s="466"/>
      <c r="O117" s="466">
        <v>0</v>
      </c>
      <c r="P117" s="466">
        <v>0</v>
      </c>
      <c r="Q117" s="466">
        <v>0</v>
      </c>
      <c r="R117" s="466">
        <v>0</v>
      </c>
      <c r="S117" s="466">
        <v>0</v>
      </c>
      <c r="T117" s="466"/>
      <c r="U117" s="466">
        <v>0</v>
      </c>
      <c r="V117" s="466"/>
      <c r="W117" s="466"/>
      <c r="X117" s="466">
        <v>577565.11</v>
      </c>
      <c r="Y117" s="466">
        <v>0</v>
      </c>
      <c r="Z117" s="466">
        <v>0</v>
      </c>
      <c r="AA117" s="466">
        <v>0</v>
      </c>
      <c r="AB117" s="466">
        <v>12511870.390000001</v>
      </c>
      <c r="AC117" s="466">
        <v>1846426.18</v>
      </c>
      <c r="AD117" s="466">
        <v>1042296.27</v>
      </c>
      <c r="AE117" s="466"/>
      <c r="AF117" s="466"/>
      <c r="AG117" s="466">
        <v>4564226.3</v>
      </c>
      <c r="AH117" s="466">
        <v>250947.65</v>
      </c>
      <c r="AI117" s="466">
        <v>354891.75</v>
      </c>
      <c r="AJ117" s="466"/>
      <c r="AK117" s="466">
        <v>967869.6</v>
      </c>
      <c r="AL117" s="466">
        <v>122029.7</v>
      </c>
      <c r="AM117" s="466">
        <v>60075</v>
      </c>
      <c r="AN117" s="466">
        <v>49453.58</v>
      </c>
      <c r="AO117" s="466">
        <v>177751.31</v>
      </c>
      <c r="AP117" s="466"/>
      <c r="AQ117" s="466">
        <v>407895.5</v>
      </c>
      <c r="AR117" s="466">
        <v>4299.21</v>
      </c>
      <c r="AS117" s="466">
        <v>2295455.25</v>
      </c>
    </row>
    <row r="118" spans="1:45" x14ac:dyDescent="0.2">
      <c r="A118" s="465">
        <v>5584</v>
      </c>
      <c r="B118" s="466"/>
      <c r="C118" s="466">
        <v>60705.31</v>
      </c>
      <c r="D118" s="466">
        <v>10371.4</v>
      </c>
      <c r="E118" s="466">
        <v>297070.43</v>
      </c>
      <c r="F118" s="466">
        <v>0</v>
      </c>
      <c r="G118" s="466">
        <v>0</v>
      </c>
      <c r="H118" s="466">
        <v>0</v>
      </c>
      <c r="I118" s="466">
        <v>0</v>
      </c>
      <c r="J118" s="466"/>
      <c r="K118" s="466">
        <v>0</v>
      </c>
      <c r="L118" s="466">
        <v>0</v>
      </c>
      <c r="M118" s="466">
        <v>0</v>
      </c>
      <c r="N118" s="466"/>
      <c r="O118" s="466">
        <v>0</v>
      </c>
      <c r="P118" s="466">
        <v>0</v>
      </c>
      <c r="Q118" s="466">
        <v>0</v>
      </c>
      <c r="R118" s="466">
        <v>0</v>
      </c>
      <c r="S118" s="466">
        <v>0</v>
      </c>
      <c r="T118" s="466"/>
      <c r="U118" s="466">
        <v>0</v>
      </c>
      <c r="V118" s="466"/>
      <c r="W118" s="466"/>
      <c r="X118" s="466">
        <v>101983.15</v>
      </c>
      <c r="Y118" s="466">
        <v>0</v>
      </c>
      <c r="Z118" s="466">
        <v>0</v>
      </c>
      <c r="AA118" s="466">
        <v>0</v>
      </c>
      <c r="AB118" s="466">
        <v>23106443.59</v>
      </c>
      <c r="AC118" s="466">
        <v>4159910.18</v>
      </c>
      <c r="AD118" s="466">
        <v>398882.56</v>
      </c>
      <c r="AE118" s="466">
        <v>285041.2</v>
      </c>
      <c r="AF118" s="466"/>
      <c r="AG118" s="466">
        <v>504337.95</v>
      </c>
      <c r="AH118" s="466">
        <v>345897.95</v>
      </c>
      <c r="AI118" s="466">
        <v>272356.65000000002</v>
      </c>
      <c r="AJ118" s="466"/>
      <c r="AK118" s="466">
        <v>1422716.85</v>
      </c>
      <c r="AL118" s="466">
        <v>801108.5</v>
      </c>
      <c r="AM118" s="466">
        <v>36800</v>
      </c>
      <c r="AN118" s="466">
        <v>73992.94</v>
      </c>
      <c r="AO118" s="466">
        <v>261499.21</v>
      </c>
      <c r="AP118" s="466"/>
      <c r="AQ118" s="466">
        <v>1316494.45</v>
      </c>
      <c r="AR118" s="466">
        <v>81514.34</v>
      </c>
      <c r="AS118" s="466">
        <v>308569.90000000002</v>
      </c>
    </row>
    <row r="119" spans="1:45" x14ac:dyDescent="0.2">
      <c r="A119" s="465">
        <v>5585</v>
      </c>
      <c r="B119" s="466"/>
      <c r="C119" s="466">
        <v>8558.52</v>
      </c>
      <c r="D119" s="466">
        <v>3771.28</v>
      </c>
      <c r="E119" s="466">
        <v>10146.69</v>
      </c>
      <c r="F119" s="466">
        <v>0</v>
      </c>
      <c r="G119" s="466">
        <v>0</v>
      </c>
      <c r="H119" s="466">
        <v>0</v>
      </c>
      <c r="I119" s="466">
        <v>0</v>
      </c>
      <c r="J119" s="466"/>
      <c r="K119" s="466">
        <v>0</v>
      </c>
      <c r="L119" s="466">
        <v>0</v>
      </c>
      <c r="M119" s="466">
        <v>0</v>
      </c>
      <c r="N119" s="466">
        <v>0</v>
      </c>
      <c r="O119" s="466">
        <v>0</v>
      </c>
      <c r="P119" s="466">
        <v>0</v>
      </c>
      <c r="Q119" s="466">
        <v>0</v>
      </c>
      <c r="R119" s="466"/>
      <c r="S119" s="466">
        <v>0</v>
      </c>
      <c r="T119" s="466"/>
      <c r="U119" s="466">
        <v>0</v>
      </c>
      <c r="V119" s="466"/>
      <c r="W119" s="466"/>
      <c r="X119" s="466">
        <v>10097.76</v>
      </c>
      <c r="Y119" s="466">
        <v>0</v>
      </c>
      <c r="Z119" s="466">
        <v>0</v>
      </c>
      <c r="AA119" s="466">
        <v>0</v>
      </c>
      <c r="AB119" s="466">
        <v>7350913.6399999997</v>
      </c>
      <c r="AC119" s="466">
        <v>3606876.94</v>
      </c>
      <c r="AD119" s="466">
        <v>48157.27</v>
      </c>
      <c r="AE119" s="466">
        <v>296758.96000000002</v>
      </c>
      <c r="AF119" s="466"/>
      <c r="AG119" s="466">
        <v>80921.2</v>
      </c>
      <c r="AH119" s="466">
        <v>3264.05</v>
      </c>
      <c r="AI119" s="466">
        <v>8097.1</v>
      </c>
      <c r="AJ119" s="466">
        <v>569301.85</v>
      </c>
      <c r="AK119" s="466">
        <v>291775.95</v>
      </c>
      <c r="AL119" s="466">
        <v>435141.9</v>
      </c>
      <c r="AM119" s="466">
        <v>6960</v>
      </c>
      <c r="AN119" s="466"/>
      <c r="AO119" s="466">
        <v>64409.120000000003</v>
      </c>
      <c r="AP119" s="466"/>
      <c r="AQ119" s="466">
        <v>369624.65</v>
      </c>
      <c r="AR119" s="466">
        <v>15778.42</v>
      </c>
      <c r="AS119" s="466">
        <v>1302.3</v>
      </c>
    </row>
    <row r="120" spans="1:45" x14ac:dyDescent="0.2">
      <c r="A120" s="465">
        <v>5586</v>
      </c>
      <c r="B120" s="466"/>
      <c r="C120" s="466">
        <v>1359538.79</v>
      </c>
      <c r="D120" s="466">
        <v>168830.63</v>
      </c>
      <c r="E120" s="466">
        <v>6854187.4400000004</v>
      </c>
      <c r="F120" s="466">
        <v>0</v>
      </c>
      <c r="G120" s="466">
        <v>0</v>
      </c>
      <c r="H120" s="466">
        <v>0</v>
      </c>
      <c r="I120" s="466">
        <v>0</v>
      </c>
      <c r="J120" s="466"/>
      <c r="K120" s="466">
        <v>0</v>
      </c>
      <c r="L120" s="466">
        <v>0</v>
      </c>
      <c r="M120" s="466">
        <v>0</v>
      </c>
      <c r="N120" s="466">
        <v>0</v>
      </c>
      <c r="O120" s="466">
        <v>0</v>
      </c>
      <c r="P120" s="466">
        <v>0</v>
      </c>
      <c r="Q120" s="466">
        <v>0</v>
      </c>
      <c r="R120" s="466">
        <v>0</v>
      </c>
      <c r="S120" s="466">
        <v>0</v>
      </c>
      <c r="T120" s="466">
        <v>0</v>
      </c>
      <c r="U120" s="466">
        <v>0</v>
      </c>
      <c r="V120" s="466"/>
      <c r="W120" s="466"/>
      <c r="X120" s="466">
        <v>9739038.2200000007</v>
      </c>
      <c r="Y120" s="466">
        <v>0</v>
      </c>
      <c r="Z120" s="466">
        <v>0</v>
      </c>
      <c r="AA120" s="466">
        <v>0</v>
      </c>
      <c r="AB120" s="466">
        <v>302465903.94</v>
      </c>
      <c r="AC120" s="466">
        <v>39572236.310000002</v>
      </c>
      <c r="AD120" s="466">
        <v>24474697.559999999</v>
      </c>
      <c r="AE120" s="466">
        <v>5562328.7800000003</v>
      </c>
      <c r="AF120" s="466"/>
      <c r="AG120" s="466">
        <v>74432498.200000003</v>
      </c>
      <c r="AH120" s="466">
        <v>6762092.75</v>
      </c>
      <c r="AI120" s="466">
        <v>6699861.25</v>
      </c>
      <c r="AJ120" s="466">
        <v>42927610.149999999</v>
      </c>
      <c r="AK120" s="466">
        <v>11894547.550000001</v>
      </c>
      <c r="AL120" s="466">
        <v>12289230.4</v>
      </c>
      <c r="AM120" s="466">
        <v>389200</v>
      </c>
      <c r="AN120" s="466">
        <v>1648272.55</v>
      </c>
      <c r="AO120" s="466">
        <v>4478335.22</v>
      </c>
      <c r="AP120" s="466">
        <v>58949.4</v>
      </c>
      <c r="AQ120" s="466">
        <v>12773118.1</v>
      </c>
      <c r="AR120" s="466">
        <v>740552.9</v>
      </c>
      <c r="AS120" s="466">
        <v>13812872.5</v>
      </c>
    </row>
    <row r="121" spans="1:45" x14ac:dyDescent="0.2">
      <c r="A121" s="465">
        <v>5587</v>
      </c>
      <c r="B121" s="466"/>
      <c r="C121" s="466">
        <v>67504.41</v>
      </c>
      <c r="D121" s="466">
        <v>9985.11</v>
      </c>
      <c r="E121" s="466">
        <v>1660558.52</v>
      </c>
      <c r="F121" s="466">
        <v>0</v>
      </c>
      <c r="G121" s="466">
        <v>0</v>
      </c>
      <c r="H121" s="466">
        <v>0</v>
      </c>
      <c r="I121" s="466">
        <v>0</v>
      </c>
      <c r="J121" s="466"/>
      <c r="K121" s="466">
        <v>0</v>
      </c>
      <c r="L121" s="466">
        <v>0</v>
      </c>
      <c r="M121" s="466">
        <v>0</v>
      </c>
      <c r="N121" s="466">
        <v>0</v>
      </c>
      <c r="O121" s="466">
        <v>0</v>
      </c>
      <c r="P121" s="466">
        <v>0</v>
      </c>
      <c r="Q121" s="466">
        <v>0</v>
      </c>
      <c r="R121" s="466">
        <v>0</v>
      </c>
      <c r="S121" s="466">
        <v>0</v>
      </c>
      <c r="T121" s="466">
        <v>0</v>
      </c>
      <c r="U121" s="466">
        <v>0</v>
      </c>
      <c r="V121" s="466"/>
      <c r="W121" s="466"/>
      <c r="X121" s="466">
        <v>233027.94</v>
      </c>
      <c r="Y121" s="466">
        <v>0</v>
      </c>
      <c r="Z121" s="466">
        <v>0</v>
      </c>
      <c r="AA121" s="466">
        <v>0</v>
      </c>
      <c r="AB121" s="466">
        <v>24657213.68</v>
      </c>
      <c r="AC121" s="466">
        <v>3694286.73</v>
      </c>
      <c r="AD121" s="466">
        <v>487004.75</v>
      </c>
      <c r="AE121" s="466">
        <v>303939.15000000002</v>
      </c>
      <c r="AF121" s="466"/>
      <c r="AG121" s="466">
        <v>1450822.15</v>
      </c>
      <c r="AH121" s="466">
        <v>491937.3</v>
      </c>
      <c r="AI121" s="466">
        <v>327992.5</v>
      </c>
      <c r="AJ121" s="466">
        <v>3059841.6</v>
      </c>
      <c r="AK121" s="466">
        <v>1269317.8</v>
      </c>
      <c r="AL121" s="466">
        <v>1395734.6</v>
      </c>
      <c r="AM121" s="466">
        <v>37200</v>
      </c>
      <c r="AN121" s="466">
        <v>57226.67</v>
      </c>
      <c r="AO121" s="466">
        <v>417436.68</v>
      </c>
      <c r="AP121" s="466">
        <v>2550</v>
      </c>
      <c r="AQ121" s="466">
        <v>506246</v>
      </c>
      <c r="AR121" s="466">
        <v>42495.95</v>
      </c>
      <c r="AS121" s="466">
        <v>522589.6</v>
      </c>
    </row>
    <row r="122" spans="1:45" x14ac:dyDescent="0.2">
      <c r="A122" s="465">
        <v>5588</v>
      </c>
      <c r="B122" s="466"/>
      <c r="C122" s="466">
        <v>20389</v>
      </c>
      <c r="D122" s="466">
        <v>3193.1</v>
      </c>
      <c r="E122" s="466">
        <v>21713.48</v>
      </c>
      <c r="F122" s="466">
        <v>0</v>
      </c>
      <c r="G122" s="466">
        <v>0</v>
      </c>
      <c r="H122" s="466">
        <v>0</v>
      </c>
      <c r="I122" s="466">
        <v>0</v>
      </c>
      <c r="J122" s="466"/>
      <c r="K122" s="466">
        <v>0</v>
      </c>
      <c r="L122" s="466">
        <v>0</v>
      </c>
      <c r="M122" s="466">
        <v>0</v>
      </c>
      <c r="N122" s="466">
        <v>0</v>
      </c>
      <c r="O122" s="466">
        <v>0</v>
      </c>
      <c r="P122" s="466"/>
      <c r="Q122" s="466">
        <v>0</v>
      </c>
      <c r="R122" s="466">
        <v>0</v>
      </c>
      <c r="S122" s="466">
        <v>0</v>
      </c>
      <c r="T122" s="466"/>
      <c r="U122" s="466">
        <v>0</v>
      </c>
      <c r="V122" s="466"/>
      <c r="W122" s="466"/>
      <c r="X122" s="466">
        <v>44989.41</v>
      </c>
      <c r="Y122" s="466">
        <v>0</v>
      </c>
      <c r="Z122" s="466">
        <v>0</v>
      </c>
      <c r="AA122" s="466">
        <v>0</v>
      </c>
      <c r="AB122" s="466">
        <v>4286190.13</v>
      </c>
      <c r="AC122" s="466">
        <v>1662128.17</v>
      </c>
      <c r="AD122" s="466">
        <v>312946.12</v>
      </c>
      <c r="AE122" s="466">
        <v>1773887.12</v>
      </c>
      <c r="AF122" s="466"/>
      <c r="AG122" s="466">
        <v>25736.7</v>
      </c>
      <c r="AH122" s="466">
        <v>349341.1</v>
      </c>
      <c r="AI122" s="466">
        <v>53488.55</v>
      </c>
      <c r="AJ122" s="466">
        <v>398367.05</v>
      </c>
      <c r="AK122" s="466">
        <v>324217.90000000002</v>
      </c>
      <c r="AL122" s="466"/>
      <c r="AM122" s="466">
        <v>4725</v>
      </c>
      <c r="AN122" s="466">
        <v>4490.5600000000004</v>
      </c>
      <c r="AO122" s="466">
        <v>44795.66</v>
      </c>
      <c r="AP122" s="466"/>
      <c r="AQ122" s="466">
        <v>210737.25</v>
      </c>
      <c r="AR122" s="466">
        <v>53249.09</v>
      </c>
      <c r="AS122" s="466">
        <v>18272.150000000001</v>
      </c>
    </row>
    <row r="123" spans="1:45" x14ac:dyDescent="0.2">
      <c r="A123" s="465">
        <v>5589</v>
      </c>
      <c r="B123" s="466"/>
      <c r="C123" s="466">
        <v>54422.5</v>
      </c>
      <c r="D123" s="466">
        <v>9440.27</v>
      </c>
      <c r="E123" s="466">
        <v>335769.73</v>
      </c>
      <c r="F123" s="466">
        <v>0</v>
      </c>
      <c r="G123" s="466">
        <v>0</v>
      </c>
      <c r="H123" s="466">
        <v>0</v>
      </c>
      <c r="I123" s="466">
        <v>0</v>
      </c>
      <c r="J123" s="466"/>
      <c r="K123" s="466">
        <v>0</v>
      </c>
      <c r="L123" s="466">
        <v>0</v>
      </c>
      <c r="M123" s="466">
        <v>0</v>
      </c>
      <c r="N123" s="466">
        <v>0</v>
      </c>
      <c r="O123" s="466">
        <v>0</v>
      </c>
      <c r="P123" s="466">
        <v>0</v>
      </c>
      <c r="Q123" s="466">
        <v>0</v>
      </c>
      <c r="R123" s="466">
        <v>0</v>
      </c>
      <c r="S123" s="466">
        <v>0</v>
      </c>
      <c r="T123" s="466"/>
      <c r="U123" s="466">
        <v>0</v>
      </c>
      <c r="V123" s="466"/>
      <c r="W123" s="466"/>
      <c r="X123" s="466">
        <v>739791.92</v>
      </c>
      <c r="Y123" s="466">
        <v>0</v>
      </c>
      <c r="Z123" s="466">
        <v>0</v>
      </c>
      <c r="AA123" s="466">
        <v>0</v>
      </c>
      <c r="AB123" s="466">
        <v>19631965.969999999</v>
      </c>
      <c r="AC123" s="466">
        <v>2177063.62</v>
      </c>
      <c r="AD123" s="466">
        <v>1577734.95</v>
      </c>
      <c r="AE123" s="466">
        <v>194742.55</v>
      </c>
      <c r="AF123" s="466"/>
      <c r="AG123" s="466">
        <v>5851512.4500000002</v>
      </c>
      <c r="AH123" s="466">
        <v>316150.2</v>
      </c>
      <c r="AI123" s="466">
        <v>476420.1</v>
      </c>
      <c r="AJ123" s="466">
        <v>3009539.35</v>
      </c>
      <c r="AK123" s="466">
        <v>666016.44999999995</v>
      </c>
      <c r="AL123" s="466">
        <v>710258.8</v>
      </c>
      <c r="AM123" s="466">
        <v>41580</v>
      </c>
      <c r="AN123" s="466">
        <v>64448.13</v>
      </c>
      <c r="AO123" s="466">
        <v>301330.09999999998</v>
      </c>
      <c r="AP123" s="466"/>
      <c r="AQ123" s="466">
        <v>566627.85</v>
      </c>
      <c r="AR123" s="466">
        <v>18843.54</v>
      </c>
      <c r="AS123" s="466">
        <v>1167452.6499999999</v>
      </c>
    </row>
    <row r="124" spans="1:45" x14ac:dyDescent="0.2">
      <c r="A124" s="465">
        <v>5590</v>
      </c>
      <c r="B124" s="466"/>
      <c r="C124" s="466">
        <v>237095.71</v>
      </c>
      <c r="D124" s="466">
        <v>20482.95</v>
      </c>
      <c r="E124" s="466">
        <v>425355.01</v>
      </c>
      <c r="F124" s="466">
        <v>0</v>
      </c>
      <c r="G124" s="466">
        <v>0</v>
      </c>
      <c r="H124" s="466">
        <v>0</v>
      </c>
      <c r="I124" s="466">
        <v>0</v>
      </c>
      <c r="J124" s="466"/>
      <c r="K124" s="466">
        <v>0</v>
      </c>
      <c r="L124" s="466">
        <v>0</v>
      </c>
      <c r="M124" s="466">
        <v>0</v>
      </c>
      <c r="N124" s="466"/>
      <c r="O124" s="466">
        <v>0</v>
      </c>
      <c r="P124" s="466">
        <v>0</v>
      </c>
      <c r="Q124" s="466">
        <v>0</v>
      </c>
      <c r="R124" s="466">
        <v>0</v>
      </c>
      <c r="S124" s="466">
        <v>0</v>
      </c>
      <c r="T124" s="466">
        <v>0</v>
      </c>
      <c r="U124" s="466">
        <v>0</v>
      </c>
      <c r="V124" s="466"/>
      <c r="W124" s="466"/>
      <c r="X124" s="466">
        <v>920515.62</v>
      </c>
      <c r="Y124" s="466">
        <v>0</v>
      </c>
      <c r="Z124" s="466">
        <v>0</v>
      </c>
      <c r="AA124" s="466">
        <v>0</v>
      </c>
      <c r="AB124" s="466">
        <v>56278196.859999999</v>
      </c>
      <c r="AC124" s="466">
        <v>16689820.6</v>
      </c>
      <c r="AD124" s="466">
        <v>1229871.8899999999</v>
      </c>
      <c r="AE124" s="466">
        <v>2885824.78</v>
      </c>
      <c r="AF124" s="466"/>
      <c r="AG124" s="466">
        <v>3618676.8</v>
      </c>
      <c r="AH124" s="466">
        <v>4055683.6</v>
      </c>
      <c r="AI124" s="466">
        <v>372675.2</v>
      </c>
      <c r="AJ124" s="466"/>
      <c r="AK124" s="466">
        <v>4021807.65</v>
      </c>
      <c r="AL124" s="466">
        <v>1762846</v>
      </c>
      <c r="AM124" s="466">
        <v>61950</v>
      </c>
      <c r="AN124" s="466">
        <v>97237.75</v>
      </c>
      <c r="AO124" s="466">
        <v>979600.16</v>
      </c>
      <c r="AP124" s="466">
        <v>6875</v>
      </c>
      <c r="AQ124" s="466">
        <v>3175239.05</v>
      </c>
      <c r="AR124" s="466">
        <v>766422.94</v>
      </c>
      <c r="AS124" s="466">
        <v>153086.15</v>
      </c>
    </row>
    <row r="125" spans="1:45" x14ac:dyDescent="0.2">
      <c r="A125" s="465">
        <v>5591</v>
      </c>
      <c r="B125" s="466"/>
      <c r="C125" s="466">
        <v>83841.09</v>
      </c>
      <c r="D125" s="466">
        <v>14703.32</v>
      </c>
      <c r="E125" s="466">
        <v>1308347.05</v>
      </c>
      <c r="F125" s="466">
        <v>0</v>
      </c>
      <c r="G125" s="466">
        <v>0</v>
      </c>
      <c r="H125" s="466">
        <v>0</v>
      </c>
      <c r="I125" s="466"/>
      <c r="J125" s="466"/>
      <c r="K125" s="466">
        <v>0</v>
      </c>
      <c r="L125" s="466">
        <v>0</v>
      </c>
      <c r="M125" s="466">
        <v>0</v>
      </c>
      <c r="N125" s="466"/>
      <c r="O125" s="466">
        <v>0</v>
      </c>
      <c r="P125" s="466">
        <v>0</v>
      </c>
      <c r="Q125" s="466">
        <v>0</v>
      </c>
      <c r="R125" s="466">
        <v>0</v>
      </c>
      <c r="S125" s="466">
        <v>0</v>
      </c>
      <c r="T125" s="466"/>
      <c r="U125" s="466">
        <v>0</v>
      </c>
      <c r="V125" s="466"/>
      <c r="W125" s="466"/>
      <c r="X125" s="466">
        <v>791088.1</v>
      </c>
      <c r="Y125" s="466">
        <v>0</v>
      </c>
      <c r="Z125" s="466">
        <v>0</v>
      </c>
      <c r="AA125" s="466">
        <v>0</v>
      </c>
      <c r="AB125" s="466">
        <v>29649118.870000001</v>
      </c>
      <c r="AC125" s="466">
        <v>3120595.88</v>
      </c>
      <c r="AD125" s="466">
        <v>2464233.13</v>
      </c>
      <c r="AE125" s="466"/>
      <c r="AF125" s="466"/>
      <c r="AG125" s="466">
        <v>6210346.4000000004</v>
      </c>
      <c r="AH125" s="466">
        <v>384973.7</v>
      </c>
      <c r="AI125" s="466">
        <v>728905.4</v>
      </c>
      <c r="AJ125" s="466"/>
      <c r="AK125" s="466">
        <v>2169137.5</v>
      </c>
      <c r="AL125" s="466">
        <v>1102475.1000000001</v>
      </c>
      <c r="AM125" s="466">
        <v>71900</v>
      </c>
      <c r="AN125" s="466">
        <v>329854.67</v>
      </c>
      <c r="AO125" s="466">
        <v>735374.78</v>
      </c>
      <c r="AP125" s="466"/>
      <c r="AQ125" s="466">
        <v>1117007.05</v>
      </c>
      <c r="AR125" s="466">
        <v>8754.91</v>
      </c>
      <c r="AS125" s="466">
        <v>2364789</v>
      </c>
    </row>
    <row r="126" spans="1:45" x14ac:dyDescent="0.2">
      <c r="A126" s="465">
        <v>5592</v>
      </c>
      <c r="B126" s="466"/>
      <c r="C126" s="466">
        <v>8141.42</v>
      </c>
      <c r="D126" s="466">
        <v>2328.75</v>
      </c>
      <c r="E126" s="466">
        <v>117204.62</v>
      </c>
      <c r="F126" s="466">
        <v>0</v>
      </c>
      <c r="G126" s="466">
        <v>0</v>
      </c>
      <c r="H126" s="466">
        <v>0</v>
      </c>
      <c r="I126" s="466">
        <v>0</v>
      </c>
      <c r="J126" s="466"/>
      <c r="K126" s="466">
        <v>0</v>
      </c>
      <c r="L126" s="466">
        <v>0</v>
      </c>
      <c r="M126" s="466">
        <v>0</v>
      </c>
      <c r="N126" s="466">
        <v>0</v>
      </c>
      <c r="O126" s="466">
        <v>0</v>
      </c>
      <c r="P126" s="466">
        <v>0</v>
      </c>
      <c r="Q126" s="466">
        <v>0</v>
      </c>
      <c r="R126" s="466">
        <v>0</v>
      </c>
      <c r="S126" s="466">
        <v>0</v>
      </c>
      <c r="T126" s="466"/>
      <c r="U126" s="466">
        <v>0</v>
      </c>
      <c r="V126" s="466"/>
      <c r="W126" s="466"/>
      <c r="X126" s="466">
        <v>71494.2</v>
      </c>
      <c r="Y126" s="466">
        <v>0</v>
      </c>
      <c r="Z126" s="466">
        <v>0</v>
      </c>
      <c r="AA126" s="466">
        <v>0</v>
      </c>
      <c r="AB126" s="466">
        <v>6087522.0099999998</v>
      </c>
      <c r="AC126" s="466">
        <v>783894.22</v>
      </c>
      <c r="AD126" s="466">
        <v>186916.63</v>
      </c>
      <c r="AE126" s="466">
        <v>45581.35</v>
      </c>
      <c r="AF126" s="466"/>
      <c r="AG126" s="466">
        <v>545511.94999999995</v>
      </c>
      <c r="AH126" s="466">
        <v>50536.9</v>
      </c>
      <c r="AI126" s="466">
        <v>141567.75</v>
      </c>
      <c r="AJ126" s="466">
        <v>845890.95</v>
      </c>
      <c r="AK126" s="466">
        <v>301143.25</v>
      </c>
      <c r="AL126" s="466">
        <v>83.5</v>
      </c>
      <c r="AM126" s="466">
        <v>16050</v>
      </c>
      <c r="AN126" s="466">
        <v>50808.95</v>
      </c>
      <c r="AO126" s="466">
        <v>69742.37</v>
      </c>
      <c r="AP126" s="466"/>
      <c r="AQ126" s="466">
        <v>112571.65</v>
      </c>
      <c r="AR126" s="466">
        <v>12135.29</v>
      </c>
      <c r="AS126" s="466">
        <v>220475.4</v>
      </c>
    </row>
    <row r="127" spans="1:45" x14ac:dyDescent="0.2">
      <c r="A127" s="465">
        <v>5601</v>
      </c>
      <c r="B127" s="466"/>
      <c r="C127" s="466">
        <v>8716.5</v>
      </c>
      <c r="D127" s="466">
        <v>2207.71</v>
      </c>
      <c r="E127" s="466">
        <v>12673.96</v>
      </c>
      <c r="F127" s="466">
        <v>0</v>
      </c>
      <c r="G127" s="466">
        <v>0</v>
      </c>
      <c r="H127" s="466">
        <v>0</v>
      </c>
      <c r="I127" s="466">
        <v>0</v>
      </c>
      <c r="J127" s="466"/>
      <c r="K127" s="466">
        <v>0</v>
      </c>
      <c r="L127" s="466">
        <v>0</v>
      </c>
      <c r="M127" s="466">
        <v>0</v>
      </c>
      <c r="N127" s="466">
        <v>0</v>
      </c>
      <c r="O127" s="466">
        <v>0</v>
      </c>
      <c r="P127" s="466">
        <v>0</v>
      </c>
      <c r="Q127" s="466">
        <v>0</v>
      </c>
      <c r="R127" s="466">
        <v>0</v>
      </c>
      <c r="S127" s="466">
        <v>0</v>
      </c>
      <c r="T127" s="466"/>
      <c r="U127" s="466">
        <v>0</v>
      </c>
      <c r="V127" s="466"/>
      <c r="W127" s="466"/>
      <c r="X127" s="466">
        <v>7188.82</v>
      </c>
      <c r="Y127" s="466">
        <v>0</v>
      </c>
      <c r="Z127" s="466">
        <v>0</v>
      </c>
      <c r="AA127" s="466">
        <v>0</v>
      </c>
      <c r="AB127" s="466">
        <v>4878850.43</v>
      </c>
      <c r="AC127" s="466">
        <v>1060518.8799999999</v>
      </c>
      <c r="AD127" s="466">
        <v>121037.52</v>
      </c>
      <c r="AE127" s="466">
        <v>13068.55</v>
      </c>
      <c r="AF127" s="466"/>
      <c r="AG127" s="466">
        <v>47216.1</v>
      </c>
      <c r="AH127" s="466">
        <v>12717.25</v>
      </c>
      <c r="AI127" s="466">
        <v>7556.7</v>
      </c>
      <c r="AJ127" s="466">
        <v>490552.9</v>
      </c>
      <c r="AK127" s="466">
        <v>590638.19999999995</v>
      </c>
      <c r="AL127" s="466">
        <v>310583.40000000002</v>
      </c>
      <c r="AM127" s="466">
        <v>7087.5</v>
      </c>
      <c r="AN127" s="466">
        <v>1536.82</v>
      </c>
      <c r="AO127" s="466">
        <v>41641.599999999999</v>
      </c>
      <c r="AP127" s="466"/>
      <c r="AQ127" s="466">
        <v>763633.75</v>
      </c>
      <c r="AR127" s="466">
        <v>7708.02</v>
      </c>
      <c r="AS127" s="466">
        <v>47732.35</v>
      </c>
    </row>
    <row r="128" spans="1:45" x14ac:dyDescent="0.2">
      <c r="A128" s="465">
        <v>5604</v>
      </c>
      <c r="B128" s="466"/>
      <c r="C128" s="466">
        <v>5789.26</v>
      </c>
      <c r="D128" s="466">
        <v>1239.58</v>
      </c>
      <c r="E128" s="466">
        <v>43233.91</v>
      </c>
      <c r="F128" s="466">
        <v>0</v>
      </c>
      <c r="G128" s="466">
        <v>0</v>
      </c>
      <c r="H128" s="466">
        <v>0</v>
      </c>
      <c r="I128" s="466"/>
      <c r="J128" s="466"/>
      <c r="K128" s="466">
        <v>0</v>
      </c>
      <c r="L128" s="466">
        <v>0</v>
      </c>
      <c r="M128" s="466">
        <v>0</v>
      </c>
      <c r="N128" s="466"/>
      <c r="O128" s="466">
        <v>0</v>
      </c>
      <c r="P128" s="466">
        <v>0</v>
      </c>
      <c r="Q128" s="466">
        <v>0</v>
      </c>
      <c r="R128" s="466">
        <v>0</v>
      </c>
      <c r="S128" s="466">
        <v>0</v>
      </c>
      <c r="T128" s="466"/>
      <c r="U128" s="466">
        <v>0</v>
      </c>
      <c r="V128" s="466"/>
      <c r="W128" s="466"/>
      <c r="X128" s="466">
        <v>16578.91</v>
      </c>
      <c r="Y128" s="466">
        <v>0</v>
      </c>
      <c r="Z128" s="466">
        <v>0</v>
      </c>
      <c r="AA128" s="466">
        <v>0</v>
      </c>
      <c r="AB128" s="466">
        <v>3713769.34</v>
      </c>
      <c r="AC128" s="466">
        <v>567698.43999999994</v>
      </c>
      <c r="AD128" s="466">
        <v>86748.479999999996</v>
      </c>
      <c r="AE128" s="466"/>
      <c r="AF128" s="466"/>
      <c r="AG128" s="466">
        <v>117455.5</v>
      </c>
      <c r="AH128" s="466">
        <v>20763.3</v>
      </c>
      <c r="AI128" s="466">
        <v>20348.599999999999</v>
      </c>
      <c r="AJ128" s="466"/>
      <c r="AK128" s="466">
        <v>210749.5</v>
      </c>
      <c r="AL128" s="466">
        <v>-54.75</v>
      </c>
      <c r="AM128" s="466">
        <v>22950</v>
      </c>
      <c r="AN128" s="466">
        <v>16420.169999999998</v>
      </c>
      <c r="AO128" s="466">
        <v>31514.1</v>
      </c>
      <c r="AP128" s="466"/>
      <c r="AQ128" s="466">
        <v>103810.7</v>
      </c>
      <c r="AR128" s="466">
        <v>1455.11</v>
      </c>
      <c r="AS128" s="466">
        <v>105948.3</v>
      </c>
    </row>
    <row r="129" spans="1:45" x14ac:dyDescent="0.2">
      <c r="A129" s="465">
        <v>5606</v>
      </c>
      <c r="B129" s="466"/>
      <c r="C129" s="466">
        <v>129490.4</v>
      </c>
      <c r="D129" s="466">
        <v>12769.95</v>
      </c>
      <c r="E129" s="466">
        <v>128088.94</v>
      </c>
      <c r="F129" s="466">
        <v>0</v>
      </c>
      <c r="G129" s="466">
        <v>0</v>
      </c>
      <c r="H129" s="466">
        <v>0</v>
      </c>
      <c r="I129" s="466">
        <v>0</v>
      </c>
      <c r="J129" s="466"/>
      <c r="K129" s="466">
        <v>0</v>
      </c>
      <c r="L129" s="466">
        <v>0</v>
      </c>
      <c r="M129" s="466">
        <v>0</v>
      </c>
      <c r="N129" s="466"/>
      <c r="O129" s="466">
        <v>0</v>
      </c>
      <c r="P129" s="466">
        <v>0</v>
      </c>
      <c r="Q129" s="466">
        <v>0</v>
      </c>
      <c r="R129" s="466">
        <v>0</v>
      </c>
      <c r="S129" s="466">
        <v>0</v>
      </c>
      <c r="T129" s="466"/>
      <c r="U129" s="466">
        <v>0</v>
      </c>
      <c r="V129" s="466"/>
      <c r="W129" s="466"/>
      <c r="X129" s="466">
        <v>307729.27</v>
      </c>
      <c r="Y129" s="466">
        <v>0</v>
      </c>
      <c r="Z129" s="466">
        <v>0</v>
      </c>
      <c r="AA129" s="466">
        <v>0</v>
      </c>
      <c r="AB129" s="466">
        <v>32364740.02</v>
      </c>
      <c r="AC129" s="466">
        <v>7421290.46</v>
      </c>
      <c r="AD129" s="466">
        <v>271196.74</v>
      </c>
      <c r="AE129" s="466">
        <v>1361832.33</v>
      </c>
      <c r="AF129" s="466"/>
      <c r="AG129" s="466">
        <v>2477250.5499999998</v>
      </c>
      <c r="AH129" s="466">
        <v>88295.6</v>
      </c>
      <c r="AI129" s="466">
        <v>139267.6</v>
      </c>
      <c r="AJ129" s="466"/>
      <c r="AK129" s="466">
        <v>2307429.0499999998</v>
      </c>
      <c r="AL129" s="466">
        <v>1698280.7</v>
      </c>
      <c r="AM129" s="466">
        <v>90850</v>
      </c>
      <c r="AN129" s="466">
        <v>-90098.94</v>
      </c>
      <c r="AO129" s="466">
        <v>422248.25</v>
      </c>
      <c r="AP129" s="466"/>
      <c r="AQ129" s="466">
        <v>1525779.6</v>
      </c>
      <c r="AR129" s="466">
        <v>111574.46</v>
      </c>
      <c r="AS129" s="466">
        <v>149368.25</v>
      </c>
    </row>
    <row r="130" spans="1:45" x14ac:dyDescent="0.2">
      <c r="A130" s="465">
        <v>5607</v>
      </c>
      <c r="B130" s="466"/>
      <c r="C130" s="466">
        <v>6804.22</v>
      </c>
      <c r="D130" s="466">
        <v>2714.91</v>
      </c>
      <c r="E130" s="466">
        <v>109442.74</v>
      </c>
      <c r="F130" s="466">
        <v>0</v>
      </c>
      <c r="G130" s="466">
        <v>0</v>
      </c>
      <c r="H130" s="466">
        <v>0</v>
      </c>
      <c r="I130" s="466">
        <v>0</v>
      </c>
      <c r="J130" s="466"/>
      <c r="K130" s="466">
        <v>0</v>
      </c>
      <c r="L130" s="466">
        <v>0</v>
      </c>
      <c r="M130" s="466">
        <v>0</v>
      </c>
      <c r="N130" s="466">
        <v>0</v>
      </c>
      <c r="O130" s="466">
        <v>0</v>
      </c>
      <c r="P130" s="466">
        <v>0</v>
      </c>
      <c r="Q130" s="466">
        <v>0</v>
      </c>
      <c r="R130" s="466">
        <v>0</v>
      </c>
      <c r="S130" s="466">
        <v>0</v>
      </c>
      <c r="T130" s="466"/>
      <c r="U130" s="466">
        <v>0</v>
      </c>
      <c r="V130" s="466"/>
      <c r="W130" s="466"/>
      <c r="X130" s="466">
        <v>74006.38</v>
      </c>
      <c r="Y130" s="466">
        <v>0</v>
      </c>
      <c r="Z130" s="466">
        <v>0</v>
      </c>
      <c r="AA130" s="466">
        <v>0</v>
      </c>
      <c r="AB130" s="466">
        <v>4743377.83</v>
      </c>
      <c r="AC130" s="466">
        <v>695095.51</v>
      </c>
      <c r="AD130" s="466">
        <v>211359.3</v>
      </c>
      <c r="AE130" s="466">
        <v>-135.85</v>
      </c>
      <c r="AF130" s="466"/>
      <c r="AG130" s="466">
        <v>470589.95</v>
      </c>
      <c r="AH130" s="466">
        <v>146403</v>
      </c>
      <c r="AI130" s="466">
        <v>119887.6</v>
      </c>
      <c r="AJ130" s="466">
        <v>812063.85</v>
      </c>
      <c r="AK130" s="466">
        <v>644550.9</v>
      </c>
      <c r="AL130" s="466">
        <v>22786.7</v>
      </c>
      <c r="AM130" s="466">
        <v>40050</v>
      </c>
      <c r="AN130" s="466">
        <v>-2283.14</v>
      </c>
      <c r="AO130" s="466">
        <v>56997.37</v>
      </c>
      <c r="AP130" s="466"/>
      <c r="AQ130" s="466">
        <v>478937.4</v>
      </c>
      <c r="AR130" s="466">
        <v>3269.53</v>
      </c>
      <c r="AS130" s="466">
        <v>241469.15</v>
      </c>
    </row>
    <row r="131" spans="1:45" x14ac:dyDescent="0.2">
      <c r="A131" s="465">
        <v>5609</v>
      </c>
      <c r="B131" s="466"/>
      <c r="C131" s="466">
        <v>2142.83</v>
      </c>
      <c r="D131" s="466">
        <v>128.41</v>
      </c>
      <c r="E131" s="466">
        <v>6552.11</v>
      </c>
      <c r="F131" s="466">
        <v>0</v>
      </c>
      <c r="G131" s="466">
        <v>0</v>
      </c>
      <c r="H131" s="466">
        <v>0</v>
      </c>
      <c r="I131" s="466"/>
      <c r="J131" s="466"/>
      <c r="K131" s="466">
        <v>0</v>
      </c>
      <c r="L131" s="466">
        <v>0</v>
      </c>
      <c r="M131" s="466">
        <v>0</v>
      </c>
      <c r="N131" s="466">
        <v>0</v>
      </c>
      <c r="O131" s="466">
        <v>0</v>
      </c>
      <c r="P131" s="466"/>
      <c r="Q131" s="466">
        <v>0</v>
      </c>
      <c r="R131" s="466">
        <v>0</v>
      </c>
      <c r="S131" s="466">
        <v>0</v>
      </c>
      <c r="T131" s="466"/>
      <c r="U131" s="466">
        <v>0</v>
      </c>
      <c r="V131" s="466"/>
      <c r="W131" s="466"/>
      <c r="X131" s="466">
        <v>1076.1500000000001</v>
      </c>
      <c r="Y131" s="466">
        <v>0</v>
      </c>
      <c r="Z131" s="466">
        <v>0</v>
      </c>
      <c r="AA131" s="466">
        <v>0</v>
      </c>
      <c r="AB131" s="466">
        <v>710416.59</v>
      </c>
      <c r="AC131" s="466">
        <v>161320.57999999999</v>
      </c>
      <c r="AD131" s="466">
        <v>59004.01</v>
      </c>
      <c r="AE131" s="466"/>
      <c r="AF131" s="466"/>
      <c r="AG131" s="466">
        <v>8251</v>
      </c>
      <c r="AH131" s="466">
        <v>720.9</v>
      </c>
      <c r="AI131" s="466">
        <v>185.9</v>
      </c>
      <c r="AJ131" s="466">
        <v>59111.8</v>
      </c>
      <c r="AK131" s="466">
        <v>22715</v>
      </c>
      <c r="AL131" s="466"/>
      <c r="AM131" s="466">
        <v>1200</v>
      </c>
      <c r="AN131" s="466">
        <v>2003.79</v>
      </c>
      <c r="AO131" s="466">
        <v>10057.959999999999</v>
      </c>
      <c r="AP131" s="466"/>
      <c r="AQ131" s="466">
        <v>42729.15</v>
      </c>
      <c r="AR131" s="466">
        <v>460.48</v>
      </c>
      <c r="AS131" s="466"/>
    </row>
    <row r="132" spans="1:45" x14ac:dyDescent="0.2">
      <c r="A132" s="465">
        <v>5610</v>
      </c>
      <c r="B132" s="466"/>
      <c r="C132" s="466">
        <v>1279.8800000000001</v>
      </c>
      <c r="D132" s="466">
        <v>267.87</v>
      </c>
      <c r="E132" s="466">
        <v>6131.57</v>
      </c>
      <c r="F132" s="466">
        <v>0</v>
      </c>
      <c r="G132" s="466">
        <v>0</v>
      </c>
      <c r="H132" s="466">
        <v>0</v>
      </c>
      <c r="I132" s="466">
        <v>0</v>
      </c>
      <c r="J132" s="466"/>
      <c r="K132" s="466">
        <v>0</v>
      </c>
      <c r="L132" s="466">
        <v>0</v>
      </c>
      <c r="M132" s="466">
        <v>0</v>
      </c>
      <c r="N132" s="466">
        <v>0</v>
      </c>
      <c r="O132" s="466">
        <v>0</v>
      </c>
      <c r="P132" s="466">
        <v>0</v>
      </c>
      <c r="Q132" s="466">
        <v>0</v>
      </c>
      <c r="R132" s="466">
        <v>0</v>
      </c>
      <c r="S132" s="466">
        <v>0</v>
      </c>
      <c r="T132" s="466"/>
      <c r="U132" s="466">
        <v>0</v>
      </c>
      <c r="V132" s="466"/>
      <c r="W132" s="466"/>
      <c r="X132" s="466">
        <v>655.42</v>
      </c>
      <c r="Y132" s="466">
        <v>0</v>
      </c>
      <c r="Z132" s="466">
        <v>0</v>
      </c>
      <c r="AA132" s="466">
        <v>0</v>
      </c>
      <c r="AB132" s="466">
        <v>1003929.85</v>
      </c>
      <c r="AC132" s="466">
        <v>221693.26</v>
      </c>
      <c r="AD132" s="466">
        <v>26916.85</v>
      </c>
      <c r="AE132" s="466">
        <v>42593.15</v>
      </c>
      <c r="AF132" s="466"/>
      <c r="AG132" s="466">
        <v>1155.1500000000001</v>
      </c>
      <c r="AH132" s="466">
        <v>4309.1000000000004</v>
      </c>
      <c r="AI132" s="466">
        <v>6697.85</v>
      </c>
      <c r="AJ132" s="466">
        <v>120309.2</v>
      </c>
      <c r="AK132" s="466">
        <v>55309.1</v>
      </c>
      <c r="AL132" s="466">
        <v>5785.2</v>
      </c>
      <c r="AM132" s="466">
        <v>4575</v>
      </c>
      <c r="AN132" s="466">
        <v>-13472.35</v>
      </c>
      <c r="AO132" s="466">
        <v>22775.9</v>
      </c>
      <c r="AP132" s="466"/>
      <c r="AQ132" s="466">
        <v>65663</v>
      </c>
      <c r="AR132" s="466">
        <v>5216.2700000000004</v>
      </c>
      <c r="AS132" s="466">
        <v>1817.85</v>
      </c>
    </row>
    <row r="133" spans="1:45" x14ac:dyDescent="0.2">
      <c r="A133" s="465">
        <v>5611</v>
      </c>
      <c r="B133" s="466"/>
      <c r="C133" s="466">
        <v>9559.2000000000007</v>
      </c>
      <c r="D133" s="466">
        <v>2877.29</v>
      </c>
      <c r="E133" s="466">
        <v>49490.14</v>
      </c>
      <c r="F133" s="466">
        <v>0</v>
      </c>
      <c r="G133" s="466">
        <v>0</v>
      </c>
      <c r="H133" s="466">
        <v>0</v>
      </c>
      <c r="I133" s="466">
        <v>0</v>
      </c>
      <c r="J133" s="466"/>
      <c r="K133" s="466">
        <v>0</v>
      </c>
      <c r="L133" s="466">
        <v>0</v>
      </c>
      <c r="M133" s="466">
        <v>0</v>
      </c>
      <c r="N133" s="466"/>
      <c r="O133" s="466">
        <v>0</v>
      </c>
      <c r="P133" s="466">
        <v>0</v>
      </c>
      <c r="Q133" s="466">
        <v>0</v>
      </c>
      <c r="R133" s="466">
        <v>0</v>
      </c>
      <c r="S133" s="466">
        <v>0</v>
      </c>
      <c r="T133" s="466"/>
      <c r="U133" s="466">
        <v>0</v>
      </c>
      <c r="V133" s="466"/>
      <c r="W133" s="466"/>
      <c r="X133" s="466">
        <v>43258.41</v>
      </c>
      <c r="Y133" s="466">
        <v>0</v>
      </c>
      <c r="Z133" s="466">
        <v>0</v>
      </c>
      <c r="AA133" s="466">
        <v>0</v>
      </c>
      <c r="AB133" s="466">
        <v>7096638.0499999998</v>
      </c>
      <c r="AC133" s="466">
        <v>1083196.49</v>
      </c>
      <c r="AD133" s="466">
        <v>106210.31</v>
      </c>
      <c r="AE133" s="466">
        <v>90726.6</v>
      </c>
      <c r="AF133" s="466"/>
      <c r="AG133" s="466">
        <v>338381.35</v>
      </c>
      <c r="AH133" s="466">
        <v>22265.05</v>
      </c>
      <c r="AI133" s="466">
        <v>18582.650000000001</v>
      </c>
      <c r="AJ133" s="466"/>
      <c r="AK133" s="466">
        <v>433066.7</v>
      </c>
      <c r="AL133" s="466">
        <v>360273.6</v>
      </c>
      <c r="AM133" s="466">
        <v>19530</v>
      </c>
      <c r="AN133" s="466">
        <v>21083.07</v>
      </c>
      <c r="AO133" s="466">
        <v>64570.35</v>
      </c>
      <c r="AP133" s="466"/>
      <c r="AQ133" s="466">
        <v>195452.3</v>
      </c>
      <c r="AR133" s="466">
        <v>6573</v>
      </c>
      <c r="AS133" s="466">
        <v>108590.3</v>
      </c>
    </row>
    <row r="134" spans="1:45" x14ac:dyDescent="0.2">
      <c r="A134" s="465">
        <v>5613</v>
      </c>
      <c r="B134" s="466"/>
      <c r="C134" s="466">
        <v>49022.62</v>
      </c>
      <c r="D134" s="466">
        <v>6384.33</v>
      </c>
      <c r="E134" s="466">
        <v>40257.919999999998</v>
      </c>
      <c r="F134" s="466">
        <v>0</v>
      </c>
      <c r="G134" s="466">
        <v>0</v>
      </c>
      <c r="H134" s="466">
        <v>0</v>
      </c>
      <c r="I134" s="466">
        <v>0</v>
      </c>
      <c r="J134" s="466"/>
      <c r="K134" s="466">
        <v>0</v>
      </c>
      <c r="L134" s="466">
        <v>0</v>
      </c>
      <c r="M134" s="466">
        <v>0</v>
      </c>
      <c r="N134" s="466">
        <v>0</v>
      </c>
      <c r="O134" s="466">
        <v>0</v>
      </c>
      <c r="P134" s="466">
        <v>0</v>
      </c>
      <c r="Q134" s="466">
        <v>0</v>
      </c>
      <c r="R134" s="466">
        <v>0</v>
      </c>
      <c r="S134" s="466">
        <v>0</v>
      </c>
      <c r="T134" s="466"/>
      <c r="U134" s="466">
        <v>0</v>
      </c>
      <c r="V134" s="466"/>
      <c r="W134" s="466"/>
      <c r="X134" s="466">
        <v>28940.6</v>
      </c>
      <c r="Y134" s="466">
        <v>0</v>
      </c>
      <c r="Z134" s="466">
        <v>0</v>
      </c>
      <c r="AA134" s="466">
        <v>0</v>
      </c>
      <c r="AB134" s="466">
        <v>15371354.609999999</v>
      </c>
      <c r="AC134" s="466">
        <v>3572285.72</v>
      </c>
      <c r="AD134" s="466">
        <v>527617.93000000005</v>
      </c>
      <c r="AE134" s="466">
        <v>247378.1</v>
      </c>
      <c r="AF134" s="466"/>
      <c r="AG134" s="466">
        <v>203162.45</v>
      </c>
      <c r="AH134" s="466">
        <v>38116.050000000003</v>
      </c>
      <c r="AI134" s="466">
        <v>38012.449999999997</v>
      </c>
      <c r="AJ134" s="466">
        <v>2203648.5</v>
      </c>
      <c r="AK134" s="466">
        <v>749989.65</v>
      </c>
      <c r="AL134" s="466">
        <v>124049.9</v>
      </c>
      <c r="AM134" s="466">
        <v>26850</v>
      </c>
      <c r="AN134" s="466">
        <v>70473.53</v>
      </c>
      <c r="AO134" s="466">
        <v>167871.58</v>
      </c>
      <c r="AP134" s="466"/>
      <c r="AQ134" s="466">
        <v>817678.05</v>
      </c>
      <c r="AR134" s="466">
        <v>36921.5</v>
      </c>
      <c r="AS134" s="466">
        <v>31370.7</v>
      </c>
    </row>
    <row r="135" spans="1:45" x14ac:dyDescent="0.2">
      <c r="A135" s="465">
        <v>5621</v>
      </c>
      <c r="B135" s="466"/>
      <c r="C135" s="466">
        <v>2308.61</v>
      </c>
      <c r="D135" s="466">
        <v>654.76</v>
      </c>
      <c r="E135" s="466">
        <v>9314.2800000000007</v>
      </c>
      <c r="F135" s="466">
        <v>0</v>
      </c>
      <c r="G135" s="466">
        <v>0</v>
      </c>
      <c r="H135" s="466">
        <v>0</v>
      </c>
      <c r="I135" s="466"/>
      <c r="J135" s="466"/>
      <c r="K135" s="466">
        <v>0</v>
      </c>
      <c r="L135" s="466">
        <v>0</v>
      </c>
      <c r="M135" s="466">
        <v>0</v>
      </c>
      <c r="N135" s="466"/>
      <c r="O135" s="466">
        <v>0</v>
      </c>
      <c r="P135" s="466">
        <v>0</v>
      </c>
      <c r="Q135" s="466">
        <v>0</v>
      </c>
      <c r="R135" s="466">
        <v>0</v>
      </c>
      <c r="S135" s="466">
        <v>0</v>
      </c>
      <c r="T135" s="466"/>
      <c r="U135" s="466">
        <v>0</v>
      </c>
      <c r="V135" s="466"/>
      <c r="W135" s="466"/>
      <c r="X135" s="466">
        <v>50640.04</v>
      </c>
      <c r="Y135" s="466">
        <v>0</v>
      </c>
      <c r="Z135" s="466">
        <v>0</v>
      </c>
      <c r="AA135" s="466">
        <v>0</v>
      </c>
      <c r="AB135" s="466">
        <v>1019200.72</v>
      </c>
      <c r="AC135" s="466">
        <v>128981.38</v>
      </c>
      <c r="AD135" s="466">
        <v>69241.11</v>
      </c>
      <c r="AE135" s="466"/>
      <c r="AF135" s="466"/>
      <c r="AG135" s="466">
        <v>419399.6</v>
      </c>
      <c r="AH135" s="466">
        <v>2787.6</v>
      </c>
      <c r="AI135" s="466">
        <v>28236.75</v>
      </c>
      <c r="AJ135" s="466"/>
      <c r="AK135" s="466">
        <v>82032.5</v>
      </c>
      <c r="AL135" s="466">
        <v>0.2</v>
      </c>
      <c r="AM135" s="466">
        <v>3200</v>
      </c>
      <c r="AN135" s="466">
        <v>4629.88</v>
      </c>
      <c r="AO135" s="466">
        <v>13935.02</v>
      </c>
      <c r="AP135" s="466"/>
      <c r="AQ135" s="466">
        <v>34672.9</v>
      </c>
      <c r="AR135" s="466">
        <v>204.26</v>
      </c>
      <c r="AS135" s="466">
        <v>292461.5</v>
      </c>
    </row>
    <row r="136" spans="1:45" x14ac:dyDescent="0.2">
      <c r="A136" s="465">
        <v>5622</v>
      </c>
      <c r="B136" s="466"/>
      <c r="C136" s="466">
        <v>557.95000000000005</v>
      </c>
      <c r="D136" s="466">
        <v>520.27</v>
      </c>
      <c r="E136" s="466">
        <v>1602.49</v>
      </c>
      <c r="F136" s="466">
        <v>0</v>
      </c>
      <c r="G136" s="466">
        <v>0</v>
      </c>
      <c r="H136" s="466">
        <v>0</v>
      </c>
      <c r="I136" s="466"/>
      <c r="J136" s="466"/>
      <c r="K136" s="466">
        <v>0</v>
      </c>
      <c r="L136" s="466">
        <v>0</v>
      </c>
      <c r="M136" s="466">
        <v>0</v>
      </c>
      <c r="N136" s="466"/>
      <c r="O136" s="466">
        <v>0</v>
      </c>
      <c r="P136" s="466"/>
      <c r="Q136" s="466">
        <v>0</v>
      </c>
      <c r="R136" s="466"/>
      <c r="S136" s="466">
        <v>0</v>
      </c>
      <c r="T136" s="466"/>
      <c r="U136" s="466">
        <v>0</v>
      </c>
      <c r="V136" s="466"/>
      <c r="W136" s="466"/>
      <c r="X136" s="466">
        <v>1627.78</v>
      </c>
      <c r="Y136" s="466">
        <v>0</v>
      </c>
      <c r="Z136" s="466">
        <v>0</v>
      </c>
      <c r="AA136" s="466">
        <v>0</v>
      </c>
      <c r="AB136" s="466">
        <v>1460371.93</v>
      </c>
      <c r="AC136" s="466">
        <v>247561.17</v>
      </c>
      <c r="AD136" s="466">
        <v>14665.45</v>
      </c>
      <c r="AE136" s="466"/>
      <c r="AF136" s="466"/>
      <c r="AG136" s="466">
        <v>10945.85</v>
      </c>
      <c r="AH136" s="466">
        <v>2624.95</v>
      </c>
      <c r="AI136" s="466">
        <v>3690.5</v>
      </c>
      <c r="AJ136" s="466"/>
      <c r="AK136" s="466">
        <v>54697.5</v>
      </c>
      <c r="AL136" s="466"/>
      <c r="AM136" s="466">
        <v>2900</v>
      </c>
      <c r="AN136" s="466"/>
      <c r="AO136" s="466">
        <v>9151</v>
      </c>
      <c r="AP136" s="466"/>
      <c r="AQ136" s="466">
        <v>39404.65</v>
      </c>
      <c r="AR136" s="466">
        <v>332.81</v>
      </c>
      <c r="AS136" s="466">
        <v>26810.25</v>
      </c>
    </row>
    <row r="137" spans="1:45" x14ac:dyDescent="0.2">
      <c r="A137" s="465">
        <v>5623</v>
      </c>
      <c r="B137" s="466"/>
      <c r="C137" s="466">
        <v>6223.79</v>
      </c>
      <c r="D137" s="466">
        <v>1430.31</v>
      </c>
      <c r="E137" s="466">
        <v>22779.51</v>
      </c>
      <c r="F137" s="466">
        <v>0</v>
      </c>
      <c r="G137" s="466">
        <v>0</v>
      </c>
      <c r="H137" s="466">
        <v>0</v>
      </c>
      <c r="I137" s="466">
        <v>0</v>
      </c>
      <c r="J137" s="466"/>
      <c r="K137" s="466">
        <v>0</v>
      </c>
      <c r="L137" s="466">
        <v>0</v>
      </c>
      <c r="M137" s="466">
        <v>0</v>
      </c>
      <c r="N137" s="466"/>
      <c r="O137" s="466">
        <v>0</v>
      </c>
      <c r="P137" s="466"/>
      <c r="Q137" s="466">
        <v>0</v>
      </c>
      <c r="R137" s="466">
        <v>0</v>
      </c>
      <c r="S137" s="466">
        <v>0</v>
      </c>
      <c r="T137" s="466"/>
      <c r="U137" s="466">
        <v>0</v>
      </c>
      <c r="V137" s="466"/>
      <c r="W137" s="466"/>
      <c r="X137" s="466">
        <v>-5783.41</v>
      </c>
      <c r="Y137" s="466">
        <v>0</v>
      </c>
      <c r="Z137" s="466">
        <v>0</v>
      </c>
      <c r="AA137" s="466">
        <v>0</v>
      </c>
      <c r="AB137" s="466">
        <v>3107114.32</v>
      </c>
      <c r="AC137" s="466">
        <v>1287103</v>
      </c>
      <c r="AD137" s="466">
        <v>55295.25</v>
      </c>
      <c r="AE137" s="466">
        <v>172845.75</v>
      </c>
      <c r="AF137" s="466"/>
      <c r="AG137" s="466">
        <v>-37222.6</v>
      </c>
      <c r="AH137" s="466">
        <v>-10993.85</v>
      </c>
      <c r="AI137" s="466">
        <v>-987</v>
      </c>
      <c r="AJ137" s="466"/>
      <c r="AK137" s="466">
        <v>67045</v>
      </c>
      <c r="AL137" s="466"/>
      <c r="AM137" s="466">
        <v>1562.5</v>
      </c>
      <c r="AN137" s="466">
        <v>14447.47</v>
      </c>
      <c r="AO137" s="466">
        <v>34239.94</v>
      </c>
      <c r="AP137" s="466"/>
      <c r="AQ137" s="466">
        <v>181888.8</v>
      </c>
      <c r="AR137" s="466">
        <v>63718.03</v>
      </c>
      <c r="AS137" s="466">
        <v>2588.25</v>
      </c>
    </row>
    <row r="138" spans="1:45" x14ac:dyDescent="0.2">
      <c r="A138" s="465">
        <v>5624</v>
      </c>
      <c r="B138" s="466"/>
      <c r="C138" s="466">
        <v>33483.42</v>
      </c>
      <c r="D138" s="466">
        <v>3113.83</v>
      </c>
      <c r="E138" s="466">
        <v>34778.160000000003</v>
      </c>
      <c r="F138" s="466">
        <v>0</v>
      </c>
      <c r="G138" s="466"/>
      <c r="H138" s="466">
        <v>0</v>
      </c>
      <c r="I138" s="466"/>
      <c r="J138" s="466"/>
      <c r="K138" s="466">
        <v>0</v>
      </c>
      <c r="L138" s="466">
        <v>0</v>
      </c>
      <c r="M138" s="466">
        <v>0</v>
      </c>
      <c r="N138" s="466"/>
      <c r="O138" s="466"/>
      <c r="P138" s="466"/>
      <c r="Q138" s="466"/>
      <c r="R138" s="466">
        <v>0</v>
      </c>
      <c r="S138" s="466">
        <v>0</v>
      </c>
      <c r="T138" s="466"/>
      <c r="U138" s="466">
        <v>0</v>
      </c>
      <c r="V138" s="466"/>
      <c r="W138" s="466"/>
      <c r="X138" s="466">
        <v>329781.56</v>
      </c>
      <c r="Y138" s="466">
        <v>0</v>
      </c>
      <c r="Z138" s="466">
        <v>0</v>
      </c>
      <c r="AA138" s="466">
        <v>0</v>
      </c>
      <c r="AB138" s="466">
        <v>-5344.0300000000097</v>
      </c>
      <c r="AC138" s="466"/>
      <c r="AD138" s="466">
        <v>827180.89</v>
      </c>
      <c r="AE138" s="466"/>
      <c r="AF138" s="466"/>
      <c r="AG138" s="466">
        <v>2591501.35</v>
      </c>
      <c r="AH138" s="466">
        <v>157895.29999999999</v>
      </c>
      <c r="AI138" s="466">
        <v>388139.95</v>
      </c>
      <c r="AJ138" s="466"/>
      <c r="AK138" s="466"/>
      <c r="AL138" s="466"/>
      <c r="AM138" s="466"/>
      <c r="AN138" s="466">
        <v>9959.65</v>
      </c>
      <c r="AO138" s="466">
        <v>39735.56</v>
      </c>
      <c r="AP138" s="466"/>
      <c r="AQ138" s="466">
        <v>1002009.7</v>
      </c>
      <c r="AR138" s="466">
        <v>199.73</v>
      </c>
      <c r="AS138" s="466">
        <v>1067420.95</v>
      </c>
    </row>
    <row r="139" spans="1:45" x14ac:dyDescent="0.2">
      <c r="A139" s="465">
        <v>5625</v>
      </c>
      <c r="B139" s="466"/>
      <c r="C139" s="466">
        <v>736.5</v>
      </c>
      <c r="D139" s="466">
        <v>141.36000000000001</v>
      </c>
      <c r="E139" s="466">
        <v>8.77</v>
      </c>
      <c r="F139" s="466">
        <v>0</v>
      </c>
      <c r="G139" s="466"/>
      <c r="H139" s="466">
        <v>0</v>
      </c>
      <c r="I139" s="466"/>
      <c r="J139" s="466"/>
      <c r="K139" s="466">
        <v>0</v>
      </c>
      <c r="L139" s="466">
        <v>0</v>
      </c>
      <c r="M139" s="466">
        <v>0</v>
      </c>
      <c r="N139" s="466"/>
      <c r="O139" s="466"/>
      <c r="P139" s="466"/>
      <c r="Q139" s="466"/>
      <c r="R139" s="466"/>
      <c r="S139" s="466">
        <v>0</v>
      </c>
      <c r="T139" s="466"/>
      <c r="U139" s="466">
        <v>0</v>
      </c>
      <c r="V139" s="466"/>
      <c r="W139" s="466"/>
      <c r="X139" s="466">
        <v>2171.9699999999998</v>
      </c>
      <c r="Y139" s="466">
        <v>0</v>
      </c>
      <c r="Z139" s="466">
        <v>0</v>
      </c>
      <c r="AA139" s="466">
        <v>0</v>
      </c>
      <c r="AB139" s="466">
        <v>-16010.39</v>
      </c>
      <c r="AC139" s="466"/>
      <c r="AD139" s="466">
        <v>25906.17</v>
      </c>
      <c r="AE139" s="466"/>
      <c r="AF139" s="466"/>
      <c r="AG139" s="466">
        <v>16987.25</v>
      </c>
      <c r="AH139" s="466">
        <v>1120.5</v>
      </c>
      <c r="AI139" s="466">
        <v>9282.5</v>
      </c>
      <c r="AJ139" s="466"/>
      <c r="AK139" s="466"/>
      <c r="AL139" s="466"/>
      <c r="AM139" s="466"/>
      <c r="AN139" s="466"/>
      <c r="AO139" s="466">
        <v>299.95999999999998</v>
      </c>
      <c r="AP139" s="466"/>
      <c r="AQ139" s="466">
        <v>43281.7</v>
      </c>
      <c r="AR139" s="466"/>
      <c r="AS139" s="466"/>
    </row>
    <row r="140" spans="1:45" x14ac:dyDescent="0.2">
      <c r="A140" s="465">
        <v>5627</v>
      </c>
      <c r="B140" s="466"/>
      <c r="C140" s="466">
        <v>37824.42</v>
      </c>
      <c r="D140" s="466">
        <v>2678.29</v>
      </c>
      <c r="E140" s="466">
        <v>355491.9</v>
      </c>
      <c r="F140" s="466">
        <v>0</v>
      </c>
      <c r="G140" s="466">
        <v>0</v>
      </c>
      <c r="H140" s="466">
        <v>0</v>
      </c>
      <c r="I140" s="466"/>
      <c r="J140" s="466"/>
      <c r="K140" s="466">
        <v>0</v>
      </c>
      <c r="L140" s="466">
        <v>0</v>
      </c>
      <c r="M140" s="466">
        <v>0</v>
      </c>
      <c r="N140" s="466"/>
      <c r="O140" s="466">
        <v>0</v>
      </c>
      <c r="P140" s="466">
        <v>0</v>
      </c>
      <c r="Q140" s="466">
        <v>0</v>
      </c>
      <c r="R140" s="466">
        <v>0</v>
      </c>
      <c r="S140" s="466">
        <v>0</v>
      </c>
      <c r="T140" s="466"/>
      <c r="U140" s="466">
        <v>0</v>
      </c>
      <c r="V140" s="466"/>
      <c r="W140" s="466"/>
      <c r="X140" s="466">
        <v>-40640.870000000003</v>
      </c>
      <c r="Y140" s="466">
        <v>0</v>
      </c>
      <c r="Z140" s="466">
        <v>0</v>
      </c>
      <c r="AA140" s="466">
        <v>0</v>
      </c>
      <c r="AB140" s="466">
        <v>10306095.93</v>
      </c>
      <c r="AC140" s="466">
        <v>741408.26</v>
      </c>
      <c r="AD140" s="466">
        <v>811299.64</v>
      </c>
      <c r="AE140" s="466"/>
      <c r="AF140" s="466"/>
      <c r="AG140" s="466">
        <v>-507466</v>
      </c>
      <c r="AH140" s="466">
        <v>168642.1</v>
      </c>
      <c r="AI140" s="466">
        <v>226072.5</v>
      </c>
      <c r="AJ140" s="466"/>
      <c r="AK140" s="466">
        <v>663135.1</v>
      </c>
      <c r="AL140" s="466">
        <v>26414.2</v>
      </c>
      <c r="AM140" s="466">
        <v>32100</v>
      </c>
      <c r="AN140" s="466">
        <v>116725.81</v>
      </c>
      <c r="AO140" s="466">
        <v>178149.76000000001</v>
      </c>
      <c r="AP140" s="466"/>
      <c r="AQ140" s="466">
        <v>129165</v>
      </c>
      <c r="AR140" s="466">
        <v>1921.6</v>
      </c>
      <c r="AS140" s="466">
        <v>351553.85</v>
      </c>
    </row>
    <row r="141" spans="1:45" x14ac:dyDescent="0.2">
      <c r="A141" s="465">
        <v>5628</v>
      </c>
      <c r="B141" s="466"/>
      <c r="C141" s="466">
        <v>7248.67</v>
      </c>
      <c r="D141" s="466">
        <v>12.02</v>
      </c>
      <c r="E141" s="466">
        <v>1885.39</v>
      </c>
      <c r="F141" s="466">
        <v>0</v>
      </c>
      <c r="G141" s="466"/>
      <c r="H141" s="466">
        <v>0</v>
      </c>
      <c r="I141" s="466"/>
      <c r="J141" s="466"/>
      <c r="K141" s="466">
        <v>0</v>
      </c>
      <c r="L141" s="466">
        <v>0</v>
      </c>
      <c r="M141" s="466">
        <v>0</v>
      </c>
      <c r="N141" s="466"/>
      <c r="O141" s="466"/>
      <c r="P141" s="466"/>
      <c r="Q141" s="466"/>
      <c r="R141" s="466"/>
      <c r="S141" s="466">
        <v>0</v>
      </c>
      <c r="T141" s="466"/>
      <c r="U141" s="466">
        <v>0</v>
      </c>
      <c r="V141" s="466"/>
      <c r="W141" s="466"/>
      <c r="X141" s="466">
        <v>688.72</v>
      </c>
      <c r="Y141" s="466">
        <v>0</v>
      </c>
      <c r="Z141" s="466">
        <v>0</v>
      </c>
      <c r="AA141" s="466">
        <v>0</v>
      </c>
      <c r="AB141" s="466">
        <v>81506.820000000007</v>
      </c>
      <c r="AC141" s="466"/>
      <c r="AD141" s="466">
        <v>62499.47</v>
      </c>
      <c r="AE141" s="466"/>
      <c r="AF141" s="466"/>
      <c r="AG141" s="466">
        <v>4818.1499999999996</v>
      </c>
      <c r="AH141" s="466">
        <v>923.75</v>
      </c>
      <c r="AI141" s="466">
        <v>859.5</v>
      </c>
      <c r="AJ141" s="466"/>
      <c r="AK141" s="466"/>
      <c r="AL141" s="466"/>
      <c r="AM141" s="466"/>
      <c r="AN141" s="466"/>
      <c r="AO141" s="466">
        <v>1064.29</v>
      </c>
      <c r="AP141" s="466"/>
      <c r="AQ141" s="466">
        <v>62570.9</v>
      </c>
      <c r="AR141" s="466"/>
      <c r="AS141" s="466">
        <v>9088.4500000000007</v>
      </c>
    </row>
    <row r="142" spans="1:45" x14ac:dyDescent="0.2">
      <c r="A142" s="465">
        <v>5629</v>
      </c>
      <c r="B142" s="466"/>
      <c r="C142" s="466">
        <v>1471.94</v>
      </c>
      <c r="D142" s="466">
        <v>89.36</v>
      </c>
      <c r="E142" s="466">
        <v>129.87</v>
      </c>
      <c r="F142" s="466">
        <v>0</v>
      </c>
      <c r="G142" s="466">
        <v>0</v>
      </c>
      <c r="H142" s="466">
        <v>0</v>
      </c>
      <c r="I142" s="466"/>
      <c r="J142" s="466"/>
      <c r="K142" s="466">
        <v>0</v>
      </c>
      <c r="L142" s="466">
        <v>0</v>
      </c>
      <c r="M142" s="466">
        <v>0</v>
      </c>
      <c r="N142" s="466"/>
      <c r="O142" s="466">
        <v>0</v>
      </c>
      <c r="P142" s="466"/>
      <c r="Q142" s="466">
        <v>0</v>
      </c>
      <c r="R142" s="466"/>
      <c r="S142" s="466">
        <v>0</v>
      </c>
      <c r="T142" s="466"/>
      <c r="U142" s="466">
        <v>0</v>
      </c>
      <c r="V142" s="466"/>
      <c r="W142" s="466"/>
      <c r="X142" s="466">
        <v>256.64</v>
      </c>
      <c r="Y142" s="466">
        <v>0</v>
      </c>
      <c r="Z142" s="466">
        <v>0</v>
      </c>
      <c r="AA142" s="466">
        <v>0</v>
      </c>
      <c r="AB142" s="466">
        <v>490976.67</v>
      </c>
      <c r="AC142" s="466">
        <v>45115.25</v>
      </c>
      <c r="AD142" s="466">
        <v>18243.009999999998</v>
      </c>
      <c r="AE142" s="466"/>
      <c r="AF142" s="466"/>
      <c r="AG142" s="466">
        <v>1804.15</v>
      </c>
      <c r="AH142" s="466">
        <v>335.45</v>
      </c>
      <c r="AI142" s="466">
        <v>715.55</v>
      </c>
      <c r="AJ142" s="466"/>
      <c r="AK142" s="466">
        <v>10945</v>
      </c>
      <c r="AL142" s="466"/>
      <c r="AM142" s="466">
        <v>1200</v>
      </c>
      <c r="AN142" s="466"/>
      <c r="AO142" s="466">
        <v>2752.29</v>
      </c>
      <c r="AP142" s="466"/>
      <c r="AQ142" s="466">
        <v>1508.35</v>
      </c>
      <c r="AR142" s="466"/>
      <c r="AS142" s="466"/>
    </row>
    <row r="143" spans="1:45" x14ac:dyDescent="0.2">
      <c r="A143" s="465">
        <v>5631</v>
      </c>
      <c r="B143" s="466"/>
      <c r="C143" s="466">
        <v>3566.37</v>
      </c>
      <c r="D143" s="466">
        <v>526.64</v>
      </c>
      <c r="E143" s="466">
        <v>45226</v>
      </c>
      <c r="F143" s="466">
        <v>0</v>
      </c>
      <c r="G143" s="466">
        <v>0</v>
      </c>
      <c r="H143" s="466">
        <v>0</v>
      </c>
      <c r="I143" s="466">
        <v>0</v>
      </c>
      <c r="J143" s="466"/>
      <c r="K143" s="466">
        <v>0</v>
      </c>
      <c r="L143" s="466">
        <v>0</v>
      </c>
      <c r="M143" s="466">
        <v>0</v>
      </c>
      <c r="N143" s="466"/>
      <c r="O143" s="466">
        <v>0</v>
      </c>
      <c r="P143" s="466">
        <v>0</v>
      </c>
      <c r="Q143" s="466">
        <v>0</v>
      </c>
      <c r="R143" s="466"/>
      <c r="S143" s="466">
        <v>0</v>
      </c>
      <c r="T143" s="466"/>
      <c r="U143" s="466">
        <v>0</v>
      </c>
      <c r="V143" s="466"/>
      <c r="W143" s="466"/>
      <c r="X143" s="466">
        <v>4257.96</v>
      </c>
      <c r="Y143" s="466">
        <v>0</v>
      </c>
      <c r="Z143" s="466">
        <v>0</v>
      </c>
      <c r="AA143" s="466">
        <v>0</v>
      </c>
      <c r="AB143" s="466">
        <v>2172048.31</v>
      </c>
      <c r="AC143" s="466">
        <v>441423.05</v>
      </c>
      <c r="AD143" s="466">
        <v>69432.86</v>
      </c>
      <c r="AE143" s="466">
        <v>78240</v>
      </c>
      <c r="AF143" s="466"/>
      <c r="AG143" s="466">
        <v>34084.050000000003</v>
      </c>
      <c r="AH143" s="466">
        <v>1414.7</v>
      </c>
      <c r="AI143" s="466">
        <v>3267.65</v>
      </c>
      <c r="AJ143" s="466"/>
      <c r="AK143" s="466">
        <v>103772.75</v>
      </c>
      <c r="AL143" s="466">
        <v>209452.6</v>
      </c>
      <c r="AM143" s="466">
        <v>2662.5</v>
      </c>
      <c r="AN143" s="466"/>
      <c r="AO143" s="466">
        <v>30498.38</v>
      </c>
      <c r="AP143" s="466"/>
      <c r="AQ143" s="466">
        <v>66947</v>
      </c>
      <c r="AR143" s="466">
        <v>11006.35</v>
      </c>
      <c r="AS143" s="466">
        <v>1561.75</v>
      </c>
    </row>
    <row r="144" spans="1:45" x14ac:dyDescent="0.2">
      <c r="A144" s="465">
        <v>5632</v>
      </c>
      <c r="B144" s="466"/>
      <c r="C144" s="466">
        <v>7073.37</v>
      </c>
      <c r="D144" s="466">
        <v>1045.9000000000001</v>
      </c>
      <c r="E144" s="466">
        <v>43095.32</v>
      </c>
      <c r="F144" s="466">
        <v>0</v>
      </c>
      <c r="G144" s="466">
        <v>0</v>
      </c>
      <c r="H144" s="466">
        <v>0</v>
      </c>
      <c r="I144" s="466"/>
      <c r="J144" s="466"/>
      <c r="K144" s="466">
        <v>0</v>
      </c>
      <c r="L144" s="466">
        <v>0</v>
      </c>
      <c r="M144" s="466">
        <v>0</v>
      </c>
      <c r="N144" s="466"/>
      <c r="O144" s="466">
        <v>0</v>
      </c>
      <c r="P144" s="466"/>
      <c r="Q144" s="466">
        <v>0</v>
      </c>
      <c r="R144" s="466">
        <v>0</v>
      </c>
      <c r="S144" s="466">
        <v>0</v>
      </c>
      <c r="T144" s="466"/>
      <c r="U144" s="466">
        <v>0</v>
      </c>
      <c r="V144" s="466"/>
      <c r="W144" s="466"/>
      <c r="X144" s="466">
        <v>26804.28</v>
      </c>
      <c r="Y144" s="466">
        <v>0</v>
      </c>
      <c r="Z144" s="466">
        <v>0</v>
      </c>
      <c r="AA144" s="466">
        <v>0</v>
      </c>
      <c r="AB144" s="466">
        <v>3320177.82</v>
      </c>
      <c r="AC144" s="466">
        <v>628662.04</v>
      </c>
      <c r="AD144" s="466">
        <v>210458.31</v>
      </c>
      <c r="AE144" s="466"/>
      <c r="AF144" s="466"/>
      <c r="AG144" s="466">
        <v>208778.3</v>
      </c>
      <c r="AH144" s="466">
        <v>14689.65</v>
      </c>
      <c r="AI144" s="466">
        <v>23646.6</v>
      </c>
      <c r="AJ144" s="466"/>
      <c r="AK144" s="466">
        <v>285035.40000000002</v>
      </c>
      <c r="AL144" s="466"/>
      <c r="AM144" s="466">
        <v>4600</v>
      </c>
      <c r="AN144" s="466">
        <v>4195.5</v>
      </c>
      <c r="AO144" s="466">
        <v>30807.29</v>
      </c>
      <c r="AP144" s="466"/>
      <c r="AQ144" s="466">
        <v>95165.3</v>
      </c>
      <c r="AR144" s="466">
        <v>1532.09</v>
      </c>
      <c r="AS144" s="466">
        <v>74620.800000000003</v>
      </c>
    </row>
    <row r="145" spans="1:45" x14ac:dyDescent="0.2">
      <c r="A145" s="465">
        <v>5633</v>
      </c>
      <c r="B145" s="466"/>
      <c r="C145" s="466">
        <v>7623.84</v>
      </c>
      <c r="D145" s="466">
        <v>381.09</v>
      </c>
      <c r="E145" s="466">
        <v>12161.37</v>
      </c>
      <c r="F145" s="466">
        <v>0</v>
      </c>
      <c r="G145" s="466"/>
      <c r="H145" s="466">
        <v>0</v>
      </c>
      <c r="I145" s="466"/>
      <c r="J145" s="466"/>
      <c r="K145" s="466">
        <v>0</v>
      </c>
      <c r="L145" s="466">
        <v>0</v>
      </c>
      <c r="M145" s="466">
        <v>0</v>
      </c>
      <c r="N145" s="466"/>
      <c r="O145" s="466"/>
      <c r="P145" s="466"/>
      <c r="Q145" s="466"/>
      <c r="R145" s="466">
        <v>0</v>
      </c>
      <c r="S145" s="466">
        <v>0</v>
      </c>
      <c r="T145" s="466"/>
      <c r="U145" s="466">
        <v>0</v>
      </c>
      <c r="V145" s="466"/>
      <c r="W145" s="466"/>
      <c r="X145" s="466">
        <v>58393.11</v>
      </c>
      <c r="Y145" s="466">
        <v>0</v>
      </c>
      <c r="Z145" s="466">
        <v>0</v>
      </c>
      <c r="AA145" s="466">
        <v>0</v>
      </c>
      <c r="AB145" s="466">
        <v>8749.18</v>
      </c>
      <c r="AC145" s="466"/>
      <c r="AD145" s="466">
        <v>204276.94</v>
      </c>
      <c r="AE145" s="466"/>
      <c r="AF145" s="466"/>
      <c r="AG145" s="466">
        <v>383187.35</v>
      </c>
      <c r="AH145" s="466">
        <v>103637.4</v>
      </c>
      <c r="AI145" s="466">
        <v>32221.7</v>
      </c>
      <c r="AJ145" s="466"/>
      <c r="AK145" s="466"/>
      <c r="AL145" s="466"/>
      <c r="AM145" s="466"/>
      <c r="AN145" s="466">
        <v>2267.2600000000002</v>
      </c>
      <c r="AO145" s="466">
        <v>3771.34</v>
      </c>
      <c r="AP145" s="466"/>
      <c r="AQ145" s="466">
        <v>476944.2</v>
      </c>
      <c r="AR145" s="466"/>
      <c r="AS145" s="466">
        <v>197742.25</v>
      </c>
    </row>
    <row r="146" spans="1:45" x14ac:dyDescent="0.2">
      <c r="A146" s="465">
        <v>5634</v>
      </c>
      <c r="B146" s="466"/>
      <c r="C146" s="466">
        <v>23025.24</v>
      </c>
      <c r="D146" s="466">
        <v>3243.86</v>
      </c>
      <c r="E146" s="466">
        <v>-1122.06</v>
      </c>
      <c r="F146" s="466">
        <v>0</v>
      </c>
      <c r="G146" s="466">
        <v>0</v>
      </c>
      <c r="H146" s="466">
        <v>0</v>
      </c>
      <c r="I146" s="466">
        <v>0</v>
      </c>
      <c r="J146" s="466"/>
      <c r="K146" s="466">
        <v>0</v>
      </c>
      <c r="L146" s="466">
        <v>0</v>
      </c>
      <c r="M146" s="466">
        <v>0</v>
      </c>
      <c r="N146" s="466"/>
      <c r="O146" s="466">
        <v>0</v>
      </c>
      <c r="P146" s="466">
        <v>0</v>
      </c>
      <c r="Q146" s="466">
        <v>0</v>
      </c>
      <c r="R146" s="466">
        <v>0</v>
      </c>
      <c r="S146" s="466">
        <v>0</v>
      </c>
      <c r="T146" s="466"/>
      <c r="U146" s="466">
        <v>0</v>
      </c>
      <c r="V146" s="466"/>
      <c r="W146" s="466"/>
      <c r="X146" s="466">
        <v>41857.550000000003</v>
      </c>
      <c r="Y146" s="466">
        <v>0</v>
      </c>
      <c r="Z146" s="466">
        <v>0</v>
      </c>
      <c r="AA146" s="466">
        <v>0</v>
      </c>
      <c r="AB146" s="466">
        <v>8122959.5800000001</v>
      </c>
      <c r="AC146" s="466">
        <v>1419864.32</v>
      </c>
      <c r="AD146" s="466">
        <v>114182.63</v>
      </c>
      <c r="AE146" s="466">
        <v>79996.100000000006</v>
      </c>
      <c r="AF146" s="466"/>
      <c r="AG146" s="466">
        <v>330941.15000000002</v>
      </c>
      <c r="AH146" s="466">
        <v>18026.2</v>
      </c>
      <c r="AI146" s="466">
        <v>31070.9</v>
      </c>
      <c r="AJ146" s="466"/>
      <c r="AK146" s="466">
        <v>419119.95</v>
      </c>
      <c r="AL146" s="466">
        <v>110134.1</v>
      </c>
      <c r="AM146" s="466">
        <v>8200</v>
      </c>
      <c r="AN146" s="466">
        <v>-22414.37</v>
      </c>
      <c r="AO146" s="466">
        <v>80499.429999999993</v>
      </c>
      <c r="AP146" s="466"/>
      <c r="AQ146" s="466">
        <v>301776.34999999998</v>
      </c>
      <c r="AR146" s="466">
        <v>16430.84</v>
      </c>
      <c r="AS146" s="466">
        <v>34427.1</v>
      </c>
    </row>
    <row r="147" spans="1:45" x14ac:dyDescent="0.2">
      <c r="A147" s="465">
        <v>5635</v>
      </c>
      <c r="B147" s="466"/>
      <c r="C147" s="466">
        <v>77279.92</v>
      </c>
      <c r="D147" s="466">
        <v>8565.3700000000008</v>
      </c>
      <c r="E147" s="466">
        <v>620061.18999999994</v>
      </c>
      <c r="F147" s="466">
        <v>0</v>
      </c>
      <c r="G147" s="466">
        <v>0</v>
      </c>
      <c r="H147" s="466">
        <v>0</v>
      </c>
      <c r="I147" s="466"/>
      <c r="J147" s="466"/>
      <c r="K147" s="466">
        <v>0</v>
      </c>
      <c r="L147" s="466">
        <v>0</v>
      </c>
      <c r="M147" s="466">
        <v>0</v>
      </c>
      <c r="N147" s="466"/>
      <c r="O147" s="466">
        <v>0</v>
      </c>
      <c r="P147" s="466">
        <v>0</v>
      </c>
      <c r="Q147" s="466">
        <v>0</v>
      </c>
      <c r="R147" s="466">
        <v>0</v>
      </c>
      <c r="S147" s="466">
        <v>0</v>
      </c>
      <c r="T147" s="466"/>
      <c r="U147" s="466">
        <v>0</v>
      </c>
      <c r="V147" s="466"/>
      <c r="W147" s="466"/>
      <c r="X147" s="466">
        <v>1776637.74</v>
      </c>
      <c r="Y147" s="466">
        <v>0</v>
      </c>
      <c r="Z147" s="466">
        <v>0</v>
      </c>
      <c r="AA147" s="466">
        <v>0</v>
      </c>
      <c r="AB147" s="466">
        <v>19542886.289999999</v>
      </c>
      <c r="AC147" s="466">
        <v>2401276.71</v>
      </c>
      <c r="AD147" s="466">
        <v>1749282.28</v>
      </c>
      <c r="AE147" s="466"/>
      <c r="AF147" s="466"/>
      <c r="AG147" s="466">
        <v>14005278</v>
      </c>
      <c r="AH147" s="466">
        <v>806592.7</v>
      </c>
      <c r="AI147" s="466">
        <v>453708.3</v>
      </c>
      <c r="AJ147" s="466"/>
      <c r="AK147" s="466">
        <v>1907493.5</v>
      </c>
      <c r="AL147" s="466">
        <v>328899.90000000002</v>
      </c>
      <c r="AM147" s="466">
        <v>46000</v>
      </c>
      <c r="AN147" s="466">
        <v>76637.2</v>
      </c>
      <c r="AO147" s="466">
        <v>246187.54</v>
      </c>
      <c r="AP147" s="466"/>
      <c r="AQ147" s="466">
        <v>676244.1</v>
      </c>
      <c r="AR147" s="466">
        <v>25901.47</v>
      </c>
      <c r="AS147" s="466">
        <v>2487367.85</v>
      </c>
    </row>
    <row r="148" spans="1:45" x14ac:dyDescent="0.2">
      <c r="A148" s="465">
        <v>5636</v>
      </c>
      <c r="B148" s="466"/>
      <c r="C148" s="466">
        <v>17742.48</v>
      </c>
      <c r="D148" s="466">
        <v>4765.3999999999996</v>
      </c>
      <c r="E148" s="466">
        <v>79322.78</v>
      </c>
      <c r="F148" s="466">
        <v>0</v>
      </c>
      <c r="G148" s="466">
        <v>0</v>
      </c>
      <c r="H148" s="466">
        <v>0</v>
      </c>
      <c r="I148" s="466">
        <v>0</v>
      </c>
      <c r="J148" s="466"/>
      <c r="K148" s="466">
        <v>0</v>
      </c>
      <c r="L148" s="466">
        <v>0</v>
      </c>
      <c r="M148" s="466">
        <v>0</v>
      </c>
      <c r="N148" s="466"/>
      <c r="O148" s="466">
        <v>0</v>
      </c>
      <c r="P148" s="466">
        <v>0</v>
      </c>
      <c r="Q148" s="466">
        <v>0</v>
      </c>
      <c r="R148" s="466">
        <v>0</v>
      </c>
      <c r="S148" s="466">
        <v>0</v>
      </c>
      <c r="T148" s="466"/>
      <c r="U148" s="466">
        <v>0</v>
      </c>
      <c r="V148" s="466"/>
      <c r="W148" s="466"/>
      <c r="X148" s="466">
        <v>175111.21</v>
      </c>
      <c r="Y148" s="466">
        <v>0</v>
      </c>
      <c r="Z148" s="466">
        <v>0</v>
      </c>
      <c r="AA148" s="466">
        <v>0</v>
      </c>
      <c r="AB148" s="466">
        <v>5896847.8300000001</v>
      </c>
      <c r="AC148" s="466">
        <v>961158.63</v>
      </c>
      <c r="AD148" s="466">
        <v>357527.27</v>
      </c>
      <c r="AE148" s="466">
        <v>0</v>
      </c>
      <c r="AF148" s="466"/>
      <c r="AG148" s="466">
        <v>1252000.3500000001</v>
      </c>
      <c r="AH148" s="466">
        <v>207905.95</v>
      </c>
      <c r="AI148" s="466">
        <v>284447.09999999998</v>
      </c>
      <c r="AJ148" s="466"/>
      <c r="AK148" s="466">
        <v>400593</v>
      </c>
      <c r="AL148" s="466">
        <v>211610.6</v>
      </c>
      <c r="AM148" s="466">
        <v>8025</v>
      </c>
      <c r="AN148" s="466">
        <v>728.49</v>
      </c>
      <c r="AO148" s="466">
        <v>56569.43</v>
      </c>
      <c r="AP148" s="466"/>
      <c r="AQ148" s="466">
        <v>366210.85</v>
      </c>
      <c r="AR148" s="466">
        <v>3378.24</v>
      </c>
      <c r="AS148" s="466">
        <v>619311.94999999995</v>
      </c>
    </row>
    <row r="149" spans="1:45" x14ac:dyDescent="0.2">
      <c r="A149" s="465">
        <v>5637</v>
      </c>
      <c r="B149" s="466"/>
      <c r="C149" s="466">
        <v>5927.15</v>
      </c>
      <c r="D149" s="466">
        <v>560.30999999999995</v>
      </c>
      <c r="E149" s="466">
        <v>32228.12</v>
      </c>
      <c r="F149" s="466">
        <v>0</v>
      </c>
      <c r="G149" s="466">
        <v>0</v>
      </c>
      <c r="H149" s="466">
        <v>0</v>
      </c>
      <c r="I149" s="466"/>
      <c r="J149" s="466"/>
      <c r="K149" s="466">
        <v>0</v>
      </c>
      <c r="L149" s="466">
        <v>0</v>
      </c>
      <c r="M149" s="466">
        <v>0</v>
      </c>
      <c r="N149" s="466"/>
      <c r="O149" s="466">
        <v>0</v>
      </c>
      <c r="P149" s="466">
        <v>0</v>
      </c>
      <c r="Q149" s="466">
        <v>0</v>
      </c>
      <c r="R149" s="466">
        <v>0</v>
      </c>
      <c r="S149" s="466">
        <v>0</v>
      </c>
      <c r="T149" s="466"/>
      <c r="U149" s="466">
        <v>0</v>
      </c>
      <c r="V149" s="466"/>
      <c r="W149" s="466"/>
      <c r="X149" s="466">
        <v>1445.74</v>
      </c>
      <c r="Y149" s="466">
        <v>0</v>
      </c>
      <c r="Z149" s="466">
        <v>0</v>
      </c>
      <c r="AA149" s="466">
        <v>0</v>
      </c>
      <c r="AB149" s="466">
        <v>2534331.83</v>
      </c>
      <c r="AC149" s="466">
        <v>215880.28</v>
      </c>
      <c r="AD149" s="466">
        <v>75916.59</v>
      </c>
      <c r="AE149" s="466"/>
      <c r="AF149" s="466"/>
      <c r="AG149" s="466">
        <v>11469.8</v>
      </c>
      <c r="AH149" s="466">
        <v>583.35</v>
      </c>
      <c r="AI149" s="466">
        <v>5748.85</v>
      </c>
      <c r="AJ149" s="466"/>
      <c r="AK149" s="466">
        <v>111469.3</v>
      </c>
      <c r="AL149" s="466">
        <v>9743.7999999999993</v>
      </c>
      <c r="AM149" s="466">
        <v>4160</v>
      </c>
      <c r="AN149" s="466">
        <v>2396.9899999999998</v>
      </c>
      <c r="AO149" s="466">
        <v>27451.94</v>
      </c>
      <c r="AP149" s="466"/>
      <c r="AQ149" s="466">
        <v>102752.3</v>
      </c>
      <c r="AR149" s="466">
        <v>1637.58</v>
      </c>
      <c r="AS149" s="466">
        <v>222888.05</v>
      </c>
    </row>
    <row r="150" spans="1:45" x14ac:dyDescent="0.2">
      <c r="A150" s="465">
        <v>5638</v>
      </c>
      <c r="B150" s="466"/>
      <c r="C150" s="466">
        <v>5111.92</v>
      </c>
      <c r="D150" s="466">
        <v>3034.03</v>
      </c>
      <c r="E150" s="466">
        <v>50539.1</v>
      </c>
      <c r="F150" s="466">
        <v>0</v>
      </c>
      <c r="G150" s="466">
        <v>0</v>
      </c>
      <c r="H150" s="466">
        <v>0</v>
      </c>
      <c r="I150" s="466">
        <v>0</v>
      </c>
      <c r="J150" s="466"/>
      <c r="K150" s="466">
        <v>0</v>
      </c>
      <c r="L150" s="466">
        <v>0</v>
      </c>
      <c r="M150" s="466">
        <v>0</v>
      </c>
      <c r="N150" s="466"/>
      <c r="O150" s="466">
        <v>0</v>
      </c>
      <c r="P150" s="466">
        <v>0</v>
      </c>
      <c r="Q150" s="466">
        <v>0</v>
      </c>
      <c r="R150" s="466">
        <v>0</v>
      </c>
      <c r="S150" s="466">
        <v>0</v>
      </c>
      <c r="T150" s="466"/>
      <c r="U150" s="466">
        <v>0</v>
      </c>
      <c r="V150" s="466"/>
      <c r="W150" s="466"/>
      <c r="X150" s="466">
        <v>5502.22</v>
      </c>
      <c r="Y150" s="466">
        <v>0</v>
      </c>
      <c r="Z150" s="466">
        <v>0</v>
      </c>
      <c r="AA150" s="466">
        <v>0</v>
      </c>
      <c r="AB150" s="466">
        <v>5420232.5899999999</v>
      </c>
      <c r="AC150" s="466">
        <v>1398789.75</v>
      </c>
      <c r="AD150" s="466">
        <v>128647.64</v>
      </c>
      <c r="AE150" s="466">
        <v>317203.75</v>
      </c>
      <c r="AF150" s="466"/>
      <c r="AG150" s="466">
        <v>6296.1</v>
      </c>
      <c r="AH150" s="466">
        <v>39576</v>
      </c>
      <c r="AI150" s="466">
        <v>64583.25</v>
      </c>
      <c r="AJ150" s="466"/>
      <c r="AK150" s="466">
        <v>317299.65000000002</v>
      </c>
      <c r="AL150" s="466">
        <v>1585561.3</v>
      </c>
      <c r="AM150" s="466">
        <v>13800</v>
      </c>
      <c r="AN150" s="466">
        <v>17148.830000000002</v>
      </c>
      <c r="AO150" s="466">
        <v>53627.35</v>
      </c>
      <c r="AP150" s="466"/>
      <c r="AQ150" s="466">
        <v>218303.75</v>
      </c>
      <c r="AR150" s="466">
        <v>14646.69</v>
      </c>
      <c r="AS150" s="466">
        <v>290954.15000000002</v>
      </c>
    </row>
    <row r="151" spans="1:45" x14ac:dyDescent="0.2">
      <c r="A151" s="465">
        <v>5639</v>
      </c>
      <c r="B151" s="466"/>
      <c r="C151" s="466">
        <v>3688.83</v>
      </c>
      <c r="D151" s="466">
        <v>17.64</v>
      </c>
      <c r="E151" s="466">
        <v>8174.44</v>
      </c>
      <c r="F151" s="466">
        <v>0</v>
      </c>
      <c r="G151" s="466"/>
      <c r="H151" s="466">
        <v>0</v>
      </c>
      <c r="I151" s="466"/>
      <c r="J151" s="466"/>
      <c r="K151" s="466">
        <v>0</v>
      </c>
      <c r="L151" s="466">
        <v>0</v>
      </c>
      <c r="M151" s="466">
        <v>0</v>
      </c>
      <c r="N151" s="466"/>
      <c r="O151" s="466"/>
      <c r="P151" s="466"/>
      <c r="Q151" s="466"/>
      <c r="R151" s="466">
        <v>0</v>
      </c>
      <c r="S151" s="466">
        <v>0</v>
      </c>
      <c r="T151" s="466"/>
      <c r="U151" s="466">
        <v>0</v>
      </c>
      <c r="V151" s="466"/>
      <c r="W151" s="466"/>
      <c r="X151" s="466">
        <v>-6955.42</v>
      </c>
      <c r="Y151" s="466">
        <v>0</v>
      </c>
      <c r="Z151" s="466">
        <v>0</v>
      </c>
      <c r="AA151" s="466">
        <v>0</v>
      </c>
      <c r="AB151" s="466">
        <v>-37076.07</v>
      </c>
      <c r="AC151" s="466"/>
      <c r="AD151" s="466">
        <v>9023.2800000000007</v>
      </c>
      <c r="AE151" s="466"/>
      <c r="AF151" s="466"/>
      <c r="AG151" s="466">
        <v>-61349.1</v>
      </c>
      <c r="AH151" s="466">
        <v>3361.6</v>
      </c>
      <c r="AI151" s="466">
        <v>-8250.15</v>
      </c>
      <c r="AJ151" s="466"/>
      <c r="AK151" s="466"/>
      <c r="AL151" s="466"/>
      <c r="AM151" s="466"/>
      <c r="AN151" s="466">
        <v>210.69</v>
      </c>
      <c r="AO151" s="466">
        <v>1468.06</v>
      </c>
      <c r="AP151" s="466"/>
      <c r="AQ151" s="466">
        <v>20303.5</v>
      </c>
      <c r="AR151" s="466"/>
      <c r="AS151" s="466">
        <v>15484.7</v>
      </c>
    </row>
    <row r="152" spans="1:45" x14ac:dyDescent="0.2">
      <c r="A152" s="465">
        <v>5640</v>
      </c>
      <c r="B152" s="466"/>
      <c r="C152" s="466">
        <v>19812.59</v>
      </c>
      <c r="D152" s="466">
        <v>1191.8399999999999</v>
      </c>
      <c r="E152" s="466">
        <v>3891.6</v>
      </c>
      <c r="F152" s="466">
        <v>0</v>
      </c>
      <c r="G152" s="466">
        <v>0</v>
      </c>
      <c r="H152" s="466">
        <v>0</v>
      </c>
      <c r="I152" s="466">
        <v>0</v>
      </c>
      <c r="J152" s="466"/>
      <c r="K152" s="466">
        <v>0</v>
      </c>
      <c r="L152" s="466">
        <v>0</v>
      </c>
      <c r="M152" s="466">
        <v>0</v>
      </c>
      <c r="N152" s="466"/>
      <c r="O152" s="466">
        <v>0</v>
      </c>
      <c r="P152" s="466">
        <v>0</v>
      </c>
      <c r="Q152" s="466"/>
      <c r="R152" s="466">
        <v>0</v>
      </c>
      <c r="S152" s="466">
        <v>0</v>
      </c>
      <c r="T152" s="466"/>
      <c r="U152" s="466">
        <v>0</v>
      </c>
      <c r="V152" s="466"/>
      <c r="W152" s="466"/>
      <c r="X152" s="466">
        <v>3161.76</v>
      </c>
      <c r="Y152" s="466">
        <v>0</v>
      </c>
      <c r="Z152" s="466">
        <v>0</v>
      </c>
      <c r="AA152" s="466">
        <v>0</v>
      </c>
      <c r="AB152" s="466">
        <v>2832777.84</v>
      </c>
      <c r="AC152" s="466">
        <v>557058.31000000006</v>
      </c>
      <c r="AD152" s="466">
        <v>23735.61</v>
      </c>
      <c r="AE152" s="466">
        <v>123554.25</v>
      </c>
      <c r="AF152" s="466"/>
      <c r="AG152" s="466">
        <v>20319.099999999999</v>
      </c>
      <c r="AH152" s="466">
        <v>6040.6</v>
      </c>
      <c r="AI152" s="466">
        <v>3322.35</v>
      </c>
      <c r="AJ152" s="466"/>
      <c r="AK152" s="466">
        <v>158128.6</v>
      </c>
      <c r="AL152" s="466">
        <v>73401.600000000006</v>
      </c>
      <c r="AM152" s="466"/>
      <c r="AN152" s="466">
        <v>123.98</v>
      </c>
      <c r="AO152" s="466">
        <v>21054.23</v>
      </c>
      <c r="AP152" s="466"/>
      <c r="AQ152" s="466">
        <v>111804.6</v>
      </c>
      <c r="AR152" s="466">
        <v>2209.71</v>
      </c>
      <c r="AS152" s="466">
        <v>14468.85</v>
      </c>
    </row>
    <row r="153" spans="1:45" x14ac:dyDescent="0.2">
      <c r="A153" s="465">
        <v>5642</v>
      </c>
      <c r="B153" s="466"/>
      <c r="C153" s="466">
        <v>134873.56</v>
      </c>
      <c r="D153" s="466">
        <v>16447.87</v>
      </c>
      <c r="E153" s="466">
        <v>1266950.6599999999</v>
      </c>
      <c r="F153" s="466">
        <v>0</v>
      </c>
      <c r="G153" s="466">
        <v>0</v>
      </c>
      <c r="H153" s="466">
        <v>0</v>
      </c>
      <c r="I153" s="466">
        <v>0</v>
      </c>
      <c r="J153" s="466"/>
      <c r="K153" s="466">
        <v>0</v>
      </c>
      <c r="L153" s="466">
        <v>0</v>
      </c>
      <c r="M153" s="466">
        <v>0</v>
      </c>
      <c r="N153" s="466"/>
      <c r="O153" s="466">
        <v>0</v>
      </c>
      <c r="P153" s="466">
        <v>0</v>
      </c>
      <c r="Q153" s="466"/>
      <c r="R153" s="466">
        <v>0</v>
      </c>
      <c r="S153" s="466">
        <v>0</v>
      </c>
      <c r="T153" s="466">
        <v>0</v>
      </c>
      <c r="U153" s="466">
        <v>0</v>
      </c>
      <c r="V153" s="466"/>
      <c r="W153" s="466"/>
      <c r="X153" s="466">
        <v>570927.19999999995</v>
      </c>
      <c r="Y153" s="466">
        <v>0</v>
      </c>
      <c r="Z153" s="466">
        <v>0</v>
      </c>
      <c r="AA153" s="466">
        <v>0</v>
      </c>
      <c r="AB153" s="466">
        <v>35753961.43</v>
      </c>
      <c r="AC153" s="466">
        <v>5542645.3799999999</v>
      </c>
      <c r="AD153" s="466">
        <v>1767628.67</v>
      </c>
      <c r="AE153" s="466">
        <v>468765.2</v>
      </c>
      <c r="AF153" s="466"/>
      <c r="AG153" s="466">
        <v>3651770.75</v>
      </c>
      <c r="AH153" s="466">
        <v>1108062.8</v>
      </c>
      <c r="AI153" s="466">
        <v>528585.69999999995</v>
      </c>
      <c r="AJ153" s="466"/>
      <c r="AK153" s="466">
        <v>1876741.5</v>
      </c>
      <c r="AL153" s="466">
        <v>1575229.1</v>
      </c>
      <c r="AM153" s="466"/>
      <c r="AN153" s="466">
        <v>124680.94</v>
      </c>
      <c r="AO153" s="466">
        <v>449942.41</v>
      </c>
      <c r="AP153" s="466">
        <v>6464.5</v>
      </c>
      <c r="AQ153" s="466">
        <v>1985121.55</v>
      </c>
      <c r="AR153" s="466">
        <v>65343.82</v>
      </c>
      <c r="AS153" s="466">
        <v>1316828.75</v>
      </c>
    </row>
    <row r="154" spans="1:45" x14ac:dyDescent="0.2">
      <c r="A154" s="465">
        <v>5643</v>
      </c>
      <c r="B154" s="466"/>
      <c r="C154" s="466">
        <v>21309.599999999999</v>
      </c>
      <c r="D154" s="466">
        <v>3879.41</v>
      </c>
      <c r="E154" s="466">
        <v>195126.12</v>
      </c>
      <c r="F154" s="466">
        <v>0</v>
      </c>
      <c r="G154" s="466">
        <v>0</v>
      </c>
      <c r="H154" s="466">
        <v>0</v>
      </c>
      <c r="I154" s="466">
        <v>0</v>
      </c>
      <c r="J154" s="466"/>
      <c r="K154" s="466">
        <v>0</v>
      </c>
      <c r="L154" s="466">
        <v>0</v>
      </c>
      <c r="M154" s="466">
        <v>0</v>
      </c>
      <c r="N154" s="466"/>
      <c r="O154" s="466">
        <v>0</v>
      </c>
      <c r="P154" s="466">
        <v>0</v>
      </c>
      <c r="Q154" s="466">
        <v>0</v>
      </c>
      <c r="R154" s="466">
        <v>0</v>
      </c>
      <c r="S154" s="466">
        <v>0</v>
      </c>
      <c r="T154" s="466"/>
      <c r="U154" s="466">
        <v>0</v>
      </c>
      <c r="V154" s="466"/>
      <c r="W154" s="466"/>
      <c r="X154" s="466">
        <v>54273.01</v>
      </c>
      <c r="Y154" s="466">
        <v>0</v>
      </c>
      <c r="Z154" s="466">
        <v>0</v>
      </c>
      <c r="AA154" s="466">
        <v>0</v>
      </c>
      <c r="AB154" s="466">
        <v>12325302.529999999</v>
      </c>
      <c r="AC154" s="466">
        <v>1798238.34</v>
      </c>
      <c r="AD154" s="466">
        <v>265216.28000000003</v>
      </c>
      <c r="AE154" s="466">
        <v>447354.21</v>
      </c>
      <c r="AF154" s="466"/>
      <c r="AG154" s="466">
        <v>387344.6</v>
      </c>
      <c r="AH154" s="466">
        <v>65130.75</v>
      </c>
      <c r="AI154" s="466">
        <v>126037</v>
      </c>
      <c r="AJ154" s="466"/>
      <c r="AK154" s="466">
        <v>427353.4</v>
      </c>
      <c r="AL154" s="466">
        <v>90172</v>
      </c>
      <c r="AM154" s="466">
        <v>17955</v>
      </c>
      <c r="AN154" s="466">
        <v>34745.64</v>
      </c>
      <c r="AO154" s="466">
        <v>141624.62</v>
      </c>
      <c r="AP154" s="466"/>
      <c r="AQ154" s="466">
        <v>292102.59999999998</v>
      </c>
      <c r="AR154" s="466">
        <v>37519.589999999997</v>
      </c>
      <c r="AS154" s="466">
        <v>212698.65</v>
      </c>
    </row>
    <row r="155" spans="1:45" x14ac:dyDescent="0.2">
      <c r="A155" s="465">
        <v>5644</v>
      </c>
      <c r="B155" s="466"/>
      <c r="C155" s="466">
        <v>229.13</v>
      </c>
      <c r="D155" s="466">
        <v>327.63</v>
      </c>
      <c r="E155" s="466">
        <v>30.02</v>
      </c>
      <c r="F155" s="466">
        <v>0</v>
      </c>
      <c r="G155" s="466">
        <v>0</v>
      </c>
      <c r="H155" s="466">
        <v>0</v>
      </c>
      <c r="I155" s="466"/>
      <c r="J155" s="466"/>
      <c r="K155" s="466">
        <v>0</v>
      </c>
      <c r="L155" s="466">
        <v>0</v>
      </c>
      <c r="M155" s="466">
        <v>0</v>
      </c>
      <c r="N155" s="466">
        <v>0</v>
      </c>
      <c r="O155" s="466">
        <v>0</v>
      </c>
      <c r="P155" s="466"/>
      <c r="Q155" s="466">
        <v>0</v>
      </c>
      <c r="R155" s="466"/>
      <c r="S155" s="466">
        <v>0</v>
      </c>
      <c r="T155" s="466"/>
      <c r="U155" s="466">
        <v>0</v>
      </c>
      <c r="V155" s="466"/>
      <c r="W155" s="466"/>
      <c r="X155" s="466">
        <v>3113.41</v>
      </c>
      <c r="Y155" s="466">
        <v>0</v>
      </c>
      <c r="Z155" s="466">
        <v>0</v>
      </c>
      <c r="AA155" s="466">
        <v>0</v>
      </c>
      <c r="AB155" s="466">
        <v>896561.02</v>
      </c>
      <c r="AC155" s="466">
        <v>174079.08</v>
      </c>
      <c r="AD155" s="466">
        <v>3739.98</v>
      </c>
      <c r="AE155" s="466"/>
      <c r="AF155" s="466"/>
      <c r="AG155" s="466">
        <v>26071.95</v>
      </c>
      <c r="AH155" s="466">
        <v>-115.35</v>
      </c>
      <c r="AI155" s="466">
        <v>-150</v>
      </c>
      <c r="AJ155" s="466">
        <v>82657.55</v>
      </c>
      <c r="AK155" s="466">
        <v>24420</v>
      </c>
      <c r="AL155" s="466"/>
      <c r="AM155" s="466">
        <v>2950</v>
      </c>
      <c r="AN155" s="466"/>
      <c r="AO155" s="466">
        <v>6513.03</v>
      </c>
      <c r="AP155" s="466"/>
      <c r="AQ155" s="466">
        <v>1730.6</v>
      </c>
      <c r="AR155" s="466">
        <v>392.34</v>
      </c>
      <c r="AS155" s="466">
        <v>4509.8999999999996</v>
      </c>
    </row>
    <row r="156" spans="1:45" x14ac:dyDescent="0.2">
      <c r="A156" s="465">
        <v>5645</v>
      </c>
      <c r="B156" s="466"/>
      <c r="C156" s="466">
        <v>1143.03</v>
      </c>
      <c r="D156" s="466">
        <v>537.39</v>
      </c>
      <c r="E156" s="466">
        <v>10244.790000000001</v>
      </c>
      <c r="F156" s="466">
        <v>0</v>
      </c>
      <c r="G156" s="466">
        <v>0</v>
      </c>
      <c r="H156" s="466">
        <v>0</v>
      </c>
      <c r="I156" s="466"/>
      <c r="J156" s="466"/>
      <c r="K156" s="466">
        <v>0</v>
      </c>
      <c r="L156" s="466">
        <v>0</v>
      </c>
      <c r="M156" s="466">
        <v>0</v>
      </c>
      <c r="N156" s="466"/>
      <c r="O156" s="466">
        <v>0</v>
      </c>
      <c r="P156" s="466">
        <v>0</v>
      </c>
      <c r="Q156" s="466">
        <v>0</v>
      </c>
      <c r="R156" s="466">
        <v>0</v>
      </c>
      <c r="S156" s="466">
        <v>0</v>
      </c>
      <c r="T156" s="466"/>
      <c r="U156" s="466">
        <v>0</v>
      </c>
      <c r="V156" s="466"/>
      <c r="W156" s="466"/>
      <c r="X156" s="466">
        <v>16501.27</v>
      </c>
      <c r="Y156" s="466">
        <v>0</v>
      </c>
      <c r="Z156" s="466">
        <v>0</v>
      </c>
      <c r="AA156" s="466">
        <v>0</v>
      </c>
      <c r="AB156" s="466">
        <v>865059.85</v>
      </c>
      <c r="AC156" s="466">
        <v>174988.67</v>
      </c>
      <c r="AD156" s="466">
        <v>66708.12</v>
      </c>
      <c r="AE156" s="466"/>
      <c r="AF156" s="466"/>
      <c r="AG156" s="466">
        <v>71950.5</v>
      </c>
      <c r="AH156" s="466">
        <v>65620.95</v>
      </c>
      <c r="AI156" s="466">
        <v>20606.599999999999</v>
      </c>
      <c r="AJ156" s="466"/>
      <c r="AK156" s="466">
        <v>69675.649999999994</v>
      </c>
      <c r="AL156" s="466">
        <v>89491.8</v>
      </c>
      <c r="AM156" s="466">
        <v>1175</v>
      </c>
      <c r="AN156" s="466">
        <v>2974.46</v>
      </c>
      <c r="AO156" s="466">
        <v>9695.9599999999991</v>
      </c>
      <c r="AP156" s="466"/>
      <c r="AQ156" s="466">
        <v>19294.45</v>
      </c>
      <c r="AR156" s="466">
        <v>1656.45</v>
      </c>
      <c r="AS156" s="466">
        <v>37607.800000000003</v>
      </c>
    </row>
    <row r="157" spans="1:45" x14ac:dyDescent="0.2">
      <c r="A157" s="465">
        <v>5646</v>
      </c>
      <c r="B157" s="466"/>
      <c r="C157" s="466">
        <v>46759.98</v>
      </c>
      <c r="D157" s="466">
        <v>4810.6099999999997</v>
      </c>
      <c r="E157" s="466">
        <v>178615.07</v>
      </c>
      <c r="F157" s="466">
        <v>0</v>
      </c>
      <c r="G157" s="466">
        <v>0</v>
      </c>
      <c r="H157" s="466">
        <v>0</v>
      </c>
      <c r="I157" s="466">
        <v>0</v>
      </c>
      <c r="J157" s="466"/>
      <c r="K157" s="466">
        <v>0</v>
      </c>
      <c r="L157" s="466">
        <v>0</v>
      </c>
      <c r="M157" s="466">
        <v>0</v>
      </c>
      <c r="N157" s="466"/>
      <c r="O157" s="466">
        <v>0</v>
      </c>
      <c r="P157" s="466">
        <v>0</v>
      </c>
      <c r="Q157" s="466">
        <v>0</v>
      </c>
      <c r="R157" s="466">
        <v>0</v>
      </c>
      <c r="S157" s="466">
        <v>0</v>
      </c>
      <c r="T157" s="466">
        <v>0</v>
      </c>
      <c r="U157" s="466">
        <v>0</v>
      </c>
      <c r="V157" s="466"/>
      <c r="W157" s="466"/>
      <c r="X157" s="466">
        <v>1280206.22</v>
      </c>
      <c r="Y157" s="466">
        <v>0</v>
      </c>
      <c r="Z157" s="466">
        <v>0</v>
      </c>
      <c r="AA157" s="466">
        <v>0</v>
      </c>
      <c r="AB157" s="466">
        <v>11983243.58</v>
      </c>
      <c r="AC157" s="466">
        <v>2870606.54</v>
      </c>
      <c r="AD157" s="466">
        <v>587722.06000000006</v>
      </c>
      <c r="AE157" s="466">
        <v>762116.87</v>
      </c>
      <c r="AF157" s="466"/>
      <c r="AG157" s="466">
        <v>1370881.9</v>
      </c>
      <c r="AH157" s="466">
        <v>9302227.5500000007</v>
      </c>
      <c r="AI157" s="466">
        <v>135101.5</v>
      </c>
      <c r="AJ157" s="466"/>
      <c r="AK157" s="466">
        <v>778605.7</v>
      </c>
      <c r="AL157" s="466">
        <v>764394.2</v>
      </c>
      <c r="AM157" s="466">
        <v>45900</v>
      </c>
      <c r="AN157" s="466">
        <v>23957.29</v>
      </c>
      <c r="AO157" s="466">
        <v>141196.17000000001</v>
      </c>
      <c r="AP157" s="466">
        <v>1056.8</v>
      </c>
      <c r="AQ157" s="466">
        <v>751144.8</v>
      </c>
      <c r="AR157" s="466">
        <v>34323.89</v>
      </c>
      <c r="AS157" s="466">
        <v>1057317.55</v>
      </c>
    </row>
    <row r="158" spans="1:45" x14ac:dyDescent="0.2">
      <c r="A158" s="465">
        <v>5648</v>
      </c>
      <c r="B158" s="466"/>
      <c r="C158" s="466">
        <v>82330.880000000005</v>
      </c>
      <c r="D158" s="466">
        <v>8500.94</v>
      </c>
      <c r="E158" s="466">
        <v>152315.4</v>
      </c>
      <c r="F158" s="466">
        <v>0</v>
      </c>
      <c r="G158" s="466">
        <v>0</v>
      </c>
      <c r="H158" s="466">
        <v>0</v>
      </c>
      <c r="I158" s="466">
        <v>0</v>
      </c>
      <c r="J158" s="466"/>
      <c r="K158" s="466">
        <v>0</v>
      </c>
      <c r="L158" s="466">
        <v>0</v>
      </c>
      <c r="M158" s="466">
        <v>0</v>
      </c>
      <c r="N158" s="466"/>
      <c r="O158" s="466">
        <v>0</v>
      </c>
      <c r="P158" s="466">
        <v>0</v>
      </c>
      <c r="Q158" s="466"/>
      <c r="R158" s="466">
        <v>0</v>
      </c>
      <c r="S158" s="466">
        <v>0</v>
      </c>
      <c r="T158" s="466">
        <v>0</v>
      </c>
      <c r="U158" s="466">
        <v>0</v>
      </c>
      <c r="V158" s="466"/>
      <c r="W158" s="466"/>
      <c r="X158" s="466">
        <v>165674.60999999999</v>
      </c>
      <c r="Y158" s="466">
        <v>0</v>
      </c>
      <c r="Z158" s="466">
        <v>0</v>
      </c>
      <c r="AA158" s="466">
        <v>0</v>
      </c>
      <c r="AB158" s="466">
        <v>13693752.6</v>
      </c>
      <c r="AC158" s="466">
        <v>3820279.14</v>
      </c>
      <c r="AD158" s="466">
        <v>709111.6</v>
      </c>
      <c r="AE158" s="466">
        <v>548606.35</v>
      </c>
      <c r="AF158" s="466"/>
      <c r="AG158" s="466">
        <v>1159829.75</v>
      </c>
      <c r="AH158" s="466">
        <v>221403.4</v>
      </c>
      <c r="AI158" s="466">
        <v>137836.75</v>
      </c>
      <c r="AJ158" s="466"/>
      <c r="AK158" s="466">
        <v>655689</v>
      </c>
      <c r="AL158" s="466">
        <v>333365.8</v>
      </c>
      <c r="AM158" s="466"/>
      <c r="AN158" s="466">
        <v>10214.629999999999</v>
      </c>
      <c r="AO158" s="466">
        <v>164557.29</v>
      </c>
      <c r="AP158" s="466">
        <v>12701.5</v>
      </c>
      <c r="AQ158" s="466">
        <v>680965.4</v>
      </c>
      <c r="AR158" s="466">
        <v>115155.93</v>
      </c>
      <c r="AS158" s="466">
        <v>85040.6</v>
      </c>
    </row>
    <row r="159" spans="1:45" x14ac:dyDescent="0.2">
      <c r="A159" s="465">
        <v>5649</v>
      </c>
      <c r="B159" s="466"/>
      <c r="C159" s="466">
        <v>13650.26</v>
      </c>
      <c r="D159" s="466">
        <v>2925.33</v>
      </c>
      <c r="E159" s="466">
        <v>58655.040000000001</v>
      </c>
      <c r="F159" s="466">
        <v>0</v>
      </c>
      <c r="G159" s="466">
        <v>0</v>
      </c>
      <c r="H159" s="466">
        <v>0</v>
      </c>
      <c r="I159" s="466">
        <v>0</v>
      </c>
      <c r="J159" s="466"/>
      <c r="K159" s="466">
        <v>0</v>
      </c>
      <c r="L159" s="466">
        <v>0</v>
      </c>
      <c r="M159" s="466">
        <v>0</v>
      </c>
      <c r="N159" s="466"/>
      <c r="O159" s="466">
        <v>0</v>
      </c>
      <c r="P159" s="466"/>
      <c r="Q159" s="466">
        <v>0</v>
      </c>
      <c r="R159" s="466">
        <v>0</v>
      </c>
      <c r="S159" s="466">
        <v>0</v>
      </c>
      <c r="T159" s="466"/>
      <c r="U159" s="466">
        <v>0</v>
      </c>
      <c r="V159" s="466"/>
      <c r="W159" s="466"/>
      <c r="X159" s="466">
        <v>915433.7</v>
      </c>
      <c r="Y159" s="466">
        <v>0</v>
      </c>
      <c r="Z159" s="466">
        <v>0</v>
      </c>
      <c r="AA159" s="466">
        <v>0</v>
      </c>
      <c r="AB159" s="466">
        <v>3900640.69</v>
      </c>
      <c r="AC159" s="466">
        <v>641835.82999999996</v>
      </c>
      <c r="AD159" s="466">
        <v>256600.22</v>
      </c>
      <c r="AE159" s="466">
        <v>30789.15</v>
      </c>
      <c r="AF159" s="466"/>
      <c r="AG159" s="466">
        <v>6763769.25</v>
      </c>
      <c r="AH159" s="466">
        <v>868223.1</v>
      </c>
      <c r="AI159" s="466">
        <v>65122.1</v>
      </c>
      <c r="AJ159" s="466"/>
      <c r="AK159" s="466">
        <v>319670.95</v>
      </c>
      <c r="AL159" s="466"/>
      <c r="AM159" s="466">
        <v>3435</v>
      </c>
      <c r="AN159" s="466">
        <v>19327.349999999999</v>
      </c>
      <c r="AO159" s="466">
        <v>45729.49</v>
      </c>
      <c r="AP159" s="466"/>
      <c r="AQ159" s="466">
        <v>40091.5</v>
      </c>
      <c r="AR159" s="466">
        <v>3405.73</v>
      </c>
      <c r="AS159" s="466">
        <v>588474.4</v>
      </c>
    </row>
    <row r="160" spans="1:45" x14ac:dyDescent="0.2">
      <c r="A160" s="465">
        <v>5650</v>
      </c>
      <c r="B160" s="466"/>
      <c r="C160" s="466">
        <v>-211.27</v>
      </c>
      <c r="D160" s="466">
        <v>47.75</v>
      </c>
      <c r="E160" s="466">
        <v>6.58</v>
      </c>
      <c r="F160" s="466">
        <v>0</v>
      </c>
      <c r="G160" s="466"/>
      <c r="H160" s="466">
        <v>0</v>
      </c>
      <c r="I160" s="466"/>
      <c r="J160" s="466"/>
      <c r="K160" s="466">
        <v>0</v>
      </c>
      <c r="L160" s="466">
        <v>0</v>
      </c>
      <c r="M160" s="466"/>
      <c r="N160" s="466"/>
      <c r="O160" s="466"/>
      <c r="P160" s="466"/>
      <c r="Q160" s="466"/>
      <c r="R160" s="466"/>
      <c r="S160" s="466">
        <v>0</v>
      </c>
      <c r="T160" s="466"/>
      <c r="U160" s="466">
        <v>0</v>
      </c>
      <c r="V160" s="466"/>
      <c r="W160" s="466"/>
      <c r="X160" s="466">
        <v>655.26</v>
      </c>
      <c r="Y160" s="466">
        <v>0</v>
      </c>
      <c r="Z160" s="466">
        <v>0</v>
      </c>
      <c r="AA160" s="466">
        <v>0</v>
      </c>
      <c r="AB160" s="466">
        <v>4059.4</v>
      </c>
      <c r="AC160" s="466"/>
      <c r="AD160" s="466">
        <v>-25222.14</v>
      </c>
      <c r="AE160" s="466"/>
      <c r="AF160" s="466"/>
      <c r="AG160" s="466">
        <v>5439.45</v>
      </c>
      <c r="AH160" s="466">
        <v>23.5</v>
      </c>
      <c r="AI160" s="466"/>
      <c r="AJ160" s="466"/>
      <c r="AK160" s="466"/>
      <c r="AL160" s="466"/>
      <c r="AM160" s="466"/>
      <c r="AN160" s="466"/>
      <c r="AO160" s="466">
        <v>381.03</v>
      </c>
      <c r="AP160" s="466"/>
      <c r="AQ160" s="466">
        <v>29908.799999999999</v>
      </c>
      <c r="AR160" s="466"/>
      <c r="AS160" s="466">
        <v>46.25</v>
      </c>
    </row>
    <row r="161" spans="1:45" x14ac:dyDescent="0.2">
      <c r="A161" s="465">
        <v>5651</v>
      </c>
      <c r="B161" s="466"/>
      <c r="C161" s="466">
        <v>2378.12</v>
      </c>
      <c r="D161" s="466">
        <v>1177.83</v>
      </c>
      <c r="E161" s="466">
        <v>25961.53</v>
      </c>
      <c r="F161" s="466">
        <v>0</v>
      </c>
      <c r="G161" s="466">
        <v>0</v>
      </c>
      <c r="H161" s="466">
        <v>0</v>
      </c>
      <c r="I161" s="466"/>
      <c r="J161" s="466"/>
      <c r="K161" s="466">
        <v>0</v>
      </c>
      <c r="L161" s="466">
        <v>0</v>
      </c>
      <c r="M161" s="466">
        <v>0</v>
      </c>
      <c r="N161" s="466"/>
      <c r="O161" s="466">
        <v>0</v>
      </c>
      <c r="P161" s="466"/>
      <c r="Q161" s="466">
        <v>0</v>
      </c>
      <c r="R161" s="466">
        <v>0</v>
      </c>
      <c r="S161" s="466">
        <v>0</v>
      </c>
      <c r="T161" s="466">
        <v>0</v>
      </c>
      <c r="U161" s="466">
        <v>0</v>
      </c>
      <c r="V161" s="466"/>
      <c r="W161" s="466"/>
      <c r="X161" s="466">
        <v>42555.69</v>
      </c>
      <c r="Y161" s="466">
        <v>0</v>
      </c>
      <c r="Z161" s="466">
        <v>0</v>
      </c>
      <c r="AA161" s="466">
        <v>0</v>
      </c>
      <c r="AB161" s="466">
        <v>2084742.58</v>
      </c>
      <c r="AC161" s="466">
        <v>272976.64000000001</v>
      </c>
      <c r="AD161" s="466">
        <v>32671.37</v>
      </c>
      <c r="AE161" s="466"/>
      <c r="AF161" s="466"/>
      <c r="AG161" s="466">
        <v>346940.6</v>
      </c>
      <c r="AH161" s="466">
        <v>7847.2</v>
      </c>
      <c r="AI161" s="466">
        <v>36688.400000000001</v>
      </c>
      <c r="AJ161" s="466"/>
      <c r="AK161" s="466">
        <v>179231.25</v>
      </c>
      <c r="AL161" s="466"/>
      <c r="AM161" s="466">
        <v>4120</v>
      </c>
      <c r="AN161" s="466">
        <v>8244.7000000000007</v>
      </c>
      <c r="AO161" s="466">
        <v>60817.37</v>
      </c>
      <c r="AP161" s="466">
        <v>108650</v>
      </c>
      <c r="AQ161" s="466">
        <v>112130.1</v>
      </c>
      <c r="AR161" s="466">
        <v>576.03</v>
      </c>
      <c r="AS161" s="466">
        <v>126090.95</v>
      </c>
    </row>
    <row r="162" spans="1:45" x14ac:dyDescent="0.2">
      <c r="A162" s="465">
        <v>5652</v>
      </c>
      <c r="B162" s="466"/>
      <c r="C162" s="466">
        <v>2207.0500000000002</v>
      </c>
      <c r="D162" s="466">
        <v>330.84</v>
      </c>
      <c r="E162" s="466">
        <v>17306.95</v>
      </c>
      <c r="F162" s="466">
        <v>0</v>
      </c>
      <c r="G162" s="466">
        <v>0</v>
      </c>
      <c r="H162" s="466">
        <v>0</v>
      </c>
      <c r="I162" s="466"/>
      <c r="J162" s="466"/>
      <c r="K162" s="466">
        <v>0</v>
      </c>
      <c r="L162" s="466">
        <v>0</v>
      </c>
      <c r="M162" s="466">
        <v>0</v>
      </c>
      <c r="N162" s="466">
        <v>0</v>
      </c>
      <c r="O162" s="466">
        <v>0</v>
      </c>
      <c r="P162" s="466">
        <v>0</v>
      </c>
      <c r="Q162" s="466">
        <v>0</v>
      </c>
      <c r="R162" s="466">
        <v>0</v>
      </c>
      <c r="S162" s="466">
        <v>0</v>
      </c>
      <c r="T162" s="466"/>
      <c r="U162" s="466">
        <v>0</v>
      </c>
      <c r="V162" s="466"/>
      <c r="W162" s="466"/>
      <c r="X162" s="466">
        <v>2978.98</v>
      </c>
      <c r="Y162" s="466">
        <v>0</v>
      </c>
      <c r="Z162" s="466">
        <v>0</v>
      </c>
      <c r="AA162" s="466">
        <v>0</v>
      </c>
      <c r="AB162" s="466">
        <v>1433526.78</v>
      </c>
      <c r="AC162" s="466">
        <v>365200.97</v>
      </c>
      <c r="AD162" s="466">
        <v>28766.84</v>
      </c>
      <c r="AE162" s="466"/>
      <c r="AF162" s="466"/>
      <c r="AG162" s="466">
        <v>24301.8</v>
      </c>
      <c r="AH162" s="466">
        <v>534.04999999999995</v>
      </c>
      <c r="AI162" s="466">
        <v>817.15</v>
      </c>
      <c r="AJ162" s="466">
        <v>131709.35</v>
      </c>
      <c r="AK162" s="466">
        <v>37024.1</v>
      </c>
      <c r="AL162" s="466">
        <v>78379.8</v>
      </c>
      <c r="AM162" s="466">
        <v>3600</v>
      </c>
      <c r="AN162" s="466">
        <v>3767.87</v>
      </c>
      <c r="AO162" s="466">
        <v>24324.52</v>
      </c>
      <c r="AP162" s="466"/>
      <c r="AQ162" s="466">
        <v>51803.95</v>
      </c>
      <c r="AR162" s="466">
        <v>480.35</v>
      </c>
      <c r="AS162" s="466">
        <v>3228.45</v>
      </c>
    </row>
    <row r="163" spans="1:45" x14ac:dyDescent="0.2">
      <c r="A163" s="465">
        <v>5653</v>
      </c>
      <c r="B163" s="466"/>
      <c r="C163" s="466">
        <v>5750.93</v>
      </c>
      <c r="D163" s="466">
        <v>1762.59</v>
      </c>
      <c r="E163" s="466">
        <v>7935.47</v>
      </c>
      <c r="F163" s="466">
        <v>0</v>
      </c>
      <c r="G163" s="466">
        <v>0</v>
      </c>
      <c r="H163" s="466">
        <v>0</v>
      </c>
      <c r="I163" s="466">
        <v>0</v>
      </c>
      <c r="J163" s="466"/>
      <c r="K163" s="466">
        <v>0</v>
      </c>
      <c r="L163" s="466">
        <v>0</v>
      </c>
      <c r="M163" s="466">
        <v>0</v>
      </c>
      <c r="N163" s="466"/>
      <c r="O163" s="466">
        <v>0</v>
      </c>
      <c r="P163" s="466"/>
      <c r="Q163" s="466">
        <v>0</v>
      </c>
      <c r="R163" s="466">
        <v>0</v>
      </c>
      <c r="S163" s="466">
        <v>0</v>
      </c>
      <c r="T163" s="466"/>
      <c r="U163" s="466">
        <v>0</v>
      </c>
      <c r="V163" s="466"/>
      <c r="W163" s="466"/>
      <c r="X163" s="466">
        <v>6135.74</v>
      </c>
      <c r="Y163" s="466">
        <v>0</v>
      </c>
      <c r="Z163" s="466">
        <v>0</v>
      </c>
      <c r="AA163" s="466">
        <v>0</v>
      </c>
      <c r="AB163" s="466">
        <v>2938661.51</v>
      </c>
      <c r="AC163" s="466">
        <v>684905.7</v>
      </c>
      <c r="AD163" s="466">
        <v>57614.15</v>
      </c>
      <c r="AE163" s="466">
        <v>44343.35</v>
      </c>
      <c r="AF163" s="466"/>
      <c r="AG163" s="466">
        <v>44890.55</v>
      </c>
      <c r="AH163" s="466">
        <v>6263.3</v>
      </c>
      <c r="AI163" s="466">
        <v>3412.75</v>
      </c>
      <c r="AJ163" s="466"/>
      <c r="AK163" s="466">
        <v>223229.15</v>
      </c>
      <c r="AL163" s="466"/>
      <c r="AM163" s="466">
        <v>5850</v>
      </c>
      <c r="AN163" s="466">
        <v>978.52</v>
      </c>
      <c r="AO163" s="466">
        <v>17976.740000000002</v>
      </c>
      <c r="AP163" s="466"/>
      <c r="AQ163" s="466">
        <v>133408.65</v>
      </c>
      <c r="AR163" s="466">
        <v>13811.53</v>
      </c>
      <c r="AS163" s="466">
        <v>6135.7</v>
      </c>
    </row>
    <row r="164" spans="1:45" x14ac:dyDescent="0.2">
      <c r="A164" s="465">
        <v>5654</v>
      </c>
      <c r="B164" s="466"/>
      <c r="C164" s="466">
        <v>834.88</v>
      </c>
      <c r="D164" s="466">
        <v>432.28</v>
      </c>
      <c r="E164" s="466">
        <v>29527.75</v>
      </c>
      <c r="F164" s="466">
        <v>0</v>
      </c>
      <c r="G164" s="466">
        <v>0</v>
      </c>
      <c r="H164" s="466">
        <v>0</v>
      </c>
      <c r="I164" s="466"/>
      <c r="J164" s="466"/>
      <c r="K164" s="466">
        <v>0</v>
      </c>
      <c r="L164" s="466">
        <v>0</v>
      </c>
      <c r="M164" s="466">
        <v>0</v>
      </c>
      <c r="N164" s="466"/>
      <c r="O164" s="466">
        <v>0</v>
      </c>
      <c r="P164" s="466">
        <v>0</v>
      </c>
      <c r="Q164" s="466">
        <v>0</v>
      </c>
      <c r="R164" s="466"/>
      <c r="S164" s="466">
        <v>0</v>
      </c>
      <c r="T164" s="466"/>
      <c r="U164" s="466">
        <v>0</v>
      </c>
      <c r="V164" s="466"/>
      <c r="W164" s="466"/>
      <c r="X164" s="466">
        <v>247.69</v>
      </c>
      <c r="Y164" s="466">
        <v>0</v>
      </c>
      <c r="Z164" s="466">
        <v>0</v>
      </c>
      <c r="AA164" s="466">
        <v>0</v>
      </c>
      <c r="AB164" s="466">
        <v>1139967.6299999999</v>
      </c>
      <c r="AC164" s="466">
        <v>155972.25</v>
      </c>
      <c r="AD164" s="466">
        <v>41216.39</v>
      </c>
      <c r="AE164" s="466"/>
      <c r="AF164" s="466"/>
      <c r="AG164" s="466">
        <v>793.79999999999905</v>
      </c>
      <c r="AH164" s="466">
        <v>1271.2</v>
      </c>
      <c r="AI164" s="466">
        <v>1973.05</v>
      </c>
      <c r="AJ164" s="466"/>
      <c r="AK164" s="466">
        <v>81977.5</v>
      </c>
      <c r="AL164" s="466">
        <v>-5434.1</v>
      </c>
      <c r="AM164" s="466">
        <v>3850</v>
      </c>
      <c r="AN164" s="466"/>
      <c r="AO164" s="466">
        <v>9352.19</v>
      </c>
      <c r="AP164" s="466"/>
      <c r="AQ164" s="466">
        <v>81561.55</v>
      </c>
      <c r="AR164" s="466">
        <v>161.51</v>
      </c>
      <c r="AS164" s="466">
        <v>6506.75</v>
      </c>
    </row>
    <row r="165" spans="1:45" x14ac:dyDescent="0.2">
      <c r="A165" s="465">
        <v>5655</v>
      </c>
      <c r="B165" s="466"/>
      <c r="C165" s="466">
        <v>11191.48</v>
      </c>
      <c r="D165" s="466">
        <v>843.62</v>
      </c>
      <c r="E165" s="466">
        <v>56723.22</v>
      </c>
      <c r="F165" s="466">
        <v>0</v>
      </c>
      <c r="G165" s="466">
        <v>0</v>
      </c>
      <c r="H165" s="466">
        <v>0</v>
      </c>
      <c r="I165" s="466">
        <v>0</v>
      </c>
      <c r="J165" s="466"/>
      <c r="K165" s="466">
        <v>0</v>
      </c>
      <c r="L165" s="466">
        <v>0</v>
      </c>
      <c r="M165" s="466">
        <v>0</v>
      </c>
      <c r="N165" s="466">
        <v>0</v>
      </c>
      <c r="O165" s="466">
        <v>0</v>
      </c>
      <c r="P165" s="466">
        <v>0</v>
      </c>
      <c r="Q165" s="466">
        <v>0</v>
      </c>
      <c r="R165" s="466">
        <v>0</v>
      </c>
      <c r="S165" s="466">
        <v>0</v>
      </c>
      <c r="T165" s="466"/>
      <c r="U165" s="466">
        <v>0</v>
      </c>
      <c r="V165" s="466"/>
      <c r="W165" s="466"/>
      <c r="X165" s="466">
        <v>33267.79</v>
      </c>
      <c r="Y165" s="466">
        <v>0</v>
      </c>
      <c r="Z165" s="466">
        <v>0</v>
      </c>
      <c r="AA165" s="466">
        <v>0</v>
      </c>
      <c r="AB165" s="466">
        <v>5111671.9400000004</v>
      </c>
      <c r="AC165" s="466">
        <v>659201.59</v>
      </c>
      <c r="AD165" s="466">
        <v>-13414.22</v>
      </c>
      <c r="AE165" s="466">
        <v>66010.45</v>
      </c>
      <c r="AF165" s="466"/>
      <c r="AG165" s="466">
        <v>274162.8</v>
      </c>
      <c r="AH165" s="466">
        <v>3191.55</v>
      </c>
      <c r="AI165" s="466">
        <v>11308.65</v>
      </c>
      <c r="AJ165" s="466">
        <v>415850.1</v>
      </c>
      <c r="AK165" s="466">
        <v>179277.05</v>
      </c>
      <c r="AL165" s="466">
        <v>37934.400000000001</v>
      </c>
      <c r="AM165" s="466">
        <v>7170</v>
      </c>
      <c r="AN165" s="466">
        <v>-76.89</v>
      </c>
      <c r="AO165" s="466">
        <v>48690.45</v>
      </c>
      <c r="AP165" s="466"/>
      <c r="AQ165" s="466">
        <v>189406.9</v>
      </c>
      <c r="AR165" s="466">
        <v>2589.31</v>
      </c>
      <c r="AS165" s="466">
        <v>104127.75</v>
      </c>
    </row>
    <row r="166" spans="1:45" x14ac:dyDescent="0.2">
      <c r="A166" s="465">
        <v>5661</v>
      </c>
      <c r="B166" s="466"/>
      <c r="C166" s="466">
        <v>191.14</v>
      </c>
      <c r="D166" s="466">
        <v>75.78</v>
      </c>
      <c r="E166" s="466">
        <v>52.72</v>
      </c>
      <c r="F166" s="466">
        <v>0</v>
      </c>
      <c r="G166" s="466">
        <v>0</v>
      </c>
      <c r="H166" s="466">
        <v>0</v>
      </c>
      <c r="I166" s="466"/>
      <c r="J166" s="466"/>
      <c r="K166" s="466">
        <v>0</v>
      </c>
      <c r="L166" s="466">
        <v>0</v>
      </c>
      <c r="M166" s="466">
        <v>0</v>
      </c>
      <c r="N166" s="466"/>
      <c r="O166" s="466">
        <v>0</v>
      </c>
      <c r="P166" s="466"/>
      <c r="Q166" s="466">
        <v>0</v>
      </c>
      <c r="R166" s="466"/>
      <c r="S166" s="466">
        <v>0</v>
      </c>
      <c r="T166" s="466"/>
      <c r="U166" s="466">
        <v>0</v>
      </c>
      <c r="V166" s="466"/>
      <c r="W166" s="466"/>
      <c r="X166" s="466">
        <v>1581.39</v>
      </c>
      <c r="Y166" s="466">
        <v>0</v>
      </c>
      <c r="Z166" s="466">
        <v>0</v>
      </c>
      <c r="AA166" s="466">
        <v>0</v>
      </c>
      <c r="AB166" s="466">
        <v>609925</v>
      </c>
      <c r="AC166" s="466">
        <v>37676.61</v>
      </c>
      <c r="AD166" s="466">
        <v>6062.62</v>
      </c>
      <c r="AE166" s="466"/>
      <c r="AF166" s="466"/>
      <c r="AG166" s="466">
        <v>12676.95</v>
      </c>
      <c r="AH166" s="466">
        <v>507.1</v>
      </c>
      <c r="AI166" s="466">
        <v>425</v>
      </c>
      <c r="AJ166" s="466"/>
      <c r="AK166" s="466">
        <v>16555</v>
      </c>
      <c r="AL166" s="466"/>
      <c r="AM166" s="466">
        <v>3800</v>
      </c>
      <c r="AN166" s="466"/>
      <c r="AO166" s="466">
        <v>2785.65</v>
      </c>
      <c r="AP166" s="466"/>
      <c r="AQ166" s="466">
        <v>6543.15</v>
      </c>
      <c r="AR166" s="466"/>
      <c r="AS166" s="466">
        <v>18651.95</v>
      </c>
    </row>
    <row r="167" spans="1:45" x14ac:dyDescent="0.2">
      <c r="A167" s="465">
        <v>5663</v>
      </c>
      <c r="B167" s="466"/>
      <c r="C167" s="466">
        <v>177.53</v>
      </c>
      <c r="D167" s="466">
        <v>133.97999999999999</v>
      </c>
      <c r="E167" s="466">
        <v>17752.509999999998</v>
      </c>
      <c r="F167" s="466">
        <v>0</v>
      </c>
      <c r="G167" s="466">
        <v>0</v>
      </c>
      <c r="H167" s="466">
        <v>0</v>
      </c>
      <c r="I167" s="466"/>
      <c r="J167" s="466"/>
      <c r="K167" s="466">
        <v>0</v>
      </c>
      <c r="L167" s="466">
        <v>0</v>
      </c>
      <c r="M167" s="466">
        <v>0</v>
      </c>
      <c r="N167" s="466"/>
      <c r="O167" s="466">
        <v>0</v>
      </c>
      <c r="P167" s="466"/>
      <c r="Q167" s="466">
        <v>0</v>
      </c>
      <c r="R167" s="466"/>
      <c r="S167" s="466">
        <v>0</v>
      </c>
      <c r="T167" s="466"/>
      <c r="U167" s="466">
        <v>0</v>
      </c>
      <c r="V167" s="466"/>
      <c r="W167" s="466"/>
      <c r="X167" s="466">
        <v>594.36</v>
      </c>
      <c r="Y167" s="466">
        <v>0</v>
      </c>
      <c r="Z167" s="466">
        <v>0</v>
      </c>
      <c r="AA167" s="466">
        <v>0</v>
      </c>
      <c r="AB167" s="466">
        <v>369889.6</v>
      </c>
      <c r="AC167" s="466">
        <v>33569.839999999997</v>
      </c>
      <c r="AD167" s="466">
        <v>7597.84</v>
      </c>
      <c r="AE167" s="466"/>
      <c r="AF167" s="466"/>
      <c r="AG167" s="466">
        <v>4875.5</v>
      </c>
      <c r="AH167" s="466">
        <v>79.7</v>
      </c>
      <c r="AI167" s="466">
        <v>325.2</v>
      </c>
      <c r="AJ167" s="466"/>
      <c r="AK167" s="466">
        <v>9427.15</v>
      </c>
      <c r="AL167" s="466"/>
      <c r="AM167" s="466">
        <v>990</v>
      </c>
      <c r="AN167" s="466"/>
      <c r="AO167" s="466">
        <v>5379.2</v>
      </c>
      <c r="AP167" s="466"/>
      <c r="AQ167" s="466">
        <v>11775.6</v>
      </c>
      <c r="AR167" s="466"/>
      <c r="AS167" s="466"/>
    </row>
    <row r="168" spans="1:45" x14ac:dyDescent="0.2">
      <c r="A168" s="465">
        <v>5665</v>
      </c>
      <c r="B168" s="466"/>
      <c r="C168" s="466">
        <v>402.74</v>
      </c>
      <c r="D168" s="466">
        <v>111.48</v>
      </c>
      <c r="E168" s="466">
        <v>84.4</v>
      </c>
      <c r="F168" s="466">
        <v>0</v>
      </c>
      <c r="G168" s="466">
        <v>0</v>
      </c>
      <c r="H168" s="466">
        <v>0</v>
      </c>
      <c r="I168" s="466"/>
      <c r="J168" s="466"/>
      <c r="K168" s="466">
        <v>0</v>
      </c>
      <c r="L168" s="466">
        <v>0</v>
      </c>
      <c r="M168" s="466">
        <v>0</v>
      </c>
      <c r="N168" s="466"/>
      <c r="O168" s="466">
        <v>0</v>
      </c>
      <c r="P168" s="466"/>
      <c r="Q168" s="466">
        <v>0</v>
      </c>
      <c r="R168" s="466"/>
      <c r="S168" s="466">
        <v>0</v>
      </c>
      <c r="T168" s="466"/>
      <c r="U168" s="466">
        <v>0</v>
      </c>
      <c r="V168" s="466"/>
      <c r="W168" s="466"/>
      <c r="X168" s="466">
        <v>23.29</v>
      </c>
      <c r="Y168" s="466">
        <v>0</v>
      </c>
      <c r="Z168" s="466">
        <v>0</v>
      </c>
      <c r="AA168" s="466">
        <v>0</v>
      </c>
      <c r="AB168" s="466">
        <v>416721.07</v>
      </c>
      <c r="AC168" s="466">
        <v>46515.76</v>
      </c>
      <c r="AD168" s="466">
        <v>9972.25</v>
      </c>
      <c r="AE168" s="466"/>
      <c r="AF168" s="466"/>
      <c r="AG168" s="466">
        <v>128.55000000000001</v>
      </c>
      <c r="AH168" s="466">
        <v>65.599999999999994</v>
      </c>
      <c r="AI168" s="466">
        <v>4.5</v>
      </c>
      <c r="AJ168" s="466"/>
      <c r="AK168" s="466">
        <v>26698.65</v>
      </c>
      <c r="AL168" s="466"/>
      <c r="AM168" s="466">
        <v>1690</v>
      </c>
      <c r="AN168" s="466"/>
      <c r="AO168" s="466">
        <v>2753.44</v>
      </c>
      <c r="AP168" s="466"/>
      <c r="AQ168" s="466">
        <v>26239.25</v>
      </c>
      <c r="AR168" s="466"/>
      <c r="AS168" s="466"/>
    </row>
    <row r="169" spans="1:45" x14ac:dyDescent="0.2">
      <c r="A169" s="465">
        <v>5669</v>
      </c>
      <c r="B169" s="466"/>
      <c r="C169" s="466">
        <v>74.430000000000007</v>
      </c>
      <c r="D169" s="466">
        <v>141.36000000000001</v>
      </c>
      <c r="E169" s="466">
        <v>8889.51</v>
      </c>
      <c r="F169" s="466">
        <v>0</v>
      </c>
      <c r="G169" s="466">
        <v>0</v>
      </c>
      <c r="H169" s="466">
        <v>0</v>
      </c>
      <c r="I169" s="466"/>
      <c r="J169" s="466"/>
      <c r="K169" s="466">
        <v>0</v>
      </c>
      <c r="L169" s="466">
        <v>0</v>
      </c>
      <c r="M169" s="466">
        <v>0</v>
      </c>
      <c r="N169" s="466"/>
      <c r="O169" s="466">
        <v>0</v>
      </c>
      <c r="P169" s="466">
        <v>0</v>
      </c>
      <c r="Q169" s="466"/>
      <c r="R169" s="466"/>
      <c r="S169" s="466">
        <v>0</v>
      </c>
      <c r="T169" s="466"/>
      <c r="U169" s="466">
        <v>0</v>
      </c>
      <c r="V169" s="466"/>
      <c r="W169" s="466"/>
      <c r="X169" s="466">
        <v>745.89</v>
      </c>
      <c r="Y169" s="466">
        <v>0</v>
      </c>
      <c r="Z169" s="466">
        <v>0</v>
      </c>
      <c r="AA169" s="466">
        <v>0</v>
      </c>
      <c r="AB169" s="466">
        <v>595315.93999999994</v>
      </c>
      <c r="AC169" s="466">
        <v>111124.7</v>
      </c>
      <c r="AD169" s="466">
        <v>-2083.19</v>
      </c>
      <c r="AE169" s="466"/>
      <c r="AF169" s="466"/>
      <c r="AG169" s="466">
        <v>5656</v>
      </c>
      <c r="AH169" s="466">
        <v>562.5</v>
      </c>
      <c r="AI169" s="466">
        <v>356.7</v>
      </c>
      <c r="AJ169" s="466"/>
      <c r="AK169" s="466">
        <v>8856.4</v>
      </c>
      <c r="AL169" s="466">
        <v>4.8</v>
      </c>
      <c r="AM169" s="466"/>
      <c r="AN169" s="466"/>
      <c r="AO169" s="466">
        <v>4617.3</v>
      </c>
      <c r="AP169" s="466"/>
      <c r="AQ169" s="466">
        <v>23453.599999999999</v>
      </c>
      <c r="AR169" s="466">
        <v>116.59</v>
      </c>
      <c r="AS169" s="466"/>
    </row>
    <row r="170" spans="1:45" x14ac:dyDescent="0.2">
      <c r="A170" s="465">
        <v>5671</v>
      </c>
      <c r="B170" s="466"/>
      <c r="C170" s="466">
        <v>-117.19</v>
      </c>
      <c r="D170" s="466">
        <v>178.19</v>
      </c>
      <c r="E170" s="466">
        <v>17407.05</v>
      </c>
      <c r="F170" s="466">
        <v>0</v>
      </c>
      <c r="G170" s="466">
        <v>0</v>
      </c>
      <c r="H170" s="466">
        <v>0</v>
      </c>
      <c r="I170" s="466"/>
      <c r="J170" s="466"/>
      <c r="K170" s="466">
        <v>0</v>
      </c>
      <c r="L170" s="466">
        <v>0</v>
      </c>
      <c r="M170" s="466">
        <v>0</v>
      </c>
      <c r="N170" s="466"/>
      <c r="O170" s="466">
        <v>0</v>
      </c>
      <c r="P170" s="466"/>
      <c r="Q170" s="466">
        <v>0</v>
      </c>
      <c r="R170" s="466">
        <v>0</v>
      </c>
      <c r="S170" s="466">
        <v>0</v>
      </c>
      <c r="T170" s="466"/>
      <c r="U170" s="466">
        <v>0</v>
      </c>
      <c r="V170" s="466"/>
      <c r="W170" s="466"/>
      <c r="X170" s="466">
        <v>417.08</v>
      </c>
      <c r="Y170" s="466">
        <v>0</v>
      </c>
      <c r="Z170" s="466">
        <v>0</v>
      </c>
      <c r="AA170" s="466">
        <v>0</v>
      </c>
      <c r="AB170" s="466">
        <v>393577.67</v>
      </c>
      <c r="AC170" s="466">
        <v>49036.56</v>
      </c>
      <c r="AD170" s="466">
        <v>873.22</v>
      </c>
      <c r="AE170" s="466"/>
      <c r="AF170" s="466"/>
      <c r="AG170" s="466">
        <v>3443.65</v>
      </c>
      <c r="AH170" s="466">
        <v>33.549999999999997</v>
      </c>
      <c r="AI170" s="466">
        <v>223.5</v>
      </c>
      <c r="AJ170" s="466"/>
      <c r="AK170" s="466">
        <v>21780</v>
      </c>
      <c r="AL170" s="466"/>
      <c r="AM170" s="466">
        <v>2250</v>
      </c>
      <c r="AN170" s="466">
        <v>8434.0499999999993</v>
      </c>
      <c r="AO170" s="466">
        <v>4845.8100000000004</v>
      </c>
      <c r="AP170" s="466"/>
      <c r="AQ170" s="466">
        <v>36520.65</v>
      </c>
      <c r="AR170" s="466"/>
      <c r="AS170" s="466"/>
    </row>
    <row r="171" spans="1:45" x14ac:dyDescent="0.2">
      <c r="A171" s="465">
        <v>5673</v>
      </c>
      <c r="B171" s="466"/>
      <c r="C171" s="466">
        <v>458.67</v>
      </c>
      <c r="D171" s="466">
        <v>238.77</v>
      </c>
      <c r="E171" s="466">
        <v>17050.080000000002</v>
      </c>
      <c r="F171" s="466">
        <v>0</v>
      </c>
      <c r="G171" s="466">
        <v>0</v>
      </c>
      <c r="H171" s="466">
        <v>0</v>
      </c>
      <c r="I171" s="466"/>
      <c r="J171" s="466"/>
      <c r="K171" s="466">
        <v>0</v>
      </c>
      <c r="L171" s="466">
        <v>0</v>
      </c>
      <c r="M171" s="466">
        <v>0</v>
      </c>
      <c r="N171" s="466"/>
      <c r="O171" s="466">
        <v>0</v>
      </c>
      <c r="P171" s="466">
        <v>0</v>
      </c>
      <c r="Q171" s="466">
        <v>0</v>
      </c>
      <c r="R171" s="466"/>
      <c r="S171" s="466">
        <v>0</v>
      </c>
      <c r="T171" s="466"/>
      <c r="U171" s="466">
        <v>0</v>
      </c>
      <c r="V171" s="466"/>
      <c r="W171" s="466"/>
      <c r="X171" s="466">
        <v>292.17</v>
      </c>
      <c r="Y171" s="466">
        <v>0</v>
      </c>
      <c r="Z171" s="466">
        <v>0</v>
      </c>
      <c r="AA171" s="466">
        <v>0</v>
      </c>
      <c r="AB171" s="466">
        <v>650325.26</v>
      </c>
      <c r="AC171" s="466">
        <v>85231.25</v>
      </c>
      <c r="AD171" s="466">
        <v>10930.52</v>
      </c>
      <c r="AE171" s="466"/>
      <c r="AF171" s="466"/>
      <c r="AG171" s="466">
        <v>1879.65</v>
      </c>
      <c r="AH171" s="466">
        <v>556.20000000000005</v>
      </c>
      <c r="AI171" s="466">
        <v>408</v>
      </c>
      <c r="AJ171" s="466"/>
      <c r="AK171" s="466">
        <v>8946.2999999999993</v>
      </c>
      <c r="AL171" s="466">
        <v>5892.3</v>
      </c>
      <c r="AM171" s="466">
        <v>1325</v>
      </c>
      <c r="AN171" s="466"/>
      <c r="AO171" s="466">
        <v>6967.88</v>
      </c>
      <c r="AP171" s="466"/>
      <c r="AQ171" s="466">
        <v>4401.95</v>
      </c>
      <c r="AR171" s="466">
        <v>51.43</v>
      </c>
      <c r="AS171" s="466">
        <v>14893.5</v>
      </c>
    </row>
    <row r="172" spans="1:45" x14ac:dyDescent="0.2">
      <c r="A172" s="465">
        <v>5674</v>
      </c>
      <c r="B172" s="466"/>
      <c r="C172" s="466"/>
      <c r="D172" s="466">
        <v>56.29</v>
      </c>
      <c r="E172" s="466">
        <v>1000.44</v>
      </c>
      <c r="F172" s="466">
        <v>0</v>
      </c>
      <c r="G172" s="466">
        <v>0</v>
      </c>
      <c r="H172" s="466"/>
      <c r="I172" s="466"/>
      <c r="J172" s="466"/>
      <c r="K172" s="466">
        <v>0</v>
      </c>
      <c r="L172" s="466">
        <v>0</v>
      </c>
      <c r="M172" s="466">
        <v>0</v>
      </c>
      <c r="N172" s="466"/>
      <c r="O172" s="466">
        <v>0</v>
      </c>
      <c r="P172" s="466"/>
      <c r="Q172" s="466">
        <v>0</v>
      </c>
      <c r="R172" s="466"/>
      <c r="S172" s="466">
        <v>0</v>
      </c>
      <c r="T172" s="466"/>
      <c r="U172" s="466"/>
      <c r="V172" s="466"/>
      <c r="W172" s="466"/>
      <c r="X172" s="466">
        <v>30.85</v>
      </c>
      <c r="Y172" s="466"/>
      <c r="Z172" s="466">
        <v>0</v>
      </c>
      <c r="AA172" s="466">
        <v>0</v>
      </c>
      <c r="AB172" s="466">
        <v>191307.82</v>
      </c>
      <c r="AC172" s="466">
        <v>40238.36</v>
      </c>
      <c r="AD172" s="466"/>
      <c r="AE172" s="466"/>
      <c r="AF172" s="466"/>
      <c r="AG172" s="466">
        <v>97.6</v>
      </c>
      <c r="AH172" s="466">
        <v>159.6</v>
      </c>
      <c r="AI172" s="466">
        <v>64.099999999999994</v>
      </c>
      <c r="AJ172" s="466"/>
      <c r="AK172" s="466">
        <v>950.4</v>
      </c>
      <c r="AL172" s="466"/>
      <c r="AM172" s="466">
        <v>360</v>
      </c>
      <c r="AN172" s="466"/>
      <c r="AO172" s="466">
        <v>532.80999999999995</v>
      </c>
      <c r="AP172" s="466"/>
      <c r="AQ172" s="466"/>
      <c r="AR172" s="466">
        <v>49.05</v>
      </c>
      <c r="AS172" s="466"/>
    </row>
    <row r="173" spans="1:45" x14ac:dyDescent="0.2">
      <c r="A173" s="465">
        <v>5675</v>
      </c>
      <c r="B173" s="466"/>
      <c r="C173" s="466">
        <v>7559.17</v>
      </c>
      <c r="D173" s="466">
        <v>3014.13</v>
      </c>
      <c r="E173" s="466">
        <v>166505.23000000001</v>
      </c>
      <c r="F173" s="466">
        <v>0</v>
      </c>
      <c r="G173" s="466">
        <v>0</v>
      </c>
      <c r="H173" s="466">
        <v>0</v>
      </c>
      <c r="I173" s="466"/>
      <c r="J173" s="466"/>
      <c r="K173" s="466">
        <v>0</v>
      </c>
      <c r="L173" s="466">
        <v>0</v>
      </c>
      <c r="M173" s="466">
        <v>0</v>
      </c>
      <c r="N173" s="466">
        <v>0</v>
      </c>
      <c r="O173" s="466">
        <v>0</v>
      </c>
      <c r="P173" s="466">
        <v>0</v>
      </c>
      <c r="Q173" s="466">
        <v>0</v>
      </c>
      <c r="R173" s="466">
        <v>0</v>
      </c>
      <c r="S173" s="466">
        <v>0</v>
      </c>
      <c r="T173" s="466"/>
      <c r="U173" s="466">
        <v>0</v>
      </c>
      <c r="V173" s="466"/>
      <c r="W173" s="466"/>
      <c r="X173" s="466">
        <v>74950.55</v>
      </c>
      <c r="Y173" s="466">
        <v>0</v>
      </c>
      <c r="Z173" s="466">
        <v>0</v>
      </c>
      <c r="AA173" s="466">
        <v>0</v>
      </c>
      <c r="AB173" s="466">
        <v>4637124.51</v>
      </c>
      <c r="AC173" s="466">
        <v>498932.09</v>
      </c>
      <c r="AD173" s="466">
        <v>233881.34</v>
      </c>
      <c r="AE173" s="466"/>
      <c r="AF173" s="466"/>
      <c r="AG173" s="466">
        <v>611854.6</v>
      </c>
      <c r="AH173" s="466">
        <v>13009.9</v>
      </c>
      <c r="AI173" s="466">
        <v>-37589.300000000003</v>
      </c>
      <c r="AJ173" s="466">
        <v>708904.45</v>
      </c>
      <c r="AK173" s="466">
        <v>242645.75</v>
      </c>
      <c r="AL173" s="466">
        <v>52773</v>
      </c>
      <c r="AM173" s="466">
        <v>27400</v>
      </c>
      <c r="AN173" s="466">
        <v>50050.27</v>
      </c>
      <c r="AO173" s="466">
        <v>69022.53</v>
      </c>
      <c r="AP173" s="466"/>
      <c r="AQ173" s="466">
        <v>195866.65</v>
      </c>
      <c r="AR173" s="466">
        <v>2257.4899999999998</v>
      </c>
      <c r="AS173" s="466">
        <v>47289.1</v>
      </c>
    </row>
    <row r="174" spans="1:45" x14ac:dyDescent="0.2">
      <c r="A174" s="465">
        <v>5678</v>
      </c>
      <c r="B174" s="466"/>
      <c r="C174" s="466">
        <v>12108.43</v>
      </c>
      <c r="D174" s="466">
        <v>2499.4</v>
      </c>
      <c r="E174" s="466">
        <v>347325.64</v>
      </c>
      <c r="F174" s="466">
        <v>0</v>
      </c>
      <c r="G174" s="466">
        <v>0</v>
      </c>
      <c r="H174" s="466">
        <v>0</v>
      </c>
      <c r="I174" s="466"/>
      <c r="J174" s="466"/>
      <c r="K174" s="466">
        <v>0</v>
      </c>
      <c r="L174" s="466">
        <v>0</v>
      </c>
      <c r="M174" s="466">
        <v>0</v>
      </c>
      <c r="N174" s="466"/>
      <c r="O174" s="466">
        <v>0</v>
      </c>
      <c r="P174" s="466">
        <v>0</v>
      </c>
      <c r="Q174" s="466">
        <v>0</v>
      </c>
      <c r="R174" s="466">
        <v>0</v>
      </c>
      <c r="S174" s="466">
        <v>0</v>
      </c>
      <c r="T174" s="466"/>
      <c r="U174" s="466">
        <v>0</v>
      </c>
      <c r="V174" s="466"/>
      <c r="W174" s="466"/>
      <c r="X174" s="466">
        <v>41298.800000000003</v>
      </c>
      <c r="Y174" s="466">
        <v>0</v>
      </c>
      <c r="Z174" s="466">
        <v>0</v>
      </c>
      <c r="AA174" s="466">
        <v>0</v>
      </c>
      <c r="AB174" s="466">
        <v>6841829.4699999997</v>
      </c>
      <c r="AC174" s="466">
        <v>738087.63</v>
      </c>
      <c r="AD174" s="466">
        <v>471175.92</v>
      </c>
      <c r="AE174" s="466"/>
      <c r="AF174" s="466"/>
      <c r="AG174" s="466">
        <v>322442.7</v>
      </c>
      <c r="AH174" s="466">
        <v>21866.35</v>
      </c>
      <c r="AI174" s="466">
        <v>68232.7</v>
      </c>
      <c r="AJ174" s="466"/>
      <c r="AK174" s="466">
        <v>568072.9</v>
      </c>
      <c r="AL174" s="466">
        <v>250407.2</v>
      </c>
      <c r="AM174" s="466">
        <v>41100</v>
      </c>
      <c r="AN174" s="466">
        <v>58437.71</v>
      </c>
      <c r="AO174" s="466">
        <v>114925.39</v>
      </c>
      <c r="AP174" s="466"/>
      <c r="AQ174" s="466">
        <v>381293.65</v>
      </c>
      <c r="AR174" s="466">
        <v>3702.04</v>
      </c>
      <c r="AS174" s="466">
        <v>194976.2</v>
      </c>
    </row>
    <row r="175" spans="1:45" x14ac:dyDescent="0.2">
      <c r="A175" s="465">
        <v>5680</v>
      </c>
      <c r="B175" s="466"/>
      <c r="C175" s="466">
        <v>295.60000000000002</v>
      </c>
      <c r="D175" s="466">
        <v>284.64</v>
      </c>
      <c r="E175" s="466">
        <v>41881.83</v>
      </c>
      <c r="F175" s="466">
        <v>0</v>
      </c>
      <c r="G175" s="466">
        <v>0</v>
      </c>
      <c r="H175" s="466">
        <v>0</v>
      </c>
      <c r="I175" s="466"/>
      <c r="J175" s="466"/>
      <c r="K175" s="466">
        <v>0</v>
      </c>
      <c r="L175" s="466">
        <v>0</v>
      </c>
      <c r="M175" s="466">
        <v>0</v>
      </c>
      <c r="N175" s="466"/>
      <c r="O175" s="466">
        <v>0</v>
      </c>
      <c r="P175" s="466"/>
      <c r="Q175" s="466">
        <v>0</v>
      </c>
      <c r="R175" s="466">
        <v>0</v>
      </c>
      <c r="S175" s="466">
        <v>0</v>
      </c>
      <c r="T175" s="466"/>
      <c r="U175" s="466">
        <v>0</v>
      </c>
      <c r="V175" s="466"/>
      <c r="W175" s="466"/>
      <c r="X175" s="466">
        <v>385.8</v>
      </c>
      <c r="Y175" s="466">
        <v>0</v>
      </c>
      <c r="Z175" s="466">
        <v>0</v>
      </c>
      <c r="AA175" s="466">
        <v>0</v>
      </c>
      <c r="AB175" s="466">
        <v>556506.6</v>
      </c>
      <c r="AC175" s="466">
        <v>70148.83</v>
      </c>
      <c r="AD175" s="466">
        <v>9518.5499999999993</v>
      </c>
      <c r="AE175" s="466"/>
      <c r="AF175" s="466"/>
      <c r="AG175" s="466">
        <v>2894.75</v>
      </c>
      <c r="AH175" s="466">
        <v>321.7</v>
      </c>
      <c r="AI175" s="466">
        <v>625</v>
      </c>
      <c r="AJ175" s="466"/>
      <c r="AK175" s="466">
        <v>41969.2</v>
      </c>
      <c r="AL175" s="466"/>
      <c r="AM175" s="466">
        <v>2150</v>
      </c>
      <c r="AN175" s="466">
        <v>27156.61</v>
      </c>
      <c r="AO175" s="466">
        <v>6534.47</v>
      </c>
      <c r="AP175" s="466"/>
      <c r="AQ175" s="466">
        <v>60938.6</v>
      </c>
      <c r="AR175" s="466">
        <v>40.29</v>
      </c>
      <c r="AS175" s="466"/>
    </row>
    <row r="176" spans="1:45" x14ac:dyDescent="0.2">
      <c r="A176" s="465">
        <v>5683</v>
      </c>
      <c r="B176" s="466"/>
      <c r="C176" s="466">
        <v>3.9</v>
      </c>
      <c r="D176" s="466">
        <v>152.57</v>
      </c>
      <c r="E176" s="466">
        <v>2962.05</v>
      </c>
      <c r="F176" s="466">
        <v>0</v>
      </c>
      <c r="G176" s="466">
        <v>0</v>
      </c>
      <c r="H176" s="466">
        <v>0</v>
      </c>
      <c r="I176" s="466"/>
      <c r="J176" s="466"/>
      <c r="K176" s="466">
        <v>0</v>
      </c>
      <c r="L176" s="466">
        <v>0</v>
      </c>
      <c r="M176" s="466">
        <v>0</v>
      </c>
      <c r="N176" s="466"/>
      <c r="O176" s="466"/>
      <c r="P176" s="466">
        <v>0</v>
      </c>
      <c r="Q176" s="466">
        <v>0</v>
      </c>
      <c r="R176" s="466">
        <v>0</v>
      </c>
      <c r="S176" s="466">
        <v>0</v>
      </c>
      <c r="T176" s="466"/>
      <c r="U176" s="466">
        <v>0</v>
      </c>
      <c r="V176" s="466"/>
      <c r="W176" s="466"/>
      <c r="X176" s="466">
        <v>-335.27</v>
      </c>
      <c r="Y176" s="466">
        <v>0</v>
      </c>
      <c r="Z176" s="466">
        <v>0</v>
      </c>
      <c r="AA176" s="466">
        <v>0</v>
      </c>
      <c r="AB176" s="466">
        <v>318868.86</v>
      </c>
      <c r="AC176" s="466">
        <v>21247.200000000001</v>
      </c>
      <c r="AD176" s="466">
        <v>-1870.79</v>
      </c>
      <c r="AE176" s="466"/>
      <c r="AF176" s="466"/>
      <c r="AG176" s="466">
        <v>-3564.4</v>
      </c>
      <c r="AH176" s="466">
        <v>769.25</v>
      </c>
      <c r="AI176" s="466">
        <v>2220.5</v>
      </c>
      <c r="AJ176" s="466"/>
      <c r="AK176" s="466"/>
      <c r="AL176" s="466">
        <v>1149.2</v>
      </c>
      <c r="AM176" s="466">
        <v>1225</v>
      </c>
      <c r="AN176" s="466">
        <v>0</v>
      </c>
      <c r="AO176" s="466">
        <v>2730.5</v>
      </c>
      <c r="AP176" s="466"/>
      <c r="AQ176" s="466">
        <v>3217.9</v>
      </c>
      <c r="AR176" s="466"/>
      <c r="AS176" s="466"/>
    </row>
    <row r="177" spans="1:45" x14ac:dyDescent="0.2">
      <c r="A177" s="465">
        <v>5684</v>
      </c>
      <c r="B177" s="466"/>
      <c r="C177" s="466">
        <v>0.03</v>
      </c>
      <c r="D177" s="466">
        <v>73.16</v>
      </c>
      <c r="E177" s="466">
        <v>2517.2399999999998</v>
      </c>
      <c r="F177" s="466">
        <v>0</v>
      </c>
      <c r="G177" s="466">
        <v>0</v>
      </c>
      <c r="H177" s="466">
        <v>0</v>
      </c>
      <c r="I177" s="466"/>
      <c r="J177" s="466"/>
      <c r="K177" s="466">
        <v>0</v>
      </c>
      <c r="L177" s="466">
        <v>0</v>
      </c>
      <c r="M177" s="466"/>
      <c r="N177" s="466"/>
      <c r="O177" s="466"/>
      <c r="P177" s="466"/>
      <c r="Q177" s="466"/>
      <c r="R177" s="466"/>
      <c r="S177" s="466">
        <v>0</v>
      </c>
      <c r="T177" s="466"/>
      <c r="U177" s="466"/>
      <c r="V177" s="466"/>
      <c r="W177" s="466"/>
      <c r="X177" s="466">
        <v>-3.51</v>
      </c>
      <c r="Y177" s="466">
        <v>0</v>
      </c>
      <c r="Z177" s="466">
        <v>0</v>
      </c>
      <c r="AA177" s="466">
        <v>0</v>
      </c>
      <c r="AB177" s="466">
        <v>249986.56</v>
      </c>
      <c r="AC177" s="466">
        <v>69536.34</v>
      </c>
      <c r="AD177" s="466">
        <v>121.38</v>
      </c>
      <c r="AE177" s="466"/>
      <c r="AF177" s="466"/>
      <c r="AG177" s="466">
        <v>228.95</v>
      </c>
      <c r="AH177" s="466">
        <v>-258.25</v>
      </c>
      <c r="AI177" s="466"/>
      <c r="AJ177" s="466"/>
      <c r="AK177" s="466"/>
      <c r="AL177" s="466"/>
      <c r="AM177" s="466"/>
      <c r="AN177" s="466"/>
      <c r="AO177" s="466">
        <v>484.91</v>
      </c>
      <c r="AP177" s="466"/>
      <c r="AQ177" s="466"/>
      <c r="AR177" s="466">
        <v>22.35</v>
      </c>
      <c r="AS177" s="466"/>
    </row>
    <row r="178" spans="1:45" x14ac:dyDescent="0.2">
      <c r="A178" s="465">
        <v>5688</v>
      </c>
      <c r="B178" s="466"/>
      <c r="C178" s="466">
        <v>424.45</v>
      </c>
      <c r="D178" s="466">
        <v>2.11</v>
      </c>
      <c r="E178" s="466">
        <v>7.04</v>
      </c>
      <c r="F178" s="466">
        <v>0</v>
      </c>
      <c r="G178" s="466"/>
      <c r="H178" s="466">
        <v>0</v>
      </c>
      <c r="I178" s="466"/>
      <c r="J178" s="466"/>
      <c r="K178" s="466">
        <v>0</v>
      </c>
      <c r="L178" s="466">
        <v>0</v>
      </c>
      <c r="M178" s="466">
        <v>0</v>
      </c>
      <c r="N178" s="466"/>
      <c r="O178" s="466"/>
      <c r="P178" s="466"/>
      <c r="Q178" s="466"/>
      <c r="R178" s="466"/>
      <c r="S178" s="466">
        <v>0</v>
      </c>
      <c r="T178" s="466"/>
      <c r="U178" s="466"/>
      <c r="V178" s="466"/>
      <c r="W178" s="466"/>
      <c r="X178" s="466">
        <v>1299.3</v>
      </c>
      <c r="Y178" s="466">
        <v>0</v>
      </c>
      <c r="Z178" s="466">
        <v>0</v>
      </c>
      <c r="AA178" s="466">
        <v>0</v>
      </c>
      <c r="AB178" s="466">
        <v>5861.88</v>
      </c>
      <c r="AC178" s="466"/>
      <c r="AD178" s="466">
        <v>1283.3900000000001</v>
      </c>
      <c r="AE178" s="466"/>
      <c r="AF178" s="466"/>
      <c r="AG178" s="466">
        <v>10685.7</v>
      </c>
      <c r="AH178" s="466">
        <v>146.6</v>
      </c>
      <c r="AI178" s="466">
        <v>157.5</v>
      </c>
      <c r="AJ178" s="466"/>
      <c r="AK178" s="466"/>
      <c r="AL178" s="466"/>
      <c r="AM178" s="466"/>
      <c r="AN178" s="466"/>
      <c r="AO178" s="466">
        <v>69.31</v>
      </c>
      <c r="AP178" s="466"/>
      <c r="AQ178" s="466"/>
      <c r="AR178" s="466"/>
      <c r="AS178" s="466"/>
    </row>
    <row r="179" spans="1:45" x14ac:dyDescent="0.2">
      <c r="A179" s="465">
        <v>5690</v>
      </c>
      <c r="B179" s="466"/>
      <c r="C179" s="466"/>
      <c r="D179" s="466">
        <v>67.89</v>
      </c>
      <c r="E179" s="466">
        <v>2176.4299999999998</v>
      </c>
      <c r="F179" s="466">
        <v>0</v>
      </c>
      <c r="G179" s="466">
        <v>0</v>
      </c>
      <c r="H179" s="466"/>
      <c r="I179" s="466"/>
      <c r="J179" s="466"/>
      <c r="K179" s="466">
        <v>0</v>
      </c>
      <c r="L179" s="466">
        <v>0</v>
      </c>
      <c r="M179" s="466">
        <v>0</v>
      </c>
      <c r="N179" s="466"/>
      <c r="O179" s="466">
        <v>0</v>
      </c>
      <c r="P179" s="466">
        <v>0</v>
      </c>
      <c r="Q179" s="466">
        <v>0</v>
      </c>
      <c r="R179" s="466"/>
      <c r="S179" s="466">
        <v>0</v>
      </c>
      <c r="T179" s="466"/>
      <c r="U179" s="466">
        <v>0</v>
      </c>
      <c r="V179" s="466"/>
      <c r="W179" s="466"/>
      <c r="X179" s="466">
        <v>47.41</v>
      </c>
      <c r="Y179" s="466"/>
      <c r="Z179" s="466">
        <v>0</v>
      </c>
      <c r="AA179" s="466">
        <v>0</v>
      </c>
      <c r="AB179" s="466">
        <v>182885.96</v>
      </c>
      <c r="AC179" s="466">
        <v>41063.230000000003</v>
      </c>
      <c r="AD179" s="466"/>
      <c r="AE179" s="466"/>
      <c r="AF179" s="466"/>
      <c r="AG179" s="466">
        <v>-14.45</v>
      </c>
      <c r="AH179" s="466">
        <v>409.7</v>
      </c>
      <c r="AI179" s="466">
        <v>184.1</v>
      </c>
      <c r="AJ179" s="466"/>
      <c r="AK179" s="466">
        <v>13276.15</v>
      </c>
      <c r="AL179" s="466">
        <v>11060.8</v>
      </c>
      <c r="AM179" s="466">
        <v>450</v>
      </c>
      <c r="AN179" s="466"/>
      <c r="AO179" s="466">
        <v>1437.07</v>
      </c>
      <c r="AP179" s="466"/>
      <c r="AQ179" s="466">
        <v>11217.45</v>
      </c>
      <c r="AR179" s="466"/>
      <c r="AS179" s="466"/>
    </row>
    <row r="180" spans="1:45" x14ac:dyDescent="0.2">
      <c r="A180" s="465">
        <v>5692</v>
      </c>
      <c r="B180" s="466"/>
      <c r="C180" s="466">
        <v>611.84</v>
      </c>
      <c r="D180" s="466">
        <v>362.22</v>
      </c>
      <c r="E180" s="466">
        <v>1412.65</v>
      </c>
      <c r="F180" s="466">
        <v>0</v>
      </c>
      <c r="G180" s="466">
        <v>0</v>
      </c>
      <c r="H180" s="466">
        <v>0</v>
      </c>
      <c r="I180" s="466"/>
      <c r="J180" s="466"/>
      <c r="K180" s="466">
        <v>0</v>
      </c>
      <c r="L180" s="466">
        <v>0</v>
      </c>
      <c r="M180" s="466">
        <v>0</v>
      </c>
      <c r="N180" s="466"/>
      <c r="O180" s="466">
        <v>0</v>
      </c>
      <c r="P180" s="466">
        <v>0</v>
      </c>
      <c r="Q180" s="466">
        <v>0</v>
      </c>
      <c r="R180" s="466">
        <v>0</v>
      </c>
      <c r="S180" s="466">
        <v>0</v>
      </c>
      <c r="T180" s="466"/>
      <c r="U180" s="466">
        <v>0</v>
      </c>
      <c r="V180" s="466"/>
      <c r="W180" s="466"/>
      <c r="X180" s="466">
        <v>1603.33</v>
      </c>
      <c r="Y180" s="466">
        <v>0</v>
      </c>
      <c r="Z180" s="466">
        <v>0</v>
      </c>
      <c r="AA180" s="466">
        <v>0</v>
      </c>
      <c r="AB180" s="466">
        <v>1141126.29</v>
      </c>
      <c r="AC180" s="466">
        <v>112254.65</v>
      </c>
      <c r="AD180" s="466">
        <v>24468.36</v>
      </c>
      <c r="AE180" s="466"/>
      <c r="AF180" s="466"/>
      <c r="AG180" s="466">
        <v>11896.9</v>
      </c>
      <c r="AH180" s="466">
        <v>1470.1</v>
      </c>
      <c r="AI180" s="466">
        <v>3158.45</v>
      </c>
      <c r="AJ180" s="466"/>
      <c r="AK180" s="466">
        <v>73087.45</v>
      </c>
      <c r="AL180" s="466">
        <v>94.8</v>
      </c>
      <c r="AM180" s="466">
        <v>6150</v>
      </c>
      <c r="AN180" s="466">
        <v>11.77</v>
      </c>
      <c r="AO180" s="466">
        <v>20120.669999999998</v>
      </c>
      <c r="AP180" s="466"/>
      <c r="AQ180" s="466">
        <v>27137.200000000001</v>
      </c>
      <c r="AR180" s="466">
        <v>0.46</v>
      </c>
      <c r="AS180" s="466">
        <v>13335.05</v>
      </c>
    </row>
    <row r="181" spans="1:45" x14ac:dyDescent="0.2">
      <c r="A181" s="465">
        <v>5701</v>
      </c>
      <c r="B181" s="466"/>
      <c r="C181" s="466">
        <v>477.05</v>
      </c>
      <c r="D181" s="466">
        <v>169.81</v>
      </c>
      <c r="E181" s="466">
        <v>11178.47</v>
      </c>
      <c r="F181" s="466">
        <v>0</v>
      </c>
      <c r="G181" s="466">
        <v>0</v>
      </c>
      <c r="H181" s="466">
        <v>0</v>
      </c>
      <c r="I181" s="466">
        <v>0</v>
      </c>
      <c r="J181" s="466"/>
      <c r="K181" s="466">
        <v>0</v>
      </c>
      <c r="L181" s="466">
        <v>0</v>
      </c>
      <c r="M181" s="466">
        <v>0</v>
      </c>
      <c r="N181" s="466">
        <v>0</v>
      </c>
      <c r="O181" s="466">
        <v>0</v>
      </c>
      <c r="P181" s="466"/>
      <c r="Q181" s="466">
        <v>0</v>
      </c>
      <c r="R181" s="466"/>
      <c r="S181" s="466">
        <v>0</v>
      </c>
      <c r="T181" s="466"/>
      <c r="U181" s="466">
        <v>0</v>
      </c>
      <c r="V181" s="466"/>
      <c r="W181" s="466"/>
      <c r="X181" s="466">
        <v>653.4</v>
      </c>
      <c r="Y181" s="466">
        <v>0</v>
      </c>
      <c r="Z181" s="466">
        <v>0</v>
      </c>
      <c r="AA181" s="466">
        <v>0</v>
      </c>
      <c r="AB181" s="466">
        <v>647416.28</v>
      </c>
      <c r="AC181" s="466">
        <v>113002.67</v>
      </c>
      <c r="AD181" s="466">
        <v>-11789.17</v>
      </c>
      <c r="AE181" s="466">
        <v>65044.25</v>
      </c>
      <c r="AF181" s="466"/>
      <c r="AG181" s="466">
        <v>4508.5</v>
      </c>
      <c r="AH181" s="466">
        <v>938.9</v>
      </c>
      <c r="AI181" s="466">
        <v>510.25</v>
      </c>
      <c r="AJ181" s="466">
        <v>71655.100000000006</v>
      </c>
      <c r="AK181" s="466">
        <v>97039.3</v>
      </c>
      <c r="AL181" s="466"/>
      <c r="AM181" s="466">
        <v>900</v>
      </c>
      <c r="AN181" s="466"/>
      <c r="AO181" s="466">
        <v>10028.82</v>
      </c>
      <c r="AP181" s="466"/>
      <c r="AQ181" s="466">
        <v>57927.55</v>
      </c>
      <c r="AR181" s="466">
        <v>204.29</v>
      </c>
      <c r="AS181" s="466"/>
    </row>
    <row r="182" spans="1:45" x14ac:dyDescent="0.2">
      <c r="A182" s="465">
        <v>5702</v>
      </c>
      <c r="B182" s="466"/>
      <c r="C182" s="466">
        <v>21724.18</v>
      </c>
      <c r="D182" s="466">
        <v>1819.61</v>
      </c>
      <c r="E182" s="466">
        <v>36504.25</v>
      </c>
      <c r="F182" s="466">
        <v>0</v>
      </c>
      <c r="G182" s="466">
        <v>0</v>
      </c>
      <c r="H182" s="466">
        <v>0</v>
      </c>
      <c r="I182" s="466">
        <v>0</v>
      </c>
      <c r="J182" s="466"/>
      <c r="K182" s="466">
        <v>0</v>
      </c>
      <c r="L182" s="466">
        <v>0</v>
      </c>
      <c r="M182" s="466">
        <v>0</v>
      </c>
      <c r="N182" s="466">
        <v>0</v>
      </c>
      <c r="O182" s="466">
        <v>0</v>
      </c>
      <c r="P182" s="466">
        <v>0</v>
      </c>
      <c r="Q182" s="466"/>
      <c r="R182" s="466">
        <v>0</v>
      </c>
      <c r="S182" s="466">
        <v>0</v>
      </c>
      <c r="T182" s="466"/>
      <c r="U182" s="466">
        <v>0</v>
      </c>
      <c r="V182" s="466"/>
      <c r="W182" s="466"/>
      <c r="X182" s="466">
        <v>11528.22</v>
      </c>
      <c r="Y182" s="466">
        <v>0</v>
      </c>
      <c r="Z182" s="466">
        <v>0</v>
      </c>
      <c r="AA182" s="466">
        <v>0</v>
      </c>
      <c r="AB182" s="466">
        <v>7875971.5999999996</v>
      </c>
      <c r="AC182" s="466">
        <v>1457247.64</v>
      </c>
      <c r="AD182" s="466">
        <v>143021.01999999999</v>
      </c>
      <c r="AE182" s="466">
        <v>377543.7</v>
      </c>
      <c r="AF182" s="466"/>
      <c r="AG182" s="466">
        <v>72986</v>
      </c>
      <c r="AH182" s="466">
        <v>23125.05</v>
      </c>
      <c r="AI182" s="466">
        <v>15460.15</v>
      </c>
      <c r="AJ182" s="466">
        <v>1229545.3</v>
      </c>
      <c r="AK182" s="466">
        <v>540349.94999999995</v>
      </c>
      <c r="AL182" s="466">
        <v>18531.8</v>
      </c>
      <c r="AM182" s="466"/>
      <c r="AN182" s="466">
        <v>10125.129999999999</v>
      </c>
      <c r="AO182" s="466">
        <v>71769.09</v>
      </c>
      <c r="AP182" s="466"/>
      <c r="AQ182" s="466">
        <v>383157.9</v>
      </c>
      <c r="AR182" s="466">
        <v>34129.629999999997</v>
      </c>
      <c r="AS182" s="466">
        <v>74885.100000000006</v>
      </c>
    </row>
    <row r="183" spans="1:45" x14ac:dyDescent="0.2">
      <c r="A183" s="465">
        <v>5703</v>
      </c>
      <c r="B183" s="466"/>
      <c r="C183" s="466">
        <v>5322.02</v>
      </c>
      <c r="D183" s="466">
        <v>390.1</v>
      </c>
      <c r="E183" s="466">
        <v>101171.26</v>
      </c>
      <c r="F183" s="466">
        <v>0</v>
      </c>
      <c r="G183" s="466">
        <v>0</v>
      </c>
      <c r="H183" s="466">
        <v>0</v>
      </c>
      <c r="I183" s="466">
        <v>0</v>
      </c>
      <c r="J183" s="466"/>
      <c r="K183" s="466">
        <v>0</v>
      </c>
      <c r="L183" s="466">
        <v>0</v>
      </c>
      <c r="M183" s="466">
        <v>0</v>
      </c>
      <c r="N183" s="466">
        <v>0</v>
      </c>
      <c r="O183" s="466">
        <v>0</v>
      </c>
      <c r="P183" s="466">
        <v>0</v>
      </c>
      <c r="Q183" s="466">
        <v>0</v>
      </c>
      <c r="R183" s="466">
        <v>0</v>
      </c>
      <c r="S183" s="466">
        <v>0</v>
      </c>
      <c r="T183" s="466"/>
      <c r="U183" s="466">
        <v>0</v>
      </c>
      <c r="V183" s="466"/>
      <c r="W183" s="466"/>
      <c r="X183" s="466">
        <v>6921.91</v>
      </c>
      <c r="Y183" s="466">
        <v>0</v>
      </c>
      <c r="Z183" s="466">
        <v>0</v>
      </c>
      <c r="AA183" s="466">
        <v>0</v>
      </c>
      <c r="AB183" s="466">
        <v>3965129.42</v>
      </c>
      <c r="AC183" s="466">
        <v>502240.81</v>
      </c>
      <c r="AD183" s="466">
        <v>75222.679999999993</v>
      </c>
      <c r="AE183" s="466">
        <v>1654.45</v>
      </c>
      <c r="AF183" s="466"/>
      <c r="AG183" s="466">
        <v>54945.2</v>
      </c>
      <c r="AH183" s="466">
        <v>2762.9</v>
      </c>
      <c r="AI183" s="466">
        <v>1865</v>
      </c>
      <c r="AJ183" s="466">
        <v>456764.85</v>
      </c>
      <c r="AK183" s="466">
        <v>255576.7</v>
      </c>
      <c r="AL183" s="466">
        <v>8122.8</v>
      </c>
      <c r="AM183" s="466">
        <v>14040</v>
      </c>
      <c r="AN183" s="466">
        <v>17195.88</v>
      </c>
      <c r="AO183" s="466">
        <v>59086.400000000001</v>
      </c>
      <c r="AP183" s="466"/>
      <c r="AQ183" s="466">
        <v>244553.75</v>
      </c>
      <c r="AR183" s="466">
        <v>2461.21</v>
      </c>
      <c r="AS183" s="466">
        <v>30174.35</v>
      </c>
    </row>
    <row r="184" spans="1:45" x14ac:dyDescent="0.2">
      <c r="A184" s="465">
        <v>5704</v>
      </c>
      <c r="B184" s="466"/>
      <c r="C184" s="466">
        <v>15154.78</v>
      </c>
      <c r="D184" s="466">
        <v>1053.02</v>
      </c>
      <c r="E184" s="466">
        <v>48920.72</v>
      </c>
      <c r="F184" s="466">
        <v>0</v>
      </c>
      <c r="G184" s="466">
        <v>0</v>
      </c>
      <c r="H184" s="466">
        <v>0</v>
      </c>
      <c r="I184" s="466">
        <v>0</v>
      </c>
      <c r="J184" s="466"/>
      <c r="K184" s="466">
        <v>0</v>
      </c>
      <c r="L184" s="466">
        <v>0</v>
      </c>
      <c r="M184" s="466">
        <v>0</v>
      </c>
      <c r="N184" s="466">
        <v>0</v>
      </c>
      <c r="O184" s="466">
        <v>0</v>
      </c>
      <c r="P184" s="466">
        <v>0</v>
      </c>
      <c r="Q184" s="466">
        <v>0</v>
      </c>
      <c r="R184" s="466">
        <v>0</v>
      </c>
      <c r="S184" s="466">
        <v>0</v>
      </c>
      <c r="T184" s="466"/>
      <c r="U184" s="466">
        <v>0</v>
      </c>
      <c r="V184" s="466"/>
      <c r="W184" s="466"/>
      <c r="X184" s="466">
        <v>3010.09</v>
      </c>
      <c r="Y184" s="466">
        <v>0</v>
      </c>
      <c r="Z184" s="466">
        <v>0</v>
      </c>
      <c r="AA184" s="466">
        <v>0</v>
      </c>
      <c r="AB184" s="466">
        <v>5756736.4299999997</v>
      </c>
      <c r="AC184" s="466">
        <v>2096667.49</v>
      </c>
      <c r="AD184" s="466">
        <v>90862.86</v>
      </c>
      <c r="AE184" s="466">
        <v>381207.8</v>
      </c>
      <c r="AF184" s="466"/>
      <c r="AG184" s="466">
        <v>18297.75</v>
      </c>
      <c r="AH184" s="466">
        <v>6797.45</v>
      </c>
      <c r="AI184" s="466">
        <v>18287.150000000001</v>
      </c>
      <c r="AJ184" s="466">
        <v>800220.65</v>
      </c>
      <c r="AK184" s="466">
        <v>287128.2</v>
      </c>
      <c r="AL184" s="466">
        <v>308.89999999999998</v>
      </c>
      <c r="AM184" s="466">
        <v>13350</v>
      </c>
      <c r="AN184" s="466">
        <v>73562.570000000007</v>
      </c>
      <c r="AO184" s="466">
        <v>54972.86</v>
      </c>
      <c r="AP184" s="466"/>
      <c r="AQ184" s="466">
        <v>125953</v>
      </c>
      <c r="AR184" s="466">
        <v>83814.63</v>
      </c>
      <c r="AS184" s="466">
        <v>30752.45</v>
      </c>
    </row>
    <row r="185" spans="1:45" x14ac:dyDescent="0.2">
      <c r="A185" s="465">
        <v>5705</v>
      </c>
      <c r="B185" s="466"/>
      <c r="C185" s="466">
        <v>10268.24</v>
      </c>
      <c r="D185" s="466">
        <v>509.02</v>
      </c>
      <c r="E185" s="466">
        <v>497.79</v>
      </c>
      <c r="F185" s="466">
        <v>0</v>
      </c>
      <c r="G185" s="466">
        <v>0</v>
      </c>
      <c r="H185" s="466">
        <v>0</v>
      </c>
      <c r="I185" s="466">
        <v>0</v>
      </c>
      <c r="J185" s="466"/>
      <c r="K185" s="466">
        <v>0</v>
      </c>
      <c r="L185" s="466">
        <v>0</v>
      </c>
      <c r="M185" s="466">
        <v>0</v>
      </c>
      <c r="N185" s="466">
        <v>0</v>
      </c>
      <c r="O185" s="466">
        <v>0</v>
      </c>
      <c r="P185" s="466"/>
      <c r="Q185" s="466">
        <v>0</v>
      </c>
      <c r="R185" s="466">
        <v>0</v>
      </c>
      <c r="S185" s="466">
        <v>0</v>
      </c>
      <c r="T185" s="466"/>
      <c r="U185" s="466">
        <v>0</v>
      </c>
      <c r="V185" s="466"/>
      <c r="W185" s="466"/>
      <c r="X185" s="466">
        <v>2281.1</v>
      </c>
      <c r="Y185" s="466">
        <v>0</v>
      </c>
      <c r="Z185" s="466">
        <v>0</v>
      </c>
      <c r="AA185" s="466">
        <v>0</v>
      </c>
      <c r="AB185" s="466">
        <v>3488421.72</v>
      </c>
      <c r="AC185" s="466">
        <v>504053.46</v>
      </c>
      <c r="AD185" s="466">
        <v>10099.85</v>
      </c>
      <c r="AE185" s="466">
        <v>38823.85</v>
      </c>
      <c r="AF185" s="466"/>
      <c r="AG185" s="466">
        <v>17661.849999999999</v>
      </c>
      <c r="AH185" s="466">
        <v>1355.7</v>
      </c>
      <c r="AI185" s="466">
        <v>9634.25</v>
      </c>
      <c r="AJ185" s="466">
        <v>227558</v>
      </c>
      <c r="AK185" s="466">
        <v>276386</v>
      </c>
      <c r="AL185" s="466"/>
      <c r="AM185" s="466">
        <v>1905</v>
      </c>
      <c r="AN185" s="466">
        <v>143.03</v>
      </c>
      <c r="AO185" s="466">
        <v>58874.76</v>
      </c>
      <c r="AP185" s="466"/>
      <c r="AQ185" s="466">
        <v>114169.9</v>
      </c>
      <c r="AR185" s="466">
        <v>116438.39</v>
      </c>
      <c r="AS185" s="466">
        <v>37516</v>
      </c>
    </row>
    <row r="186" spans="1:45" x14ac:dyDescent="0.2">
      <c r="A186" s="465">
        <v>5706</v>
      </c>
      <c r="B186" s="466"/>
      <c r="C186" s="466">
        <v>6467.41</v>
      </c>
      <c r="D186" s="466">
        <v>861.92</v>
      </c>
      <c r="E186" s="466">
        <v>29073.74</v>
      </c>
      <c r="F186" s="466">
        <v>0</v>
      </c>
      <c r="G186" s="466">
        <v>0</v>
      </c>
      <c r="H186" s="466">
        <v>0</v>
      </c>
      <c r="I186" s="466">
        <v>0</v>
      </c>
      <c r="J186" s="466"/>
      <c r="K186" s="466">
        <v>0</v>
      </c>
      <c r="L186" s="466">
        <v>0</v>
      </c>
      <c r="M186" s="466">
        <v>0</v>
      </c>
      <c r="N186" s="466">
        <v>0</v>
      </c>
      <c r="O186" s="466">
        <v>0</v>
      </c>
      <c r="P186" s="466">
        <v>0</v>
      </c>
      <c r="Q186" s="466">
        <v>0</v>
      </c>
      <c r="R186" s="466"/>
      <c r="S186" s="466">
        <v>0</v>
      </c>
      <c r="T186" s="466"/>
      <c r="U186" s="466">
        <v>0</v>
      </c>
      <c r="V186" s="466"/>
      <c r="W186" s="466"/>
      <c r="X186" s="466">
        <v>-218.12</v>
      </c>
      <c r="Y186" s="466">
        <v>0</v>
      </c>
      <c r="Z186" s="466">
        <v>0</v>
      </c>
      <c r="AA186" s="466">
        <v>0</v>
      </c>
      <c r="AB186" s="466">
        <v>3933647.55</v>
      </c>
      <c r="AC186" s="466">
        <v>613073</v>
      </c>
      <c r="AD186" s="466">
        <v>-26932.26</v>
      </c>
      <c r="AE186" s="466">
        <v>4063.55</v>
      </c>
      <c r="AF186" s="466"/>
      <c r="AG186" s="466">
        <v>-8849.35</v>
      </c>
      <c r="AH186" s="466">
        <v>7030.85</v>
      </c>
      <c r="AI186" s="466">
        <v>10352.700000000001</v>
      </c>
      <c r="AJ186" s="466">
        <v>449353.2</v>
      </c>
      <c r="AK186" s="466">
        <v>161150</v>
      </c>
      <c r="AL186" s="466">
        <v>1914</v>
      </c>
      <c r="AM186" s="466">
        <v>4575</v>
      </c>
      <c r="AN186" s="466"/>
      <c r="AO186" s="466">
        <v>53540.09</v>
      </c>
      <c r="AP186" s="466"/>
      <c r="AQ186" s="466">
        <v>89834.7</v>
      </c>
      <c r="AR186" s="466">
        <v>11373.69</v>
      </c>
      <c r="AS186" s="466">
        <v>15345.4</v>
      </c>
    </row>
    <row r="187" spans="1:45" x14ac:dyDescent="0.2">
      <c r="A187" s="465">
        <v>5707</v>
      </c>
      <c r="B187" s="466"/>
      <c r="C187" s="466">
        <v>15499.99</v>
      </c>
      <c r="D187" s="466">
        <v>1374.46</v>
      </c>
      <c r="E187" s="466">
        <v>25658.06</v>
      </c>
      <c r="F187" s="466">
        <v>0</v>
      </c>
      <c r="G187" s="466">
        <v>0</v>
      </c>
      <c r="H187" s="466">
        <v>0</v>
      </c>
      <c r="I187" s="466">
        <v>0</v>
      </c>
      <c r="J187" s="466"/>
      <c r="K187" s="466">
        <v>0</v>
      </c>
      <c r="L187" s="466">
        <v>0</v>
      </c>
      <c r="M187" s="466">
        <v>0</v>
      </c>
      <c r="N187" s="466">
        <v>0</v>
      </c>
      <c r="O187" s="466">
        <v>0</v>
      </c>
      <c r="P187" s="466"/>
      <c r="Q187" s="466">
        <v>0</v>
      </c>
      <c r="R187" s="466"/>
      <c r="S187" s="466">
        <v>0</v>
      </c>
      <c r="T187" s="466"/>
      <c r="U187" s="466">
        <v>0</v>
      </c>
      <c r="V187" s="466"/>
      <c r="W187" s="466"/>
      <c r="X187" s="466">
        <v>30159.4</v>
      </c>
      <c r="Y187" s="466">
        <v>0</v>
      </c>
      <c r="Z187" s="466">
        <v>0</v>
      </c>
      <c r="AA187" s="466">
        <v>0</v>
      </c>
      <c r="AB187" s="466">
        <v>3313373.43</v>
      </c>
      <c r="AC187" s="466">
        <v>527422.66</v>
      </c>
      <c r="AD187" s="466">
        <v>108890.43</v>
      </c>
      <c r="AE187" s="466">
        <v>14123.7</v>
      </c>
      <c r="AF187" s="466"/>
      <c r="AG187" s="466">
        <v>236397.45</v>
      </c>
      <c r="AH187" s="466">
        <v>15042.2</v>
      </c>
      <c r="AI187" s="466">
        <v>62295.199999999997</v>
      </c>
      <c r="AJ187" s="466">
        <v>711434.05</v>
      </c>
      <c r="AK187" s="466">
        <v>275588.5</v>
      </c>
      <c r="AL187" s="466"/>
      <c r="AM187" s="466">
        <v>5150</v>
      </c>
      <c r="AN187" s="466"/>
      <c r="AO187" s="466">
        <v>46618.85</v>
      </c>
      <c r="AP187" s="466"/>
      <c r="AQ187" s="466">
        <v>93291.5</v>
      </c>
      <c r="AR187" s="466">
        <v>7228.29</v>
      </c>
      <c r="AS187" s="466">
        <v>787653.25</v>
      </c>
    </row>
    <row r="188" spans="1:45" x14ac:dyDescent="0.2">
      <c r="A188" s="465">
        <v>5708</v>
      </c>
      <c r="B188" s="466"/>
      <c r="C188" s="466">
        <v>8886.5</v>
      </c>
      <c r="D188" s="466">
        <v>1423.44</v>
      </c>
      <c r="E188" s="466">
        <v>12006.52</v>
      </c>
      <c r="F188" s="466">
        <v>0</v>
      </c>
      <c r="G188" s="466">
        <v>0</v>
      </c>
      <c r="H188" s="466">
        <v>0</v>
      </c>
      <c r="I188" s="466"/>
      <c r="J188" s="466"/>
      <c r="K188" s="466">
        <v>0</v>
      </c>
      <c r="L188" s="466">
        <v>0</v>
      </c>
      <c r="M188" s="466">
        <v>0</v>
      </c>
      <c r="N188" s="466">
        <v>0</v>
      </c>
      <c r="O188" s="466">
        <v>0</v>
      </c>
      <c r="P188" s="466"/>
      <c r="Q188" s="466">
        <v>0</v>
      </c>
      <c r="R188" s="466">
        <v>0</v>
      </c>
      <c r="S188" s="466">
        <v>0</v>
      </c>
      <c r="T188" s="466"/>
      <c r="U188" s="466">
        <v>0</v>
      </c>
      <c r="V188" s="466"/>
      <c r="W188" s="466"/>
      <c r="X188" s="466">
        <v>3705.6</v>
      </c>
      <c r="Y188" s="466">
        <v>0</v>
      </c>
      <c r="Z188" s="466">
        <v>0</v>
      </c>
      <c r="AA188" s="466">
        <v>0</v>
      </c>
      <c r="AB188" s="466">
        <v>3815208.27</v>
      </c>
      <c r="AC188" s="466">
        <v>452436.55</v>
      </c>
      <c r="AD188" s="466">
        <v>-17158.88</v>
      </c>
      <c r="AE188" s="466"/>
      <c r="AF188" s="466"/>
      <c r="AG188" s="466">
        <v>28896.55</v>
      </c>
      <c r="AH188" s="466">
        <v>1997.1</v>
      </c>
      <c r="AI188" s="466">
        <v>2539.65</v>
      </c>
      <c r="AJ188" s="466">
        <v>431921.25</v>
      </c>
      <c r="AK188" s="466">
        <v>231686.35</v>
      </c>
      <c r="AL188" s="466"/>
      <c r="AM188" s="466">
        <v>5080</v>
      </c>
      <c r="AN188" s="466">
        <v>11199.88</v>
      </c>
      <c r="AO188" s="466">
        <v>28376.240000000002</v>
      </c>
      <c r="AP188" s="466"/>
      <c r="AQ188" s="466">
        <v>71721.55</v>
      </c>
      <c r="AR188" s="466">
        <v>1350.03</v>
      </c>
      <c r="AS188" s="466">
        <v>8131.3</v>
      </c>
    </row>
    <row r="189" spans="1:45" x14ac:dyDescent="0.2">
      <c r="A189" s="465">
        <v>5709</v>
      </c>
      <c r="B189" s="466"/>
      <c r="C189" s="466">
        <v>6213.04</v>
      </c>
      <c r="D189" s="466">
        <v>1344.34</v>
      </c>
      <c r="E189" s="466">
        <v>48890.62</v>
      </c>
      <c r="F189" s="466">
        <v>0</v>
      </c>
      <c r="G189" s="466">
        <v>0</v>
      </c>
      <c r="H189" s="466">
        <v>0</v>
      </c>
      <c r="I189" s="466">
        <v>0</v>
      </c>
      <c r="J189" s="466"/>
      <c r="K189" s="466">
        <v>0</v>
      </c>
      <c r="L189" s="466">
        <v>0</v>
      </c>
      <c r="M189" s="466">
        <v>0</v>
      </c>
      <c r="N189" s="466">
        <v>0</v>
      </c>
      <c r="O189" s="466">
        <v>0</v>
      </c>
      <c r="P189" s="466">
        <v>0</v>
      </c>
      <c r="Q189" s="466">
        <v>0</v>
      </c>
      <c r="R189" s="466">
        <v>0</v>
      </c>
      <c r="S189" s="466">
        <v>0</v>
      </c>
      <c r="T189" s="466"/>
      <c r="U189" s="466">
        <v>0</v>
      </c>
      <c r="V189" s="466"/>
      <c r="W189" s="466"/>
      <c r="X189" s="466">
        <v>1416.13</v>
      </c>
      <c r="Y189" s="466">
        <v>0</v>
      </c>
      <c r="Z189" s="466">
        <v>0</v>
      </c>
      <c r="AA189" s="466">
        <v>0</v>
      </c>
      <c r="AB189" s="466">
        <v>3863691.39</v>
      </c>
      <c r="AC189" s="466">
        <v>746816.44</v>
      </c>
      <c r="AD189" s="466">
        <v>65878.34</v>
      </c>
      <c r="AE189" s="466">
        <v>503480.6</v>
      </c>
      <c r="AF189" s="466"/>
      <c r="AG189" s="466">
        <v>4433.3500000000004</v>
      </c>
      <c r="AH189" s="466">
        <v>7372.95</v>
      </c>
      <c r="AI189" s="466">
        <v>6088.85</v>
      </c>
      <c r="AJ189" s="466">
        <v>364212.4</v>
      </c>
      <c r="AK189" s="466">
        <v>223130.95</v>
      </c>
      <c r="AL189" s="466">
        <v>4819.2</v>
      </c>
      <c r="AM189" s="466">
        <v>11050</v>
      </c>
      <c r="AN189" s="466">
        <v>45204.33</v>
      </c>
      <c r="AO189" s="466">
        <v>33220.720000000001</v>
      </c>
      <c r="AP189" s="466"/>
      <c r="AQ189" s="466">
        <v>221765</v>
      </c>
      <c r="AR189" s="466">
        <v>9724.3799999999992</v>
      </c>
      <c r="AS189" s="466">
        <v>40941</v>
      </c>
    </row>
    <row r="190" spans="1:45" x14ac:dyDescent="0.2">
      <c r="A190" s="465">
        <v>5710</v>
      </c>
      <c r="B190" s="466"/>
      <c r="C190" s="466">
        <v>933.2</v>
      </c>
      <c r="D190" s="466">
        <v>-354.95</v>
      </c>
      <c r="E190" s="466">
        <v>3790.71</v>
      </c>
      <c r="F190" s="466">
        <v>0</v>
      </c>
      <c r="G190" s="466">
        <v>0</v>
      </c>
      <c r="H190" s="466">
        <v>0</v>
      </c>
      <c r="I190" s="466">
        <v>0</v>
      </c>
      <c r="J190" s="466"/>
      <c r="K190" s="466">
        <v>0</v>
      </c>
      <c r="L190" s="466">
        <v>0</v>
      </c>
      <c r="M190" s="466">
        <v>0</v>
      </c>
      <c r="N190" s="466">
        <v>0</v>
      </c>
      <c r="O190" s="466">
        <v>0</v>
      </c>
      <c r="P190" s="466">
        <v>0</v>
      </c>
      <c r="Q190" s="466"/>
      <c r="R190" s="466">
        <v>0</v>
      </c>
      <c r="S190" s="466">
        <v>0</v>
      </c>
      <c r="T190" s="466"/>
      <c r="U190" s="466">
        <v>0</v>
      </c>
      <c r="V190" s="466"/>
      <c r="W190" s="466"/>
      <c r="X190" s="466">
        <v>5360.98</v>
      </c>
      <c r="Y190" s="466">
        <v>0</v>
      </c>
      <c r="Z190" s="466">
        <v>0</v>
      </c>
      <c r="AA190" s="466">
        <v>0</v>
      </c>
      <c r="AB190" s="466">
        <v>1527325.61</v>
      </c>
      <c r="AC190" s="466">
        <v>255370.94</v>
      </c>
      <c r="AD190" s="466">
        <v>30135.7</v>
      </c>
      <c r="AE190" s="466">
        <v>110957.8</v>
      </c>
      <c r="AF190" s="466"/>
      <c r="AG190" s="466">
        <v>67388.800000000003</v>
      </c>
      <c r="AH190" s="466">
        <v>-22694.199999999899</v>
      </c>
      <c r="AI190" s="466">
        <v>5015.25</v>
      </c>
      <c r="AJ190" s="466">
        <v>135779.20000000001</v>
      </c>
      <c r="AK190" s="466">
        <v>63344</v>
      </c>
      <c r="AL190" s="466">
        <v>5170.3</v>
      </c>
      <c r="AM190" s="466"/>
      <c r="AN190" s="466">
        <v>-320.83</v>
      </c>
      <c r="AO190" s="466">
        <v>17110.919999999998</v>
      </c>
      <c r="AP190" s="466"/>
      <c r="AQ190" s="466">
        <v>2291.65</v>
      </c>
      <c r="AR190" s="466">
        <v>13971.31</v>
      </c>
      <c r="AS190" s="466">
        <v>29012.95</v>
      </c>
    </row>
    <row r="191" spans="1:45" x14ac:dyDescent="0.2">
      <c r="A191" s="465">
        <v>5711</v>
      </c>
      <c r="B191" s="466"/>
      <c r="C191" s="466">
        <v>49706.06</v>
      </c>
      <c r="D191" s="466">
        <v>4379.8500000000004</v>
      </c>
      <c r="E191" s="466">
        <v>66802.02</v>
      </c>
      <c r="F191" s="466">
        <v>0</v>
      </c>
      <c r="G191" s="466">
        <v>0</v>
      </c>
      <c r="H191" s="466">
        <v>0</v>
      </c>
      <c r="I191" s="466">
        <v>0</v>
      </c>
      <c r="J191" s="466"/>
      <c r="K191" s="466">
        <v>0</v>
      </c>
      <c r="L191" s="466">
        <v>0</v>
      </c>
      <c r="M191" s="466">
        <v>0</v>
      </c>
      <c r="N191" s="466">
        <v>0</v>
      </c>
      <c r="O191" s="466">
        <v>0</v>
      </c>
      <c r="P191" s="466"/>
      <c r="Q191" s="466">
        <v>0</v>
      </c>
      <c r="R191" s="466">
        <v>0</v>
      </c>
      <c r="S191" s="466">
        <v>0</v>
      </c>
      <c r="T191" s="466"/>
      <c r="U191" s="466">
        <v>0</v>
      </c>
      <c r="V191" s="466"/>
      <c r="W191" s="466"/>
      <c r="X191" s="466">
        <v>6520.54</v>
      </c>
      <c r="Y191" s="466">
        <v>0</v>
      </c>
      <c r="Z191" s="466">
        <v>0</v>
      </c>
      <c r="AA191" s="466">
        <v>0</v>
      </c>
      <c r="AB191" s="466">
        <v>10413691.77</v>
      </c>
      <c r="AC191" s="466">
        <v>2460536.0099999998</v>
      </c>
      <c r="AD191" s="466">
        <v>184128.86</v>
      </c>
      <c r="AE191" s="466">
        <v>181988.1</v>
      </c>
      <c r="AF191" s="466"/>
      <c r="AG191" s="466">
        <v>46135</v>
      </c>
      <c r="AH191" s="466">
        <v>8226.9</v>
      </c>
      <c r="AI191" s="466">
        <v>14036.65</v>
      </c>
      <c r="AJ191" s="466">
        <v>1183990.3</v>
      </c>
      <c r="AK191" s="466">
        <v>734368.5</v>
      </c>
      <c r="AL191" s="466"/>
      <c r="AM191" s="466">
        <v>20000</v>
      </c>
      <c r="AN191" s="466">
        <v>10623.89</v>
      </c>
      <c r="AO191" s="466">
        <v>102867.05</v>
      </c>
      <c r="AP191" s="466"/>
      <c r="AQ191" s="466">
        <v>525442.6</v>
      </c>
      <c r="AR191" s="466">
        <v>140964.12</v>
      </c>
      <c r="AS191" s="466">
        <v>40394.75</v>
      </c>
    </row>
    <row r="192" spans="1:45" x14ac:dyDescent="0.2">
      <c r="A192" s="465">
        <v>5712</v>
      </c>
      <c r="B192" s="466"/>
      <c r="C192" s="466">
        <v>44014.62</v>
      </c>
      <c r="D192" s="466">
        <v>5377.01</v>
      </c>
      <c r="E192" s="466">
        <v>20670.150000000001</v>
      </c>
      <c r="F192" s="466">
        <v>0</v>
      </c>
      <c r="G192" s="466">
        <v>0</v>
      </c>
      <c r="H192" s="466">
        <v>0</v>
      </c>
      <c r="I192" s="466">
        <v>0</v>
      </c>
      <c r="J192" s="466"/>
      <c r="K192" s="466">
        <v>0</v>
      </c>
      <c r="L192" s="466">
        <v>0</v>
      </c>
      <c r="M192" s="466">
        <v>0</v>
      </c>
      <c r="N192" s="466">
        <v>0</v>
      </c>
      <c r="O192" s="466">
        <v>0</v>
      </c>
      <c r="P192" s="466">
        <v>0</v>
      </c>
      <c r="Q192" s="466">
        <v>0</v>
      </c>
      <c r="R192" s="466">
        <v>0</v>
      </c>
      <c r="S192" s="466">
        <v>0</v>
      </c>
      <c r="T192" s="466"/>
      <c r="U192" s="466">
        <v>0</v>
      </c>
      <c r="V192" s="466"/>
      <c r="W192" s="466"/>
      <c r="X192" s="466">
        <v>19565.330000000002</v>
      </c>
      <c r="Y192" s="466">
        <v>0</v>
      </c>
      <c r="Z192" s="466">
        <v>0</v>
      </c>
      <c r="AA192" s="466">
        <v>0</v>
      </c>
      <c r="AB192" s="466">
        <v>12726404.25</v>
      </c>
      <c r="AC192" s="466">
        <v>4652788.47</v>
      </c>
      <c r="AD192" s="466">
        <v>358802.08</v>
      </c>
      <c r="AE192" s="466">
        <v>1121150.23</v>
      </c>
      <c r="AF192" s="466"/>
      <c r="AG192" s="466">
        <v>133659.20000000001</v>
      </c>
      <c r="AH192" s="466">
        <v>29457.45</v>
      </c>
      <c r="AI192" s="466">
        <v>45987</v>
      </c>
      <c r="AJ192" s="466">
        <v>1809204.2</v>
      </c>
      <c r="AK192" s="466">
        <v>529276.94999999995</v>
      </c>
      <c r="AL192" s="466">
        <v>160922.9</v>
      </c>
      <c r="AM192" s="466">
        <v>10400</v>
      </c>
      <c r="AN192" s="466">
        <v>21486.39</v>
      </c>
      <c r="AO192" s="466">
        <v>142980.49</v>
      </c>
      <c r="AP192" s="466"/>
      <c r="AQ192" s="466">
        <v>927376.7</v>
      </c>
      <c r="AR192" s="466">
        <v>48473.31</v>
      </c>
      <c r="AS192" s="466">
        <v>122896.1</v>
      </c>
    </row>
    <row r="193" spans="1:45" x14ac:dyDescent="0.2">
      <c r="A193" s="465">
        <v>5713</v>
      </c>
      <c r="B193" s="466"/>
      <c r="C193" s="466">
        <v>35843.5</v>
      </c>
      <c r="D193" s="466">
        <v>2557.4299999999998</v>
      </c>
      <c r="E193" s="466">
        <v>8309.74</v>
      </c>
      <c r="F193" s="466">
        <v>0</v>
      </c>
      <c r="G193" s="466">
        <v>0</v>
      </c>
      <c r="H193" s="466">
        <v>0</v>
      </c>
      <c r="I193" s="466">
        <v>0</v>
      </c>
      <c r="J193" s="466"/>
      <c r="K193" s="466">
        <v>0</v>
      </c>
      <c r="L193" s="466">
        <v>0</v>
      </c>
      <c r="M193" s="466">
        <v>0</v>
      </c>
      <c r="N193" s="466">
        <v>0</v>
      </c>
      <c r="O193" s="466">
        <v>0</v>
      </c>
      <c r="P193" s="466">
        <v>0</v>
      </c>
      <c r="Q193" s="466">
        <v>0</v>
      </c>
      <c r="R193" s="466"/>
      <c r="S193" s="466">
        <v>0</v>
      </c>
      <c r="T193" s="466"/>
      <c r="U193" s="466">
        <v>0</v>
      </c>
      <c r="V193" s="466"/>
      <c r="W193" s="466"/>
      <c r="X193" s="466">
        <v>4037</v>
      </c>
      <c r="Y193" s="466">
        <v>0</v>
      </c>
      <c r="Z193" s="466">
        <v>0</v>
      </c>
      <c r="AA193" s="466">
        <v>0</v>
      </c>
      <c r="AB193" s="466">
        <v>10288116.029999999</v>
      </c>
      <c r="AC193" s="466">
        <v>5113777.3</v>
      </c>
      <c r="AD193" s="466">
        <v>204965.06</v>
      </c>
      <c r="AE193" s="466">
        <v>828053.35</v>
      </c>
      <c r="AF193" s="466"/>
      <c r="AG193" s="466">
        <v>30435.4</v>
      </c>
      <c r="AH193" s="466">
        <v>3221.15</v>
      </c>
      <c r="AI193" s="466">
        <v>10573.5</v>
      </c>
      <c r="AJ193" s="466">
        <v>840352.05</v>
      </c>
      <c r="AK193" s="466">
        <v>897113.1</v>
      </c>
      <c r="AL193" s="466">
        <v>600651.1</v>
      </c>
      <c r="AM193" s="466">
        <v>17050</v>
      </c>
      <c r="AN193" s="466"/>
      <c r="AO193" s="466">
        <v>107018.07</v>
      </c>
      <c r="AP193" s="466"/>
      <c r="AQ193" s="466">
        <v>446422.15</v>
      </c>
      <c r="AR193" s="466">
        <v>29766.61</v>
      </c>
      <c r="AS193" s="466">
        <v>47661.35</v>
      </c>
    </row>
    <row r="194" spans="1:45" x14ac:dyDescent="0.2">
      <c r="A194" s="465">
        <v>5714</v>
      </c>
      <c r="B194" s="466"/>
      <c r="C194" s="466">
        <v>2719.19</v>
      </c>
      <c r="D194" s="466">
        <v>888.19</v>
      </c>
      <c r="E194" s="466">
        <v>19075.849999999999</v>
      </c>
      <c r="F194" s="466">
        <v>0</v>
      </c>
      <c r="G194" s="466">
        <v>0</v>
      </c>
      <c r="H194" s="466">
        <v>0</v>
      </c>
      <c r="I194" s="466">
        <v>0</v>
      </c>
      <c r="J194" s="466"/>
      <c r="K194" s="466">
        <v>0</v>
      </c>
      <c r="L194" s="466">
        <v>0</v>
      </c>
      <c r="M194" s="466">
        <v>0</v>
      </c>
      <c r="N194" s="466">
        <v>0</v>
      </c>
      <c r="O194" s="466">
        <v>0</v>
      </c>
      <c r="P194" s="466"/>
      <c r="Q194" s="466">
        <v>0</v>
      </c>
      <c r="R194" s="466"/>
      <c r="S194" s="466">
        <v>0</v>
      </c>
      <c r="T194" s="466"/>
      <c r="U194" s="466">
        <v>0</v>
      </c>
      <c r="V194" s="466"/>
      <c r="W194" s="466"/>
      <c r="X194" s="466">
        <v>-9243.5</v>
      </c>
      <c r="Y194" s="466">
        <v>0</v>
      </c>
      <c r="Z194" s="466">
        <v>0</v>
      </c>
      <c r="AA194" s="466">
        <v>0</v>
      </c>
      <c r="AB194" s="466">
        <v>2837015.13</v>
      </c>
      <c r="AC194" s="466">
        <v>464790.94</v>
      </c>
      <c r="AD194" s="466">
        <v>65008.5</v>
      </c>
      <c r="AE194" s="466">
        <v>110782.45</v>
      </c>
      <c r="AF194" s="466"/>
      <c r="AG194" s="466">
        <v>-85584.25</v>
      </c>
      <c r="AH194" s="466">
        <v>8520.9500000000007</v>
      </c>
      <c r="AI194" s="466">
        <v>6742.5</v>
      </c>
      <c r="AJ194" s="466">
        <v>289820.05</v>
      </c>
      <c r="AK194" s="466">
        <v>175166.2</v>
      </c>
      <c r="AL194" s="466"/>
      <c r="AM194" s="466">
        <v>4710</v>
      </c>
      <c r="AN194" s="466"/>
      <c r="AO194" s="466">
        <v>55176.07</v>
      </c>
      <c r="AP194" s="466"/>
      <c r="AQ194" s="466">
        <v>73143.55</v>
      </c>
      <c r="AR194" s="466">
        <v>35557.89</v>
      </c>
      <c r="AS194" s="466">
        <v>130763.45</v>
      </c>
    </row>
    <row r="195" spans="1:45" x14ac:dyDescent="0.2">
      <c r="A195" s="465">
        <v>5715</v>
      </c>
      <c r="B195" s="466"/>
      <c r="C195" s="466">
        <v>4215.2</v>
      </c>
      <c r="D195" s="466">
        <v>784.96</v>
      </c>
      <c r="E195" s="466">
        <v>111564.9</v>
      </c>
      <c r="F195" s="466">
        <v>0</v>
      </c>
      <c r="G195" s="466">
        <v>0</v>
      </c>
      <c r="H195" s="466">
        <v>0</v>
      </c>
      <c r="I195" s="466">
        <v>0</v>
      </c>
      <c r="J195" s="466"/>
      <c r="K195" s="466">
        <v>0</v>
      </c>
      <c r="L195" s="466">
        <v>0</v>
      </c>
      <c r="M195" s="466">
        <v>0</v>
      </c>
      <c r="N195" s="466">
        <v>0</v>
      </c>
      <c r="O195" s="466">
        <v>0</v>
      </c>
      <c r="P195" s="466"/>
      <c r="Q195" s="466">
        <v>0</v>
      </c>
      <c r="R195" s="466">
        <v>0</v>
      </c>
      <c r="S195" s="466">
        <v>0</v>
      </c>
      <c r="T195" s="466"/>
      <c r="U195" s="466">
        <v>0</v>
      </c>
      <c r="V195" s="466"/>
      <c r="W195" s="466"/>
      <c r="X195" s="466">
        <v>4196.33</v>
      </c>
      <c r="Y195" s="466">
        <v>0</v>
      </c>
      <c r="Z195" s="466">
        <v>0</v>
      </c>
      <c r="AA195" s="466">
        <v>0</v>
      </c>
      <c r="AB195" s="466">
        <v>3155469.33</v>
      </c>
      <c r="AC195" s="466">
        <v>575535.76</v>
      </c>
      <c r="AD195" s="466">
        <v>111145.55</v>
      </c>
      <c r="AE195" s="466">
        <v>267.19999999999698</v>
      </c>
      <c r="AF195" s="466"/>
      <c r="AG195" s="466">
        <v>25872</v>
      </c>
      <c r="AH195" s="466">
        <v>9112.9</v>
      </c>
      <c r="AI195" s="466">
        <v>2940.5</v>
      </c>
      <c r="AJ195" s="466">
        <v>280968.40000000002</v>
      </c>
      <c r="AK195" s="466">
        <v>242319</v>
      </c>
      <c r="AL195" s="466"/>
      <c r="AM195" s="466">
        <v>8150</v>
      </c>
      <c r="AN195" s="466">
        <v>14698.53</v>
      </c>
      <c r="AO195" s="466">
        <v>27689.49</v>
      </c>
      <c r="AP195" s="466"/>
      <c r="AQ195" s="466">
        <v>180000.6</v>
      </c>
      <c r="AR195" s="466">
        <v>4776.46</v>
      </c>
      <c r="AS195" s="466">
        <v>89546.35</v>
      </c>
    </row>
    <row r="196" spans="1:45" x14ac:dyDescent="0.2">
      <c r="A196" s="465">
        <v>5716</v>
      </c>
      <c r="B196" s="466"/>
      <c r="C196" s="466">
        <v>21633.16</v>
      </c>
      <c r="D196" s="466">
        <v>1992.77</v>
      </c>
      <c r="E196" s="466">
        <v>54028.74</v>
      </c>
      <c r="F196" s="466">
        <v>0</v>
      </c>
      <c r="G196" s="466">
        <v>0</v>
      </c>
      <c r="H196" s="466">
        <v>0</v>
      </c>
      <c r="I196" s="466"/>
      <c r="J196" s="466"/>
      <c r="K196" s="466">
        <v>0</v>
      </c>
      <c r="L196" s="466">
        <v>0</v>
      </c>
      <c r="M196" s="466">
        <v>0</v>
      </c>
      <c r="N196" s="466"/>
      <c r="O196" s="466">
        <v>0</v>
      </c>
      <c r="P196" s="466">
        <v>0</v>
      </c>
      <c r="Q196" s="466">
        <v>0</v>
      </c>
      <c r="R196" s="466">
        <v>0</v>
      </c>
      <c r="S196" s="466">
        <v>0</v>
      </c>
      <c r="T196" s="466"/>
      <c r="U196" s="466">
        <v>0</v>
      </c>
      <c r="V196" s="466"/>
      <c r="W196" s="466"/>
      <c r="X196" s="466">
        <v>1290946.78</v>
      </c>
      <c r="Y196" s="466">
        <v>0</v>
      </c>
      <c r="Z196" s="466">
        <v>0</v>
      </c>
      <c r="AA196" s="466">
        <v>0</v>
      </c>
      <c r="AB196" s="466">
        <v>4063002.44</v>
      </c>
      <c r="AC196" s="466">
        <v>533591.48</v>
      </c>
      <c r="AD196" s="466">
        <v>1090328.49</v>
      </c>
      <c r="AE196" s="466"/>
      <c r="AF196" s="466"/>
      <c r="AG196" s="466">
        <v>9567108.0999999996</v>
      </c>
      <c r="AH196" s="466">
        <v>1195545.6000000001</v>
      </c>
      <c r="AI196" s="466">
        <v>191319.35</v>
      </c>
      <c r="AJ196" s="466"/>
      <c r="AK196" s="466">
        <v>1109474.6499999999</v>
      </c>
      <c r="AL196" s="466">
        <v>104368.8</v>
      </c>
      <c r="AM196" s="466">
        <v>9050</v>
      </c>
      <c r="AN196" s="466">
        <v>9607.18</v>
      </c>
      <c r="AO196" s="466">
        <v>96228.08</v>
      </c>
      <c r="AP196" s="466"/>
      <c r="AQ196" s="466">
        <v>123842.9</v>
      </c>
      <c r="AR196" s="466">
        <v>1488.32</v>
      </c>
      <c r="AS196" s="466">
        <v>574592.4</v>
      </c>
    </row>
    <row r="197" spans="1:45" x14ac:dyDescent="0.2">
      <c r="A197" s="465">
        <v>5717</v>
      </c>
      <c r="B197" s="466"/>
      <c r="C197" s="466">
        <v>37328.699999999997</v>
      </c>
      <c r="D197" s="466">
        <v>4552.8599999999997</v>
      </c>
      <c r="E197" s="466">
        <v>115528.89</v>
      </c>
      <c r="F197" s="466">
        <v>0</v>
      </c>
      <c r="G197" s="466">
        <v>0</v>
      </c>
      <c r="H197" s="466">
        <v>0</v>
      </c>
      <c r="I197" s="466">
        <v>0</v>
      </c>
      <c r="J197" s="466"/>
      <c r="K197" s="466">
        <v>0</v>
      </c>
      <c r="L197" s="466">
        <v>0</v>
      </c>
      <c r="M197" s="466">
        <v>0</v>
      </c>
      <c r="N197" s="466">
        <v>0</v>
      </c>
      <c r="O197" s="466">
        <v>0</v>
      </c>
      <c r="P197" s="466">
        <v>0</v>
      </c>
      <c r="Q197" s="466">
        <v>0</v>
      </c>
      <c r="R197" s="466">
        <v>0</v>
      </c>
      <c r="S197" s="466">
        <v>0</v>
      </c>
      <c r="T197" s="466"/>
      <c r="U197" s="466">
        <v>0</v>
      </c>
      <c r="V197" s="466"/>
      <c r="W197" s="466"/>
      <c r="X197" s="466">
        <v>12908.62</v>
      </c>
      <c r="Y197" s="466">
        <v>0</v>
      </c>
      <c r="Z197" s="466">
        <v>0</v>
      </c>
      <c r="AA197" s="466">
        <v>0</v>
      </c>
      <c r="AB197" s="466">
        <v>16107344.529999999</v>
      </c>
      <c r="AC197" s="466">
        <v>4014240.05</v>
      </c>
      <c r="AD197" s="466">
        <v>-287667.32</v>
      </c>
      <c r="AE197" s="466">
        <v>925308</v>
      </c>
      <c r="AF197" s="466"/>
      <c r="AG197" s="466">
        <v>72282.55</v>
      </c>
      <c r="AH197" s="466">
        <v>35336.949999999997</v>
      </c>
      <c r="AI197" s="466">
        <v>41372</v>
      </c>
      <c r="AJ197" s="466">
        <v>1332232.8999999999</v>
      </c>
      <c r="AK197" s="466">
        <v>998803.45</v>
      </c>
      <c r="AL197" s="466">
        <v>244729.2</v>
      </c>
      <c r="AM197" s="466">
        <v>20895</v>
      </c>
      <c r="AN197" s="466">
        <v>12068.44</v>
      </c>
      <c r="AO197" s="466">
        <v>199536.75</v>
      </c>
      <c r="AP197" s="466"/>
      <c r="AQ197" s="466">
        <v>935119.25</v>
      </c>
      <c r="AR197" s="466">
        <v>102206.5</v>
      </c>
      <c r="AS197" s="466">
        <v>222193.9</v>
      </c>
    </row>
    <row r="198" spans="1:45" x14ac:dyDescent="0.2">
      <c r="A198" s="465">
        <v>5718</v>
      </c>
      <c r="B198" s="466"/>
      <c r="C198" s="466">
        <v>11181.1</v>
      </c>
      <c r="D198" s="466">
        <v>2998.81</v>
      </c>
      <c r="E198" s="466">
        <v>26729.54</v>
      </c>
      <c r="F198" s="466">
        <v>0</v>
      </c>
      <c r="G198" s="466">
        <v>0</v>
      </c>
      <c r="H198" s="466">
        <v>0</v>
      </c>
      <c r="I198" s="466">
        <v>0</v>
      </c>
      <c r="J198" s="466"/>
      <c r="K198" s="466">
        <v>0</v>
      </c>
      <c r="L198" s="466">
        <v>0</v>
      </c>
      <c r="M198" s="466">
        <v>0</v>
      </c>
      <c r="N198" s="466">
        <v>0</v>
      </c>
      <c r="O198" s="466">
        <v>0</v>
      </c>
      <c r="P198" s="466">
        <v>0</v>
      </c>
      <c r="Q198" s="466">
        <v>0</v>
      </c>
      <c r="R198" s="466">
        <v>0</v>
      </c>
      <c r="S198" s="466">
        <v>0</v>
      </c>
      <c r="T198" s="466"/>
      <c r="U198" s="466">
        <v>0</v>
      </c>
      <c r="V198" s="466"/>
      <c r="W198" s="466"/>
      <c r="X198" s="466">
        <v>38373.019999999997</v>
      </c>
      <c r="Y198" s="466">
        <v>0</v>
      </c>
      <c r="Z198" s="466">
        <v>0</v>
      </c>
      <c r="AA198" s="466">
        <v>0</v>
      </c>
      <c r="AB198" s="466">
        <v>10057347.23</v>
      </c>
      <c r="AC198" s="466">
        <v>1844585.49</v>
      </c>
      <c r="AD198" s="466">
        <v>183001.21</v>
      </c>
      <c r="AE198" s="466">
        <v>345616.43</v>
      </c>
      <c r="AF198" s="466"/>
      <c r="AG198" s="466">
        <v>377437.85</v>
      </c>
      <c r="AH198" s="466">
        <v>-57521.1</v>
      </c>
      <c r="AI198" s="466">
        <v>41921.599999999999</v>
      </c>
      <c r="AJ198" s="466">
        <v>685761.5</v>
      </c>
      <c r="AK198" s="466">
        <v>480990.65</v>
      </c>
      <c r="AL198" s="466">
        <v>-40770.400000000001</v>
      </c>
      <c r="AM198" s="466">
        <v>8250</v>
      </c>
      <c r="AN198" s="466">
        <v>2276.39</v>
      </c>
      <c r="AO198" s="466">
        <v>157978.98000000001</v>
      </c>
      <c r="AP198" s="466"/>
      <c r="AQ198" s="466">
        <v>383919.55</v>
      </c>
      <c r="AR198" s="466">
        <v>12535.27</v>
      </c>
      <c r="AS198" s="466">
        <v>269907.05</v>
      </c>
    </row>
    <row r="199" spans="1:45" x14ac:dyDescent="0.2">
      <c r="A199" s="465">
        <v>5719</v>
      </c>
      <c r="B199" s="466"/>
      <c r="C199" s="466">
        <v>6365.52</v>
      </c>
      <c r="D199" s="466">
        <v>5165.05</v>
      </c>
      <c r="E199" s="466">
        <v>22774.51</v>
      </c>
      <c r="F199" s="466">
        <v>0</v>
      </c>
      <c r="G199" s="466">
        <v>0</v>
      </c>
      <c r="H199" s="466">
        <v>0</v>
      </c>
      <c r="I199" s="466">
        <v>0</v>
      </c>
      <c r="J199" s="466"/>
      <c r="K199" s="466">
        <v>0</v>
      </c>
      <c r="L199" s="466">
        <v>0</v>
      </c>
      <c r="M199" s="466">
        <v>0</v>
      </c>
      <c r="N199" s="466">
        <v>0</v>
      </c>
      <c r="O199" s="466">
        <v>0</v>
      </c>
      <c r="P199" s="466">
        <v>0</v>
      </c>
      <c r="Q199" s="466">
        <v>0</v>
      </c>
      <c r="R199" s="466"/>
      <c r="S199" s="466">
        <v>0</v>
      </c>
      <c r="T199" s="466"/>
      <c r="U199" s="466">
        <v>0</v>
      </c>
      <c r="V199" s="466"/>
      <c r="W199" s="466"/>
      <c r="X199" s="466">
        <v>56482.06</v>
      </c>
      <c r="Y199" s="466">
        <v>0</v>
      </c>
      <c r="Z199" s="466">
        <v>0</v>
      </c>
      <c r="AA199" s="466">
        <v>0</v>
      </c>
      <c r="AB199" s="466">
        <v>4694001.5</v>
      </c>
      <c r="AC199" s="466">
        <v>2494921.4</v>
      </c>
      <c r="AD199" s="466">
        <v>49408.41</v>
      </c>
      <c r="AE199" s="466">
        <v>162245.15</v>
      </c>
      <c r="AF199" s="466"/>
      <c r="AG199" s="466">
        <v>465106.15</v>
      </c>
      <c r="AH199" s="466">
        <v>5786.1</v>
      </c>
      <c r="AI199" s="466">
        <v>6062.8</v>
      </c>
      <c r="AJ199" s="466">
        <v>245952.5</v>
      </c>
      <c r="AK199" s="466">
        <v>292425.45</v>
      </c>
      <c r="AL199" s="466">
        <v>12175.7</v>
      </c>
      <c r="AM199" s="466">
        <v>15250</v>
      </c>
      <c r="AN199" s="466"/>
      <c r="AO199" s="466">
        <v>27299.96</v>
      </c>
      <c r="AP199" s="466"/>
      <c r="AQ199" s="466">
        <v>108446.75</v>
      </c>
      <c r="AR199" s="466">
        <v>12758.73</v>
      </c>
      <c r="AS199" s="466">
        <v>52212.85</v>
      </c>
    </row>
    <row r="200" spans="1:45" x14ac:dyDescent="0.2">
      <c r="A200" s="465">
        <v>5720</v>
      </c>
      <c r="B200" s="466"/>
      <c r="C200" s="466">
        <v>5732.49</v>
      </c>
      <c r="D200" s="466">
        <v>1893.15</v>
      </c>
      <c r="E200" s="466">
        <v>24457.919999999998</v>
      </c>
      <c r="F200" s="466">
        <v>0</v>
      </c>
      <c r="G200" s="466">
        <v>0</v>
      </c>
      <c r="H200" s="466">
        <v>0</v>
      </c>
      <c r="I200" s="466">
        <v>0</v>
      </c>
      <c r="J200" s="466"/>
      <c r="K200" s="466">
        <v>0</v>
      </c>
      <c r="L200" s="466">
        <v>0</v>
      </c>
      <c r="M200" s="466"/>
      <c r="N200" s="466">
        <v>0</v>
      </c>
      <c r="O200" s="466">
        <v>0</v>
      </c>
      <c r="P200" s="466"/>
      <c r="Q200" s="466">
        <v>0</v>
      </c>
      <c r="R200" s="466">
        <v>0</v>
      </c>
      <c r="S200" s="466">
        <v>0</v>
      </c>
      <c r="T200" s="466"/>
      <c r="U200" s="466">
        <v>0</v>
      </c>
      <c r="V200" s="466"/>
      <c r="W200" s="466"/>
      <c r="X200" s="466">
        <v>5436.52</v>
      </c>
      <c r="Y200" s="466">
        <v>0</v>
      </c>
      <c r="Z200" s="466">
        <v>0</v>
      </c>
      <c r="AA200" s="466">
        <v>0</v>
      </c>
      <c r="AB200" s="466">
        <v>3912817.1</v>
      </c>
      <c r="AC200" s="466">
        <v>1042942.18</v>
      </c>
      <c r="AD200" s="466">
        <v>36650.199999999997</v>
      </c>
      <c r="AE200" s="466">
        <v>324111.55</v>
      </c>
      <c r="AF200" s="466"/>
      <c r="AG200" s="466">
        <v>31672.799999999999</v>
      </c>
      <c r="AH200" s="466">
        <v>13651.6</v>
      </c>
      <c r="AI200" s="466"/>
      <c r="AJ200" s="466">
        <v>277389.84999999998</v>
      </c>
      <c r="AK200" s="466">
        <v>223479.45</v>
      </c>
      <c r="AL200" s="466"/>
      <c r="AM200" s="466">
        <v>6160</v>
      </c>
      <c r="AN200" s="466">
        <v>1506.3</v>
      </c>
      <c r="AO200" s="466">
        <v>28627.599999999999</v>
      </c>
      <c r="AP200" s="466"/>
      <c r="AQ200" s="466">
        <v>336799.65</v>
      </c>
      <c r="AR200" s="466">
        <v>13000.22</v>
      </c>
      <c r="AS200" s="466">
        <v>9872.7000000000007</v>
      </c>
    </row>
    <row r="201" spans="1:45" x14ac:dyDescent="0.2">
      <c r="A201" s="465">
        <v>5721</v>
      </c>
      <c r="B201" s="466"/>
      <c r="C201" s="466">
        <v>59001.77</v>
      </c>
      <c r="D201" s="466">
        <v>8485.06</v>
      </c>
      <c r="E201" s="466">
        <v>813563.98</v>
      </c>
      <c r="F201" s="466">
        <v>0</v>
      </c>
      <c r="G201" s="466">
        <v>0</v>
      </c>
      <c r="H201" s="466">
        <v>0</v>
      </c>
      <c r="I201" s="466">
        <v>0</v>
      </c>
      <c r="J201" s="466"/>
      <c r="K201" s="466">
        <v>0</v>
      </c>
      <c r="L201" s="466">
        <v>0</v>
      </c>
      <c r="M201" s="466">
        <v>0</v>
      </c>
      <c r="N201" s="466">
        <v>0</v>
      </c>
      <c r="O201" s="466">
        <v>0</v>
      </c>
      <c r="P201" s="466">
        <v>0</v>
      </c>
      <c r="Q201" s="466">
        <v>0</v>
      </c>
      <c r="R201" s="466">
        <v>0</v>
      </c>
      <c r="S201" s="466">
        <v>0</v>
      </c>
      <c r="T201" s="466"/>
      <c r="U201" s="466">
        <v>0</v>
      </c>
      <c r="V201" s="466"/>
      <c r="W201" s="466"/>
      <c r="X201" s="466">
        <v>453213.95</v>
      </c>
      <c r="Y201" s="466">
        <v>0</v>
      </c>
      <c r="Z201" s="466">
        <v>0</v>
      </c>
      <c r="AA201" s="466">
        <v>0</v>
      </c>
      <c r="AB201" s="466">
        <v>25542383.629999999</v>
      </c>
      <c r="AC201" s="466">
        <v>5504031.6900000004</v>
      </c>
      <c r="AD201" s="466">
        <v>1086520.6299999999</v>
      </c>
      <c r="AE201" s="466">
        <v>570158.6</v>
      </c>
      <c r="AF201" s="466"/>
      <c r="AG201" s="466">
        <v>3274072.85</v>
      </c>
      <c r="AH201" s="466">
        <v>504382.5</v>
      </c>
      <c r="AI201" s="466">
        <v>512957.5</v>
      </c>
      <c r="AJ201" s="466">
        <v>2975096.15</v>
      </c>
      <c r="AK201" s="466">
        <v>2072198.5</v>
      </c>
      <c r="AL201" s="466">
        <v>238437</v>
      </c>
      <c r="AM201" s="466">
        <v>68700</v>
      </c>
      <c r="AN201" s="466">
        <v>150029.39000000001</v>
      </c>
      <c r="AO201" s="466">
        <v>287678.63</v>
      </c>
      <c r="AP201" s="466"/>
      <c r="AQ201" s="466">
        <v>766926.3</v>
      </c>
      <c r="AR201" s="466">
        <v>40976.54</v>
      </c>
      <c r="AS201" s="466">
        <v>2223465.7000000002</v>
      </c>
    </row>
    <row r="202" spans="1:45" x14ac:dyDescent="0.2">
      <c r="A202" s="465">
        <v>5722</v>
      </c>
      <c r="B202" s="466"/>
      <c r="C202" s="466">
        <v>-1381.89</v>
      </c>
      <c r="D202" s="466">
        <v>183.11</v>
      </c>
      <c r="E202" s="466">
        <v>672.99</v>
      </c>
      <c r="F202" s="466">
        <v>0</v>
      </c>
      <c r="G202" s="466">
        <v>0</v>
      </c>
      <c r="H202" s="466">
        <v>0</v>
      </c>
      <c r="I202" s="466"/>
      <c r="J202" s="466"/>
      <c r="K202" s="466">
        <v>0</v>
      </c>
      <c r="L202" s="466">
        <v>0</v>
      </c>
      <c r="M202" s="466">
        <v>0</v>
      </c>
      <c r="N202" s="466">
        <v>0</v>
      </c>
      <c r="O202" s="466">
        <v>0</v>
      </c>
      <c r="P202" s="466"/>
      <c r="Q202" s="466">
        <v>0</v>
      </c>
      <c r="R202" s="466"/>
      <c r="S202" s="466">
        <v>0</v>
      </c>
      <c r="T202" s="466"/>
      <c r="U202" s="466">
        <v>0</v>
      </c>
      <c r="V202" s="466"/>
      <c r="W202" s="466"/>
      <c r="X202" s="466">
        <v>1217.0899999999999</v>
      </c>
      <c r="Y202" s="466">
        <v>0</v>
      </c>
      <c r="Z202" s="466">
        <v>0</v>
      </c>
      <c r="AA202" s="466">
        <v>0</v>
      </c>
      <c r="AB202" s="466">
        <v>1316073.32</v>
      </c>
      <c r="AC202" s="466">
        <v>181810.65</v>
      </c>
      <c r="AD202" s="466">
        <v>-18719.46</v>
      </c>
      <c r="AE202" s="466"/>
      <c r="AF202" s="466"/>
      <c r="AG202" s="466">
        <v>8334.5499999999993</v>
      </c>
      <c r="AH202" s="466">
        <v>1812.35</v>
      </c>
      <c r="AI202" s="466">
        <v>6180.6</v>
      </c>
      <c r="AJ202" s="466">
        <v>87955.05</v>
      </c>
      <c r="AK202" s="466">
        <v>9605.25</v>
      </c>
      <c r="AL202" s="466"/>
      <c r="AM202" s="466">
        <v>1650</v>
      </c>
      <c r="AN202" s="466"/>
      <c r="AO202" s="466">
        <v>9004.82</v>
      </c>
      <c r="AP202" s="466"/>
      <c r="AQ202" s="466">
        <v>4608.2</v>
      </c>
      <c r="AR202" s="466">
        <v>1403.84</v>
      </c>
      <c r="AS202" s="466">
        <v>22755.3</v>
      </c>
    </row>
    <row r="203" spans="1:45" x14ac:dyDescent="0.2">
      <c r="A203" s="465">
        <v>5723</v>
      </c>
      <c r="B203" s="466"/>
      <c r="C203" s="466">
        <v>29520.03</v>
      </c>
      <c r="D203" s="466">
        <v>3875.12</v>
      </c>
      <c r="E203" s="466">
        <v>63187.28</v>
      </c>
      <c r="F203" s="466">
        <v>0</v>
      </c>
      <c r="G203" s="466">
        <v>0</v>
      </c>
      <c r="H203" s="466">
        <v>0</v>
      </c>
      <c r="I203" s="466">
        <v>0</v>
      </c>
      <c r="J203" s="466"/>
      <c r="K203" s="466">
        <v>0</v>
      </c>
      <c r="L203" s="466">
        <v>0</v>
      </c>
      <c r="M203" s="466">
        <v>0</v>
      </c>
      <c r="N203" s="466">
        <v>0</v>
      </c>
      <c r="O203" s="466">
        <v>0</v>
      </c>
      <c r="P203" s="466">
        <v>0</v>
      </c>
      <c r="Q203" s="466">
        <v>0</v>
      </c>
      <c r="R203" s="466">
        <v>0</v>
      </c>
      <c r="S203" s="466">
        <v>0</v>
      </c>
      <c r="T203" s="466"/>
      <c r="U203" s="466">
        <v>0</v>
      </c>
      <c r="V203" s="466"/>
      <c r="W203" s="466"/>
      <c r="X203" s="466">
        <v>38310.11</v>
      </c>
      <c r="Y203" s="466">
        <v>0</v>
      </c>
      <c r="Z203" s="466">
        <v>0</v>
      </c>
      <c r="AA203" s="466">
        <v>0</v>
      </c>
      <c r="AB203" s="466">
        <v>7107772.0099999998</v>
      </c>
      <c r="AC203" s="466">
        <v>1488527.3</v>
      </c>
      <c r="AD203" s="466">
        <v>121417.13</v>
      </c>
      <c r="AE203" s="466">
        <v>472945.47</v>
      </c>
      <c r="AF203" s="466"/>
      <c r="AG203" s="466">
        <v>298019.84999999998</v>
      </c>
      <c r="AH203" s="466">
        <v>21372.45</v>
      </c>
      <c r="AI203" s="466">
        <v>41667.85</v>
      </c>
      <c r="AJ203" s="466">
        <v>834188</v>
      </c>
      <c r="AK203" s="466">
        <v>622549.6</v>
      </c>
      <c r="AL203" s="466">
        <v>163699.20000000001</v>
      </c>
      <c r="AM203" s="466">
        <v>8100</v>
      </c>
      <c r="AN203" s="466">
        <v>29262.59</v>
      </c>
      <c r="AO203" s="466">
        <v>86143.75</v>
      </c>
      <c r="AP203" s="466"/>
      <c r="AQ203" s="466">
        <v>448780.75</v>
      </c>
      <c r="AR203" s="466">
        <v>104426.37</v>
      </c>
      <c r="AS203" s="466">
        <v>92665.45</v>
      </c>
    </row>
    <row r="204" spans="1:45" x14ac:dyDescent="0.2">
      <c r="A204" s="465">
        <v>5724</v>
      </c>
      <c r="B204" s="466"/>
      <c r="C204" s="466">
        <v>216798.38</v>
      </c>
      <c r="D204" s="466">
        <v>30341.23</v>
      </c>
      <c r="E204" s="466">
        <v>889891.87</v>
      </c>
      <c r="F204" s="466">
        <v>0</v>
      </c>
      <c r="G204" s="466">
        <v>0</v>
      </c>
      <c r="H204" s="466">
        <v>0</v>
      </c>
      <c r="I204" s="466">
        <v>0</v>
      </c>
      <c r="J204" s="466"/>
      <c r="K204" s="466">
        <v>0</v>
      </c>
      <c r="L204" s="466">
        <v>0</v>
      </c>
      <c r="M204" s="466">
        <v>0</v>
      </c>
      <c r="N204" s="466">
        <v>0</v>
      </c>
      <c r="O204" s="466">
        <v>0</v>
      </c>
      <c r="P204" s="466">
        <v>0</v>
      </c>
      <c r="Q204" s="466"/>
      <c r="R204" s="466">
        <v>0</v>
      </c>
      <c r="S204" s="466">
        <v>0</v>
      </c>
      <c r="T204" s="466">
        <v>0</v>
      </c>
      <c r="U204" s="466">
        <v>0</v>
      </c>
      <c r="V204" s="466"/>
      <c r="W204" s="466"/>
      <c r="X204" s="466">
        <v>960622.88</v>
      </c>
      <c r="Y204" s="466">
        <v>0</v>
      </c>
      <c r="Z204" s="466">
        <v>0</v>
      </c>
      <c r="AA204" s="466">
        <v>0</v>
      </c>
      <c r="AB204" s="466">
        <v>55961942.75</v>
      </c>
      <c r="AC204" s="466">
        <v>10392603.390000001</v>
      </c>
      <c r="AD204" s="466">
        <v>3427119.1</v>
      </c>
      <c r="AE204" s="466">
        <v>1912327.79</v>
      </c>
      <c r="AF204" s="466"/>
      <c r="AG204" s="466">
        <v>6917965.6500000004</v>
      </c>
      <c r="AH204" s="466">
        <v>1090769.95</v>
      </c>
      <c r="AI204" s="466">
        <v>958188.35</v>
      </c>
      <c r="AJ204" s="466">
        <v>8360072.1500000004</v>
      </c>
      <c r="AK204" s="466">
        <v>3803960.5</v>
      </c>
      <c r="AL204" s="466">
        <v>2898338.1</v>
      </c>
      <c r="AM204" s="466"/>
      <c r="AN204" s="466">
        <v>174414.38</v>
      </c>
      <c r="AO204" s="466">
        <v>636890.56999999995</v>
      </c>
      <c r="AP204" s="466">
        <v>15050</v>
      </c>
      <c r="AQ204" s="466">
        <v>6244454.2999999998</v>
      </c>
      <c r="AR204" s="466">
        <v>119872.56</v>
      </c>
      <c r="AS204" s="466">
        <v>4660553.0999999996</v>
      </c>
    </row>
    <row r="205" spans="1:45" x14ac:dyDescent="0.2">
      <c r="A205" s="465">
        <v>5725</v>
      </c>
      <c r="B205" s="466"/>
      <c r="C205" s="466">
        <v>13472.48</v>
      </c>
      <c r="D205" s="466">
        <v>3041.19</v>
      </c>
      <c r="E205" s="466">
        <v>190443.67</v>
      </c>
      <c r="F205" s="466">
        <v>0</v>
      </c>
      <c r="G205" s="466">
        <v>0</v>
      </c>
      <c r="H205" s="466">
        <v>0</v>
      </c>
      <c r="I205" s="466">
        <v>0</v>
      </c>
      <c r="J205" s="466"/>
      <c r="K205" s="466">
        <v>0</v>
      </c>
      <c r="L205" s="466">
        <v>0</v>
      </c>
      <c r="M205" s="466">
        <v>0</v>
      </c>
      <c r="N205" s="466">
        <v>0</v>
      </c>
      <c r="O205" s="466">
        <v>0</v>
      </c>
      <c r="P205" s="466">
        <v>0</v>
      </c>
      <c r="Q205" s="466">
        <v>0</v>
      </c>
      <c r="R205" s="466">
        <v>0</v>
      </c>
      <c r="S205" s="466">
        <v>0</v>
      </c>
      <c r="T205" s="466"/>
      <c r="U205" s="466">
        <v>0</v>
      </c>
      <c r="V205" s="466"/>
      <c r="W205" s="466"/>
      <c r="X205" s="466">
        <v>114349.82</v>
      </c>
      <c r="Y205" s="466">
        <v>0</v>
      </c>
      <c r="Z205" s="466">
        <v>0</v>
      </c>
      <c r="AA205" s="466">
        <v>0</v>
      </c>
      <c r="AB205" s="466">
        <v>11722067.34</v>
      </c>
      <c r="AC205" s="466">
        <v>3058268.7</v>
      </c>
      <c r="AD205" s="466">
        <v>276974.82</v>
      </c>
      <c r="AE205" s="466">
        <v>182065.3</v>
      </c>
      <c r="AF205" s="466"/>
      <c r="AG205" s="466">
        <v>924047.65</v>
      </c>
      <c r="AH205" s="466">
        <v>29289.5</v>
      </c>
      <c r="AI205" s="466">
        <v>-14130.45</v>
      </c>
      <c r="AJ205" s="466">
        <v>1682065.45</v>
      </c>
      <c r="AK205" s="466">
        <v>474229.25</v>
      </c>
      <c r="AL205" s="466">
        <v>61383.1</v>
      </c>
      <c r="AM205" s="466">
        <v>16945</v>
      </c>
      <c r="AN205" s="466">
        <v>12972.19</v>
      </c>
      <c r="AO205" s="466">
        <v>131471.39000000001</v>
      </c>
      <c r="AP205" s="466"/>
      <c r="AQ205" s="466">
        <v>609396.55000000005</v>
      </c>
      <c r="AR205" s="466">
        <v>112665.15</v>
      </c>
      <c r="AS205" s="466">
        <v>1101910.6000000001</v>
      </c>
    </row>
    <row r="206" spans="1:45" x14ac:dyDescent="0.2">
      <c r="A206" s="465">
        <v>5726</v>
      </c>
      <c r="B206" s="466"/>
      <c r="C206" s="466">
        <v>4658.22</v>
      </c>
      <c r="D206" s="466">
        <v>700.44</v>
      </c>
      <c r="E206" s="466">
        <v>76675.289999999994</v>
      </c>
      <c r="F206" s="466">
        <v>0</v>
      </c>
      <c r="G206" s="466">
        <v>0</v>
      </c>
      <c r="H206" s="466">
        <v>0</v>
      </c>
      <c r="I206" s="466"/>
      <c r="J206" s="466"/>
      <c r="K206" s="466">
        <v>0</v>
      </c>
      <c r="L206" s="466">
        <v>0</v>
      </c>
      <c r="M206" s="466">
        <v>0</v>
      </c>
      <c r="N206" s="466">
        <v>0</v>
      </c>
      <c r="O206" s="466">
        <v>0</v>
      </c>
      <c r="P206" s="466">
        <v>0</v>
      </c>
      <c r="Q206" s="466">
        <v>0</v>
      </c>
      <c r="R206" s="466">
        <v>0</v>
      </c>
      <c r="S206" s="466">
        <v>0</v>
      </c>
      <c r="T206" s="466"/>
      <c r="U206" s="466">
        <v>0</v>
      </c>
      <c r="V206" s="466"/>
      <c r="W206" s="466"/>
      <c r="X206" s="466">
        <v>3502.4</v>
      </c>
      <c r="Y206" s="466">
        <v>0</v>
      </c>
      <c r="Z206" s="466">
        <v>0</v>
      </c>
      <c r="AA206" s="466">
        <v>0</v>
      </c>
      <c r="AB206" s="466">
        <v>3309540.49</v>
      </c>
      <c r="AC206" s="466">
        <v>655150.18999999994</v>
      </c>
      <c r="AD206" s="466">
        <v>123021.68</v>
      </c>
      <c r="AE206" s="466"/>
      <c r="AF206" s="466"/>
      <c r="AG206" s="466">
        <v>37122.199999999997</v>
      </c>
      <c r="AH206" s="466">
        <v>-7922.6</v>
      </c>
      <c r="AI206" s="466">
        <v>6611.15</v>
      </c>
      <c r="AJ206" s="466">
        <v>266920.95</v>
      </c>
      <c r="AK206" s="466">
        <v>272060.79999999999</v>
      </c>
      <c r="AL206" s="466">
        <v>22827.8</v>
      </c>
      <c r="AM206" s="466">
        <v>10800</v>
      </c>
      <c r="AN206" s="466">
        <v>540.36</v>
      </c>
      <c r="AO206" s="466">
        <v>61144.1</v>
      </c>
      <c r="AP206" s="466"/>
      <c r="AQ206" s="466">
        <v>234275.15</v>
      </c>
      <c r="AR206" s="466">
        <v>6701.86</v>
      </c>
      <c r="AS206" s="466">
        <v>38077.35</v>
      </c>
    </row>
    <row r="207" spans="1:45" x14ac:dyDescent="0.2">
      <c r="A207" s="465">
        <v>5727</v>
      </c>
      <c r="B207" s="466"/>
      <c r="C207" s="466">
        <v>9962.25</v>
      </c>
      <c r="D207" s="466">
        <v>1150.99</v>
      </c>
      <c r="E207" s="466">
        <v>139243.04999999999</v>
      </c>
      <c r="F207" s="466">
        <v>0</v>
      </c>
      <c r="G207" s="466">
        <v>0</v>
      </c>
      <c r="H207" s="466">
        <v>0</v>
      </c>
      <c r="I207" s="466">
        <v>0</v>
      </c>
      <c r="J207" s="466"/>
      <c r="K207" s="466">
        <v>0</v>
      </c>
      <c r="L207" s="466">
        <v>0</v>
      </c>
      <c r="M207" s="466">
        <v>0</v>
      </c>
      <c r="N207" s="466">
        <v>0</v>
      </c>
      <c r="O207" s="466">
        <v>0</v>
      </c>
      <c r="P207" s="466">
        <v>0</v>
      </c>
      <c r="Q207" s="466">
        <v>0</v>
      </c>
      <c r="R207" s="466">
        <v>0</v>
      </c>
      <c r="S207" s="466">
        <v>0</v>
      </c>
      <c r="T207" s="466"/>
      <c r="U207" s="466">
        <v>0</v>
      </c>
      <c r="V207" s="466"/>
      <c r="W207" s="466"/>
      <c r="X207" s="466">
        <v>5832.26</v>
      </c>
      <c r="Y207" s="466">
        <v>0</v>
      </c>
      <c r="Z207" s="466">
        <v>0</v>
      </c>
      <c r="AA207" s="466">
        <v>0</v>
      </c>
      <c r="AB207" s="466">
        <v>5349788.32</v>
      </c>
      <c r="AC207" s="466">
        <v>843909.1</v>
      </c>
      <c r="AD207" s="466">
        <v>162032.23000000001</v>
      </c>
      <c r="AE207" s="466">
        <v>117296</v>
      </c>
      <c r="AF207" s="466"/>
      <c r="AG207" s="466">
        <v>42946.35</v>
      </c>
      <c r="AH207" s="466">
        <v>5677.3</v>
      </c>
      <c r="AI207" s="466">
        <v>12987.55</v>
      </c>
      <c r="AJ207" s="466">
        <v>788108</v>
      </c>
      <c r="AK207" s="466">
        <v>440442.05</v>
      </c>
      <c r="AL207" s="466">
        <v>28210.9</v>
      </c>
      <c r="AM207" s="466">
        <v>13200</v>
      </c>
      <c r="AN207" s="466">
        <v>15197.2</v>
      </c>
      <c r="AO207" s="466">
        <v>64824.44</v>
      </c>
      <c r="AP207" s="466"/>
      <c r="AQ207" s="466">
        <v>180763</v>
      </c>
      <c r="AR207" s="466">
        <v>1787.6</v>
      </c>
      <c r="AS207" s="466">
        <v>191922.4</v>
      </c>
    </row>
    <row r="208" spans="1:45" x14ac:dyDescent="0.2">
      <c r="A208" s="465">
        <v>5728</v>
      </c>
      <c r="B208" s="466"/>
      <c r="C208" s="466">
        <v>5995.73</v>
      </c>
      <c r="D208" s="466">
        <v>471.22</v>
      </c>
      <c r="E208" s="466">
        <v>5243.87</v>
      </c>
      <c r="F208" s="466">
        <v>0</v>
      </c>
      <c r="G208" s="466">
        <v>0</v>
      </c>
      <c r="H208" s="466">
        <v>0</v>
      </c>
      <c r="I208" s="466">
        <v>0</v>
      </c>
      <c r="J208" s="466"/>
      <c r="K208" s="466">
        <v>0</v>
      </c>
      <c r="L208" s="466">
        <v>0</v>
      </c>
      <c r="M208" s="466">
        <v>0</v>
      </c>
      <c r="N208" s="466">
        <v>0</v>
      </c>
      <c r="O208" s="466">
        <v>0</v>
      </c>
      <c r="P208" s="466"/>
      <c r="Q208" s="466">
        <v>0</v>
      </c>
      <c r="R208" s="466">
        <v>0</v>
      </c>
      <c r="S208" s="466">
        <v>0</v>
      </c>
      <c r="T208" s="466"/>
      <c r="U208" s="466">
        <v>0</v>
      </c>
      <c r="V208" s="466"/>
      <c r="W208" s="466"/>
      <c r="X208" s="466">
        <v>81970.929999999993</v>
      </c>
      <c r="Y208" s="466">
        <v>0</v>
      </c>
      <c r="Z208" s="466">
        <v>0</v>
      </c>
      <c r="AA208" s="466">
        <v>0</v>
      </c>
      <c r="AB208" s="466">
        <v>1683505.22</v>
      </c>
      <c r="AC208" s="466">
        <v>236380.76</v>
      </c>
      <c r="AD208" s="466">
        <v>-123996.3</v>
      </c>
      <c r="AE208" s="466">
        <v>29967.200000000001</v>
      </c>
      <c r="AF208" s="466"/>
      <c r="AG208" s="466">
        <v>678234.05</v>
      </c>
      <c r="AH208" s="466">
        <v>5159.55</v>
      </c>
      <c r="AI208" s="466">
        <v>51471.45</v>
      </c>
      <c r="AJ208" s="466">
        <v>226272.4</v>
      </c>
      <c r="AK208" s="466">
        <v>86694.3</v>
      </c>
      <c r="AL208" s="466"/>
      <c r="AM208" s="466">
        <v>2375</v>
      </c>
      <c r="AN208" s="466">
        <v>84.58</v>
      </c>
      <c r="AO208" s="466">
        <v>16817.27</v>
      </c>
      <c r="AP208" s="466"/>
      <c r="AQ208" s="466">
        <v>23554.2</v>
      </c>
      <c r="AR208" s="466">
        <v>972.86</v>
      </c>
      <c r="AS208" s="466">
        <v>219621.1</v>
      </c>
    </row>
    <row r="209" spans="1:45" x14ac:dyDescent="0.2">
      <c r="A209" s="465">
        <v>5729</v>
      </c>
      <c r="B209" s="466"/>
      <c r="C209" s="466">
        <v>12787.33</v>
      </c>
      <c r="D209" s="466">
        <v>1414.37</v>
      </c>
      <c r="E209" s="466">
        <v>174957.96</v>
      </c>
      <c r="F209" s="466">
        <v>0</v>
      </c>
      <c r="G209" s="466">
        <v>0</v>
      </c>
      <c r="H209" s="466">
        <v>0</v>
      </c>
      <c r="I209" s="466">
        <v>0</v>
      </c>
      <c r="J209" s="466"/>
      <c r="K209" s="466">
        <v>0</v>
      </c>
      <c r="L209" s="466">
        <v>0</v>
      </c>
      <c r="M209" s="466">
        <v>0</v>
      </c>
      <c r="N209" s="466">
        <v>0</v>
      </c>
      <c r="O209" s="466">
        <v>0</v>
      </c>
      <c r="P209" s="466"/>
      <c r="Q209" s="466">
        <v>0</v>
      </c>
      <c r="R209" s="466">
        <v>0</v>
      </c>
      <c r="S209" s="466">
        <v>0</v>
      </c>
      <c r="T209" s="466"/>
      <c r="U209" s="466">
        <v>0</v>
      </c>
      <c r="V209" s="466"/>
      <c r="W209" s="466"/>
      <c r="X209" s="466">
        <v>40128.19</v>
      </c>
      <c r="Y209" s="466">
        <v>0</v>
      </c>
      <c r="Z209" s="466">
        <v>0</v>
      </c>
      <c r="AA209" s="466">
        <v>0</v>
      </c>
      <c r="AB209" s="466">
        <v>4915059.9400000004</v>
      </c>
      <c r="AC209" s="466">
        <v>1796236.97</v>
      </c>
      <c r="AD209" s="466">
        <v>129611.93</v>
      </c>
      <c r="AE209" s="466">
        <v>137925.35</v>
      </c>
      <c r="AF209" s="466"/>
      <c r="AG209" s="466">
        <v>317257.34999999998</v>
      </c>
      <c r="AH209" s="466">
        <v>17292.3</v>
      </c>
      <c r="AI209" s="466">
        <v>5699.5</v>
      </c>
      <c r="AJ209" s="466">
        <v>867101.9</v>
      </c>
      <c r="AK209" s="466">
        <v>590034.25</v>
      </c>
      <c r="AL209" s="466"/>
      <c r="AM209" s="466">
        <v>8880</v>
      </c>
      <c r="AN209" s="466">
        <v>168519.2</v>
      </c>
      <c r="AO209" s="466">
        <v>61660.3</v>
      </c>
      <c r="AP209" s="466"/>
      <c r="AQ209" s="466">
        <v>532620.6</v>
      </c>
      <c r="AR209" s="466">
        <v>15827.25</v>
      </c>
      <c r="AS209" s="466">
        <v>15293.7</v>
      </c>
    </row>
    <row r="210" spans="1:45" x14ac:dyDescent="0.2">
      <c r="A210" s="465">
        <v>5730</v>
      </c>
      <c r="B210" s="466"/>
      <c r="C210" s="466">
        <v>7910.08</v>
      </c>
      <c r="D210" s="466">
        <v>7340.79</v>
      </c>
      <c r="E210" s="466">
        <v>55826.86</v>
      </c>
      <c r="F210" s="466">
        <v>0</v>
      </c>
      <c r="G210" s="466">
        <v>0</v>
      </c>
      <c r="H210" s="466">
        <v>0</v>
      </c>
      <c r="I210" s="466">
        <v>0</v>
      </c>
      <c r="J210" s="466"/>
      <c r="K210" s="466">
        <v>0</v>
      </c>
      <c r="L210" s="466">
        <v>0</v>
      </c>
      <c r="M210" s="466">
        <v>0</v>
      </c>
      <c r="N210" s="466">
        <v>0</v>
      </c>
      <c r="O210" s="466">
        <v>0</v>
      </c>
      <c r="P210" s="466">
        <v>0</v>
      </c>
      <c r="Q210" s="466">
        <v>0</v>
      </c>
      <c r="R210" s="466">
        <v>0</v>
      </c>
      <c r="S210" s="466">
        <v>0</v>
      </c>
      <c r="T210" s="466"/>
      <c r="U210" s="466">
        <v>0</v>
      </c>
      <c r="V210" s="466"/>
      <c r="W210" s="466"/>
      <c r="X210" s="466">
        <v>-544.04</v>
      </c>
      <c r="Y210" s="466">
        <v>0</v>
      </c>
      <c r="Z210" s="466">
        <v>0</v>
      </c>
      <c r="AA210" s="466">
        <v>0</v>
      </c>
      <c r="AB210" s="466">
        <v>4735299.1100000003</v>
      </c>
      <c r="AC210" s="466">
        <v>1087007.96</v>
      </c>
      <c r="AD210" s="466">
        <v>-1891.14</v>
      </c>
      <c r="AE210" s="466">
        <v>66554.25</v>
      </c>
      <c r="AF210" s="466"/>
      <c r="AG210" s="466">
        <v>-6597.45</v>
      </c>
      <c r="AH210" s="466">
        <v>2061.75</v>
      </c>
      <c r="AI210" s="466">
        <v>6900.7</v>
      </c>
      <c r="AJ210" s="466">
        <v>391099.5</v>
      </c>
      <c r="AK210" s="466">
        <v>552401.6</v>
      </c>
      <c r="AL210" s="466">
        <v>0</v>
      </c>
      <c r="AM210" s="466">
        <v>5650</v>
      </c>
      <c r="AN210" s="466">
        <v>1316.23</v>
      </c>
      <c r="AO210" s="466">
        <v>34861.53</v>
      </c>
      <c r="AP210" s="466"/>
      <c r="AQ210" s="466">
        <v>258777.7</v>
      </c>
      <c r="AR210" s="466">
        <v>73593.2</v>
      </c>
      <c r="AS210" s="466">
        <v>7297.75</v>
      </c>
    </row>
    <row r="211" spans="1:45" x14ac:dyDescent="0.2">
      <c r="A211" s="465">
        <v>5731</v>
      </c>
      <c r="B211" s="466"/>
      <c r="C211" s="466">
        <v>3880.35</v>
      </c>
      <c r="D211" s="466">
        <v>888.8</v>
      </c>
      <c r="E211" s="466">
        <v>51330.74</v>
      </c>
      <c r="F211" s="466">
        <v>0</v>
      </c>
      <c r="G211" s="466">
        <v>0</v>
      </c>
      <c r="H211" s="466">
        <v>0</v>
      </c>
      <c r="I211" s="466"/>
      <c r="J211" s="466"/>
      <c r="K211" s="466">
        <v>0</v>
      </c>
      <c r="L211" s="466">
        <v>0</v>
      </c>
      <c r="M211" s="466">
        <v>0</v>
      </c>
      <c r="N211" s="466">
        <v>0</v>
      </c>
      <c r="O211" s="466">
        <v>0</v>
      </c>
      <c r="P211" s="466">
        <v>0</v>
      </c>
      <c r="Q211" s="466">
        <v>0</v>
      </c>
      <c r="R211" s="466">
        <v>0</v>
      </c>
      <c r="S211" s="466">
        <v>0</v>
      </c>
      <c r="T211" s="466"/>
      <c r="U211" s="466">
        <v>0</v>
      </c>
      <c r="V211" s="466"/>
      <c r="W211" s="466"/>
      <c r="X211" s="466">
        <v>1184.25</v>
      </c>
      <c r="Y211" s="466">
        <v>0</v>
      </c>
      <c r="Z211" s="466">
        <v>0</v>
      </c>
      <c r="AA211" s="466">
        <v>0</v>
      </c>
      <c r="AB211" s="466">
        <v>3955625.16</v>
      </c>
      <c r="AC211" s="466">
        <v>479179.06</v>
      </c>
      <c r="AD211" s="466">
        <v>18094.62</v>
      </c>
      <c r="AE211" s="466"/>
      <c r="AF211" s="466"/>
      <c r="AG211" s="466">
        <v>5989.25</v>
      </c>
      <c r="AH211" s="466">
        <v>3883.85</v>
      </c>
      <c r="AI211" s="466">
        <v>2622.5</v>
      </c>
      <c r="AJ211" s="466">
        <v>403398.85</v>
      </c>
      <c r="AK211" s="466">
        <v>164927.15</v>
      </c>
      <c r="AL211" s="466">
        <v>1782</v>
      </c>
      <c r="AM211" s="466">
        <v>12950</v>
      </c>
      <c r="AN211" s="466">
        <v>49018.96</v>
      </c>
      <c r="AO211" s="466">
        <v>25160.720000000001</v>
      </c>
      <c r="AP211" s="466"/>
      <c r="AQ211" s="466">
        <v>122290</v>
      </c>
      <c r="AR211" s="466">
        <v>1476.19</v>
      </c>
      <c r="AS211" s="466">
        <v>25723.95</v>
      </c>
    </row>
    <row r="212" spans="1:45" x14ac:dyDescent="0.2">
      <c r="A212" s="465">
        <v>5732</v>
      </c>
      <c r="B212" s="466"/>
      <c r="C212" s="466">
        <v>9348.59</v>
      </c>
      <c r="D212" s="466">
        <v>1167.79</v>
      </c>
      <c r="E212" s="466">
        <v>53257.83</v>
      </c>
      <c r="F212" s="466">
        <v>0</v>
      </c>
      <c r="G212" s="466">
        <v>0</v>
      </c>
      <c r="H212" s="466">
        <v>0</v>
      </c>
      <c r="I212" s="466">
        <v>0</v>
      </c>
      <c r="J212" s="466"/>
      <c r="K212" s="466">
        <v>0</v>
      </c>
      <c r="L212" s="466">
        <v>0</v>
      </c>
      <c r="M212" s="466">
        <v>0</v>
      </c>
      <c r="N212" s="466">
        <v>0</v>
      </c>
      <c r="O212" s="466">
        <v>0</v>
      </c>
      <c r="P212" s="466"/>
      <c r="Q212" s="466">
        <v>0</v>
      </c>
      <c r="R212" s="466">
        <v>0</v>
      </c>
      <c r="S212" s="466">
        <v>0</v>
      </c>
      <c r="T212" s="466"/>
      <c r="U212" s="466">
        <v>0</v>
      </c>
      <c r="V212" s="466"/>
      <c r="W212" s="466"/>
      <c r="X212" s="466">
        <v>3319.93</v>
      </c>
      <c r="Y212" s="466">
        <v>0</v>
      </c>
      <c r="Z212" s="466">
        <v>0</v>
      </c>
      <c r="AA212" s="466">
        <v>0</v>
      </c>
      <c r="AB212" s="466">
        <v>3124539.72</v>
      </c>
      <c r="AC212" s="466">
        <v>684152.23</v>
      </c>
      <c r="AD212" s="466">
        <v>40696.36</v>
      </c>
      <c r="AE212" s="466">
        <v>257945.60000000001</v>
      </c>
      <c r="AF212" s="466"/>
      <c r="AG212" s="466">
        <v>18145.900000000001</v>
      </c>
      <c r="AH212" s="466">
        <v>9532.4</v>
      </c>
      <c r="AI212" s="466">
        <v>23683.599999999999</v>
      </c>
      <c r="AJ212" s="466">
        <v>367886.6</v>
      </c>
      <c r="AK212" s="466">
        <v>364237.1</v>
      </c>
      <c r="AL212" s="466"/>
      <c r="AM212" s="466">
        <v>9050</v>
      </c>
      <c r="AN212" s="466">
        <v>3664.05</v>
      </c>
      <c r="AO212" s="466">
        <v>32854.36</v>
      </c>
      <c r="AP212" s="466"/>
      <c r="AQ212" s="466">
        <v>166940.45000000001</v>
      </c>
      <c r="AR212" s="466">
        <v>6869.3</v>
      </c>
      <c r="AS212" s="466">
        <v>118685.7</v>
      </c>
    </row>
    <row r="213" spans="1:45" x14ac:dyDescent="0.2">
      <c r="A213" s="465">
        <v>5741</v>
      </c>
      <c r="B213" s="466"/>
      <c r="C213" s="466">
        <v>78.91</v>
      </c>
      <c r="D213" s="466">
        <v>183.98</v>
      </c>
      <c r="E213" s="466">
        <v>15207.92</v>
      </c>
      <c r="F213" s="466">
        <v>0</v>
      </c>
      <c r="G213" s="466">
        <v>0</v>
      </c>
      <c r="H213" s="466">
        <v>0</v>
      </c>
      <c r="I213" s="466"/>
      <c r="J213" s="466"/>
      <c r="K213" s="466">
        <v>0</v>
      </c>
      <c r="L213" s="466">
        <v>0</v>
      </c>
      <c r="M213" s="466"/>
      <c r="N213" s="466">
        <v>0</v>
      </c>
      <c r="O213" s="466">
        <v>0</v>
      </c>
      <c r="P213" s="466"/>
      <c r="Q213" s="466">
        <v>0</v>
      </c>
      <c r="R213" s="466">
        <v>0</v>
      </c>
      <c r="S213" s="466">
        <v>0</v>
      </c>
      <c r="T213" s="466"/>
      <c r="U213" s="466">
        <v>0</v>
      </c>
      <c r="V213" s="466"/>
      <c r="W213" s="466"/>
      <c r="X213" s="466">
        <v>654.89</v>
      </c>
      <c r="Y213" s="466">
        <v>0</v>
      </c>
      <c r="Z213" s="466">
        <v>0</v>
      </c>
      <c r="AA213" s="466">
        <v>0</v>
      </c>
      <c r="AB213" s="466">
        <v>486921.99</v>
      </c>
      <c r="AC213" s="466">
        <v>76110.460000000006</v>
      </c>
      <c r="AD213" s="466">
        <v>1112.07</v>
      </c>
      <c r="AE213" s="466"/>
      <c r="AF213" s="466"/>
      <c r="AG213" s="466">
        <v>4585.6000000000004</v>
      </c>
      <c r="AH213" s="466">
        <v>874.25</v>
      </c>
      <c r="AI213" s="466"/>
      <c r="AJ213" s="466">
        <v>47791.45</v>
      </c>
      <c r="AK213" s="466">
        <v>18196.75</v>
      </c>
      <c r="AL213" s="466"/>
      <c r="AM213" s="466">
        <v>1080</v>
      </c>
      <c r="AN213" s="466">
        <v>565.82000000000005</v>
      </c>
      <c r="AO213" s="466">
        <v>6591.4</v>
      </c>
      <c r="AP213" s="466"/>
      <c r="AQ213" s="466">
        <v>25927.95</v>
      </c>
      <c r="AR213" s="466">
        <v>0.06</v>
      </c>
      <c r="AS213" s="466">
        <v>10634.3</v>
      </c>
    </row>
    <row r="214" spans="1:45" x14ac:dyDescent="0.2">
      <c r="A214" s="465">
        <v>5742</v>
      </c>
      <c r="B214" s="466"/>
      <c r="C214" s="466">
        <v>528.92999999999995</v>
      </c>
      <c r="D214" s="466">
        <v>245.99</v>
      </c>
      <c r="E214" s="466">
        <v>10427.08</v>
      </c>
      <c r="F214" s="466">
        <v>0</v>
      </c>
      <c r="G214" s="466">
        <v>0</v>
      </c>
      <c r="H214" s="466">
        <v>0</v>
      </c>
      <c r="I214" s="466"/>
      <c r="J214" s="466"/>
      <c r="K214" s="466">
        <v>0</v>
      </c>
      <c r="L214" s="466">
        <v>0</v>
      </c>
      <c r="M214" s="466">
        <v>0</v>
      </c>
      <c r="N214" s="466">
        <v>0</v>
      </c>
      <c r="O214" s="466">
        <v>0</v>
      </c>
      <c r="P214" s="466">
        <v>0</v>
      </c>
      <c r="Q214" s="466">
        <v>0</v>
      </c>
      <c r="R214" s="466">
        <v>0</v>
      </c>
      <c r="S214" s="466">
        <v>0</v>
      </c>
      <c r="T214" s="466"/>
      <c r="U214" s="466">
        <v>0</v>
      </c>
      <c r="V214" s="466"/>
      <c r="W214" s="466"/>
      <c r="X214" s="466">
        <v>375.9</v>
      </c>
      <c r="Y214" s="466">
        <v>0</v>
      </c>
      <c r="Z214" s="466">
        <v>0</v>
      </c>
      <c r="AA214" s="466">
        <v>0</v>
      </c>
      <c r="AB214" s="466">
        <v>547295</v>
      </c>
      <c r="AC214" s="466">
        <v>63158.720000000001</v>
      </c>
      <c r="AD214" s="466">
        <v>24170.26</v>
      </c>
      <c r="AE214" s="466"/>
      <c r="AF214" s="466"/>
      <c r="AG214" s="466">
        <v>3172.35</v>
      </c>
      <c r="AH214" s="466">
        <v>-38.450000000000003</v>
      </c>
      <c r="AI214" s="466">
        <v>-6690.2</v>
      </c>
      <c r="AJ214" s="466">
        <v>27056.5</v>
      </c>
      <c r="AK214" s="466">
        <v>17490</v>
      </c>
      <c r="AL214" s="466">
        <v>178.2</v>
      </c>
      <c r="AM214" s="466">
        <v>2560</v>
      </c>
      <c r="AN214" s="466">
        <v>5903.49</v>
      </c>
      <c r="AO214" s="466">
        <v>4156.62</v>
      </c>
      <c r="AP214" s="466"/>
      <c r="AQ214" s="466">
        <v>14262</v>
      </c>
      <c r="AR214" s="466">
        <v>62.6</v>
      </c>
      <c r="AS214" s="466"/>
    </row>
    <row r="215" spans="1:45" x14ac:dyDescent="0.2">
      <c r="A215" s="465">
        <v>5743</v>
      </c>
      <c r="B215" s="466"/>
      <c r="C215" s="466">
        <v>19.07</v>
      </c>
      <c r="D215" s="466">
        <v>329.76</v>
      </c>
      <c r="E215" s="466">
        <v>3376.36</v>
      </c>
      <c r="F215" s="466">
        <v>0</v>
      </c>
      <c r="G215" s="466">
        <v>0</v>
      </c>
      <c r="H215" s="466">
        <v>0</v>
      </c>
      <c r="I215" s="466"/>
      <c r="J215" s="466"/>
      <c r="K215" s="466">
        <v>0</v>
      </c>
      <c r="L215" s="466">
        <v>0</v>
      </c>
      <c r="M215" s="466"/>
      <c r="N215" s="466">
        <v>0</v>
      </c>
      <c r="O215" s="466">
        <v>0</v>
      </c>
      <c r="P215" s="466">
        <v>0</v>
      </c>
      <c r="Q215" s="466">
        <v>0</v>
      </c>
      <c r="R215" s="466"/>
      <c r="S215" s="466">
        <v>0</v>
      </c>
      <c r="T215" s="466"/>
      <c r="U215" s="466">
        <v>0</v>
      </c>
      <c r="V215" s="466"/>
      <c r="W215" s="466"/>
      <c r="X215" s="466">
        <v>1400.44</v>
      </c>
      <c r="Y215" s="466">
        <v>0</v>
      </c>
      <c r="Z215" s="466">
        <v>0</v>
      </c>
      <c r="AA215" s="466">
        <v>0</v>
      </c>
      <c r="AB215" s="466">
        <v>1223125.02</v>
      </c>
      <c r="AC215" s="466">
        <v>137962.57</v>
      </c>
      <c r="AD215" s="466">
        <v>437.06</v>
      </c>
      <c r="AE215" s="466"/>
      <c r="AF215" s="466"/>
      <c r="AG215" s="466">
        <v>10959.5</v>
      </c>
      <c r="AH215" s="466">
        <v>716</v>
      </c>
      <c r="AI215" s="466"/>
      <c r="AJ215" s="466">
        <v>69445.100000000006</v>
      </c>
      <c r="AK215" s="466">
        <v>38323.949999999997</v>
      </c>
      <c r="AL215" s="466">
        <v>-33.799999999999997</v>
      </c>
      <c r="AM215" s="466">
        <v>3360</v>
      </c>
      <c r="AN215" s="466"/>
      <c r="AO215" s="466">
        <v>10450</v>
      </c>
      <c r="AP215" s="466"/>
      <c r="AQ215" s="466">
        <v>13143.1</v>
      </c>
      <c r="AR215" s="466">
        <v>639.04999999999995</v>
      </c>
      <c r="AS215" s="466">
        <v>24432.05</v>
      </c>
    </row>
    <row r="216" spans="1:45" x14ac:dyDescent="0.2">
      <c r="A216" s="465">
        <v>5744</v>
      </c>
      <c r="B216" s="466"/>
      <c r="C216" s="466">
        <v>2512.65</v>
      </c>
      <c r="D216" s="466">
        <v>1839.83</v>
      </c>
      <c r="E216" s="466">
        <v>58554.739999999903</v>
      </c>
      <c r="F216" s="466">
        <v>0</v>
      </c>
      <c r="G216" s="466">
        <v>0</v>
      </c>
      <c r="H216" s="466">
        <v>0</v>
      </c>
      <c r="I216" s="466"/>
      <c r="J216" s="466"/>
      <c r="K216" s="466">
        <v>0</v>
      </c>
      <c r="L216" s="466">
        <v>0</v>
      </c>
      <c r="M216" s="466"/>
      <c r="N216" s="466">
        <v>0</v>
      </c>
      <c r="O216" s="466">
        <v>0</v>
      </c>
      <c r="P216" s="466">
        <v>0</v>
      </c>
      <c r="Q216" s="466">
        <v>0</v>
      </c>
      <c r="R216" s="466">
        <v>0</v>
      </c>
      <c r="S216" s="466">
        <v>0</v>
      </c>
      <c r="T216" s="466"/>
      <c r="U216" s="466">
        <v>0</v>
      </c>
      <c r="V216" s="466"/>
      <c r="W216" s="466"/>
      <c r="X216" s="466">
        <v>93050.62</v>
      </c>
      <c r="Y216" s="466">
        <v>0</v>
      </c>
      <c r="Z216" s="466">
        <v>0</v>
      </c>
      <c r="AA216" s="466">
        <v>0</v>
      </c>
      <c r="AB216" s="466">
        <v>1370470.81</v>
      </c>
      <c r="AC216" s="466">
        <v>144396.04999999999</v>
      </c>
      <c r="AD216" s="466">
        <v>125282.45</v>
      </c>
      <c r="AE216" s="466"/>
      <c r="AF216" s="466"/>
      <c r="AG216" s="466">
        <v>758789.9</v>
      </c>
      <c r="AH216" s="466">
        <v>16975.3</v>
      </c>
      <c r="AI216" s="466"/>
      <c r="AJ216" s="466">
        <v>180433.55</v>
      </c>
      <c r="AK216" s="466">
        <v>81541.3</v>
      </c>
      <c r="AL216" s="466">
        <v>38907.9</v>
      </c>
      <c r="AM216" s="466">
        <v>5275</v>
      </c>
      <c r="AN216" s="466">
        <v>318.24</v>
      </c>
      <c r="AO216" s="466">
        <v>30364.51</v>
      </c>
      <c r="AP216" s="466"/>
      <c r="AQ216" s="466">
        <v>36949.5</v>
      </c>
      <c r="AR216" s="466">
        <v>1693.86</v>
      </c>
      <c r="AS216" s="466">
        <v>1275736.1499999999</v>
      </c>
    </row>
    <row r="217" spans="1:45" x14ac:dyDescent="0.2">
      <c r="A217" s="465">
        <v>5745</v>
      </c>
      <c r="B217" s="466"/>
      <c r="C217" s="466">
        <v>1014.07</v>
      </c>
      <c r="D217" s="466">
        <v>707.34</v>
      </c>
      <c r="E217" s="466">
        <v>29461.5</v>
      </c>
      <c r="F217" s="466">
        <v>0</v>
      </c>
      <c r="G217" s="466">
        <v>0</v>
      </c>
      <c r="H217" s="466">
        <v>0</v>
      </c>
      <c r="I217" s="466"/>
      <c r="J217" s="466"/>
      <c r="K217" s="466">
        <v>0</v>
      </c>
      <c r="L217" s="466">
        <v>0</v>
      </c>
      <c r="M217" s="466"/>
      <c r="N217" s="466">
        <v>0</v>
      </c>
      <c r="O217" s="466">
        <v>0</v>
      </c>
      <c r="P217" s="466">
        <v>0</v>
      </c>
      <c r="Q217" s="466">
        <v>0</v>
      </c>
      <c r="R217" s="466">
        <v>0</v>
      </c>
      <c r="S217" s="466">
        <v>0</v>
      </c>
      <c r="T217" s="466"/>
      <c r="U217" s="466">
        <v>0</v>
      </c>
      <c r="V217" s="466"/>
      <c r="W217" s="466"/>
      <c r="X217" s="466">
        <v>1672.77</v>
      </c>
      <c r="Y217" s="466">
        <v>0</v>
      </c>
      <c r="Z217" s="466">
        <v>0</v>
      </c>
      <c r="AA217" s="466">
        <v>0</v>
      </c>
      <c r="AB217" s="466">
        <v>1680922.99</v>
      </c>
      <c r="AC217" s="466">
        <v>205342.68</v>
      </c>
      <c r="AD217" s="466">
        <v>29002.38</v>
      </c>
      <c r="AE217" s="466"/>
      <c r="AF217" s="466"/>
      <c r="AG217" s="466">
        <v>7853.7</v>
      </c>
      <c r="AH217" s="466">
        <v>6092.25</v>
      </c>
      <c r="AI217" s="466"/>
      <c r="AJ217" s="466">
        <v>136327</v>
      </c>
      <c r="AK217" s="466">
        <v>61580.6</v>
      </c>
      <c r="AL217" s="466">
        <v>3960</v>
      </c>
      <c r="AM217" s="466">
        <v>4025</v>
      </c>
      <c r="AN217" s="466">
        <v>14623.15</v>
      </c>
      <c r="AO217" s="466">
        <v>20938.560000000001</v>
      </c>
      <c r="AP217" s="466"/>
      <c r="AQ217" s="466">
        <v>23032.15</v>
      </c>
      <c r="AR217" s="466">
        <v>64.849999999999994</v>
      </c>
      <c r="AS217" s="466">
        <v>205276.15</v>
      </c>
    </row>
    <row r="218" spans="1:45" x14ac:dyDescent="0.2">
      <c r="A218" s="465">
        <v>5746</v>
      </c>
      <c r="B218" s="466"/>
      <c r="C218" s="466">
        <v>747.79</v>
      </c>
      <c r="D218" s="466">
        <v>329.86</v>
      </c>
      <c r="E218" s="466">
        <v>14540.67</v>
      </c>
      <c r="F218" s="466">
        <v>0</v>
      </c>
      <c r="G218" s="466">
        <v>0</v>
      </c>
      <c r="H218" s="466">
        <v>0</v>
      </c>
      <c r="I218" s="466"/>
      <c r="J218" s="466"/>
      <c r="K218" s="466">
        <v>0</v>
      </c>
      <c r="L218" s="466">
        <v>0</v>
      </c>
      <c r="M218" s="466">
        <v>0</v>
      </c>
      <c r="N218" s="466"/>
      <c r="O218" s="466">
        <v>0</v>
      </c>
      <c r="P218" s="466">
        <v>0</v>
      </c>
      <c r="Q218" s="466"/>
      <c r="R218" s="466">
        <v>0</v>
      </c>
      <c r="S218" s="466">
        <v>0</v>
      </c>
      <c r="T218" s="466"/>
      <c r="U218" s="466">
        <v>0</v>
      </c>
      <c r="V218" s="466"/>
      <c r="W218" s="466"/>
      <c r="X218" s="466">
        <v>816.98</v>
      </c>
      <c r="Y218" s="466">
        <v>0</v>
      </c>
      <c r="Z218" s="466">
        <v>0</v>
      </c>
      <c r="AA218" s="466">
        <v>0</v>
      </c>
      <c r="AB218" s="466">
        <v>1836127.63</v>
      </c>
      <c r="AC218" s="466">
        <v>162046.48000000001</v>
      </c>
      <c r="AD218" s="466">
        <v>15801.14</v>
      </c>
      <c r="AE218" s="466"/>
      <c r="AF218" s="466"/>
      <c r="AG218" s="466">
        <v>4894.55</v>
      </c>
      <c r="AH218" s="466">
        <v>1916.6</v>
      </c>
      <c r="AI218" s="466">
        <v>19580.25</v>
      </c>
      <c r="AJ218" s="466"/>
      <c r="AK218" s="466">
        <v>87804.15</v>
      </c>
      <c r="AL218" s="466">
        <v>250149</v>
      </c>
      <c r="AM218" s="466"/>
      <c r="AN218" s="466">
        <v>21672.13</v>
      </c>
      <c r="AO218" s="466">
        <v>18680.79</v>
      </c>
      <c r="AP218" s="466"/>
      <c r="AQ218" s="466">
        <v>58860.95</v>
      </c>
      <c r="AR218" s="466">
        <v>57.41</v>
      </c>
      <c r="AS218" s="466">
        <v>22104.3</v>
      </c>
    </row>
    <row r="219" spans="1:45" x14ac:dyDescent="0.2">
      <c r="A219" s="465">
        <v>5747</v>
      </c>
      <c r="B219" s="466"/>
      <c r="C219" s="466">
        <v>209.09</v>
      </c>
      <c r="D219" s="466">
        <v>242.32</v>
      </c>
      <c r="E219" s="466">
        <v>88.84</v>
      </c>
      <c r="F219" s="466">
        <v>0</v>
      </c>
      <c r="G219" s="466">
        <v>0</v>
      </c>
      <c r="H219" s="466">
        <v>0</v>
      </c>
      <c r="I219" s="466"/>
      <c r="J219" s="466"/>
      <c r="K219" s="466">
        <v>0</v>
      </c>
      <c r="L219" s="466">
        <v>0</v>
      </c>
      <c r="M219" s="466"/>
      <c r="N219" s="466">
        <v>0</v>
      </c>
      <c r="O219" s="466">
        <v>0</v>
      </c>
      <c r="P219" s="466"/>
      <c r="Q219" s="466">
        <v>0</v>
      </c>
      <c r="R219" s="466"/>
      <c r="S219" s="466">
        <v>0</v>
      </c>
      <c r="T219" s="466"/>
      <c r="U219" s="466">
        <v>0</v>
      </c>
      <c r="V219" s="466"/>
      <c r="W219" s="466"/>
      <c r="X219" s="466">
        <v>2473.83</v>
      </c>
      <c r="Y219" s="466">
        <v>0</v>
      </c>
      <c r="Z219" s="466">
        <v>0</v>
      </c>
      <c r="AA219" s="466">
        <v>0</v>
      </c>
      <c r="AB219" s="466">
        <v>292485.21999999997</v>
      </c>
      <c r="AC219" s="466">
        <v>27661.63</v>
      </c>
      <c r="AD219" s="466">
        <v>11774.59</v>
      </c>
      <c r="AE219" s="466"/>
      <c r="AF219" s="466"/>
      <c r="AG219" s="466">
        <v>20413.150000000001</v>
      </c>
      <c r="AH219" s="466">
        <v>211.25</v>
      </c>
      <c r="AI219" s="466"/>
      <c r="AJ219" s="466">
        <v>32074.9</v>
      </c>
      <c r="AK219" s="466">
        <v>26165.599999999999</v>
      </c>
      <c r="AL219" s="466"/>
      <c r="AM219" s="466">
        <v>440</v>
      </c>
      <c r="AN219" s="466"/>
      <c r="AO219" s="466">
        <v>2921.94</v>
      </c>
      <c r="AP219" s="466"/>
      <c r="AQ219" s="466">
        <v>22602.1</v>
      </c>
      <c r="AR219" s="466"/>
      <c r="AS219" s="466"/>
    </row>
    <row r="220" spans="1:45" x14ac:dyDescent="0.2">
      <c r="A220" s="465">
        <v>5748</v>
      </c>
      <c r="B220" s="466"/>
      <c r="C220" s="466">
        <v>3.97</v>
      </c>
      <c r="D220" s="466">
        <v>141.87</v>
      </c>
      <c r="E220" s="466">
        <v>11543.63</v>
      </c>
      <c r="F220" s="466">
        <v>0</v>
      </c>
      <c r="G220" s="466">
        <v>0</v>
      </c>
      <c r="H220" s="466">
        <v>0</v>
      </c>
      <c r="I220" s="466"/>
      <c r="J220" s="466"/>
      <c r="K220" s="466">
        <v>0</v>
      </c>
      <c r="L220" s="466">
        <v>0</v>
      </c>
      <c r="M220" s="466"/>
      <c r="N220" s="466">
        <v>0</v>
      </c>
      <c r="O220" s="466">
        <v>0</v>
      </c>
      <c r="P220" s="466"/>
      <c r="Q220" s="466">
        <v>0</v>
      </c>
      <c r="R220" s="466">
        <v>0</v>
      </c>
      <c r="S220" s="466">
        <v>0</v>
      </c>
      <c r="T220" s="466"/>
      <c r="U220" s="466">
        <v>0</v>
      </c>
      <c r="V220" s="466"/>
      <c r="W220" s="466"/>
      <c r="X220" s="466">
        <v>427.76</v>
      </c>
      <c r="Y220" s="466">
        <v>0</v>
      </c>
      <c r="Z220" s="466">
        <v>0</v>
      </c>
      <c r="AA220" s="466">
        <v>0</v>
      </c>
      <c r="AB220" s="466">
        <v>319130.2</v>
      </c>
      <c r="AC220" s="466">
        <v>44587.85</v>
      </c>
      <c r="AD220" s="466">
        <v>193.7</v>
      </c>
      <c r="AE220" s="466"/>
      <c r="AF220" s="466"/>
      <c r="AG220" s="466">
        <v>3491.2</v>
      </c>
      <c r="AH220" s="466">
        <v>75.05</v>
      </c>
      <c r="AI220" s="466"/>
      <c r="AJ220" s="466">
        <v>22491.200000000001</v>
      </c>
      <c r="AK220" s="466">
        <v>7315</v>
      </c>
      <c r="AL220" s="466"/>
      <c r="AM220" s="466">
        <v>1400</v>
      </c>
      <c r="AN220" s="466">
        <v>12216.72</v>
      </c>
      <c r="AO220" s="466">
        <v>9694.18</v>
      </c>
      <c r="AP220" s="466"/>
      <c r="AQ220" s="466">
        <v>21476.05</v>
      </c>
      <c r="AR220" s="466"/>
      <c r="AS220" s="466"/>
    </row>
    <row r="221" spans="1:45" x14ac:dyDescent="0.2">
      <c r="A221" s="465">
        <v>5749</v>
      </c>
      <c r="B221" s="466"/>
      <c r="C221" s="466">
        <v>8881.9699999999993</v>
      </c>
      <c r="D221" s="466">
        <v>3091.94</v>
      </c>
      <c r="E221" s="466">
        <v>272346.67</v>
      </c>
      <c r="F221" s="466">
        <v>0</v>
      </c>
      <c r="G221" s="466">
        <v>0</v>
      </c>
      <c r="H221" s="466">
        <v>0</v>
      </c>
      <c r="I221" s="466"/>
      <c r="J221" s="466"/>
      <c r="K221" s="466">
        <v>0</v>
      </c>
      <c r="L221" s="466">
        <v>0</v>
      </c>
      <c r="M221" s="466">
        <v>0</v>
      </c>
      <c r="N221" s="466">
        <v>0</v>
      </c>
      <c r="O221" s="466">
        <v>0</v>
      </c>
      <c r="P221" s="466">
        <v>0</v>
      </c>
      <c r="Q221" s="466">
        <v>0</v>
      </c>
      <c r="R221" s="466">
        <v>0</v>
      </c>
      <c r="S221" s="466">
        <v>0</v>
      </c>
      <c r="T221" s="466"/>
      <c r="U221" s="466">
        <v>0</v>
      </c>
      <c r="V221" s="466"/>
      <c r="W221" s="466"/>
      <c r="X221" s="466">
        <v>15746.86</v>
      </c>
      <c r="Y221" s="466">
        <v>0</v>
      </c>
      <c r="Z221" s="466">
        <v>0</v>
      </c>
      <c r="AA221" s="466">
        <v>0</v>
      </c>
      <c r="AB221" s="466">
        <v>8074024.3700000001</v>
      </c>
      <c r="AC221" s="466">
        <v>725957.88</v>
      </c>
      <c r="AD221" s="466">
        <v>210085.08</v>
      </c>
      <c r="AE221" s="466"/>
      <c r="AF221" s="466"/>
      <c r="AG221" s="466">
        <v>97132.799999999901</v>
      </c>
      <c r="AH221" s="466">
        <v>34149.15</v>
      </c>
      <c r="AI221" s="466">
        <v>49595.7</v>
      </c>
      <c r="AJ221" s="466">
        <v>833055.5</v>
      </c>
      <c r="AK221" s="466">
        <v>392838.5</v>
      </c>
      <c r="AL221" s="466">
        <v>121500</v>
      </c>
      <c r="AM221" s="466">
        <v>26160</v>
      </c>
      <c r="AN221" s="466">
        <v>153959.79999999999</v>
      </c>
      <c r="AO221" s="466">
        <v>82498.36</v>
      </c>
      <c r="AP221" s="466"/>
      <c r="AQ221" s="466">
        <v>232311.1</v>
      </c>
      <c r="AR221" s="466">
        <v>3645.56</v>
      </c>
      <c r="AS221" s="466">
        <v>712723.2</v>
      </c>
    </row>
    <row r="222" spans="1:45" x14ac:dyDescent="0.2">
      <c r="A222" s="465">
        <v>5750</v>
      </c>
      <c r="B222" s="466"/>
      <c r="C222" s="466">
        <v>203.72</v>
      </c>
      <c r="D222" s="466">
        <v>130.58000000000001</v>
      </c>
      <c r="E222" s="466">
        <v>7429.7</v>
      </c>
      <c r="F222" s="466">
        <v>0</v>
      </c>
      <c r="G222" s="466">
        <v>0</v>
      </c>
      <c r="H222" s="466">
        <v>0</v>
      </c>
      <c r="I222" s="466"/>
      <c r="J222" s="466"/>
      <c r="K222" s="466">
        <v>0</v>
      </c>
      <c r="L222" s="466">
        <v>0</v>
      </c>
      <c r="M222" s="466">
        <v>0</v>
      </c>
      <c r="N222" s="466">
        <v>0</v>
      </c>
      <c r="O222" s="466">
        <v>0</v>
      </c>
      <c r="P222" s="466">
        <v>0</v>
      </c>
      <c r="Q222" s="466">
        <v>0</v>
      </c>
      <c r="R222" s="466">
        <v>0</v>
      </c>
      <c r="S222" s="466">
        <v>0</v>
      </c>
      <c r="T222" s="466"/>
      <c r="U222" s="466"/>
      <c r="V222" s="466"/>
      <c r="W222" s="466"/>
      <c r="X222" s="466">
        <v>-8.25</v>
      </c>
      <c r="Y222" s="466">
        <v>0</v>
      </c>
      <c r="Z222" s="466">
        <v>0</v>
      </c>
      <c r="AA222" s="466">
        <v>0</v>
      </c>
      <c r="AB222" s="466">
        <v>412663.95</v>
      </c>
      <c r="AC222" s="466">
        <v>55061</v>
      </c>
      <c r="AD222" s="466">
        <v>-3129.71</v>
      </c>
      <c r="AE222" s="466"/>
      <c r="AF222" s="466"/>
      <c r="AG222" s="466">
        <v>-146.6</v>
      </c>
      <c r="AH222" s="466">
        <v>77.8</v>
      </c>
      <c r="AI222" s="466">
        <v>15.55</v>
      </c>
      <c r="AJ222" s="466">
        <v>13725.15</v>
      </c>
      <c r="AK222" s="466">
        <v>1080.95</v>
      </c>
      <c r="AL222" s="466">
        <v>15.7</v>
      </c>
      <c r="AM222" s="466">
        <v>620</v>
      </c>
      <c r="AN222" s="466">
        <v>3011.5</v>
      </c>
      <c r="AO222" s="466">
        <v>2711.21</v>
      </c>
      <c r="AP222" s="466"/>
      <c r="AQ222" s="466"/>
      <c r="AR222" s="466">
        <v>1085.29</v>
      </c>
      <c r="AS222" s="466">
        <v>7784.9</v>
      </c>
    </row>
    <row r="223" spans="1:45" x14ac:dyDescent="0.2">
      <c r="A223" s="465">
        <v>5752</v>
      </c>
      <c r="B223" s="466"/>
      <c r="C223" s="466">
        <v>217.76</v>
      </c>
      <c r="D223" s="466">
        <v>246.68</v>
      </c>
      <c r="E223" s="466">
        <v>23961.74</v>
      </c>
      <c r="F223" s="466">
        <v>0</v>
      </c>
      <c r="G223" s="466">
        <v>0</v>
      </c>
      <c r="H223" s="466">
        <v>0</v>
      </c>
      <c r="I223" s="466"/>
      <c r="J223" s="466"/>
      <c r="K223" s="466">
        <v>0</v>
      </c>
      <c r="L223" s="466">
        <v>0</v>
      </c>
      <c r="M223" s="466">
        <v>0</v>
      </c>
      <c r="N223" s="466">
        <v>0</v>
      </c>
      <c r="O223" s="466">
        <v>0</v>
      </c>
      <c r="P223" s="466">
        <v>0</v>
      </c>
      <c r="Q223" s="466">
        <v>0</v>
      </c>
      <c r="R223" s="466"/>
      <c r="S223" s="466">
        <v>0</v>
      </c>
      <c r="T223" s="466"/>
      <c r="U223" s="466">
        <v>0</v>
      </c>
      <c r="V223" s="466"/>
      <c r="W223" s="466"/>
      <c r="X223" s="466">
        <v>1344.99</v>
      </c>
      <c r="Y223" s="466">
        <v>0</v>
      </c>
      <c r="Z223" s="466">
        <v>0</v>
      </c>
      <c r="AA223" s="466">
        <v>0</v>
      </c>
      <c r="AB223" s="466">
        <v>549569.98</v>
      </c>
      <c r="AC223" s="466">
        <v>86688.19</v>
      </c>
      <c r="AD223" s="466">
        <v>10649.79</v>
      </c>
      <c r="AE223" s="466"/>
      <c r="AF223" s="466"/>
      <c r="AG223" s="466">
        <v>10554.25</v>
      </c>
      <c r="AH223" s="466">
        <v>659</v>
      </c>
      <c r="AI223" s="466">
        <v>833.4</v>
      </c>
      <c r="AJ223" s="466">
        <v>42401</v>
      </c>
      <c r="AK223" s="466">
        <v>20277.599999999999</v>
      </c>
      <c r="AL223" s="466">
        <v>1430.1</v>
      </c>
      <c r="AM223" s="466">
        <v>2700</v>
      </c>
      <c r="AN223" s="466"/>
      <c r="AO223" s="466">
        <v>5679.61</v>
      </c>
      <c r="AP223" s="466"/>
      <c r="AQ223" s="466">
        <v>25630.6</v>
      </c>
      <c r="AR223" s="466">
        <v>67.73</v>
      </c>
      <c r="AS223" s="466">
        <v>34854.65</v>
      </c>
    </row>
    <row r="224" spans="1:45" x14ac:dyDescent="0.2">
      <c r="A224" s="465">
        <v>5754</v>
      </c>
      <c r="B224" s="466"/>
      <c r="C224" s="466">
        <v>181.84</v>
      </c>
      <c r="D224" s="466">
        <v>195.58</v>
      </c>
      <c r="E224" s="466">
        <v>-705.93</v>
      </c>
      <c r="F224" s="466">
        <v>0</v>
      </c>
      <c r="G224" s="466">
        <v>0</v>
      </c>
      <c r="H224" s="466">
        <v>0</v>
      </c>
      <c r="I224" s="466"/>
      <c r="J224" s="466"/>
      <c r="K224" s="466">
        <v>0</v>
      </c>
      <c r="L224" s="466">
        <v>0</v>
      </c>
      <c r="M224" s="466">
        <v>0</v>
      </c>
      <c r="N224" s="466">
        <v>0</v>
      </c>
      <c r="O224" s="466">
        <v>0</v>
      </c>
      <c r="P224" s="466">
        <v>0</v>
      </c>
      <c r="Q224" s="466">
        <v>0</v>
      </c>
      <c r="R224" s="466">
        <v>0</v>
      </c>
      <c r="S224" s="466">
        <v>0</v>
      </c>
      <c r="T224" s="466"/>
      <c r="U224" s="466">
        <v>0</v>
      </c>
      <c r="V224" s="466"/>
      <c r="W224" s="466"/>
      <c r="X224" s="466">
        <v>229.43</v>
      </c>
      <c r="Y224" s="466">
        <v>0</v>
      </c>
      <c r="Z224" s="466">
        <v>0</v>
      </c>
      <c r="AA224" s="466">
        <v>0</v>
      </c>
      <c r="AB224" s="466">
        <v>544454.93000000005</v>
      </c>
      <c r="AC224" s="466">
        <v>42775.13</v>
      </c>
      <c r="AD224" s="466">
        <v>2830.32</v>
      </c>
      <c r="AE224" s="466"/>
      <c r="AF224" s="466"/>
      <c r="AG224" s="466">
        <v>992.8</v>
      </c>
      <c r="AH224" s="466">
        <v>919.95</v>
      </c>
      <c r="AI224" s="466">
        <v>1588.5</v>
      </c>
      <c r="AJ224" s="466">
        <v>41885.1</v>
      </c>
      <c r="AK224" s="466">
        <v>21175</v>
      </c>
      <c r="AL224" s="466">
        <v>1386</v>
      </c>
      <c r="AM224" s="466">
        <v>1960</v>
      </c>
      <c r="AN224" s="466">
        <v>-837.37</v>
      </c>
      <c r="AO224" s="466">
        <v>4947.43</v>
      </c>
      <c r="AP224" s="466"/>
      <c r="AQ224" s="466">
        <v>1849.15</v>
      </c>
      <c r="AR224" s="466">
        <v>85.63</v>
      </c>
      <c r="AS224" s="466"/>
    </row>
    <row r="225" spans="1:45" x14ac:dyDescent="0.2">
      <c r="A225" s="465">
        <v>5755</v>
      </c>
      <c r="B225" s="466"/>
      <c r="C225" s="466">
        <v>136.1</v>
      </c>
      <c r="D225" s="466">
        <v>274.20999999999998</v>
      </c>
      <c r="E225" s="466">
        <v>2212.75</v>
      </c>
      <c r="F225" s="466">
        <v>0</v>
      </c>
      <c r="G225" s="466">
        <v>0</v>
      </c>
      <c r="H225" s="466">
        <v>0</v>
      </c>
      <c r="I225" s="466"/>
      <c r="J225" s="466"/>
      <c r="K225" s="466">
        <v>0</v>
      </c>
      <c r="L225" s="466">
        <v>0</v>
      </c>
      <c r="M225" s="466">
        <v>0</v>
      </c>
      <c r="N225" s="466">
        <v>0</v>
      </c>
      <c r="O225" s="466">
        <v>0</v>
      </c>
      <c r="P225" s="466">
        <v>0</v>
      </c>
      <c r="Q225" s="466">
        <v>0</v>
      </c>
      <c r="R225" s="466">
        <v>0</v>
      </c>
      <c r="S225" s="466">
        <v>0</v>
      </c>
      <c r="T225" s="466"/>
      <c r="U225" s="466">
        <v>0</v>
      </c>
      <c r="V225" s="466"/>
      <c r="W225" s="466"/>
      <c r="X225" s="466">
        <v>909.11</v>
      </c>
      <c r="Y225" s="466">
        <v>0</v>
      </c>
      <c r="Z225" s="466">
        <v>0</v>
      </c>
      <c r="AA225" s="466">
        <v>0</v>
      </c>
      <c r="AB225" s="466">
        <v>580072.43999999994</v>
      </c>
      <c r="AC225" s="466">
        <v>56969.24</v>
      </c>
      <c r="AD225" s="466">
        <v>2001.7</v>
      </c>
      <c r="AE225" s="466"/>
      <c r="AF225" s="466"/>
      <c r="AG225" s="466">
        <v>6470.9</v>
      </c>
      <c r="AH225" s="466">
        <v>1108.4000000000001</v>
      </c>
      <c r="AI225" s="466">
        <v>2533.1</v>
      </c>
      <c r="AJ225" s="466">
        <v>43841.9</v>
      </c>
      <c r="AK225" s="466">
        <v>7650.5</v>
      </c>
      <c r="AL225" s="466">
        <v>251932.6</v>
      </c>
      <c r="AM225" s="466">
        <v>2450</v>
      </c>
      <c r="AN225" s="466">
        <v>355.56</v>
      </c>
      <c r="AO225" s="466">
        <v>9946.58</v>
      </c>
      <c r="AP225" s="466"/>
      <c r="AQ225" s="466">
        <v>11972.4</v>
      </c>
      <c r="AR225" s="466"/>
      <c r="AS225" s="466">
        <v>23527.15</v>
      </c>
    </row>
    <row r="226" spans="1:45" x14ac:dyDescent="0.2">
      <c r="A226" s="465">
        <v>5756</v>
      </c>
      <c r="B226" s="466"/>
      <c r="C226" s="466">
        <v>140.80000000000001</v>
      </c>
      <c r="D226" s="466">
        <v>909.57</v>
      </c>
      <c r="E226" s="466">
        <v>9371.33</v>
      </c>
      <c r="F226" s="466">
        <v>0</v>
      </c>
      <c r="G226" s="466">
        <v>0</v>
      </c>
      <c r="H226" s="466">
        <v>0</v>
      </c>
      <c r="I226" s="466"/>
      <c r="J226" s="466"/>
      <c r="K226" s="466">
        <v>0</v>
      </c>
      <c r="L226" s="466">
        <v>0</v>
      </c>
      <c r="M226" s="466">
        <v>0</v>
      </c>
      <c r="N226" s="466">
        <v>0</v>
      </c>
      <c r="O226" s="466">
        <v>0</v>
      </c>
      <c r="P226" s="466"/>
      <c r="Q226" s="466">
        <v>0</v>
      </c>
      <c r="R226" s="466">
        <v>0</v>
      </c>
      <c r="S226" s="466">
        <v>0</v>
      </c>
      <c r="T226" s="466"/>
      <c r="U226" s="466">
        <v>0</v>
      </c>
      <c r="V226" s="466"/>
      <c r="W226" s="466"/>
      <c r="X226" s="466">
        <v>2082.3000000000002</v>
      </c>
      <c r="Y226" s="466">
        <v>0</v>
      </c>
      <c r="Z226" s="466">
        <v>0</v>
      </c>
      <c r="AA226" s="466">
        <v>0</v>
      </c>
      <c r="AB226" s="466">
        <v>846194.99</v>
      </c>
      <c r="AC226" s="466">
        <v>183414.38</v>
      </c>
      <c r="AD226" s="466">
        <v>7518.7</v>
      </c>
      <c r="AE226" s="466"/>
      <c r="AF226" s="466"/>
      <c r="AG226" s="466">
        <v>16471.75</v>
      </c>
      <c r="AH226" s="466">
        <v>888.4</v>
      </c>
      <c r="AI226" s="466">
        <v>-349.6</v>
      </c>
      <c r="AJ226" s="466">
        <v>87315</v>
      </c>
      <c r="AK226" s="466">
        <v>38445</v>
      </c>
      <c r="AL226" s="466"/>
      <c r="AM226" s="466">
        <v>2850</v>
      </c>
      <c r="AN226" s="466">
        <v>2224.9499999999998</v>
      </c>
      <c r="AO226" s="466">
        <v>12266.01</v>
      </c>
      <c r="AP226" s="466"/>
      <c r="AQ226" s="466">
        <v>49479.25</v>
      </c>
      <c r="AR226" s="466">
        <v>1791.32</v>
      </c>
      <c r="AS226" s="466">
        <v>34587.5</v>
      </c>
    </row>
    <row r="227" spans="1:45" x14ac:dyDescent="0.2">
      <c r="A227" s="465">
        <v>5757</v>
      </c>
      <c r="B227" s="466"/>
      <c r="C227" s="466">
        <v>19284.37</v>
      </c>
      <c r="D227" s="466">
        <v>3752.79</v>
      </c>
      <c r="E227" s="466">
        <v>281564.02</v>
      </c>
      <c r="F227" s="466">
        <v>0</v>
      </c>
      <c r="G227" s="466">
        <v>0</v>
      </c>
      <c r="H227" s="466">
        <v>0</v>
      </c>
      <c r="I227" s="466"/>
      <c r="J227" s="466"/>
      <c r="K227" s="466">
        <v>0</v>
      </c>
      <c r="L227" s="466">
        <v>0</v>
      </c>
      <c r="M227" s="466">
        <v>0</v>
      </c>
      <c r="N227" s="466"/>
      <c r="O227" s="466">
        <v>0</v>
      </c>
      <c r="P227" s="466">
        <v>0</v>
      </c>
      <c r="Q227" s="466">
        <v>0</v>
      </c>
      <c r="R227" s="466">
        <v>0</v>
      </c>
      <c r="S227" s="466">
        <v>0</v>
      </c>
      <c r="T227" s="466"/>
      <c r="U227" s="466">
        <v>0</v>
      </c>
      <c r="V227" s="466"/>
      <c r="W227" s="466"/>
      <c r="X227" s="466">
        <v>126988.73</v>
      </c>
      <c r="Y227" s="466">
        <v>0</v>
      </c>
      <c r="Z227" s="466">
        <v>0</v>
      </c>
      <c r="AA227" s="466">
        <v>0</v>
      </c>
      <c r="AB227" s="466">
        <v>11219933.300000001</v>
      </c>
      <c r="AC227" s="466">
        <v>1074880.25</v>
      </c>
      <c r="AD227" s="466">
        <v>437458.61</v>
      </c>
      <c r="AE227" s="466"/>
      <c r="AF227" s="466"/>
      <c r="AG227" s="466">
        <v>998526.4</v>
      </c>
      <c r="AH227" s="466">
        <v>60181.65</v>
      </c>
      <c r="AI227" s="466">
        <v>171329.3</v>
      </c>
      <c r="AJ227" s="466"/>
      <c r="AK227" s="466">
        <v>769220.45</v>
      </c>
      <c r="AL227" s="466">
        <v>201441.5</v>
      </c>
      <c r="AM227" s="466">
        <v>45650</v>
      </c>
      <c r="AN227" s="466">
        <v>22444.84</v>
      </c>
      <c r="AO227" s="466">
        <v>140128.87</v>
      </c>
      <c r="AP227" s="466"/>
      <c r="AQ227" s="466">
        <v>235922.25</v>
      </c>
      <c r="AR227" s="466">
        <v>2912.13</v>
      </c>
      <c r="AS227" s="466">
        <v>2913726.35</v>
      </c>
    </row>
    <row r="228" spans="1:45" x14ac:dyDescent="0.2">
      <c r="A228" s="465">
        <v>5758</v>
      </c>
      <c r="B228" s="466"/>
      <c r="C228" s="466">
        <v>102.42</v>
      </c>
      <c r="D228" s="466">
        <v>295.76</v>
      </c>
      <c r="E228" s="466">
        <v>249.75</v>
      </c>
      <c r="F228" s="466">
        <v>0</v>
      </c>
      <c r="G228" s="466">
        <v>0</v>
      </c>
      <c r="H228" s="466">
        <v>0</v>
      </c>
      <c r="I228" s="466"/>
      <c r="J228" s="466">
        <v>0</v>
      </c>
      <c r="K228" s="466">
        <v>0</v>
      </c>
      <c r="L228" s="466">
        <v>0</v>
      </c>
      <c r="M228" s="466"/>
      <c r="N228" s="466">
        <v>0</v>
      </c>
      <c r="O228" s="466">
        <v>0</v>
      </c>
      <c r="P228" s="466">
        <v>0</v>
      </c>
      <c r="Q228" s="466">
        <v>0</v>
      </c>
      <c r="R228" s="466"/>
      <c r="S228" s="466">
        <v>0</v>
      </c>
      <c r="T228" s="466"/>
      <c r="U228" s="466">
        <v>0</v>
      </c>
      <c r="V228" s="466"/>
      <c r="W228" s="466"/>
      <c r="X228" s="466">
        <v>752.65</v>
      </c>
      <c r="Y228" s="466">
        <v>0</v>
      </c>
      <c r="Z228" s="466">
        <v>0</v>
      </c>
      <c r="AA228" s="466">
        <v>0</v>
      </c>
      <c r="AB228" s="466">
        <v>290175.24</v>
      </c>
      <c r="AC228" s="466">
        <v>28835.040000000001</v>
      </c>
      <c r="AD228" s="466">
        <v>3129.12</v>
      </c>
      <c r="AE228" s="466"/>
      <c r="AF228" s="466">
        <v>920</v>
      </c>
      <c r="AG228" s="466">
        <v>5309.35</v>
      </c>
      <c r="AH228" s="466">
        <v>965.55</v>
      </c>
      <c r="AI228" s="466"/>
      <c r="AJ228" s="466">
        <v>25357.05</v>
      </c>
      <c r="AK228" s="466">
        <v>17141.55</v>
      </c>
      <c r="AL228" s="466">
        <v>2917.6</v>
      </c>
      <c r="AM228" s="466">
        <v>1060</v>
      </c>
      <c r="AN228" s="466"/>
      <c r="AO228" s="466">
        <v>2826.91</v>
      </c>
      <c r="AP228" s="466"/>
      <c r="AQ228" s="466">
        <v>874.8</v>
      </c>
      <c r="AR228" s="466"/>
      <c r="AS228" s="466">
        <v>6425.4</v>
      </c>
    </row>
    <row r="229" spans="1:45" x14ac:dyDescent="0.2">
      <c r="A229" s="465">
        <v>5759</v>
      </c>
      <c r="B229" s="466"/>
      <c r="C229" s="466">
        <v>199.08</v>
      </c>
      <c r="D229" s="466">
        <v>139.84</v>
      </c>
      <c r="E229" s="466">
        <v>8201.16</v>
      </c>
      <c r="F229" s="466">
        <v>0</v>
      </c>
      <c r="G229" s="466">
        <v>0</v>
      </c>
      <c r="H229" s="466">
        <v>0</v>
      </c>
      <c r="I229" s="466"/>
      <c r="J229" s="466"/>
      <c r="K229" s="466">
        <v>0</v>
      </c>
      <c r="L229" s="466">
        <v>0</v>
      </c>
      <c r="M229" s="466">
        <v>0</v>
      </c>
      <c r="N229" s="466">
        <v>0</v>
      </c>
      <c r="O229" s="466">
        <v>0</v>
      </c>
      <c r="P229" s="466"/>
      <c r="Q229" s="466">
        <v>0</v>
      </c>
      <c r="R229" s="466">
        <v>0</v>
      </c>
      <c r="S229" s="466">
        <v>0</v>
      </c>
      <c r="T229" s="466"/>
      <c r="U229" s="466">
        <v>0</v>
      </c>
      <c r="V229" s="466"/>
      <c r="W229" s="466"/>
      <c r="X229" s="466">
        <v>104.99</v>
      </c>
      <c r="Y229" s="466">
        <v>0</v>
      </c>
      <c r="Z229" s="466">
        <v>0</v>
      </c>
      <c r="AA229" s="466">
        <v>0</v>
      </c>
      <c r="AB229" s="466">
        <v>334364.01</v>
      </c>
      <c r="AC229" s="466">
        <v>48677.88</v>
      </c>
      <c r="AD229" s="466">
        <v>2926.91</v>
      </c>
      <c r="AE229" s="466"/>
      <c r="AF229" s="466"/>
      <c r="AG229" s="466">
        <v>703.15</v>
      </c>
      <c r="AH229" s="466">
        <v>172.15</v>
      </c>
      <c r="AI229" s="466">
        <v>242.95</v>
      </c>
      <c r="AJ229" s="466">
        <v>30520.7</v>
      </c>
      <c r="AK229" s="466">
        <v>22605</v>
      </c>
      <c r="AL229" s="466"/>
      <c r="AM229" s="466">
        <v>875</v>
      </c>
      <c r="AN229" s="466">
        <v>12976.44</v>
      </c>
      <c r="AO229" s="466">
        <v>2252.87</v>
      </c>
      <c r="AP229" s="466"/>
      <c r="AQ229" s="466">
        <v>17548.650000000001</v>
      </c>
      <c r="AR229" s="466">
        <v>543.04</v>
      </c>
      <c r="AS229" s="466">
        <v>1530.1</v>
      </c>
    </row>
    <row r="230" spans="1:45" x14ac:dyDescent="0.2">
      <c r="A230" s="465">
        <v>5760</v>
      </c>
      <c r="B230" s="466"/>
      <c r="C230" s="466">
        <v>209.89</v>
      </c>
      <c r="D230" s="466">
        <v>269.17</v>
      </c>
      <c r="E230" s="466">
        <v>25144.9</v>
      </c>
      <c r="F230" s="466">
        <v>0</v>
      </c>
      <c r="G230" s="466">
        <v>0</v>
      </c>
      <c r="H230" s="466">
        <v>0</v>
      </c>
      <c r="I230" s="466"/>
      <c r="J230" s="466"/>
      <c r="K230" s="466">
        <v>0</v>
      </c>
      <c r="L230" s="466">
        <v>0</v>
      </c>
      <c r="M230" s="466"/>
      <c r="N230" s="466">
        <v>0</v>
      </c>
      <c r="O230" s="466">
        <v>0</v>
      </c>
      <c r="P230" s="466">
        <v>0</v>
      </c>
      <c r="Q230" s="466">
        <v>0</v>
      </c>
      <c r="R230" s="466">
        <v>0</v>
      </c>
      <c r="S230" s="466">
        <v>0</v>
      </c>
      <c r="T230" s="466"/>
      <c r="U230" s="466">
        <v>0</v>
      </c>
      <c r="V230" s="466"/>
      <c r="W230" s="466"/>
      <c r="X230" s="466">
        <v>341.5</v>
      </c>
      <c r="Y230" s="466">
        <v>0</v>
      </c>
      <c r="Z230" s="466">
        <v>0</v>
      </c>
      <c r="AA230" s="466">
        <v>0</v>
      </c>
      <c r="AB230" s="466">
        <v>838931.47</v>
      </c>
      <c r="AC230" s="466">
        <v>79510.600000000006</v>
      </c>
      <c r="AD230" s="466">
        <v>832.32</v>
      </c>
      <c r="AE230" s="466"/>
      <c r="AF230" s="466"/>
      <c r="AG230" s="466">
        <v>1359.75</v>
      </c>
      <c r="AH230" s="466">
        <v>1487.35</v>
      </c>
      <c r="AI230" s="466"/>
      <c r="AJ230" s="466">
        <v>113239.85</v>
      </c>
      <c r="AK230" s="466">
        <v>44138.9</v>
      </c>
      <c r="AL230" s="466">
        <v>11202.7</v>
      </c>
      <c r="AM230" s="466">
        <v>3110</v>
      </c>
      <c r="AN230" s="466">
        <v>10272.66</v>
      </c>
      <c r="AO230" s="466">
        <v>9657.56</v>
      </c>
      <c r="AP230" s="466"/>
      <c r="AQ230" s="466">
        <v>40310.300000000003</v>
      </c>
      <c r="AR230" s="466">
        <v>1893.53</v>
      </c>
      <c r="AS230" s="466">
        <v>22152.05</v>
      </c>
    </row>
    <row r="231" spans="1:45" x14ac:dyDescent="0.2">
      <c r="A231" s="465">
        <v>5761</v>
      </c>
      <c r="B231" s="466"/>
      <c r="C231" s="466">
        <v>412.44</v>
      </c>
      <c r="D231" s="466">
        <v>316.38</v>
      </c>
      <c r="E231" s="466">
        <v>22171.85</v>
      </c>
      <c r="F231" s="466">
        <v>0</v>
      </c>
      <c r="G231" s="466">
        <v>0</v>
      </c>
      <c r="H231" s="466">
        <v>0</v>
      </c>
      <c r="I231" s="466"/>
      <c r="J231" s="466"/>
      <c r="K231" s="466">
        <v>0</v>
      </c>
      <c r="L231" s="466">
        <v>0</v>
      </c>
      <c r="M231" s="466">
        <v>0</v>
      </c>
      <c r="N231" s="466">
        <v>0</v>
      </c>
      <c r="O231" s="466">
        <v>0</v>
      </c>
      <c r="P231" s="466">
        <v>0</v>
      </c>
      <c r="Q231" s="466">
        <v>0</v>
      </c>
      <c r="R231" s="466"/>
      <c r="S231" s="466">
        <v>0</v>
      </c>
      <c r="T231" s="466"/>
      <c r="U231" s="466">
        <v>0</v>
      </c>
      <c r="V231" s="466"/>
      <c r="W231" s="466"/>
      <c r="X231" s="466">
        <v>548.79</v>
      </c>
      <c r="Y231" s="466">
        <v>0</v>
      </c>
      <c r="Z231" s="466">
        <v>0</v>
      </c>
      <c r="AA231" s="466">
        <v>0</v>
      </c>
      <c r="AB231" s="466">
        <v>802821.06</v>
      </c>
      <c r="AC231" s="466">
        <v>100245.18</v>
      </c>
      <c r="AD231" s="466">
        <v>11547.56</v>
      </c>
      <c r="AE231" s="466"/>
      <c r="AF231" s="466"/>
      <c r="AG231" s="466">
        <v>3742</v>
      </c>
      <c r="AH231" s="466">
        <v>833.3</v>
      </c>
      <c r="AI231" s="466">
        <v>3997.55</v>
      </c>
      <c r="AJ231" s="466">
        <v>91237.8</v>
      </c>
      <c r="AK231" s="466">
        <v>77623.199999999997</v>
      </c>
      <c r="AL231" s="466">
        <v>8830.5</v>
      </c>
      <c r="AM231" s="466">
        <v>4104</v>
      </c>
      <c r="AN231" s="466"/>
      <c r="AO231" s="466">
        <v>7233.23</v>
      </c>
      <c r="AP231" s="466"/>
      <c r="AQ231" s="466">
        <v>48004.25</v>
      </c>
      <c r="AR231" s="466"/>
      <c r="AS231" s="466">
        <v>62764.25</v>
      </c>
    </row>
    <row r="232" spans="1:45" x14ac:dyDescent="0.2">
      <c r="A232" s="465">
        <v>5762</v>
      </c>
      <c r="B232" s="466"/>
      <c r="C232" s="466">
        <v>-24.34</v>
      </c>
      <c r="D232" s="466">
        <v>110.54</v>
      </c>
      <c r="E232" s="466">
        <v>62.44</v>
      </c>
      <c r="F232" s="466">
        <v>0</v>
      </c>
      <c r="G232" s="466">
        <v>0</v>
      </c>
      <c r="H232" s="466">
        <v>0</v>
      </c>
      <c r="I232" s="466"/>
      <c r="J232" s="466"/>
      <c r="K232" s="466">
        <v>0</v>
      </c>
      <c r="L232" s="466">
        <v>0</v>
      </c>
      <c r="M232" s="466">
        <v>0</v>
      </c>
      <c r="N232" s="466">
        <v>0</v>
      </c>
      <c r="O232" s="466"/>
      <c r="P232" s="466"/>
      <c r="Q232" s="466">
        <v>0</v>
      </c>
      <c r="R232" s="466">
        <v>0</v>
      </c>
      <c r="S232" s="466">
        <v>0</v>
      </c>
      <c r="T232" s="466"/>
      <c r="U232" s="466"/>
      <c r="V232" s="466"/>
      <c r="W232" s="466"/>
      <c r="X232" s="466">
        <v>451.8</v>
      </c>
      <c r="Y232" s="466">
        <v>0</v>
      </c>
      <c r="Z232" s="466">
        <v>0</v>
      </c>
      <c r="AA232" s="466">
        <v>0</v>
      </c>
      <c r="AB232" s="466">
        <v>244337.46</v>
      </c>
      <c r="AC232" s="466">
        <v>26289.18</v>
      </c>
      <c r="AD232" s="466">
        <v>-1087.5</v>
      </c>
      <c r="AE232" s="466"/>
      <c r="AF232" s="466"/>
      <c r="AG232" s="466">
        <v>3645.9</v>
      </c>
      <c r="AH232" s="466">
        <v>120.8</v>
      </c>
      <c r="AI232" s="466">
        <v>75</v>
      </c>
      <c r="AJ232" s="466">
        <v>20516.599999999999</v>
      </c>
      <c r="AK232" s="466"/>
      <c r="AL232" s="466"/>
      <c r="AM232" s="466">
        <v>1100</v>
      </c>
      <c r="AN232" s="466">
        <v>9.4</v>
      </c>
      <c r="AO232" s="466">
        <v>3144.77</v>
      </c>
      <c r="AP232" s="466"/>
      <c r="AQ232" s="466"/>
      <c r="AR232" s="466"/>
      <c r="AS232" s="466"/>
    </row>
    <row r="233" spans="1:45" x14ac:dyDescent="0.2">
      <c r="A233" s="465">
        <v>5763</v>
      </c>
      <c r="B233" s="466"/>
      <c r="C233" s="466">
        <v>1254.1300000000001</v>
      </c>
      <c r="D233" s="466">
        <v>533.84</v>
      </c>
      <c r="E233" s="466">
        <v>6605.27</v>
      </c>
      <c r="F233" s="466">
        <v>0</v>
      </c>
      <c r="G233" s="466">
        <v>0</v>
      </c>
      <c r="H233" s="466">
        <v>0</v>
      </c>
      <c r="I233" s="466"/>
      <c r="J233" s="466"/>
      <c r="K233" s="466">
        <v>0</v>
      </c>
      <c r="L233" s="466">
        <v>0</v>
      </c>
      <c r="M233" s="466">
        <v>0</v>
      </c>
      <c r="N233" s="466">
        <v>0</v>
      </c>
      <c r="O233" s="466">
        <v>0</v>
      </c>
      <c r="P233" s="466"/>
      <c r="Q233" s="466">
        <v>0</v>
      </c>
      <c r="R233" s="466"/>
      <c r="S233" s="466">
        <v>0</v>
      </c>
      <c r="T233" s="466"/>
      <c r="U233" s="466">
        <v>0</v>
      </c>
      <c r="V233" s="466"/>
      <c r="W233" s="466"/>
      <c r="X233" s="466">
        <v>2056.65</v>
      </c>
      <c r="Y233" s="466">
        <v>0</v>
      </c>
      <c r="Z233" s="466">
        <v>0</v>
      </c>
      <c r="AA233" s="466">
        <v>0</v>
      </c>
      <c r="AB233" s="466">
        <v>1148817.9099999999</v>
      </c>
      <c r="AC233" s="466">
        <v>109998.57</v>
      </c>
      <c r="AD233" s="466">
        <v>27278.89</v>
      </c>
      <c r="AE233" s="466"/>
      <c r="AF233" s="466"/>
      <c r="AG233" s="466">
        <v>15735.95</v>
      </c>
      <c r="AH233" s="466">
        <v>1410.35</v>
      </c>
      <c r="AI233" s="466">
        <v>3988.7</v>
      </c>
      <c r="AJ233" s="466">
        <v>88872.5</v>
      </c>
      <c r="AK233" s="466">
        <v>21871.35</v>
      </c>
      <c r="AL233" s="466"/>
      <c r="AM233" s="466">
        <v>5050</v>
      </c>
      <c r="AN233" s="466"/>
      <c r="AO233" s="466">
        <v>7895.15</v>
      </c>
      <c r="AP233" s="466"/>
      <c r="AQ233" s="466">
        <v>8235.85</v>
      </c>
      <c r="AR233" s="466">
        <v>752.01</v>
      </c>
      <c r="AS233" s="466">
        <v>40842.1</v>
      </c>
    </row>
    <row r="234" spans="1:45" x14ac:dyDescent="0.2">
      <c r="A234" s="465">
        <v>5764</v>
      </c>
      <c r="B234" s="466"/>
      <c r="C234" s="466">
        <v>7278.6</v>
      </c>
      <c r="D234" s="466">
        <v>1896.69</v>
      </c>
      <c r="E234" s="466">
        <v>191456.46</v>
      </c>
      <c r="F234" s="466">
        <v>0</v>
      </c>
      <c r="G234" s="466">
        <v>0</v>
      </c>
      <c r="H234" s="466">
        <v>0</v>
      </c>
      <c r="I234" s="466"/>
      <c r="J234" s="466"/>
      <c r="K234" s="466">
        <v>0</v>
      </c>
      <c r="L234" s="466">
        <v>0</v>
      </c>
      <c r="M234" s="466">
        <v>0</v>
      </c>
      <c r="N234" s="466"/>
      <c r="O234" s="466">
        <v>0</v>
      </c>
      <c r="P234" s="466">
        <v>0</v>
      </c>
      <c r="Q234" s="466"/>
      <c r="R234" s="466">
        <v>0</v>
      </c>
      <c r="S234" s="466">
        <v>0</v>
      </c>
      <c r="T234" s="466"/>
      <c r="U234" s="466">
        <v>0</v>
      </c>
      <c r="V234" s="466"/>
      <c r="W234" s="466"/>
      <c r="X234" s="466">
        <v>40037.17</v>
      </c>
      <c r="Y234" s="466">
        <v>0</v>
      </c>
      <c r="Z234" s="466">
        <v>0</v>
      </c>
      <c r="AA234" s="466">
        <v>0</v>
      </c>
      <c r="AB234" s="466">
        <v>4656608.49</v>
      </c>
      <c r="AC234" s="466">
        <v>443702.2</v>
      </c>
      <c r="AD234" s="466">
        <v>215461.1</v>
      </c>
      <c r="AE234" s="466"/>
      <c r="AF234" s="466"/>
      <c r="AG234" s="466">
        <v>289952.59999999998</v>
      </c>
      <c r="AH234" s="466">
        <v>43838.25</v>
      </c>
      <c r="AI234" s="466">
        <v>40595.599999999999</v>
      </c>
      <c r="AJ234" s="466"/>
      <c r="AK234" s="466">
        <v>164862.54999999999</v>
      </c>
      <c r="AL234" s="466">
        <v>135412.4</v>
      </c>
      <c r="AM234" s="466"/>
      <c r="AN234" s="466">
        <v>29176.75</v>
      </c>
      <c r="AO234" s="466">
        <v>68774.38</v>
      </c>
      <c r="AP234" s="466"/>
      <c r="AQ234" s="466">
        <v>54187.95</v>
      </c>
      <c r="AR234" s="466">
        <v>3532.07</v>
      </c>
      <c r="AS234" s="466">
        <v>2315164.4</v>
      </c>
    </row>
    <row r="235" spans="1:45" x14ac:dyDescent="0.2">
      <c r="A235" s="465">
        <v>5765</v>
      </c>
      <c r="B235" s="466"/>
      <c r="C235" s="466">
        <v>406.23</v>
      </c>
      <c r="D235" s="466">
        <v>166.07</v>
      </c>
      <c r="E235" s="466">
        <v>38231.56</v>
      </c>
      <c r="F235" s="466">
        <v>0</v>
      </c>
      <c r="G235" s="466">
        <v>0</v>
      </c>
      <c r="H235" s="466">
        <v>0</v>
      </c>
      <c r="I235" s="466"/>
      <c r="J235" s="466"/>
      <c r="K235" s="466">
        <v>0</v>
      </c>
      <c r="L235" s="466">
        <v>0</v>
      </c>
      <c r="M235" s="466"/>
      <c r="N235" s="466">
        <v>0</v>
      </c>
      <c r="O235" s="466">
        <v>0</v>
      </c>
      <c r="P235" s="466">
        <v>0</v>
      </c>
      <c r="Q235" s="466">
        <v>0</v>
      </c>
      <c r="R235" s="466">
        <v>0</v>
      </c>
      <c r="S235" s="466">
        <v>0</v>
      </c>
      <c r="T235" s="466"/>
      <c r="U235" s="466">
        <v>0</v>
      </c>
      <c r="V235" s="466"/>
      <c r="W235" s="466"/>
      <c r="X235" s="466">
        <v>224.05</v>
      </c>
      <c r="Y235" s="466">
        <v>0</v>
      </c>
      <c r="Z235" s="466">
        <v>0</v>
      </c>
      <c r="AA235" s="466">
        <v>0</v>
      </c>
      <c r="AB235" s="466">
        <v>756147.51</v>
      </c>
      <c r="AC235" s="466">
        <v>88921.59</v>
      </c>
      <c r="AD235" s="466">
        <v>12677.3</v>
      </c>
      <c r="AE235" s="466"/>
      <c r="AF235" s="466"/>
      <c r="AG235" s="466">
        <v>897.75</v>
      </c>
      <c r="AH235" s="466">
        <v>970.15</v>
      </c>
      <c r="AI235" s="466"/>
      <c r="AJ235" s="466">
        <v>32449.3</v>
      </c>
      <c r="AK235" s="466">
        <v>31419</v>
      </c>
      <c r="AL235" s="466">
        <v>5642.5</v>
      </c>
      <c r="AM235" s="466">
        <v>3480</v>
      </c>
      <c r="AN235" s="466">
        <v>29995.119999999999</v>
      </c>
      <c r="AO235" s="466">
        <v>7201.33</v>
      </c>
      <c r="AP235" s="466"/>
      <c r="AQ235" s="466">
        <v>61265.5</v>
      </c>
      <c r="AR235" s="466">
        <v>18.149999999999999</v>
      </c>
      <c r="AS235" s="466">
        <v>53317.25</v>
      </c>
    </row>
    <row r="236" spans="1:45" x14ac:dyDescent="0.2">
      <c r="A236" s="465">
        <v>5766</v>
      </c>
      <c r="B236" s="466"/>
      <c r="C236" s="466">
        <v>948</v>
      </c>
      <c r="D236" s="466">
        <v>371.37</v>
      </c>
      <c r="E236" s="466">
        <v>16611.82</v>
      </c>
      <c r="F236" s="466">
        <v>0</v>
      </c>
      <c r="G236" s="466">
        <v>0</v>
      </c>
      <c r="H236" s="466">
        <v>0</v>
      </c>
      <c r="I236" s="466"/>
      <c r="J236" s="466"/>
      <c r="K236" s="466">
        <v>0</v>
      </c>
      <c r="L236" s="466">
        <v>0</v>
      </c>
      <c r="M236" s="466">
        <v>0</v>
      </c>
      <c r="N236" s="466">
        <v>0</v>
      </c>
      <c r="O236" s="466">
        <v>0</v>
      </c>
      <c r="P236" s="466"/>
      <c r="Q236" s="466">
        <v>0</v>
      </c>
      <c r="R236" s="466">
        <v>0</v>
      </c>
      <c r="S236" s="466">
        <v>0</v>
      </c>
      <c r="T236" s="466"/>
      <c r="U236" s="466">
        <v>0</v>
      </c>
      <c r="V236" s="466"/>
      <c r="W236" s="466"/>
      <c r="X236" s="466">
        <v>1332.02</v>
      </c>
      <c r="Y236" s="466">
        <v>0</v>
      </c>
      <c r="Z236" s="466">
        <v>0</v>
      </c>
      <c r="AA236" s="466">
        <v>0</v>
      </c>
      <c r="AB236" s="466">
        <v>981665.95</v>
      </c>
      <c r="AC236" s="466">
        <v>139105.19</v>
      </c>
      <c r="AD236" s="466">
        <v>30624.49</v>
      </c>
      <c r="AE236" s="466"/>
      <c r="AF236" s="466"/>
      <c r="AG236" s="466">
        <v>9412.5</v>
      </c>
      <c r="AH236" s="466">
        <v>1692.6</v>
      </c>
      <c r="AI236" s="466">
        <v>-5391.85</v>
      </c>
      <c r="AJ236" s="466">
        <v>58987.6</v>
      </c>
      <c r="AK236" s="466">
        <v>20955</v>
      </c>
      <c r="AL236" s="466"/>
      <c r="AM236" s="466">
        <v>1900</v>
      </c>
      <c r="AN236" s="466">
        <v>5493.2</v>
      </c>
      <c r="AO236" s="466">
        <v>8271.15</v>
      </c>
      <c r="AP236" s="466"/>
      <c r="AQ236" s="466">
        <v>18660.849999999999</v>
      </c>
      <c r="AR236" s="466">
        <v>86.19</v>
      </c>
      <c r="AS236" s="466">
        <v>27786</v>
      </c>
    </row>
    <row r="237" spans="1:45" x14ac:dyDescent="0.2">
      <c r="A237" s="465">
        <v>5785</v>
      </c>
      <c r="B237" s="466"/>
      <c r="C237" s="466">
        <v>1257.27</v>
      </c>
      <c r="D237" s="466">
        <v>440.34</v>
      </c>
      <c r="E237" s="466">
        <v>9764.2800000000007</v>
      </c>
      <c r="F237" s="466">
        <v>0</v>
      </c>
      <c r="G237" s="466">
        <v>0</v>
      </c>
      <c r="H237" s="466">
        <v>0</v>
      </c>
      <c r="I237" s="466"/>
      <c r="J237" s="466"/>
      <c r="K237" s="466">
        <v>0</v>
      </c>
      <c r="L237" s="466">
        <v>0</v>
      </c>
      <c r="M237" s="466">
        <v>0</v>
      </c>
      <c r="N237" s="466"/>
      <c r="O237" s="466">
        <v>0</v>
      </c>
      <c r="P237" s="466">
        <v>0</v>
      </c>
      <c r="Q237" s="466">
        <v>0</v>
      </c>
      <c r="R237" s="466">
        <v>0</v>
      </c>
      <c r="S237" s="466">
        <v>0</v>
      </c>
      <c r="T237" s="466"/>
      <c r="U237" s="466">
        <v>0</v>
      </c>
      <c r="V237" s="466"/>
      <c r="W237" s="466"/>
      <c r="X237" s="466">
        <v>287.07</v>
      </c>
      <c r="Y237" s="466">
        <v>0</v>
      </c>
      <c r="Z237" s="466">
        <v>0</v>
      </c>
      <c r="AA237" s="466">
        <v>0</v>
      </c>
      <c r="AB237" s="466">
        <v>1073755.75</v>
      </c>
      <c r="AC237" s="466">
        <v>188448.48</v>
      </c>
      <c r="AD237" s="466">
        <v>19643.89</v>
      </c>
      <c r="AE237" s="466"/>
      <c r="AF237" s="466"/>
      <c r="AG237" s="466">
        <v>2096.0500000000002</v>
      </c>
      <c r="AH237" s="466">
        <v>297.25</v>
      </c>
      <c r="AI237" s="466">
        <v>1202.5999999999999</v>
      </c>
      <c r="AJ237" s="466"/>
      <c r="AK237" s="466">
        <v>67824.5</v>
      </c>
      <c r="AL237" s="466">
        <v>32518.2</v>
      </c>
      <c r="AM237" s="466">
        <v>2940</v>
      </c>
      <c r="AN237" s="466">
        <v>399.81</v>
      </c>
      <c r="AO237" s="466">
        <v>16638.2</v>
      </c>
      <c r="AP237" s="466"/>
      <c r="AQ237" s="466">
        <v>32452.7</v>
      </c>
      <c r="AR237" s="466">
        <v>1741.16</v>
      </c>
      <c r="AS237" s="466"/>
    </row>
    <row r="238" spans="1:45" x14ac:dyDescent="0.2">
      <c r="A238" s="465">
        <v>5788</v>
      </c>
      <c r="B238" s="466"/>
      <c r="C238" s="466">
        <v>863.6</v>
      </c>
      <c r="D238" s="466">
        <v>177.32</v>
      </c>
      <c r="E238" s="466">
        <v>10265.540000000001</v>
      </c>
      <c r="F238" s="466">
        <v>0</v>
      </c>
      <c r="G238" s="466">
        <v>0</v>
      </c>
      <c r="H238" s="466">
        <v>0</v>
      </c>
      <c r="I238" s="466"/>
      <c r="J238" s="466"/>
      <c r="K238" s="466">
        <v>0</v>
      </c>
      <c r="L238" s="466">
        <v>0</v>
      </c>
      <c r="M238" s="466">
        <v>0</v>
      </c>
      <c r="N238" s="466"/>
      <c r="O238" s="466">
        <v>0</v>
      </c>
      <c r="P238" s="466"/>
      <c r="Q238" s="466">
        <v>0</v>
      </c>
      <c r="R238" s="466">
        <v>0</v>
      </c>
      <c r="S238" s="466">
        <v>0</v>
      </c>
      <c r="T238" s="466"/>
      <c r="U238" s="466">
        <v>0</v>
      </c>
      <c r="V238" s="466"/>
      <c r="W238" s="466"/>
      <c r="X238" s="466">
        <v>303.48</v>
      </c>
      <c r="Y238" s="466">
        <v>0</v>
      </c>
      <c r="Z238" s="466">
        <v>0</v>
      </c>
      <c r="AA238" s="466">
        <v>0</v>
      </c>
      <c r="AB238" s="466">
        <v>949994.2</v>
      </c>
      <c r="AC238" s="466">
        <v>116678.12</v>
      </c>
      <c r="AD238" s="466">
        <v>21465.43</v>
      </c>
      <c r="AE238" s="466"/>
      <c r="AF238" s="466"/>
      <c r="AG238" s="466">
        <v>1971.25</v>
      </c>
      <c r="AH238" s="466">
        <v>558.9</v>
      </c>
      <c r="AI238" s="466">
        <v>4364</v>
      </c>
      <c r="AJ238" s="466"/>
      <c r="AK238" s="466">
        <v>23527.65</v>
      </c>
      <c r="AL238" s="466"/>
      <c r="AM238" s="466">
        <v>1800</v>
      </c>
      <c r="AN238" s="466">
        <v>5664.79</v>
      </c>
      <c r="AO238" s="466">
        <v>9456.18</v>
      </c>
      <c r="AP238" s="466"/>
      <c r="AQ238" s="466">
        <v>49678</v>
      </c>
      <c r="AR238" s="466">
        <v>69.650000000000006</v>
      </c>
      <c r="AS238" s="466">
        <v>445.1</v>
      </c>
    </row>
    <row r="239" spans="1:45" x14ac:dyDescent="0.2">
      <c r="A239" s="465">
        <v>5790</v>
      </c>
      <c r="B239" s="466"/>
      <c r="C239" s="466">
        <v>500.32</v>
      </c>
      <c r="D239" s="466">
        <v>291.02999999999997</v>
      </c>
      <c r="E239" s="466">
        <v>91.98</v>
      </c>
      <c r="F239" s="466">
        <v>0</v>
      </c>
      <c r="G239" s="466">
        <v>0</v>
      </c>
      <c r="H239" s="466">
        <v>0</v>
      </c>
      <c r="I239" s="466"/>
      <c r="J239" s="466"/>
      <c r="K239" s="466">
        <v>0</v>
      </c>
      <c r="L239" s="466">
        <v>0</v>
      </c>
      <c r="M239" s="466">
        <v>0</v>
      </c>
      <c r="N239" s="466"/>
      <c r="O239" s="466">
        <v>0</v>
      </c>
      <c r="P239" s="466">
        <v>0</v>
      </c>
      <c r="Q239" s="466">
        <v>0</v>
      </c>
      <c r="R239" s="466"/>
      <c r="S239" s="466">
        <v>0</v>
      </c>
      <c r="T239" s="466"/>
      <c r="U239" s="466">
        <v>0</v>
      </c>
      <c r="V239" s="466"/>
      <c r="W239" s="466"/>
      <c r="X239" s="466">
        <v>968.15</v>
      </c>
      <c r="Y239" s="466">
        <v>0</v>
      </c>
      <c r="Z239" s="466">
        <v>0</v>
      </c>
      <c r="AA239" s="466">
        <v>0</v>
      </c>
      <c r="AB239" s="466">
        <v>779342.54</v>
      </c>
      <c r="AC239" s="466">
        <v>92962.16</v>
      </c>
      <c r="AD239" s="466">
        <v>23539.63</v>
      </c>
      <c r="AE239" s="466"/>
      <c r="AF239" s="466"/>
      <c r="AG239" s="466">
        <v>7423.25</v>
      </c>
      <c r="AH239" s="466">
        <v>648.20000000000005</v>
      </c>
      <c r="AI239" s="466">
        <v>2948</v>
      </c>
      <c r="AJ239" s="466"/>
      <c r="AK239" s="466">
        <v>38445.15</v>
      </c>
      <c r="AL239" s="466">
        <v>0</v>
      </c>
      <c r="AM239" s="466">
        <v>4900</v>
      </c>
      <c r="AN239" s="466"/>
      <c r="AO239" s="466">
        <v>5926.73</v>
      </c>
      <c r="AP239" s="466"/>
      <c r="AQ239" s="466">
        <v>17586.650000000001</v>
      </c>
      <c r="AR239" s="466">
        <v>394.87</v>
      </c>
      <c r="AS239" s="466">
        <v>8885.9</v>
      </c>
    </row>
    <row r="240" spans="1:45" x14ac:dyDescent="0.2">
      <c r="A240" s="465">
        <v>5792</v>
      </c>
      <c r="B240" s="466"/>
      <c r="C240" s="466">
        <v>937</v>
      </c>
      <c r="D240" s="466">
        <v>352.05</v>
      </c>
      <c r="E240" s="466">
        <v>11325.64</v>
      </c>
      <c r="F240" s="466">
        <v>0</v>
      </c>
      <c r="G240" s="466">
        <v>0</v>
      </c>
      <c r="H240" s="466">
        <v>0</v>
      </c>
      <c r="I240" s="466"/>
      <c r="J240" s="466"/>
      <c r="K240" s="466">
        <v>0</v>
      </c>
      <c r="L240" s="466">
        <v>0</v>
      </c>
      <c r="M240" s="466">
        <v>0</v>
      </c>
      <c r="N240" s="466"/>
      <c r="O240" s="466">
        <v>0</v>
      </c>
      <c r="P240" s="466">
        <v>0</v>
      </c>
      <c r="Q240" s="466">
        <v>0</v>
      </c>
      <c r="R240" s="466">
        <v>0</v>
      </c>
      <c r="S240" s="466">
        <v>0</v>
      </c>
      <c r="T240" s="466"/>
      <c r="U240" s="466">
        <v>0</v>
      </c>
      <c r="V240" s="466"/>
      <c r="W240" s="466"/>
      <c r="X240" s="466">
        <v>356.03</v>
      </c>
      <c r="Y240" s="466">
        <v>0</v>
      </c>
      <c r="Z240" s="466">
        <v>0</v>
      </c>
      <c r="AA240" s="466">
        <v>0</v>
      </c>
      <c r="AB240" s="466">
        <v>1096366.48</v>
      </c>
      <c r="AC240" s="466">
        <v>95741.17</v>
      </c>
      <c r="AD240" s="466">
        <v>18841.11</v>
      </c>
      <c r="AE240" s="466"/>
      <c r="AF240" s="466"/>
      <c r="AG240" s="466">
        <v>693.8</v>
      </c>
      <c r="AH240" s="466">
        <v>2274.4</v>
      </c>
      <c r="AI240" s="466">
        <v>-1992</v>
      </c>
      <c r="AJ240" s="466"/>
      <c r="AK240" s="466">
        <v>52272</v>
      </c>
      <c r="AL240" s="466">
        <v>7826.8</v>
      </c>
      <c r="AM240" s="466">
        <v>4270</v>
      </c>
      <c r="AN240" s="466">
        <v>1084.8900000000001</v>
      </c>
      <c r="AO240" s="466">
        <v>9682.58</v>
      </c>
      <c r="AP240" s="466"/>
      <c r="AQ240" s="466">
        <v>51778.25</v>
      </c>
      <c r="AR240" s="466">
        <v>4.33</v>
      </c>
      <c r="AS240" s="466">
        <v>116.15</v>
      </c>
    </row>
    <row r="241" spans="1:45" x14ac:dyDescent="0.2">
      <c r="A241" s="465">
        <v>5798</v>
      </c>
      <c r="B241" s="466"/>
      <c r="C241" s="466">
        <v>1664.28</v>
      </c>
      <c r="D241" s="466">
        <v>257.89999999999998</v>
      </c>
      <c r="E241" s="466">
        <v>13965.28</v>
      </c>
      <c r="F241" s="466">
        <v>0</v>
      </c>
      <c r="G241" s="466">
        <v>0</v>
      </c>
      <c r="H241" s="466">
        <v>0</v>
      </c>
      <c r="I241" s="466"/>
      <c r="J241" s="466"/>
      <c r="K241" s="466">
        <v>0</v>
      </c>
      <c r="L241" s="466">
        <v>0</v>
      </c>
      <c r="M241" s="466">
        <v>0</v>
      </c>
      <c r="N241" s="466"/>
      <c r="O241" s="466">
        <v>0</v>
      </c>
      <c r="P241" s="466">
        <v>0</v>
      </c>
      <c r="Q241" s="466">
        <v>0</v>
      </c>
      <c r="R241" s="466">
        <v>0</v>
      </c>
      <c r="S241" s="466">
        <v>0</v>
      </c>
      <c r="T241" s="466"/>
      <c r="U241" s="466">
        <v>0</v>
      </c>
      <c r="V241" s="466"/>
      <c r="W241" s="466"/>
      <c r="X241" s="466">
        <v>1323.52</v>
      </c>
      <c r="Y241" s="466">
        <v>0</v>
      </c>
      <c r="Z241" s="466">
        <v>0</v>
      </c>
      <c r="AA241" s="466">
        <v>0</v>
      </c>
      <c r="AB241" s="466">
        <v>980135.85</v>
      </c>
      <c r="AC241" s="466">
        <v>134403.87</v>
      </c>
      <c r="AD241" s="466">
        <v>21076.43</v>
      </c>
      <c r="AE241" s="466"/>
      <c r="AF241" s="466"/>
      <c r="AG241" s="466">
        <v>9506.1</v>
      </c>
      <c r="AH241" s="466">
        <v>1528.15</v>
      </c>
      <c r="AI241" s="466">
        <v>6288.25</v>
      </c>
      <c r="AJ241" s="466"/>
      <c r="AK241" s="466">
        <v>42477.9</v>
      </c>
      <c r="AL241" s="466">
        <v>15707.6</v>
      </c>
      <c r="AM241" s="466">
        <v>2970</v>
      </c>
      <c r="AN241" s="466">
        <v>791.08</v>
      </c>
      <c r="AO241" s="466">
        <v>6581.55</v>
      </c>
      <c r="AP241" s="466"/>
      <c r="AQ241" s="466">
        <v>10790.15</v>
      </c>
      <c r="AR241" s="466">
        <v>77.489999999999995</v>
      </c>
      <c r="AS241" s="466">
        <v>21843.25</v>
      </c>
    </row>
    <row r="242" spans="1:45" x14ac:dyDescent="0.2">
      <c r="A242" s="465">
        <v>5799</v>
      </c>
      <c r="B242" s="466"/>
      <c r="C242" s="466">
        <v>1988.5</v>
      </c>
      <c r="D242" s="466">
        <v>1212.72</v>
      </c>
      <c r="E242" s="466">
        <v>37689.599999999999</v>
      </c>
      <c r="F242" s="466">
        <v>0</v>
      </c>
      <c r="G242" s="466">
        <v>0</v>
      </c>
      <c r="H242" s="466">
        <v>0</v>
      </c>
      <c r="I242" s="466"/>
      <c r="J242" s="466"/>
      <c r="K242" s="466">
        <v>0</v>
      </c>
      <c r="L242" s="466">
        <v>0</v>
      </c>
      <c r="M242" s="466">
        <v>0</v>
      </c>
      <c r="N242" s="466"/>
      <c r="O242" s="466">
        <v>0</v>
      </c>
      <c r="P242" s="466">
        <v>0</v>
      </c>
      <c r="Q242" s="466">
        <v>0</v>
      </c>
      <c r="R242" s="466">
        <v>0</v>
      </c>
      <c r="S242" s="466">
        <v>0</v>
      </c>
      <c r="T242" s="466"/>
      <c r="U242" s="466">
        <v>0</v>
      </c>
      <c r="V242" s="466"/>
      <c r="W242" s="466"/>
      <c r="X242" s="466">
        <v>3077</v>
      </c>
      <c r="Y242" s="466">
        <v>0</v>
      </c>
      <c r="Z242" s="466">
        <v>0</v>
      </c>
      <c r="AA242" s="466">
        <v>0</v>
      </c>
      <c r="AB242" s="466">
        <v>3795368.05</v>
      </c>
      <c r="AC242" s="466">
        <v>513167.28</v>
      </c>
      <c r="AD242" s="466">
        <v>61021.97</v>
      </c>
      <c r="AE242" s="466"/>
      <c r="AF242" s="466"/>
      <c r="AG242" s="466">
        <v>23065.65</v>
      </c>
      <c r="AH242" s="466">
        <v>2587.4</v>
      </c>
      <c r="AI242" s="466">
        <v>20849.349999999999</v>
      </c>
      <c r="AJ242" s="466"/>
      <c r="AK242" s="466">
        <v>284271.75</v>
      </c>
      <c r="AL242" s="466">
        <v>39892.699999999997</v>
      </c>
      <c r="AM242" s="466">
        <v>9600</v>
      </c>
      <c r="AN242" s="466">
        <v>11812.31</v>
      </c>
      <c r="AO242" s="466">
        <v>31423.78</v>
      </c>
      <c r="AP242" s="466"/>
      <c r="AQ242" s="466">
        <v>250111.05</v>
      </c>
      <c r="AR242" s="466">
        <v>571.88</v>
      </c>
      <c r="AS242" s="466">
        <v>26847.85</v>
      </c>
    </row>
    <row r="243" spans="1:45" x14ac:dyDescent="0.2">
      <c r="A243" s="465">
        <v>5803</v>
      </c>
      <c r="B243" s="466"/>
      <c r="C243" s="466">
        <v>1101.1300000000001</v>
      </c>
      <c r="D243" s="466">
        <v>543.86</v>
      </c>
      <c r="E243" s="466">
        <v>39936.660000000003</v>
      </c>
      <c r="F243" s="466">
        <v>0</v>
      </c>
      <c r="G243" s="466">
        <v>0</v>
      </c>
      <c r="H243" s="466">
        <v>0</v>
      </c>
      <c r="I243" s="466"/>
      <c r="J243" s="466"/>
      <c r="K243" s="466">
        <v>0</v>
      </c>
      <c r="L243" s="466">
        <v>0</v>
      </c>
      <c r="M243" s="466"/>
      <c r="N243" s="466"/>
      <c r="O243" s="466">
        <v>0</v>
      </c>
      <c r="P243" s="466">
        <v>0</v>
      </c>
      <c r="Q243" s="466">
        <v>0</v>
      </c>
      <c r="R243" s="466">
        <v>0</v>
      </c>
      <c r="S243" s="466">
        <v>0</v>
      </c>
      <c r="T243" s="466"/>
      <c r="U243" s="466">
        <v>0</v>
      </c>
      <c r="V243" s="466"/>
      <c r="W243" s="466"/>
      <c r="X243" s="466">
        <v>-178.44</v>
      </c>
      <c r="Y243" s="466">
        <v>0</v>
      </c>
      <c r="Z243" s="466">
        <v>0</v>
      </c>
      <c r="AA243" s="466">
        <v>0</v>
      </c>
      <c r="AB243" s="466">
        <v>1193997.79</v>
      </c>
      <c r="AC243" s="466">
        <v>147057.65</v>
      </c>
      <c r="AD243" s="466">
        <v>26442.34</v>
      </c>
      <c r="AE243" s="466"/>
      <c r="AF243" s="466"/>
      <c r="AG243" s="466">
        <v>-2068</v>
      </c>
      <c r="AH243" s="466">
        <v>580.29999999999995</v>
      </c>
      <c r="AI243" s="466"/>
      <c r="AJ243" s="466"/>
      <c r="AK243" s="466">
        <v>12735.6</v>
      </c>
      <c r="AL243" s="466">
        <v>39814.300000000003</v>
      </c>
      <c r="AM243" s="466">
        <v>5300</v>
      </c>
      <c r="AN243" s="466">
        <v>3726.78</v>
      </c>
      <c r="AO243" s="466">
        <v>11486.84</v>
      </c>
      <c r="AP243" s="466"/>
      <c r="AQ243" s="466">
        <v>11322.85</v>
      </c>
      <c r="AR243" s="466">
        <v>335.67</v>
      </c>
      <c r="AS243" s="466">
        <v>959.9</v>
      </c>
    </row>
    <row r="244" spans="1:45" x14ac:dyDescent="0.2">
      <c r="A244" s="465">
        <v>5804</v>
      </c>
      <c r="B244" s="466"/>
      <c r="C244" s="466">
        <v>1836.97</v>
      </c>
      <c r="D244" s="466">
        <v>923.24</v>
      </c>
      <c r="E244" s="466">
        <v>71782.210000000006</v>
      </c>
      <c r="F244" s="466">
        <v>0</v>
      </c>
      <c r="G244" s="466">
        <v>0</v>
      </c>
      <c r="H244" s="466">
        <v>0</v>
      </c>
      <c r="I244" s="466"/>
      <c r="J244" s="466"/>
      <c r="K244" s="466">
        <v>0</v>
      </c>
      <c r="L244" s="466">
        <v>0</v>
      </c>
      <c r="M244" s="466">
        <v>0</v>
      </c>
      <c r="N244" s="466"/>
      <c r="O244" s="466">
        <v>0</v>
      </c>
      <c r="P244" s="466">
        <v>0</v>
      </c>
      <c r="Q244" s="466">
        <v>0</v>
      </c>
      <c r="R244" s="466">
        <v>0</v>
      </c>
      <c r="S244" s="466">
        <v>0</v>
      </c>
      <c r="T244" s="466"/>
      <c r="U244" s="466">
        <v>0</v>
      </c>
      <c r="V244" s="466"/>
      <c r="W244" s="466"/>
      <c r="X244" s="466">
        <v>6746.62</v>
      </c>
      <c r="Y244" s="466">
        <v>0</v>
      </c>
      <c r="Z244" s="466">
        <v>0</v>
      </c>
      <c r="AA244" s="466">
        <v>0</v>
      </c>
      <c r="AB244" s="466">
        <v>2607873.27</v>
      </c>
      <c r="AC244" s="466">
        <v>401016.37</v>
      </c>
      <c r="AD244" s="466">
        <v>17046.580000000002</v>
      </c>
      <c r="AE244" s="466"/>
      <c r="AF244" s="466"/>
      <c r="AG244" s="466">
        <v>54944.3</v>
      </c>
      <c r="AH244" s="466">
        <v>1302.4000000000001</v>
      </c>
      <c r="AI244" s="466">
        <v>3532.6</v>
      </c>
      <c r="AJ244" s="466"/>
      <c r="AK244" s="466">
        <v>158492.65</v>
      </c>
      <c r="AL244" s="466">
        <v>117376.8</v>
      </c>
      <c r="AM244" s="466">
        <v>15450</v>
      </c>
      <c r="AN244" s="466">
        <v>603.1</v>
      </c>
      <c r="AO244" s="466">
        <v>27137.1</v>
      </c>
      <c r="AP244" s="466"/>
      <c r="AQ244" s="466">
        <v>116405.75</v>
      </c>
      <c r="AR244" s="466">
        <v>60.84</v>
      </c>
      <c r="AS244" s="466">
        <v>8222.75</v>
      </c>
    </row>
    <row r="245" spans="1:45" x14ac:dyDescent="0.2">
      <c r="A245" s="465">
        <v>5805</v>
      </c>
      <c r="B245" s="466"/>
      <c r="C245" s="466">
        <v>7526.62</v>
      </c>
      <c r="D245" s="466">
        <v>2775.14</v>
      </c>
      <c r="E245" s="466">
        <v>218205.85</v>
      </c>
      <c r="F245" s="466">
        <v>0</v>
      </c>
      <c r="G245" s="466">
        <v>0</v>
      </c>
      <c r="H245" s="466">
        <v>0</v>
      </c>
      <c r="I245" s="466"/>
      <c r="J245" s="466"/>
      <c r="K245" s="466">
        <v>0</v>
      </c>
      <c r="L245" s="466">
        <v>0</v>
      </c>
      <c r="M245" s="466">
        <v>0</v>
      </c>
      <c r="N245" s="466"/>
      <c r="O245" s="466">
        <v>0</v>
      </c>
      <c r="P245" s="466">
        <v>0</v>
      </c>
      <c r="Q245" s="466">
        <v>0</v>
      </c>
      <c r="R245" s="466">
        <v>0</v>
      </c>
      <c r="S245" s="466">
        <v>0</v>
      </c>
      <c r="T245" s="466"/>
      <c r="U245" s="466">
        <v>0</v>
      </c>
      <c r="V245" s="466"/>
      <c r="W245" s="466"/>
      <c r="X245" s="466">
        <v>73317.84</v>
      </c>
      <c r="Y245" s="466">
        <v>0</v>
      </c>
      <c r="Z245" s="466">
        <v>0</v>
      </c>
      <c r="AA245" s="466">
        <v>0</v>
      </c>
      <c r="AB245" s="466">
        <v>8139400.0999999996</v>
      </c>
      <c r="AC245" s="466">
        <v>910030.75</v>
      </c>
      <c r="AD245" s="466">
        <v>172989.54</v>
      </c>
      <c r="AE245" s="466"/>
      <c r="AF245" s="466"/>
      <c r="AG245" s="466">
        <v>551933.9</v>
      </c>
      <c r="AH245" s="466">
        <v>59318.7</v>
      </c>
      <c r="AI245" s="466">
        <v>1707.05</v>
      </c>
      <c r="AJ245" s="466"/>
      <c r="AK245" s="466">
        <v>305685.7</v>
      </c>
      <c r="AL245" s="466">
        <v>146473.20000000001</v>
      </c>
      <c r="AM245" s="466">
        <v>38830</v>
      </c>
      <c r="AN245" s="466">
        <v>56114.74</v>
      </c>
      <c r="AO245" s="466">
        <v>83065.320000000007</v>
      </c>
      <c r="AP245" s="466"/>
      <c r="AQ245" s="466">
        <v>186201.7</v>
      </c>
      <c r="AR245" s="466">
        <v>10693.07</v>
      </c>
      <c r="AS245" s="466">
        <v>124255.6</v>
      </c>
    </row>
    <row r="246" spans="1:45" x14ac:dyDescent="0.2">
      <c r="A246" s="465">
        <v>5812</v>
      </c>
      <c r="B246" s="466"/>
      <c r="C246" s="466">
        <v>46.06</v>
      </c>
      <c r="D246" s="466">
        <v>53.73</v>
      </c>
      <c r="E246" s="466">
        <v>5185.42</v>
      </c>
      <c r="F246" s="466">
        <v>0</v>
      </c>
      <c r="G246" s="466">
        <v>0</v>
      </c>
      <c r="H246" s="466"/>
      <c r="I246" s="466"/>
      <c r="J246" s="466"/>
      <c r="K246" s="466">
        <v>0</v>
      </c>
      <c r="L246" s="466">
        <v>0</v>
      </c>
      <c r="M246" s="466">
        <v>0</v>
      </c>
      <c r="N246" s="466"/>
      <c r="O246" s="466">
        <v>0</v>
      </c>
      <c r="P246" s="466">
        <v>0</v>
      </c>
      <c r="Q246" s="466">
        <v>0</v>
      </c>
      <c r="R246" s="466"/>
      <c r="S246" s="466">
        <v>0</v>
      </c>
      <c r="T246" s="466"/>
      <c r="U246" s="466">
        <v>0</v>
      </c>
      <c r="V246" s="466"/>
      <c r="W246" s="466"/>
      <c r="X246" s="466">
        <v>-460.09</v>
      </c>
      <c r="Y246" s="466">
        <v>0</v>
      </c>
      <c r="Z246" s="466">
        <v>0</v>
      </c>
      <c r="AA246" s="466">
        <v>0</v>
      </c>
      <c r="AB246" s="466">
        <v>150659.70000000001</v>
      </c>
      <c r="AC246" s="466">
        <v>31222.799999999999</v>
      </c>
      <c r="AD246" s="466"/>
      <c r="AE246" s="466"/>
      <c r="AF246" s="466"/>
      <c r="AG246" s="466">
        <v>-4529.45</v>
      </c>
      <c r="AH246" s="466">
        <v>693.7</v>
      </c>
      <c r="AI246" s="466">
        <v>637.5</v>
      </c>
      <c r="AJ246" s="466"/>
      <c r="AK246" s="466">
        <v>9223.0499999999993</v>
      </c>
      <c r="AL246" s="466">
        <v>1716.7</v>
      </c>
      <c r="AM246" s="466">
        <v>500</v>
      </c>
      <c r="AN246" s="466"/>
      <c r="AO246" s="466">
        <v>4431.8900000000003</v>
      </c>
      <c r="AP246" s="466"/>
      <c r="AQ246" s="466">
        <v>15795.2</v>
      </c>
      <c r="AR246" s="466">
        <v>82.27</v>
      </c>
      <c r="AS246" s="466"/>
    </row>
    <row r="247" spans="1:45" x14ac:dyDescent="0.2">
      <c r="A247" s="465">
        <v>5813</v>
      </c>
      <c r="B247" s="466"/>
      <c r="C247" s="466">
        <v>352.78</v>
      </c>
      <c r="D247" s="466">
        <v>259.49</v>
      </c>
      <c r="E247" s="466">
        <v>18087.39</v>
      </c>
      <c r="F247" s="466">
        <v>0</v>
      </c>
      <c r="G247" s="466">
        <v>0</v>
      </c>
      <c r="H247" s="466">
        <v>0</v>
      </c>
      <c r="I247" s="466"/>
      <c r="J247" s="466"/>
      <c r="K247" s="466">
        <v>0</v>
      </c>
      <c r="L247" s="466">
        <v>0</v>
      </c>
      <c r="M247" s="466"/>
      <c r="N247" s="466"/>
      <c r="O247" s="466">
        <v>0</v>
      </c>
      <c r="P247" s="466"/>
      <c r="Q247" s="466">
        <v>0</v>
      </c>
      <c r="R247" s="466"/>
      <c r="S247" s="466">
        <v>0</v>
      </c>
      <c r="T247" s="466"/>
      <c r="U247" s="466">
        <v>0</v>
      </c>
      <c r="V247" s="466"/>
      <c r="W247" s="466"/>
      <c r="X247" s="466">
        <v>2479.1799999999998</v>
      </c>
      <c r="Y247" s="466">
        <v>0</v>
      </c>
      <c r="Z247" s="466">
        <v>0</v>
      </c>
      <c r="AA247" s="466">
        <v>0</v>
      </c>
      <c r="AB247" s="466">
        <v>814631.96</v>
      </c>
      <c r="AC247" s="466">
        <v>104000.15</v>
      </c>
      <c r="AD247" s="466">
        <v>19887.509999999998</v>
      </c>
      <c r="AE247" s="466"/>
      <c r="AF247" s="466"/>
      <c r="AG247" s="466">
        <v>20282.599999999999</v>
      </c>
      <c r="AH247" s="466">
        <v>386.35</v>
      </c>
      <c r="AI247" s="466"/>
      <c r="AJ247" s="466"/>
      <c r="AK247" s="466">
        <v>31951.200000000001</v>
      </c>
      <c r="AL247" s="466"/>
      <c r="AM247" s="466">
        <v>5800</v>
      </c>
      <c r="AN247" s="466"/>
      <c r="AO247" s="466">
        <v>10918.53</v>
      </c>
      <c r="AP247" s="466"/>
      <c r="AQ247" s="466">
        <v>21245.65</v>
      </c>
      <c r="AR247" s="466">
        <v>32.130000000000003</v>
      </c>
      <c r="AS247" s="466"/>
    </row>
    <row r="248" spans="1:45" x14ac:dyDescent="0.2">
      <c r="A248" s="465">
        <v>5816</v>
      </c>
      <c r="B248" s="466"/>
      <c r="C248" s="466">
        <v>4216.29</v>
      </c>
      <c r="D248" s="466">
        <v>1262.6500000000001</v>
      </c>
      <c r="E248" s="466">
        <v>103745.94</v>
      </c>
      <c r="F248" s="466">
        <v>0</v>
      </c>
      <c r="G248" s="466">
        <v>0</v>
      </c>
      <c r="H248" s="466">
        <v>0</v>
      </c>
      <c r="I248" s="466"/>
      <c r="J248" s="466"/>
      <c r="K248" s="466">
        <v>0</v>
      </c>
      <c r="L248" s="466">
        <v>0</v>
      </c>
      <c r="M248" s="466">
        <v>0</v>
      </c>
      <c r="N248" s="466"/>
      <c r="O248" s="466">
        <v>0</v>
      </c>
      <c r="P248" s="466">
        <v>0</v>
      </c>
      <c r="Q248" s="466">
        <v>0</v>
      </c>
      <c r="R248" s="466">
        <v>0</v>
      </c>
      <c r="S248" s="466">
        <v>0</v>
      </c>
      <c r="T248" s="466"/>
      <c r="U248" s="466">
        <v>0</v>
      </c>
      <c r="V248" s="466"/>
      <c r="W248" s="466"/>
      <c r="X248" s="466">
        <v>13054.08</v>
      </c>
      <c r="Y248" s="466">
        <v>0</v>
      </c>
      <c r="Z248" s="466">
        <v>0</v>
      </c>
      <c r="AA248" s="466">
        <v>0</v>
      </c>
      <c r="AB248" s="466">
        <v>3187254.37</v>
      </c>
      <c r="AC248" s="466">
        <v>322933.43</v>
      </c>
      <c r="AD248" s="466">
        <v>141840.5</v>
      </c>
      <c r="AE248" s="466"/>
      <c r="AF248" s="466"/>
      <c r="AG248" s="466">
        <v>81218.5</v>
      </c>
      <c r="AH248" s="466">
        <v>27613.7</v>
      </c>
      <c r="AI248" s="466">
        <v>35251</v>
      </c>
      <c r="AJ248" s="466"/>
      <c r="AK248" s="466">
        <v>274976.25</v>
      </c>
      <c r="AL248" s="466">
        <v>1729.1</v>
      </c>
      <c r="AM248" s="466">
        <v>8850</v>
      </c>
      <c r="AN248" s="466">
        <v>60788.11</v>
      </c>
      <c r="AO248" s="466">
        <v>41517.75</v>
      </c>
      <c r="AP248" s="466"/>
      <c r="AQ248" s="466">
        <v>66491.5</v>
      </c>
      <c r="AR248" s="466">
        <v>109.39</v>
      </c>
      <c r="AS248" s="466">
        <v>21017.599999999999</v>
      </c>
    </row>
    <row r="249" spans="1:45" x14ac:dyDescent="0.2">
      <c r="A249" s="465">
        <v>5817</v>
      </c>
      <c r="B249" s="466"/>
      <c r="C249" s="466">
        <v>679.31</v>
      </c>
      <c r="D249" s="466">
        <v>585.21</v>
      </c>
      <c r="E249" s="466">
        <v>30557.05</v>
      </c>
      <c r="F249" s="466">
        <v>0</v>
      </c>
      <c r="G249" s="466">
        <v>0</v>
      </c>
      <c r="H249" s="466">
        <v>0</v>
      </c>
      <c r="I249" s="466"/>
      <c r="J249" s="466"/>
      <c r="K249" s="466">
        <v>0</v>
      </c>
      <c r="L249" s="466">
        <v>0</v>
      </c>
      <c r="M249" s="466">
        <v>0</v>
      </c>
      <c r="N249" s="466"/>
      <c r="O249" s="466">
        <v>0</v>
      </c>
      <c r="P249" s="466"/>
      <c r="Q249" s="466">
        <v>0</v>
      </c>
      <c r="R249" s="466"/>
      <c r="S249" s="466">
        <v>0</v>
      </c>
      <c r="T249" s="466"/>
      <c r="U249" s="466">
        <v>0</v>
      </c>
      <c r="V249" s="466"/>
      <c r="W249" s="466"/>
      <c r="X249" s="466">
        <v>1015.77</v>
      </c>
      <c r="Y249" s="466">
        <v>0</v>
      </c>
      <c r="Z249" s="466">
        <v>0</v>
      </c>
      <c r="AA249" s="466">
        <v>0</v>
      </c>
      <c r="AB249" s="466">
        <v>1317629.3700000001</v>
      </c>
      <c r="AC249" s="466">
        <v>140626.59</v>
      </c>
      <c r="AD249" s="466">
        <v>28493.41</v>
      </c>
      <c r="AE249" s="466"/>
      <c r="AF249" s="466"/>
      <c r="AG249" s="466">
        <v>7545.75</v>
      </c>
      <c r="AH249" s="466">
        <v>922.75</v>
      </c>
      <c r="AI249" s="466">
        <v>4565.45</v>
      </c>
      <c r="AJ249" s="466"/>
      <c r="AK249" s="466">
        <v>42402.65</v>
      </c>
      <c r="AL249" s="466"/>
      <c r="AM249" s="466">
        <v>4375</v>
      </c>
      <c r="AN249" s="466"/>
      <c r="AO249" s="466">
        <v>16249.28</v>
      </c>
      <c r="AP249" s="466"/>
      <c r="AQ249" s="466">
        <v>11832.55</v>
      </c>
      <c r="AR249" s="466">
        <v>58.94</v>
      </c>
      <c r="AS249" s="466">
        <v>597.70000000000005</v>
      </c>
    </row>
    <row r="250" spans="1:45" x14ac:dyDescent="0.2">
      <c r="A250" s="465">
        <v>5819</v>
      </c>
      <c r="B250" s="466"/>
      <c r="C250" s="466">
        <v>347.78</v>
      </c>
      <c r="D250" s="466">
        <v>232.09</v>
      </c>
      <c r="E250" s="466">
        <v>110582.45</v>
      </c>
      <c r="F250" s="466">
        <v>0</v>
      </c>
      <c r="G250" s="466">
        <v>0</v>
      </c>
      <c r="H250" s="466">
        <v>0</v>
      </c>
      <c r="I250" s="466"/>
      <c r="J250" s="466"/>
      <c r="K250" s="466">
        <v>0</v>
      </c>
      <c r="L250" s="466">
        <v>0</v>
      </c>
      <c r="M250" s="466">
        <v>0</v>
      </c>
      <c r="N250" s="466"/>
      <c r="O250" s="466">
        <v>0</v>
      </c>
      <c r="P250" s="466">
        <v>0</v>
      </c>
      <c r="Q250" s="466">
        <v>0</v>
      </c>
      <c r="R250" s="466">
        <v>0</v>
      </c>
      <c r="S250" s="466">
        <v>0</v>
      </c>
      <c r="T250" s="466"/>
      <c r="U250" s="466"/>
      <c r="V250" s="466"/>
      <c r="W250" s="466"/>
      <c r="X250" s="466">
        <v>9744.01</v>
      </c>
      <c r="Y250" s="466">
        <v>0</v>
      </c>
      <c r="Z250" s="466">
        <v>0</v>
      </c>
      <c r="AA250" s="466">
        <v>0</v>
      </c>
      <c r="AB250" s="466">
        <v>528859</v>
      </c>
      <c r="AC250" s="466">
        <v>176748.12</v>
      </c>
      <c r="AD250" s="466">
        <v>11764.43</v>
      </c>
      <c r="AE250" s="466"/>
      <c r="AF250" s="466"/>
      <c r="AG250" s="466">
        <v>82194</v>
      </c>
      <c r="AH250" s="466">
        <v>-958</v>
      </c>
      <c r="AI250" s="466">
        <v>2047.3</v>
      </c>
      <c r="AJ250" s="466"/>
      <c r="AK250" s="466">
        <v>39219.949999999997</v>
      </c>
      <c r="AL250" s="466">
        <v>-57.25</v>
      </c>
      <c r="AM250" s="466">
        <v>850</v>
      </c>
      <c r="AN250" s="466">
        <v>7342.54</v>
      </c>
      <c r="AO250" s="466">
        <v>12976.64</v>
      </c>
      <c r="AP250" s="466"/>
      <c r="AQ250" s="466"/>
      <c r="AR250" s="466">
        <v>141.16999999999999</v>
      </c>
      <c r="AS250" s="466">
        <v>4251.7</v>
      </c>
    </row>
    <row r="251" spans="1:45" x14ac:dyDescent="0.2">
      <c r="A251" s="465">
        <v>5821</v>
      </c>
      <c r="B251" s="466"/>
      <c r="C251" s="466">
        <v>529.24</v>
      </c>
      <c r="D251" s="466">
        <v>163.13</v>
      </c>
      <c r="E251" s="466">
        <v>53017.08</v>
      </c>
      <c r="F251" s="466">
        <v>0</v>
      </c>
      <c r="G251" s="466">
        <v>0</v>
      </c>
      <c r="H251" s="466">
        <v>0</v>
      </c>
      <c r="I251" s="466"/>
      <c r="J251" s="466"/>
      <c r="K251" s="466">
        <v>0</v>
      </c>
      <c r="L251" s="466">
        <v>0</v>
      </c>
      <c r="M251" s="466">
        <v>0</v>
      </c>
      <c r="N251" s="466"/>
      <c r="O251" s="466">
        <v>0</v>
      </c>
      <c r="P251" s="466"/>
      <c r="Q251" s="466">
        <v>0</v>
      </c>
      <c r="R251" s="466">
        <v>0</v>
      </c>
      <c r="S251" s="466">
        <v>0</v>
      </c>
      <c r="T251" s="466"/>
      <c r="U251" s="466">
        <v>0</v>
      </c>
      <c r="V251" s="466"/>
      <c r="W251" s="466"/>
      <c r="X251" s="466">
        <v>468.06</v>
      </c>
      <c r="Y251" s="466">
        <v>0</v>
      </c>
      <c r="Z251" s="466">
        <v>0</v>
      </c>
      <c r="AA251" s="466">
        <v>0</v>
      </c>
      <c r="AB251" s="466">
        <v>490051.39</v>
      </c>
      <c r="AC251" s="466">
        <v>58055.65</v>
      </c>
      <c r="AD251" s="466">
        <v>14087.59</v>
      </c>
      <c r="AE251" s="466"/>
      <c r="AF251" s="466"/>
      <c r="AG251" s="466">
        <v>3495.65</v>
      </c>
      <c r="AH251" s="466">
        <v>406.55</v>
      </c>
      <c r="AI251" s="466">
        <v>1305</v>
      </c>
      <c r="AJ251" s="466"/>
      <c r="AK251" s="466">
        <v>25626.400000000001</v>
      </c>
      <c r="AL251" s="466"/>
      <c r="AM251" s="466">
        <v>2100</v>
      </c>
      <c r="AN251" s="466">
        <v>290.04000000000002</v>
      </c>
      <c r="AO251" s="466">
        <v>6789.62</v>
      </c>
      <c r="AP251" s="466"/>
      <c r="AQ251" s="466">
        <v>6413.9</v>
      </c>
      <c r="AR251" s="466">
        <v>15.82</v>
      </c>
      <c r="AS251" s="466"/>
    </row>
    <row r="252" spans="1:45" x14ac:dyDescent="0.2">
      <c r="A252" s="465">
        <v>5822</v>
      </c>
      <c r="B252" s="466"/>
      <c r="C252" s="466">
        <v>17268.68</v>
      </c>
      <c r="D252" s="466">
        <v>6205.8</v>
      </c>
      <c r="E252" s="466">
        <v>554597.1</v>
      </c>
      <c r="F252" s="466">
        <v>0</v>
      </c>
      <c r="G252" s="466">
        <v>0</v>
      </c>
      <c r="H252" s="466">
        <v>0</v>
      </c>
      <c r="I252" s="466"/>
      <c r="J252" s="466"/>
      <c r="K252" s="466">
        <v>0</v>
      </c>
      <c r="L252" s="466">
        <v>0</v>
      </c>
      <c r="M252" s="466">
        <v>0</v>
      </c>
      <c r="N252" s="466"/>
      <c r="O252" s="466">
        <v>0</v>
      </c>
      <c r="P252" s="466">
        <v>0</v>
      </c>
      <c r="Q252" s="466">
        <v>0</v>
      </c>
      <c r="R252" s="466">
        <v>0</v>
      </c>
      <c r="S252" s="466">
        <v>0</v>
      </c>
      <c r="T252" s="466"/>
      <c r="U252" s="466">
        <v>0</v>
      </c>
      <c r="V252" s="466"/>
      <c r="W252" s="466"/>
      <c r="X252" s="466">
        <v>128981.7</v>
      </c>
      <c r="Y252" s="466">
        <v>0</v>
      </c>
      <c r="Z252" s="466">
        <v>0</v>
      </c>
      <c r="AA252" s="466">
        <v>0</v>
      </c>
      <c r="AB252" s="466">
        <v>12985756.17</v>
      </c>
      <c r="AC252" s="466">
        <v>1423089.49</v>
      </c>
      <c r="AD252" s="466">
        <v>604941.57999999996</v>
      </c>
      <c r="AE252" s="466"/>
      <c r="AF252" s="466"/>
      <c r="AG252" s="466">
        <v>976716.9</v>
      </c>
      <c r="AH252" s="466">
        <v>98606.6</v>
      </c>
      <c r="AI252" s="466">
        <v>190380.7</v>
      </c>
      <c r="AJ252" s="466"/>
      <c r="AK252" s="466">
        <v>687297.2</v>
      </c>
      <c r="AL252" s="466">
        <v>225116.9</v>
      </c>
      <c r="AM252" s="466">
        <v>24100</v>
      </c>
      <c r="AN252" s="466">
        <v>71942.77</v>
      </c>
      <c r="AO252" s="466">
        <v>225016.99</v>
      </c>
      <c r="AP252" s="466"/>
      <c r="AQ252" s="466">
        <v>705567.35</v>
      </c>
      <c r="AR252" s="466">
        <v>3101.92</v>
      </c>
      <c r="AS252" s="466">
        <v>57956.25</v>
      </c>
    </row>
    <row r="253" spans="1:45" x14ac:dyDescent="0.2">
      <c r="A253" s="465">
        <v>5827</v>
      </c>
      <c r="B253" s="466"/>
      <c r="C253" s="466">
        <v>74.61</v>
      </c>
      <c r="D253" s="466">
        <v>238.55</v>
      </c>
      <c r="E253" s="466">
        <v>3618.99</v>
      </c>
      <c r="F253" s="466">
        <v>0</v>
      </c>
      <c r="G253" s="466">
        <v>0</v>
      </c>
      <c r="H253" s="466">
        <v>0</v>
      </c>
      <c r="I253" s="466"/>
      <c r="J253" s="466"/>
      <c r="K253" s="466">
        <v>0</v>
      </c>
      <c r="L253" s="466">
        <v>0</v>
      </c>
      <c r="M253" s="466">
        <v>0</v>
      </c>
      <c r="N253" s="466"/>
      <c r="O253" s="466">
        <v>0</v>
      </c>
      <c r="P253" s="466"/>
      <c r="Q253" s="466">
        <v>0</v>
      </c>
      <c r="R253" s="466"/>
      <c r="S253" s="466">
        <v>0</v>
      </c>
      <c r="T253" s="466"/>
      <c r="U253" s="466">
        <v>0</v>
      </c>
      <c r="V253" s="466"/>
      <c r="W253" s="466"/>
      <c r="X253" s="466">
        <v>2281.38</v>
      </c>
      <c r="Y253" s="466">
        <v>0</v>
      </c>
      <c r="Z253" s="466">
        <v>0</v>
      </c>
      <c r="AA253" s="466">
        <v>0</v>
      </c>
      <c r="AB253" s="466">
        <v>378201.61</v>
      </c>
      <c r="AC253" s="466">
        <v>39377.360000000001</v>
      </c>
      <c r="AD253" s="466">
        <v>6017.26</v>
      </c>
      <c r="AE253" s="466"/>
      <c r="AF253" s="466"/>
      <c r="AG253" s="466">
        <v>17784.900000000001</v>
      </c>
      <c r="AH253" s="466">
        <v>1235.05</v>
      </c>
      <c r="AI253" s="466">
        <v>-155.65</v>
      </c>
      <c r="AJ253" s="466"/>
      <c r="AK253" s="466">
        <v>12236.9</v>
      </c>
      <c r="AL253" s="466"/>
      <c r="AM253" s="466">
        <v>1900</v>
      </c>
      <c r="AN253" s="466"/>
      <c r="AO253" s="466">
        <v>6439.25</v>
      </c>
      <c r="AP253" s="466"/>
      <c r="AQ253" s="466">
        <v>13692.55</v>
      </c>
      <c r="AR253" s="466"/>
      <c r="AS253" s="466"/>
    </row>
    <row r="254" spans="1:45" x14ac:dyDescent="0.2">
      <c r="A254" s="465">
        <v>5828</v>
      </c>
      <c r="B254" s="466"/>
      <c r="C254" s="466">
        <v>-42.57</v>
      </c>
      <c r="D254" s="466">
        <v>36.700000000000003</v>
      </c>
      <c r="E254" s="466">
        <v>1731.49</v>
      </c>
      <c r="F254" s="466">
        <v>0</v>
      </c>
      <c r="G254" s="466">
        <v>0</v>
      </c>
      <c r="H254" s="466">
        <v>0</v>
      </c>
      <c r="I254" s="466"/>
      <c r="J254" s="466"/>
      <c r="K254" s="466">
        <v>0</v>
      </c>
      <c r="L254" s="466">
        <v>0</v>
      </c>
      <c r="M254" s="466"/>
      <c r="N254" s="466"/>
      <c r="O254" s="466">
        <v>0</v>
      </c>
      <c r="P254" s="466">
        <v>0</v>
      </c>
      <c r="Q254" s="466">
        <v>0</v>
      </c>
      <c r="R254" s="466"/>
      <c r="S254" s="466">
        <v>0</v>
      </c>
      <c r="T254" s="466"/>
      <c r="U254" s="466"/>
      <c r="V254" s="466"/>
      <c r="W254" s="466"/>
      <c r="X254" s="466">
        <v>-7.42</v>
      </c>
      <c r="Y254" s="466">
        <v>0</v>
      </c>
      <c r="Z254" s="466">
        <v>0</v>
      </c>
      <c r="AA254" s="466">
        <v>0</v>
      </c>
      <c r="AB254" s="466">
        <v>156893.87</v>
      </c>
      <c r="AC254" s="466">
        <v>20438.78</v>
      </c>
      <c r="AD254" s="466">
        <v>275.24</v>
      </c>
      <c r="AE254" s="466"/>
      <c r="AF254" s="466"/>
      <c r="AG254" s="466">
        <v>-73.5</v>
      </c>
      <c r="AH254" s="466">
        <v>11.6</v>
      </c>
      <c r="AI254" s="466"/>
      <c r="AJ254" s="466"/>
      <c r="AK254" s="466">
        <v>5731</v>
      </c>
      <c r="AL254" s="466">
        <v>318.10000000000002</v>
      </c>
      <c r="AM254" s="466">
        <v>675</v>
      </c>
      <c r="AN254" s="466"/>
      <c r="AO254" s="466">
        <v>1371.44</v>
      </c>
      <c r="AP254" s="466"/>
      <c r="AQ254" s="466"/>
      <c r="AR254" s="466"/>
      <c r="AS254" s="466"/>
    </row>
    <row r="255" spans="1:45" x14ac:dyDescent="0.2">
      <c r="A255" s="465">
        <v>5830</v>
      </c>
      <c r="B255" s="466"/>
      <c r="C255" s="466">
        <v>353.47</v>
      </c>
      <c r="D255" s="466">
        <v>344.19</v>
      </c>
      <c r="E255" s="466">
        <v>18510.71</v>
      </c>
      <c r="F255" s="466">
        <v>0</v>
      </c>
      <c r="G255" s="466">
        <v>0</v>
      </c>
      <c r="H255" s="466">
        <v>0</v>
      </c>
      <c r="I255" s="466"/>
      <c r="J255" s="466"/>
      <c r="K255" s="466">
        <v>0</v>
      </c>
      <c r="L255" s="466">
        <v>0</v>
      </c>
      <c r="M255" s="466">
        <v>0</v>
      </c>
      <c r="N255" s="466"/>
      <c r="O255" s="466">
        <v>0</v>
      </c>
      <c r="P255" s="466"/>
      <c r="Q255" s="466">
        <v>0</v>
      </c>
      <c r="R255" s="466">
        <v>0</v>
      </c>
      <c r="S255" s="466">
        <v>0</v>
      </c>
      <c r="T255" s="466"/>
      <c r="U255" s="466">
        <v>0</v>
      </c>
      <c r="V255" s="466"/>
      <c r="W255" s="466"/>
      <c r="X255" s="466">
        <v>652.54</v>
      </c>
      <c r="Y255" s="466">
        <v>0</v>
      </c>
      <c r="Z255" s="466">
        <v>0</v>
      </c>
      <c r="AA255" s="466">
        <v>0</v>
      </c>
      <c r="AB255" s="466">
        <v>797328.26</v>
      </c>
      <c r="AC255" s="466">
        <v>96072.74</v>
      </c>
      <c r="AD255" s="466">
        <v>10849.04</v>
      </c>
      <c r="AE255" s="466"/>
      <c r="AF255" s="466"/>
      <c r="AG255" s="466">
        <v>5165.3500000000004</v>
      </c>
      <c r="AH255" s="466">
        <v>274.85000000000002</v>
      </c>
      <c r="AI255" s="466">
        <v>2089.6999999999998</v>
      </c>
      <c r="AJ255" s="466"/>
      <c r="AK255" s="466">
        <v>59520</v>
      </c>
      <c r="AL255" s="466"/>
      <c r="AM255" s="466">
        <v>3540</v>
      </c>
      <c r="AN255" s="466">
        <v>9106.51</v>
      </c>
      <c r="AO255" s="466">
        <v>7975.29</v>
      </c>
      <c r="AP255" s="466"/>
      <c r="AQ255" s="466">
        <v>18343.95</v>
      </c>
      <c r="AR255" s="466">
        <v>182.73</v>
      </c>
      <c r="AS255" s="466">
        <v>6516</v>
      </c>
    </row>
    <row r="256" spans="1:45" x14ac:dyDescent="0.2">
      <c r="A256" s="465">
        <v>5831</v>
      </c>
      <c r="B256" s="466"/>
      <c r="C256" s="466">
        <v>5253.52</v>
      </c>
      <c r="D256" s="466">
        <v>2123</v>
      </c>
      <c r="E256" s="466">
        <v>139996.24</v>
      </c>
      <c r="F256" s="466">
        <v>0</v>
      </c>
      <c r="G256" s="466">
        <v>0</v>
      </c>
      <c r="H256" s="466">
        <v>0</v>
      </c>
      <c r="I256" s="466"/>
      <c r="J256" s="466"/>
      <c r="K256" s="466">
        <v>0</v>
      </c>
      <c r="L256" s="466">
        <v>0</v>
      </c>
      <c r="M256" s="466">
        <v>0</v>
      </c>
      <c r="N256" s="466"/>
      <c r="O256" s="466">
        <v>0</v>
      </c>
      <c r="P256" s="466">
        <v>0</v>
      </c>
      <c r="Q256" s="466">
        <v>0</v>
      </c>
      <c r="R256" s="466">
        <v>0</v>
      </c>
      <c r="S256" s="466">
        <v>0</v>
      </c>
      <c r="T256" s="466"/>
      <c r="U256" s="466">
        <v>0</v>
      </c>
      <c r="V256" s="466"/>
      <c r="W256" s="466"/>
      <c r="X256" s="466">
        <v>7539.45</v>
      </c>
      <c r="Y256" s="466">
        <v>0</v>
      </c>
      <c r="Z256" s="466">
        <v>0</v>
      </c>
      <c r="AA256" s="466">
        <v>0</v>
      </c>
      <c r="AB256" s="466">
        <v>4583089.24</v>
      </c>
      <c r="AC256" s="466">
        <v>632740.66</v>
      </c>
      <c r="AD256" s="466">
        <v>170860.28</v>
      </c>
      <c r="AE256" s="466"/>
      <c r="AF256" s="466"/>
      <c r="AG256" s="466">
        <v>45607.5</v>
      </c>
      <c r="AH256" s="466">
        <v>17249.05</v>
      </c>
      <c r="AI256" s="466">
        <v>24914.05</v>
      </c>
      <c r="AJ256" s="466"/>
      <c r="AK256" s="466">
        <v>278845.59999999998</v>
      </c>
      <c r="AL256" s="466">
        <v>83792.850000000006</v>
      </c>
      <c r="AM256" s="466">
        <v>17775</v>
      </c>
      <c r="AN256" s="466">
        <v>71958.5</v>
      </c>
      <c r="AO256" s="466">
        <v>49783.88</v>
      </c>
      <c r="AP256" s="466"/>
      <c r="AQ256" s="466">
        <v>130362.9</v>
      </c>
      <c r="AR256" s="466">
        <v>1227.58</v>
      </c>
      <c r="AS256" s="466">
        <v>22474.9</v>
      </c>
    </row>
    <row r="257" spans="1:45" x14ac:dyDescent="0.2">
      <c r="A257" s="465">
        <v>5841</v>
      </c>
      <c r="B257" s="466"/>
      <c r="C257" s="466">
        <v>6051</v>
      </c>
      <c r="D257" s="466">
        <v>3506.22</v>
      </c>
      <c r="E257" s="466">
        <v>109064.02</v>
      </c>
      <c r="F257" s="466">
        <v>0</v>
      </c>
      <c r="G257" s="466">
        <v>0</v>
      </c>
      <c r="H257" s="466">
        <v>0</v>
      </c>
      <c r="I257" s="466">
        <v>0</v>
      </c>
      <c r="J257" s="466"/>
      <c r="K257" s="466">
        <v>0</v>
      </c>
      <c r="L257" s="466">
        <v>0</v>
      </c>
      <c r="M257" s="466">
        <v>0</v>
      </c>
      <c r="N257" s="466"/>
      <c r="O257" s="466">
        <v>0</v>
      </c>
      <c r="P257" s="466">
        <v>0</v>
      </c>
      <c r="Q257" s="466">
        <v>0</v>
      </c>
      <c r="R257" s="466">
        <v>0</v>
      </c>
      <c r="S257" s="466">
        <v>0</v>
      </c>
      <c r="T257" s="466">
        <v>0</v>
      </c>
      <c r="U257" s="466">
        <v>0</v>
      </c>
      <c r="V257" s="466"/>
      <c r="W257" s="466"/>
      <c r="X257" s="466">
        <v>13788.05</v>
      </c>
      <c r="Y257" s="466">
        <v>0</v>
      </c>
      <c r="Z257" s="466">
        <v>0</v>
      </c>
      <c r="AA257" s="466">
        <v>0</v>
      </c>
      <c r="AB257" s="466">
        <v>5501242.5</v>
      </c>
      <c r="AC257" s="466">
        <v>1495685.1</v>
      </c>
      <c r="AD257" s="466">
        <v>282488.05</v>
      </c>
      <c r="AE257" s="466">
        <v>531790.05000000005</v>
      </c>
      <c r="AF257" s="466"/>
      <c r="AG257" s="466">
        <v>46403.65</v>
      </c>
      <c r="AH257" s="466">
        <v>68547.649999999994</v>
      </c>
      <c r="AI257" s="466">
        <v>23768.85</v>
      </c>
      <c r="AJ257" s="466"/>
      <c r="AK257" s="466">
        <v>353825.05</v>
      </c>
      <c r="AL257" s="466">
        <v>1020620.5</v>
      </c>
      <c r="AM257" s="466">
        <v>24360</v>
      </c>
      <c r="AN257" s="466">
        <v>15481.08</v>
      </c>
      <c r="AO257" s="466">
        <v>95394.74</v>
      </c>
      <c r="AP257" s="466">
        <v>22158.85</v>
      </c>
      <c r="AQ257" s="466">
        <v>252646.95</v>
      </c>
      <c r="AR257" s="466">
        <v>14091.22</v>
      </c>
      <c r="AS257" s="466">
        <v>7425.55</v>
      </c>
    </row>
    <row r="258" spans="1:45" x14ac:dyDescent="0.2">
      <c r="A258" s="465">
        <v>5842</v>
      </c>
      <c r="B258" s="466"/>
      <c r="C258" s="466">
        <v>386.29</v>
      </c>
      <c r="D258" s="466">
        <v>386.55</v>
      </c>
      <c r="E258" s="466">
        <v>216.64</v>
      </c>
      <c r="F258" s="466">
        <v>0</v>
      </c>
      <c r="G258" s="466">
        <v>0</v>
      </c>
      <c r="H258" s="466">
        <v>0</v>
      </c>
      <c r="I258" s="466"/>
      <c r="J258" s="466"/>
      <c r="K258" s="466">
        <v>0</v>
      </c>
      <c r="L258" s="466">
        <v>0</v>
      </c>
      <c r="M258" s="466">
        <v>0</v>
      </c>
      <c r="N258" s="466">
        <v>0</v>
      </c>
      <c r="O258" s="466">
        <v>0</v>
      </c>
      <c r="P258" s="466"/>
      <c r="Q258" s="466">
        <v>0</v>
      </c>
      <c r="R258" s="466">
        <v>0</v>
      </c>
      <c r="S258" s="466">
        <v>0</v>
      </c>
      <c r="T258" s="466"/>
      <c r="U258" s="466">
        <v>0</v>
      </c>
      <c r="V258" s="466"/>
      <c r="W258" s="466"/>
      <c r="X258" s="466">
        <v>2296.9899999999998</v>
      </c>
      <c r="Y258" s="466">
        <v>0</v>
      </c>
      <c r="Z258" s="466">
        <v>0</v>
      </c>
      <c r="AA258" s="466">
        <v>0</v>
      </c>
      <c r="AB258" s="466">
        <v>853231.4</v>
      </c>
      <c r="AC258" s="466">
        <v>182023.81</v>
      </c>
      <c r="AD258" s="466">
        <v>22435.73</v>
      </c>
      <c r="AE258" s="466"/>
      <c r="AF258" s="466"/>
      <c r="AG258" s="466">
        <v>16817.599999999999</v>
      </c>
      <c r="AH258" s="466">
        <v>2332.4499999999998</v>
      </c>
      <c r="AI258" s="466">
        <v>916.35</v>
      </c>
      <c r="AJ258" s="466">
        <v>145282.1</v>
      </c>
      <c r="AK258" s="466">
        <v>38379</v>
      </c>
      <c r="AL258" s="466"/>
      <c r="AM258" s="466">
        <v>4000</v>
      </c>
      <c r="AN258" s="466">
        <v>143.91999999999999</v>
      </c>
      <c r="AO258" s="466">
        <v>9698.5300000000007</v>
      </c>
      <c r="AP258" s="466"/>
      <c r="AQ258" s="466">
        <v>33838.050000000003</v>
      </c>
      <c r="AR258" s="466">
        <v>1530.31</v>
      </c>
      <c r="AS258" s="466"/>
    </row>
    <row r="259" spans="1:45" x14ac:dyDescent="0.2">
      <c r="A259" s="465">
        <v>5843</v>
      </c>
      <c r="B259" s="466"/>
      <c r="C259" s="466">
        <v>1580.8</v>
      </c>
      <c r="D259" s="466">
        <v>1956.65</v>
      </c>
      <c r="E259" s="466">
        <v>8788.98</v>
      </c>
      <c r="F259" s="466">
        <v>0</v>
      </c>
      <c r="G259" s="466">
        <v>0</v>
      </c>
      <c r="H259" s="466">
        <v>0</v>
      </c>
      <c r="I259" s="466">
        <v>0</v>
      </c>
      <c r="J259" s="466"/>
      <c r="K259" s="466">
        <v>0</v>
      </c>
      <c r="L259" s="466">
        <v>0</v>
      </c>
      <c r="M259" s="466">
        <v>0</v>
      </c>
      <c r="N259" s="466"/>
      <c r="O259" s="466">
        <v>0</v>
      </c>
      <c r="P259" s="466">
        <v>0</v>
      </c>
      <c r="Q259" s="466">
        <v>0</v>
      </c>
      <c r="R259" s="466"/>
      <c r="S259" s="466">
        <v>0</v>
      </c>
      <c r="T259" s="466"/>
      <c r="U259" s="466">
        <v>0</v>
      </c>
      <c r="V259" s="466"/>
      <c r="W259" s="466"/>
      <c r="X259" s="466">
        <v>6481.56</v>
      </c>
      <c r="Y259" s="466">
        <v>0</v>
      </c>
      <c r="Z259" s="466">
        <v>0</v>
      </c>
      <c r="AA259" s="466">
        <v>0</v>
      </c>
      <c r="AB259" s="466">
        <v>3300739.36</v>
      </c>
      <c r="AC259" s="466">
        <v>1916664.67</v>
      </c>
      <c r="AD259" s="466">
        <v>95400.23</v>
      </c>
      <c r="AE259" s="466">
        <v>1271760.1000000001</v>
      </c>
      <c r="AF259" s="466"/>
      <c r="AG259" s="466">
        <v>39652.949999999997</v>
      </c>
      <c r="AH259" s="466">
        <v>14383.95</v>
      </c>
      <c r="AI259" s="466">
        <v>33861.050000000003</v>
      </c>
      <c r="AJ259" s="466"/>
      <c r="AK259" s="466">
        <v>404220.25</v>
      </c>
      <c r="AL259" s="466">
        <v>674623.9</v>
      </c>
      <c r="AM259" s="466">
        <v>5910</v>
      </c>
      <c r="AN259" s="466"/>
      <c r="AO259" s="466">
        <v>45308.97</v>
      </c>
      <c r="AP259" s="466"/>
      <c r="AQ259" s="466">
        <v>194786.55</v>
      </c>
      <c r="AR259" s="466">
        <v>29770.84</v>
      </c>
      <c r="AS259" s="466"/>
    </row>
    <row r="260" spans="1:45" x14ac:dyDescent="0.2">
      <c r="A260" s="465">
        <v>5851</v>
      </c>
      <c r="B260" s="466"/>
      <c r="C260" s="466">
        <v>2894.6</v>
      </c>
      <c r="D260" s="466">
        <v>334.04</v>
      </c>
      <c r="E260" s="466">
        <v>32697.91</v>
      </c>
      <c r="F260" s="466">
        <v>0</v>
      </c>
      <c r="G260" s="466">
        <v>0</v>
      </c>
      <c r="H260" s="466">
        <v>0</v>
      </c>
      <c r="I260" s="466">
        <v>0</v>
      </c>
      <c r="J260" s="466"/>
      <c r="K260" s="466">
        <v>0</v>
      </c>
      <c r="L260" s="466">
        <v>0</v>
      </c>
      <c r="M260" s="466">
        <v>0</v>
      </c>
      <c r="N260" s="466"/>
      <c r="O260" s="466">
        <v>0</v>
      </c>
      <c r="P260" s="466"/>
      <c r="Q260" s="466">
        <v>0</v>
      </c>
      <c r="R260" s="466"/>
      <c r="S260" s="466">
        <v>0</v>
      </c>
      <c r="T260" s="466"/>
      <c r="U260" s="466"/>
      <c r="V260" s="466"/>
      <c r="W260" s="466"/>
      <c r="X260" s="466">
        <v>11336.5</v>
      </c>
      <c r="Y260" s="466">
        <v>0</v>
      </c>
      <c r="Z260" s="466">
        <v>0</v>
      </c>
      <c r="AA260" s="466">
        <v>0</v>
      </c>
      <c r="AB260" s="466">
        <v>811569.12</v>
      </c>
      <c r="AC260" s="466">
        <v>156228.74</v>
      </c>
      <c r="AD260" s="466">
        <v>29560.63</v>
      </c>
      <c r="AE260" s="466">
        <v>137387.79999999999</v>
      </c>
      <c r="AF260" s="466"/>
      <c r="AG260" s="466">
        <v>91027.35</v>
      </c>
      <c r="AH260" s="466">
        <v>3485.35</v>
      </c>
      <c r="AI260" s="466">
        <v>29978.65</v>
      </c>
      <c r="AJ260" s="466"/>
      <c r="AK260" s="466">
        <v>207.65</v>
      </c>
      <c r="AL260" s="466"/>
      <c r="AM260" s="466">
        <v>2150</v>
      </c>
      <c r="AN260" s="466"/>
      <c r="AO260" s="466">
        <v>14096.78</v>
      </c>
      <c r="AP260" s="466"/>
      <c r="AQ260" s="466"/>
      <c r="AR260" s="466">
        <v>498.12</v>
      </c>
      <c r="AS260" s="466">
        <v>73719.45</v>
      </c>
    </row>
    <row r="261" spans="1:45" x14ac:dyDescent="0.2">
      <c r="A261" s="465">
        <v>5852</v>
      </c>
      <c r="B261" s="466"/>
      <c r="C261" s="466">
        <v>-1990.84</v>
      </c>
      <c r="D261" s="466">
        <v>552.66999999999996</v>
      </c>
      <c r="E261" s="466">
        <v>19184.080000000002</v>
      </c>
      <c r="F261" s="466">
        <v>0</v>
      </c>
      <c r="G261" s="466">
        <v>0</v>
      </c>
      <c r="H261" s="466">
        <v>0</v>
      </c>
      <c r="I261" s="466">
        <v>0</v>
      </c>
      <c r="J261" s="466"/>
      <c r="K261" s="466">
        <v>0</v>
      </c>
      <c r="L261" s="466">
        <v>0</v>
      </c>
      <c r="M261" s="466">
        <v>0</v>
      </c>
      <c r="N261" s="466"/>
      <c r="O261" s="466">
        <v>0</v>
      </c>
      <c r="P261" s="466"/>
      <c r="Q261" s="466">
        <v>0</v>
      </c>
      <c r="R261" s="466"/>
      <c r="S261" s="466">
        <v>0</v>
      </c>
      <c r="T261" s="466"/>
      <c r="U261" s="466">
        <v>0</v>
      </c>
      <c r="V261" s="466"/>
      <c r="W261" s="466"/>
      <c r="X261" s="466">
        <v>1627.9</v>
      </c>
      <c r="Y261" s="466">
        <v>0</v>
      </c>
      <c r="Z261" s="466">
        <v>0</v>
      </c>
      <c r="AA261" s="466">
        <v>0</v>
      </c>
      <c r="AB261" s="466">
        <v>1547012.28</v>
      </c>
      <c r="AC261" s="466">
        <v>789882.52</v>
      </c>
      <c r="AD261" s="466">
        <v>-64794.71</v>
      </c>
      <c r="AE261" s="466">
        <v>207092.4</v>
      </c>
      <c r="AF261" s="466"/>
      <c r="AG261" s="466">
        <v>11358.9</v>
      </c>
      <c r="AH261" s="466">
        <v>2212.9</v>
      </c>
      <c r="AI261" s="466">
        <v>7344.35</v>
      </c>
      <c r="AJ261" s="466"/>
      <c r="AK261" s="466">
        <v>61570.65</v>
      </c>
      <c r="AL261" s="466"/>
      <c r="AM261" s="466">
        <v>3442.5</v>
      </c>
      <c r="AN261" s="466"/>
      <c r="AO261" s="466">
        <v>20145.419999999998</v>
      </c>
      <c r="AP261" s="466"/>
      <c r="AQ261" s="466">
        <v>13682.65</v>
      </c>
      <c r="AR261" s="466">
        <v>2256.67</v>
      </c>
      <c r="AS261" s="466">
        <v>8183.75</v>
      </c>
    </row>
    <row r="262" spans="1:45" x14ac:dyDescent="0.2">
      <c r="A262" s="465">
        <v>5853</v>
      </c>
      <c r="B262" s="466"/>
      <c r="C262" s="466">
        <v>3868.29</v>
      </c>
      <c r="D262" s="466">
        <v>803.81</v>
      </c>
      <c r="E262" s="466">
        <v>116166.46</v>
      </c>
      <c r="F262" s="466">
        <v>0</v>
      </c>
      <c r="G262" s="466">
        <v>0</v>
      </c>
      <c r="H262" s="466">
        <v>0</v>
      </c>
      <c r="I262" s="466">
        <v>0</v>
      </c>
      <c r="J262" s="466"/>
      <c r="K262" s="466">
        <v>0</v>
      </c>
      <c r="L262" s="466">
        <v>0</v>
      </c>
      <c r="M262" s="466">
        <v>0</v>
      </c>
      <c r="N262" s="466"/>
      <c r="O262" s="466">
        <v>0</v>
      </c>
      <c r="P262" s="466">
        <v>0</v>
      </c>
      <c r="Q262" s="466">
        <v>0</v>
      </c>
      <c r="R262" s="466">
        <v>0</v>
      </c>
      <c r="S262" s="466">
        <v>0</v>
      </c>
      <c r="T262" s="466"/>
      <c r="U262" s="466">
        <v>0</v>
      </c>
      <c r="V262" s="466"/>
      <c r="W262" s="466"/>
      <c r="X262" s="466">
        <v>7281.8</v>
      </c>
      <c r="Y262" s="466">
        <v>0</v>
      </c>
      <c r="Z262" s="466">
        <v>0</v>
      </c>
      <c r="AA262" s="466">
        <v>0</v>
      </c>
      <c r="AB262" s="466">
        <v>2120327.5</v>
      </c>
      <c r="AC262" s="466">
        <v>416006.79</v>
      </c>
      <c r="AD262" s="466">
        <v>84796</v>
      </c>
      <c r="AE262" s="466">
        <v>192967.04000000001</v>
      </c>
      <c r="AF262" s="466"/>
      <c r="AG262" s="466">
        <v>64598.85</v>
      </c>
      <c r="AH262" s="466">
        <v>-3890.35</v>
      </c>
      <c r="AI262" s="466">
        <v>15561.65</v>
      </c>
      <c r="AJ262" s="466"/>
      <c r="AK262" s="466">
        <v>221924.2</v>
      </c>
      <c r="AL262" s="466">
        <v>6636346.2000000002</v>
      </c>
      <c r="AM262" s="466">
        <v>6200</v>
      </c>
      <c r="AN262" s="466">
        <v>684.76</v>
      </c>
      <c r="AO262" s="466">
        <v>64982.09</v>
      </c>
      <c r="AP262" s="466"/>
      <c r="AQ262" s="466">
        <v>268394.8</v>
      </c>
      <c r="AR262" s="466">
        <v>1408.33</v>
      </c>
      <c r="AS262" s="466">
        <v>65850.05</v>
      </c>
    </row>
    <row r="263" spans="1:45" x14ac:dyDescent="0.2">
      <c r="A263" s="465">
        <v>5854</v>
      </c>
      <c r="B263" s="466"/>
      <c r="C263" s="466">
        <v>871.01</v>
      </c>
      <c r="D263" s="466">
        <v>177</v>
      </c>
      <c r="E263" s="466">
        <v>6688.48</v>
      </c>
      <c r="F263" s="466">
        <v>0</v>
      </c>
      <c r="G263" s="466">
        <v>0</v>
      </c>
      <c r="H263" s="466">
        <v>0</v>
      </c>
      <c r="I263" s="466"/>
      <c r="J263" s="466"/>
      <c r="K263" s="466">
        <v>0</v>
      </c>
      <c r="L263" s="466">
        <v>0</v>
      </c>
      <c r="M263" s="466">
        <v>0</v>
      </c>
      <c r="N263" s="466">
        <v>0</v>
      </c>
      <c r="O263" s="466">
        <v>0</v>
      </c>
      <c r="P263" s="466"/>
      <c r="Q263" s="466">
        <v>0</v>
      </c>
      <c r="R263" s="466">
        <v>0</v>
      </c>
      <c r="S263" s="466">
        <v>0</v>
      </c>
      <c r="T263" s="466"/>
      <c r="U263" s="466">
        <v>0</v>
      </c>
      <c r="V263" s="466"/>
      <c r="W263" s="466"/>
      <c r="X263" s="466">
        <v>0.8</v>
      </c>
      <c r="Y263" s="466">
        <v>0</v>
      </c>
      <c r="Z263" s="466">
        <v>0</v>
      </c>
      <c r="AA263" s="466">
        <v>0</v>
      </c>
      <c r="AB263" s="466">
        <v>644956.29</v>
      </c>
      <c r="AC263" s="466">
        <v>142661.87</v>
      </c>
      <c r="AD263" s="466">
        <v>4608.1000000000004</v>
      </c>
      <c r="AE263" s="466"/>
      <c r="AF263" s="466"/>
      <c r="AG263" s="466">
        <v>-765.650000000001</v>
      </c>
      <c r="AH263" s="466">
        <v>772.35</v>
      </c>
      <c r="AI263" s="466">
        <v>2031.9</v>
      </c>
      <c r="AJ263" s="466">
        <v>112054.15</v>
      </c>
      <c r="AK263" s="466">
        <v>37590</v>
      </c>
      <c r="AL263" s="466"/>
      <c r="AM263" s="466">
        <v>1050</v>
      </c>
      <c r="AN263" s="466">
        <v>745.3</v>
      </c>
      <c r="AO263" s="466">
        <v>12519.87</v>
      </c>
      <c r="AP263" s="466"/>
      <c r="AQ263" s="466">
        <v>68535.350000000006</v>
      </c>
      <c r="AR263" s="466">
        <v>393.73</v>
      </c>
      <c r="AS263" s="466">
        <v>24487.9</v>
      </c>
    </row>
    <row r="264" spans="1:45" x14ac:dyDescent="0.2">
      <c r="A264" s="465">
        <v>5855</v>
      </c>
      <c r="B264" s="466"/>
      <c r="C264" s="466">
        <v>5687.89</v>
      </c>
      <c r="D264" s="466">
        <v>736.78</v>
      </c>
      <c r="E264" s="466">
        <v>16694.16</v>
      </c>
      <c r="F264" s="466">
        <v>0</v>
      </c>
      <c r="G264" s="466">
        <v>0</v>
      </c>
      <c r="H264" s="466">
        <v>0</v>
      </c>
      <c r="I264" s="466">
        <v>0</v>
      </c>
      <c r="J264" s="466"/>
      <c r="K264" s="466">
        <v>0</v>
      </c>
      <c r="L264" s="466">
        <v>0</v>
      </c>
      <c r="M264" s="466">
        <v>0</v>
      </c>
      <c r="N264" s="466"/>
      <c r="O264" s="466">
        <v>0</v>
      </c>
      <c r="P264" s="466"/>
      <c r="Q264" s="466">
        <v>0</v>
      </c>
      <c r="R264" s="466">
        <v>0</v>
      </c>
      <c r="S264" s="466">
        <v>0</v>
      </c>
      <c r="T264" s="466"/>
      <c r="U264" s="466">
        <v>0</v>
      </c>
      <c r="V264" s="466"/>
      <c r="W264" s="466"/>
      <c r="X264" s="466">
        <v>7463.56</v>
      </c>
      <c r="Y264" s="466">
        <v>0</v>
      </c>
      <c r="Z264" s="466">
        <v>0</v>
      </c>
      <c r="AA264" s="466">
        <v>0</v>
      </c>
      <c r="AB264" s="466">
        <v>2711534.14</v>
      </c>
      <c r="AC264" s="466">
        <v>683023.02</v>
      </c>
      <c r="AD264" s="466">
        <v>20299.87</v>
      </c>
      <c r="AE264" s="466">
        <v>624296.19999999995</v>
      </c>
      <c r="AF264" s="466"/>
      <c r="AG264" s="466">
        <v>45759.9</v>
      </c>
      <c r="AH264" s="466">
        <v>16464</v>
      </c>
      <c r="AI264" s="466">
        <v>12031</v>
      </c>
      <c r="AJ264" s="466"/>
      <c r="AK264" s="466">
        <v>281968.5</v>
      </c>
      <c r="AL264" s="466"/>
      <c r="AM264" s="466">
        <v>2040</v>
      </c>
      <c r="AN264" s="466">
        <v>13553.69</v>
      </c>
      <c r="AO264" s="466">
        <v>21854.55</v>
      </c>
      <c r="AP264" s="466"/>
      <c r="AQ264" s="466">
        <v>259119.6</v>
      </c>
      <c r="AR264" s="466">
        <v>19267.39</v>
      </c>
      <c r="AS264" s="466">
        <v>1221.55</v>
      </c>
    </row>
    <row r="265" spans="1:45" x14ac:dyDescent="0.2">
      <c r="A265" s="465">
        <v>5856</v>
      </c>
      <c r="B265" s="466"/>
      <c r="C265" s="466">
        <v>272.81</v>
      </c>
      <c r="D265" s="466">
        <v>469.07</v>
      </c>
      <c r="E265" s="466">
        <v>16746.740000000002</v>
      </c>
      <c r="F265" s="466">
        <v>0</v>
      </c>
      <c r="G265" s="466">
        <v>0</v>
      </c>
      <c r="H265" s="466">
        <v>0</v>
      </c>
      <c r="I265" s="466">
        <v>0</v>
      </c>
      <c r="J265" s="466"/>
      <c r="K265" s="466">
        <v>0</v>
      </c>
      <c r="L265" s="466">
        <v>0</v>
      </c>
      <c r="M265" s="466">
        <v>0</v>
      </c>
      <c r="N265" s="466"/>
      <c r="O265" s="466">
        <v>0</v>
      </c>
      <c r="P265" s="466">
        <v>0</v>
      </c>
      <c r="Q265" s="466">
        <v>0</v>
      </c>
      <c r="R265" s="466"/>
      <c r="S265" s="466">
        <v>0</v>
      </c>
      <c r="T265" s="466"/>
      <c r="U265" s="466">
        <v>0</v>
      </c>
      <c r="V265" s="466"/>
      <c r="W265" s="466"/>
      <c r="X265" s="466">
        <v>171.66</v>
      </c>
      <c r="Y265" s="466">
        <v>0</v>
      </c>
      <c r="Z265" s="466">
        <v>0</v>
      </c>
      <c r="AA265" s="466">
        <v>0</v>
      </c>
      <c r="AB265" s="466">
        <v>1687384.48</v>
      </c>
      <c r="AC265" s="466">
        <v>250682.95</v>
      </c>
      <c r="AD265" s="466">
        <v>19297.080000000002</v>
      </c>
      <c r="AE265" s="466">
        <v>246810.25</v>
      </c>
      <c r="AF265" s="466"/>
      <c r="AG265" s="466">
        <v>-111.65</v>
      </c>
      <c r="AH265" s="466">
        <v>1542.8</v>
      </c>
      <c r="AI265" s="466">
        <v>974.25</v>
      </c>
      <c r="AJ265" s="466"/>
      <c r="AK265" s="466">
        <v>174442.55</v>
      </c>
      <c r="AL265" s="466">
        <v>2586.6</v>
      </c>
      <c r="AM265" s="466">
        <v>3525</v>
      </c>
      <c r="AN265" s="466"/>
      <c r="AO265" s="466">
        <v>15280.93</v>
      </c>
      <c r="AP265" s="466"/>
      <c r="AQ265" s="466">
        <v>98051.85</v>
      </c>
      <c r="AR265" s="466">
        <v>1487.96</v>
      </c>
      <c r="AS265" s="466">
        <v>7661.75</v>
      </c>
    </row>
    <row r="266" spans="1:45" x14ac:dyDescent="0.2">
      <c r="A266" s="465">
        <v>5857</v>
      </c>
      <c r="B266" s="466"/>
      <c r="C266" s="466">
        <v>13426.05</v>
      </c>
      <c r="D266" s="466">
        <v>1083.78</v>
      </c>
      <c r="E266" s="466">
        <v>20777.62</v>
      </c>
      <c r="F266" s="466">
        <v>0</v>
      </c>
      <c r="G266" s="466">
        <v>0</v>
      </c>
      <c r="H266" s="466">
        <v>0</v>
      </c>
      <c r="I266" s="466"/>
      <c r="J266" s="466"/>
      <c r="K266" s="466">
        <v>0</v>
      </c>
      <c r="L266" s="466">
        <v>0</v>
      </c>
      <c r="M266" s="466">
        <v>0</v>
      </c>
      <c r="N266" s="466"/>
      <c r="O266" s="466">
        <v>0</v>
      </c>
      <c r="P266" s="466">
        <v>0</v>
      </c>
      <c r="Q266" s="466">
        <v>0</v>
      </c>
      <c r="R266" s="466">
        <v>0</v>
      </c>
      <c r="S266" s="466">
        <v>0</v>
      </c>
      <c r="T266" s="466"/>
      <c r="U266" s="466">
        <v>0</v>
      </c>
      <c r="V266" s="466"/>
      <c r="W266" s="466"/>
      <c r="X266" s="466">
        <v>-654.37</v>
      </c>
      <c r="Y266" s="466">
        <v>0</v>
      </c>
      <c r="Z266" s="466">
        <v>0</v>
      </c>
      <c r="AA266" s="466">
        <v>0</v>
      </c>
      <c r="AB266" s="466">
        <v>4121526.97</v>
      </c>
      <c r="AC266" s="466">
        <v>730156.66</v>
      </c>
      <c r="AD266" s="466">
        <v>44842.03</v>
      </c>
      <c r="AE266" s="466"/>
      <c r="AF266" s="466"/>
      <c r="AG266" s="466">
        <v>-9539.0499999999993</v>
      </c>
      <c r="AH266" s="466">
        <v>4083.55</v>
      </c>
      <c r="AI266" s="466">
        <v>12376.1</v>
      </c>
      <c r="AJ266" s="466"/>
      <c r="AK266" s="466">
        <v>167585.70000000001</v>
      </c>
      <c r="AL266" s="466">
        <v>7273.5</v>
      </c>
      <c r="AM266" s="466">
        <v>2960</v>
      </c>
      <c r="AN266" s="466">
        <v>1.81</v>
      </c>
      <c r="AO266" s="466">
        <v>37484.47</v>
      </c>
      <c r="AP266" s="466"/>
      <c r="AQ266" s="466">
        <v>55483.5</v>
      </c>
      <c r="AR266" s="466">
        <v>1154.3499999999999</v>
      </c>
      <c r="AS266" s="466">
        <v>83818.8</v>
      </c>
    </row>
    <row r="267" spans="1:45" x14ac:dyDescent="0.2">
      <c r="A267" s="465">
        <v>5858</v>
      </c>
      <c r="B267" s="466"/>
      <c r="C267" s="466">
        <v>2910.78</v>
      </c>
      <c r="D267" s="466">
        <v>533.88</v>
      </c>
      <c r="E267" s="466">
        <v>41048.5</v>
      </c>
      <c r="F267" s="466">
        <v>0</v>
      </c>
      <c r="G267" s="466">
        <v>0</v>
      </c>
      <c r="H267" s="466">
        <v>0</v>
      </c>
      <c r="I267" s="466">
        <v>0</v>
      </c>
      <c r="J267" s="466"/>
      <c r="K267" s="466">
        <v>0</v>
      </c>
      <c r="L267" s="466">
        <v>0</v>
      </c>
      <c r="M267" s="466">
        <v>0</v>
      </c>
      <c r="N267" s="466"/>
      <c r="O267" s="466">
        <v>0</v>
      </c>
      <c r="P267" s="466">
        <v>0</v>
      </c>
      <c r="Q267" s="466">
        <v>0</v>
      </c>
      <c r="R267" s="466">
        <v>0</v>
      </c>
      <c r="S267" s="466">
        <v>0</v>
      </c>
      <c r="T267" s="466"/>
      <c r="U267" s="466">
        <v>0</v>
      </c>
      <c r="V267" s="466"/>
      <c r="W267" s="466"/>
      <c r="X267" s="466">
        <v>4253.3900000000003</v>
      </c>
      <c r="Y267" s="466">
        <v>0</v>
      </c>
      <c r="Z267" s="466">
        <v>0</v>
      </c>
      <c r="AA267" s="466">
        <v>0</v>
      </c>
      <c r="AB267" s="466">
        <v>1722015.64</v>
      </c>
      <c r="AC267" s="466">
        <v>271762.64</v>
      </c>
      <c r="AD267" s="466">
        <v>34452.339999999997</v>
      </c>
      <c r="AE267" s="466">
        <v>176046.84</v>
      </c>
      <c r="AF267" s="466"/>
      <c r="AG267" s="466">
        <v>35061.1</v>
      </c>
      <c r="AH267" s="466">
        <v>399.5</v>
      </c>
      <c r="AI267" s="466">
        <v>1071.1500000000001</v>
      </c>
      <c r="AJ267" s="466"/>
      <c r="AK267" s="466">
        <v>74517.25</v>
      </c>
      <c r="AL267" s="466">
        <v>19001.400000000001</v>
      </c>
      <c r="AM267" s="466">
        <v>2670</v>
      </c>
      <c r="AN267" s="466">
        <v>1660.35</v>
      </c>
      <c r="AO267" s="466">
        <v>19298.560000000001</v>
      </c>
      <c r="AP267" s="466"/>
      <c r="AQ267" s="466">
        <v>21161.9</v>
      </c>
      <c r="AR267" s="466">
        <v>4349.6899999999996</v>
      </c>
      <c r="AS267" s="466">
        <v>4072.3</v>
      </c>
    </row>
    <row r="268" spans="1:45" x14ac:dyDescent="0.2">
      <c r="A268" s="465">
        <v>5859</v>
      </c>
      <c r="B268" s="466"/>
      <c r="C268" s="466">
        <v>18328.61</v>
      </c>
      <c r="D268" s="466">
        <v>1897.33</v>
      </c>
      <c r="E268" s="466">
        <v>59061.15</v>
      </c>
      <c r="F268" s="466">
        <v>0</v>
      </c>
      <c r="G268" s="466">
        <v>0</v>
      </c>
      <c r="H268" s="466">
        <v>0</v>
      </c>
      <c r="I268" s="466">
        <v>0</v>
      </c>
      <c r="J268" s="466"/>
      <c r="K268" s="466">
        <v>0</v>
      </c>
      <c r="L268" s="466">
        <v>0</v>
      </c>
      <c r="M268" s="466">
        <v>0</v>
      </c>
      <c r="N268" s="466"/>
      <c r="O268" s="466">
        <v>0</v>
      </c>
      <c r="P268" s="466">
        <v>0</v>
      </c>
      <c r="Q268" s="466">
        <v>0</v>
      </c>
      <c r="R268" s="466">
        <v>0</v>
      </c>
      <c r="S268" s="466">
        <v>0</v>
      </c>
      <c r="T268" s="466"/>
      <c r="U268" s="466">
        <v>0</v>
      </c>
      <c r="V268" s="466"/>
      <c r="W268" s="466"/>
      <c r="X268" s="466">
        <v>8761.77</v>
      </c>
      <c r="Y268" s="466">
        <v>0</v>
      </c>
      <c r="Z268" s="466">
        <v>0</v>
      </c>
      <c r="AA268" s="466">
        <v>0</v>
      </c>
      <c r="AB268" s="466">
        <v>6729253.2199999997</v>
      </c>
      <c r="AC268" s="466">
        <v>1430023.46</v>
      </c>
      <c r="AD268" s="466">
        <v>116484.27</v>
      </c>
      <c r="AE268" s="466">
        <v>325204.3</v>
      </c>
      <c r="AF268" s="466"/>
      <c r="AG268" s="466">
        <v>67966.149999999994</v>
      </c>
      <c r="AH268" s="466">
        <v>5080.95</v>
      </c>
      <c r="AI268" s="466">
        <v>23121.5</v>
      </c>
      <c r="AJ268" s="466"/>
      <c r="AK268" s="466">
        <v>342244.95</v>
      </c>
      <c r="AL268" s="466">
        <v>102227.9</v>
      </c>
      <c r="AM268" s="466">
        <v>16500</v>
      </c>
      <c r="AN268" s="466">
        <v>9685.19</v>
      </c>
      <c r="AO268" s="466">
        <v>73731.63</v>
      </c>
      <c r="AP268" s="466"/>
      <c r="AQ268" s="466">
        <v>207997.85</v>
      </c>
      <c r="AR268" s="466">
        <v>20714.57</v>
      </c>
      <c r="AS268" s="466">
        <v>117869.3</v>
      </c>
    </row>
    <row r="269" spans="1:45" x14ac:dyDescent="0.2">
      <c r="A269" s="465">
        <v>5860</v>
      </c>
      <c r="B269" s="466"/>
      <c r="C269" s="466">
        <v>5947.49</v>
      </c>
      <c r="D269" s="466">
        <v>648.46</v>
      </c>
      <c r="E269" s="466">
        <v>96821.82</v>
      </c>
      <c r="F269" s="466">
        <v>0</v>
      </c>
      <c r="G269" s="466">
        <v>0</v>
      </c>
      <c r="H269" s="466">
        <v>0</v>
      </c>
      <c r="I269" s="466">
        <v>0</v>
      </c>
      <c r="J269" s="466"/>
      <c r="K269" s="466">
        <v>0</v>
      </c>
      <c r="L269" s="466">
        <v>0</v>
      </c>
      <c r="M269" s="466">
        <v>0</v>
      </c>
      <c r="N269" s="466"/>
      <c r="O269" s="466">
        <v>0</v>
      </c>
      <c r="P269" s="466">
        <v>0</v>
      </c>
      <c r="Q269" s="466">
        <v>0</v>
      </c>
      <c r="R269" s="466">
        <v>0</v>
      </c>
      <c r="S269" s="466">
        <v>0</v>
      </c>
      <c r="T269" s="466">
        <v>0</v>
      </c>
      <c r="U269" s="466">
        <v>0</v>
      </c>
      <c r="V269" s="466"/>
      <c r="W269" s="466"/>
      <c r="X269" s="466">
        <v>18694.939999999999</v>
      </c>
      <c r="Y269" s="466">
        <v>0</v>
      </c>
      <c r="Z269" s="466">
        <v>0</v>
      </c>
      <c r="AA269" s="466">
        <v>0</v>
      </c>
      <c r="AB269" s="466">
        <v>5494019.4000000004</v>
      </c>
      <c r="AC269" s="466">
        <v>4284191.96</v>
      </c>
      <c r="AD269" s="466">
        <v>66967.210000000006</v>
      </c>
      <c r="AE269" s="466">
        <v>494034.2</v>
      </c>
      <c r="AF269" s="466"/>
      <c r="AG269" s="466">
        <v>147539.15</v>
      </c>
      <c r="AH269" s="466">
        <v>8321</v>
      </c>
      <c r="AI269" s="466">
        <v>28394.799999999999</v>
      </c>
      <c r="AJ269" s="466"/>
      <c r="AK269" s="466">
        <v>480096.5</v>
      </c>
      <c r="AL269" s="466">
        <v>27524.7</v>
      </c>
      <c r="AM269" s="466">
        <v>8080</v>
      </c>
      <c r="AN269" s="466">
        <v>3443.13</v>
      </c>
      <c r="AO269" s="466">
        <v>767773.83</v>
      </c>
      <c r="AP269" s="466">
        <v>868.25</v>
      </c>
      <c r="AQ269" s="466">
        <v>711859.85</v>
      </c>
      <c r="AR269" s="466">
        <v>17501.400000000001</v>
      </c>
      <c r="AS269" s="466">
        <v>22451.35</v>
      </c>
    </row>
    <row r="270" spans="1:45" x14ac:dyDescent="0.2">
      <c r="A270" s="465">
        <v>5861</v>
      </c>
      <c r="B270" s="466"/>
      <c r="C270" s="466">
        <v>104738.39</v>
      </c>
      <c r="D270" s="466">
        <v>37798.51</v>
      </c>
      <c r="E270" s="466">
        <v>203108.18</v>
      </c>
      <c r="F270" s="466">
        <v>0</v>
      </c>
      <c r="G270" s="466">
        <v>0</v>
      </c>
      <c r="H270" s="466">
        <v>0</v>
      </c>
      <c r="I270" s="466">
        <v>0</v>
      </c>
      <c r="J270" s="466"/>
      <c r="K270" s="466">
        <v>0</v>
      </c>
      <c r="L270" s="466">
        <v>0</v>
      </c>
      <c r="M270" s="466">
        <v>0</v>
      </c>
      <c r="N270" s="466"/>
      <c r="O270" s="466">
        <v>0</v>
      </c>
      <c r="P270" s="466">
        <v>0</v>
      </c>
      <c r="Q270" s="466">
        <v>0</v>
      </c>
      <c r="R270" s="466">
        <v>0</v>
      </c>
      <c r="S270" s="466">
        <v>0</v>
      </c>
      <c r="T270" s="466"/>
      <c r="U270" s="466">
        <v>0</v>
      </c>
      <c r="V270" s="466"/>
      <c r="W270" s="466"/>
      <c r="X270" s="466">
        <v>10070150.960000001</v>
      </c>
      <c r="Y270" s="466">
        <v>0</v>
      </c>
      <c r="Z270" s="466">
        <v>0</v>
      </c>
      <c r="AA270" s="466">
        <v>0</v>
      </c>
      <c r="AB270" s="466">
        <v>14324702.609999999</v>
      </c>
      <c r="AC270" s="466">
        <v>2945979.44</v>
      </c>
      <c r="AD270" s="466">
        <v>2067650.94</v>
      </c>
      <c r="AE270" s="466">
        <v>278867.45</v>
      </c>
      <c r="AF270" s="466"/>
      <c r="AG270" s="466">
        <v>83722893.200000003</v>
      </c>
      <c r="AH270" s="466">
        <v>232192.8</v>
      </c>
      <c r="AI270" s="466">
        <v>146593.04999999999</v>
      </c>
      <c r="AJ270" s="466"/>
      <c r="AK270" s="466">
        <v>924862.7</v>
      </c>
      <c r="AL270" s="466">
        <v>287516.09999999998</v>
      </c>
      <c r="AM270" s="466">
        <v>19650</v>
      </c>
      <c r="AN270" s="466">
        <v>33825.89</v>
      </c>
      <c r="AO270" s="466">
        <v>176774.41</v>
      </c>
      <c r="AP270" s="466"/>
      <c r="AQ270" s="466">
        <v>514069.1</v>
      </c>
      <c r="AR270" s="466">
        <v>134280.85</v>
      </c>
      <c r="AS270" s="466">
        <v>582066.6</v>
      </c>
    </row>
    <row r="271" spans="1:45" x14ac:dyDescent="0.2">
      <c r="A271" s="465">
        <v>5862</v>
      </c>
      <c r="B271" s="466"/>
      <c r="C271" s="466">
        <v>892.88</v>
      </c>
      <c r="D271" s="466">
        <v>170.54</v>
      </c>
      <c r="E271" s="466">
        <v>12404.54</v>
      </c>
      <c r="F271" s="466">
        <v>0</v>
      </c>
      <c r="G271" s="466">
        <v>0</v>
      </c>
      <c r="H271" s="466">
        <v>0</v>
      </c>
      <c r="I271" s="466"/>
      <c r="J271" s="466"/>
      <c r="K271" s="466">
        <v>0</v>
      </c>
      <c r="L271" s="466">
        <v>0</v>
      </c>
      <c r="M271" s="466"/>
      <c r="N271" s="466"/>
      <c r="O271" s="466"/>
      <c r="P271" s="466">
        <v>0</v>
      </c>
      <c r="Q271" s="466">
        <v>0</v>
      </c>
      <c r="R271" s="466">
        <v>0</v>
      </c>
      <c r="S271" s="466">
        <v>0</v>
      </c>
      <c r="T271" s="466"/>
      <c r="U271" s="466">
        <v>0</v>
      </c>
      <c r="V271" s="466"/>
      <c r="W271" s="466"/>
      <c r="X271" s="466">
        <v>1070.57</v>
      </c>
      <c r="Y271" s="466">
        <v>0</v>
      </c>
      <c r="Z271" s="466">
        <v>0</v>
      </c>
      <c r="AA271" s="466">
        <v>0</v>
      </c>
      <c r="AB271" s="466">
        <v>511535.32</v>
      </c>
      <c r="AC271" s="466">
        <v>81412.039999999994</v>
      </c>
      <c r="AD271" s="466">
        <v>-535.36</v>
      </c>
      <c r="AE271" s="466"/>
      <c r="AF271" s="466"/>
      <c r="AG271" s="466">
        <v>8860.7000000000007</v>
      </c>
      <c r="AH271" s="466">
        <v>64.7</v>
      </c>
      <c r="AI271" s="466"/>
      <c r="AJ271" s="466"/>
      <c r="AK271" s="466"/>
      <c r="AL271" s="466">
        <v>1757.6</v>
      </c>
      <c r="AM271" s="466">
        <v>950</v>
      </c>
      <c r="AN271" s="466">
        <v>0.49</v>
      </c>
      <c r="AO271" s="466">
        <v>7018.79</v>
      </c>
      <c r="AP271" s="466"/>
      <c r="AQ271" s="466">
        <v>-3733.3</v>
      </c>
      <c r="AR271" s="466">
        <v>43.81</v>
      </c>
      <c r="AS271" s="466">
        <v>11024.15</v>
      </c>
    </row>
    <row r="272" spans="1:45" x14ac:dyDescent="0.2">
      <c r="A272" s="465">
        <v>5863</v>
      </c>
      <c r="B272" s="466"/>
      <c r="C272" s="466">
        <v>3128.68</v>
      </c>
      <c r="D272" s="466">
        <v>351.91</v>
      </c>
      <c r="E272" s="466">
        <v>1184.92</v>
      </c>
      <c r="F272" s="466">
        <v>0</v>
      </c>
      <c r="G272" s="466">
        <v>0</v>
      </c>
      <c r="H272" s="466">
        <v>0</v>
      </c>
      <c r="I272" s="466">
        <v>0</v>
      </c>
      <c r="J272" s="466"/>
      <c r="K272" s="466">
        <v>0</v>
      </c>
      <c r="L272" s="466">
        <v>0</v>
      </c>
      <c r="M272" s="466">
        <v>0</v>
      </c>
      <c r="N272" s="466"/>
      <c r="O272" s="466">
        <v>0</v>
      </c>
      <c r="P272" s="466">
        <v>0</v>
      </c>
      <c r="Q272" s="466">
        <v>0</v>
      </c>
      <c r="R272" s="466"/>
      <c r="S272" s="466">
        <v>0</v>
      </c>
      <c r="T272" s="466"/>
      <c r="U272" s="466">
        <v>0</v>
      </c>
      <c r="V272" s="466"/>
      <c r="W272" s="466"/>
      <c r="X272" s="466">
        <v>4222.21</v>
      </c>
      <c r="Y272" s="466">
        <v>0</v>
      </c>
      <c r="Z272" s="466">
        <v>0</v>
      </c>
      <c r="AA272" s="466">
        <v>0</v>
      </c>
      <c r="AB272" s="466">
        <v>1005152.06</v>
      </c>
      <c r="AC272" s="466">
        <v>243236.83</v>
      </c>
      <c r="AD272" s="466">
        <v>55373.32</v>
      </c>
      <c r="AE272" s="466">
        <v>42786.85</v>
      </c>
      <c r="AF272" s="466"/>
      <c r="AG272" s="466">
        <v>33174.400000000001</v>
      </c>
      <c r="AH272" s="466">
        <v>2026.3</v>
      </c>
      <c r="AI272" s="466">
        <v>2606.4</v>
      </c>
      <c r="AJ272" s="466"/>
      <c r="AK272" s="466">
        <v>57310</v>
      </c>
      <c r="AL272" s="466">
        <v>1834.6</v>
      </c>
      <c r="AM272" s="466">
        <v>2100</v>
      </c>
      <c r="AN272" s="466"/>
      <c r="AO272" s="466">
        <v>8871.34</v>
      </c>
      <c r="AP272" s="466"/>
      <c r="AQ272" s="466">
        <v>41481.300000000003</v>
      </c>
      <c r="AR272" s="466">
        <v>2163.7399999999998</v>
      </c>
      <c r="AS272" s="466">
        <v>23922.95</v>
      </c>
    </row>
    <row r="273" spans="1:45" x14ac:dyDescent="0.2">
      <c r="A273" s="465">
        <v>5881</v>
      </c>
      <c r="B273" s="466"/>
      <c r="C273" s="466">
        <v>30018.66</v>
      </c>
      <c r="D273" s="466">
        <v>21257.1</v>
      </c>
      <c r="E273" s="466">
        <v>88153.42</v>
      </c>
      <c r="F273" s="466">
        <v>0</v>
      </c>
      <c r="G273" s="466">
        <v>0</v>
      </c>
      <c r="H273" s="466">
        <v>0</v>
      </c>
      <c r="I273" s="466">
        <v>0</v>
      </c>
      <c r="J273" s="466"/>
      <c r="K273" s="466">
        <v>0</v>
      </c>
      <c r="L273" s="466">
        <v>0</v>
      </c>
      <c r="M273" s="466">
        <v>0</v>
      </c>
      <c r="N273" s="466"/>
      <c r="O273" s="466">
        <v>0</v>
      </c>
      <c r="P273" s="466">
        <v>0</v>
      </c>
      <c r="Q273" s="466">
        <v>0</v>
      </c>
      <c r="R273" s="466">
        <v>0</v>
      </c>
      <c r="S273" s="466">
        <v>0</v>
      </c>
      <c r="T273" s="466"/>
      <c r="U273" s="466">
        <v>0</v>
      </c>
      <c r="V273" s="466"/>
      <c r="W273" s="466"/>
      <c r="X273" s="466">
        <v>13138.62</v>
      </c>
      <c r="Y273" s="466">
        <v>0</v>
      </c>
      <c r="Z273" s="466">
        <v>0</v>
      </c>
      <c r="AA273" s="466">
        <v>0</v>
      </c>
      <c r="AB273" s="466">
        <v>18323071.039999999</v>
      </c>
      <c r="AC273" s="466">
        <v>3735893.77</v>
      </c>
      <c r="AD273" s="466">
        <v>363218.37</v>
      </c>
      <c r="AE273" s="466">
        <v>752751.77</v>
      </c>
      <c r="AF273" s="466"/>
      <c r="AG273" s="466">
        <v>40774.1</v>
      </c>
      <c r="AH273" s="466">
        <v>68762.850000000006</v>
      </c>
      <c r="AI273" s="466">
        <v>68796.05</v>
      </c>
      <c r="AJ273" s="466"/>
      <c r="AK273" s="466">
        <v>1058411.3</v>
      </c>
      <c r="AL273" s="466">
        <v>130871</v>
      </c>
      <c r="AM273" s="466">
        <v>41850</v>
      </c>
      <c r="AN273" s="466">
        <v>-20982.91</v>
      </c>
      <c r="AO273" s="466">
        <v>167283.68</v>
      </c>
      <c r="AP273" s="466"/>
      <c r="AQ273" s="466">
        <v>1342987.8</v>
      </c>
      <c r="AR273" s="466">
        <v>57917.68</v>
      </c>
      <c r="AS273" s="466">
        <v>98862.75</v>
      </c>
    </row>
    <row r="274" spans="1:45" x14ac:dyDescent="0.2">
      <c r="A274" s="465">
        <v>5882</v>
      </c>
      <c r="B274" s="466"/>
      <c r="C274" s="466">
        <v>20748.82</v>
      </c>
      <c r="D274" s="466">
        <v>4350.1499999999996</v>
      </c>
      <c r="E274" s="466">
        <v>128511.67</v>
      </c>
      <c r="F274" s="466">
        <v>0</v>
      </c>
      <c r="G274" s="466">
        <v>0</v>
      </c>
      <c r="H274" s="466">
        <v>0</v>
      </c>
      <c r="I274" s="466">
        <v>0</v>
      </c>
      <c r="J274" s="466"/>
      <c r="K274" s="466">
        <v>0</v>
      </c>
      <c r="L274" s="466">
        <v>0</v>
      </c>
      <c r="M274" s="466">
        <v>0</v>
      </c>
      <c r="N274" s="466"/>
      <c r="O274" s="466">
        <v>0</v>
      </c>
      <c r="P274" s="466">
        <v>0</v>
      </c>
      <c r="Q274" s="466">
        <v>0</v>
      </c>
      <c r="R274" s="466">
        <v>0</v>
      </c>
      <c r="S274" s="466">
        <v>0</v>
      </c>
      <c r="T274" s="466"/>
      <c r="U274" s="466">
        <v>0</v>
      </c>
      <c r="V274" s="466"/>
      <c r="W274" s="466"/>
      <c r="X274" s="466">
        <v>15731.47</v>
      </c>
      <c r="Y274" s="466">
        <v>0</v>
      </c>
      <c r="Z274" s="466">
        <v>0</v>
      </c>
      <c r="AA274" s="466">
        <v>0</v>
      </c>
      <c r="AB274" s="466">
        <v>8696796</v>
      </c>
      <c r="AC274" s="466">
        <v>1856762.65</v>
      </c>
      <c r="AD274" s="466">
        <v>239252.6</v>
      </c>
      <c r="AE274" s="466">
        <v>212678.05</v>
      </c>
      <c r="AF274" s="466"/>
      <c r="AG274" s="466">
        <v>113522.15</v>
      </c>
      <c r="AH274" s="466">
        <v>17631.5</v>
      </c>
      <c r="AI274" s="466">
        <v>66179.25</v>
      </c>
      <c r="AJ274" s="466"/>
      <c r="AK274" s="466">
        <v>631834.94999999995</v>
      </c>
      <c r="AL274" s="466">
        <v>95838</v>
      </c>
      <c r="AM274" s="466">
        <v>15880</v>
      </c>
      <c r="AN274" s="466">
        <v>107884.07</v>
      </c>
      <c r="AO274" s="466">
        <v>81226</v>
      </c>
      <c r="AP274" s="466"/>
      <c r="AQ274" s="466">
        <v>508255.7</v>
      </c>
      <c r="AR274" s="466">
        <v>12147.19</v>
      </c>
      <c r="AS274" s="466">
        <v>11194.95</v>
      </c>
    </row>
    <row r="275" spans="1:45" x14ac:dyDescent="0.2">
      <c r="A275" s="465">
        <v>5883</v>
      </c>
      <c r="B275" s="466"/>
      <c r="C275" s="466">
        <v>17200.32</v>
      </c>
      <c r="D275" s="466">
        <v>3393.5</v>
      </c>
      <c r="E275" s="466">
        <v>94134.23</v>
      </c>
      <c r="F275" s="466">
        <v>0</v>
      </c>
      <c r="G275" s="466">
        <v>0</v>
      </c>
      <c r="H275" s="466">
        <v>0</v>
      </c>
      <c r="I275" s="466">
        <v>0</v>
      </c>
      <c r="J275" s="466"/>
      <c r="K275" s="466">
        <v>0</v>
      </c>
      <c r="L275" s="466">
        <v>0</v>
      </c>
      <c r="M275" s="466">
        <v>0</v>
      </c>
      <c r="N275" s="466"/>
      <c r="O275" s="466">
        <v>0</v>
      </c>
      <c r="P275" s="466">
        <v>0</v>
      </c>
      <c r="Q275" s="466">
        <v>0</v>
      </c>
      <c r="R275" s="466">
        <v>0</v>
      </c>
      <c r="S275" s="466">
        <v>0</v>
      </c>
      <c r="T275" s="466"/>
      <c r="U275" s="466">
        <v>0</v>
      </c>
      <c r="V275" s="466"/>
      <c r="W275" s="466"/>
      <c r="X275" s="466">
        <v>21670.95</v>
      </c>
      <c r="Y275" s="466">
        <v>0</v>
      </c>
      <c r="Z275" s="466">
        <v>0</v>
      </c>
      <c r="AA275" s="466">
        <v>0</v>
      </c>
      <c r="AB275" s="466">
        <v>7639774.4400000004</v>
      </c>
      <c r="AC275" s="466">
        <v>2166925.09</v>
      </c>
      <c r="AD275" s="466">
        <v>203423.91</v>
      </c>
      <c r="AE275" s="466">
        <v>517436.72</v>
      </c>
      <c r="AF275" s="466"/>
      <c r="AG275" s="466">
        <v>144358.95000000001</v>
      </c>
      <c r="AH275" s="466">
        <v>36312.25</v>
      </c>
      <c r="AI275" s="466">
        <v>12409.9</v>
      </c>
      <c r="AJ275" s="466"/>
      <c r="AK275" s="466">
        <v>394138.15</v>
      </c>
      <c r="AL275" s="466">
        <v>115406.1</v>
      </c>
      <c r="AM275" s="466">
        <v>5750</v>
      </c>
      <c r="AN275" s="466">
        <v>32383.77</v>
      </c>
      <c r="AO275" s="466">
        <v>56082.23</v>
      </c>
      <c r="AP275" s="466"/>
      <c r="AQ275" s="466">
        <v>346407.15</v>
      </c>
      <c r="AR275" s="466">
        <v>13760.55</v>
      </c>
      <c r="AS275" s="466"/>
    </row>
    <row r="276" spans="1:45" x14ac:dyDescent="0.2">
      <c r="A276" s="465">
        <v>5884</v>
      </c>
      <c r="B276" s="466"/>
      <c r="C276" s="466">
        <v>9179.7900000000009</v>
      </c>
      <c r="D276" s="466">
        <v>1651.06</v>
      </c>
      <c r="E276" s="466">
        <v>68462.78</v>
      </c>
      <c r="F276" s="466">
        <v>0</v>
      </c>
      <c r="G276" s="466">
        <v>0</v>
      </c>
      <c r="H276" s="466">
        <v>0</v>
      </c>
      <c r="I276" s="466">
        <v>0</v>
      </c>
      <c r="J276" s="466"/>
      <c r="K276" s="466">
        <v>0</v>
      </c>
      <c r="L276" s="466">
        <v>0</v>
      </c>
      <c r="M276" s="466">
        <v>0</v>
      </c>
      <c r="N276" s="466"/>
      <c r="O276" s="466">
        <v>0</v>
      </c>
      <c r="P276" s="466"/>
      <c r="Q276" s="466">
        <v>0</v>
      </c>
      <c r="R276" s="466">
        <v>0</v>
      </c>
      <c r="S276" s="466">
        <v>0</v>
      </c>
      <c r="T276" s="466"/>
      <c r="U276" s="466">
        <v>0</v>
      </c>
      <c r="V276" s="466"/>
      <c r="W276" s="466"/>
      <c r="X276" s="466">
        <v>39862.83</v>
      </c>
      <c r="Y276" s="466">
        <v>0</v>
      </c>
      <c r="Z276" s="466">
        <v>0</v>
      </c>
      <c r="AA276" s="466">
        <v>0</v>
      </c>
      <c r="AB276" s="466">
        <v>5773686.8200000003</v>
      </c>
      <c r="AC276" s="466">
        <v>836336.35</v>
      </c>
      <c r="AD276" s="466">
        <v>129192.63</v>
      </c>
      <c r="AE276" s="466">
        <v>26243.7</v>
      </c>
      <c r="AF276" s="466"/>
      <c r="AG276" s="466">
        <v>268358.59999999998</v>
      </c>
      <c r="AH276" s="466">
        <v>63978.75</v>
      </c>
      <c r="AI276" s="466">
        <v>184918.95</v>
      </c>
      <c r="AJ276" s="466"/>
      <c r="AK276" s="466">
        <v>312090.3</v>
      </c>
      <c r="AL276" s="466"/>
      <c r="AM276" s="466">
        <v>20300</v>
      </c>
      <c r="AN276" s="466">
        <v>6608.53</v>
      </c>
      <c r="AO276" s="466">
        <v>64807.46</v>
      </c>
      <c r="AP276" s="466"/>
      <c r="AQ276" s="466">
        <v>214673.65</v>
      </c>
      <c r="AR276" s="466">
        <v>4466.72</v>
      </c>
      <c r="AS276" s="466">
        <v>471954.75</v>
      </c>
    </row>
    <row r="277" spans="1:45" x14ac:dyDescent="0.2">
      <c r="A277" s="465">
        <v>5885</v>
      </c>
      <c r="B277" s="466"/>
      <c r="C277" s="466">
        <v>6349.69</v>
      </c>
      <c r="D277" s="466">
        <v>1901.81</v>
      </c>
      <c r="E277" s="466">
        <v>5103.87</v>
      </c>
      <c r="F277" s="466">
        <v>0</v>
      </c>
      <c r="G277" s="466">
        <v>0</v>
      </c>
      <c r="H277" s="466">
        <v>0</v>
      </c>
      <c r="I277" s="466">
        <v>0</v>
      </c>
      <c r="J277" s="466"/>
      <c r="K277" s="466">
        <v>0</v>
      </c>
      <c r="L277" s="466">
        <v>0</v>
      </c>
      <c r="M277" s="466">
        <v>0</v>
      </c>
      <c r="N277" s="466">
        <v>0</v>
      </c>
      <c r="O277" s="466">
        <v>0</v>
      </c>
      <c r="P277" s="466">
        <v>0</v>
      </c>
      <c r="Q277" s="466">
        <v>0</v>
      </c>
      <c r="R277" s="466"/>
      <c r="S277" s="466">
        <v>0</v>
      </c>
      <c r="T277" s="466"/>
      <c r="U277" s="466">
        <v>0</v>
      </c>
      <c r="V277" s="466"/>
      <c r="W277" s="466"/>
      <c r="X277" s="466">
        <v>25.2</v>
      </c>
      <c r="Y277" s="466">
        <v>0</v>
      </c>
      <c r="Z277" s="466">
        <v>0</v>
      </c>
      <c r="AA277" s="466">
        <v>0</v>
      </c>
      <c r="AB277" s="466">
        <v>4629116.54</v>
      </c>
      <c r="AC277" s="466">
        <v>712082.44</v>
      </c>
      <c r="AD277" s="466">
        <v>105212.06</v>
      </c>
      <c r="AE277" s="466">
        <v>65358.400000000001</v>
      </c>
      <c r="AF277" s="466"/>
      <c r="AG277" s="466">
        <v>-4833</v>
      </c>
      <c r="AH277" s="466">
        <v>5043.1000000000004</v>
      </c>
      <c r="AI277" s="466">
        <v>-4704.55</v>
      </c>
      <c r="AJ277" s="466">
        <v>499533.85</v>
      </c>
      <c r="AK277" s="466">
        <v>362478.35</v>
      </c>
      <c r="AL277" s="466">
        <v>24912.400000000001</v>
      </c>
      <c r="AM277" s="466">
        <v>8600</v>
      </c>
      <c r="AN277" s="466"/>
      <c r="AO277" s="466">
        <v>33044.480000000003</v>
      </c>
      <c r="AP277" s="466"/>
      <c r="AQ277" s="466">
        <v>290352.55</v>
      </c>
      <c r="AR277" s="466">
        <v>3916.17</v>
      </c>
      <c r="AS277" s="466">
        <v>2144.65</v>
      </c>
    </row>
    <row r="278" spans="1:45" x14ac:dyDescent="0.2">
      <c r="A278" s="465">
        <v>5886</v>
      </c>
      <c r="B278" s="466"/>
      <c r="C278" s="466">
        <v>101516.08</v>
      </c>
      <c r="D278" s="466">
        <v>26245.8</v>
      </c>
      <c r="E278" s="466">
        <v>979478.85</v>
      </c>
      <c r="F278" s="466">
        <v>0</v>
      </c>
      <c r="G278" s="466">
        <v>0</v>
      </c>
      <c r="H278" s="466">
        <v>0</v>
      </c>
      <c r="I278" s="466">
        <v>0</v>
      </c>
      <c r="J278" s="466"/>
      <c r="K278" s="466">
        <v>0</v>
      </c>
      <c r="L278" s="466">
        <v>0</v>
      </c>
      <c r="M278" s="466">
        <v>0</v>
      </c>
      <c r="N278" s="466"/>
      <c r="O278" s="466">
        <v>0</v>
      </c>
      <c r="P278" s="466">
        <v>0</v>
      </c>
      <c r="Q278" s="466">
        <v>0</v>
      </c>
      <c r="R278" s="466">
        <v>0</v>
      </c>
      <c r="S278" s="466">
        <v>0</v>
      </c>
      <c r="T278" s="466">
        <v>0</v>
      </c>
      <c r="U278" s="466">
        <v>0</v>
      </c>
      <c r="V278" s="466"/>
      <c r="W278" s="466"/>
      <c r="X278" s="466">
        <v>366216.66</v>
      </c>
      <c r="Y278" s="466">
        <v>0</v>
      </c>
      <c r="Z278" s="466">
        <v>0</v>
      </c>
      <c r="AA278" s="466">
        <v>0</v>
      </c>
      <c r="AB278" s="466">
        <v>43389958.619999997</v>
      </c>
      <c r="AC278" s="466">
        <v>11400811.4</v>
      </c>
      <c r="AD278" s="466">
        <v>2273892.98</v>
      </c>
      <c r="AE278" s="466">
        <v>3440972.13</v>
      </c>
      <c r="AF278" s="466"/>
      <c r="AG278" s="466">
        <v>2613974.9500000002</v>
      </c>
      <c r="AH278" s="466">
        <v>439182</v>
      </c>
      <c r="AI278" s="466">
        <v>713553.05</v>
      </c>
      <c r="AJ278" s="466"/>
      <c r="AK278" s="466">
        <v>4226896.3</v>
      </c>
      <c r="AL278" s="466">
        <v>14175436.6</v>
      </c>
      <c r="AM278" s="466">
        <v>93050</v>
      </c>
      <c r="AN278" s="466">
        <v>233403.51</v>
      </c>
      <c r="AO278" s="466">
        <v>834702.17</v>
      </c>
      <c r="AP278" s="466">
        <v>-34220.25</v>
      </c>
      <c r="AQ278" s="466">
        <v>3021737.75</v>
      </c>
      <c r="AR278" s="466">
        <v>118292.14</v>
      </c>
      <c r="AS278" s="466">
        <v>1113954.95</v>
      </c>
    </row>
    <row r="279" spans="1:45" x14ac:dyDescent="0.2">
      <c r="A279" s="465">
        <v>5888</v>
      </c>
      <c r="B279" s="466"/>
      <c r="C279" s="466">
        <v>33759.120000000003</v>
      </c>
      <c r="D279" s="466">
        <v>7926.01</v>
      </c>
      <c r="E279" s="466">
        <v>59918.26</v>
      </c>
      <c r="F279" s="466">
        <v>0</v>
      </c>
      <c r="G279" s="466">
        <v>0</v>
      </c>
      <c r="H279" s="466">
        <v>0</v>
      </c>
      <c r="I279" s="466">
        <v>0</v>
      </c>
      <c r="J279" s="466"/>
      <c r="K279" s="466">
        <v>0</v>
      </c>
      <c r="L279" s="466">
        <v>0</v>
      </c>
      <c r="M279" s="466">
        <v>0</v>
      </c>
      <c r="N279" s="466"/>
      <c r="O279" s="466">
        <v>0</v>
      </c>
      <c r="P279" s="466">
        <v>0</v>
      </c>
      <c r="Q279" s="466">
        <v>0</v>
      </c>
      <c r="R279" s="466">
        <v>0</v>
      </c>
      <c r="S279" s="466">
        <v>0</v>
      </c>
      <c r="T279" s="466"/>
      <c r="U279" s="466">
        <v>0</v>
      </c>
      <c r="V279" s="466"/>
      <c r="W279" s="466"/>
      <c r="X279" s="466">
        <v>50411.69</v>
      </c>
      <c r="Y279" s="466">
        <v>0</v>
      </c>
      <c r="Z279" s="466">
        <v>0</v>
      </c>
      <c r="AA279" s="466">
        <v>0</v>
      </c>
      <c r="AB279" s="466">
        <v>15782323.710000001</v>
      </c>
      <c r="AC279" s="466">
        <v>3834766.96</v>
      </c>
      <c r="AD279" s="466">
        <v>307136.8</v>
      </c>
      <c r="AE279" s="466">
        <v>318286.65000000002</v>
      </c>
      <c r="AF279" s="466"/>
      <c r="AG279" s="466">
        <v>371061.15</v>
      </c>
      <c r="AH279" s="466">
        <v>49222.3</v>
      </c>
      <c r="AI279" s="466">
        <v>79417.5</v>
      </c>
      <c r="AJ279" s="466"/>
      <c r="AK279" s="466">
        <v>1379677.55</v>
      </c>
      <c r="AL279" s="466">
        <v>4698.6000000000004</v>
      </c>
      <c r="AM279" s="466">
        <v>35650</v>
      </c>
      <c r="AN279" s="466">
        <v>46542.17</v>
      </c>
      <c r="AO279" s="466">
        <v>141643.43</v>
      </c>
      <c r="AP279" s="466"/>
      <c r="AQ279" s="466">
        <v>585396.15</v>
      </c>
      <c r="AR279" s="466">
        <v>29801</v>
      </c>
      <c r="AS279" s="466">
        <v>190374.5</v>
      </c>
    </row>
    <row r="280" spans="1:45" x14ac:dyDescent="0.2">
      <c r="A280" s="465">
        <v>5889</v>
      </c>
      <c r="B280" s="466"/>
      <c r="C280" s="466">
        <v>65614.94</v>
      </c>
      <c r="D280" s="466">
        <v>10009.74</v>
      </c>
      <c r="E280" s="466">
        <v>279655.38</v>
      </c>
      <c r="F280" s="466">
        <v>0</v>
      </c>
      <c r="G280" s="466">
        <v>0</v>
      </c>
      <c r="H280" s="466">
        <v>0</v>
      </c>
      <c r="I280" s="466">
        <v>0</v>
      </c>
      <c r="J280" s="466"/>
      <c r="K280" s="466">
        <v>0</v>
      </c>
      <c r="L280" s="466">
        <v>0</v>
      </c>
      <c r="M280" s="466">
        <v>0</v>
      </c>
      <c r="N280" s="466"/>
      <c r="O280" s="466">
        <v>0</v>
      </c>
      <c r="P280" s="466">
        <v>0</v>
      </c>
      <c r="Q280" s="466">
        <v>0</v>
      </c>
      <c r="R280" s="466">
        <v>0</v>
      </c>
      <c r="S280" s="466">
        <v>0</v>
      </c>
      <c r="T280" s="466"/>
      <c r="U280" s="466">
        <v>0</v>
      </c>
      <c r="V280" s="466"/>
      <c r="W280" s="466"/>
      <c r="X280" s="466">
        <v>526836.32999999996</v>
      </c>
      <c r="Y280" s="466">
        <v>0</v>
      </c>
      <c r="Z280" s="466">
        <v>0</v>
      </c>
      <c r="AA280" s="466">
        <v>0</v>
      </c>
      <c r="AB280" s="466">
        <v>28877988.780000001</v>
      </c>
      <c r="AC280" s="466">
        <v>5931076</v>
      </c>
      <c r="AD280" s="466">
        <v>567329.85</v>
      </c>
      <c r="AE280" s="466">
        <v>496028.45</v>
      </c>
      <c r="AF280" s="466"/>
      <c r="AG280" s="466">
        <v>4371006.4000000004</v>
      </c>
      <c r="AH280" s="466">
        <v>21240.5</v>
      </c>
      <c r="AI280" s="466">
        <v>211743.9</v>
      </c>
      <c r="AJ280" s="466"/>
      <c r="AK280" s="466">
        <v>1610117.1</v>
      </c>
      <c r="AL280" s="466">
        <v>700990.6</v>
      </c>
      <c r="AM280" s="466">
        <v>45300</v>
      </c>
      <c r="AN280" s="466">
        <v>136325.79999999999</v>
      </c>
      <c r="AO280" s="466">
        <v>266143.44</v>
      </c>
      <c r="AP280" s="466"/>
      <c r="AQ280" s="466">
        <v>968601.5</v>
      </c>
      <c r="AR280" s="466">
        <v>87734.82</v>
      </c>
      <c r="AS280" s="466">
        <v>213995.45</v>
      </c>
    </row>
    <row r="281" spans="1:45" x14ac:dyDescent="0.2">
      <c r="A281" s="465">
        <v>5890</v>
      </c>
      <c r="B281" s="466"/>
      <c r="C281" s="466">
        <v>173087.14</v>
      </c>
      <c r="D281" s="466">
        <v>15997.51</v>
      </c>
      <c r="E281" s="466">
        <v>463900.91</v>
      </c>
      <c r="F281" s="466">
        <v>0</v>
      </c>
      <c r="G281" s="466">
        <v>0</v>
      </c>
      <c r="H281" s="466">
        <v>0</v>
      </c>
      <c r="I281" s="466">
        <v>0</v>
      </c>
      <c r="J281" s="466"/>
      <c r="K281" s="466">
        <v>0</v>
      </c>
      <c r="L281" s="466">
        <v>0</v>
      </c>
      <c r="M281" s="466">
        <v>0</v>
      </c>
      <c r="N281" s="466"/>
      <c r="O281" s="466">
        <v>0</v>
      </c>
      <c r="P281" s="466">
        <v>0</v>
      </c>
      <c r="Q281" s="466">
        <v>0</v>
      </c>
      <c r="R281" s="466">
        <v>0</v>
      </c>
      <c r="S281" s="466">
        <v>0</v>
      </c>
      <c r="T281" s="466">
        <v>0</v>
      </c>
      <c r="U281" s="466">
        <v>0</v>
      </c>
      <c r="V281" s="466"/>
      <c r="W281" s="466"/>
      <c r="X281" s="466">
        <v>1535089.19</v>
      </c>
      <c r="Y281" s="466">
        <v>0</v>
      </c>
      <c r="Z281" s="466">
        <v>0</v>
      </c>
      <c r="AA281" s="466">
        <v>0</v>
      </c>
      <c r="AB281" s="466">
        <v>36594046.640000001</v>
      </c>
      <c r="AC281" s="466">
        <v>4894427.3600000003</v>
      </c>
      <c r="AD281" s="466">
        <v>3962548.39</v>
      </c>
      <c r="AE281" s="466">
        <v>301640.81</v>
      </c>
      <c r="AF281" s="466"/>
      <c r="AG281" s="466">
        <v>11758942.699999999</v>
      </c>
      <c r="AH281" s="466">
        <v>1039132.1</v>
      </c>
      <c r="AI281" s="466">
        <v>749667.7</v>
      </c>
      <c r="AJ281" s="466"/>
      <c r="AK281" s="466">
        <v>1570397.45</v>
      </c>
      <c r="AL281" s="466">
        <v>2559081.2000000002</v>
      </c>
      <c r="AM281" s="466">
        <v>54900</v>
      </c>
      <c r="AN281" s="466">
        <v>146582.91</v>
      </c>
      <c r="AO281" s="466">
        <v>506348.52</v>
      </c>
      <c r="AP281" s="466">
        <v>42952.15</v>
      </c>
      <c r="AQ281" s="466">
        <v>2095879.35</v>
      </c>
      <c r="AR281" s="466">
        <v>34364.050000000003</v>
      </c>
      <c r="AS281" s="466">
        <v>928887.1</v>
      </c>
    </row>
    <row r="282" spans="1:45" x14ac:dyDescent="0.2">
      <c r="A282" s="465">
        <v>5891</v>
      </c>
      <c r="B282" s="466"/>
      <c r="C282" s="466">
        <v>3948.78</v>
      </c>
      <c r="D282" s="466">
        <v>185.83</v>
      </c>
      <c r="E282" s="466">
        <v>113319.94</v>
      </c>
      <c r="F282" s="466">
        <v>0</v>
      </c>
      <c r="G282" s="466">
        <v>0</v>
      </c>
      <c r="H282" s="466">
        <v>0</v>
      </c>
      <c r="I282" s="466">
        <v>0</v>
      </c>
      <c r="J282" s="466"/>
      <c r="K282" s="466">
        <v>0</v>
      </c>
      <c r="L282" s="466">
        <v>0</v>
      </c>
      <c r="M282" s="466">
        <v>0</v>
      </c>
      <c r="N282" s="466"/>
      <c r="O282" s="466">
        <v>0</v>
      </c>
      <c r="P282" s="466">
        <v>0</v>
      </c>
      <c r="Q282" s="466">
        <v>0</v>
      </c>
      <c r="R282" s="466">
        <v>0</v>
      </c>
      <c r="S282" s="466">
        <v>0</v>
      </c>
      <c r="T282" s="466"/>
      <c r="U282" s="466">
        <v>0</v>
      </c>
      <c r="V282" s="466"/>
      <c r="W282" s="466"/>
      <c r="X282" s="466">
        <v>3805.13</v>
      </c>
      <c r="Y282" s="466">
        <v>0</v>
      </c>
      <c r="Z282" s="466">
        <v>0</v>
      </c>
      <c r="AA282" s="466">
        <v>0</v>
      </c>
      <c r="AB282" s="466">
        <v>2132943.9500000002</v>
      </c>
      <c r="AC282" s="466">
        <v>571965.80000000005</v>
      </c>
      <c r="AD282" s="466">
        <v>60261.36</v>
      </c>
      <c r="AE282" s="466">
        <v>33065.75</v>
      </c>
      <c r="AF282" s="466"/>
      <c r="AG282" s="466">
        <v>23606.2</v>
      </c>
      <c r="AH282" s="466">
        <v>8117.3</v>
      </c>
      <c r="AI282" s="466">
        <v>13791.35</v>
      </c>
      <c r="AJ282" s="466"/>
      <c r="AK282" s="466">
        <v>82503.95</v>
      </c>
      <c r="AL282" s="466">
        <v>192719</v>
      </c>
      <c r="AM282" s="466">
        <v>4650</v>
      </c>
      <c r="AN282" s="466">
        <v>25585.96</v>
      </c>
      <c r="AO282" s="466">
        <v>77245.95</v>
      </c>
      <c r="AP282" s="466"/>
      <c r="AQ282" s="466">
        <v>39283.199999999997</v>
      </c>
      <c r="AR282" s="466">
        <v>3587.09</v>
      </c>
      <c r="AS282" s="466">
        <v>413.25</v>
      </c>
    </row>
    <row r="283" spans="1:45" x14ac:dyDescent="0.2">
      <c r="A283" s="465">
        <v>5902</v>
      </c>
      <c r="B283" s="466"/>
      <c r="C283" s="466">
        <v>637.01</v>
      </c>
      <c r="D283" s="466">
        <v>9.4499999999999993</v>
      </c>
      <c r="E283" s="466">
        <v>9.7200000000000006</v>
      </c>
      <c r="F283" s="466">
        <v>0</v>
      </c>
      <c r="G283" s="466">
        <v>0</v>
      </c>
      <c r="H283" s="466">
        <v>0</v>
      </c>
      <c r="I283" s="466"/>
      <c r="J283" s="466"/>
      <c r="K283" s="466">
        <v>0</v>
      </c>
      <c r="L283" s="466">
        <v>0</v>
      </c>
      <c r="M283" s="466"/>
      <c r="N283" s="466"/>
      <c r="O283" s="466">
        <v>0</v>
      </c>
      <c r="P283" s="466">
        <v>0</v>
      </c>
      <c r="Q283" s="466">
        <v>0</v>
      </c>
      <c r="R283" s="466"/>
      <c r="S283" s="466">
        <v>0</v>
      </c>
      <c r="T283" s="466"/>
      <c r="U283" s="466">
        <v>0</v>
      </c>
      <c r="V283" s="466"/>
      <c r="W283" s="466"/>
      <c r="X283" s="466">
        <v>476.12</v>
      </c>
      <c r="Y283" s="466">
        <v>0</v>
      </c>
      <c r="Z283" s="466">
        <v>0</v>
      </c>
      <c r="AA283" s="466">
        <v>0</v>
      </c>
      <c r="AB283" s="466">
        <v>559147.80000000005</v>
      </c>
      <c r="AC283" s="466">
        <v>43674.5</v>
      </c>
      <c r="AD283" s="466">
        <v>2866.92</v>
      </c>
      <c r="AE283" s="466"/>
      <c r="AF283" s="466"/>
      <c r="AG283" s="466">
        <v>3802.45</v>
      </c>
      <c r="AH283" s="466">
        <v>166.95</v>
      </c>
      <c r="AI283" s="466"/>
      <c r="AJ283" s="466"/>
      <c r="AK283" s="466">
        <v>54668.4</v>
      </c>
      <c r="AL283" s="466">
        <v>651.9</v>
      </c>
      <c r="AM283" s="466">
        <v>2760</v>
      </c>
      <c r="AN283" s="466"/>
      <c r="AO283" s="466">
        <v>56.6</v>
      </c>
      <c r="AP283" s="466"/>
      <c r="AQ283" s="466">
        <v>31121.5</v>
      </c>
      <c r="AR283" s="466"/>
      <c r="AS283" s="466"/>
    </row>
    <row r="284" spans="1:45" x14ac:dyDescent="0.2">
      <c r="A284" s="465">
        <v>5903</v>
      </c>
      <c r="B284" s="466"/>
      <c r="C284" s="466">
        <v>110.52</v>
      </c>
      <c r="D284" s="466">
        <v>256.35000000000002</v>
      </c>
      <c r="E284" s="466">
        <v>1937.45</v>
      </c>
      <c r="F284" s="466">
        <v>0</v>
      </c>
      <c r="G284" s="466">
        <v>0</v>
      </c>
      <c r="H284" s="466">
        <v>0</v>
      </c>
      <c r="I284" s="466"/>
      <c r="J284" s="466"/>
      <c r="K284" s="466">
        <v>0</v>
      </c>
      <c r="L284" s="466">
        <v>0</v>
      </c>
      <c r="M284" s="466"/>
      <c r="N284" s="466"/>
      <c r="O284" s="466">
        <v>0</v>
      </c>
      <c r="P284" s="466"/>
      <c r="Q284" s="466">
        <v>0</v>
      </c>
      <c r="R284" s="466"/>
      <c r="S284" s="466">
        <v>0</v>
      </c>
      <c r="T284" s="466"/>
      <c r="U284" s="466">
        <v>0</v>
      </c>
      <c r="V284" s="466"/>
      <c r="W284" s="466"/>
      <c r="X284" s="466">
        <v>-473.12</v>
      </c>
      <c r="Y284" s="466">
        <v>0</v>
      </c>
      <c r="Z284" s="466">
        <v>0</v>
      </c>
      <c r="AA284" s="466">
        <v>0</v>
      </c>
      <c r="AB284" s="466">
        <v>290620.46999999997</v>
      </c>
      <c r="AC284" s="466">
        <v>35810.870000000003</v>
      </c>
      <c r="AD284" s="466">
        <v>4873.83</v>
      </c>
      <c r="AE284" s="466"/>
      <c r="AF284" s="466"/>
      <c r="AG284" s="466">
        <v>-4241.55</v>
      </c>
      <c r="AH284" s="466">
        <v>297.14999999999998</v>
      </c>
      <c r="AI284" s="466"/>
      <c r="AJ284" s="466"/>
      <c r="AK284" s="466">
        <v>2591.9499999999998</v>
      </c>
      <c r="AL284" s="466"/>
      <c r="AM284" s="466">
        <v>1120</v>
      </c>
      <c r="AN284" s="466"/>
      <c r="AO284" s="466">
        <v>2265.61</v>
      </c>
      <c r="AP284" s="466"/>
      <c r="AQ284" s="466">
        <v>4523.55</v>
      </c>
      <c r="AR284" s="466">
        <v>4.63</v>
      </c>
      <c r="AS284" s="466">
        <v>24639.1</v>
      </c>
    </row>
    <row r="285" spans="1:45" x14ac:dyDescent="0.2">
      <c r="A285" s="465">
        <v>5904</v>
      </c>
      <c r="B285" s="466"/>
      <c r="C285" s="466">
        <v>825.42</v>
      </c>
      <c r="D285" s="466">
        <v>347.86</v>
      </c>
      <c r="E285" s="466">
        <v>10795.87</v>
      </c>
      <c r="F285" s="466">
        <v>0</v>
      </c>
      <c r="G285" s="466">
        <v>0</v>
      </c>
      <c r="H285" s="466">
        <v>0</v>
      </c>
      <c r="I285" s="466"/>
      <c r="J285" s="466"/>
      <c r="K285" s="466">
        <v>0</v>
      </c>
      <c r="L285" s="466">
        <v>0</v>
      </c>
      <c r="M285" s="466">
        <v>0</v>
      </c>
      <c r="N285" s="466">
        <v>0</v>
      </c>
      <c r="O285" s="466">
        <v>0</v>
      </c>
      <c r="P285" s="466"/>
      <c r="Q285" s="466"/>
      <c r="R285" s="466">
        <v>0</v>
      </c>
      <c r="S285" s="466">
        <v>0</v>
      </c>
      <c r="T285" s="466"/>
      <c r="U285" s="466">
        <v>0</v>
      </c>
      <c r="V285" s="466"/>
      <c r="W285" s="466"/>
      <c r="X285" s="466">
        <v>420.94</v>
      </c>
      <c r="Y285" s="466">
        <v>0</v>
      </c>
      <c r="Z285" s="466">
        <v>0</v>
      </c>
      <c r="AA285" s="466">
        <v>0</v>
      </c>
      <c r="AB285" s="466">
        <v>1169285.06</v>
      </c>
      <c r="AC285" s="466">
        <v>151914.60999999999</v>
      </c>
      <c r="AD285" s="466">
        <v>17456.939999999999</v>
      </c>
      <c r="AE285" s="466"/>
      <c r="AF285" s="466"/>
      <c r="AG285" s="466">
        <v>2906.4</v>
      </c>
      <c r="AH285" s="466">
        <v>602.95000000000005</v>
      </c>
      <c r="AI285" s="466">
        <v>3864.65</v>
      </c>
      <c r="AJ285" s="466">
        <v>95964.1</v>
      </c>
      <c r="AK285" s="466">
        <v>50985</v>
      </c>
      <c r="AL285" s="466"/>
      <c r="AM285" s="466"/>
      <c r="AN285" s="466">
        <v>441.06</v>
      </c>
      <c r="AO285" s="466">
        <v>13721.32</v>
      </c>
      <c r="AP285" s="466"/>
      <c r="AQ285" s="466">
        <v>21469.3</v>
      </c>
      <c r="AR285" s="466">
        <v>253.12</v>
      </c>
      <c r="AS285" s="466">
        <v>34103.599999999999</v>
      </c>
    </row>
    <row r="286" spans="1:45" x14ac:dyDescent="0.2">
      <c r="A286" s="465">
        <v>5905</v>
      </c>
      <c r="B286" s="466"/>
      <c r="C286" s="466">
        <v>1130.01</v>
      </c>
      <c r="D286" s="466">
        <v>627.64</v>
      </c>
      <c r="E286" s="466">
        <v>4598.74</v>
      </c>
      <c r="F286" s="466">
        <v>0</v>
      </c>
      <c r="G286" s="466">
        <v>0</v>
      </c>
      <c r="H286" s="466">
        <v>0</v>
      </c>
      <c r="I286" s="466"/>
      <c r="J286" s="466"/>
      <c r="K286" s="466">
        <v>0</v>
      </c>
      <c r="L286" s="466">
        <v>0</v>
      </c>
      <c r="M286" s="466">
        <v>0</v>
      </c>
      <c r="N286" s="466"/>
      <c r="O286" s="466">
        <v>0</v>
      </c>
      <c r="P286" s="466"/>
      <c r="Q286" s="466"/>
      <c r="R286" s="466">
        <v>0</v>
      </c>
      <c r="S286" s="466">
        <v>0</v>
      </c>
      <c r="T286" s="466"/>
      <c r="U286" s="466">
        <v>0</v>
      </c>
      <c r="V286" s="466"/>
      <c r="W286" s="466"/>
      <c r="X286" s="466">
        <v>15445.28</v>
      </c>
      <c r="Y286" s="466">
        <v>0</v>
      </c>
      <c r="Z286" s="466">
        <v>0</v>
      </c>
      <c r="AA286" s="466">
        <v>0</v>
      </c>
      <c r="AB286" s="466">
        <v>1142195.71</v>
      </c>
      <c r="AC286" s="466">
        <v>126078.03</v>
      </c>
      <c r="AD286" s="466">
        <v>31182.99</v>
      </c>
      <c r="AE286" s="466"/>
      <c r="AF286" s="466"/>
      <c r="AG286" s="466">
        <v>120352.9</v>
      </c>
      <c r="AH286" s="466">
        <v>8414.7999999999993</v>
      </c>
      <c r="AI286" s="466">
        <v>-3012.45</v>
      </c>
      <c r="AJ286" s="466"/>
      <c r="AK286" s="466">
        <v>54574.85</v>
      </c>
      <c r="AL286" s="466"/>
      <c r="AM286" s="466"/>
      <c r="AN286" s="466">
        <v>-665.43</v>
      </c>
      <c r="AO286" s="466">
        <v>8232.98</v>
      </c>
      <c r="AP286" s="466"/>
      <c r="AQ286" s="466">
        <v>87319.85</v>
      </c>
      <c r="AR286" s="466">
        <v>24.88</v>
      </c>
      <c r="AS286" s="466">
        <v>1903.55</v>
      </c>
    </row>
    <row r="287" spans="1:45" x14ac:dyDescent="0.2">
      <c r="A287" s="465">
        <v>5907</v>
      </c>
      <c r="B287" s="466"/>
      <c r="C287" s="466">
        <v>283.58</v>
      </c>
      <c r="D287" s="466">
        <v>155.02000000000001</v>
      </c>
      <c r="E287" s="466">
        <v>10393.469999999999</v>
      </c>
      <c r="F287" s="466">
        <v>0</v>
      </c>
      <c r="G287" s="466">
        <v>0</v>
      </c>
      <c r="H287" s="466">
        <v>0</v>
      </c>
      <c r="I287" s="466"/>
      <c r="J287" s="466"/>
      <c r="K287" s="466">
        <v>0</v>
      </c>
      <c r="L287" s="466">
        <v>0</v>
      </c>
      <c r="M287" s="466">
        <v>0</v>
      </c>
      <c r="N287" s="466"/>
      <c r="O287" s="466">
        <v>0</v>
      </c>
      <c r="P287" s="466"/>
      <c r="Q287" s="466"/>
      <c r="R287" s="466">
        <v>0</v>
      </c>
      <c r="S287" s="466">
        <v>0</v>
      </c>
      <c r="T287" s="466"/>
      <c r="U287" s="466">
        <v>0</v>
      </c>
      <c r="V287" s="466"/>
      <c r="W287" s="466"/>
      <c r="X287" s="466">
        <v>64.14</v>
      </c>
      <c r="Y287" s="466">
        <v>0</v>
      </c>
      <c r="Z287" s="466">
        <v>0</v>
      </c>
      <c r="AA287" s="466">
        <v>0</v>
      </c>
      <c r="AB287" s="466">
        <v>645814.72</v>
      </c>
      <c r="AC287" s="466">
        <v>57117.01</v>
      </c>
      <c r="AD287" s="466">
        <v>-1250.77</v>
      </c>
      <c r="AE287" s="466"/>
      <c r="AF287" s="466"/>
      <c r="AG287" s="466">
        <v>844.8</v>
      </c>
      <c r="AH287" s="466">
        <v>-310.05</v>
      </c>
      <c r="AI287" s="466">
        <v>520.70000000000005</v>
      </c>
      <c r="AJ287" s="466"/>
      <c r="AK287" s="466">
        <v>14552.4</v>
      </c>
      <c r="AL287" s="466"/>
      <c r="AM287" s="466"/>
      <c r="AN287" s="466">
        <v>2826.42</v>
      </c>
      <c r="AO287" s="466">
        <v>7189.9</v>
      </c>
      <c r="AP287" s="466"/>
      <c r="AQ287" s="466">
        <v>17180.400000000001</v>
      </c>
      <c r="AR287" s="466">
        <v>13.33</v>
      </c>
      <c r="AS287" s="466">
        <v>7607.85</v>
      </c>
    </row>
    <row r="288" spans="1:45" x14ac:dyDescent="0.2">
      <c r="A288" s="465">
        <v>5908</v>
      </c>
      <c r="B288" s="466"/>
      <c r="C288" s="466">
        <v>942.34</v>
      </c>
      <c r="D288" s="466">
        <v>107.03</v>
      </c>
      <c r="E288" s="466">
        <v>1088.49</v>
      </c>
      <c r="F288" s="466">
        <v>0</v>
      </c>
      <c r="G288" s="466">
        <v>0</v>
      </c>
      <c r="H288" s="466">
        <v>0</v>
      </c>
      <c r="I288" s="466"/>
      <c r="J288" s="466"/>
      <c r="K288" s="466">
        <v>0</v>
      </c>
      <c r="L288" s="466">
        <v>0</v>
      </c>
      <c r="M288" s="466">
        <v>0</v>
      </c>
      <c r="N288" s="466"/>
      <c r="O288" s="466">
        <v>0</v>
      </c>
      <c r="P288" s="466"/>
      <c r="Q288" s="466"/>
      <c r="R288" s="466"/>
      <c r="S288" s="466">
        <v>0</v>
      </c>
      <c r="T288" s="466"/>
      <c r="U288" s="466">
        <v>0</v>
      </c>
      <c r="V288" s="466"/>
      <c r="W288" s="466"/>
      <c r="X288" s="466">
        <v>60.84</v>
      </c>
      <c r="Y288" s="466">
        <v>0</v>
      </c>
      <c r="Z288" s="466">
        <v>0</v>
      </c>
      <c r="AA288" s="466">
        <v>0</v>
      </c>
      <c r="AB288" s="466">
        <v>438227.64</v>
      </c>
      <c r="AC288" s="466">
        <v>41689.279999999999</v>
      </c>
      <c r="AD288" s="466">
        <v>12982.5</v>
      </c>
      <c r="AE288" s="466"/>
      <c r="AF288" s="466"/>
      <c r="AG288" s="466">
        <v>107.25</v>
      </c>
      <c r="AH288" s="466">
        <v>399.95</v>
      </c>
      <c r="AI288" s="466">
        <v>92.95</v>
      </c>
      <c r="AJ288" s="466"/>
      <c r="AK288" s="466">
        <v>5995</v>
      </c>
      <c r="AL288" s="466"/>
      <c r="AM288" s="466"/>
      <c r="AN288" s="466"/>
      <c r="AO288" s="466">
        <v>3404.08</v>
      </c>
      <c r="AP288" s="466"/>
      <c r="AQ288" s="466">
        <v>2762.55</v>
      </c>
      <c r="AR288" s="466">
        <v>103.75</v>
      </c>
      <c r="AS288" s="466">
        <v>4476.1000000000004</v>
      </c>
    </row>
    <row r="289" spans="1:45" x14ac:dyDescent="0.2">
      <c r="A289" s="465">
        <v>5909</v>
      </c>
      <c r="B289" s="466"/>
      <c r="C289" s="466">
        <v>1816.02</v>
      </c>
      <c r="D289" s="466">
        <v>647.54</v>
      </c>
      <c r="E289" s="466">
        <v>2037.97</v>
      </c>
      <c r="F289" s="466">
        <v>0</v>
      </c>
      <c r="G289" s="466">
        <v>0</v>
      </c>
      <c r="H289" s="466">
        <v>0</v>
      </c>
      <c r="I289" s="466"/>
      <c r="J289" s="466"/>
      <c r="K289" s="466">
        <v>0</v>
      </c>
      <c r="L289" s="466">
        <v>0</v>
      </c>
      <c r="M289" s="466">
        <v>0</v>
      </c>
      <c r="N289" s="466"/>
      <c r="O289" s="466">
        <v>0</v>
      </c>
      <c r="P289" s="466">
        <v>0</v>
      </c>
      <c r="Q289" s="466"/>
      <c r="R289" s="466">
        <v>0</v>
      </c>
      <c r="S289" s="466">
        <v>0</v>
      </c>
      <c r="T289" s="466"/>
      <c r="U289" s="466">
        <v>0</v>
      </c>
      <c r="V289" s="466"/>
      <c r="W289" s="466"/>
      <c r="X289" s="466">
        <v>2308.62</v>
      </c>
      <c r="Y289" s="466">
        <v>0</v>
      </c>
      <c r="Z289" s="466">
        <v>0</v>
      </c>
      <c r="AA289" s="466">
        <v>0</v>
      </c>
      <c r="AB289" s="466">
        <v>2031141.72</v>
      </c>
      <c r="AC289" s="466">
        <v>393465.19</v>
      </c>
      <c r="AD289" s="466">
        <v>25616.45</v>
      </c>
      <c r="AE289" s="466"/>
      <c r="AF289" s="466"/>
      <c r="AG289" s="466">
        <v>17077.900000000001</v>
      </c>
      <c r="AH289" s="466">
        <v>2169.1</v>
      </c>
      <c r="AI289" s="466">
        <v>-2571.0500000000002</v>
      </c>
      <c r="AJ289" s="466"/>
      <c r="AK289" s="466">
        <v>45029.45</v>
      </c>
      <c r="AL289" s="466">
        <v>2966.4</v>
      </c>
      <c r="AM289" s="466"/>
      <c r="AN289" s="466">
        <v>724.05</v>
      </c>
      <c r="AO289" s="466">
        <v>18663.599999999999</v>
      </c>
      <c r="AP289" s="466"/>
      <c r="AQ289" s="466">
        <v>42814.05</v>
      </c>
      <c r="AR289" s="466">
        <v>606.21</v>
      </c>
      <c r="AS289" s="466">
        <v>8854.75</v>
      </c>
    </row>
    <row r="290" spans="1:45" x14ac:dyDescent="0.2">
      <c r="A290" s="465">
        <v>5910</v>
      </c>
      <c r="B290" s="466"/>
      <c r="C290" s="466">
        <v>291.75</v>
      </c>
      <c r="D290" s="466">
        <v>256.92</v>
      </c>
      <c r="E290" s="466">
        <v>5598.18</v>
      </c>
      <c r="F290" s="466">
        <v>0</v>
      </c>
      <c r="G290" s="466">
        <v>0</v>
      </c>
      <c r="H290" s="466">
        <v>0</v>
      </c>
      <c r="I290" s="466"/>
      <c r="J290" s="466"/>
      <c r="K290" s="466">
        <v>0</v>
      </c>
      <c r="L290" s="466">
        <v>0</v>
      </c>
      <c r="M290" s="466"/>
      <c r="N290" s="466"/>
      <c r="O290" s="466">
        <v>0</v>
      </c>
      <c r="P290" s="466">
        <v>0</v>
      </c>
      <c r="Q290" s="466"/>
      <c r="R290" s="466"/>
      <c r="S290" s="466">
        <v>0</v>
      </c>
      <c r="T290" s="466"/>
      <c r="U290" s="466">
        <v>0</v>
      </c>
      <c r="V290" s="466"/>
      <c r="W290" s="466"/>
      <c r="X290" s="466">
        <v>555.79</v>
      </c>
      <c r="Y290" s="466">
        <v>0</v>
      </c>
      <c r="Z290" s="466">
        <v>0</v>
      </c>
      <c r="AA290" s="466">
        <v>0</v>
      </c>
      <c r="AB290" s="466">
        <v>633913.11</v>
      </c>
      <c r="AC290" s="466">
        <v>68095.48</v>
      </c>
      <c r="AD290" s="466">
        <v>7757.32</v>
      </c>
      <c r="AE290" s="466"/>
      <c r="AF290" s="466"/>
      <c r="AG290" s="466">
        <v>4515.6000000000004</v>
      </c>
      <c r="AH290" s="466">
        <v>118.05</v>
      </c>
      <c r="AI290" s="466"/>
      <c r="AJ290" s="466"/>
      <c r="AK290" s="466">
        <v>25300</v>
      </c>
      <c r="AL290" s="466">
        <v>9.8000000000000007</v>
      </c>
      <c r="AM290" s="466"/>
      <c r="AN290" s="466"/>
      <c r="AO290" s="466">
        <v>6112.45</v>
      </c>
      <c r="AP290" s="466"/>
      <c r="AQ290" s="466">
        <v>-35616.050000000003</v>
      </c>
      <c r="AR290" s="466">
        <v>15.01</v>
      </c>
      <c r="AS290" s="466"/>
    </row>
    <row r="291" spans="1:45" x14ac:dyDescent="0.2">
      <c r="A291" s="465">
        <v>5911</v>
      </c>
      <c r="B291" s="466"/>
      <c r="C291" s="466">
        <v>9</v>
      </c>
      <c r="D291" s="466">
        <v>226.01</v>
      </c>
      <c r="E291" s="466">
        <v>99.75</v>
      </c>
      <c r="F291" s="466">
        <v>0</v>
      </c>
      <c r="G291" s="466">
        <v>0</v>
      </c>
      <c r="H291" s="466">
        <v>0</v>
      </c>
      <c r="I291" s="466"/>
      <c r="J291" s="466"/>
      <c r="K291" s="466">
        <v>0</v>
      </c>
      <c r="L291" s="466">
        <v>0</v>
      </c>
      <c r="M291" s="466">
        <v>0</v>
      </c>
      <c r="N291" s="466">
        <v>0</v>
      </c>
      <c r="O291" s="466"/>
      <c r="P291" s="466">
        <v>0</v>
      </c>
      <c r="Q291" s="466"/>
      <c r="R291" s="466"/>
      <c r="S291" s="466">
        <v>0</v>
      </c>
      <c r="T291" s="466"/>
      <c r="U291" s="466"/>
      <c r="V291" s="466"/>
      <c r="W291" s="466"/>
      <c r="X291" s="466">
        <v>204.74</v>
      </c>
      <c r="Y291" s="466">
        <v>0</v>
      </c>
      <c r="Z291" s="466">
        <v>0</v>
      </c>
      <c r="AA291" s="466">
        <v>0</v>
      </c>
      <c r="AB291" s="466">
        <v>451703.82</v>
      </c>
      <c r="AC291" s="466">
        <v>45378.8</v>
      </c>
      <c r="AD291" s="466">
        <v>1137.6199999999999</v>
      </c>
      <c r="AE291" s="466"/>
      <c r="AF291" s="466"/>
      <c r="AG291" s="466">
        <v>1604.05</v>
      </c>
      <c r="AH291" s="466">
        <v>102.85</v>
      </c>
      <c r="AI291" s="466">
        <v>830.3</v>
      </c>
      <c r="AJ291" s="466">
        <v>33892.5</v>
      </c>
      <c r="AK291" s="466"/>
      <c r="AL291" s="466">
        <v>1237.2</v>
      </c>
      <c r="AM291" s="466"/>
      <c r="AN291" s="466"/>
      <c r="AO291" s="466">
        <v>3837.85</v>
      </c>
      <c r="AP291" s="466"/>
      <c r="AQ291" s="466"/>
      <c r="AR291" s="466">
        <v>1865.97</v>
      </c>
      <c r="AS291" s="466">
        <v>1274</v>
      </c>
    </row>
    <row r="292" spans="1:45" x14ac:dyDescent="0.2">
      <c r="A292" s="465">
        <v>5912</v>
      </c>
      <c r="B292" s="466"/>
      <c r="C292" s="466">
        <v>282.5</v>
      </c>
      <c r="D292" s="466">
        <v>47.04</v>
      </c>
      <c r="E292" s="466">
        <v>664.05</v>
      </c>
      <c r="F292" s="466">
        <v>0</v>
      </c>
      <c r="G292" s="466">
        <v>0</v>
      </c>
      <c r="H292" s="466">
        <v>0</v>
      </c>
      <c r="I292" s="466"/>
      <c r="J292" s="466"/>
      <c r="K292" s="466">
        <v>0</v>
      </c>
      <c r="L292" s="466">
        <v>0</v>
      </c>
      <c r="M292" s="466"/>
      <c r="N292" s="466">
        <v>0</v>
      </c>
      <c r="O292" s="466">
        <v>0</v>
      </c>
      <c r="P292" s="466"/>
      <c r="Q292" s="466"/>
      <c r="R292" s="466"/>
      <c r="S292" s="466">
        <v>0</v>
      </c>
      <c r="T292" s="466"/>
      <c r="U292" s="466">
        <v>0</v>
      </c>
      <c r="V292" s="466"/>
      <c r="W292" s="466"/>
      <c r="X292" s="466">
        <v>1124.8900000000001</v>
      </c>
      <c r="Y292" s="466">
        <v>0</v>
      </c>
      <c r="Z292" s="466">
        <v>0</v>
      </c>
      <c r="AA292" s="466">
        <v>0</v>
      </c>
      <c r="AB292" s="466">
        <v>259454.18</v>
      </c>
      <c r="AC292" s="466">
        <v>29070.1</v>
      </c>
      <c r="AD292" s="466">
        <v>9417.1</v>
      </c>
      <c r="AE292" s="466"/>
      <c r="AF292" s="466"/>
      <c r="AG292" s="466">
        <v>9191.2000000000007</v>
      </c>
      <c r="AH292" s="466">
        <v>187</v>
      </c>
      <c r="AI292" s="466"/>
      <c r="AJ292" s="466">
        <v>21041.3</v>
      </c>
      <c r="AK292" s="466">
        <v>14300</v>
      </c>
      <c r="AL292" s="466"/>
      <c r="AM292" s="466"/>
      <c r="AN292" s="466"/>
      <c r="AO292" s="466">
        <v>1954.45</v>
      </c>
      <c r="AP292" s="466"/>
      <c r="AQ292" s="466">
        <v>6755.3</v>
      </c>
      <c r="AR292" s="466"/>
      <c r="AS292" s="466">
        <v>2837.6</v>
      </c>
    </row>
    <row r="293" spans="1:45" x14ac:dyDescent="0.2">
      <c r="A293" s="465">
        <v>5913</v>
      </c>
      <c r="B293" s="466"/>
      <c r="C293" s="466">
        <v>472.18</v>
      </c>
      <c r="D293" s="466">
        <v>582.05999999999995</v>
      </c>
      <c r="E293" s="466">
        <v>20736.669999999998</v>
      </c>
      <c r="F293" s="466">
        <v>0</v>
      </c>
      <c r="G293" s="466">
        <v>0</v>
      </c>
      <c r="H293" s="466">
        <v>0</v>
      </c>
      <c r="I293" s="466"/>
      <c r="J293" s="466"/>
      <c r="K293" s="466">
        <v>0</v>
      </c>
      <c r="L293" s="466">
        <v>0</v>
      </c>
      <c r="M293" s="466">
        <v>0</v>
      </c>
      <c r="N293" s="466"/>
      <c r="O293" s="466">
        <v>0</v>
      </c>
      <c r="P293" s="466"/>
      <c r="Q293" s="466"/>
      <c r="R293" s="466">
        <v>0</v>
      </c>
      <c r="S293" s="466">
        <v>0</v>
      </c>
      <c r="T293" s="466"/>
      <c r="U293" s="466">
        <v>0</v>
      </c>
      <c r="V293" s="466"/>
      <c r="W293" s="466"/>
      <c r="X293" s="466">
        <v>1375.73</v>
      </c>
      <c r="Y293" s="466">
        <v>0</v>
      </c>
      <c r="Z293" s="466">
        <v>0</v>
      </c>
      <c r="AA293" s="466">
        <v>0</v>
      </c>
      <c r="AB293" s="466">
        <v>1203492.3799999999</v>
      </c>
      <c r="AC293" s="466">
        <v>123166.94</v>
      </c>
      <c r="AD293" s="466">
        <v>12856.2</v>
      </c>
      <c r="AE293" s="466"/>
      <c r="AF293" s="466"/>
      <c r="AG293" s="466">
        <v>11187.35</v>
      </c>
      <c r="AH293" s="466">
        <v>282.14999999999998</v>
      </c>
      <c r="AI293" s="466">
        <v>-258.35000000000002</v>
      </c>
      <c r="AJ293" s="466"/>
      <c r="AK293" s="466">
        <v>43192.7</v>
      </c>
      <c r="AL293" s="466"/>
      <c r="AM293" s="466"/>
      <c r="AN293" s="466">
        <v>1533.53</v>
      </c>
      <c r="AO293" s="466">
        <v>13121.24</v>
      </c>
      <c r="AP293" s="466"/>
      <c r="AQ293" s="466">
        <v>30580</v>
      </c>
      <c r="AR293" s="466">
        <v>977.98</v>
      </c>
      <c r="AS293" s="466">
        <v>30586.9</v>
      </c>
    </row>
    <row r="294" spans="1:45" x14ac:dyDescent="0.2">
      <c r="A294" s="465">
        <v>5914</v>
      </c>
      <c r="B294" s="466"/>
      <c r="C294" s="466">
        <v>270.97000000000003</v>
      </c>
      <c r="D294" s="466">
        <v>134.47999999999999</v>
      </c>
      <c r="E294" s="466">
        <v>9754.3700000000008</v>
      </c>
      <c r="F294" s="466">
        <v>0</v>
      </c>
      <c r="G294" s="466">
        <v>0</v>
      </c>
      <c r="H294" s="466">
        <v>0</v>
      </c>
      <c r="I294" s="466"/>
      <c r="J294" s="466"/>
      <c r="K294" s="466">
        <v>0</v>
      </c>
      <c r="L294" s="466">
        <v>0</v>
      </c>
      <c r="M294" s="466">
        <v>0</v>
      </c>
      <c r="N294" s="466">
        <v>0</v>
      </c>
      <c r="O294" s="466">
        <v>0</v>
      </c>
      <c r="P294" s="466"/>
      <c r="Q294" s="466"/>
      <c r="R294" s="466"/>
      <c r="S294" s="466">
        <v>0</v>
      </c>
      <c r="T294" s="466"/>
      <c r="U294" s="466">
        <v>0</v>
      </c>
      <c r="V294" s="466"/>
      <c r="W294" s="466"/>
      <c r="X294" s="466">
        <v>3063.84</v>
      </c>
      <c r="Y294" s="466">
        <v>0</v>
      </c>
      <c r="Z294" s="466">
        <v>0</v>
      </c>
      <c r="AA294" s="466">
        <v>0</v>
      </c>
      <c r="AB294" s="466">
        <v>653562</v>
      </c>
      <c r="AC294" s="466">
        <v>34044.410000000003</v>
      </c>
      <c r="AD294" s="466">
        <v>9723.82</v>
      </c>
      <c r="AE294" s="466"/>
      <c r="AF294" s="466"/>
      <c r="AG294" s="466">
        <v>21746.35</v>
      </c>
      <c r="AH294" s="466">
        <v>3796.95</v>
      </c>
      <c r="AI294" s="466">
        <v>7718.95</v>
      </c>
      <c r="AJ294" s="466">
        <v>57671.15</v>
      </c>
      <c r="AK294" s="466">
        <v>30904.5</v>
      </c>
      <c r="AL294" s="466"/>
      <c r="AM294" s="466"/>
      <c r="AN294" s="466"/>
      <c r="AO294" s="466">
        <v>12697.04</v>
      </c>
      <c r="AP294" s="466"/>
      <c r="AQ294" s="466">
        <v>14806.6</v>
      </c>
      <c r="AR294" s="466">
        <v>0.59</v>
      </c>
      <c r="AS294" s="466">
        <v>4770.75</v>
      </c>
    </row>
    <row r="295" spans="1:45" x14ac:dyDescent="0.2">
      <c r="A295" s="465">
        <v>5919</v>
      </c>
      <c r="B295" s="466"/>
      <c r="C295" s="466">
        <v>489.58</v>
      </c>
      <c r="D295" s="466">
        <v>304.95</v>
      </c>
      <c r="E295" s="466">
        <v>22225.9</v>
      </c>
      <c r="F295" s="466">
        <v>0</v>
      </c>
      <c r="G295" s="466">
        <v>0</v>
      </c>
      <c r="H295" s="466">
        <v>0</v>
      </c>
      <c r="I295" s="466"/>
      <c r="J295" s="466"/>
      <c r="K295" s="466">
        <v>0</v>
      </c>
      <c r="L295" s="466">
        <v>0</v>
      </c>
      <c r="M295" s="466">
        <v>0</v>
      </c>
      <c r="N295" s="466">
        <v>0</v>
      </c>
      <c r="O295" s="466">
        <v>0</v>
      </c>
      <c r="P295" s="466">
        <v>0</v>
      </c>
      <c r="Q295" s="466">
        <v>0</v>
      </c>
      <c r="R295" s="466"/>
      <c r="S295" s="466">
        <v>0</v>
      </c>
      <c r="T295" s="466"/>
      <c r="U295" s="466">
        <v>0</v>
      </c>
      <c r="V295" s="466"/>
      <c r="W295" s="466"/>
      <c r="X295" s="466">
        <v>6841.58</v>
      </c>
      <c r="Y295" s="466">
        <v>0</v>
      </c>
      <c r="Z295" s="466">
        <v>0</v>
      </c>
      <c r="AA295" s="466">
        <v>0</v>
      </c>
      <c r="AB295" s="466">
        <v>1093731.24</v>
      </c>
      <c r="AC295" s="466">
        <v>270444.49</v>
      </c>
      <c r="AD295" s="466">
        <v>21563.51</v>
      </c>
      <c r="AE295" s="466"/>
      <c r="AF295" s="466"/>
      <c r="AG295" s="466">
        <v>55352.6</v>
      </c>
      <c r="AH295" s="466">
        <v>1685.85</v>
      </c>
      <c r="AI295" s="466">
        <v>9312.4500000000007</v>
      </c>
      <c r="AJ295" s="466">
        <v>137901.95000000001</v>
      </c>
      <c r="AK295" s="466">
        <v>110471.95</v>
      </c>
      <c r="AL295" s="466">
        <v>100085.8</v>
      </c>
      <c r="AM295" s="466">
        <v>3550</v>
      </c>
      <c r="AN295" s="466"/>
      <c r="AO295" s="466">
        <v>12730.73</v>
      </c>
      <c r="AP295" s="466"/>
      <c r="AQ295" s="466">
        <v>55582.5</v>
      </c>
      <c r="AR295" s="466">
        <v>56.05</v>
      </c>
      <c r="AS295" s="466">
        <v>11500.6</v>
      </c>
    </row>
    <row r="296" spans="1:45" x14ac:dyDescent="0.2">
      <c r="A296" s="465">
        <v>5921</v>
      </c>
      <c r="B296" s="466"/>
      <c r="C296" s="466">
        <v>372.47</v>
      </c>
      <c r="D296" s="466">
        <v>200.28</v>
      </c>
      <c r="E296" s="466">
        <v>5989.48</v>
      </c>
      <c r="F296" s="466">
        <v>0</v>
      </c>
      <c r="G296" s="466">
        <v>0</v>
      </c>
      <c r="H296" s="466">
        <v>0</v>
      </c>
      <c r="I296" s="466"/>
      <c r="J296" s="466"/>
      <c r="K296" s="466">
        <v>0</v>
      </c>
      <c r="L296" s="466">
        <v>0</v>
      </c>
      <c r="M296" s="466"/>
      <c r="N296" s="466"/>
      <c r="O296" s="466">
        <v>0</v>
      </c>
      <c r="P296" s="466">
        <v>0</v>
      </c>
      <c r="Q296" s="466"/>
      <c r="R296" s="466"/>
      <c r="S296" s="466">
        <v>0</v>
      </c>
      <c r="T296" s="466"/>
      <c r="U296" s="466">
        <v>0</v>
      </c>
      <c r="V296" s="466"/>
      <c r="W296" s="466"/>
      <c r="X296" s="466">
        <v>-404.06</v>
      </c>
      <c r="Y296" s="466">
        <v>0</v>
      </c>
      <c r="Z296" s="466">
        <v>0</v>
      </c>
      <c r="AA296" s="466">
        <v>0</v>
      </c>
      <c r="AB296" s="466">
        <v>376073.69</v>
      </c>
      <c r="AC296" s="466">
        <v>52508.05</v>
      </c>
      <c r="AD296" s="466">
        <v>7243.61</v>
      </c>
      <c r="AE296" s="466"/>
      <c r="AF296" s="466"/>
      <c r="AG296" s="466">
        <v>-4707.55</v>
      </c>
      <c r="AH296" s="466">
        <v>1338.9</v>
      </c>
      <c r="AI296" s="466"/>
      <c r="AJ296" s="466"/>
      <c r="AK296" s="466">
        <v>16006.1</v>
      </c>
      <c r="AL296" s="466">
        <v>6074.9</v>
      </c>
      <c r="AM296" s="466"/>
      <c r="AN296" s="466"/>
      <c r="AO296" s="466">
        <v>4112.7700000000004</v>
      </c>
      <c r="AP296" s="466"/>
      <c r="AQ296" s="466">
        <v>882.55</v>
      </c>
      <c r="AR296" s="466">
        <v>29.05</v>
      </c>
      <c r="AS296" s="466">
        <v>1548.45</v>
      </c>
    </row>
    <row r="297" spans="1:45" x14ac:dyDescent="0.2">
      <c r="A297" s="465">
        <v>5922</v>
      </c>
      <c r="B297" s="466"/>
      <c r="C297" s="466">
        <v>1650.72</v>
      </c>
      <c r="D297" s="466">
        <v>1139.68</v>
      </c>
      <c r="E297" s="466">
        <v>73955.02</v>
      </c>
      <c r="F297" s="466">
        <v>0</v>
      </c>
      <c r="G297" s="466">
        <v>0</v>
      </c>
      <c r="H297" s="466">
        <v>0</v>
      </c>
      <c r="I297" s="466"/>
      <c r="J297" s="466"/>
      <c r="K297" s="466">
        <v>0</v>
      </c>
      <c r="L297" s="466">
        <v>0</v>
      </c>
      <c r="M297" s="466">
        <v>0</v>
      </c>
      <c r="N297" s="466"/>
      <c r="O297" s="466">
        <v>0</v>
      </c>
      <c r="P297" s="466">
        <v>0</v>
      </c>
      <c r="Q297" s="466"/>
      <c r="R297" s="466">
        <v>0</v>
      </c>
      <c r="S297" s="466">
        <v>0</v>
      </c>
      <c r="T297" s="466"/>
      <c r="U297" s="466">
        <v>0</v>
      </c>
      <c r="V297" s="466"/>
      <c r="W297" s="466"/>
      <c r="X297" s="466">
        <v>48721.32</v>
      </c>
      <c r="Y297" s="466">
        <v>0</v>
      </c>
      <c r="Z297" s="466">
        <v>0</v>
      </c>
      <c r="AA297" s="466">
        <v>0</v>
      </c>
      <c r="AB297" s="466">
        <v>1178505.67</v>
      </c>
      <c r="AC297" s="466">
        <v>177661.9</v>
      </c>
      <c r="AD297" s="466">
        <v>58040.38</v>
      </c>
      <c r="AE297" s="466"/>
      <c r="AF297" s="466"/>
      <c r="AG297" s="466">
        <v>394569.7</v>
      </c>
      <c r="AH297" s="466">
        <v>11621.1</v>
      </c>
      <c r="AI297" s="466">
        <v>-444.65000000000902</v>
      </c>
      <c r="AJ297" s="466"/>
      <c r="AK297" s="466">
        <v>97702.85</v>
      </c>
      <c r="AL297" s="466">
        <v>-6233.6</v>
      </c>
      <c r="AM297" s="466"/>
      <c r="AN297" s="466">
        <v>1375.5</v>
      </c>
      <c r="AO297" s="466">
        <v>21775.22</v>
      </c>
      <c r="AP297" s="466"/>
      <c r="AQ297" s="466">
        <v>33978.300000000003</v>
      </c>
      <c r="AR297" s="466">
        <v>506.68</v>
      </c>
      <c r="AS297" s="466">
        <v>275454.95</v>
      </c>
    </row>
    <row r="298" spans="1:45" x14ac:dyDescent="0.2">
      <c r="A298" s="465">
        <v>5923</v>
      </c>
      <c r="B298" s="466"/>
      <c r="C298" s="466">
        <v>596.87</v>
      </c>
      <c r="D298" s="466">
        <v>133.79</v>
      </c>
      <c r="E298" s="466">
        <v>3900.52</v>
      </c>
      <c r="F298" s="466">
        <v>0</v>
      </c>
      <c r="G298" s="466">
        <v>0</v>
      </c>
      <c r="H298" s="466">
        <v>0</v>
      </c>
      <c r="I298" s="466"/>
      <c r="J298" s="466"/>
      <c r="K298" s="466">
        <v>0</v>
      </c>
      <c r="L298" s="466">
        <v>0</v>
      </c>
      <c r="M298" s="466"/>
      <c r="N298" s="466"/>
      <c r="O298" s="466">
        <v>0</v>
      </c>
      <c r="P298" s="466">
        <v>0</v>
      </c>
      <c r="Q298" s="466"/>
      <c r="R298" s="466"/>
      <c r="S298" s="466">
        <v>0</v>
      </c>
      <c r="T298" s="466"/>
      <c r="U298" s="466">
        <v>0</v>
      </c>
      <c r="V298" s="466"/>
      <c r="W298" s="466"/>
      <c r="X298" s="466">
        <v>386.62</v>
      </c>
      <c r="Y298" s="466">
        <v>0</v>
      </c>
      <c r="Z298" s="466">
        <v>0</v>
      </c>
      <c r="AA298" s="466">
        <v>0</v>
      </c>
      <c r="AB298" s="466">
        <v>318747.53000000003</v>
      </c>
      <c r="AC298" s="466">
        <v>18226.830000000002</v>
      </c>
      <c r="AD298" s="466">
        <v>26224.33</v>
      </c>
      <c r="AE298" s="466"/>
      <c r="AF298" s="466"/>
      <c r="AG298" s="466">
        <v>2196.6999999999998</v>
      </c>
      <c r="AH298" s="466">
        <v>1026.5999999999999</v>
      </c>
      <c r="AI298" s="466"/>
      <c r="AJ298" s="466"/>
      <c r="AK298" s="466">
        <v>6036.25</v>
      </c>
      <c r="AL298" s="466">
        <v>10</v>
      </c>
      <c r="AM298" s="466"/>
      <c r="AN298" s="466"/>
      <c r="AO298" s="466">
        <v>5006.54</v>
      </c>
      <c r="AP298" s="466"/>
      <c r="AQ298" s="466">
        <v>14162.6</v>
      </c>
      <c r="AR298" s="466"/>
      <c r="AS298" s="466">
        <v>19955.7</v>
      </c>
    </row>
    <row r="299" spans="1:45" x14ac:dyDescent="0.2">
      <c r="A299" s="465">
        <v>5924</v>
      </c>
      <c r="B299" s="466"/>
      <c r="C299" s="466">
        <v>767.99</v>
      </c>
      <c r="D299" s="466">
        <v>227.09</v>
      </c>
      <c r="E299" s="466">
        <v>4091.03</v>
      </c>
      <c r="F299" s="466">
        <v>0</v>
      </c>
      <c r="G299" s="466">
        <v>0</v>
      </c>
      <c r="H299" s="466">
        <v>0</v>
      </c>
      <c r="I299" s="466"/>
      <c r="J299" s="466"/>
      <c r="K299" s="466">
        <v>0</v>
      </c>
      <c r="L299" s="466">
        <v>0</v>
      </c>
      <c r="M299" s="466"/>
      <c r="N299" s="466">
        <v>0</v>
      </c>
      <c r="O299" s="466">
        <v>0</v>
      </c>
      <c r="P299" s="466">
        <v>0</v>
      </c>
      <c r="Q299" s="466"/>
      <c r="R299" s="466"/>
      <c r="S299" s="466">
        <v>0</v>
      </c>
      <c r="T299" s="466"/>
      <c r="U299" s="466">
        <v>0</v>
      </c>
      <c r="V299" s="466"/>
      <c r="W299" s="466"/>
      <c r="X299" s="466">
        <v>3935.84</v>
      </c>
      <c r="Y299" s="466">
        <v>0</v>
      </c>
      <c r="Z299" s="466">
        <v>0</v>
      </c>
      <c r="AA299" s="466">
        <v>0</v>
      </c>
      <c r="AB299" s="466">
        <v>755331.63</v>
      </c>
      <c r="AC299" s="466">
        <v>77955.509999999995</v>
      </c>
      <c r="AD299" s="466">
        <v>2483.7199999999998</v>
      </c>
      <c r="AE299" s="466"/>
      <c r="AF299" s="466"/>
      <c r="AG299" s="466">
        <v>32631.1</v>
      </c>
      <c r="AH299" s="466">
        <v>182.1</v>
      </c>
      <c r="AI299" s="466"/>
      <c r="AJ299" s="466">
        <v>58244.25</v>
      </c>
      <c r="AK299" s="466">
        <v>71747.649999999994</v>
      </c>
      <c r="AL299" s="466">
        <v>7385</v>
      </c>
      <c r="AM299" s="466"/>
      <c r="AN299" s="466"/>
      <c r="AO299" s="466">
        <v>8404.65</v>
      </c>
      <c r="AP299" s="466"/>
      <c r="AQ299" s="466">
        <v>89990.55</v>
      </c>
      <c r="AR299" s="466">
        <v>74.400000000000006</v>
      </c>
      <c r="AS299" s="466">
        <v>16319.85</v>
      </c>
    </row>
    <row r="300" spans="1:45" x14ac:dyDescent="0.2">
      <c r="A300" s="465">
        <v>5925</v>
      </c>
      <c r="B300" s="466"/>
      <c r="C300" s="466">
        <v>242.45</v>
      </c>
      <c r="D300" s="466">
        <v>645.66</v>
      </c>
      <c r="E300" s="466">
        <v>11676.58</v>
      </c>
      <c r="F300" s="466">
        <v>0</v>
      </c>
      <c r="G300" s="466">
        <v>0</v>
      </c>
      <c r="H300" s="466">
        <v>0</v>
      </c>
      <c r="I300" s="466"/>
      <c r="J300" s="466"/>
      <c r="K300" s="466">
        <v>0</v>
      </c>
      <c r="L300" s="466">
        <v>0</v>
      </c>
      <c r="M300" s="466"/>
      <c r="N300" s="466"/>
      <c r="O300" s="466">
        <v>0</v>
      </c>
      <c r="P300" s="466">
        <v>0</v>
      </c>
      <c r="Q300" s="466"/>
      <c r="R300" s="466"/>
      <c r="S300" s="466">
        <v>0</v>
      </c>
      <c r="T300" s="466"/>
      <c r="U300" s="466">
        <v>0</v>
      </c>
      <c r="V300" s="466"/>
      <c r="W300" s="466"/>
      <c r="X300" s="466">
        <v>-451.58</v>
      </c>
      <c r="Y300" s="466">
        <v>0</v>
      </c>
      <c r="Z300" s="466">
        <v>0</v>
      </c>
      <c r="AA300" s="466">
        <v>0</v>
      </c>
      <c r="AB300" s="466">
        <v>419520.89</v>
      </c>
      <c r="AC300" s="466">
        <v>17382.150000000001</v>
      </c>
      <c r="AD300" s="466">
        <v>10449.290000000001</v>
      </c>
      <c r="AE300" s="466"/>
      <c r="AF300" s="466"/>
      <c r="AG300" s="466">
        <v>-4018.55</v>
      </c>
      <c r="AH300" s="466">
        <v>253.75</v>
      </c>
      <c r="AI300" s="466"/>
      <c r="AJ300" s="466"/>
      <c r="AK300" s="466">
        <v>15290</v>
      </c>
      <c r="AL300" s="466">
        <v>112427.7</v>
      </c>
      <c r="AM300" s="466"/>
      <c r="AN300" s="466"/>
      <c r="AO300" s="466">
        <v>4701.74</v>
      </c>
      <c r="AP300" s="466"/>
      <c r="AQ300" s="466">
        <v>4637.55</v>
      </c>
      <c r="AR300" s="466"/>
      <c r="AS300" s="466">
        <v>7684.4</v>
      </c>
    </row>
    <row r="301" spans="1:45" x14ac:dyDescent="0.2">
      <c r="A301" s="465">
        <v>5926</v>
      </c>
      <c r="B301" s="466"/>
      <c r="C301" s="466">
        <v>751.7</v>
      </c>
      <c r="D301" s="466">
        <v>1022.97</v>
      </c>
      <c r="E301" s="466">
        <v>11331.52</v>
      </c>
      <c r="F301" s="466">
        <v>0</v>
      </c>
      <c r="G301" s="466">
        <v>0</v>
      </c>
      <c r="H301" s="466">
        <v>0</v>
      </c>
      <c r="I301" s="466"/>
      <c r="J301" s="466"/>
      <c r="K301" s="466">
        <v>0</v>
      </c>
      <c r="L301" s="466">
        <v>0</v>
      </c>
      <c r="M301" s="466"/>
      <c r="N301" s="466"/>
      <c r="O301" s="466">
        <v>0</v>
      </c>
      <c r="P301" s="466">
        <v>0</v>
      </c>
      <c r="Q301" s="466">
        <v>0</v>
      </c>
      <c r="R301" s="466">
        <v>0</v>
      </c>
      <c r="S301" s="466">
        <v>0</v>
      </c>
      <c r="T301" s="466"/>
      <c r="U301" s="466">
        <v>0</v>
      </c>
      <c r="V301" s="466"/>
      <c r="W301" s="466"/>
      <c r="X301" s="466">
        <v>633.48</v>
      </c>
      <c r="Y301" s="466">
        <v>0</v>
      </c>
      <c r="Z301" s="466">
        <v>0</v>
      </c>
      <c r="AA301" s="466">
        <v>0</v>
      </c>
      <c r="AB301" s="466">
        <v>1558340.11</v>
      </c>
      <c r="AC301" s="466">
        <v>252513.13</v>
      </c>
      <c r="AD301" s="466">
        <v>22139.54</v>
      </c>
      <c r="AE301" s="466"/>
      <c r="AF301" s="466"/>
      <c r="AG301" s="466">
        <v>5409.6499999999896</v>
      </c>
      <c r="AH301" s="466">
        <v>-128.30000000000001</v>
      </c>
      <c r="AI301" s="466"/>
      <c r="AJ301" s="466"/>
      <c r="AK301" s="466">
        <v>100571.3</v>
      </c>
      <c r="AL301" s="466">
        <v>19099.900000000001</v>
      </c>
      <c r="AM301" s="466">
        <v>4300</v>
      </c>
      <c r="AN301" s="466">
        <v>4972.66</v>
      </c>
      <c r="AO301" s="466">
        <v>12221.08</v>
      </c>
      <c r="AP301" s="466"/>
      <c r="AQ301" s="466">
        <v>51321.7</v>
      </c>
      <c r="AR301" s="466">
        <v>90.08</v>
      </c>
      <c r="AS301" s="466">
        <v>11494.6</v>
      </c>
    </row>
    <row r="302" spans="1:45" x14ac:dyDescent="0.2">
      <c r="A302" s="465">
        <v>5928</v>
      </c>
      <c r="B302" s="466"/>
      <c r="C302" s="466">
        <v>429.05</v>
      </c>
      <c r="D302" s="466">
        <v>160.54</v>
      </c>
      <c r="E302" s="466">
        <v>6650.09</v>
      </c>
      <c r="F302" s="466">
        <v>0</v>
      </c>
      <c r="G302" s="466">
        <v>0</v>
      </c>
      <c r="H302" s="466">
        <v>0</v>
      </c>
      <c r="I302" s="466"/>
      <c r="J302" s="466"/>
      <c r="K302" s="466">
        <v>0</v>
      </c>
      <c r="L302" s="466">
        <v>0</v>
      </c>
      <c r="M302" s="466"/>
      <c r="N302" s="466">
        <v>0</v>
      </c>
      <c r="O302" s="466">
        <v>0</v>
      </c>
      <c r="P302" s="466">
        <v>0</v>
      </c>
      <c r="Q302" s="466">
        <v>0</v>
      </c>
      <c r="R302" s="466">
        <v>0</v>
      </c>
      <c r="S302" s="466">
        <v>0</v>
      </c>
      <c r="T302" s="466"/>
      <c r="U302" s="466">
        <v>0</v>
      </c>
      <c r="V302" s="466"/>
      <c r="W302" s="466"/>
      <c r="X302" s="466">
        <v>387.21</v>
      </c>
      <c r="Y302" s="466">
        <v>0</v>
      </c>
      <c r="Z302" s="466">
        <v>0</v>
      </c>
      <c r="AA302" s="466">
        <v>0</v>
      </c>
      <c r="AB302" s="466">
        <v>299784.45</v>
      </c>
      <c r="AC302" s="466">
        <v>52813.62</v>
      </c>
      <c r="AD302" s="466">
        <v>25596.57</v>
      </c>
      <c r="AE302" s="466"/>
      <c r="AF302" s="466"/>
      <c r="AG302" s="466">
        <v>3182.7</v>
      </c>
      <c r="AH302" s="466">
        <v>45.5</v>
      </c>
      <c r="AI302" s="466"/>
      <c r="AJ302" s="466">
        <v>22647</v>
      </c>
      <c r="AK302" s="466">
        <v>12822.7</v>
      </c>
      <c r="AL302" s="466">
        <v>-22567.3</v>
      </c>
      <c r="AM302" s="466">
        <v>1440</v>
      </c>
      <c r="AN302" s="466">
        <v>-1.82</v>
      </c>
      <c r="AO302" s="466">
        <v>1781.55</v>
      </c>
      <c r="AP302" s="466"/>
      <c r="AQ302" s="466">
        <v>14703.3</v>
      </c>
      <c r="AR302" s="466">
        <v>21.61</v>
      </c>
      <c r="AS302" s="466">
        <v>5029.1499999999996</v>
      </c>
    </row>
    <row r="303" spans="1:45" x14ac:dyDescent="0.2">
      <c r="A303" s="465">
        <v>5929</v>
      </c>
      <c r="B303" s="466"/>
      <c r="C303" s="466">
        <v>1799.52</v>
      </c>
      <c r="D303" s="466">
        <v>407.07</v>
      </c>
      <c r="E303" s="466">
        <v>21227.27</v>
      </c>
      <c r="F303" s="466">
        <v>0</v>
      </c>
      <c r="G303" s="466">
        <v>0</v>
      </c>
      <c r="H303" s="466">
        <v>0</v>
      </c>
      <c r="I303" s="466">
        <v>0</v>
      </c>
      <c r="J303" s="466"/>
      <c r="K303" s="466">
        <v>0</v>
      </c>
      <c r="L303" s="466">
        <v>0</v>
      </c>
      <c r="M303" s="466"/>
      <c r="N303" s="466">
        <v>0</v>
      </c>
      <c r="O303" s="466">
        <v>0</v>
      </c>
      <c r="P303" s="466"/>
      <c r="Q303" s="466">
        <v>0</v>
      </c>
      <c r="R303" s="466"/>
      <c r="S303" s="466">
        <v>0</v>
      </c>
      <c r="T303" s="466"/>
      <c r="U303" s="466">
        <v>0</v>
      </c>
      <c r="V303" s="466"/>
      <c r="W303" s="466"/>
      <c r="X303" s="466">
        <v>3642.99</v>
      </c>
      <c r="Y303" s="466">
        <v>0</v>
      </c>
      <c r="Z303" s="466">
        <v>0</v>
      </c>
      <c r="AA303" s="466">
        <v>0</v>
      </c>
      <c r="AB303" s="466">
        <v>1106902.06</v>
      </c>
      <c r="AC303" s="466">
        <v>99030.74</v>
      </c>
      <c r="AD303" s="466">
        <v>14288.28</v>
      </c>
      <c r="AE303" s="466">
        <v>41100.15</v>
      </c>
      <c r="AF303" s="466"/>
      <c r="AG303" s="466">
        <v>30281.7</v>
      </c>
      <c r="AH303" s="466">
        <v>90</v>
      </c>
      <c r="AI303" s="466"/>
      <c r="AJ303" s="466">
        <v>91059.25</v>
      </c>
      <c r="AK303" s="466">
        <v>54620.5</v>
      </c>
      <c r="AL303" s="466"/>
      <c r="AM303" s="466">
        <v>2370</v>
      </c>
      <c r="AN303" s="466"/>
      <c r="AO303" s="466">
        <v>10616.91</v>
      </c>
      <c r="AP303" s="466"/>
      <c r="AQ303" s="466">
        <v>35210</v>
      </c>
      <c r="AR303" s="466">
        <v>14.49</v>
      </c>
      <c r="AS303" s="466">
        <v>10330.75</v>
      </c>
    </row>
    <row r="304" spans="1:45" x14ac:dyDescent="0.2">
      <c r="A304" s="465">
        <v>5930</v>
      </c>
      <c r="B304" s="466"/>
      <c r="C304" s="466">
        <v>254.87</v>
      </c>
      <c r="D304" s="466">
        <v>129.5</v>
      </c>
      <c r="E304" s="466">
        <v>13416.71</v>
      </c>
      <c r="F304" s="466">
        <v>0</v>
      </c>
      <c r="G304" s="466">
        <v>0</v>
      </c>
      <c r="H304" s="466">
        <v>0</v>
      </c>
      <c r="I304" s="466"/>
      <c r="J304" s="466"/>
      <c r="K304" s="466">
        <v>0</v>
      </c>
      <c r="L304" s="466">
        <v>0</v>
      </c>
      <c r="M304" s="466">
        <v>0</v>
      </c>
      <c r="N304" s="466"/>
      <c r="O304" s="466">
        <v>0</v>
      </c>
      <c r="P304" s="466">
        <v>0</v>
      </c>
      <c r="Q304" s="466"/>
      <c r="R304" s="466"/>
      <c r="S304" s="466">
        <v>0</v>
      </c>
      <c r="T304" s="466"/>
      <c r="U304" s="466"/>
      <c r="V304" s="466"/>
      <c r="W304" s="466"/>
      <c r="X304" s="466">
        <v>548.13</v>
      </c>
      <c r="Y304" s="466">
        <v>0</v>
      </c>
      <c r="Z304" s="466">
        <v>0</v>
      </c>
      <c r="AA304" s="466">
        <v>0</v>
      </c>
      <c r="AB304" s="466">
        <v>346088.66</v>
      </c>
      <c r="AC304" s="466">
        <v>36966.019999999997</v>
      </c>
      <c r="AD304" s="466">
        <v>9254.5</v>
      </c>
      <c r="AE304" s="466"/>
      <c r="AF304" s="466"/>
      <c r="AG304" s="466">
        <v>4488.8</v>
      </c>
      <c r="AH304" s="466">
        <v>81</v>
      </c>
      <c r="AI304" s="466">
        <v>228.6</v>
      </c>
      <c r="AJ304" s="466"/>
      <c r="AK304" s="466">
        <v>2762.35</v>
      </c>
      <c r="AL304" s="466">
        <v>4.9000000000000004</v>
      </c>
      <c r="AM304" s="466"/>
      <c r="AN304" s="466"/>
      <c r="AO304" s="466">
        <v>3808.71</v>
      </c>
      <c r="AP304" s="466"/>
      <c r="AQ304" s="466"/>
      <c r="AR304" s="466"/>
      <c r="AS304" s="466">
        <v>3787.4</v>
      </c>
    </row>
    <row r="305" spans="1:45" x14ac:dyDescent="0.2">
      <c r="A305" s="465">
        <v>5931</v>
      </c>
      <c r="B305" s="466"/>
      <c r="C305" s="466">
        <v>561.47</v>
      </c>
      <c r="D305" s="466">
        <v>233.65</v>
      </c>
      <c r="E305" s="466">
        <v>4549.88</v>
      </c>
      <c r="F305" s="466">
        <v>0</v>
      </c>
      <c r="G305" s="466">
        <v>0</v>
      </c>
      <c r="H305" s="466">
        <v>0</v>
      </c>
      <c r="I305" s="466"/>
      <c r="J305" s="466"/>
      <c r="K305" s="466">
        <v>0</v>
      </c>
      <c r="L305" s="466">
        <v>0</v>
      </c>
      <c r="M305" s="466">
        <v>0</v>
      </c>
      <c r="N305" s="466">
        <v>0</v>
      </c>
      <c r="O305" s="466">
        <v>0</v>
      </c>
      <c r="P305" s="466"/>
      <c r="Q305" s="466">
        <v>0</v>
      </c>
      <c r="R305" s="466">
        <v>0</v>
      </c>
      <c r="S305" s="466">
        <v>0</v>
      </c>
      <c r="T305" s="466"/>
      <c r="U305" s="466">
        <v>0</v>
      </c>
      <c r="V305" s="466"/>
      <c r="W305" s="466"/>
      <c r="X305" s="466">
        <v>2121.84</v>
      </c>
      <c r="Y305" s="466">
        <v>0</v>
      </c>
      <c r="Z305" s="466">
        <v>0</v>
      </c>
      <c r="AA305" s="466">
        <v>0</v>
      </c>
      <c r="AB305" s="466">
        <v>913796.2</v>
      </c>
      <c r="AC305" s="466">
        <v>120948.33</v>
      </c>
      <c r="AD305" s="466">
        <v>19888.89</v>
      </c>
      <c r="AE305" s="466"/>
      <c r="AF305" s="466"/>
      <c r="AG305" s="466">
        <v>16709.650000000001</v>
      </c>
      <c r="AH305" s="466">
        <v>980.2</v>
      </c>
      <c r="AI305" s="466">
        <v>644.4</v>
      </c>
      <c r="AJ305" s="466">
        <v>78865.8</v>
      </c>
      <c r="AK305" s="466">
        <v>38500</v>
      </c>
      <c r="AL305" s="466"/>
      <c r="AM305" s="466">
        <v>3850</v>
      </c>
      <c r="AN305" s="466">
        <v>4418.49</v>
      </c>
      <c r="AO305" s="466">
        <v>14261.53</v>
      </c>
      <c r="AP305" s="466"/>
      <c r="AQ305" s="466">
        <v>42587.45</v>
      </c>
      <c r="AR305" s="466">
        <v>53.69</v>
      </c>
      <c r="AS305" s="466">
        <v>24166.85</v>
      </c>
    </row>
    <row r="306" spans="1:45" x14ac:dyDescent="0.2">
      <c r="A306" s="465">
        <v>5932</v>
      </c>
      <c r="B306" s="466"/>
      <c r="C306" s="466">
        <v>68.33</v>
      </c>
      <c r="D306" s="466">
        <v>263.47000000000003</v>
      </c>
      <c r="E306" s="466">
        <v>16511.14</v>
      </c>
      <c r="F306" s="466">
        <v>0</v>
      </c>
      <c r="G306" s="466">
        <v>0</v>
      </c>
      <c r="H306" s="466">
        <v>0</v>
      </c>
      <c r="I306" s="466">
        <v>0</v>
      </c>
      <c r="J306" s="466"/>
      <c r="K306" s="466">
        <v>0</v>
      </c>
      <c r="L306" s="466">
        <v>0</v>
      </c>
      <c r="M306" s="466">
        <v>0</v>
      </c>
      <c r="N306" s="466"/>
      <c r="O306" s="466"/>
      <c r="P306" s="466"/>
      <c r="Q306" s="466"/>
      <c r="R306" s="466">
        <v>0</v>
      </c>
      <c r="S306" s="466">
        <v>0</v>
      </c>
      <c r="T306" s="466"/>
      <c r="U306" s="466"/>
      <c r="V306" s="466"/>
      <c r="W306" s="466"/>
      <c r="X306" s="466">
        <v>52.92</v>
      </c>
      <c r="Y306" s="466">
        <v>0</v>
      </c>
      <c r="Z306" s="466">
        <v>0</v>
      </c>
      <c r="AA306" s="466">
        <v>0</v>
      </c>
      <c r="AB306" s="466">
        <v>390485.92</v>
      </c>
      <c r="AC306" s="466">
        <v>48108.9</v>
      </c>
      <c r="AD306" s="466">
        <v>907.44</v>
      </c>
      <c r="AE306" s="466">
        <v>38299.85</v>
      </c>
      <c r="AF306" s="466"/>
      <c r="AG306" s="466">
        <v>-224.45</v>
      </c>
      <c r="AH306" s="466">
        <v>665.65</v>
      </c>
      <c r="AI306" s="466">
        <v>819.5</v>
      </c>
      <c r="AJ306" s="466"/>
      <c r="AK306" s="466"/>
      <c r="AL306" s="466"/>
      <c r="AM306" s="466"/>
      <c r="AN306" s="466">
        <v>14393.89</v>
      </c>
      <c r="AO306" s="466">
        <v>6150.35</v>
      </c>
      <c r="AP306" s="466"/>
      <c r="AQ306" s="466"/>
      <c r="AR306" s="466"/>
      <c r="AS306" s="466"/>
    </row>
    <row r="307" spans="1:45" x14ac:dyDescent="0.2">
      <c r="A307" s="465">
        <v>5933</v>
      </c>
      <c r="B307" s="466"/>
      <c r="C307" s="466">
        <v>647.13</v>
      </c>
      <c r="D307" s="466">
        <v>376.76</v>
      </c>
      <c r="E307" s="466">
        <v>6607.18</v>
      </c>
      <c r="F307" s="466">
        <v>0</v>
      </c>
      <c r="G307" s="466">
        <v>0</v>
      </c>
      <c r="H307" s="466">
        <v>0</v>
      </c>
      <c r="I307" s="466"/>
      <c r="J307" s="466"/>
      <c r="K307" s="466">
        <v>0</v>
      </c>
      <c r="L307" s="466">
        <v>0</v>
      </c>
      <c r="M307" s="466">
        <v>0</v>
      </c>
      <c r="N307" s="466"/>
      <c r="O307" s="466">
        <v>0</v>
      </c>
      <c r="P307" s="466">
        <v>0</v>
      </c>
      <c r="Q307" s="466">
        <v>0</v>
      </c>
      <c r="R307" s="466">
        <v>0</v>
      </c>
      <c r="S307" s="466">
        <v>0</v>
      </c>
      <c r="T307" s="466"/>
      <c r="U307" s="466">
        <v>0</v>
      </c>
      <c r="V307" s="466"/>
      <c r="W307" s="466"/>
      <c r="X307" s="466">
        <v>3474.37</v>
      </c>
      <c r="Y307" s="466">
        <v>0</v>
      </c>
      <c r="Z307" s="466">
        <v>0</v>
      </c>
      <c r="AA307" s="466">
        <v>0</v>
      </c>
      <c r="AB307" s="466">
        <v>1257232.6399999999</v>
      </c>
      <c r="AC307" s="466">
        <v>145825.01999999999</v>
      </c>
      <c r="AD307" s="466">
        <v>15517.38</v>
      </c>
      <c r="AE307" s="466"/>
      <c r="AF307" s="466"/>
      <c r="AG307" s="466">
        <v>28538.15</v>
      </c>
      <c r="AH307" s="466">
        <v>427.75</v>
      </c>
      <c r="AI307" s="466">
        <v>2972.55</v>
      </c>
      <c r="AJ307" s="466"/>
      <c r="AK307" s="466">
        <v>32743.5</v>
      </c>
      <c r="AL307" s="466">
        <v>10361.5</v>
      </c>
      <c r="AM307" s="466">
        <v>4160</v>
      </c>
      <c r="AN307" s="466">
        <v>28810.02</v>
      </c>
      <c r="AO307" s="466">
        <v>35641.35</v>
      </c>
      <c r="AP307" s="466"/>
      <c r="AQ307" s="466">
        <v>19802.150000000001</v>
      </c>
      <c r="AR307" s="466">
        <v>4324.91</v>
      </c>
      <c r="AS307" s="466">
        <v>17913.95</v>
      </c>
    </row>
    <row r="308" spans="1:45" x14ac:dyDescent="0.2">
      <c r="A308" s="465">
        <v>5934</v>
      </c>
      <c r="B308" s="466"/>
      <c r="C308" s="466">
        <v>309.27999999999997</v>
      </c>
      <c r="D308" s="466">
        <v>212.47</v>
      </c>
      <c r="E308" s="466">
        <v>524.38</v>
      </c>
      <c r="F308" s="466">
        <v>0</v>
      </c>
      <c r="G308" s="466">
        <v>0</v>
      </c>
      <c r="H308" s="466">
        <v>0</v>
      </c>
      <c r="I308" s="466"/>
      <c r="J308" s="466"/>
      <c r="K308" s="466">
        <v>0</v>
      </c>
      <c r="L308" s="466">
        <v>0</v>
      </c>
      <c r="M308" s="466">
        <v>0</v>
      </c>
      <c r="N308" s="466"/>
      <c r="O308" s="466">
        <v>0</v>
      </c>
      <c r="P308" s="466"/>
      <c r="Q308" s="466"/>
      <c r="R308" s="466"/>
      <c r="S308" s="466">
        <v>0</v>
      </c>
      <c r="T308" s="466"/>
      <c r="U308" s="466">
        <v>0</v>
      </c>
      <c r="V308" s="466"/>
      <c r="W308" s="466"/>
      <c r="X308" s="466">
        <v>-20.49</v>
      </c>
      <c r="Y308" s="466">
        <v>0</v>
      </c>
      <c r="Z308" s="466">
        <v>0</v>
      </c>
      <c r="AA308" s="466">
        <v>0</v>
      </c>
      <c r="AB308" s="466">
        <v>501688.86</v>
      </c>
      <c r="AC308" s="466">
        <v>54633.58</v>
      </c>
      <c r="AD308" s="466">
        <v>13513.16</v>
      </c>
      <c r="AE308" s="466"/>
      <c r="AF308" s="466"/>
      <c r="AG308" s="466">
        <v>-256.39999999999998</v>
      </c>
      <c r="AH308" s="466">
        <v>85.6</v>
      </c>
      <c r="AI308" s="466">
        <v>55.5</v>
      </c>
      <c r="AJ308" s="466"/>
      <c r="AK308" s="466">
        <v>17975.900000000001</v>
      </c>
      <c r="AL308" s="466"/>
      <c r="AM308" s="466"/>
      <c r="AN308" s="466"/>
      <c r="AO308" s="466">
        <v>3998.53</v>
      </c>
      <c r="AP308" s="466"/>
      <c r="AQ308" s="466">
        <v>14383.95</v>
      </c>
      <c r="AR308" s="466"/>
      <c r="AS308" s="466">
        <v>5644.55</v>
      </c>
    </row>
    <row r="309" spans="1:45" x14ac:dyDescent="0.2">
      <c r="A309" s="465">
        <v>5935</v>
      </c>
      <c r="B309" s="466"/>
      <c r="C309" s="466">
        <v>4.47</v>
      </c>
      <c r="D309" s="466">
        <v>324.31</v>
      </c>
      <c r="E309" s="466">
        <v>28.68</v>
      </c>
      <c r="F309" s="466">
        <v>0</v>
      </c>
      <c r="G309" s="466">
        <v>0</v>
      </c>
      <c r="H309" s="466">
        <v>0</v>
      </c>
      <c r="I309" s="466"/>
      <c r="J309" s="466"/>
      <c r="K309" s="466">
        <v>0</v>
      </c>
      <c r="L309" s="466">
        <v>0</v>
      </c>
      <c r="M309" s="466"/>
      <c r="N309" s="466"/>
      <c r="O309" s="466">
        <v>0</v>
      </c>
      <c r="P309" s="466"/>
      <c r="Q309" s="466"/>
      <c r="R309" s="466"/>
      <c r="S309" s="466">
        <v>0</v>
      </c>
      <c r="T309" s="466"/>
      <c r="U309" s="466">
        <v>0</v>
      </c>
      <c r="V309" s="466"/>
      <c r="W309" s="466"/>
      <c r="X309" s="466">
        <v>52.25</v>
      </c>
      <c r="Y309" s="466">
        <v>0</v>
      </c>
      <c r="Z309" s="466">
        <v>0</v>
      </c>
      <c r="AA309" s="466">
        <v>0</v>
      </c>
      <c r="AB309" s="466">
        <v>175127.23</v>
      </c>
      <c r="AC309" s="466">
        <v>39650.93</v>
      </c>
      <c r="AD309" s="466">
        <v>1705.98</v>
      </c>
      <c r="AE309" s="466"/>
      <c r="AF309" s="466"/>
      <c r="AG309" s="466">
        <v>-432.35</v>
      </c>
      <c r="AH309" s="466">
        <v>868</v>
      </c>
      <c r="AI309" s="466"/>
      <c r="AJ309" s="466"/>
      <c r="AK309" s="466">
        <v>17844</v>
      </c>
      <c r="AL309" s="466"/>
      <c r="AM309" s="466"/>
      <c r="AN309" s="466"/>
      <c r="AO309" s="466">
        <v>1340.23</v>
      </c>
      <c r="AP309" s="466"/>
      <c r="AQ309" s="466">
        <v>10999.25</v>
      </c>
      <c r="AR309" s="466">
        <v>889.13</v>
      </c>
      <c r="AS309" s="466"/>
    </row>
    <row r="310" spans="1:45" x14ac:dyDescent="0.2">
      <c r="A310" s="465">
        <v>5937</v>
      </c>
      <c r="B310" s="466"/>
      <c r="C310" s="466">
        <v>27.5</v>
      </c>
      <c r="D310" s="466">
        <v>65.03</v>
      </c>
      <c r="E310" s="466">
        <v>3791.05</v>
      </c>
      <c r="F310" s="466">
        <v>0</v>
      </c>
      <c r="G310" s="466">
        <v>0</v>
      </c>
      <c r="H310" s="466">
        <v>0</v>
      </c>
      <c r="I310" s="466"/>
      <c r="J310" s="466"/>
      <c r="K310" s="466">
        <v>0</v>
      </c>
      <c r="L310" s="466">
        <v>0</v>
      </c>
      <c r="M310" s="466"/>
      <c r="N310" s="466"/>
      <c r="O310" s="466">
        <v>0</v>
      </c>
      <c r="P310" s="466"/>
      <c r="Q310" s="466"/>
      <c r="R310" s="466"/>
      <c r="S310" s="466">
        <v>0</v>
      </c>
      <c r="T310" s="466"/>
      <c r="U310" s="466">
        <v>0</v>
      </c>
      <c r="V310" s="466"/>
      <c r="W310" s="466"/>
      <c r="X310" s="466">
        <v>675.3</v>
      </c>
      <c r="Y310" s="466">
        <v>0</v>
      </c>
      <c r="Z310" s="466">
        <v>0</v>
      </c>
      <c r="AA310" s="466">
        <v>0</v>
      </c>
      <c r="AB310" s="466">
        <v>172031.26</v>
      </c>
      <c r="AC310" s="466">
        <v>31313.35</v>
      </c>
      <c r="AD310" s="466">
        <v>1313.24</v>
      </c>
      <c r="AE310" s="466"/>
      <c r="AF310" s="466"/>
      <c r="AG310" s="466">
        <v>5470</v>
      </c>
      <c r="AH310" s="466">
        <v>160</v>
      </c>
      <c r="AI310" s="466"/>
      <c r="AJ310" s="466"/>
      <c r="AK310" s="466">
        <v>5446.25</v>
      </c>
      <c r="AL310" s="466"/>
      <c r="AM310" s="466"/>
      <c r="AN310" s="466"/>
      <c r="AO310" s="466">
        <v>2529.56</v>
      </c>
      <c r="AP310" s="466"/>
      <c r="AQ310" s="466">
        <v>10627.5</v>
      </c>
      <c r="AR310" s="466">
        <v>36.61</v>
      </c>
      <c r="AS310" s="466"/>
    </row>
    <row r="311" spans="1:45" x14ac:dyDescent="0.2">
      <c r="A311" s="465">
        <v>5938</v>
      </c>
      <c r="B311" s="466"/>
      <c r="C311" s="466">
        <v>66568.570000000007</v>
      </c>
      <c r="D311" s="466">
        <v>25809.49</v>
      </c>
      <c r="E311" s="466">
        <v>1373361.28</v>
      </c>
      <c r="F311" s="466">
        <v>0</v>
      </c>
      <c r="G311" s="466">
        <v>0</v>
      </c>
      <c r="H311" s="466">
        <v>0</v>
      </c>
      <c r="I311" s="466">
        <v>0</v>
      </c>
      <c r="J311" s="466"/>
      <c r="K311" s="466">
        <v>0</v>
      </c>
      <c r="L311" s="466">
        <v>0</v>
      </c>
      <c r="M311" s="466">
        <v>0</v>
      </c>
      <c r="N311" s="466">
        <v>0</v>
      </c>
      <c r="O311" s="466">
        <v>0</v>
      </c>
      <c r="P311" s="466">
        <v>0</v>
      </c>
      <c r="Q311" s="466">
        <v>0</v>
      </c>
      <c r="R311" s="466">
        <v>0</v>
      </c>
      <c r="S311" s="466">
        <v>0</v>
      </c>
      <c r="T311" s="466">
        <v>0</v>
      </c>
      <c r="U311" s="466">
        <v>0</v>
      </c>
      <c r="V311" s="466"/>
      <c r="W311" s="466"/>
      <c r="X311" s="466">
        <v>683845.51</v>
      </c>
      <c r="Y311" s="466">
        <v>0</v>
      </c>
      <c r="Z311" s="466">
        <v>0</v>
      </c>
      <c r="AA311" s="466">
        <v>0</v>
      </c>
      <c r="AB311" s="466">
        <v>43215065.729999997</v>
      </c>
      <c r="AC311" s="466">
        <v>4681840.97</v>
      </c>
      <c r="AD311" s="466">
        <v>1609583.91</v>
      </c>
      <c r="AE311" s="466">
        <v>36575.35</v>
      </c>
      <c r="AF311" s="466"/>
      <c r="AG311" s="466">
        <v>4911534.2</v>
      </c>
      <c r="AH311" s="466">
        <v>789701.95</v>
      </c>
      <c r="AI311" s="466">
        <v>590078.35</v>
      </c>
      <c r="AJ311" s="466">
        <v>4385542.5999999996</v>
      </c>
      <c r="AK311" s="466">
        <v>1647037.75</v>
      </c>
      <c r="AL311" s="466">
        <v>1060319.1000000001</v>
      </c>
      <c r="AM311" s="466">
        <v>59115</v>
      </c>
      <c r="AN311" s="466">
        <v>254442.56</v>
      </c>
      <c r="AO311" s="466">
        <v>623502.72</v>
      </c>
      <c r="AP311" s="466">
        <v>2465</v>
      </c>
      <c r="AQ311" s="466">
        <v>1227824.3999999999</v>
      </c>
      <c r="AR311" s="466">
        <v>43494.7</v>
      </c>
      <c r="AS311" s="466">
        <v>4750911.95</v>
      </c>
    </row>
    <row r="312" spans="1:45" x14ac:dyDescent="0.2">
      <c r="A312" s="465">
        <v>5939</v>
      </c>
      <c r="B312" s="466"/>
      <c r="C312" s="466">
        <v>3542.33</v>
      </c>
      <c r="D312" s="466">
        <v>1977.35</v>
      </c>
      <c r="E312" s="466">
        <v>91229.45</v>
      </c>
      <c r="F312" s="466">
        <v>0</v>
      </c>
      <c r="G312" s="466">
        <v>0</v>
      </c>
      <c r="H312" s="466">
        <v>0</v>
      </c>
      <c r="I312" s="466"/>
      <c r="J312" s="466"/>
      <c r="K312" s="466">
        <v>0</v>
      </c>
      <c r="L312" s="466">
        <v>0</v>
      </c>
      <c r="M312" s="466">
        <v>0</v>
      </c>
      <c r="N312" s="466"/>
      <c r="O312" s="466">
        <v>0</v>
      </c>
      <c r="P312" s="466">
        <v>0</v>
      </c>
      <c r="Q312" s="466"/>
      <c r="R312" s="466">
        <v>0</v>
      </c>
      <c r="S312" s="466">
        <v>0</v>
      </c>
      <c r="T312" s="466"/>
      <c r="U312" s="466">
        <v>0</v>
      </c>
      <c r="V312" s="466"/>
      <c r="W312" s="466"/>
      <c r="X312" s="466">
        <v>24112.44</v>
      </c>
      <c r="Y312" s="466">
        <v>0</v>
      </c>
      <c r="Z312" s="466">
        <v>0</v>
      </c>
      <c r="AA312" s="466">
        <v>0</v>
      </c>
      <c r="AB312" s="466">
        <v>5197311.1100000003</v>
      </c>
      <c r="AC312" s="466">
        <v>616319.37</v>
      </c>
      <c r="AD312" s="466">
        <v>104381.6</v>
      </c>
      <c r="AE312" s="466"/>
      <c r="AF312" s="466"/>
      <c r="AG312" s="466">
        <v>196191.05</v>
      </c>
      <c r="AH312" s="466">
        <v>4834.8999999999996</v>
      </c>
      <c r="AI312" s="466">
        <v>-1086.4000000000001</v>
      </c>
      <c r="AJ312" s="466"/>
      <c r="AK312" s="466">
        <v>388020.45</v>
      </c>
      <c r="AL312" s="466">
        <v>124886.7</v>
      </c>
      <c r="AM312" s="466"/>
      <c r="AN312" s="466">
        <v>18715.98</v>
      </c>
      <c r="AO312" s="466">
        <v>57460.32</v>
      </c>
      <c r="AP312" s="466"/>
      <c r="AQ312" s="466">
        <v>104220.35</v>
      </c>
      <c r="AR312" s="466">
        <v>910.88</v>
      </c>
      <c r="AS312" s="466">
        <v>170935.7</v>
      </c>
    </row>
    <row r="313" spans="1:45" x14ac:dyDescent="0.2">
      <c r="A313" s="465">
        <v>8000</v>
      </c>
      <c r="B313" s="466"/>
      <c r="C313" s="466">
        <v>8262.18</v>
      </c>
      <c r="D313" s="466">
        <v>1111.19</v>
      </c>
      <c r="E313" s="466">
        <v>58408.65</v>
      </c>
      <c r="F313" s="466">
        <v>0</v>
      </c>
      <c r="G313" s="466">
        <v>0</v>
      </c>
      <c r="H313" s="466">
        <v>0</v>
      </c>
      <c r="I313" s="466"/>
      <c r="J313" s="466"/>
      <c r="K313" s="466">
        <v>0</v>
      </c>
      <c r="L313" s="466">
        <v>0</v>
      </c>
      <c r="M313" s="466">
        <v>0</v>
      </c>
      <c r="N313" s="466"/>
      <c r="O313" s="466">
        <v>0</v>
      </c>
      <c r="P313" s="466">
        <v>0</v>
      </c>
      <c r="Q313" s="466">
        <v>0</v>
      </c>
      <c r="R313" s="466">
        <v>0</v>
      </c>
      <c r="S313" s="466">
        <v>0</v>
      </c>
      <c r="T313" s="466"/>
      <c r="U313" s="466">
        <v>0</v>
      </c>
      <c r="V313" s="466"/>
      <c r="W313" s="466"/>
      <c r="X313" s="466">
        <v>714858.46</v>
      </c>
      <c r="Y313" s="466">
        <v>0</v>
      </c>
      <c r="Z313" s="466">
        <v>0</v>
      </c>
      <c r="AA313" s="466">
        <v>0</v>
      </c>
      <c r="AB313" s="466">
        <v>3214709.37</v>
      </c>
      <c r="AC313" s="466">
        <v>452524.48</v>
      </c>
      <c r="AD313" s="466">
        <v>220429.02</v>
      </c>
      <c r="AE313" s="466"/>
      <c r="AF313" s="466"/>
      <c r="AG313" s="466">
        <v>221272.1</v>
      </c>
      <c r="AH313" s="466">
        <v>113487.9</v>
      </c>
      <c r="AI313" s="466">
        <v>31964.95</v>
      </c>
      <c r="AJ313" s="466"/>
      <c r="AK313" s="466">
        <v>93654.65</v>
      </c>
      <c r="AL313" s="466">
        <v>3488486.4</v>
      </c>
      <c r="AM313" s="466">
        <v>11750</v>
      </c>
      <c r="AN313" s="466">
        <v>1763.04</v>
      </c>
      <c r="AO313" s="466">
        <v>40219.5</v>
      </c>
      <c r="AP313" s="466"/>
      <c r="AQ313" s="466">
        <v>107418.3</v>
      </c>
      <c r="AR313" s="466">
        <v>16106.52</v>
      </c>
      <c r="AS313" s="466">
        <v>6124106.2999999998</v>
      </c>
    </row>
    <row r="314" spans="1:45" x14ac:dyDescent="0.2">
      <c r="A314" s="465">
        <v>8001</v>
      </c>
      <c r="B314" s="466"/>
      <c r="C314" s="466">
        <v>4857.3900000000003</v>
      </c>
      <c r="D314" s="466">
        <v>1418.75</v>
      </c>
      <c r="E314" s="466">
        <v>25301.19</v>
      </c>
      <c r="F314" s="466">
        <v>0</v>
      </c>
      <c r="G314" s="466">
        <v>0</v>
      </c>
      <c r="H314" s="466">
        <v>0</v>
      </c>
      <c r="I314" s="466"/>
      <c r="J314" s="466"/>
      <c r="K314" s="466">
        <v>0</v>
      </c>
      <c r="L314" s="466">
        <v>0</v>
      </c>
      <c r="M314" s="466">
        <v>0</v>
      </c>
      <c r="N314" s="466"/>
      <c r="O314" s="466">
        <v>0</v>
      </c>
      <c r="P314" s="466">
        <v>0</v>
      </c>
      <c r="Q314" s="466">
        <v>0</v>
      </c>
      <c r="R314" s="466">
        <v>0</v>
      </c>
      <c r="S314" s="466">
        <v>0</v>
      </c>
      <c r="T314" s="466"/>
      <c r="U314" s="466">
        <v>0</v>
      </c>
      <c r="V314" s="466"/>
      <c r="W314" s="466"/>
      <c r="X314" s="466"/>
      <c r="Y314" s="466">
        <v>0</v>
      </c>
      <c r="Z314" s="466">
        <v>0</v>
      </c>
      <c r="AA314" s="466">
        <v>0</v>
      </c>
      <c r="AB314" s="466">
        <v>2329725.4</v>
      </c>
      <c r="AC314" s="466">
        <v>408779.22</v>
      </c>
      <c r="AD314" s="466">
        <v>99070.399999999994</v>
      </c>
      <c r="AE314" s="466"/>
      <c r="AF314" s="466"/>
      <c r="AG314" s="466">
        <v>5080278.8499999996</v>
      </c>
      <c r="AH314" s="466">
        <v>486234.7</v>
      </c>
      <c r="AI314" s="466">
        <v>31088.05</v>
      </c>
      <c r="AJ314" s="466"/>
      <c r="AK314" s="466">
        <v>107716.45</v>
      </c>
      <c r="AL314" s="466">
        <v>9987.2000000000007</v>
      </c>
      <c r="AM314" s="466">
        <v>11550</v>
      </c>
      <c r="AN314" s="466">
        <v>4390.8</v>
      </c>
      <c r="AO314" s="466">
        <v>24229.88</v>
      </c>
      <c r="AP314" s="466"/>
      <c r="AQ314" s="466">
        <v>56963.05</v>
      </c>
      <c r="AR314" s="466">
        <v>6367.66</v>
      </c>
      <c r="AS314" s="466"/>
    </row>
    <row r="315" spans="1:45" x14ac:dyDescent="0.2">
      <c r="A315" s="465">
        <v>8002</v>
      </c>
      <c r="B315" s="466"/>
      <c r="C315" s="466">
        <v>1661.72</v>
      </c>
      <c r="D315" s="466">
        <v>241</v>
      </c>
      <c r="E315" s="466">
        <v>14437.62</v>
      </c>
      <c r="F315" s="466">
        <v>0</v>
      </c>
      <c r="G315" s="466">
        <v>0</v>
      </c>
      <c r="H315" s="466">
        <v>0</v>
      </c>
      <c r="I315" s="466"/>
      <c r="J315" s="466"/>
      <c r="K315" s="466">
        <v>0</v>
      </c>
      <c r="L315" s="466">
        <v>0</v>
      </c>
      <c r="M315" s="466">
        <v>0</v>
      </c>
      <c r="N315" s="466"/>
      <c r="O315" s="466">
        <v>0</v>
      </c>
      <c r="P315" s="466"/>
      <c r="Q315" s="466">
        <v>0</v>
      </c>
      <c r="R315" s="466">
        <v>0</v>
      </c>
      <c r="S315" s="466">
        <v>0</v>
      </c>
      <c r="T315" s="466"/>
      <c r="U315" s="466">
        <v>0</v>
      </c>
      <c r="V315" s="466"/>
      <c r="W315" s="466"/>
      <c r="X315" s="466"/>
      <c r="Y315" s="466">
        <v>0</v>
      </c>
      <c r="Z315" s="466">
        <v>0</v>
      </c>
      <c r="AA315" s="466">
        <v>0</v>
      </c>
      <c r="AB315" s="466">
        <v>1093183.6000000001</v>
      </c>
      <c r="AC315" s="466">
        <v>124916.29</v>
      </c>
      <c r="AD315" s="466">
        <v>33248.980000000003</v>
      </c>
      <c r="AE315" s="466"/>
      <c r="AF315" s="466"/>
      <c r="AG315" s="466">
        <v>-1512.15</v>
      </c>
      <c r="AH315" s="466">
        <v>59883.55</v>
      </c>
      <c r="AI315" s="466">
        <v>2847</v>
      </c>
      <c r="AJ315" s="466"/>
      <c r="AK315" s="466">
        <v>22384.95</v>
      </c>
      <c r="AL315" s="466"/>
      <c r="AM315" s="466">
        <v>6750</v>
      </c>
      <c r="AN315" s="466">
        <v>0</v>
      </c>
      <c r="AO315" s="466">
        <v>12107.71</v>
      </c>
      <c r="AP315" s="466"/>
      <c r="AQ315" s="466">
        <v>30786.85</v>
      </c>
      <c r="AR315" s="466">
        <v>83.08</v>
      </c>
      <c r="AS315" s="466"/>
    </row>
    <row r="316" spans="1:45" x14ac:dyDescent="0.2">
      <c r="A316" s="465">
        <v>8003</v>
      </c>
      <c r="B316" s="466"/>
      <c r="C316" s="466">
        <v>421.74</v>
      </c>
      <c r="D316" s="466">
        <v>293.83999999999997</v>
      </c>
      <c r="E316" s="466">
        <v>21287.439999999999</v>
      </c>
      <c r="F316" s="466">
        <v>0</v>
      </c>
      <c r="G316" s="466">
        <v>0</v>
      </c>
      <c r="H316" s="466">
        <v>0</v>
      </c>
      <c r="I316" s="466"/>
      <c r="J316" s="466"/>
      <c r="K316" s="466">
        <v>0</v>
      </c>
      <c r="L316" s="466">
        <v>0</v>
      </c>
      <c r="M316" s="466">
        <v>0</v>
      </c>
      <c r="N316" s="466"/>
      <c r="O316" s="466">
        <v>0</v>
      </c>
      <c r="P316" s="466">
        <v>0</v>
      </c>
      <c r="Q316" s="466">
        <v>0</v>
      </c>
      <c r="R316" s="466"/>
      <c r="S316" s="466">
        <v>0</v>
      </c>
      <c r="T316" s="466"/>
      <c r="U316" s="466">
        <v>0</v>
      </c>
      <c r="V316" s="466"/>
      <c r="W316" s="466"/>
      <c r="X316" s="466"/>
      <c r="Y316" s="466">
        <v>0</v>
      </c>
      <c r="Z316" s="466">
        <v>0</v>
      </c>
      <c r="AA316" s="466">
        <v>0</v>
      </c>
      <c r="AB316" s="466">
        <v>381651.94</v>
      </c>
      <c r="AC316" s="466">
        <v>76030.61</v>
      </c>
      <c r="AD316" s="466">
        <v>20845.66</v>
      </c>
      <c r="AE316" s="466"/>
      <c r="AF316" s="466"/>
      <c r="AG316" s="466">
        <v>-968.15</v>
      </c>
      <c r="AH316" s="466">
        <v>1115</v>
      </c>
      <c r="AI316" s="466">
        <v>1549.3</v>
      </c>
      <c r="AJ316" s="466"/>
      <c r="AK316" s="466">
        <v>7998.3</v>
      </c>
      <c r="AL316" s="466">
        <v>2772</v>
      </c>
      <c r="AM316" s="466">
        <v>3350</v>
      </c>
      <c r="AN316" s="466"/>
      <c r="AO316" s="466">
        <v>4412.93</v>
      </c>
      <c r="AP316" s="466"/>
      <c r="AQ316" s="466">
        <v>12903.15</v>
      </c>
      <c r="AR316" s="466">
        <v>1.1399999999999999</v>
      </c>
      <c r="AS316" s="466"/>
    </row>
    <row r="317" spans="1:45" x14ac:dyDescent="0.2">
      <c r="A317" s="465">
        <v>8010</v>
      </c>
      <c r="B317" s="466"/>
      <c r="C317" s="466">
        <v>2249.11</v>
      </c>
      <c r="D317" s="466">
        <v>264.42</v>
      </c>
      <c r="E317" s="466">
        <v>14373.28</v>
      </c>
      <c r="F317" s="466">
        <v>0</v>
      </c>
      <c r="G317" s="466">
        <v>0</v>
      </c>
      <c r="H317" s="466">
        <v>0</v>
      </c>
      <c r="I317" s="466"/>
      <c r="J317" s="466"/>
      <c r="K317" s="466">
        <v>0</v>
      </c>
      <c r="L317" s="466">
        <v>0</v>
      </c>
      <c r="M317" s="466">
        <v>0</v>
      </c>
      <c r="N317" s="466"/>
      <c r="O317" s="466"/>
      <c r="P317" s="466"/>
      <c r="Q317" s="466">
        <v>0</v>
      </c>
      <c r="R317" s="466">
        <v>0</v>
      </c>
      <c r="S317" s="466">
        <v>0</v>
      </c>
      <c r="T317" s="466"/>
      <c r="U317" s="466">
        <v>0</v>
      </c>
      <c r="V317" s="466"/>
      <c r="W317" s="466"/>
      <c r="X317" s="466"/>
      <c r="Y317" s="466">
        <v>0</v>
      </c>
      <c r="Z317" s="466">
        <v>0</v>
      </c>
      <c r="AA317" s="466">
        <v>0</v>
      </c>
      <c r="AB317" s="466">
        <v>1076177.46</v>
      </c>
      <c r="AC317" s="466">
        <v>195125.17</v>
      </c>
      <c r="AD317" s="466">
        <v>38831.050000000003</v>
      </c>
      <c r="AE317" s="466"/>
      <c r="AF317" s="466"/>
      <c r="AG317" s="466">
        <v>77401.100000000006</v>
      </c>
      <c r="AH317" s="466">
        <v>166.1</v>
      </c>
      <c r="AI317" s="466">
        <v>2065</v>
      </c>
      <c r="AJ317" s="466"/>
      <c r="AK317" s="466"/>
      <c r="AL317" s="466"/>
      <c r="AM317" s="466">
        <v>3800</v>
      </c>
      <c r="AN317" s="466">
        <v>28.04</v>
      </c>
      <c r="AO317" s="466">
        <v>10872.69</v>
      </c>
      <c r="AP317" s="466"/>
      <c r="AQ317" s="466">
        <v>7425</v>
      </c>
      <c r="AR317" s="466"/>
      <c r="AS317" s="466"/>
    </row>
    <row r="318" spans="1:45" x14ac:dyDescent="0.2">
      <c r="A318" s="465">
        <v>8011</v>
      </c>
      <c r="B318" s="466"/>
      <c r="C318" s="466">
        <v>214.08</v>
      </c>
      <c r="D318" s="466">
        <v>343.66</v>
      </c>
      <c r="E318" s="466">
        <v>2739.93</v>
      </c>
      <c r="F318" s="466">
        <v>0</v>
      </c>
      <c r="G318" s="466">
        <v>0</v>
      </c>
      <c r="H318" s="466">
        <v>0</v>
      </c>
      <c r="I318" s="466"/>
      <c r="J318" s="466"/>
      <c r="K318" s="466">
        <v>0</v>
      </c>
      <c r="L318" s="466">
        <v>0</v>
      </c>
      <c r="M318" s="466">
        <v>0</v>
      </c>
      <c r="N318" s="466"/>
      <c r="O318" s="466">
        <v>0</v>
      </c>
      <c r="P318" s="466">
        <v>0</v>
      </c>
      <c r="Q318" s="466">
        <v>0</v>
      </c>
      <c r="R318" s="466"/>
      <c r="S318" s="466">
        <v>0</v>
      </c>
      <c r="T318" s="466">
        <v>0</v>
      </c>
      <c r="U318" s="466">
        <v>0</v>
      </c>
      <c r="V318" s="466"/>
      <c r="W318" s="466"/>
      <c r="X318" s="466">
        <v>12455.09</v>
      </c>
      <c r="Y318" s="466">
        <v>0</v>
      </c>
      <c r="Z318" s="466">
        <v>0</v>
      </c>
      <c r="AA318" s="466">
        <v>0</v>
      </c>
      <c r="AB318" s="466">
        <v>613440.41</v>
      </c>
      <c r="AC318" s="466">
        <v>122971.25</v>
      </c>
      <c r="AD318" s="466">
        <v>15202.05</v>
      </c>
      <c r="AE318" s="466"/>
      <c r="AF318" s="466"/>
      <c r="AG318" s="466">
        <v>-1284.6500000000001</v>
      </c>
      <c r="AH318" s="466">
        <v>4014.2</v>
      </c>
      <c r="AI318" s="466">
        <v>1464.35</v>
      </c>
      <c r="AJ318" s="466"/>
      <c r="AK318" s="466">
        <v>129090.45</v>
      </c>
      <c r="AL318" s="466">
        <v>81911.25</v>
      </c>
      <c r="AM318" s="466">
        <v>3000</v>
      </c>
      <c r="AN318" s="466"/>
      <c r="AO318" s="466">
        <v>5715.84</v>
      </c>
      <c r="AP318" s="466">
        <v>4781.2</v>
      </c>
      <c r="AQ318" s="466">
        <v>39450.35</v>
      </c>
      <c r="AR318" s="466">
        <v>437.59</v>
      </c>
      <c r="AS318" s="466">
        <v>757257.95</v>
      </c>
    </row>
    <row r="319" spans="1:45" x14ac:dyDescent="0.2">
      <c r="A319" s="465">
        <v>8012</v>
      </c>
      <c r="B319" s="466"/>
      <c r="C319" s="466">
        <v>778.93</v>
      </c>
      <c r="D319" s="466">
        <v>473.17</v>
      </c>
      <c r="E319" s="466">
        <v>25588.07</v>
      </c>
      <c r="F319" s="466">
        <v>0</v>
      </c>
      <c r="G319" s="466">
        <v>0</v>
      </c>
      <c r="H319" s="466">
        <v>0</v>
      </c>
      <c r="I319" s="466"/>
      <c r="J319" s="466"/>
      <c r="K319" s="466">
        <v>0</v>
      </c>
      <c r="L319" s="466">
        <v>0</v>
      </c>
      <c r="M319" s="466">
        <v>0</v>
      </c>
      <c r="N319" s="466"/>
      <c r="O319" s="466"/>
      <c r="P319" s="466">
        <v>0</v>
      </c>
      <c r="Q319" s="466">
        <v>0</v>
      </c>
      <c r="R319" s="466"/>
      <c r="S319" s="466">
        <v>0</v>
      </c>
      <c r="T319" s="466"/>
      <c r="U319" s="466">
        <v>0</v>
      </c>
      <c r="V319" s="466"/>
      <c r="W319" s="466"/>
      <c r="X319" s="466"/>
      <c r="Y319" s="466">
        <v>0</v>
      </c>
      <c r="Z319" s="466">
        <v>0</v>
      </c>
      <c r="AA319" s="466">
        <v>0</v>
      </c>
      <c r="AB319" s="466">
        <v>1213013.04</v>
      </c>
      <c r="AC319" s="466">
        <v>189296</v>
      </c>
      <c r="AD319" s="466">
        <v>26615.22</v>
      </c>
      <c r="AE319" s="466"/>
      <c r="AF319" s="466"/>
      <c r="AG319" s="466">
        <v>20146.7</v>
      </c>
      <c r="AH319" s="466">
        <v>3394.9</v>
      </c>
      <c r="AI319" s="466">
        <v>1260</v>
      </c>
      <c r="AJ319" s="466"/>
      <c r="AK319" s="466"/>
      <c r="AL319" s="466">
        <v>2722.5</v>
      </c>
      <c r="AM319" s="466">
        <v>4050</v>
      </c>
      <c r="AN319" s="466"/>
      <c r="AO319" s="466">
        <v>12631.17</v>
      </c>
      <c r="AP319" s="466"/>
      <c r="AQ319" s="466">
        <v>6080.15</v>
      </c>
      <c r="AR319" s="466"/>
      <c r="AS319" s="466"/>
    </row>
    <row r="320" spans="1:45" x14ac:dyDescent="0.2">
      <c r="A320" s="465">
        <v>5693</v>
      </c>
      <c r="B320" s="466"/>
      <c r="C320" s="466">
        <v>3218.09</v>
      </c>
      <c r="D320" s="466">
        <v>2114.63</v>
      </c>
      <c r="E320" s="466">
        <v>124826.85</v>
      </c>
      <c r="F320" s="466">
        <v>0</v>
      </c>
      <c r="G320" s="466">
        <v>0</v>
      </c>
      <c r="H320" s="466">
        <v>0</v>
      </c>
      <c r="I320" s="466"/>
      <c r="J320" s="466"/>
      <c r="K320" s="466">
        <v>0</v>
      </c>
      <c r="L320" s="466">
        <v>0</v>
      </c>
      <c r="M320" s="466">
        <v>0</v>
      </c>
      <c r="N320" s="466">
        <v>0</v>
      </c>
      <c r="O320" s="466">
        <v>0</v>
      </c>
      <c r="P320" s="466">
        <v>0</v>
      </c>
      <c r="Q320" s="466">
        <v>0</v>
      </c>
      <c r="R320" s="466">
        <v>0</v>
      </c>
      <c r="S320" s="466">
        <v>0</v>
      </c>
      <c r="T320" s="466"/>
      <c r="U320" s="466">
        <v>0</v>
      </c>
      <c r="V320" s="466"/>
      <c r="W320" s="466"/>
      <c r="X320" s="466">
        <v>4453.33</v>
      </c>
      <c r="Y320" s="466">
        <v>0</v>
      </c>
      <c r="Z320" s="466">
        <v>0</v>
      </c>
      <c r="AA320" s="466">
        <v>0</v>
      </c>
      <c r="AB320" s="466">
        <v>4202520.2699999996</v>
      </c>
      <c r="AC320" s="466">
        <v>484604.06</v>
      </c>
      <c r="AD320" s="466">
        <v>72440.38</v>
      </c>
      <c r="AE320" s="466"/>
      <c r="AF320" s="466"/>
      <c r="AG320" s="466">
        <v>33536.199999999997</v>
      </c>
      <c r="AH320" s="466">
        <v>3591.3</v>
      </c>
      <c r="AI320" s="466">
        <v>9495.6</v>
      </c>
      <c r="AJ320" s="466">
        <v>423772.3</v>
      </c>
      <c r="AK320" s="466">
        <v>209249.75</v>
      </c>
      <c r="AL320" s="466">
        <v>144312.70000000001</v>
      </c>
      <c r="AM320" s="466">
        <v>30850</v>
      </c>
      <c r="AN320" s="466">
        <v>11807.36</v>
      </c>
      <c r="AO320" s="466">
        <v>48025.120000000003</v>
      </c>
      <c r="AP320" s="466"/>
      <c r="AQ320" s="466">
        <v>133540.75</v>
      </c>
      <c r="AR320" s="466">
        <v>290.72000000000003</v>
      </c>
      <c r="AS320" s="466">
        <v>48251.05</v>
      </c>
    </row>
    <row r="321" spans="1:45" x14ac:dyDescent="0.2">
      <c r="A321" s="465">
        <v>5806</v>
      </c>
      <c r="B321" s="466"/>
      <c r="C321" s="466">
        <v>5295.75</v>
      </c>
      <c r="D321" s="466">
        <v>1756.59</v>
      </c>
      <c r="E321" s="466">
        <v>28820.5</v>
      </c>
      <c r="F321" s="466">
        <v>0</v>
      </c>
      <c r="G321" s="466">
        <v>0</v>
      </c>
      <c r="H321" s="466">
        <v>0</v>
      </c>
      <c r="I321" s="466">
        <v>0</v>
      </c>
      <c r="J321" s="466"/>
      <c r="K321" s="466">
        <v>0</v>
      </c>
      <c r="L321" s="466">
        <v>0</v>
      </c>
      <c r="M321" s="466">
        <v>0</v>
      </c>
      <c r="N321" s="466"/>
      <c r="O321" s="466">
        <v>0</v>
      </c>
      <c r="P321" s="466">
        <v>0</v>
      </c>
      <c r="Q321" s="466">
        <v>0</v>
      </c>
      <c r="R321" s="466">
        <v>0</v>
      </c>
      <c r="S321" s="466">
        <v>0</v>
      </c>
      <c r="T321" s="466"/>
      <c r="U321" s="466">
        <v>0</v>
      </c>
      <c r="V321" s="466"/>
      <c r="W321" s="466"/>
      <c r="X321" s="466">
        <v>11999.04</v>
      </c>
      <c r="Y321" s="466">
        <v>0</v>
      </c>
      <c r="Z321" s="466">
        <v>0</v>
      </c>
      <c r="AA321" s="466">
        <v>0</v>
      </c>
      <c r="AB321" s="466">
        <v>5326629.03</v>
      </c>
      <c r="AC321" s="466">
        <v>563139.16</v>
      </c>
      <c r="AD321" s="466">
        <v>61110.42</v>
      </c>
      <c r="AE321" s="466">
        <v>53124.25</v>
      </c>
      <c r="AF321" s="466"/>
      <c r="AG321" s="466">
        <v>90461.85</v>
      </c>
      <c r="AH321" s="466">
        <v>9574.4500000000007</v>
      </c>
      <c r="AI321" s="466">
        <v>16744.75</v>
      </c>
      <c r="AJ321" s="466"/>
      <c r="AK321" s="466">
        <v>230887.7</v>
      </c>
      <c r="AL321" s="466">
        <v>99419.199999999997</v>
      </c>
      <c r="AM321" s="466">
        <v>12660</v>
      </c>
      <c r="AN321" s="466">
        <v>26120.86</v>
      </c>
      <c r="AO321" s="466">
        <v>47823.19</v>
      </c>
      <c r="AP321" s="466"/>
      <c r="AQ321" s="466">
        <v>197024.7</v>
      </c>
      <c r="AR321" s="466">
        <v>2223.91</v>
      </c>
      <c r="AS321" s="466">
        <v>30186.6</v>
      </c>
    </row>
    <row r="322" spans="1:45" x14ac:dyDescent="0.2">
      <c r="A322" s="465">
        <v>8020</v>
      </c>
      <c r="B322" s="466"/>
      <c r="C322" s="466">
        <v>1302.3699999999999</v>
      </c>
      <c r="D322" s="466">
        <v>823.6</v>
      </c>
      <c r="E322" s="466">
        <v>17239.73</v>
      </c>
      <c r="F322" s="466">
        <v>0</v>
      </c>
      <c r="G322" s="466">
        <v>0</v>
      </c>
      <c r="H322" s="466">
        <v>0</v>
      </c>
      <c r="I322" s="466"/>
      <c r="J322" s="466"/>
      <c r="K322" s="466">
        <v>0</v>
      </c>
      <c r="L322" s="466">
        <v>0</v>
      </c>
      <c r="M322" s="466"/>
      <c r="N322" s="466"/>
      <c r="O322" s="466">
        <v>0</v>
      </c>
      <c r="P322" s="466">
        <v>0</v>
      </c>
      <c r="Q322" s="466">
        <v>0</v>
      </c>
      <c r="R322" s="466">
        <v>0</v>
      </c>
      <c r="S322" s="466">
        <v>0</v>
      </c>
      <c r="T322" s="466"/>
      <c r="U322" s="466">
        <v>0</v>
      </c>
      <c r="V322" s="466"/>
      <c r="W322" s="466"/>
      <c r="X322" s="466">
        <v>10676.7</v>
      </c>
      <c r="Y322" s="466">
        <v>0</v>
      </c>
      <c r="Z322" s="466">
        <v>0</v>
      </c>
      <c r="AA322" s="466">
        <v>0</v>
      </c>
      <c r="AB322" s="466">
        <v>1609618.85</v>
      </c>
      <c r="AC322" s="466">
        <v>265375.38</v>
      </c>
      <c r="AD322" s="466">
        <v>26413.360000000001</v>
      </c>
      <c r="AE322" s="466"/>
      <c r="AF322" s="466"/>
      <c r="AG322" s="466">
        <v>78051.600000000006</v>
      </c>
      <c r="AH322" s="466">
        <v>10960.3</v>
      </c>
      <c r="AI322" s="466"/>
      <c r="AJ322" s="466"/>
      <c r="AK322" s="466">
        <v>51848.55</v>
      </c>
      <c r="AL322" s="466">
        <v>11484</v>
      </c>
      <c r="AM322" s="466">
        <v>6500</v>
      </c>
      <c r="AN322" s="466">
        <v>3491.13</v>
      </c>
      <c r="AO322" s="466">
        <v>11372.75</v>
      </c>
      <c r="AP322" s="466"/>
      <c r="AQ322" s="466">
        <v>40297.5</v>
      </c>
      <c r="AR322" s="466">
        <v>662.44</v>
      </c>
      <c r="AS322" s="466">
        <v>1061298.2</v>
      </c>
    </row>
    <row r="323" spans="1:45" x14ac:dyDescent="0.2">
      <c r="A323" s="462" t="s">
        <v>566</v>
      </c>
      <c r="B323" s="467"/>
      <c r="C323" s="467">
        <v>4656558.04</v>
      </c>
      <c r="D323" s="467">
        <v>793894.95</v>
      </c>
      <c r="E323" s="467">
        <v>33910027.219999999</v>
      </c>
      <c r="F323" s="467">
        <v>0</v>
      </c>
      <c r="G323" s="467">
        <v>0</v>
      </c>
      <c r="H323" s="467">
        <v>0</v>
      </c>
      <c r="I323" s="467">
        <v>0</v>
      </c>
      <c r="J323" s="467">
        <v>0</v>
      </c>
      <c r="K323" s="467">
        <v>0</v>
      </c>
      <c r="L323" s="467">
        <v>0</v>
      </c>
      <c r="M323" s="467">
        <v>0</v>
      </c>
      <c r="N323" s="467">
        <v>0</v>
      </c>
      <c r="O323" s="467">
        <v>0</v>
      </c>
      <c r="P323" s="467">
        <v>0</v>
      </c>
      <c r="Q323" s="467">
        <v>0</v>
      </c>
      <c r="R323" s="467">
        <v>0</v>
      </c>
      <c r="S323" s="467">
        <v>0</v>
      </c>
      <c r="T323" s="467">
        <v>0</v>
      </c>
      <c r="U323" s="467">
        <v>0</v>
      </c>
      <c r="V323" s="467"/>
      <c r="W323" s="467"/>
      <c r="X323" s="467">
        <v>39766209.060000002</v>
      </c>
      <c r="Y323" s="467">
        <v>0</v>
      </c>
      <c r="Z323" s="467">
        <v>0</v>
      </c>
      <c r="AA323" s="467">
        <v>0</v>
      </c>
      <c r="AB323" s="467">
        <v>1647564626.3900001</v>
      </c>
      <c r="AC323" s="467">
        <v>295936514.05000001</v>
      </c>
      <c r="AD323" s="467">
        <v>75388674.040000007</v>
      </c>
      <c r="AE323" s="467">
        <v>41039445.920000002</v>
      </c>
      <c r="AF323" s="467">
        <v>920</v>
      </c>
      <c r="AG323" s="467">
        <v>296337250.19999999</v>
      </c>
      <c r="AH323" s="467">
        <v>35194572.25</v>
      </c>
      <c r="AI323" s="467">
        <v>20340821.850000001</v>
      </c>
      <c r="AJ323" s="467">
        <v>114832565.8</v>
      </c>
      <c r="AK323" s="467">
        <v>93947255.750000104</v>
      </c>
      <c r="AL323" s="467">
        <v>76579282.750000104</v>
      </c>
      <c r="AM323" s="467">
        <v>3240196.5</v>
      </c>
      <c r="AN323" s="467">
        <v>6991522.4400000004</v>
      </c>
      <c r="AO323" s="467">
        <v>22791074.239999998</v>
      </c>
      <c r="AP323" s="467">
        <v>308238.65000000002</v>
      </c>
      <c r="AQ323" s="467">
        <v>76510288.049999997</v>
      </c>
      <c r="AR323" s="467">
        <v>4437286.6100000003</v>
      </c>
      <c r="AS323" s="467">
        <v>80161190.549999997</v>
      </c>
    </row>
    <row r="324" spans="1:45" ht="12.75" x14ac:dyDescent="0.2">
      <c r="A324" s="451"/>
      <c r="B324" s="451"/>
      <c r="C324" s="451"/>
      <c r="D324" s="451"/>
      <c r="E324" s="468"/>
      <c r="F324" s="468"/>
    </row>
    <row r="325" spans="1:45" ht="12.75" x14ac:dyDescent="0.2">
      <c r="A325" s="451"/>
      <c r="B325" s="451"/>
      <c r="C325" s="451"/>
      <c r="D325" s="451"/>
      <c r="E325" s="468"/>
      <c r="F325" s="468"/>
    </row>
    <row r="326" spans="1:45" ht="12.75" x14ac:dyDescent="0.2">
      <c r="A326" s="451"/>
      <c r="B326" s="451"/>
      <c r="C326" s="451"/>
      <c r="D326" s="451"/>
      <c r="E326" s="468"/>
      <c r="F326" s="468"/>
    </row>
    <row r="327" spans="1:45" ht="12.75" x14ac:dyDescent="0.2">
      <c r="A327" s="451"/>
      <c r="B327" s="451"/>
      <c r="C327" s="451"/>
      <c r="D327" s="451"/>
      <c r="E327" s="468"/>
      <c r="F327" s="468"/>
    </row>
    <row r="328" spans="1:45" ht="12.75" x14ac:dyDescent="0.2">
      <c r="A328" s="451"/>
      <c r="B328" s="451"/>
      <c r="C328" s="451"/>
      <c r="D328" s="451"/>
      <c r="E328" s="468"/>
      <c r="F328" s="468"/>
    </row>
    <row r="329" spans="1:45" ht="12.75" x14ac:dyDescent="0.2">
      <c r="A329" s="451"/>
      <c r="B329" s="451"/>
      <c r="C329" s="451"/>
      <c r="D329" s="451"/>
      <c r="E329" s="468"/>
      <c r="F329" s="468"/>
    </row>
    <row r="330" spans="1:45" ht="12.75" x14ac:dyDescent="0.2">
      <c r="A330" s="451"/>
      <c r="B330" s="451"/>
      <c r="C330" s="451"/>
      <c r="D330" s="451"/>
      <c r="E330" s="468"/>
      <c r="F330" s="468"/>
    </row>
    <row r="331" spans="1:45" ht="12.75" x14ac:dyDescent="0.2">
      <c r="A331" s="451"/>
      <c r="B331" s="451"/>
      <c r="C331" s="451"/>
      <c r="D331" s="451"/>
      <c r="E331" s="468"/>
      <c r="F331" s="468"/>
    </row>
    <row r="332" spans="1:45" ht="12.75" x14ac:dyDescent="0.2">
      <c r="A332" s="451"/>
      <c r="B332" s="451"/>
      <c r="C332" s="451"/>
      <c r="D332" s="451"/>
      <c r="E332" s="468"/>
      <c r="F332" s="468"/>
    </row>
    <row r="333" spans="1:45" ht="12.75" x14ac:dyDescent="0.2">
      <c r="A333" s="451"/>
      <c r="B333" s="451"/>
      <c r="C333" s="451"/>
      <c r="D333" s="451"/>
      <c r="E333" s="468"/>
      <c r="F333" s="468"/>
    </row>
    <row r="334" spans="1:45" ht="12.75" x14ac:dyDescent="0.2">
      <c r="A334" s="451"/>
      <c r="B334" s="451"/>
      <c r="C334" s="451"/>
      <c r="D334" s="451"/>
      <c r="E334" s="468"/>
      <c r="F334" s="468"/>
    </row>
    <row r="335" spans="1:45" ht="12.75" x14ac:dyDescent="0.2">
      <c r="A335" s="451"/>
      <c r="B335" s="451"/>
      <c r="C335" s="451"/>
      <c r="D335" s="451"/>
      <c r="E335" s="468"/>
      <c r="F335" s="468"/>
    </row>
    <row r="336" spans="1:45" ht="12.75" x14ac:dyDescent="0.2">
      <c r="A336" s="451"/>
      <c r="B336" s="451"/>
      <c r="C336" s="451"/>
      <c r="D336" s="451"/>
      <c r="E336" s="468"/>
      <c r="F336" s="468"/>
    </row>
    <row r="337" spans="1:6" ht="12.75" x14ac:dyDescent="0.2">
      <c r="A337" s="451"/>
      <c r="B337" s="451"/>
      <c r="C337" s="451"/>
      <c r="D337" s="451"/>
      <c r="E337" s="468"/>
      <c r="F337" s="468"/>
    </row>
    <row r="338" spans="1:6" ht="12.75" x14ac:dyDescent="0.2">
      <c r="A338" s="451"/>
      <c r="B338" s="451"/>
      <c r="C338" s="451"/>
      <c r="D338" s="451"/>
      <c r="E338" s="468"/>
      <c r="F338" s="468"/>
    </row>
    <row r="339" spans="1:6" ht="12.75" x14ac:dyDescent="0.2">
      <c r="A339" s="451"/>
      <c r="B339" s="451"/>
      <c r="C339" s="451"/>
      <c r="D339" s="451"/>
      <c r="E339" s="468"/>
      <c r="F339" s="468"/>
    </row>
    <row r="340" spans="1:6" ht="12.75" x14ac:dyDescent="0.2">
      <c r="A340" s="451"/>
      <c r="B340" s="451"/>
      <c r="C340" s="451"/>
      <c r="D340" s="451"/>
      <c r="E340" s="468"/>
      <c r="F340" s="468"/>
    </row>
    <row r="341" spans="1:6" ht="12.75" x14ac:dyDescent="0.2">
      <c r="A341" s="451"/>
      <c r="B341" s="451"/>
      <c r="C341" s="451"/>
      <c r="D341" s="451"/>
      <c r="E341" s="468"/>
      <c r="F341" s="468"/>
    </row>
    <row r="342" spans="1:6" ht="12.75" x14ac:dyDescent="0.2">
      <c r="A342" s="451"/>
      <c r="B342" s="451"/>
      <c r="C342" s="451"/>
      <c r="D342" s="451"/>
      <c r="E342" s="468"/>
      <c r="F342" s="468"/>
    </row>
    <row r="343" spans="1:6" ht="12.75" x14ac:dyDescent="0.2">
      <c r="A343" s="451"/>
      <c r="B343" s="451"/>
      <c r="C343" s="451"/>
      <c r="D343" s="451"/>
      <c r="E343" s="468"/>
      <c r="F343" s="468"/>
    </row>
    <row r="344" spans="1:6" ht="12.75" x14ac:dyDescent="0.2">
      <c r="A344" s="451"/>
      <c r="B344" s="451"/>
      <c r="C344" s="451"/>
      <c r="D344" s="451"/>
      <c r="E344" s="468"/>
      <c r="F344" s="468"/>
    </row>
    <row r="345" spans="1:6" ht="12.75" x14ac:dyDescent="0.2">
      <c r="A345" s="451"/>
      <c r="B345" s="451"/>
      <c r="C345" s="451"/>
      <c r="D345" s="451"/>
      <c r="E345" s="468"/>
      <c r="F345" s="468"/>
    </row>
    <row r="346" spans="1:6" ht="12.75" x14ac:dyDescent="0.2">
      <c r="A346" s="451"/>
      <c r="B346" s="451"/>
      <c r="C346" s="451"/>
      <c r="D346" s="451"/>
      <c r="E346" s="468"/>
      <c r="F346" s="468"/>
    </row>
    <row r="347" spans="1:6" ht="12.75" x14ac:dyDescent="0.2">
      <c r="A347" s="451"/>
      <c r="B347" s="451"/>
      <c r="C347" s="451"/>
      <c r="D347" s="451"/>
      <c r="E347" s="468"/>
      <c r="F347" s="468"/>
    </row>
    <row r="348" spans="1:6" ht="12.75" x14ac:dyDescent="0.2">
      <c r="A348" s="451"/>
      <c r="B348" s="451"/>
      <c r="C348" s="451"/>
      <c r="D348" s="451"/>
      <c r="E348" s="468"/>
      <c r="F348" s="468"/>
    </row>
    <row r="349" spans="1:6" ht="12.75" x14ac:dyDescent="0.2">
      <c r="A349" s="451"/>
      <c r="B349" s="451"/>
      <c r="C349" s="451"/>
      <c r="D349" s="451"/>
      <c r="E349" s="468"/>
      <c r="F349" s="468"/>
    </row>
    <row r="350" spans="1:6" ht="12.75" x14ac:dyDescent="0.2">
      <c r="A350" s="451"/>
      <c r="B350" s="451"/>
      <c r="C350" s="451"/>
      <c r="D350" s="451"/>
      <c r="E350" s="468"/>
      <c r="F350" s="468"/>
    </row>
    <row r="351" spans="1:6" ht="12.75" x14ac:dyDescent="0.2">
      <c r="A351" s="451"/>
      <c r="B351" s="451"/>
      <c r="C351" s="451"/>
      <c r="D351" s="451"/>
      <c r="E351" s="468"/>
      <c r="F351" s="468"/>
    </row>
    <row r="352" spans="1:6" ht="12.75" x14ac:dyDescent="0.2">
      <c r="A352" s="451"/>
      <c r="B352" s="451"/>
      <c r="C352" s="451"/>
      <c r="D352" s="451"/>
      <c r="E352" s="468"/>
      <c r="F352" s="468"/>
    </row>
    <row r="353" spans="1:6" ht="12.75" x14ac:dyDescent="0.2">
      <c r="A353" s="451"/>
      <c r="B353" s="451"/>
      <c r="C353" s="451"/>
      <c r="D353" s="451"/>
      <c r="E353" s="468"/>
      <c r="F353" s="468"/>
    </row>
    <row r="354" spans="1:6" ht="12.75" x14ac:dyDescent="0.2">
      <c r="A354" s="451"/>
      <c r="B354" s="451"/>
      <c r="C354" s="451"/>
      <c r="D354" s="451"/>
      <c r="E354" s="468"/>
      <c r="F354" s="468"/>
    </row>
    <row r="355" spans="1:6" ht="12.75" x14ac:dyDescent="0.2">
      <c r="A355" s="451"/>
      <c r="B355" s="451"/>
      <c r="C355" s="451"/>
      <c r="D355" s="451"/>
      <c r="E355" s="468"/>
      <c r="F355" s="468"/>
    </row>
    <row r="356" spans="1:6" ht="12.75" x14ac:dyDescent="0.2">
      <c r="A356" s="451"/>
      <c r="B356" s="451"/>
      <c r="C356" s="451"/>
      <c r="D356" s="451"/>
      <c r="E356" s="468"/>
      <c r="F356" s="468"/>
    </row>
    <row r="357" spans="1:6" ht="12.75" x14ac:dyDescent="0.2">
      <c r="A357" s="451"/>
      <c r="B357" s="451"/>
      <c r="C357" s="451"/>
      <c r="D357" s="451"/>
      <c r="E357" s="468"/>
      <c r="F357" s="468"/>
    </row>
    <row r="358" spans="1:6" ht="12.75" x14ac:dyDescent="0.2">
      <c r="A358" s="451"/>
      <c r="B358" s="451"/>
      <c r="C358" s="451"/>
      <c r="D358" s="451"/>
      <c r="E358" s="468"/>
      <c r="F358" s="468"/>
    </row>
    <row r="359" spans="1:6" ht="12.75" x14ac:dyDescent="0.2">
      <c r="A359" s="451"/>
      <c r="B359" s="451"/>
      <c r="C359" s="451"/>
      <c r="D359" s="451"/>
      <c r="E359" s="468"/>
      <c r="F359" s="468"/>
    </row>
    <row r="360" spans="1:6" ht="12.75" x14ac:dyDescent="0.2">
      <c r="A360" s="451"/>
      <c r="B360" s="451"/>
      <c r="C360" s="451"/>
      <c r="D360" s="451"/>
      <c r="E360" s="468"/>
      <c r="F360" s="468"/>
    </row>
    <row r="361" spans="1:6" ht="12.75" x14ac:dyDescent="0.2">
      <c r="A361" s="451"/>
      <c r="B361" s="451"/>
      <c r="C361" s="451"/>
      <c r="D361" s="451"/>
      <c r="E361" s="468"/>
      <c r="F361" s="468"/>
    </row>
    <row r="362" spans="1:6" ht="12.75" x14ac:dyDescent="0.2">
      <c r="A362" s="451"/>
      <c r="B362" s="451"/>
      <c r="C362" s="451"/>
      <c r="D362" s="451"/>
      <c r="E362" s="468"/>
      <c r="F362" s="468"/>
    </row>
    <row r="363" spans="1:6" ht="12.75" x14ac:dyDescent="0.2">
      <c r="A363" s="451"/>
      <c r="B363" s="451"/>
      <c r="C363" s="451"/>
      <c r="D363" s="451"/>
      <c r="E363" s="468"/>
      <c r="F363" s="468"/>
    </row>
    <row r="364" spans="1:6" ht="12.75" x14ac:dyDescent="0.2">
      <c r="A364" s="451"/>
      <c r="B364" s="451"/>
      <c r="C364" s="451"/>
      <c r="D364" s="451"/>
      <c r="E364" s="468"/>
      <c r="F364" s="468"/>
    </row>
    <row r="365" spans="1:6" ht="12.75" x14ac:dyDescent="0.2">
      <c r="A365" s="451"/>
      <c r="B365" s="451"/>
      <c r="C365" s="451"/>
      <c r="D365" s="451"/>
      <c r="E365" s="468"/>
      <c r="F365" s="468"/>
    </row>
    <row r="366" spans="1:6" ht="12.75" x14ac:dyDescent="0.2">
      <c r="A366" s="451"/>
      <c r="B366" s="451"/>
      <c r="C366" s="451"/>
      <c r="D366" s="451"/>
      <c r="E366" s="468"/>
      <c r="F366" s="468"/>
    </row>
    <row r="367" spans="1:6" ht="12.75" x14ac:dyDescent="0.2">
      <c r="A367" s="451"/>
      <c r="B367" s="451"/>
      <c r="C367" s="451"/>
      <c r="D367" s="451"/>
      <c r="E367" s="468"/>
      <c r="F367" s="468"/>
    </row>
    <row r="368" spans="1:6" ht="12.75" x14ac:dyDescent="0.2">
      <c r="A368" s="451"/>
      <c r="B368" s="451"/>
      <c r="C368" s="451"/>
      <c r="D368" s="451"/>
      <c r="E368" s="468"/>
      <c r="F368" s="468"/>
    </row>
    <row r="369" spans="1:6" ht="12.75" x14ac:dyDescent="0.2">
      <c r="A369" s="451"/>
      <c r="B369" s="451"/>
      <c r="C369" s="451"/>
      <c r="D369" s="451"/>
      <c r="E369" s="468"/>
      <c r="F369" s="468"/>
    </row>
    <row r="370" spans="1:6" ht="12.75" x14ac:dyDescent="0.2">
      <c r="A370" s="451"/>
      <c r="B370" s="451"/>
      <c r="C370" s="451"/>
      <c r="D370" s="451"/>
      <c r="E370" s="468"/>
      <c r="F370" s="468"/>
    </row>
    <row r="371" spans="1:6" ht="12.75" x14ac:dyDescent="0.2">
      <c r="A371" s="451"/>
      <c r="B371" s="451"/>
      <c r="C371" s="451"/>
      <c r="D371" s="451"/>
      <c r="E371" s="468"/>
      <c r="F371" s="468"/>
    </row>
    <row r="372" spans="1:6" ht="12.75" x14ac:dyDescent="0.2">
      <c r="A372" s="451"/>
      <c r="B372" s="451"/>
      <c r="C372" s="451"/>
      <c r="D372" s="451"/>
      <c r="E372" s="468"/>
      <c r="F372" s="468"/>
    </row>
    <row r="373" spans="1:6" ht="12.75" x14ac:dyDescent="0.2">
      <c r="A373" s="451"/>
      <c r="B373" s="451"/>
      <c r="C373" s="451"/>
      <c r="D373" s="451"/>
      <c r="E373" s="468"/>
      <c r="F373" s="468"/>
    </row>
    <row r="374" spans="1:6" ht="12.75" x14ac:dyDescent="0.2">
      <c r="A374" s="451"/>
      <c r="B374" s="451"/>
      <c r="C374" s="451"/>
      <c r="D374" s="451"/>
      <c r="E374" s="468"/>
      <c r="F374" s="468"/>
    </row>
    <row r="375" spans="1:6" ht="12.75" x14ac:dyDescent="0.2">
      <c r="A375" s="451"/>
      <c r="B375" s="451"/>
      <c r="C375" s="451"/>
      <c r="D375" s="451"/>
      <c r="E375" s="468"/>
      <c r="F375" s="468"/>
    </row>
    <row r="376" spans="1:6" ht="12.75" x14ac:dyDescent="0.2">
      <c r="A376" s="451"/>
      <c r="B376" s="451"/>
      <c r="C376" s="451"/>
      <c r="D376" s="451"/>
      <c r="E376" s="468"/>
      <c r="F376" s="468"/>
    </row>
    <row r="377" spans="1:6" ht="12.75" x14ac:dyDescent="0.2">
      <c r="A377" s="451"/>
      <c r="B377" s="451"/>
      <c r="C377" s="451"/>
      <c r="D377" s="451"/>
      <c r="E377" s="468"/>
      <c r="F377" s="468"/>
    </row>
    <row r="378" spans="1:6" ht="12.75" x14ac:dyDescent="0.2">
      <c r="A378" s="451"/>
      <c r="B378" s="451"/>
      <c r="C378" s="451"/>
      <c r="D378" s="451"/>
      <c r="E378" s="468"/>
      <c r="F378" s="468"/>
    </row>
    <row r="379" spans="1:6" ht="12.75" x14ac:dyDescent="0.2">
      <c r="A379" s="451"/>
      <c r="B379" s="451"/>
      <c r="C379" s="451"/>
      <c r="D379" s="451"/>
      <c r="E379" s="468"/>
      <c r="F379" s="468"/>
    </row>
    <row r="380" spans="1:6" ht="12.75" x14ac:dyDescent="0.2">
      <c r="A380" s="451"/>
      <c r="B380" s="451"/>
      <c r="C380" s="451"/>
      <c r="D380" s="451"/>
      <c r="E380" s="468"/>
      <c r="F380" s="468"/>
    </row>
    <row r="381" spans="1:6" ht="12.75" x14ac:dyDescent="0.2">
      <c r="A381" s="451"/>
      <c r="B381" s="451"/>
      <c r="C381" s="451"/>
      <c r="D381" s="451"/>
      <c r="E381" s="468"/>
      <c r="F381" s="468"/>
    </row>
    <row r="382" spans="1:6" ht="12.75" x14ac:dyDescent="0.2">
      <c r="A382" s="451"/>
      <c r="B382" s="451"/>
      <c r="C382" s="451"/>
      <c r="D382" s="451"/>
      <c r="E382" s="468"/>
      <c r="F382" s="468"/>
    </row>
    <row r="383" spans="1:6" ht="12.75" x14ac:dyDescent="0.2">
      <c r="A383" s="451"/>
      <c r="B383" s="451"/>
      <c r="C383" s="451"/>
      <c r="D383" s="451"/>
      <c r="E383" s="468"/>
      <c r="F383" s="468"/>
    </row>
    <row r="384" spans="1:6" ht="12.75" x14ac:dyDescent="0.2">
      <c r="A384" s="451"/>
      <c r="B384" s="451"/>
      <c r="C384" s="451"/>
      <c r="D384" s="451"/>
      <c r="E384" s="468"/>
      <c r="F384" s="468"/>
    </row>
    <row r="385" spans="1:6" ht="12.75" x14ac:dyDescent="0.2">
      <c r="A385" s="451"/>
      <c r="B385" s="451"/>
      <c r="C385" s="451"/>
      <c r="D385" s="451"/>
      <c r="E385" s="468"/>
      <c r="F385" s="468"/>
    </row>
    <row r="386" spans="1:6" ht="12.75" x14ac:dyDescent="0.2">
      <c r="A386" s="451"/>
      <c r="B386" s="451"/>
      <c r="C386" s="451"/>
      <c r="D386" s="451"/>
      <c r="E386" s="468"/>
      <c r="F386" s="468"/>
    </row>
    <row r="387" spans="1:6" ht="12.75" x14ac:dyDescent="0.2">
      <c r="A387" s="451"/>
      <c r="B387" s="451"/>
      <c r="C387" s="451"/>
      <c r="D387" s="451"/>
      <c r="E387" s="468"/>
      <c r="F387" s="468"/>
    </row>
    <row r="388" spans="1:6" ht="12.75" x14ac:dyDescent="0.2">
      <c r="A388" s="451"/>
      <c r="B388" s="451"/>
      <c r="C388" s="451"/>
      <c r="D388" s="451"/>
      <c r="E388" s="468"/>
      <c r="F388" s="468"/>
    </row>
    <row r="389" spans="1:6" ht="12.75" x14ac:dyDescent="0.2">
      <c r="A389" s="451"/>
      <c r="B389" s="451"/>
      <c r="C389" s="451"/>
      <c r="D389" s="451"/>
      <c r="E389" s="468"/>
      <c r="F389" s="468"/>
    </row>
    <row r="390" spans="1:6" ht="12.75" x14ac:dyDescent="0.2">
      <c r="A390" s="451"/>
      <c r="B390" s="451"/>
      <c r="C390" s="451"/>
      <c r="D390" s="451"/>
      <c r="E390" s="468"/>
      <c r="F390" s="468"/>
    </row>
    <row r="391" spans="1:6" ht="12.75" x14ac:dyDescent="0.2">
      <c r="A391" s="451"/>
      <c r="B391" s="451"/>
      <c r="C391" s="451"/>
      <c r="D391" s="451"/>
      <c r="E391" s="468"/>
      <c r="F391" s="468"/>
    </row>
    <row r="392" spans="1:6" ht="12.75" x14ac:dyDescent="0.2">
      <c r="A392" s="451"/>
      <c r="B392" s="451"/>
      <c r="C392" s="451"/>
      <c r="D392" s="451"/>
      <c r="E392" s="468"/>
      <c r="F392" s="468"/>
    </row>
    <row r="393" spans="1:6" ht="12.75" x14ac:dyDescent="0.2">
      <c r="A393" s="451"/>
      <c r="B393" s="451"/>
      <c r="C393" s="451"/>
      <c r="D393" s="451"/>
      <c r="E393" s="468"/>
      <c r="F393" s="468"/>
    </row>
    <row r="394" spans="1:6" ht="12.75" x14ac:dyDescent="0.2">
      <c r="A394" s="451"/>
      <c r="B394" s="451"/>
      <c r="C394" s="451"/>
      <c r="D394" s="451"/>
      <c r="E394" s="468"/>
      <c r="F394" s="468"/>
    </row>
    <row r="395" spans="1:6" ht="12.75" x14ac:dyDescent="0.2">
      <c r="A395" s="451"/>
      <c r="B395" s="451"/>
      <c r="C395" s="451"/>
      <c r="D395" s="451"/>
      <c r="E395" s="468"/>
      <c r="F395" s="468"/>
    </row>
    <row r="396" spans="1:6" ht="12.75" x14ac:dyDescent="0.2">
      <c r="A396" s="451"/>
      <c r="B396" s="451"/>
      <c r="C396" s="451"/>
      <c r="D396" s="451"/>
      <c r="E396" s="468"/>
      <c r="F396" s="468"/>
    </row>
    <row r="397" spans="1:6" ht="12.75" x14ac:dyDescent="0.2">
      <c r="A397" s="451"/>
      <c r="B397" s="451"/>
      <c r="C397" s="451"/>
      <c r="D397" s="451"/>
      <c r="E397" s="468"/>
      <c r="F397" s="468"/>
    </row>
    <row r="398" spans="1:6" ht="12.75" x14ac:dyDescent="0.2">
      <c r="A398" s="451"/>
      <c r="B398" s="451"/>
      <c r="C398" s="451"/>
      <c r="D398" s="451"/>
      <c r="E398" s="468"/>
      <c r="F398" s="468"/>
    </row>
    <row r="399" spans="1:6" ht="12.75" x14ac:dyDescent="0.2">
      <c r="A399" s="451"/>
      <c r="B399" s="451"/>
      <c r="C399" s="451"/>
      <c r="D399" s="451"/>
      <c r="E399" s="468"/>
      <c r="F399" s="468"/>
    </row>
    <row r="400" spans="1:6" ht="12.75" x14ac:dyDescent="0.2">
      <c r="A400" s="451"/>
      <c r="B400" s="451"/>
      <c r="C400" s="451"/>
      <c r="D400" s="451"/>
      <c r="E400" s="468"/>
      <c r="F400" s="468"/>
    </row>
    <row r="401" spans="1:6" ht="12.75" x14ac:dyDescent="0.2">
      <c r="A401" s="451"/>
      <c r="B401" s="451"/>
      <c r="C401" s="451"/>
      <c r="D401" s="451"/>
      <c r="E401" s="468"/>
      <c r="F401" s="468"/>
    </row>
    <row r="402" spans="1:6" ht="12.75" x14ac:dyDescent="0.2">
      <c r="A402" s="451"/>
      <c r="B402" s="451"/>
      <c r="C402" s="451"/>
      <c r="D402" s="451"/>
      <c r="E402" s="468"/>
      <c r="F402" s="468"/>
    </row>
    <row r="403" spans="1:6" ht="12.75" x14ac:dyDescent="0.2">
      <c r="A403" s="451"/>
      <c r="B403" s="451"/>
      <c r="C403" s="451"/>
      <c r="D403" s="451"/>
      <c r="E403" s="468"/>
      <c r="F403" s="468"/>
    </row>
    <row r="404" spans="1:6" ht="12.75" x14ac:dyDescent="0.2">
      <c r="A404" s="451"/>
      <c r="B404" s="451"/>
      <c r="C404" s="451"/>
      <c r="D404" s="451"/>
      <c r="E404" s="468"/>
      <c r="F404" s="468"/>
    </row>
    <row r="405" spans="1:6" ht="12.75" x14ac:dyDescent="0.2">
      <c r="A405" s="451"/>
      <c r="B405" s="451"/>
      <c r="C405" s="451"/>
      <c r="D405" s="451"/>
      <c r="E405" s="468"/>
      <c r="F405" s="468"/>
    </row>
    <row r="406" spans="1:6" ht="12.75" x14ac:dyDescent="0.2">
      <c r="A406" s="451"/>
      <c r="B406" s="451"/>
      <c r="C406" s="451"/>
      <c r="D406" s="451"/>
      <c r="E406" s="468"/>
      <c r="F406" s="468"/>
    </row>
    <row r="407" spans="1:6" ht="12.75" x14ac:dyDescent="0.2">
      <c r="A407" s="451"/>
      <c r="B407" s="451"/>
      <c r="C407" s="451"/>
      <c r="D407" s="451"/>
      <c r="E407" s="468"/>
      <c r="F407" s="468"/>
    </row>
    <row r="408" spans="1:6" ht="12.75" x14ac:dyDescent="0.2">
      <c r="A408" s="451"/>
      <c r="B408" s="451"/>
      <c r="C408" s="451"/>
      <c r="D408" s="451"/>
      <c r="E408" s="468"/>
      <c r="F408" s="468"/>
    </row>
    <row r="409" spans="1:6" ht="12.75" x14ac:dyDescent="0.2">
      <c r="A409" s="451"/>
      <c r="B409" s="451"/>
      <c r="C409" s="451"/>
      <c r="D409" s="451"/>
      <c r="E409" s="468"/>
      <c r="F409" s="468"/>
    </row>
    <row r="410" spans="1:6" ht="12.75" x14ac:dyDescent="0.2">
      <c r="A410" s="451"/>
      <c r="B410" s="451"/>
      <c r="C410" s="451"/>
      <c r="D410" s="451"/>
      <c r="E410" s="468"/>
      <c r="F410" s="468"/>
    </row>
    <row r="411" spans="1:6" ht="12.75" x14ac:dyDescent="0.2">
      <c r="A411" s="451"/>
      <c r="B411" s="451"/>
      <c r="C411" s="451"/>
      <c r="D411" s="451"/>
      <c r="E411" s="468"/>
      <c r="F411" s="468"/>
    </row>
    <row r="412" spans="1:6" ht="12.75" x14ac:dyDescent="0.2">
      <c r="A412" s="451"/>
      <c r="B412" s="451"/>
      <c r="C412" s="451"/>
      <c r="D412" s="451"/>
      <c r="E412" s="468"/>
      <c r="F412" s="468"/>
    </row>
    <row r="413" spans="1:6" ht="12.75" x14ac:dyDescent="0.2">
      <c r="A413" s="451"/>
      <c r="B413" s="451"/>
      <c r="C413" s="451"/>
      <c r="D413" s="451"/>
      <c r="E413" s="468"/>
      <c r="F413" s="468"/>
    </row>
    <row r="414" spans="1:6" ht="12.75" x14ac:dyDescent="0.2">
      <c r="A414" s="451"/>
      <c r="B414" s="451"/>
      <c r="C414" s="451"/>
      <c r="D414" s="451"/>
      <c r="E414" s="468"/>
      <c r="F414" s="468"/>
    </row>
    <row r="415" spans="1:6" ht="12.75" x14ac:dyDescent="0.2">
      <c r="A415" s="451"/>
      <c r="B415" s="451"/>
      <c r="C415" s="451"/>
      <c r="D415" s="451"/>
      <c r="E415" s="468"/>
      <c r="F415" s="468"/>
    </row>
    <row r="416" spans="1:6" ht="12.75" x14ac:dyDescent="0.2">
      <c r="A416" s="451"/>
      <c r="B416" s="451"/>
      <c r="C416" s="451"/>
      <c r="D416" s="451"/>
      <c r="E416" s="468"/>
      <c r="F416" s="468"/>
    </row>
    <row r="417" spans="1:6" ht="12.75" x14ac:dyDescent="0.2">
      <c r="A417" s="451"/>
      <c r="B417" s="451"/>
      <c r="C417" s="451"/>
      <c r="D417" s="451"/>
      <c r="E417" s="468"/>
      <c r="F417" s="468"/>
    </row>
    <row r="418" spans="1:6" ht="12.75" x14ac:dyDescent="0.2">
      <c r="A418" s="451"/>
      <c r="B418" s="451"/>
      <c r="C418" s="451"/>
      <c r="D418" s="451"/>
      <c r="E418" s="468"/>
      <c r="F418" s="468"/>
    </row>
    <row r="419" spans="1:6" ht="12.75" x14ac:dyDescent="0.2">
      <c r="A419" s="451"/>
      <c r="B419" s="451"/>
      <c r="C419" s="451"/>
      <c r="D419" s="451"/>
      <c r="E419" s="468"/>
      <c r="F419" s="468"/>
    </row>
    <row r="420" spans="1:6" ht="12.75" x14ac:dyDescent="0.2">
      <c r="A420" s="451"/>
      <c r="B420" s="451"/>
      <c r="C420" s="451"/>
      <c r="D420" s="451"/>
      <c r="E420" s="468"/>
      <c r="F420" s="468"/>
    </row>
    <row r="421" spans="1:6" ht="12.75" x14ac:dyDescent="0.2">
      <c r="A421" s="451"/>
      <c r="B421" s="451"/>
      <c r="C421" s="451"/>
      <c r="D421" s="451"/>
      <c r="E421" s="468"/>
      <c r="F421" s="468"/>
    </row>
    <row r="422" spans="1:6" ht="12.75" x14ac:dyDescent="0.2">
      <c r="A422" s="451"/>
      <c r="B422" s="451"/>
      <c r="C422" s="451"/>
      <c r="D422" s="451"/>
      <c r="E422" s="468"/>
      <c r="F422" s="468"/>
    </row>
    <row r="423" spans="1:6" ht="12.75" x14ac:dyDescent="0.2">
      <c r="A423" s="451"/>
      <c r="B423" s="451"/>
      <c r="C423" s="451"/>
      <c r="D423" s="451"/>
      <c r="E423" s="468"/>
      <c r="F423" s="468"/>
    </row>
    <row r="424" spans="1:6" ht="12.75" x14ac:dyDescent="0.2">
      <c r="A424" s="451"/>
      <c r="B424" s="451"/>
      <c r="C424" s="451"/>
      <c r="D424" s="451"/>
      <c r="E424" s="468"/>
      <c r="F424" s="468"/>
    </row>
    <row r="425" spans="1:6" ht="12.75" x14ac:dyDescent="0.2">
      <c r="A425" s="451"/>
      <c r="B425" s="451"/>
      <c r="C425" s="451"/>
      <c r="D425" s="451"/>
      <c r="E425" s="468"/>
      <c r="F425" s="468"/>
    </row>
    <row r="426" spans="1:6" ht="12.75" x14ac:dyDescent="0.2">
      <c r="A426" s="451"/>
      <c r="B426" s="451"/>
      <c r="C426" s="451"/>
      <c r="D426" s="451"/>
      <c r="E426" s="468"/>
      <c r="F426" s="468"/>
    </row>
    <row r="427" spans="1:6" ht="12.75" x14ac:dyDescent="0.2">
      <c r="A427" s="451"/>
      <c r="B427" s="451"/>
      <c r="C427" s="451"/>
      <c r="D427" s="451"/>
      <c r="E427" s="468"/>
      <c r="F427" s="468"/>
    </row>
    <row r="428" spans="1:6" ht="12.75" x14ac:dyDescent="0.2">
      <c r="A428" s="451"/>
      <c r="B428" s="451"/>
      <c r="C428" s="451"/>
      <c r="D428" s="451"/>
      <c r="E428" s="468"/>
      <c r="F428" s="468"/>
    </row>
    <row r="429" spans="1:6" ht="12.75" x14ac:dyDescent="0.2">
      <c r="A429" s="451"/>
      <c r="B429" s="451"/>
      <c r="C429" s="451"/>
      <c r="D429" s="451"/>
      <c r="E429" s="468"/>
      <c r="F429" s="468"/>
    </row>
    <row r="430" spans="1:6" ht="12.75" x14ac:dyDescent="0.2">
      <c r="A430" s="451"/>
      <c r="B430" s="451"/>
      <c r="C430" s="451"/>
      <c r="D430" s="451"/>
      <c r="E430" s="468"/>
      <c r="F430" s="468"/>
    </row>
    <row r="431" spans="1:6" ht="12.75" x14ac:dyDescent="0.2">
      <c r="A431" s="451"/>
      <c r="B431" s="451"/>
      <c r="C431" s="451"/>
      <c r="D431" s="451"/>
      <c r="E431" s="468"/>
      <c r="F431" s="468"/>
    </row>
    <row r="432" spans="1:6" ht="12.75" x14ac:dyDescent="0.2">
      <c r="A432" s="451"/>
      <c r="B432" s="451"/>
      <c r="C432" s="451"/>
      <c r="D432" s="451"/>
      <c r="E432" s="468"/>
      <c r="F432" s="468"/>
    </row>
    <row r="433" spans="1:6" ht="12.75" x14ac:dyDescent="0.2">
      <c r="A433" s="451"/>
      <c r="B433" s="451"/>
      <c r="C433" s="451"/>
      <c r="D433" s="451"/>
      <c r="E433" s="468"/>
      <c r="F433" s="468"/>
    </row>
    <row r="434" spans="1:6" ht="12.75" x14ac:dyDescent="0.2">
      <c r="A434" s="451"/>
      <c r="B434" s="451"/>
      <c r="C434" s="451"/>
      <c r="D434" s="451"/>
      <c r="E434" s="468"/>
      <c r="F434" s="468"/>
    </row>
    <row r="435" spans="1:6" ht="12.75" x14ac:dyDescent="0.2">
      <c r="A435" s="451"/>
      <c r="B435" s="451"/>
      <c r="C435" s="451"/>
      <c r="D435" s="451"/>
      <c r="E435" s="468"/>
      <c r="F435" s="468"/>
    </row>
    <row r="436" spans="1:6" ht="12.75" x14ac:dyDescent="0.2">
      <c r="A436" s="451"/>
      <c r="B436" s="451"/>
      <c r="C436" s="451"/>
      <c r="D436" s="451"/>
      <c r="E436" s="468"/>
      <c r="F436" s="468"/>
    </row>
    <row r="437" spans="1:6" ht="12.75" x14ac:dyDescent="0.2">
      <c r="A437" s="451"/>
      <c r="B437" s="451"/>
      <c r="C437" s="451"/>
      <c r="D437" s="451"/>
      <c r="E437" s="468"/>
      <c r="F437" s="468"/>
    </row>
    <row r="438" spans="1:6" ht="12.75" x14ac:dyDescent="0.2">
      <c r="A438" s="451"/>
      <c r="B438" s="451"/>
      <c r="C438" s="451"/>
      <c r="D438" s="451"/>
      <c r="E438" s="468"/>
      <c r="F438" s="468"/>
    </row>
    <row r="439" spans="1:6" ht="12.75" x14ac:dyDescent="0.2">
      <c r="A439" s="451"/>
      <c r="B439" s="451"/>
      <c r="C439" s="451"/>
      <c r="D439" s="451"/>
      <c r="E439" s="468"/>
      <c r="F439" s="468"/>
    </row>
    <row r="440" spans="1:6" ht="12.75" x14ac:dyDescent="0.2">
      <c r="A440" s="451"/>
      <c r="B440" s="451"/>
      <c r="C440" s="451"/>
      <c r="D440" s="451"/>
      <c r="E440" s="468"/>
      <c r="F440" s="468"/>
    </row>
    <row r="441" spans="1:6" ht="12.75" x14ac:dyDescent="0.2">
      <c r="A441" s="451"/>
      <c r="B441" s="451"/>
      <c r="C441" s="451"/>
      <c r="D441" s="451"/>
      <c r="E441" s="468"/>
      <c r="F441" s="468"/>
    </row>
    <row r="442" spans="1:6" ht="12.75" x14ac:dyDescent="0.2">
      <c r="A442" s="451"/>
      <c r="B442" s="451"/>
      <c r="C442" s="451"/>
      <c r="D442" s="451"/>
      <c r="E442" s="468"/>
      <c r="F442" s="468"/>
    </row>
    <row r="443" spans="1:6" ht="12.75" x14ac:dyDescent="0.2">
      <c r="A443" s="451"/>
      <c r="B443" s="451"/>
      <c r="C443" s="451"/>
      <c r="D443" s="451"/>
      <c r="E443" s="468"/>
      <c r="F443" s="468"/>
    </row>
    <row r="444" spans="1:6" ht="12.75" x14ac:dyDescent="0.2">
      <c r="A444" s="451"/>
      <c r="B444" s="451"/>
      <c r="C444" s="451"/>
      <c r="D444" s="451"/>
      <c r="E444" s="468"/>
      <c r="F444" s="468"/>
    </row>
    <row r="445" spans="1:6" ht="12.75" x14ac:dyDescent="0.2">
      <c r="A445" s="451"/>
      <c r="B445" s="451"/>
      <c r="C445" s="451"/>
      <c r="D445" s="451"/>
      <c r="E445" s="468"/>
      <c r="F445" s="468"/>
    </row>
    <row r="446" spans="1:6" ht="12.75" x14ac:dyDescent="0.2">
      <c r="A446" s="451"/>
      <c r="B446" s="451"/>
      <c r="C446" s="451"/>
      <c r="D446" s="451"/>
      <c r="E446" s="468"/>
      <c r="F446" s="468"/>
    </row>
    <row r="447" spans="1:6" ht="12.75" x14ac:dyDescent="0.2">
      <c r="A447" s="451"/>
      <c r="B447" s="451"/>
      <c r="C447" s="451"/>
      <c r="D447" s="451"/>
      <c r="E447" s="468"/>
      <c r="F447" s="468"/>
    </row>
    <row r="448" spans="1:6" ht="12.75" x14ac:dyDescent="0.2">
      <c r="A448" s="451"/>
      <c r="B448" s="451"/>
      <c r="C448" s="451"/>
      <c r="D448" s="451"/>
      <c r="E448" s="468"/>
      <c r="F448" s="468"/>
    </row>
    <row r="449" spans="1:6" ht="12.75" x14ac:dyDescent="0.2">
      <c r="A449" s="451"/>
      <c r="B449" s="451"/>
      <c r="C449" s="451"/>
      <c r="D449" s="451"/>
      <c r="E449" s="468"/>
      <c r="F449" s="468"/>
    </row>
    <row r="450" spans="1:6" ht="12.75" x14ac:dyDescent="0.2">
      <c r="A450" s="451"/>
      <c r="B450" s="451"/>
      <c r="C450" s="451"/>
      <c r="D450" s="451"/>
      <c r="E450" s="468"/>
      <c r="F450" s="468"/>
    </row>
    <row r="451" spans="1:6" ht="12.75" x14ac:dyDescent="0.2">
      <c r="A451" s="451"/>
      <c r="B451" s="451"/>
      <c r="C451" s="451"/>
      <c r="D451" s="451"/>
      <c r="E451" s="468"/>
      <c r="F451" s="468"/>
    </row>
    <row r="452" spans="1:6" ht="12.75" x14ac:dyDescent="0.2">
      <c r="A452" s="451"/>
      <c r="B452" s="451"/>
      <c r="C452" s="451"/>
      <c r="D452" s="451"/>
      <c r="E452" s="468"/>
      <c r="F452" s="468"/>
    </row>
    <row r="453" spans="1:6" ht="12.75" x14ac:dyDescent="0.2">
      <c r="A453" s="451"/>
      <c r="B453" s="451"/>
      <c r="C453" s="451"/>
      <c r="D453" s="451"/>
      <c r="E453" s="468"/>
      <c r="F453" s="468"/>
    </row>
    <row r="454" spans="1:6" ht="12.75" x14ac:dyDescent="0.2">
      <c r="A454" s="451"/>
      <c r="B454" s="451"/>
      <c r="C454" s="451"/>
      <c r="D454" s="451"/>
      <c r="E454" s="468"/>
      <c r="F454" s="468"/>
    </row>
    <row r="455" spans="1:6" ht="12.75" x14ac:dyDescent="0.2">
      <c r="A455" s="451"/>
      <c r="B455" s="451"/>
      <c r="C455" s="451"/>
      <c r="D455" s="451"/>
      <c r="E455" s="468"/>
      <c r="F455" s="468"/>
    </row>
    <row r="456" spans="1:6" ht="12.75" x14ac:dyDescent="0.2">
      <c r="A456" s="451"/>
      <c r="B456" s="451"/>
      <c r="C456" s="451"/>
      <c r="D456" s="451"/>
      <c r="E456" s="468"/>
      <c r="F456" s="468"/>
    </row>
    <row r="457" spans="1:6" ht="12.75" x14ac:dyDescent="0.2">
      <c r="A457" s="451"/>
      <c r="B457" s="451"/>
      <c r="C457" s="451"/>
      <c r="D457" s="451"/>
      <c r="E457" s="468"/>
      <c r="F457" s="468"/>
    </row>
    <row r="458" spans="1:6" ht="12.75" x14ac:dyDescent="0.2">
      <c r="A458" s="451"/>
      <c r="B458" s="451"/>
      <c r="C458" s="451"/>
      <c r="D458" s="451"/>
      <c r="E458" s="468"/>
      <c r="F458" s="468"/>
    </row>
    <row r="459" spans="1:6" ht="12.75" x14ac:dyDescent="0.2">
      <c r="A459" s="451"/>
      <c r="B459" s="451"/>
      <c r="C459" s="451"/>
      <c r="D459" s="451"/>
      <c r="E459" s="468"/>
      <c r="F459" s="468"/>
    </row>
    <row r="460" spans="1:6" ht="12.75" x14ac:dyDescent="0.2">
      <c r="A460" s="451"/>
      <c r="B460" s="451"/>
      <c r="C460" s="451"/>
      <c r="D460" s="451"/>
      <c r="E460" s="468"/>
      <c r="F460" s="468"/>
    </row>
    <row r="461" spans="1:6" ht="12.75" x14ac:dyDescent="0.2">
      <c r="A461" s="451"/>
      <c r="B461" s="451"/>
      <c r="C461" s="451"/>
      <c r="D461" s="451"/>
      <c r="E461" s="468"/>
      <c r="F461" s="468"/>
    </row>
    <row r="462" spans="1:6" ht="12.75" x14ac:dyDescent="0.2">
      <c r="A462" s="451"/>
      <c r="B462" s="451"/>
      <c r="C462" s="451"/>
      <c r="D462" s="451"/>
      <c r="E462" s="468"/>
      <c r="F462" s="468"/>
    </row>
    <row r="463" spans="1:6" ht="12.75" x14ac:dyDescent="0.2">
      <c r="A463" s="451"/>
      <c r="B463" s="451"/>
      <c r="C463" s="451"/>
      <c r="D463" s="451"/>
      <c r="E463" s="468"/>
      <c r="F463" s="468"/>
    </row>
    <row r="464" spans="1:6" ht="12.75" x14ac:dyDescent="0.2">
      <c r="A464" s="451"/>
      <c r="B464" s="451"/>
      <c r="C464" s="451"/>
      <c r="D464" s="451"/>
      <c r="E464" s="468"/>
      <c r="F464" s="468"/>
    </row>
    <row r="465" spans="1:6" ht="12.75" x14ac:dyDescent="0.2">
      <c r="A465" s="451"/>
      <c r="B465" s="451"/>
      <c r="C465" s="451"/>
      <c r="D465" s="451"/>
      <c r="E465" s="468"/>
      <c r="F465" s="468"/>
    </row>
    <row r="466" spans="1:6" ht="12.75" x14ac:dyDescent="0.2">
      <c r="A466" s="451"/>
      <c r="B466" s="451"/>
      <c r="C466" s="451"/>
      <c r="D466" s="451"/>
      <c r="E466" s="468"/>
      <c r="F466" s="468"/>
    </row>
    <row r="467" spans="1:6" ht="12.75" x14ac:dyDescent="0.2">
      <c r="A467" s="451"/>
      <c r="B467" s="451"/>
      <c r="C467" s="451"/>
      <c r="D467" s="451"/>
      <c r="E467" s="468"/>
      <c r="F467" s="468"/>
    </row>
    <row r="468" spans="1:6" ht="12.75" x14ac:dyDescent="0.2">
      <c r="A468" s="451"/>
      <c r="B468" s="451"/>
      <c r="C468" s="451"/>
      <c r="D468" s="451"/>
      <c r="E468" s="468"/>
      <c r="F468" s="468"/>
    </row>
    <row r="469" spans="1:6" ht="12.75" x14ac:dyDescent="0.2">
      <c r="A469" s="451"/>
      <c r="B469" s="451"/>
      <c r="C469" s="451"/>
      <c r="D469" s="451"/>
      <c r="E469" s="468"/>
      <c r="F469" s="468"/>
    </row>
    <row r="470" spans="1:6" ht="12.75" x14ac:dyDescent="0.2">
      <c r="A470" s="451"/>
      <c r="B470" s="451"/>
      <c r="C470" s="451"/>
      <c r="D470" s="451"/>
      <c r="E470" s="468"/>
      <c r="F470" s="468"/>
    </row>
    <row r="471" spans="1:6" ht="12.75" x14ac:dyDescent="0.2">
      <c r="A471" s="451"/>
      <c r="B471" s="451"/>
      <c r="C471" s="451"/>
      <c r="D471" s="451"/>
      <c r="E471" s="468"/>
      <c r="F471" s="468"/>
    </row>
    <row r="472" spans="1:6" ht="12.75" x14ac:dyDescent="0.2">
      <c r="A472" s="451"/>
      <c r="B472" s="451"/>
      <c r="C472" s="451"/>
      <c r="D472" s="451"/>
      <c r="E472" s="468"/>
      <c r="F472" s="468"/>
    </row>
    <row r="473" spans="1:6" ht="12.75" x14ac:dyDescent="0.2">
      <c r="A473" s="451"/>
      <c r="B473" s="451"/>
      <c r="C473" s="451"/>
      <c r="D473" s="451"/>
      <c r="E473" s="468"/>
      <c r="F473" s="468"/>
    </row>
    <row r="474" spans="1:6" ht="12.75" x14ac:dyDescent="0.2">
      <c r="A474" s="451"/>
      <c r="B474" s="451"/>
      <c r="C474" s="451"/>
      <c r="D474" s="451"/>
      <c r="E474" s="468"/>
      <c r="F474" s="468"/>
    </row>
    <row r="475" spans="1:6" ht="12.75" x14ac:dyDescent="0.2">
      <c r="A475" s="451"/>
      <c r="B475" s="451"/>
      <c r="C475" s="451"/>
      <c r="D475" s="451"/>
      <c r="E475" s="468"/>
      <c r="F475" s="468"/>
    </row>
    <row r="476" spans="1:6" ht="12.75" x14ac:dyDescent="0.2">
      <c r="A476" s="451"/>
      <c r="B476" s="451"/>
      <c r="C476" s="451"/>
      <c r="D476" s="451"/>
      <c r="E476" s="468"/>
      <c r="F476" s="468"/>
    </row>
    <row r="477" spans="1:6" ht="12.75" x14ac:dyDescent="0.2">
      <c r="A477" s="451"/>
      <c r="B477" s="451"/>
      <c r="C477" s="451"/>
      <c r="D477" s="451"/>
      <c r="E477" s="468"/>
      <c r="F477" s="468"/>
    </row>
    <row r="478" spans="1:6" ht="12.75" x14ac:dyDescent="0.2">
      <c r="A478" s="451"/>
      <c r="B478" s="451"/>
      <c r="C478" s="451"/>
      <c r="D478" s="451"/>
      <c r="E478" s="468"/>
      <c r="F478" s="468"/>
    </row>
    <row r="479" spans="1:6" ht="12.75" x14ac:dyDescent="0.2">
      <c r="A479" s="451"/>
      <c r="B479" s="451"/>
      <c r="C479" s="451"/>
      <c r="D479" s="451"/>
      <c r="E479" s="468"/>
      <c r="F479" s="468"/>
    </row>
    <row r="480" spans="1:6" ht="12.75" x14ac:dyDescent="0.2">
      <c r="A480" s="451"/>
      <c r="B480" s="451"/>
      <c r="C480" s="451"/>
      <c r="D480" s="451"/>
      <c r="E480" s="468"/>
      <c r="F480" s="468"/>
    </row>
    <row r="481" spans="1:6" ht="12.75" x14ac:dyDescent="0.2">
      <c r="A481" s="451"/>
      <c r="B481" s="451"/>
      <c r="C481" s="451"/>
      <c r="D481" s="451"/>
      <c r="E481" s="468"/>
      <c r="F481" s="468"/>
    </row>
    <row r="482" spans="1:6" ht="12.75" x14ac:dyDescent="0.2">
      <c r="A482" s="451"/>
      <c r="B482" s="451"/>
      <c r="C482" s="451"/>
      <c r="D482" s="451"/>
      <c r="E482" s="468"/>
      <c r="F482" s="468"/>
    </row>
    <row r="483" spans="1:6" ht="12.75" x14ac:dyDescent="0.2">
      <c r="A483" s="451"/>
      <c r="B483" s="451"/>
      <c r="C483" s="451"/>
      <c r="D483" s="451"/>
      <c r="E483" s="468"/>
      <c r="F483" s="468"/>
    </row>
    <row r="484" spans="1:6" ht="12.75" x14ac:dyDescent="0.2">
      <c r="A484" s="451"/>
      <c r="B484" s="451"/>
      <c r="C484" s="451"/>
      <c r="D484" s="451"/>
      <c r="E484" s="468"/>
      <c r="F484" s="468"/>
    </row>
    <row r="485" spans="1:6" ht="12.75" x14ac:dyDescent="0.2">
      <c r="A485" s="451"/>
      <c r="B485" s="451"/>
      <c r="C485" s="451"/>
      <c r="D485" s="451"/>
      <c r="E485" s="468"/>
      <c r="F485" s="468"/>
    </row>
    <row r="486" spans="1:6" ht="12.75" x14ac:dyDescent="0.2">
      <c r="A486" s="451"/>
      <c r="B486" s="451"/>
      <c r="C486" s="451"/>
      <c r="D486" s="451"/>
      <c r="E486" s="468"/>
      <c r="F486" s="468"/>
    </row>
    <row r="487" spans="1:6" ht="12.75" x14ac:dyDescent="0.2">
      <c r="A487" s="451"/>
      <c r="B487" s="451"/>
      <c r="C487" s="451"/>
      <c r="D487" s="451"/>
      <c r="E487" s="468"/>
      <c r="F487" s="468"/>
    </row>
    <row r="488" spans="1:6" ht="12.75" x14ac:dyDescent="0.2">
      <c r="A488" s="451"/>
      <c r="B488" s="451"/>
      <c r="C488" s="451"/>
      <c r="D488" s="451"/>
      <c r="E488" s="468"/>
      <c r="F488" s="468"/>
    </row>
    <row r="489" spans="1:6" ht="12.75" x14ac:dyDescent="0.2">
      <c r="A489" s="451"/>
      <c r="B489" s="451"/>
      <c r="C489" s="451"/>
      <c r="D489" s="451"/>
      <c r="E489" s="468"/>
      <c r="F489" s="468"/>
    </row>
    <row r="490" spans="1:6" ht="12.75" x14ac:dyDescent="0.2">
      <c r="A490" s="451"/>
      <c r="B490" s="451"/>
      <c r="C490" s="451"/>
      <c r="D490" s="451"/>
      <c r="E490" s="468"/>
      <c r="F490" s="468"/>
    </row>
    <row r="491" spans="1:6" ht="12.75" x14ac:dyDescent="0.2">
      <c r="A491" s="451"/>
      <c r="B491" s="451"/>
      <c r="C491" s="451"/>
      <c r="D491" s="451"/>
      <c r="E491" s="468"/>
      <c r="F491" s="468"/>
    </row>
    <row r="492" spans="1:6" ht="12.75" x14ac:dyDescent="0.2">
      <c r="A492" s="451"/>
      <c r="B492" s="451"/>
      <c r="C492" s="451"/>
      <c r="D492" s="451"/>
      <c r="E492" s="468"/>
      <c r="F492" s="468"/>
    </row>
    <row r="493" spans="1:6" ht="12.75" x14ac:dyDescent="0.2">
      <c r="A493" s="451"/>
      <c r="B493" s="451"/>
      <c r="C493" s="451"/>
      <c r="D493" s="451"/>
      <c r="E493" s="468"/>
      <c r="F493" s="468"/>
    </row>
    <row r="494" spans="1:6" ht="12.75" x14ac:dyDescent="0.2">
      <c r="A494" s="451"/>
      <c r="B494" s="451"/>
      <c r="C494" s="451"/>
      <c r="D494" s="451"/>
      <c r="E494" s="468"/>
      <c r="F494" s="468"/>
    </row>
    <row r="495" spans="1:6" ht="12.75" x14ac:dyDescent="0.2">
      <c r="A495" s="451"/>
      <c r="B495" s="451"/>
      <c r="C495" s="451"/>
      <c r="D495" s="451"/>
      <c r="E495" s="468"/>
      <c r="F495" s="468"/>
    </row>
    <row r="496" spans="1:6" ht="12.75" x14ac:dyDescent="0.2">
      <c r="A496" s="451"/>
      <c r="B496" s="451"/>
      <c r="C496" s="451"/>
      <c r="D496" s="451"/>
      <c r="E496" s="468"/>
      <c r="F496" s="468"/>
    </row>
    <row r="497" spans="1:6" ht="12.75" x14ac:dyDescent="0.2">
      <c r="A497" s="451"/>
      <c r="B497" s="451"/>
      <c r="C497" s="451"/>
      <c r="D497" s="451"/>
      <c r="E497" s="468"/>
      <c r="F497" s="468"/>
    </row>
    <row r="498" spans="1:6" ht="12.75" x14ac:dyDescent="0.2">
      <c r="A498" s="451"/>
      <c r="B498" s="451"/>
      <c r="C498" s="451"/>
      <c r="D498" s="451"/>
      <c r="E498" s="468"/>
      <c r="F498" s="468"/>
    </row>
    <row r="499" spans="1:6" ht="12.75" x14ac:dyDescent="0.2">
      <c r="A499" s="451"/>
      <c r="B499" s="451"/>
      <c r="C499" s="451"/>
      <c r="D499" s="451"/>
      <c r="E499" s="468"/>
      <c r="F499" s="468"/>
    </row>
    <row r="500" spans="1:6" ht="12.75" x14ac:dyDescent="0.2">
      <c r="A500" s="451"/>
      <c r="B500" s="451"/>
      <c r="C500" s="451"/>
      <c r="D500" s="451"/>
      <c r="E500" s="468"/>
      <c r="F500" s="468"/>
    </row>
    <row r="501" spans="1:6" ht="12.75" x14ac:dyDescent="0.2">
      <c r="A501" s="451"/>
      <c r="B501" s="451"/>
      <c r="C501" s="451"/>
      <c r="D501" s="451"/>
      <c r="E501" s="468"/>
      <c r="F501" s="468"/>
    </row>
    <row r="502" spans="1:6" ht="12.75" x14ac:dyDescent="0.2">
      <c r="A502" s="451"/>
      <c r="B502" s="451"/>
      <c r="C502" s="451"/>
      <c r="D502" s="451"/>
      <c r="E502" s="468"/>
      <c r="F502" s="468"/>
    </row>
    <row r="503" spans="1:6" ht="12.75" x14ac:dyDescent="0.2">
      <c r="A503" s="451"/>
      <c r="B503" s="451"/>
      <c r="C503" s="451"/>
      <c r="D503" s="451"/>
      <c r="E503" s="468"/>
      <c r="F503" s="468"/>
    </row>
    <row r="504" spans="1:6" ht="12.75" x14ac:dyDescent="0.2">
      <c r="A504" s="451"/>
      <c r="B504" s="451"/>
      <c r="C504" s="451"/>
      <c r="D504" s="451"/>
      <c r="E504" s="468"/>
      <c r="F504" s="468"/>
    </row>
    <row r="505" spans="1:6" ht="12.75" x14ac:dyDescent="0.2">
      <c r="A505" s="451"/>
      <c r="B505" s="451"/>
      <c r="C505" s="451"/>
      <c r="D505" s="451"/>
      <c r="E505" s="468"/>
      <c r="F505" s="468"/>
    </row>
    <row r="506" spans="1:6" ht="12.75" x14ac:dyDescent="0.2">
      <c r="A506" s="451"/>
      <c r="B506" s="451"/>
      <c r="C506" s="451"/>
      <c r="D506" s="451"/>
      <c r="E506" s="468"/>
      <c r="F506" s="468"/>
    </row>
    <row r="507" spans="1:6" ht="12.75" x14ac:dyDescent="0.2">
      <c r="A507" s="451"/>
      <c r="B507" s="451"/>
      <c r="C507" s="451"/>
      <c r="D507" s="451"/>
      <c r="E507" s="468"/>
      <c r="F507" s="468"/>
    </row>
    <row r="508" spans="1:6" ht="12.75" x14ac:dyDescent="0.2">
      <c r="A508" s="451"/>
      <c r="B508" s="451"/>
      <c r="C508" s="451"/>
      <c r="D508" s="451"/>
      <c r="E508" s="468"/>
      <c r="F508" s="468"/>
    </row>
    <row r="509" spans="1:6" ht="12.75" x14ac:dyDescent="0.2">
      <c r="A509" s="451"/>
      <c r="B509" s="451"/>
      <c r="C509" s="451"/>
      <c r="D509" s="451"/>
      <c r="E509" s="468"/>
      <c r="F509" s="468"/>
    </row>
    <row r="510" spans="1:6" ht="12.75" x14ac:dyDescent="0.2">
      <c r="A510" s="451"/>
      <c r="B510" s="451"/>
      <c r="C510" s="451"/>
      <c r="D510" s="451"/>
      <c r="E510" s="468"/>
      <c r="F510" s="468"/>
    </row>
    <row r="511" spans="1:6" ht="12.75" x14ac:dyDescent="0.2">
      <c r="A511" s="451"/>
      <c r="B511" s="451"/>
      <c r="C511" s="451"/>
      <c r="D511" s="451"/>
      <c r="E511" s="468"/>
      <c r="F511" s="468"/>
    </row>
    <row r="512" spans="1:6" ht="12.75" x14ac:dyDescent="0.2">
      <c r="A512" s="451"/>
      <c r="B512" s="451"/>
      <c r="C512" s="451"/>
      <c r="D512" s="451"/>
      <c r="E512" s="468"/>
      <c r="F512" s="468"/>
    </row>
    <row r="513" spans="1:6" ht="12.75" x14ac:dyDescent="0.2">
      <c r="A513" s="451"/>
      <c r="B513" s="451"/>
      <c r="C513" s="451"/>
      <c r="D513" s="451"/>
      <c r="E513" s="468"/>
      <c r="F513" s="468"/>
    </row>
    <row r="514" spans="1:6" ht="12.75" x14ac:dyDescent="0.2">
      <c r="A514" s="451"/>
      <c r="B514" s="451"/>
      <c r="C514" s="451"/>
      <c r="D514" s="451"/>
      <c r="E514" s="468"/>
      <c r="F514" s="468"/>
    </row>
    <row r="515" spans="1:6" ht="12.75" x14ac:dyDescent="0.2">
      <c r="A515" s="451"/>
      <c r="B515" s="451"/>
      <c r="C515" s="451"/>
      <c r="D515" s="451"/>
      <c r="E515" s="468"/>
      <c r="F515" s="468"/>
    </row>
    <row r="516" spans="1:6" ht="12.75" x14ac:dyDescent="0.2">
      <c r="A516" s="451"/>
      <c r="B516" s="451"/>
      <c r="C516" s="451"/>
      <c r="D516" s="451"/>
      <c r="E516" s="468"/>
      <c r="F516" s="468"/>
    </row>
    <row r="517" spans="1:6" ht="12.75" x14ac:dyDescent="0.2">
      <c r="A517" s="451"/>
      <c r="B517" s="451"/>
      <c r="C517" s="451"/>
      <c r="D517" s="451"/>
      <c r="E517" s="468"/>
      <c r="F517" s="468"/>
    </row>
    <row r="518" spans="1:6" ht="12.75" x14ac:dyDescent="0.2">
      <c r="A518" s="451"/>
      <c r="B518" s="451"/>
      <c r="C518" s="451"/>
      <c r="D518" s="451"/>
      <c r="E518" s="468"/>
      <c r="F518" s="468"/>
    </row>
    <row r="519" spans="1:6" ht="12.75" x14ac:dyDescent="0.2">
      <c r="A519" s="451"/>
      <c r="B519" s="451"/>
      <c r="C519" s="451"/>
      <c r="D519" s="451"/>
      <c r="E519" s="468"/>
      <c r="F519" s="468"/>
    </row>
    <row r="520" spans="1:6" ht="12.75" x14ac:dyDescent="0.2">
      <c r="A520" s="451"/>
      <c r="B520" s="451"/>
      <c r="C520" s="451"/>
      <c r="D520" s="451"/>
      <c r="E520" s="468"/>
      <c r="F520" s="468"/>
    </row>
    <row r="521" spans="1:6" ht="12.75" x14ac:dyDescent="0.2">
      <c r="A521" s="451"/>
      <c r="B521" s="451"/>
      <c r="C521" s="451"/>
      <c r="D521" s="451"/>
      <c r="E521" s="468"/>
      <c r="F521" s="468"/>
    </row>
    <row r="522" spans="1:6" ht="12.75" x14ac:dyDescent="0.2">
      <c r="A522" s="451"/>
      <c r="B522" s="451"/>
      <c r="C522" s="451"/>
      <c r="D522" s="451"/>
      <c r="E522" s="468"/>
      <c r="F522" s="468"/>
    </row>
    <row r="523" spans="1:6" ht="12.75" x14ac:dyDescent="0.2">
      <c r="A523" s="451"/>
      <c r="B523" s="451"/>
      <c r="C523" s="451"/>
      <c r="D523" s="451"/>
      <c r="E523" s="468"/>
      <c r="F523" s="468"/>
    </row>
    <row r="524" spans="1:6" ht="12.75" x14ac:dyDescent="0.2">
      <c r="A524" s="451"/>
      <c r="B524" s="451"/>
      <c r="C524" s="451"/>
      <c r="D524" s="451"/>
      <c r="E524" s="468"/>
      <c r="F524" s="468"/>
    </row>
    <row r="525" spans="1:6" ht="12.75" x14ac:dyDescent="0.2">
      <c r="A525" s="451"/>
      <c r="B525" s="451"/>
      <c r="C525" s="451"/>
      <c r="D525" s="451"/>
      <c r="E525" s="468"/>
      <c r="F525" s="468"/>
    </row>
    <row r="526" spans="1:6" ht="12.75" x14ac:dyDescent="0.2">
      <c r="A526" s="451"/>
      <c r="B526" s="451"/>
      <c r="C526" s="451"/>
      <c r="D526" s="451"/>
      <c r="E526" s="468"/>
      <c r="F526" s="468"/>
    </row>
    <row r="527" spans="1:6" ht="12.75" x14ac:dyDescent="0.2">
      <c r="A527" s="451"/>
      <c r="B527" s="451"/>
      <c r="C527" s="451"/>
      <c r="D527" s="451"/>
      <c r="E527" s="468"/>
      <c r="F527" s="468"/>
    </row>
    <row r="528" spans="1:6" ht="12.75" x14ac:dyDescent="0.2">
      <c r="A528" s="451"/>
      <c r="B528" s="451"/>
      <c r="C528" s="451"/>
      <c r="D528" s="451"/>
      <c r="E528" s="468"/>
      <c r="F528" s="468"/>
    </row>
    <row r="529" spans="1:6" ht="12.75" x14ac:dyDescent="0.2">
      <c r="A529" s="451"/>
      <c r="B529" s="451"/>
      <c r="C529" s="451"/>
      <c r="D529" s="451"/>
      <c r="E529" s="468"/>
      <c r="F529" s="468"/>
    </row>
    <row r="530" spans="1:6" ht="12.75" x14ac:dyDescent="0.2">
      <c r="A530" s="451"/>
      <c r="B530" s="451"/>
      <c r="C530" s="451"/>
      <c r="D530" s="451"/>
      <c r="E530" s="468"/>
      <c r="F530" s="468"/>
    </row>
    <row r="531" spans="1:6" ht="12.75" x14ac:dyDescent="0.2">
      <c r="A531" s="451"/>
      <c r="B531" s="451"/>
      <c r="C531" s="451"/>
      <c r="D531" s="451"/>
      <c r="E531" s="468"/>
      <c r="F531" s="468"/>
    </row>
    <row r="532" spans="1:6" ht="12.75" x14ac:dyDescent="0.2">
      <c r="A532" s="451"/>
      <c r="B532" s="451"/>
      <c r="C532" s="451"/>
      <c r="D532" s="451"/>
      <c r="E532" s="468"/>
      <c r="F532" s="468"/>
    </row>
    <row r="533" spans="1:6" ht="12.75" x14ac:dyDescent="0.2">
      <c r="A533" s="451"/>
      <c r="B533" s="451"/>
      <c r="C533" s="451"/>
      <c r="D533" s="451"/>
      <c r="E533" s="468"/>
      <c r="F533" s="468"/>
    </row>
    <row r="534" spans="1:6" ht="12.75" x14ac:dyDescent="0.2">
      <c r="A534" s="451"/>
      <c r="B534" s="451"/>
      <c r="C534" s="451"/>
      <c r="D534" s="451"/>
      <c r="E534" s="468"/>
      <c r="F534" s="468"/>
    </row>
    <row r="535" spans="1:6" ht="12.75" x14ac:dyDescent="0.2">
      <c r="A535" s="451"/>
      <c r="B535" s="451"/>
      <c r="C535" s="451"/>
      <c r="D535" s="451"/>
      <c r="E535" s="468"/>
      <c r="F535" s="468"/>
    </row>
    <row r="536" spans="1:6" ht="12.75" x14ac:dyDescent="0.2">
      <c r="A536" s="451"/>
      <c r="B536" s="451"/>
      <c r="C536" s="451"/>
      <c r="D536" s="451"/>
      <c r="E536" s="468"/>
      <c r="F536" s="468"/>
    </row>
    <row r="537" spans="1:6" ht="12.75" x14ac:dyDescent="0.2">
      <c r="A537" s="451"/>
      <c r="B537" s="451"/>
      <c r="C537" s="451"/>
      <c r="D537" s="451"/>
      <c r="E537" s="468"/>
      <c r="F537" s="468"/>
    </row>
    <row r="538" spans="1:6" ht="12.75" x14ac:dyDescent="0.2">
      <c r="A538" s="451"/>
      <c r="B538" s="451"/>
      <c r="C538" s="451"/>
      <c r="D538" s="451"/>
      <c r="E538" s="468"/>
      <c r="F538" s="468"/>
    </row>
    <row r="539" spans="1:6" ht="12.75" x14ac:dyDescent="0.2">
      <c r="A539" s="451"/>
      <c r="B539" s="451"/>
      <c r="C539" s="451"/>
      <c r="D539" s="451"/>
      <c r="E539" s="468"/>
      <c r="F539" s="468"/>
    </row>
    <row r="540" spans="1:6" ht="12.75" x14ac:dyDescent="0.2">
      <c r="A540" s="451"/>
      <c r="B540" s="451"/>
      <c r="C540" s="451"/>
      <c r="D540" s="451"/>
      <c r="E540" s="468"/>
      <c r="F540" s="468"/>
    </row>
    <row r="541" spans="1:6" ht="12.75" x14ac:dyDescent="0.2">
      <c r="A541" s="451"/>
      <c r="B541" s="451"/>
      <c r="C541" s="451"/>
      <c r="D541" s="451"/>
      <c r="E541" s="468"/>
      <c r="F541" s="468"/>
    </row>
    <row r="542" spans="1:6" ht="12.75" x14ac:dyDescent="0.2">
      <c r="A542" s="451"/>
      <c r="B542" s="451"/>
      <c r="C542" s="451"/>
      <c r="D542" s="451"/>
      <c r="E542" s="468"/>
      <c r="F542" s="468"/>
    </row>
    <row r="543" spans="1:6" ht="12.75" x14ac:dyDescent="0.2">
      <c r="A543" s="451"/>
      <c r="B543" s="451"/>
      <c r="C543" s="451"/>
      <c r="D543" s="451"/>
      <c r="E543" s="468"/>
      <c r="F543" s="468"/>
    </row>
    <row r="544" spans="1:6" ht="12.75" x14ac:dyDescent="0.2">
      <c r="A544" s="451"/>
      <c r="B544" s="451"/>
      <c r="C544" s="451"/>
      <c r="D544" s="451"/>
      <c r="E544" s="468"/>
      <c r="F544" s="468"/>
    </row>
    <row r="545" spans="1:6" ht="12.75" x14ac:dyDescent="0.2">
      <c r="A545" s="451"/>
      <c r="B545" s="451"/>
      <c r="C545" s="451"/>
      <c r="D545" s="451"/>
      <c r="E545" s="468"/>
      <c r="F545" s="468"/>
    </row>
    <row r="546" spans="1:6" ht="12.75" x14ac:dyDescent="0.2">
      <c r="A546" s="451"/>
      <c r="B546" s="451"/>
      <c r="C546" s="451"/>
      <c r="D546" s="451"/>
      <c r="E546" s="468"/>
      <c r="F546" s="468"/>
    </row>
    <row r="547" spans="1:6" ht="12.75" x14ac:dyDescent="0.2">
      <c r="A547" s="451"/>
      <c r="B547" s="451"/>
      <c r="C547" s="451"/>
      <c r="D547" s="451"/>
      <c r="E547" s="468"/>
      <c r="F547" s="468"/>
    </row>
    <row r="548" spans="1:6" ht="12.75" x14ac:dyDescent="0.2">
      <c r="A548" s="451"/>
      <c r="B548" s="451"/>
      <c r="C548" s="451"/>
      <c r="D548" s="451"/>
      <c r="E548" s="468"/>
      <c r="F548" s="468"/>
    </row>
    <row r="549" spans="1:6" ht="12.75" x14ac:dyDescent="0.2">
      <c r="A549" s="451"/>
      <c r="B549" s="451"/>
      <c r="C549" s="451"/>
      <c r="D549" s="451"/>
      <c r="E549" s="468"/>
      <c r="F549" s="468"/>
    </row>
    <row r="550" spans="1:6" ht="12.75" x14ac:dyDescent="0.2">
      <c r="A550" s="451"/>
      <c r="B550" s="451"/>
      <c r="C550" s="451"/>
      <c r="D550" s="451"/>
      <c r="E550" s="468"/>
      <c r="F550" s="468"/>
    </row>
    <row r="551" spans="1:6" ht="12.75" x14ac:dyDescent="0.2">
      <c r="A551" s="451"/>
      <c r="B551" s="451"/>
      <c r="C551" s="451"/>
      <c r="D551" s="451"/>
      <c r="E551" s="468"/>
      <c r="F551" s="468"/>
    </row>
    <row r="552" spans="1:6" ht="12.75" x14ac:dyDescent="0.2">
      <c r="A552" s="451"/>
      <c r="B552" s="451"/>
      <c r="C552" s="451"/>
      <c r="D552" s="451"/>
      <c r="E552" s="468"/>
      <c r="F552" s="468"/>
    </row>
    <row r="553" spans="1:6" ht="12.75" x14ac:dyDescent="0.2">
      <c r="A553" s="451"/>
      <c r="B553" s="451"/>
      <c r="C553" s="451"/>
      <c r="D553" s="451"/>
      <c r="E553" s="468"/>
      <c r="F553" s="468"/>
    </row>
    <row r="554" spans="1:6" ht="12.75" x14ac:dyDescent="0.2">
      <c r="A554" s="451"/>
      <c r="B554" s="451"/>
      <c r="C554" s="451"/>
      <c r="D554" s="451"/>
      <c r="E554" s="468"/>
      <c r="F554" s="468"/>
    </row>
    <row r="555" spans="1:6" ht="12.75" x14ac:dyDescent="0.2">
      <c r="A555" s="451"/>
      <c r="B555" s="451"/>
      <c r="C555" s="451"/>
      <c r="D555" s="451"/>
      <c r="E555" s="468"/>
      <c r="F555" s="468"/>
    </row>
    <row r="556" spans="1:6" ht="12.75" x14ac:dyDescent="0.2">
      <c r="A556" s="451"/>
      <c r="B556" s="451"/>
      <c r="C556" s="451"/>
      <c r="D556" s="451"/>
      <c r="E556" s="468"/>
      <c r="F556" s="468"/>
    </row>
    <row r="557" spans="1:6" ht="12.75" x14ac:dyDescent="0.2">
      <c r="A557" s="451"/>
      <c r="B557" s="451"/>
      <c r="C557" s="451"/>
      <c r="D557" s="451"/>
      <c r="E557" s="468"/>
      <c r="F557" s="468"/>
    </row>
    <row r="558" spans="1:6" ht="12.75" x14ac:dyDescent="0.2">
      <c r="A558" s="451"/>
      <c r="B558" s="451"/>
      <c r="C558" s="451"/>
      <c r="D558" s="451"/>
      <c r="E558" s="468"/>
      <c r="F558" s="468"/>
    </row>
    <row r="559" spans="1:6" ht="12.75" x14ac:dyDescent="0.2">
      <c r="A559" s="451"/>
      <c r="B559" s="451"/>
      <c r="C559" s="451"/>
      <c r="D559" s="451"/>
      <c r="E559" s="468"/>
      <c r="F559" s="468"/>
    </row>
    <row r="560" spans="1:6" ht="12.75" x14ac:dyDescent="0.2">
      <c r="A560" s="451"/>
      <c r="B560" s="451"/>
      <c r="C560" s="451"/>
      <c r="D560" s="451"/>
      <c r="E560" s="468"/>
      <c r="F560" s="468"/>
    </row>
    <row r="561" spans="1:6" ht="12.75" x14ac:dyDescent="0.2">
      <c r="A561" s="451"/>
      <c r="B561" s="451"/>
      <c r="C561" s="451"/>
      <c r="D561" s="451"/>
      <c r="E561" s="468"/>
      <c r="F561" s="468"/>
    </row>
    <row r="562" spans="1:6" ht="12.75" x14ac:dyDescent="0.2">
      <c r="A562" s="451"/>
      <c r="B562" s="451"/>
      <c r="C562" s="451"/>
      <c r="D562" s="451"/>
      <c r="E562" s="468"/>
      <c r="F562" s="468"/>
    </row>
    <row r="563" spans="1:6" ht="12.75" x14ac:dyDescent="0.2">
      <c r="A563" s="451"/>
      <c r="B563" s="451"/>
      <c r="C563" s="451"/>
      <c r="D563" s="451"/>
      <c r="E563" s="468"/>
      <c r="F563" s="468"/>
    </row>
    <row r="564" spans="1:6" ht="12.75" x14ac:dyDescent="0.2">
      <c r="A564" s="451"/>
      <c r="B564" s="451"/>
      <c r="C564" s="451"/>
      <c r="D564" s="451"/>
      <c r="E564" s="468"/>
      <c r="F564" s="468"/>
    </row>
    <row r="565" spans="1:6" ht="12.75" x14ac:dyDescent="0.2">
      <c r="A565" s="451"/>
      <c r="B565" s="451"/>
      <c r="C565" s="451"/>
      <c r="D565" s="451"/>
      <c r="E565" s="468"/>
      <c r="F565" s="468"/>
    </row>
    <row r="566" spans="1:6" ht="12.75" x14ac:dyDescent="0.2">
      <c r="A566" s="451"/>
      <c r="B566" s="451"/>
      <c r="C566" s="451"/>
      <c r="D566" s="451"/>
      <c r="E566" s="468"/>
      <c r="F566" s="468"/>
    </row>
    <row r="567" spans="1:6" ht="12.75" x14ac:dyDescent="0.2">
      <c r="A567" s="451"/>
      <c r="B567" s="451"/>
      <c r="C567" s="451"/>
      <c r="D567" s="451"/>
      <c r="E567" s="468"/>
      <c r="F567" s="468"/>
    </row>
    <row r="568" spans="1:6" ht="12.75" x14ac:dyDescent="0.2">
      <c r="A568" s="451"/>
      <c r="B568" s="451"/>
      <c r="C568" s="451"/>
      <c r="D568" s="451"/>
      <c r="E568" s="468"/>
      <c r="F568" s="468"/>
    </row>
    <row r="569" spans="1:6" ht="12.75" x14ac:dyDescent="0.2">
      <c r="A569" s="451"/>
      <c r="B569" s="451"/>
      <c r="C569" s="451"/>
      <c r="D569" s="451"/>
      <c r="E569" s="468"/>
      <c r="F569" s="468"/>
    </row>
    <row r="570" spans="1:6" ht="12.75" x14ac:dyDescent="0.2">
      <c r="A570" s="451"/>
      <c r="B570" s="451"/>
      <c r="C570" s="451"/>
      <c r="D570" s="451"/>
      <c r="E570" s="468"/>
      <c r="F570" s="468"/>
    </row>
    <row r="571" spans="1:6" ht="12.75" x14ac:dyDescent="0.2">
      <c r="A571" s="451"/>
      <c r="B571" s="451"/>
      <c r="C571" s="451"/>
      <c r="D571" s="451"/>
      <c r="E571" s="468"/>
      <c r="F571" s="468"/>
    </row>
    <row r="572" spans="1:6" ht="12.75" x14ac:dyDescent="0.2">
      <c r="A572" s="451"/>
      <c r="B572" s="451"/>
      <c r="C572" s="451"/>
      <c r="D572" s="451"/>
      <c r="E572" s="468"/>
      <c r="F572" s="468"/>
    </row>
    <row r="573" spans="1:6" ht="12.75" x14ac:dyDescent="0.2">
      <c r="A573" s="451"/>
      <c r="B573" s="451"/>
      <c r="C573" s="451"/>
      <c r="D573" s="451"/>
      <c r="E573" s="468"/>
      <c r="F573" s="468"/>
    </row>
    <row r="574" spans="1:6" ht="12.75" x14ac:dyDescent="0.2">
      <c r="A574" s="451"/>
      <c r="B574" s="451"/>
      <c r="C574" s="451"/>
      <c r="D574" s="451"/>
      <c r="E574" s="468"/>
      <c r="F574" s="468"/>
    </row>
    <row r="575" spans="1:6" ht="12.75" x14ac:dyDescent="0.2">
      <c r="A575" s="451"/>
      <c r="B575" s="451"/>
      <c r="C575" s="451"/>
      <c r="D575" s="451"/>
      <c r="E575" s="468"/>
      <c r="F575" s="468"/>
    </row>
    <row r="576" spans="1:6" ht="12.75" x14ac:dyDescent="0.2">
      <c r="A576" s="451"/>
      <c r="B576" s="451"/>
      <c r="C576" s="451"/>
      <c r="D576" s="451"/>
      <c r="E576" s="468"/>
      <c r="F576" s="468"/>
    </row>
    <row r="577" spans="1:6" ht="12.75" x14ac:dyDescent="0.2">
      <c r="A577" s="451"/>
      <c r="B577" s="451"/>
      <c r="C577" s="451"/>
      <c r="D577" s="451"/>
      <c r="E577" s="468"/>
      <c r="F577" s="468"/>
    </row>
    <row r="578" spans="1:6" ht="12.75" x14ac:dyDescent="0.2">
      <c r="A578" s="451"/>
      <c r="B578" s="451"/>
      <c r="C578" s="451"/>
      <c r="D578" s="451"/>
      <c r="E578" s="468"/>
      <c r="F578" s="468"/>
    </row>
    <row r="579" spans="1:6" ht="12.75" x14ac:dyDescent="0.2">
      <c r="A579" s="451"/>
      <c r="B579" s="451"/>
      <c r="C579" s="451"/>
      <c r="D579" s="451"/>
      <c r="E579" s="468"/>
      <c r="F579" s="468"/>
    </row>
    <row r="580" spans="1:6" ht="12.75" x14ac:dyDescent="0.2">
      <c r="A580" s="451"/>
      <c r="B580" s="451"/>
      <c r="C580" s="451"/>
      <c r="D580" s="451"/>
      <c r="E580" s="468"/>
      <c r="F580" s="468"/>
    </row>
    <row r="581" spans="1:6" ht="12.75" x14ac:dyDescent="0.2">
      <c r="A581" s="451"/>
      <c r="B581" s="451"/>
      <c r="C581" s="451"/>
      <c r="D581" s="451"/>
      <c r="E581" s="468"/>
      <c r="F581" s="468"/>
    </row>
    <row r="582" spans="1:6" ht="12.75" x14ac:dyDescent="0.2">
      <c r="A582" s="451"/>
      <c r="B582" s="451"/>
      <c r="C582" s="451"/>
      <c r="D582" s="451"/>
      <c r="E582" s="468"/>
      <c r="F582" s="468"/>
    </row>
    <row r="583" spans="1:6" ht="12.75" x14ac:dyDescent="0.2">
      <c r="A583" s="451"/>
      <c r="B583" s="451"/>
      <c r="C583" s="451"/>
      <c r="D583" s="451"/>
      <c r="E583" s="468"/>
      <c r="F583" s="468"/>
    </row>
    <row r="584" spans="1:6" ht="12.75" x14ac:dyDescent="0.2">
      <c r="A584" s="451"/>
      <c r="B584" s="451"/>
      <c r="C584" s="451"/>
      <c r="D584" s="451"/>
      <c r="E584" s="468"/>
      <c r="F584" s="468"/>
    </row>
    <row r="585" spans="1:6" ht="12.75" x14ac:dyDescent="0.2">
      <c r="A585" s="451"/>
      <c r="B585" s="451"/>
      <c r="C585" s="451"/>
      <c r="D585" s="451"/>
      <c r="E585" s="468"/>
      <c r="F585" s="468"/>
    </row>
    <row r="586" spans="1:6" ht="12.75" x14ac:dyDescent="0.2">
      <c r="A586" s="451"/>
      <c r="B586" s="451"/>
      <c r="C586" s="451"/>
      <c r="D586" s="451"/>
      <c r="E586" s="468"/>
      <c r="F586" s="468"/>
    </row>
    <row r="587" spans="1:6" ht="12.75" x14ac:dyDescent="0.2">
      <c r="A587" s="451"/>
      <c r="B587" s="451"/>
      <c r="C587" s="451"/>
      <c r="D587" s="451"/>
      <c r="E587" s="468"/>
      <c r="F587" s="468"/>
    </row>
    <row r="588" spans="1:6" ht="12.75" x14ac:dyDescent="0.2">
      <c r="A588" s="451"/>
      <c r="B588" s="451"/>
      <c r="C588" s="451"/>
      <c r="D588" s="451"/>
      <c r="E588" s="468"/>
      <c r="F588" s="468"/>
    </row>
    <row r="589" spans="1:6" ht="12.75" x14ac:dyDescent="0.2">
      <c r="A589" s="451"/>
      <c r="B589" s="451"/>
      <c r="C589" s="451"/>
      <c r="D589" s="451"/>
      <c r="E589" s="468"/>
      <c r="F589" s="468"/>
    </row>
    <row r="590" spans="1:6" ht="12.75" x14ac:dyDescent="0.2">
      <c r="A590" s="451"/>
      <c r="B590" s="451"/>
      <c r="C590" s="451"/>
      <c r="D590" s="451"/>
      <c r="E590" s="468"/>
      <c r="F590" s="468"/>
    </row>
    <row r="591" spans="1:6" ht="12.75" x14ac:dyDescent="0.2">
      <c r="A591" s="451"/>
      <c r="B591" s="451"/>
      <c r="C591" s="451"/>
      <c r="D591" s="451"/>
      <c r="E591" s="468"/>
      <c r="F591" s="468"/>
    </row>
    <row r="592" spans="1:6" ht="12.75" x14ac:dyDescent="0.2">
      <c r="A592" s="451"/>
      <c r="B592" s="451"/>
      <c r="C592" s="451"/>
      <c r="D592" s="451"/>
      <c r="E592" s="468"/>
      <c r="F592" s="468"/>
    </row>
    <row r="593" spans="1:6" ht="12.75" x14ac:dyDescent="0.2">
      <c r="A593" s="451"/>
      <c r="B593" s="451"/>
      <c r="C593" s="451"/>
      <c r="D593" s="451"/>
      <c r="E593" s="468"/>
      <c r="F593" s="468"/>
    </row>
    <row r="594" spans="1:6" ht="12.75" x14ac:dyDescent="0.2">
      <c r="A594" s="451"/>
      <c r="B594" s="451"/>
      <c r="C594" s="451"/>
      <c r="D594" s="451"/>
      <c r="E594" s="468"/>
      <c r="F594" s="468"/>
    </row>
    <row r="595" spans="1:6" ht="12.75" x14ac:dyDescent="0.2">
      <c r="A595" s="451"/>
      <c r="B595" s="451"/>
      <c r="C595" s="451"/>
      <c r="D595" s="451"/>
      <c r="E595" s="468"/>
      <c r="F595" s="468"/>
    </row>
    <row r="596" spans="1:6" ht="12.75" x14ac:dyDescent="0.2">
      <c r="A596" s="451"/>
      <c r="B596" s="451"/>
      <c r="C596" s="451"/>
      <c r="D596" s="451"/>
      <c r="E596" s="468"/>
      <c r="F596" s="468"/>
    </row>
    <row r="597" spans="1:6" ht="12.75" x14ac:dyDescent="0.2">
      <c r="A597" s="451"/>
      <c r="B597" s="451"/>
      <c r="C597" s="451"/>
      <c r="D597" s="451"/>
      <c r="E597" s="468"/>
      <c r="F597" s="468"/>
    </row>
    <row r="598" spans="1:6" ht="12.75" x14ac:dyDescent="0.2">
      <c r="A598" s="451"/>
      <c r="B598" s="451"/>
      <c r="C598" s="451"/>
      <c r="D598" s="451"/>
      <c r="E598" s="468"/>
      <c r="F598" s="468"/>
    </row>
    <row r="599" spans="1:6" ht="12.75" x14ac:dyDescent="0.2">
      <c r="A599" s="451"/>
      <c r="B599" s="451"/>
      <c r="C599" s="451"/>
      <c r="D599" s="451"/>
      <c r="E599" s="468"/>
      <c r="F599" s="468"/>
    </row>
    <row r="600" spans="1:6" ht="12.75" x14ac:dyDescent="0.2">
      <c r="A600" s="451"/>
      <c r="B600" s="451"/>
      <c r="C600" s="451"/>
      <c r="D600" s="451"/>
      <c r="E600" s="468"/>
      <c r="F600" s="468"/>
    </row>
    <row r="601" spans="1:6" ht="12.75" x14ac:dyDescent="0.2">
      <c r="A601" s="451"/>
      <c r="B601" s="451"/>
      <c r="C601" s="451"/>
      <c r="D601" s="451"/>
      <c r="E601" s="468"/>
      <c r="F601" s="468"/>
    </row>
    <row r="602" spans="1:6" ht="12.75" x14ac:dyDescent="0.2">
      <c r="A602" s="451"/>
      <c r="B602" s="451"/>
      <c r="C602" s="451"/>
      <c r="D602" s="451"/>
      <c r="E602" s="468"/>
      <c r="F602" s="468"/>
    </row>
    <row r="603" spans="1:6" ht="12.75" x14ac:dyDescent="0.2">
      <c r="A603" s="451"/>
      <c r="B603" s="451"/>
      <c r="C603" s="451"/>
      <c r="D603" s="451"/>
      <c r="E603" s="468"/>
      <c r="F603" s="468"/>
    </row>
    <row r="604" spans="1:6" ht="12.75" x14ac:dyDescent="0.2">
      <c r="A604" s="451"/>
      <c r="B604" s="451"/>
      <c r="C604" s="451"/>
      <c r="D604" s="451"/>
      <c r="E604" s="468"/>
      <c r="F604" s="468"/>
    </row>
    <row r="605" spans="1:6" ht="12.75" x14ac:dyDescent="0.2">
      <c r="A605" s="451"/>
      <c r="B605" s="451"/>
      <c r="C605" s="451"/>
      <c r="D605" s="451"/>
      <c r="E605" s="468"/>
      <c r="F605" s="468"/>
    </row>
    <row r="606" spans="1:6" ht="12.75" x14ac:dyDescent="0.2">
      <c r="A606" s="451"/>
      <c r="B606" s="451"/>
      <c r="C606" s="451"/>
      <c r="D606" s="451"/>
      <c r="E606" s="468"/>
      <c r="F606" s="468"/>
    </row>
    <row r="607" spans="1:6" ht="12.75" x14ac:dyDescent="0.2">
      <c r="A607" s="451"/>
      <c r="B607" s="451"/>
      <c r="C607" s="451"/>
      <c r="D607" s="451"/>
      <c r="E607" s="468"/>
      <c r="F607" s="468"/>
    </row>
    <row r="608" spans="1:6" ht="12.75" x14ac:dyDescent="0.2">
      <c r="A608" s="451"/>
      <c r="B608" s="451"/>
      <c r="C608" s="451"/>
      <c r="D608" s="451"/>
      <c r="E608" s="468"/>
      <c r="F608" s="468"/>
    </row>
    <row r="609" spans="1:6" ht="12.75" x14ac:dyDescent="0.2">
      <c r="A609" s="451"/>
      <c r="B609" s="451"/>
      <c r="C609" s="451"/>
      <c r="D609" s="451"/>
      <c r="E609" s="468"/>
      <c r="F609" s="468"/>
    </row>
    <row r="610" spans="1:6" ht="12.75" x14ac:dyDescent="0.2">
      <c r="A610" s="451"/>
      <c r="B610" s="451"/>
      <c r="C610" s="451"/>
      <c r="D610" s="451"/>
      <c r="E610" s="468"/>
      <c r="F610" s="468"/>
    </row>
    <row r="611" spans="1:6" ht="12.75" x14ac:dyDescent="0.2">
      <c r="A611" s="451"/>
      <c r="B611" s="451"/>
      <c r="C611" s="451"/>
      <c r="D611" s="451"/>
      <c r="E611" s="468"/>
      <c r="F611" s="468"/>
    </row>
    <row r="612" spans="1:6" ht="12.75" x14ac:dyDescent="0.2">
      <c r="A612" s="451"/>
      <c r="B612" s="451"/>
      <c r="C612" s="451"/>
      <c r="D612" s="451"/>
      <c r="E612" s="468"/>
      <c r="F612" s="468"/>
    </row>
    <row r="613" spans="1:6" ht="12.75" x14ac:dyDescent="0.2">
      <c r="A613" s="451"/>
      <c r="B613" s="451"/>
      <c r="C613" s="451"/>
      <c r="D613" s="451"/>
      <c r="E613" s="468"/>
      <c r="F613" s="468"/>
    </row>
    <row r="614" spans="1:6" ht="12.75" x14ac:dyDescent="0.2">
      <c r="A614" s="451"/>
      <c r="B614" s="451"/>
      <c r="C614" s="451"/>
      <c r="D614" s="451"/>
      <c r="E614" s="468"/>
      <c r="F614" s="468"/>
    </row>
    <row r="615" spans="1:6" ht="12.75" x14ac:dyDescent="0.2">
      <c r="A615" s="451"/>
      <c r="B615" s="451"/>
      <c r="C615" s="451"/>
      <c r="D615" s="451"/>
      <c r="E615" s="468"/>
      <c r="F615" s="468"/>
    </row>
    <row r="616" spans="1:6" ht="12.75" x14ac:dyDescent="0.2">
      <c r="A616" s="451"/>
      <c r="B616" s="451"/>
      <c r="C616" s="451"/>
      <c r="D616" s="451"/>
      <c r="E616" s="468"/>
      <c r="F616" s="468"/>
    </row>
    <row r="617" spans="1:6" ht="12.75" x14ac:dyDescent="0.2">
      <c r="A617" s="451"/>
      <c r="B617" s="451"/>
      <c r="C617" s="451"/>
      <c r="D617" s="451"/>
      <c r="E617" s="468"/>
      <c r="F617" s="468"/>
    </row>
    <row r="618" spans="1:6" ht="12.75" x14ac:dyDescent="0.2">
      <c r="A618" s="451"/>
      <c r="B618" s="451"/>
      <c r="C618" s="451"/>
      <c r="D618" s="451"/>
      <c r="E618" s="468"/>
      <c r="F618" s="468"/>
    </row>
    <row r="619" spans="1:6" ht="12.75" x14ac:dyDescent="0.2">
      <c r="A619" s="451"/>
      <c r="B619" s="451"/>
      <c r="C619" s="451"/>
      <c r="D619" s="451"/>
      <c r="E619" s="468"/>
      <c r="F619" s="468"/>
    </row>
    <row r="620" spans="1:6" ht="12.75" x14ac:dyDescent="0.2">
      <c r="A620" s="451"/>
      <c r="B620" s="451"/>
      <c r="C620" s="451"/>
      <c r="D620" s="451"/>
      <c r="E620" s="468"/>
      <c r="F620" s="468"/>
    </row>
    <row r="621" spans="1:6" ht="12.75" x14ac:dyDescent="0.2">
      <c r="A621" s="451"/>
      <c r="B621" s="451"/>
      <c r="C621" s="451"/>
      <c r="D621" s="451"/>
      <c r="E621" s="468"/>
      <c r="F621" s="468"/>
    </row>
    <row r="622" spans="1:6" ht="12.75" x14ac:dyDescent="0.2">
      <c r="A622" s="451"/>
      <c r="B622" s="451"/>
      <c r="C622" s="451"/>
      <c r="D622" s="451"/>
      <c r="E622" s="468"/>
      <c r="F622" s="468"/>
    </row>
    <row r="623" spans="1:6" ht="12.75" x14ac:dyDescent="0.2">
      <c r="A623" s="451"/>
      <c r="B623" s="451"/>
      <c r="C623" s="451"/>
      <c r="D623" s="451"/>
      <c r="E623" s="468"/>
      <c r="F623" s="468"/>
    </row>
    <row r="624" spans="1:6" ht="12.75" x14ac:dyDescent="0.2">
      <c r="A624" s="451"/>
      <c r="B624" s="451"/>
      <c r="C624" s="451"/>
      <c r="D624" s="451"/>
      <c r="E624" s="468"/>
      <c r="F624" s="468"/>
    </row>
    <row r="625" spans="1:6" ht="12.75" x14ac:dyDescent="0.2">
      <c r="A625" s="451"/>
      <c r="B625" s="451"/>
      <c r="C625" s="451"/>
      <c r="D625" s="451"/>
      <c r="E625" s="468"/>
      <c r="F625" s="468"/>
    </row>
    <row r="626" spans="1:6" ht="12.75" x14ac:dyDescent="0.2">
      <c r="A626" s="451"/>
      <c r="B626" s="451"/>
      <c r="C626" s="451"/>
      <c r="D626" s="451"/>
      <c r="E626" s="468"/>
      <c r="F626" s="468"/>
    </row>
    <row r="627" spans="1:6" ht="12.75" x14ac:dyDescent="0.2">
      <c r="A627" s="451"/>
      <c r="B627" s="451"/>
      <c r="C627" s="451"/>
      <c r="D627" s="451"/>
      <c r="E627" s="468"/>
      <c r="F627" s="468"/>
    </row>
    <row r="628" spans="1:6" ht="12.75" x14ac:dyDescent="0.2">
      <c r="A628" s="451"/>
      <c r="B628" s="451"/>
      <c r="C628" s="451"/>
      <c r="D628" s="451"/>
      <c r="E628" s="468"/>
      <c r="F628" s="468"/>
    </row>
    <row r="629" spans="1:6" ht="12.75" x14ac:dyDescent="0.2">
      <c r="A629" s="451"/>
      <c r="B629" s="451"/>
      <c r="C629" s="451"/>
      <c r="D629" s="451"/>
      <c r="E629" s="468"/>
      <c r="F629" s="468"/>
    </row>
    <row r="630" spans="1:6" ht="12.75" x14ac:dyDescent="0.2">
      <c r="A630" s="451"/>
      <c r="B630" s="451"/>
      <c r="C630" s="451"/>
      <c r="D630" s="451"/>
      <c r="E630" s="468"/>
      <c r="F630" s="468"/>
    </row>
    <row r="631" spans="1:6" ht="12.75" x14ac:dyDescent="0.2">
      <c r="A631" s="451"/>
      <c r="B631" s="451"/>
      <c r="C631" s="451"/>
      <c r="D631" s="451"/>
      <c r="E631" s="468"/>
      <c r="F631" s="468"/>
    </row>
    <row r="632" spans="1:6" ht="12.75" x14ac:dyDescent="0.2">
      <c r="A632" s="451"/>
      <c r="B632" s="451"/>
      <c r="C632" s="451"/>
      <c r="D632" s="451"/>
      <c r="E632" s="468"/>
      <c r="F632" s="468"/>
    </row>
    <row r="633" spans="1:6" ht="12.75" x14ac:dyDescent="0.2">
      <c r="A633" s="451"/>
      <c r="B633" s="451"/>
      <c r="C633" s="451"/>
      <c r="D633" s="451"/>
      <c r="E633" s="468"/>
      <c r="F633" s="468"/>
    </row>
    <row r="634" spans="1:6" ht="12.75" x14ac:dyDescent="0.2">
      <c r="A634" s="451"/>
      <c r="B634" s="451"/>
      <c r="C634" s="451"/>
      <c r="D634" s="451"/>
      <c r="E634" s="468"/>
      <c r="F634" s="468"/>
    </row>
    <row r="635" spans="1:6" ht="12.75" x14ac:dyDescent="0.2">
      <c r="A635" s="451"/>
      <c r="B635" s="451"/>
      <c r="C635" s="451"/>
      <c r="D635" s="451"/>
      <c r="E635" s="468"/>
      <c r="F635" s="468"/>
    </row>
    <row r="636" spans="1:6" ht="12.75" x14ac:dyDescent="0.2">
      <c r="A636" s="451"/>
      <c r="B636" s="451"/>
      <c r="C636" s="451"/>
      <c r="D636" s="451"/>
      <c r="E636" s="468"/>
      <c r="F636" s="468"/>
    </row>
    <row r="637" spans="1:6" ht="12.75" x14ac:dyDescent="0.2">
      <c r="A637" s="451"/>
      <c r="B637" s="451"/>
      <c r="C637" s="451"/>
      <c r="D637" s="451"/>
      <c r="E637" s="468"/>
      <c r="F637" s="468"/>
    </row>
    <row r="638" spans="1:6" ht="12.75" x14ac:dyDescent="0.2">
      <c r="A638" s="451"/>
      <c r="B638" s="451"/>
      <c r="C638" s="451"/>
      <c r="D638" s="451"/>
      <c r="E638" s="468"/>
      <c r="F638" s="468"/>
    </row>
    <row r="639" spans="1:6" ht="12.75" x14ac:dyDescent="0.2">
      <c r="A639" s="451"/>
      <c r="B639" s="451"/>
      <c r="C639" s="451"/>
      <c r="D639" s="451"/>
      <c r="E639" s="468"/>
      <c r="F639" s="468"/>
    </row>
    <row r="640" spans="1:6" ht="12.75" x14ac:dyDescent="0.2">
      <c r="A640" s="451"/>
      <c r="B640" s="451"/>
      <c r="C640" s="451"/>
      <c r="D640" s="451"/>
      <c r="E640" s="468"/>
      <c r="F640" s="468"/>
    </row>
    <row r="641" spans="1:6" ht="12.75" x14ac:dyDescent="0.2">
      <c r="A641" s="451"/>
      <c r="B641" s="451"/>
      <c r="C641" s="451"/>
      <c r="D641" s="451"/>
      <c r="E641" s="468"/>
      <c r="F641" s="468"/>
    </row>
    <row r="642" spans="1:6" ht="12.75" x14ac:dyDescent="0.2">
      <c r="A642" s="451"/>
      <c r="B642" s="451"/>
      <c r="C642" s="451"/>
      <c r="D642" s="451"/>
      <c r="E642" s="468"/>
      <c r="F642" s="468"/>
    </row>
    <row r="643" spans="1:6" ht="12.75" x14ac:dyDescent="0.2">
      <c r="A643" s="451"/>
      <c r="B643" s="451"/>
      <c r="C643" s="451"/>
      <c r="D643" s="451"/>
      <c r="E643" s="468"/>
      <c r="F643" s="468"/>
    </row>
    <row r="644" spans="1:6" ht="12.75" x14ac:dyDescent="0.2">
      <c r="A644" s="451"/>
      <c r="B644" s="451"/>
      <c r="C644" s="451"/>
      <c r="D644" s="451"/>
      <c r="E644" s="468"/>
      <c r="F644" s="468"/>
    </row>
    <row r="645" spans="1:6" ht="12.75" x14ac:dyDescent="0.2">
      <c r="A645" s="451"/>
      <c r="B645" s="451"/>
      <c r="C645" s="451"/>
      <c r="D645" s="451"/>
      <c r="E645" s="468"/>
      <c r="F645" s="468"/>
    </row>
    <row r="646" spans="1:6" ht="12.75" x14ac:dyDescent="0.2">
      <c r="A646" s="451"/>
      <c r="B646" s="451"/>
      <c r="C646" s="451"/>
      <c r="D646" s="451"/>
      <c r="E646" s="468"/>
      <c r="F646" s="468"/>
    </row>
    <row r="647" spans="1:6" ht="12.75" x14ac:dyDescent="0.2">
      <c r="A647" s="451"/>
      <c r="B647" s="451"/>
      <c r="C647" s="451"/>
      <c r="D647" s="451"/>
      <c r="E647" s="468"/>
      <c r="F647" s="468"/>
    </row>
    <row r="648" spans="1:6" ht="12.75" x14ac:dyDescent="0.2">
      <c r="A648" s="451"/>
      <c r="B648" s="451"/>
      <c r="C648" s="451"/>
      <c r="D648" s="451"/>
      <c r="E648" s="468"/>
      <c r="F648" s="468"/>
    </row>
    <row r="649" spans="1:6" ht="12.75" x14ac:dyDescent="0.2">
      <c r="A649" s="451"/>
      <c r="B649" s="451"/>
      <c r="C649" s="451"/>
      <c r="D649" s="451"/>
      <c r="E649" s="468"/>
      <c r="F649" s="468"/>
    </row>
    <row r="650" spans="1:6" ht="12.75" x14ac:dyDescent="0.2">
      <c r="A650" s="451"/>
      <c r="B650" s="451"/>
      <c r="C650" s="451"/>
      <c r="D650" s="451"/>
      <c r="E650" s="468"/>
      <c r="F650" s="468"/>
    </row>
    <row r="651" spans="1:6" ht="12.75" x14ac:dyDescent="0.2">
      <c r="A651" s="451"/>
      <c r="B651" s="451"/>
      <c r="C651" s="451"/>
      <c r="D651" s="451"/>
      <c r="E651" s="468"/>
      <c r="F651" s="468"/>
    </row>
    <row r="652" spans="1:6" ht="12.75" x14ac:dyDescent="0.2">
      <c r="A652" s="451"/>
      <c r="B652" s="451"/>
      <c r="C652" s="451"/>
      <c r="D652" s="451"/>
      <c r="E652" s="468"/>
      <c r="F652" s="468"/>
    </row>
    <row r="653" spans="1:6" ht="12.75" x14ac:dyDescent="0.2">
      <c r="A653" s="451"/>
      <c r="B653" s="451"/>
      <c r="C653" s="451"/>
      <c r="D653" s="451"/>
      <c r="E653" s="468"/>
      <c r="F653" s="468"/>
    </row>
    <row r="654" spans="1:6" ht="12.75" x14ac:dyDescent="0.2">
      <c r="A654" s="451"/>
      <c r="B654" s="451"/>
      <c r="C654" s="451"/>
      <c r="D654" s="451"/>
      <c r="E654" s="468"/>
      <c r="F654" s="468"/>
    </row>
    <row r="655" spans="1:6" ht="12.75" x14ac:dyDescent="0.2">
      <c r="A655" s="451"/>
      <c r="B655" s="451"/>
      <c r="C655" s="451"/>
      <c r="D655" s="451"/>
      <c r="E655" s="468"/>
      <c r="F655" s="468"/>
    </row>
    <row r="656" spans="1:6" ht="12.75" x14ac:dyDescent="0.2">
      <c r="A656" s="451"/>
      <c r="B656" s="451"/>
      <c r="C656" s="451"/>
      <c r="D656" s="451"/>
      <c r="E656" s="468"/>
      <c r="F656" s="468"/>
    </row>
    <row r="657" spans="1:6" ht="12.75" x14ac:dyDescent="0.2">
      <c r="A657" s="451"/>
      <c r="B657" s="451"/>
      <c r="C657" s="451"/>
      <c r="D657" s="451"/>
      <c r="E657" s="468"/>
      <c r="F657" s="468"/>
    </row>
    <row r="658" spans="1:6" ht="12.75" x14ac:dyDescent="0.2">
      <c r="A658" s="451"/>
      <c r="B658" s="451"/>
      <c r="C658" s="451"/>
      <c r="D658" s="451"/>
      <c r="E658" s="468"/>
      <c r="F658" s="468"/>
    </row>
    <row r="659" spans="1:6" ht="12.75" x14ac:dyDescent="0.2">
      <c r="A659" s="451"/>
      <c r="B659" s="451"/>
      <c r="C659" s="451"/>
      <c r="D659" s="451"/>
      <c r="E659" s="468"/>
      <c r="F659" s="468"/>
    </row>
    <row r="660" spans="1:6" ht="12.75" x14ac:dyDescent="0.2">
      <c r="A660" s="451"/>
      <c r="B660" s="451"/>
      <c r="C660" s="451"/>
      <c r="D660" s="451"/>
      <c r="E660" s="468"/>
      <c r="F660" s="468"/>
    </row>
    <row r="661" spans="1:6" ht="12.75" x14ac:dyDescent="0.2">
      <c r="A661" s="451"/>
      <c r="B661" s="451"/>
      <c r="C661" s="451"/>
      <c r="D661" s="451"/>
      <c r="E661" s="468"/>
      <c r="F661" s="468"/>
    </row>
    <row r="662" spans="1:6" ht="12.75" x14ac:dyDescent="0.2">
      <c r="A662" s="451"/>
      <c r="B662" s="451"/>
      <c r="C662" s="451"/>
      <c r="D662" s="451"/>
      <c r="E662" s="468"/>
      <c r="F662" s="468"/>
    </row>
    <row r="663" spans="1:6" ht="12.75" x14ac:dyDescent="0.2">
      <c r="A663" s="451"/>
      <c r="B663" s="451"/>
      <c r="C663" s="451"/>
      <c r="D663" s="451"/>
      <c r="E663" s="468"/>
      <c r="F663" s="468"/>
    </row>
    <row r="664" spans="1:6" ht="12.75" x14ac:dyDescent="0.2">
      <c r="A664" s="451"/>
      <c r="B664" s="451"/>
      <c r="C664" s="451"/>
      <c r="D664" s="451"/>
      <c r="E664" s="468"/>
      <c r="F664" s="468"/>
    </row>
    <row r="665" spans="1:6" ht="12.75" x14ac:dyDescent="0.2">
      <c r="A665" s="451"/>
      <c r="B665" s="451"/>
      <c r="C665" s="451"/>
      <c r="D665" s="451"/>
      <c r="E665" s="468"/>
      <c r="F665" s="468"/>
    </row>
    <row r="666" spans="1:6" ht="12.75" x14ac:dyDescent="0.2">
      <c r="A666" s="451"/>
      <c r="B666" s="451"/>
      <c r="C666" s="451"/>
      <c r="D666" s="451"/>
      <c r="E666" s="468"/>
      <c r="F666" s="468"/>
    </row>
    <row r="667" spans="1:6" ht="12.75" x14ac:dyDescent="0.2">
      <c r="A667" s="451"/>
      <c r="B667" s="451"/>
      <c r="C667" s="451"/>
      <c r="D667" s="451"/>
      <c r="E667" s="468"/>
      <c r="F667" s="468"/>
    </row>
    <row r="668" spans="1:6" ht="12.75" x14ac:dyDescent="0.2">
      <c r="A668" s="451"/>
      <c r="B668" s="451"/>
      <c r="C668" s="451"/>
      <c r="D668" s="451"/>
      <c r="E668" s="468"/>
      <c r="F668" s="468"/>
    </row>
    <row r="669" spans="1:6" ht="12.75" x14ac:dyDescent="0.2">
      <c r="A669" s="451"/>
      <c r="B669" s="451"/>
      <c r="C669" s="451"/>
      <c r="D669" s="451"/>
      <c r="E669" s="468"/>
      <c r="F669" s="468"/>
    </row>
    <row r="670" spans="1:6" ht="12.75" x14ac:dyDescent="0.2">
      <c r="A670" s="451"/>
      <c r="B670" s="451"/>
      <c r="C670" s="451"/>
      <c r="D670" s="451"/>
      <c r="E670" s="468"/>
      <c r="F670" s="468"/>
    </row>
    <row r="671" spans="1:6" ht="12.75" x14ac:dyDescent="0.2">
      <c r="A671" s="451"/>
      <c r="B671" s="451"/>
      <c r="C671" s="451"/>
      <c r="D671" s="451"/>
      <c r="E671" s="468"/>
      <c r="F671" s="468"/>
    </row>
    <row r="672" spans="1:6" ht="12.75" x14ac:dyDescent="0.2">
      <c r="A672" s="451"/>
      <c r="B672" s="451"/>
      <c r="C672" s="451"/>
      <c r="D672" s="451"/>
      <c r="E672" s="468"/>
      <c r="F672" s="468"/>
    </row>
    <row r="673" spans="1:6" ht="12.75" x14ac:dyDescent="0.2">
      <c r="A673" s="451"/>
      <c r="B673" s="451"/>
      <c r="C673" s="451"/>
      <c r="D673" s="451"/>
      <c r="E673" s="468"/>
      <c r="F673" s="468"/>
    </row>
    <row r="674" spans="1:6" ht="12.75" x14ac:dyDescent="0.2">
      <c r="A674" s="451"/>
      <c r="B674" s="451"/>
      <c r="C674" s="451"/>
      <c r="D674" s="451"/>
      <c r="E674" s="468"/>
      <c r="F674" s="468"/>
    </row>
    <row r="675" spans="1:6" ht="12.75" x14ac:dyDescent="0.2">
      <c r="A675" s="451"/>
      <c r="B675" s="451"/>
      <c r="C675" s="451"/>
      <c r="D675" s="451"/>
      <c r="E675" s="468"/>
      <c r="F675" s="468"/>
    </row>
    <row r="676" spans="1:6" ht="12.75" x14ac:dyDescent="0.2">
      <c r="A676" s="451"/>
      <c r="B676" s="451"/>
      <c r="C676" s="451"/>
      <c r="D676" s="451"/>
      <c r="E676" s="468"/>
      <c r="F676" s="468"/>
    </row>
    <row r="677" spans="1:6" ht="12.75" x14ac:dyDescent="0.2">
      <c r="A677" s="451"/>
      <c r="B677" s="451"/>
      <c r="C677" s="451"/>
      <c r="D677" s="451"/>
      <c r="E677" s="468"/>
      <c r="F677" s="468"/>
    </row>
    <row r="678" spans="1:6" ht="12.75" x14ac:dyDescent="0.2">
      <c r="A678" s="451"/>
      <c r="B678" s="451"/>
      <c r="C678" s="451"/>
      <c r="D678" s="451"/>
      <c r="E678" s="468"/>
      <c r="F678" s="468"/>
    </row>
    <row r="679" spans="1:6" ht="12.75" x14ac:dyDescent="0.2">
      <c r="A679" s="451"/>
      <c r="B679" s="451"/>
      <c r="C679" s="451"/>
      <c r="D679" s="451"/>
      <c r="E679" s="468"/>
      <c r="F679" s="468"/>
    </row>
    <row r="680" spans="1:6" ht="12.75" x14ac:dyDescent="0.2">
      <c r="A680" s="451"/>
      <c r="B680" s="451"/>
      <c r="C680" s="451"/>
      <c r="D680" s="451"/>
      <c r="E680" s="468"/>
      <c r="F680" s="468"/>
    </row>
    <row r="681" spans="1:6" ht="12.75" x14ac:dyDescent="0.2">
      <c r="A681" s="451"/>
      <c r="B681" s="451"/>
      <c r="C681" s="451"/>
      <c r="D681" s="451"/>
      <c r="E681" s="468"/>
      <c r="F681" s="468"/>
    </row>
    <row r="682" spans="1:6" ht="12.75" x14ac:dyDescent="0.2">
      <c r="A682" s="451"/>
      <c r="B682" s="451"/>
      <c r="C682" s="451"/>
      <c r="D682" s="451"/>
      <c r="E682" s="468"/>
      <c r="F682" s="468"/>
    </row>
    <row r="683" spans="1:6" ht="12.75" x14ac:dyDescent="0.2">
      <c r="A683" s="451"/>
      <c r="B683" s="451"/>
      <c r="C683" s="451"/>
      <c r="D683" s="451"/>
      <c r="E683" s="468"/>
      <c r="F683" s="468"/>
    </row>
    <row r="684" spans="1:6" ht="12.75" x14ac:dyDescent="0.2">
      <c r="A684" s="451"/>
      <c r="B684" s="451"/>
      <c r="C684" s="451"/>
      <c r="D684" s="451"/>
      <c r="E684" s="468"/>
      <c r="F684" s="468"/>
    </row>
    <row r="685" spans="1:6" ht="12.75" x14ac:dyDescent="0.2">
      <c r="A685" s="451"/>
      <c r="B685" s="451"/>
      <c r="C685" s="451"/>
      <c r="D685" s="451"/>
      <c r="E685" s="468"/>
      <c r="F685" s="468"/>
    </row>
    <row r="686" spans="1:6" ht="12.75" x14ac:dyDescent="0.2">
      <c r="A686" s="451"/>
      <c r="B686" s="451"/>
      <c r="C686" s="451"/>
      <c r="D686" s="451"/>
      <c r="E686" s="468"/>
      <c r="F686" s="468"/>
    </row>
    <row r="687" spans="1:6" ht="12.75" x14ac:dyDescent="0.2">
      <c r="A687" s="451"/>
      <c r="B687" s="451"/>
      <c r="C687" s="451"/>
      <c r="D687" s="451"/>
      <c r="E687" s="468"/>
      <c r="F687" s="468"/>
    </row>
    <row r="688" spans="1:6" ht="12.75" x14ac:dyDescent="0.2">
      <c r="A688" s="451"/>
      <c r="B688" s="451"/>
      <c r="C688" s="451"/>
      <c r="D688" s="451"/>
      <c r="E688" s="468"/>
      <c r="F688" s="468"/>
    </row>
    <row r="689" spans="1:6" ht="12.75" x14ac:dyDescent="0.2">
      <c r="A689" s="451"/>
      <c r="B689" s="451"/>
      <c r="C689" s="451"/>
      <c r="D689" s="451"/>
      <c r="E689" s="468"/>
      <c r="F689" s="468"/>
    </row>
    <row r="690" spans="1:6" ht="12.75" x14ac:dyDescent="0.2">
      <c r="A690" s="451"/>
      <c r="B690" s="451"/>
      <c r="C690" s="451"/>
      <c r="D690" s="451"/>
      <c r="E690" s="468"/>
      <c r="F690" s="468"/>
    </row>
    <row r="691" spans="1:6" ht="12.75" x14ac:dyDescent="0.2">
      <c r="A691" s="451"/>
      <c r="B691" s="451"/>
      <c r="C691" s="451"/>
      <c r="D691" s="451"/>
      <c r="E691" s="468"/>
      <c r="F691" s="468"/>
    </row>
    <row r="692" spans="1:6" ht="12.75" x14ac:dyDescent="0.2">
      <c r="A692" s="451"/>
      <c r="B692" s="451"/>
      <c r="C692" s="451"/>
      <c r="D692" s="451"/>
      <c r="E692" s="468"/>
      <c r="F692" s="468"/>
    </row>
    <row r="693" spans="1:6" ht="12.75" x14ac:dyDescent="0.2">
      <c r="A693" s="451"/>
      <c r="B693" s="451"/>
      <c r="C693" s="451"/>
      <c r="D693" s="451"/>
      <c r="E693" s="468"/>
      <c r="F693" s="468"/>
    </row>
    <row r="694" spans="1:6" ht="12.75" x14ac:dyDescent="0.2">
      <c r="A694" s="451"/>
      <c r="B694" s="451"/>
      <c r="C694" s="451"/>
      <c r="D694" s="451"/>
      <c r="E694" s="468"/>
      <c r="F694" s="468"/>
    </row>
    <row r="695" spans="1:6" ht="12.75" x14ac:dyDescent="0.2">
      <c r="A695" s="451"/>
      <c r="B695" s="451"/>
      <c r="C695" s="451"/>
      <c r="D695" s="451"/>
      <c r="E695" s="468"/>
      <c r="F695" s="468"/>
    </row>
    <row r="696" spans="1:6" ht="12.75" x14ac:dyDescent="0.2">
      <c r="A696" s="451"/>
      <c r="B696" s="451"/>
      <c r="C696" s="451"/>
      <c r="D696" s="451"/>
      <c r="E696" s="468"/>
      <c r="F696" s="468"/>
    </row>
    <row r="697" spans="1:6" ht="12.75" x14ac:dyDescent="0.2">
      <c r="A697" s="451"/>
      <c r="B697" s="451"/>
      <c r="C697" s="451"/>
      <c r="D697" s="451"/>
      <c r="E697" s="468"/>
      <c r="F697" s="468"/>
    </row>
    <row r="698" spans="1:6" ht="12.75" x14ac:dyDescent="0.2">
      <c r="A698" s="451"/>
      <c r="B698" s="451"/>
      <c r="C698" s="451"/>
      <c r="D698" s="451"/>
      <c r="E698" s="468"/>
      <c r="F698" s="468"/>
    </row>
    <row r="699" spans="1:6" ht="12.75" x14ac:dyDescent="0.2">
      <c r="A699" s="451"/>
      <c r="B699" s="451"/>
      <c r="C699" s="451"/>
      <c r="D699" s="451"/>
      <c r="E699" s="468"/>
      <c r="F699" s="468"/>
    </row>
    <row r="700" spans="1:6" ht="12.75" x14ac:dyDescent="0.2">
      <c r="A700" s="451"/>
      <c r="B700" s="451"/>
      <c r="C700" s="451"/>
      <c r="D700" s="451"/>
      <c r="E700" s="468"/>
      <c r="F700" s="468"/>
    </row>
    <row r="701" spans="1:6" ht="12.75" x14ac:dyDescent="0.2">
      <c r="A701" s="451"/>
      <c r="B701" s="451"/>
      <c r="C701" s="451"/>
      <c r="D701" s="451"/>
      <c r="E701" s="468"/>
      <c r="F701" s="468"/>
    </row>
    <row r="702" spans="1:6" ht="12.75" x14ac:dyDescent="0.2">
      <c r="A702" s="451"/>
      <c r="B702" s="451"/>
      <c r="C702" s="451"/>
      <c r="D702" s="451"/>
      <c r="E702" s="468"/>
      <c r="F702" s="468"/>
    </row>
    <row r="703" spans="1:6" ht="12.75" x14ac:dyDescent="0.2">
      <c r="A703" s="451"/>
      <c r="B703" s="451"/>
      <c r="C703" s="451"/>
      <c r="D703" s="451"/>
      <c r="E703" s="468"/>
      <c r="F703" s="468"/>
    </row>
    <row r="704" spans="1:6" ht="12.75" x14ac:dyDescent="0.2">
      <c r="A704" s="451"/>
      <c r="B704" s="451"/>
      <c r="C704" s="451"/>
      <c r="D704" s="451"/>
      <c r="E704" s="468"/>
      <c r="F704" s="468"/>
    </row>
    <row r="705" spans="1:6" ht="12.75" x14ac:dyDescent="0.2">
      <c r="A705" s="451"/>
      <c r="B705" s="451"/>
      <c r="C705" s="451"/>
      <c r="D705" s="451"/>
      <c r="E705" s="468"/>
      <c r="F705" s="468"/>
    </row>
    <row r="706" spans="1:6" ht="12.75" x14ac:dyDescent="0.2">
      <c r="A706" s="451"/>
      <c r="B706" s="451"/>
      <c r="C706" s="451"/>
      <c r="D706" s="451"/>
      <c r="E706" s="468"/>
      <c r="F706" s="468"/>
    </row>
    <row r="707" spans="1:6" ht="12.75" x14ac:dyDescent="0.2">
      <c r="A707" s="451"/>
      <c r="B707" s="451"/>
      <c r="C707" s="451"/>
      <c r="D707" s="451"/>
      <c r="E707" s="468"/>
      <c r="F707" s="468"/>
    </row>
    <row r="708" spans="1:6" ht="12.75" x14ac:dyDescent="0.2">
      <c r="A708" s="451"/>
      <c r="B708" s="451"/>
      <c r="C708" s="451"/>
      <c r="D708" s="451"/>
      <c r="E708" s="468"/>
      <c r="F708" s="468"/>
    </row>
    <row r="709" spans="1:6" ht="12.75" x14ac:dyDescent="0.2">
      <c r="A709" s="451"/>
      <c r="B709" s="451"/>
      <c r="C709" s="451"/>
      <c r="D709" s="451"/>
      <c r="E709" s="468"/>
      <c r="F709" s="468"/>
    </row>
    <row r="710" spans="1:6" ht="12.75" x14ac:dyDescent="0.2">
      <c r="A710" s="451"/>
      <c r="B710" s="451"/>
      <c r="C710" s="451"/>
      <c r="D710" s="451"/>
      <c r="E710" s="468"/>
      <c r="F710" s="468"/>
    </row>
    <row r="711" spans="1:6" ht="12.75" x14ac:dyDescent="0.2">
      <c r="A711" s="451"/>
      <c r="B711" s="451"/>
      <c r="C711" s="451"/>
      <c r="D711" s="451"/>
      <c r="E711" s="468"/>
      <c r="F711" s="468"/>
    </row>
    <row r="712" spans="1:6" ht="12.75" x14ac:dyDescent="0.2">
      <c r="A712" s="451"/>
      <c r="B712" s="451"/>
      <c r="C712" s="451"/>
      <c r="D712" s="451"/>
      <c r="E712" s="468"/>
      <c r="F712" s="468"/>
    </row>
    <row r="713" spans="1:6" ht="12.75" x14ac:dyDescent="0.2">
      <c r="A713" s="451"/>
      <c r="B713" s="451"/>
      <c r="C713" s="451"/>
      <c r="D713" s="451"/>
      <c r="E713" s="468"/>
      <c r="F713" s="468"/>
    </row>
    <row r="714" spans="1:6" ht="12.75" x14ac:dyDescent="0.2">
      <c r="A714" s="451"/>
      <c r="B714" s="451"/>
      <c r="C714" s="451"/>
      <c r="D714" s="451"/>
      <c r="E714" s="468"/>
      <c r="F714" s="468"/>
    </row>
    <row r="715" spans="1:6" ht="12.75" x14ac:dyDescent="0.2">
      <c r="A715" s="451"/>
      <c r="B715" s="451"/>
      <c r="C715" s="451"/>
      <c r="D715" s="451"/>
      <c r="E715" s="468"/>
      <c r="F715" s="468"/>
    </row>
    <row r="716" spans="1:6" ht="12.75" x14ac:dyDescent="0.2">
      <c r="A716" s="451"/>
      <c r="B716" s="451"/>
      <c r="C716" s="451"/>
      <c r="D716" s="451"/>
      <c r="E716" s="468"/>
      <c r="F716" s="468"/>
    </row>
    <row r="717" spans="1:6" ht="12.75" x14ac:dyDescent="0.2">
      <c r="A717" s="451"/>
      <c r="B717" s="451"/>
      <c r="C717" s="451"/>
      <c r="D717" s="451"/>
      <c r="E717" s="468"/>
      <c r="F717" s="468"/>
    </row>
    <row r="718" spans="1:6" ht="12.75" x14ac:dyDescent="0.2">
      <c r="A718" s="451"/>
      <c r="B718" s="451"/>
      <c r="C718" s="451"/>
      <c r="D718" s="451"/>
      <c r="E718" s="468"/>
      <c r="F718" s="468"/>
    </row>
    <row r="719" spans="1:6" ht="12.75" x14ac:dyDescent="0.2">
      <c r="A719" s="451"/>
      <c r="B719" s="451"/>
      <c r="C719" s="451"/>
      <c r="D719" s="451"/>
      <c r="E719" s="468"/>
      <c r="F719" s="468"/>
    </row>
    <row r="720" spans="1:6" ht="12.75" x14ac:dyDescent="0.2">
      <c r="A720" s="451"/>
      <c r="B720" s="451"/>
      <c r="C720" s="451"/>
      <c r="D720" s="451"/>
      <c r="E720" s="468"/>
      <c r="F720" s="468"/>
    </row>
    <row r="721" spans="1:6" ht="12.75" x14ac:dyDescent="0.2">
      <c r="A721" s="451"/>
      <c r="B721" s="451"/>
      <c r="C721" s="451"/>
      <c r="D721" s="451"/>
      <c r="E721" s="468"/>
      <c r="F721" s="468"/>
    </row>
    <row r="722" spans="1:6" ht="12.75" x14ac:dyDescent="0.2">
      <c r="A722" s="451"/>
      <c r="B722" s="451"/>
      <c r="C722" s="451"/>
      <c r="D722" s="451"/>
      <c r="E722" s="468"/>
      <c r="F722" s="468"/>
    </row>
    <row r="723" spans="1:6" ht="12.75" x14ac:dyDescent="0.2">
      <c r="A723" s="451"/>
      <c r="B723" s="451"/>
      <c r="C723" s="451"/>
      <c r="D723" s="451"/>
      <c r="E723" s="468"/>
      <c r="F723" s="468"/>
    </row>
    <row r="724" spans="1:6" ht="12.75" x14ac:dyDescent="0.2">
      <c r="A724" s="451"/>
      <c r="B724" s="451"/>
      <c r="C724" s="451"/>
      <c r="D724" s="451"/>
      <c r="E724" s="468"/>
      <c r="F724" s="468"/>
    </row>
    <row r="725" spans="1:6" ht="12.75" x14ac:dyDescent="0.2">
      <c r="A725" s="451"/>
      <c r="B725" s="451"/>
      <c r="C725" s="451"/>
      <c r="D725" s="451"/>
      <c r="E725" s="468"/>
      <c r="F725" s="468"/>
    </row>
    <row r="726" spans="1:6" ht="12.75" x14ac:dyDescent="0.2">
      <c r="A726" s="451"/>
      <c r="B726" s="451"/>
      <c r="C726" s="451"/>
      <c r="D726" s="451"/>
      <c r="E726" s="468"/>
      <c r="F726" s="468"/>
    </row>
    <row r="727" spans="1:6" ht="12.75" x14ac:dyDescent="0.2">
      <c r="A727" s="451"/>
      <c r="B727" s="451"/>
      <c r="C727" s="451"/>
      <c r="D727" s="451"/>
      <c r="E727" s="468"/>
      <c r="F727" s="468"/>
    </row>
    <row r="728" spans="1:6" ht="12.75" x14ac:dyDescent="0.2">
      <c r="A728" s="451"/>
      <c r="B728" s="451"/>
      <c r="C728" s="451"/>
      <c r="D728" s="451"/>
      <c r="E728" s="468"/>
      <c r="F728" s="468"/>
    </row>
    <row r="729" spans="1:6" ht="12.75" x14ac:dyDescent="0.2">
      <c r="A729" s="451"/>
      <c r="B729" s="451"/>
      <c r="C729" s="451"/>
      <c r="D729" s="451"/>
      <c r="E729" s="468"/>
      <c r="F729" s="468"/>
    </row>
    <row r="730" spans="1:6" ht="12.75" x14ac:dyDescent="0.2">
      <c r="A730" s="451"/>
      <c r="B730" s="451"/>
      <c r="C730" s="451"/>
      <c r="D730" s="451"/>
      <c r="E730" s="468"/>
      <c r="F730" s="468"/>
    </row>
    <row r="731" spans="1:6" ht="12.75" x14ac:dyDescent="0.2">
      <c r="A731" s="451"/>
      <c r="B731" s="451"/>
      <c r="C731" s="451"/>
      <c r="D731" s="451"/>
      <c r="E731" s="468"/>
      <c r="F731" s="468"/>
    </row>
    <row r="732" spans="1:6" ht="12.75" x14ac:dyDescent="0.2">
      <c r="A732" s="451"/>
      <c r="B732" s="451"/>
      <c r="C732" s="451"/>
      <c r="D732" s="451"/>
      <c r="E732" s="468"/>
      <c r="F732" s="468"/>
    </row>
    <row r="733" spans="1:6" ht="12.75" x14ac:dyDescent="0.2">
      <c r="A733" s="451"/>
      <c r="B733" s="451"/>
      <c r="C733" s="451"/>
      <c r="D733" s="451"/>
      <c r="E733" s="468"/>
      <c r="F733" s="468"/>
    </row>
    <row r="734" spans="1:6" ht="12.75" x14ac:dyDescent="0.2">
      <c r="A734" s="451"/>
      <c r="B734" s="451"/>
      <c r="C734" s="451"/>
      <c r="D734" s="451"/>
      <c r="E734" s="468"/>
      <c r="F734" s="468"/>
    </row>
    <row r="735" spans="1:6" ht="12.75" x14ac:dyDescent="0.2">
      <c r="A735" s="451"/>
      <c r="B735" s="451"/>
      <c r="C735" s="451"/>
      <c r="D735" s="451"/>
      <c r="E735" s="468"/>
      <c r="F735" s="468"/>
    </row>
    <row r="736" spans="1:6" ht="12.75" x14ac:dyDescent="0.2">
      <c r="A736" s="451"/>
      <c r="B736" s="451"/>
      <c r="C736" s="451"/>
      <c r="D736" s="451"/>
      <c r="E736" s="468"/>
      <c r="F736" s="468"/>
    </row>
    <row r="737" spans="1:6" ht="12.75" x14ac:dyDescent="0.2">
      <c r="A737" s="451"/>
      <c r="B737" s="451"/>
      <c r="C737" s="451"/>
      <c r="D737" s="451"/>
      <c r="E737" s="468"/>
      <c r="F737" s="468"/>
    </row>
    <row r="738" spans="1:6" ht="12.75" x14ac:dyDescent="0.2">
      <c r="A738" s="451"/>
      <c r="B738" s="451"/>
      <c r="C738" s="451"/>
      <c r="D738" s="451"/>
      <c r="E738" s="468"/>
      <c r="F738" s="468"/>
    </row>
    <row r="739" spans="1:6" ht="12.75" x14ac:dyDescent="0.2">
      <c r="A739" s="451"/>
      <c r="B739" s="451"/>
      <c r="C739" s="451"/>
      <c r="D739" s="451"/>
      <c r="E739" s="468"/>
      <c r="F739" s="468"/>
    </row>
    <row r="740" spans="1:6" ht="12.75" x14ac:dyDescent="0.2">
      <c r="A740" s="451"/>
      <c r="B740" s="451"/>
      <c r="C740" s="451"/>
      <c r="D740" s="451"/>
      <c r="E740" s="468"/>
      <c r="F740" s="468"/>
    </row>
    <row r="741" spans="1:6" ht="12.75" x14ac:dyDescent="0.2">
      <c r="A741" s="451"/>
      <c r="B741" s="451"/>
      <c r="C741" s="451"/>
      <c r="D741" s="451"/>
      <c r="E741" s="468"/>
      <c r="F741" s="468"/>
    </row>
    <row r="742" spans="1:6" ht="12.75" x14ac:dyDescent="0.2">
      <c r="A742" s="451"/>
      <c r="B742" s="451"/>
      <c r="C742" s="451"/>
      <c r="D742" s="451"/>
      <c r="E742" s="468"/>
      <c r="F742" s="468"/>
    </row>
    <row r="743" spans="1:6" ht="12.75" x14ac:dyDescent="0.2">
      <c r="A743" s="451"/>
      <c r="B743" s="451"/>
      <c r="C743" s="451"/>
      <c r="D743" s="451"/>
      <c r="E743" s="468"/>
      <c r="F743" s="468"/>
    </row>
    <row r="744" spans="1:6" ht="12.75" x14ac:dyDescent="0.2">
      <c r="A744" s="451"/>
      <c r="B744" s="451"/>
      <c r="C744" s="451"/>
      <c r="D744" s="451"/>
      <c r="E744" s="468"/>
      <c r="F744" s="468"/>
    </row>
    <row r="745" spans="1:6" ht="12.75" x14ac:dyDescent="0.2">
      <c r="A745" s="451"/>
      <c r="B745" s="451"/>
      <c r="C745" s="451"/>
      <c r="D745" s="451"/>
      <c r="E745" s="468"/>
      <c r="F745" s="468"/>
    </row>
    <row r="746" spans="1:6" ht="12.75" x14ac:dyDescent="0.2">
      <c r="A746" s="451"/>
      <c r="B746" s="451"/>
      <c r="C746" s="451"/>
      <c r="D746" s="451"/>
      <c r="E746" s="468"/>
      <c r="F746" s="468"/>
    </row>
    <row r="747" spans="1:6" ht="12.75" x14ac:dyDescent="0.2">
      <c r="A747" s="451"/>
      <c r="B747" s="451"/>
      <c r="C747" s="451"/>
      <c r="D747" s="451"/>
      <c r="E747" s="468"/>
      <c r="F747" s="468"/>
    </row>
    <row r="748" spans="1:6" ht="12.75" x14ac:dyDescent="0.2">
      <c r="A748" s="451"/>
      <c r="B748" s="451"/>
      <c r="C748" s="451"/>
      <c r="D748" s="451"/>
      <c r="E748" s="468"/>
      <c r="F748" s="468"/>
    </row>
    <row r="749" spans="1:6" ht="12.75" x14ac:dyDescent="0.2">
      <c r="A749" s="451"/>
      <c r="B749" s="451"/>
      <c r="C749" s="451"/>
      <c r="D749" s="451"/>
      <c r="E749" s="468"/>
      <c r="F749" s="468"/>
    </row>
    <row r="750" spans="1:6" ht="12.75" x14ac:dyDescent="0.2">
      <c r="A750" s="451"/>
      <c r="B750" s="451"/>
      <c r="C750" s="451"/>
      <c r="D750" s="451"/>
      <c r="E750" s="468"/>
      <c r="F750" s="468"/>
    </row>
    <row r="751" spans="1:6" ht="12.75" x14ac:dyDescent="0.2">
      <c r="A751" s="451"/>
      <c r="B751" s="451"/>
      <c r="C751" s="451"/>
      <c r="D751" s="451"/>
      <c r="E751" s="468"/>
      <c r="F751" s="468"/>
    </row>
    <row r="752" spans="1:6" ht="12.75" x14ac:dyDescent="0.2">
      <c r="A752" s="451"/>
      <c r="B752" s="451"/>
      <c r="C752" s="451"/>
      <c r="D752" s="451"/>
      <c r="E752" s="468"/>
      <c r="F752" s="468"/>
    </row>
    <row r="753" spans="1:6" ht="12.75" x14ac:dyDescent="0.2">
      <c r="A753" s="451"/>
      <c r="B753" s="451"/>
      <c r="C753" s="451"/>
      <c r="D753" s="451"/>
      <c r="E753" s="468"/>
      <c r="F753" s="468"/>
    </row>
    <row r="754" spans="1:6" ht="12.75" x14ac:dyDescent="0.2">
      <c r="A754" s="451"/>
      <c r="B754" s="451"/>
      <c r="C754" s="451"/>
      <c r="D754" s="451"/>
      <c r="E754" s="468"/>
      <c r="F754" s="468"/>
    </row>
    <row r="755" spans="1:6" ht="12.75" x14ac:dyDescent="0.2">
      <c r="A755" s="451"/>
      <c r="B755" s="451"/>
      <c r="C755" s="451"/>
      <c r="D755" s="451"/>
      <c r="E755" s="468"/>
      <c r="F755" s="468"/>
    </row>
    <row r="756" spans="1:6" ht="12.75" x14ac:dyDescent="0.2">
      <c r="A756" s="451"/>
      <c r="B756" s="451"/>
      <c r="C756" s="451"/>
      <c r="D756" s="451"/>
      <c r="E756" s="468"/>
      <c r="F756" s="468"/>
    </row>
    <row r="757" spans="1:6" ht="12.75" x14ac:dyDescent="0.2">
      <c r="A757" s="451"/>
      <c r="B757" s="451"/>
      <c r="C757" s="451"/>
      <c r="D757" s="451"/>
      <c r="E757" s="468"/>
      <c r="F757" s="468"/>
    </row>
    <row r="758" spans="1:6" ht="12.75" x14ac:dyDescent="0.2">
      <c r="A758" s="451"/>
      <c r="B758" s="451"/>
      <c r="C758" s="451"/>
      <c r="D758" s="451"/>
      <c r="E758" s="468"/>
      <c r="F758" s="468"/>
    </row>
    <row r="759" spans="1:6" ht="12.75" x14ac:dyDescent="0.2">
      <c r="A759" s="451"/>
      <c r="B759" s="451"/>
      <c r="C759" s="451"/>
      <c r="D759" s="451"/>
      <c r="E759" s="468"/>
      <c r="F759" s="468"/>
    </row>
    <row r="760" spans="1:6" ht="12.75" x14ac:dyDescent="0.2">
      <c r="A760" s="451"/>
      <c r="B760" s="451"/>
      <c r="C760" s="451"/>
      <c r="D760" s="451"/>
      <c r="E760" s="468"/>
      <c r="F760" s="468"/>
    </row>
    <row r="761" spans="1:6" ht="12.75" x14ac:dyDescent="0.2">
      <c r="A761" s="451"/>
      <c r="B761" s="451"/>
      <c r="C761" s="451"/>
      <c r="D761" s="451"/>
      <c r="E761" s="468"/>
      <c r="F761" s="468"/>
    </row>
    <row r="762" spans="1:6" ht="12.75" x14ac:dyDescent="0.2">
      <c r="A762" s="451"/>
      <c r="B762" s="451"/>
      <c r="C762" s="451"/>
      <c r="D762" s="451"/>
      <c r="E762" s="468"/>
      <c r="F762" s="468"/>
    </row>
    <row r="763" spans="1:6" ht="12.75" x14ac:dyDescent="0.2">
      <c r="A763" s="451"/>
      <c r="B763" s="451"/>
      <c r="C763" s="451"/>
      <c r="D763" s="451"/>
      <c r="E763" s="468"/>
      <c r="F763" s="468"/>
    </row>
    <row r="764" spans="1:6" ht="12.75" x14ac:dyDescent="0.2">
      <c r="A764" s="451"/>
      <c r="B764" s="451"/>
      <c r="C764" s="451"/>
      <c r="D764" s="451"/>
      <c r="E764" s="468"/>
      <c r="F764" s="468"/>
    </row>
    <row r="765" spans="1:6" ht="12.75" x14ac:dyDescent="0.2">
      <c r="A765" s="451"/>
      <c r="B765" s="451"/>
      <c r="C765" s="451"/>
      <c r="D765" s="451"/>
      <c r="E765" s="468"/>
      <c r="F765" s="468"/>
    </row>
    <row r="766" spans="1:6" ht="12.75" x14ac:dyDescent="0.2">
      <c r="A766" s="451"/>
      <c r="B766" s="451"/>
      <c r="C766" s="451"/>
      <c r="D766" s="451"/>
      <c r="E766" s="468"/>
      <c r="F766" s="468"/>
    </row>
    <row r="767" spans="1:6" ht="12.75" x14ac:dyDescent="0.2">
      <c r="A767" s="451"/>
      <c r="B767" s="451"/>
      <c r="C767" s="451"/>
      <c r="D767" s="451"/>
      <c r="E767" s="468"/>
      <c r="F767" s="468"/>
    </row>
    <row r="768" spans="1:6" ht="12.75" x14ac:dyDescent="0.2">
      <c r="A768" s="451"/>
      <c r="B768" s="451"/>
      <c r="C768" s="451"/>
      <c r="D768" s="451"/>
      <c r="E768" s="468"/>
      <c r="F768" s="468"/>
    </row>
    <row r="769" spans="1:6" ht="12.75" x14ac:dyDescent="0.2">
      <c r="A769" s="451"/>
      <c r="B769" s="451"/>
      <c r="C769" s="451"/>
      <c r="D769" s="451"/>
      <c r="E769" s="468"/>
      <c r="F769" s="468"/>
    </row>
    <row r="770" spans="1:6" ht="12.75" x14ac:dyDescent="0.2">
      <c r="A770" s="451"/>
      <c r="B770" s="451"/>
      <c r="C770" s="451"/>
      <c r="D770" s="451"/>
      <c r="E770" s="468"/>
      <c r="F770" s="468"/>
    </row>
    <row r="771" spans="1:6" ht="12.75" x14ac:dyDescent="0.2">
      <c r="A771" s="451"/>
      <c r="B771" s="451"/>
      <c r="C771" s="451"/>
      <c r="D771" s="451"/>
      <c r="E771" s="468"/>
      <c r="F771" s="468"/>
    </row>
    <row r="772" spans="1:6" ht="12.75" x14ac:dyDescent="0.2">
      <c r="A772" s="451"/>
      <c r="B772" s="451"/>
      <c r="C772" s="451"/>
      <c r="D772" s="451"/>
      <c r="E772" s="468"/>
      <c r="F772" s="468"/>
    </row>
    <row r="773" spans="1:6" ht="12.75" x14ac:dyDescent="0.2">
      <c r="A773" s="451"/>
      <c r="B773" s="451"/>
      <c r="C773" s="451"/>
      <c r="D773" s="451"/>
      <c r="E773" s="468"/>
      <c r="F773" s="468"/>
    </row>
    <row r="774" spans="1:6" ht="12.75" x14ac:dyDescent="0.2">
      <c r="A774" s="451"/>
      <c r="B774" s="451"/>
      <c r="C774" s="451"/>
      <c r="D774" s="451"/>
      <c r="E774" s="468"/>
      <c r="F774" s="468"/>
    </row>
    <row r="775" spans="1:6" ht="12.75" x14ac:dyDescent="0.2">
      <c r="A775" s="451"/>
      <c r="B775" s="451"/>
      <c r="C775" s="451"/>
      <c r="D775" s="451"/>
      <c r="E775" s="468"/>
      <c r="F775" s="468"/>
    </row>
    <row r="776" spans="1:6" ht="12.75" x14ac:dyDescent="0.2">
      <c r="A776" s="451"/>
      <c r="B776" s="451"/>
      <c r="C776" s="451"/>
      <c r="D776" s="451"/>
      <c r="E776" s="468"/>
      <c r="F776" s="468"/>
    </row>
    <row r="777" spans="1:6" ht="12.75" x14ac:dyDescent="0.2">
      <c r="A777" s="451"/>
      <c r="B777" s="451"/>
      <c r="C777" s="451"/>
      <c r="D777" s="451"/>
      <c r="E777" s="468"/>
      <c r="F777" s="468"/>
    </row>
    <row r="778" spans="1:6" ht="12.75" x14ac:dyDescent="0.2">
      <c r="A778" s="451"/>
      <c r="B778" s="451"/>
      <c r="C778" s="451"/>
      <c r="D778" s="451"/>
      <c r="E778" s="468"/>
      <c r="F778" s="468"/>
    </row>
    <row r="779" spans="1:6" ht="12.75" x14ac:dyDescent="0.2">
      <c r="A779" s="451"/>
      <c r="B779" s="451"/>
      <c r="C779" s="451"/>
      <c r="D779" s="451"/>
      <c r="E779" s="468"/>
      <c r="F779" s="468"/>
    </row>
    <row r="780" spans="1:6" ht="12.75" x14ac:dyDescent="0.2">
      <c r="A780" s="451"/>
      <c r="B780" s="451"/>
      <c r="C780" s="451"/>
      <c r="D780" s="451"/>
      <c r="E780" s="468"/>
      <c r="F780" s="468"/>
    </row>
    <row r="781" spans="1:6" ht="12.75" x14ac:dyDescent="0.2">
      <c r="A781" s="451"/>
      <c r="B781" s="451"/>
      <c r="C781" s="451"/>
      <c r="D781" s="451"/>
      <c r="E781" s="468"/>
      <c r="F781" s="468"/>
    </row>
    <row r="782" spans="1:6" ht="12.75" x14ac:dyDescent="0.2">
      <c r="A782" s="451"/>
      <c r="B782" s="451"/>
      <c r="C782" s="451"/>
      <c r="D782" s="451"/>
      <c r="E782" s="468"/>
      <c r="F782" s="468"/>
    </row>
    <row r="783" spans="1:6" ht="12.75" x14ac:dyDescent="0.2">
      <c r="A783" s="451"/>
      <c r="B783" s="451"/>
      <c r="C783" s="451"/>
      <c r="D783" s="451"/>
      <c r="E783" s="468"/>
      <c r="F783" s="468"/>
    </row>
    <row r="784" spans="1:6" ht="12.75" x14ac:dyDescent="0.2">
      <c r="A784" s="451"/>
      <c r="B784" s="451"/>
      <c r="C784" s="451"/>
      <c r="D784" s="451"/>
      <c r="E784" s="468"/>
      <c r="F784" s="468"/>
    </row>
    <row r="785" spans="1:6" ht="12.75" x14ac:dyDescent="0.2">
      <c r="A785" s="451"/>
      <c r="B785" s="451"/>
      <c r="C785" s="451"/>
      <c r="D785" s="451"/>
      <c r="E785" s="468"/>
      <c r="F785" s="468"/>
    </row>
    <row r="786" spans="1:6" ht="12.75" x14ac:dyDescent="0.2">
      <c r="A786" s="451"/>
      <c r="B786" s="451"/>
      <c r="C786" s="451"/>
      <c r="D786" s="451"/>
      <c r="E786" s="468"/>
      <c r="F786" s="468"/>
    </row>
    <row r="787" spans="1:6" ht="12.75" x14ac:dyDescent="0.2">
      <c r="A787" s="451"/>
      <c r="B787" s="451"/>
      <c r="C787" s="451"/>
      <c r="D787" s="451"/>
      <c r="E787" s="468"/>
      <c r="F787" s="468"/>
    </row>
    <row r="788" spans="1:6" ht="12.75" x14ac:dyDescent="0.2">
      <c r="A788" s="451"/>
      <c r="B788" s="451"/>
      <c r="C788" s="451"/>
      <c r="D788" s="451"/>
      <c r="E788" s="468"/>
      <c r="F788" s="468"/>
    </row>
    <row r="789" spans="1:6" ht="12.75" x14ac:dyDescent="0.2">
      <c r="A789" s="451"/>
      <c r="B789" s="451"/>
      <c r="C789" s="451"/>
      <c r="D789" s="451"/>
      <c r="E789" s="468"/>
      <c r="F789" s="468"/>
    </row>
    <row r="790" spans="1:6" ht="12.75" x14ac:dyDescent="0.2">
      <c r="A790" s="451"/>
      <c r="B790" s="451"/>
      <c r="C790" s="451"/>
      <c r="D790" s="451"/>
      <c r="E790" s="468"/>
      <c r="F790" s="468"/>
    </row>
    <row r="791" spans="1:6" ht="12.75" x14ac:dyDescent="0.2">
      <c r="A791" s="451"/>
      <c r="B791" s="451"/>
      <c r="C791" s="451"/>
      <c r="D791" s="451"/>
      <c r="E791" s="468"/>
      <c r="F791" s="468"/>
    </row>
    <row r="792" spans="1:6" ht="12.75" x14ac:dyDescent="0.2">
      <c r="A792" s="451"/>
      <c r="B792" s="451"/>
      <c r="C792" s="451"/>
      <c r="D792" s="451"/>
      <c r="E792" s="468"/>
      <c r="F792" s="468"/>
    </row>
    <row r="793" spans="1:6" ht="12.75" x14ac:dyDescent="0.2">
      <c r="A793" s="451"/>
      <c r="B793" s="451"/>
      <c r="C793" s="451"/>
      <c r="D793" s="451"/>
      <c r="E793" s="468"/>
      <c r="F793" s="468"/>
    </row>
    <row r="794" spans="1:6" ht="12.75" x14ac:dyDescent="0.2">
      <c r="A794" s="451"/>
      <c r="B794" s="451"/>
      <c r="C794" s="451"/>
      <c r="D794" s="451"/>
      <c r="E794" s="468"/>
      <c r="F794" s="468"/>
    </row>
    <row r="795" spans="1:6" ht="12.75" x14ac:dyDescent="0.2">
      <c r="A795" s="451"/>
      <c r="B795" s="451"/>
      <c r="C795" s="451"/>
      <c r="D795" s="451"/>
      <c r="E795" s="468"/>
      <c r="F795" s="468"/>
    </row>
    <row r="796" spans="1:6" ht="12.75" x14ac:dyDescent="0.2">
      <c r="A796" s="451"/>
      <c r="B796" s="451"/>
      <c r="C796" s="451"/>
      <c r="D796" s="451"/>
      <c r="E796" s="468"/>
      <c r="F796" s="468"/>
    </row>
    <row r="797" spans="1:6" ht="12.75" x14ac:dyDescent="0.2">
      <c r="A797" s="451"/>
      <c r="B797" s="451"/>
      <c r="C797" s="451"/>
      <c r="D797" s="451"/>
      <c r="E797" s="468"/>
      <c r="F797" s="468"/>
    </row>
    <row r="798" spans="1:6" ht="12.75" x14ac:dyDescent="0.2">
      <c r="A798" s="451"/>
      <c r="B798" s="451"/>
      <c r="C798" s="451"/>
      <c r="D798" s="451"/>
      <c r="E798" s="468"/>
      <c r="F798" s="468"/>
    </row>
    <row r="799" spans="1:6" ht="12.75" x14ac:dyDescent="0.2">
      <c r="A799" s="451"/>
      <c r="B799" s="451"/>
      <c r="C799" s="451"/>
      <c r="D799" s="451"/>
      <c r="E799" s="468"/>
      <c r="F799" s="468"/>
    </row>
    <row r="800" spans="1:6" ht="12.75" x14ac:dyDescent="0.2">
      <c r="A800" s="451"/>
      <c r="B800" s="451"/>
      <c r="C800" s="451"/>
      <c r="D800" s="451"/>
      <c r="E800" s="468"/>
      <c r="F800" s="468"/>
    </row>
    <row r="801" spans="1:6" ht="12.75" x14ac:dyDescent="0.2">
      <c r="A801" s="451"/>
      <c r="B801" s="451"/>
      <c r="C801" s="451"/>
      <c r="D801" s="451"/>
      <c r="E801" s="468"/>
      <c r="F801" s="468"/>
    </row>
    <row r="802" spans="1:6" ht="12.75" x14ac:dyDescent="0.2">
      <c r="A802" s="451"/>
      <c r="B802" s="451"/>
      <c r="C802" s="451"/>
      <c r="D802" s="451"/>
      <c r="E802" s="468"/>
      <c r="F802" s="468"/>
    </row>
    <row r="803" spans="1:6" ht="12.75" x14ac:dyDescent="0.2">
      <c r="A803" s="451"/>
      <c r="B803" s="451"/>
      <c r="C803" s="451"/>
      <c r="D803" s="451"/>
      <c r="E803" s="468"/>
      <c r="F803" s="468"/>
    </row>
    <row r="804" spans="1:6" ht="12.75" x14ac:dyDescent="0.2">
      <c r="A804" s="451"/>
      <c r="B804" s="451"/>
      <c r="C804" s="451"/>
      <c r="D804" s="451"/>
      <c r="E804" s="468"/>
      <c r="F804" s="468"/>
    </row>
    <row r="805" spans="1:6" ht="12.75" x14ac:dyDescent="0.2">
      <c r="A805" s="451"/>
      <c r="B805" s="451"/>
      <c r="C805" s="451"/>
      <c r="D805" s="451"/>
      <c r="E805" s="468"/>
      <c r="F805" s="468"/>
    </row>
    <row r="806" spans="1:6" ht="12.75" x14ac:dyDescent="0.2">
      <c r="A806" s="451"/>
      <c r="B806" s="451"/>
      <c r="C806" s="451"/>
      <c r="D806" s="451"/>
      <c r="E806" s="468"/>
      <c r="F806" s="468"/>
    </row>
    <row r="807" spans="1:6" ht="12.75" x14ac:dyDescent="0.2">
      <c r="A807" s="451"/>
      <c r="B807" s="451"/>
      <c r="C807" s="451"/>
      <c r="D807" s="451"/>
      <c r="E807" s="468"/>
      <c r="F807" s="468"/>
    </row>
    <row r="808" spans="1:6" ht="12.75" x14ac:dyDescent="0.2">
      <c r="A808" s="451"/>
      <c r="B808" s="451"/>
      <c r="C808" s="451"/>
      <c r="D808" s="451"/>
      <c r="E808" s="468"/>
      <c r="F808" s="468"/>
    </row>
    <row r="809" spans="1:6" ht="12.75" x14ac:dyDescent="0.2">
      <c r="A809" s="451"/>
      <c r="B809" s="451"/>
      <c r="C809" s="451"/>
      <c r="D809" s="451"/>
      <c r="E809" s="468"/>
      <c r="F809" s="468"/>
    </row>
    <row r="810" spans="1:6" ht="12.75" x14ac:dyDescent="0.2">
      <c r="A810" s="451"/>
      <c r="B810" s="451"/>
      <c r="C810" s="451"/>
      <c r="D810" s="451"/>
      <c r="E810" s="468"/>
      <c r="F810" s="468"/>
    </row>
    <row r="811" spans="1:6" ht="12.75" x14ac:dyDescent="0.2">
      <c r="A811" s="451"/>
      <c r="B811" s="451"/>
      <c r="C811" s="451"/>
      <c r="D811" s="451"/>
      <c r="E811" s="468"/>
      <c r="F811" s="468"/>
    </row>
    <row r="812" spans="1:6" ht="12.75" x14ac:dyDescent="0.2">
      <c r="A812" s="451"/>
      <c r="B812" s="451"/>
      <c r="C812" s="451"/>
      <c r="D812" s="451"/>
      <c r="E812" s="468"/>
      <c r="F812" s="468"/>
    </row>
    <row r="813" spans="1:6" ht="12.75" x14ac:dyDescent="0.2">
      <c r="A813" s="451"/>
      <c r="B813" s="451"/>
      <c r="C813" s="451"/>
      <c r="D813" s="451"/>
      <c r="E813" s="468"/>
      <c r="F813" s="468"/>
    </row>
    <row r="814" spans="1:6" ht="12.75" x14ac:dyDescent="0.2">
      <c r="A814" s="451"/>
      <c r="B814" s="451"/>
      <c r="C814" s="451"/>
      <c r="D814" s="451"/>
      <c r="E814" s="468"/>
      <c r="F814" s="468"/>
    </row>
    <row r="815" spans="1:6" ht="12.75" x14ac:dyDescent="0.2">
      <c r="A815" s="451"/>
      <c r="B815" s="451"/>
      <c r="C815" s="451"/>
      <c r="D815" s="451"/>
      <c r="E815" s="468"/>
      <c r="F815" s="468"/>
    </row>
    <row r="816" spans="1:6" ht="12.75" x14ac:dyDescent="0.2">
      <c r="A816" s="451"/>
      <c r="B816" s="451"/>
      <c r="C816" s="451"/>
      <c r="D816" s="451"/>
      <c r="E816" s="468"/>
      <c r="F816" s="468"/>
    </row>
    <row r="817" spans="1:6" ht="12.75" x14ac:dyDescent="0.2">
      <c r="A817" s="451"/>
      <c r="B817" s="451"/>
      <c r="C817" s="451"/>
      <c r="D817" s="451"/>
      <c r="E817" s="468"/>
      <c r="F817" s="468"/>
    </row>
    <row r="818" spans="1:6" ht="12.75" x14ac:dyDescent="0.2">
      <c r="A818" s="451"/>
      <c r="B818" s="451"/>
      <c r="C818" s="451"/>
      <c r="D818" s="451"/>
      <c r="E818" s="468"/>
      <c r="F818" s="468"/>
    </row>
    <row r="819" spans="1:6" ht="12.75" x14ac:dyDescent="0.2">
      <c r="A819" s="451"/>
      <c r="B819" s="451"/>
      <c r="C819" s="451"/>
      <c r="D819" s="451"/>
      <c r="E819" s="468"/>
      <c r="F819" s="468"/>
    </row>
    <row r="820" spans="1:6" ht="12.75" x14ac:dyDescent="0.2">
      <c r="A820" s="451"/>
      <c r="B820" s="451"/>
      <c r="C820" s="451"/>
      <c r="D820" s="451"/>
      <c r="E820" s="468"/>
      <c r="F820" s="468"/>
    </row>
    <row r="821" spans="1:6" ht="12.75" x14ac:dyDescent="0.2">
      <c r="A821" s="451"/>
      <c r="B821" s="451"/>
      <c r="C821" s="451"/>
      <c r="D821" s="451"/>
      <c r="E821" s="468"/>
      <c r="F821" s="468"/>
    </row>
    <row r="822" spans="1:6" ht="12.75" x14ac:dyDescent="0.2">
      <c r="A822" s="451"/>
      <c r="B822" s="451"/>
      <c r="C822" s="451"/>
      <c r="D822" s="451"/>
      <c r="E822" s="468"/>
      <c r="F822" s="468"/>
    </row>
    <row r="823" spans="1:6" ht="12.75" x14ac:dyDescent="0.2">
      <c r="A823" s="451"/>
      <c r="B823" s="451"/>
      <c r="C823" s="451"/>
      <c r="D823" s="451"/>
      <c r="E823" s="468"/>
      <c r="F823" s="468"/>
    </row>
    <row r="824" spans="1:6" ht="12.75" x14ac:dyDescent="0.2">
      <c r="A824" s="451"/>
      <c r="B824" s="451"/>
      <c r="C824" s="451"/>
      <c r="D824" s="451"/>
      <c r="E824" s="468"/>
      <c r="F824" s="468"/>
    </row>
    <row r="825" spans="1:6" ht="12.75" x14ac:dyDescent="0.2">
      <c r="A825" s="451"/>
      <c r="B825" s="451"/>
      <c r="C825" s="451"/>
      <c r="D825" s="451"/>
      <c r="E825" s="468"/>
      <c r="F825" s="468"/>
    </row>
    <row r="826" spans="1:6" ht="12.75" x14ac:dyDescent="0.2">
      <c r="A826" s="451"/>
      <c r="B826" s="451"/>
      <c r="C826" s="451"/>
      <c r="D826" s="451"/>
      <c r="E826" s="468"/>
      <c r="F826" s="468"/>
    </row>
    <row r="827" spans="1:6" ht="12.75" x14ac:dyDescent="0.2">
      <c r="A827" s="451"/>
      <c r="B827" s="451"/>
      <c r="C827" s="451"/>
      <c r="D827" s="451"/>
      <c r="E827" s="468"/>
      <c r="F827" s="468"/>
    </row>
    <row r="828" spans="1:6" ht="12.75" x14ac:dyDescent="0.2">
      <c r="A828" s="451"/>
      <c r="B828" s="451"/>
      <c r="C828" s="451"/>
      <c r="D828" s="451"/>
      <c r="E828" s="468"/>
      <c r="F828" s="468"/>
    </row>
    <row r="829" spans="1:6" ht="12.75" x14ac:dyDescent="0.2">
      <c r="A829" s="451"/>
      <c r="B829" s="451"/>
      <c r="C829" s="451"/>
      <c r="D829" s="451"/>
      <c r="E829" s="468"/>
      <c r="F829" s="468"/>
    </row>
    <row r="830" spans="1:6" ht="12.75" x14ac:dyDescent="0.2">
      <c r="A830" s="451"/>
      <c r="B830" s="451"/>
      <c r="C830" s="451"/>
      <c r="D830" s="451"/>
      <c r="E830" s="468"/>
      <c r="F830" s="468"/>
    </row>
    <row r="831" spans="1:6" ht="12.75" x14ac:dyDescent="0.2">
      <c r="A831" s="451"/>
      <c r="B831" s="451"/>
      <c r="C831" s="451"/>
      <c r="D831" s="451"/>
      <c r="E831" s="468"/>
      <c r="F831" s="468"/>
    </row>
    <row r="832" spans="1:6" ht="12.75" x14ac:dyDescent="0.2">
      <c r="A832" s="451"/>
      <c r="B832" s="451"/>
      <c r="C832" s="451"/>
      <c r="D832" s="451"/>
      <c r="E832" s="468"/>
      <c r="F832" s="468"/>
    </row>
    <row r="833" spans="1:6" ht="12.75" x14ac:dyDescent="0.2">
      <c r="A833" s="451"/>
      <c r="B833" s="451"/>
      <c r="C833" s="451"/>
      <c r="D833" s="451"/>
      <c r="E833" s="468"/>
      <c r="F833" s="468"/>
    </row>
    <row r="834" spans="1:6" ht="12.75" x14ac:dyDescent="0.2">
      <c r="A834" s="451"/>
      <c r="B834" s="451"/>
      <c r="C834" s="451"/>
      <c r="D834" s="451"/>
      <c r="E834" s="468"/>
      <c r="F834" s="468"/>
    </row>
    <row r="835" spans="1:6" ht="12.75" x14ac:dyDescent="0.2">
      <c r="A835" s="451"/>
      <c r="B835" s="451"/>
      <c r="C835" s="451"/>
      <c r="D835" s="451"/>
      <c r="E835" s="468"/>
      <c r="F835" s="468"/>
    </row>
    <row r="836" spans="1:6" ht="12.75" x14ac:dyDescent="0.2">
      <c r="A836" s="451"/>
      <c r="B836" s="451"/>
      <c r="C836" s="451"/>
      <c r="D836" s="451"/>
      <c r="E836" s="468"/>
      <c r="F836" s="468"/>
    </row>
    <row r="837" spans="1:6" ht="12.75" x14ac:dyDescent="0.2">
      <c r="A837" s="451"/>
      <c r="B837" s="451"/>
      <c r="C837" s="451"/>
      <c r="D837" s="451"/>
      <c r="E837" s="468"/>
      <c r="F837" s="468"/>
    </row>
    <row r="838" spans="1:6" ht="12.75" x14ac:dyDescent="0.2">
      <c r="A838" s="451"/>
      <c r="B838" s="451"/>
      <c r="C838" s="451"/>
      <c r="D838" s="451"/>
      <c r="E838" s="468"/>
      <c r="F838" s="468"/>
    </row>
    <row r="839" spans="1:6" ht="12.75" x14ac:dyDescent="0.2">
      <c r="A839" s="451"/>
      <c r="B839" s="451"/>
      <c r="C839" s="451"/>
      <c r="D839" s="451"/>
      <c r="E839" s="468"/>
      <c r="F839" s="468"/>
    </row>
    <row r="840" spans="1:6" ht="12.75" x14ac:dyDescent="0.2">
      <c r="A840" s="451"/>
      <c r="B840" s="451"/>
      <c r="C840" s="451"/>
      <c r="D840" s="451"/>
      <c r="E840" s="468"/>
      <c r="F840" s="468"/>
    </row>
    <row r="841" spans="1:6" ht="12.75" x14ac:dyDescent="0.2">
      <c r="A841" s="451"/>
      <c r="B841" s="451"/>
      <c r="C841" s="451"/>
      <c r="D841" s="451"/>
      <c r="E841" s="468"/>
      <c r="F841" s="468"/>
    </row>
    <row r="842" spans="1:6" ht="12.75" x14ac:dyDescent="0.2">
      <c r="A842" s="451"/>
      <c r="B842" s="451"/>
      <c r="C842" s="451"/>
      <c r="D842" s="451"/>
      <c r="E842" s="468"/>
      <c r="F842" s="468"/>
    </row>
    <row r="843" spans="1:6" ht="12.75" x14ac:dyDescent="0.2">
      <c r="A843" s="451"/>
      <c r="B843" s="451"/>
      <c r="C843" s="451"/>
      <c r="D843" s="451"/>
      <c r="E843" s="468"/>
      <c r="F843" s="468"/>
    </row>
    <row r="844" spans="1:6" ht="12.75" x14ac:dyDescent="0.2">
      <c r="A844" s="451"/>
      <c r="B844" s="451"/>
      <c r="C844" s="451"/>
      <c r="D844" s="451"/>
      <c r="E844" s="468"/>
      <c r="F844" s="468"/>
    </row>
    <row r="845" spans="1:6" ht="12.75" x14ac:dyDescent="0.2">
      <c r="A845" s="451"/>
      <c r="B845" s="451"/>
      <c r="C845" s="451"/>
      <c r="D845" s="451"/>
      <c r="E845" s="468"/>
      <c r="F845" s="468"/>
    </row>
    <row r="846" spans="1:6" ht="12.75" x14ac:dyDescent="0.2">
      <c r="A846" s="451"/>
      <c r="B846" s="451"/>
      <c r="C846" s="451"/>
      <c r="D846" s="451"/>
      <c r="E846" s="468"/>
      <c r="F846" s="468"/>
    </row>
    <row r="847" spans="1:6" ht="12.75" x14ac:dyDescent="0.2">
      <c r="A847" s="451"/>
      <c r="B847" s="451"/>
      <c r="C847" s="451"/>
      <c r="D847" s="451"/>
      <c r="E847" s="468"/>
      <c r="F847" s="468"/>
    </row>
    <row r="848" spans="1:6" ht="12.75" x14ac:dyDescent="0.2">
      <c r="A848" s="451"/>
      <c r="B848" s="451"/>
      <c r="C848" s="451"/>
      <c r="D848" s="451"/>
      <c r="E848" s="468"/>
      <c r="F848" s="468"/>
    </row>
    <row r="849" spans="1:6" ht="12.75" x14ac:dyDescent="0.2">
      <c r="A849" s="451"/>
      <c r="B849" s="451"/>
      <c r="C849" s="451"/>
      <c r="D849" s="451"/>
      <c r="E849" s="468"/>
      <c r="F849" s="468"/>
    </row>
    <row r="850" spans="1:6" ht="12.75" x14ac:dyDescent="0.2">
      <c r="A850" s="451"/>
      <c r="B850" s="451"/>
      <c r="C850" s="451"/>
      <c r="D850" s="451"/>
      <c r="E850" s="468"/>
      <c r="F850" s="468"/>
    </row>
    <row r="851" spans="1:6" ht="12.75" x14ac:dyDescent="0.2">
      <c r="A851" s="451"/>
      <c r="B851" s="451"/>
      <c r="C851" s="451"/>
      <c r="D851" s="451"/>
      <c r="E851" s="468"/>
      <c r="F851" s="468"/>
    </row>
    <row r="852" spans="1:6" ht="12.75" x14ac:dyDescent="0.2">
      <c r="A852" s="451"/>
      <c r="B852" s="451"/>
      <c r="C852" s="451"/>
      <c r="D852" s="451"/>
      <c r="E852" s="468"/>
      <c r="F852" s="468"/>
    </row>
    <row r="853" spans="1:6" ht="12.75" x14ac:dyDescent="0.2">
      <c r="A853" s="451"/>
      <c r="B853" s="451"/>
      <c r="C853" s="451"/>
      <c r="D853" s="451"/>
      <c r="E853" s="468"/>
      <c r="F853" s="468"/>
    </row>
    <row r="854" spans="1:6" ht="12.75" x14ac:dyDescent="0.2">
      <c r="A854" s="451"/>
      <c r="B854" s="451"/>
      <c r="C854" s="451"/>
      <c r="D854" s="451"/>
      <c r="E854" s="468"/>
      <c r="F854" s="468"/>
    </row>
    <row r="855" spans="1:6" ht="12.75" x14ac:dyDescent="0.2">
      <c r="A855" s="451"/>
      <c r="B855" s="451"/>
      <c r="C855" s="451"/>
      <c r="D855" s="451"/>
      <c r="E855" s="468"/>
      <c r="F855" s="468"/>
    </row>
    <row r="856" spans="1:6" ht="12.75" x14ac:dyDescent="0.2">
      <c r="A856" s="451"/>
      <c r="B856" s="451"/>
      <c r="C856" s="451"/>
      <c r="D856" s="451"/>
      <c r="E856" s="468"/>
      <c r="F856" s="468"/>
    </row>
    <row r="857" spans="1:6" ht="12.75" x14ac:dyDescent="0.2">
      <c r="A857" s="451"/>
      <c r="B857" s="451"/>
      <c r="C857" s="451"/>
      <c r="D857" s="451"/>
      <c r="E857" s="468"/>
      <c r="F857" s="468"/>
    </row>
    <row r="858" spans="1:6" ht="12.75" x14ac:dyDescent="0.2">
      <c r="A858" s="451"/>
      <c r="B858" s="451"/>
      <c r="C858" s="451"/>
      <c r="D858" s="451"/>
      <c r="E858" s="468"/>
      <c r="F858" s="468"/>
    </row>
    <row r="859" spans="1:6" ht="12.75" x14ac:dyDescent="0.2">
      <c r="A859" s="451"/>
      <c r="B859" s="451"/>
      <c r="C859" s="451"/>
      <c r="D859" s="451"/>
      <c r="E859" s="468"/>
      <c r="F859" s="468"/>
    </row>
    <row r="860" spans="1:6" ht="12.75" x14ac:dyDescent="0.2">
      <c r="A860" s="451"/>
      <c r="B860" s="451"/>
      <c r="C860" s="451"/>
      <c r="D860" s="451"/>
      <c r="E860" s="468"/>
      <c r="F860" s="468"/>
    </row>
    <row r="861" spans="1:6" ht="12.75" x14ac:dyDescent="0.2">
      <c r="A861" s="451"/>
      <c r="B861" s="451"/>
      <c r="C861" s="451"/>
      <c r="D861" s="451"/>
      <c r="E861" s="468"/>
      <c r="F861" s="468"/>
    </row>
    <row r="862" spans="1:6" ht="12.75" x14ac:dyDescent="0.2">
      <c r="A862" s="451"/>
      <c r="B862" s="451"/>
      <c r="C862" s="451"/>
      <c r="D862" s="451"/>
      <c r="E862" s="468"/>
      <c r="F862" s="468"/>
    </row>
    <row r="863" spans="1:6" ht="12.75" x14ac:dyDescent="0.2">
      <c r="A863" s="451"/>
      <c r="B863" s="451"/>
      <c r="C863" s="451"/>
      <c r="D863" s="451"/>
      <c r="E863" s="468"/>
      <c r="F863" s="468"/>
    </row>
    <row r="864" spans="1:6" ht="12.75" x14ac:dyDescent="0.2">
      <c r="A864" s="451"/>
      <c r="B864" s="451"/>
      <c r="C864" s="451"/>
      <c r="D864" s="451"/>
      <c r="E864" s="468"/>
      <c r="F864" s="468"/>
    </row>
    <row r="865" spans="1:6" ht="12.75" x14ac:dyDescent="0.2">
      <c r="A865" s="451"/>
      <c r="B865" s="451"/>
      <c r="C865" s="451"/>
      <c r="D865" s="451"/>
      <c r="E865" s="468"/>
      <c r="F865" s="468"/>
    </row>
    <row r="866" spans="1:6" ht="12.75" x14ac:dyDescent="0.2">
      <c r="A866" s="451"/>
      <c r="B866" s="451"/>
      <c r="C866" s="451"/>
      <c r="D866" s="451"/>
      <c r="E866" s="468"/>
      <c r="F866" s="468"/>
    </row>
    <row r="867" spans="1:6" ht="12.75" x14ac:dyDescent="0.2">
      <c r="A867" s="451"/>
      <c r="B867" s="451"/>
      <c r="C867" s="451"/>
      <c r="D867" s="451"/>
      <c r="E867" s="468"/>
      <c r="F867" s="468"/>
    </row>
    <row r="868" spans="1:6" ht="12.75" x14ac:dyDescent="0.2">
      <c r="A868" s="451"/>
      <c r="B868" s="451"/>
      <c r="C868" s="451"/>
      <c r="D868" s="451"/>
      <c r="E868" s="468"/>
      <c r="F868" s="468"/>
    </row>
    <row r="869" spans="1:6" ht="12.75" x14ac:dyDescent="0.2">
      <c r="A869" s="451"/>
      <c r="B869" s="451"/>
      <c r="C869" s="451"/>
      <c r="D869" s="451"/>
      <c r="E869" s="468"/>
      <c r="F869" s="468"/>
    </row>
    <row r="870" spans="1:6" ht="12.75" x14ac:dyDescent="0.2">
      <c r="A870" s="451"/>
      <c r="B870" s="451"/>
      <c r="C870" s="451"/>
      <c r="D870" s="451"/>
      <c r="E870" s="468"/>
      <c r="F870" s="468"/>
    </row>
    <row r="871" spans="1:6" ht="12.75" x14ac:dyDescent="0.2">
      <c r="A871" s="451"/>
      <c r="B871" s="451"/>
      <c r="C871" s="451"/>
      <c r="D871" s="451"/>
      <c r="E871" s="468"/>
      <c r="F871" s="468"/>
    </row>
    <row r="872" spans="1:6" ht="12.75" x14ac:dyDescent="0.2">
      <c r="A872" s="451"/>
      <c r="B872" s="451"/>
      <c r="C872" s="451"/>
      <c r="D872" s="451"/>
      <c r="E872" s="468"/>
      <c r="F872" s="468"/>
    </row>
    <row r="873" spans="1:6" ht="12.75" x14ac:dyDescent="0.2">
      <c r="A873" s="451"/>
      <c r="B873" s="451"/>
      <c r="C873" s="451"/>
      <c r="D873" s="451"/>
      <c r="E873" s="468"/>
      <c r="F873" s="468"/>
    </row>
    <row r="874" spans="1:6" ht="12.75" x14ac:dyDescent="0.2">
      <c r="A874" s="451"/>
      <c r="B874" s="451"/>
      <c r="C874" s="451"/>
      <c r="D874" s="451"/>
      <c r="E874" s="468"/>
      <c r="F874" s="468"/>
    </row>
    <row r="875" spans="1:6" ht="12.75" x14ac:dyDescent="0.2">
      <c r="A875" s="451"/>
      <c r="B875" s="451"/>
      <c r="C875" s="451"/>
      <c r="D875" s="451"/>
      <c r="E875" s="468"/>
      <c r="F875" s="468"/>
    </row>
    <row r="876" spans="1:6" ht="12.75" x14ac:dyDescent="0.2">
      <c r="A876" s="451"/>
      <c r="B876" s="451"/>
      <c r="C876" s="451"/>
      <c r="D876" s="451"/>
      <c r="E876" s="468"/>
      <c r="F876" s="468"/>
    </row>
    <row r="877" spans="1:6" ht="12.75" x14ac:dyDescent="0.2">
      <c r="A877" s="451"/>
      <c r="B877" s="451"/>
      <c r="C877" s="451"/>
      <c r="D877" s="451"/>
      <c r="E877" s="468"/>
      <c r="F877" s="468"/>
    </row>
    <row r="878" spans="1:6" ht="12.75" x14ac:dyDescent="0.2">
      <c r="A878" s="451"/>
      <c r="B878" s="451"/>
      <c r="C878" s="451"/>
      <c r="D878" s="451"/>
      <c r="E878" s="468"/>
      <c r="F878" s="468"/>
    </row>
    <row r="879" spans="1:6" ht="12.75" x14ac:dyDescent="0.2">
      <c r="A879" s="451"/>
      <c r="B879" s="451"/>
      <c r="C879" s="451"/>
      <c r="D879" s="451"/>
      <c r="E879" s="468"/>
      <c r="F879" s="468"/>
    </row>
    <row r="880" spans="1:6" ht="12.75" x14ac:dyDescent="0.2">
      <c r="A880" s="451"/>
      <c r="B880" s="451"/>
      <c r="C880" s="451"/>
      <c r="D880" s="451"/>
      <c r="E880" s="468"/>
      <c r="F880" s="468"/>
    </row>
    <row r="881" spans="1:6" ht="12.75" x14ac:dyDescent="0.2">
      <c r="A881" s="451"/>
      <c r="B881" s="451"/>
      <c r="C881" s="451"/>
      <c r="D881" s="451"/>
      <c r="E881" s="468"/>
      <c r="F881" s="468"/>
    </row>
    <row r="882" spans="1:6" ht="12.75" x14ac:dyDescent="0.2">
      <c r="A882" s="451"/>
      <c r="B882" s="451"/>
      <c r="C882" s="451"/>
      <c r="D882" s="451"/>
      <c r="E882" s="468"/>
      <c r="F882" s="468"/>
    </row>
    <row r="883" spans="1:6" ht="12.75" x14ac:dyDescent="0.2">
      <c r="A883" s="451"/>
      <c r="B883" s="451"/>
      <c r="C883" s="451"/>
      <c r="D883" s="451"/>
      <c r="E883" s="468"/>
      <c r="F883" s="468"/>
    </row>
    <row r="884" spans="1:6" ht="12.75" x14ac:dyDescent="0.2">
      <c r="A884" s="451"/>
      <c r="B884" s="451"/>
      <c r="C884" s="451"/>
      <c r="D884" s="451"/>
      <c r="E884" s="468"/>
      <c r="F884" s="468"/>
    </row>
    <row r="885" spans="1:6" ht="12.75" x14ac:dyDescent="0.2">
      <c r="A885" s="451"/>
      <c r="B885" s="451"/>
      <c r="C885" s="451"/>
      <c r="D885" s="451"/>
      <c r="E885" s="468"/>
      <c r="F885" s="468"/>
    </row>
    <row r="886" spans="1:6" ht="12.75" x14ac:dyDescent="0.2">
      <c r="A886" s="451"/>
      <c r="B886" s="451"/>
      <c r="C886" s="451"/>
      <c r="D886" s="451"/>
      <c r="E886" s="468"/>
      <c r="F886" s="468"/>
    </row>
    <row r="887" spans="1:6" ht="12.75" x14ac:dyDescent="0.2">
      <c r="A887" s="451"/>
      <c r="B887" s="451"/>
      <c r="C887" s="451"/>
      <c r="D887" s="451"/>
      <c r="E887" s="468"/>
      <c r="F887" s="468"/>
    </row>
    <row r="888" spans="1:6" ht="12.75" x14ac:dyDescent="0.2">
      <c r="A888" s="451"/>
      <c r="B888" s="451"/>
      <c r="C888" s="451"/>
      <c r="D888" s="451"/>
      <c r="E888" s="468"/>
      <c r="F888" s="468"/>
    </row>
    <row r="889" spans="1:6" ht="12.75" x14ac:dyDescent="0.2">
      <c r="A889" s="451"/>
      <c r="B889" s="451"/>
      <c r="C889" s="451"/>
      <c r="D889" s="451"/>
      <c r="E889" s="468"/>
      <c r="F889" s="468"/>
    </row>
    <row r="890" spans="1:6" ht="12.75" x14ac:dyDescent="0.2">
      <c r="A890" s="451"/>
      <c r="B890" s="451"/>
      <c r="C890" s="451"/>
      <c r="D890" s="451"/>
      <c r="E890" s="468"/>
      <c r="F890" s="468"/>
    </row>
    <row r="891" spans="1:6" ht="12.75" x14ac:dyDescent="0.2">
      <c r="A891" s="451"/>
      <c r="B891" s="451"/>
      <c r="C891" s="451"/>
      <c r="D891" s="451"/>
      <c r="E891" s="468"/>
      <c r="F891" s="468"/>
    </row>
    <row r="892" spans="1:6" ht="12.75" x14ac:dyDescent="0.2">
      <c r="A892" s="451"/>
      <c r="B892" s="451"/>
      <c r="C892" s="451"/>
      <c r="D892" s="451"/>
      <c r="E892" s="468"/>
      <c r="F892" s="468"/>
    </row>
    <row r="893" spans="1:6" ht="12.75" x14ac:dyDescent="0.2">
      <c r="A893" s="451"/>
      <c r="B893" s="451"/>
      <c r="C893" s="451"/>
      <c r="D893" s="451"/>
      <c r="E893" s="468"/>
      <c r="F893" s="468"/>
    </row>
    <row r="894" spans="1:6" ht="12.75" x14ac:dyDescent="0.2">
      <c r="A894" s="451"/>
      <c r="B894" s="451"/>
      <c r="C894" s="451"/>
      <c r="D894" s="451"/>
      <c r="E894" s="468"/>
      <c r="F894" s="468"/>
    </row>
    <row r="895" spans="1:6" ht="12.75" x14ac:dyDescent="0.2">
      <c r="A895" s="451"/>
      <c r="B895" s="451"/>
      <c r="C895" s="451"/>
      <c r="D895" s="451"/>
      <c r="E895" s="468"/>
      <c r="F895" s="468"/>
    </row>
    <row r="896" spans="1:6" ht="12.75" x14ac:dyDescent="0.2">
      <c r="A896" s="451"/>
      <c r="B896" s="451"/>
      <c r="C896" s="451"/>
      <c r="D896" s="451"/>
      <c r="E896" s="468"/>
      <c r="F896" s="468"/>
    </row>
    <row r="897" spans="1:6" ht="12.75" x14ac:dyDescent="0.2">
      <c r="A897" s="451"/>
      <c r="B897" s="451"/>
      <c r="C897" s="451"/>
      <c r="D897" s="451"/>
      <c r="E897" s="468"/>
      <c r="F897" s="468"/>
    </row>
    <row r="898" spans="1:6" ht="12.75" x14ac:dyDescent="0.2">
      <c r="A898" s="451"/>
      <c r="B898" s="451"/>
      <c r="C898" s="451"/>
      <c r="D898" s="451"/>
      <c r="E898" s="468"/>
      <c r="F898" s="468"/>
    </row>
    <row r="899" spans="1:6" ht="12.75" x14ac:dyDescent="0.2">
      <c r="A899" s="451"/>
      <c r="B899" s="451"/>
      <c r="C899" s="451"/>
      <c r="D899" s="451"/>
      <c r="E899" s="468"/>
      <c r="F899" s="468"/>
    </row>
    <row r="900" spans="1:6" ht="12.75" x14ac:dyDescent="0.2">
      <c r="A900" s="451"/>
      <c r="B900" s="451"/>
      <c r="C900" s="451"/>
      <c r="D900" s="451"/>
      <c r="E900" s="468"/>
      <c r="F900" s="468"/>
    </row>
    <row r="901" spans="1:6" ht="12.75" x14ac:dyDescent="0.2">
      <c r="A901" s="451"/>
      <c r="B901" s="451"/>
      <c r="C901" s="451"/>
      <c r="D901" s="451"/>
      <c r="E901" s="468"/>
      <c r="F901" s="468"/>
    </row>
    <row r="902" spans="1:6" ht="12.75" x14ac:dyDescent="0.2">
      <c r="A902" s="451"/>
      <c r="B902" s="451"/>
      <c r="C902" s="451"/>
      <c r="D902" s="451"/>
      <c r="E902" s="468"/>
      <c r="F902" s="468"/>
    </row>
    <row r="903" spans="1:6" ht="12.75" x14ac:dyDescent="0.2">
      <c r="A903" s="451"/>
      <c r="B903" s="451"/>
      <c r="C903" s="451"/>
      <c r="D903" s="451"/>
      <c r="E903" s="468"/>
      <c r="F903" s="468"/>
    </row>
    <row r="904" spans="1:6" ht="12.75" x14ac:dyDescent="0.2">
      <c r="A904" s="451"/>
      <c r="B904" s="451"/>
      <c r="C904" s="451"/>
      <c r="D904" s="451"/>
      <c r="E904" s="468"/>
      <c r="F904" s="468"/>
    </row>
    <row r="905" spans="1:6" ht="12.75" x14ac:dyDescent="0.2">
      <c r="A905" s="451"/>
      <c r="B905" s="451"/>
      <c r="C905" s="451"/>
      <c r="D905" s="451"/>
      <c r="E905" s="468"/>
      <c r="F905" s="468"/>
    </row>
    <row r="906" spans="1:6" ht="12.75" x14ac:dyDescent="0.2">
      <c r="A906" s="451"/>
      <c r="B906" s="451"/>
      <c r="C906" s="451"/>
      <c r="D906" s="451"/>
      <c r="E906" s="468"/>
      <c r="F906" s="468"/>
    </row>
    <row r="907" spans="1:6" ht="12.75" x14ac:dyDescent="0.2">
      <c r="A907" s="451"/>
      <c r="B907" s="451"/>
      <c r="C907" s="451"/>
      <c r="D907" s="451"/>
      <c r="E907" s="468"/>
      <c r="F907" s="468"/>
    </row>
    <row r="908" spans="1:6" ht="12.75" x14ac:dyDescent="0.2">
      <c r="A908" s="451"/>
      <c r="B908" s="451"/>
      <c r="C908" s="451"/>
      <c r="D908" s="451"/>
      <c r="E908" s="468"/>
      <c r="F908" s="468"/>
    </row>
    <row r="909" spans="1:6" ht="12.75" x14ac:dyDescent="0.2">
      <c r="A909" s="451"/>
      <c r="B909" s="451"/>
      <c r="C909" s="451"/>
      <c r="D909" s="451"/>
      <c r="E909" s="468"/>
      <c r="F909" s="468"/>
    </row>
    <row r="910" spans="1:6" ht="12.75" x14ac:dyDescent="0.2">
      <c r="A910" s="451"/>
      <c r="B910" s="451"/>
      <c r="C910" s="451"/>
      <c r="D910" s="451"/>
      <c r="E910" s="468"/>
      <c r="F910" s="468"/>
    </row>
    <row r="911" spans="1:6" ht="12.75" x14ac:dyDescent="0.2">
      <c r="A911" s="451"/>
      <c r="B911" s="451"/>
      <c r="C911" s="451"/>
      <c r="D911" s="451"/>
      <c r="E911" s="468"/>
      <c r="F911" s="468"/>
    </row>
    <row r="912" spans="1:6" ht="12.75" x14ac:dyDescent="0.2">
      <c r="A912" s="451"/>
      <c r="B912" s="451"/>
      <c r="C912" s="451"/>
      <c r="D912" s="451"/>
      <c r="E912" s="468"/>
      <c r="F912" s="468"/>
    </row>
    <row r="913" spans="1:6" ht="12.75" x14ac:dyDescent="0.2">
      <c r="A913" s="451"/>
      <c r="B913" s="451"/>
      <c r="C913" s="451"/>
      <c r="D913" s="451"/>
      <c r="E913" s="468"/>
      <c r="F913" s="468"/>
    </row>
    <row r="914" spans="1:6" ht="12.75" x14ac:dyDescent="0.2">
      <c r="A914" s="451"/>
      <c r="B914" s="451"/>
      <c r="C914" s="451"/>
      <c r="D914" s="451"/>
      <c r="E914" s="468"/>
      <c r="F914" s="468"/>
    </row>
    <row r="915" spans="1:6" ht="12.75" x14ac:dyDescent="0.2">
      <c r="A915" s="451"/>
      <c r="B915" s="451"/>
      <c r="C915" s="451"/>
      <c r="D915" s="451"/>
      <c r="E915" s="468"/>
      <c r="F915" s="468"/>
    </row>
    <row r="916" spans="1:6" ht="12.75" x14ac:dyDescent="0.2">
      <c r="A916" s="451"/>
      <c r="B916" s="451"/>
      <c r="C916" s="451"/>
      <c r="D916" s="451"/>
      <c r="E916" s="468"/>
      <c r="F916" s="468"/>
    </row>
    <row r="917" spans="1:6" ht="12.75" x14ac:dyDescent="0.2">
      <c r="A917" s="451"/>
      <c r="B917" s="451"/>
      <c r="C917" s="451"/>
      <c r="D917" s="451"/>
      <c r="E917" s="468"/>
      <c r="F917" s="468"/>
    </row>
    <row r="918" spans="1:6" ht="12.75" x14ac:dyDescent="0.2">
      <c r="A918" s="451"/>
      <c r="B918" s="451"/>
      <c r="C918" s="451"/>
      <c r="D918" s="451"/>
      <c r="E918" s="468"/>
      <c r="F918" s="468"/>
    </row>
    <row r="919" spans="1:6" ht="12.75" x14ac:dyDescent="0.2">
      <c r="A919" s="451"/>
      <c r="B919" s="451"/>
      <c r="C919" s="451"/>
      <c r="D919" s="451"/>
      <c r="E919" s="468"/>
      <c r="F919" s="468"/>
    </row>
    <row r="920" spans="1:6" ht="12.75" x14ac:dyDescent="0.2">
      <c r="A920" s="451"/>
      <c r="B920" s="451"/>
      <c r="C920" s="451"/>
      <c r="D920" s="451"/>
      <c r="E920" s="468"/>
      <c r="F920" s="468"/>
    </row>
    <row r="921" spans="1:6" ht="12.75" x14ac:dyDescent="0.2">
      <c r="A921" s="451"/>
      <c r="B921" s="451"/>
      <c r="C921" s="451"/>
      <c r="D921" s="451"/>
      <c r="E921" s="468"/>
      <c r="F921" s="468"/>
    </row>
    <row r="922" spans="1:6" ht="12.75" x14ac:dyDescent="0.2">
      <c r="A922" s="451"/>
      <c r="B922" s="451"/>
      <c r="C922" s="451"/>
      <c r="D922" s="451"/>
      <c r="E922" s="468"/>
      <c r="F922" s="468"/>
    </row>
    <row r="923" spans="1:6" ht="12.75" x14ac:dyDescent="0.2">
      <c r="A923" s="451"/>
      <c r="B923" s="451"/>
      <c r="C923" s="451"/>
      <c r="D923" s="451"/>
      <c r="E923" s="468"/>
      <c r="F923" s="468"/>
    </row>
    <row r="924" spans="1:6" ht="12.75" x14ac:dyDescent="0.2">
      <c r="A924" s="451"/>
      <c r="B924" s="451"/>
      <c r="C924" s="451"/>
      <c r="D924" s="451"/>
      <c r="E924" s="468"/>
      <c r="F924" s="468"/>
    </row>
    <row r="925" spans="1:6" ht="12.75" x14ac:dyDescent="0.2">
      <c r="A925" s="451"/>
      <c r="B925" s="451"/>
      <c r="C925" s="451"/>
      <c r="D925" s="451"/>
      <c r="E925" s="468"/>
      <c r="F925" s="468"/>
    </row>
    <row r="926" spans="1:6" ht="12.75" x14ac:dyDescent="0.2">
      <c r="A926" s="451"/>
      <c r="B926" s="451"/>
      <c r="C926" s="451"/>
      <c r="D926" s="451"/>
      <c r="E926" s="468"/>
      <c r="F926" s="468"/>
    </row>
    <row r="927" spans="1:6" ht="12.75" x14ac:dyDescent="0.2">
      <c r="A927" s="451"/>
      <c r="B927" s="451"/>
      <c r="C927" s="451"/>
      <c r="D927" s="451"/>
      <c r="E927" s="468"/>
      <c r="F927" s="468"/>
    </row>
    <row r="928" spans="1:6" ht="12.75" x14ac:dyDescent="0.2">
      <c r="A928" s="451"/>
      <c r="B928" s="451"/>
      <c r="C928" s="451"/>
      <c r="D928" s="451"/>
      <c r="E928" s="468"/>
      <c r="F928" s="468"/>
    </row>
    <row r="929" spans="1:6" ht="12.75" x14ac:dyDescent="0.2">
      <c r="A929" s="451"/>
      <c r="B929" s="451"/>
      <c r="C929" s="451"/>
      <c r="D929" s="451"/>
      <c r="E929" s="468"/>
      <c r="F929" s="468"/>
    </row>
    <row r="930" spans="1:6" ht="12.75" x14ac:dyDescent="0.2">
      <c r="A930" s="451"/>
      <c r="B930" s="451"/>
      <c r="C930" s="451"/>
      <c r="D930" s="451"/>
      <c r="E930" s="468"/>
      <c r="F930" s="468"/>
    </row>
    <row r="931" spans="1:6" ht="12.75" x14ac:dyDescent="0.2">
      <c r="A931" s="451"/>
      <c r="B931" s="451"/>
      <c r="C931" s="451"/>
      <c r="D931" s="451"/>
      <c r="E931" s="468"/>
      <c r="F931" s="468"/>
    </row>
    <row r="932" spans="1:6" ht="12.75" x14ac:dyDescent="0.2">
      <c r="A932" s="451"/>
      <c r="B932" s="451"/>
      <c r="C932" s="451"/>
      <c r="D932" s="451"/>
      <c r="E932" s="468"/>
      <c r="F932" s="468"/>
    </row>
    <row r="933" spans="1:6" ht="12.75" x14ac:dyDescent="0.2">
      <c r="A933" s="451"/>
      <c r="B933" s="451"/>
      <c r="C933" s="451"/>
      <c r="D933" s="451"/>
      <c r="E933" s="468"/>
      <c r="F933" s="468"/>
    </row>
    <row r="934" spans="1:6" ht="12.75" x14ac:dyDescent="0.2">
      <c r="A934" s="451"/>
      <c r="B934" s="451"/>
      <c r="C934" s="451"/>
      <c r="D934" s="451"/>
      <c r="E934" s="468"/>
      <c r="F934" s="468"/>
    </row>
    <row r="935" spans="1:6" ht="12.75" x14ac:dyDescent="0.2">
      <c r="A935" s="451"/>
      <c r="B935" s="451"/>
      <c r="C935" s="451"/>
      <c r="D935" s="451"/>
      <c r="E935" s="468"/>
      <c r="F935" s="468"/>
    </row>
    <row r="936" spans="1:6" ht="12.75" x14ac:dyDescent="0.2">
      <c r="A936" s="451"/>
      <c r="B936" s="451"/>
      <c r="C936" s="451"/>
      <c r="D936" s="451"/>
      <c r="E936" s="468"/>
      <c r="F936" s="468"/>
    </row>
    <row r="937" spans="1:6" ht="12.75" x14ac:dyDescent="0.2">
      <c r="A937" s="451"/>
      <c r="B937" s="451"/>
      <c r="C937" s="451"/>
      <c r="D937" s="451"/>
      <c r="E937" s="468"/>
      <c r="F937" s="468"/>
    </row>
    <row r="938" spans="1:6" ht="12.75" x14ac:dyDescent="0.2">
      <c r="A938" s="451"/>
      <c r="B938" s="451"/>
      <c r="C938" s="451"/>
      <c r="D938" s="451"/>
      <c r="E938" s="468"/>
      <c r="F938" s="468"/>
    </row>
    <row r="939" spans="1:6" ht="12.75" x14ac:dyDescent="0.2">
      <c r="A939" s="451"/>
      <c r="B939" s="451"/>
      <c r="C939" s="451"/>
      <c r="D939" s="451"/>
      <c r="E939" s="468"/>
      <c r="F939" s="468"/>
    </row>
    <row r="940" spans="1:6" ht="12.75" x14ac:dyDescent="0.2">
      <c r="A940" s="451"/>
      <c r="B940" s="451"/>
      <c r="C940" s="451"/>
      <c r="D940" s="451"/>
      <c r="E940" s="468"/>
      <c r="F940" s="468"/>
    </row>
    <row r="941" spans="1:6" ht="12.75" x14ac:dyDescent="0.2">
      <c r="A941" s="451"/>
      <c r="B941" s="451"/>
      <c r="C941" s="451"/>
      <c r="D941" s="451"/>
      <c r="E941" s="468"/>
      <c r="F941" s="468"/>
    </row>
    <row r="942" spans="1:6" ht="12.75" x14ac:dyDescent="0.2">
      <c r="A942" s="451"/>
      <c r="B942" s="451"/>
      <c r="C942" s="451"/>
      <c r="D942" s="451"/>
      <c r="E942" s="468"/>
      <c r="F942" s="468"/>
    </row>
    <row r="943" spans="1:6" ht="12.75" x14ac:dyDescent="0.2">
      <c r="A943" s="451"/>
      <c r="B943" s="451"/>
      <c r="C943" s="451"/>
      <c r="D943" s="451"/>
      <c r="E943" s="468"/>
      <c r="F943" s="468"/>
    </row>
    <row r="944" spans="1:6" ht="12.75" x14ac:dyDescent="0.2">
      <c r="A944" s="451"/>
      <c r="B944" s="451"/>
      <c r="C944" s="451"/>
      <c r="D944" s="451"/>
      <c r="E944" s="468"/>
      <c r="F944" s="468"/>
    </row>
    <row r="945" spans="1:6" ht="12.75" x14ac:dyDescent="0.2">
      <c r="A945" s="451"/>
      <c r="B945" s="451"/>
      <c r="C945" s="451"/>
      <c r="D945" s="451"/>
      <c r="E945" s="468"/>
      <c r="F945" s="468"/>
    </row>
    <row r="946" spans="1:6" ht="12.75" x14ac:dyDescent="0.2">
      <c r="A946" s="451"/>
      <c r="B946" s="451"/>
      <c r="C946" s="451"/>
      <c r="D946" s="451"/>
      <c r="E946" s="468"/>
      <c r="F946" s="468"/>
    </row>
    <row r="947" spans="1:6" ht="12.75" x14ac:dyDescent="0.2">
      <c r="A947" s="451"/>
      <c r="B947" s="451"/>
      <c r="C947" s="451"/>
      <c r="D947" s="451"/>
      <c r="E947" s="468"/>
      <c r="F947" s="468"/>
    </row>
    <row r="948" spans="1:6" ht="12.75" x14ac:dyDescent="0.2">
      <c r="A948" s="451"/>
      <c r="B948" s="451"/>
      <c r="C948" s="451"/>
      <c r="D948" s="451"/>
      <c r="E948" s="468"/>
      <c r="F948" s="468"/>
    </row>
    <row r="949" spans="1:6" ht="12.75" x14ac:dyDescent="0.2">
      <c r="A949" s="451"/>
      <c r="B949" s="451"/>
      <c r="C949" s="451"/>
      <c r="D949" s="451"/>
      <c r="E949" s="468"/>
      <c r="F949" s="468"/>
    </row>
    <row r="950" spans="1:6" ht="12.75" x14ac:dyDescent="0.2">
      <c r="A950" s="451"/>
      <c r="B950" s="451"/>
      <c r="C950" s="451"/>
      <c r="D950" s="451"/>
      <c r="E950" s="468"/>
      <c r="F950" s="468"/>
    </row>
    <row r="951" spans="1:6" ht="12.75" x14ac:dyDescent="0.2">
      <c r="A951" s="451"/>
      <c r="B951" s="451"/>
      <c r="C951" s="451"/>
      <c r="D951" s="451"/>
      <c r="E951" s="468"/>
      <c r="F951" s="468"/>
    </row>
    <row r="952" spans="1:6" ht="12.75" x14ac:dyDescent="0.2">
      <c r="A952" s="451"/>
      <c r="B952" s="451"/>
      <c r="C952" s="451"/>
      <c r="D952" s="451"/>
      <c r="E952" s="468"/>
      <c r="F952" s="468"/>
    </row>
    <row r="953" spans="1:6" ht="12.75" x14ac:dyDescent="0.2">
      <c r="A953" s="451"/>
      <c r="B953" s="451"/>
      <c r="C953" s="451"/>
      <c r="D953" s="451"/>
      <c r="E953" s="468"/>
      <c r="F953" s="468"/>
    </row>
    <row r="954" spans="1:6" ht="12.75" x14ac:dyDescent="0.2">
      <c r="A954" s="451"/>
      <c r="B954" s="451"/>
      <c r="C954" s="451"/>
      <c r="D954" s="451"/>
      <c r="E954" s="468"/>
      <c r="F954" s="468"/>
    </row>
    <row r="955" spans="1:6" ht="12.75" x14ac:dyDescent="0.2">
      <c r="A955" s="451"/>
      <c r="B955" s="451"/>
      <c r="C955" s="451"/>
      <c r="D955" s="451"/>
      <c r="E955" s="468"/>
      <c r="F955" s="468"/>
    </row>
    <row r="956" spans="1:6" ht="12.75" x14ac:dyDescent="0.2">
      <c r="A956" s="451"/>
      <c r="B956" s="451"/>
      <c r="C956" s="451"/>
      <c r="D956" s="451"/>
      <c r="E956" s="468"/>
      <c r="F956" s="468"/>
    </row>
    <row r="957" spans="1:6" ht="12.75" x14ac:dyDescent="0.2">
      <c r="A957" s="451"/>
      <c r="B957" s="451"/>
      <c r="C957" s="451"/>
      <c r="D957" s="451"/>
      <c r="E957" s="468"/>
      <c r="F957" s="468"/>
    </row>
    <row r="958" spans="1:6" ht="12.75" x14ac:dyDescent="0.2">
      <c r="A958" s="451"/>
      <c r="B958" s="451"/>
      <c r="C958" s="451"/>
      <c r="D958" s="451"/>
      <c r="E958" s="468"/>
      <c r="F958" s="468"/>
    </row>
    <row r="959" spans="1:6" ht="12.75" x14ac:dyDescent="0.2">
      <c r="A959" s="451"/>
      <c r="B959" s="451"/>
      <c r="C959" s="451"/>
      <c r="D959" s="451"/>
      <c r="E959" s="468"/>
      <c r="F959" s="468"/>
    </row>
    <row r="960" spans="1:6" ht="12.75" x14ac:dyDescent="0.2">
      <c r="A960" s="451"/>
      <c r="B960" s="451"/>
      <c r="C960" s="451"/>
      <c r="D960" s="451"/>
      <c r="E960" s="468"/>
      <c r="F960" s="468"/>
    </row>
    <row r="961" spans="1:6" ht="12.75" x14ac:dyDescent="0.2">
      <c r="A961" s="451"/>
      <c r="B961" s="451"/>
      <c r="C961" s="451"/>
      <c r="D961" s="451"/>
      <c r="E961" s="468"/>
      <c r="F961" s="468"/>
    </row>
    <row r="962" spans="1:6" ht="12.75" x14ac:dyDescent="0.2">
      <c r="A962" s="451"/>
      <c r="B962" s="451"/>
      <c r="C962" s="451"/>
      <c r="D962" s="451"/>
      <c r="E962" s="468"/>
      <c r="F962" s="468"/>
    </row>
    <row r="963" spans="1:6" ht="12.75" x14ac:dyDescent="0.2">
      <c r="A963" s="451"/>
      <c r="B963" s="451"/>
      <c r="C963" s="451"/>
      <c r="D963" s="451"/>
      <c r="E963" s="468"/>
      <c r="F963" s="468"/>
    </row>
    <row r="964" spans="1:6" ht="12.75" x14ac:dyDescent="0.2">
      <c r="A964" s="451"/>
      <c r="B964" s="451"/>
      <c r="C964" s="451"/>
      <c r="D964" s="451"/>
      <c r="E964" s="468"/>
      <c r="F964" s="468"/>
    </row>
    <row r="965" spans="1:6" ht="12.75" x14ac:dyDescent="0.2">
      <c r="A965" s="451"/>
      <c r="B965" s="451"/>
      <c r="C965" s="451"/>
      <c r="D965" s="451"/>
      <c r="E965" s="468"/>
      <c r="F965" s="468"/>
    </row>
    <row r="966" spans="1:6" ht="12.75" x14ac:dyDescent="0.2">
      <c r="A966" s="451"/>
      <c r="B966" s="451"/>
      <c r="C966" s="451"/>
      <c r="D966" s="451"/>
      <c r="E966" s="468"/>
      <c r="F966" s="468"/>
    </row>
    <row r="967" spans="1:6" ht="12.75" x14ac:dyDescent="0.2">
      <c r="A967" s="451"/>
      <c r="B967" s="451"/>
      <c r="C967" s="451"/>
      <c r="D967" s="451"/>
      <c r="E967" s="468"/>
      <c r="F967" s="468"/>
    </row>
    <row r="968" spans="1:6" ht="12.75" x14ac:dyDescent="0.2">
      <c r="A968" s="451"/>
      <c r="B968" s="451"/>
      <c r="C968" s="451"/>
      <c r="D968" s="451"/>
      <c r="E968" s="468"/>
      <c r="F968" s="468"/>
    </row>
    <row r="969" spans="1:6" ht="12.75" x14ac:dyDescent="0.2">
      <c r="A969" s="451"/>
      <c r="B969" s="451"/>
      <c r="C969" s="451"/>
      <c r="D969" s="451"/>
      <c r="E969" s="468"/>
      <c r="F969" s="468"/>
    </row>
    <row r="970" spans="1:6" ht="12.75" x14ac:dyDescent="0.2">
      <c r="A970" s="451"/>
      <c r="B970" s="451"/>
      <c r="C970" s="451"/>
      <c r="D970" s="451"/>
      <c r="E970" s="468"/>
      <c r="F970" s="468"/>
    </row>
    <row r="971" spans="1:6" ht="12.75" x14ac:dyDescent="0.2">
      <c r="A971" s="451"/>
      <c r="B971" s="451"/>
      <c r="C971" s="451"/>
      <c r="D971" s="451"/>
      <c r="E971" s="468"/>
      <c r="F971" s="468"/>
    </row>
    <row r="972" spans="1:6" ht="12.75" x14ac:dyDescent="0.2">
      <c r="A972" s="451"/>
      <c r="B972" s="451"/>
      <c r="C972" s="451"/>
      <c r="D972" s="451"/>
      <c r="E972" s="468"/>
      <c r="F972" s="468"/>
    </row>
    <row r="973" spans="1:6" ht="12.75" x14ac:dyDescent="0.2">
      <c r="A973" s="451"/>
      <c r="B973" s="451"/>
      <c r="C973" s="451"/>
      <c r="D973" s="451"/>
      <c r="E973" s="468"/>
      <c r="F973" s="468"/>
    </row>
    <row r="974" spans="1:6" ht="12.75" x14ac:dyDescent="0.2">
      <c r="A974" s="451"/>
      <c r="B974" s="451"/>
      <c r="C974" s="451"/>
      <c r="D974" s="451"/>
      <c r="E974" s="468"/>
      <c r="F974" s="468"/>
    </row>
    <row r="975" spans="1:6" ht="12.75" x14ac:dyDescent="0.2">
      <c r="A975" s="451"/>
      <c r="B975" s="451"/>
      <c r="C975" s="451"/>
      <c r="D975" s="451"/>
      <c r="E975" s="468"/>
      <c r="F975" s="468"/>
    </row>
    <row r="976" spans="1:6" ht="12.75" x14ac:dyDescent="0.2">
      <c r="A976" s="451"/>
      <c r="B976" s="451"/>
      <c r="C976" s="451"/>
      <c r="D976" s="451"/>
      <c r="E976" s="468"/>
      <c r="F976" s="468"/>
    </row>
    <row r="977" spans="1:6" ht="12.75" x14ac:dyDescent="0.2">
      <c r="A977" s="451"/>
      <c r="B977" s="451"/>
      <c r="C977" s="451"/>
      <c r="D977" s="451"/>
      <c r="E977" s="468"/>
      <c r="F977" s="468"/>
    </row>
    <row r="978" spans="1:6" ht="12.75" x14ac:dyDescent="0.2">
      <c r="A978" s="451"/>
      <c r="B978" s="451"/>
      <c r="C978" s="451"/>
      <c r="D978" s="451"/>
      <c r="E978" s="468"/>
      <c r="F978" s="468"/>
    </row>
    <row r="979" spans="1:6" ht="12.75" x14ac:dyDescent="0.2">
      <c r="A979" s="451"/>
      <c r="B979" s="451"/>
      <c r="C979" s="451"/>
      <c r="D979" s="451"/>
      <c r="E979" s="468"/>
      <c r="F979" s="468"/>
    </row>
    <row r="980" spans="1:6" ht="12.75" x14ac:dyDescent="0.2">
      <c r="A980" s="451"/>
      <c r="B980" s="451"/>
      <c r="C980" s="451"/>
      <c r="D980" s="451"/>
      <c r="E980" s="468"/>
      <c r="F980" s="468"/>
    </row>
    <row r="981" spans="1:6" ht="12.75" x14ac:dyDescent="0.2">
      <c r="A981" s="451"/>
      <c r="B981" s="451"/>
      <c r="C981" s="451"/>
      <c r="D981" s="451"/>
      <c r="E981" s="468"/>
      <c r="F981" s="468"/>
    </row>
    <row r="982" spans="1:6" ht="12.75" x14ac:dyDescent="0.2">
      <c r="A982" s="451"/>
      <c r="B982" s="451"/>
      <c r="C982" s="451"/>
      <c r="D982" s="451"/>
      <c r="E982" s="468"/>
      <c r="F982" s="468"/>
    </row>
    <row r="983" spans="1:6" ht="12.75" x14ac:dyDescent="0.2">
      <c r="A983" s="451"/>
      <c r="B983" s="451"/>
      <c r="C983" s="451"/>
      <c r="D983" s="451"/>
      <c r="E983" s="468"/>
      <c r="F983" s="468"/>
    </row>
    <row r="984" spans="1:6" ht="12.75" x14ac:dyDescent="0.2">
      <c r="A984" s="451"/>
      <c r="B984" s="451"/>
      <c r="C984" s="451"/>
      <c r="D984" s="451"/>
      <c r="E984" s="468"/>
      <c r="F984" s="468"/>
    </row>
    <row r="985" spans="1:6" ht="12.75" x14ac:dyDescent="0.2">
      <c r="A985" s="451"/>
      <c r="B985" s="451"/>
      <c r="C985" s="451"/>
      <c r="D985" s="451"/>
      <c r="E985" s="468"/>
      <c r="F985" s="468"/>
    </row>
    <row r="986" spans="1:6" ht="12.75" x14ac:dyDescent="0.2">
      <c r="A986" s="451"/>
      <c r="B986" s="451"/>
      <c r="C986" s="451"/>
      <c r="D986" s="451"/>
      <c r="E986" s="468"/>
      <c r="F986" s="468"/>
    </row>
    <row r="987" spans="1:6" ht="12.75" x14ac:dyDescent="0.2">
      <c r="A987" s="451"/>
      <c r="B987" s="451"/>
      <c r="C987" s="451"/>
      <c r="D987" s="451"/>
      <c r="E987" s="468"/>
      <c r="F987" s="468"/>
    </row>
    <row r="988" spans="1:6" ht="12.75" x14ac:dyDescent="0.2">
      <c r="A988" s="451"/>
      <c r="B988" s="451"/>
      <c r="C988" s="451"/>
      <c r="D988" s="451"/>
      <c r="E988" s="468"/>
      <c r="F988" s="468"/>
    </row>
    <row r="989" spans="1:6" ht="12.75" x14ac:dyDescent="0.2">
      <c r="A989" s="451"/>
      <c r="B989" s="451"/>
      <c r="C989" s="451"/>
      <c r="D989" s="451"/>
      <c r="E989" s="468"/>
      <c r="F989" s="468"/>
    </row>
    <row r="990" spans="1:6" ht="12.75" x14ac:dyDescent="0.2">
      <c r="A990" s="451"/>
      <c r="B990" s="451"/>
      <c r="C990" s="451"/>
      <c r="D990" s="451"/>
      <c r="E990" s="468"/>
      <c r="F990" s="468"/>
    </row>
    <row r="991" spans="1:6" ht="12.75" x14ac:dyDescent="0.2">
      <c r="A991" s="451"/>
      <c r="B991" s="451"/>
      <c r="C991" s="451"/>
      <c r="D991" s="451"/>
      <c r="E991" s="468"/>
      <c r="F991" s="468"/>
    </row>
    <row r="992" spans="1:6" ht="12.75" x14ac:dyDescent="0.2">
      <c r="A992" s="451"/>
      <c r="B992" s="451"/>
      <c r="C992" s="451"/>
      <c r="D992" s="451"/>
      <c r="E992" s="468"/>
      <c r="F992" s="468"/>
    </row>
    <row r="993" spans="1:6" ht="12.75" x14ac:dyDescent="0.2">
      <c r="A993" s="451"/>
      <c r="B993" s="451"/>
      <c r="C993" s="451"/>
      <c r="D993" s="451"/>
      <c r="E993" s="468"/>
      <c r="F993" s="468"/>
    </row>
    <row r="994" spans="1:6" ht="12.75" x14ac:dyDescent="0.2">
      <c r="A994" s="451"/>
      <c r="B994" s="451"/>
      <c r="C994" s="451"/>
      <c r="D994" s="451"/>
      <c r="E994" s="468"/>
      <c r="F994" s="468"/>
    </row>
    <row r="995" spans="1:6" ht="12.75" x14ac:dyDescent="0.2">
      <c r="A995" s="451"/>
      <c r="B995" s="451"/>
      <c r="C995" s="451"/>
      <c r="D995" s="451"/>
      <c r="E995" s="468"/>
      <c r="F995" s="468"/>
    </row>
    <row r="996" spans="1:6" ht="12.75" x14ac:dyDescent="0.2">
      <c r="A996" s="451"/>
      <c r="B996" s="451"/>
      <c r="C996" s="451"/>
      <c r="D996" s="451"/>
      <c r="E996" s="468"/>
      <c r="F996" s="468"/>
    </row>
    <row r="997" spans="1:6" ht="12.75" x14ac:dyDescent="0.2">
      <c r="A997" s="451"/>
      <c r="B997" s="451"/>
      <c r="C997" s="451"/>
      <c r="D997" s="451"/>
      <c r="E997" s="468"/>
      <c r="F997" s="468"/>
    </row>
    <row r="998" spans="1:6" ht="12.75" x14ac:dyDescent="0.2">
      <c r="A998" s="451"/>
      <c r="B998" s="451"/>
      <c r="C998" s="451"/>
      <c r="D998" s="451"/>
      <c r="E998" s="468"/>
      <c r="F998" s="468"/>
    </row>
    <row r="999" spans="1:6" ht="12.75" x14ac:dyDescent="0.2">
      <c r="A999" s="451"/>
      <c r="B999" s="451"/>
      <c r="C999" s="451"/>
      <c r="D999" s="451"/>
      <c r="E999" s="468"/>
      <c r="F999" s="468"/>
    </row>
    <row r="1000" spans="1:6" ht="12.75" x14ac:dyDescent="0.2">
      <c r="A1000" s="451"/>
      <c r="B1000" s="451"/>
      <c r="C1000" s="451"/>
      <c r="D1000" s="451"/>
      <c r="E1000" s="468"/>
      <c r="F1000" s="468"/>
    </row>
    <row r="1001" spans="1:6" ht="12.75" x14ac:dyDescent="0.2">
      <c r="A1001" s="451"/>
      <c r="B1001" s="451"/>
      <c r="C1001" s="451"/>
      <c r="D1001" s="451"/>
      <c r="E1001" s="468"/>
      <c r="F1001" s="468"/>
    </row>
    <row r="1002" spans="1:6" ht="12.75" x14ac:dyDescent="0.2">
      <c r="A1002" s="451"/>
      <c r="B1002" s="451"/>
      <c r="C1002" s="451"/>
      <c r="D1002" s="451"/>
      <c r="E1002" s="468"/>
      <c r="F1002" s="468"/>
    </row>
    <row r="1003" spans="1:6" ht="12.75" x14ac:dyDescent="0.2">
      <c r="A1003" s="451"/>
      <c r="B1003" s="451"/>
      <c r="C1003" s="451"/>
      <c r="D1003" s="451"/>
      <c r="E1003" s="468"/>
      <c r="F1003" s="468"/>
    </row>
    <row r="1004" spans="1:6" ht="12.75" x14ac:dyDescent="0.2">
      <c r="A1004" s="451"/>
      <c r="B1004" s="451"/>
      <c r="C1004" s="451"/>
      <c r="D1004" s="451"/>
      <c r="E1004" s="468"/>
      <c r="F1004" s="468"/>
    </row>
    <row r="1005" spans="1:6" ht="12.75" x14ac:dyDescent="0.2">
      <c r="A1005" s="451"/>
      <c r="B1005" s="451"/>
      <c r="C1005" s="451"/>
      <c r="D1005" s="451"/>
      <c r="E1005" s="468"/>
      <c r="F1005" s="468"/>
    </row>
    <row r="1006" spans="1:6" ht="12.75" x14ac:dyDescent="0.2">
      <c r="A1006" s="451"/>
      <c r="B1006" s="451"/>
      <c r="C1006" s="451"/>
      <c r="D1006" s="451"/>
      <c r="E1006" s="468"/>
      <c r="F1006" s="468"/>
    </row>
    <row r="1007" spans="1:6" ht="12.75" x14ac:dyDescent="0.2">
      <c r="A1007" s="451"/>
      <c r="B1007" s="451"/>
      <c r="C1007" s="451"/>
      <c r="D1007" s="451"/>
      <c r="E1007" s="468"/>
      <c r="F1007" s="468"/>
    </row>
    <row r="1008" spans="1:6" ht="12.75" x14ac:dyDescent="0.2">
      <c r="A1008" s="451"/>
      <c r="B1008" s="451"/>
      <c r="C1008" s="451"/>
      <c r="D1008" s="451"/>
      <c r="E1008" s="468"/>
      <c r="F1008" s="468"/>
    </row>
    <row r="1009" spans="1:6" ht="12.75" x14ac:dyDescent="0.2">
      <c r="A1009" s="451"/>
      <c r="B1009" s="451"/>
      <c r="C1009" s="451"/>
      <c r="D1009" s="451"/>
      <c r="E1009" s="468"/>
      <c r="F1009" s="468"/>
    </row>
    <row r="1010" spans="1:6" ht="12.75" x14ac:dyDescent="0.2">
      <c r="A1010" s="451"/>
      <c r="B1010" s="451"/>
      <c r="C1010" s="451"/>
      <c r="D1010" s="451"/>
      <c r="E1010" s="468"/>
      <c r="F1010" s="468"/>
    </row>
    <row r="1011" spans="1:6" ht="12.75" x14ac:dyDescent="0.2">
      <c r="A1011" s="451"/>
      <c r="B1011" s="451"/>
      <c r="C1011" s="451"/>
      <c r="D1011" s="451"/>
      <c r="E1011" s="468"/>
      <c r="F1011" s="468"/>
    </row>
    <row r="1012" spans="1:6" ht="12.75" x14ac:dyDescent="0.2">
      <c r="A1012" s="451"/>
      <c r="B1012" s="451"/>
      <c r="C1012" s="451"/>
      <c r="D1012" s="451"/>
      <c r="E1012" s="468"/>
      <c r="F1012" s="468"/>
    </row>
    <row r="1013" spans="1:6" ht="12.75" x14ac:dyDescent="0.2">
      <c r="A1013" s="451"/>
      <c r="B1013" s="451"/>
      <c r="C1013" s="451"/>
      <c r="D1013" s="451"/>
      <c r="E1013" s="468"/>
      <c r="F1013" s="468"/>
    </row>
    <row r="1014" spans="1:6" ht="12.75" x14ac:dyDescent="0.2">
      <c r="A1014" s="451"/>
      <c r="B1014" s="451"/>
      <c r="C1014" s="451"/>
      <c r="D1014" s="451"/>
      <c r="E1014" s="468"/>
      <c r="F1014" s="468"/>
    </row>
    <row r="1015" spans="1:6" ht="12.75" x14ac:dyDescent="0.2">
      <c r="A1015" s="451"/>
      <c r="B1015" s="451"/>
      <c r="C1015" s="451"/>
      <c r="D1015" s="451"/>
      <c r="E1015" s="468"/>
      <c r="F1015" s="468"/>
    </row>
    <row r="1016" spans="1:6" ht="12.75" x14ac:dyDescent="0.2">
      <c r="A1016" s="451"/>
      <c r="B1016" s="451"/>
      <c r="C1016" s="451"/>
      <c r="D1016" s="451"/>
      <c r="E1016" s="468"/>
      <c r="F1016" s="468"/>
    </row>
    <row r="1017" spans="1:6" ht="12.75" x14ac:dyDescent="0.2">
      <c r="A1017" s="451"/>
      <c r="B1017" s="451"/>
      <c r="C1017" s="451"/>
      <c r="D1017" s="451"/>
      <c r="E1017" s="468"/>
      <c r="F1017" s="468"/>
    </row>
    <row r="1018" spans="1:6" ht="12.75" x14ac:dyDescent="0.2">
      <c r="A1018" s="451"/>
      <c r="B1018" s="451"/>
      <c r="C1018" s="451"/>
      <c r="D1018" s="451"/>
      <c r="E1018" s="468"/>
      <c r="F1018" s="468"/>
    </row>
    <row r="1019" spans="1:6" ht="12.75" x14ac:dyDescent="0.2">
      <c r="A1019" s="451"/>
      <c r="B1019" s="451"/>
      <c r="C1019" s="451"/>
      <c r="D1019" s="451"/>
      <c r="E1019" s="468"/>
      <c r="F1019" s="468"/>
    </row>
    <row r="1020" spans="1:6" ht="12.75" x14ac:dyDescent="0.2">
      <c r="A1020" s="451"/>
      <c r="B1020" s="451"/>
      <c r="C1020" s="451"/>
      <c r="D1020" s="451"/>
      <c r="E1020" s="468"/>
      <c r="F1020" s="468"/>
    </row>
    <row r="1021" spans="1:6" ht="12.75" x14ac:dyDescent="0.2">
      <c r="A1021" s="451"/>
      <c r="B1021" s="451"/>
      <c r="C1021" s="451"/>
      <c r="D1021" s="451"/>
      <c r="E1021" s="468"/>
      <c r="F1021" s="468"/>
    </row>
    <row r="1022" spans="1:6" ht="12.75" x14ac:dyDescent="0.2">
      <c r="A1022" s="451"/>
      <c r="B1022" s="451"/>
      <c r="C1022" s="451"/>
      <c r="D1022" s="451"/>
      <c r="E1022" s="468"/>
      <c r="F1022" s="468"/>
    </row>
    <row r="1023" spans="1:6" ht="12.75" x14ac:dyDescent="0.2">
      <c r="A1023" s="451"/>
      <c r="B1023" s="451"/>
      <c r="C1023" s="451"/>
      <c r="D1023" s="451"/>
      <c r="E1023" s="468"/>
      <c r="F1023" s="468"/>
    </row>
    <row r="1024" spans="1:6" ht="12.75" x14ac:dyDescent="0.2">
      <c r="A1024" s="451"/>
      <c r="B1024" s="451"/>
      <c r="C1024" s="451"/>
      <c r="D1024" s="451"/>
      <c r="E1024" s="468"/>
      <c r="F1024" s="468"/>
    </row>
    <row r="1025" spans="1:6" ht="12.75" x14ac:dyDescent="0.2">
      <c r="A1025" s="451"/>
      <c r="B1025" s="451"/>
      <c r="C1025" s="451"/>
      <c r="D1025" s="451"/>
      <c r="E1025" s="468"/>
      <c r="F1025" s="468"/>
    </row>
    <row r="1026" spans="1:6" ht="12.75" x14ac:dyDescent="0.2">
      <c r="A1026" s="451"/>
      <c r="B1026" s="451"/>
      <c r="C1026" s="451"/>
      <c r="D1026" s="451"/>
      <c r="E1026" s="468"/>
      <c r="F1026" s="468"/>
    </row>
    <row r="1027" spans="1:6" ht="12.75" x14ac:dyDescent="0.2">
      <c r="A1027" s="451"/>
      <c r="B1027" s="451"/>
      <c r="C1027" s="451"/>
      <c r="D1027" s="451"/>
      <c r="E1027" s="468"/>
      <c r="F1027" s="468"/>
    </row>
    <row r="1028" spans="1:6" ht="12.75" x14ac:dyDescent="0.2">
      <c r="A1028" s="451"/>
      <c r="B1028" s="451"/>
      <c r="C1028" s="451"/>
      <c r="D1028" s="451"/>
      <c r="E1028" s="468"/>
      <c r="F1028" s="468"/>
    </row>
    <row r="1029" spans="1:6" ht="12.75" x14ac:dyDescent="0.2">
      <c r="A1029" s="451"/>
      <c r="B1029" s="451"/>
      <c r="C1029" s="451"/>
      <c r="D1029" s="451"/>
      <c r="E1029" s="468"/>
      <c r="F1029" s="468"/>
    </row>
    <row r="1030" spans="1:6" ht="12.75" x14ac:dyDescent="0.2">
      <c r="A1030" s="451"/>
      <c r="B1030" s="451"/>
      <c r="C1030" s="451"/>
      <c r="D1030" s="451"/>
      <c r="E1030" s="468"/>
      <c r="F1030" s="468"/>
    </row>
    <row r="1031" spans="1:6" ht="12.75" x14ac:dyDescent="0.2">
      <c r="A1031" s="451"/>
      <c r="B1031" s="451"/>
      <c r="C1031" s="451"/>
      <c r="D1031" s="451"/>
      <c r="E1031" s="468"/>
      <c r="F1031" s="468"/>
    </row>
    <row r="1032" spans="1:6" ht="12.75" x14ac:dyDescent="0.2">
      <c r="A1032" s="451"/>
      <c r="B1032" s="451"/>
      <c r="C1032" s="451"/>
      <c r="D1032" s="451"/>
      <c r="E1032" s="468"/>
      <c r="F1032" s="468"/>
    </row>
    <row r="1033" spans="1:6" ht="12.75" x14ac:dyDescent="0.2">
      <c r="A1033" s="451"/>
      <c r="B1033" s="451"/>
      <c r="C1033" s="451"/>
      <c r="D1033" s="451"/>
      <c r="E1033" s="468"/>
      <c r="F1033" s="468"/>
    </row>
    <row r="1034" spans="1:6" ht="12.75" x14ac:dyDescent="0.2">
      <c r="A1034" s="451"/>
      <c r="B1034" s="451"/>
      <c r="C1034" s="451"/>
      <c r="D1034" s="451"/>
      <c r="E1034" s="468"/>
      <c r="F1034" s="468"/>
    </row>
    <row r="1035" spans="1:6" ht="12.75" x14ac:dyDescent="0.2">
      <c r="A1035" s="451"/>
      <c r="B1035" s="451"/>
      <c r="C1035" s="451"/>
      <c r="D1035" s="451"/>
      <c r="E1035" s="468"/>
      <c r="F1035" s="468"/>
    </row>
    <row r="1036" spans="1:6" ht="12.75" x14ac:dyDescent="0.2">
      <c r="A1036" s="451"/>
      <c r="B1036" s="451"/>
      <c r="C1036" s="451"/>
      <c r="D1036" s="451"/>
      <c r="E1036" s="468"/>
      <c r="F1036" s="468"/>
    </row>
    <row r="1037" spans="1:6" ht="12.75" x14ac:dyDescent="0.2">
      <c r="A1037" s="451"/>
      <c r="B1037" s="451"/>
      <c r="C1037" s="451"/>
      <c r="D1037" s="451"/>
      <c r="E1037" s="468"/>
      <c r="F1037" s="468"/>
    </row>
    <row r="1038" spans="1:6" ht="12.75" x14ac:dyDescent="0.2">
      <c r="A1038" s="451"/>
      <c r="B1038" s="451"/>
      <c r="C1038" s="451"/>
      <c r="D1038" s="451"/>
      <c r="E1038" s="468"/>
      <c r="F1038" s="468"/>
    </row>
    <row r="1039" spans="1:6" ht="12.75" x14ac:dyDescent="0.2">
      <c r="A1039" s="451"/>
      <c r="B1039" s="451"/>
      <c r="C1039" s="451"/>
      <c r="D1039" s="451"/>
      <c r="E1039" s="468"/>
      <c r="F1039" s="468"/>
    </row>
    <row r="1040" spans="1:6" ht="12.75" x14ac:dyDescent="0.2">
      <c r="A1040" s="451"/>
      <c r="B1040" s="451"/>
      <c r="C1040" s="451"/>
      <c r="D1040" s="451"/>
      <c r="E1040" s="468"/>
      <c r="F1040" s="468"/>
    </row>
    <row r="1041" spans="1:6" ht="12.75" x14ac:dyDescent="0.2">
      <c r="A1041" s="451"/>
      <c r="B1041" s="451"/>
      <c r="C1041" s="451"/>
      <c r="D1041" s="451"/>
      <c r="E1041" s="468"/>
      <c r="F1041" s="468"/>
    </row>
    <row r="1042" spans="1:6" ht="12.75" x14ac:dyDescent="0.2">
      <c r="A1042" s="451"/>
      <c r="B1042" s="451"/>
      <c r="C1042" s="451"/>
      <c r="D1042" s="451"/>
      <c r="E1042" s="468"/>
      <c r="F1042" s="468"/>
    </row>
    <row r="1043" spans="1:6" ht="12.75" x14ac:dyDescent="0.2">
      <c r="A1043" s="451"/>
      <c r="B1043" s="451"/>
      <c r="C1043" s="451"/>
      <c r="D1043" s="451"/>
      <c r="E1043" s="468"/>
      <c r="F1043" s="468"/>
    </row>
    <row r="1044" spans="1:6" ht="12.75" x14ac:dyDescent="0.2">
      <c r="A1044" s="451"/>
      <c r="B1044" s="451"/>
      <c r="C1044" s="451"/>
      <c r="D1044" s="451"/>
      <c r="E1044" s="468"/>
      <c r="F1044" s="468"/>
    </row>
    <row r="1045" spans="1:6" ht="12.75" x14ac:dyDescent="0.2">
      <c r="A1045" s="451"/>
      <c r="B1045" s="451"/>
      <c r="C1045" s="451"/>
      <c r="D1045" s="451"/>
      <c r="E1045" s="468"/>
      <c r="F1045" s="468"/>
    </row>
    <row r="1046" spans="1:6" ht="12.75" x14ac:dyDescent="0.2">
      <c r="A1046" s="451"/>
      <c r="B1046" s="451"/>
      <c r="C1046" s="451"/>
      <c r="D1046" s="451"/>
      <c r="E1046" s="468"/>
      <c r="F1046" s="468"/>
    </row>
    <row r="1047" spans="1:6" ht="12.75" x14ac:dyDescent="0.2">
      <c r="A1047" s="451"/>
      <c r="B1047" s="451"/>
      <c r="C1047" s="451"/>
      <c r="D1047" s="451"/>
      <c r="E1047" s="468"/>
      <c r="F1047" s="468"/>
    </row>
    <row r="1048" spans="1:6" ht="12.75" x14ac:dyDescent="0.2">
      <c r="A1048" s="451"/>
      <c r="B1048" s="451"/>
      <c r="C1048" s="451"/>
      <c r="D1048" s="451"/>
      <c r="E1048" s="468"/>
      <c r="F1048" s="468"/>
    </row>
    <row r="1049" spans="1:6" ht="12.75" x14ac:dyDescent="0.2">
      <c r="A1049" s="451"/>
      <c r="B1049" s="451"/>
      <c r="C1049" s="451"/>
      <c r="D1049" s="451"/>
      <c r="E1049" s="468"/>
      <c r="F1049" s="468"/>
    </row>
    <row r="1050" spans="1:6" ht="12.75" x14ac:dyDescent="0.2">
      <c r="A1050" s="451"/>
      <c r="B1050" s="451"/>
      <c r="C1050" s="451"/>
      <c r="D1050" s="451"/>
      <c r="E1050" s="468"/>
      <c r="F1050" s="468"/>
    </row>
    <row r="1051" spans="1:6" ht="12.75" x14ac:dyDescent="0.2">
      <c r="A1051" s="451"/>
      <c r="B1051" s="451"/>
      <c r="C1051" s="451"/>
      <c r="D1051" s="451"/>
      <c r="E1051" s="468"/>
      <c r="F1051" s="468"/>
    </row>
    <row r="1052" spans="1:6" ht="12.75" x14ac:dyDescent="0.2">
      <c r="A1052" s="451"/>
      <c r="B1052" s="451"/>
      <c r="C1052" s="451"/>
      <c r="D1052" s="451"/>
      <c r="E1052" s="468"/>
      <c r="F1052" s="468"/>
    </row>
    <row r="1053" spans="1:6" ht="12.75" x14ac:dyDescent="0.2">
      <c r="A1053" s="451"/>
      <c r="B1053" s="451"/>
      <c r="C1053" s="451"/>
      <c r="D1053" s="451"/>
      <c r="E1053" s="468"/>
      <c r="F1053" s="468"/>
    </row>
    <row r="1054" spans="1:6" ht="12.75" x14ac:dyDescent="0.2">
      <c r="A1054" s="451"/>
      <c r="B1054" s="451"/>
      <c r="C1054" s="451"/>
      <c r="D1054" s="451"/>
      <c r="E1054" s="468"/>
      <c r="F1054" s="468"/>
    </row>
    <row r="1055" spans="1:6" ht="12.75" x14ac:dyDescent="0.2">
      <c r="A1055" s="451"/>
      <c r="B1055" s="451"/>
      <c r="C1055" s="451"/>
      <c r="D1055" s="451"/>
      <c r="E1055" s="468"/>
      <c r="F1055" s="468"/>
    </row>
    <row r="1056" spans="1:6" ht="12.75" x14ac:dyDescent="0.2">
      <c r="A1056" s="451"/>
      <c r="B1056" s="451"/>
      <c r="C1056" s="451"/>
      <c r="D1056" s="451"/>
      <c r="E1056" s="468"/>
      <c r="F1056" s="468"/>
    </row>
    <row r="1057" spans="1:6" ht="12.75" x14ac:dyDescent="0.2">
      <c r="A1057" s="451"/>
      <c r="B1057" s="451"/>
      <c r="C1057" s="451"/>
      <c r="D1057" s="451"/>
      <c r="E1057" s="468"/>
      <c r="F1057" s="468"/>
    </row>
    <row r="1058" spans="1:6" ht="12.75" x14ac:dyDescent="0.2">
      <c r="A1058" s="451"/>
      <c r="B1058" s="451"/>
      <c r="C1058" s="451"/>
      <c r="D1058" s="451"/>
      <c r="E1058" s="468"/>
      <c r="F1058" s="468"/>
    </row>
    <row r="1059" spans="1:6" ht="12.75" x14ac:dyDescent="0.2">
      <c r="A1059" s="451"/>
      <c r="B1059" s="451"/>
      <c r="C1059" s="451"/>
      <c r="D1059" s="451"/>
      <c r="E1059" s="468"/>
      <c r="F1059" s="468"/>
    </row>
    <row r="1060" spans="1:6" ht="12.75" x14ac:dyDescent="0.2">
      <c r="A1060" s="451"/>
      <c r="B1060" s="451"/>
      <c r="C1060" s="451"/>
      <c r="D1060" s="451"/>
      <c r="E1060" s="468"/>
      <c r="F1060" s="468"/>
    </row>
    <row r="1061" spans="1:6" ht="12.75" x14ac:dyDescent="0.2">
      <c r="A1061" s="451"/>
      <c r="B1061" s="451"/>
      <c r="C1061" s="451"/>
      <c r="D1061" s="451"/>
      <c r="E1061" s="468"/>
      <c r="F1061" s="468"/>
    </row>
    <row r="1062" spans="1:6" ht="12.75" x14ac:dyDescent="0.2">
      <c r="A1062" s="451"/>
      <c r="B1062" s="451"/>
      <c r="C1062" s="451"/>
      <c r="D1062" s="451"/>
      <c r="E1062" s="468"/>
      <c r="F1062" s="468"/>
    </row>
    <row r="1063" spans="1:6" ht="12.75" x14ac:dyDescent="0.2">
      <c r="A1063" s="451"/>
      <c r="B1063" s="451"/>
      <c r="C1063" s="451"/>
      <c r="D1063" s="451"/>
      <c r="E1063" s="468"/>
      <c r="F1063" s="468"/>
    </row>
    <row r="1064" spans="1:6" ht="12.75" x14ac:dyDescent="0.2">
      <c r="A1064" s="451"/>
      <c r="B1064" s="451"/>
      <c r="C1064" s="451"/>
      <c r="D1064" s="451"/>
      <c r="E1064" s="468"/>
      <c r="F1064" s="468"/>
    </row>
    <row r="1065" spans="1:6" ht="12.75" x14ac:dyDescent="0.2">
      <c r="A1065" s="451"/>
      <c r="B1065" s="451"/>
      <c r="C1065" s="451"/>
      <c r="D1065" s="451"/>
      <c r="E1065" s="468"/>
      <c r="F1065" s="468"/>
    </row>
    <row r="1066" spans="1:6" ht="12.75" x14ac:dyDescent="0.2">
      <c r="A1066" s="451"/>
      <c r="B1066" s="451"/>
      <c r="C1066" s="451"/>
      <c r="D1066" s="451"/>
      <c r="E1066" s="468"/>
      <c r="F1066" s="468"/>
    </row>
    <row r="1067" spans="1:6" ht="12.75" x14ac:dyDescent="0.2">
      <c r="A1067" s="451"/>
      <c r="B1067" s="451"/>
      <c r="C1067" s="451"/>
      <c r="D1067" s="451"/>
      <c r="E1067" s="468"/>
      <c r="F1067" s="468"/>
    </row>
    <row r="1068" spans="1:6" ht="12.75" x14ac:dyDescent="0.2">
      <c r="A1068" s="451"/>
      <c r="B1068" s="451"/>
      <c r="C1068" s="451"/>
      <c r="D1068" s="451"/>
      <c r="E1068" s="468"/>
      <c r="F1068" s="468"/>
    </row>
    <row r="1069" spans="1:6" ht="12.75" x14ac:dyDescent="0.2">
      <c r="A1069" s="451"/>
      <c r="B1069" s="451"/>
      <c r="C1069" s="451"/>
      <c r="D1069" s="451"/>
      <c r="E1069" s="468"/>
      <c r="F1069" s="468"/>
    </row>
    <row r="1070" spans="1:6" ht="12.75" x14ac:dyDescent="0.2">
      <c r="A1070" s="451"/>
      <c r="B1070" s="451"/>
      <c r="C1070" s="451"/>
      <c r="D1070" s="451"/>
      <c r="E1070" s="468"/>
      <c r="F1070" s="468"/>
    </row>
    <row r="1071" spans="1:6" ht="12.75" x14ac:dyDescent="0.2">
      <c r="A1071" s="451"/>
      <c r="B1071" s="451"/>
      <c r="C1071" s="451"/>
      <c r="D1071" s="451"/>
      <c r="E1071" s="468"/>
      <c r="F1071" s="468"/>
    </row>
    <row r="1072" spans="1:6" ht="12.75" x14ac:dyDescent="0.2">
      <c r="A1072" s="451"/>
      <c r="B1072" s="451"/>
      <c r="C1072" s="451"/>
      <c r="D1072" s="451"/>
      <c r="E1072" s="468"/>
      <c r="F1072" s="468"/>
    </row>
    <row r="1073" spans="1:6" ht="12.75" x14ac:dyDescent="0.2">
      <c r="A1073" s="451"/>
      <c r="B1073" s="451"/>
      <c r="C1073" s="451"/>
      <c r="D1073" s="451"/>
      <c r="E1073" s="468"/>
      <c r="F1073" s="468"/>
    </row>
    <row r="1074" spans="1:6" ht="12.75" x14ac:dyDescent="0.2">
      <c r="A1074" s="451"/>
      <c r="B1074" s="451"/>
      <c r="C1074" s="451"/>
      <c r="D1074" s="451"/>
      <c r="E1074" s="468"/>
      <c r="F1074" s="468"/>
    </row>
    <row r="1075" spans="1:6" ht="12.75" x14ac:dyDescent="0.2">
      <c r="A1075" s="451"/>
      <c r="B1075" s="451"/>
      <c r="C1075" s="451"/>
      <c r="D1075" s="451"/>
      <c r="E1075" s="468"/>
      <c r="F1075" s="468"/>
    </row>
    <row r="1076" spans="1:6" ht="12.75" x14ac:dyDescent="0.2">
      <c r="A1076" s="451"/>
      <c r="B1076" s="451"/>
      <c r="C1076" s="451"/>
      <c r="D1076" s="451"/>
      <c r="E1076" s="468"/>
      <c r="F1076" s="468"/>
    </row>
    <row r="1077" spans="1:6" ht="12.75" x14ac:dyDescent="0.2">
      <c r="A1077" s="451"/>
      <c r="B1077" s="451"/>
      <c r="C1077" s="451"/>
      <c r="D1077" s="451"/>
      <c r="E1077" s="468"/>
      <c r="F1077" s="468"/>
    </row>
    <row r="1078" spans="1:6" ht="12.75" x14ac:dyDescent="0.2">
      <c r="A1078" s="451"/>
      <c r="B1078" s="451"/>
      <c r="C1078" s="451"/>
      <c r="D1078" s="451"/>
      <c r="E1078" s="468"/>
      <c r="F1078" s="468"/>
    </row>
    <row r="1079" spans="1:6" ht="12.75" x14ac:dyDescent="0.2">
      <c r="A1079" s="451"/>
      <c r="B1079" s="451"/>
      <c r="C1079" s="451"/>
      <c r="D1079" s="451"/>
      <c r="E1079" s="468"/>
      <c r="F1079" s="468"/>
    </row>
    <row r="1080" spans="1:6" ht="12.75" x14ac:dyDescent="0.2">
      <c r="A1080" s="451"/>
      <c r="B1080" s="451"/>
      <c r="C1080" s="451"/>
      <c r="D1080" s="451"/>
      <c r="E1080" s="468"/>
      <c r="F1080" s="468"/>
    </row>
    <row r="1081" spans="1:6" ht="12.75" x14ac:dyDescent="0.2">
      <c r="A1081" s="451"/>
      <c r="B1081" s="451"/>
      <c r="C1081" s="451"/>
      <c r="D1081" s="451"/>
      <c r="E1081" s="468"/>
      <c r="F1081" s="468"/>
    </row>
    <row r="1082" spans="1:6" ht="12.75" x14ac:dyDescent="0.2">
      <c r="A1082" s="451"/>
      <c r="B1082" s="451"/>
      <c r="C1082" s="451"/>
      <c r="D1082" s="451"/>
      <c r="E1082" s="468"/>
      <c r="F1082" s="468"/>
    </row>
    <row r="1083" spans="1:6" ht="12.75" x14ac:dyDescent="0.2">
      <c r="A1083" s="451"/>
      <c r="B1083" s="451"/>
      <c r="C1083" s="451"/>
      <c r="D1083" s="451"/>
      <c r="E1083" s="468"/>
      <c r="F1083" s="468"/>
    </row>
    <row r="1084" spans="1:6" ht="12.75" x14ac:dyDescent="0.2">
      <c r="A1084" s="451"/>
      <c r="B1084" s="451"/>
      <c r="C1084" s="451"/>
      <c r="D1084" s="451"/>
      <c r="E1084" s="468"/>
      <c r="F1084" s="468"/>
    </row>
    <row r="1085" spans="1:6" ht="12.75" x14ac:dyDescent="0.2">
      <c r="A1085" s="451"/>
      <c r="B1085" s="451"/>
      <c r="C1085" s="451"/>
      <c r="D1085" s="451"/>
      <c r="E1085" s="468"/>
      <c r="F1085" s="468"/>
    </row>
    <row r="1086" spans="1:6" ht="12.75" x14ac:dyDescent="0.2">
      <c r="A1086" s="451"/>
      <c r="B1086" s="451"/>
      <c r="C1086" s="451"/>
      <c r="D1086" s="451"/>
      <c r="E1086" s="468"/>
      <c r="F1086" s="468"/>
    </row>
    <row r="1087" spans="1:6" ht="12.75" x14ac:dyDescent="0.2">
      <c r="A1087" s="451"/>
      <c r="B1087" s="451"/>
      <c r="C1087" s="451"/>
      <c r="D1087" s="451"/>
      <c r="E1087" s="468"/>
      <c r="F1087" s="468"/>
    </row>
    <row r="1088" spans="1:6" ht="12.75" x14ac:dyDescent="0.2">
      <c r="A1088" s="451"/>
      <c r="B1088" s="451"/>
      <c r="C1088" s="451"/>
      <c r="D1088" s="451"/>
      <c r="E1088" s="468"/>
      <c r="F1088" s="468"/>
    </row>
    <row r="1089" spans="1:6" ht="12.75" x14ac:dyDescent="0.2">
      <c r="A1089" s="451"/>
      <c r="B1089" s="451"/>
      <c r="C1089" s="451"/>
      <c r="D1089" s="451"/>
      <c r="E1089" s="468"/>
      <c r="F1089" s="468"/>
    </row>
    <row r="1090" spans="1:6" ht="12.75" x14ac:dyDescent="0.2">
      <c r="A1090" s="451"/>
      <c r="B1090" s="451"/>
      <c r="C1090" s="451"/>
      <c r="D1090" s="451"/>
      <c r="E1090" s="468"/>
      <c r="F1090" s="468"/>
    </row>
    <row r="1091" spans="1:6" ht="12.75" x14ac:dyDescent="0.2">
      <c r="A1091" s="451"/>
      <c r="B1091" s="451"/>
      <c r="C1091" s="451"/>
      <c r="D1091" s="451"/>
      <c r="E1091" s="468"/>
      <c r="F1091" s="468"/>
    </row>
    <row r="1092" spans="1:6" ht="12.75" x14ac:dyDescent="0.2">
      <c r="A1092" s="451"/>
      <c r="B1092" s="451"/>
      <c r="C1092" s="451"/>
      <c r="D1092" s="451"/>
      <c r="E1092" s="468"/>
      <c r="F1092" s="468"/>
    </row>
    <row r="1093" spans="1:6" ht="12.75" x14ac:dyDescent="0.2">
      <c r="A1093" s="451"/>
      <c r="B1093" s="451"/>
      <c r="C1093" s="451"/>
      <c r="D1093" s="451"/>
      <c r="E1093" s="468"/>
      <c r="F1093" s="468"/>
    </row>
    <row r="1094" spans="1:6" ht="12.75" x14ac:dyDescent="0.2">
      <c r="A1094" s="451"/>
      <c r="B1094" s="451"/>
      <c r="C1094" s="451"/>
      <c r="D1094" s="451"/>
      <c r="E1094" s="468"/>
      <c r="F1094" s="468"/>
    </row>
    <row r="1095" spans="1:6" ht="12.75" x14ac:dyDescent="0.2">
      <c r="A1095" s="451"/>
      <c r="B1095" s="451"/>
      <c r="C1095" s="451"/>
      <c r="D1095" s="451"/>
      <c r="E1095" s="468"/>
      <c r="F1095" s="468"/>
    </row>
    <row r="1096" spans="1:6" ht="12.75" x14ac:dyDescent="0.2">
      <c r="A1096" s="451"/>
      <c r="B1096" s="451"/>
      <c r="C1096" s="451"/>
      <c r="D1096" s="451"/>
      <c r="E1096" s="468"/>
      <c r="F1096" s="468"/>
    </row>
    <row r="1097" spans="1:6" ht="12.75" x14ac:dyDescent="0.2">
      <c r="A1097" s="451"/>
      <c r="B1097" s="451"/>
      <c r="C1097" s="451"/>
      <c r="D1097" s="451"/>
      <c r="E1097" s="468"/>
      <c r="F1097" s="468"/>
    </row>
    <row r="1098" spans="1:6" ht="12.75" x14ac:dyDescent="0.2">
      <c r="A1098" s="451"/>
      <c r="B1098" s="451"/>
      <c r="C1098" s="451"/>
      <c r="D1098" s="451"/>
      <c r="E1098" s="468"/>
      <c r="F1098" s="468"/>
    </row>
    <row r="1099" spans="1:6" ht="12.75" x14ac:dyDescent="0.2">
      <c r="A1099" s="451"/>
      <c r="B1099" s="451"/>
      <c r="C1099" s="451"/>
      <c r="D1099" s="451"/>
      <c r="E1099" s="468"/>
      <c r="F1099" s="468"/>
    </row>
    <row r="1100" spans="1:6" ht="12.75" x14ac:dyDescent="0.2">
      <c r="A1100" s="451"/>
      <c r="B1100" s="451"/>
      <c r="C1100" s="451"/>
      <c r="D1100" s="451"/>
      <c r="E1100" s="468"/>
      <c r="F1100" s="468"/>
    </row>
    <row r="1101" spans="1:6" ht="12.75" x14ac:dyDescent="0.2">
      <c r="A1101" s="451"/>
      <c r="B1101" s="451"/>
      <c r="C1101" s="451"/>
      <c r="D1101" s="451"/>
      <c r="E1101" s="468"/>
      <c r="F1101" s="468"/>
    </row>
    <row r="1102" spans="1:6" ht="12.75" x14ac:dyDescent="0.2">
      <c r="A1102" s="451"/>
      <c r="B1102" s="451"/>
      <c r="C1102" s="451"/>
      <c r="D1102" s="451"/>
      <c r="E1102" s="468"/>
      <c r="F1102" s="468"/>
    </row>
    <row r="1103" spans="1:6" ht="12.75" x14ac:dyDescent="0.2">
      <c r="A1103" s="451"/>
      <c r="B1103" s="451"/>
      <c r="C1103" s="451"/>
      <c r="D1103" s="451"/>
      <c r="E1103" s="468"/>
      <c r="F1103" s="468"/>
    </row>
    <row r="1104" spans="1:6" ht="12.75" x14ac:dyDescent="0.2">
      <c r="A1104" s="451"/>
      <c r="B1104" s="451"/>
      <c r="C1104" s="451"/>
      <c r="D1104" s="451"/>
      <c r="E1104" s="468"/>
      <c r="F1104" s="468"/>
    </row>
    <row r="1105" spans="1:6" ht="12.75" x14ac:dyDescent="0.2">
      <c r="A1105" s="451"/>
      <c r="B1105" s="451"/>
      <c r="C1105" s="451"/>
      <c r="D1105" s="451"/>
      <c r="E1105" s="468"/>
      <c r="F1105" s="468"/>
    </row>
    <row r="1106" spans="1:6" ht="12.75" x14ac:dyDescent="0.2">
      <c r="A1106" s="451"/>
      <c r="B1106" s="451"/>
      <c r="C1106" s="451"/>
      <c r="D1106" s="451"/>
      <c r="E1106" s="468"/>
      <c r="F1106" s="468"/>
    </row>
    <row r="1107" spans="1:6" ht="12.75" x14ac:dyDescent="0.2">
      <c r="A1107" s="451"/>
      <c r="B1107" s="451"/>
      <c r="C1107" s="451"/>
      <c r="D1107" s="451"/>
      <c r="E1107" s="468"/>
      <c r="F1107" s="468"/>
    </row>
    <row r="1108" spans="1:6" ht="12.75" x14ac:dyDescent="0.2">
      <c r="A1108" s="451"/>
      <c r="B1108" s="451"/>
      <c r="C1108" s="451"/>
      <c r="D1108" s="451"/>
      <c r="E1108" s="468"/>
      <c r="F1108" s="468"/>
    </row>
    <row r="1109" spans="1:6" ht="12.75" x14ac:dyDescent="0.2">
      <c r="A1109" s="451"/>
      <c r="B1109" s="451"/>
      <c r="C1109" s="451"/>
      <c r="D1109" s="451"/>
      <c r="E1109" s="468"/>
      <c r="F1109" s="468"/>
    </row>
    <row r="1110" spans="1:6" ht="12.75" x14ac:dyDescent="0.2">
      <c r="A1110" s="451"/>
      <c r="B1110" s="451"/>
      <c r="C1110" s="451"/>
      <c r="D1110" s="451"/>
      <c r="E1110" s="468"/>
      <c r="F1110" s="468"/>
    </row>
    <row r="1111" spans="1:6" ht="12.75" x14ac:dyDescent="0.2">
      <c r="A1111" s="451"/>
      <c r="B1111" s="451"/>
      <c r="C1111" s="451"/>
      <c r="D1111" s="451"/>
      <c r="E1111" s="468"/>
      <c r="F1111" s="468"/>
    </row>
    <row r="1112" spans="1:6" ht="12.75" x14ac:dyDescent="0.2">
      <c r="A1112" s="451"/>
      <c r="B1112" s="451"/>
      <c r="C1112" s="451"/>
      <c r="D1112" s="451"/>
      <c r="E1112" s="468"/>
      <c r="F1112" s="468"/>
    </row>
    <row r="1113" spans="1:6" ht="12.75" x14ac:dyDescent="0.2">
      <c r="A1113" s="451"/>
      <c r="B1113" s="451"/>
      <c r="C1113" s="451"/>
      <c r="D1113" s="451"/>
      <c r="E1113" s="468"/>
      <c r="F1113" s="468"/>
    </row>
    <row r="1114" spans="1:6" ht="12.75" x14ac:dyDescent="0.2">
      <c r="A1114" s="451"/>
      <c r="B1114" s="451"/>
      <c r="C1114" s="451"/>
      <c r="D1114" s="451"/>
      <c r="E1114" s="468"/>
      <c r="F1114" s="468"/>
    </row>
    <row r="1115" spans="1:6" ht="12.75" x14ac:dyDescent="0.2">
      <c r="A1115" s="451"/>
      <c r="B1115" s="451"/>
      <c r="C1115" s="451"/>
      <c r="D1115" s="451"/>
      <c r="E1115" s="468"/>
      <c r="F1115" s="468"/>
    </row>
    <row r="1116" spans="1:6" ht="12.75" x14ac:dyDescent="0.2">
      <c r="A1116" s="451"/>
      <c r="B1116" s="451"/>
      <c r="C1116" s="451"/>
      <c r="D1116" s="451"/>
      <c r="E1116" s="468"/>
      <c r="F1116" s="468"/>
    </row>
    <row r="1117" spans="1:6" ht="12.75" x14ac:dyDescent="0.2">
      <c r="A1117" s="451"/>
      <c r="B1117" s="451"/>
      <c r="C1117" s="451"/>
      <c r="D1117" s="451"/>
      <c r="E1117" s="468"/>
      <c r="F1117" s="468"/>
    </row>
    <row r="1118" spans="1:6" ht="12.75" x14ac:dyDescent="0.2">
      <c r="A1118" s="451"/>
      <c r="B1118" s="451"/>
      <c r="C1118" s="451"/>
      <c r="D1118" s="451"/>
      <c r="E1118" s="468"/>
      <c r="F1118" s="468"/>
    </row>
    <row r="1119" spans="1:6" ht="12.75" x14ac:dyDescent="0.2">
      <c r="A1119" s="451"/>
      <c r="B1119" s="451"/>
      <c r="C1119" s="451"/>
      <c r="D1119" s="451"/>
      <c r="E1119" s="468"/>
      <c r="F1119" s="468"/>
    </row>
    <row r="1120" spans="1:6" ht="12.75" x14ac:dyDescent="0.2">
      <c r="A1120" s="451"/>
      <c r="B1120" s="451"/>
      <c r="C1120" s="451"/>
      <c r="D1120" s="451"/>
      <c r="E1120" s="468"/>
      <c r="F1120" s="468"/>
    </row>
    <row r="1121" spans="1:6" ht="12.75" x14ac:dyDescent="0.2">
      <c r="A1121" s="451"/>
      <c r="B1121" s="451"/>
      <c r="C1121" s="451"/>
      <c r="D1121" s="451"/>
      <c r="E1121" s="468"/>
      <c r="F1121" s="468"/>
    </row>
    <row r="1122" spans="1:6" ht="12.75" x14ac:dyDescent="0.2">
      <c r="A1122" s="451"/>
      <c r="B1122" s="451"/>
      <c r="C1122" s="451"/>
      <c r="D1122" s="451"/>
      <c r="E1122" s="468"/>
      <c r="F1122" s="468"/>
    </row>
    <row r="1123" spans="1:6" ht="12.75" x14ac:dyDescent="0.2">
      <c r="A1123" s="451"/>
      <c r="B1123" s="451"/>
      <c r="C1123" s="451"/>
      <c r="D1123" s="451"/>
      <c r="E1123" s="468"/>
      <c r="F1123" s="468"/>
    </row>
    <row r="1124" spans="1:6" ht="12.75" x14ac:dyDescent="0.2">
      <c r="A1124" s="451"/>
      <c r="B1124" s="451"/>
      <c r="C1124" s="451"/>
      <c r="D1124" s="451"/>
      <c r="E1124" s="468"/>
      <c r="F1124" s="468"/>
    </row>
    <row r="1125" spans="1:6" ht="12.75" x14ac:dyDescent="0.2">
      <c r="A1125" s="451"/>
      <c r="B1125" s="451"/>
      <c r="C1125" s="451"/>
      <c r="D1125" s="451"/>
      <c r="E1125" s="468"/>
      <c r="F1125" s="468"/>
    </row>
    <row r="1126" spans="1:6" ht="12.75" x14ac:dyDescent="0.2">
      <c r="A1126" s="451"/>
      <c r="B1126" s="451"/>
      <c r="C1126" s="451"/>
      <c r="D1126" s="451"/>
      <c r="E1126" s="468"/>
      <c r="F1126" s="468"/>
    </row>
    <row r="1127" spans="1:6" ht="12.75" x14ac:dyDescent="0.2">
      <c r="A1127" s="451"/>
      <c r="B1127" s="451"/>
      <c r="C1127" s="451"/>
      <c r="D1127" s="451"/>
      <c r="E1127" s="468"/>
      <c r="F1127" s="468"/>
    </row>
    <row r="1128" spans="1:6" ht="12.75" x14ac:dyDescent="0.2">
      <c r="A1128" s="451"/>
      <c r="B1128" s="451"/>
      <c r="C1128" s="451"/>
      <c r="D1128" s="451"/>
      <c r="E1128" s="468"/>
      <c r="F1128" s="468"/>
    </row>
    <row r="1129" spans="1:6" ht="12.75" x14ac:dyDescent="0.2">
      <c r="A1129" s="451"/>
      <c r="B1129" s="451"/>
      <c r="C1129" s="451"/>
      <c r="D1129" s="451"/>
      <c r="E1129" s="468"/>
      <c r="F1129" s="468"/>
    </row>
    <row r="1130" spans="1:6" ht="12.75" x14ac:dyDescent="0.2">
      <c r="A1130" s="451"/>
      <c r="B1130" s="451"/>
      <c r="C1130" s="451"/>
      <c r="D1130" s="451"/>
      <c r="E1130" s="468"/>
      <c r="F1130" s="468"/>
    </row>
    <row r="1131" spans="1:6" ht="12.75" x14ac:dyDescent="0.2">
      <c r="A1131" s="451"/>
      <c r="B1131" s="451"/>
      <c r="C1131" s="451"/>
      <c r="D1131" s="451"/>
      <c r="E1131" s="468"/>
      <c r="F1131" s="468"/>
    </row>
    <row r="1132" spans="1:6" ht="12.75" x14ac:dyDescent="0.2">
      <c r="A1132" s="451"/>
      <c r="B1132" s="451"/>
      <c r="C1132" s="451"/>
      <c r="D1132" s="451"/>
      <c r="E1132" s="468"/>
      <c r="F1132" s="468"/>
    </row>
    <row r="1133" spans="1:6" ht="12.75" x14ac:dyDescent="0.2">
      <c r="A1133" s="451"/>
      <c r="B1133" s="451"/>
      <c r="C1133" s="451"/>
      <c r="D1133" s="451"/>
      <c r="E1133" s="468"/>
      <c r="F1133" s="468"/>
    </row>
    <row r="1134" spans="1:6" ht="12.75" x14ac:dyDescent="0.2">
      <c r="A1134" s="451"/>
      <c r="B1134" s="451"/>
      <c r="C1134" s="451"/>
      <c r="D1134" s="451"/>
      <c r="E1134" s="468"/>
      <c r="F1134" s="468"/>
    </row>
    <row r="1135" spans="1:6" ht="12.75" x14ac:dyDescent="0.2">
      <c r="A1135" s="451"/>
      <c r="B1135" s="451"/>
      <c r="C1135" s="451"/>
      <c r="D1135" s="451"/>
      <c r="E1135" s="468"/>
      <c r="F1135" s="468"/>
    </row>
    <row r="1136" spans="1:6" ht="12.75" x14ac:dyDescent="0.2">
      <c r="A1136" s="451"/>
      <c r="B1136" s="451"/>
      <c r="C1136" s="451"/>
      <c r="D1136" s="451"/>
      <c r="E1136" s="468"/>
      <c r="F1136" s="468"/>
    </row>
    <row r="1137" spans="1:6" ht="12.75" x14ac:dyDescent="0.2">
      <c r="A1137" s="451"/>
      <c r="B1137" s="451"/>
      <c r="C1137" s="451"/>
      <c r="D1137" s="451"/>
      <c r="E1137" s="468"/>
      <c r="F1137" s="468"/>
    </row>
    <row r="1138" spans="1:6" ht="12.75" x14ac:dyDescent="0.2">
      <c r="A1138" s="451"/>
      <c r="B1138" s="451"/>
      <c r="C1138" s="451"/>
      <c r="D1138" s="451"/>
      <c r="E1138" s="468"/>
      <c r="F1138" s="468"/>
    </row>
    <row r="1139" spans="1:6" ht="12.75" x14ac:dyDescent="0.2">
      <c r="A1139" s="451"/>
      <c r="B1139" s="451"/>
      <c r="C1139" s="451"/>
      <c r="D1139" s="451"/>
      <c r="E1139" s="468"/>
      <c r="F1139" s="468"/>
    </row>
    <row r="1140" spans="1:6" ht="12.75" x14ac:dyDescent="0.2">
      <c r="A1140" s="451"/>
      <c r="B1140" s="451"/>
      <c r="C1140" s="451"/>
      <c r="D1140" s="451"/>
      <c r="E1140" s="468"/>
      <c r="F1140" s="468"/>
    </row>
    <row r="1141" spans="1:6" ht="12.75" x14ac:dyDescent="0.2">
      <c r="A1141" s="451"/>
      <c r="B1141" s="451"/>
      <c r="C1141" s="451"/>
      <c r="D1141" s="451"/>
      <c r="E1141" s="468"/>
      <c r="F1141" s="468"/>
    </row>
    <row r="1142" spans="1:6" ht="12.75" x14ac:dyDescent="0.2">
      <c r="A1142" s="451"/>
      <c r="B1142" s="451"/>
      <c r="C1142" s="451"/>
      <c r="D1142" s="451"/>
      <c r="E1142" s="468"/>
      <c r="F1142" s="468"/>
    </row>
    <row r="1143" spans="1:6" ht="12.75" x14ac:dyDescent="0.2">
      <c r="A1143" s="451"/>
      <c r="B1143" s="451"/>
      <c r="C1143" s="451"/>
      <c r="D1143" s="451"/>
      <c r="E1143" s="468"/>
      <c r="F1143" s="468"/>
    </row>
    <row r="1144" spans="1:6" ht="12.75" x14ac:dyDescent="0.2">
      <c r="A1144" s="451"/>
      <c r="B1144" s="451"/>
      <c r="C1144" s="451"/>
      <c r="D1144" s="451"/>
      <c r="E1144" s="468"/>
      <c r="F1144" s="468"/>
    </row>
    <row r="1145" spans="1:6" ht="12.75" x14ac:dyDescent="0.2">
      <c r="A1145" s="451"/>
      <c r="B1145" s="451"/>
      <c r="C1145" s="451"/>
      <c r="D1145" s="451"/>
      <c r="E1145" s="468"/>
      <c r="F1145" s="468"/>
    </row>
    <row r="1146" spans="1:6" ht="12.75" x14ac:dyDescent="0.2">
      <c r="A1146" s="451"/>
      <c r="B1146" s="451"/>
      <c r="C1146" s="451"/>
      <c r="D1146" s="451"/>
      <c r="E1146" s="468"/>
      <c r="F1146" s="468"/>
    </row>
    <row r="1147" spans="1:6" ht="12.75" x14ac:dyDescent="0.2">
      <c r="A1147" s="451"/>
      <c r="B1147" s="451"/>
      <c r="C1147" s="451"/>
      <c r="D1147" s="451"/>
      <c r="E1147" s="468"/>
      <c r="F1147" s="468"/>
    </row>
    <row r="1148" spans="1:6" ht="12.75" x14ac:dyDescent="0.2">
      <c r="A1148" s="451"/>
      <c r="B1148" s="451"/>
      <c r="C1148" s="451"/>
      <c r="D1148" s="451"/>
      <c r="E1148" s="468"/>
      <c r="F1148" s="468"/>
    </row>
    <row r="1149" spans="1:6" ht="12.75" x14ac:dyDescent="0.2">
      <c r="A1149" s="451"/>
      <c r="B1149" s="451"/>
      <c r="C1149" s="451"/>
      <c r="D1149" s="451"/>
      <c r="E1149" s="468"/>
      <c r="F1149" s="468"/>
    </row>
    <row r="1150" spans="1:6" ht="12.75" x14ac:dyDescent="0.2">
      <c r="A1150" s="451"/>
      <c r="B1150" s="451"/>
      <c r="C1150" s="451"/>
      <c r="D1150" s="451"/>
      <c r="E1150" s="468"/>
      <c r="F1150" s="468"/>
    </row>
    <row r="1151" spans="1:6" ht="12.75" x14ac:dyDescent="0.2">
      <c r="A1151" s="451"/>
      <c r="B1151" s="451"/>
      <c r="C1151" s="451"/>
      <c r="D1151" s="451"/>
      <c r="E1151" s="468"/>
      <c r="F1151" s="468"/>
    </row>
    <row r="1152" spans="1:6" ht="12.75" x14ac:dyDescent="0.2">
      <c r="A1152" s="451"/>
      <c r="B1152" s="451"/>
      <c r="C1152" s="451"/>
      <c r="D1152" s="451"/>
      <c r="E1152" s="468"/>
      <c r="F1152" s="468"/>
    </row>
    <row r="1153" spans="1:6" ht="12.75" x14ac:dyDescent="0.2">
      <c r="A1153" s="451"/>
      <c r="B1153" s="451"/>
      <c r="C1153" s="451"/>
      <c r="D1153" s="451"/>
      <c r="E1153" s="468"/>
      <c r="F1153" s="468"/>
    </row>
    <row r="1154" spans="1:6" ht="12.75" x14ac:dyDescent="0.2">
      <c r="A1154" s="451"/>
      <c r="B1154" s="451"/>
      <c r="C1154" s="451"/>
      <c r="D1154" s="451"/>
      <c r="E1154" s="468"/>
      <c r="F1154" s="468"/>
    </row>
    <row r="1155" spans="1:6" ht="12.75" x14ac:dyDescent="0.2">
      <c r="A1155" s="451"/>
      <c r="B1155" s="451"/>
      <c r="C1155" s="451"/>
      <c r="D1155" s="451"/>
      <c r="E1155" s="468"/>
      <c r="F1155" s="468"/>
    </row>
    <row r="1156" spans="1:6" ht="12.75" x14ac:dyDescent="0.2">
      <c r="A1156" s="451"/>
      <c r="B1156" s="451"/>
      <c r="C1156" s="451"/>
      <c r="D1156" s="451"/>
      <c r="E1156" s="468"/>
      <c r="F1156" s="468"/>
    </row>
    <row r="1157" spans="1:6" ht="12.75" x14ac:dyDescent="0.2">
      <c r="A1157" s="451"/>
      <c r="B1157" s="451"/>
      <c r="C1157" s="451"/>
      <c r="D1157" s="451"/>
      <c r="E1157" s="468"/>
      <c r="F1157" s="468"/>
    </row>
    <row r="1158" spans="1:6" ht="12.75" x14ac:dyDescent="0.2">
      <c r="A1158" s="451"/>
      <c r="B1158" s="451"/>
      <c r="C1158" s="451"/>
      <c r="D1158" s="451"/>
      <c r="E1158" s="468"/>
      <c r="F1158" s="468"/>
    </row>
    <row r="1159" spans="1:6" ht="12.75" x14ac:dyDescent="0.2">
      <c r="A1159" s="451"/>
      <c r="B1159" s="451"/>
      <c r="C1159" s="451"/>
      <c r="D1159" s="451"/>
      <c r="E1159" s="468"/>
      <c r="F1159" s="468"/>
    </row>
    <row r="1160" spans="1:6" ht="12.75" x14ac:dyDescent="0.2">
      <c r="A1160" s="451"/>
      <c r="B1160" s="451"/>
      <c r="C1160" s="451"/>
      <c r="D1160" s="451"/>
      <c r="E1160" s="468"/>
      <c r="F1160" s="468"/>
    </row>
    <row r="1161" spans="1:6" ht="12.75" x14ac:dyDescent="0.2">
      <c r="A1161" s="451"/>
      <c r="B1161" s="451"/>
      <c r="C1161" s="451"/>
      <c r="D1161" s="451"/>
      <c r="E1161" s="468"/>
      <c r="F1161" s="468"/>
    </row>
    <row r="1162" spans="1:6" ht="12.75" x14ac:dyDescent="0.2">
      <c r="A1162" s="451"/>
      <c r="B1162" s="451"/>
      <c r="C1162" s="451"/>
      <c r="D1162" s="451"/>
      <c r="E1162" s="468"/>
      <c r="F1162" s="468"/>
    </row>
    <row r="1163" spans="1:6" ht="12.75" x14ac:dyDescent="0.2">
      <c r="A1163" s="451"/>
      <c r="B1163" s="451"/>
      <c r="C1163" s="451"/>
      <c r="D1163" s="451"/>
      <c r="E1163" s="468"/>
      <c r="F1163" s="468"/>
    </row>
    <row r="1164" spans="1:6" ht="12.75" x14ac:dyDescent="0.2">
      <c r="A1164" s="451"/>
      <c r="B1164" s="451"/>
      <c r="C1164" s="451"/>
      <c r="D1164" s="451"/>
      <c r="E1164" s="468"/>
      <c r="F1164" s="468"/>
    </row>
    <row r="1165" spans="1:6" ht="12.75" x14ac:dyDescent="0.2">
      <c r="A1165" s="451"/>
      <c r="B1165" s="451"/>
      <c r="C1165" s="451"/>
      <c r="D1165" s="451"/>
      <c r="E1165" s="468"/>
      <c r="F1165" s="468"/>
    </row>
    <row r="1166" spans="1:6" ht="12.75" x14ac:dyDescent="0.2">
      <c r="A1166" s="451"/>
      <c r="B1166" s="451"/>
      <c r="C1166" s="451"/>
      <c r="D1166" s="451"/>
      <c r="E1166" s="468"/>
      <c r="F1166" s="468"/>
    </row>
    <row r="1167" spans="1:6" ht="12.75" x14ac:dyDescent="0.2">
      <c r="A1167" s="451"/>
      <c r="B1167" s="451"/>
      <c r="C1167" s="451"/>
      <c r="D1167" s="451"/>
      <c r="E1167" s="468"/>
      <c r="F1167" s="468"/>
    </row>
    <row r="1168" spans="1:6" ht="12.75" x14ac:dyDescent="0.2">
      <c r="A1168" s="451"/>
      <c r="B1168" s="451"/>
      <c r="C1168" s="451"/>
      <c r="D1168" s="451"/>
      <c r="E1168" s="468"/>
      <c r="F1168" s="468"/>
    </row>
    <row r="1169" spans="1:6" ht="12.75" x14ac:dyDescent="0.2">
      <c r="A1169" s="451"/>
      <c r="B1169" s="451"/>
      <c r="C1169" s="451"/>
      <c r="D1169" s="451"/>
      <c r="E1169" s="468"/>
      <c r="F1169" s="468"/>
    </row>
    <row r="1170" spans="1:6" ht="12.75" x14ac:dyDescent="0.2">
      <c r="A1170" s="451"/>
      <c r="B1170" s="451"/>
      <c r="C1170" s="451"/>
      <c r="D1170" s="451"/>
      <c r="E1170" s="468"/>
      <c r="F1170" s="468"/>
    </row>
    <row r="1171" spans="1:6" ht="12.75" x14ac:dyDescent="0.2">
      <c r="A1171" s="451"/>
      <c r="B1171" s="451"/>
      <c r="C1171" s="451"/>
      <c r="D1171" s="451"/>
      <c r="E1171" s="468"/>
      <c r="F1171" s="468"/>
    </row>
    <row r="1172" spans="1:6" ht="12.75" x14ac:dyDescent="0.2">
      <c r="A1172" s="451"/>
      <c r="B1172" s="451"/>
      <c r="C1172" s="451"/>
      <c r="D1172" s="451"/>
      <c r="E1172" s="468"/>
      <c r="F1172" s="468"/>
    </row>
    <row r="1173" spans="1:6" ht="12.75" x14ac:dyDescent="0.2">
      <c r="A1173" s="451"/>
      <c r="B1173" s="451"/>
      <c r="C1173" s="451"/>
      <c r="D1173" s="451"/>
      <c r="E1173" s="468"/>
      <c r="F1173" s="468"/>
    </row>
    <row r="1174" spans="1:6" ht="12.75" x14ac:dyDescent="0.2">
      <c r="A1174" s="451"/>
      <c r="B1174" s="451"/>
      <c r="C1174" s="451"/>
      <c r="D1174" s="451"/>
      <c r="E1174" s="468"/>
      <c r="F1174" s="468"/>
    </row>
    <row r="1175" spans="1:6" ht="12.75" x14ac:dyDescent="0.2">
      <c r="A1175" s="451"/>
      <c r="B1175" s="451"/>
      <c r="C1175" s="451"/>
      <c r="D1175" s="451"/>
      <c r="E1175" s="468"/>
      <c r="F1175" s="468"/>
    </row>
    <row r="1176" spans="1:6" ht="12.75" x14ac:dyDescent="0.2">
      <c r="A1176" s="451"/>
      <c r="B1176" s="451"/>
      <c r="C1176" s="451"/>
      <c r="D1176" s="451"/>
      <c r="E1176" s="468"/>
      <c r="F1176" s="468"/>
    </row>
    <row r="1177" spans="1:6" ht="12.75" x14ac:dyDescent="0.2">
      <c r="A1177" s="451"/>
      <c r="B1177" s="451"/>
      <c r="C1177" s="451"/>
      <c r="D1177" s="451"/>
      <c r="E1177" s="468"/>
      <c r="F1177" s="468"/>
    </row>
    <row r="1178" spans="1:6" ht="12.75" x14ac:dyDescent="0.2">
      <c r="A1178" s="451"/>
      <c r="B1178" s="451"/>
      <c r="C1178" s="451"/>
      <c r="D1178" s="451"/>
      <c r="E1178" s="468"/>
      <c r="F1178" s="468"/>
    </row>
    <row r="1179" spans="1:6" ht="12.75" x14ac:dyDescent="0.2">
      <c r="A1179" s="451"/>
      <c r="B1179" s="451"/>
      <c r="C1179" s="451"/>
      <c r="D1179" s="451"/>
      <c r="E1179" s="468"/>
      <c r="F1179" s="468"/>
    </row>
    <row r="1180" spans="1:6" ht="12.75" x14ac:dyDescent="0.2">
      <c r="A1180" s="451"/>
      <c r="B1180" s="451"/>
      <c r="C1180" s="451"/>
      <c r="D1180" s="451"/>
      <c r="E1180" s="468"/>
      <c r="F1180" s="468"/>
    </row>
    <row r="1181" spans="1:6" ht="12.75" x14ac:dyDescent="0.2">
      <c r="A1181" s="451"/>
      <c r="B1181" s="451"/>
      <c r="C1181" s="451"/>
      <c r="D1181" s="451"/>
      <c r="E1181" s="468"/>
      <c r="F1181" s="468"/>
    </row>
    <row r="1182" spans="1:6" ht="12.75" x14ac:dyDescent="0.2">
      <c r="A1182" s="451"/>
      <c r="B1182" s="451"/>
      <c r="C1182" s="451"/>
      <c r="D1182" s="451"/>
      <c r="E1182" s="468"/>
      <c r="F1182" s="468"/>
    </row>
    <row r="1183" spans="1:6" ht="12.75" x14ac:dyDescent="0.2">
      <c r="A1183" s="451"/>
      <c r="B1183" s="451"/>
      <c r="C1183" s="451"/>
      <c r="D1183" s="451"/>
      <c r="E1183" s="468"/>
      <c r="F1183" s="468"/>
    </row>
    <row r="1184" spans="1:6" ht="12.75" x14ac:dyDescent="0.2">
      <c r="A1184" s="451"/>
      <c r="B1184" s="451"/>
      <c r="C1184" s="451"/>
      <c r="D1184" s="451"/>
      <c r="E1184" s="468"/>
      <c r="F1184" s="468"/>
    </row>
    <row r="1185" spans="1:6" ht="12.75" x14ac:dyDescent="0.2">
      <c r="A1185" s="451"/>
      <c r="B1185" s="451"/>
      <c r="C1185" s="451"/>
      <c r="D1185" s="451"/>
      <c r="E1185" s="468"/>
      <c r="F1185" s="468"/>
    </row>
    <row r="1186" spans="1:6" ht="12.75" x14ac:dyDescent="0.2">
      <c r="A1186" s="451"/>
      <c r="B1186" s="451"/>
      <c r="C1186" s="451"/>
      <c r="D1186" s="451"/>
      <c r="E1186" s="468"/>
      <c r="F1186" s="468"/>
    </row>
    <row r="1187" spans="1:6" ht="12.75" x14ac:dyDescent="0.2">
      <c r="A1187" s="451"/>
      <c r="B1187" s="451"/>
      <c r="C1187" s="451"/>
      <c r="D1187" s="451"/>
      <c r="E1187" s="468"/>
      <c r="F1187" s="468"/>
    </row>
    <row r="1188" spans="1:6" ht="12.75" x14ac:dyDescent="0.2">
      <c r="A1188" s="451"/>
      <c r="B1188" s="451"/>
      <c r="C1188" s="451"/>
      <c r="D1188" s="451"/>
      <c r="E1188" s="468"/>
      <c r="F1188" s="468"/>
    </row>
    <row r="1189" spans="1:6" ht="12.75" x14ac:dyDescent="0.2">
      <c r="A1189" s="451"/>
      <c r="B1189" s="451"/>
      <c r="C1189" s="451"/>
      <c r="D1189" s="451"/>
      <c r="E1189" s="468"/>
      <c r="F1189" s="468"/>
    </row>
    <row r="1190" spans="1:6" ht="12.75" x14ac:dyDescent="0.2">
      <c r="A1190" s="451"/>
      <c r="B1190" s="451"/>
      <c r="C1190" s="451"/>
      <c r="D1190" s="451"/>
      <c r="E1190" s="468"/>
      <c r="F1190" s="468"/>
    </row>
    <row r="1191" spans="1:6" ht="12.75" x14ac:dyDescent="0.2">
      <c r="A1191" s="451"/>
      <c r="B1191" s="451"/>
      <c r="C1191" s="451"/>
      <c r="D1191" s="451"/>
      <c r="E1191" s="468"/>
      <c r="F1191" s="468"/>
    </row>
    <row r="1192" spans="1:6" ht="12.75" x14ac:dyDescent="0.2">
      <c r="A1192" s="451"/>
      <c r="B1192" s="451"/>
      <c r="C1192" s="451"/>
      <c r="D1192" s="451"/>
      <c r="E1192" s="468"/>
      <c r="F1192" s="468"/>
    </row>
    <row r="1193" spans="1:6" ht="12.75" x14ac:dyDescent="0.2">
      <c r="A1193" s="451"/>
      <c r="B1193" s="451"/>
      <c r="C1193" s="451"/>
      <c r="D1193" s="451"/>
      <c r="E1193" s="468"/>
      <c r="F1193" s="468"/>
    </row>
    <row r="1194" spans="1:6" ht="12.75" x14ac:dyDescent="0.2">
      <c r="A1194" s="451"/>
      <c r="B1194" s="451"/>
      <c r="C1194" s="451"/>
      <c r="D1194" s="451"/>
      <c r="E1194" s="468"/>
      <c r="F1194" s="468"/>
    </row>
    <row r="1195" spans="1:6" ht="12.75" x14ac:dyDescent="0.2">
      <c r="A1195" s="451"/>
      <c r="B1195" s="451"/>
      <c r="C1195" s="451"/>
      <c r="D1195" s="451"/>
      <c r="E1195" s="468"/>
      <c r="F1195" s="468"/>
    </row>
    <row r="1196" spans="1:6" ht="12.75" x14ac:dyDescent="0.2">
      <c r="A1196" s="451"/>
      <c r="B1196" s="451"/>
      <c r="C1196" s="451"/>
      <c r="D1196" s="451"/>
      <c r="E1196" s="468"/>
      <c r="F1196" s="468"/>
    </row>
    <row r="1197" spans="1:6" ht="12.75" x14ac:dyDescent="0.2">
      <c r="A1197" s="451"/>
      <c r="B1197" s="451"/>
      <c r="C1197" s="451"/>
      <c r="D1197" s="451"/>
      <c r="E1197" s="468"/>
      <c r="F1197" s="468"/>
    </row>
    <row r="1198" spans="1:6" ht="12.75" x14ac:dyDescent="0.2">
      <c r="A1198" s="451"/>
      <c r="B1198" s="451"/>
      <c r="C1198" s="451"/>
      <c r="D1198" s="451"/>
      <c r="E1198" s="468"/>
      <c r="F1198" s="468"/>
    </row>
    <row r="1199" spans="1:6" ht="12.75" x14ac:dyDescent="0.2">
      <c r="A1199" s="451"/>
      <c r="B1199" s="451"/>
      <c r="C1199" s="451"/>
      <c r="D1199" s="451"/>
      <c r="E1199" s="468"/>
      <c r="F1199" s="468"/>
    </row>
    <row r="1200" spans="1:6" ht="12.75" x14ac:dyDescent="0.2">
      <c r="A1200" s="451"/>
      <c r="B1200" s="451"/>
      <c r="C1200" s="451"/>
      <c r="D1200" s="451"/>
      <c r="E1200" s="468"/>
      <c r="F1200" s="468"/>
    </row>
    <row r="1201" spans="1:6" ht="12.75" x14ac:dyDescent="0.2">
      <c r="A1201" s="451"/>
      <c r="B1201" s="451"/>
      <c r="C1201" s="451"/>
      <c r="D1201" s="451"/>
      <c r="E1201" s="468"/>
      <c r="F1201" s="468"/>
    </row>
    <row r="1202" spans="1:6" ht="12.75" x14ac:dyDescent="0.2">
      <c r="A1202" s="451"/>
      <c r="B1202" s="451"/>
      <c r="C1202" s="451"/>
      <c r="D1202" s="451"/>
      <c r="E1202" s="468"/>
      <c r="F1202" s="468"/>
    </row>
    <row r="1203" spans="1:6" ht="12.75" x14ac:dyDescent="0.2">
      <c r="A1203" s="451"/>
      <c r="B1203" s="451"/>
      <c r="C1203" s="451"/>
      <c r="D1203" s="451"/>
      <c r="E1203" s="468"/>
      <c r="F1203" s="468"/>
    </row>
    <row r="1204" spans="1:6" ht="12.75" x14ac:dyDescent="0.2">
      <c r="A1204" s="451"/>
      <c r="B1204" s="451"/>
      <c r="C1204" s="451"/>
      <c r="D1204" s="451"/>
      <c r="E1204" s="468"/>
      <c r="F1204" s="468"/>
    </row>
    <row r="1205" spans="1:6" ht="12.75" x14ac:dyDescent="0.2">
      <c r="A1205" s="451"/>
      <c r="B1205" s="451"/>
      <c r="C1205" s="451"/>
      <c r="D1205" s="451"/>
      <c r="E1205" s="468"/>
      <c r="F1205" s="468"/>
    </row>
    <row r="1206" spans="1:6" ht="12.75" x14ac:dyDescent="0.2">
      <c r="A1206" s="451"/>
      <c r="B1206" s="451"/>
      <c r="C1206" s="451"/>
      <c r="D1206" s="451"/>
      <c r="E1206" s="468"/>
      <c r="F1206" s="468"/>
    </row>
    <row r="1207" spans="1:6" ht="12.75" x14ac:dyDescent="0.2">
      <c r="A1207" s="451"/>
      <c r="B1207" s="451"/>
      <c r="C1207" s="451"/>
      <c r="D1207" s="451"/>
      <c r="E1207" s="468"/>
      <c r="F1207" s="468"/>
    </row>
    <row r="1208" spans="1:6" ht="12.75" x14ac:dyDescent="0.2">
      <c r="A1208" s="451"/>
      <c r="B1208" s="451"/>
      <c r="C1208" s="451"/>
      <c r="D1208" s="451"/>
      <c r="E1208" s="468"/>
      <c r="F1208" s="468"/>
    </row>
    <row r="1209" spans="1:6" ht="12.75" x14ac:dyDescent="0.2">
      <c r="A1209" s="451"/>
      <c r="B1209" s="451"/>
      <c r="C1209" s="451"/>
      <c r="D1209" s="451"/>
      <c r="E1209" s="468"/>
      <c r="F1209" s="468"/>
    </row>
    <row r="1210" spans="1:6" ht="12.75" x14ac:dyDescent="0.2">
      <c r="A1210" s="451"/>
      <c r="B1210" s="451"/>
      <c r="C1210" s="451"/>
      <c r="D1210" s="451"/>
      <c r="E1210" s="468"/>
      <c r="F1210" s="468"/>
    </row>
    <row r="1211" spans="1:6" ht="12.75" x14ac:dyDescent="0.2">
      <c r="A1211" s="451"/>
      <c r="B1211" s="451"/>
      <c r="C1211" s="451"/>
      <c r="D1211" s="451"/>
      <c r="E1211" s="468"/>
      <c r="F1211" s="468"/>
    </row>
    <row r="1212" spans="1:6" ht="12.75" x14ac:dyDescent="0.2">
      <c r="A1212" s="451"/>
      <c r="B1212" s="451"/>
      <c r="C1212" s="451"/>
      <c r="D1212" s="451"/>
      <c r="E1212" s="468"/>
      <c r="F1212" s="468"/>
    </row>
    <row r="1213" spans="1:6" ht="12.75" x14ac:dyDescent="0.2">
      <c r="A1213" s="451"/>
      <c r="B1213" s="451"/>
      <c r="C1213" s="451"/>
      <c r="D1213" s="451"/>
      <c r="E1213" s="468"/>
      <c r="F1213" s="468"/>
    </row>
    <row r="1214" spans="1:6" ht="12.75" x14ac:dyDescent="0.2">
      <c r="A1214" s="451"/>
      <c r="B1214" s="451"/>
      <c r="C1214" s="451"/>
      <c r="D1214" s="451"/>
      <c r="E1214" s="468"/>
      <c r="F1214" s="468"/>
    </row>
    <row r="1215" spans="1:6" ht="12.75" x14ac:dyDescent="0.2">
      <c r="A1215" s="451"/>
      <c r="B1215" s="451"/>
      <c r="C1215" s="451"/>
      <c r="D1215" s="451"/>
      <c r="E1215" s="468"/>
      <c r="F1215" s="468"/>
    </row>
    <row r="1216" spans="1:6" ht="12.75" x14ac:dyDescent="0.2">
      <c r="A1216" s="451"/>
      <c r="B1216" s="451"/>
      <c r="C1216" s="451"/>
      <c r="D1216" s="451"/>
      <c r="E1216" s="468"/>
      <c r="F1216" s="468"/>
    </row>
    <row r="1217" spans="1:6" ht="12.75" x14ac:dyDescent="0.2">
      <c r="A1217" s="451"/>
      <c r="B1217" s="451"/>
      <c r="C1217" s="451"/>
      <c r="D1217" s="451"/>
      <c r="E1217" s="468"/>
      <c r="F1217" s="468"/>
    </row>
    <row r="1218" spans="1:6" ht="12.75" x14ac:dyDescent="0.2">
      <c r="A1218" s="451"/>
      <c r="B1218" s="451"/>
      <c r="C1218" s="451"/>
      <c r="D1218" s="451"/>
      <c r="E1218" s="468"/>
      <c r="F1218" s="468"/>
    </row>
    <row r="1219" spans="1:6" ht="12.75" x14ac:dyDescent="0.2">
      <c r="A1219" s="451"/>
      <c r="B1219" s="451"/>
      <c r="C1219" s="451"/>
      <c r="D1219" s="451"/>
      <c r="E1219" s="468"/>
      <c r="F1219" s="468"/>
    </row>
    <row r="1220" spans="1:6" ht="12.75" x14ac:dyDescent="0.2">
      <c r="A1220" s="451"/>
      <c r="B1220" s="451"/>
      <c r="C1220" s="451"/>
      <c r="D1220" s="451"/>
      <c r="E1220" s="468"/>
      <c r="F1220" s="468"/>
    </row>
    <row r="1221" spans="1:6" ht="12.75" x14ac:dyDescent="0.2">
      <c r="A1221" s="451"/>
      <c r="B1221" s="451"/>
      <c r="C1221" s="451"/>
      <c r="D1221" s="451"/>
      <c r="E1221" s="468"/>
      <c r="F1221" s="468"/>
    </row>
    <row r="1222" spans="1:6" ht="12.75" x14ac:dyDescent="0.2">
      <c r="A1222" s="451"/>
      <c r="B1222" s="451"/>
      <c r="C1222" s="451"/>
      <c r="D1222" s="451"/>
      <c r="E1222" s="468"/>
      <c r="F1222" s="468"/>
    </row>
    <row r="1223" spans="1:6" ht="12.75" x14ac:dyDescent="0.2">
      <c r="A1223" s="451"/>
      <c r="B1223" s="451"/>
      <c r="C1223" s="451"/>
      <c r="D1223" s="451"/>
      <c r="E1223" s="468"/>
      <c r="F1223" s="468"/>
    </row>
    <row r="1224" spans="1:6" ht="12.75" x14ac:dyDescent="0.2">
      <c r="A1224" s="451"/>
      <c r="B1224" s="451"/>
      <c r="C1224" s="451"/>
      <c r="D1224" s="451"/>
      <c r="E1224" s="468"/>
      <c r="F1224" s="468"/>
    </row>
    <row r="1225" spans="1:6" ht="12.75" x14ac:dyDescent="0.2">
      <c r="A1225" s="451"/>
      <c r="B1225" s="451"/>
      <c r="C1225" s="451"/>
      <c r="D1225" s="451"/>
      <c r="E1225" s="468"/>
      <c r="F1225" s="468"/>
    </row>
    <row r="1226" spans="1:6" ht="12.75" x14ac:dyDescent="0.2">
      <c r="A1226" s="451"/>
      <c r="B1226" s="451"/>
      <c r="C1226" s="451"/>
      <c r="D1226" s="451"/>
      <c r="E1226" s="468"/>
      <c r="F1226" s="468"/>
    </row>
    <row r="1227" spans="1:6" ht="12.75" x14ac:dyDescent="0.2">
      <c r="A1227" s="451"/>
      <c r="B1227" s="451"/>
      <c r="C1227" s="451"/>
      <c r="D1227" s="451"/>
      <c r="E1227" s="468"/>
      <c r="F1227" s="468"/>
    </row>
    <row r="1228" spans="1:6" ht="12.75" x14ac:dyDescent="0.2">
      <c r="A1228" s="451"/>
      <c r="B1228" s="451"/>
      <c r="C1228" s="451"/>
      <c r="D1228" s="451"/>
      <c r="E1228" s="468"/>
      <c r="F1228" s="468"/>
    </row>
    <row r="1229" spans="1:6" ht="12.75" x14ac:dyDescent="0.2">
      <c r="A1229" s="451"/>
      <c r="B1229" s="451"/>
      <c r="C1229" s="451"/>
      <c r="D1229" s="451"/>
      <c r="E1229" s="468"/>
      <c r="F1229" s="468"/>
    </row>
    <row r="1230" spans="1:6" ht="12.75" x14ac:dyDescent="0.2">
      <c r="A1230" s="451"/>
      <c r="B1230" s="451"/>
      <c r="C1230" s="451"/>
      <c r="D1230" s="451"/>
      <c r="E1230" s="468"/>
      <c r="F1230" s="468"/>
    </row>
    <row r="1231" spans="1:6" ht="12.75" x14ac:dyDescent="0.2">
      <c r="A1231" s="451"/>
      <c r="B1231" s="451"/>
      <c r="C1231" s="451"/>
      <c r="D1231" s="451"/>
      <c r="E1231" s="468"/>
      <c r="F1231" s="468"/>
    </row>
    <row r="1232" spans="1:6" ht="12.75" x14ac:dyDescent="0.2">
      <c r="A1232" s="451"/>
      <c r="B1232" s="451"/>
      <c r="C1232" s="451"/>
      <c r="D1232" s="451"/>
      <c r="E1232" s="468"/>
      <c r="F1232" s="468"/>
    </row>
    <row r="1233" spans="1:6" ht="12.75" x14ac:dyDescent="0.2">
      <c r="A1233" s="451"/>
      <c r="B1233" s="451"/>
      <c r="C1233" s="451"/>
      <c r="D1233" s="451"/>
      <c r="E1233" s="468"/>
      <c r="F1233" s="468"/>
    </row>
    <row r="1234" spans="1:6" ht="12.75" x14ac:dyDescent="0.2">
      <c r="A1234" s="451"/>
      <c r="B1234" s="451"/>
      <c r="C1234" s="451"/>
      <c r="D1234" s="451"/>
      <c r="E1234" s="468"/>
      <c r="F1234" s="468"/>
    </row>
    <row r="1235" spans="1:6" ht="12.75" x14ac:dyDescent="0.2">
      <c r="A1235" s="451"/>
      <c r="B1235" s="451"/>
      <c r="C1235" s="451"/>
      <c r="D1235" s="451"/>
      <c r="E1235" s="468"/>
      <c r="F1235" s="468"/>
    </row>
    <row r="1236" spans="1:6" ht="12.75" x14ac:dyDescent="0.2">
      <c r="A1236" s="451"/>
      <c r="B1236" s="451"/>
      <c r="C1236" s="451"/>
      <c r="D1236" s="451"/>
      <c r="E1236" s="468"/>
      <c r="F1236" s="468"/>
    </row>
    <row r="1237" spans="1:6" ht="12.75" x14ac:dyDescent="0.2">
      <c r="A1237" s="451"/>
      <c r="B1237" s="451"/>
      <c r="C1237" s="451"/>
      <c r="D1237" s="451"/>
      <c r="E1237" s="468"/>
      <c r="F1237" s="468"/>
    </row>
    <row r="1238" spans="1:6" ht="12.75" x14ac:dyDescent="0.2">
      <c r="A1238" s="451"/>
      <c r="B1238" s="451"/>
      <c r="C1238" s="451"/>
      <c r="D1238" s="451"/>
      <c r="E1238" s="468"/>
      <c r="F1238" s="468"/>
    </row>
    <row r="1239" spans="1:6" ht="12.75" x14ac:dyDescent="0.2">
      <c r="A1239" s="451"/>
      <c r="B1239" s="451"/>
      <c r="C1239" s="451"/>
      <c r="D1239" s="451"/>
      <c r="E1239" s="468"/>
      <c r="F1239" s="468"/>
    </row>
    <row r="1240" spans="1:6" ht="12.75" x14ac:dyDescent="0.2">
      <c r="A1240" s="451"/>
      <c r="B1240" s="451"/>
      <c r="C1240" s="451"/>
      <c r="D1240" s="451"/>
      <c r="E1240" s="468"/>
      <c r="F1240" s="468"/>
    </row>
    <row r="1241" spans="1:6" ht="12.75" x14ac:dyDescent="0.2">
      <c r="A1241" s="451"/>
      <c r="B1241" s="451"/>
      <c r="C1241" s="451"/>
      <c r="D1241" s="451"/>
      <c r="E1241" s="468"/>
      <c r="F1241" s="468"/>
    </row>
    <row r="1242" spans="1:6" ht="12.75" x14ac:dyDescent="0.2">
      <c r="A1242" s="451"/>
      <c r="B1242" s="451"/>
      <c r="C1242" s="451"/>
      <c r="D1242" s="451"/>
      <c r="E1242" s="468"/>
      <c r="F1242" s="468"/>
    </row>
    <row r="1243" spans="1:6" ht="12.75" x14ac:dyDescent="0.2">
      <c r="A1243" s="451"/>
      <c r="B1243" s="451"/>
      <c r="C1243" s="451"/>
      <c r="D1243" s="451"/>
      <c r="E1243" s="468"/>
      <c r="F1243" s="468"/>
    </row>
    <row r="1244" spans="1:6" ht="12.75" x14ac:dyDescent="0.2">
      <c r="A1244" s="451"/>
      <c r="B1244" s="451"/>
      <c r="C1244" s="451"/>
      <c r="D1244" s="451"/>
      <c r="E1244" s="468"/>
      <c r="F1244" s="468"/>
    </row>
    <row r="1245" spans="1:6" ht="12.75" x14ac:dyDescent="0.2">
      <c r="A1245" s="451"/>
      <c r="B1245" s="451"/>
      <c r="C1245" s="451"/>
      <c r="D1245" s="451"/>
      <c r="E1245" s="468"/>
      <c r="F1245" s="468"/>
    </row>
    <row r="1246" spans="1:6" ht="12.75" x14ac:dyDescent="0.2">
      <c r="A1246" s="451"/>
      <c r="B1246" s="451"/>
      <c r="C1246" s="451"/>
      <c r="D1246" s="451"/>
      <c r="E1246" s="468"/>
      <c r="F1246" s="468"/>
    </row>
    <row r="1247" spans="1:6" ht="12.75" x14ac:dyDescent="0.2">
      <c r="A1247" s="451"/>
      <c r="B1247" s="451"/>
      <c r="C1247" s="451"/>
      <c r="D1247" s="451"/>
      <c r="E1247" s="468"/>
      <c r="F1247" s="468"/>
    </row>
    <row r="1248" spans="1:6" ht="12.75" x14ac:dyDescent="0.2">
      <c r="A1248" s="451"/>
      <c r="B1248" s="451"/>
      <c r="C1248" s="451"/>
      <c r="D1248" s="451"/>
      <c r="E1248" s="468"/>
      <c r="F1248" s="468"/>
    </row>
    <row r="1249" spans="1:6" ht="12.75" x14ac:dyDescent="0.2">
      <c r="A1249" s="451"/>
      <c r="B1249" s="451"/>
      <c r="C1249" s="451"/>
      <c r="D1249" s="451"/>
      <c r="E1249" s="468"/>
      <c r="F1249" s="468"/>
    </row>
    <row r="1250" spans="1:6" ht="12.75" x14ac:dyDescent="0.2">
      <c r="A1250" s="451"/>
      <c r="B1250" s="451"/>
      <c r="C1250" s="451"/>
      <c r="D1250" s="451"/>
      <c r="E1250" s="468"/>
      <c r="F1250" s="468"/>
    </row>
    <row r="1251" spans="1:6" ht="12.75" x14ac:dyDescent="0.2">
      <c r="A1251" s="451"/>
      <c r="B1251" s="451"/>
      <c r="C1251" s="451"/>
      <c r="D1251" s="451"/>
      <c r="E1251" s="468"/>
      <c r="F1251" s="468"/>
    </row>
    <row r="1252" spans="1:6" ht="12.75" x14ac:dyDescent="0.2">
      <c r="A1252" s="451"/>
      <c r="B1252" s="451"/>
      <c r="C1252" s="451"/>
      <c r="D1252" s="451"/>
      <c r="E1252" s="468"/>
      <c r="F1252" s="468"/>
    </row>
    <row r="1253" spans="1:6" ht="12.75" x14ac:dyDescent="0.2">
      <c r="A1253" s="451"/>
      <c r="B1253" s="451"/>
      <c r="C1253" s="451"/>
      <c r="D1253" s="451"/>
      <c r="E1253" s="468"/>
      <c r="F1253" s="468"/>
    </row>
    <row r="1254" spans="1:6" ht="12.75" x14ac:dyDescent="0.2">
      <c r="A1254" s="451"/>
      <c r="B1254" s="451"/>
      <c r="C1254" s="451"/>
      <c r="D1254" s="451"/>
      <c r="E1254" s="468"/>
      <c r="F1254" s="468"/>
    </row>
    <row r="1255" spans="1:6" ht="12.75" x14ac:dyDescent="0.2">
      <c r="A1255" s="451"/>
      <c r="B1255" s="451"/>
      <c r="C1255" s="451"/>
      <c r="D1255" s="451"/>
      <c r="E1255" s="468"/>
      <c r="F1255" s="468"/>
    </row>
    <row r="1256" spans="1:6" ht="12.75" x14ac:dyDescent="0.2">
      <c r="A1256" s="451"/>
      <c r="B1256" s="451"/>
      <c r="C1256" s="451"/>
      <c r="D1256" s="451"/>
      <c r="E1256" s="468"/>
      <c r="F1256" s="468"/>
    </row>
    <row r="1257" spans="1:6" ht="12.75" x14ac:dyDescent="0.2">
      <c r="A1257" s="451"/>
      <c r="B1257" s="451"/>
      <c r="C1257" s="451"/>
      <c r="D1257" s="451"/>
      <c r="E1257" s="468"/>
      <c r="F1257" s="468"/>
    </row>
    <row r="1258" spans="1:6" ht="12.75" x14ac:dyDescent="0.2">
      <c r="A1258" s="451"/>
      <c r="B1258" s="451"/>
      <c r="C1258" s="451"/>
      <c r="D1258" s="451"/>
      <c r="E1258" s="468"/>
      <c r="F1258" s="468"/>
    </row>
    <row r="1259" spans="1:6" ht="12.75" x14ac:dyDescent="0.2">
      <c r="A1259" s="451"/>
      <c r="B1259" s="451"/>
      <c r="C1259" s="451"/>
      <c r="D1259" s="451"/>
      <c r="E1259" s="468"/>
      <c r="F1259" s="468"/>
    </row>
    <row r="1260" spans="1:6" ht="12.75" x14ac:dyDescent="0.2">
      <c r="A1260" s="451"/>
      <c r="B1260" s="451"/>
      <c r="C1260" s="451"/>
      <c r="D1260" s="451"/>
      <c r="E1260" s="468"/>
      <c r="F1260" s="468"/>
    </row>
    <row r="1261" spans="1:6" ht="12.75" x14ac:dyDescent="0.2">
      <c r="A1261" s="451"/>
      <c r="B1261" s="451"/>
      <c r="C1261" s="451"/>
      <c r="D1261" s="451"/>
      <c r="E1261" s="468"/>
      <c r="F1261" s="468"/>
    </row>
    <row r="1262" spans="1:6" ht="12.75" x14ac:dyDescent="0.2">
      <c r="A1262" s="451"/>
      <c r="B1262" s="451"/>
      <c r="C1262" s="451"/>
      <c r="D1262" s="451"/>
      <c r="E1262" s="468"/>
      <c r="F1262" s="468"/>
    </row>
    <row r="1263" spans="1:6" ht="12.75" x14ac:dyDescent="0.2">
      <c r="A1263" s="451"/>
      <c r="B1263" s="451"/>
      <c r="C1263" s="451"/>
      <c r="D1263" s="451"/>
      <c r="E1263" s="468"/>
      <c r="F1263" s="468"/>
    </row>
    <row r="1264" spans="1:6" ht="12.75" x14ac:dyDescent="0.2">
      <c r="A1264" s="451"/>
      <c r="B1264" s="451"/>
      <c r="C1264" s="451"/>
      <c r="D1264" s="451"/>
      <c r="E1264" s="468"/>
      <c r="F1264" s="468"/>
    </row>
    <row r="1265" spans="1:6" ht="12.75" x14ac:dyDescent="0.2">
      <c r="A1265" s="451"/>
      <c r="B1265" s="451"/>
      <c r="C1265" s="451"/>
      <c r="D1265" s="451"/>
      <c r="E1265" s="468"/>
      <c r="F1265" s="468"/>
    </row>
    <row r="1266" spans="1:6" ht="12.75" x14ac:dyDescent="0.2">
      <c r="A1266" s="451"/>
      <c r="B1266" s="451"/>
      <c r="C1266" s="451"/>
      <c r="D1266" s="451"/>
      <c r="E1266" s="468"/>
      <c r="F1266" s="468"/>
    </row>
    <row r="1267" spans="1:6" ht="12.75" x14ac:dyDescent="0.2">
      <c r="A1267" s="451"/>
      <c r="B1267" s="451"/>
      <c r="C1267" s="451"/>
      <c r="D1267" s="451"/>
      <c r="E1267" s="468"/>
      <c r="F1267" s="468"/>
    </row>
    <row r="1268" spans="1:6" ht="12.75" x14ac:dyDescent="0.2">
      <c r="A1268" s="451"/>
      <c r="B1268" s="451"/>
      <c r="C1268" s="451"/>
      <c r="D1268" s="451"/>
      <c r="E1268" s="468"/>
      <c r="F1268" s="468"/>
    </row>
    <row r="1269" spans="1:6" ht="12.75" x14ac:dyDescent="0.2">
      <c r="A1269" s="451"/>
      <c r="B1269" s="451"/>
      <c r="C1269" s="451"/>
      <c r="D1269" s="451"/>
      <c r="E1269" s="468"/>
      <c r="F1269" s="468"/>
    </row>
    <row r="1270" spans="1:6" ht="12.75" x14ac:dyDescent="0.2">
      <c r="A1270" s="451"/>
      <c r="B1270" s="451"/>
      <c r="C1270" s="451"/>
      <c r="D1270" s="451"/>
      <c r="E1270" s="468"/>
      <c r="F1270" s="468"/>
    </row>
    <row r="1271" spans="1:6" ht="12.75" x14ac:dyDescent="0.2">
      <c r="A1271" s="451"/>
      <c r="B1271" s="451"/>
      <c r="C1271" s="451"/>
      <c r="D1271" s="451"/>
      <c r="E1271" s="468"/>
      <c r="F1271" s="468"/>
    </row>
    <row r="1272" spans="1:6" ht="12.75" x14ac:dyDescent="0.2">
      <c r="A1272" s="451"/>
      <c r="B1272" s="451"/>
      <c r="C1272" s="451"/>
      <c r="D1272" s="451"/>
      <c r="E1272" s="468"/>
      <c r="F1272" s="468"/>
    </row>
    <row r="1273" spans="1:6" ht="12.75" x14ac:dyDescent="0.2">
      <c r="A1273" s="451"/>
      <c r="B1273" s="451"/>
      <c r="C1273" s="451"/>
      <c r="D1273" s="451"/>
      <c r="E1273" s="468"/>
      <c r="F1273" s="468"/>
    </row>
    <row r="1274" spans="1:6" ht="12.75" x14ac:dyDescent="0.2">
      <c r="A1274" s="451"/>
      <c r="B1274" s="451"/>
      <c r="C1274" s="451"/>
      <c r="D1274" s="451"/>
      <c r="E1274" s="468"/>
      <c r="F1274" s="468"/>
    </row>
    <row r="1275" spans="1:6" ht="12.75" x14ac:dyDescent="0.2">
      <c r="A1275" s="451"/>
      <c r="B1275" s="451"/>
      <c r="C1275" s="451"/>
      <c r="D1275" s="451"/>
      <c r="E1275" s="468"/>
      <c r="F1275" s="468"/>
    </row>
    <row r="1276" spans="1:6" ht="12.75" x14ac:dyDescent="0.2">
      <c r="A1276" s="451"/>
      <c r="B1276" s="451"/>
      <c r="C1276" s="451"/>
      <c r="D1276" s="451"/>
      <c r="E1276" s="468"/>
      <c r="F1276" s="468"/>
    </row>
    <row r="1277" spans="1:6" ht="12.75" x14ac:dyDescent="0.2">
      <c r="A1277" s="451"/>
      <c r="B1277" s="451"/>
      <c r="C1277" s="451"/>
      <c r="D1277" s="451"/>
      <c r="E1277" s="468"/>
      <c r="F1277" s="468"/>
    </row>
    <row r="1278" spans="1:6" ht="12.75" x14ac:dyDescent="0.2">
      <c r="A1278" s="451"/>
      <c r="B1278" s="451"/>
      <c r="C1278" s="451"/>
      <c r="D1278" s="451"/>
      <c r="E1278" s="468"/>
      <c r="F1278" s="468"/>
    </row>
    <row r="1279" spans="1:6" ht="12.75" x14ac:dyDescent="0.2">
      <c r="A1279" s="451"/>
      <c r="B1279" s="451"/>
      <c r="C1279" s="451"/>
      <c r="D1279" s="451"/>
      <c r="E1279" s="468"/>
      <c r="F1279" s="468"/>
    </row>
    <row r="1280" spans="1:6" ht="12.75" x14ac:dyDescent="0.2">
      <c r="A1280" s="451"/>
      <c r="B1280" s="451"/>
      <c r="C1280" s="451"/>
      <c r="D1280" s="451"/>
      <c r="E1280" s="468"/>
      <c r="F1280" s="468"/>
    </row>
    <row r="1281" spans="1:6" ht="12.75" x14ac:dyDescent="0.2">
      <c r="A1281" s="451"/>
      <c r="B1281" s="451"/>
      <c r="C1281" s="451"/>
      <c r="D1281" s="451"/>
      <c r="E1281" s="468"/>
      <c r="F1281" s="468"/>
    </row>
    <row r="1282" spans="1:6" ht="12.75" x14ac:dyDescent="0.2">
      <c r="A1282" s="451"/>
      <c r="B1282" s="451"/>
      <c r="C1282" s="451"/>
      <c r="D1282" s="451"/>
      <c r="E1282" s="468"/>
      <c r="F1282" s="468"/>
    </row>
    <row r="1283" spans="1:6" ht="12.75" x14ac:dyDescent="0.2">
      <c r="A1283" s="451"/>
      <c r="B1283" s="451"/>
      <c r="C1283" s="451"/>
      <c r="D1283" s="451"/>
      <c r="E1283" s="468"/>
      <c r="F1283" s="468"/>
    </row>
    <row r="1284" spans="1:6" ht="12.75" x14ac:dyDescent="0.2">
      <c r="A1284" s="451"/>
      <c r="B1284" s="451"/>
      <c r="C1284" s="451"/>
      <c r="D1284" s="451"/>
      <c r="E1284" s="468"/>
      <c r="F1284" s="468"/>
    </row>
    <row r="1285" spans="1:6" ht="12.75" x14ac:dyDescent="0.2">
      <c r="A1285" s="451"/>
      <c r="B1285" s="451"/>
      <c r="C1285" s="451"/>
      <c r="D1285" s="451"/>
      <c r="E1285" s="468"/>
      <c r="F1285" s="468"/>
    </row>
    <row r="1286" spans="1:6" ht="12.75" x14ac:dyDescent="0.2">
      <c r="A1286" s="451"/>
      <c r="B1286" s="451"/>
      <c r="C1286" s="451"/>
      <c r="D1286" s="451"/>
      <c r="E1286" s="468"/>
      <c r="F1286" s="468"/>
    </row>
    <row r="1287" spans="1:6" ht="12.75" x14ac:dyDescent="0.2">
      <c r="A1287" s="451"/>
      <c r="B1287" s="451"/>
      <c r="C1287" s="451"/>
      <c r="D1287" s="451"/>
      <c r="E1287" s="468"/>
      <c r="F1287" s="468"/>
    </row>
    <row r="1288" spans="1:6" ht="12.75" x14ac:dyDescent="0.2">
      <c r="A1288" s="451"/>
      <c r="B1288" s="451"/>
      <c r="C1288" s="451"/>
      <c r="D1288" s="451"/>
      <c r="E1288" s="468"/>
      <c r="F1288" s="468"/>
    </row>
    <row r="1289" spans="1:6" ht="12.75" x14ac:dyDescent="0.2">
      <c r="A1289" s="451"/>
      <c r="B1289" s="451"/>
      <c r="C1289" s="451"/>
      <c r="D1289" s="451"/>
      <c r="E1289" s="468"/>
      <c r="F1289" s="468"/>
    </row>
    <row r="1290" spans="1:6" ht="12.75" x14ac:dyDescent="0.2">
      <c r="A1290" s="451"/>
      <c r="B1290" s="451"/>
      <c r="C1290" s="451"/>
      <c r="D1290" s="451"/>
      <c r="E1290" s="468"/>
      <c r="F1290" s="468"/>
    </row>
    <row r="1291" spans="1:6" ht="12.75" x14ac:dyDescent="0.2">
      <c r="A1291" s="451"/>
      <c r="B1291" s="451"/>
      <c r="C1291" s="451"/>
      <c r="D1291" s="451"/>
      <c r="E1291" s="468"/>
      <c r="F1291" s="468"/>
    </row>
    <row r="1292" spans="1:6" ht="12.75" x14ac:dyDescent="0.2">
      <c r="A1292" s="451"/>
      <c r="B1292" s="451"/>
      <c r="C1292" s="451"/>
      <c r="D1292" s="451"/>
      <c r="E1292" s="468"/>
      <c r="F1292" s="468"/>
    </row>
    <row r="1293" spans="1:6" ht="12.75" x14ac:dyDescent="0.2">
      <c r="A1293" s="451"/>
      <c r="B1293" s="451"/>
      <c r="C1293" s="451"/>
      <c r="D1293" s="451"/>
      <c r="E1293" s="468"/>
      <c r="F1293" s="468"/>
    </row>
    <row r="1294" spans="1:6" ht="12.75" x14ac:dyDescent="0.2">
      <c r="A1294" s="451"/>
      <c r="B1294" s="451"/>
      <c r="C1294" s="451"/>
      <c r="D1294" s="451"/>
      <c r="E1294" s="468"/>
      <c r="F1294" s="468"/>
    </row>
    <row r="1295" spans="1:6" ht="12.75" x14ac:dyDescent="0.2">
      <c r="A1295" s="451"/>
      <c r="B1295" s="451"/>
      <c r="C1295" s="451"/>
      <c r="D1295" s="451"/>
      <c r="E1295" s="468"/>
      <c r="F1295" s="468"/>
    </row>
    <row r="1296" spans="1:6" ht="12.75" x14ac:dyDescent="0.2">
      <c r="A1296" s="451"/>
      <c r="B1296" s="451"/>
      <c r="C1296" s="451"/>
      <c r="D1296" s="451"/>
      <c r="E1296" s="468"/>
      <c r="F1296" s="468"/>
    </row>
    <row r="1297" spans="1:6" ht="12.75" x14ac:dyDescent="0.2">
      <c r="A1297" s="451"/>
      <c r="B1297" s="451"/>
      <c r="C1297" s="451"/>
      <c r="D1297" s="451"/>
      <c r="E1297" s="468"/>
      <c r="F1297" s="468"/>
    </row>
    <row r="1298" spans="1:6" ht="12.75" x14ac:dyDescent="0.2">
      <c r="A1298" s="451"/>
      <c r="B1298" s="451"/>
      <c r="C1298" s="451"/>
      <c r="D1298" s="451"/>
      <c r="E1298" s="468"/>
      <c r="F1298" s="468"/>
    </row>
    <row r="1299" spans="1:6" ht="12.75" x14ac:dyDescent="0.2">
      <c r="A1299" s="451"/>
      <c r="B1299" s="451"/>
      <c r="C1299" s="451"/>
      <c r="D1299" s="451"/>
      <c r="E1299" s="468"/>
      <c r="F1299" s="468"/>
    </row>
    <row r="1300" spans="1:6" ht="12.75" x14ac:dyDescent="0.2">
      <c r="A1300" s="451"/>
      <c r="B1300" s="451"/>
      <c r="C1300" s="451"/>
      <c r="D1300" s="451"/>
      <c r="E1300" s="468"/>
      <c r="F1300" s="468"/>
    </row>
    <row r="1301" spans="1:6" ht="12.75" x14ac:dyDescent="0.2">
      <c r="A1301" s="451"/>
      <c r="B1301" s="451"/>
      <c r="C1301" s="451"/>
      <c r="D1301" s="451"/>
      <c r="E1301" s="468"/>
      <c r="F1301" s="468"/>
    </row>
    <row r="1302" spans="1:6" ht="12.75" x14ac:dyDescent="0.2">
      <c r="A1302" s="451"/>
      <c r="B1302" s="451"/>
      <c r="C1302" s="451"/>
      <c r="D1302" s="451"/>
      <c r="E1302" s="468"/>
      <c r="F1302" s="468"/>
    </row>
    <row r="1303" spans="1:6" ht="12.75" x14ac:dyDescent="0.2">
      <c r="A1303" s="451"/>
      <c r="B1303" s="451"/>
      <c r="C1303" s="451"/>
      <c r="D1303" s="451"/>
      <c r="E1303" s="468"/>
      <c r="F1303" s="468"/>
    </row>
    <row r="1304" spans="1:6" ht="12.75" x14ac:dyDescent="0.2">
      <c r="A1304" s="451"/>
      <c r="B1304" s="451"/>
      <c r="C1304" s="451"/>
      <c r="D1304" s="451"/>
      <c r="E1304" s="468"/>
      <c r="F1304" s="468"/>
    </row>
    <row r="1305" spans="1:6" ht="12.75" x14ac:dyDescent="0.2">
      <c r="A1305" s="451"/>
      <c r="B1305" s="451"/>
      <c r="C1305" s="451"/>
      <c r="D1305" s="451"/>
      <c r="E1305" s="468"/>
      <c r="F1305" s="468"/>
    </row>
    <row r="1306" spans="1:6" ht="12.75" x14ac:dyDescent="0.2">
      <c r="A1306" s="451"/>
      <c r="B1306" s="451"/>
      <c r="C1306" s="451"/>
      <c r="D1306" s="451"/>
      <c r="E1306" s="468"/>
      <c r="F1306" s="468"/>
    </row>
    <row r="1307" spans="1:6" ht="12.75" x14ac:dyDescent="0.2">
      <c r="A1307" s="451"/>
      <c r="B1307" s="451"/>
      <c r="C1307" s="451"/>
      <c r="D1307" s="451"/>
      <c r="E1307" s="468"/>
      <c r="F1307" s="468"/>
    </row>
    <row r="1308" spans="1:6" ht="12.75" x14ac:dyDescent="0.2">
      <c r="A1308" s="451"/>
      <c r="B1308" s="451"/>
      <c r="C1308" s="451"/>
      <c r="D1308" s="451"/>
      <c r="E1308" s="468"/>
      <c r="F1308" s="468"/>
    </row>
    <row r="1309" spans="1:6" ht="12.75" x14ac:dyDescent="0.2">
      <c r="A1309" s="451"/>
      <c r="B1309" s="451"/>
      <c r="C1309" s="451"/>
      <c r="D1309" s="451"/>
      <c r="E1309" s="468"/>
      <c r="F1309" s="468"/>
    </row>
    <row r="1310" spans="1:6" ht="12.75" x14ac:dyDescent="0.2">
      <c r="A1310" s="451"/>
      <c r="B1310" s="451"/>
      <c r="C1310" s="451"/>
      <c r="D1310" s="451"/>
      <c r="E1310" s="468"/>
      <c r="F1310" s="468"/>
    </row>
    <row r="1311" spans="1:6" ht="12.75" x14ac:dyDescent="0.2">
      <c r="A1311" s="451"/>
      <c r="B1311" s="451"/>
      <c r="C1311" s="451"/>
      <c r="D1311" s="451"/>
      <c r="E1311" s="468"/>
      <c r="F1311" s="468"/>
    </row>
    <row r="1312" spans="1:6" ht="12.75" x14ac:dyDescent="0.2">
      <c r="A1312" s="451"/>
      <c r="B1312" s="451"/>
      <c r="C1312" s="451"/>
      <c r="D1312" s="451"/>
      <c r="E1312" s="468"/>
      <c r="F1312" s="468"/>
    </row>
    <row r="1313" spans="1:6" ht="12.75" x14ac:dyDescent="0.2">
      <c r="A1313" s="451"/>
      <c r="B1313" s="451"/>
      <c r="C1313" s="451"/>
      <c r="D1313" s="451"/>
      <c r="E1313" s="468"/>
      <c r="F1313" s="468"/>
    </row>
    <row r="1314" spans="1:6" ht="12.75" x14ac:dyDescent="0.2">
      <c r="A1314" s="451"/>
      <c r="B1314" s="451"/>
      <c r="C1314" s="451"/>
      <c r="D1314" s="451"/>
      <c r="E1314" s="468"/>
      <c r="F1314" s="468"/>
    </row>
    <row r="1315" spans="1:6" ht="12.75" x14ac:dyDescent="0.2">
      <c r="A1315" s="451"/>
      <c r="B1315" s="451"/>
      <c r="C1315" s="451"/>
      <c r="D1315" s="451"/>
      <c r="E1315" s="468"/>
      <c r="F1315" s="468"/>
    </row>
    <row r="1316" spans="1:6" ht="12.75" x14ac:dyDescent="0.2">
      <c r="A1316" s="451"/>
      <c r="B1316" s="451"/>
      <c r="C1316" s="451"/>
      <c r="D1316" s="451"/>
      <c r="E1316" s="468"/>
      <c r="F1316" s="468"/>
    </row>
    <row r="1317" spans="1:6" ht="12.75" x14ac:dyDescent="0.2">
      <c r="A1317" s="451"/>
      <c r="B1317" s="451"/>
      <c r="C1317" s="451"/>
      <c r="D1317" s="451"/>
      <c r="E1317" s="468"/>
      <c r="F1317" s="468"/>
    </row>
    <row r="1318" spans="1:6" ht="12.75" x14ac:dyDescent="0.2">
      <c r="A1318" s="451"/>
      <c r="B1318" s="451"/>
      <c r="C1318" s="451"/>
      <c r="D1318" s="451"/>
      <c r="E1318" s="468"/>
      <c r="F1318" s="468"/>
    </row>
    <row r="1319" spans="1:6" ht="12.75" x14ac:dyDescent="0.2">
      <c r="A1319" s="451"/>
      <c r="B1319" s="451"/>
      <c r="C1319" s="451"/>
      <c r="D1319" s="451"/>
      <c r="E1319" s="468"/>
      <c r="F1319" s="468"/>
    </row>
    <row r="1320" spans="1:6" ht="12.75" x14ac:dyDescent="0.2">
      <c r="A1320" s="451"/>
      <c r="B1320" s="451"/>
      <c r="C1320" s="451"/>
      <c r="D1320" s="451"/>
      <c r="E1320" s="468"/>
      <c r="F1320" s="468"/>
    </row>
    <row r="1321" spans="1:6" ht="12.75" x14ac:dyDescent="0.2">
      <c r="A1321" s="451"/>
      <c r="B1321" s="451"/>
      <c r="C1321" s="451"/>
      <c r="D1321" s="451"/>
      <c r="E1321" s="468"/>
      <c r="F1321" s="468"/>
    </row>
    <row r="1322" spans="1:6" ht="12.75" x14ac:dyDescent="0.2">
      <c r="A1322" s="451"/>
      <c r="B1322" s="451"/>
      <c r="C1322" s="451"/>
      <c r="D1322" s="451"/>
      <c r="E1322" s="468"/>
      <c r="F1322" s="468"/>
    </row>
    <row r="1323" spans="1:6" ht="12.75" x14ac:dyDescent="0.2">
      <c r="A1323" s="451"/>
      <c r="B1323" s="451"/>
      <c r="C1323" s="451"/>
      <c r="D1323" s="451"/>
      <c r="E1323" s="468"/>
      <c r="F1323" s="468"/>
    </row>
    <row r="1324" spans="1:6" ht="12.75" x14ac:dyDescent="0.2">
      <c r="A1324" s="451"/>
      <c r="B1324" s="451"/>
      <c r="C1324" s="451"/>
      <c r="D1324" s="451"/>
      <c r="E1324" s="468"/>
      <c r="F1324" s="468"/>
    </row>
    <row r="1325" spans="1:6" ht="12.75" x14ac:dyDescent="0.2">
      <c r="A1325" s="451"/>
      <c r="B1325" s="451"/>
      <c r="C1325" s="451"/>
      <c r="D1325" s="451"/>
      <c r="E1325" s="468"/>
      <c r="F1325" s="468"/>
    </row>
    <row r="1326" spans="1:6" ht="12.75" x14ac:dyDescent="0.2">
      <c r="A1326" s="451"/>
      <c r="B1326" s="451"/>
      <c r="C1326" s="451"/>
      <c r="D1326" s="451"/>
      <c r="E1326" s="468"/>
      <c r="F1326" s="468"/>
    </row>
    <row r="1327" spans="1:6" ht="12.75" x14ac:dyDescent="0.2">
      <c r="A1327" s="451"/>
      <c r="B1327" s="451"/>
      <c r="C1327" s="451"/>
      <c r="D1327" s="451"/>
      <c r="E1327" s="468"/>
      <c r="F1327" s="468"/>
    </row>
    <row r="1328" spans="1:6" ht="12.75" x14ac:dyDescent="0.2">
      <c r="A1328" s="451"/>
      <c r="B1328" s="451"/>
      <c r="C1328" s="451"/>
      <c r="D1328" s="451"/>
      <c r="E1328" s="468"/>
      <c r="F1328" s="468"/>
    </row>
    <row r="1329" spans="1:6" ht="12.75" x14ac:dyDescent="0.2">
      <c r="A1329" s="451"/>
      <c r="B1329" s="451"/>
      <c r="C1329" s="451"/>
      <c r="D1329" s="451"/>
      <c r="E1329" s="468"/>
      <c r="F1329" s="468"/>
    </row>
    <row r="1330" spans="1:6" ht="12.75" x14ac:dyDescent="0.2">
      <c r="A1330" s="451"/>
      <c r="B1330" s="451"/>
      <c r="C1330" s="451"/>
      <c r="D1330" s="451"/>
      <c r="E1330" s="468"/>
      <c r="F1330" s="468"/>
    </row>
    <row r="1331" spans="1:6" ht="12.75" x14ac:dyDescent="0.2">
      <c r="A1331" s="451"/>
      <c r="B1331" s="451"/>
      <c r="C1331" s="451"/>
      <c r="D1331" s="451"/>
      <c r="E1331" s="468"/>
      <c r="F1331" s="468"/>
    </row>
    <row r="1332" spans="1:6" ht="12.75" x14ac:dyDescent="0.2">
      <c r="A1332" s="451"/>
      <c r="B1332" s="451"/>
      <c r="C1332" s="451"/>
      <c r="D1332" s="451"/>
      <c r="E1332" s="468"/>
      <c r="F1332" s="468"/>
    </row>
    <row r="1333" spans="1:6" ht="12.75" x14ac:dyDescent="0.2">
      <c r="A1333" s="451"/>
      <c r="B1333" s="451"/>
      <c r="C1333" s="451"/>
      <c r="D1333" s="451"/>
      <c r="E1333" s="468"/>
      <c r="F1333" s="468"/>
    </row>
    <row r="1334" spans="1:6" ht="12.75" x14ac:dyDescent="0.2">
      <c r="A1334" s="451"/>
      <c r="B1334" s="451"/>
      <c r="C1334" s="451"/>
      <c r="D1334" s="451"/>
      <c r="E1334" s="468"/>
      <c r="F1334" s="468"/>
    </row>
    <row r="1335" spans="1:6" ht="12.75" x14ac:dyDescent="0.2">
      <c r="A1335" s="451"/>
      <c r="B1335" s="451"/>
      <c r="C1335" s="451"/>
      <c r="D1335" s="451"/>
      <c r="E1335" s="468"/>
      <c r="F1335" s="468"/>
    </row>
    <row r="1336" spans="1:6" ht="12.75" x14ac:dyDescent="0.2">
      <c r="A1336" s="451"/>
      <c r="B1336" s="451"/>
      <c r="C1336" s="451"/>
      <c r="D1336" s="451"/>
      <c r="E1336" s="468"/>
      <c r="F1336" s="468"/>
    </row>
    <row r="1337" spans="1:6" ht="12.75" x14ac:dyDescent="0.2">
      <c r="A1337" s="451"/>
      <c r="B1337" s="451"/>
      <c r="C1337" s="451"/>
      <c r="D1337" s="451"/>
      <c r="E1337" s="468"/>
      <c r="F1337" s="468"/>
    </row>
    <row r="1338" spans="1:6" ht="12.75" x14ac:dyDescent="0.2">
      <c r="A1338" s="451"/>
      <c r="B1338" s="451"/>
      <c r="C1338" s="451"/>
      <c r="D1338" s="451"/>
      <c r="E1338" s="468"/>
      <c r="F1338" s="468"/>
    </row>
    <row r="1339" spans="1:6" ht="12.75" x14ac:dyDescent="0.2">
      <c r="A1339" s="451"/>
      <c r="B1339" s="451"/>
      <c r="C1339" s="451"/>
      <c r="D1339" s="451"/>
      <c r="E1339" s="468"/>
      <c r="F1339" s="468"/>
    </row>
    <row r="1340" spans="1:6" ht="12.75" x14ac:dyDescent="0.2">
      <c r="A1340" s="451"/>
      <c r="B1340" s="451"/>
      <c r="C1340" s="451"/>
      <c r="D1340" s="451"/>
      <c r="E1340" s="468"/>
      <c r="F1340" s="468"/>
    </row>
    <row r="1341" spans="1:6" ht="12.75" x14ac:dyDescent="0.2">
      <c r="A1341" s="451"/>
      <c r="B1341" s="451"/>
      <c r="C1341" s="451"/>
      <c r="D1341" s="451"/>
      <c r="E1341" s="468"/>
      <c r="F1341" s="468"/>
    </row>
    <row r="1342" spans="1:6" ht="12.75" x14ac:dyDescent="0.2">
      <c r="A1342" s="451"/>
      <c r="B1342" s="451"/>
      <c r="C1342" s="451"/>
      <c r="D1342" s="451"/>
      <c r="E1342" s="468"/>
      <c r="F1342" s="468"/>
    </row>
    <row r="1343" spans="1:6" ht="12.75" x14ac:dyDescent="0.2">
      <c r="A1343" s="451"/>
      <c r="B1343" s="451"/>
      <c r="C1343" s="451"/>
      <c r="D1343" s="451"/>
      <c r="E1343" s="468"/>
      <c r="F1343" s="468"/>
    </row>
    <row r="1344" spans="1:6" ht="12.75" x14ac:dyDescent="0.2">
      <c r="A1344" s="451"/>
      <c r="B1344" s="451"/>
      <c r="C1344" s="451"/>
      <c r="D1344" s="451"/>
      <c r="E1344" s="468"/>
      <c r="F1344" s="468"/>
    </row>
    <row r="1345" spans="1:6" ht="12.75" x14ac:dyDescent="0.2">
      <c r="A1345" s="451"/>
      <c r="B1345" s="451"/>
      <c r="C1345" s="451"/>
      <c r="D1345" s="451"/>
      <c r="E1345" s="468"/>
      <c r="F1345" s="468"/>
    </row>
    <row r="1346" spans="1:6" ht="12.75" x14ac:dyDescent="0.2">
      <c r="A1346" s="451"/>
      <c r="B1346" s="451"/>
      <c r="C1346" s="451"/>
      <c r="D1346" s="451"/>
      <c r="E1346" s="468"/>
      <c r="F1346" s="468"/>
    </row>
    <row r="1347" spans="1:6" ht="12.75" x14ac:dyDescent="0.2">
      <c r="A1347" s="451"/>
      <c r="B1347" s="451"/>
      <c r="C1347" s="451"/>
      <c r="D1347" s="451"/>
      <c r="E1347" s="468"/>
      <c r="F1347" s="468"/>
    </row>
    <row r="1348" spans="1:6" ht="12.75" x14ac:dyDescent="0.2">
      <c r="A1348" s="451"/>
      <c r="B1348" s="451"/>
      <c r="C1348" s="451"/>
      <c r="D1348" s="451"/>
      <c r="E1348" s="468"/>
      <c r="F1348" s="468"/>
    </row>
    <row r="1349" spans="1:6" ht="12.75" x14ac:dyDescent="0.2">
      <c r="A1349" s="451"/>
      <c r="B1349" s="451"/>
      <c r="C1349" s="451"/>
      <c r="D1349" s="451"/>
      <c r="E1349" s="468"/>
      <c r="F1349" s="468"/>
    </row>
    <row r="1350" spans="1:6" ht="12.75" x14ac:dyDescent="0.2">
      <c r="A1350" s="451"/>
      <c r="B1350" s="451"/>
      <c r="C1350" s="451"/>
      <c r="D1350" s="451"/>
      <c r="E1350" s="468"/>
      <c r="F1350" s="468"/>
    </row>
    <row r="1351" spans="1:6" ht="12.75" x14ac:dyDescent="0.2">
      <c r="A1351" s="451"/>
      <c r="B1351" s="451"/>
      <c r="C1351" s="451"/>
      <c r="D1351" s="451"/>
      <c r="E1351" s="468"/>
      <c r="F1351" s="468"/>
    </row>
    <row r="1352" spans="1:6" ht="12.75" x14ac:dyDescent="0.2">
      <c r="A1352" s="451"/>
      <c r="B1352" s="451"/>
      <c r="C1352" s="451"/>
      <c r="D1352" s="451"/>
      <c r="E1352" s="468"/>
      <c r="F1352" s="468"/>
    </row>
    <row r="1353" spans="1:6" ht="12.75" x14ac:dyDescent="0.2">
      <c r="A1353" s="451"/>
      <c r="B1353" s="451"/>
      <c r="C1353" s="451"/>
      <c r="D1353" s="451"/>
      <c r="E1353" s="468"/>
      <c r="F1353" s="468"/>
    </row>
    <row r="1354" spans="1:6" ht="12.75" x14ac:dyDescent="0.2">
      <c r="A1354" s="451"/>
      <c r="B1354" s="451"/>
      <c r="C1354" s="451"/>
      <c r="D1354" s="451"/>
      <c r="E1354" s="468"/>
      <c r="F1354" s="468"/>
    </row>
    <row r="1355" spans="1:6" ht="12.75" x14ac:dyDescent="0.2">
      <c r="A1355" s="451"/>
      <c r="B1355" s="451"/>
      <c r="C1355" s="451"/>
      <c r="D1355" s="451"/>
      <c r="E1355" s="468"/>
      <c r="F1355" s="468"/>
    </row>
    <row r="1356" spans="1:6" ht="12.75" x14ac:dyDescent="0.2">
      <c r="A1356" s="451"/>
      <c r="B1356" s="451"/>
      <c r="C1356" s="451"/>
      <c r="D1356" s="451"/>
      <c r="E1356" s="468"/>
      <c r="F1356" s="468"/>
    </row>
    <row r="1357" spans="1:6" ht="12.75" x14ac:dyDescent="0.2">
      <c r="A1357" s="451"/>
      <c r="B1357" s="451"/>
      <c r="C1357" s="451"/>
      <c r="D1357" s="451"/>
      <c r="E1357" s="468"/>
      <c r="F1357" s="468"/>
    </row>
    <row r="1358" spans="1:6" ht="12.75" x14ac:dyDescent="0.2">
      <c r="A1358" s="451"/>
      <c r="B1358" s="451"/>
      <c r="C1358" s="451"/>
      <c r="D1358" s="451"/>
      <c r="E1358" s="468"/>
      <c r="F1358" s="468"/>
    </row>
    <row r="1359" spans="1:6" ht="12.75" x14ac:dyDescent="0.2">
      <c r="A1359" s="451"/>
      <c r="B1359" s="451"/>
      <c r="C1359" s="451"/>
      <c r="D1359" s="451"/>
      <c r="E1359" s="468"/>
      <c r="F1359" s="468"/>
    </row>
    <row r="1360" spans="1:6" ht="12.75" x14ac:dyDescent="0.2">
      <c r="A1360" s="451"/>
      <c r="B1360" s="451"/>
      <c r="C1360" s="451"/>
      <c r="D1360" s="451"/>
      <c r="E1360" s="468"/>
      <c r="F1360" s="468"/>
    </row>
    <row r="1361" spans="1:6" ht="12.75" x14ac:dyDescent="0.2">
      <c r="A1361" s="451"/>
      <c r="B1361" s="451"/>
      <c r="C1361" s="451"/>
      <c r="D1361" s="451"/>
      <c r="E1361" s="468"/>
      <c r="F1361" s="468"/>
    </row>
    <row r="1362" spans="1:6" ht="12.75" x14ac:dyDescent="0.2">
      <c r="A1362" s="451"/>
      <c r="B1362" s="451"/>
      <c r="C1362" s="451"/>
      <c r="D1362" s="451"/>
      <c r="E1362" s="468"/>
      <c r="F1362" s="468"/>
    </row>
    <row r="1363" spans="1:6" ht="12.75" x14ac:dyDescent="0.2">
      <c r="A1363" s="451"/>
      <c r="B1363" s="451"/>
      <c r="C1363" s="451"/>
      <c r="D1363" s="451"/>
      <c r="E1363" s="468"/>
      <c r="F1363" s="468"/>
    </row>
    <row r="1364" spans="1:6" ht="12.75" x14ac:dyDescent="0.2">
      <c r="A1364" s="451"/>
      <c r="B1364" s="451"/>
      <c r="C1364" s="451"/>
      <c r="D1364" s="451"/>
      <c r="E1364" s="468"/>
      <c r="F1364" s="468"/>
    </row>
    <row r="1365" spans="1:6" ht="12.75" x14ac:dyDescent="0.2">
      <c r="A1365" s="451"/>
      <c r="B1365" s="451"/>
      <c r="C1365" s="451"/>
      <c r="D1365" s="451"/>
      <c r="E1365" s="468"/>
      <c r="F1365" s="468"/>
    </row>
    <row r="1366" spans="1:6" ht="12.75" x14ac:dyDescent="0.2">
      <c r="A1366" s="451"/>
      <c r="B1366" s="451"/>
      <c r="C1366" s="451"/>
      <c r="D1366" s="451"/>
      <c r="E1366" s="468"/>
      <c r="F1366" s="468"/>
    </row>
    <row r="1367" spans="1:6" ht="12.75" x14ac:dyDescent="0.2">
      <c r="A1367" s="451"/>
      <c r="B1367" s="451"/>
      <c r="C1367" s="451"/>
      <c r="D1367" s="451"/>
      <c r="E1367" s="468"/>
      <c r="F1367" s="468"/>
    </row>
    <row r="1368" spans="1:6" ht="12.75" x14ac:dyDescent="0.2">
      <c r="A1368" s="451"/>
      <c r="B1368" s="451"/>
      <c r="C1368" s="451"/>
      <c r="D1368" s="451"/>
      <c r="E1368" s="468"/>
      <c r="F1368" s="468"/>
    </row>
    <row r="1369" spans="1:6" ht="12.75" x14ac:dyDescent="0.2">
      <c r="A1369" s="451"/>
      <c r="B1369" s="451"/>
      <c r="C1369" s="451"/>
      <c r="D1369" s="451"/>
      <c r="E1369" s="468"/>
      <c r="F1369" s="468"/>
    </row>
    <row r="1370" spans="1:6" ht="12.75" x14ac:dyDescent="0.2">
      <c r="A1370" s="451"/>
      <c r="B1370" s="451"/>
      <c r="C1370" s="451"/>
      <c r="D1370" s="451"/>
      <c r="E1370" s="468"/>
      <c r="F1370" s="468"/>
    </row>
    <row r="1371" spans="1:6" ht="12.75" x14ac:dyDescent="0.2">
      <c r="A1371" s="451"/>
      <c r="B1371" s="451"/>
      <c r="C1371" s="451"/>
      <c r="D1371" s="451"/>
      <c r="E1371" s="468"/>
      <c r="F1371" s="468"/>
    </row>
    <row r="1372" spans="1:6" ht="12.75" x14ac:dyDescent="0.2">
      <c r="A1372" s="451"/>
      <c r="B1372" s="451"/>
      <c r="C1372" s="451"/>
      <c r="D1372" s="451"/>
      <c r="E1372" s="468"/>
      <c r="F1372" s="468"/>
    </row>
    <row r="1373" spans="1:6" ht="12.75" x14ac:dyDescent="0.2">
      <c r="A1373" s="451"/>
      <c r="B1373" s="451"/>
      <c r="C1373" s="451"/>
      <c r="D1373" s="451"/>
      <c r="E1373" s="468"/>
      <c r="F1373" s="468"/>
    </row>
    <row r="1374" spans="1:6" ht="12.75" x14ac:dyDescent="0.2">
      <c r="A1374" s="451"/>
      <c r="B1374" s="451"/>
      <c r="C1374" s="451"/>
      <c r="D1374" s="451"/>
      <c r="E1374" s="468"/>
      <c r="F1374" s="468"/>
    </row>
    <row r="1375" spans="1:6" ht="12.75" x14ac:dyDescent="0.2">
      <c r="A1375" s="451"/>
      <c r="B1375" s="451"/>
      <c r="C1375" s="451"/>
      <c r="D1375" s="451"/>
      <c r="E1375" s="468"/>
      <c r="F1375" s="468"/>
    </row>
    <row r="1376" spans="1:6" ht="12.75" x14ac:dyDescent="0.2">
      <c r="A1376" s="451"/>
      <c r="B1376" s="451"/>
      <c r="C1376" s="451"/>
      <c r="D1376" s="451"/>
      <c r="E1376" s="468"/>
      <c r="F1376" s="468"/>
    </row>
    <row r="1377" spans="1:6" ht="12.75" x14ac:dyDescent="0.2">
      <c r="A1377" s="451"/>
      <c r="B1377" s="451"/>
      <c r="C1377" s="451"/>
      <c r="D1377" s="451"/>
      <c r="E1377" s="468"/>
      <c r="F1377" s="468"/>
    </row>
    <row r="1378" spans="1:6" ht="12.75" x14ac:dyDescent="0.2">
      <c r="A1378" s="451"/>
      <c r="B1378" s="451"/>
      <c r="C1378" s="451"/>
      <c r="D1378" s="451"/>
      <c r="E1378" s="468"/>
      <c r="F1378" s="468"/>
    </row>
    <row r="1379" spans="1:6" ht="12.75" x14ac:dyDescent="0.2">
      <c r="A1379" s="451"/>
      <c r="B1379" s="451"/>
      <c r="C1379" s="451"/>
      <c r="D1379" s="451"/>
      <c r="E1379" s="468"/>
      <c r="F1379" s="468"/>
    </row>
    <row r="1380" spans="1:6" ht="12.75" x14ac:dyDescent="0.2">
      <c r="A1380" s="451"/>
      <c r="B1380" s="451"/>
      <c r="C1380" s="451"/>
      <c r="D1380" s="451"/>
      <c r="E1380" s="468"/>
      <c r="F1380" s="468"/>
    </row>
    <row r="1381" spans="1:6" ht="12.75" x14ac:dyDescent="0.2">
      <c r="A1381" s="451"/>
      <c r="B1381" s="451"/>
      <c r="C1381" s="451"/>
      <c r="D1381" s="451"/>
      <c r="E1381" s="468"/>
      <c r="F1381" s="468"/>
    </row>
    <row r="1382" spans="1:6" ht="12.75" x14ac:dyDescent="0.2">
      <c r="A1382" s="451"/>
      <c r="B1382" s="451"/>
      <c r="C1382" s="451"/>
      <c r="D1382" s="451"/>
      <c r="E1382" s="468"/>
      <c r="F1382" s="468"/>
    </row>
    <row r="1383" spans="1:6" ht="12.75" x14ac:dyDescent="0.2">
      <c r="A1383" s="451"/>
      <c r="B1383" s="451"/>
      <c r="C1383" s="451"/>
      <c r="D1383" s="451"/>
      <c r="E1383" s="468"/>
      <c r="F1383" s="468"/>
    </row>
    <row r="1384" spans="1:6" ht="12.75" x14ac:dyDescent="0.2">
      <c r="A1384" s="451"/>
      <c r="B1384" s="451"/>
      <c r="C1384" s="451"/>
      <c r="D1384" s="451"/>
      <c r="E1384" s="468"/>
      <c r="F1384" s="468"/>
    </row>
    <row r="1385" spans="1:6" ht="12.75" x14ac:dyDescent="0.2">
      <c r="A1385" s="451"/>
      <c r="B1385" s="451"/>
      <c r="C1385" s="451"/>
      <c r="D1385" s="451"/>
      <c r="E1385" s="468"/>
      <c r="F1385" s="468"/>
    </row>
    <row r="1386" spans="1:6" ht="12.75" x14ac:dyDescent="0.2">
      <c r="A1386" s="451"/>
      <c r="B1386" s="451"/>
      <c r="C1386" s="451"/>
      <c r="D1386" s="451"/>
      <c r="E1386" s="468"/>
      <c r="F1386" s="468"/>
    </row>
    <row r="1387" spans="1:6" ht="12.75" x14ac:dyDescent="0.2">
      <c r="A1387" s="451"/>
      <c r="B1387" s="451"/>
      <c r="C1387" s="451"/>
      <c r="D1387" s="451"/>
      <c r="E1387" s="468"/>
      <c r="F1387" s="468"/>
    </row>
    <row r="1388" spans="1:6" ht="12.75" x14ac:dyDescent="0.2">
      <c r="A1388" s="451"/>
      <c r="B1388" s="451"/>
      <c r="C1388" s="451"/>
      <c r="D1388" s="451"/>
      <c r="E1388" s="468"/>
      <c r="F1388" s="468"/>
    </row>
    <row r="1389" spans="1:6" ht="12.75" x14ac:dyDescent="0.2">
      <c r="A1389" s="451"/>
      <c r="B1389" s="451"/>
      <c r="C1389" s="451"/>
      <c r="D1389" s="451"/>
      <c r="E1389" s="468"/>
      <c r="F1389" s="468"/>
    </row>
    <row r="1390" spans="1:6" ht="12.75" x14ac:dyDescent="0.2">
      <c r="A1390" s="451"/>
      <c r="B1390" s="451"/>
      <c r="C1390" s="451"/>
      <c r="D1390" s="451"/>
      <c r="E1390" s="468"/>
      <c r="F1390" s="468"/>
    </row>
    <row r="1391" spans="1:6" ht="12.75" x14ac:dyDescent="0.2">
      <c r="A1391" s="451"/>
      <c r="B1391" s="451"/>
      <c r="C1391" s="451"/>
      <c r="D1391" s="451"/>
      <c r="E1391" s="468"/>
      <c r="F1391" s="468"/>
    </row>
    <row r="1392" spans="1:6" ht="12.75" x14ac:dyDescent="0.2">
      <c r="A1392" s="451"/>
      <c r="B1392" s="451"/>
      <c r="C1392" s="451"/>
      <c r="D1392" s="451"/>
      <c r="E1392" s="468"/>
      <c r="F1392" s="468"/>
    </row>
    <row r="1393" spans="1:6" ht="12.75" x14ac:dyDescent="0.2">
      <c r="A1393" s="451"/>
      <c r="B1393" s="451"/>
      <c r="C1393" s="451"/>
      <c r="D1393" s="451"/>
      <c r="E1393" s="468"/>
      <c r="F1393" s="468"/>
    </row>
    <row r="1394" spans="1:6" ht="12.75" x14ac:dyDescent="0.2">
      <c r="A1394" s="451"/>
      <c r="B1394" s="451"/>
      <c r="C1394" s="451"/>
      <c r="D1394" s="451"/>
      <c r="E1394" s="468"/>
      <c r="F1394" s="468"/>
    </row>
    <row r="1395" spans="1:6" ht="12.75" x14ac:dyDescent="0.2">
      <c r="A1395" s="451"/>
      <c r="B1395" s="451"/>
      <c r="C1395" s="451"/>
      <c r="D1395" s="451"/>
      <c r="E1395" s="468"/>
      <c r="F1395" s="468"/>
    </row>
    <row r="1396" spans="1:6" ht="12.75" x14ac:dyDescent="0.2">
      <c r="A1396" s="451"/>
      <c r="B1396" s="451"/>
      <c r="C1396" s="451"/>
      <c r="D1396" s="451"/>
      <c r="E1396" s="468"/>
      <c r="F1396" s="468"/>
    </row>
    <row r="1397" spans="1:6" ht="12.75" x14ac:dyDescent="0.2">
      <c r="A1397" s="451"/>
      <c r="B1397" s="451"/>
      <c r="C1397" s="451"/>
      <c r="D1397" s="451"/>
      <c r="E1397" s="468"/>
      <c r="F1397" s="468"/>
    </row>
    <row r="1398" spans="1:6" ht="12.75" x14ac:dyDescent="0.2">
      <c r="A1398" s="451"/>
      <c r="B1398" s="451"/>
      <c r="C1398" s="451"/>
      <c r="D1398" s="451"/>
      <c r="E1398" s="468"/>
      <c r="F1398" s="468"/>
    </row>
    <row r="1399" spans="1:6" ht="12.75" x14ac:dyDescent="0.2">
      <c r="A1399" s="451"/>
      <c r="B1399" s="451"/>
      <c r="C1399" s="451"/>
      <c r="D1399" s="451"/>
      <c r="E1399" s="468"/>
      <c r="F1399" s="468"/>
    </row>
    <row r="1400" spans="1:6" ht="12.75" x14ac:dyDescent="0.2">
      <c r="A1400" s="451"/>
      <c r="B1400" s="451"/>
      <c r="C1400" s="451"/>
      <c r="D1400" s="451"/>
      <c r="E1400" s="468"/>
      <c r="F1400" s="468"/>
    </row>
    <row r="1401" spans="1:6" ht="12.75" x14ac:dyDescent="0.2">
      <c r="A1401" s="451"/>
      <c r="B1401" s="451"/>
      <c r="C1401" s="451"/>
      <c r="D1401" s="451"/>
      <c r="E1401" s="468"/>
      <c r="F1401" s="468"/>
    </row>
    <row r="1402" spans="1:6" ht="12.75" x14ac:dyDescent="0.2">
      <c r="A1402" s="451"/>
      <c r="B1402" s="451"/>
      <c r="C1402" s="451"/>
      <c r="D1402" s="451"/>
      <c r="E1402" s="468"/>
      <c r="F1402" s="468"/>
    </row>
    <row r="1403" spans="1:6" ht="12.75" x14ac:dyDescent="0.2">
      <c r="A1403" s="451"/>
      <c r="B1403" s="451"/>
      <c r="C1403" s="451"/>
      <c r="D1403" s="451"/>
      <c r="E1403" s="468"/>
      <c r="F1403" s="468"/>
    </row>
    <row r="1404" spans="1:6" ht="12.75" x14ac:dyDescent="0.2">
      <c r="A1404" s="451"/>
      <c r="B1404" s="451"/>
      <c r="C1404" s="451"/>
      <c r="D1404" s="451"/>
      <c r="E1404" s="468"/>
      <c r="F1404" s="468"/>
    </row>
    <row r="1405" spans="1:6" ht="12.75" x14ac:dyDescent="0.2">
      <c r="A1405" s="451"/>
      <c r="B1405" s="451"/>
      <c r="C1405" s="451"/>
      <c r="D1405" s="451"/>
      <c r="E1405" s="468"/>
      <c r="F1405" s="468"/>
    </row>
    <row r="1406" spans="1:6" ht="12.75" x14ac:dyDescent="0.2">
      <c r="A1406" s="451"/>
      <c r="B1406" s="451"/>
      <c r="C1406" s="451"/>
      <c r="D1406" s="451"/>
      <c r="E1406" s="468"/>
      <c r="F1406" s="468"/>
    </row>
    <row r="1407" spans="1:6" ht="12.75" x14ac:dyDescent="0.2">
      <c r="A1407" s="451"/>
      <c r="B1407" s="451"/>
      <c r="C1407" s="451"/>
      <c r="D1407" s="451"/>
      <c r="E1407" s="468"/>
      <c r="F1407" s="468"/>
    </row>
    <row r="1408" spans="1:6" ht="12.75" x14ac:dyDescent="0.2">
      <c r="A1408" s="451"/>
      <c r="B1408" s="451"/>
      <c r="C1408" s="451"/>
      <c r="D1408" s="451"/>
      <c r="E1408" s="468"/>
      <c r="F1408" s="468"/>
    </row>
    <row r="1409" spans="1:6" ht="12.75" x14ac:dyDescent="0.2">
      <c r="A1409" s="451"/>
      <c r="B1409" s="451"/>
      <c r="C1409" s="451"/>
      <c r="D1409" s="451"/>
      <c r="E1409" s="468"/>
      <c r="F1409" s="468"/>
    </row>
    <row r="1410" spans="1:6" ht="12.75" x14ac:dyDescent="0.2">
      <c r="A1410" s="451"/>
      <c r="B1410" s="451"/>
      <c r="C1410" s="451"/>
      <c r="D1410" s="451"/>
      <c r="E1410" s="468"/>
      <c r="F1410" s="468"/>
    </row>
    <row r="1411" spans="1:6" ht="12.75" x14ac:dyDescent="0.2">
      <c r="A1411" s="451"/>
      <c r="B1411" s="451"/>
      <c r="C1411" s="451"/>
      <c r="D1411" s="451"/>
      <c r="E1411" s="468"/>
      <c r="F1411" s="468"/>
    </row>
    <row r="1412" spans="1:6" ht="12.75" x14ac:dyDescent="0.2">
      <c r="A1412" s="451"/>
      <c r="B1412" s="451"/>
      <c r="C1412" s="451"/>
      <c r="D1412" s="451"/>
      <c r="E1412" s="468"/>
      <c r="F1412" s="468"/>
    </row>
    <row r="1413" spans="1:6" ht="12.75" x14ac:dyDescent="0.2">
      <c r="A1413" s="451"/>
      <c r="B1413" s="451"/>
      <c r="C1413" s="451"/>
      <c r="D1413" s="451"/>
      <c r="E1413" s="468"/>
      <c r="F1413" s="468"/>
    </row>
    <row r="1414" spans="1:6" ht="12.75" x14ac:dyDescent="0.2">
      <c r="A1414" s="451"/>
      <c r="B1414" s="451"/>
      <c r="C1414" s="451"/>
      <c r="D1414" s="451"/>
      <c r="E1414" s="468"/>
      <c r="F1414" s="468"/>
    </row>
    <row r="1415" spans="1:6" ht="12.75" x14ac:dyDescent="0.2">
      <c r="A1415" s="451"/>
      <c r="B1415" s="451"/>
      <c r="C1415" s="451"/>
      <c r="D1415" s="451"/>
      <c r="E1415" s="468"/>
      <c r="F1415" s="468"/>
    </row>
    <row r="1416" spans="1:6" ht="12.75" x14ac:dyDescent="0.2">
      <c r="A1416" s="451"/>
      <c r="B1416" s="451"/>
      <c r="C1416" s="451"/>
      <c r="D1416" s="451"/>
      <c r="E1416" s="468"/>
      <c r="F1416" s="468"/>
    </row>
    <row r="1417" spans="1:6" ht="12.75" x14ac:dyDescent="0.2">
      <c r="A1417" s="451"/>
      <c r="B1417" s="451"/>
      <c r="C1417" s="451"/>
      <c r="D1417" s="451"/>
      <c r="E1417" s="468"/>
      <c r="F1417" s="468"/>
    </row>
    <row r="1418" spans="1:6" ht="12.75" x14ac:dyDescent="0.2">
      <c r="A1418" s="451"/>
      <c r="B1418" s="451"/>
      <c r="C1418" s="451"/>
      <c r="D1418" s="451"/>
      <c r="E1418" s="468"/>
      <c r="F1418" s="468"/>
    </row>
    <row r="1419" spans="1:6" ht="12.75" x14ac:dyDescent="0.2">
      <c r="A1419" s="451"/>
      <c r="B1419" s="451"/>
      <c r="C1419" s="451"/>
      <c r="D1419" s="451"/>
      <c r="E1419" s="468"/>
      <c r="F1419" s="468"/>
    </row>
    <row r="1420" spans="1:6" ht="12.75" x14ac:dyDescent="0.2">
      <c r="A1420" s="451"/>
      <c r="B1420" s="451"/>
      <c r="C1420" s="451"/>
      <c r="D1420" s="451"/>
      <c r="E1420" s="468"/>
      <c r="F1420" s="468"/>
    </row>
    <row r="1421" spans="1:6" ht="12.75" x14ac:dyDescent="0.2">
      <c r="A1421" s="451"/>
      <c r="B1421" s="451"/>
      <c r="C1421" s="451"/>
      <c r="D1421" s="451"/>
      <c r="E1421" s="468"/>
      <c r="F1421" s="468"/>
    </row>
    <row r="1422" spans="1:6" ht="12.75" x14ac:dyDescent="0.2">
      <c r="A1422" s="451"/>
      <c r="B1422" s="451"/>
      <c r="C1422" s="451"/>
      <c r="D1422" s="451"/>
      <c r="E1422" s="468"/>
      <c r="F1422" s="468"/>
    </row>
    <row r="1423" spans="1:6" ht="12.75" x14ac:dyDescent="0.2">
      <c r="A1423" s="451"/>
      <c r="B1423" s="451"/>
      <c r="C1423" s="451"/>
      <c r="D1423" s="451"/>
      <c r="E1423" s="468"/>
      <c r="F1423" s="468"/>
    </row>
    <row r="1424" spans="1:6" ht="12.75" x14ac:dyDescent="0.2">
      <c r="A1424" s="451"/>
      <c r="B1424" s="451"/>
      <c r="C1424" s="451"/>
      <c r="D1424" s="451"/>
      <c r="E1424" s="468"/>
      <c r="F1424" s="468"/>
    </row>
    <row r="1425" spans="1:6" ht="12.75" x14ac:dyDescent="0.2">
      <c r="A1425" s="451"/>
      <c r="B1425" s="451"/>
      <c r="C1425" s="451"/>
      <c r="D1425" s="451"/>
      <c r="E1425" s="468"/>
      <c r="F1425" s="468"/>
    </row>
    <row r="1426" spans="1:6" ht="12.75" x14ac:dyDescent="0.2">
      <c r="A1426" s="451"/>
      <c r="B1426" s="451"/>
      <c r="C1426" s="451"/>
      <c r="D1426" s="451"/>
      <c r="E1426" s="468"/>
      <c r="F1426" s="468"/>
    </row>
    <row r="1427" spans="1:6" ht="12.75" x14ac:dyDescent="0.2">
      <c r="A1427" s="451"/>
      <c r="B1427" s="451"/>
      <c r="C1427" s="451"/>
      <c r="D1427" s="451"/>
      <c r="E1427" s="468"/>
      <c r="F1427" s="468"/>
    </row>
    <row r="1428" spans="1:6" ht="12.75" x14ac:dyDescent="0.2">
      <c r="A1428" s="451"/>
      <c r="B1428" s="451"/>
      <c r="C1428" s="451"/>
      <c r="D1428" s="451"/>
      <c r="E1428" s="468"/>
      <c r="F1428" s="468"/>
    </row>
    <row r="1429" spans="1:6" ht="12.75" x14ac:dyDescent="0.2">
      <c r="A1429" s="451"/>
      <c r="B1429" s="451"/>
      <c r="C1429" s="451"/>
      <c r="D1429" s="451"/>
      <c r="E1429" s="468"/>
      <c r="F1429" s="468"/>
    </row>
    <row r="1430" spans="1:6" ht="12.75" x14ac:dyDescent="0.2">
      <c r="A1430" s="451"/>
      <c r="B1430" s="451"/>
      <c r="C1430" s="451"/>
      <c r="D1430" s="451"/>
      <c r="E1430" s="468"/>
      <c r="F1430" s="468"/>
    </row>
    <row r="1431" spans="1:6" ht="12.75" x14ac:dyDescent="0.2">
      <c r="A1431" s="451"/>
      <c r="B1431" s="451"/>
      <c r="C1431" s="451"/>
      <c r="D1431" s="451"/>
      <c r="E1431" s="468"/>
      <c r="F1431" s="468"/>
    </row>
    <row r="1432" spans="1:6" ht="12.75" x14ac:dyDescent="0.2">
      <c r="A1432" s="451"/>
      <c r="B1432" s="451"/>
      <c r="C1432" s="451"/>
      <c r="D1432" s="451"/>
      <c r="E1432" s="468"/>
      <c r="F1432" s="468"/>
    </row>
    <row r="1433" spans="1:6" ht="12.75" x14ac:dyDescent="0.2">
      <c r="A1433" s="451"/>
      <c r="B1433" s="451"/>
      <c r="C1433" s="451"/>
      <c r="D1433" s="451"/>
      <c r="E1433" s="468"/>
      <c r="F1433" s="468"/>
    </row>
    <row r="1434" spans="1:6" ht="12.75" x14ac:dyDescent="0.2">
      <c r="A1434" s="451"/>
      <c r="B1434" s="451"/>
      <c r="C1434" s="451"/>
      <c r="D1434" s="451"/>
      <c r="E1434" s="468"/>
      <c r="F1434" s="468"/>
    </row>
    <row r="1435" spans="1:6" ht="12.75" x14ac:dyDescent="0.2">
      <c r="A1435" s="451"/>
      <c r="B1435" s="451"/>
      <c r="C1435" s="451"/>
      <c r="D1435" s="451"/>
      <c r="E1435" s="468"/>
      <c r="F1435" s="468"/>
    </row>
    <row r="1436" spans="1:6" ht="12.75" x14ac:dyDescent="0.2">
      <c r="A1436" s="451"/>
      <c r="B1436" s="451"/>
      <c r="C1436" s="451"/>
      <c r="D1436" s="451"/>
      <c r="E1436" s="468"/>
      <c r="F1436" s="468"/>
    </row>
    <row r="1437" spans="1:6" ht="12.75" x14ac:dyDescent="0.2">
      <c r="A1437" s="451"/>
      <c r="B1437" s="451"/>
      <c r="C1437" s="451"/>
      <c r="D1437" s="451"/>
      <c r="E1437" s="468"/>
      <c r="F1437" s="468"/>
    </row>
    <row r="1438" spans="1:6" ht="12.75" x14ac:dyDescent="0.2">
      <c r="A1438" s="451"/>
      <c r="B1438" s="451"/>
      <c r="C1438" s="451"/>
      <c r="D1438" s="451"/>
      <c r="E1438" s="468"/>
      <c r="F1438" s="468"/>
    </row>
    <row r="1439" spans="1:6" ht="12.75" x14ac:dyDescent="0.2">
      <c r="A1439" s="451"/>
      <c r="B1439" s="451"/>
      <c r="C1439" s="451"/>
      <c r="D1439" s="451"/>
      <c r="E1439" s="468"/>
      <c r="F1439" s="468"/>
    </row>
    <row r="1440" spans="1:6" ht="12.75" x14ac:dyDescent="0.2">
      <c r="A1440" s="451"/>
      <c r="B1440" s="451"/>
      <c r="C1440" s="451"/>
      <c r="D1440" s="451"/>
      <c r="E1440" s="468"/>
      <c r="F1440" s="468"/>
    </row>
    <row r="1441" spans="1:6" ht="12.75" x14ac:dyDescent="0.2">
      <c r="A1441" s="451"/>
      <c r="B1441" s="451"/>
      <c r="C1441" s="451"/>
      <c r="D1441" s="451"/>
      <c r="E1441" s="468"/>
      <c r="F1441" s="468"/>
    </row>
    <row r="1442" spans="1:6" ht="12.75" x14ac:dyDescent="0.2">
      <c r="A1442" s="451"/>
      <c r="B1442" s="451"/>
      <c r="C1442" s="451"/>
      <c r="D1442" s="451"/>
      <c r="E1442" s="468"/>
      <c r="F1442" s="468"/>
    </row>
    <row r="1443" spans="1:6" ht="12.75" x14ac:dyDescent="0.2">
      <c r="A1443" s="451"/>
      <c r="B1443" s="451"/>
      <c r="C1443" s="451"/>
      <c r="D1443" s="451"/>
      <c r="E1443" s="468"/>
      <c r="F1443" s="468"/>
    </row>
    <row r="1444" spans="1:6" ht="12.75" x14ac:dyDescent="0.2">
      <c r="A1444" s="451"/>
      <c r="B1444" s="451"/>
      <c r="C1444" s="451"/>
      <c r="D1444" s="451"/>
      <c r="E1444" s="468"/>
      <c r="F1444" s="468"/>
    </row>
    <row r="1445" spans="1:6" ht="12.75" x14ac:dyDescent="0.2">
      <c r="A1445" s="451"/>
      <c r="B1445" s="451"/>
      <c r="C1445" s="451"/>
      <c r="D1445" s="451"/>
      <c r="E1445" s="468"/>
      <c r="F1445" s="468"/>
    </row>
    <row r="1446" spans="1:6" ht="12.75" x14ac:dyDescent="0.2">
      <c r="A1446" s="451"/>
      <c r="B1446" s="451"/>
      <c r="C1446" s="451"/>
      <c r="D1446" s="451"/>
      <c r="E1446" s="468"/>
      <c r="F1446" s="468"/>
    </row>
    <row r="1447" spans="1:6" ht="12.75" x14ac:dyDescent="0.2">
      <c r="A1447" s="451"/>
      <c r="B1447" s="451"/>
      <c r="C1447" s="451"/>
      <c r="D1447" s="451"/>
      <c r="E1447" s="468"/>
      <c r="F1447" s="468"/>
    </row>
    <row r="1448" spans="1:6" ht="12.75" x14ac:dyDescent="0.2">
      <c r="A1448" s="451"/>
      <c r="B1448" s="451"/>
      <c r="C1448" s="451"/>
      <c r="D1448" s="451"/>
      <c r="E1448" s="468"/>
      <c r="F1448" s="468"/>
    </row>
    <row r="1449" spans="1:6" ht="12.75" x14ac:dyDescent="0.2">
      <c r="A1449" s="451"/>
      <c r="B1449" s="451"/>
      <c r="C1449" s="451"/>
      <c r="D1449" s="451"/>
      <c r="E1449" s="468"/>
      <c r="F1449" s="468"/>
    </row>
    <row r="1450" spans="1:6" ht="12.75" x14ac:dyDescent="0.2">
      <c r="A1450" s="451"/>
      <c r="B1450" s="451"/>
      <c r="C1450" s="451"/>
      <c r="D1450" s="451"/>
      <c r="E1450" s="468"/>
      <c r="F1450" s="468"/>
    </row>
    <row r="1451" spans="1:6" ht="12.75" x14ac:dyDescent="0.2">
      <c r="A1451" s="451"/>
      <c r="B1451" s="451"/>
      <c r="C1451" s="451"/>
      <c r="D1451" s="451"/>
      <c r="E1451" s="468"/>
      <c r="F1451" s="468"/>
    </row>
    <row r="1452" spans="1:6" ht="12.75" x14ac:dyDescent="0.2">
      <c r="A1452" s="451"/>
      <c r="B1452" s="451"/>
      <c r="C1452" s="451"/>
      <c r="D1452" s="451"/>
      <c r="E1452" s="468"/>
      <c r="F1452" s="468"/>
    </row>
    <row r="1453" spans="1:6" ht="12.75" x14ac:dyDescent="0.2">
      <c r="A1453" s="451"/>
      <c r="B1453" s="451"/>
      <c r="C1453" s="451"/>
      <c r="D1453" s="451"/>
      <c r="E1453" s="468"/>
      <c r="F1453" s="468"/>
    </row>
    <row r="1454" spans="1:6" ht="12.75" x14ac:dyDescent="0.2">
      <c r="A1454" s="451"/>
      <c r="B1454" s="451"/>
      <c r="C1454" s="451"/>
      <c r="D1454" s="451"/>
      <c r="E1454" s="468"/>
      <c r="F1454" s="468"/>
    </row>
    <row r="1455" spans="1:6" ht="12.75" x14ac:dyDescent="0.2">
      <c r="A1455" s="451"/>
      <c r="B1455" s="451"/>
      <c r="C1455" s="451"/>
      <c r="D1455" s="451"/>
      <c r="E1455" s="468"/>
      <c r="F1455" s="468"/>
    </row>
    <row r="1456" spans="1:6" ht="12.75" x14ac:dyDescent="0.2">
      <c r="A1456" s="451"/>
      <c r="B1456" s="451"/>
      <c r="C1456" s="451"/>
      <c r="D1456" s="451"/>
      <c r="E1456" s="468"/>
      <c r="F1456" s="468"/>
    </row>
    <row r="1457" spans="1:6" ht="12.75" x14ac:dyDescent="0.2">
      <c r="A1457" s="451"/>
      <c r="B1457" s="451"/>
      <c r="C1457" s="451"/>
      <c r="D1457" s="451"/>
      <c r="E1457" s="468"/>
      <c r="F1457" s="468"/>
    </row>
    <row r="1458" spans="1:6" ht="12.75" x14ac:dyDescent="0.2">
      <c r="A1458" s="451"/>
      <c r="B1458" s="451"/>
      <c r="C1458" s="451"/>
      <c r="D1458" s="451"/>
      <c r="E1458" s="468"/>
      <c r="F1458" s="468"/>
    </row>
    <row r="1459" spans="1:6" ht="12.75" x14ac:dyDescent="0.2">
      <c r="A1459" s="451"/>
      <c r="B1459" s="451"/>
      <c r="C1459" s="451"/>
      <c r="D1459" s="451"/>
      <c r="E1459" s="468"/>
      <c r="F1459" s="468"/>
    </row>
    <row r="1460" spans="1:6" ht="12.75" x14ac:dyDescent="0.2">
      <c r="A1460" s="451"/>
      <c r="B1460" s="451"/>
      <c r="C1460" s="451"/>
      <c r="D1460" s="451"/>
      <c r="E1460" s="468"/>
      <c r="F1460" s="468"/>
    </row>
    <row r="1461" spans="1:6" ht="12.75" x14ac:dyDescent="0.2">
      <c r="A1461" s="451"/>
      <c r="B1461" s="451"/>
      <c r="C1461" s="451"/>
      <c r="D1461" s="451"/>
      <c r="E1461" s="468"/>
      <c r="F1461" s="468"/>
    </row>
    <row r="1462" spans="1:6" ht="12.75" x14ac:dyDescent="0.2">
      <c r="A1462" s="451"/>
      <c r="B1462" s="451"/>
      <c r="C1462" s="451"/>
      <c r="D1462" s="451"/>
      <c r="E1462" s="468"/>
      <c r="F1462" s="468"/>
    </row>
    <row r="1463" spans="1:6" ht="12.75" x14ac:dyDescent="0.2">
      <c r="A1463" s="451"/>
      <c r="B1463" s="451"/>
      <c r="C1463" s="451"/>
      <c r="D1463" s="451"/>
      <c r="E1463" s="468"/>
      <c r="F1463" s="468"/>
    </row>
    <row r="1464" spans="1:6" ht="12.75" x14ac:dyDescent="0.2">
      <c r="A1464" s="451"/>
      <c r="B1464" s="451"/>
      <c r="C1464" s="451"/>
      <c r="D1464" s="451"/>
      <c r="E1464" s="468"/>
      <c r="F1464" s="468"/>
    </row>
    <row r="1465" spans="1:6" ht="12.75" x14ac:dyDescent="0.2">
      <c r="A1465" s="451"/>
      <c r="B1465" s="451"/>
      <c r="C1465" s="451"/>
      <c r="D1465" s="451"/>
      <c r="E1465" s="468"/>
      <c r="F1465" s="468"/>
    </row>
    <row r="1466" spans="1:6" ht="12.75" x14ac:dyDescent="0.2">
      <c r="A1466" s="451"/>
      <c r="B1466" s="451"/>
      <c r="C1466" s="451"/>
      <c r="D1466" s="451"/>
      <c r="E1466" s="468"/>
      <c r="F1466" s="468"/>
    </row>
    <row r="1467" spans="1:6" ht="12.75" x14ac:dyDescent="0.2">
      <c r="A1467" s="451"/>
      <c r="B1467" s="451"/>
      <c r="C1467" s="451"/>
      <c r="D1467" s="451"/>
      <c r="E1467" s="468"/>
      <c r="F1467" s="468"/>
    </row>
    <row r="1468" spans="1:6" ht="12.75" x14ac:dyDescent="0.2">
      <c r="A1468" s="451"/>
      <c r="B1468" s="451"/>
      <c r="C1468" s="451"/>
      <c r="D1468" s="451"/>
      <c r="E1468" s="468"/>
      <c r="F1468" s="468"/>
    </row>
    <row r="1469" spans="1:6" ht="12.75" x14ac:dyDescent="0.2">
      <c r="A1469" s="451"/>
      <c r="B1469" s="451"/>
      <c r="C1469" s="451"/>
      <c r="D1469" s="451"/>
      <c r="E1469" s="468"/>
      <c r="F1469" s="468"/>
    </row>
    <row r="1470" spans="1:6" ht="12.75" x14ac:dyDescent="0.2">
      <c r="A1470" s="451"/>
      <c r="B1470" s="451"/>
      <c r="C1470" s="451"/>
      <c r="D1470" s="451"/>
      <c r="E1470" s="468"/>
      <c r="F1470" s="468"/>
    </row>
    <row r="1471" spans="1:6" ht="12.75" x14ac:dyDescent="0.2">
      <c r="A1471" s="451"/>
      <c r="B1471" s="451"/>
      <c r="C1471" s="451"/>
      <c r="D1471" s="451"/>
      <c r="E1471" s="468"/>
      <c r="F1471" s="468"/>
    </row>
    <row r="1472" spans="1:6" ht="12.75" x14ac:dyDescent="0.2">
      <c r="A1472" s="451"/>
      <c r="B1472" s="451"/>
      <c r="C1472" s="451"/>
      <c r="D1472" s="451"/>
      <c r="E1472" s="468"/>
      <c r="F1472" s="468"/>
    </row>
    <row r="1473" spans="1:6" ht="12.75" x14ac:dyDescent="0.2">
      <c r="A1473" s="451"/>
      <c r="B1473" s="451"/>
      <c r="C1473" s="451"/>
      <c r="D1473" s="451"/>
      <c r="E1473" s="468"/>
      <c r="F1473" s="468"/>
    </row>
    <row r="1474" spans="1:6" ht="12.75" x14ac:dyDescent="0.2">
      <c r="A1474" s="451"/>
      <c r="B1474" s="451"/>
      <c r="C1474" s="451"/>
      <c r="D1474" s="451"/>
      <c r="E1474" s="468"/>
      <c r="F1474" s="468"/>
    </row>
    <row r="1475" spans="1:6" ht="12.75" x14ac:dyDescent="0.2">
      <c r="A1475" s="451"/>
      <c r="B1475" s="451"/>
      <c r="C1475" s="451"/>
      <c r="D1475" s="451"/>
      <c r="E1475" s="468"/>
      <c r="F1475" s="468"/>
    </row>
    <row r="1476" spans="1:6" ht="12.75" x14ac:dyDescent="0.2">
      <c r="A1476" s="451"/>
      <c r="B1476" s="451"/>
      <c r="C1476" s="451"/>
      <c r="D1476" s="451"/>
      <c r="E1476" s="468"/>
      <c r="F1476" s="468"/>
    </row>
    <row r="1477" spans="1:6" ht="12.75" x14ac:dyDescent="0.2">
      <c r="A1477" s="451"/>
      <c r="B1477" s="451"/>
      <c r="C1477" s="451"/>
      <c r="D1477" s="451"/>
      <c r="E1477" s="468"/>
      <c r="F1477" s="468"/>
    </row>
    <row r="1478" spans="1:6" ht="12.75" x14ac:dyDescent="0.2">
      <c r="A1478" s="451"/>
      <c r="B1478" s="451"/>
      <c r="C1478" s="451"/>
      <c r="D1478" s="451"/>
      <c r="E1478" s="468"/>
      <c r="F1478" s="468"/>
    </row>
    <row r="1479" spans="1:6" ht="12.75" x14ac:dyDescent="0.2">
      <c r="A1479" s="451"/>
      <c r="B1479" s="451"/>
      <c r="C1479" s="451"/>
      <c r="D1479" s="451"/>
      <c r="E1479" s="468"/>
      <c r="F1479" s="468"/>
    </row>
    <row r="1480" spans="1:6" ht="12.75" x14ac:dyDescent="0.2">
      <c r="A1480" s="451"/>
      <c r="B1480" s="451"/>
      <c r="C1480" s="451"/>
      <c r="D1480" s="451"/>
      <c r="E1480" s="468"/>
      <c r="F1480" s="468"/>
    </row>
    <row r="1481" spans="1:6" ht="12.75" x14ac:dyDescent="0.2">
      <c r="A1481" s="451"/>
      <c r="B1481" s="451"/>
      <c r="C1481" s="451"/>
      <c r="D1481" s="451"/>
      <c r="E1481" s="468"/>
      <c r="F1481" s="468"/>
    </row>
    <row r="1482" spans="1:6" ht="12.75" x14ac:dyDescent="0.2">
      <c r="A1482" s="451"/>
      <c r="B1482" s="451"/>
      <c r="C1482" s="451"/>
      <c r="D1482" s="451"/>
      <c r="E1482" s="468"/>
      <c r="F1482" s="468"/>
    </row>
    <row r="1483" spans="1:6" ht="12.75" x14ac:dyDescent="0.2">
      <c r="A1483" s="451"/>
      <c r="B1483" s="451"/>
      <c r="C1483" s="451"/>
      <c r="D1483" s="451"/>
      <c r="E1483" s="468"/>
      <c r="F1483" s="468"/>
    </row>
    <row r="1484" spans="1:6" ht="12.75" x14ac:dyDescent="0.2">
      <c r="A1484" s="451"/>
      <c r="B1484" s="451"/>
      <c r="C1484" s="451"/>
      <c r="D1484" s="451"/>
      <c r="E1484" s="468"/>
      <c r="F1484" s="468"/>
    </row>
    <row r="1485" spans="1:6" ht="12.75" x14ac:dyDescent="0.2">
      <c r="A1485" s="451"/>
      <c r="B1485" s="451"/>
      <c r="C1485" s="451"/>
      <c r="D1485" s="451"/>
      <c r="E1485" s="468"/>
      <c r="F1485" s="468"/>
    </row>
    <row r="1486" spans="1:6" ht="12.75" x14ac:dyDescent="0.2">
      <c r="A1486" s="451"/>
      <c r="B1486" s="451"/>
      <c r="C1486" s="451"/>
      <c r="D1486" s="451"/>
      <c r="E1486" s="468"/>
      <c r="F1486" s="468"/>
    </row>
    <row r="1487" spans="1:6" ht="12.75" x14ac:dyDescent="0.2">
      <c r="A1487" s="451"/>
      <c r="B1487" s="451"/>
      <c r="C1487" s="451"/>
      <c r="D1487" s="451"/>
      <c r="E1487" s="468"/>
      <c r="F1487" s="468"/>
    </row>
    <row r="1488" spans="1:6" ht="12.75" x14ac:dyDescent="0.2">
      <c r="A1488" s="451"/>
      <c r="B1488" s="451"/>
      <c r="C1488" s="451"/>
      <c r="D1488" s="451"/>
      <c r="E1488" s="468"/>
      <c r="F1488" s="468"/>
    </row>
    <row r="1489" spans="1:6" ht="12.75" x14ac:dyDescent="0.2">
      <c r="A1489" s="451"/>
      <c r="B1489" s="451"/>
      <c r="C1489" s="451"/>
      <c r="D1489" s="451"/>
      <c r="E1489" s="468"/>
      <c r="F1489" s="468"/>
    </row>
    <row r="1490" spans="1:6" ht="12.75" x14ac:dyDescent="0.2">
      <c r="A1490" s="451"/>
      <c r="B1490" s="451"/>
      <c r="C1490" s="451"/>
      <c r="D1490" s="451"/>
      <c r="E1490" s="468"/>
      <c r="F1490" s="468"/>
    </row>
    <row r="1491" spans="1:6" ht="12.75" x14ac:dyDescent="0.2">
      <c r="A1491" s="451"/>
      <c r="B1491" s="451"/>
      <c r="C1491" s="451"/>
      <c r="D1491" s="451"/>
      <c r="E1491" s="468"/>
      <c r="F1491" s="468"/>
    </row>
    <row r="1492" spans="1:6" ht="12.75" x14ac:dyDescent="0.2">
      <c r="A1492" s="451"/>
      <c r="B1492" s="451"/>
      <c r="C1492" s="451"/>
      <c r="D1492" s="451"/>
      <c r="E1492" s="468"/>
      <c r="F1492" s="468"/>
    </row>
    <row r="1493" spans="1:6" ht="12.75" x14ac:dyDescent="0.2">
      <c r="A1493" s="451"/>
      <c r="B1493" s="451"/>
      <c r="C1493" s="451"/>
      <c r="D1493" s="451"/>
      <c r="E1493" s="468"/>
      <c r="F1493" s="468"/>
    </row>
    <row r="1494" spans="1:6" ht="12.75" x14ac:dyDescent="0.2">
      <c r="A1494" s="451"/>
      <c r="B1494" s="451"/>
      <c r="C1494" s="451"/>
      <c r="D1494" s="451"/>
      <c r="E1494" s="468"/>
      <c r="F1494" s="468"/>
    </row>
    <row r="1495" spans="1:6" ht="12.75" x14ac:dyDescent="0.2">
      <c r="A1495" s="451"/>
      <c r="B1495" s="451"/>
      <c r="C1495" s="451"/>
      <c r="D1495" s="451"/>
      <c r="E1495" s="468"/>
      <c r="F1495" s="468"/>
    </row>
    <row r="1496" spans="1:6" ht="12.75" x14ac:dyDescent="0.2">
      <c r="A1496" s="451"/>
      <c r="B1496" s="451"/>
      <c r="C1496" s="451"/>
      <c r="D1496" s="451"/>
      <c r="E1496" s="468"/>
      <c r="F1496" s="468"/>
    </row>
    <row r="1497" spans="1:6" ht="12.75" x14ac:dyDescent="0.2">
      <c r="A1497" s="451"/>
      <c r="B1497" s="451"/>
      <c r="C1497" s="451"/>
      <c r="D1497" s="451"/>
      <c r="E1497" s="468"/>
      <c r="F1497" s="468"/>
    </row>
    <row r="1498" spans="1:6" ht="12.75" x14ac:dyDescent="0.2">
      <c r="A1498" s="451"/>
      <c r="B1498" s="451"/>
      <c r="C1498" s="451"/>
      <c r="D1498" s="451"/>
      <c r="E1498" s="468"/>
      <c r="F1498" s="468"/>
    </row>
    <row r="1499" spans="1:6" ht="12.75" x14ac:dyDescent="0.2">
      <c r="A1499" s="451"/>
      <c r="B1499" s="451"/>
      <c r="C1499" s="451"/>
      <c r="D1499" s="451"/>
      <c r="E1499" s="468"/>
      <c r="F1499" s="468"/>
    </row>
    <row r="1500" spans="1:6" ht="12.75" x14ac:dyDescent="0.2">
      <c r="A1500" s="451"/>
      <c r="B1500" s="451"/>
      <c r="C1500" s="451"/>
      <c r="D1500" s="451"/>
      <c r="E1500" s="468"/>
      <c r="F1500" s="468"/>
    </row>
    <row r="1501" spans="1:6" ht="12.75" x14ac:dyDescent="0.2">
      <c r="A1501" s="451"/>
      <c r="B1501" s="451"/>
      <c r="C1501" s="451"/>
      <c r="D1501" s="451"/>
      <c r="E1501" s="468"/>
      <c r="F1501" s="468"/>
    </row>
    <row r="1502" spans="1:6" ht="12.75" x14ac:dyDescent="0.2">
      <c r="A1502" s="451"/>
      <c r="B1502" s="451"/>
      <c r="C1502" s="451"/>
      <c r="D1502" s="451"/>
      <c r="E1502" s="468"/>
      <c r="F1502" s="468"/>
    </row>
    <row r="1503" spans="1:6" ht="12.75" x14ac:dyDescent="0.2">
      <c r="A1503" s="451"/>
      <c r="B1503" s="451"/>
      <c r="C1503" s="451"/>
      <c r="D1503" s="451"/>
      <c r="E1503" s="468"/>
      <c r="F1503" s="468"/>
    </row>
    <row r="1504" spans="1:6" ht="12.75" x14ac:dyDescent="0.2">
      <c r="A1504" s="451"/>
      <c r="B1504" s="451"/>
      <c r="C1504" s="451"/>
      <c r="D1504" s="451"/>
      <c r="E1504" s="468"/>
      <c r="F1504" s="468"/>
    </row>
    <row r="1505" spans="1:6" ht="12.75" x14ac:dyDescent="0.2">
      <c r="A1505" s="451"/>
      <c r="B1505" s="451"/>
      <c r="C1505" s="451"/>
      <c r="D1505" s="451"/>
      <c r="E1505" s="468"/>
      <c r="F1505" s="468"/>
    </row>
    <row r="1506" spans="1:6" ht="12.75" x14ac:dyDescent="0.2">
      <c r="A1506" s="451"/>
      <c r="B1506" s="451"/>
      <c r="C1506" s="451"/>
      <c r="D1506" s="451"/>
      <c r="E1506" s="468"/>
      <c r="F1506" s="468"/>
    </row>
    <row r="1507" spans="1:6" ht="12.75" x14ac:dyDescent="0.2">
      <c r="A1507" s="451"/>
      <c r="B1507" s="451"/>
      <c r="C1507" s="451"/>
      <c r="D1507" s="451"/>
      <c r="E1507" s="468"/>
      <c r="F1507" s="468"/>
    </row>
    <row r="1508" spans="1:6" ht="12.75" x14ac:dyDescent="0.2">
      <c r="A1508" s="451"/>
      <c r="B1508" s="451"/>
      <c r="C1508" s="451"/>
      <c r="D1508" s="451"/>
      <c r="E1508" s="468"/>
      <c r="F1508" s="468"/>
    </row>
    <row r="1509" spans="1:6" ht="12.75" x14ac:dyDescent="0.2">
      <c r="A1509" s="451"/>
      <c r="B1509" s="451"/>
      <c r="C1509" s="451"/>
      <c r="D1509" s="451"/>
      <c r="E1509" s="468"/>
      <c r="F1509" s="468"/>
    </row>
    <row r="1510" spans="1:6" ht="12.75" x14ac:dyDescent="0.2">
      <c r="A1510" s="451"/>
      <c r="B1510" s="451"/>
      <c r="C1510" s="451"/>
      <c r="D1510" s="451"/>
      <c r="E1510" s="468"/>
      <c r="F1510" s="468"/>
    </row>
    <row r="1511" spans="1:6" ht="12.75" x14ac:dyDescent="0.2">
      <c r="A1511" s="451"/>
      <c r="B1511" s="451"/>
      <c r="C1511" s="451"/>
      <c r="D1511" s="451"/>
      <c r="E1511" s="468"/>
      <c r="F1511" s="468"/>
    </row>
    <row r="1512" spans="1:6" ht="12.75" x14ac:dyDescent="0.2">
      <c r="A1512" s="451"/>
      <c r="B1512" s="451"/>
      <c r="C1512" s="451"/>
      <c r="D1512" s="451"/>
      <c r="E1512" s="468"/>
      <c r="F1512" s="468"/>
    </row>
    <row r="1513" spans="1:6" ht="12.75" x14ac:dyDescent="0.2">
      <c r="A1513" s="451"/>
      <c r="B1513" s="451"/>
      <c r="C1513" s="451"/>
      <c r="D1513" s="451"/>
      <c r="E1513" s="468"/>
      <c r="F1513" s="468"/>
    </row>
    <row r="1514" spans="1:6" ht="12.75" x14ac:dyDescent="0.2">
      <c r="A1514" s="451"/>
      <c r="B1514" s="451"/>
      <c r="C1514" s="451"/>
      <c r="D1514" s="451"/>
      <c r="E1514" s="468"/>
      <c r="F1514" s="468"/>
    </row>
    <row r="1515" spans="1:6" ht="12.75" x14ac:dyDescent="0.2">
      <c r="A1515" s="451"/>
      <c r="B1515" s="451"/>
      <c r="C1515" s="451"/>
      <c r="D1515" s="451"/>
      <c r="E1515" s="468"/>
      <c r="F1515" s="468"/>
    </row>
    <row r="1516" spans="1:6" ht="12.75" x14ac:dyDescent="0.2">
      <c r="A1516" s="451"/>
      <c r="B1516" s="451"/>
      <c r="C1516" s="451"/>
      <c r="D1516" s="451"/>
      <c r="E1516" s="468"/>
      <c r="F1516" s="468"/>
    </row>
    <row r="1517" spans="1:6" ht="12.75" x14ac:dyDescent="0.2">
      <c r="A1517" s="451"/>
      <c r="B1517" s="451"/>
      <c r="C1517" s="451"/>
      <c r="D1517" s="451"/>
      <c r="E1517" s="468"/>
      <c r="F1517" s="468"/>
    </row>
    <row r="1518" spans="1:6" ht="12.75" x14ac:dyDescent="0.2">
      <c r="A1518" s="451"/>
      <c r="B1518" s="451"/>
      <c r="C1518" s="451"/>
      <c r="D1518" s="451"/>
      <c r="E1518" s="468"/>
      <c r="F1518" s="468"/>
    </row>
    <row r="1519" spans="1:6" ht="12.75" x14ac:dyDescent="0.2">
      <c r="A1519" s="451"/>
      <c r="B1519" s="451"/>
      <c r="C1519" s="451"/>
      <c r="D1519" s="451"/>
      <c r="E1519" s="468"/>
      <c r="F1519" s="468"/>
    </row>
    <row r="1520" spans="1:6" ht="12.75" x14ac:dyDescent="0.2">
      <c r="A1520" s="451"/>
      <c r="B1520" s="451"/>
      <c r="C1520" s="451"/>
      <c r="D1520" s="451"/>
      <c r="E1520" s="468"/>
      <c r="F1520" s="468"/>
    </row>
    <row r="1521" spans="1:6" ht="12.75" x14ac:dyDescent="0.2">
      <c r="A1521" s="451"/>
      <c r="B1521" s="451"/>
      <c r="C1521" s="451"/>
      <c r="D1521" s="451"/>
      <c r="E1521" s="468"/>
      <c r="F1521" s="468"/>
    </row>
    <row r="1522" spans="1:6" ht="12.75" x14ac:dyDescent="0.2">
      <c r="A1522" s="451"/>
      <c r="B1522" s="451"/>
      <c r="C1522" s="451"/>
      <c r="D1522" s="451"/>
      <c r="E1522" s="468"/>
      <c r="F1522" s="468"/>
    </row>
    <row r="1523" spans="1:6" ht="12.75" x14ac:dyDescent="0.2">
      <c r="A1523" s="451"/>
      <c r="B1523" s="451"/>
      <c r="C1523" s="451"/>
      <c r="D1523" s="451"/>
      <c r="E1523" s="468"/>
      <c r="F1523" s="468"/>
    </row>
    <row r="1524" spans="1:6" ht="12.75" x14ac:dyDescent="0.2">
      <c r="A1524" s="451"/>
      <c r="B1524" s="451"/>
      <c r="C1524" s="451"/>
      <c r="D1524" s="451"/>
      <c r="E1524" s="468"/>
      <c r="F1524" s="468"/>
    </row>
    <row r="1525" spans="1:6" ht="12.75" x14ac:dyDescent="0.2">
      <c r="A1525" s="451"/>
      <c r="B1525" s="451"/>
      <c r="C1525" s="451"/>
      <c r="D1525" s="451"/>
      <c r="E1525" s="468"/>
      <c r="F1525" s="468"/>
    </row>
    <row r="1526" spans="1:6" ht="12.75" x14ac:dyDescent="0.2">
      <c r="A1526" s="451"/>
      <c r="B1526" s="451"/>
      <c r="C1526" s="451"/>
      <c r="D1526" s="451"/>
      <c r="E1526" s="468"/>
      <c r="F1526" s="468"/>
    </row>
    <row r="1527" spans="1:6" ht="12.75" x14ac:dyDescent="0.2">
      <c r="A1527" s="451"/>
      <c r="B1527" s="451"/>
      <c r="C1527" s="451"/>
      <c r="D1527" s="451"/>
      <c r="E1527" s="468"/>
      <c r="F1527" s="468"/>
    </row>
    <row r="1528" spans="1:6" ht="12.75" x14ac:dyDescent="0.2">
      <c r="A1528" s="451"/>
      <c r="B1528" s="451"/>
      <c r="C1528" s="451"/>
      <c r="D1528" s="451"/>
      <c r="E1528" s="468"/>
      <c r="F1528" s="468"/>
    </row>
    <row r="1529" spans="1:6" ht="12.75" x14ac:dyDescent="0.2">
      <c r="A1529" s="451"/>
      <c r="B1529" s="451"/>
      <c r="C1529" s="451"/>
      <c r="D1529" s="451"/>
      <c r="E1529" s="468"/>
      <c r="F1529" s="468"/>
    </row>
    <row r="1530" spans="1:6" ht="12.75" x14ac:dyDescent="0.2">
      <c r="A1530" s="451"/>
      <c r="B1530" s="451"/>
      <c r="C1530" s="451"/>
      <c r="D1530" s="451"/>
      <c r="E1530" s="468"/>
      <c r="F1530" s="468"/>
    </row>
    <row r="1531" spans="1:6" ht="12.75" x14ac:dyDescent="0.2">
      <c r="A1531" s="451"/>
      <c r="B1531" s="451"/>
      <c r="C1531" s="451"/>
      <c r="D1531" s="451"/>
      <c r="E1531" s="468"/>
      <c r="F1531" s="468"/>
    </row>
    <row r="1532" spans="1:6" ht="12.75" x14ac:dyDescent="0.2">
      <c r="A1532" s="451"/>
      <c r="B1532" s="451"/>
      <c r="C1532" s="451"/>
      <c r="D1532" s="451"/>
      <c r="E1532" s="468"/>
      <c r="F1532" s="468"/>
    </row>
    <row r="1533" spans="1:6" ht="12.75" x14ac:dyDescent="0.2">
      <c r="A1533" s="451"/>
      <c r="B1533" s="451"/>
      <c r="C1533" s="451"/>
      <c r="D1533" s="451"/>
      <c r="E1533" s="468"/>
      <c r="F1533" s="468"/>
    </row>
    <row r="1534" spans="1:6" ht="12.75" x14ac:dyDescent="0.2">
      <c r="A1534" s="451"/>
      <c r="B1534" s="451"/>
      <c r="C1534" s="451"/>
      <c r="D1534" s="451"/>
      <c r="E1534" s="468"/>
      <c r="F1534" s="468"/>
    </row>
    <row r="1535" spans="1:6" ht="12.75" x14ac:dyDescent="0.2">
      <c r="A1535" s="451"/>
      <c r="B1535" s="451"/>
      <c r="C1535" s="451"/>
      <c r="D1535" s="451"/>
      <c r="E1535" s="468"/>
      <c r="F1535" s="468"/>
    </row>
    <row r="1536" spans="1:6" ht="12.75" x14ac:dyDescent="0.2">
      <c r="A1536" s="451"/>
      <c r="B1536" s="451"/>
      <c r="C1536" s="451"/>
      <c r="D1536" s="451"/>
      <c r="E1536" s="468"/>
      <c r="F1536" s="468"/>
    </row>
    <row r="1537" spans="1:6" ht="12.75" x14ac:dyDescent="0.2">
      <c r="A1537" s="451"/>
      <c r="B1537" s="451"/>
      <c r="C1537" s="451"/>
      <c r="D1537" s="451"/>
      <c r="E1537" s="468"/>
      <c r="F1537" s="468"/>
    </row>
    <row r="1538" spans="1:6" ht="12.75" x14ac:dyDescent="0.2">
      <c r="A1538" s="451"/>
      <c r="B1538" s="451"/>
      <c r="C1538" s="451"/>
      <c r="D1538" s="451"/>
      <c r="E1538" s="468"/>
      <c r="F1538" s="468"/>
    </row>
    <row r="1539" spans="1:6" ht="12.75" x14ac:dyDescent="0.2">
      <c r="A1539" s="451"/>
      <c r="B1539" s="451"/>
      <c r="C1539" s="451"/>
      <c r="D1539" s="451"/>
      <c r="E1539" s="468"/>
      <c r="F1539" s="468"/>
    </row>
    <row r="1540" spans="1:6" ht="12.75" x14ac:dyDescent="0.2">
      <c r="A1540" s="451"/>
      <c r="B1540" s="451"/>
      <c r="C1540" s="451"/>
      <c r="D1540" s="451"/>
      <c r="E1540" s="468"/>
      <c r="F1540" s="468"/>
    </row>
    <row r="1541" spans="1:6" ht="12.75" x14ac:dyDescent="0.2">
      <c r="A1541" s="451"/>
      <c r="B1541" s="451"/>
      <c r="C1541" s="451"/>
      <c r="D1541" s="451"/>
      <c r="E1541" s="468"/>
      <c r="F1541" s="468"/>
    </row>
    <row r="1542" spans="1:6" ht="12.75" x14ac:dyDescent="0.2">
      <c r="A1542" s="451"/>
      <c r="B1542" s="451"/>
      <c r="C1542" s="451"/>
      <c r="D1542" s="451"/>
      <c r="E1542" s="468"/>
      <c r="F1542" s="468"/>
    </row>
    <row r="1543" spans="1:6" ht="12.75" x14ac:dyDescent="0.2">
      <c r="A1543" s="451"/>
      <c r="B1543" s="451"/>
      <c r="C1543" s="451"/>
      <c r="D1543" s="451"/>
      <c r="E1543" s="468"/>
      <c r="F1543" s="468"/>
    </row>
    <row r="1544" spans="1:6" ht="12.75" x14ac:dyDescent="0.2">
      <c r="A1544" s="451"/>
      <c r="B1544" s="451"/>
      <c r="C1544" s="451"/>
      <c r="D1544" s="451"/>
      <c r="E1544" s="468"/>
      <c r="F1544" s="468"/>
    </row>
    <row r="1545" spans="1:6" ht="12.75" x14ac:dyDescent="0.2">
      <c r="A1545" s="451"/>
      <c r="B1545" s="451"/>
      <c r="C1545" s="451"/>
      <c r="D1545" s="451"/>
      <c r="E1545" s="468"/>
      <c r="F1545" s="468"/>
    </row>
    <row r="1546" spans="1:6" ht="12.75" x14ac:dyDescent="0.2">
      <c r="A1546" s="451"/>
      <c r="B1546" s="451"/>
      <c r="C1546" s="451"/>
      <c r="D1546" s="451"/>
      <c r="E1546" s="468"/>
      <c r="F1546" s="468"/>
    </row>
    <row r="1547" spans="1:6" ht="12.75" x14ac:dyDescent="0.2">
      <c r="A1547" s="451"/>
      <c r="B1547" s="451"/>
      <c r="C1547" s="451"/>
      <c r="D1547" s="451"/>
      <c r="E1547" s="468"/>
      <c r="F1547" s="468"/>
    </row>
    <row r="1548" spans="1:6" ht="12.75" x14ac:dyDescent="0.2">
      <c r="A1548" s="451"/>
      <c r="B1548" s="451"/>
      <c r="C1548" s="451"/>
      <c r="D1548" s="451"/>
      <c r="E1548" s="468"/>
      <c r="F1548" s="468"/>
    </row>
    <row r="1549" spans="1:6" ht="12.75" x14ac:dyDescent="0.2">
      <c r="A1549" s="451"/>
      <c r="B1549" s="451"/>
      <c r="C1549" s="451"/>
      <c r="D1549" s="451"/>
      <c r="E1549" s="468"/>
      <c r="F1549" s="468"/>
    </row>
    <row r="1550" spans="1:6" ht="12.75" x14ac:dyDescent="0.2">
      <c r="A1550" s="451"/>
      <c r="B1550" s="451"/>
      <c r="C1550" s="451"/>
      <c r="D1550" s="451"/>
      <c r="E1550" s="468"/>
      <c r="F1550" s="468"/>
    </row>
    <row r="1551" spans="1:6" ht="12.75" x14ac:dyDescent="0.2">
      <c r="A1551" s="451"/>
      <c r="B1551" s="451"/>
      <c r="C1551" s="451"/>
      <c r="D1551" s="451"/>
      <c r="E1551" s="468"/>
      <c r="F1551" s="468"/>
    </row>
    <row r="1552" spans="1:6" ht="12.75" x14ac:dyDescent="0.2">
      <c r="A1552" s="451"/>
      <c r="B1552" s="451"/>
      <c r="C1552" s="451"/>
      <c r="D1552" s="451"/>
      <c r="E1552" s="468"/>
      <c r="F1552" s="468"/>
    </row>
    <row r="1553" spans="1:6" ht="12.75" x14ac:dyDescent="0.2">
      <c r="A1553" s="451"/>
      <c r="B1553" s="451"/>
      <c r="C1553" s="451"/>
      <c r="D1553" s="451"/>
      <c r="E1553" s="468"/>
      <c r="F1553" s="468"/>
    </row>
    <row r="1554" spans="1:6" ht="12.75" x14ac:dyDescent="0.2">
      <c r="A1554" s="451"/>
      <c r="B1554" s="451"/>
      <c r="C1554" s="451"/>
      <c r="D1554" s="451"/>
      <c r="E1554" s="468"/>
      <c r="F1554" s="468"/>
    </row>
    <row r="1555" spans="1:6" ht="12.75" x14ac:dyDescent="0.2">
      <c r="A1555" s="451"/>
      <c r="B1555" s="451"/>
      <c r="C1555" s="451"/>
      <c r="D1555" s="451"/>
      <c r="E1555" s="468"/>
      <c r="F1555" s="468"/>
    </row>
    <row r="1556" spans="1:6" ht="12.75" x14ac:dyDescent="0.2">
      <c r="A1556" s="451"/>
      <c r="B1556" s="451"/>
      <c r="C1556" s="451"/>
      <c r="D1556" s="451"/>
      <c r="E1556" s="468"/>
      <c r="F1556" s="468"/>
    </row>
    <row r="1557" spans="1:6" ht="12.75" x14ac:dyDescent="0.2">
      <c r="A1557" s="451"/>
      <c r="B1557" s="451"/>
      <c r="C1557" s="451"/>
      <c r="D1557" s="451"/>
      <c r="E1557" s="468"/>
      <c r="F1557" s="468"/>
    </row>
    <row r="1558" spans="1:6" ht="12.75" x14ac:dyDescent="0.2">
      <c r="A1558" s="451"/>
      <c r="B1558" s="451"/>
      <c r="C1558" s="451"/>
      <c r="D1558" s="451"/>
      <c r="E1558" s="468"/>
      <c r="F1558" s="468"/>
    </row>
    <row r="1559" spans="1:6" ht="12.75" x14ac:dyDescent="0.2">
      <c r="A1559" s="451"/>
      <c r="B1559" s="451"/>
      <c r="C1559" s="451"/>
      <c r="D1559" s="451"/>
      <c r="E1559" s="468"/>
      <c r="F1559" s="468"/>
    </row>
    <row r="1560" spans="1:6" ht="12.75" x14ac:dyDescent="0.2">
      <c r="A1560" s="451"/>
      <c r="B1560" s="451"/>
      <c r="C1560" s="451"/>
      <c r="D1560" s="451"/>
      <c r="E1560" s="468"/>
      <c r="F1560" s="468"/>
    </row>
    <row r="1561" spans="1:6" ht="12.75" x14ac:dyDescent="0.2">
      <c r="A1561" s="451"/>
      <c r="B1561" s="451"/>
      <c r="C1561" s="451"/>
      <c r="D1561" s="451"/>
      <c r="E1561" s="468"/>
      <c r="F1561" s="468"/>
    </row>
    <row r="1562" spans="1:6" ht="12.75" x14ac:dyDescent="0.2">
      <c r="A1562" s="451"/>
      <c r="B1562" s="451"/>
      <c r="C1562" s="451"/>
      <c r="D1562" s="451"/>
      <c r="E1562" s="468"/>
      <c r="F1562" s="468"/>
    </row>
    <row r="1563" spans="1:6" ht="12.75" x14ac:dyDescent="0.2">
      <c r="A1563" s="451"/>
      <c r="B1563" s="451"/>
      <c r="C1563" s="451"/>
      <c r="D1563" s="451"/>
      <c r="E1563" s="468"/>
      <c r="F1563" s="468"/>
    </row>
    <row r="1564" spans="1:6" ht="12.75" x14ac:dyDescent="0.2">
      <c r="A1564" s="451"/>
      <c r="B1564" s="451"/>
      <c r="C1564" s="451"/>
      <c r="D1564" s="451"/>
      <c r="E1564" s="468"/>
      <c r="F1564" s="468"/>
    </row>
    <row r="1565" spans="1:6" ht="12.75" x14ac:dyDescent="0.2">
      <c r="A1565" s="451"/>
      <c r="B1565" s="451"/>
      <c r="C1565" s="451"/>
      <c r="D1565" s="451"/>
      <c r="E1565" s="468"/>
      <c r="F1565" s="468"/>
    </row>
    <row r="1566" spans="1:6" ht="12.75" x14ac:dyDescent="0.2">
      <c r="A1566" s="451"/>
      <c r="B1566" s="451"/>
      <c r="C1566" s="451"/>
      <c r="D1566" s="451"/>
      <c r="E1566" s="468"/>
      <c r="F1566" s="468"/>
    </row>
    <row r="1567" spans="1:6" ht="12.75" x14ac:dyDescent="0.2">
      <c r="A1567" s="451"/>
      <c r="B1567" s="451"/>
      <c r="C1567" s="451"/>
      <c r="D1567" s="451"/>
      <c r="E1567" s="468"/>
      <c r="F1567" s="468"/>
    </row>
    <row r="1568" spans="1:6" ht="12.75" x14ac:dyDescent="0.2">
      <c r="A1568" s="451"/>
      <c r="B1568" s="451"/>
      <c r="C1568" s="451"/>
      <c r="D1568" s="451"/>
      <c r="E1568" s="468"/>
      <c r="F1568" s="468"/>
    </row>
    <row r="1569" spans="1:6" ht="12.75" x14ac:dyDescent="0.2">
      <c r="A1569" s="451"/>
      <c r="B1569" s="451"/>
      <c r="C1569" s="451"/>
      <c r="D1569" s="451"/>
      <c r="E1569" s="468"/>
      <c r="F1569" s="468"/>
    </row>
    <row r="1570" spans="1:6" ht="12.75" x14ac:dyDescent="0.2">
      <c r="A1570" s="451"/>
      <c r="B1570" s="451"/>
      <c r="C1570" s="451"/>
      <c r="D1570" s="451"/>
      <c r="E1570" s="468"/>
      <c r="F1570" s="468"/>
    </row>
    <row r="1571" spans="1:6" ht="12.75" x14ac:dyDescent="0.2">
      <c r="A1571" s="451"/>
      <c r="B1571" s="451"/>
      <c r="C1571" s="451"/>
      <c r="D1571" s="451"/>
      <c r="E1571" s="468"/>
      <c r="F1571" s="468"/>
    </row>
    <row r="1572" spans="1:6" ht="12.75" x14ac:dyDescent="0.2">
      <c r="A1572" s="451"/>
      <c r="B1572" s="451"/>
      <c r="C1572" s="451"/>
      <c r="D1572" s="451"/>
      <c r="E1572" s="468"/>
      <c r="F1572" s="468"/>
    </row>
    <row r="1573" spans="1:6" ht="12.75" x14ac:dyDescent="0.2">
      <c r="A1573" s="451"/>
      <c r="B1573" s="451"/>
      <c r="C1573" s="451"/>
      <c r="D1573" s="451"/>
      <c r="E1573" s="468"/>
      <c r="F1573" s="468"/>
    </row>
    <row r="1574" spans="1:6" ht="12.75" x14ac:dyDescent="0.2">
      <c r="A1574" s="451"/>
      <c r="B1574" s="451"/>
      <c r="C1574" s="451"/>
      <c r="D1574" s="451"/>
      <c r="E1574" s="468"/>
      <c r="F1574" s="468"/>
    </row>
    <row r="1575" spans="1:6" ht="12.75" x14ac:dyDescent="0.2">
      <c r="A1575" s="451"/>
      <c r="B1575" s="451"/>
      <c r="C1575" s="451"/>
      <c r="D1575" s="451"/>
      <c r="E1575" s="468"/>
      <c r="F1575" s="468"/>
    </row>
    <row r="1576" spans="1:6" ht="12.75" x14ac:dyDescent="0.2">
      <c r="A1576" s="451"/>
      <c r="B1576" s="451"/>
      <c r="C1576" s="451"/>
      <c r="D1576" s="451"/>
      <c r="E1576" s="468"/>
      <c r="F1576" s="468"/>
    </row>
    <row r="1577" spans="1:6" ht="12.75" x14ac:dyDescent="0.2">
      <c r="A1577" s="451"/>
      <c r="B1577" s="451"/>
      <c r="C1577" s="451"/>
      <c r="D1577" s="451"/>
      <c r="E1577" s="468"/>
      <c r="F1577" s="468"/>
    </row>
    <row r="1578" spans="1:6" ht="12.75" x14ac:dyDescent="0.2">
      <c r="A1578" s="451"/>
      <c r="B1578" s="451"/>
      <c r="C1578" s="451"/>
      <c r="D1578" s="451"/>
      <c r="E1578" s="468"/>
      <c r="F1578" s="468"/>
    </row>
    <row r="1579" spans="1:6" ht="12.75" x14ac:dyDescent="0.2">
      <c r="A1579" s="451"/>
      <c r="B1579" s="451"/>
      <c r="C1579" s="451"/>
      <c r="D1579" s="451"/>
      <c r="E1579" s="468"/>
      <c r="F1579" s="468"/>
    </row>
    <row r="1580" spans="1:6" ht="12.75" x14ac:dyDescent="0.2">
      <c r="A1580" s="451"/>
      <c r="B1580" s="451"/>
      <c r="C1580" s="451"/>
      <c r="D1580" s="451"/>
      <c r="E1580" s="468"/>
      <c r="F1580" s="468"/>
    </row>
    <row r="1581" spans="1:6" ht="12.75" x14ac:dyDescent="0.2">
      <c r="A1581" s="451"/>
      <c r="B1581" s="451"/>
      <c r="C1581" s="451"/>
      <c r="D1581" s="451"/>
      <c r="E1581" s="468"/>
      <c r="F1581" s="468"/>
    </row>
    <row r="1582" spans="1:6" ht="12.75" x14ac:dyDescent="0.2">
      <c r="A1582" s="451"/>
      <c r="B1582" s="451"/>
      <c r="C1582" s="451"/>
      <c r="D1582" s="451"/>
      <c r="E1582" s="468"/>
      <c r="F1582" s="468"/>
    </row>
    <row r="1583" spans="1:6" ht="12.75" x14ac:dyDescent="0.2">
      <c r="A1583" s="451"/>
      <c r="B1583" s="451"/>
      <c r="C1583" s="451"/>
      <c r="D1583" s="451"/>
      <c r="E1583" s="468"/>
      <c r="F1583" s="468"/>
    </row>
    <row r="1584" spans="1:6" ht="12.75" x14ac:dyDescent="0.2">
      <c r="A1584" s="451"/>
      <c r="B1584" s="451"/>
      <c r="C1584" s="451"/>
      <c r="D1584" s="451"/>
      <c r="E1584" s="468"/>
      <c r="F1584" s="468"/>
    </row>
    <row r="1585" spans="1:6" ht="12.75" x14ac:dyDescent="0.2">
      <c r="A1585" s="451"/>
      <c r="B1585" s="451"/>
      <c r="C1585" s="451"/>
      <c r="D1585" s="451"/>
      <c r="E1585" s="468"/>
      <c r="F1585" s="468"/>
    </row>
    <row r="1586" spans="1:6" ht="12.75" x14ac:dyDescent="0.2">
      <c r="A1586" s="451"/>
      <c r="B1586" s="451"/>
      <c r="C1586" s="451"/>
      <c r="D1586" s="451"/>
      <c r="E1586" s="468"/>
      <c r="F1586" s="468"/>
    </row>
    <row r="1587" spans="1:6" ht="12.75" x14ac:dyDescent="0.2">
      <c r="A1587" s="451"/>
      <c r="B1587" s="451"/>
      <c r="C1587" s="451"/>
      <c r="D1587" s="451"/>
      <c r="E1587" s="468"/>
      <c r="F1587" s="468"/>
    </row>
    <row r="1588" spans="1:6" ht="12.75" x14ac:dyDescent="0.2">
      <c r="A1588" s="451"/>
      <c r="B1588" s="451"/>
      <c r="C1588" s="451"/>
      <c r="D1588" s="451"/>
      <c r="E1588" s="468"/>
      <c r="F1588" s="468"/>
    </row>
    <row r="1589" spans="1:6" ht="12.75" x14ac:dyDescent="0.2">
      <c r="A1589" s="451"/>
      <c r="B1589" s="451"/>
      <c r="C1589" s="451"/>
      <c r="D1589" s="451"/>
      <c r="E1589" s="468"/>
      <c r="F1589" s="468"/>
    </row>
    <row r="1590" spans="1:6" ht="12.75" x14ac:dyDescent="0.2">
      <c r="A1590" s="451"/>
      <c r="B1590" s="451"/>
      <c r="C1590" s="451"/>
      <c r="D1590" s="451"/>
      <c r="E1590" s="468"/>
      <c r="F1590" s="468"/>
    </row>
    <row r="1591" spans="1:6" ht="12.75" x14ac:dyDescent="0.2">
      <c r="A1591" s="451"/>
      <c r="B1591" s="451"/>
      <c r="C1591" s="451"/>
      <c r="D1591" s="451"/>
      <c r="E1591" s="468"/>
      <c r="F1591" s="468"/>
    </row>
    <row r="1592" spans="1:6" ht="12.75" x14ac:dyDescent="0.2">
      <c r="A1592" s="451"/>
      <c r="B1592" s="451"/>
      <c r="C1592" s="451"/>
      <c r="D1592" s="451"/>
      <c r="E1592" s="468"/>
      <c r="F1592" s="468"/>
    </row>
    <row r="1593" spans="1:6" ht="12.75" x14ac:dyDescent="0.2">
      <c r="A1593" s="451"/>
      <c r="B1593" s="451"/>
      <c r="C1593" s="451"/>
      <c r="D1593" s="451"/>
      <c r="E1593" s="468"/>
      <c r="F1593" s="468"/>
    </row>
    <row r="1594" spans="1:6" ht="12.75" x14ac:dyDescent="0.2">
      <c r="A1594" s="451"/>
      <c r="B1594" s="451"/>
      <c r="C1594" s="451"/>
      <c r="D1594" s="451"/>
      <c r="E1594" s="468"/>
      <c r="F1594" s="468"/>
    </row>
    <row r="1595" spans="1:6" ht="12.75" x14ac:dyDescent="0.2">
      <c r="A1595" s="451"/>
      <c r="B1595" s="451"/>
      <c r="C1595" s="451"/>
      <c r="D1595" s="451"/>
      <c r="E1595" s="468"/>
      <c r="F1595" s="468"/>
    </row>
    <row r="1596" spans="1:6" ht="12.75" x14ac:dyDescent="0.2">
      <c r="A1596" s="451"/>
      <c r="B1596" s="451"/>
      <c r="C1596" s="451"/>
      <c r="D1596" s="451"/>
      <c r="E1596" s="468"/>
      <c r="F1596" s="468"/>
    </row>
    <row r="1597" spans="1:6" ht="12.75" x14ac:dyDescent="0.2">
      <c r="A1597" s="451"/>
      <c r="B1597" s="451"/>
      <c r="C1597" s="451"/>
      <c r="D1597" s="451"/>
      <c r="E1597" s="468"/>
      <c r="F1597" s="468"/>
    </row>
    <row r="1598" spans="1:6" ht="12.75" x14ac:dyDescent="0.2">
      <c r="A1598" s="451"/>
      <c r="B1598" s="451"/>
      <c r="C1598" s="451"/>
      <c r="D1598" s="451"/>
      <c r="E1598" s="468"/>
      <c r="F1598" s="468"/>
    </row>
    <row r="1599" spans="1:6" ht="12.75" x14ac:dyDescent="0.2">
      <c r="A1599" s="451"/>
      <c r="B1599" s="451"/>
      <c r="C1599" s="451"/>
      <c r="D1599" s="451"/>
      <c r="E1599" s="468"/>
      <c r="F1599" s="468"/>
    </row>
    <row r="1600" spans="1:6" ht="12.75" x14ac:dyDescent="0.2">
      <c r="A1600" s="451"/>
      <c r="B1600" s="451"/>
      <c r="C1600" s="451"/>
      <c r="D1600" s="451"/>
      <c r="E1600" s="468"/>
      <c r="F1600" s="468"/>
    </row>
    <row r="1601" spans="1:6" ht="12.75" x14ac:dyDescent="0.2">
      <c r="A1601" s="451"/>
      <c r="B1601" s="451"/>
      <c r="C1601" s="451"/>
      <c r="D1601" s="451"/>
      <c r="E1601" s="468"/>
      <c r="F1601" s="468"/>
    </row>
    <row r="1602" spans="1:6" ht="12.75" x14ac:dyDescent="0.2">
      <c r="A1602" s="451"/>
      <c r="B1602" s="451"/>
      <c r="C1602" s="451"/>
      <c r="D1602" s="451"/>
      <c r="E1602" s="468"/>
      <c r="F1602" s="468"/>
    </row>
    <row r="1603" spans="1:6" ht="12.75" x14ac:dyDescent="0.2">
      <c r="A1603" s="451"/>
      <c r="B1603" s="451"/>
      <c r="C1603" s="451"/>
      <c r="D1603" s="451"/>
      <c r="E1603" s="468"/>
      <c r="F1603" s="468"/>
    </row>
    <row r="1604" spans="1:6" ht="12.75" x14ac:dyDescent="0.2">
      <c r="A1604" s="451"/>
      <c r="B1604" s="451"/>
      <c r="C1604" s="451"/>
      <c r="D1604" s="451"/>
      <c r="E1604" s="468"/>
      <c r="F1604" s="468"/>
    </row>
    <row r="1605" spans="1:6" ht="12.75" x14ac:dyDescent="0.2">
      <c r="A1605" s="451"/>
      <c r="B1605" s="451"/>
      <c r="C1605" s="451"/>
      <c r="D1605" s="451"/>
      <c r="E1605" s="468"/>
      <c r="F1605" s="468"/>
    </row>
    <row r="1606" spans="1:6" ht="12.75" x14ac:dyDescent="0.2">
      <c r="A1606" s="451"/>
      <c r="B1606" s="451"/>
      <c r="C1606" s="451"/>
      <c r="D1606" s="451"/>
      <c r="E1606" s="468"/>
      <c r="F1606" s="468"/>
    </row>
    <row r="1607" spans="1:6" ht="12.75" x14ac:dyDescent="0.2">
      <c r="A1607" s="451"/>
      <c r="B1607" s="451"/>
      <c r="C1607" s="451"/>
      <c r="D1607" s="451"/>
      <c r="E1607" s="468"/>
      <c r="F1607" s="468"/>
    </row>
    <row r="1608" spans="1:6" ht="12.75" x14ac:dyDescent="0.2">
      <c r="A1608" s="451"/>
      <c r="B1608" s="451"/>
      <c r="C1608" s="451"/>
      <c r="D1608" s="451"/>
      <c r="E1608" s="468"/>
      <c r="F1608" s="468"/>
    </row>
    <row r="1609" spans="1:6" ht="12.75" x14ac:dyDescent="0.2">
      <c r="A1609" s="451"/>
      <c r="B1609" s="451"/>
      <c r="C1609" s="451"/>
      <c r="D1609" s="451"/>
      <c r="E1609" s="468"/>
      <c r="F1609" s="468"/>
    </row>
    <row r="1610" spans="1:6" ht="12.75" x14ac:dyDescent="0.2">
      <c r="A1610" s="451"/>
      <c r="B1610" s="451"/>
      <c r="C1610" s="451"/>
      <c r="D1610" s="451"/>
      <c r="E1610" s="468"/>
      <c r="F1610" s="468"/>
    </row>
    <row r="1611" spans="1:6" ht="12.75" x14ac:dyDescent="0.2">
      <c r="A1611" s="451"/>
      <c r="B1611" s="451"/>
      <c r="C1611" s="451"/>
      <c r="D1611" s="451"/>
      <c r="E1611" s="468"/>
      <c r="F1611" s="468"/>
    </row>
    <row r="1612" spans="1:6" ht="12.75" x14ac:dyDescent="0.2">
      <c r="A1612" s="451"/>
      <c r="B1612" s="451"/>
      <c r="C1612" s="451"/>
      <c r="D1612" s="451"/>
      <c r="E1612" s="468"/>
      <c r="F1612" s="468"/>
    </row>
    <row r="1613" spans="1:6" ht="12.75" x14ac:dyDescent="0.2">
      <c r="A1613" s="451"/>
      <c r="B1613" s="451"/>
      <c r="C1613" s="451"/>
      <c r="D1613" s="451"/>
      <c r="E1613" s="468"/>
      <c r="F1613" s="468"/>
    </row>
    <row r="1614" spans="1:6" ht="12.75" x14ac:dyDescent="0.2">
      <c r="A1614" s="451"/>
      <c r="B1614" s="451"/>
      <c r="C1614" s="451"/>
      <c r="D1614" s="451"/>
      <c r="E1614" s="468"/>
      <c r="F1614" s="468"/>
    </row>
    <row r="1615" spans="1:6" ht="12.75" x14ac:dyDescent="0.2">
      <c r="A1615" s="451"/>
      <c r="B1615" s="451"/>
      <c r="C1615" s="451"/>
      <c r="D1615" s="451"/>
      <c r="E1615" s="468"/>
      <c r="F1615" s="468"/>
    </row>
    <row r="1616" spans="1:6" ht="12.75" x14ac:dyDescent="0.2">
      <c r="A1616" s="451"/>
      <c r="B1616" s="451"/>
      <c r="C1616" s="451"/>
      <c r="D1616" s="451"/>
      <c r="E1616" s="468"/>
      <c r="F1616" s="468"/>
    </row>
    <row r="1617" spans="1:6" ht="12.75" x14ac:dyDescent="0.2">
      <c r="A1617" s="451"/>
      <c r="B1617" s="451"/>
      <c r="C1617" s="451"/>
      <c r="D1617" s="451"/>
      <c r="E1617" s="468"/>
      <c r="F1617" s="468"/>
    </row>
    <row r="1618" spans="1:6" ht="12.75" x14ac:dyDescent="0.2">
      <c r="A1618" s="451"/>
      <c r="B1618" s="451"/>
      <c r="C1618" s="451"/>
      <c r="D1618" s="451"/>
      <c r="E1618" s="468"/>
      <c r="F1618" s="468"/>
    </row>
    <row r="1619" spans="1:6" ht="12.75" x14ac:dyDescent="0.2">
      <c r="A1619" s="451"/>
      <c r="B1619" s="451"/>
      <c r="C1619" s="451"/>
      <c r="D1619" s="451"/>
      <c r="E1619" s="468"/>
      <c r="F1619" s="468"/>
    </row>
    <row r="1620" spans="1:6" ht="12.75" x14ac:dyDescent="0.2">
      <c r="A1620" s="451"/>
      <c r="B1620" s="451"/>
      <c r="C1620" s="451"/>
      <c r="D1620" s="451"/>
      <c r="E1620" s="468"/>
      <c r="F1620" s="468"/>
    </row>
    <row r="1621" spans="1:6" ht="12.75" x14ac:dyDescent="0.2">
      <c r="A1621" s="451"/>
      <c r="B1621" s="451"/>
      <c r="C1621" s="451"/>
      <c r="D1621" s="451"/>
      <c r="E1621" s="468"/>
      <c r="F1621" s="468"/>
    </row>
    <row r="1622" spans="1:6" ht="12.75" x14ac:dyDescent="0.2">
      <c r="A1622" s="451"/>
      <c r="B1622" s="451"/>
      <c r="C1622" s="451"/>
      <c r="D1622" s="451"/>
      <c r="E1622" s="468"/>
      <c r="F1622" s="468"/>
    </row>
    <row r="1623" spans="1:6" ht="12.75" x14ac:dyDescent="0.2">
      <c r="A1623" s="451"/>
      <c r="B1623" s="451"/>
      <c r="C1623" s="451"/>
      <c r="D1623" s="451"/>
      <c r="E1623" s="468"/>
      <c r="F1623" s="468"/>
    </row>
    <row r="1624" spans="1:6" ht="12.75" x14ac:dyDescent="0.2">
      <c r="A1624" s="451"/>
      <c r="B1624" s="451"/>
      <c r="C1624" s="451"/>
      <c r="D1624" s="451"/>
      <c r="E1624" s="468"/>
      <c r="F1624" s="468"/>
    </row>
    <row r="1625" spans="1:6" ht="12.75" x14ac:dyDescent="0.2">
      <c r="A1625" s="451"/>
      <c r="B1625" s="451"/>
      <c r="C1625" s="451"/>
      <c r="D1625" s="451"/>
      <c r="E1625" s="468"/>
      <c r="F1625" s="468"/>
    </row>
    <row r="1626" spans="1:6" ht="12.75" x14ac:dyDescent="0.2">
      <c r="A1626" s="451"/>
      <c r="B1626" s="451"/>
      <c r="C1626" s="451"/>
      <c r="D1626" s="451"/>
      <c r="E1626" s="468"/>
      <c r="F1626" s="468"/>
    </row>
    <row r="1627" spans="1:6" ht="12.75" x14ac:dyDescent="0.2">
      <c r="A1627" s="451"/>
      <c r="B1627" s="451"/>
      <c r="C1627" s="451"/>
      <c r="D1627" s="451"/>
      <c r="E1627" s="468"/>
      <c r="F1627" s="468"/>
    </row>
    <row r="1628" spans="1:6" ht="12.75" x14ac:dyDescent="0.2">
      <c r="A1628" s="451"/>
      <c r="B1628" s="451"/>
      <c r="C1628" s="451"/>
      <c r="D1628" s="451"/>
      <c r="E1628" s="468"/>
      <c r="F1628" s="468"/>
    </row>
    <row r="1629" spans="1:6" ht="12.75" x14ac:dyDescent="0.2">
      <c r="A1629" s="451"/>
      <c r="B1629" s="451"/>
      <c r="C1629" s="451"/>
      <c r="D1629" s="451"/>
      <c r="E1629" s="468"/>
      <c r="F1629" s="468"/>
    </row>
    <row r="1630" spans="1:6" ht="12.75" x14ac:dyDescent="0.2">
      <c r="A1630" s="451"/>
      <c r="B1630" s="451"/>
      <c r="C1630" s="451"/>
      <c r="D1630" s="451"/>
      <c r="E1630" s="468"/>
      <c r="F1630" s="468"/>
    </row>
    <row r="1631" spans="1:6" ht="12.75" x14ac:dyDescent="0.2">
      <c r="A1631" s="451"/>
      <c r="B1631" s="451"/>
      <c r="C1631" s="451"/>
      <c r="D1631" s="451"/>
      <c r="E1631" s="468"/>
      <c r="F1631" s="468"/>
    </row>
    <row r="1632" spans="1:6" ht="12.75" x14ac:dyDescent="0.2">
      <c r="A1632" s="451"/>
      <c r="B1632" s="451"/>
      <c r="C1632" s="451"/>
      <c r="D1632" s="451"/>
      <c r="E1632" s="468"/>
      <c r="F1632" s="468"/>
    </row>
    <row r="1633" spans="1:6" ht="12.75" x14ac:dyDescent="0.2">
      <c r="A1633" s="451"/>
      <c r="B1633" s="451"/>
      <c r="C1633" s="451"/>
      <c r="D1633" s="451"/>
      <c r="E1633" s="468"/>
      <c r="F1633" s="468"/>
    </row>
    <row r="1634" spans="1:6" ht="12.75" x14ac:dyDescent="0.2">
      <c r="A1634" s="451"/>
      <c r="B1634" s="451"/>
      <c r="C1634" s="451"/>
      <c r="D1634" s="451"/>
      <c r="E1634" s="468"/>
      <c r="F1634" s="468"/>
    </row>
    <row r="1635" spans="1:6" ht="12.75" x14ac:dyDescent="0.2">
      <c r="A1635" s="451"/>
      <c r="B1635" s="451"/>
      <c r="C1635" s="451"/>
      <c r="D1635" s="451"/>
      <c r="E1635" s="468"/>
      <c r="F1635" s="468"/>
    </row>
    <row r="1636" spans="1:6" ht="12.75" x14ac:dyDescent="0.2">
      <c r="A1636" s="451"/>
      <c r="B1636" s="451"/>
      <c r="C1636" s="451"/>
      <c r="D1636" s="451"/>
      <c r="E1636" s="468"/>
      <c r="F1636" s="468"/>
    </row>
    <row r="1637" spans="1:6" ht="12.75" x14ac:dyDescent="0.2">
      <c r="A1637" s="451"/>
      <c r="B1637" s="451"/>
      <c r="C1637" s="451"/>
      <c r="D1637" s="451"/>
      <c r="E1637" s="468"/>
      <c r="F1637" s="468"/>
    </row>
    <row r="1638" spans="1:6" ht="12.75" x14ac:dyDescent="0.2">
      <c r="A1638" s="451"/>
      <c r="B1638" s="451"/>
      <c r="C1638" s="451"/>
      <c r="D1638" s="451"/>
      <c r="E1638" s="468"/>
      <c r="F1638" s="468"/>
    </row>
    <row r="1639" spans="1:6" ht="12.75" x14ac:dyDescent="0.2">
      <c r="A1639" s="451"/>
      <c r="B1639" s="451"/>
      <c r="C1639" s="451"/>
      <c r="D1639" s="451"/>
      <c r="E1639" s="468"/>
      <c r="F1639" s="468"/>
    </row>
    <row r="1640" spans="1:6" ht="12.75" x14ac:dyDescent="0.2">
      <c r="A1640" s="451"/>
      <c r="B1640" s="451"/>
      <c r="C1640" s="451"/>
      <c r="D1640" s="451"/>
      <c r="E1640" s="468"/>
      <c r="F1640" s="468"/>
    </row>
    <row r="1641" spans="1:6" ht="12.75" x14ac:dyDescent="0.2">
      <c r="A1641" s="451"/>
      <c r="B1641" s="451"/>
      <c r="C1641" s="451"/>
      <c r="D1641" s="451"/>
      <c r="E1641" s="468"/>
      <c r="F1641" s="468"/>
    </row>
    <row r="1642" spans="1:6" ht="12.75" x14ac:dyDescent="0.2">
      <c r="A1642" s="451"/>
      <c r="B1642" s="451"/>
      <c r="C1642" s="451"/>
      <c r="D1642" s="451"/>
      <c r="E1642" s="468"/>
      <c r="F1642" s="468"/>
    </row>
    <row r="1643" spans="1:6" ht="12.75" x14ac:dyDescent="0.2">
      <c r="A1643" s="451"/>
      <c r="B1643" s="451"/>
      <c r="C1643" s="451"/>
      <c r="D1643" s="451"/>
      <c r="E1643" s="468"/>
      <c r="F1643" s="468"/>
    </row>
    <row r="1644" spans="1:6" ht="12.75" x14ac:dyDescent="0.2">
      <c r="A1644" s="451"/>
      <c r="B1644" s="451"/>
      <c r="C1644" s="451"/>
      <c r="D1644" s="451"/>
      <c r="E1644" s="468"/>
      <c r="F1644" s="468"/>
    </row>
    <row r="1645" spans="1:6" ht="12.75" x14ac:dyDescent="0.2">
      <c r="A1645" s="451"/>
      <c r="B1645" s="451"/>
      <c r="C1645" s="451"/>
      <c r="D1645" s="451"/>
      <c r="E1645" s="468"/>
      <c r="F1645" s="468"/>
    </row>
    <row r="1646" spans="1:6" ht="12.75" x14ac:dyDescent="0.2">
      <c r="A1646" s="451"/>
      <c r="B1646" s="451"/>
      <c r="C1646" s="451"/>
      <c r="D1646" s="451"/>
      <c r="E1646" s="468"/>
      <c r="F1646" s="468"/>
    </row>
    <row r="1647" spans="1:6" ht="12.75" x14ac:dyDescent="0.2">
      <c r="A1647" s="451"/>
      <c r="B1647" s="451"/>
      <c r="C1647" s="451"/>
      <c r="D1647" s="451"/>
      <c r="E1647" s="468"/>
      <c r="F1647" s="468"/>
    </row>
    <row r="1648" spans="1:6" ht="12.75" x14ac:dyDescent="0.2">
      <c r="A1648" s="451"/>
      <c r="B1648" s="451"/>
      <c r="C1648" s="451"/>
      <c r="D1648" s="451"/>
      <c r="E1648" s="468"/>
      <c r="F1648" s="468"/>
    </row>
    <row r="1649" spans="1:6" ht="12.75" x14ac:dyDescent="0.2">
      <c r="A1649" s="451"/>
      <c r="B1649" s="451"/>
      <c r="C1649" s="451"/>
      <c r="D1649" s="451"/>
      <c r="E1649" s="468"/>
      <c r="F1649" s="468"/>
    </row>
    <row r="1650" spans="1:6" ht="12.75" x14ac:dyDescent="0.2">
      <c r="A1650" s="451"/>
      <c r="B1650" s="451"/>
      <c r="C1650" s="451"/>
      <c r="D1650" s="451"/>
      <c r="E1650" s="468"/>
      <c r="F1650" s="468"/>
    </row>
    <row r="1651" spans="1:6" ht="12.75" x14ac:dyDescent="0.2">
      <c r="A1651" s="451"/>
      <c r="B1651" s="451"/>
      <c r="C1651" s="451"/>
      <c r="D1651" s="451"/>
      <c r="E1651" s="468"/>
      <c r="F1651" s="468"/>
    </row>
    <row r="1652" spans="1:6" ht="12.75" x14ac:dyDescent="0.2">
      <c r="A1652" s="451"/>
      <c r="B1652" s="451"/>
      <c r="C1652" s="451"/>
      <c r="D1652" s="451"/>
      <c r="E1652" s="468"/>
      <c r="F1652" s="468"/>
    </row>
    <row r="1653" spans="1:6" ht="12.75" x14ac:dyDescent="0.2">
      <c r="A1653" s="451"/>
      <c r="B1653" s="451"/>
      <c r="C1653" s="451"/>
      <c r="D1653" s="451"/>
      <c r="E1653" s="468"/>
      <c r="F1653" s="468"/>
    </row>
    <row r="1654" spans="1:6" ht="12.75" x14ac:dyDescent="0.2">
      <c r="A1654" s="451"/>
      <c r="B1654" s="451"/>
      <c r="C1654" s="451"/>
      <c r="D1654" s="451"/>
      <c r="E1654" s="468"/>
      <c r="F1654" s="468"/>
    </row>
    <row r="1655" spans="1:6" ht="12.75" x14ac:dyDescent="0.2">
      <c r="A1655" s="451"/>
      <c r="B1655" s="451"/>
      <c r="C1655" s="451"/>
      <c r="D1655" s="451"/>
      <c r="E1655" s="468"/>
      <c r="F1655" s="468"/>
    </row>
    <row r="1656" spans="1:6" ht="12.75" x14ac:dyDescent="0.2">
      <c r="A1656" s="451"/>
      <c r="B1656" s="451"/>
      <c r="C1656" s="451"/>
      <c r="D1656" s="451"/>
      <c r="E1656" s="468"/>
      <c r="F1656" s="468"/>
    </row>
    <row r="1657" spans="1:6" ht="12.75" x14ac:dyDescent="0.2">
      <c r="A1657" s="451"/>
      <c r="B1657" s="451"/>
      <c r="C1657" s="451"/>
      <c r="D1657" s="451"/>
      <c r="E1657" s="468"/>
      <c r="F1657" s="468"/>
    </row>
    <row r="1658" spans="1:6" ht="12.75" x14ac:dyDescent="0.2">
      <c r="A1658" s="451"/>
      <c r="B1658" s="451"/>
      <c r="C1658" s="451"/>
      <c r="D1658" s="451"/>
      <c r="E1658" s="468"/>
      <c r="F1658" s="468"/>
    </row>
    <row r="1659" spans="1:6" ht="12.75" x14ac:dyDescent="0.2">
      <c r="A1659" s="451"/>
      <c r="B1659" s="451"/>
      <c r="C1659" s="451"/>
      <c r="D1659" s="451"/>
      <c r="E1659" s="468"/>
      <c r="F1659" s="468"/>
    </row>
    <row r="1660" spans="1:6" ht="12.75" x14ac:dyDescent="0.2">
      <c r="A1660" s="451"/>
      <c r="B1660" s="451"/>
      <c r="C1660" s="451"/>
      <c r="D1660" s="451"/>
      <c r="E1660" s="468"/>
      <c r="F1660" s="468"/>
    </row>
    <row r="1661" spans="1:6" ht="12.75" x14ac:dyDescent="0.2">
      <c r="A1661" s="451"/>
      <c r="B1661" s="451"/>
      <c r="C1661" s="451"/>
      <c r="D1661" s="451"/>
      <c r="E1661" s="468"/>
      <c r="F1661" s="468"/>
    </row>
    <row r="1662" spans="1:6" ht="12.75" x14ac:dyDescent="0.2">
      <c r="A1662" s="451"/>
      <c r="B1662" s="451"/>
      <c r="C1662" s="451"/>
      <c r="D1662" s="451"/>
      <c r="E1662" s="468"/>
      <c r="F1662" s="468"/>
    </row>
    <row r="1663" spans="1:6" ht="12.75" x14ac:dyDescent="0.2">
      <c r="A1663" s="451"/>
      <c r="B1663" s="451"/>
      <c r="C1663" s="451"/>
      <c r="D1663" s="451"/>
      <c r="E1663" s="468"/>
      <c r="F1663" s="468"/>
    </row>
    <row r="1664" spans="1:6" ht="12.75" x14ac:dyDescent="0.2">
      <c r="A1664" s="451"/>
      <c r="B1664" s="451"/>
      <c r="C1664" s="451"/>
      <c r="D1664" s="451"/>
      <c r="E1664" s="468"/>
      <c r="F1664" s="468"/>
    </row>
    <row r="1665" spans="1:6" ht="12.75" x14ac:dyDescent="0.2">
      <c r="A1665" s="451"/>
      <c r="B1665" s="451"/>
      <c r="C1665" s="451"/>
      <c r="D1665" s="451"/>
      <c r="E1665" s="468"/>
      <c r="F1665" s="468"/>
    </row>
    <row r="1666" spans="1:6" ht="12.75" x14ac:dyDescent="0.2">
      <c r="A1666" s="451"/>
      <c r="B1666" s="451"/>
      <c r="C1666" s="451"/>
      <c r="D1666" s="451"/>
      <c r="E1666" s="468"/>
      <c r="F1666" s="468"/>
    </row>
    <row r="1667" spans="1:6" ht="12.75" x14ac:dyDescent="0.2">
      <c r="A1667" s="451"/>
      <c r="B1667" s="451"/>
      <c r="C1667" s="451"/>
      <c r="D1667" s="451"/>
      <c r="E1667" s="468"/>
      <c r="F1667" s="468"/>
    </row>
    <row r="1668" spans="1:6" ht="12.75" x14ac:dyDescent="0.2">
      <c r="A1668" s="451"/>
      <c r="B1668" s="451"/>
      <c r="C1668" s="451"/>
      <c r="D1668" s="451"/>
      <c r="E1668" s="468"/>
      <c r="F1668" s="468"/>
    </row>
    <row r="1669" spans="1:6" ht="12.75" x14ac:dyDescent="0.2">
      <c r="A1669" s="451"/>
      <c r="B1669" s="451"/>
      <c r="C1669" s="451"/>
      <c r="D1669" s="451"/>
      <c r="E1669" s="468"/>
      <c r="F1669" s="468"/>
    </row>
    <row r="1670" spans="1:6" ht="12.75" x14ac:dyDescent="0.2">
      <c r="A1670" s="451"/>
      <c r="B1670" s="451"/>
      <c r="C1670" s="451"/>
      <c r="D1670" s="451"/>
      <c r="E1670" s="468"/>
      <c r="F1670" s="468"/>
    </row>
    <row r="1671" spans="1:6" ht="12.75" x14ac:dyDescent="0.2">
      <c r="A1671" s="451"/>
      <c r="B1671" s="451"/>
      <c r="C1671" s="451"/>
      <c r="D1671" s="451"/>
      <c r="E1671" s="468"/>
      <c r="F1671" s="468"/>
    </row>
    <row r="1672" spans="1:6" ht="12.75" x14ac:dyDescent="0.2">
      <c r="A1672" s="451"/>
      <c r="B1672" s="451"/>
      <c r="C1672" s="451"/>
      <c r="D1672" s="451"/>
      <c r="E1672" s="468"/>
      <c r="F1672" s="468"/>
    </row>
    <row r="1673" spans="1:6" ht="12.75" x14ac:dyDescent="0.2">
      <c r="A1673" s="451"/>
      <c r="B1673" s="451"/>
      <c r="C1673" s="451"/>
      <c r="D1673" s="451"/>
      <c r="E1673" s="468"/>
      <c r="F1673" s="468"/>
    </row>
    <row r="1674" spans="1:6" ht="12.75" x14ac:dyDescent="0.2">
      <c r="A1674" s="451"/>
      <c r="B1674" s="451"/>
      <c r="C1674" s="451"/>
      <c r="D1674" s="451"/>
      <c r="E1674" s="468"/>
      <c r="F1674" s="468"/>
    </row>
    <row r="1675" spans="1:6" ht="12.75" x14ac:dyDescent="0.2">
      <c r="A1675" s="451"/>
      <c r="B1675" s="451"/>
      <c r="C1675" s="451"/>
      <c r="D1675" s="451"/>
      <c r="E1675" s="468"/>
      <c r="F1675" s="468"/>
    </row>
    <row r="1676" spans="1:6" ht="12.75" x14ac:dyDescent="0.2">
      <c r="A1676" s="451"/>
      <c r="B1676" s="451"/>
      <c r="C1676" s="451"/>
      <c r="D1676" s="451"/>
      <c r="E1676" s="468"/>
      <c r="F1676" s="468"/>
    </row>
    <row r="1677" spans="1:6" ht="12.75" x14ac:dyDescent="0.2">
      <c r="A1677" s="451"/>
      <c r="B1677" s="451"/>
      <c r="C1677" s="451"/>
      <c r="D1677" s="451"/>
      <c r="E1677" s="468"/>
      <c r="F1677" s="468"/>
    </row>
    <row r="1678" spans="1:6" ht="12.75" x14ac:dyDescent="0.2">
      <c r="A1678" s="451"/>
      <c r="B1678" s="451"/>
      <c r="C1678" s="451"/>
      <c r="D1678" s="451"/>
      <c r="E1678" s="468"/>
      <c r="F1678" s="468"/>
    </row>
    <row r="1679" spans="1:6" ht="12.75" x14ac:dyDescent="0.2">
      <c r="A1679" s="451"/>
      <c r="B1679" s="451"/>
      <c r="C1679" s="451"/>
      <c r="D1679" s="451"/>
      <c r="E1679" s="468"/>
      <c r="F1679" s="468"/>
    </row>
    <row r="1680" spans="1:6" ht="12.75" x14ac:dyDescent="0.2">
      <c r="A1680" s="451"/>
      <c r="B1680" s="451"/>
      <c r="C1680" s="451"/>
      <c r="D1680" s="451"/>
      <c r="E1680" s="468"/>
      <c r="F1680" s="468"/>
    </row>
    <row r="1681" spans="1:6" ht="12.75" x14ac:dyDescent="0.2">
      <c r="A1681" s="451"/>
      <c r="B1681" s="451"/>
      <c r="C1681" s="451"/>
      <c r="D1681" s="451"/>
      <c r="E1681" s="468"/>
      <c r="F1681" s="468"/>
    </row>
    <row r="1682" spans="1:6" ht="12.75" x14ac:dyDescent="0.2">
      <c r="A1682" s="451"/>
      <c r="B1682" s="451"/>
      <c r="C1682" s="451"/>
      <c r="D1682" s="451"/>
      <c r="E1682" s="468"/>
      <c r="F1682" s="468"/>
    </row>
    <row r="1683" spans="1:6" ht="12.75" x14ac:dyDescent="0.2">
      <c r="A1683" s="451"/>
      <c r="B1683" s="451"/>
      <c r="C1683" s="451"/>
      <c r="D1683" s="451"/>
      <c r="E1683" s="468"/>
      <c r="F1683" s="468"/>
    </row>
    <row r="1684" spans="1:6" ht="12.75" x14ac:dyDescent="0.2">
      <c r="A1684" s="451"/>
      <c r="B1684" s="451"/>
      <c r="C1684" s="451"/>
      <c r="D1684" s="451"/>
      <c r="E1684" s="468"/>
      <c r="F1684" s="468"/>
    </row>
    <row r="1685" spans="1:6" ht="12.75" x14ac:dyDescent="0.2">
      <c r="A1685" s="451"/>
      <c r="B1685" s="451"/>
      <c r="C1685" s="451"/>
      <c r="D1685" s="451"/>
      <c r="E1685" s="468"/>
      <c r="F1685" s="468"/>
    </row>
    <row r="1686" spans="1:6" ht="12.75" x14ac:dyDescent="0.2">
      <c r="A1686" s="451"/>
      <c r="B1686" s="451"/>
      <c r="C1686" s="451"/>
      <c r="D1686" s="451"/>
      <c r="E1686" s="468"/>
      <c r="F1686" s="468"/>
    </row>
    <row r="1687" spans="1:6" ht="12.75" x14ac:dyDescent="0.2">
      <c r="A1687" s="451"/>
      <c r="B1687" s="451"/>
      <c r="C1687" s="451"/>
      <c r="D1687" s="451"/>
      <c r="E1687" s="468"/>
      <c r="F1687" s="468"/>
    </row>
    <row r="1688" spans="1:6" ht="12.75" x14ac:dyDescent="0.2">
      <c r="A1688" s="451"/>
      <c r="B1688" s="451"/>
      <c r="C1688" s="451"/>
      <c r="D1688" s="451"/>
      <c r="E1688" s="468"/>
      <c r="F1688" s="468"/>
    </row>
    <row r="1689" spans="1:6" ht="12.75" x14ac:dyDescent="0.2">
      <c r="A1689" s="451"/>
      <c r="B1689" s="451"/>
      <c r="C1689" s="451"/>
      <c r="D1689" s="451"/>
      <c r="E1689" s="468"/>
      <c r="F1689" s="468"/>
    </row>
    <row r="1690" spans="1:6" ht="12.75" x14ac:dyDescent="0.2">
      <c r="A1690" s="451"/>
      <c r="B1690" s="451"/>
      <c r="C1690" s="451"/>
      <c r="D1690" s="451"/>
      <c r="E1690" s="468"/>
      <c r="F1690" s="468"/>
    </row>
    <row r="1691" spans="1:6" ht="12.75" x14ac:dyDescent="0.2">
      <c r="A1691" s="451"/>
      <c r="B1691" s="451"/>
      <c r="C1691" s="451"/>
      <c r="D1691" s="451"/>
      <c r="E1691" s="468"/>
      <c r="F1691" s="468"/>
    </row>
    <row r="1692" spans="1:6" ht="12.75" x14ac:dyDescent="0.2">
      <c r="A1692" s="451"/>
      <c r="B1692" s="451"/>
      <c r="C1692" s="451"/>
      <c r="D1692" s="451"/>
      <c r="E1692" s="468"/>
      <c r="F1692" s="468"/>
    </row>
    <row r="1693" spans="1:6" ht="12.75" x14ac:dyDescent="0.2">
      <c r="A1693" s="451"/>
      <c r="B1693" s="451"/>
      <c r="C1693" s="451"/>
      <c r="D1693" s="451"/>
      <c r="E1693" s="468"/>
      <c r="F1693" s="468"/>
    </row>
    <row r="1694" spans="1:6" ht="12.75" x14ac:dyDescent="0.2">
      <c r="A1694" s="451"/>
      <c r="B1694" s="451"/>
      <c r="C1694" s="451"/>
      <c r="D1694" s="451"/>
      <c r="E1694" s="468"/>
      <c r="F1694" s="468"/>
    </row>
    <row r="1695" spans="1:6" ht="12.75" x14ac:dyDescent="0.2">
      <c r="A1695" s="451"/>
      <c r="B1695" s="451"/>
      <c r="C1695" s="451"/>
      <c r="D1695" s="451"/>
      <c r="E1695" s="468"/>
      <c r="F1695" s="468"/>
    </row>
    <row r="1696" spans="1:6" ht="12.75" x14ac:dyDescent="0.2">
      <c r="A1696" s="451"/>
      <c r="B1696" s="451"/>
      <c r="C1696" s="451"/>
      <c r="D1696" s="451"/>
      <c r="E1696" s="468"/>
      <c r="F1696" s="468"/>
    </row>
    <row r="1697" spans="1:6" ht="12.75" x14ac:dyDescent="0.2">
      <c r="A1697" s="451"/>
      <c r="B1697" s="451"/>
      <c r="C1697" s="451"/>
      <c r="D1697" s="451"/>
      <c r="E1697" s="468"/>
      <c r="F1697" s="468"/>
    </row>
    <row r="1698" spans="1:6" ht="12.75" x14ac:dyDescent="0.2">
      <c r="A1698" s="451"/>
      <c r="B1698" s="451"/>
      <c r="C1698" s="451"/>
      <c r="D1698" s="451"/>
      <c r="E1698" s="468"/>
      <c r="F1698" s="468"/>
    </row>
    <row r="1699" spans="1:6" ht="12.75" x14ac:dyDescent="0.2">
      <c r="A1699" s="451"/>
      <c r="B1699" s="451"/>
      <c r="C1699" s="451"/>
      <c r="D1699" s="451"/>
      <c r="E1699" s="468"/>
      <c r="F1699" s="468"/>
    </row>
    <row r="1700" spans="1:6" ht="12.75" x14ac:dyDescent="0.2">
      <c r="A1700" s="451"/>
      <c r="B1700" s="451"/>
      <c r="C1700" s="451"/>
      <c r="D1700" s="451"/>
      <c r="E1700" s="468"/>
      <c r="F1700" s="468"/>
    </row>
    <row r="1701" spans="1:6" ht="12.75" x14ac:dyDescent="0.2">
      <c r="A1701" s="451"/>
      <c r="B1701" s="451"/>
      <c r="C1701" s="451"/>
      <c r="D1701" s="451"/>
      <c r="E1701" s="468"/>
      <c r="F1701" s="468"/>
    </row>
    <row r="1702" spans="1:6" ht="12.75" x14ac:dyDescent="0.2">
      <c r="A1702" s="451"/>
      <c r="B1702" s="451"/>
      <c r="C1702" s="451"/>
      <c r="D1702" s="451"/>
      <c r="E1702" s="468"/>
      <c r="F1702" s="468"/>
    </row>
    <row r="1703" spans="1:6" ht="12.75" x14ac:dyDescent="0.2">
      <c r="A1703" s="451"/>
      <c r="B1703" s="451"/>
      <c r="C1703" s="451"/>
      <c r="D1703" s="451"/>
      <c r="E1703" s="468"/>
      <c r="F1703" s="468"/>
    </row>
    <row r="1704" spans="1:6" ht="12.75" x14ac:dyDescent="0.2">
      <c r="A1704" s="451"/>
      <c r="B1704" s="451"/>
      <c r="C1704" s="451"/>
      <c r="D1704" s="451"/>
      <c r="E1704" s="468"/>
      <c r="F1704" s="468"/>
    </row>
    <row r="1705" spans="1:6" ht="12.75" x14ac:dyDescent="0.2">
      <c r="A1705" s="451"/>
      <c r="B1705" s="451"/>
      <c r="C1705" s="451"/>
      <c r="D1705" s="451"/>
      <c r="E1705" s="468"/>
      <c r="F1705" s="468"/>
    </row>
    <row r="1706" spans="1:6" ht="12.75" x14ac:dyDescent="0.2">
      <c r="A1706" s="451"/>
      <c r="B1706" s="451"/>
      <c r="C1706" s="451"/>
      <c r="D1706" s="451"/>
      <c r="E1706" s="468"/>
      <c r="F1706" s="468"/>
    </row>
    <row r="1707" spans="1:6" ht="12.75" x14ac:dyDescent="0.2">
      <c r="A1707" s="451"/>
      <c r="B1707" s="451"/>
      <c r="C1707" s="451"/>
      <c r="D1707" s="451"/>
      <c r="E1707" s="468"/>
      <c r="F1707" s="468"/>
    </row>
    <row r="1708" spans="1:6" ht="12.75" x14ac:dyDescent="0.2">
      <c r="A1708" s="451"/>
      <c r="B1708" s="451"/>
      <c r="C1708" s="451"/>
      <c r="D1708" s="451"/>
      <c r="E1708" s="468"/>
      <c r="F1708" s="468"/>
    </row>
    <row r="1709" spans="1:6" ht="12.75" x14ac:dyDescent="0.2">
      <c r="A1709" s="451"/>
      <c r="B1709" s="451"/>
      <c r="C1709" s="451"/>
      <c r="D1709" s="451"/>
      <c r="E1709" s="468"/>
      <c r="F1709" s="468"/>
    </row>
    <row r="1710" spans="1:6" ht="12.75" x14ac:dyDescent="0.2">
      <c r="A1710" s="451"/>
      <c r="B1710" s="451"/>
      <c r="C1710" s="451"/>
      <c r="D1710" s="451"/>
      <c r="E1710" s="468"/>
      <c r="F1710" s="468"/>
    </row>
    <row r="1711" spans="1:6" ht="12.75" x14ac:dyDescent="0.2">
      <c r="A1711" s="451"/>
      <c r="B1711" s="451"/>
      <c r="C1711" s="451"/>
      <c r="D1711" s="451"/>
      <c r="E1711" s="468"/>
      <c r="F1711" s="468"/>
    </row>
    <row r="1712" spans="1:6" ht="12.75" x14ac:dyDescent="0.2">
      <c r="A1712" s="451"/>
      <c r="B1712" s="451"/>
      <c r="C1712" s="451"/>
      <c r="D1712" s="451"/>
      <c r="E1712" s="468"/>
      <c r="F1712" s="468"/>
    </row>
    <row r="1713" spans="1:6" ht="12.75" x14ac:dyDescent="0.2">
      <c r="A1713" s="451"/>
      <c r="B1713" s="451"/>
      <c r="C1713" s="451"/>
      <c r="D1713" s="451"/>
      <c r="E1713" s="468"/>
      <c r="F1713" s="468"/>
    </row>
    <row r="1714" spans="1:6" ht="12.75" x14ac:dyDescent="0.2">
      <c r="A1714" s="451"/>
      <c r="B1714" s="451"/>
      <c r="C1714" s="451"/>
      <c r="D1714" s="451"/>
      <c r="E1714" s="468"/>
      <c r="F1714" s="468"/>
    </row>
    <row r="1715" spans="1:6" ht="12.75" x14ac:dyDescent="0.2">
      <c r="A1715" s="451"/>
      <c r="B1715" s="451"/>
      <c r="C1715" s="451"/>
      <c r="D1715" s="451"/>
      <c r="E1715" s="468"/>
      <c r="F1715" s="468"/>
    </row>
    <row r="1716" spans="1:6" ht="12.75" x14ac:dyDescent="0.2">
      <c r="A1716" s="451"/>
      <c r="B1716" s="451"/>
      <c r="C1716" s="451"/>
      <c r="D1716" s="451"/>
      <c r="E1716" s="468"/>
      <c r="F1716" s="468"/>
    </row>
    <row r="1717" spans="1:6" ht="12.75" x14ac:dyDescent="0.2">
      <c r="A1717" s="451"/>
      <c r="B1717" s="451"/>
      <c r="C1717" s="451"/>
      <c r="D1717" s="451"/>
      <c r="E1717" s="468"/>
      <c r="F1717" s="468"/>
    </row>
    <row r="1718" spans="1:6" ht="12.75" x14ac:dyDescent="0.2">
      <c r="A1718" s="451"/>
      <c r="B1718" s="451"/>
      <c r="C1718" s="451"/>
      <c r="D1718" s="451"/>
      <c r="E1718" s="468"/>
      <c r="F1718" s="468"/>
    </row>
    <row r="1719" spans="1:6" ht="12.75" x14ac:dyDescent="0.2">
      <c r="A1719" s="451"/>
      <c r="B1719" s="451"/>
      <c r="C1719" s="451"/>
      <c r="D1719" s="451"/>
      <c r="E1719" s="468"/>
      <c r="F1719" s="468"/>
    </row>
    <row r="1720" spans="1:6" ht="12.75" x14ac:dyDescent="0.2">
      <c r="A1720" s="451"/>
      <c r="B1720" s="451"/>
      <c r="C1720" s="451"/>
      <c r="D1720" s="451"/>
      <c r="E1720" s="468"/>
      <c r="F1720" s="468"/>
    </row>
    <row r="1721" spans="1:6" ht="12.75" x14ac:dyDescent="0.2">
      <c r="A1721" s="451"/>
      <c r="B1721" s="451"/>
      <c r="C1721" s="451"/>
      <c r="D1721" s="451"/>
      <c r="E1721" s="468"/>
      <c r="F1721" s="468"/>
    </row>
    <row r="1722" spans="1:6" ht="12.75" x14ac:dyDescent="0.2">
      <c r="A1722" s="451"/>
      <c r="B1722" s="451"/>
      <c r="C1722" s="451"/>
      <c r="D1722" s="451"/>
      <c r="E1722" s="468"/>
      <c r="F1722" s="468"/>
    </row>
    <row r="1723" spans="1:6" ht="12.75" x14ac:dyDescent="0.2">
      <c r="A1723" s="451"/>
      <c r="B1723" s="451"/>
      <c r="C1723" s="451"/>
      <c r="D1723" s="451"/>
      <c r="E1723" s="468"/>
      <c r="F1723" s="468"/>
    </row>
    <row r="1724" spans="1:6" ht="12.75" x14ac:dyDescent="0.2">
      <c r="A1724" s="451"/>
      <c r="B1724" s="451"/>
      <c r="C1724" s="451"/>
      <c r="D1724" s="451"/>
      <c r="E1724" s="468"/>
      <c r="F1724" s="468"/>
    </row>
    <row r="1725" spans="1:6" ht="12.75" x14ac:dyDescent="0.2">
      <c r="A1725" s="451"/>
      <c r="B1725" s="451"/>
      <c r="C1725" s="451"/>
      <c r="D1725" s="451"/>
      <c r="E1725" s="468"/>
      <c r="F1725" s="468"/>
    </row>
    <row r="1726" spans="1:6" ht="12.75" x14ac:dyDescent="0.2">
      <c r="A1726" s="451"/>
      <c r="B1726" s="451"/>
      <c r="C1726" s="451"/>
      <c r="D1726" s="451"/>
      <c r="E1726" s="468"/>
      <c r="F1726" s="468"/>
    </row>
    <row r="1727" spans="1:6" ht="12.75" x14ac:dyDescent="0.2">
      <c r="A1727" s="451"/>
      <c r="B1727" s="451"/>
      <c r="C1727" s="451"/>
      <c r="D1727" s="451"/>
      <c r="E1727" s="468"/>
      <c r="F1727" s="468"/>
    </row>
    <row r="1728" spans="1:6" ht="12.75" x14ac:dyDescent="0.2">
      <c r="A1728" s="451"/>
      <c r="B1728" s="451"/>
      <c r="C1728" s="451"/>
      <c r="D1728" s="451"/>
      <c r="E1728" s="468"/>
      <c r="F1728" s="468"/>
    </row>
    <row r="1729" spans="1:6" ht="12.75" x14ac:dyDescent="0.2">
      <c r="A1729" s="451"/>
      <c r="B1729" s="451"/>
      <c r="C1729" s="451"/>
      <c r="D1729" s="451"/>
      <c r="E1729" s="468"/>
      <c r="F1729" s="468"/>
    </row>
    <row r="1730" spans="1:6" ht="12.75" x14ac:dyDescent="0.2">
      <c r="A1730" s="451"/>
      <c r="B1730" s="451"/>
      <c r="C1730" s="451"/>
      <c r="D1730" s="451"/>
      <c r="E1730" s="468"/>
      <c r="F1730" s="468"/>
    </row>
    <row r="1731" spans="1:6" ht="12.75" x14ac:dyDescent="0.2">
      <c r="A1731" s="451"/>
      <c r="B1731" s="451"/>
      <c r="C1731" s="451"/>
      <c r="D1731" s="451"/>
      <c r="E1731" s="468"/>
      <c r="F1731" s="468"/>
    </row>
    <row r="1732" spans="1:6" ht="12.75" x14ac:dyDescent="0.2">
      <c r="A1732" s="451"/>
      <c r="B1732" s="451"/>
      <c r="C1732" s="451"/>
      <c r="D1732" s="451"/>
      <c r="E1732" s="468"/>
      <c r="F1732" s="468"/>
    </row>
    <row r="1733" spans="1:6" ht="12.75" x14ac:dyDescent="0.2">
      <c r="A1733" s="451"/>
      <c r="B1733" s="451"/>
      <c r="C1733" s="451"/>
      <c r="D1733" s="451"/>
      <c r="E1733" s="468"/>
      <c r="F1733" s="468"/>
    </row>
    <row r="1734" spans="1:6" ht="12.75" x14ac:dyDescent="0.2">
      <c r="A1734" s="451"/>
      <c r="B1734" s="451"/>
      <c r="C1734" s="451"/>
      <c r="D1734" s="451"/>
      <c r="E1734" s="468"/>
      <c r="F1734" s="468"/>
    </row>
    <row r="1735" spans="1:6" ht="12.75" x14ac:dyDescent="0.2">
      <c r="A1735" s="451"/>
      <c r="B1735" s="451"/>
      <c r="C1735" s="451"/>
      <c r="D1735" s="451"/>
      <c r="E1735" s="468"/>
      <c r="F1735" s="468"/>
    </row>
    <row r="1736" spans="1:6" ht="12.75" x14ac:dyDescent="0.2">
      <c r="A1736" s="451"/>
      <c r="B1736" s="451"/>
      <c r="C1736" s="451"/>
      <c r="D1736" s="451"/>
      <c r="E1736" s="468"/>
      <c r="F1736" s="468"/>
    </row>
    <row r="1737" spans="1:6" ht="12.75" x14ac:dyDescent="0.2">
      <c r="A1737" s="451"/>
      <c r="B1737" s="451"/>
      <c r="C1737" s="451"/>
      <c r="D1737" s="451"/>
      <c r="E1737" s="468"/>
      <c r="F1737" s="468"/>
    </row>
    <row r="1738" spans="1:6" ht="12.75" x14ac:dyDescent="0.2">
      <c r="A1738" s="451"/>
      <c r="B1738" s="451"/>
      <c r="C1738" s="451"/>
      <c r="D1738" s="451"/>
      <c r="E1738" s="468"/>
      <c r="F1738" s="468"/>
    </row>
    <row r="1739" spans="1:6" ht="12.75" x14ac:dyDescent="0.2">
      <c r="A1739" s="451"/>
      <c r="B1739" s="451"/>
      <c r="C1739" s="451"/>
      <c r="D1739" s="451"/>
      <c r="E1739" s="468"/>
      <c r="F1739" s="468"/>
    </row>
    <row r="1740" spans="1:6" ht="12.75" x14ac:dyDescent="0.2">
      <c r="A1740" s="451"/>
      <c r="B1740" s="451"/>
      <c r="C1740" s="451"/>
      <c r="D1740" s="451"/>
      <c r="E1740" s="468"/>
      <c r="F1740" s="468"/>
    </row>
    <row r="1741" spans="1:6" ht="12.75" x14ac:dyDescent="0.2">
      <c r="A1741" s="451"/>
      <c r="B1741" s="451"/>
      <c r="C1741" s="451"/>
      <c r="D1741" s="451"/>
      <c r="E1741" s="468"/>
      <c r="F1741" s="468"/>
    </row>
    <row r="1742" spans="1:6" ht="12.75" x14ac:dyDescent="0.2">
      <c r="A1742" s="451"/>
      <c r="B1742" s="451"/>
      <c r="C1742" s="451"/>
      <c r="D1742" s="451"/>
      <c r="E1742" s="468"/>
      <c r="F1742" s="468"/>
    </row>
    <row r="1743" spans="1:6" ht="12.75" x14ac:dyDescent="0.2">
      <c r="A1743" s="451"/>
      <c r="B1743" s="451"/>
      <c r="C1743" s="451"/>
      <c r="D1743" s="451"/>
      <c r="E1743" s="468"/>
      <c r="F1743" s="468"/>
    </row>
    <row r="1744" spans="1:6" ht="12.75" x14ac:dyDescent="0.2">
      <c r="A1744" s="451"/>
      <c r="B1744" s="451"/>
      <c r="C1744" s="451"/>
      <c r="D1744" s="451"/>
      <c r="E1744" s="468"/>
      <c r="F1744" s="468"/>
    </row>
    <row r="1745" spans="1:6" ht="12.75" x14ac:dyDescent="0.2">
      <c r="A1745" s="451"/>
      <c r="B1745" s="451"/>
      <c r="C1745" s="451"/>
      <c r="D1745" s="451"/>
      <c r="E1745" s="468"/>
      <c r="F1745" s="468"/>
    </row>
    <row r="1746" spans="1:6" ht="12.75" x14ac:dyDescent="0.2">
      <c r="A1746" s="451"/>
      <c r="B1746" s="451"/>
      <c r="C1746" s="451"/>
      <c r="D1746" s="451"/>
      <c r="E1746" s="468"/>
      <c r="F1746" s="468"/>
    </row>
    <row r="1747" spans="1:6" ht="12.75" x14ac:dyDescent="0.2">
      <c r="A1747" s="451"/>
      <c r="B1747" s="451"/>
      <c r="C1747" s="451"/>
      <c r="D1747" s="451"/>
      <c r="E1747" s="468"/>
      <c r="F1747" s="468"/>
    </row>
    <row r="1748" spans="1:6" ht="12.75" x14ac:dyDescent="0.2">
      <c r="A1748" s="451"/>
      <c r="B1748" s="451"/>
      <c r="C1748" s="451"/>
      <c r="D1748" s="451"/>
      <c r="E1748" s="468"/>
      <c r="F1748" s="468"/>
    </row>
    <row r="1749" spans="1:6" ht="12.75" x14ac:dyDescent="0.2">
      <c r="A1749" s="451"/>
      <c r="B1749" s="451"/>
      <c r="C1749" s="451"/>
      <c r="D1749" s="451"/>
      <c r="E1749" s="468"/>
      <c r="F1749" s="468"/>
    </row>
    <row r="1750" spans="1:6" ht="12.75" x14ac:dyDescent="0.2">
      <c r="A1750" s="451"/>
      <c r="B1750" s="451"/>
      <c r="C1750" s="451"/>
      <c r="D1750" s="451"/>
      <c r="E1750" s="468"/>
      <c r="F1750" s="468"/>
    </row>
    <row r="1751" spans="1:6" ht="12.75" x14ac:dyDescent="0.2">
      <c r="A1751" s="451"/>
      <c r="B1751" s="451"/>
      <c r="C1751" s="451"/>
      <c r="D1751" s="451"/>
      <c r="E1751" s="468"/>
      <c r="F1751" s="468"/>
    </row>
    <row r="1752" spans="1:6" ht="12.75" x14ac:dyDescent="0.2">
      <c r="A1752" s="451"/>
      <c r="B1752" s="451"/>
      <c r="C1752" s="451"/>
      <c r="D1752" s="451"/>
      <c r="E1752" s="468"/>
      <c r="F1752" s="468"/>
    </row>
    <row r="1753" spans="1:6" ht="12.75" x14ac:dyDescent="0.2">
      <c r="A1753" s="451"/>
      <c r="B1753" s="451"/>
      <c r="C1753" s="451"/>
      <c r="D1753" s="451"/>
      <c r="E1753" s="468"/>
      <c r="F1753" s="468"/>
    </row>
    <row r="1754" spans="1:6" ht="12.75" x14ac:dyDescent="0.2">
      <c r="A1754" s="451"/>
      <c r="B1754" s="451"/>
      <c r="C1754" s="451"/>
      <c r="D1754" s="451"/>
      <c r="E1754" s="468"/>
      <c r="F1754" s="468"/>
    </row>
    <row r="1755" spans="1:6" ht="12.75" x14ac:dyDescent="0.2">
      <c r="A1755" s="451"/>
      <c r="B1755" s="451"/>
      <c r="C1755" s="451"/>
      <c r="D1755" s="451"/>
      <c r="E1755" s="468"/>
      <c r="F1755" s="468"/>
    </row>
    <row r="1756" spans="1:6" ht="12.75" x14ac:dyDescent="0.2">
      <c r="A1756" s="451"/>
      <c r="B1756" s="451"/>
      <c r="C1756" s="451"/>
      <c r="D1756" s="451"/>
      <c r="E1756" s="468"/>
      <c r="F1756" s="468"/>
    </row>
    <row r="1757" spans="1:6" ht="12.75" x14ac:dyDescent="0.2">
      <c r="A1757" s="451"/>
      <c r="B1757" s="451"/>
      <c r="C1757" s="451"/>
      <c r="D1757" s="451"/>
      <c r="E1757" s="468"/>
      <c r="F1757" s="468"/>
    </row>
    <row r="1758" spans="1:6" ht="12.75" x14ac:dyDescent="0.2">
      <c r="A1758" s="451"/>
      <c r="B1758" s="451"/>
      <c r="C1758" s="451"/>
      <c r="D1758" s="451"/>
      <c r="E1758" s="468"/>
      <c r="F1758" s="468"/>
    </row>
    <row r="1759" spans="1:6" ht="12.75" x14ac:dyDescent="0.2">
      <c r="A1759" s="451"/>
      <c r="B1759" s="451"/>
      <c r="C1759" s="451"/>
      <c r="D1759" s="451"/>
      <c r="E1759" s="468"/>
      <c r="F1759" s="468"/>
    </row>
    <row r="1760" spans="1:6" ht="12.75" x14ac:dyDescent="0.2">
      <c r="A1760" s="451"/>
      <c r="B1760" s="451"/>
      <c r="C1760" s="451"/>
      <c r="D1760" s="451"/>
      <c r="E1760" s="468"/>
      <c r="F1760" s="468"/>
    </row>
    <row r="1761" spans="1:6" ht="12.75" x14ac:dyDescent="0.2">
      <c r="A1761" s="451"/>
      <c r="B1761" s="451"/>
      <c r="C1761" s="451"/>
      <c r="D1761" s="451"/>
      <c r="E1761" s="468"/>
      <c r="F1761" s="468"/>
    </row>
    <row r="1762" spans="1:6" ht="12.75" x14ac:dyDescent="0.2">
      <c r="A1762" s="451"/>
      <c r="B1762" s="451"/>
      <c r="C1762" s="451"/>
      <c r="D1762" s="451"/>
      <c r="E1762" s="468"/>
      <c r="F1762" s="468"/>
    </row>
    <row r="1763" spans="1:6" ht="12.75" x14ac:dyDescent="0.2">
      <c r="A1763" s="451"/>
      <c r="B1763" s="451"/>
      <c r="C1763" s="451"/>
      <c r="D1763" s="451"/>
      <c r="E1763" s="468"/>
      <c r="F1763" s="468"/>
    </row>
    <row r="1764" spans="1:6" ht="12.75" x14ac:dyDescent="0.2">
      <c r="A1764" s="451"/>
      <c r="B1764" s="451"/>
      <c r="C1764" s="451"/>
      <c r="D1764" s="451"/>
      <c r="E1764" s="468"/>
      <c r="F1764" s="468"/>
    </row>
    <row r="1765" spans="1:6" ht="12.75" x14ac:dyDescent="0.2">
      <c r="A1765" s="451"/>
      <c r="B1765" s="451"/>
      <c r="C1765" s="451"/>
      <c r="D1765" s="451"/>
      <c r="E1765" s="468"/>
      <c r="F1765" s="468"/>
    </row>
    <row r="1766" spans="1:6" ht="12.75" x14ac:dyDescent="0.2">
      <c r="A1766" s="451"/>
      <c r="B1766" s="451"/>
      <c r="C1766" s="451"/>
      <c r="D1766" s="451"/>
      <c r="E1766" s="468"/>
      <c r="F1766" s="468"/>
    </row>
    <row r="1767" spans="1:6" ht="12.75" x14ac:dyDescent="0.2">
      <c r="A1767" s="451"/>
      <c r="B1767" s="451"/>
      <c r="C1767" s="451"/>
      <c r="D1767" s="451"/>
      <c r="E1767" s="468"/>
      <c r="F1767" s="468"/>
    </row>
    <row r="1768" spans="1:6" ht="12.75" x14ac:dyDescent="0.2">
      <c r="A1768" s="451"/>
      <c r="B1768" s="451"/>
      <c r="C1768" s="451"/>
      <c r="D1768" s="451"/>
      <c r="E1768" s="468"/>
      <c r="F1768" s="468"/>
    </row>
    <row r="1769" spans="1:6" ht="12.75" x14ac:dyDescent="0.2">
      <c r="A1769" s="451"/>
      <c r="B1769" s="451"/>
      <c r="C1769" s="451"/>
      <c r="D1769" s="451"/>
      <c r="E1769" s="468"/>
      <c r="F1769" s="468"/>
    </row>
    <row r="1770" spans="1:6" ht="12.75" x14ac:dyDescent="0.2">
      <c r="A1770" s="451"/>
      <c r="B1770" s="451"/>
      <c r="C1770" s="451"/>
      <c r="D1770" s="451"/>
      <c r="E1770" s="468"/>
      <c r="F1770" s="468"/>
    </row>
    <row r="1771" spans="1:6" ht="12.75" x14ac:dyDescent="0.2">
      <c r="A1771" s="451"/>
      <c r="B1771" s="451"/>
      <c r="C1771" s="451"/>
      <c r="D1771" s="451"/>
      <c r="E1771" s="468"/>
      <c r="F1771" s="468"/>
    </row>
    <row r="1772" spans="1:6" ht="12.75" x14ac:dyDescent="0.2">
      <c r="A1772" s="451"/>
      <c r="B1772" s="451"/>
      <c r="C1772" s="451"/>
      <c r="D1772" s="451"/>
      <c r="E1772" s="468"/>
      <c r="F1772" s="468"/>
    </row>
    <row r="1773" spans="1:6" ht="12.75" x14ac:dyDescent="0.2">
      <c r="A1773" s="451"/>
      <c r="B1773" s="451"/>
      <c r="C1773" s="451"/>
      <c r="D1773" s="451"/>
      <c r="E1773" s="468"/>
      <c r="F1773" s="468"/>
    </row>
    <row r="1774" spans="1:6" ht="12.75" x14ac:dyDescent="0.2">
      <c r="A1774" s="451"/>
      <c r="B1774" s="451"/>
      <c r="C1774" s="451"/>
      <c r="D1774" s="451"/>
      <c r="E1774" s="468"/>
      <c r="F1774" s="468"/>
    </row>
    <row r="1775" spans="1:6" ht="12.75" x14ac:dyDescent="0.2">
      <c r="A1775" s="451"/>
      <c r="B1775" s="451"/>
      <c r="C1775" s="451"/>
      <c r="D1775" s="451"/>
      <c r="E1775" s="468"/>
      <c r="F1775" s="468"/>
    </row>
    <row r="1776" spans="1:6" ht="12.75" x14ac:dyDescent="0.2">
      <c r="A1776" s="451"/>
      <c r="B1776" s="451"/>
      <c r="C1776" s="451"/>
      <c r="D1776" s="451"/>
      <c r="E1776" s="468"/>
      <c r="F1776" s="468"/>
    </row>
    <row r="1777" spans="1:6" ht="12.75" x14ac:dyDescent="0.2">
      <c r="A1777" s="451"/>
      <c r="B1777" s="451"/>
      <c r="C1777" s="451"/>
      <c r="D1777" s="451"/>
      <c r="E1777" s="468"/>
      <c r="F1777" s="468"/>
    </row>
    <row r="1778" spans="1:6" ht="12.75" x14ac:dyDescent="0.2">
      <c r="A1778" s="451"/>
      <c r="B1778" s="451"/>
      <c r="C1778" s="451"/>
      <c r="D1778" s="451"/>
      <c r="E1778" s="468"/>
      <c r="F1778" s="468"/>
    </row>
    <row r="1779" spans="1:6" ht="12.75" x14ac:dyDescent="0.2">
      <c r="A1779" s="451"/>
      <c r="B1779" s="451"/>
      <c r="C1779" s="451"/>
      <c r="D1779" s="451"/>
      <c r="E1779" s="468"/>
      <c r="F1779" s="468"/>
    </row>
    <row r="1780" spans="1:6" ht="12.75" x14ac:dyDescent="0.2">
      <c r="A1780" s="451"/>
      <c r="B1780" s="451"/>
      <c r="C1780" s="451"/>
      <c r="D1780" s="451"/>
      <c r="E1780" s="468"/>
      <c r="F1780" s="468"/>
    </row>
    <row r="1781" spans="1:6" ht="12.75" x14ac:dyDescent="0.2">
      <c r="A1781" s="451"/>
      <c r="B1781" s="451"/>
      <c r="C1781" s="451"/>
      <c r="D1781" s="451"/>
      <c r="E1781" s="468"/>
      <c r="F1781" s="468"/>
    </row>
    <row r="1782" spans="1:6" ht="12.75" x14ac:dyDescent="0.2">
      <c r="A1782" s="451"/>
      <c r="B1782" s="451"/>
      <c r="C1782" s="451"/>
      <c r="D1782" s="451"/>
      <c r="E1782" s="468"/>
      <c r="F1782" s="468"/>
    </row>
    <row r="1783" spans="1:6" ht="12.75" x14ac:dyDescent="0.2">
      <c r="A1783" s="451"/>
      <c r="B1783" s="451"/>
      <c r="C1783" s="451"/>
      <c r="D1783" s="451"/>
      <c r="E1783" s="468"/>
      <c r="F1783" s="468"/>
    </row>
    <row r="1784" spans="1:6" ht="12.75" x14ac:dyDescent="0.2">
      <c r="A1784" s="451"/>
      <c r="B1784" s="451"/>
      <c r="C1784" s="451"/>
      <c r="D1784" s="451"/>
      <c r="E1784" s="468"/>
      <c r="F1784" s="468"/>
    </row>
    <row r="1785" spans="1:6" ht="12.75" x14ac:dyDescent="0.2">
      <c r="A1785" s="451"/>
      <c r="B1785" s="451"/>
      <c r="C1785" s="451"/>
      <c r="D1785" s="451"/>
      <c r="E1785" s="468"/>
      <c r="F1785" s="468"/>
    </row>
    <row r="1786" spans="1:6" ht="12.75" x14ac:dyDescent="0.2">
      <c r="A1786" s="451"/>
      <c r="B1786" s="451"/>
      <c r="C1786" s="451"/>
      <c r="D1786" s="451"/>
      <c r="E1786" s="468"/>
      <c r="F1786" s="468"/>
    </row>
    <row r="1787" spans="1:6" ht="12.75" x14ac:dyDescent="0.2">
      <c r="A1787" s="451"/>
      <c r="B1787" s="451"/>
      <c r="C1787" s="451"/>
      <c r="D1787" s="451"/>
      <c r="E1787" s="468"/>
      <c r="F1787" s="468"/>
    </row>
    <row r="1788" spans="1:6" ht="12.75" x14ac:dyDescent="0.2">
      <c r="A1788" s="451"/>
      <c r="B1788" s="451"/>
      <c r="C1788" s="451"/>
      <c r="D1788" s="451"/>
      <c r="E1788" s="468"/>
      <c r="F1788" s="468"/>
    </row>
    <row r="1789" spans="1:6" ht="12.75" x14ac:dyDescent="0.2">
      <c r="A1789" s="451"/>
      <c r="B1789" s="451"/>
      <c r="C1789" s="451"/>
      <c r="D1789" s="451"/>
      <c r="E1789" s="468"/>
      <c r="F1789" s="468"/>
    </row>
    <row r="1790" spans="1:6" ht="12.75" x14ac:dyDescent="0.2">
      <c r="A1790" s="451"/>
      <c r="B1790" s="451"/>
      <c r="C1790" s="451"/>
      <c r="D1790" s="451"/>
      <c r="E1790" s="468"/>
      <c r="F1790" s="468"/>
    </row>
    <row r="1791" spans="1:6" ht="12.75" x14ac:dyDescent="0.2">
      <c r="A1791" s="451"/>
      <c r="B1791" s="451"/>
      <c r="C1791" s="451"/>
      <c r="D1791" s="451"/>
      <c r="E1791" s="468"/>
      <c r="F1791" s="468"/>
    </row>
    <row r="1792" spans="1:6" ht="12.75" x14ac:dyDescent="0.2">
      <c r="A1792" s="451"/>
      <c r="B1792" s="451"/>
      <c r="C1792" s="451"/>
      <c r="D1792" s="451"/>
      <c r="E1792" s="468"/>
      <c r="F1792" s="468"/>
    </row>
    <row r="1793" spans="1:6" ht="12.75" x14ac:dyDescent="0.2">
      <c r="A1793" s="451"/>
      <c r="B1793" s="451"/>
      <c r="C1793" s="451"/>
      <c r="D1793" s="451"/>
      <c r="E1793" s="468"/>
      <c r="F1793" s="468"/>
    </row>
    <row r="1794" spans="1:6" ht="12.75" x14ac:dyDescent="0.2">
      <c r="A1794" s="451"/>
      <c r="B1794" s="451"/>
      <c r="C1794" s="451"/>
      <c r="D1794" s="451"/>
      <c r="E1794" s="468"/>
      <c r="F1794" s="468"/>
    </row>
    <row r="1795" spans="1:6" ht="12.75" x14ac:dyDescent="0.2">
      <c r="A1795" s="451"/>
      <c r="B1795" s="451"/>
      <c r="C1795" s="451"/>
      <c r="D1795" s="451"/>
      <c r="E1795" s="468"/>
      <c r="F1795" s="468"/>
    </row>
    <row r="1796" spans="1:6" ht="12.75" x14ac:dyDescent="0.2">
      <c r="A1796" s="451"/>
      <c r="B1796" s="451"/>
      <c r="C1796" s="451"/>
      <c r="D1796" s="451"/>
      <c r="E1796" s="468"/>
      <c r="F1796" s="468"/>
    </row>
    <row r="1797" spans="1:6" ht="12.75" x14ac:dyDescent="0.2">
      <c r="A1797" s="451"/>
      <c r="B1797" s="451"/>
      <c r="C1797" s="451"/>
      <c r="D1797" s="451"/>
      <c r="E1797" s="468"/>
      <c r="F1797" s="468"/>
    </row>
    <row r="1798" spans="1:6" ht="12.75" x14ac:dyDescent="0.2">
      <c r="A1798" s="451"/>
      <c r="B1798" s="451"/>
      <c r="C1798" s="451"/>
      <c r="D1798" s="451"/>
      <c r="E1798" s="468"/>
      <c r="F1798" s="468"/>
    </row>
    <row r="1799" spans="1:6" ht="12.75" x14ac:dyDescent="0.2">
      <c r="A1799" s="451"/>
      <c r="B1799" s="451"/>
      <c r="C1799" s="451"/>
      <c r="D1799" s="451"/>
      <c r="E1799" s="468"/>
      <c r="F1799" s="468"/>
    </row>
    <row r="1800" spans="1:6" ht="12.75" x14ac:dyDescent="0.2">
      <c r="A1800" s="451"/>
      <c r="B1800" s="451"/>
      <c r="C1800" s="451"/>
      <c r="D1800" s="451"/>
      <c r="E1800" s="468"/>
      <c r="F1800" s="468"/>
    </row>
    <row r="1801" spans="1:6" ht="12.75" x14ac:dyDescent="0.2">
      <c r="A1801" s="451"/>
      <c r="B1801" s="451"/>
      <c r="C1801" s="451"/>
      <c r="D1801" s="451"/>
      <c r="E1801" s="468"/>
      <c r="F1801" s="468"/>
    </row>
    <row r="1802" spans="1:6" ht="12.75" x14ac:dyDescent="0.2">
      <c r="A1802" s="451"/>
      <c r="B1802" s="451"/>
      <c r="C1802" s="451"/>
      <c r="D1802" s="451"/>
      <c r="E1802" s="468"/>
      <c r="F1802" s="468"/>
    </row>
    <row r="1803" spans="1:6" ht="12.75" x14ac:dyDescent="0.2">
      <c r="A1803" s="451"/>
      <c r="B1803" s="451"/>
      <c r="C1803" s="451"/>
      <c r="D1803" s="451"/>
      <c r="E1803" s="468"/>
      <c r="F1803" s="468"/>
    </row>
    <row r="1804" spans="1:6" ht="12.75" x14ac:dyDescent="0.2">
      <c r="A1804" s="451"/>
      <c r="B1804" s="451"/>
      <c r="C1804" s="451"/>
      <c r="D1804" s="451"/>
      <c r="E1804" s="468"/>
      <c r="F1804" s="468"/>
    </row>
    <row r="1805" spans="1:6" ht="12.75" x14ac:dyDescent="0.2">
      <c r="A1805" s="451"/>
      <c r="B1805" s="451"/>
      <c r="C1805" s="451"/>
      <c r="D1805" s="451"/>
      <c r="E1805" s="468"/>
      <c r="F1805" s="468"/>
    </row>
    <row r="1806" spans="1:6" ht="12.75" x14ac:dyDescent="0.2">
      <c r="A1806" s="451"/>
      <c r="B1806" s="451"/>
      <c r="C1806" s="451"/>
      <c r="D1806" s="451"/>
      <c r="E1806" s="468"/>
      <c r="F1806" s="468"/>
    </row>
    <row r="1807" spans="1:6" ht="12.75" x14ac:dyDescent="0.2">
      <c r="A1807" s="451"/>
      <c r="B1807" s="451"/>
      <c r="C1807" s="451"/>
      <c r="D1807" s="451"/>
      <c r="E1807" s="468"/>
      <c r="F1807" s="468"/>
    </row>
    <row r="1808" spans="1:6" ht="12.75" x14ac:dyDescent="0.2">
      <c r="A1808" s="451"/>
      <c r="B1808" s="451"/>
      <c r="C1808" s="451"/>
      <c r="D1808" s="451"/>
      <c r="E1808" s="468"/>
      <c r="F1808" s="468"/>
    </row>
    <row r="1809" spans="1:6" ht="12.75" x14ac:dyDescent="0.2">
      <c r="A1809" s="451"/>
      <c r="B1809" s="451"/>
      <c r="C1809" s="451"/>
      <c r="D1809" s="451"/>
      <c r="E1809" s="468"/>
      <c r="F1809" s="468"/>
    </row>
    <row r="1810" spans="1:6" ht="12.75" x14ac:dyDescent="0.2">
      <c r="A1810" s="451"/>
      <c r="B1810" s="451"/>
      <c r="C1810" s="451"/>
      <c r="D1810" s="451"/>
      <c r="E1810" s="468"/>
      <c r="F1810" s="468"/>
    </row>
    <row r="1811" spans="1:6" ht="12.75" x14ac:dyDescent="0.2">
      <c r="A1811" s="451"/>
      <c r="B1811" s="451"/>
      <c r="C1811" s="451"/>
      <c r="D1811" s="451"/>
      <c r="E1811" s="468"/>
      <c r="F1811" s="468"/>
    </row>
    <row r="1812" spans="1:6" ht="12.75" x14ac:dyDescent="0.2">
      <c r="A1812" s="451"/>
      <c r="B1812" s="451"/>
      <c r="C1812" s="451"/>
      <c r="D1812" s="451"/>
      <c r="E1812" s="468"/>
      <c r="F1812" s="468"/>
    </row>
    <row r="1813" spans="1:6" ht="12.75" x14ac:dyDescent="0.2">
      <c r="A1813" s="451"/>
      <c r="B1813" s="451"/>
      <c r="C1813" s="451"/>
      <c r="D1813" s="451"/>
      <c r="E1813" s="468"/>
      <c r="F1813" s="468"/>
    </row>
    <row r="1814" spans="1:6" ht="12.75" x14ac:dyDescent="0.2">
      <c r="A1814" s="451"/>
      <c r="B1814" s="451"/>
      <c r="C1814" s="451"/>
      <c r="D1814" s="451"/>
      <c r="E1814" s="468"/>
      <c r="F1814" s="468"/>
    </row>
    <row r="1815" spans="1:6" ht="12.75" x14ac:dyDescent="0.2">
      <c r="A1815" s="451"/>
      <c r="B1815" s="451"/>
      <c r="C1815" s="451"/>
      <c r="D1815" s="451"/>
      <c r="E1815" s="468"/>
      <c r="F1815" s="468"/>
    </row>
    <row r="1816" spans="1:6" ht="12.75" x14ac:dyDescent="0.2">
      <c r="A1816" s="451"/>
      <c r="B1816" s="451"/>
      <c r="C1816" s="451"/>
      <c r="D1816" s="451"/>
      <c r="E1816" s="468"/>
      <c r="F1816" s="468"/>
    </row>
    <row r="1817" spans="1:6" ht="12.75" x14ac:dyDescent="0.2">
      <c r="A1817" s="451"/>
      <c r="B1817" s="451"/>
      <c r="C1817" s="451"/>
      <c r="D1817" s="451"/>
      <c r="E1817" s="468"/>
      <c r="F1817" s="468"/>
    </row>
    <row r="1818" spans="1:6" ht="12.75" x14ac:dyDescent="0.2">
      <c r="A1818" s="451"/>
      <c r="B1818" s="451"/>
      <c r="C1818" s="451"/>
      <c r="D1818" s="451"/>
      <c r="E1818" s="468"/>
      <c r="F1818" s="468"/>
    </row>
    <row r="1819" spans="1:6" ht="12.75" x14ac:dyDescent="0.2">
      <c r="A1819" s="451"/>
      <c r="B1819" s="451"/>
      <c r="C1819" s="451"/>
      <c r="D1819" s="451"/>
      <c r="E1819" s="468"/>
      <c r="F1819" s="468"/>
    </row>
    <row r="1820" spans="1:6" ht="12.75" x14ac:dyDescent="0.2">
      <c r="A1820" s="451"/>
      <c r="B1820" s="451"/>
      <c r="C1820" s="451"/>
      <c r="D1820" s="451"/>
      <c r="E1820" s="468"/>
      <c r="F1820" s="468"/>
    </row>
    <row r="1821" spans="1:6" ht="12.75" x14ac:dyDescent="0.2">
      <c r="A1821" s="451"/>
      <c r="B1821" s="451"/>
      <c r="C1821" s="451"/>
      <c r="D1821" s="451"/>
      <c r="E1821" s="468"/>
      <c r="F1821" s="468"/>
    </row>
    <row r="1822" spans="1:6" ht="12.75" x14ac:dyDescent="0.2">
      <c r="A1822" s="451"/>
      <c r="B1822" s="451"/>
      <c r="C1822" s="451"/>
      <c r="D1822" s="451"/>
      <c r="E1822" s="468"/>
      <c r="F1822" s="468"/>
    </row>
    <row r="1823" spans="1:6" ht="12.75" x14ac:dyDescent="0.2">
      <c r="A1823" s="451"/>
      <c r="B1823" s="451"/>
      <c r="C1823" s="451"/>
      <c r="D1823" s="451"/>
      <c r="E1823" s="468"/>
      <c r="F1823" s="468"/>
    </row>
    <row r="1824" spans="1:6" ht="12.75" x14ac:dyDescent="0.2">
      <c r="A1824" s="451"/>
      <c r="B1824" s="451"/>
      <c r="C1824" s="451"/>
      <c r="D1824" s="451"/>
      <c r="E1824" s="468"/>
      <c r="F1824" s="468"/>
    </row>
    <row r="1825" spans="1:6" ht="12.75" x14ac:dyDescent="0.2">
      <c r="A1825" s="451"/>
      <c r="B1825" s="451"/>
      <c r="C1825" s="451"/>
      <c r="D1825" s="451"/>
      <c r="E1825" s="468"/>
      <c r="F1825" s="468"/>
    </row>
    <row r="1826" spans="1:6" ht="12.75" x14ac:dyDescent="0.2">
      <c r="A1826" s="451"/>
      <c r="B1826" s="451"/>
      <c r="C1826" s="451"/>
      <c r="D1826" s="451"/>
      <c r="E1826" s="468"/>
      <c r="F1826" s="468"/>
    </row>
    <row r="1827" spans="1:6" ht="12.75" x14ac:dyDescent="0.2">
      <c r="A1827" s="451"/>
      <c r="B1827" s="451"/>
      <c r="C1827" s="451"/>
      <c r="D1827" s="451"/>
      <c r="E1827" s="468"/>
      <c r="F1827" s="468"/>
    </row>
    <row r="1828" spans="1:6" ht="12.75" x14ac:dyDescent="0.2">
      <c r="A1828" s="451"/>
      <c r="B1828" s="451"/>
      <c r="C1828" s="451"/>
      <c r="D1828" s="451"/>
      <c r="E1828" s="468"/>
      <c r="F1828" s="468"/>
    </row>
    <row r="1829" spans="1:6" ht="12.75" x14ac:dyDescent="0.2">
      <c r="A1829" s="451"/>
      <c r="B1829" s="451"/>
      <c r="C1829" s="451"/>
      <c r="D1829" s="451"/>
      <c r="E1829" s="468"/>
      <c r="F1829" s="468"/>
    </row>
    <row r="1830" spans="1:6" ht="12.75" x14ac:dyDescent="0.2">
      <c r="A1830" s="451"/>
      <c r="B1830" s="451"/>
      <c r="C1830" s="451"/>
      <c r="D1830" s="451"/>
      <c r="E1830" s="468"/>
      <c r="F1830" s="468"/>
    </row>
    <row r="1831" spans="1:6" ht="12.75" x14ac:dyDescent="0.2">
      <c r="A1831" s="451"/>
      <c r="B1831" s="451"/>
      <c r="C1831" s="451"/>
      <c r="D1831" s="451"/>
      <c r="E1831" s="468"/>
      <c r="F1831" s="468"/>
    </row>
    <row r="1832" spans="1:6" ht="12.75" x14ac:dyDescent="0.2">
      <c r="A1832" s="451"/>
      <c r="B1832" s="451"/>
      <c r="C1832" s="451"/>
      <c r="D1832" s="451"/>
      <c r="E1832" s="468"/>
      <c r="F1832" s="468"/>
    </row>
    <row r="1833" spans="1:6" ht="12.75" x14ac:dyDescent="0.2">
      <c r="A1833" s="451"/>
      <c r="B1833" s="451"/>
      <c r="C1833" s="451"/>
      <c r="D1833" s="451"/>
      <c r="E1833" s="468"/>
      <c r="F1833" s="468"/>
    </row>
    <row r="1834" spans="1:6" ht="12.75" x14ac:dyDescent="0.2">
      <c r="A1834" s="451"/>
      <c r="B1834" s="451"/>
      <c r="C1834" s="451"/>
      <c r="D1834" s="451"/>
      <c r="E1834" s="468"/>
      <c r="F1834" s="468"/>
    </row>
    <row r="1835" spans="1:6" ht="12.75" x14ac:dyDescent="0.2">
      <c r="A1835" s="451"/>
      <c r="B1835" s="451"/>
      <c r="C1835" s="451"/>
      <c r="D1835" s="451"/>
      <c r="E1835" s="468"/>
      <c r="F1835" s="468"/>
    </row>
    <row r="1836" spans="1:6" ht="12.75" x14ac:dyDescent="0.2">
      <c r="A1836" s="451"/>
      <c r="B1836" s="451"/>
      <c r="C1836" s="451"/>
      <c r="D1836" s="451"/>
      <c r="E1836" s="468"/>
      <c r="F1836" s="468"/>
    </row>
    <row r="1837" spans="1:6" ht="12.75" x14ac:dyDescent="0.2">
      <c r="A1837" s="451"/>
      <c r="B1837" s="451"/>
      <c r="C1837" s="451"/>
      <c r="D1837" s="451"/>
      <c r="E1837" s="468"/>
      <c r="F1837" s="468"/>
    </row>
    <row r="1838" spans="1:6" ht="12.75" x14ac:dyDescent="0.2">
      <c r="A1838" s="451"/>
      <c r="B1838" s="451"/>
      <c r="C1838" s="451"/>
      <c r="D1838" s="451"/>
      <c r="E1838" s="468"/>
      <c r="F1838" s="468"/>
    </row>
    <row r="1839" spans="1:6" ht="12.75" x14ac:dyDescent="0.2">
      <c r="A1839" s="451"/>
      <c r="B1839" s="451"/>
      <c r="C1839" s="451"/>
      <c r="D1839" s="451"/>
      <c r="E1839" s="468"/>
      <c r="F1839" s="468"/>
    </row>
    <row r="1840" spans="1:6" ht="12.75" x14ac:dyDescent="0.2">
      <c r="A1840" s="451"/>
      <c r="B1840" s="451"/>
      <c r="C1840" s="451"/>
      <c r="D1840" s="451"/>
      <c r="E1840" s="468"/>
      <c r="F1840" s="468"/>
    </row>
    <row r="1841" spans="1:6" ht="12.75" x14ac:dyDescent="0.2">
      <c r="A1841" s="451"/>
      <c r="B1841" s="451"/>
      <c r="C1841" s="451"/>
      <c r="D1841" s="451"/>
      <c r="E1841" s="468"/>
      <c r="F1841" s="468"/>
    </row>
    <row r="1842" spans="1:6" ht="12.75" x14ac:dyDescent="0.2">
      <c r="A1842" s="451"/>
      <c r="B1842" s="451"/>
      <c r="C1842" s="451"/>
      <c r="D1842" s="451"/>
      <c r="E1842" s="468"/>
      <c r="F1842" s="468"/>
    </row>
    <row r="1843" spans="1:6" ht="12.75" x14ac:dyDescent="0.2">
      <c r="A1843" s="451"/>
      <c r="B1843" s="451"/>
      <c r="C1843" s="451"/>
      <c r="D1843" s="451"/>
      <c r="E1843" s="468"/>
      <c r="F1843" s="468"/>
    </row>
    <row r="1844" spans="1:6" ht="12.75" x14ac:dyDescent="0.2">
      <c r="A1844" s="451"/>
      <c r="B1844" s="451"/>
      <c r="C1844" s="451"/>
      <c r="D1844" s="451"/>
      <c r="E1844" s="468"/>
      <c r="F1844" s="468"/>
    </row>
    <row r="1845" spans="1:6" ht="12.75" x14ac:dyDescent="0.2">
      <c r="A1845" s="451"/>
      <c r="B1845" s="451"/>
      <c r="C1845" s="451"/>
      <c r="D1845" s="451"/>
      <c r="E1845" s="468"/>
      <c r="F1845" s="468"/>
    </row>
    <row r="1846" spans="1:6" ht="12.75" x14ac:dyDescent="0.2">
      <c r="A1846" s="451"/>
      <c r="B1846" s="451"/>
      <c r="C1846" s="451"/>
      <c r="D1846" s="451"/>
      <c r="E1846" s="468"/>
      <c r="F1846" s="468"/>
    </row>
    <row r="1847" spans="1:6" ht="12.75" x14ac:dyDescent="0.2">
      <c r="A1847" s="451"/>
      <c r="B1847" s="451"/>
      <c r="C1847" s="451"/>
      <c r="D1847" s="451"/>
      <c r="E1847" s="468"/>
      <c r="F1847" s="468"/>
    </row>
    <row r="1848" spans="1:6" ht="12.75" x14ac:dyDescent="0.2">
      <c r="A1848" s="451"/>
      <c r="B1848" s="451"/>
      <c r="C1848" s="451"/>
      <c r="D1848" s="451"/>
      <c r="E1848" s="468"/>
      <c r="F1848" s="468"/>
    </row>
    <row r="1849" spans="1:6" ht="12.75" x14ac:dyDescent="0.2">
      <c r="A1849" s="451"/>
      <c r="B1849" s="451"/>
      <c r="C1849" s="451"/>
      <c r="D1849" s="451"/>
      <c r="E1849" s="468"/>
      <c r="F1849" s="468"/>
    </row>
    <row r="1850" spans="1:6" ht="12.75" x14ac:dyDescent="0.2">
      <c r="A1850" s="451"/>
      <c r="B1850" s="451"/>
      <c r="C1850" s="451"/>
      <c r="D1850" s="451"/>
      <c r="E1850" s="468"/>
      <c r="F1850" s="468"/>
    </row>
    <row r="1851" spans="1:6" ht="12.75" x14ac:dyDescent="0.2">
      <c r="A1851" s="451"/>
      <c r="B1851" s="451"/>
      <c r="C1851" s="451"/>
      <c r="D1851" s="451"/>
      <c r="E1851" s="468"/>
      <c r="F1851" s="468"/>
    </row>
    <row r="1852" spans="1:6" ht="12.75" x14ac:dyDescent="0.2">
      <c r="A1852" s="451"/>
      <c r="B1852" s="451"/>
      <c r="C1852" s="451"/>
      <c r="D1852" s="451"/>
      <c r="E1852" s="468"/>
      <c r="F1852" s="468"/>
    </row>
    <row r="1853" spans="1:6" ht="12.75" x14ac:dyDescent="0.2">
      <c r="A1853" s="451"/>
      <c r="B1853" s="451"/>
      <c r="C1853" s="451"/>
      <c r="D1853" s="451"/>
      <c r="E1853" s="468"/>
      <c r="F1853" s="468"/>
    </row>
    <row r="1854" spans="1:6" ht="12.75" x14ac:dyDescent="0.2">
      <c r="A1854" s="451"/>
      <c r="B1854" s="451"/>
      <c r="C1854" s="451"/>
      <c r="D1854" s="451"/>
      <c r="E1854" s="468"/>
      <c r="F1854" s="468"/>
    </row>
    <row r="1855" spans="1:6" ht="12.75" x14ac:dyDescent="0.2">
      <c r="A1855" s="451"/>
      <c r="B1855" s="451"/>
      <c r="C1855" s="451"/>
      <c r="D1855" s="451"/>
      <c r="E1855" s="468"/>
      <c r="F1855" s="468"/>
    </row>
    <row r="1856" spans="1:6" ht="12.75" x14ac:dyDescent="0.2">
      <c r="A1856" s="451"/>
      <c r="B1856" s="451"/>
      <c r="C1856" s="451"/>
      <c r="D1856" s="451"/>
      <c r="E1856" s="468"/>
      <c r="F1856" s="468"/>
    </row>
    <row r="1857" spans="1:6" ht="12.75" x14ac:dyDescent="0.2">
      <c r="A1857" s="451"/>
      <c r="B1857" s="451"/>
      <c r="C1857" s="451"/>
      <c r="D1857" s="451"/>
      <c r="E1857" s="468"/>
      <c r="F1857" s="468"/>
    </row>
    <row r="1858" spans="1:6" ht="12.75" x14ac:dyDescent="0.2">
      <c r="A1858" s="451"/>
      <c r="B1858" s="451"/>
      <c r="C1858" s="451"/>
      <c r="D1858" s="451"/>
      <c r="E1858" s="468"/>
      <c r="F1858" s="468"/>
    </row>
    <row r="1859" spans="1:6" ht="12.75" x14ac:dyDescent="0.2">
      <c r="A1859" s="451"/>
      <c r="B1859" s="451"/>
      <c r="C1859" s="451"/>
      <c r="D1859" s="451"/>
      <c r="E1859" s="468"/>
      <c r="F1859" s="468"/>
    </row>
    <row r="1860" spans="1:6" ht="12.75" x14ac:dyDescent="0.2">
      <c r="A1860" s="451"/>
      <c r="B1860" s="451"/>
      <c r="C1860" s="451"/>
      <c r="D1860" s="451"/>
      <c r="E1860" s="468"/>
      <c r="F1860" s="468"/>
    </row>
    <row r="1861" spans="1:6" ht="12.75" x14ac:dyDescent="0.2">
      <c r="A1861" s="451"/>
      <c r="B1861" s="451"/>
      <c r="C1861" s="451"/>
      <c r="D1861" s="451"/>
      <c r="E1861" s="468"/>
      <c r="F1861" s="468"/>
    </row>
    <row r="1862" spans="1:6" ht="12.75" x14ac:dyDescent="0.2">
      <c r="A1862" s="451"/>
      <c r="B1862" s="451"/>
      <c r="C1862" s="451"/>
      <c r="D1862" s="451"/>
      <c r="E1862" s="468"/>
      <c r="F1862" s="468"/>
    </row>
    <row r="1863" spans="1:6" ht="12.75" x14ac:dyDescent="0.2">
      <c r="A1863" s="451"/>
      <c r="B1863" s="451"/>
      <c r="C1863" s="451"/>
      <c r="D1863" s="451"/>
      <c r="E1863" s="468"/>
      <c r="F1863" s="468"/>
    </row>
    <row r="1864" spans="1:6" ht="12.75" x14ac:dyDescent="0.2">
      <c r="A1864" s="451"/>
      <c r="B1864" s="451"/>
      <c r="C1864" s="451"/>
      <c r="D1864" s="451"/>
      <c r="E1864" s="468"/>
      <c r="F1864" s="468"/>
    </row>
    <row r="1865" spans="1:6" ht="12.75" x14ac:dyDescent="0.2">
      <c r="A1865" s="451"/>
      <c r="B1865" s="451"/>
      <c r="C1865" s="451"/>
      <c r="D1865" s="451"/>
      <c r="E1865" s="468"/>
      <c r="F1865" s="468"/>
    </row>
    <row r="1866" spans="1:6" ht="12.75" x14ac:dyDescent="0.2">
      <c r="A1866" s="451"/>
      <c r="B1866" s="451"/>
      <c r="C1866" s="451"/>
      <c r="D1866" s="451"/>
      <c r="E1866" s="468"/>
      <c r="F1866" s="468"/>
    </row>
    <row r="1867" spans="1:6" ht="12.75" x14ac:dyDescent="0.2">
      <c r="A1867" s="451"/>
      <c r="B1867" s="451"/>
      <c r="C1867" s="451"/>
      <c r="D1867" s="451"/>
      <c r="E1867" s="468"/>
      <c r="F1867" s="468"/>
    </row>
    <row r="1868" spans="1:6" ht="12.75" x14ac:dyDescent="0.2">
      <c r="A1868" s="451"/>
      <c r="B1868" s="451"/>
      <c r="C1868" s="451"/>
      <c r="D1868" s="451"/>
      <c r="E1868" s="468"/>
      <c r="F1868" s="468"/>
    </row>
    <row r="1869" spans="1:6" ht="12.75" x14ac:dyDescent="0.2">
      <c r="A1869" s="451"/>
      <c r="B1869" s="451"/>
      <c r="C1869" s="451"/>
      <c r="D1869" s="451"/>
      <c r="E1869" s="468"/>
      <c r="F1869" s="468"/>
    </row>
    <row r="1870" spans="1:6" ht="12.75" x14ac:dyDescent="0.2">
      <c r="A1870" s="451"/>
      <c r="B1870" s="451"/>
      <c r="C1870" s="451"/>
      <c r="D1870" s="451"/>
      <c r="E1870" s="468"/>
      <c r="F1870" s="468"/>
    </row>
    <row r="1871" spans="1:6" ht="12.75" x14ac:dyDescent="0.2">
      <c r="A1871" s="451"/>
      <c r="B1871" s="451"/>
      <c r="C1871" s="451"/>
      <c r="D1871" s="451"/>
      <c r="E1871" s="468"/>
      <c r="F1871" s="468"/>
    </row>
    <row r="1872" spans="1:6" ht="12.75" x14ac:dyDescent="0.2">
      <c r="A1872" s="451"/>
      <c r="B1872" s="451"/>
      <c r="C1872" s="451"/>
      <c r="D1872" s="451"/>
      <c r="E1872" s="468"/>
      <c r="F1872" s="468"/>
    </row>
    <row r="1873" spans="1:6" ht="12.75" x14ac:dyDescent="0.2">
      <c r="A1873" s="451"/>
      <c r="B1873" s="451"/>
      <c r="C1873" s="451"/>
      <c r="D1873" s="451"/>
      <c r="E1873" s="468"/>
      <c r="F1873" s="468"/>
    </row>
    <row r="1874" spans="1:6" ht="12.75" x14ac:dyDescent="0.2">
      <c r="A1874" s="451"/>
      <c r="B1874" s="451"/>
      <c r="C1874" s="451"/>
      <c r="D1874" s="451"/>
      <c r="E1874" s="468"/>
      <c r="F1874" s="468"/>
    </row>
    <row r="1875" spans="1:6" ht="12.75" x14ac:dyDescent="0.2">
      <c r="A1875" s="451"/>
      <c r="B1875" s="451"/>
      <c r="C1875" s="451"/>
      <c r="D1875" s="451"/>
      <c r="E1875" s="468"/>
      <c r="F1875" s="468"/>
    </row>
    <row r="1876" spans="1:6" ht="12.75" x14ac:dyDescent="0.2">
      <c r="A1876" s="451"/>
      <c r="B1876" s="451"/>
      <c r="C1876" s="451"/>
      <c r="D1876" s="451"/>
      <c r="E1876" s="468"/>
      <c r="F1876" s="468"/>
    </row>
    <row r="1877" spans="1:6" ht="12.75" x14ac:dyDescent="0.2">
      <c r="A1877" s="451"/>
      <c r="B1877" s="451"/>
      <c r="C1877" s="451"/>
      <c r="D1877" s="451"/>
      <c r="E1877" s="468"/>
      <c r="F1877" s="468"/>
    </row>
    <row r="1878" spans="1:6" ht="12.75" x14ac:dyDescent="0.2">
      <c r="A1878" s="451"/>
      <c r="B1878" s="451"/>
      <c r="C1878" s="451"/>
      <c r="D1878" s="451"/>
      <c r="E1878" s="468"/>
      <c r="F1878" s="468"/>
    </row>
    <row r="1879" spans="1:6" ht="12.75" x14ac:dyDescent="0.2">
      <c r="A1879" s="451"/>
      <c r="B1879" s="451"/>
      <c r="C1879" s="451"/>
      <c r="D1879" s="451"/>
      <c r="E1879" s="468"/>
      <c r="F1879" s="468"/>
    </row>
    <row r="1880" spans="1:6" ht="12.75" x14ac:dyDescent="0.2">
      <c r="A1880" s="451"/>
      <c r="B1880" s="451"/>
      <c r="C1880" s="451"/>
      <c r="D1880" s="451"/>
      <c r="E1880" s="468"/>
      <c r="F1880" s="468"/>
    </row>
    <row r="1881" spans="1:6" ht="12.75" x14ac:dyDescent="0.2">
      <c r="A1881" s="451"/>
      <c r="B1881" s="451"/>
      <c r="C1881" s="451"/>
      <c r="D1881" s="451"/>
      <c r="E1881" s="468"/>
      <c r="F1881" s="468"/>
    </row>
    <row r="1882" spans="1:6" ht="12.75" x14ac:dyDescent="0.2">
      <c r="A1882" s="451"/>
      <c r="B1882" s="451"/>
      <c r="C1882" s="451"/>
      <c r="D1882" s="451"/>
      <c r="E1882" s="468"/>
      <c r="F1882" s="468"/>
    </row>
    <row r="1883" spans="1:6" ht="12.75" x14ac:dyDescent="0.2">
      <c r="A1883" s="451"/>
      <c r="B1883" s="451"/>
      <c r="C1883" s="451"/>
      <c r="D1883" s="451"/>
      <c r="E1883" s="468"/>
      <c r="F1883" s="468"/>
    </row>
    <row r="1884" spans="1:6" ht="12.75" x14ac:dyDescent="0.2">
      <c r="A1884" s="451"/>
      <c r="B1884" s="451"/>
      <c r="C1884" s="451"/>
      <c r="D1884" s="451"/>
      <c r="E1884" s="468"/>
      <c r="F1884" s="468"/>
    </row>
    <row r="1885" spans="1:6" ht="12.75" x14ac:dyDescent="0.2">
      <c r="A1885" s="451"/>
      <c r="B1885" s="451"/>
      <c r="C1885" s="451"/>
      <c r="D1885" s="451"/>
      <c r="E1885" s="468"/>
      <c r="F1885" s="468"/>
    </row>
    <row r="1886" spans="1:6" ht="12.75" x14ac:dyDescent="0.2">
      <c r="A1886" s="451"/>
      <c r="B1886" s="451"/>
      <c r="C1886" s="451"/>
      <c r="D1886" s="451"/>
      <c r="E1886" s="468"/>
      <c r="F1886" s="468"/>
    </row>
    <row r="1887" spans="1:6" ht="12.75" x14ac:dyDescent="0.2">
      <c r="A1887" s="451"/>
      <c r="B1887" s="451"/>
      <c r="C1887" s="451"/>
      <c r="D1887" s="451"/>
      <c r="E1887" s="468"/>
      <c r="F1887" s="468"/>
    </row>
    <row r="1888" spans="1:6" ht="12.75" x14ac:dyDescent="0.2">
      <c r="A1888" s="451"/>
      <c r="B1888" s="451"/>
      <c r="C1888" s="451"/>
      <c r="D1888" s="451"/>
      <c r="E1888" s="468"/>
      <c r="F1888" s="468"/>
    </row>
    <row r="1889" spans="1:6" ht="12.75" x14ac:dyDescent="0.2">
      <c r="A1889" s="451"/>
      <c r="B1889" s="451"/>
      <c r="C1889" s="451"/>
      <c r="D1889" s="451"/>
      <c r="E1889" s="468"/>
      <c r="F1889" s="468"/>
    </row>
    <row r="1890" spans="1:6" ht="12.75" x14ac:dyDescent="0.2">
      <c r="A1890" s="451"/>
      <c r="B1890" s="451"/>
      <c r="C1890" s="451"/>
      <c r="D1890" s="451"/>
      <c r="E1890" s="468"/>
      <c r="F1890" s="468"/>
    </row>
    <row r="1891" spans="1:6" ht="12.75" x14ac:dyDescent="0.2">
      <c r="A1891" s="451"/>
      <c r="B1891" s="451"/>
      <c r="C1891" s="451"/>
      <c r="D1891" s="451"/>
      <c r="E1891" s="468"/>
      <c r="F1891" s="468"/>
    </row>
    <row r="1892" spans="1:6" ht="12.75" x14ac:dyDescent="0.2">
      <c r="A1892" s="451"/>
      <c r="B1892" s="451"/>
      <c r="C1892" s="451"/>
      <c r="D1892" s="451"/>
      <c r="E1892" s="468"/>
      <c r="F1892" s="468"/>
    </row>
    <row r="1893" spans="1:6" ht="12.75" x14ac:dyDescent="0.2">
      <c r="A1893" s="451"/>
      <c r="B1893" s="451"/>
      <c r="C1893" s="451"/>
      <c r="D1893" s="451"/>
      <c r="E1893" s="468"/>
      <c r="F1893" s="468"/>
    </row>
    <row r="1894" spans="1:6" ht="12.75" x14ac:dyDescent="0.2">
      <c r="A1894" s="451"/>
      <c r="B1894" s="451"/>
      <c r="C1894" s="451"/>
      <c r="D1894" s="451"/>
      <c r="E1894" s="468"/>
      <c r="F1894" s="468"/>
    </row>
    <row r="1895" spans="1:6" ht="12.75" x14ac:dyDescent="0.2">
      <c r="A1895" s="451"/>
      <c r="B1895" s="451"/>
      <c r="C1895" s="451"/>
      <c r="D1895" s="451"/>
      <c r="E1895" s="468"/>
      <c r="F1895" s="468"/>
    </row>
    <row r="1896" spans="1:6" ht="12.75" x14ac:dyDescent="0.2">
      <c r="A1896" s="451"/>
      <c r="B1896" s="451"/>
      <c r="C1896" s="451"/>
      <c r="D1896" s="451"/>
      <c r="E1896" s="468"/>
      <c r="F1896" s="468"/>
    </row>
    <row r="1897" spans="1:6" ht="12.75" x14ac:dyDescent="0.2">
      <c r="A1897" s="451"/>
      <c r="B1897" s="451"/>
      <c r="C1897" s="451"/>
      <c r="D1897" s="451"/>
      <c r="E1897" s="468"/>
      <c r="F1897" s="468"/>
    </row>
    <row r="1898" spans="1:6" ht="12.75" x14ac:dyDescent="0.2">
      <c r="A1898" s="451"/>
      <c r="B1898" s="451"/>
      <c r="C1898" s="451"/>
      <c r="D1898" s="451"/>
      <c r="E1898" s="468"/>
      <c r="F1898" s="468"/>
    </row>
    <row r="1899" spans="1:6" ht="12.75" x14ac:dyDescent="0.2">
      <c r="A1899" s="451"/>
      <c r="B1899" s="451"/>
      <c r="C1899" s="451"/>
      <c r="D1899" s="451"/>
      <c r="E1899" s="468"/>
      <c r="F1899" s="468"/>
    </row>
    <row r="1900" spans="1:6" ht="12.75" x14ac:dyDescent="0.2">
      <c r="A1900" s="451"/>
      <c r="B1900" s="451"/>
      <c r="C1900" s="451"/>
      <c r="D1900" s="451"/>
      <c r="E1900" s="468"/>
      <c r="F1900" s="468"/>
    </row>
    <row r="1901" spans="1:6" ht="12.75" x14ac:dyDescent="0.2">
      <c r="A1901" s="451"/>
      <c r="B1901" s="451"/>
      <c r="C1901" s="451"/>
      <c r="D1901" s="451"/>
      <c r="E1901" s="468"/>
      <c r="F1901" s="468"/>
    </row>
    <row r="1902" spans="1:6" ht="12.75" x14ac:dyDescent="0.2">
      <c r="A1902" s="451"/>
      <c r="B1902" s="451"/>
      <c r="C1902" s="451"/>
      <c r="D1902" s="451"/>
      <c r="E1902" s="468"/>
      <c r="F1902" s="468"/>
    </row>
    <row r="1903" spans="1:6" ht="12.75" x14ac:dyDescent="0.2">
      <c r="A1903" s="451"/>
      <c r="B1903" s="451"/>
      <c r="C1903" s="451"/>
      <c r="D1903" s="451"/>
      <c r="E1903" s="468"/>
      <c r="F1903" s="468"/>
    </row>
    <row r="1904" spans="1:6" ht="12.75" x14ac:dyDescent="0.2">
      <c r="A1904" s="451"/>
      <c r="B1904" s="451"/>
      <c r="C1904" s="451"/>
      <c r="D1904" s="451"/>
      <c r="E1904" s="468"/>
      <c r="F1904" s="468"/>
    </row>
    <row r="1905" spans="1:6" ht="12.75" x14ac:dyDescent="0.2">
      <c r="A1905" s="451"/>
      <c r="B1905" s="451"/>
      <c r="C1905" s="451"/>
      <c r="D1905" s="451"/>
      <c r="E1905" s="468"/>
      <c r="F1905" s="468"/>
    </row>
    <row r="1906" spans="1:6" ht="12.75" x14ac:dyDescent="0.2">
      <c r="A1906" s="451"/>
      <c r="B1906" s="451"/>
      <c r="C1906" s="451"/>
      <c r="D1906" s="451"/>
      <c r="E1906" s="468"/>
      <c r="F1906" s="468"/>
    </row>
    <row r="1907" spans="1:6" ht="12.75" x14ac:dyDescent="0.2">
      <c r="A1907" s="451"/>
      <c r="B1907" s="451"/>
      <c r="C1907" s="451"/>
      <c r="D1907" s="451"/>
      <c r="E1907" s="468"/>
      <c r="F1907" s="468"/>
    </row>
    <row r="1908" spans="1:6" ht="12.75" x14ac:dyDescent="0.2">
      <c r="A1908" s="451"/>
      <c r="B1908" s="451"/>
      <c r="C1908" s="451"/>
      <c r="D1908" s="451"/>
      <c r="E1908" s="468"/>
      <c r="F1908" s="468"/>
    </row>
    <row r="1909" spans="1:6" ht="12.75" x14ac:dyDescent="0.2">
      <c r="A1909" s="451"/>
      <c r="B1909" s="451"/>
      <c r="C1909" s="451"/>
      <c r="D1909" s="451"/>
      <c r="E1909" s="468"/>
      <c r="F1909" s="468"/>
    </row>
    <row r="1910" spans="1:6" ht="12.75" x14ac:dyDescent="0.2">
      <c r="A1910" s="451"/>
      <c r="B1910" s="451"/>
      <c r="C1910" s="451"/>
      <c r="D1910" s="451"/>
      <c r="E1910" s="468"/>
      <c r="F1910" s="468"/>
    </row>
    <row r="1911" spans="1:6" ht="12.75" x14ac:dyDescent="0.2">
      <c r="A1911" s="451"/>
      <c r="B1911" s="451"/>
      <c r="C1911" s="451"/>
      <c r="D1911" s="451"/>
      <c r="E1911" s="468"/>
      <c r="F1911" s="468"/>
    </row>
    <row r="1912" spans="1:6" ht="12.75" x14ac:dyDescent="0.2">
      <c r="A1912" s="451"/>
      <c r="B1912" s="451"/>
      <c r="C1912" s="451"/>
      <c r="D1912" s="451"/>
      <c r="E1912" s="468"/>
      <c r="F1912" s="468"/>
    </row>
    <row r="1913" spans="1:6" ht="12.75" x14ac:dyDescent="0.2">
      <c r="A1913" s="451"/>
      <c r="B1913" s="451"/>
      <c r="C1913" s="451"/>
      <c r="D1913" s="451"/>
      <c r="E1913" s="468"/>
      <c r="F1913" s="468"/>
    </row>
    <row r="1914" spans="1:6" ht="12.75" x14ac:dyDescent="0.2">
      <c r="A1914" s="451"/>
      <c r="B1914" s="451"/>
      <c r="C1914" s="451"/>
      <c r="D1914" s="451"/>
      <c r="E1914" s="468"/>
      <c r="F1914" s="468"/>
    </row>
    <row r="1915" spans="1:6" ht="12.75" x14ac:dyDescent="0.2">
      <c r="A1915" s="451"/>
      <c r="B1915" s="451"/>
      <c r="C1915" s="451"/>
      <c r="D1915" s="451"/>
      <c r="E1915" s="468"/>
      <c r="F1915" s="468"/>
    </row>
    <row r="1916" spans="1:6" ht="12.75" x14ac:dyDescent="0.2">
      <c r="A1916" s="451"/>
      <c r="B1916" s="451"/>
      <c r="C1916" s="451"/>
      <c r="D1916" s="451"/>
      <c r="E1916" s="468"/>
      <c r="F1916" s="468"/>
    </row>
    <row r="1917" spans="1:6" ht="12.75" x14ac:dyDescent="0.2">
      <c r="A1917" s="451"/>
      <c r="B1917" s="451"/>
      <c r="C1917" s="451"/>
      <c r="D1917" s="451"/>
      <c r="E1917" s="468"/>
      <c r="F1917" s="468"/>
    </row>
    <row r="1918" spans="1:6" ht="12.75" x14ac:dyDescent="0.2">
      <c r="A1918" s="451"/>
      <c r="B1918" s="451"/>
      <c r="C1918" s="451"/>
      <c r="D1918" s="451"/>
      <c r="E1918" s="468"/>
      <c r="F1918" s="468"/>
    </row>
    <row r="1919" spans="1:6" ht="12.75" x14ac:dyDescent="0.2">
      <c r="A1919" s="451"/>
      <c r="B1919" s="451"/>
      <c r="C1919" s="451"/>
      <c r="D1919" s="451"/>
      <c r="E1919" s="468"/>
      <c r="F1919" s="468"/>
    </row>
    <row r="1920" spans="1:6" ht="12.75" x14ac:dyDescent="0.2">
      <c r="A1920" s="451"/>
      <c r="B1920" s="451"/>
      <c r="C1920" s="451"/>
      <c r="D1920" s="451"/>
      <c r="E1920" s="468"/>
      <c r="F1920" s="468"/>
    </row>
    <row r="1921" spans="1:6" ht="12.75" x14ac:dyDescent="0.2">
      <c r="A1921" s="451"/>
      <c r="B1921" s="451"/>
      <c r="C1921" s="451"/>
      <c r="D1921" s="451"/>
      <c r="E1921" s="468"/>
      <c r="F1921" s="468"/>
    </row>
    <row r="1922" spans="1:6" ht="12.75" x14ac:dyDescent="0.2">
      <c r="A1922" s="451"/>
      <c r="B1922" s="451"/>
      <c r="C1922" s="451"/>
      <c r="D1922" s="451"/>
      <c r="E1922" s="468"/>
      <c r="F1922" s="468"/>
    </row>
    <row r="1923" spans="1:6" ht="12.75" x14ac:dyDescent="0.2">
      <c r="A1923" s="451"/>
      <c r="B1923" s="451"/>
      <c r="C1923" s="451"/>
      <c r="D1923" s="451"/>
      <c r="E1923" s="468"/>
      <c r="F1923" s="468"/>
    </row>
    <row r="1924" spans="1:6" ht="12.75" x14ac:dyDescent="0.2">
      <c r="A1924" s="451"/>
      <c r="B1924" s="451"/>
      <c r="C1924" s="451"/>
      <c r="D1924" s="451"/>
      <c r="E1924" s="468"/>
      <c r="F1924" s="468"/>
    </row>
    <row r="1925" spans="1:6" ht="12.75" x14ac:dyDescent="0.2">
      <c r="A1925" s="451"/>
      <c r="B1925" s="451"/>
      <c r="C1925" s="451"/>
      <c r="D1925" s="451"/>
      <c r="E1925" s="468"/>
      <c r="F1925" s="468"/>
    </row>
    <row r="1926" spans="1:6" ht="12.75" x14ac:dyDescent="0.2">
      <c r="A1926" s="451"/>
      <c r="B1926" s="451"/>
      <c r="C1926" s="451"/>
      <c r="D1926" s="451"/>
      <c r="E1926" s="468"/>
      <c r="F1926" s="468"/>
    </row>
    <row r="1927" spans="1:6" ht="12.75" x14ac:dyDescent="0.2">
      <c r="A1927" s="451"/>
      <c r="B1927" s="451"/>
      <c r="C1927" s="451"/>
      <c r="D1927" s="451"/>
      <c r="E1927" s="468"/>
      <c r="F1927" s="468"/>
    </row>
    <row r="1928" spans="1:6" ht="12.75" x14ac:dyDescent="0.2">
      <c r="A1928" s="451"/>
      <c r="B1928" s="451"/>
      <c r="C1928" s="451"/>
      <c r="D1928" s="451"/>
      <c r="E1928" s="468"/>
      <c r="F1928" s="468"/>
    </row>
    <row r="1929" spans="1:6" ht="12.75" x14ac:dyDescent="0.2">
      <c r="A1929" s="451"/>
      <c r="B1929" s="451"/>
      <c r="C1929" s="451"/>
      <c r="D1929" s="451"/>
      <c r="E1929" s="468"/>
      <c r="F1929" s="468"/>
    </row>
    <row r="1930" spans="1:6" ht="12.75" x14ac:dyDescent="0.2">
      <c r="A1930" s="451"/>
      <c r="B1930" s="451"/>
      <c r="C1930" s="451"/>
      <c r="D1930" s="451"/>
      <c r="E1930" s="468"/>
      <c r="F1930" s="468"/>
    </row>
    <row r="1931" spans="1:6" ht="12.75" x14ac:dyDescent="0.2">
      <c r="A1931" s="451"/>
      <c r="B1931" s="451"/>
      <c r="C1931" s="451"/>
      <c r="D1931" s="451"/>
      <c r="E1931" s="468"/>
      <c r="F1931" s="468"/>
    </row>
    <row r="1932" spans="1:6" ht="12.75" x14ac:dyDescent="0.2">
      <c r="A1932" s="451"/>
      <c r="B1932" s="451"/>
      <c r="C1932" s="451"/>
      <c r="D1932" s="451"/>
      <c r="E1932" s="468"/>
      <c r="F1932" s="468"/>
    </row>
    <row r="1933" spans="1:6" ht="12.75" x14ac:dyDescent="0.2">
      <c r="A1933" s="451"/>
      <c r="B1933" s="451"/>
      <c r="C1933" s="451"/>
      <c r="D1933" s="451"/>
      <c r="E1933" s="468"/>
      <c r="F1933" s="468"/>
    </row>
    <row r="1934" spans="1:6" ht="12.75" x14ac:dyDescent="0.2">
      <c r="A1934" s="451"/>
      <c r="B1934" s="451"/>
      <c r="C1934" s="451"/>
      <c r="D1934" s="451"/>
      <c r="E1934" s="468"/>
      <c r="F1934" s="468"/>
    </row>
    <row r="1935" spans="1:6" ht="12.75" x14ac:dyDescent="0.2">
      <c r="A1935" s="451"/>
      <c r="B1935" s="451"/>
      <c r="C1935" s="451"/>
      <c r="D1935" s="451"/>
      <c r="E1935" s="468"/>
      <c r="F1935" s="468"/>
    </row>
    <row r="1936" spans="1:6" ht="12.75" x14ac:dyDescent="0.2">
      <c r="A1936" s="451"/>
      <c r="B1936" s="451"/>
      <c r="C1936" s="451"/>
      <c r="D1936" s="451"/>
      <c r="E1936" s="468"/>
      <c r="F1936" s="468"/>
    </row>
    <row r="1937" spans="1:6" ht="12.75" x14ac:dyDescent="0.2">
      <c r="A1937" s="451"/>
      <c r="B1937" s="451"/>
      <c r="C1937" s="451"/>
      <c r="D1937" s="451"/>
      <c r="E1937" s="468"/>
      <c r="F1937" s="468"/>
    </row>
    <row r="1938" spans="1:6" ht="12.75" x14ac:dyDescent="0.2">
      <c r="A1938" s="451"/>
      <c r="B1938" s="451"/>
      <c r="C1938" s="451"/>
      <c r="D1938" s="451"/>
      <c r="E1938" s="468"/>
      <c r="F1938" s="468"/>
    </row>
    <row r="1939" spans="1:6" ht="12.75" x14ac:dyDescent="0.2">
      <c r="A1939" s="451"/>
      <c r="B1939" s="451"/>
      <c r="C1939" s="451"/>
      <c r="D1939" s="451"/>
      <c r="E1939" s="468"/>
      <c r="F1939" s="468"/>
    </row>
    <row r="1940" spans="1:6" ht="12.75" x14ac:dyDescent="0.2">
      <c r="A1940" s="451"/>
      <c r="B1940" s="451"/>
      <c r="C1940" s="451"/>
      <c r="D1940" s="451"/>
      <c r="E1940" s="468"/>
      <c r="F1940" s="468"/>
    </row>
    <row r="1941" spans="1:6" ht="12.75" x14ac:dyDescent="0.2">
      <c r="A1941" s="451"/>
      <c r="B1941" s="451"/>
      <c r="C1941" s="451"/>
      <c r="D1941" s="451"/>
      <c r="E1941" s="468"/>
      <c r="F1941" s="468"/>
    </row>
    <row r="1942" spans="1:6" ht="12.75" x14ac:dyDescent="0.2">
      <c r="A1942" s="451"/>
      <c r="B1942" s="451"/>
      <c r="C1942" s="451"/>
      <c r="D1942" s="451"/>
      <c r="E1942" s="468"/>
      <c r="F1942" s="468"/>
    </row>
    <row r="1943" spans="1:6" ht="12.75" x14ac:dyDescent="0.2">
      <c r="A1943" s="451"/>
      <c r="B1943" s="451"/>
      <c r="C1943" s="451"/>
      <c r="D1943" s="451"/>
      <c r="E1943" s="468"/>
      <c r="F1943" s="468"/>
    </row>
    <row r="1944" spans="1:6" ht="12.75" x14ac:dyDescent="0.2">
      <c r="A1944" s="451"/>
      <c r="B1944" s="451"/>
      <c r="C1944" s="451"/>
      <c r="D1944" s="451"/>
      <c r="E1944" s="468"/>
      <c r="F1944" s="468"/>
    </row>
    <row r="1945" spans="1:6" ht="12.75" x14ac:dyDescent="0.2">
      <c r="A1945" s="451"/>
      <c r="B1945" s="451"/>
      <c r="C1945" s="451"/>
      <c r="D1945" s="451"/>
      <c r="E1945" s="468"/>
      <c r="F1945" s="468"/>
    </row>
    <row r="1946" spans="1:6" ht="12.75" x14ac:dyDescent="0.2">
      <c r="A1946" s="451"/>
      <c r="B1946" s="451"/>
      <c r="C1946" s="451"/>
      <c r="D1946" s="451"/>
      <c r="E1946" s="468"/>
      <c r="F1946" s="468"/>
    </row>
    <row r="1947" spans="1:6" ht="12.75" x14ac:dyDescent="0.2">
      <c r="A1947" s="451"/>
      <c r="B1947" s="451"/>
      <c r="C1947" s="451"/>
      <c r="D1947" s="451"/>
      <c r="E1947" s="468"/>
      <c r="F1947" s="468"/>
    </row>
    <row r="1948" spans="1:6" ht="12.75" x14ac:dyDescent="0.2">
      <c r="A1948" s="451"/>
      <c r="B1948" s="451"/>
      <c r="C1948" s="451"/>
      <c r="D1948" s="451"/>
      <c r="E1948" s="468"/>
      <c r="F1948" s="468"/>
    </row>
    <row r="1949" spans="1:6" ht="12.75" x14ac:dyDescent="0.2">
      <c r="A1949" s="451"/>
      <c r="B1949" s="451"/>
      <c r="C1949" s="451"/>
      <c r="D1949" s="451"/>
      <c r="E1949" s="468"/>
      <c r="F1949" s="468"/>
    </row>
    <row r="1950" spans="1:6" ht="12.75" x14ac:dyDescent="0.2">
      <c r="A1950" s="451"/>
      <c r="B1950" s="451"/>
      <c r="C1950" s="451"/>
      <c r="D1950" s="451"/>
      <c r="E1950" s="468"/>
      <c r="F1950" s="468"/>
    </row>
    <row r="1951" spans="1:6" ht="12.75" x14ac:dyDescent="0.2">
      <c r="A1951" s="451"/>
      <c r="B1951" s="451"/>
      <c r="C1951" s="451"/>
      <c r="D1951" s="451"/>
      <c r="E1951" s="468"/>
      <c r="F1951" s="468"/>
    </row>
    <row r="1952" spans="1:6" ht="12.75" x14ac:dyDescent="0.2">
      <c r="A1952" s="451"/>
      <c r="B1952" s="451"/>
      <c r="C1952" s="451"/>
      <c r="D1952" s="451"/>
      <c r="E1952" s="468"/>
      <c r="F1952" s="468"/>
    </row>
    <row r="1953" spans="1:6" ht="12.75" x14ac:dyDescent="0.2">
      <c r="A1953" s="451"/>
      <c r="B1953" s="451"/>
      <c r="C1953" s="451"/>
      <c r="D1953" s="451"/>
      <c r="E1953" s="468"/>
      <c r="F1953" s="468"/>
    </row>
    <row r="1954" spans="1:6" ht="12.75" x14ac:dyDescent="0.2">
      <c r="A1954" s="451"/>
      <c r="B1954" s="451"/>
      <c r="C1954" s="451"/>
      <c r="D1954" s="451"/>
      <c r="E1954" s="468"/>
      <c r="F1954" s="468"/>
    </row>
    <row r="1955" spans="1:6" ht="12.75" x14ac:dyDescent="0.2">
      <c r="A1955" s="451"/>
      <c r="B1955" s="451"/>
      <c r="C1955" s="451"/>
      <c r="D1955" s="451"/>
      <c r="E1955" s="468"/>
      <c r="F1955" s="468"/>
    </row>
    <row r="1956" spans="1:6" ht="12.75" x14ac:dyDescent="0.2">
      <c r="A1956" s="451"/>
      <c r="B1956" s="451"/>
      <c r="C1956" s="451"/>
      <c r="D1956" s="451"/>
      <c r="E1956" s="468"/>
      <c r="F1956" s="468"/>
    </row>
    <row r="1957" spans="1:6" ht="12.75" x14ac:dyDescent="0.2">
      <c r="A1957" s="451"/>
      <c r="B1957" s="451"/>
      <c r="C1957" s="451"/>
      <c r="D1957" s="451"/>
      <c r="E1957" s="468"/>
      <c r="F1957" s="468"/>
    </row>
    <row r="1958" spans="1:6" ht="12.75" x14ac:dyDescent="0.2">
      <c r="A1958" s="451"/>
      <c r="B1958" s="451"/>
      <c r="C1958" s="451"/>
      <c r="D1958" s="451"/>
      <c r="E1958" s="468"/>
      <c r="F1958" s="468"/>
    </row>
    <row r="1959" spans="1:6" ht="12.75" x14ac:dyDescent="0.2">
      <c r="A1959" s="451"/>
      <c r="B1959" s="451"/>
      <c r="C1959" s="451"/>
      <c r="D1959" s="451"/>
      <c r="E1959" s="468"/>
      <c r="F1959" s="468"/>
    </row>
    <row r="1960" spans="1:6" ht="12.75" x14ac:dyDescent="0.2">
      <c r="A1960" s="451"/>
      <c r="B1960" s="451"/>
      <c r="C1960" s="451"/>
      <c r="D1960" s="451"/>
      <c r="E1960" s="468"/>
      <c r="F1960" s="468"/>
    </row>
    <row r="1961" spans="1:6" ht="12.75" x14ac:dyDescent="0.2">
      <c r="A1961" s="451"/>
      <c r="B1961" s="451"/>
      <c r="C1961" s="451"/>
      <c r="D1961" s="451"/>
      <c r="E1961" s="468"/>
      <c r="F1961" s="468"/>
    </row>
    <row r="1962" spans="1:6" ht="12.75" x14ac:dyDescent="0.2">
      <c r="A1962" s="451"/>
      <c r="B1962" s="451"/>
      <c r="C1962" s="451"/>
      <c r="D1962" s="451"/>
      <c r="E1962" s="468"/>
      <c r="F1962" s="468"/>
    </row>
    <row r="1963" spans="1:6" ht="12.75" x14ac:dyDescent="0.2">
      <c r="A1963" s="451"/>
      <c r="B1963" s="451"/>
      <c r="C1963" s="451"/>
      <c r="D1963" s="451"/>
      <c r="E1963" s="468"/>
      <c r="F1963" s="468"/>
    </row>
    <row r="1964" spans="1:6" ht="12.75" x14ac:dyDescent="0.2">
      <c r="A1964" s="451"/>
      <c r="B1964" s="451"/>
      <c r="C1964" s="451"/>
      <c r="D1964" s="451"/>
      <c r="E1964" s="468"/>
      <c r="F1964" s="468"/>
    </row>
    <row r="1965" spans="1:6" ht="12.75" x14ac:dyDescent="0.2">
      <c r="A1965" s="451"/>
      <c r="B1965" s="451"/>
      <c r="C1965" s="451"/>
      <c r="D1965" s="451"/>
      <c r="E1965" s="468"/>
      <c r="F1965" s="468"/>
    </row>
    <row r="1966" spans="1:6" ht="12.75" x14ac:dyDescent="0.2">
      <c r="A1966" s="451"/>
      <c r="B1966" s="451"/>
      <c r="C1966" s="451"/>
      <c r="D1966" s="451"/>
      <c r="E1966" s="468"/>
      <c r="F1966" s="468"/>
    </row>
    <row r="1967" spans="1:6" ht="12.75" x14ac:dyDescent="0.2">
      <c r="A1967" s="451"/>
      <c r="B1967" s="451"/>
      <c r="C1967" s="451"/>
      <c r="D1967" s="451"/>
      <c r="E1967" s="468"/>
      <c r="F1967" s="468"/>
    </row>
    <row r="1968" spans="1:6" ht="12.75" x14ac:dyDescent="0.2">
      <c r="A1968" s="451"/>
      <c r="B1968" s="451"/>
      <c r="C1968" s="451"/>
      <c r="D1968" s="451"/>
      <c r="E1968" s="468"/>
      <c r="F1968" s="468"/>
    </row>
    <row r="1969" spans="1:6" ht="12.75" x14ac:dyDescent="0.2">
      <c r="A1969" s="451"/>
      <c r="B1969" s="451"/>
      <c r="C1969" s="451"/>
      <c r="D1969" s="451"/>
      <c r="E1969" s="468"/>
      <c r="F1969" s="468"/>
    </row>
    <row r="1970" spans="1:6" ht="12.75" x14ac:dyDescent="0.2">
      <c r="A1970" s="451"/>
      <c r="B1970" s="451"/>
      <c r="C1970" s="451"/>
      <c r="D1970" s="451"/>
      <c r="E1970" s="468"/>
      <c r="F1970" s="468"/>
    </row>
    <row r="1971" spans="1:6" ht="12.75" x14ac:dyDescent="0.2">
      <c r="A1971" s="451"/>
      <c r="B1971" s="451"/>
      <c r="C1971" s="451"/>
      <c r="D1971" s="451"/>
      <c r="E1971" s="468"/>
      <c r="F1971" s="468"/>
    </row>
    <row r="1972" spans="1:6" ht="12.75" x14ac:dyDescent="0.2">
      <c r="A1972" s="451"/>
      <c r="B1972" s="451"/>
      <c r="C1972" s="451"/>
      <c r="D1972" s="451"/>
      <c r="E1972" s="468"/>
      <c r="F1972" s="468"/>
    </row>
    <row r="1973" spans="1:6" ht="12.75" x14ac:dyDescent="0.2">
      <c r="A1973" s="451"/>
      <c r="B1973" s="451"/>
      <c r="C1973" s="451"/>
      <c r="D1973" s="451"/>
      <c r="E1973" s="468"/>
      <c r="F1973" s="468"/>
    </row>
    <row r="1974" spans="1:6" ht="12.75" x14ac:dyDescent="0.2">
      <c r="A1974" s="451"/>
      <c r="B1974" s="451"/>
      <c r="C1974" s="451"/>
      <c r="D1974" s="451"/>
      <c r="E1974" s="468"/>
      <c r="F1974" s="468"/>
    </row>
    <row r="1975" spans="1:6" ht="12.75" x14ac:dyDescent="0.2">
      <c r="A1975" s="451"/>
      <c r="B1975" s="451"/>
      <c r="C1975" s="451"/>
      <c r="D1975" s="451"/>
      <c r="E1975" s="468"/>
      <c r="F1975" s="468"/>
    </row>
    <row r="1976" spans="1:6" ht="12.75" x14ac:dyDescent="0.2">
      <c r="A1976" s="451"/>
      <c r="B1976" s="451"/>
      <c r="C1976" s="451"/>
      <c r="D1976" s="451"/>
      <c r="E1976" s="468"/>
      <c r="F1976" s="468"/>
    </row>
    <row r="1977" spans="1:6" ht="12.75" x14ac:dyDescent="0.2">
      <c r="A1977" s="451"/>
      <c r="B1977" s="451"/>
      <c r="C1977" s="451"/>
      <c r="D1977" s="451"/>
      <c r="E1977" s="468"/>
      <c r="F1977" s="468"/>
    </row>
    <row r="1978" spans="1:6" ht="12.75" x14ac:dyDescent="0.2">
      <c r="A1978" s="451"/>
      <c r="B1978" s="451"/>
      <c r="C1978" s="451"/>
      <c r="D1978" s="451"/>
      <c r="E1978" s="468"/>
      <c r="F1978" s="468"/>
    </row>
    <row r="1979" spans="1:6" ht="12.75" x14ac:dyDescent="0.2">
      <c r="A1979" s="451"/>
      <c r="B1979" s="451"/>
      <c r="C1979" s="451"/>
      <c r="D1979" s="451"/>
      <c r="E1979" s="468"/>
      <c r="F1979" s="468"/>
    </row>
    <row r="1980" spans="1:6" ht="12.75" x14ac:dyDescent="0.2">
      <c r="A1980" s="451"/>
      <c r="B1980" s="451"/>
      <c r="C1980" s="451"/>
      <c r="D1980" s="451"/>
      <c r="E1980" s="468"/>
      <c r="F1980" s="468"/>
    </row>
    <row r="1981" spans="1:6" ht="12.75" x14ac:dyDescent="0.2">
      <c r="A1981" s="451"/>
      <c r="B1981" s="451"/>
      <c r="C1981" s="451"/>
      <c r="D1981" s="451"/>
      <c r="E1981" s="468"/>
      <c r="F1981" s="468"/>
    </row>
    <row r="1982" spans="1:6" ht="12.75" x14ac:dyDescent="0.2">
      <c r="A1982" s="451"/>
      <c r="B1982" s="451"/>
      <c r="C1982" s="451"/>
      <c r="D1982" s="451"/>
      <c r="E1982" s="468"/>
      <c r="F1982" s="468"/>
    </row>
    <row r="1983" spans="1:6" ht="12.75" x14ac:dyDescent="0.2">
      <c r="A1983" s="451"/>
      <c r="B1983" s="451"/>
      <c r="C1983" s="451"/>
      <c r="D1983" s="451"/>
      <c r="E1983" s="468"/>
      <c r="F1983" s="468"/>
    </row>
    <row r="1984" spans="1:6" ht="12.75" x14ac:dyDescent="0.2">
      <c r="A1984" s="451"/>
      <c r="B1984" s="451"/>
      <c r="C1984" s="451"/>
      <c r="D1984" s="451"/>
      <c r="E1984" s="468"/>
      <c r="F1984" s="468"/>
    </row>
    <row r="1985" spans="1:6" ht="12.75" x14ac:dyDescent="0.2">
      <c r="A1985" s="451"/>
      <c r="B1985" s="451"/>
      <c r="C1985" s="451"/>
      <c r="D1985" s="451"/>
      <c r="E1985" s="468"/>
      <c r="F1985" s="468"/>
    </row>
    <row r="1986" spans="1:6" ht="12.75" x14ac:dyDescent="0.2">
      <c r="A1986" s="451"/>
      <c r="B1986" s="451"/>
      <c r="C1986" s="451"/>
      <c r="D1986" s="451"/>
      <c r="E1986" s="468"/>
      <c r="F1986" s="468"/>
    </row>
    <row r="1987" spans="1:6" ht="12.75" x14ac:dyDescent="0.2">
      <c r="A1987" s="451"/>
      <c r="B1987" s="451"/>
      <c r="C1987" s="451"/>
      <c r="D1987" s="451"/>
      <c r="E1987" s="468"/>
      <c r="F1987" s="468"/>
    </row>
    <row r="1988" spans="1:6" ht="12.75" x14ac:dyDescent="0.2">
      <c r="A1988" s="451"/>
      <c r="B1988" s="451"/>
      <c r="C1988" s="451"/>
      <c r="D1988" s="451"/>
      <c r="E1988" s="468"/>
      <c r="F1988" s="468"/>
    </row>
    <row r="1989" spans="1:6" ht="12.75" x14ac:dyDescent="0.2">
      <c r="A1989" s="451"/>
      <c r="B1989" s="451"/>
      <c r="C1989" s="451"/>
      <c r="D1989" s="451"/>
      <c r="E1989" s="468"/>
      <c r="F1989" s="468"/>
    </row>
    <row r="1990" spans="1:6" ht="12.75" x14ac:dyDescent="0.2">
      <c r="A1990" s="451"/>
      <c r="B1990" s="451"/>
      <c r="C1990" s="451"/>
      <c r="D1990" s="451"/>
      <c r="E1990" s="468"/>
      <c r="F1990" s="468"/>
    </row>
    <row r="1991" spans="1:6" ht="12.75" x14ac:dyDescent="0.2">
      <c r="A1991" s="451"/>
      <c r="B1991" s="451"/>
      <c r="C1991" s="451"/>
      <c r="D1991" s="451"/>
      <c r="E1991" s="468"/>
      <c r="F1991" s="468"/>
    </row>
    <row r="1992" spans="1:6" ht="12.75" x14ac:dyDescent="0.2">
      <c r="A1992" s="451"/>
      <c r="B1992" s="451"/>
      <c r="C1992" s="451"/>
      <c r="D1992" s="451"/>
      <c r="E1992" s="468"/>
      <c r="F1992" s="468"/>
    </row>
    <row r="1993" spans="1:6" ht="12.75" x14ac:dyDescent="0.2">
      <c r="A1993" s="451"/>
      <c r="B1993" s="451"/>
      <c r="C1993" s="451"/>
      <c r="D1993" s="451"/>
      <c r="E1993" s="468"/>
      <c r="F1993" s="468"/>
    </row>
    <row r="1994" spans="1:6" ht="12.75" x14ac:dyDescent="0.2">
      <c r="A1994" s="451"/>
      <c r="B1994" s="451"/>
      <c r="C1994" s="451"/>
      <c r="D1994" s="451"/>
      <c r="E1994" s="468"/>
      <c r="F1994" s="468"/>
    </row>
    <row r="1995" spans="1:6" ht="12.75" x14ac:dyDescent="0.2">
      <c r="A1995" s="451"/>
      <c r="B1995" s="451"/>
      <c r="C1995" s="451"/>
      <c r="D1995" s="451"/>
      <c r="E1995" s="468"/>
      <c r="F1995" s="468"/>
    </row>
    <row r="1996" spans="1:6" ht="12.75" x14ac:dyDescent="0.2">
      <c r="A1996" s="451"/>
      <c r="B1996" s="451"/>
      <c r="C1996" s="451"/>
      <c r="D1996" s="451"/>
      <c r="E1996" s="468"/>
      <c r="F1996" s="468"/>
    </row>
    <row r="1997" spans="1:6" ht="12.75" x14ac:dyDescent="0.2">
      <c r="A1997" s="451"/>
      <c r="B1997" s="451"/>
      <c r="C1997" s="451"/>
      <c r="D1997" s="451"/>
      <c r="E1997" s="468"/>
      <c r="F1997" s="468"/>
    </row>
    <row r="1998" spans="1:6" ht="12.75" x14ac:dyDescent="0.2">
      <c r="A1998" s="451"/>
      <c r="B1998" s="451"/>
      <c r="C1998" s="451"/>
      <c r="D1998" s="451"/>
      <c r="E1998" s="468"/>
      <c r="F1998" s="468"/>
    </row>
    <row r="1999" spans="1:6" ht="12.75" x14ac:dyDescent="0.2">
      <c r="A1999" s="451"/>
      <c r="B1999" s="451"/>
      <c r="C1999" s="451"/>
      <c r="D1999" s="451"/>
      <c r="E1999" s="468"/>
      <c r="F1999" s="468"/>
    </row>
    <row r="2000" spans="1:6" ht="12.75" x14ac:dyDescent="0.2">
      <c r="A2000" s="451"/>
      <c r="B2000" s="451"/>
      <c r="C2000" s="451"/>
      <c r="D2000" s="451"/>
      <c r="E2000" s="468"/>
      <c r="F2000" s="468"/>
    </row>
    <row r="2001" spans="1:6" ht="12.75" x14ac:dyDescent="0.2">
      <c r="A2001" s="451"/>
      <c r="B2001" s="451"/>
      <c r="C2001" s="451"/>
      <c r="D2001" s="451"/>
      <c r="E2001" s="468"/>
      <c r="F2001" s="468"/>
    </row>
    <row r="2002" spans="1:6" ht="12.75" x14ac:dyDescent="0.2">
      <c r="A2002" s="451"/>
      <c r="B2002" s="451"/>
      <c r="C2002" s="451"/>
      <c r="D2002" s="451"/>
      <c r="E2002" s="468"/>
      <c r="F2002" s="468"/>
    </row>
    <row r="2003" spans="1:6" ht="12.75" x14ac:dyDescent="0.2">
      <c r="A2003" s="451"/>
      <c r="B2003" s="451"/>
      <c r="C2003" s="451"/>
      <c r="D2003" s="451"/>
      <c r="E2003" s="468"/>
      <c r="F2003" s="468"/>
    </row>
    <row r="2004" spans="1:6" ht="12.75" x14ac:dyDescent="0.2">
      <c r="A2004" s="451"/>
      <c r="B2004" s="451"/>
      <c r="C2004" s="451"/>
      <c r="D2004" s="451"/>
      <c r="E2004" s="468"/>
      <c r="F2004" s="468"/>
    </row>
    <row r="2005" spans="1:6" ht="12.75" x14ac:dyDescent="0.2">
      <c r="A2005" s="451"/>
      <c r="B2005" s="451"/>
      <c r="C2005" s="451"/>
      <c r="D2005" s="451"/>
      <c r="E2005" s="468"/>
      <c r="F2005" s="468"/>
    </row>
    <row r="2006" spans="1:6" ht="12.75" x14ac:dyDescent="0.2">
      <c r="A2006" s="451"/>
      <c r="B2006" s="451"/>
      <c r="C2006" s="451"/>
      <c r="D2006" s="451"/>
      <c r="E2006" s="468"/>
      <c r="F2006" s="468"/>
    </row>
    <row r="2007" spans="1:6" ht="12.75" x14ac:dyDescent="0.2">
      <c r="A2007" s="451"/>
      <c r="B2007" s="451"/>
      <c r="C2007" s="451"/>
      <c r="D2007" s="451"/>
      <c r="E2007" s="468"/>
      <c r="F2007" s="468"/>
    </row>
    <row r="2008" spans="1:6" ht="12.75" x14ac:dyDescent="0.2">
      <c r="A2008" s="451"/>
      <c r="B2008" s="451"/>
      <c r="C2008" s="451"/>
      <c r="D2008" s="451"/>
      <c r="E2008" s="468"/>
      <c r="F2008" s="468"/>
    </row>
    <row r="2009" spans="1:6" ht="12.75" x14ac:dyDescent="0.2">
      <c r="A2009" s="451"/>
      <c r="B2009" s="451"/>
      <c r="C2009" s="451"/>
      <c r="D2009" s="451"/>
      <c r="E2009" s="468"/>
      <c r="F2009" s="468"/>
    </row>
    <row r="2010" spans="1:6" ht="12.75" x14ac:dyDescent="0.2">
      <c r="A2010" s="451"/>
      <c r="B2010" s="451"/>
      <c r="C2010" s="451"/>
      <c r="D2010" s="451"/>
      <c r="E2010" s="468"/>
      <c r="F2010" s="468"/>
    </row>
    <row r="2011" spans="1:6" ht="12.75" x14ac:dyDescent="0.2">
      <c r="A2011" s="451"/>
      <c r="B2011" s="451"/>
      <c r="C2011" s="451"/>
      <c r="D2011" s="451"/>
      <c r="E2011" s="468"/>
      <c r="F2011" s="468"/>
    </row>
    <row r="2012" spans="1:6" ht="12.75" x14ac:dyDescent="0.2">
      <c r="A2012" s="451"/>
      <c r="B2012" s="451"/>
      <c r="C2012" s="451"/>
      <c r="D2012" s="451"/>
      <c r="E2012" s="468"/>
      <c r="F2012" s="468"/>
    </row>
    <row r="2013" spans="1:6" ht="12.75" x14ac:dyDescent="0.2">
      <c r="A2013" s="451"/>
      <c r="B2013" s="451"/>
      <c r="C2013" s="451"/>
      <c r="D2013" s="451"/>
      <c r="E2013" s="468"/>
      <c r="F2013" s="468"/>
    </row>
    <row r="2014" spans="1:6" ht="12.75" x14ac:dyDescent="0.2">
      <c r="A2014" s="451"/>
      <c r="B2014" s="451"/>
      <c r="C2014" s="451"/>
      <c r="D2014" s="451"/>
      <c r="E2014" s="468"/>
      <c r="F2014" s="468"/>
    </row>
    <row r="2015" spans="1:6" ht="12.75" x14ac:dyDescent="0.2">
      <c r="A2015" s="451"/>
      <c r="B2015" s="451"/>
      <c r="C2015" s="451"/>
      <c r="D2015" s="451"/>
      <c r="E2015" s="468"/>
      <c r="F2015" s="468"/>
    </row>
    <row r="2016" spans="1:6" ht="12.75" x14ac:dyDescent="0.2">
      <c r="A2016" s="451"/>
      <c r="B2016" s="451"/>
      <c r="C2016" s="451"/>
      <c r="D2016" s="451"/>
      <c r="E2016" s="468"/>
      <c r="F2016" s="468"/>
    </row>
    <row r="2017" spans="1:6" ht="12.75" x14ac:dyDescent="0.2">
      <c r="A2017" s="451"/>
      <c r="B2017" s="451"/>
      <c r="C2017" s="451"/>
      <c r="D2017" s="451"/>
      <c r="E2017" s="468"/>
      <c r="F2017" s="468"/>
    </row>
    <row r="2018" spans="1:6" ht="12.75" x14ac:dyDescent="0.2">
      <c r="A2018" s="451"/>
      <c r="B2018" s="451"/>
      <c r="C2018" s="451"/>
      <c r="D2018" s="451"/>
      <c r="E2018" s="468"/>
      <c r="F2018" s="468"/>
    </row>
    <row r="2019" spans="1:6" ht="12.75" x14ac:dyDescent="0.2">
      <c r="A2019" s="451"/>
      <c r="B2019" s="451"/>
      <c r="C2019" s="451"/>
      <c r="D2019" s="451"/>
      <c r="E2019" s="468"/>
      <c r="F2019" s="468"/>
    </row>
    <row r="2020" spans="1:6" ht="12.75" x14ac:dyDescent="0.2">
      <c r="A2020" s="451"/>
      <c r="B2020" s="451"/>
      <c r="C2020" s="451"/>
      <c r="D2020" s="451"/>
      <c r="E2020" s="468"/>
      <c r="F2020" s="468"/>
    </row>
    <row r="2021" spans="1:6" ht="12.75" x14ac:dyDescent="0.2">
      <c r="A2021" s="451"/>
      <c r="B2021" s="451"/>
      <c r="C2021" s="451"/>
      <c r="D2021" s="451"/>
      <c r="E2021" s="468"/>
      <c r="F2021" s="468"/>
    </row>
    <row r="2022" spans="1:6" ht="12.75" x14ac:dyDescent="0.2">
      <c r="A2022" s="451"/>
      <c r="B2022" s="451"/>
      <c r="C2022" s="451"/>
      <c r="D2022" s="451"/>
      <c r="E2022" s="468"/>
      <c r="F2022" s="468"/>
    </row>
    <row r="2023" spans="1:6" ht="12.75" x14ac:dyDescent="0.2">
      <c r="A2023" s="451"/>
      <c r="B2023" s="451"/>
      <c r="C2023" s="451"/>
      <c r="D2023" s="451"/>
      <c r="E2023" s="468"/>
      <c r="F2023" s="468"/>
    </row>
    <row r="2024" spans="1:6" ht="12.75" x14ac:dyDescent="0.2">
      <c r="A2024" s="451"/>
      <c r="B2024" s="451"/>
      <c r="C2024" s="451"/>
      <c r="D2024" s="451"/>
      <c r="E2024" s="468"/>
      <c r="F2024" s="468"/>
    </row>
    <row r="2025" spans="1:6" ht="12.75" x14ac:dyDescent="0.2">
      <c r="A2025" s="451"/>
      <c r="B2025" s="451"/>
      <c r="C2025" s="451"/>
      <c r="D2025" s="451"/>
      <c r="E2025" s="468"/>
      <c r="F2025" s="468"/>
    </row>
    <row r="2026" spans="1:6" ht="12.75" x14ac:dyDescent="0.2">
      <c r="A2026" s="451"/>
      <c r="B2026" s="451"/>
      <c r="C2026" s="451"/>
      <c r="D2026" s="451"/>
      <c r="E2026" s="468"/>
      <c r="F2026" s="468"/>
    </row>
    <row r="2027" spans="1:6" ht="12.75" x14ac:dyDescent="0.2">
      <c r="A2027" s="451"/>
      <c r="B2027" s="451"/>
      <c r="C2027" s="451"/>
      <c r="D2027" s="451"/>
      <c r="E2027" s="468"/>
      <c r="F2027" s="468"/>
    </row>
    <row r="2028" spans="1:6" ht="12.75" x14ac:dyDescent="0.2">
      <c r="A2028" s="451"/>
      <c r="B2028" s="451"/>
      <c r="C2028" s="451"/>
      <c r="D2028" s="451"/>
      <c r="E2028" s="468"/>
      <c r="F2028" s="468"/>
    </row>
    <row r="2029" spans="1:6" ht="12.75" x14ac:dyDescent="0.2">
      <c r="A2029" s="451"/>
      <c r="B2029" s="451"/>
      <c r="C2029" s="451"/>
      <c r="D2029" s="451"/>
      <c r="E2029" s="468"/>
      <c r="F2029" s="468"/>
    </row>
    <row r="2030" spans="1:6" ht="12.75" x14ac:dyDescent="0.2">
      <c r="A2030" s="451"/>
      <c r="B2030" s="451"/>
      <c r="C2030" s="451"/>
      <c r="D2030" s="451"/>
      <c r="E2030" s="468"/>
      <c r="F2030" s="468"/>
    </row>
    <row r="2031" spans="1:6" ht="12.75" x14ac:dyDescent="0.2">
      <c r="A2031" s="451"/>
      <c r="B2031" s="451"/>
      <c r="C2031" s="451"/>
      <c r="D2031" s="451"/>
      <c r="E2031" s="468"/>
      <c r="F2031" s="468"/>
    </row>
    <row r="2032" spans="1:6" ht="12.75" x14ac:dyDescent="0.2">
      <c r="A2032" s="451"/>
      <c r="B2032" s="451"/>
      <c r="C2032" s="451"/>
      <c r="D2032" s="451"/>
      <c r="E2032" s="468"/>
      <c r="F2032" s="468"/>
    </row>
    <row r="2033" spans="1:6" ht="12.75" x14ac:dyDescent="0.2">
      <c r="A2033" s="451"/>
      <c r="B2033" s="451"/>
      <c r="C2033" s="451"/>
      <c r="D2033" s="451"/>
      <c r="E2033" s="468"/>
      <c r="F2033" s="468"/>
    </row>
    <row r="2034" spans="1:6" ht="12.75" x14ac:dyDescent="0.2">
      <c r="A2034" s="451"/>
      <c r="B2034" s="451"/>
      <c r="C2034" s="451"/>
      <c r="D2034" s="451"/>
      <c r="E2034" s="468"/>
      <c r="F2034" s="468"/>
    </row>
    <row r="2035" spans="1:6" ht="12.75" x14ac:dyDescent="0.2">
      <c r="A2035" s="451"/>
      <c r="B2035" s="451"/>
      <c r="C2035" s="451"/>
      <c r="D2035" s="451"/>
      <c r="E2035" s="468"/>
      <c r="F2035" s="468"/>
    </row>
    <row r="2036" spans="1:6" ht="12.75" x14ac:dyDescent="0.2">
      <c r="A2036" s="451"/>
      <c r="B2036" s="451"/>
      <c r="C2036" s="451"/>
      <c r="D2036" s="451"/>
      <c r="E2036" s="468"/>
      <c r="F2036" s="468"/>
    </row>
    <row r="2037" spans="1:6" ht="12.75" x14ac:dyDescent="0.2">
      <c r="A2037" s="451"/>
      <c r="B2037" s="451"/>
      <c r="C2037" s="451"/>
      <c r="D2037" s="451"/>
      <c r="E2037" s="468"/>
      <c r="F2037" s="468"/>
    </row>
    <row r="2038" spans="1:6" ht="12.75" x14ac:dyDescent="0.2">
      <c r="A2038" s="451"/>
      <c r="B2038" s="451"/>
      <c r="C2038" s="451"/>
      <c r="D2038" s="451"/>
      <c r="E2038" s="468"/>
      <c r="F2038" s="468"/>
    </row>
    <row r="2039" spans="1:6" ht="12.75" x14ac:dyDescent="0.2">
      <c r="A2039" s="451"/>
      <c r="B2039" s="451"/>
      <c r="C2039" s="451"/>
      <c r="D2039" s="451"/>
      <c r="E2039" s="468"/>
      <c r="F2039" s="468"/>
    </row>
    <row r="2040" spans="1:6" ht="12.75" x14ac:dyDescent="0.2">
      <c r="A2040" s="451"/>
      <c r="B2040" s="451"/>
      <c r="C2040" s="451"/>
      <c r="D2040" s="451"/>
      <c r="E2040" s="468"/>
      <c r="F2040" s="468"/>
    </row>
    <row r="2041" spans="1:6" ht="12.75" x14ac:dyDescent="0.2">
      <c r="A2041" s="451"/>
      <c r="B2041" s="451"/>
      <c r="C2041" s="451"/>
      <c r="D2041" s="451"/>
      <c r="E2041" s="468"/>
      <c r="F2041" s="468"/>
    </row>
    <row r="2042" spans="1:6" ht="12.75" x14ac:dyDescent="0.2">
      <c r="A2042" s="451"/>
      <c r="B2042" s="451"/>
      <c r="C2042" s="451"/>
      <c r="D2042" s="451"/>
      <c r="E2042" s="468"/>
      <c r="F2042" s="468"/>
    </row>
    <row r="2043" spans="1:6" ht="12.75" x14ac:dyDescent="0.2">
      <c r="A2043" s="451"/>
      <c r="B2043" s="451"/>
      <c r="C2043" s="451"/>
      <c r="D2043" s="451"/>
      <c r="E2043" s="468"/>
      <c r="F2043" s="468"/>
    </row>
    <row r="2044" spans="1:6" ht="12.75" x14ac:dyDescent="0.2">
      <c r="A2044" s="451"/>
      <c r="B2044" s="451"/>
      <c r="C2044" s="451"/>
      <c r="D2044" s="451"/>
      <c r="E2044" s="468"/>
      <c r="F2044" s="468"/>
    </row>
    <row r="2045" spans="1:6" ht="12.75" x14ac:dyDescent="0.2">
      <c r="A2045" s="451"/>
      <c r="B2045" s="451"/>
      <c r="C2045" s="451"/>
      <c r="D2045" s="451"/>
      <c r="E2045" s="468"/>
      <c r="F2045" s="468"/>
    </row>
    <row r="2046" spans="1:6" ht="12.75" x14ac:dyDescent="0.2">
      <c r="A2046" s="451"/>
      <c r="B2046" s="451"/>
      <c r="C2046" s="451"/>
      <c r="D2046" s="451"/>
      <c r="E2046" s="468"/>
      <c r="F2046" s="468"/>
    </row>
    <row r="2047" spans="1:6" ht="12.75" x14ac:dyDescent="0.2">
      <c r="A2047" s="451"/>
      <c r="B2047" s="451"/>
      <c r="C2047" s="451"/>
      <c r="D2047" s="451"/>
      <c r="E2047" s="468"/>
      <c r="F2047" s="468"/>
    </row>
    <row r="2048" spans="1:6" ht="12.75" x14ac:dyDescent="0.2">
      <c r="A2048" s="451"/>
      <c r="B2048" s="451"/>
      <c r="C2048" s="451"/>
      <c r="D2048" s="451"/>
      <c r="E2048" s="468"/>
      <c r="F2048" s="468"/>
    </row>
    <row r="2049" spans="1:6" ht="12.75" x14ac:dyDescent="0.2">
      <c r="A2049" s="451"/>
      <c r="B2049" s="451"/>
      <c r="C2049" s="451"/>
      <c r="D2049" s="451"/>
      <c r="E2049" s="468"/>
      <c r="F2049" s="468"/>
    </row>
    <row r="2050" spans="1:6" ht="12.75" x14ac:dyDescent="0.2">
      <c r="A2050" s="451"/>
      <c r="B2050" s="451"/>
      <c r="C2050" s="451"/>
      <c r="D2050" s="451"/>
      <c r="E2050" s="468"/>
      <c r="F2050" s="468"/>
    </row>
    <row r="2051" spans="1:6" ht="12.75" x14ac:dyDescent="0.2">
      <c r="A2051" s="451"/>
      <c r="B2051" s="451"/>
      <c r="C2051" s="451"/>
      <c r="D2051" s="451"/>
      <c r="E2051" s="468"/>
      <c r="F2051" s="468"/>
    </row>
    <row r="2052" spans="1:6" ht="12.75" x14ac:dyDescent="0.2">
      <c r="A2052" s="451"/>
      <c r="B2052" s="451"/>
      <c r="C2052" s="451"/>
      <c r="D2052" s="451"/>
      <c r="E2052" s="468"/>
      <c r="F2052" s="468"/>
    </row>
    <row r="2053" spans="1:6" ht="12.75" x14ac:dyDescent="0.2">
      <c r="A2053" s="451"/>
      <c r="B2053" s="451"/>
      <c r="C2053" s="451"/>
      <c r="D2053" s="451"/>
      <c r="E2053" s="468"/>
      <c r="F2053" s="468"/>
    </row>
    <row r="2054" spans="1:6" ht="12.75" x14ac:dyDescent="0.2">
      <c r="A2054" s="451"/>
      <c r="B2054" s="451"/>
      <c r="C2054" s="451"/>
      <c r="D2054" s="451"/>
      <c r="E2054" s="468"/>
      <c r="F2054" s="468"/>
    </row>
    <row r="2055" spans="1:6" ht="12.75" x14ac:dyDescent="0.2">
      <c r="A2055" s="451"/>
      <c r="B2055" s="451"/>
      <c r="C2055" s="451"/>
      <c r="D2055" s="451"/>
      <c r="E2055" s="468"/>
      <c r="F2055" s="468"/>
    </row>
    <row r="2056" spans="1:6" ht="12.75" x14ac:dyDescent="0.2">
      <c r="A2056" s="451"/>
      <c r="B2056" s="451"/>
      <c r="C2056" s="451"/>
      <c r="D2056" s="451"/>
      <c r="E2056" s="468"/>
      <c r="F2056" s="468"/>
    </row>
    <row r="2057" spans="1:6" ht="12.75" x14ac:dyDescent="0.2">
      <c r="A2057" s="451"/>
      <c r="B2057" s="451"/>
      <c r="C2057" s="451"/>
      <c r="D2057" s="451"/>
      <c r="E2057" s="468"/>
      <c r="F2057" s="468"/>
    </row>
    <row r="2058" spans="1:6" ht="12.75" x14ac:dyDescent="0.2">
      <c r="A2058" s="451"/>
      <c r="B2058" s="451"/>
      <c r="C2058" s="451"/>
      <c r="D2058" s="451"/>
      <c r="E2058" s="468"/>
      <c r="F2058" s="468"/>
    </row>
    <row r="2059" spans="1:6" ht="12.75" x14ac:dyDescent="0.2">
      <c r="A2059" s="451"/>
      <c r="B2059" s="451"/>
      <c r="C2059" s="451"/>
      <c r="D2059" s="451"/>
      <c r="E2059" s="468"/>
      <c r="F2059" s="468"/>
    </row>
    <row r="2060" spans="1:6" ht="12.75" x14ac:dyDescent="0.2">
      <c r="A2060" s="451"/>
      <c r="B2060" s="451"/>
      <c r="C2060" s="451"/>
      <c r="D2060" s="451"/>
      <c r="E2060" s="468"/>
      <c r="F2060" s="468"/>
    </row>
    <row r="2061" spans="1:6" ht="12.75" x14ac:dyDescent="0.2">
      <c r="A2061" s="451"/>
      <c r="B2061" s="451"/>
      <c r="C2061" s="451"/>
      <c r="D2061" s="451"/>
      <c r="E2061" s="468"/>
      <c r="F2061" s="468"/>
    </row>
    <row r="2062" spans="1:6" ht="12.75" x14ac:dyDescent="0.2">
      <c r="A2062" s="451"/>
      <c r="B2062" s="451"/>
      <c r="C2062" s="451"/>
      <c r="D2062" s="451"/>
      <c r="E2062" s="468"/>
      <c r="F2062" s="468"/>
    </row>
    <row r="2063" spans="1:6" ht="12.75" x14ac:dyDescent="0.2">
      <c r="A2063" s="451"/>
      <c r="B2063" s="451"/>
      <c r="C2063" s="451"/>
      <c r="D2063" s="451"/>
      <c r="E2063" s="468"/>
      <c r="F2063" s="468"/>
    </row>
    <row r="2064" spans="1:6" ht="12.75" x14ac:dyDescent="0.2">
      <c r="A2064" s="451"/>
      <c r="B2064" s="451"/>
      <c r="C2064" s="451"/>
      <c r="D2064" s="451"/>
      <c r="E2064" s="468"/>
      <c r="F2064" s="468"/>
    </row>
    <row r="2065" spans="1:6" ht="12.75" x14ac:dyDescent="0.2">
      <c r="A2065" s="451"/>
      <c r="B2065" s="451"/>
      <c r="C2065" s="451"/>
      <c r="D2065" s="451"/>
      <c r="E2065" s="468"/>
      <c r="F2065" s="468"/>
    </row>
    <row r="2066" spans="1:6" ht="12.75" x14ac:dyDescent="0.2">
      <c r="A2066" s="451"/>
      <c r="B2066" s="451"/>
      <c r="C2066" s="451"/>
      <c r="D2066" s="451"/>
      <c r="E2066" s="468"/>
      <c r="F2066" s="468"/>
    </row>
    <row r="2067" spans="1:6" ht="12.75" x14ac:dyDescent="0.2">
      <c r="A2067" s="451"/>
      <c r="B2067" s="451"/>
      <c r="C2067" s="451"/>
      <c r="D2067" s="451"/>
      <c r="E2067" s="468"/>
      <c r="F2067" s="468"/>
    </row>
    <row r="2068" spans="1:6" ht="12.75" x14ac:dyDescent="0.2">
      <c r="A2068" s="451"/>
      <c r="B2068" s="451"/>
      <c r="C2068" s="451"/>
      <c r="D2068" s="451"/>
      <c r="E2068" s="468"/>
      <c r="F2068" s="468"/>
    </row>
    <row r="2069" spans="1:6" ht="12.75" x14ac:dyDescent="0.2">
      <c r="A2069" s="451"/>
      <c r="B2069" s="451"/>
      <c r="C2069" s="451"/>
      <c r="D2069" s="451"/>
      <c r="E2069" s="468"/>
      <c r="F2069" s="468"/>
    </row>
    <row r="2070" spans="1:6" ht="12.75" x14ac:dyDescent="0.2">
      <c r="A2070" s="451"/>
      <c r="B2070" s="451"/>
      <c r="C2070" s="451"/>
      <c r="D2070" s="451"/>
      <c r="E2070" s="468"/>
      <c r="F2070" s="468"/>
    </row>
    <row r="2071" spans="1:6" ht="12.75" x14ac:dyDescent="0.2">
      <c r="A2071" s="451"/>
      <c r="B2071" s="451"/>
      <c r="C2071" s="451"/>
      <c r="D2071" s="451"/>
      <c r="E2071" s="468"/>
      <c r="F2071" s="468"/>
    </row>
    <row r="2072" spans="1:6" ht="12.75" x14ac:dyDescent="0.2">
      <c r="A2072" s="451"/>
      <c r="B2072" s="451"/>
      <c r="C2072" s="451"/>
      <c r="D2072" s="451"/>
      <c r="E2072" s="468"/>
      <c r="F2072" s="468"/>
    </row>
    <row r="2073" spans="1:6" ht="12.75" x14ac:dyDescent="0.2">
      <c r="A2073" s="451"/>
      <c r="B2073" s="451"/>
      <c r="C2073" s="451"/>
      <c r="D2073" s="451"/>
      <c r="E2073" s="468"/>
      <c r="F2073" s="468"/>
    </row>
    <row r="2074" spans="1:6" ht="12.75" x14ac:dyDescent="0.2">
      <c r="A2074" s="451"/>
      <c r="B2074" s="451"/>
      <c r="C2074" s="451"/>
      <c r="D2074" s="451"/>
      <c r="E2074" s="468"/>
      <c r="F2074" s="468"/>
    </row>
    <row r="2075" spans="1:6" ht="12.75" x14ac:dyDescent="0.2">
      <c r="A2075" s="451"/>
      <c r="B2075" s="451"/>
      <c r="C2075" s="451"/>
      <c r="D2075" s="451"/>
      <c r="E2075" s="468"/>
      <c r="F2075" s="468"/>
    </row>
    <row r="2076" spans="1:6" ht="12.75" x14ac:dyDescent="0.2">
      <c r="A2076" s="451"/>
      <c r="B2076" s="451"/>
      <c r="C2076" s="451"/>
      <c r="D2076" s="451"/>
      <c r="E2076" s="468"/>
      <c r="F2076" s="468"/>
    </row>
    <row r="2077" spans="1:6" ht="12.75" x14ac:dyDescent="0.2">
      <c r="A2077" s="451"/>
      <c r="B2077" s="451"/>
      <c r="C2077" s="451"/>
      <c r="D2077" s="451"/>
      <c r="E2077" s="468"/>
      <c r="F2077" s="468"/>
    </row>
    <row r="2078" spans="1:6" ht="12.75" x14ac:dyDescent="0.2">
      <c r="A2078" s="451"/>
      <c r="B2078" s="451"/>
      <c r="C2078" s="451"/>
      <c r="D2078" s="451"/>
      <c r="E2078" s="468"/>
      <c r="F2078" s="468"/>
    </row>
    <row r="2079" spans="1:6" ht="12.75" x14ac:dyDescent="0.2">
      <c r="A2079" s="451"/>
      <c r="B2079" s="451"/>
      <c r="C2079" s="451"/>
      <c r="D2079" s="451"/>
      <c r="E2079" s="468"/>
      <c r="F2079" s="468"/>
    </row>
    <row r="2080" spans="1:6" ht="12.75" x14ac:dyDescent="0.2">
      <c r="A2080" s="451"/>
      <c r="B2080" s="451"/>
      <c r="C2080" s="451"/>
      <c r="D2080" s="451"/>
      <c r="E2080" s="468"/>
      <c r="F2080" s="468"/>
    </row>
    <row r="2081" spans="1:6" ht="12.75" x14ac:dyDescent="0.2">
      <c r="A2081" s="451"/>
      <c r="B2081" s="451"/>
      <c r="C2081" s="451"/>
      <c r="D2081" s="451"/>
      <c r="E2081" s="468"/>
      <c r="F2081" s="468"/>
    </row>
    <row r="2082" spans="1:6" ht="12.75" x14ac:dyDescent="0.2">
      <c r="A2082" s="451"/>
      <c r="B2082" s="451"/>
      <c r="C2082" s="451"/>
      <c r="D2082" s="451"/>
      <c r="E2082" s="468"/>
      <c r="F2082" s="468"/>
    </row>
    <row r="2083" spans="1:6" ht="12.75" x14ac:dyDescent="0.2">
      <c r="A2083" s="451"/>
      <c r="B2083" s="451"/>
      <c r="C2083" s="451"/>
      <c r="D2083" s="451"/>
      <c r="E2083" s="468"/>
      <c r="F2083" s="468"/>
    </row>
    <row r="2084" spans="1:6" ht="12.75" x14ac:dyDescent="0.2">
      <c r="A2084" s="451"/>
      <c r="B2084" s="451"/>
      <c r="C2084" s="451"/>
      <c r="D2084" s="451"/>
      <c r="E2084" s="468"/>
      <c r="F2084" s="468"/>
    </row>
    <row r="2085" spans="1:6" ht="12.75" x14ac:dyDescent="0.2">
      <c r="A2085" s="451"/>
      <c r="B2085" s="451"/>
      <c r="C2085" s="451"/>
      <c r="D2085" s="451"/>
      <c r="E2085" s="468"/>
      <c r="F2085" s="468"/>
    </row>
    <row r="2086" spans="1:6" ht="12.75" x14ac:dyDescent="0.2">
      <c r="A2086" s="451"/>
      <c r="B2086" s="451"/>
      <c r="C2086" s="451"/>
      <c r="D2086" s="451"/>
      <c r="E2086" s="468"/>
      <c r="F2086" s="468"/>
    </row>
    <row r="2087" spans="1:6" ht="12.75" x14ac:dyDescent="0.2">
      <c r="A2087" s="451"/>
      <c r="B2087" s="451"/>
      <c r="C2087" s="451"/>
      <c r="D2087" s="451"/>
      <c r="E2087" s="468"/>
      <c r="F2087" s="468"/>
    </row>
    <row r="2088" spans="1:6" ht="12.75" x14ac:dyDescent="0.2">
      <c r="A2088" s="451"/>
      <c r="B2088" s="451"/>
      <c r="C2088" s="451"/>
      <c r="D2088" s="451"/>
      <c r="E2088" s="468"/>
      <c r="F2088" s="468"/>
    </row>
    <row r="2089" spans="1:6" ht="12.75" x14ac:dyDescent="0.2">
      <c r="A2089" s="451"/>
      <c r="B2089" s="451"/>
      <c r="C2089" s="451"/>
      <c r="D2089" s="451"/>
      <c r="E2089" s="468"/>
      <c r="F2089" s="468"/>
    </row>
    <row r="2090" spans="1:6" ht="12.75" x14ac:dyDescent="0.2">
      <c r="A2090" s="451"/>
      <c r="B2090" s="451"/>
      <c r="C2090" s="451"/>
      <c r="D2090" s="451"/>
      <c r="E2090" s="468"/>
      <c r="F2090" s="468"/>
    </row>
    <row r="2091" spans="1:6" ht="12.75" x14ac:dyDescent="0.2">
      <c r="A2091" s="451"/>
      <c r="B2091" s="451"/>
      <c r="C2091" s="451"/>
      <c r="D2091" s="451"/>
      <c r="E2091" s="468"/>
      <c r="F2091" s="468"/>
    </row>
    <row r="2092" spans="1:6" ht="12.75" x14ac:dyDescent="0.2">
      <c r="A2092" s="451"/>
      <c r="B2092" s="451"/>
      <c r="C2092" s="451"/>
      <c r="D2092" s="451"/>
      <c r="E2092" s="468"/>
      <c r="F2092" s="468"/>
    </row>
    <row r="2093" spans="1:6" ht="12.75" x14ac:dyDescent="0.2">
      <c r="A2093" s="451"/>
      <c r="B2093" s="451"/>
      <c r="C2093" s="451"/>
      <c r="D2093" s="451"/>
      <c r="E2093" s="468"/>
      <c r="F2093" s="468"/>
    </row>
    <row r="2094" spans="1:6" ht="12.75" x14ac:dyDescent="0.2">
      <c r="A2094" s="451"/>
      <c r="B2094" s="451"/>
      <c r="C2094" s="451"/>
      <c r="D2094" s="451"/>
      <c r="E2094" s="468"/>
      <c r="F2094" s="468"/>
    </row>
    <row r="2095" spans="1:6" ht="12.75" x14ac:dyDescent="0.2">
      <c r="A2095" s="451"/>
      <c r="B2095" s="451"/>
      <c r="C2095" s="451"/>
      <c r="D2095" s="451"/>
      <c r="E2095" s="468"/>
      <c r="F2095" s="468"/>
    </row>
    <row r="2096" spans="1:6" ht="12.75" x14ac:dyDescent="0.2">
      <c r="A2096" s="451"/>
      <c r="B2096" s="451"/>
      <c r="C2096" s="451"/>
      <c r="D2096" s="451"/>
      <c r="E2096" s="468"/>
      <c r="F2096" s="468"/>
    </row>
    <row r="2097" spans="1:6" ht="12.75" x14ac:dyDescent="0.2">
      <c r="A2097" s="451"/>
      <c r="B2097" s="451"/>
      <c r="C2097" s="451"/>
      <c r="D2097" s="451"/>
      <c r="E2097" s="468"/>
      <c r="F2097" s="468"/>
    </row>
    <row r="2098" spans="1:6" ht="12.75" x14ac:dyDescent="0.2">
      <c r="A2098" s="451"/>
      <c r="B2098" s="451"/>
      <c r="C2098" s="451"/>
      <c r="D2098" s="451"/>
      <c r="E2098" s="468"/>
      <c r="F2098" s="468"/>
    </row>
    <row r="2099" spans="1:6" ht="12.75" x14ac:dyDescent="0.2">
      <c r="A2099" s="451"/>
      <c r="B2099" s="451"/>
      <c r="C2099" s="451"/>
      <c r="D2099" s="451"/>
      <c r="E2099" s="468"/>
      <c r="F2099" s="468"/>
    </row>
    <row r="2100" spans="1:6" ht="12.75" x14ac:dyDescent="0.2">
      <c r="A2100" s="451"/>
      <c r="B2100" s="451"/>
      <c r="C2100" s="451"/>
      <c r="D2100" s="451"/>
      <c r="E2100" s="468"/>
      <c r="F2100" s="468"/>
    </row>
    <row r="2101" spans="1:6" ht="12.75" x14ac:dyDescent="0.2">
      <c r="A2101" s="451"/>
      <c r="B2101" s="451"/>
      <c r="C2101" s="451"/>
      <c r="D2101" s="451"/>
      <c r="E2101" s="468"/>
      <c r="F2101" s="468"/>
    </row>
    <row r="2102" spans="1:6" ht="12.75" x14ac:dyDescent="0.2">
      <c r="A2102" s="451"/>
      <c r="B2102" s="451"/>
      <c r="C2102" s="451"/>
      <c r="D2102" s="451"/>
      <c r="E2102" s="468"/>
      <c r="F2102" s="468"/>
    </row>
    <row r="2103" spans="1:6" ht="12.75" x14ac:dyDescent="0.2">
      <c r="A2103" s="451"/>
      <c r="B2103" s="451"/>
      <c r="C2103" s="451"/>
      <c r="D2103" s="451"/>
      <c r="E2103" s="468"/>
      <c r="F2103" s="468"/>
    </row>
    <row r="2104" spans="1:6" ht="12.75" x14ac:dyDescent="0.2">
      <c r="A2104" s="451"/>
      <c r="B2104" s="451"/>
      <c r="C2104" s="451"/>
      <c r="D2104" s="451"/>
      <c r="E2104" s="468"/>
      <c r="F2104" s="468"/>
    </row>
    <row r="2105" spans="1:6" ht="12.75" x14ac:dyDescent="0.2">
      <c r="A2105" s="451"/>
      <c r="B2105" s="451"/>
      <c r="C2105" s="451"/>
      <c r="D2105" s="451"/>
      <c r="E2105" s="468"/>
      <c r="F2105" s="468"/>
    </row>
    <row r="2106" spans="1:6" ht="12.75" x14ac:dyDescent="0.2">
      <c r="A2106" s="451"/>
      <c r="B2106" s="451"/>
      <c r="C2106" s="451"/>
      <c r="D2106" s="451"/>
      <c r="E2106" s="468"/>
      <c r="F2106" s="468"/>
    </row>
    <row r="2107" spans="1:6" ht="12.75" x14ac:dyDescent="0.2">
      <c r="A2107" s="451"/>
      <c r="B2107" s="451"/>
      <c r="C2107" s="451"/>
      <c r="D2107" s="451"/>
      <c r="E2107" s="468"/>
      <c r="F2107" s="468"/>
    </row>
    <row r="2108" spans="1:6" ht="12.75" x14ac:dyDescent="0.2">
      <c r="A2108" s="451"/>
      <c r="B2108" s="451"/>
      <c r="C2108" s="451"/>
      <c r="D2108" s="451"/>
      <c r="E2108" s="468"/>
      <c r="F2108" s="468"/>
    </row>
    <row r="2109" spans="1:6" ht="12.75" x14ac:dyDescent="0.2">
      <c r="A2109" s="451"/>
      <c r="B2109" s="451"/>
      <c r="C2109" s="451"/>
      <c r="D2109" s="451"/>
      <c r="E2109" s="468"/>
      <c r="F2109" s="468"/>
    </row>
    <row r="2110" spans="1:6" ht="12.75" x14ac:dyDescent="0.2">
      <c r="A2110" s="451"/>
      <c r="B2110" s="451"/>
      <c r="C2110" s="451"/>
      <c r="D2110" s="451"/>
      <c r="E2110" s="468"/>
      <c r="F2110" s="468"/>
    </row>
    <row r="2111" spans="1:6" ht="12.75" x14ac:dyDescent="0.2">
      <c r="A2111" s="451"/>
      <c r="B2111" s="451"/>
      <c r="C2111" s="451"/>
      <c r="D2111" s="451"/>
      <c r="E2111" s="468"/>
      <c r="F2111" s="468"/>
    </row>
    <row r="2112" spans="1:6" ht="12.75" x14ac:dyDescent="0.2">
      <c r="A2112" s="451"/>
      <c r="B2112" s="451"/>
      <c r="C2112" s="451"/>
      <c r="D2112" s="451"/>
      <c r="E2112" s="468"/>
      <c r="F2112" s="468"/>
    </row>
    <row r="2113" spans="1:6" ht="12.75" x14ac:dyDescent="0.2">
      <c r="A2113" s="451"/>
      <c r="B2113" s="451"/>
      <c r="C2113" s="451"/>
      <c r="D2113" s="451"/>
      <c r="E2113" s="468"/>
      <c r="F2113" s="468"/>
    </row>
    <row r="2114" spans="1:6" ht="12.75" x14ac:dyDescent="0.2">
      <c r="A2114" s="451"/>
      <c r="B2114" s="451"/>
      <c r="C2114" s="451"/>
      <c r="D2114" s="451"/>
      <c r="E2114" s="468"/>
      <c r="F2114" s="468"/>
    </row>
    <row r="2115" spans="1:6" ht="12.75" x14ac:dyDescent="0.2">
      <c r="A2115" s="451"/>
      <c r="B2115" s="451"/>
      <c r="C2115" s="451"/>
      <c r="D2115" s="451"/>
      <c r="E2115" s="468"/>
      <c r="F2115" s="468"/>
    </row>
    <row r="2116" spans="1:6" ht="12.75" x14ac:dyDescent="0.2">
      <c r="A2116" s="451"/>
      <c r="B2116" s="451"/>
      <c r="C2116" s="451"/>
      <c r="D2116" s="451"/>
      <c r="E2116" s="468"/>
      <c r="F2116" s="468"/>
    </row>
    <row r="2117" spans="1:6" ht="12.75" x14ac:dyDescent="0.2">
      <c r="A2117" s="451"/>
      <c r="B2117" s="451"/>
      <c r="C2117" s="451"/>
      <c r="D2117" s="451"/>
      <c r="E2117" s="468"/>
      <c r="F2117" s="468"/>
    </row>
    <row r="2118" spans="1:6" ht="12.75" x14ac:dyDescent="0.2">
      <c r="A2118" s="451"/>
      <c r="B2118" s="451"/>
      <c r="C2118" s="451"/>
      <c r="D2118" s="451"/>
      <c r="E2118" s="468"/>
      <c r="F2118" s="468"/>
    </row>
    <row r="2119" spans="1:6" ht="12.75" x14ac:dyDescent="0.2">
      <c r="A2119" s="451"/>
      <c r="B2119" s="451"/>
      <c r="C2119" s="451"/>
      <c r="D2119" s="451"/>
      <c r="E2119" s="468"/>
      <c r="F2119" s="468"/>
    </row>
    <row r="2120" spans="1:6" ht="12.75" x14ac:dyDescent="0.2">
      <c r="A2120" s="451"/>
      <c r="B2120" s="451"/>
      <c r="C2120" s="451"/>
      <c r="D2120" s="451"/>
      <c r="E2120" s="468"/>
      <c r="F2120" s="468"/>
    </row>
    <row r="2121" spans="1:6" ht="12.75" x14ac:dyDescent="0.2">
      <c r="A2121" s="451"/>
      <c r="B2121" s="451"/>
      <c r="C2121" s="451"/>
      <c r="D2121" s="451"/>
      <c r="E2121" s="468"/>
      <c r="F2121" s="468"/>
    </row>
    <row r="2122" spans="1:6" ht="12.75" x14ac:dyDescent="0.2">
      <c r="A2122" s="451"/>
      <c r="B2122" s="451"/>
      <c r="C2122" s="451"/>
      <c r="D2122" s="451"/>
      <c r="E2122" s="468"/>
      <c r="F2122" s="468"/>
    </row>
    <row r="2123" spans="1:6" ht="12.75" x14ac:dyDescent="0.2">
      <c r="A2123" s="451"/>
      <c r="B2123" s="451"/>
      <c r="C2123" s="451"/>
      <c r="D2123" s="451"/>
      <c r="E2123" s="468"/>
      <c r="F2123" s="468"/>
    </row>
    <row r="2124" spans="1:6" ht="12.75" x14ac:dyDescent="0.2">
      <c r="A2124" s="451"/>
      <c r="B2124" s="451"/>
      <c r="C2124" s="451"/>
      <c r="D2124" s="451"/>
      <c r="E2124" s="468"/>
      <c r="F2124" s="468"/>
    </row>
    <row r="2125" spans="1:6" ht="12.75" x14ac:dyDescent="0.2">
      <c r="A2125" s="451"/>
      <c r="B2125" s="451"/>
      <c r="C2125" s="451"/>
      <c r="D2125" s="451"/>
      <c r="E2125" s="468"/>
      <c r="F2125" s="468"/>
    </row>
    <row r="2126" spans="1:6" ht="12.75" x14ac:dyDescent="0.2">
      <c r="A2126" s="451"/>
      <c r="B2126" s="451"/>
      <c r="C2126" s="451"/>
      <c r="D2126" s="451"/>
      <c r="E2126" s="468"/>
      <c r="F2126" s="468"/>
    </row>
    <row r="2127" spans="1:6" ht="12.75" x14ac:dyDescent="0.2">
      <c r="A2127" s="451"/>
      <c r="B2127" s="451"/>
      <c r="C2127" s="451"/>
      <c r="D2127" s="451"/>
      <c r="E2127" s="468"/>
      <c r="F2127" s="468"/>
    </row>
    <row r="2128" spans="1:6" ht="12.75" x14ac:dyDescent="0.2">
      <c r="A2128" s="451"/>
      <c r="B2128" s="451"/>
      <c r="C2128" s="451"/>
      <c r="D2128" s="451"/>
      <c r="E2128" s="468"/>
      <c r="F2128" s="468"/>
    </row>
    <row r="2129" spans="1:6" ht="12.75" x14ac:dyDescent="0.2">
      <c r="A2129" s="451"/>
      <c r="B2129" s="451"/>
      <c r="C2129" s="451"/>
      <c r="D2129" s="451"/>
      <c r="E2129" s="468"/>
      <c r="F2129" s="468"/>
    </row>
    <row r="2130" spans="1:6" ht="12.75" x14ac:dyDescent="0.2">
      <c r="A2130" s="451"/>
      <c r="B2130" s="451"/>
      <c r="C2130" s="451"/>
      <c r="D2130" s="451"/>
      <c r="E2130" s="468"/>
      <c r="F2130" s="468"/>
    </row>
    <row r="2131" spans="1:6" ht="12.75" x14ac:dyDescent="0.2">
      <c r="A2131" s="451"/>
      <c r="B2131" s="451"/>
      <c r="C2131" s="451"/>
      <c r="D2131" s="451"/>
      <c r="E2131" s="468"/>
      <c r="F2131" s="468"/>
    </row>
    <row r="2132" spans="1:6" ht="12.75" x14ac:dyDescent="0.2">
      <c r="A2132" s="451"/>
      <c r="B2132" s="451"/>
      <c r="C2132" s="451"/>
      <c r="D2132" s="451"/>
      <c r="E2132" s="468"/>
      <c r="F2132" s="468"/>
    </row>
    <row r="2133" spans="1:6" ht="12.75" x14ac:dyDescent="0.2">
      <c r="A2133" s="451"/>
      <c r="B2133" s="451"/>
      <c r="C2133" s="451"/>
      <c r="D2133" s="451"/>
      <c r="E2133" s="468"/>
      <c r="F2133" s="468"/>
    </row>
    <row r="2134" spans="1:6" ht="12.75" x14ac:dyDescent="0.2">
      <c r="A2134" s="451"/>
      <c r="B2134" s="451"/>
      <c r="C2134" s="451"/>
      <c r="D2134" s="451"/>
      <c r="E2134" s="468"/>
      <c r="F2134" s="468"/>
    </row>
    <row r="2135" spans="1:6" ht="12.75" x14ac:dyDescent="0.2">
      <c r="A2135" s="451"/>
      <c r="B2135" s="451"/>
      <c r="C2135" s="451"/>
      <c r="D2135" s="451"/>
      <c r="E2135" s="468"/>
      <c r="F2135" s="468"/>
    </row>
    <row r="2136" spans="1:6" ht="12.75" x14ac:dyDescent="0.2">
      <c r="A2136" s="451"/>
      <c r="B2136" s="451"/>
      <c r="C2136" s="451"/>
      <c r="D2136" s="451"/>
      <c r="E2136" s="468"/>
      <c r="F2136" s="468"/>
    </row>
    <row r="2137" spans="1:6" ht="12.75" x14ac:dyDescent="0.2">
      <c r="A2137" s="451"/>
      <c r="B2137" s="451"/>
      <c r="C2137" s="451"/>
      <c r="D2137" s="451"/>
      <c r="E2137" s="468"/>
      <c r="F2137" s="468"/>
    </row>
    <row r="2138" spans="1:6" ht="12.75" x14ac:dyDescent="0.2">
      <c r="A2138" s="451"/>
      <c r="B2138" s="451"/>
      <c r="C2138" s="451"/>
      <c r="D2138" s="451"/>
      <c r="E2138" s="468"/>
      <c r="F2138" s="468"/>
    </row>
    <row r="2139" spans="1:6" ht="12.75" x14ac:dyDescent="0.2">
      <c r="A2139" s="451"/>
      <c r="B2139" s="451"/>
      <c r="C2139" s="451"/>
      <c r="D2139" s="451"/>
      <c r="E2139" s="468"/>
      <c r="F2139" s="468"/>
    </row>
    <row r="2140" spans="1:6" ht="12.75" x14ac:dyDescent="0.2">
      <c r="A2140" s="451"/>
      <c r="B2140" s="451"/>
      <c r="C2140" s="451"/>
      <c r="D2140" s="451"/>
      <c r="E2140" s="468"/>
      <c r="F2140" s="468"/>
    </row>
    <row r="2141" spans="1:6" ht="12.75" x14ac:dyDescent="0.2">
      <c r="A2141" s="451"/>
      <c r="B2141" s="451"/>
      <c r="C2141" s="451"/>
      <c r="D2141" s="451"/>
      <c r="E2141" s="468"/>
      <c r="F2141" s="468"/>
    </row>
    <row r="2142" spans="1:6" ht="12.75" x14ac:dyDescent="0.2">
      <c r="A2142" s="451"/>
      <c r="B2142" s="451"/>
      <c r="C2142" s="451"/>
      <c r="D2142" s="451"/>
      <c r="E2142" s="468"/>
      <c r="F2142" s="468"/>
    </row>
    <row r="2143" spans="1:6" ht="12.75" x14ac:dyDescent="0.2">
      <c r="A2143" s="451"/>
      <c r="B2143" s="451"/>
      <c r="C2143" s="451"/>
      <c r="D2143" s="451"/>
      <c r="E2143" s="468"/>
      <c r="F2143" s="468"/>
    </row>
    <row r="2144" spans="1:6" ht="12.75" x14ac:dyDescent="0.2">
      <c r="A2144" s="451"/>
      <c r="B2144" s="451"/>
      <c r="C2144" s="451"/>
      <c r="D2144" s="451"/>
      <c r="E2144" s="468"/>
      <c r="F2144" s="468"/>
    </row>
    <row r="2145" spans="1:6" ht="12.75" x14ac:dyDescent="0.2">
      <c r="A2145" s="451"/>
      <c r="B2145" s="451"/>
      <c r="C2145" s="451"/>
      <c r="D2145" s="451"/>
      <c r="E2145" s="468"/>
      <c r="F2145" s="468"/>
    </row>
    <row r="2146" spans="1:6" ht="12.75" x14ac:dyDescent="0.2">
      <c r="A2146" s="451"/>
      <c r="B2146" s="451"/>
      <c r="C2146" s="451"/>
      <c r="D2146" s="451"/>
      <c r="E2146" s="468"/>
      <c r="F2146" s="468"/>
    </row>
    <row r="2147" spans="1:6" ht="12.75" x14ac:dyDescent="0.2">
      <c r="A2147" s="451"/>
      <c r="B2147" s="451"/>
      <c r="C2147" s="451"/>
      <c r="D2147" s="451"/>
      <c r="E2147" s="468"/>
      <c r="F2147" s="468"/>
    </row>
    <row r="2148" spans="1:6" ht="12.75" x14ac:dyDescent="0.2">
      <c r="A2148" s="451"/>
      <c r="B2148" s="451"/>
      <c r="C2148" s="451"/>
      <c r="D2148" s="451"/>
      <c r="E2148" s="468"/>
      <c r="F2148" s="468"/>
    </row>
    <row r="2149" spans="1:6" ht="12.75" x14ac:dyDescent="0.2">
      <c r="A2149" s="451"/>
      <c r="B2149" s="451"/>
      <c r="C2149" s="451"/>
      <c r="D2149" s="451"/>
      <c r="E2149" s="468"/>
      <c r="F2149" s="468"/>
    </row>
    <row r="2150" spans="1:6" ht="12.75" x14ac:dyDescent="0.2">
      <c r="A2150" s="451"/>
      <c r="B2150" s="451"/>
      <c r="C2150" s="451"/>
      <c r="D2150" s="451"/>
      <c r="E2150" s="468"/>
      <c r="F2150" s="468"/>
    </row>
    <row r="2151" spans="1:6" ht="12.75" x14ac:dyDescent="0.2">
      <c r="A2151" s="451"/>
      <c r="B2151" s="451"/>
      <c r="C2151" s="451"/>
      <c r="D2151" s="451"/>
      <c r="E2151" s="468"/>
      <c r="F2151" s="468"/>
    </row>
    <row r="2152" spans="1:6" ht="12.75" x14ac:dyDescent="0.2">
      <c r="A2152" s="451"/>
      <c r="B2152" s="451"/>
      <c r="C2152" s="451"/>
      <c r="D2152" s="451"/>
      <c r="E2152" s="468"/>
      <c r="F2152" s="468"/>
    </row>
    <row r="2153" spans="1:6" ht="12.75" x14ac:dyDescent="0.2">
      <c r="A2153" s="451"/>
      <c r="B2153" s="451"/>
      <c r="C2153" s="451"/>
      <c r="D2153" s="451"/>
      <c r="E2153" s="468"/>
      <c r="F2153" s="468"/>
    </row>
    <row r="2154" spans="1:6" ht="12.75" x14ac:dyDescent="0.2">
      <c r="A2154" s="451"/>
      <c r="B2154" s="451"/>
      <c r="C2154" s="451"/>
      <c r="D2154" s="451"/>
      <c r="E2154" s="468"/>
      <c r="F2154" s="468"/>
    </row>
    <row r="2155" spans="1:6" ht="12.75" x14ac:dyDescent="0.2">
      <c r="A2155" s="451"/>
      <c r="B2155" s="451"/>
      <c r="C2155" s="451"/>
      <c r="D2155" s="451"/>
      <c r="E2155" s="468"/>
      <c r="F2155" s="468"/>
    </row>
    <row r="2156" spans="1:6" ht="12.75" x14ac:dyDescent="0.2">
      <c r="A2156" s="451"/>
      <c r="B2156" s="451"/>
      <c r="C2156" s="451"/>
      <c r="D2156" s="451"/>
      <c r="E2156" s="468"/>
      <c r="F2156" s="468"/>
    </row>
    <row r="2157" spans="1:6" ht="12.75" x14ac:dyDescent="0.2">
      <c r="A2157" s="451"/>
      <c r="B2157" s="451"/>
      <c r="C2157" s="451"/>
      <c r="D2157" s="451"/>
      <c r="E2157" s="468"/>
      <c r="F2157" s="468"/>
    </row>
    <row r="2158" spans="1:6" ht="12.75" x14ac:dyDescent="0.2">
      <c r="A2158" s="451"/>
      <c r="B2158" s="451"/>
      <c r="C2158" s="451"/>
      <c r="D2158" s="451"/>
      <c r="E2158" s="468"/>
      <c r="F2158" s="468"/>
    </row>
    <row r="2159" spans="1:6" ht="12.75" x14ac:dyDescent="0.2">
      <c r="A2159" s="451"/>
      <c r="B2159" s="451"/>
      <c r="C2159" s="451"/>
      <c r="D2159" s="451"/>
      <c r="E2159" s="468"/>
      <c r="F2159" s="468"/>
    </row>
    <row r="2160" spans="1:6" ht="12.75" x14ac:dyDescent="0.2">
      <c r="A2160" s="451"/>
      <c r="B2160" s="451"/>
      <c r="C2160" s="451"/>
      <c r="D2160" s="451"/>
      <c r="E2160" s="468"/>
      <c r="F2160" s="468"/>
    </row>
    <row r="2161" spans="1:6" ht="12.75" x14ac:dyDescent="0.2">
      <c r="A2161" s="451"/>
      <c r="B2161" s="451"/>
      <c r="C2161" s="451"/>
      <c r="D2161" s="451"/>
      <c r="E2161" s="468"/>
      <c r="F2161" s="468"/>
    </row>
    <row r="2162" spans="1:6" ht="12.75" x14ac:dyDescent="0.2">
      <c r="A2162" s="451"/>
      <c r="B2162" s="451"/>
      <c r="C2162" s="451"/>
      <c r="D2162" s="451"/>
      <c r="E2162" s="468"/>
      <c r="F2162" s="468"/>
    </row>
    <row r="2163" spans="1:6" ht="12.75" x14ac:dyDescent="0.2">
      <c r="A2163" s="451"/>
      <c r="B2163" s="451"/>
      <c r="C2163" s="451"/>
      <c r="D2163" s="451"/>
      <c r="E2163" s="468"/>
      <c r="F2163" s="468"/>
    </row>
    <row r="2164" spans="1:6" ht="12.75" x14ac:dyDescent="0.2">
      <c r="A2164" s="451"/>
      <c r="B2164" s="451"/>
      <c r="C2164" s="451"/>
      <c r="D2164" s="451"/>
      <c r="E2164" s="468"/>
      <c r="F2164" s="468"/>
    </row>
    <row r="2165" spans="1:6" ht="12.75" x14ac:dyDescent="0.2">
      <c r="A2165" s="451"/>
      <c r="B2165" s="451"/>
      <c r="C2165" s="451"/>
      <c r="D2165" s="451"/>
      <c r="E2165" s="468"/>
      <c r="F2165" s="468"/>
    </row>
    <row r="2166" spans="1:6" ht="12.75" x14ac:dyDescent="0.2">
      <c r="A2166" s="451"/>
      <c r="B2166" s="451"/>
      <c r="C2166" s="451"/>
      <c r="D2166" s="451"/>
      <c r="E2166" s="468"/>
      <c r="F2166" s="468"/>
    </row>
    <row r="2167" spans="1:6" ht="12.75" x14ac:dyDescent="0.2">
      <c r="A2167" s="451"/>
      <c r="B2167" s="451"/>
      <c r="C2167" s="451"/>
      <c r="D2167" s="451"/>
      <c r="E2167" s="468"/>
      <c r="F2167" s="468"/>
    </row>
    <row r="2168" spans="1:6" ht="12.75" x14ac:dyDescent="0.2">
      <c r="A2168" s="451"/>
      <c r="B2168" s="451"/>
      <c r="C2168" s="451"/>
      <c r="D2168" s="451"/>
      <c r="E2168" s="468"/>
      <c r="F2168" s="468"/>
    </row>
    <row r="2169" spans="1:6" ht="12.75" x14ac:dyDescent="0.2">
      <c r="A2169" s="451"/>
      <c r="B2169" s="451"/>
      <c r="C2169" s="451"/>
      <c r="D2169" s="451"/>
      <c r="E2169" s="468"/>
      <c r="F2169" s="468"/>
    </row>
    <row r="2170" spans="1:6" ht="12.75" x14ac:dyDescent="0.2">
      <c r="A2170" s="451"/>
      <c r="B2170" s="451"/>
      <c r="C2170" s="451"/>
      <c r="D2170" s="451"/>
      <c r="E2170" s="468"/>
      <c r="F2170" s="468"/>
    </row>
    <row r="2171" spans="1:6" ht="12.75" x14ac:dyDescent="0.2">
      <c r="A2171" s="451"/>
      <c r="B2171" s="451"/>
      <c r="C2171" s="451"/>
      <c r="D2171" s="451"/>
      <c r="E2171" s="468"/>
      <c r="F2171" s="468"/>
    </row>
    <row r="2172" spans="1:6" ht="12.75" x14ac:dyDescent="0.2">
      <c r="A2172" s="451"/>
      <c r="B2172" s="451"/>
      <c r="C2172" s="451"/>
      <c r="D2172" s="451"/>
      <c r="E2172" s="468"/>
      <c r="F2172" s="468"/>
    </row>
    <row r="2173" spans="1:6" ht="12.75" x14ac:dyDescent="0.2">
      <c r="A2173" s="451"/>
      <c r="B2173" s="451"/>
      <c r="C2173" s="451"/>
      <c r="D2173" s="451"/>
      <c r="E2173" s="468"/>
      <c r="F2173" s="468"/>
    </row>
    <row r="2174" spans="1:6" ht="12.75" x14ac:dyDescent="0.2">
      <c r="A2174" s="451"/>
      <c r="B2174" s="451"/>
      <c r="C2174" s="451"/>
      <c r="D2174" s="451"/>
      <c r="E2174" s="468"/>
      <c r="F2174" s="468"/>
    </row>
    <row r="2175" spans="1:6" ht="12.75" x14ac:dyDescent="0.2">
      <c r="A2175" s="451"/>
      <c r="B2175" s="451"/>
      <c r="C2175" s="451"/>
      <c r="D2175" s="451"/>
      <c r="E2175" s="468"/>
      <c r="F2175" s="468"/>
    </row>
    <row r="2176" spans="1:6" ht="12.75" x14ac:dyDescent="0.2">
      <c r="A2176" s="451"/>
      <c r="B2176" s="451"/>
      <c r="C2176" s="451"/>
      <c r="D2176" s="451"/>
      <c r="E2176" s="468"/>
      <c r="F2176" s="468"/>
    </row>
    <row r="2177" spans="1:6" ht="12.75" x14ac:dyDescent="0.2">
      <c r="A2177" s="451"/>
      <c r="B2177" s="451"/>
      <c r="C2177" s="451"/>
      <c r="D2177" s="451"/>
      <c r="E2177" s="468"/>
      <c r="F2177" s="468"/>
    </row>
    <row r="2178" spans="1:6" ht="12.75" x14ac:dyDescent="0.2">
      <c r="A2178" s="451"/>
      <c r="B2178" s="451"/>
      <c r="C2178" s="451"/>
      <c r="D2178" s="451"/>
      <c r="E2178" s="468"/>
      <c r="F2178" s="468"/>
    </row>
    <row r="2179" spans="1:6" ht="12.75" x14ac:dyDescent="0.2">
      <c r="A2179" s="451"/>
      <c r="B2179" s="451"/>
      <c r="C2179" s="451"/>
      <c r="D2179" s="451"/>
      <c r="E2179" s="468"/>
      <c r="F2179" s="468"/>
    </row>
    <row r="2180" spans="1:6" ht="12.75" x14ac:dyDescent="0.2">
      <c r="A2180" s="451"/>
      <c r="B2180" s="451"/>
      <c r="C2180" s="451"/>
      <c r="D2180" s="451"/>
      <c r="E2180" s="468"/>
      <c r="F2180" s="468"/>
    </row>
    <row r="2181" spans="1:6" ht="12.75" x14ac:dyDescent="0.2">
      <c r="A2181" s="451"/>
      <c r="B2181" s="451"/>
      <c r="C2181" s="451"/>
      <c r="D2181" s="451"/>
      <c r="E2181" s="468"/>
      <c r="F2181" s="468"/>
    </row>
    <row r="2182" spans="1:6" ht="12.75" x14ac:dyDescent="0.2">
      <c r="A2182" s="451"/>
      <c r="B2182" s="451"/>
      <c r="C2182" s="451"/>
      <c r="D2182" s="451"/>
      <c r="E2182" s="468"/>
      <c r="F2182" s="468"/>
    </row>
    <row r="2183" spans="1:6" ht="12.75" x14ac:dyDescent="0.2">
      <c r="A2183" s="451"/>
      <c r="B2183" s="451"/>
      <c r="C2183" s="451"/>
      <c r="D2183" s="451"/>
      <c r="E2183" s="468"/>
      <c r="F2183" s="468"/>
    </row>
    <row r="2184" spans="1:6" ht="12.75" x14ac:dyDescent="0.2">
      <c r="A2184" s="451"/>
      <c r="B2184" s="451"/>
      <c r="C2184" s="451"/>
      <c r="D2184" s="451"/>
      <c r="E2184" s="468"/>
      <c r="F2184" s="468"/>
    </row>
    <row r="2185" spans="1:6" ht="12.75" x14ac:dyDescent="0.2">
      <c r="A2185" s="451"/>
      <c r="B2185" s="451"/>
      <c r="C2185" s="451"/>
      <c r="D2185" s="451"/>
      <c r="E2185" s="468"/>
      <c r="F2185" s="468"/>
    </row>
    <row r="2186" spans="1:6" ht="12.75" x14ac:dyDescent="0.2">
      <c r="A2186" s="451"/>
      <c r="B2186" s="451"/>
      <c r="C2186" s="451"/>
      <c r="D2186" s="451"/>
      <c r="E2186" s="468"/>
      <c r="F2186" s="468"/>
    </row>
    <row r="2187" spans="1:6" ht="12.75" x14ac:dyDescent="0.2">
      <c r="A2187" s="451"/>
      <c r="B2187" s="451"/>
      <c r="C2187" s="451"/>
      <c r="D2187" s="451"/>
      <c r="E2187" s="468"/>
      <c r="F2187" s="468"/>
    </row>
    <row r="2188" spans="1:6" ht="12.75" x14ac:dyDescent="0.2">
      <c r="A2188" s="451"/>
      <c r="B2188" s="451"/>
      <c r="C2188" s="451"/>
      <c r="D2188" s="451"/>
      <c r="E2188" s="468"/>
      <c r="F2188" s="468"/>
    </row>
    <row r="2189" spans="1:6" ht="12.75" x14ac:dyDescent="0.2">
      <c r="A2189" s="451"/>
      <c r="B2189" s="451"/>
      <c r="C2189" s="451"/>
      <c r="D2189" s="451"/>
      <c r="E2189" s="468"/>
      <c r="F2189" s="468"/>
    </row>
    <row r="2190" spans="1:6" ht="12.75" x14ac:dyDescent="0.2">
      <c r="A2190" s="451"/>
      <c r="B2190" s="451"/>
      <c r="C2190" s="451"/>
      <c r="D2190" s="451"/>
      <c r="E2190" s="468"/>
      <c r="F2190" s="468"/>
    </row>
    <row r="2191" spans="1:6" ht="12.75" x14ac:dyDescent="0.2">
      <c r="A2191" s="451"/>
      <c r="B2191" s="451"/>
      <c r="C2191" s="451"/>
      <c r="D2191" s="451"/>
      <c r="E2191" s="468"/>
      <c r="F2191" s="468"/>
    </row>
    <row r="2192" spans="1:6" ht="12.75" x14ac:dyDescent="0.2">
      <c r="A2192" s="451"/>
      <c r="B2192" s="451"/>
      <c r="C2192" s="451"/>
      <c r="D2192" s="451"/>
      <c r="E2192" s="468"/>
      <c r="F2192" s="468"/>
    </row>
    <row r="2193" spans="1:6" ht="12.75" x14ac:dyDescent="0.2">
      <c r="A2193" s="451"/>
      <c r="B2193" s="451"/>
      <c r="C2193" s="451"/>
      <c r="D2193" s="451"/>
      <c r="E2193" s="468"/>
      <c r="F2193" s="468"/>
    </row>
    <row r="2194" spans="1:6" ht="12.75" x14ac:dyDescent="0.2">
      <c r="A2194" s="451"/>
      <c r="B2194" s="451"/>
      <c r="C2194" s="451"/>
      <c r="D2194" s="451"/>
      <c r="E2194" s="468"/>
      <c r="F2194" s="468"/>
    </row>
    <row r="2195" spans="1:6" ht="12.75" x14ac:dyDescent="0.2">
      <c r="A2195" s="451"/>
      <c r="B2195" s="451"/>
      <c r="C2195" s="451"/>
      <c r="D2195" s="451"/>
      <c r="E2195" s="468"/>
      <c r="F2195" s="468"/>
    </row>
    <row r="2196" spans="1:6" ht="12.75" x14ac:dyDescent="0.2">
      <c r="A2196" s="451"/>
      <c r="B2196" s="451"/>
      <c r="C2196" s="451"/>
      <c r="D2196" s="451"/>
      <c r="E2196" s="468"/>
      <c r="F2196" s="468"/>
    </row>
    <row r="2197" spans="1:6" ht="12.75" x14ac:dyDescent="0.2">
      <c r="A2197" s="451"/>
      <c r="B2197" s="451"/>
      <c r="C2197" s="451"/>
      <c r="D2197" s="451"/>
      <c r="E2197" s="468"/>
      <c r="F2197" s="468"/>
    </row>
    <row r="2198" spans="1:6" ht="12.75" x14ac:dyDescent="0.2">
      <c r="A2198" s="451"/>
      <c r="B2198" s="451"/>
      <c r="C2198" s="451"/>
      <c r="D2198" s="451"/>
      <c r="E2198" s="468"/>
      <c r="F2198" s="468"/>
    </row>
    <row r="2199" spans="1:6" ht="12.75" x14ac:dyDescent="0.2">
      <c r="A2199" s="451"/>
      <c r="B2199" s="451"/>
      <c r="C2199" s="451"/>
      <c r="D2199" s="451"/>
      <c r="E2199" s="468"/>
      <c r="F2199" s="468"/>
    </row>
    <row r="2200" spans="1:6" ht="12.75" x14ac:dyDescent="0.2">
      <c r="A2200" s="451"/>
      <c r="B2200" s="451"/>
      <c r="C2200" s="451"/>
      <c r="D2200" s="451"/>
      <c r="E2200" s="468"/>
      <c r="F2200" s="468"/>
    </row>
    <row r="2201" spans="1:6" ht="12.75" x14ac:dyDescent="0.2">
      <c r="A2201" s="451"/>
      <c r="B2201" s="451"/>
      <c r="C2201" s="451"/>
      <c r="D2201" s="451"/>
      <c r="E2201" s="468"/>
      <c r="F2201" s="468"/>
    </row>
    <row r="2202" spans="1:6" ht="12.75" x14ac:dyDescent="0.2">
      <c r="A2202" s="451"/>
      <c r="B2202" s="451"/>
      <c r="C2202" s="451"/>
      <c r="D2202" s="451"/>
      <c r="E2202" s="468"/>
      <c r="F2202" s="468"/>
    </row>
    <row r="2203" spans="1:6" ht="12.75" x14ac:dyDescent="0.2">
      <c r="A2203" s="451"/>
      <c r="B2203" s="451"/>
      <c r="C2203" s="451"/>
      <c r="D2203" s="451"/>
      <c r="E2203" s="468"/>
      <c r="F2203" s="468"/>
    </row>
    <row r="2204" spans="1:6" ht="12.75" x14ac:dyDescent="0.2">
      <c r="A2204" s="451"/>
      <c r="B2204" s="451"/>
      <c r="C2204" s="451"/>
      <c r="D2204" s="451"/>
      <c r="E2204" s="468"/>
      <c r="F2204" s="468"/>
    </row>
    <row r="2205" spans="1:6" ht="12.75" x14ac:dyDescent="0.2">
      <c r="A2205" s="451"/>
      <c r="B2205" s="451"/>
      <c r="C2205" s="451"/>
      <c r="D2205" s="451"/>
      <c r="E2205" s="468"/>
      <c r="F2205" s="468"/>
    </row>
    <row r="2206" spans="1:6" ht="12.75" x14ac:dyDescent="0.2">
      <c r="A2206" s="451"/>
      <c r="B2206" s="451"/>
      <c r="C2206" s="451"/>
      <c r="D2206" s="451"/>
      <c r="E2206" s="468"/>
      <c r="F2206" s="468"/>
    </row>
    <row r="2207" spans="1:6" ht="12.75" x14ac:dyDescent="0.2">
      <c r="A2207" s="451"/>
      <c r="B2207" s="451"/>
      <c r="C2207" s="451"/>
      <c r="D2207" s="451"/>
      <c r="E2207" s="468"/>
      <c r="F2207" s="468"/>
    </row>
    <row r="2208" spans="1:6" ht="12.75" x14ac:dyDescent="0.2">
      <c r="A2208" s="451"/>
      <c r="B2208" s="451"/>
      <c r="C2208" s="451"/>
      <c r="D2208" s="451"/>
      <c r="E2208" s="468"/>
      <c r="F2208" s="468"/>
    </row>
    <row r="2209" spans="1:6" ht="12.75" x14ac:dyDescent="0.2">
      <c r="A2209" s="451"/>
      <c r="B2209" s="451"/>
      <c r="C2209" s="451"/>
      <c r="D2209" s="451"/>
      <c r="E2209" s="468"/>
      <c r="F2209" s="468"/>
    </row>
    <row r="2210" spans="1:6" ht="12.75" x14ac:dyDescent="0.2">
      <c r="A2210" s="451"/>
      <c r="B2210" s="451"/>
      <c r="C2210" s="451"/>
      <c r="D2210" s="451"/>
      <c r="E2210" s="468"/>
      <c r="F2210" s="468"/>
    </row>
    <row r="2211" spans="1:6" ht="12.75" x14ac:dyDescent="0.2">
      <c r="A2211" s="451"/>
      <c r="B2211" s="451"/>
      <c r="C2211" s="451"/>
      <c r="D2211" s="451"/>
      <c r="E2211" s="468"/>
      <c r="F2211" s="468"/>
    </row>
    <row r="2212" spans="1:6" ht="12.75" x14ac:dyDescent="0.2">
      <c r="A2212" s="451"/>
      <c r="B2212" s="451"/>
      <c r="C2212" s="451"/>
      <c r="D2212" s="451"/>
      <c r="E2212" s="468"/>
      <c r="F2212" s="468"/>
    </row>
    <row r="2213" spans="1:6" ht="12.75" x14ac:dyDescent="0.2">
      <c r="A2213" s="451"/>
      <c r="B2213" s="451"/>
      <c r="C2213" s="451"/>
      <c r="D2213" s="451"/>
      <c r="E2213" s="468"/>
      <c r="F2213" s="468"/>
    </row>
    <row r="2214" spans="1:6" ht="12.75" x14ac:dyDescent="0.2">
      <c r="A2214" s="451"/>
      <c r="B2214" s="451"/>
      <c r="C2214" s="451"/>
      <c r="D2214" s="451"/>
      <c r="E2214" s="468"/>
      <c r="F2214" s="468"/>
    </row>
    <row r="2215" spans="1:6" ht="12.75" x14ac:dyDescent="0.2">
      <c r="A2215" s="451"/>
      <c r="B2215" s="451"/>
      <c r="C2215" s="451"/>
      <c r="D2215" s="451"/>
      <c r="E2215" s="468"/>
      <c r="F2215" s="468"/>
    </row>
    <row r="2216" spans="1:6" ht="12.75" x14ac:dyDescent="0.2">
      <c r="A2216" s="451"/>
      <c r="B2216" s="451"/>
      <c r="C2216" s="451"/>
      <c r="D2216" s="451"/>
      <c r="E2216" s="468"/>
      <c r="F2216" s="468"/>
    </row>
    <row r="2217" spans="1:6" ht="12.75" x14ac:dyDescent="0.2">
      <c r="A2217" s="451"/>
      <c r="B2217" s="451"/>
      <c r="C2217" s="451"/>
      <c r="D2217" s="451"/>
      <c r="E2217" s="468"/>
      <c r="F2217" s="468"/>
    </row>
    <row r="2218" spans="1:6" ht="12.75" x14ac:dyDescent="0.2">
      <c r="A2218" s="451"/>
      <c r="B2218" s="451"/>
      <c r="C2218" s="451"/>
      <c r="D2218" s="451"/>
      <c r="E2218" s="468"/>
      <c r="F2218" s="468"/>
    </row>
    <row r="2219" spans="1:6" ht="12.75" x14ac:dyDescent="0.2">
      <c r="A2219" s="451"/>
      <c r="B2219" s="451"/>
      <c r="C2219" s="451"/>
      <c r="D2219" s="451"/>
      <c r="E2219" s="468"/>
      <c r="F2219" s="468"/>
    </row>
    <row r="2220" spans="1:6" ht="12.75" x14ac:dyDescent="0.2">
      <c r="A2220" s="451"/>
      <c r="B2220" s="451"/>
      <c r="C2220" s="451"/>
      <c r="D2220" s="451"/>
      <c r="E2220" s="468"/>
      <c r="F2220" s="468"/>
    </row>
    <row r="2221" spans="1:6" ht="12.75" x14ac:dyDescent="0.2">
      <c r="A2221" s="451"/>
      <c r="B2221" s="451"/>
      <c r="C2221" s="451"/>
      <c r="D2221" s="451"/>
      <c r="E2221" s="468"/>
      <c r="F2221" s="468"/>
    </row>
    <row r="2222" spans="1:6" ht="12.75" x14ac:dyDescent="0.2">
      <c r="A2222" s="451"/>
      <c r="B2222" s="451"/>
      <c r="C2222" s="451"/>
      <c r="D2222" s="451"/>
      <c r="E2222" s="468"/>
      <c r="F2222" s="468"/>
    </row>
    <row r="2223" spans="1:6" ht="12.75" x14ac:dyDescent="0.2">
      <c r="A2223" s="451"/>
      <c r="B2223" s="451"/>
      <c r="C2223" s="451"/>
      <c r="D2223" s="451"/>
      <c r="E2223" s="468"/>
      <c r="F2223" s="468"/>
    </row>
    <row r="2224" spans="1:6" ht="12.75" x14ac:dyDescent="0.2">
      <c r="A2224" s="451"/>
      <c r="B2224" s="451"/>
      <c r="C2224" s="451"/>
      <c r="D2224" s="451"/>
      <c r="E2224" s="468"/>
      <c r="F2224" s="468"/>
    </row>
    <row r="2225" spans="1:6" ht="12.75" x14ac:dyDescent="0.2">
      <c r="A2225" s="451"/>
      <c r="B2225" s="451"/>
      <c r="C2225" s="451"/>
      <c r="D2225" s="451"/>
      <c r="E2225" s="468"/>
      <c r="F2225" s="468"/>
    </row>
    <row r="2226" spans="1:6" ht="12.75" x14ac:dyDescent="0.2">
      <c r="A2226" s="451"/>
      <c r="B2226" s="451"/>
      <c r="C2226" s="451"/>
      <c r="D2226" s="451"/>
      <c r="E2226" s="468"/>
      <c r="F2226" s="468"/>
    </row>
    <row r="2227" spans="1:6" ht="12.75" x14ac:dyDescent="0.2">
      <c r="A2227" s="451"/>
      <c r="B2227" s="451"/>
      <c r="C2227" s="451"/>
      <c r="D2227" s="451"/>
      <c r="E2227" s="468"/>
      <c r="F2227" s="468"/>
    </row>
    <row r="2228" spans="1:6" ht="12.75" x14ac:dyDescent="0.2">
      <c r="A2228" s="451"/>
      <c r="B2228" s="451"/>
      <c r="C2228" s="451"/>
      <c r="D2228" s="451"/>
      <c r="E2228" s="468"/>
      <c r="F2228" s="468"/>
    </row>
    <row r="2229" spans="1:6" ht="12.75" x14ac:dyDescent="0.2">
      <c r="A2229" s="451"/>
      <c r="B2229" s="451"/>
      <c r="C2229" s="451"/>
      <c r="D2229" s="451"/>
      <c r="E2229" s="468"/>
      <c r="F2229" s="468"/>
    </row>
    <row r="2230" spans="1:6" ht="12.75" x14ac:dyDescent="0.2">
      <c r="A2230" s="451"/>
      <c r="B2230" s="451"/>
      <c r="C2230" s="451"/>
      <c r="D2230" s="451"/>
      <c r="E2230" s="468"/>
      <c r="F2230" s="468"/>
    </row>
    <row r="2231" spans="1:6" ht="12.75" x14ac:dyDescent="0.2">
      <c r="A2231" s="451"/>
      <c r="B2231" s="451"/>
      <c r="C2231" s="451"/>
      <c r="D2231" s="451"/>
      <c r="E2231" s="468"/>
      <c r="F2231" s="468"/>
    </row>
    <row r="2232" spans="1:6" ht="12.75" x14ac:dyDescent="0.2">
      <c r="A2232" s="451"/>
      <c r="B2232" s="451"/>
      <c r="C2232" s="451"/>
      <c r="D2232" s="451"/>
      <c r="E2232" s="468"/>
      <c r="F2232" s="468"/>
    </row>
    <row r="2233" spans="1:6" ht="12.75" x14ac:dyDescent="0.2">
      <c r="A2233" s="451"/>
      <c r="B2233" s="451"/>
      <c r="C2233" s="451"/>
      <c r="D2233" s="451"/>
      <c r="E2233" s="468"/>
      <c r="F2233" s="468"/>
    </row>
    <row r="2234" spans="1:6" ht="12.75" x14ac:dyDescent="0.2">
      <c r="A2234" s="451"/>
      <c r="B2234" s="451"/>
      <c r="C2234" s="451"/>
      <c r="D2234" s="451"/>
      <c r="E2234" s="468"/>
      <c r="F2234" s="468"/>
    </row>
    <row r="2235" spans="1:6" ht="12.75" x14ac:dyDescent="0.2">
      <c r="A2235" s="451"/>
      <c r="B2235" s="451"/>
      <c r="C2235" s="451"/>
      <c r="D2235" s="451"/>
      <c r="E2235" s="468"/>
      <c r="F2235" s="468"/>
    </row>
    <row r="2236" spans="1:6" ht="12.75" x14ac:dyDescent="0.2">
      <c r="A2236" s="451"/>
      <c r="B2236" s="451"/>
      <c r="C2236" s="451"/>
      <c r="D2236" s="451"/>
      <c r="E2236" s="468"/>
      <c r="F2236" s="468"/>
    </row>
    <row r="2237" spans="1:6" ht="12.75" x14ac:dyDescent="0.2">
      <c r="A2237" s="451"/>
      <c r="B2237" s="451"/>
      <c r="C2237" s="451"/>
      <c r="D2237" s="451"/>
      <c r="E2237" s="468"/>
      <c r="F2237" s="468"/>
    </row>
    <row r="2238" spans="1:6" ht="12.75" x14ac:dyDescent="0.2">
      <c r="A2238" s="451"/>
      <c r="B2238" s="451"/>
      <c r="C2238" s="451"/>
      <c r="D2238" s="451"/>
      <c r="E2238" s="468"/>
      <c r="F2238" s="468"/>
    </row>
    <row r="2239" spans="1:6" ht="12.75" x14ac:dyDescent="0.2">
      <c r="A2239" s="451"/>
      <c r="B2239" s="451"/>
      <c r="C2239" s="451"/>
      <c r="D2239" s="451"/>
      <c r="E2239" s="468"/>
      <c r="F2239" s="468"/>
    </row>
    <row r="2240" spans="1:6" ht="12.75" x14ac:dyDescent="0.2">
      <c r="A2240" s="451"/>
      <c r="B2240" s="451"/>
      <c r="C2240" s="451"/>
      <c r="D2240" s="451"/>
      <c r="E2240" s="468"/>
      <c r="F2240" s="468"/>
    </row>
    <row r="2241" spans="1:6" ht="12.75" x14ac:dyDescent="0.2">
      <c r="A2241" s="451"/>
      <c r="B2241" s="451"/>
      <c r="C2241" s="451"/>
      <c r="D2241" s="451"/>
      <c r="E2241" s="468"/>
      <c r="F2241" s="468"/>
    </row>
    <row r="2242" spans="1:6" ht="12.75" x14ac:dyDescent="0.2">
      <c r="A2242" s="451"/>
      <c r="B2242" s="451"/>
      <c r="C2242" s="451"/>
      <c r="D2242" s="451"/>
      <c r="E2242" s="468"/>
      <c r="F2242" s="468"/>
    </row>
    <row r="2243" spans="1:6" ht="12.75" x14ac:dyDescent="0.2">
      <c r="A2243" s="451"/>
      <c r="B2243" s="451"/>
      <c r="C2243" s="451"/>
      <c r="D2243" s="451"/>
      <c r="E2243" s="468"/>
      <c r="F2243" s="468"/>
    </row>
    <row r="2244" spans="1:6" ht="12.75" x14ac:dyDescent="0.2">
      <c r="A2244" s="451"/>
      <c r="B2244" s="451"/>
      <c r="C2244" s="451"/>
      <c r="D2244" s="451"/>
      <c r="E2244" s="468"/>
      <c r="F2244" s="468"/>
    </row>
    <row r="2245" spans="1:6" ht="12.75" x14ac:dyDescent="0.2">
      <c r="A2245" s="451"/>
      <c r="B2245" s="451"/>
      <c r="C2245" s="451"/>
      <c r="D2245" s="451"/>
      <c r="E2245" s="468"/>
      <c r="F2245" s="468"/>
    </row>
    <row r="2246" spans="1:6" ht="12.75" x14ac:dyDescent="0.2">
      <c r="A2246" s="451"/>
      <c r="B2246" s="451"/>
      <c r="C2246" s="451"/>
      <c r="D2246" s="451"/>
      <c r="E2246" s="468"/>
      <c r="F2246" s="468"/>
    </row>
    <row r="2247" spans="1:6" ht="12.75" x14ac:dyDescent="0.2">
      <c r="A2247" s="451"/>
      <c r="B2247" s="451"/>
      <c r="C2247" s="451"/>
      <c r="D2247" s="451"/>
      <c r="E2247" s="468"/>
      <c r="F2247" s="468"/>
    </row>
    <row r="2248" spans="1:6" ht="12.75" x14ac:dyDescent="0.2">
      <c r="A2248" s="451"/>
      <c r="B2248" s="451"/>
      <c r="C2248" s="451"/>
      <c r="D2248" s="451"/>
      <c r="E2248" s="468"/>
      <c r="F2248" s="468"/>
    </row>
    <row r="2249" spans="1:6" ht="12.75" x14ac:dyDescent="0.2">
      <c r="A2249" s="451"/>
      <c r="B2249" s="451"/>
      <c r="C2249" s="451"/>
      <c r="D2249" s="451"/>
      <c r="E2249" s="468"/>
      <c r="F2249" s="468"/>
    </row>
    <row r="2250" spans="1:6" ht="12.75" x14ac:dyDescent="0.2">
      <c r="A2250" s="451"/>
      <c r="B2250" s="451"/>
      <c r="C2250" s="451"/>
      <c r="D2250" s="451"/>
      <c r="E2250" s="468"/>
      <c r="F2250" s="468"/>
    </row>
    <row r="2251" spans="1:6" ht="12.75" x14ac:dyDescent="0.2">
      <c r="A2251" s="451"/>
      <c r="B2251" s="451"/>
      <c r="C2251" s="451"/>
      <c r="D2251" s="451"/>
      <c r="E2251" s="468"/>
      <c r="F2251" s="468"/>
    </row>
    <row r="2252" spans="1:6" ht="12.75" x14ac:dyDescent="0.2">
      <c r="A2252" s="451"/>
      <c r="B2252" s="451"/>
      <c r="C2252" s="451"/>
      <c r="D2252" s="451"/>
      <c r="E2252" s="468"/>
      <c r="F2252" s="468"/>
    </row>
    <row r="2253" spans="1:6" ht="12.75" x14ac:dyDescent="0.2">
      <c r="A2253" s="451"/>
      <c r="B2253" s="451"/>
      <c r="C2253" s="451"/>
      <c r="D2253" s="451"/>
      <c r="E2253" s="468"/>
      <c r="F2253" s="468"/>
    </row>
    <row r="2254" spans="1:6" ht="12.75" x14ac:dyDescent="0.2">
      <c r="A2254" s="451"/>
      <c r="B2254" s="451"/>
      <c r="C2254" s="451"/>
      <c r="D2254" s="451"/>
      <c r="E2254" s="468"/>
      <c r="F2254" s="468"/>
    </row>
    <row r="2255" spans="1:6" ht="12.75" x14ac:dyDescent="0.2">
      <c r="A2255" s="451"/>
      <c r="B2255" s="451"/>
      <c r="C2255" s="451"/>
      <c r="D2255" s="451"/>
      <c r="E2255" s="468"/>
      <c r="F2255" s="468"/>
    </row>
    <row r="2256" spans="1:6" ht="12.75" x14ac:dyDescent="0.2">
      <c r="A2256" s="451"/>
      <c r="B2256" s="451"/>
      <c r="C2256" s="451"/>
      <c r="D2256" s="451"/>
      <c r="E2256" s="468"/>
      <c r="F2256" s="468"/>
    </row>
    <row r="2257" spans="1:6" ht="12.75" x14ac:dyDescent="0.2">
      <c r="A2257" s="451"/>
      <c r="B2257" s="451"/>
      <c r="C2257" s="451"/>
      <c r="D2257" s="451"/>
      <c r="E2257" s="468"/>
      <c r="F2257" s="468"/>
    </row>
    <row r="2258" spans="1:6" ht="12.75" x14ac:dyDescent="0.2">
      <c r="A2258" s="451"/>
      <c r="B2258" s="451"/>
      <c r="C2258" s="451"/>
      <c r="D2258" s="451"/>
      <c r="E2258" s="468"/>
      <c r="F2258" s="468"/>
    </row>
    <row r="2259" spans="1:6" ht="12.75" x14ac:dyDescent="0.2">
      <c r="A2259" s="451"/>
      <c r="B2259" s="451"/>
      <c r="C2259" s="451"/>
      <c r="D2259" s="451"/>
      <c r="E2259" s="468"/>
      <c r="F2259" s="468"/>
    </row>
    <row r="2260" spans="1:6" ht="12.75" x14ac:dyDescent="0.2">
      <c r="A2260" s="451"/>
      <c r="B2260" s="451"/>
      <c r="C2260" s="451"/>
      <c r="D2260" s="451"/>
      <c r="E2260" s="468"/>
      <c r="F2260" s="468"/>
    </row>
    <row r="2261" spans="1:6" ht="12.75" x14ac:dyDescent="0.2">
      <c r="A2261" s="451"/>
      <c r="B2261" s="451"/>
      <c r="C2261" s="451"/>
      <c r="D2261" s="451"/>
      <c r="E2261" s="468"/>
      <c r="F2261" s="468"/>
    </row>
    <row r="2262" spans="1:6" ht="12.75" x14ac:dyDescent="0.2">
      <c r="A2262" s="451"/>
      <c r="B2262" s="451"/>
      <c r="C2262" s="451"/>
      <c r="D2262" s="451"/>
      <c r="E2262" s="468"/>
      <c r="F2262" s="468"/>
    </row>
    <row r="2263" spans="1:6" ht="12.75" x14ac:dyDescent="0.2">
      <c r="A2263" s="451"/>
      <c r="B2263" s="451"/>
      <c r="C2263" s="451"/>
      <c r="D2263" s="451"/>
      <c r="E2263" s="468"/>
      <c r="F2263" s="468"/>
    </row>
    <row r="2264" spans="1:6" ht="12.75" x14ac:dyDescent="0.2">
      <c r="A2264" s="451"/>
      <c r="B2264" s="451"/>
      <c r="C2264" s="451"/>
      <c r="D2264" s="451"/>
      <c r="E2264" s="468"/>
      <c r="F2264" s="468"/>
    </row>
    <row r="2265" spans="1:6" ht="12.75" x14ac:dyDescent="0.2">
      <c r="A2265" s="451"/>
      <c r="B2265" s="451"/>
      <c r="C2265" s="451"/>
      <c r="D2265" s="451"/>
      <c r="E2265" s="468"/>
      <c r="F2265" s="468"/>
    </row>
    <row r="2266" spans="1:6" ht="12.75" x14ac:dyDescent="0.2">
      <c r="A2266" s="451"/>
      <c r="B2266" s="451"/>
      <c r="C2266" s="451"/>
      <c r="D2266" s="451"/>
      <c r="E2266" s="468"/>
      <c r="F2266" s="468"/>
    </row>
    <row r="2267" spans="1:6" ht="12.75" x14ac:dyDescent="0.2">
      <c r="A2267" s="451"/>
      <c r="B2267" s="451"/>
      <c r="C2267" s="451"/>
      <c r="D2267" s="451"/>
      <c r="E2267" s="468"/>
      <c r="F2267" s="468"/>
    </row>
    <row r="2268" spans="1:6" ht="12.75" x14ac:dyDescent="0.2">
      <c r="A2268" s="451"/>
      <c r="B2268" s="451"/>
      <c r="C2268" s="451"/>
      <c r="D2268" s="451"/>
      <c r="E2268" s="468"/>
      <c r="F2268" s="468"/>
    </row>
    <row r="2269" spans="1:6" ht="12.75" x14ac:dyDescent="0.2">
      <c r="A2269" s="451"/>
      <c r="B2269" s="451"/>
      <c r="C2269" s="451"/>
      <c r="D2269" s="451"/>
      <c r="E2269" s="468"/>
      <c r="F2269" s="468"/>
    </row>
    <row r="2270" spans="1:6" ht="12.75" x14ac:dyDescent="0.2">
      <c r="A2270" s="451"/>
      <c r="B2270" s="451"/>
      <c r="C2270" s="451"/>
      <c r="D2270" s="451"/>
      <c r="E2270" s="468"/>
      <c r="F2270" s="468"/>
    </row>
    <row r="2271" spans="1:6" ht="12.75" x14ac:dyDescent="0.2">
      <c r="A2271" s="451"/>
      <c r="B2271" s="451"/>
      <c r="C2271" s="451"/>
      <c r="D2271" s="451"/>
      <c r="E2271" s="468"/>
      <c r="F2271" s="468"/>
    </row>
    <row r="2272" spans="1:6" ht="12.75" x14ac:dyDescent="0.2">
      <c r="A2272" s="451"/>
      <c r="B2272" s="451"/>
      <c r="C2272" s="451"/>
      <c r="D2272" s="451"/>
      <c r="E2272" s="468"/>
      <c r="F2272" s="468"/>
    </row>
    <row r="2273" spans="1:6" ht="12.75" x14ac:dyDescent="0.2">
      <c r="A2273" s="451"/>
      <c r="B2273" s="451"/>
      <c r="C2273" s="451"/>
      <c r="D2273" s="451"/>
      <c r="E2273" s="468"/>
      <c r="F2273" s="468"/>
    </row>
    <row r="2274" spans="1:6" ht="12.75" x14ac:dyDescent="0.2">
      <c r="A2274" s="451"/>
      <c r="B2274" s="451"/>
      <c r="C2274" s="451"/>
      <c r="D2274" s="451"/>
      <c r="E2274" s="468"/>
      <c r="F2274" s="468"/>
    </row>
    <row r="2275" spans="1:6" ht="12.75" x14ac:dyDescent="0.2">
      <c r="A2275" s="451"/>
      <c r="B2275" s="451"/>
      <c r="C2275" s="451"/>
      <c r="D2275" s="451"/>
      <c r="E2275" s="468"/>
      <c r="F2275" s="468"/>
    </row>
    <row r="2276" spans="1:6" ht="12.75" x14ac:dyDescent="0.2">
      <c r="A2276" s="451"/>
      <c r="B2276" s="451"/>
      <c r="C2276" s="451"/>
      <c r="D2276" s="451"/>
      <c r="E2276" s="468"/>
      <c r="F2276" s="468"/>
    </row>
    <row r="2277" spans="1:6" ht="12.75" x14ac:dyDescent="0.2">
      <c r="A2277" s="451"/>
      <c r="B2277" s="451"/>
      <c r="C2277" s="451"/>
      <c r="D2277" s="451"/>
      <c r="E2277" s="468"/>
      <c r="F2277" s="468"/>
    </row>
    <row r="2278" spans="1:6" ht="12.75" x14ac:dyDescent="0.2">
      <c r="A2278" s="451"/>
      <c r="B2278" s="451"/>
      <c r="C2278" s="451"/>
      <c r="D2278" s="451"/>
      <c r="E2278" s="468"/>
      <c r="F2278" s="468"/>
    </row>
    <row r="2279" spans="1:6" ht="12.75" x14ac:dyDescent="0.2">
      <c r="A2279" s="451"/>
      <c r="B2279" s="451"/>
      <c r="C2279" s="451"/>
      <c r="D2279" s="451"/>
      <c r="E2279" s="468"/>
      <c r="F2279" s="468"/>
    </row>
    <row r="2280" spans="1:6" ht="12.75" x14ac:dyDescent="0.2">
      <c r="A2280" s="451"/>
      <c r="B2280" s="451"/>
      <c r="C2280" s="451"/>
      <c r="D2280" s="451"/>
      <c r="E2280" s="468"/>
      <c r="F2280" s="468"/>
    </row>
    <row r="2281" spans="1:6" ht="12.75" x14ac:dyDescent="0.2">
      <c r="A2281" s="451"/>
      <c r="B2281" s="451"/>
      <c r="C2281" s="451"/>
      <c r="D2281" s="451"/>
      <c r="E2281" s="468"/>
      <c r="F2281" s="468"/>
    </row>
    <row r="2282" spans="1:6" ht="12.75" x14ac:dyDescent="0.2">
      <c r="A2282" s="451"/>
      <c r="B2282" s="451"/>
      <c r="C2282" s="451"/>
      <c r="D2282" s="451"/>
      <c r="E2282" s="468"/>
      <c r="F2282" s="468"/>
    </row>
    <row r="2283" spans="1:6" ht="12.75" x14ac:dyDescent="0.2">
      <c r="A2283" s="451"/>
      <c r="B2283" s="451"/>
      <c r="C2283" s="451"/>
      <c r="D2283" s="451"/>
      <c r="E2283" s="468"/>
      <c r="F2283" s="468"/>
    </row>
    <row r="2284" spans="1:6" ht="12.75" x14ac:dyDescent="0.2">
      <c r="A2284" s="451"/>
      <c r="B2284" s="451"/>
      <c r="C2284" s="451"/>
      <c r="D2284" s="451"/>
      <c r="E2284" s="468"/>
      <c r="F2284" s="468"/>
    </row>
    <row r="2285" spans="1:6" ht="12.75" x14ac:dyDescent="0.2">
      <c r="A2285" s="451"/>
      <c r="B2285" s="451"/>
      <c r="C2285" s="451"/>
      <c r="D2285" s="451"/>
      <c r="E2285" s="468"/>
      <c r="F2285" s="468"/>
    </row>
    <row r="2286" spans="1:6" ht="12.75" x14ac:dyDescent="0.2">
      <c r="A2286" s="451"/>
      <c r="B2286" s="451"/>
      <c r="C2286" s="451"/>
      <c r="D2286" s="451"/>
      <c r="E2286" s="468"/>
      <c r="F2286" s="468"/>
    </row>
    <row r="2287" spans="1:6" ht="12.75" x14ac:dyDescent="0.2">
      <c r="A2287" s="451"/>
      <c r="B2287" s="451"/>
      <c r="C2287" s="451"/>
      <c r="D2287" s="451"/>
      <c r="E2287" s="468"/>
      <c r="F2287" s="468"/>
    </row>
    <row r="2288" spans="1:6" ht="12.75" x14ac:dyDescent="0.2">
      <c r="A2288" s="451"/>
      <c r="B2288" s="451"/>
      <c r="C2288" s="451"/>
      <c r="D2288" s="451"/>
      <c r="E2288" s="468"/>
      <c r="F2288" s="468"/>
    </row>
    <row r="2289" spans="1:6" ht="12.75" x14ac:dyDescent="0.2">
      <c r="A2289" s="451"/>
      <c r="B2289" s="451"/>
      <c r="C2289" s="451"/>
      <c r="D2289" s="451"/>
      <c r="E2289" s="468"/>
      <c r="F2289" s="468"/>
    </row>
    <row r="2290" spans="1:6" ht="12.75" x14ac:dyDescent="0.2">
      <c r="A2290" s="451"/>
      <c r="B2290" s="451"/>
      <c r="C2290" s="451"/>
      <c r="D2290" s="451"/>
      <c r="E2290" s="468"/>
      <c r="F2290" s="468"/>
    </row>
    <row r="2291" spans="1:6" ht="12.75" x14ac:dyDescent="0.2">
      <c r="A2291" s="451"/>
      <c r="B2291" s="451"/>
      <c r="C2291" s="451"/>
      <c r="D2291" s="451"/>
      <c r="E2291" s="468"/>
      <c r="F2291" s="468"/>
    </row>
    <row r="2292" spans="1:6" ht="12.75" x14ac:dyDescent="0.2">
      <c r="A2292" s="451"/>
      <c r="B2292" s="451"/>
      <c r="C2292" s="451"/>
      <c r="D2292" s="451"/>
      <c r="E2292" s="468"/>
      <c r="F2292" s="468"/>
    </row>
    <row r="2293" spans="1:6" ht="12.75" x14ac:dyDescent="0.2">
      <c r="A2293" s="451"/>
      <c r="B2293" s="451"/>
      <c r="C2293" s="451"/>
      <c r="D2293" s="451"/>
      <c r="E2293" s="468"/>
      <c r="F2293" s="468"/>
    </row>
    <row r="2294" spans="1:6" ht="12.75" x14ac:dyDescent="0.2">
      <c r="A2294" s="451"/>
      <c r="B2294" s="451"/>
      <c r="C2294" s="451"/>
      <c r="D2294" s="451"/>
      <c r="E2294" s="468"/>
      <c r="F2294" s="468"/>
    </row>
    <row r="2295" spans="1:6" ht="12.75" x14ac:dyDescent="0.2">
      <c r="A2295" s="451"/>
      <c r="B2295" s="451"/>
      <c r="C2295" s="451"/>
      <c r="D2295" s="451"/>
      <c r="E2295" s="468"/>
      <c r="F2295" s="468"/>
    </row>
    <row r="2296" spans="1:6" ht="12.75" x14ac:dyDescent="0.2">
      <c r="A2296" s="451"/>
      <c r="B2296" s="451"/>
      <c r="C2296" s="451"/>
      <c r="D2296" s="451"/>
      <c r="E2296" s="468"/>
      <c r="F2296" s="468"/>
    </row>
    <row r="2297" spans="1:6" ht="12.75" x14ac:dyDescent="0.2">
      <c r="A2297" s="451"/>
      <c r="B2297" s="451"/>
      <c r="C2297" s="451"/>
      <c r="D2297" s="451"/>
      <c r="E2297" s="468"/>
      <c r="F2297" s="468"/>
    </row>
    <row r="2298" spans="1:6" ht="12.75" x14ac:dyDescent="0.2">
      <c r="A2298" s="451"/>
      <c r="B2298" s="451"/>
      <c r="C2298" s="451"/>
      <c r="D2298" s="451"/>
      <c r="E2298" s="468"/>
      <c r="F2298" s="468"/>
    </row>
    <row r="2299" spans="1:6" ht="12.75" x14ac:dyDescent="0.2">
      <c r="A2299" s="451"/>
      <c r="B2299" s="451"/>
      <c r="C2299" s="451"/>
      <c r="D2299" s="451"/>
      <c r="E2299" s="468"/>
      <c r="F2299" s="468"/>
    </row>
    <row r="2300" spans="1:6" ht="12.75" x14ac:dyDescent="0.2">
      <c r="A2300" s="451"/>
      <c r="B2300" s="451"/>
      <c r="C2300" s="451"/>
      <c r="D2300" s="451"/>
      <c r="E2300" s="468"/>
      <c r="F2300" s="468"/>
    </row>
    <row r="2301" spans="1:6" ht="12.75" x14ac:dyDescent="0.2">
      <c r="A2301" s="451"/>
      <c r="B2301" s="451"/>
      <c r="C2301" s="451"/>
      <c r="D2301" s="451"/>
      <c r="E2301" s="468"/>
      <c r="F2301" s="468"/>
    </row>
    <row r="2302" spans="1:6" ht="12.75" x14ac:dyDescent="0.2">
      <c r="A2302" s="451"/>
      <c r="B2302" s="451"/>
      <c r="C2302" s="451"/>
      <c r="D2302" s="451"/>
      <c r="E2302" s="468"/>
      <c r="F2302" s="468"/>
    </row>
    <row r="2303" spans="1:6" ht="12.75" x14ac:dyDescent="0.2">
      <c r="A2303" s="451"/>
      <c r="B2303" s="451"/>
      <c r="C2303" s="451"/>
      <c r="D2303" s="451"/>
      <c r="E2303" s="468"/>
      <c r="F2303" s="468"/>
    </row>
    <row r="2304" spans="1:6" ht="12.75" x14ac:dyDescent="0.2">
      <c r="A2304" s="451"/>
      <c r="B2304" s="451"/>
      <c r="C2304" s="451"/>
      <c r="D2304" s="451"/>
      <c r="E2304" s="468"/>
      <c r="F2304" s="468"/>
    </row>
    <row r="2305" spans="1:6" ht="12.75" x14ac:dyDescent="0.2">
      <c r="A2305" s="451"/>
      <c r="B2305" s="451"/>
      <c r="C2305" s="451"/>
      <c r="D2305" s="451"/>
      <c r="E2305" s="468"/>
      <c r="F2305" s="468"/>
    </row>
    <row r="2306" spans="1:6" ht="12.75" x14ac:dyDescent="0.2">
      <c r="A2306" s="451"/>
      <c r="B2306" s="451"/>
      <c r="C2306" s="451"/>
      <c r="D2306" s="451"/>
      <c r="E2306" s="468"/>
      <c r="F2306" s="468"/>
    </row>
    <row r="2307" spans="1:6" ht="12.75" x14ac:dyDescent="0.2">
      <c r="A2307" s="451"/>
      <c r="B2307" s="451"/>
      <c r="C2307" s="451"/>
      <c r="D2307" s="451"/>
      <c r="E2307" s="468"/>
      <c r="F2307" s="468"/>
    </row>
    <row r="2308" spans="1:6" ht="12.75" x14ac:dyDescent="0.2">
      <c r="A2308" s="451"/>
      <c r="B2308" s="451"/>
      <c r="C2308" s="451"/>
      <c r="D2308" s="451"/>
      <c r="E2308" s="468"/>
      <c r="F2308" s="468"/>
    </row>
    <row r="2309" spans="1:6" ht="12.75" x14ac:dyDescent="0.2">
      <c r="A2309" s="451"/>
      <c r="B2309" s="451"/>
      <c r="C2309" s="451"/>
      <c r="D2309" s="451"/>
      <c r="E2309" s="468"/>
      <c r="F2309" s="468"/>
    </row>
    <row r="2310" spans="1:6" ht="12.75" x14ac:dyDescent="0.2">
      <c r="A2310" s="451"/>
      <c r="B2310" s="451"/>
      <c r="C2310" s="451"/>
      <c r="D2310" s="451"/>
      <c r="E2310" s="468"/>
      <c r="F2310" s="468"/>
    </row>
    <row r="2311" spans="1:6" ht="12.75" x14ac:dyDescent="0.2">
      <c r="A2311" s="451"/>
      <c r="B2311" s="451"/>
      <c r="C2311" s="451"/>
      <c r="D2311" s="451"/>
      <c r="E2311" s="468"/>
      <c r="F2311" s="468"/>
    </row>
    <row r="2312" spans="1:6" ht="12.75" x14ac:dyDescent="0.2">
      <c r="A2312" s="451"/>
      <c r="B2312" s="451"/>
      <c r="C2312" s="451"/>
      <c r="D2312" s="451"/>
      <c r="E2312" s="468"/>
      <c r="F2312" s="468"/>
    </row>
    <row r="2313" spans="1:6" ht="12.75" x14ac:dyDescent="0.2">
      <c r="A2313" s="451"/>
      <c r="B2313" s="451"/>
      <c r="C2313" s="451"/>
      <c r="D2313" s="451"/>
      <c r="E2313" s="468"/>
      <c r="F2313" s="468"/>
    </row>
    <row r="2314" spans="1:6" ht="12.75" x14ac:dyDescent="0.2">
      <c r="A2314" s="451"/>
      <c r="B2314" s="451"/>
      <c r="C2314" s="451"/>
      <c r="D2314" s="451"/>
      <c r="E2314" s="468"/>
      <c r="F2314" s="468"/>
    </row>
    <row r="2315" spans="1:6" ht="12.75" x14ac:dyDescent="0.2">
      <c r="A2315" s="451"/>
      <c r="B2315" s="451"/>
      <c r="C2315" s="451"/>
      <c r="D2315" s="451"/>
      <c r="E2315" s="468"/>
      <c r="F2315" s="468"/>
    </row>
    <row r="2316" spans="1:6" ht="12.75" x14ac:dyDescent="0.2">
      <c r="A2316" s="451"/>
      <c r="B2316" s="451"/>
      <c r="C2316" s="451"/>
      <c r="D2316" s="451"/>
      <c r="E2316" s="468"/>
      <c r="F2316" s="468"/>
    </row>
    <row r="2317" spans="1:6" ht="12.75" x14ac:dyDescent="0.2">
      <c r="A2317" s="451"/>
      <c r="B2317" s="451"/>
      <c r="C2317" s="451"/>
      <c r="D2317" s="451"/>
      <c r="E2317" s="468"/>
      <c r="F2317" s="468"/>
    </row>
    <row r="2318" spans="1:6" ht="12.75" x14ac:dyDescent="0.2">
      <c r="A2318" s="451"/>
      <c r="B2318" s="451"/>
      <c r="C2318" s="451"/>
      <c r="D2318" s="451"/>
      <c r="E2318" s="468"/>
      <c r="F2318" s="468"/>
    </row>
    <row r="2319" spans="1:6" ht="12.75" x14ac:dyDescent="0.2">
      <c r="A2319" s="451"/>
      <c r="B2319" s="451"/>
      <c r="C2319" s="451"/>
      <c r="D2319" s="451"/>
      <c r="E2319" s="468"/>
      <c r="F2319" s="468"/>
    </row>
    <row r="2320" spans="1:6" ht="12.75" x14ac:dyDescent="0.2">
      <c r="A2320" s="451"/>
      <c r="B2320" s="451"/>
      <c r="C2320" s="451"/>
      <c r="D2320" s="451"/>
      <c r="E2320" s="468"/>
      <c r="F2320" s="468"/>
    </row>
    <row r="2321" spans="1:6" ht="12.75" x14ac:dyDescent="0.2">
      <c r="A2321" s="451"/>
      <c r="B2321" s="451"/>
      <c r="C2321" s="451"/>
      <c r="D2321" s="451"/>
      <c r="E2321" s="468"/>
      <c r="F2321" s="468"/>
    </row>
    <row r="2322" spans="1:6" ht="12.75" x14ac:dyDescent="0.2">
      <c r="A2322" s="451"/>
      <c r="B2322" s="451"/>
      <c r="C2322" s="451"/>
      <c r="D2322" s="451"/>
      <c r="E2322" s="468"/>
      <c r="F2322" s="468"/>
    </row>
    <row r="2323" spans="1:6" ht="12.75" x14ac:dyDescent="0.2">
      <c r="A2323" s="451"/>
      <c r="B2323" s="451"/>
      <c r="C2323" s="451"/>
      <c r="D2323" s="451"/>
      <c r="E2323" s="468"/>
      <c r="F2323" s="468"/>
    </row>
    <row r="2324" spans="1:6" ht="12.75" x14ac:dyDescent="0.2">
      <c r="A2324" s="451"/>
      <c r="B2324" s="451"/>
      <c r="C2324" s="451"/>
      <c r="D2324" s="451"/>
      <c r="E2324" s="468"/>
      <c r="F2324" s="468"/>
    </row>
    <row r="2325" spans="1:6" ht="12.75" x14ac:dyDescent="0.2">
      <c r="A2325" s="451"/>
      <c r="B2325" s="451"/>
      <c r="C2325" s="451"/>
      <c r="D2325" s="451"/>
      <c r="E2325" s="468"/>
      <c r="F2325" s="468"/>
    </row>
    <row r="2326" spans="1:6" ht="12.75" x14ac:dyDescent="0.2">
      <c r="A2326" s="451"/>
      <c r="B2326" s="451"/>
      <c r="C2326" s="451"/>
      <c r="D2326" s="451"/>
      <c r="E2326" s="468"/>
      <c r="F2326" s="468"/>
    </row>
    <row r="2327" spans="1:6" ht="12.75" x14ac:dyDescent="0.2">
      <c r="A2327" s="451"/>
      <c r="B2327" s="451"/>
      <c r="C2327" s="451"/>
      <c r="D2327" s="451"/>
      <c r="E2327" s="468"/>
      <c r="F2327" s="468"/>
    </row>
    <row r="2328" spans="1:6" ht="12.75" x14ac:dyDescent="0.2">
      <c r="A2328" s="451"/>
      <c r="B2328" s="451"/>
      <c r="C2328" s="451"/>
      <c r="D2328" s="451"/>
      <c r="E2328" s="468"/>
      <c r="F2328" s="468"/>
    </row>
    <row r="2329" spans="1:6" ht="12.75" x14ac:dyDescent="0.2">
      <c r="A2329" s="451"/>
      <c r="B2329" s="451"/>
      <c r="C2329" s="451"/>
      <c r="D2329" s="451"/>
      <c r="E2329" s="468"/>
      <c r="F2329" s="468"/>
    </row>
    <row r="2330" spans="1:6" ht="12.75" x14ac:dyDescent="0.2">
      <c r="A2330" s="451"/>
      <c r="B2330" s="451"/>
      <c r="C2330" s="451"/>
      <c r="D2330" s="451"/>
      <c r="E2330" s="468"/>
      <c r="F2330" s="468"/>
    </row>
    <row r="2331" spans="1:6" ht="12.75" x14ac:dyDescent="0.2">
      <c r="A2331" s="451"/>
      <c r="B2331" s="451"/>
      <c r="C2331" s="451"/>
      <c r="D2331" s="451"/>
      <c r="E2331" s="468"/>
      <c r="F2331" s="468"/>
    </row>
    <row r="2332" spans="1:6" ht="12.75" x14ac:dyDescent="0.2">
      <c r="A2332" s="451"/>
      <c r="B2332" s="451"/>
      <c r="C2332" s="451"/>
      <c r="D2332" s="451"/>
      <c r="E2332" s="468"/>
      <c r="F2332" s="468"/>
    </row>
    <row r="2333" spans="1:6" ht="12.75" x14ac:dyDescent="0.2">
      <c r="A2333" s="451"/>
      <c r="B2333" s="451"/>
      <c r="C2333" s="451"/>
      <c r="D2333" s="451"/>
      <c r="E2333" s="468"/>
      <c r="F2333" s="468"/>
    </row>
    <row r="2334" spans="1:6" ht="12.75" x14ac:dyDescent="0.2">
      <c r="A2334" s="451"/>
      <c r="B2334" s="451"/>
      <c r="C2334" s="451"/>
      <c r="D2334" s="451"/>
      <c r="E2334" s="468"/>
      <c r="F2334" s="468"/>
    </row>
    <row r="2335" spans="1:6" ht="12.75" x14ac:dyDescent="0.2">
      <c r="A2335" s="451"/>
      <c r="B2335" s="451"/>
      <c r="C2335" s="451"/>
      <c r="D2335" s="451"/>
      <c r="E2335" s="468"/>
      <c r="F2335" s="468"/>
    </row>
    <row r="2336" spans="1:6" ht="12.75" x14ac:dyDescent="0.2">
      <c r="A2336" s="451"/>
      <c r="B2336" s="451"/>
      <c r="C2336" s="451"/>
      <c r="D2336" s="451"/>
      <c r="E2336" s="468"/>
      <c r="F2336" s="468"/>
    </row>
    <row r="2337" spans="1:6" ht="12.75" x14ac:dyDescent="0.2">
      <c r="A2337" s="451"/>
      <c r="B2337" s="451"/>
      <c r="C2337" s="451"/>
      <c r="D2337" s="451"/>
      <c r="E2337" s="468"/>
      <c r="F2337" s="468"/>
    </row>
    <row r="2338" spans="1:6" ht="12.75" x14ac:dyDescent="0.2">
      <c r="A2338" s="451"/>
      <c r="B2338" s="451"/>
      <c r="C2338" s="451"/>
      <c r="D2338" s="451"/>
      <c r="E2338" s="468"/>
      <c r="F2338" s="468"/>
    </row>
    <row r="2339" spans="1:6" ht="12.75" x14ac:dyDescent="0.2">
      <c r="A2339" s="451"/>
      <c r="B2339" s="451"/>
      <c r="C2339" s="451"/>
      <c r="D2339" s="451"/>
      <c r="E2339" s="468"/>
      <c r="F2339" s="468"/>
    </row>
    <row r="2340" spans="1:6" ht="12.75" x14ac:dyDescent="0.2">
      <c r="A2340" s="451"/>
      <c r="B2340" s="451"/>
      <c r="C2340" s="451"/>
      <c r="D2340" s="451"/>
      <c r="E2340" s="468"/>
      <c r="F2340" s="468"/>
    </row>
    <row r="2341" spans="1:6" ht="12.75" x14ac:dyDescent="0.2">
      <c r="A2341" s="451"/>
      <c r="B2341" s="451"/>
      <c r="C2341" s="451"/>
      <c r="D2341" s="451"/>
      <c r="E2341" s="468"/>
      <c r="F2341" s="468"/>
    </row>
    <row r="2342" spans="1:6" ht="12.75" x14ac:dyDescent="0.2">
      <c r="A2342" s="451"/>
      <c r="B2342" s="451"/>
      <c r="C2342" s="451"/>
      <c r="D2342" s="451"/>
      <c r="E2342" s="468"/>
      <c r="F2342" s="468"/>
    </row>
    <row r="2343" spans="1:6" ht="12.75" x14ac:dyDescent="0.2">
      <c r="A2343" s="451"/>
      <c r="B2343" s="451"/>
      <c r="C2343" s="451"/>
      <c r="D2343" s="451"/>
      <c r="E2343" s="468"/>
      <c r="F2343" s="468"/>
    </row>
    <row r="2344" spans="1:6" ht="12.75" x14ac:dyDescent="0.2">
      <c r="A2344" s="451"/>
      <c r="B2344" s="451"/>
      <c r="C2344" s="451"/>
      <c r="D2344" s="451"/>
      <c r="E2344" s="468"/>
      <c r="F2344" s="468"/>
    </row>
    <row r="2345" spans="1:6" ht="12.75" x14ac:dyDescent="0.2">
      <c r="A2345" s="451"/>
      <c r="B2345" s="451"/>
      <c r="C2345" s="451"/>
      <c r="D2345" s="451"/>
      <c r="E2345" s="468"/>
      <c r="F2345" s="468"/>
    </row>
    <row r="2346" spans="1:6" ht="12.75" x14ac:dyDescent="0.2">
      <c r="A2346" s="451"/>
      <c r="B2346" s="451"/>
      <c r="C2346" s="451"/>
      <c r="D2346" s="451"/>
      <c r="E2346" s="468"/>
      <c r="F2346" s="468"/>
    </row>
    <row r="2347" spans="1:6" ht="12.75" x14ac:dyDescent="0.2">
      <c r="A2347" s="451"/>
      <c r="B2347" s="451"/>
      <c r="C2347" s="451"/>
      <c r="D2347" s="451"/>
      <c r="E2347" s="468"/>
      <c r="F2347" s="468"/>
    </row>
    <row r="2348" spans="1:6" ht="12.75" x14ac:dyDescent="0.2">
      <c r="A2348" s="451"/>
      <c r="B2348" s="451"/>
      <c r="C2348" s="451"/>
      <c r="D2348" s="451"/>
      <c r="E2348" s="468"/>
      <c r="F2348" s="468"/>
    </row>
    <row r="2349" spans="1:6" ht="12.75" x14ac:dyDescent="0.2">
      <c r="A2349" s="451"/>
      <c r="B2349" s="451"/>
      <c r="C2349" s="451"/>
      <c r="D2349" s="451"/>
      <c r="E2349" s="468"/>
      <c r="F2349" s="468"/>
    </row>
    <row r="2350" spans="1:6" ht="12.75" x14ac:dyDescent="0.2">
      <c r="A2350" s="451"/>
      <c r="B2350" s="451"/>
      <c r="C2350" s="451"/>
      <c r="D2350" s="451"/>
      <c r="E2350" s="468"/>
      <c r="F2350" s="468"/>
    </row>
    <row r="2351" spans="1:6" ht="12.75" x14ac:dyDescent="0.2">
      <c r="A2351" s="451"/>
      <c r="B2351" s="451"/>
      <c r="C2351" s="451"/>
      <c r="D2351" s="451"/>
      <c r="E2351" s="468"/>
      <c r="F2351" s="468"/>
    </row>
    <row r="2352" spans="1:6" ht="12.75" x14ac:dyDescent="0.2">
      <c r="A2352" s="451"/>
      <c r="B2352" s="451"/>
      <c r="C2352" s="451"/>
      <c r="D2352" s="451"/>
      <c r="E2352" s="468"/>
      <c r="F2352" s="468"/>
    </row>
    <row r="2353" spans="1:6" ht="12.75" x14ac:dyDescent="0.2">
      <c r="A2353" s="451"/>
      <c r="B2353" s="451"/>
      <c r="C2353" s="451"/>
      <c r="D2353" s="451"/>
      <c r="E2353" s="468"/>
      <c r="F2353" s="468"/>
    </row>
    <row r="2354" spans="1:6" ht="12.75" x14ac:dyDescent="0.2">
      <c r="A2354" s="451"/>
      <c r="B2354" s="451"/>
      <c r="C2354" s="451"/>
      <c r="D2354" s="451"/>
      <c r="E2354" s="468"/>
      <c r="F2354" s="468"/>
    </row>
    <row r="2355" spans="1:6" ht="12.75" x14ac:dyDescent="0.2">
      <c r="A2355" s="451"/>
      <c r="B2355" s="451"/>
      <c r="C2355" s="451"/>
      <c r="D2355" s="451"/>
      <c r="E2355" s="468"/>
      <c r="F2355" s="468"/>
    </row>
    <row r="2356" spans="1:6" ht="12.75" x14ac:dyDescent="0.2">
      <c r="A2356" s="451"/>
      <c r="B2356" s="451"/>
      <c r="C2356" s="451"/>
      <c r="D2356" s="451"/>
      <c r="E2356" s="468"/>
      <c r="F2356" s="468"/>
    </row>
    <row r="2357" spans="1:6" ht="12.75" x14ac:dyDescent="0.2">
      <c r="A2357" s="451"/>
      <c r="B2357" s="451"/>
      <c r="C2357" s="451"/>
      <c r="D2357" s="451"/>
      <c r="E2357" s="468"/>
      <c r="F2357" s="468"/>
    </row>
    <row r="2358" spans="1:6" ht="12.75" x14ac:dyDescent="0.2">
      <c r="A2358" s="451"/>
      <c r="B2358" s="451"/>
      <c r="C2358" s="451"/>
      <c r="D2358" s="451"/>
      <c r="E2358" s="468"/>
      <c r="F2358" s="468"/>
    </row>
    <row r="2359" spans="1:6" ht="12.75" x14ac:dyDescent="0.2">
      <c r="A2359" s="451"/>
      <c r="B2359" s="451"/>
      <c r="C2359" s="451"/>
      <c r="D2359" s="451"/>
      <c r="E2359" s="468"/>
      <c r="F2359" s="468"/>
    </row>
    <row r="2360" spans="1:6" ht="12.75" x14ac:dyDescent="0.2">
      <c r="A2360" s="451"/>
      <c r="B2360" s="451"/>
      <c r="C2360" s="451"/>
      <c r="D2360" s="451"/>
      <c r="E2360" s="468"/>
      <c r="F2360" s="468"/>
    </row>
    <row r="2361" spans="1:6" ht="12.75" x14ac:dyDescent="0.2">
      <c r="A2361" s="451"/>
      <c r="B2361" s="451"/>
      <c r="C2361" s="451"/>
      <c r="D2361" s="451"/>
      <c r="E2361" s="468"/>
      <c r="F2361" s="468"/>
    </row>
    <row r="2362" spans="1:6" ht="12.75" x14ac:dyDescent="0.2">
      <c r="A2362" s="451"/>
      <c r="B2362" s="451"/>
      <c r="C2362" s="451"/>
      <c r="D2362" s="451"/>
      <c r="E2362" s="468"/>
      <c r="F2362" s="468"/>
    </row>
    <row r="2363" spans="1:6" ht="12.75" x14ac:dyDescent="0.2">
      <c r="A2363" s="451"/>
      <c r="B2363" s="451"/>
      <c r="C2363" s="451"/>
      <c r="D2363" s="451"/>
      <c r="E2363" s="468"/>
      <c r="F2363" s="468"/>
    </row>
    <row r="2364" spans="1:6" ht="12.75" x14ac:dyDescent="0.2">
      <c r="A2364" s="451"/>
      <c r="B2364" s="451"/>
      <c r="C2364" s="451"/>
      <c r="D2364" s="451"/>
      <c r="E2364" s="468"/>
      <c r="F2364" s="468"/>
    </row>
    <row r="2365" spans="1:6" ht="12.75" x14ac:dyDescent="0.2">
      <c r="A2365" s="451"/>
      <c r="B2365" s="451"/>
      <c r="C2365" s="451"/>
      <c r="D2365" s="451"/>
      <c r="E2365" s="468"/>
      <c r="F2365" s="468"/>
    </row>
    <row r="2366" spans="1:6" ht="12.75" x14ac:dyDescent="0.2">
      <c r="A2366" s="451"/>
      <c r="B2366" s="451"/>
      <c r="C2366" s="451"/>
      <c r="D2366" s="451"/>
      <c r="E2366" s="468"/>
      <c r="F2366" s="468"/>
    </row>
    <row r="2367" spans="1:6" ht="12.75" x14ac:dyDescent="0.2">
      <c r="A2367" s="451"/>
      <c r="B2367" s="451"/>
      <c r="C2367" s="451"/>
      <c r="D2367" s="451"/>
      <c r="E2367" s="468"/>
      <c r="F2367" s="468"/>
    </row>
    <row r="2368" spans="1:6" ht="12.75" x14ac:dyDescent="0.2">
      <c r="A2368" s="451"/>
      <c r="B2368" s="451"/>
      <c r="C2368" s="451"/>
      <c r="D2368" s="451"/>
      <c r="E2368" s="468"/>
      <c r="F2368" s="468"/>
    </row>
    <row r="2369" spans="1:6" ht="12.75" x14ac:dyDescent="0.2">
      <c r="A2369" s="451"/>
      <c r="B2369" s="451"/>
      <c r="C2369" s="451"/>
      <c r="D2369" s="451"/>
      <c r="E2369" s="468"/>
      <c r="F2369" s="468"/>
    </row>
    <row r="2370" spans="1:6" ht="12.75" x14ac:dyDescent="0.2">
      <c r="A2370" s="451"/>
      <c r="B2370" s="451"/>
      <c r="C2370" s="451"/>
      <c r="D2370" s="451"/>
      <c r="E2370" s="468"/>
      <c r="F2370" s="468"/>
    </row>
    <row r="2371" spans="1:6" ht="12.75" x14ac:dyDescent="0.2">
      <c r="A2371" s="451"/>
      <c r="B2371" s="451"/>
      <c r="C2371" s="451"/>
      <c r="D2371" s="451"/>
      <c r="E2371" s="468"/>
      <c r="F2371" s="468"/>
    </row>
    <row r="2372" spans="1:6" ht="12.75" x14ac:dyDescent="0.2">
      <c r="A2372" s="451"/>
      <c r="B2372" s="451"/>
      <c r="C2372" s="451"/>
      <c r="D2372" s="451"/>
      <c r="E2372" s="468"/>
      <c r="F2372" s="468"/>
    </row>
    <row r="2373" spans="1:6" ht="12.75" x14ac:dyDescent="0.2">
      <c r="A2373" s="451"/>
      <c r="B2373" s="451"/>
      <c r="C2373" s="451"/>
      <c r="D2373" s="451"/>
      <c r="E2373" s="468"/>
      <c r="F2373" s="468"/>
    </row>
    <row r="2374" spans="1:6" ht="12.75" x14ac:dyDescent="0.2">
      <c r="A2374" s="451"/>
      <c r="B2374" s="451"/>
      <c r="C2374" s="451"/>
      <c r="D2374" s="451"/>
      <c r="E2374" s="468"/>
      <c r="F2374" s="468"/>
    </row>
    <row r="2375" spans="1:6" ht="12.75" x14ac:dyDescent="0.2">
      <c r="A2375" s="451"/>
      <c r="B2375" s="451"/>
      <c r="C2375" s="451"/>
      <c r="D2375" s="451"/>
      <c r="E2375" s="468"/>
      <c r="F2375" s="468"/>
    </row>
    <row r="2376" spans="1:6" ht="12.75" x14ac:dyDescent="0.2">
      <c r="A2376" s="451"/>
      <c r="B2376" s="451"/>
      <c r="C2376" s="451"/>
      <c r="D2376" s="451"/>
      <c r="E2376" s="468"/>
      <c r="F2376" s="468"/>
    </row>
    <row r="2377" spans="1:6" ht="12.75" x14ac:dyDescent="0.2">
      <c r="A2377" s="451"/>
      <c r="B2377" s="451"/>
      <c r="C2377" s="451"/>
      <c r="D2377" s="451"/>
      <c r="E2377" s="468"/>
      <c r="F2377" s="468"/>
    </row>
    <row r="2378" spans="1:6" ht="12.75" x14ac:dyDescent="0.2">
      <c r="A2378" s="451"/>
      <c r="B2378" s="451"/>
      <c r="C2378" s="451"/>
      <c r="D2378" s="451"/>
      <c r="E2378" s="468"/>
      <c r="F2378" s="468"/>
    </row>
    <row r="2379" spans="1:6" ht="12.75" x14ac:dyDescent="0.2">
      <c r="A2379" s="451"/>
      <c r="B2379" s="451"/>
      <c r="C2379" s="451"/>
      <c r="D2379" s="451"/>
      <c r="E2379" s="468"/>
      <c r="F2379" s="468"/>
    </row>
    <row r="2380" spans="1:6" ht="12.75" x14ac:dyDescent="0.2">
      <c r="A2380" s="451"/>
      <c r="B2380" s="451"/>
      <c r="C2380" s="451"/>
      <c r="D2380" s="451"/>
      <c r="E2380" s="468"/>
      <c r="F2380" s="468"/>
    </row>
    <row r="2381" spans="1:6" ht="12.75" x14ac:dyDescent="0.2">
      <c r="A2381" s="451"/>
      <c r="B2381" s="451"/>
      <c r="C2381" s="451"/>
      <c r="D2381" s="451"/>
      <c r="E2381" s="468"/>
      <c r="F2381" s="468"/>
    </row>
    <row r="2382" spans="1:6" ht="12.75" x14ac:dyDescent="0.2">
      <c r="A2382" s="451"/>
      <c r="B2382" s="451"/>
      <c r="C2382" s="451"/>
      <c r="D2382" s="451"/>
      <c r="E2382" s="468"/>
      <c r="F2382" s="468"/>
    </row>
    <row r="2383" spans="1:6" ht="12.75" x14ac:dyDescent="0.2">
      <c r="A2383" s="451"/>
      <c r="B2383" s="451"/>
      <c r="C2383" s="451"/>
      <c r="D2383" s="451"/>
      <c r="E2383" s="468"/>
      <c r="F2383" s="468"/>
    </row>
    <row r="2384" spans="1:6" ht="12.75" x14ac:dyDescent="0.2">
      <c r="A2384" s="451"/>
      <c r="B2384" s="451"/>
      <c r="C2384" s="451"/>
      <c r="D2384" s="451"/>
      <c r="E2384" s="468"/>
      <c r="F2384" s="468"/>
    </row>
    <row r="2385" spans="1:6" ht="12.75" x14ac:dyDescent="0.2">
      <c r="A2385" s="451"/>
      <c r="B2385" s="451"/>
      <c r="C2385" s="451"/>
      <c r="D2385" s="451"/>
      <c r="E2385" s="468"/>
      <c r="F2385" s="468"/>
    </row>
    <row r="2386" spans="1:6" ht="12.75" x14ac:dyDescent="0.2">
      <c r="A2386" s="451"/>
      <c r="B2386" s="451"/>
      <c r="C2386" s="451"/>
      <c r="D2386" s="451"/>
      <c r="E2386" s="468"/>
      <c r="F2386" s="468"/>
    </row>
    <row r="2387" spans="1:6" ht="12.75" x14ac:dyDescent="0.2">
      <c r="A2387" s="451"/>
      <c r="B2387" s="451"/>
      <c r="C2387" s="451"/>
      <c r="D2387" s="451"/>
      <c r="E2387" s="468"/>
      <c r="F2387" s="468"/>
    </row>
    <row r="2388" spans="1:6" ht="12.75" x14ac:dyDescent="0.2">
      <c r="A2388" s="451"/>
      <c r="B2388" s="451"/>
      <c r="C2388" s="451"/>
      <c r="D2388" s="451"/>
      <c r="E2388" s="468"/>
      <c r="F2388" s="468"/>
    </row>
    <row r="2389" spans="1:6" ht="12.75" x14ac:dyDescent="0.2">
      <c r="A2389" s="451"/>
      <c r="B2389" s="451"/>
      <c r="C2389" s="451"/>
      <c r="D2389" s="451"/>
      <c r="E2389" s="468"/>
      <c r="F2389" s="468"/>
    </row>
    <row r="2390" spans="1:6" ht="12.75" x14ac:dyDescent="0.2">
      <c r="A2390" s="451"/>
      <c r="B2390" s="451"/>
      <c r="C2390" s="451"/>
      <c r="D2390" s="451"/>
      <c r="E2390" s="468"/>
      <c r="F2390" s="468"/>
    </row>
    <row r="2391" spans="1:6" ht="12.75" x14ac:dyDescent="0.2">
      <c r="A2391" s="451"/>
      <c r="B2391" s="451"/>
      <c r="C2391" s="451"/>
      <c r="D2391" s="451"/>
      <c r="E2391" s="468"/>
      <c r="F2391" s="468"/>
    </row>
    <row r="2392" spans="1:6" ht="12.75" x14ac:dyDescent="0.2">
      <c r="A2392" s="451"/>
      <c r="B2392" s="451"/>
      <c r="C2392" s="451"/>
      <c r="D2392" s="451"/>
      <c r="E2392" s="468"/>
      <c r="F2392" s="468"/>
    </row>
    <row r="2393" spans="1:6" ht="12.75" x14ac:dyDescent="0.2">
      <c r="A2393" s="451"/>
      <c r="B2393" s="451"/>
      <c r="C2393" s="451"/>
      <c r="D2393" s="451"/>
      <c r="E2393" s="468"/>
      <c r="F2393" s="468"/>
    </row>
    <row r="2394" spans="1:6" ht="12.75" x14ac:dyDescent="0.2">
      <c r="A2394" s="451"/>
      <c r="B2394" s="451"/>
      <c r="C2394" s="451"/>
      <c r="D2394" s="451"/>
      <c r="E2394" s="468"/>
      <c r="F2394" s="468"/>
    </row>
    <row r="2395" spans="1:6" ht="12.75" x14ac:dyDescent="0.2">
      <c r="A2395" s="451"/>
      <c r="B2395" s="451"/>
      <c r="C2395" s="451"/>
      <c r="D2395" s="451"/>
      <c r="E2395" s="468"/>
      <c r="F2395" s="468"/>
    </row>
    <row r="2396" spans="1:6" ht="12.75" x14ac:dyDescent="0.2">
      <c r="A2396" s="451"/>
      <c r="B2396" s="451"/>
      <c r="C2396" s="451"/>
      <c r="D2396" s="451"/>
      <c r="E2396" s="468"/>
      <c r="F2396" s="468"/>
    </row>
    <row r="2397" spans="1:6" ht="12.75" x14ac:dyDescent="0.2">
      <c r="A2397" s="451"/>
      <c r="B2397" s="451"/>
      <c r="C2397" s="451"/>
      <c r="D2397" s="451"/>
      <c r="E2397" s="468"/>
      <c r="F2397" s="468"/>
    </row>
    <row r="2398" spans="1:6" ht="12.75" x14ac:dyDescent="0.2">
      <c r="A2398" s="451"/>
      <c r="B2398" s="451"/>
      <c r="C2398" s="451"/>
      <c r="D2398" s="451"/>
      <c r="E2398" s="468"/>
      <c r="F2398" s="468"/>
    </row>
    <row r="2399" spans="1:6" ht="12.75" x14ac:dyDescent="0.2">
      <c r="A2399" s="451"/>
      <c r="B2399" s="451"/>
      <c r="C2399" s="451"/>
      <c r="D2399" s="451"/>
      <c r="E2399" s="468"/>
      <c r="F2399" s="468"/>
    </row>
    <row r="2400" spans="1:6" ht="12.75" x14ac:dyDescent="0.2">
      <c r="A2400" s="451"/>
      <c r="B2400" s="451"/>
      <c r="C2400" s="451"/>
      <c r="D2400" s="451"/>
      <c r="E2400" s="468"/>
      <c r="F2400" s="468"/>
    </row>
    <row r="2401" spans="1:6" ht="12.75" x14ac:dyDescent="0.2">
      <c r="A2401" s="451"/>
      <c r="B2401" s="451"/>
      <c r="C2401" s="451"/>
      <c r="D2401" s="451"/>
      <c r="E2401" s="468"/>
      <c r="F2401" s="468"/>
    </row>
    <row r="2402" spans="1:6" ht="12.75" x14ac:dyDescent="0.2">
      <c r="A2402" s="451"/>
      <c r="B2402" s="451"/>
      <c r="C2402" s="451"/>
      <c r="D2402" s="451"/>
      <c r="E2402" s="468"/>
      <c r="F2402" s="468"/>
    </row>
    <row r="2403" spans="1:6" ht="12.75" x14ac:dyDescent="0.2">
      <c r="A2403" s="451"/>
      <c r="B2403" s="451"/>
      <c r="C2403" s="451"/>
      <c r="D2403" s="451"/>
      <c r="E2403" s="468"/>
      <c r="F2403" s="468"/>
    </row>
    <row r="2404" spans="1:6" ht="12.75" x14ac:dyDescent="0.2">
      <c r="A2404" s="451"/>
      <c r="B2404" s="451"/>
      <c r="C2404" s="451"/>
      <c r="D2404" s="451"/>
      <c r="E2404" s="468"/>
      <c r="F2404" s="468"/>
    </row>
    <row r="2405" spans="1:6" ht="12.75" x14ac:dyDescent="0.2">
      <c r="A2405" s="451"/>
      <c r="B2405" s="451"/>
      <c r="C2405" s="451"/>
      <c r="D2405" s="451"/>
      <c r="E2405" s="468"/>
      <c r="F2405" s="468"/>
    </row>
    <row r="2406" spans="1:6" ht="12.75" x14ac:dyDescent="0.2">
      <c r="A2406" s="451"/>
      <c r="B2406" s="451"/>
      <c r="C2406" s="451"/>
      <c r="D2406" s="451"/>
      <c r="E2406" s="468"/>
      <c r="F2406" s="468"/>
    </row>
    <row r="2407" spans="1:6" ht="12.75" x14ac:dyDescent="0.2">
      <c r="A2407" s="451"/>
      <c r="B2407" s="451"/>
      <c r="C2407" s="451"/>
      <c r="D2407" s="451"/>
      <c r="E2407" s="468"/>
      <c r="F2407" s="468"/>
    </row>
    <row r="2408" spans="1:6" ht="12.75" x14ac:dyDescent="0.2">
      <c r="A2408" s="451"/>
      <c r="B2408" s="451"/>
      <c r="C2408" s="451"/>
      <c r="D2408" s="451"/>
      <c r="E2408" s="468"/>
      <c r="F2408" s="468"/>
    </row>
    <row r="2409" spans="1:6" ht="12.75" x14ac:dyDescent="0.2">
      <c r="A2409" s="451"/>
      <c r="B2409" s="451"/>
      <c r="C2409" s="451"/>
      <c r="D2409" s="451"/>
      <c r="E2409" s="468"/>
      <c r="F2409" s="468"/>
    </row>
    <row r="2410" spans="1:6" ht="12.75" x14ac:dyDescent="0.2">
      <c r="A2410" s="451"/>
      <c r="B2410" s="451"/>
      <c r="C2410" s="451"/>
      <c r="D2410" s="451"/>
      <c r="E2410" s="468"/>
      <c r="F2410" s="468"/>
    </row>
    <row r="2411" spans="1:6" ht="12.75" x14ac:dyDescent="0.2">
      <c r="A2411" s="451"/>
      <c r="B2411" s="451"/>
      <c r="C2411" s="451"/>
      <c r="D2411" s="451"/>
      <c r="E2411" s="468"/>
      <c r="F2411" s="468"/>
    </row>
    <row r="2412" spans="1:6" ht="12.75" x14ac:dyDescent="0.2">
      <c r="A2412" s="451"/>
      <c r="B2412" s="451"/>
      <c r="C2412" s="451"/>
      <c r="D2412" s="451"/>
      <c r="E2412" s="468"/>
      <c r="F2412" s="468"/>
    </row>
    <row r="2413" spans="1:6" ht="12.75" x14ac:dyDescent="0.2">
      <c r="A2413" s="451"/>
      <c r="B2413" s="451"/>
      <c r="C2413" s="451"/>
      <c r="D2413" s="451"/>
      <c r="E2413" s="468"/>
      <c r="F2413" s="468"/>
    </row>
    <row r="2414" spans="1:6" ht="12.75" x14ac:dyDescent="0.2">
      <c r="A2414" s="451"/>
      <c r="B2414" s="451"/>
      <c r="C2414" s="451"/>
      <c r="D2414" s="451"/>
      <c r="E2414" s="468"/>
      <c r="F2414" s="468"/>
    </row>
    <row r="2415" spans="1:6" ht="12.75" x14ac:dyDescent="0.2">
      <c r="A2415" s="451"/>
      <c r="B2415" s="451"/>
      <c r="C2415" s="451"/>
      <c r="D2415" s="451"/>
      <c r="E2415" s="468"/>
      <c r="F2415" s="468"/>
    </row>
    <row r="2416" spans="1:6" ht="12.75" x14ac:dyDescent="0.2">
      <c r="A2416" s="451"/>
      <c r="B2416" s="451"/>
      <c r="C2416" s="451"/>
      <c r="D2416" s="451"/>
      <c r="E2416" s="468"/>
      <c r="F2416" s="468"/>
    </row>
    <row r="2417" spans="1:6" ht="12.75" x14ac:dyDescent="0.2">
      <c r="A2417" s="451"/>
      <c r="B2417" s="451"/>
      <c r="C2417" s="451"/>
      <c r="D2417" s="451"/>
      <c r="E2417" s="468"/>
      <c r="F2417" s="468"/>
    </row>
    <row r="2418" spans="1:6" ht="12.75" x14ac:dyDescent="0.2">
      <c r="A2418" s="451"/>
      <c r="B2418" s="451"/>
      <c r="C2418" s="451"/>
      <c r="D2418" s="451"/>
      <c r="E2418" s="468"/>
      <c r="F2418" s="468"/>
    </row>
    <row r="2419" spans="1:6" ht="12.75" x14ac:dyDescent="0.2">
      <c r="A2419" s="451"/>
      <c r="B2419" s="451"/>
      <c r="C2419" s="451"/>
      <c r="D2419" s="451"/>
      <c r="E2419" s="468"/>
      <c r="F2419" s="468"/>
    </row>
    <row r="2420" spans="1:6" ht="12.75" x14ac:dyDescent="0.2">
      <c r="A2420" s="451"/>
      <c r="B2420" s="451"/>
      <c r="C2420" s="451"/>
      <c r="D2420" s="451"/>
      <c r="E2420" s="468"/>
      <c r="F2420" s="468"/>
    </row>
    <row r="2421" spans="1:6" ht="12.75" x14ac:dyDescent="0.2">
      <c r="A2421" s="451"/>
      <c r="B2421" s="451"/>
      <c r="C2421" s="451"/>
      <c r="D2421" s="451"/>
      <c r="E2421" s="468"/>
      <c r="F2421" s="468"/>
    </row>
    <row r="2422" spans="1:6" ht="12.75" x14ac:dyDescent="0.2">
      <c r="A2422" s="451"/>
      <c r="B2422" s="451"/>
      <c r="C2422" s="451"/>
      <c r="D2422" s="451"/>
      <c r="E2422" s="468"/>
      <c r="F2422" s="468"/>
    </row>
    <row r="2423" spans="1:6" ht="12.75" x14ac:dyDescent="0.2">
      <c r="A2423" s="451"/>
      <c r="B2423" s="451"/>
      <c r="C2423" s="451"/>
      <c r="D2423" s="451"/>
      <c r="E2423" s="468"/>
      <c r="F2423" s="468"/>
    </row>
    <row r="2424" spans="1:6" ht="12.75" x14ac:dyDescent="0.2">
      <c r="A2424" s="451"/>
      <c r="B2424" s="451"/>
      <c r="C2424" s="451"/>
      <c r="D2424" s="451"/>
      <c r="E2424" s="468"/>
      <c r="F2424" s="468"/>
    </row>
    <row r="2425" spans="1:6" ht="12.75" x14ac:dyDescent="0.2">
      <c r="A2425" s="451"/>
      <c r="B2425" s="451"/>
      <c r="C2425" s="451"/>
      <c r="D2425" s="451"/>
      <c r="E2425" s="468"/>
      <c r="F2425" s="468"/>
    </row>
    <row r="2426" spans="1:6" ht="12.75" x14ac:dyDescent="0.2">
      <c r="A2426" s="451"/>
      <c r="B2426" s="451"/>
      <c r="C2426" s="451"/>
      <c r="D2426" s="451"/>
      <c r="E2426" s="468"/>
      <c r="F2426" s="468"/>
    </row>
    <row r="2427" spans="1:6" ht="12.75" x14ac:dyDescent="0.2">
      <c r="A2427" s="451"/>
      <c r="B2427" s="451"/>
      <c r="C2427" s="451"/>
      <c r="D2427" s="451"/>
      <c r="E2427" s="468"/>
      <c r="F2427" s="468"/>
    </row>
    <row r="2428" spans="1:6" ht="12.75" x14ac:dyDescent="0.2">
      <c r="A2428" s="451"/>
      <c r="B2428" s="451"/>
      <c r="C2428" s="451"/>
      <c r="D2428" s="451"/>
      <c r="E2428" s="468"/>
      <c r="F2428" s="468"/>
    </row>
    <row r="2429" spans="1:6" ht="12.75" x14ac:dyDescent="0.2">
      <c r="A2429" s="451"/>
      <c r="B2429" s="451"/>
      <c r="C2429" s="451"/>
      <c r="D2429" s="451"/>
      <c r="E2429" s="468"/>
      <c r="F2429" s="468"/>
    </row>
    <row r="2430" spans="1:6" ht="12.75" x14ac:dyDescent="0.2">
      <c r="A2430" s="451"/>
      <c r="B2430" s="451"/>
      <c r="C2430" s="451"/>
      <c r="D2430" s="451"/>
      <c r="E2430" s="468"/>
      <c r="F2430" s="468"/>
    </row>
    <row r="2431" spans="1:6" ht="12.75" x14ac:dyDescent="0.2">
      <c r="A2431" s="451"/>
      <c r="B2431" s="451"/>
      <c r="C2431" s="451"/>
      <c r="D2431" s="451"/>
      <c r="E2431" s="468"/>
      <c r="F2431" s="468"/>
    </row>
    <row r="2432" spans="1:6" ht="12.75" x14ac:dyDescent="0.2">
      <c r="A2432" s="451"/>
      <c r="B2432" s="451"/>
      <c r="C2432" s="451"/>
      <c r="D2432" s="451"/>
      <c r="E2432" s="468"/>
      <c r="F2432" s="468"/>
    </row>
    <row r="2433" spans="1:6" ht="12.75" x14ac:dyDescent="0.2">
      <c r="A2433" s="451"/>
      <c r="B2433" s="451"/>
      <c r="C2433" s="451"/>
      <c r="D2433" s="451"/>
      <c r="E2433" s="468"/>
      <c r="F2433" s="468"/>
    </row>
    <row r="2434" spans="1:6" ht="12.75" x14ac:dyDescent="0.2">
      <c r="A2434" s="451"/>
      <c r="B2434" s="451"/>
      <c r="C2434" s="451"/>
      <c r="D2434" s="451"/>
      <c r="E2434" s="468"/>
      <c r="F2434" s="468"/>
    </row>
    <row r="2435" spans="1:6" ht="12.75" x14ac:dyDescent="0.2">
      <c r="A2435" s="451"/>
      <c r="B2435" s="451"/>
      <c r="C2435" s="451"/>
      <c r="D2435" s="451"/>
      <c r="E2435" s="468"/>
      <c r="F2435" s="468"/>
    </row>
    <row r="2436" spans="1:6" ht="12.75" x14ac:dyDescent="0.2">
      <c r="A2436" s="451"/>
      <c r="B2436" s="451"/>
      <c r="C2436" s="451"/>
      <c r="D2436" s="451"/>
      <c r="E2436" s="468"/>
      <c r="F2436" s="468"/>
    </row>
    <row r="2437" spans="1:6" ht="12.75" x14ac:dyDescent="0.2">
      <c r="A2437" s="451"/>
      <c r="B2437" s="451"/>
      <c r="C2437" s="451"/>
      <c r="D2437" s="451"/>
      <c r="E2437" s="468"/>
      <c r="F2437" s="468"/>
    </row>
    <row r="2438" spans="1:6" ht="12.75" x14ac:dyDescent="0.2">
      <c r="A2438" s="451"/>
      <c r="B2438" s="451"/>
      <c r="C2438" s="451"/>
      <c r="D2438" s="451"/>
      <c r="E2438" s="468"/>
      <c r="F2438" s="468"/>
    </row>
    <row r="2439" spans="1:6" ht="12.75" x14ac:dyDescent="0.2">
      <c r="A2439" s="451"/>
      <c r="B2439" s="451"/>
      <c r="C2439" s="451"/>
      <c r="D2439" s="451"/>
      <c r="E2439" s="468"/>
      <c r="F2439" s="468"/>
    </row>
    <row r="2440" spans="1:6" ht="12.75" x14ac:dyDescent="0.2">
      <c r="A2440" s="451"/>
      <c r="B2440" s="451"/>
      <c r="C2440" s="451"/>
      <c r="D2440" s="451"/>
      <c r="E2440" s="468"/>
      <c r="F2440" s="468"/>
    </row>
    <row r="2441" spans="1:6" ht="12.75" x14ac:dyDescent="0.2">
      <c r="A2441" s="451"/>
      <c r="B2441" s="451"/>
      <c r="C2441" s="451"/>
      <c r="D2441" s="451"/>
      <c r="E2441" s="468"/>
      <c r="F2441" s="468"/>
    </row>
    <row r="2442" spans="1:6" ht="12.75" x14ac:dyDescent="0.2">
      <c r="A2442" s="451"/>
      <c r="B2442" s="451"/>
      <c r="C2442" s="451"/>
      <c r="D2442" s="451"/>
      <c r="E2442" s="468"/>
      <c r="F2442" s="468"/>
    </row>
    <row r="2443" spans="1:6" ht="12.75" x14ac:dyDescent="0.2">
      <c r="A2443" s="451"/>
      <c r="B2443" s="451"/>
      <c r="C2443" s="451"/>
      <c r="D2443" s="451"/>
      <c r="E2443" s="468"/>
      <c r="F2443" s="468"/>
    </row>
    <row r="2444" spans="1:6" ht="12.75" x14ac:dyDescent="0.2">
      <c r="A2444" s="451"/>
      <c r="B2444" s="451"/>
      <c r="C2444" s="451"/>
      <c r="D2444" s="451"/>
      <c r="E2444" s="468"/>
      <c r="F2444" s="468"/>
    </row>
    <row r="2445" spans="1:6" ht="12.75" x14ac:dyDescent="0.2">
      <c r="A2445" s="451"/>
      <c r="B2445" s="451"/>
      <c r="C2445" s="451"/>
      <c r="D2445" s="451"/>
      <c r="E2445" s="468"/>
      <c r="F2445" s="468"/>
    </row>
    <row r="2446" spans="1:6" ht="12.75" x14ac:dyDescent="0.2">
      <c r="A2446" s="451"/>
      <c r="B2446" s="451"/>
      <c r="C2446" s="451"/>
      <c r="D2446" s="451"/>
      <c r="E2446" s="468"/>
      <c r="F2446" s="468"/>
    </row>
    <row r="2447" spans="1:6" ht="12.75" x14ac:dyDescent="0.2">
      <c r="A2447" s="451"/>
      <c r="B2447" s="451"/>
      <c r="C2447" s="451"/>
      <c r="D2447" s="451"/>
      <c r="E2447" s="468"/>
      <c r="F2447" s="468"/>
    </row>
    <row r="2448" spans="1:6" ht="12.75" x14ac:dyDescent="0.2">
      <c r="A2448" s="451"/>
      <c r="B2448" s="451"/>
      <c r="C2448" s="451"/>
      <c r="D2448" s="451"/>
      <c r="E2448" s="468"/>
      <c r="F2448" s="468"/>
    </row>
    <row r="2449" spans="1:6" ht="12.75" x14ac:dyDescent="0.2">
      <c r="A2449" s="451"/>
      <c r="B2449" s="451"/>
      <c r="C2449" s="451"/>
      <c r="D2449" s="451"/>
      <c r="E2449" s="468"/>
      <c r="F2449" s="468"/>
    </row>
    <row r="2450" spans="1:6" ht="12.75" x14ac:dyDescent="0.2">
      <c r="A2450" s="451"/>
      <c r="B2450" s="451"/>
      <c r="C2450" s="451"/>
      <c r="D2450" s="451"/>
      <c r="E2450" s="468"/>
      <c r="F2450" s="468"/>
    </row>
    <row r="2451" spans="1:6" ht="12.75" x14ac:dyDescent="0.2">
      <c r="A2451" s="451"/>
      <c r="B2451" s="451"/>
      <c r="C2451" s="451"/>
      <c r="D2451" s="451"/>
      <c r="E2451" s="468"/>
      <c r="F2451" s="468"/>
    </row>
    <row r="2452" spans="1:6" ht="12.75" x14ac:dyDescent="0.2">
      <c r="A2452" s="451"/>
      <c r="B2452" s="451"/>
      <c r="C2452" s="451"/>
      <c r="D2452" s="451"/>
      <c r="E2452" s="468"/>
      <c r="F2452" s="468"/>
    </row>
    <row r="2453" spans="1:6" ht="12.75" x14ac:dyDescent="0.2">
      <c r="A2453" s="451"/>
      <c r="B2453" s="451"/>
      <c r="C2453" s="451"/>
      <c r="D2453" s="451"/>
      <c r="E2453" s="468"/>
      <c r="F2453" s="468"/>
    </row>
    <row r="2454" spans="1:6" ht="12.75" x14ac:dyDescent="0.2">
      <c r="A2454" s="451"/>
      <c r="B2454" s="451"/>
      <c r="C2454" s="451"/>
      <c r="D2454" s="451"/>
      <c r="E2454" s="468"/>
      <c r="F2454" s="468"/>
    </row>
    <row r="2455" spans="1:6" ht="12.75" x14ac:dyDescent="0.2">
      <c r="A2455" s="451"/>
      <c r="B2455" s="451"/>
      <c r="C2455" s="451"/>
      <c r="D2455" s="451"/>
      <c r="E2455" s="468"/>
      <c r="F2455" s="468"/>
    </row>
    <row r="2456" spans="1:6" ht="12.75" x14ac:dyDescent="0.2">
      <c r="A2456" s="451"/>
      <c r="B2456" s="451"/>
      <c r="C2456" s="451"/>
      <c r="D2456" s="451"/>
      <c r="E2456" s="468"/>
      <c r="F2456" s="468"/>
    </row>
    <row r="2457" spans="1:6" ht="12.75" x14ac:dyDescent="0.2">
      <c r="A2457" s="451"/>
      <c r="B2457" s="451"/>
      <c r="C2457" s="451"/>
      <c r="D2457" s="451"/>
      <c r="E2457" s="468"/>
      <c r="F2457" s="468"/>
    </row>
    <row r="2458" spans="1:6" ht="12.75" x14ac:dyDescent="0.2">
      <c r="A2458" s="451"/>
      <c r="B2458" s="451"/>
      <c r="C2458" s="451"/>
      <c r="D2458" s="451"/>
      <c r="E2458" s="468"/>
      <c r="F2458" s="468"/>
    </row>
    <row r="2459" spans="1:6" ht="12.75" x14ac:dyDescent="0.2">
      <c r="A2459" s="451"/>
      <c r="B2459" s="451"/>
      <c r="C2459" s="451"/>
      <c r="D2459" s="451"/>
      <c r="E2459" s="468"/>
      <c r="F2459" s="468"/>
    </row>
    <row r="2460" spans="1:6" ht="12.75" x14ac:dyDescent="0.2">
      <c r="A2460" s="451"/>
      <c r="B2460" s="451"/>
      <c r="C2460" s="451"/>
      <c r="D2460" s="451"/>
      <c r="E2460" s="468"/>
      <c r="F2460" s="468"/>
    </row>
    <row r="2461" spans="1:6" ht="12.75" x14ac:dyDescent="0.2">
      <c r="A2461" s="451"/>
      <c r="B2461" s="451"/>
      <c r="C2461" s="451"/>
      <c r="D2461" s="451"/>
      <c r="E2461" s="468"/>
      <c r="F2461" s="468"/>
    </row>
    <row r="2462" spans="1:6" ht="12.75" x14ac:dyDescent="0.2">
      <c r="A2462" s="451"/>
      <c r="B2462" s="451"/>
      <c r="C2462" s="451"/>
      <c r="D2462" s="451"/>
      <c r="E2462" s="468"/>
      <c r="F2462" s="468"/>
    </row>
    <row r="2463" spans="1:6" ht="12.75" x14ac:dyDescent="0.2">
      <c r="A2463" s="451"/>
      <c r="B2463" s="451"/>
      <c r="C2463" s="451"/>
      <c r="D2463" s="451"/>
      <c r="E2463" s="468"/>
      <c r="F2463" s="468"/>
    </row>
    <row r="2464" spans="1:6" ht="12.75" x14ac:dyDescent="0.2">
      <c r="A2464" s="451"/>
      <c r="B2464" s="451"/>
      <c r="C2464" s="451"/>
      <c r="D2464" s="451"/>
      <c r="E2464" s="468"/>
      <c r="F2464" s="468"/>
    </row>
    <row r="2465" spans="1:6" ht="12.75" x14ac:dyDescent="0.2">
      <c r="A2465" s="451"/>
      <c r="B2465" s="451"/>
      <c r="C2465" s="451"/>
      <c r="D2465" s="451"/>
      <c r="E2465" s="468"/>
      <c r="F2465" s="468"/>
    </row>
    <row r="2466" spans="1:6" ht="12.75" x14ac:dyDescent="0.2">
      <c r="A2466" s="451"/>
      <c r="B2466" s="451"/>
      <c r="C2466" s="451"/>
      <c r="D2466" s="451"/>
      <c r="E2466" s="468"/>
      <c r="F2466" s="468"/>
    </row>
    <row r="2467" spans="1:6" ht="12.75" x14ac:dyDescent="0.2">
      <c r="A2467" s="451"/>
      <c r="B2467" s="451"/>
      <c r="C2467" s="451"/>
      <c r="D2467" s="451"/>
      <c r="E2467" s="468"/>
      <c r="F2467" s="468"/>
    </row>
    <row r="2468" spans="1:6" ht="12.75" x14ac:dyDescent="0.2">
      <c r="A2468" s="451"/>
      <c r="B2468" s="451"/>
      <c r="C2468" s="451"/>
      <c r="D2468" s="451"/>
      <c r="E2468" s="468"/>
      <c r="F2468" s="468"/>
    </row>
    <row r="2469" spans="1:6" ht="12.75" x14ac:dyDescent="0.2">
      <c r="A2469" s="451"/>
      <c r="B2469" s="451"/>
      <c r="C2469" s="451"/>
      <c r="D2469" s="451"/>
      <c r="E2469" s="468"/>
      <c r="F2469" s="468"/>
    </row>
    <row r="2470" spans="1:6" ht="12.75" x14ac:dyDescent="0.2">
      <c r="A2470" s="451"/>
      <c r="B2470" s="451"/>
      <c r="C2470" s="451"/>
      <c r="D2470" s="451"/>
      <c r="E2470" s="468"/>
      <c r="F2470" s="468"/>
    </row>
    <row r="2471" spans="1:6" ht="12.75" x14ac:dyDescent="0.2">
      <c r="A2471" s="451"/>
      <c r="B2471" s="451"/>
      <c r="C2471" s="451"/>
      <c r="D2471" s="451"/>
      <c r="E2471" s="468"/>
      <c r="F2471" s="468"/>
    </row>
    <row r="2472" spans="1:6" ht="12.75" x14ac:dyDescent="0.2">
      <c r="A2472" s="451"/>
      <c r="B2472" s="451"/>
      <c r="C2472" s="451"/>
      <c r="D2472" s="451"/>
      <c r="E2472" s="468"/>
      <c r="F2472" s="468"/>
    </row>
    <row r="2473" spans="1:6" ht="12.75" x14ac:dyDescent="0.2">
      <c r="A2473" s="451"/>
      <c r="B2473" s="451"/>
      <c r="C2473" s="451"/>
      <c r="D2473" s="451"/>
      <c r="E2473" s="468"/>
      <c r="F2473" s="468"/>
    </row>
    <row r="2474" spans="1:6" ht="12.75" x14ac:dyDescent="0.2">
      <c r="A2474" s="451"/>
      <c r="B2474" s="451"/>
      <c r="C2474" s="451"/>
      <c r="D2474" s="451"/>
      <c r="E2474" s="468"/>
      <c r="F2474" s="468"/>
    </row>
    <row r="2475" spans="1:6" ht="12.75" x14ac:dyDescent="0.2">
      <c r="A2475" s="451"/>
      <c r="B2475" s="451"/>
      <c r="C2475" s="451"/>
      <c r="D2475" s="451"/>
      <c r="E2475" s="468"/>
      <c r="F2475" s="468"/>
    </row>
    <row r="2476" spans="1:6" ht="12.75" x14ac:dyDescent="0.2">
      <c r="A2476" s="451"/>
      <c r="B2476" s="451"/>
      <c r="C2476" s="451"/>
      <c r="D2476" s="451"/>
      <c r="E2476" s="468"/>
      <c r="F2476" s="468"/>
    </row>
    <row r="2477" spans="1:6" ht="12.75" x14ac:dyDescent="0.2">
      <c r="A2477" s="451"/>
      <c r="B2477" s="451"/>
      <c r="C2477" s="451"/>
      <c r="D2477" s="451"/>
      <c r="E2477" s="468"/>
      <c r="F2477" s="468"/>
    </row>
    <row r="2478" spans="1:6" ht="12.75" x14ac:dyDescent="0.2">
      <c r="A2478" s="451"/>
      <c r="B2478" s="451"/>
      <c r="C2478" s="451"/>
      <c r="D2478" s="451"/>
      <c r="E2478" s="468"/>
      <c r="F2478" s="468"/>
    </row>
    <row r="2479" spans="1:6" ht="12.75" x14ac:dyDescent="0.2">
      <c r="A2479" s="451"/>
      <c r="B2479" s="451"/>
      <c r="C2479" s="451"/>
      <c r="D2479" s="451"/>
      <c r="E2479" s="468"/>
      <c r="F2479" s="468"/>
    </row>
    <row r="2480" spans="1:6" ht="12.75" x14ac:dyDescent="0.2">
      <c r="A2480" s="451"/>
      <c r="B2480" s="451"/>
      <c r="C2480" s="451"/>
      <c r="D2480" s="451"/>
      <c r="E2480" s="468"/>
      <c r="F2480" s="468"/>
    </row>
    <row r="2481" spans="1:6" ht="12.75" x14ac:dyDescent="0.2">
      <c r="A2481" s="451"/>
      <c r="B2481" s="451"/>
      <c r="C2481" s="451"/>
      <c r="D2481" s="451"/>
      <c r="E2481" s="468"/>
      <c r="F2481" s="468"/>
    </row>
    <row r="2482" spans="1:6" ht="12.75" x14ac:dyDescent="0.2">
      <c r="A2482" s="451"/>
      <c r="B2482" s="451"/>
      <c r="C2482" s="451"/>
      <c r="D2482" s="451"/>
      <c r="E2482" s="468"/>
      <c r="F2482" s="468"/>
    </row>
    <row r="2483" spans="1:6" ht="12.75" x14ac:dyDescent="0.2">
      <c r="A2483" s="451"/>
      <c r="B2483" s="451"/>
      <c r="C2483" s="451"/>
      <c r="D2483" s="451"/>
      <c r="E2483" s="468"/>
      <c r="F2483" s="468"/>
    </row>
    <row r="2484" spans="1:6" ht="12.75" x14ac:dyDescent="0.2">
      <c r="A2484" s="451"/>
      <c r="B2484" s="451"/>
      <c r="C2484" s="451"/>
      <c r="D2484" s="451"/>
      <c r="E2484" s="468"/>
      <c r="F2484" s="468"/>
    </row>
    <row r="2485" spans="1:6" ht="12.75" x14ac:dyDescent="0.2">
      <c r="A2485" s="451"/>
      <c r="B2485" s="451"/>
      <c r="C2485" s="451"/>
      <c r="D2485" s="451"/>
      <c r="E2485" s="468"/>
      <c r="F2485" s="468"/>
    </row>
    <row r="2486" spans="1:6" ht="12.75" x14ac:dyDescent="0.2">
      <c r="A2486" s="451"/>
      <c r="B2486" s="451"/>
      <c r="C2486" s="451"/>
      <c r="D2486" s="451"/>
      <c r="E2486" s="468"/>
      <c r="F2486" s="468"/>
    </row>
    <row r="2487" spans="1:6" ht="12.75" x14ac:dyDescent="0.2">
      <c r="A2487" s="451"/>
      <c r="B2487" s="451"/>
      <c r="C2487" s="451"/>
      <c r="D2487" s="451"/>
      <c r="E2487" s="468"/>
      <c r="F2487" s="468"/>
    </row>
    <row r="2488" spans="1:6" ht="12.75" x14ac:dyDescent="0.2">
      <c r="A2488" s="451"/>
      <c r="B2488" s="451"/>
      <c r="C2488" s="451"/>
      <c r="D2488" s="451"/>
      <c r="E2488" s="468"/>
      <c r="F2488" s="468"/>
    </row>
    <row r="2489" spans="1:6" ht="12.75" x14ac:dyDescent="0.2">
      <c r="A2489" s="451"/>
      <c r="B2489" s="451"/>
      <c r="C2489" s="451"/>
      <c r="D2489" s="451"/>
      <c r="E2489" s="468"/>
      <c r="F2489" s="468"/>
    </row>
    <row r="2490" spans="1:6" ht="12.75" x14ac:dyDescent="0.2">
      <c r="A2490" s="451"/>
      <c r="B2490" s="451"/>
      <c r="C2490" s="451"/>
      <c r="D2490" s="451"/>
      <c r="E2490" s="468"/>
      <c r="F2490" s="468"/>
    </row>
    <row r="2491" spans="1:6" ht="12.75" x14ac:dyDescent="0.2">
      <c r="A2491" s="451"/>
      <c r="B2491" s="451"/>
      <c r="C2491" s="451"/>
      <c r="D2491" s="451"/>
      <c r="E2491" s="468"/>
      <c r="F2491" s="468"/>
    </row>
    <row r="2492" spans="1:6" ht="12.75" x14ac:dyDescent="0.2">
      <c r="A2492" s="451"/>
      <c r="B2492" s="451"/>
      <c r="C2492" s="451"/>
      <c r="D2492" s="451"/>
      <c r="E2492" s="468"/>
      <c r="F2492" s="468"/>
    </row>
    <row r="2493" spans="1:6" ht="12.75" x14ac:dyDescent="0.2">
      <c r="A2493" s="451"/>
      <c r="B2493" s="451"/>
      <c r="C2493" s="451"/>
      <c r="D2493" s="451"/>
      <c r="E2493" s="468"/>
      <c r="F2493" s="468"/>
    </row>
    <row r="2494" spans="1:6" ht="12.75" x14ac:dyDescent="0.2">
      <c r="A2494" s="451"/>
      <c r="B2494" s="451"/>
      <c r="C2494" s="451"/>
      <c r="D2494" s="451"/>
      <c r="E2494" s="468"/>
      <c r="F2494" s="468"/>
    </row>
    <row r="2495" spans="1:6" ht="12.75" x14ac:dyDescent="0.2">
      <c r="A2495" s="451"/>
      <c r="B2495" s="451"/>
      <c r="C2495" s="451"/>
      <c r="D2495" s="451"/>
      <c r="E2495" s="468"/>
      <c r="F2495" s="468"/>
    </row>
    <row r="2496" spans="1:6" ht="12.75" x14ac:dyDescent="0.2">
      <c r="A2496" s="451"/>
      <c r="B2496" s="451"/>
      <c r="C2496" s="451"/>
      <c r="D2496" s="451"/>
      <c r="E2496" s="468"/>
      <c r="F2496" s="468"/>
    </row>
    <row r="2497" spans="1:6" ht="12.75" x14ac:dyDescent="0.2">
      <c r="A2497" s="451"/>
      <c r="B2497" s="451"/>
      <c r="C2497" s="451"/>
      <c r="D2497" s="451"/>
      <c r="E2497" s="468"/>
      <c r="F2497" s="468"/>
    </row>
    <row r="2498" spans="1:6" ht="12.75" x14ac:dyDescent="0.2">
      <c r="A2498" s="451"/>
      <c r="B2498" s="451"/>
      <c r="C2498" s="451"/>
      <c r="D2498" s="451"/>
      <c r="E2498" s="468"/>
      <c r="F2498" s="468"/>
    </row>
    <row r="2499" spans="1:6" ht="12.75" x14ac:dyDescent="0.2">
      <c r="A2499" s="451"/>
      <c r="B2499" s="451"/>
      <c r="C2499" s="451"/>
      <c r="D2499" s="451"/>
      <c r="E2499" s="468"/>
      <c r="F2499" s="468"/>
    </row>
    <row r="2500" spans="1:6" ht="12.75" x14ac:dyDescent="0.2">
      <c r="A2500" s="451"/>
      <c r="B2500" s="451"/>
      <c r="C2500" s="451"/>
      <c r="D2500" s="451"/>
      <c r="E2500" s="468"/>
      <c r="F2500" s="468"/>
    </row>
    <row r="2501" spans="1:6" ht="12.75" x14ac:dyDescent="0.2">
      <c r="A2501" s="451"/>
      <c r="B2501" s="451"/>
      <c r="C2501" s="451"/>
      <c r="D2501" s="451"/>
      <c r="E2501" s="468"/>
      <c r="F2501" s="468"/>
    </row>
    <row r="2502" spans="1:6" ht="12.75" x14ac:dyDescent="0.2">
      <c r="A2502" s="451"/>
      <c r="B2502" s="451"/>
      <c r="C2502" s="451"/>
      <c r="D2502" s="451"/>
      <c r="E2502" s="468"/>
      <c r="F2502" s="468"/>
    </row>
    <row r="2503" spans="1:6" ht="12.75" x14ac:dyDescent="0.2">
      <c r="A2503" s="451"/>
      <c r="B2503" s="451"/>
      <c r="C2503" s="451"/>
      <c r="D2503" s="451"/>
      <c r="E2503" s="468"/>
      <c r="F2503" s="468"/>
    </row>
    <row r="2504" spans="1:6" ht="12.75" x14ac:dyDescent="0.2">
      <c r="A2504" s="451"/>
      <c r="B2504" s="451"/>
      <c r="C2504" s="451"/>
      <c r="D2504" s="451"/>
      <c r="E2504" s="468"/>
      <c r="F2504" s="468"/>
    </row>
    <row r="2505" spans="1:6" ht="12.75" x14ac:dyDescent="0.2">
      <c r="A2505" s="451"/>
      <c r="B2505" s="451"/>
      <c r="C2505" s="451"/>
      <c r="D2505" s="451"/>
      <c r="E2505" s="468"/>
      <c r="F2505" s="468"/>
    </row>
    <row r="2506" spans="1:6" ht="12.75" x14ac:dyDescent="0.2">
      <c r="A2506" s="451"/>
      <c r="B2506" s="451"/>
      <c r="C2506" s="451"/>
      <c r="D2506" s="451"/>
      <c r="E2506" s="468"/>
      <c r="F2506" s="468"/>
    </row>
    <row r="2507" spans="1:6" ht="12.75" x14ac:dyDescent="0.2">
      <c r="A2507" s="451"/>
      <c r="B2507" s="451"/>
      <c r="C2507" s="451"/>
      <c r="D2507" s="451"/>
      <c r="E2507" s="468"/>
      <c r="F2507" s="468"/>
    </row>
    <row r="2508" spans="1:6" ht="12.75" x14ac:dyDescent="0.2">
      <c r="A2508" s="451"/>
      <c r="B2508" s="451"/>
      <c r="C2508" s="451"/>
      <c r="D2508" s="451"/>
      <c r="E2508" s="468"/>
      <c r="F2508" s="468"/>
    </row>
    <row r="2509" spans="1:6" ht="12.75" x14ac:dyDescent="0.2">
      <c r="A2509" s="451"/>
      <c r="B2509" s="451"/>
      <c r="C2509" s="451"/>
      <c r="D2509" s="451"/>
      <c r="E2509" s="468"/>
      <c r="F2509" s="468"/>
    </row>
    <row r="2510" spans="1:6" ht="12.75" x14ac:dyDescent="0.2">
      <c r="A2510" s="451"/>
      <c r="B2510" s="451"/>
      <c r="C2510" s="451"/>
      <c r="D2510" s="451"/>
      <c r="E2510" s="468"/>
      <c r="F2510" s="468"/>
    </row>
    <row r="2511" spans="1:6" ht="12.75" x14ac:dyDescent="0.2">
      <c r="A2511" s="451"/>
      <c r="B2511" s="451"/>
      <c r="C2511" s="451"/>
      <c r="D2511" s="451"/>
      <c r="E2511" s="468"/>
      <c r="F2511" s="468"/>
    </row>
    <row r="2512" spans="1:6" ht="12.75" x14ac:dyDescent="0.2">
      <c r="A2512" s="451"/>
      <c r="B2512" s="451"/>
      <c r="C2512" s="451"/>
      <c r="D2512" s="451"/>
      <c r="E2512" s="468"/>
      <c r="F2512" s="468"/>
    </row>
    <row r="2513" spans="1:6" ht="12.75" x14ac:dyDescent="0.2">
      <c r="A2513" s="451"/>
      <c r="B2513" s="451"/>
      <c r="C2513" s="451"/>
      <c r="D2513" s="451"/>
      <c r="E2513" s="468"/>
      <c r="F2513" s="468"/>
    </row>
    <row r="2514" spans="1:6" ht="12.75" x14ac:dyDescent="0.2">
      <c r="A2514" s="451"/>
      <c r="B2514" s="451"/>
      <c r="C2514" s="451"/>
      <c r="D2514" s="451"/>
      <c r="E2514" s="468"/>
      <c r="F2514" s="468"/>
    </row>
    <row r="2515" spans="1:6" ht="12.75" x14ac:dyDescent="0.2">
      <c r="A2515" s="451"/>
      <c r="B2515" s="451"/>
      <c r="C2515" s="451"/>
      <c r="D2515" s="451"/>
      <c r="E2515" s="468"/>
      <c r="F2515" s="468"/>
    </row>
    <row r="2516" spans="1:6" ht="12.75" x14ac:dyDescent="0.2">
      <c r="A2516" s="451"/>
      <c r="B2516" s="451"/>
      <c r="C2516" s="451"/>
      <c r="D2516" s="451"/>
      <c r="E2516" s="468"/>
      <c r="F2516" s="468"/>
    </row>
    <row r="2517" spans="1:6" ht="12.75" x14ac:dyDescent="0.2">
      <c r="A2517" s="451"/>
      <c r="B2517" s="451"/>
      <c r="C2517" s="451"/>
      <c r="D2517" s="451"/>
      <c r="E2517" s="468"/>
      <c r="F2517" s="468"/>
    </row>
    <row r="2518" spans="1:6" ht="12.75" x14ac:dyDescent="0.2">
      <c r="A2518" s="451"/>
      <c r="B2518" s="451"/>
      <c r="C2518" s="451"/>
      <c r="D2518" s="451"/>
      <c r="E2518" s="468"/>
      <c r="F2518" s="468"/>
    </row>
    <row r="2519" spans="1:6" ht="12.75" x14ac:dyDescent="0.2">
      <c r="A2519" s="451"/>
      <c r="B2519" s="451"/>
      <c r="C2519" s="451"/>
      <c r="D2519" s="451"/>
      <c r="E2519" s="468"/>
      <c r="F2519" s="468"/>
    </row>
    <row r="2520" spans="1:6" ht="12.75" x14ac:dyDescent="0.2">
      <c r="A2520" s="451"/>
      <c r="B2520" s="451"/>
      <c r="C2520" s="451"/>
      <c r="D2520" s="451"/>
      <c r="E2520" s="468"/>
      <c r="F2520" s="468"/>
    </row>
    <row r="2521" spans="1:6" ht="12.75" x14ac:dyDescent="0.2">
      <c r="A2521" s="451"/>
      <c r="B2521" s="451"/>
      <c r="C2521" s="451"/>
      <c r="D2521" s="451"/>
      <c r="E2521" s="468"/>
      <c r="F2521" s="468"/>
    </row>
    <row r="2522" spans="1:6" ht="12.75" x14ac:dyDescent="0.2">
      <c r="A2522" s="451"/>
      <c r="B2522" s="451"/>
      <c r="C2522" s="451"/>
      <c r="D2522" s="451"/>
      <c r="E2522" s="468"/>
      <c r="F2522" s="468"/>
    </row>
    <row r="2523" spans="1:6" ht="12.75" x14ac:dyDescent="0.2">
      <c r="A2523" s="451"/>
      <c r="B2523" s="451"/>
      <c r="C2523" s="451"/>
      <c r="D2523" s="451"/>
      <c r="E2523" s="468"/>
      <c r="F2523" s="468"/>
    </row>
    <row r="2524" spans="1:6" ht="12.75" x14ac:dyDescent="0.2">
      <c r="A2524" s="451"/>
      <c r="B2524" s="451"/>
      <c r="C2524" s="451"/>
      <c r="D2524" s="451"/>
      <c r="E2524" s="468"/>
      <c r="F2524" s="468"/>
    </row>
    <row r="2525" spans="1:6" ht="12.75" x14ac:dyDescent="0.2">
      <c r="A2525" s="451"/>
      <c r="B2525" s="451"/>
      <c r="C2525" s="451"/>
      <c r="D2525" s="451"/>
      <c r="E2525" s="468"/>
      <c r="F2525" s="468"/>
    </row>
    <row r="2526" spans="1:6" ht="12.75" x14ac:dyDescent="0.2">
      <c r="A2526" s="451"/>
      <c r="B2526" s="451"/>
      <c r="C2526" s="451"/>
      <c r="D2526" s="451"/>
      <c r="E2526" s="468"/>
      <c r="F2526" s="468"/>
    </row>
    <row r="2527" spans="1:6" ht="12.75" x14ac:dyDescent="0.2">
      <c r="A2527" s="451"/>
      <c r="B2527" s="451"/>
      <c r="C2527" s="451"/>
      <c r="D2527" s="451"/>
      <c r="E2527" s="468"/>
      <c r="F2527" s="468"/>
    </row>
    <row r="2528" spans="1:6" ht="12.75" x14ac:dyDescent="0.2">
      <c r="A2528" s="451"/>
      <c r="B2528" s="451"/>
      <c r="C2528" s="451"/>
      <c r="D2528" s="451"/>
      <c r="E2528" s="468"/>
      <c r="F2528" s="468"/>
    </row>
    <row r="2529" spans="1:6" ht="12.75" x14ac:dyDescent="0.2">
      <c r="A2529" s="451"/>
      <c r="B2529" s="451"/>
      <c r="C2529" s="451"/>
      <c r="D2529" s="451"/>
      <c r="E2529" s="468"/>
      <c r="F2529" s="468"/>
    </row>
    <row r="2530" spans="1:6" ht="12.75" x14ac:dyDescent="0.2">
      <c r="A2530" s="451"/>
      <c r="B2530" s="451"/>
      <c r="C2530" s="451"/>
      <c r="D2530" s="451"/>
      <c r="E2530" s="468"/>
      <c r="F2530" s="468"/>
    </row>
    <row r="2531" spans="1:6" ht="12.75" x14ac:dyDescent="0.2">
      <c r="A2531" s="451"/>
      <c r="B2531" s="451"/>
      <c r="C2531" s="451"/>
      <c r="D2531" s="451"/>
      <c r="E2531" s="468"/>
      <c r="F2531" s="468"/>
    </row>
    <row r="2532" spans="1:6" ht="12.75" x14ac:dyDescent="0.2">
      <c r="A2532" s="451"/>
      <c r="B2532" s="451"/>
      <c r="C2532" s="451"/>
      <c r="D2532" s="451"/>
      <c r="E2532" s="468"/>
      <c r="F2532" s="468"/>
    </row>
    <row r="2533" spans="1:6" ht="12.75" x14ac:dyDescent="0.2">
      <c r="A2533" s="451"/>
      <c r="B2533" s="451"/>
      <c r="C2533" s="451"/>
      <c r="D2533" s="451"/>
      <c r="E2533" s="468"/>
      <c r="F2533" s="468"/>
    </row>
    <row r="2534" spans="1:6" ht="12.75" x14ac:dyDescent="0.2">
      <c r="A2534" s="451"/>
      <c r="B2534" s="451"/>
      <c r="C2534" s="451"/>
      <c r="D2534" s="451"/>
      <c r="E2534" s="468"/>
      <c r="F2534" s="468"/>
    </row>
    <row r="2535" spans="1:6" ht="12.75" x14ac:dyDescent="0.2">
      <c r="A2535" s="451"/>
      <c r="B2535" s="451"/>
      <c r="C2535" s="451"/>
      <c r="D2535" s="451"/>
      <c r="E2535" s="468"/>
      <c r="F2535" s="468"/>
    </row>
    <row r="2536" spans="1:6" ht="12.75" x14ac:dyDescent="0.2">
      <c r="A2536" s="451"/>
      <c r="B2536" s="451"/>
      <c r="C2536" s="451"/>
      <c r="D2536" s="451"/>
      <c r="E2536" s="468"/>
      <c r="F2536" s="468"/>
    </row>
    <row r="2537" spans="1:6" ht="12.75" x14ac:dyDescent="0.2">
      <c r="A2537" s="451"/>
      <c r="B2537" s="451"/>
      <c r="C2537" s="451"/>
      <c r="D2537" s="451"/>
      <c r="E2537" s="468"/>
      <c r="F2537" s="468"/>
    </row>
    <row r="2538" spans="1:6" ht="12.75" x14ac:dyDescent="0.2">
      <c r="A2538" s="451"/>
      <c r="B2538" s="451"/>
      <c r="C2538" s="451"/>
      <c r="D2538" s="451"/>
      <c r="E2538" s="468"/>
      <c r="F2538" s="468"/>
    </row>
    <row r="2539" spans="1:6" ht="12.75" x14ac:dyDescent="0.2">
      <c r="A2539" s="451"/>
      <c r="B2539" s="451"/>
      <c r="C2539" s="451"/>
      <c r="D2539" s="451"/>
      <c r="E2539" s="468"/>
      <c r="F2539" s="468"/>
    </row>
    <row r="2540" spans="1:6" ht="12.75" x14ac:dyDescent="0.2">
      <c r="A2540" s="451"/>
      <c r="B2540" s="451"/>
      <c r="C2540" s="451"/>
      <c r="D2540" s="451"/>
      <c r="E2540" s="468"/>
      <c r="F2540" s="468"/>
    </row>
    <row r="2541" spans="1:6" ht="12.75" x14ac:dyDescent="0.2">
      <c r="A2541" s="451"/>
      <c r="B2541" s="451"/>
      <c r="C2541" s="451"/>
      <c r="D2541" s="451"/>
      <c r="E2541" s="468"/>
      <c r="F2541" s="468"/>
    </row>
    <row r="2542" spans="1:6" ht="12.75" x14ac:dyDescent="0.2">
      <c r="A2542" s="451"/>
      <c r="B2542" s="451"/>
      <c r="C2542" s="451"/>
      <c r="D2542" s="451"/>
      <c r="E2542" s="468"/>
      <c r="F2542" s="468"/>
    </row>
    <row r="2543" spans="1:6" ht="12.75" x14ac:dyDescent="0.2">
      <c r="A2543" s="451"/>
      <c r="B2543" s="451"/>
      <c r="C2543" s="451"/>
      <c r="D2543" s="451"/>
      <c r="E2543" s="468"/>
      <c r="F2543" s="468"/>
    </row>
    <row r="2544" spans="1:6" ht="12.75" x14ac:dyDescent="0.2">
      <c r="A2544" s="451"/>
      <c r="B2544" s="451"/>
      <c r="C2544" s="451"/>
      <c r="D2544" s="451"/>
      <c r="E2544" s="468"/>
      <c r="F2544" s="468"/>
    </row>
    <row r="2545" spans="1:6" ht="12.75" x14ac:dyDescent="0.2">
      <c r="A2545" s="451"/>
      <c r="B2545" s="451"/>
      <c r="C2545" s="451"/>
      <c r="D2545" s="451"/>
      <c r="E2545" s="468"/>
      <c r="F2545" s="468"/>
    </row>
    <row r="2546" spans="1:6" ht="12.75" x14ac:dyDescent="0.2">
      <c r="A2546" s="451"/>
      <c r="B2546" s="451"/>
      <c r="C2546" s="451"/>
      <c r="D2546" s="451"/>
      <c r="E2546" s="468"/>
      <c r="F2546" s="468"/>
    </row>
    <row r="2547" spans="1:6" ht="12.75" x14ac:dyDescent="0.2">
      <c r="A2547" s="451"/>
      <c r="B2547" s="451"/>
      <c r="C2547" s="451"/>
      <c r="D2547" s="451"/>
      <c r="E2547" s="468"/>
      <c r="F2547" s="468"/>
    </row>
    <row r="2548" spans="1:6" ht="12.75" x14ac:dyDescent="0.2">
      <c r="A2548" s="451"/>
      <c r="B2548" s="451"/>
      <c r="C2548" s="451"/>
      <c r="D2548" s="451"/>
      <c r="E2548" s="468"/>
      <c r="F2548" s="468"/>
    </row>
    <row r="2549" spans="1:6" ht="12.75" x14ac:dyDescent="0.2">
      <c r="A2549" s="451"/>
      <c r="B2549" s="451"/>
      <c r="C2549" s="451"/>
      <c r="D2549" s="451"/>
      <c r="E2549" s="468"/>
      <c r="F2549" s="468"/>
    </row>
    <row r="2550" spans="1:6" ht="12.75" x14ac:dyDescent="0.2">
      <c r="A2550" s="451"/>
      <c r="B2550" s="451"/>
      <c r="C2550" s="451"/>
      <c r="D2550" s="451"/>
      <c r="E2550" s="468"/>
      <c r="F2550" s="468"/>
    </row>
    <row r="2551" spans="1:6" ht="12.75" x14ac:dyDescent="0.2">
      <c r="A2551" s="451"/>
      <c r="B2551" s="451"/>
      <c r="C2551" s="451"/>
      <c r="D2551" s="451"/>
      <c r="E2551" s="468"/>
      <c r="F2551" s="468"/>
    </row>
    <row r="2552" spans="1:6" ht="12.75" x14ac:dyDescent="0.2">
      <c r="A2552" s="451"/>
      <c r="B2552" s="451"/>
      <c r="C2552" s="451"/>
      <c r="D2552" s="451"/>
      <c r="E2552" s="468"/>
      <c r="F2552" s="468"/>
    </row>
    <row r="2553" spans="1:6" ht="12.75" x14ac:dyDescent="0.2">
      <c r="A2553" s="451"/>
      <c r="B2553" s="451"/>
      <c r="C2553" s="451"/>
      <c r="D2553" s="451"/>
      <c r="E2553" s="468"/>
      <c r="F2553" s="468"/>
    </row>
    <row r="2554" spans="1:6" ht="12.75" x14ac:dyDescent="0.2">
      <c r="A2554" s="451"/>
      <c r="B2554" s="451"/>
      <c r="C2554" s="451"/>
      <c r="D2554" s="451"/>
      <c r="E2554" s="468"/>
      <c r="F2554" s="468"/>
    </row>
    <row r="2555" spans="1:6" ht="12.75" x14ac:dyDescent="0.2">
      <c r="A2555" s="451"/>
      <c r="B2555" s="451"/>
      <c r="C2555" s="451"/>
      <c r="D2555" s="451"/>
      <c r="E2555" s="468"/>
      <c r="F2555" s="468"/>
    </row>
    <row r="2556" spans="1:6" ht="12.75" x14ac:dyDescent="0.2">
      <c r="A2556" s="451"/>
      <c r="B2556" s="451"/>
      <c r="C2556" s="451"/>
      <c r="D2556" s="451"/>
      <c r="E2556" s="468"/>
      <c r="F2556" s="468"/>
    </row>
    <row r="2557" spans="1:6" ht="12.75" x14ac:dyDescent="0.2">
      <c r="A2557" s="451"/>
      <c r="B2557" s="451"/>
      <c r="C2557" s="451"/>
      <c r="D2557" s="451"/>
      <c r="E2557" s="468"/>
      <c r="F2557" s="468"/>
    </row>
    <row r="2558" spans="1:6" ht="12.75" x14ac:dyDescent="0.2">
      <c r="A2558" s="451"/>
      <c r="B2558" s="451"/>
      <c r="C2558" s="451"/>
      <c r="D2558" s="451"/>
      <c r="E2558" s="468"/>
      <c r="F2558" s="468"/>
    </row>
    <row r="2559" spans="1:6" ht="12.75" x14ac:dyDescent="0.2">
      <c r="A2559" s="451"/>
      <c r="B2559" s="451"/>
      <c r="C2559" s="451"/>
      <c r="D2559" s="451"/>
      <c r="E2559" s="468"/>
      <c r="F2559" s="468"/>
    </row>
    <row r="2560" spans="1:6" ht="12.75" x14ac:dyDescent="0.2">
      <c r="A2560" s="451"/>
      <c r="B2560" s="451"/>
      <c r="C2560" s="451"/>
      <c r="D2560" s="451"/>
      <c r="E2560" s="468"/>
      <c r="F2560" s="468"/>
    </row>
    <row r="2561" spans="1:6" ht="12.75" x14ac:dyDescent="0.2">
      <c r="A2561" s="451"/>
      <c r="B2561" s="451"/>
      <c r="C2561" s="451"/>
      <c r="D2561" s="451"/>
      <c r="E2561" s="468"/>
      <c r="F2561" s="468"/>
    </row>
    <row r="2562" spans="1:6" ht="12.75" x14ac:dyDescent="0.2">
      <c r="A2562" s="451"/>
      <c r="B2562" s="451"/>
      <c r="C2562" s="451"/>
      <c r="D2562" s="451"/>
      <c r="E2562" s="468"/>
      <c r="F2562" s="468"/>
    </row>
    <row r="2563" spans="1:6" ht="12.75" x14ac:dyDescent="0.2">
      <c r="A2563" s="451"/>
      <c r="B2563" s="451"/>
      <c r="C2563" s="451"/>
      <c r="D2563" s="451"/>
      <c r="E2563" s="468"/>
      <c r="F2563" s="468"/>
    </row>
    <row r="2564" spans="1:6" ht="12.75" x14ac:dyDescent="0.2">
      <c r="A2564" s="451"/>
      <c r="B2564" s="451"/>
      <c r="C2564" s="451"/>
      <c r="D2564" s="451"/>
      <c r="E2564" s="468"/>
      <c r="F2564" s="468"/>
    </row>
    <row r="2565" spans="1:6" ht="12.75" x14ac:dyDescent="0.2">
      <c r="A2565" s="451"/>
      <c r="B2565" s="451"/>
      <c r="C2565" s="451"/>
      <c r="D2565" s="451"/>
      <c r="E2565" s="468"/>
      <c r="F2565" s="468"/>
    </row>
    <row r="2566" spans="1:6" ht="12.75" x14ac:dyDescent="0.2">
      <c r="A2566" s="451"/>
      <c r="B2566" s="451"/>
      <c r="C2566" s="451"/>
      <c r="D2566" s="451"/>
      <c r="E2566" s="468"/>
      <c r="F2566" s="468"/>
    </row>
    <row r="2567" spans="1:6" ht="12.75" x14ac:dyDescent="0.2">
      <c r="A2567" s="451"/>
      <c r="B2567" s="451"/>
      <c r="C2567" s="451"/>
      <c r="D2567" s="451"/>
      <c r="E2567" s="468"/>
      <c r="F2567" s="468"/>
    </row>
    <row r="2568" spans="1:6" ht="12.75" x14ac:dyDescent="0.2">
      <c r="A2568" s="451"/>
      <c r="B2568" s="451"/>
      <c r="C2568" s="451"/>
      <c r="D2568" s="451"/>
      <c r="E2568" s="468"/>
      <c r="F2568" s="468"/>
    </row>
    <row r="2569" spans="1:6" ht="12.75" x14ac:dyDescent="0.2">
      <c r="A2569" s="451"/>
      <c r="B2569" s="451"/>
      <c r="C2569" s="451"/>
      <c r="D2569" s="451"/>
      <c r="E2569" s="468"/>
      <c r="F2569" s="468"/>
    </row>
    <row r="2570" spans="1:6" ht="12.75" x14ac:dyDescent="0.2">
      <c r="A2570" s="451"/>
      <c r="B2570" s="451"/>
      <c r="C2570" s="451"/>
      <c r="D2570" s="451"/>
      <c r="E2570" s="468"/>
      <c r="F2570" s="468"/>
    </row>
    <row r="2571" spans="1:6" ht="12.75" x14ac:dyDescent="0.2">
      <c r="A2571" s="451"/>
      <c r="B2571" s="451"/>
      <c r="C2571" s="451"/>
      <c r="D2571" s="451"/>
      <c r="E2571" s="468"/>
      <c r="F2571" s="468"/>
    </row>
    <row r="2572" spans="1:6" ht="12.75" x14ac:dyDescent="0.2">
      <c r="A2572" s="451"/>
      <c r="B2572" s="451"/>
      <c r="C2572" s="451"/>
      <c r="D2572" s="451"/>
      <c r="E2572" s="468"/>
      <c r="F2572" s="468"/>
    </row>
    <row r="2573" spans="1:6" ht="12.75" x14ac:dyDescent="0.2">
      <c r="A2573" s="451"/>
      <c r="B2573" s="451"/>
      <c r="C2573" s="451"/>
      <c r="D2573" s="451"/>
      <c r="E2573" s="468"/>
      <c r="F2573" s="468"/>
    </row>
    <row r="2574" spans="1:6" ht="12.75" x14ac:dyDescent="0.2">
      <c r="A2574" s="451"/>
      <c r="B2574" s="451"/>
      <c r="C2574" s="451"/>
      <c r="D2574" s="451"/>
      <c r="E2574" s="468"/>
      <c r="F2574" s="468"/>
    </row>
    <row r="2575" spans="1:6" ht="12.75" x14ac:dyDescent="0.2">
      <c r="A2575" s="451"/>
      <c r="B2575" s="451"/>
      <c r="C2575" s="451"/>
      <c r="D2575" s="451"/>
      <c r="E2575" s="468"/>
      <c r="F2575" s="468"/>
    </row>
    <row r="2576" spans="1:6" ht="12.75" x14ac:dyDescent="0.2">
      <c r="A2576" s="451"/>
      <c r="B2576" s="451"/>
      <c r="C2576" s="451"/>
      <c r="D2576" s="451"/>
      <c r="E2576" s="468"/>
      <c r="F2576" s="468"/>
    </row>
    <row r="2577" spans="1:6" ht="12.75" x14ac:dyDescent="0.2">
      <c r="A2577" s="451"/>
      <c r="B2577" s="451"/>
      <c r="C2577" s="451"/>
      <c r="D2577" s="451"/>
      <c r="E2577" s="468"/>
      <c r="F2577" s="468"/>
    </row>
    <row r="2578" spans="1:6" ht="12.75" x14ac:dyDescent="0.2">
      <c r="A2578" s="451"/>
      <c r="B2578" s="451"/>
      <c r="C2578" s="451"/>
      <c r="D2578" s="451"/>
      <c r="E2578" s="468"/>
      <c r="F2578" s="468"/>
    </row>
    <row r="2579" spans="1:6" ht="12.75" x14ac:dyDescent="0.2">
      <c r="A2579" s="451"/>
      <c r="B2579" s="451"/>
      <c r="C2579" s="451"/>
      <c r="D2579" s="451"/>
      <c r="E2579" s="468"/>
      <c r="F2579" s="468"/>
    </row>
    <row r="2580" spans="1:6" ht="12.75" x14ac:dyDescent="0.2">
      <c r="A2580" s="451"/>
      <c r="B2580" s="451"/>
      <c r="C2580" s="451"/>
      <c r="D2580" s="451"/>
      <c r="E2580" s="468"/>
      <c r="F2580" s="468"/>
    </row>
    <row r="2581" spans="1:6" ht="12.75" x14ac:dyDescent="0.2">
      <c r="A2581" s="451"/>
      <c r="B2581" s="451"/>
      <c r="C2581" s="451"/>
      <c r="D2581" s="451"/>
      <c r="E2581" s="468"/>
      <c r="F2581" s="468"/>
    </row>
    <row r="2582" spans="1:6" ht="12.75" x14ac:dyDescent="0.2">
      <c r="A2582" s="451"/>
      <c r="B2582" s="451"/>
      <c r="C2582" s="451"/>
      <c r="D2582" s="451"/>
      <c r="E2582" s="468"/>
      <c r="F2582" s="468"/>
    </row>
    <row r="2583" spans="1:6" ht="12.75" x14ac:dyDescent="0.2">
      <c r="A2583" s="451"/>
      <c r="B2583" s="451"/>
      <c r="C2583" s="451"/>
      <c r="D2583" s="451"/>
      <c r="E2583" s="468"/>
      <c r="F2583" s="468"/>
    </row>
    <row r="2584" spans="1:6" ht="12.75" x14ac:dyDescent="0.2">
      <c r="A2584" s="451"/>
      <c r="B2584" s="451"/>
      <c r="C2584" s="451"/>
      <c r="D2584" s="451"/>
      <c r="E2584" s="468"/>
      <c r="F2584" s="468"/>
    </row>
    <row r="2585" spans="1:6" ht="12.75" x14ac:dyDescent="0.2">
      <c r="A2585" s="451"/>
      <c r="B2585" s="451"/>
      <c r="C2585" s="451"/>
      <c r="D2585" s="451"/>
      <c r="E2585" s="468"/>
      <c r="F2585" s="468"/>
    </row>
    <row r="2586" spans="1:6" ht="12.75" x14ac:dyDescent="0.2">
      <c r="A2586" s="451"/>
      <c r="B2586" s="451"/>
      <c r="C2586" s="451"/>
      <c r="D2586" s="451"/>
      <c r="E2586" s="468"/>
      <c r="F2586" s="468"/>
    </row>
    <row r="2587" spans="1:6" ht="12.75" x14ac:dyDescent="0.2">
      <c r="A2587" s="451"/>
      <c r="B2587" s="451"/>
      <c r="C2587" s="451"/>
      <c r="D2587" s="451"/>
      <c r="E2587" s="468"/>
      <c r="F2587" s="468"/>
    </row>
    <row r="2588" spans="1:6" ht="12.75" x14ac:dyDescent="0.2">
      <c r="A2588" s="451"/>
      <c r="B2588" s="451"/>
      <c r="C2588" s="451"/>
      <c r="D2588" s="451"/>
      <c r="E2588" s="468"/>
      <c r="F2588" s="468"/>
    </row>
    <row r="2589" spans="1:6" ht="12.75" x14ac:dyDescent="0.2">
      <c r="A2589" s="451"/>
      <c r="B2589" s="451"/>
      <c r="C2589" s="451"/>
      <c r="D2589" s="451"/>
      <c r="E2589" s="468"/>
      <c r="F2589" s="468"/>
    </row>
    <row r="2590" spans="1:6" ht="12.75" x14ac:dyDescent="0.2">
      <c r="A2590" s="451"/>
      <c r="B2590" s="451"/>
      <c r="C2590" s="451"/>
      <c r="D2590" s="451"/>
      <c r="E2590" s="468"/>
      <c r="F2590" s="468"/>
    </row>
    <row r="2591" spans="1:6" ht="12.75" x14ac:dyDescent="0.2">
      <c r="A2591" s="451"/>
      <c r="B2591" s="451"/>
      <c r="C2591" s="451"/>
      <c r="D2591" s="451"/>
      <c r="E2591" s="468"/>
      <c r="F2591" s="468"/>
    </row>
    <row r="2592" spans="1:6" ht="12.75" x14ac:dyDescent="0.2">
      <c r="A2592" s="451"/>
      <c r="B2592" s="451"/>
      <c r="C2592" s="451"/>
      <c r="D2592" s="451"/>
      <c r="E2592" s="468"/>
      <c r="F2592" s="468"/>
    </row>
    <row r="2593" spans="1:6" ht="12.75" x14ac:dyDescent="0.2">
      <c r="A2593" s="451"/>
      <c r="B2593" s="451"/>
      <c r="C2593" s="451"/>
      <c r="D2593" s="451"/>
      <c r="E2593" s="468"/>
      <c r="F2593" s="468"/>
    </row>
    <row r="2594" spans="1:6" ht="12.75" x14ac:dyDescent="0.2">
      <c r="A2594" s="451"/>
      <c r="B2594" s="451"/>
      <c r="C2594" s="451"/>
      <c r="D2594" s="451"/>
      <c r="E2594" s="468"/>
      <c r="F2594" s="468"/>
    </row>
    <row r="2595" spans="1:6" ht="12.75" x14ac:dyDescent="0.2">
      <c r="A2595" s="451"/>
      <c r="B2595" s="451"/>
      <c r="C2595" s="451"/>
      <c r="D2595" s="451"/>
      <c r="E2595" s="468"/>
      <c r="F2595" s="468"/>
    </row>
    <row r="2596" spans="1:6" ht="12.75" x14ac:dyDescent="0.2">
      <c r="A2596" s="451"/>
      <c r="B2596" s="451"/>
      <c r="C2596" s="451"/>
      <c r="D2596" s="451"/>
      <c r="E2596" s="468"/>
      <c r="F2596" s="468"/>
    </row>
    <row r="2597" spans="1:6" ht="12.75" x14ac:dyDescent="0.2">
      <c r="A2597" s="451"/>
      <c r="B2597" s="451"/>
      <c r="C2597" s="451"/>
      <c r="D2597" s="451"/>
      <c r="E2597" s="468"/>
      <c r="F2597" s="468"/>
    </row>
    <row r="2598" spans="1:6" ht="12.75" x14ac:dyDescent="0.2">
      <c r="A2598" s="451"/>
      <c r="B2598" s="451"/>
      <c r="C2598" s="451"/>
      <c r="D2598" s="451"/>
      <c r="E2598" s="468"/>
      <c r="F2598" s="468"/>
    </row>
    <row r="2599" spans="1:6" ht="12.75" x14ac:dyDescent="0.2">
      <c r="A2599" s="451"/>
      <c r="B2599" s="451"/>
      <c r="C2599" s="451"/>
      <c r="D2599" s="451"/>
      <c r="E2599" s="468"/>
      <c r="F2599" s="468"/>
    </row>
    <row r="2600" spans="1:6" ht="12.75" x14ac:dyDescent="0.2">
      <c r="A2600" s="451"/>
      <c r="B2600" s="451"/>
      <c r="C2600" s="451"/>
      <c r="D2600" s="451"/>
      <c r="E2600" s="468"/>
      <c r="F2600" s="468"/>
    </row>
    <row r="2601" spans="1:6" ht="12.75" x14ac:dyDescent="0.2">
      <c r="A2601" s="451"/>
      <c r="B2601" s="451"/>
      <c r="C2601" s="451"/>
      <c r="D2601" s="451"/>
      <c r="E2601" s="468"/>
      <c r="F2601" s="468"/>
    </row>
    <row r="2602" spans="1:6" ht="12.75" x14ac:dyDescent="0.2">
      <c r="A2602" s="451"/>
      <c r="B2602" s="451"/>
      <c r="C2602" s="451"/>
      <c r="D2602" s="451"/>
      <c r="E2602" s="468"/>
      <c r="F2602" s="468"/>
    </row>
    <row r="2603" spans="1:6" ht="12.75" x14ac:dyDescent="0.2">
      <c r="A2603" s="451"/>
      <c r="B2603" s="451"/>
      <c r="C2603" s="451"/>
      <c r="D2603" s="451"/>
      <c r="E2603" s="468"/>
      <c r="F2603" s="468"/>
    </row>
    <row r="2604" spans="1:6" ht="12.75" x14ac:dyDescent="0.2">
      <c r="A2604" s="451"/>
      <c r="B2604" s="451"/>
      <c r="C2604" s="451"/>
      <c r="D2604" s="451"/>
      <c r="E2604" s="468"/>
      <c r="F2604" s="468"/>
    </row>
    <row r="2605" spans="1:6" ht="12.75" x14ac:dyDescent="0.2">
      <c r="A2605" s="451"/>
      <c r="B2605" s="451"/>
      <c r="C2605" s="451"/>
      <c r="D2605" s="451"/>
      <c r="E2605" s="468"/>
      <c r="F2605" s="468"/>
    </row>
    <row r="2606" spans="1:6" ht="12.75" x14ac:dyDescent="0.2">
      <c r="A2606" s="451"/>
      <c r="B2606" s="451"/>
      <c r="C2606" s="451"/>
      <c r="D2606" s="451"/>
      <c r="E2606" s="468"/>
      <c r="F2606" s="468"/>
    </row>
    <row r="2607" spans="1:6" ht="12.75" x14ac:dyDescent="0.2">
      <c r="A2607" s="451"/>
      <c r="B2607" s="451"/>
      <c r="C2607" s="451"/>
      <c r="D2607" s="451"/>
      <c r="E2607" s="468"/>
      <c r="F2607" s="468"/>
    </row>
    <row r="2608" spans="1:6" ht="12.75" x14ac:dyDescent="0.2">
      <c r="A2608" s="451"/>
      <c r="B2608" s="451"/>
      <c r="C2608" s="451"/>
      <c r="D2608" s="451"/>
      <c r="E2608" s="468"/>
      <c r="F2608" s="468"/>
    </row>
    <row r="2609" spans="1:6" ht="12.75" x14ac:dyDescent="0.2">
      <c r="A2609" s="451"/>
      <c r="B2609" s="451"/>
      <c r="C2609" s="451"/>
      <c r="D2609" s="451"/>
      <c r="E2609" s="468"/>
      <c r="F2609" s="468"/>
    </row>
    <row r="2610" spans="1:6" ht="12.75" x14ac:dyDescent="0.2">
      <c r="A2610" s="451"/>
      <c r="B2610" s="451"/>
      <c r="C2610" s="451"/>
      <c r="D2610" s="451"/>
      <c r="E2610" s="468"/>
      <c r="F2610" s="468"/>
    </row>
    <row r="2611" spans="1:6" ht="12.75" x14ac:dyDescent="0.2">
      <c r="A2611" s="451"/>
      <c r="B2611" s="451"/>
      <c r="C2611" s="451"/>
      <c r="D2611" s="451"/>
      <c r="E2611" s="468"/>
      <c r="F2611" s="468"/>
    </row>
    <row r="2612" spans="1:6" ht="12.75" x14ac:dyDescent="0.2">
      <c r="A2612" s="451"/>
      <c r="B2612" s="451"/>
      <c r="C2612" s="451"/>
      <c r="D2612" s="451"/>
      <c r="E2612" s="468"/>
      <c r="F2612" s="468"/>
    </row>
    <row r="2613" spans="1:6" ht="12.75" x14ac:dyDescent="0.2">
      <c r="A2613" s="451"/>
      <c r="B2613" s="451"/>
      <c r="C2613" s="451"/>
      <c r="D2613" s="451"/>
      <c r="E2613" s="468"/>
      <c r="F2613" s="468"/>
    </row>
    <row r="2614" spans="1:6" ht="12.75" x14ac:dyDescent="0.2">
      <c r="A2614" s="451"/>
      <c r="B2614" s="451"/>
      <c r="C2614" s="451"/>
      <c r="D2614" s="451"/>
      <c r="E2614" s="468"/>
      <c r="F2614" s="468"/>
    </row>
    <row r="2615" spans="1:6" ht="12.75" x14ac:dyDescent="0.2">
      <c r="A2615" s="451"/>
      <c r="B2615" s="451"/>
      <c r="C2615" s="451"/>
      <c r="D2615" s="451"/>
      <c r="E2615" s="468"/>
      <c r="F2615" s="468"/>
    </row>
    <row r="2616" spans="1:6" ht="12.75" x14ac:dyDescent="0.2">
      <c r="A2616" s="451"/>
      <c r="B2616" s="451"/>
      <c r="C2616" s="451"/>
      <c r="D2616" s="451"/>
      <c r="E2616" s="468"/>
      <c r="F2616" s="468"/>
    </row>
    <row r="2617" spans="1:6" ht="12.75" x14ac:dyDescent="0.2">
      <c r="A2617" s="451"/>
      <c r="B2617" s="451"/>
      <c r="C2617" s="451"/>
      <c r="D2617" s="451"/>
      <c r="E2617" s="468"/>
      <c r="F2617" s="468"/>
    </row>
    <row r="2618" spans="1:6" ht="12.75" x14ac:dyDescent="0.2">
      <c r="A2618" s="451"/>
      <c r="B2618" s="451"/>
      <c r="C2618" s="451"/>
      <c r="D2618" s="451"/>
      <c r="E2618" s="468"/>
      <c r="F2618" s="468"/>
    </row>
    <row r="2619" spans="1:6" ht="12.75" x14ac:dyDescent="0.2">
      <c r="A2619" s="451"/>
      <c r="B2619" s="451"/>
      <c r="C2619" s="451"/>
      <c r="D2619" s="451"/>
      <c r="E2619" s="468"/>
      <c r="F2619" s="468"/>
    </row>
    <row r="2620" spans="1:6" ht="12.75" x14ac:dyDescent="0.2">
      <c r="A2620" s="451"/>
      <c r="B2620" s="451"/>
      <c r="C2620" s="451"/>
      <c r="D2620" s="451"/>
      <c r="E2620" s="468"/>
      <c r="F2620" s="468"/>
    </row>
    <row r="2621" spans="1:6" ht="12.75" x14ac:dyDescent="0.2">
      <c r="A2621" s="451"/>
      <c r="B2621" s="451"/>
      <c r="C2621" s="451"/>
      <c r="D2621" s="451"/>
      <c r="E2621" s="468"/>
      <c r="F2621" s="468"/>
    </row>
    <row r="2622" spans="1:6" ht="12.75" x14ac:dyDescent="0.2">
      <c r="A2622" s="451"/>
      <c r="B2622" s="451"/>
      <c r="C2622" s="451"/>
      <c r="D2622" s="451"/>
      <c r="E2622" s="468"/>
      <c r="F2622" s="468"/>
    </row>
    <row r="2623" spans="1:6" ht="12.75" x14ac:dyDescent="0.2">
      <c r="A2623" s="451"/>
      <c r="B2623" s="451"/>
      <c r="C2623" s="451"/>
      <c r="D2623" s="451"/>
      <c r="E2623" s="468"/>
      <c r="F2623" s="468"/>
    </row>
    <row r="2624" spans="1:6" ht="12.75" x14ac:dyDescent="0.2">
      <c r="A2624" s="451"/>
      <c r="B2624" s="451"/>
      <c r="C2624" s="451"/>
      <c r="D2624" s="451"/>
      <c r="E2624" s="468"/>
      <c r="F2624" s="468"/>
    </row>
    <row r="2625" spans="1:6" ht="12.75" x14ac:dyDescent="0.2">
      <c r="A2625" s="451"/>
      <c r="B2625" s="451"/>
      <c r="C2625" s="451"/>
      <c r="D2625" s="451"/>
      <c r="E2625" s="468"/>
      <c r="F2625" s="468"/>
    </row>
    <row r="2626" spans="1:6" ht="12.75" x14ac:dyDescent="0.2">
      <c r="A2626" s="451"/>
      <c r="B2626" s="451"/>
      <c r="C2626" s="451"/>
      <c r="D2626" s="451"/>
      <c r="E2626" s="468"/>
      <c r="F2626" s="468"/>
    </row>
    <row r="2627" spans="1:6" ht="12.75" x14ac:dyDescent="0.2">
      <c r="A2627" s="451"/>
      <c r="B2627" s="451"/>
      <c r="C2627" s="451"/>
      <c r="D2627" s="451"/>
      <c r="E2627" s="468"/>
      <c r="F2627" s="468"/>
    </row>
    <row r="2628" spans="1:6" ht="12.75" x14ac:dyDescent="0.2">
      <c r="A2628" s="451"/>
      <c r="B2628" s="451"/>
      <c r="C2628" s="451"/>
      <c r="D2628" s="451"/>
      <c r="E2628" s="468"/>
      <c r="F2628" s="468"/>
    </row>
    <row r="2629" spans="1:6" ht="12.75" x14ac:dyDescent="0.2">
      <c r="A2629" s="451"/>
      <c r="B2629" s="451"/>
      <c r="C2629" s="451"/>
      <c r="D2629" s="451"/>
      <c r="E2629" s="468"/>
      <c r="F2629" s="468"/>
    </row>
    <row r="2630" spans="1:6" ht="12.75" x14ac:dyDescent="0.2">
      <c r="A2630" s="451"/>
      <c r="B2630" s="451"/>
      <c r="C2630" s="451"/>
      <c r="D2630" s="451"/>
      <c r="E2630" s="468"/>
      <c r="F2630" s="468"/>
    </row>
    <row r="2631" spans="1:6" ht="12.75" x14ac:dyDescent="0.2">
      <c r="A2631" s="451"/>
      <c r="B2631" s="451"/>
      <c r="C2631" s="451"/>
      <c r="D2631" s="451"/>
      <c r="E2631" s="468"/>
      <c r="F2631" s="468"/>
    </row>
    <row r="2632" spans="1:6" ht="12.75" x14ac:dyDescent="0.2">
      <c r="A2632" s="451"/>
      <c r="B2632" s="451"/>
      <c r="C2632" s="451"/>
      <c r="D2632" s="451"/>
      <c r="E2632" s="468"/>
      <c r="F2632" s="468"/>
    </row>
    <row r="2633" spans="1:6" ht="12.75" x14ac:dyDescent="0.2">
      <c r="A2633" s="451"/>
      <c r="B2633" s="451"/>
      <c r="C2633" s="451"/>
      <c r="D2633" s="451"/>
      <c r="E2633" s="468"/>
      <c r="F2633" s="468"/>
    </row>
    <row r="2634" spans="1:6" ht="12.75" x14ac:dyDescent="0.2">
      <c r="A2634" s="451"/>
      <c r="B2634" s="451"/>
      <c r="C2634" s="451"/>
      <c r="D2634" s="451"/>
      <c r="E2634" s="468"/>
      <c r="F2634" s="468"/>
    </row>
    <row r="2635" spans="1:6" ht="12.75" x14ac:dyDescent="0.2">
      <c r="A2635" s="451"/>
      <c r="B2635" s="451"/>
      <c r="C2635" s="451"/>
      <c r="D2635" s="451"/>
      <c r="E2635" s="468"/>
      <c r="F2635" s="468"/>
    </row>
    <row r="2636" spans="1:6" ht="12.75" x14ac:dyDescent="0.2">
      <c r="A2636" s="451"/>
      <c r="B2636" s="451"/>
      <c r="C2636" s="451"/>
      <c r="D2636" s="451"/>
      <c r="E2636" s="468"/>
      <c r="F2636" s="468"/>
    </row>
    <row r="2637" spans="1:6" ht="12.75" x14ac:dyDescent="0.2">
      <c r="A2637" s="451"/>
      <c r="B2637" s="451"/>
      <c r="C2637" s="451"/>
      <c r="D2637" s="451"/>
      <c r="E2637" s="468"/>
      <c r="F2637" s="468"/>
    </row>
    <row r="2638" spans="1:6" ht="12.75" x14ac:dyDescent="0.2">
      <c r="A2638" s="451"/>
      <c r="B2638" s="451"/>
      <c r="C2638" s="451"/>
      <c r="D2638" s="451"/>
      <c r="E2638" s="468"/>
      <c r="F2638" s="468"/>
    </row>
    <row r="2639" spans="1:6" ht="12.75" x14ac:dyDescent="0.2">
      <c r="A2639" s="451"/>
      <c r="B2639" s="451"/>
      <c r="C2639" s="451"/>
      <c r="D2639" s="451"/>
      <c r="E2639" s="468"/>
      <c r="F2639" s="468"/>
    </row>
    <row r="2640" spans="1:6" ht="12.75" x14ac:dyDescent="0.2">
      <c r="A2640" s="451"/>
      <c r="B2640" s="451"/>
      <c r="C2640" s="451"/>
      <c r="D2640" s="451"/>
      <c r="E2640" s="468"/>
      <c r="F2640" s="468"/>
    </row>
    <row r="2641" spans="1:6" ht="12.75" x14ac:dyDescent="0.2">
      <c r="A2641" s="451"/>
      <c r="B2641" s="451"/>
      <c r="C2641" s="451"/>
      <c r="D2641" s="451"/>
      <c r="E2641" s="468"/>
      <c r="F2641" s="468"/>
    </row>
    <row r="2642" spans="1:6" ht="12.75" x14ac:dyDescent="0.2">
      <c r="A2642" s="451"/>
      <c r="B2642" s="451"/>
      <c r="C2642" s="451"/>
      <c r="D2642" s="451"/>
      <c r="E2642" s="468"/>
      <c r="F2642" s="468"/>
    </row>
    <row r="2643" spans="1:6" ht="12.75" x14ac:dyDescent="0.2">
      <c r="A2643" s="451"/>
      <c r="B2643" s="451"/>
      <c r="C2643" s="451"/>
      <c r="D2643" s="451"/>
      <c r="E2643" s="468"/>
      <c r="F2643" s="468"/>
    </row>
    <row r="2644" spans="1:6" ht="12.75" x14ac:dyDescent="0.2">
      <c r="A2644" s="451"/>
      <c r="B2644" s="451"/>
      <c r="C2644" s="451"/>
      <c r="D2644" s="451"/>
      <c r="E2644" s="468"/>
      <c r="F2644" s="468"/>
    </row>
    <row r="2645" spans="1:6" ht="12.75" x14ac:dyDescent="0.2">
      <c r="A2645" s="451"/>
      <c r="B2645" s="451"/>
      <c r="C2645" s="451"/>
      <c r="D2645" s="451"/>
      <c r="E2645" s="468"/>
      <c r="F2645" s="468"/>
    </row>
    <row r="2646" spans="1:6" ht="12.75" x14ac:dyDescent="0.2">
      <c r="A2646" s="451"/>
      <c r="B2646" s="451"/>
      <c r="C2646" s="451"/>
      <c r="D2646" s="451"/>
      <c r="E2646" s="468"/>
      <c r="F2646" s="468"/>
    </row>
    <row r="2647" spans="1:6" ht="12.75" x14ac:dyDescent="0.2">
      <c r="A2647" s="451"/>
      <c r="B2647" s="451"/>
      <c r="C2647" s="451"/>
      <c r="D2647" s="451"/>
      <c r="E2647" s="468"/>
      <c r="F2647" s="468"/>
    </row>
    <row r="2648" spans="1:6" ht="12.75" x14ac:dyDescent="0.2">
      <c r="A2648" s="451"/>
      <c r="B2648" s="451"/>
      <c r="C2648" s="451"/>
      <c r="D2648" s="451"/>
      <c r="E2648" s="468"/>
      <c r="F2648" s="468"/>
    </row>
    <row r="2649" spans="1:6" ht="12.75" x14ac:dyDescent="0.2">
      <c r="A2649" s="451"/>
      <c r="B2649" s="451"/>
      <c r="C2649" s="451"/>
      <c r="D2649" s="451"/>
      <c r="E2649" s="468"/>
      <c r="F2649" s="468"/>
    </row>
    <row r="2650" spans="1:6" ht="12.75" x14ac:dyDescent="0.2">
      <c r="A2650" s="451"/>
      <c r="B2650" s="451"/>
      <c r="C2650" s="451"/>
      <c r="D2650" s="451"/>
      <c r="E2650" s="468"/>
      <c r="F2650" s="468"/>
    </row>
    <row r="2651" spans="1:6" ht="12.75" x14ac:dyDescent="0.2">
      <c r="A2651" s="451"/>
      <c r="B2651" s="451"/>
      <c r="C2651" s="451"/>
      <c r="D2651" s="451"/>
      <c r="E2651" s="468"/>
      <c r="F2651" s="468"/>
    </row>
    <row r="2652" spans="1:6" ht="12.75" x14ac:dyDescent="0.2">
      <c r="A2652" s="451"/>
      <c r="B2652" s="451"/>
      <c r="C2652" s="451"/>
      <c r="D2652" s="451"/>
      <c r="E2652" s="468"/>
      <c r="F2652" s="468"/>
    </row>
    <row r="2653" spans="1:6" ht="12.75" x14ac:dyDescent="0.2">
      <c r="A2653" s="451"/>
      <c r="B2653" s="451"/>
      <c r="C2653" s="451"/>
      <c r="D2653" s="451"/>
      <c r="E2653" s="468"/>
      <c r="F2653" s="468"/>
    </row>
    <row r="2654" spans="1:6" ht="12.75" x14ac:dyDescent="0.2">
      <c r="A2654" s="451"/>
      <c r="B2654" s="451"/>
      <c r="C2654" s="451"/>
      <c r="D2654" s="451"/>
      <c r="E2654" s="468"/>
      <c r="F2654" s="468"/>
    </row>
    <row r="2655" spans="1:6" ht="12.75" x14ac:dyDescent="0.2">
      <c r="A2655" s="451"/>
      <c r="B2655" s="451"/>
      <c r="C2655" s="451"/>
      <c r="D2655" s="451"/>
      <c r="E2655" s="468"/>
      <c r="F2655" s="468"/>
    </row>
    <row r="2656" spans="1:6" ht="12.75" x14ac:dyDescent="0.2">
      <c r="A2656" s="451"/>
      <c r="B2656" s="451"/>
      <c r="C2656" s="451"/>
      <c r="D2656" s="451"/>
      <c r="E2656" s="468"/>
      <c r="F2656" s="468"/>
    </row>
    <row r="2657" spans="1:6" ht="12.75" x14ac:dyDescent="0.2">
      <c r="A2657" s="451"/>
      <c r="B2657" s="451"/>
      <c r="C2657" s="451"/>
      <c r="D2657" s="451"/>
      <c r="E2657" s="468"/>
      <c r="F2657" s="468"/>
    </row>
    <row r="2658" spans="1:6" ht="12.75" x14ac:dyDescent="0.2">
      <c r="A2658" s="451"/>
      <c r="B2658" s="451"/>
      <c r="C2658" s="451"/>
      <c r="D2658" s="451"/>
      <c r="E2658" s="468"/>
      <c r="F2658" s="468"/>
    </row>
    <row r="2659" spans="1:6" ht="12.75" x14ac:dyDescent="0.2">
      <c r="A2659" s="451"/>
      <c r="B2659" s="451"/>
      <c r="C2659" s="451"/>
      <c r="D2659" s="451"/>
      <c r="E2659" s="468"/>
      <c r="F2659" s="468"/>
    </row>
    <row r="2660" spans="1:6" ht="12.75" x14ac:dyDescent="0.2">
      <c r="A2660" s="451"/>
      <c r="B2660" s="451"/>
      <c r="C2660" s="451"/>
      <c r="D2660" s="451"/>
      <c r="E2660" s="468"/>
      <c r="F2660" s="468"/>
    </row>
    <row r="2661" spans="1:6" ht="12.75" x14ac:dyDescent="0.2">
      <c r="A2661" s="451"/>
      <c r="B2661" s="451"/>
      <c r="C2661" s="451"/>
      <c r="D2661" s="451"/>
      <c r="E2661" s="468"/>
      <c r="F2661" s="468"/>
    </row>
    <row r="2662" spans="1:6" ht="12.75" x14ac:dyDescent="0.2">
      <c r="A2662" s="451"/>
      <c r="B2662" s="451"/>
      <c r="C2662" s="451"/>
      <c r="D2662" s="451"/>
      <c r="E2662" s="468"/>
      <c r="F2662" s="468"/>
    </row>
    <row r="2663" spans="1:6" ht="12.75" x14ac:dyDescent="0.2">
      <c r="A2663" s="451"/>
      <c r="B2663" s="451"/>
      <c r="C2663" s="451"/>
      <c r="D2663" s="451"/>
      <c r="E2663" s="468"/>
      <c r="F2663" s="468"/>
    </row>
    <row r="2664" spans="1:6" ht="12.75" x14ac:dyDescent="0.2">
      <c r="A2664" s="451"/>
      <c r="B2664" s="451"/>
      <c r="C2664" s="451"/>
      <c r="D2664" s="451"/>
      <c r="E2664" s="468"/>
      <c r="F2664" s="468"/>
    </row>
    <row r="2665" spans="1:6" ht="12.75" x14ac:dyDescent="0.2">
      <c r="A2665" s="451"/>
      <c r="B2665" s="451"/>
      <c r="C2665" s="451"/>
      <c r="D2665" s="451"/>
      <c r="E2665" s="468"/>
      <c r="F2665" s="468"/>
    </row>
    <row r="2666" spans="1:6" ht="12.75" x14ac:dyDescent="0.2">
      <c r="A2666" s="451"/>
      <c r="B2666" s="451"/>
      <c r="C2666" s="451"/>
      <c r="D2666" s="451"/>
      <c r="E2666" s="468"/>
      <c r="F2666" s="468"/>
    </row>
    <row r="2667" spans="1:6" ht="12.75" x14ac:dyDescent="0.2">
      <c r="A2667" s="451"/>
      <c r="B2667" s="451"/>
      <c r="C2667" s="451"/>
      <c r="D2667" s="451"/>
      <c r="E2667" s="468"/>
      <c r="F2667" s="468"/>
    </row>
    <row r="2668" spans="1:6" ht="12.75" x14ac:dyDescent="0.2">
      <c r="A2668" s="451"/>
      <c r="B2668" s="451"/>
      <c r="C2668" s="451"/>
      <c r="D2668" s="451"/>
      <c r="E2668" s="468"/>
      <c r="F2668" s="468"/>
    </row>
    <row r="2669" spans="1:6" ht="12.75" x14ac:dyDescent="0.2">
      <c r="A2669" s="451"/>
      <c r="B2669" s="451"/>
      <c r="C2669" s="451"/>
      <c r="D2669" s="451"/>
      <c r="E2669" s="468"/>
      <c r="F2669" s="468"/>
    </row>
    <row r="2670" spans="1:6" ht="12.75" x14ac:dyDescent="0.2">
      <c r="A2670" s="451"/>
      <c r="B2670" s="451"/>
      <c r="C2670" s="451"/>
      <c r="D2670" s="451"/>
      <c r="E2670" s="468"/>
      <c r="F2670" s="468"/>
    </row>
    <row r="2671" spans="1:6" ht="12.75" x14ac:dyDescent="0.2">
      <c r="A2671" s="451"/>
      <c r="B2671" s="451"/>
      <c r="C2671" s="451"/>
      <c r="D2671" s="451"/>
      <c r="E2671" s="468"/>
      <c r="F2671" s="468"/>
    </row>
    <row r="2672" spans="1:6" ht="12.75" x14ac:dyDescent="0.2">
      <c r="A2672" s="451"/>
      <c r="B2672" s="451"/>
      <c r="C2672" s="451"/>
      <c r="D2672" s="451"/>
      <c r="E2672" s="468"/>
      <c r="F2672" s="468"/>
    </row>
    <row r="2673" spans="1:6" ht="12.75" x14ac:dyDescent="0.2">
      <c r="A2673" s="451"/>
      <c r="B2673" s="451"/>
      <c r="C2673" s="451"/>
      <c r="D2673" s="451"/>
      <c r="E2673" s="468"/>
      <c r="F2673" s="468"/>
    </row>
    <row r="2674" spans="1:6" ht="12.75" x14ac:dyDescent="0.2">
      <c r="A2674" s="451"/>
      <c r="B2674" s="451"/>
      <c r="C2674" s="451"/>
      <c r="D2674" s="451"/>
      <c r="E2674" s="468"/>
      <c r="F2674" s="468"/>
    </row>
    <row r="2675" spans="1:6" ht="12.75" x14ac:dyDescent="0.2">
      <c r="A2675" s="451"/>
      <c r="B2675" s="451"/>
      <c r="C2675" s="451"/>
      <c r="D2675" s="451"/>
      <c r="E2675" s="468"/>
      <c r="F2675" s="468"/>
    </row>
    <row r="2676" spans="1:6" ht="12.75" x14ac:dyDescent="0.2">
      <c r="A2676" s="451"/>
      <c r="B2676" s="451"/>
      <c r="C2676" s="451"/>
      <c r="D2676" s="451"/>
      <c r="E2676" s="468"/>
      <c r="F2676" s="468"/>
    </row>
    <row r="2677" spans="1:6" ht="12.75" x14ac:dyDescent="0.2">
      <c r="A2677" s="451"/>
      <c r="B2677" s="451"/>
      <c r="C2677" s="451"/>
      <c r="D2677" s="451"/>
      <c r="E2677" s="468"/>
      <c r="F2677" s="468"/>
    </row>
    <row r="2678" spans="1:6" ht="12.75" x14ac:dyDescent="0.2">
      <c r="A2678" s="451"/>
      <c r="B2678" s="451"/>
      <c r="C2678" s="451"/>
      <c r="D2678" s="451"/>
      <c r="E2678" s="468"/>
      <c r="F2678" s="468"/>
    </row>
    <row r="2679" spans="1:6" ht="12.75" x14ac:dyDescent="0.2">
      <c r="A2679" s="451"/>
      <c r="B2679" s="451"/>
      <c r="C2679" s="451"/>
      <c r="D2679" s="451"/>
      <c r="E2679" s="468"/>
      <c r="F2679" s="468"/>
    </row>
    <row r="2680" spans="1:6" ht="12.75" x14ac:dyDescent="0.2">
      <c r="A2680" s="451"/>
      <c r="B2680" s="451"/>
      <c r="C2680" s="451"/>
      <c r="D2680" s="451"/>
      <c r="E2680" s="468"/>
      <c r="F2680" s="468"/>
    </row>
    <row r="2681" spans="1:6" ht="12.75" x14ac:dyDescent="0.2">
      <c r="A2681" s="451"/>
      <c r="B2681" s="451"/>
      <c r="C2681" s="451"/>
      <c r="D2681" s="451"/>
      <c r="E2681" s="468"/>
      <c r="F2681" s="468"/>
    </row>
    <row r="2682" spans="1:6" ht="12.75" x14ac:dyDescent="0.2">
      <c r="A2682" s="451"/>
      <c r="B2682" s="451"/>
      <c r="C2682" s="451"/>
      <c r="D2682" s="451"/>
      <c r="E2682" s="468"/>
      <c r="F2682" s="468"/>
    </row>
    <row r="2683" spans="1:6" ht="12.75" x14ac:dyDescent="0.2">
      <c r="A2683" s="451"/>
      <c r="B2683" s="451"/>
      <c r="C2683" s="451"/>
      <c r="D2683" s="451"/>
      <c r="E2683" s="468"/>
      <c r="F2683" s="468"/>
    </row>
    <row r="2684" spans="1:6" ht="12.75" x14ac:dyDescent="0.2">
      <c r="A2684" s="451"/>
      <c r="B2684" s="451"/>
      <c r="C2684" s="451"/>
      <c r="D2684" s="451"/>
      <c r="E2684" s="468"/>
      <c r="F2684" s="468"/>
    </row>
    <row r="2685" spans="1:6" ht="12.75" x14ac:dyDescent="0.2">
      <c r="A2685" s="451"/>
      <c r="B2685" s="451"/>
      <c r="C2685" s="451"/>
      <c r="D2685" s="451"/>
      <c r="E2685" s="468"/>
      <c r="F2685" s="468"/>
    </row>
    <row r="2686" spans="1:6" ht="12.75" x14ac:dyDescent="0.2">
      <c r="A2686" s="451"/>
      <c r="B2686" s="451"/>
      <c r="C2686" s="451"/>
      <c r="D2686" s="451"/>
      <c r="E2686" s="468"/>
      <c r="F2686" s="468"/>
    </row>
    <row r="2687" spans="1:6" ht="12.75" x14ac:dyDescent="0.2">
      <c r="A2687" s="451"/>
      <c r="B2687" s="451"/>
      <c r="C2687" s="451"/>
      <c r="D2687" s="451"/>
      <c r="E2687" s="468"/>
      <c r="F2687" s="468"/>
    </row>
    <row r="2688" spans="1:6" ht="12.75" x14ac:dyDescent="0.2">
      <c r="A2688" s="451"/>
      <c r="B2688" s="451"/>
      <c r="C2688" s="451"/>
      <c r="D2688" s="451"/>
      <c r="E2688" s="468"/>
      <c r="F2688" s="468"/>
    </row>
    <row r="2689" spans="1:6" ht="12.75" x14ac:dyDescent="0.2">
      <c r="A2689" s="451"/>
      <c r="B2689" s="451"/>
      <c r="C2689" s="451"/>
      <c r="D2689" s="451"/>
      <c r="E2689" s="468"/>
      <c r="F2689" s="468"/>
    </row>
    <row r="2690" spans="1:6" ht="12.75" x14ac:dyDescent="0.2">
      <c r="A2690" s="451"/>
      <c r="B2690" s="451"/>
      <c r="C2690" s="451"/>
      <c r="D2690" s="451"/>
      <c r="E2690" s="468"/>
      <c r="F2690" s="468"/>
    </row>
    <row r="2691" spans="1:6" ht="12.75" x14ac:dyDescent="0.2">
      <c r="A2691" s="451"/>
      <c r="B2691" s="451"/>
      <c r="C2691" s="451"/>
      <c r="D2691" s="451"/>
      <c r="E2691" s="468"/>
      <c r="F2691" s="468"/>
    </row>
    <row r="2692" spans="1:6" ht="12.75" x14ac:dyDescent="0.2">
      <c r="A2692" s="451"/>
      <c r="B2692" s="451"/>
      <c r="C2692" s="451"/>
      <c r="D2692" s="451"/>
      <c r="E2692" s="468"/>
      <c r="F2692" s="468"/>
    </row>
    <row r="2693" spans="1:6" ht="12.75" x14ac:dyDescent="0.2">
      <c r="A2693" s="451"/>
      <c r="B2693" s="451"/>
      <c r="C2693" s="451"/>
      <c r="D2693" s="451"/>
      <c r="E2693" s="468"/>
      <c r="F2693" s="468"/>
    </row>
    <row r="2694" spans="1:6" ht="12.75" x14ac:dyDescent="0.2">
      <c r="A2694" s="451"/>
      <c r="B2694" s="451"/>
      <c r="C2694" s="451"/>
      <c r="D2694" s="451"/>
      <c r="E2694" s="468"/>
      <c r="F2694" s="468"/>
    </row>
    <row r="2695" spans="1:6" ht="12.75" x14ac:dyDescent="0.2">
      <c r="A2695" s="451"/>
      <c r="B2695" s="451"/>
      <c r="C2695" s="451"/>
      <c r="D2695" s="451"/>
      <c r="E2695" s="468"/>
      <c r="F2695" s="468"/>
    </row>
    <row r="2696" spans="1:6" ht="12.75" x14ac:dyDescent="0.2">
      <c r="A2696" s="451"/>
      <c r="B2696" s="451"/>
      <c r="C2696" s="451"/>
      <c r="D2696" s="451"/>
      <c r="E2696" s="468"/>
      <c r="F2696" s="468"/>
    </row>
    <row r="2697" spans="1:6" ht="12.75" x14ac:dyDescent="0.2">
      <c r="A2697" s="451"/>
      <c r="B2697" s="451"/>
      <c r="C2697" s="451"/>
      <c r="D2697" s="451"/>
      <c r="E2697" s="468"/>
      <c r="F2697" s="468"/>
    </row>
    <row r="2698" spans="1:6" ht="12.75" x14ac:dyDescent="0.2">
      <c r="A2698" s="451"/>
      <c r="B2698" s="451"/>
      <c r="C2698" s="451"/>
      <c r="D2698" s="451"/>
      <c r="E2698" s="468"/>
      <c r="F2698" s="468"/>
    </row>
    <row r="2699" spans="1:6" ht="12.75" x14ac:dyDescent="0.2">
      <c r="A2699" s="451"/>
      <c r="B2699" s="451"/>
      <c r="C2699" s="451"/>
      <c r="D2699" s="451"/>
      <c r="E2699" s="468"/>
      <c r="F2699" s="468"/>
    </row>
    <row r="2700" spans="1:6" ht="12.75" x14ac:dyDescent="0.2">
      <c r="A2700" s="451"/>
      <c r="B2700" s="451"/>
      <c r="C2700" s="451"/>
      <c r="D2700" s="451"/>
      <c r="E2700" s="468"/>
      <c r="F2700" s="468"/>
    </row>
    <row r="2701" spans="1:6" ht="12.75" x14ac:dyDescent="0.2">
      <c r="A2701" s="451"/>
      <c r="B2701" s="451"/>
      <c r="C2701" s="451"/>
      <c r="D2701" s="451"/>
      <c r="E2701" s="468"/>
      <c r="F2701" s="468"/>
    </row>
    <row r="2702" spans="1:6" ht="12.75" x14ac:dyDescent="0.2">
      <c r="A2702" s="451"/>
      <c r="B2702" s="451"/>
      <c r="C2702" s="451"/>
      <c r="D2702" s="451"/>
      <c r="E2702" s="468"/>
      <c r="F2702" s="468"/>
    </row>
    <row r="2703" spans="1:6" ht="12.75" x14ac:dyDescent="0.2">
      <c r="A2703" s="451"/>
      <c r="B2703" s="451"/>
      <c r="C2703" s="451"/>
      <c r="D2703" s="451"/>
      <c r="E2703" s="468"/>
      <c r="F2703" s="468"/>
    </row>
    <row r="2704" spans="1:6" ht="12.75" x14ac:dyDescent="0.2">
      <c r="A2704" s="451"/>
      <c r="B2704" s="451"/>
      <c r="C2704" s="451"/>
      <c r="D2704" s="451"/>
      <c r="E2704" s="468"/>
      <c r="F2704" s="468"/>
    </row>
    <row r="2705" spans="1:6" ht="12.75" x14ac:dyDescent="0.2">
      <c r="A2705" s="451"/>
      <c r="B2705" s="451"/>
      <c r="C2705" s="451"/>
      <c r="D2705" s="451"/>
      <c r="E2705" s="468"/>
      <c r="F2705" s="468"/>
    </row>
    <row r="2706" spans="1:6" ht="12.75" x14ac:dyDescent="0.2">
      <c r="A2706" s="451"/>
      <c r="B2706" s="451"/>
      <c r="C2706" s="451"/>
      <c r="D2706" s="451"/>
      <c r="E2706" s="468"/>
      <c r="F2706" s="468"/>
    </row>
    <row r="2707" spans="1:6" ht="12.75" x14ac:dyDescent="0.2">
      <c r="A2707" s="451"/>
      <c r="B2707" s="451"/>
      <c r="C2707" s="451"/>
      <c r="D2707" s="451"/>
      <c r="E2707" s="468"/>
      <c r="F2707" s="468"/>
    </row>
    <row r="2708" spans="1:6" ht="12.75" x14ac:dyDescent="0.2">
      <c r="A2708" s="451"/>
      <c r="B2708" s="451"/>
      <c r="C2708" s="451"/>
      <c r="D2708" s="451"/>
      <c r="E2708" s="468"/>
      <c r="F2708" s="468"/>
    </row>
    <row r="2709" spans="1:6" ht="12.75" x14ac:dyDescent="0.2">
      <c r="A2709" s="451"/>
      <c r="B2709" s="451"/>
      <c r="C2709" s="451"/>
      <c r="D2709" s="451"/>
      <c r="E2709" s="468"/>
      <c r="F2709" s="468"/>
    </row>
    <row r="2710" spans="1:6" ht="12.75" x14ac:dyDescent="0.2">
      <c r="A2710" s="451"/>
      <c r="B2710" s="451"/>
      <c r="C2710" s="451"/>
      <c r="D2710" s="451"/>
      <c r="E2710" s="468"/>
      <c r="F2710" s="468"/>
    </row>
    <row r="2711" spans="1:6" ht="12.75" x14ac:dyDescent="0.2">
      <c r="A2711" s="451"/>
      <c r="B2711" s="451"/>
      <c r="C2711" s="451"/>
      <c r="D2711" s="451"/>
      <c r="E2711" s="468"/>
      <c r="F2711" s="468"/>
    </row>
    <row r="2712" spans="1:6" ht="12.75" x14ac:dyDescent="0.2">
      <c r="A2712" s="451"/>
      <c r="B2712" s="451"/>
      <c r="C2712" s="451"/>
      <c r="D2712" s="451"/>
      <c r="E2712" s="468"/>
      <c r="F2712" s="468"/>
    </row>
    <row r="2713" spans="1:6" ht="12.75" x14ac:dyDescent="0.2">
      <c r="A2713" s="451"/>
      <c r="B2713" s="451"/>
      <c r="C2713" s="451"/>
      <c r="D2713" s="451"/>
      <c r="E2713" s="468"/>
      <c r="F2713" s="468"/>
    </row>
    <row r="2714" spans="1:6" ht="12.75" x14ac:dyDescent="0.2">
      <c r="A2714" s="451"/>
      <c r="B2714" s="451"/>
      <c r="C2714" s="451"/>
      <c r="D2714" s="451"/>
      <c r="E2714" s="468"/>
      <c r="F2714" s="468"/>
    </row>
    <row r="2715" spans="1:6" ht="12.75" x14ac:dyDescent="0.2">
      <c r="A2715" s="451"/>
      <c r="B2715" s="451"/>
      <c r="C2715" s="451"/>
      <c r="D2715" s="451"/>
      <c r="E2715" s="468"/>
      <c r="F2715" s="468"/>
    </row>
    <row r="2716" spans="1:6" ht="12.75" x14ac:dyDescent="0.2">
      <c r="A2716" s="451"/>
      <c r="B2716" s="451"/>
      <c r="C2716" s="451"/>
      <c r="D2716" s="451"/>
      <c r="E2716" s="468"/>
      <c r="F2716" s="468"/>
    </row>
    <row r="2717" spans="1:6" ht="12.75" x14ac:dyDescent="0.2">
      <c r="A2717" s="451"/>
      <c r="B2717" s="451"/>
      <c r="C2717" s="451"/>
      <c r="D2717" s="451"/>
      <c r="E2717" s="468"/>
      <c r="F2717" s="468"/>
    </row>
    <row r="2718" spans="1:6" ht="12.75" x14ac:dyDescent="0.2">
      <c r="A2718" s="451"/>
      <c r="B2718" s="451"/>
      <c r="C2718" s="451"/>
      <c r="D2718" s="451"/>
      <c r="E2718" s="468"/>
      <c r="F2718" s="468"/>
    </row>
    <row r="2719" spans="1:6" ht="12.75" x14ac:dyDescent="0.2">
      <c r="A2719" s="451"/>
      <c r="B2719" s="451"/>
      <c r="C2719" s="451"/>
      <c r="D2719" s="451"/>
      <c r="E2719" s="468"/>
      <c r="F2719" s="468"/>
    </row>
    <row r="2720" spans="1:6" ht="12.75" x14ac:dyDescent="0.2">
      <c r="A2720" s="451"/>
      <c r="B2720" s="451"/>
      <c r="C2720" s="451"/>
      <c r="D2720" s="451"/>
      <c r="E2720" s="468"/>
      <c r="F2720" s="468"/>
    </row>
    <row r="2721" spans="1:6" ht="12.75" x14ac:dyDescent="0.2">
      <c r="A2721" s="451"/>
      <c r="B2721" s="451"/>
      <c r="C2721" s="451"/>
      <c r="D2721" s="451"/>
      <c r="E2721" s="468"/>
      <c r="F2721" s="468"/>
    </row>
    <row r="2722" spans="1:6" ht="12.75" x14ac:dyDescent="0.2">
      <c r="A2722" s="451"/>
      <c r="B2722" s="451"/>
      <c r="C2722" s="451"/>
      <c r="D2722" s="451"/>
      <c r="E2722" s="468"/>
      <c r="F2722" s="468"/>
    </row>
    <row r="2723" spans="1:6" ht="12.75" x14ac:dyDescent="0.2">
      <c r="A2723" s="451"/>
      <c r="B2723" s="451"/>
      <c r="C2723" s="451"/>
      <c r="D2723" s="451"/>
      <c r="E2723" s="468"/>
      <c r="F2723" s="468"/>
    </row>
    <row r="2724" spans="1:6" ht="12.75" x14ac:dyDescent="0.2">
      <c r="A2724" s="451"/>
      <c r="B2724" s="451"/>
      <c r="C2724" s="451"/>
      <c r="D2724" s="451"/>
      <c r="E2724" s="468"/>
      <c r="F2724" s="468"/>
    </row>
    <row r="2725" spans="1:6" ht="12.75" x14ac:dyDescent="0.2">
      <c r="A2725" s="451"/>
      <c r="B2725" s="451"/>
      <c r="C2725" s="451"/>
      <c r="D2725" s="451"/>
      <c r="E2725" s="468"/>
      <c r="F2725" s="468"/>
    </row>
    <row r="2726" spans="1:6" ht="12.75" x14ac:dyDescent="0.2">
      <c r="A2726" s="451"/>
      <c r="B2726" s="451"/>
      <c r="C2726" s="451"/>
      <c r="D2726" s="451"/>
      <c r="E2726" s="468"/>
      <c r="F2726" s="468"/>
    </row>
    <row r="2727" spans="1:6" ht="12.75" x14ac:dyDescent="0.2">
      <c r="A2727" s="451"/>
      <c r="B2727" s="451"/>
      <c r="C2727" s="451"/>
      <c r="D2727" s="451"/>
      <c r="E2727" s="468"/>
      <c r="F2727" s="468"/>
    </row>
    <row r="2728" spans="1:6" ht="12.75" x14ac:dyDescent="0.2">
      <c r="A2728" s="451"/>
      <c r="B2728" s="451"/>
      <c r="C2728" s="451"/>
      <c r="D2728" s="451"/>
      <c r="E2728" s="468"/>
      <c r="F2728" s="468"/>
    </row>
    <row r="2729" spans="1:6" ht="12.75" x14ac:dyDescent="0.2">
      <c r="A2729" s="451"/>
      <c r="B2729" s="451"/>
      <c r="C2729" s="451"/>
      <c r="D2729" s="451"/>
      <c r="E2729" s="468"/>
      <c r="F2729" s="468"/>
    </row>
    <row r="2730" spans="1:6" ht="12.75" x14ac:dyDescent="0.2">
      <c r="A2730" s="451"/>
      <c r="B2730" s="451"/>
      <c r="C2730" s="451"/>
      <c r="D2730" s="451"/>
      <c r="E2730" s="468"/>
      <c r="F2730" s="468"/>
    </row>
    <row r="2731" spans="1:6" ht="12.75" x14ac:dyDescent="0.2">
      <c r="A2731" s="451"/>
      <c r="B2731" s="451"/>
      <c r="C2731" s="451"/>
      <c r="D2731" s="451"/>
      <c r="E2731" s="468"/>
      <c r="F2731" s="468"/>
    </row>
    <row r="2732" spans="1:6" ht="12.75" x14ac:dyDescent="0.2">
      <c r="A2732" s="451"/>
      <c r="B2732" s="451"/>
      <c r="C2732" s="451"/>
      <c r="D2732" s="451"/>
      <c r="E2732" s="468"/>
      <c r="F2732" s="468"/>
    </row>
    <row r="2733" spans="1:6" ht="12.75" x14ac:dyDescent="0.2">
      <c r="A2733" s="451"/>
      <c r="B2733" s="451"/>
      <c r="C2733" s="451"/>
      <c r="D2733" s="451"/>
      <c r="E2733" s="468"/>
      <c r="F2733" s="468"/>
    </row>
    <row r="2734" spans="1:6" ht="12.75" x14ac:dyDescent="0.2">
      <c r="A2734" s="451"/>
      <c r="B2734" s="451"/>
      <c r="C2734" s="451"/>
      <c r="D2734" s="451"/>
      <c r="E2734" s="468"/>
      <c r="F2734" s="468"/>
    </row>
    <row r="2735" spans="1:6" ht="12.75" x14ac:dyDescent="0.2">
      <c r="A2735" s="451"/>
      <c r="B2735" s="451"/>
      <c r="C2735" s="451"/>
      <c r="D2735" s="451"/>
      <c r="E2735" s="468"/>
      <c r="F2735" s="468"/>
    </row>
    <row r="2736" spans="1:6" ht="12.75" x14ac:dyDescent="0.2">
      <c r="A2736" s="451"/>
      <c r="B2736" s="451"/>
      <c r="C2736" s="451"/>
      <c r="D2736" s="451"/>
      <c r="E2736" s="468"/>
      <c r="F2736" s="468"/>
    </row>
    <row r="2737" spans="1:6" ht="12.75" x14ac:dyDescent="0.2">
      <c r="A2737" s="451"/>
      <c r="B2737" s="451"/>
      <c r="C2737" s="451"/>
      <c r="D2737" s="451"/>
      <c r="E2737" s="468"/>
      <c r="F2737" s="468"/>
    </row>
    <row r="2738" spans="1:6" ht="12.75" x14ac:dyDescent="0.2">
      <c r="A2738" s="451"/>
      <c r="B2738" s="451"/>
      <c r="C2738" s="451"/>
      <c r="D2738" s="451"/>
      <c r="E2738" s="468"/>
      <c r="F2738" s="468"/>
    </row>
    <row r="2739" spans="1:6" ht="12.75" x14ac:dyDescent="0.2">
      <c r="A2739" s="451"/>
      <c r="B2739" s="451"/>
      <c r="C2739" s="451"/>
      <c r="D2739" s="451"/>
      <c r="E2739" s="468"/>
      <c r="F2739" s="468"/>
    </row>
    <row r="2740" spans="1:6" ht="12.75" x14ac:dyDescent="0.2">
      <c r="A2740" s="451"/>
      <c r="B2740" s="451"/>
      <c r="C2740" s="451"/>
      <c r="D2740" s="451"/>
      <c r="E2740" s="468"/>
      <c r="F2740" s="468"/>
    </row>
    <row r="2741" spans="1:6" ht="12.75" x14ac:dyDescent="0.2">
      <c r="A2741" s="451"/>
      <c r="B2741" s="451"/>
      <c r="C2741" s="451"/>
      <c r="D2741" s="451"/>
      <c r="E2741" s="468"/>
      <c r="F2741" s="468"/>
    </row>
    <row r="2742" spans="1:6" ht="12.75" x14ac:dyDescent="0.2">
      <c r="A2742" s="451"/>
      <c r="B2742" s="451"/>
      <c r="C2742" s="451"/>
      <c r="D2742" s="451"/>
      <c r="E2742" s="468"/>
      <c r="F2742" s="468"/>
    </row>
    <row r="2743" spans="1:6" ht="12.75" x14ac:dyDescent="0.2">
      <c r="A2743" s="451"/>
      <c r="B2743" s="451"/>
      <c r="C2743" s="451"/>
      <c r="D2743" s="451"/>
      <c r="E2743" s="468"/>
      <c r="F2743" s="468"/>
    </row>
    <row r="2744" spans="1:6" ht="12.75" x14ac:dyDescent="0.2">
      <c r="A2744" s="451"/>
      <c r="B2744" s="451"/>
      <c r="C2744" s="451"/>
      <c r="D2744" s="451"/>
      <c r="E2744" s="468"/>
      <c r="F2744" s="468"/>
    </row>
    <row r="2745" spans="1:6" ht="12.75" x14ac:dyDescent="0.2">
      <c r="A2745" s="451"/>
      <c r="B2745" s="451"/>
      <c r="C2745" s="451"/>
      <c r="D2745" s="451"/>
      <c r="E2745" s="468"/>
      <c r="F2745" s="468"/>
    </row>
    <row r="2746" spans="1:6" ht="12.75" x14ac:dyDescent="0.2">
      <c r="A2746" s="451"/>
      <c r="B2746" s="451"/>
      <c r="C2746" s="451"/>
      <c r="D2746" s="451"/>
      <c r="E2746" s="468"/>
      <c r="F2746" s="468"/>
    </row>
    <row r="2747" spans="1:6" ht="12.75" x14ac:dyDescent="0.2">
      <c r="A2747" s="451"/>
      <c r="B2747" s="451"/>
      <c r="C2747" s="451"/>
      <c r="D2747" s="451"/>
      <c r="E2747" s="468"/>
      <c r="F2747" s="468"/>
    </row>
    <row r="2748" spans="1:6" ht="12.75" x14ac:dyDescent="0.2">
      <c r="A2748" s="451"/>
      <c r="B2748" s="451"/>
      <c r="C2748" s="451"/>
      <c r="D2748" s="451"/>
      <c r="E2748" s="468"/>
      <c r="F2748" s="468"/>
    </row>
    <row r="2749" spans="1:6" ht="12.75" x14ac:dyDescent="0.2">
      <c r="A2749" s="451"/>
      <c r="B2749" s="451"/>
      <c r="C2749" s="451"/>
      <c r="D2749" s="451"/>
      <c r="E2749" s="468"/>
      <c r="F2749" s="468"/>
    </row>
    <row r="2750" spans="1:6" ht="12.75" x14ac:dyDescent="0.2">
      <c r="A2750" s="451"/>
      <c r="B2750" s="451"/>
      <c r="C2750" s="451"/>
      <c r="D2750" s="451"/>
      <c r="E2750" s="468"/>
      <c r="F2750" s="468"/>
    </row>
    <row r="2751" spans="1:6" ht="12.75" x14ac:dyDescent="0.2">
      <c r="A2751" s="451"/>
      <c r="B2751" s="451"/>
      <c r="C2751" s="451"/>
      <c r="D2751" s="451"/>
      <c r="E2751" s="468"/>
      <c r="F2751" s="468"/>
    </row>
    <row r="2752" spans="1:6" ht="12.75" x14ac:dyDescent="0.2">
      <c r="A2752" s="451"/>
      <c r="B2752" s="451"/>
      <c r="C2752" s="451"/>
      <c r="D2752" s="451"/>
      <c r="E2752" s="468"/>
      <c r="F2752" s="468"/>
    </row>
    <row r="2753" spans="1:6" ht="12.75" x14ac:dyDescent="0.2">
      <c r="A2753" s="451"/>
      <c r="B2753" s="451"/>
      <c r="C2753" s="451"/>
      <c r="D2753" s="451"/>
      <c r="E2753" s="468"/>
      <c r="F2753" s="468"/>
    </row>
    <row r="2754" spans="1:6" ht="12.75" x14ac:dyDescent="0.2">
      <c r="A2754" s="451"/>
      <c r="B2754" s="451"/>
      <c r="C2754" s="451"/>
      <c r="D2754" s="451"/>
      <c r="E2754" s="468"/>
      <c r="F2754" s="468"/>
    </row>
    <row r="2755" spans="1:6" ht="12.75" x14ac:dyDescent="0.2">
      <c r="A2755" s="451"/>
      <c r="B2755" s="451"/>
      <c r="C2755" s="451"/>
      <c r="D2755" s="451"/>
      <c r="E2755" s="468"/>
      <c r="F2755" s="468"/>
    </row>
    <row r="2756" spans="1:6" ht="12.75" x14ac:dyDescent="0.2">
      <c r="A2756" s="451"/>
      <c r="B2756" s="451"/>
      <c r="C2756" s="451"/>
      <c r="D2756" s="451"/>
      <c r="E2756" s="468"/>
      <c r="F2756" s="468"/>
    </row>
    <row r="2757" spans="1:6" ht="12.75" x14ac:dyDescent="0.2">
      <c r="A2757" s="451"/>
      <c r="B2757" s="451"/>
      <c r="C2757" s="451"/>
      <c r="D2757" s="451"/>
      <c r="E2757" s="468"/>
      <c r="F2757" s="468"/>
    </row>
    <row r="2758" spans="1:6" ht="12.75" x14ac:dyDescent="0.2">
      <c r="A2758" s="451"/>
      <c r="B2758" s="451"/>
      <c r="C2758" s="451"/>
      <c r="D2758" s="451"/>
      <c r="E2758" s="468"/>
      <c r="F2758" s="468"/>
    </row>
    <row r="2759" spans="1:6" ht="12.75" x14ac:dyDescent="0.2">
      <c r="A2759" s="451"/>
      <c r="B2759" s="451"/>
      <c r="C2759" s="451"/>
      <c r="D2759" s="451"/>
      <c r="E2759" s="468"/>
      <c r="F2759" s="468"/>
    </row>
    <row r="2760" spans="1:6" ht="12.75" x14ac:dyDescent="0.2">
      <c r="A2760" s="451"/>
      <c r="B2760" s="451"/>
      <c r="C2760" s="451"/>
      <c r="D2760" s="451"/>
      <c r="E2760" s="468"/>
      <c r="F2760" s="468"/>
    </row>
    <row r="2761" spans="1:6" ht="12.75" x14ac:dyDescent="0.2">
      <c r="A2761" s="451"/>
      <c r="B2761" s="451"/>
      <c r="C2761" s="451"/>
      <c r="D2761" s="451"/>
      <c r="E2761" s="468"/>
      <c r="F2761" s="468"/>
    </row>
    <row r="2762" spans="1:6" ht="12.75" x14ac:dyDescent="0.2">
      <c r="A2762" s="451"/>
      <c r="B2762" s="451"/>
      <c r="C2762" s="451"/>
      <c r="D2762" s="451"/>
      <c r="E2762" s="468"/>
      <c r="F2762" s="468"/>
    </row>
    <row r="2763" spans="1:6" ht="12.75" x14ac:dyDescent="0.2">
      <c r="A2763" s="451"/>
      <c r="B2763" s="451"/>
      <c r="C2763" s="451"/>
      <c r="D2763" s="451"/>
      <c r="E2763" s="468"/>
      <c r="F2763" s="468"/>
    </row>
    <row r="2764" spans="1:6" ht="12.75" x14ac:dyDescent="0.2">
      <c r="A2764" s="451"/>
      <c r="B2764" s="451"/>
      <c r="C2764" s="451"/>
      <c r="D2764" s="451"/>
      <c r="E2764" s="468"/>
      <c r="F2764" s="468"/>
    </row>
    <row r="2765" spans="1:6" ht="12.75" x14ac:dyDescent="0.2">
      <c r="A2765" s="451"/>
      <c r="B2765" s="451"/>
      <c r="C2765" s="451"/>
      <c r="D2765" s="451"/>
      <c r="E2765" s="468"/>
      <c r="F2765" s="468"/>
    </row>
    <row r="2766" spans="1:6" ht="12.75" x14ac:dyDescent="0.2">
      <c r="A2766" s="451"/>
      <c r="B2766" s="451"/>
      <c r="C2766" s="451"/>
      <c r="D2766" s="451"/>
      <c r="E2766" s="468"/>
      <c r="F2766" s="468"/>
    </row>
    <row r="2767" spans="1:6" ht="12.75" x14ac:dyDescent="0.2">
      <c r="A2767" s="451"/>
      <c r="B2767" s="451"/>
      <c r="C2767" s="451"/>
      <c r="D2767" s="451"/>
      <c r="E2767" s="468"/>
      <c r="F2767" s="468"/>
    </row>
    <row r="2768" spans="1:6" ht="12.75" x14ac:dyDescent="0.2">
      <c r="A2768" s="451"/>
      <c r="B2768" s="451"/>
      <c r="C2768" s="451"/>
      <c r="D2768" s="451"/>
      <c r="E2768" s="468"/>
      <c r="F2768" s="468"/>
    </row>
    <row r="2769" spans="1:6" ht="12.75" x14ac:dyDescent="0.2">
      <c r="A2769" s="451"/>
      <c r="B2769" s="451"/>
      <c r="C2769" s="451"/>
      <c r="D2769" s="451"/>
      <c r="E2769" s="468"/>
      <c r="F2769" s="468"/>
    </row>
    <row r="2770" spans="1:6" ht="12.75" x14ac:dyDescent="0.2">
      <c r="A2770" s="451"/>
      <c r="B2770" s="451"/>
      <c r="C2770" s="451"/>
      <c r="D2770" s="451"/>
      <c r="E2770" s="468"/>
      <c r="F2770" s="468"/>
    </row>
    <row r="2771" spans="1:6" ht="12.75" x14ac:dyDescent="0.2">
      <c r="A2771" s="451"/>
      <c r="B2771" s="451"/>
      <c r="C2771" s="451"/>
      <c r="D2771" s="451"/>
      <c r="E2771" s="468"/>
      <c r="F2771" s="468"/>
    </row>
    <row r="2772" spans="1:6" ht="12.75" x14ac:dyDescent="0.2">
      <c r="A2772" s="451"/>
      <c r="B2772" s="451"/>
      <c r="C2772" s="451"/>
      <c r="D2772" s="451"/>
      <c r="E2772" s="468"/>
      <c r="F2772" s="468"/>
    </row>
    <row r="2773" spans="1:6" ht="12.75" x14ac:dyDescent="0.2">
      <c r="A2773" s="451"/>
      <c r="B2773" s="451"/>
      <c r="C2773" s="451"/>
      <c r="D2773" s="451"/>
      <c r="E2773" s="468"/>
      <c r="F2773" s="468"/>
    </row>
    <row r="2774" spans="1:6" ht="12.75" x14ac:dyDescent="0.2">
      <c r="A2774" s="451"/>
      <c r="B2774" s="451"/>
      <c r="C2774" s="451"/>
      <c r="D2774" s="451"/>
      <c r="E2774" s="468"/>
      <c r="F2774" s="468"/>
    </row>
    <row r="2775" spans="1:6" ht="12.75" x14ac:dyDescent="0.2">
      <c r="A2775" s="451"/>
      <c r="B2775" s="451"/>
      <c r="C2775" s="451"/>
      <c r="D2775" s="451"/>
      <c r="E2775" s="468"/>
      <c r="F2775" s="468"/>
    </row>
    <row r="2776" spans="1:6" ht="12.75" x14ac:dyDescent="0.2">
      <c r="A2776" s="451"/>
      <c r="B2776" s="451"/>
      <c r="C2776" s="451"/>
      <c r="D2776" s="451"/>
      <c r="E2776" s="468"/>
      <c r="F2776" s="468"/>
    </row>
    <row r="2777" spans="1:6" ht="12.75" x14ac:dyDescent="0.2">
      <c r="A2777" s="451"/>
      <c r="B2777" s="451"/>
      <c r="C2777" s="451"/>
      <c r="D2777" s="451"/>
      <c r="E2777" s="468"/>
      <c r="F2777" s="468"/>
    </row>
    <row r="2778" spans="1:6" ht="12.75" x14ac:dyDescent="0.2">
      <c r="A2778" s="451"/>
      <c r="B2778" s="451"/>
      <c r="C2778" s="451"/>
      <c r="D2778" s="451"/>
      <c r="E2778" s="468"/>
      <c r="F2778" s="468"/>
    </row>
    <row r="2779" spans="1:6" ht="12.75" x14ac:dyDescent="0.2">
      <c r="A2779" s="451"/>
      <c r="B2779" s="451"/>
      <c r="C2779" s="451"/>
      <c r="D2779" s="451"/>
      <c r="E2779" s="468"/>
      <c r="F2779" s="468"/>
    </row>
    <row r="2780" spans="1:6" ht="12.75" x14ac:dyDescent="0.2">
      <c r="A2780" s="451"/>
      <c r="B2780" s="451"/>
      <c r="C2780" s="451"/>
      <c r="D2780" s="451"/>
      <c r="E2780" s="468"/>
      <c r="F2780" s="468"/>
    </row>
    <row r="2781" spans="1:6" ht="12.75" x14ac:dyDescent="0.2">
      <c r="A2781" s="451"/>
      <c r="B2781" s="451"/>
      <c r="C2781" s="451"/>
      <c r="D2781" s="451"/>
      <c r="E2781" s="468"/>
      <c r="F2781" s="468"/>
    </row>
    <row r="2782" spans="1:6" ht="12.75" x14ac:dyDescent="0.2">
      <c r="A2782" s="451"/>
      <c r="B2782" s="451"/>
      <c r="C2782" s="451"/>
      <c r="D2782" s="451"/>
      <c r="E2782" s="468"/>
      <c r="F2782" s="468"/>
    </row>
    <row r="2783" spans="1:6" ht="12.75" x14ac:dyDescent="0.2">
      <c r="A2783" s="451"/>
      <c r="B2783" s="451"/>
      <c r="C2783" s="451"/>
      <c r="D2783" s="451"/>
      <c r="E2783" s="468"/>
      <c r="F2783" s="468"/>
    </row>
    <row r="2784" spans="1:6" ht="12.75" x14ac:dyDescent="0.2">
      <c r="A2784" s="451"/>
      <c r="B2784" s="451"/>
      <c r="C2784" s="451"/>
      <c r="D2784" s="451"/>
      <c r="E2784" s="468"/>
      <c r="F2784" s="468"/>
    </row>
    <row r="2785" spans="1:6" ht="12.75" x14ac:dyDescent="0.2">
      <c r="A2785" s="451"/>
      <c r="B2785" s="451"/>
      <c r="C2785" s="451"/>
      <c r="D2785" s="451"/>
      <c r="E2785" s="468"/>
      <c r="F2785" s="468"/>
    </row>
    <row r="2786" spans="1:6" ht="12.75" x14ac:dyDescent="0.2">
      <c r="A2786" s="451"/>
      <c r="B2786" s="451"/>
      <c r="C2786" s="451"/>
      <c r="D2786" s="451"/>
      <c r="E2786" s="468"/>
      <c r="F2786" s="468"/>
    </row>
    <row r="2787" spans="1:6" ht="12.75" x14ac:dyDescent="0.2">
      <c r="A2787" s="451"/>
      <c r="B2787" s="451"/>
      <c r="C2787" s="451"/>
      <c r="D2787" s="451"/>
      <c r="E2787" s="468"/>
      <c r="F2787" s="468"/>
    </row>
    <row r="2788" spans="1:6" ht="12.75" x14ac:dyDescent="0.2">
      <c r="A2788" s="451"/>
      <c r="B2788" s="451"/>
      <c r="C2788" s="451"/>
      <c r="D2788" s="451"/>
      <c r="E2788" s="468"/>
      <c r="F2788" s="468"/>
    </row>
    <row r="2789" spans="1:6" ht="12.75" x14ac:dyDescent="0.2">
      <c r="A2789" s="451"/>
      <c r="B2789" s="451"/>
      <c r="C2789" s="451"/>
      <c r="D2789" s="451"/>
      <c r="E2789" s="468"/>
      <c r="F2789" s="468"/>
    </row>
    <row r="2790" spans="1:6" ht="12.75" x14ac:dyDescent="0.2">
      <c r="A2790" s="451"/>
      <c r="B2790" s="451"/>
      <c r="C2790" s="451"/>
      <c r="D2790" s="451"/>
      <c r="E2790" s="468"/>
      <c r="F2790" s="468"/>
    </row>
    <row r="2791" spans="1:6" ht="12.75" x14ac:dyDescent="0.2">
      <c r="A2791" s="451"/>
      <c r="B2791" s="451"/>
      <c r="C2791" s="451"/>
      <c r="D2791" s="451"/>
      <c r="E2791" s="468"/>
      <c r="F2791" s="468"/>
    </row>
    <row r="2792" spans="1:6" ht="12.75" x14ac:dyDescent="0.2">
      <c r="A2792" s="451"/>
      <c r="B2792" s="451"/>
      <c r="C2792" s="451"/>
      <c r="D2792" s="451"/>
      <c r="E2792" s="468"/>
      <c r="F2792" s="468"/>
    </row>
    <row r="2793" spans="1:6" ht="12.75" x14ac:dyDescent="0.2">
      <c r="A2793" s="451"/>
      <c r="B2793" s="451"/>
      <c r="C2793" s="451"/>
      <c r="D2793" s="451"/>
      <c r="E2793" s="468"/>
      <c r="F2793" s="468"/>
    </row>
    <row r="2794" spans="1:6" ht="12.75" x14ac:dyDescent="0.2">
      <c r="A2794" s="451"/>
      <c r="B2794" s="451"/>
      <c r="C2794" s="451"/>
      <c r="D2794" s="451"/>
      <c r="E2794" s="468"/>
      <c r="F2794" s="468"/>
    </row>
    <row r="2795" spans="1:6" ht="12.75" x14ac:dyDescent="0.2">
      <c r="A2795" s="451"/>
      <c r="B2795" s="451"/>
      <c r="C2795" s="451"/>
      <c r="D2795" s="451"/>
      <c r="E2795" s="468"/>
      <c r="F2795" s="468"/>
    </row>
    <row r="2796" spans="1:6" ht="12.75" x14ac:dyDescent="0.2">
      <c r="A2796" s="451"/>
      <c r="B2796" s="451"/>
      <c r="C2796" s="451"/>
      <c r="D2796" s="451"/>
      <c r="E2796" s="468"/>
      <c r="F2796" s="468"/>
    </row>
    <row r="2797" spans="1:6" ht="12.75" x14ac:dyDescent="0.2">
      <c r="A2797" s="451"/>
      <c r="B2797" s="451"/>
      <c r="C2797" s="451"/>
      <c r="D2797" s="451"/>
      <c r="E2797" s="468"/>
      <c r="F2797" s="468"/>
    </row>
    <row r="2798" spans="1:6" ht="12.75" x14ac:dyDescent="0.2">
      <c r="A2798" s="451"/>
      <c r="B2798" s="451"/>
      <c r="C2798" s="451"/>
      <c r="D2798" s="451"/>
      <c r="E2798" s="468"/>
      <c r="F2798" s="468"/>
    </row>
    <row r="2799" spans="1:6" ht="12.75" x14ac:dyDescent="0.2">
      <c r="A2799" s="451"/>
      <c r="B2799" s="451"/>
      <c r="C2799" s="451"/>
      <c r="D2799" s="451"/>
      <c r="E2799" s="468"/>
      <c r="F2799" s="468"/>
    </row>
    <row r="2800" spans="1:6" ht="12.75" x14ac:dyDescent="0.2">
      <c r="A2800" s="451"/>
      <c r="B2800" s="451"/>
      <c r="C2800" s="451"/>
      <c r="D2800" s="451"/>
      <c r="E2800" s="468"/>
      <c r="F2800" s="468"/>
    </row>
    <row r="2801" spans="1:6" ht="12.75" x14ac:dyDescent="0.2">
      <c r="A2801" s="451"/>
      <c r="B2801" s="451"/>
      <c r="C2801" s="451"/>
      <c r="D2801" s="451"/>
      <c r="E2801" s="468"/>
      <c r="F2801" s="468"/>
    </row>
    <row r="2802" spans="1:6" ht="12.75" x14ac:dyDescent="0.2">
      <c r="A2802" s="451"/>
      <c r="B2802" s="451"/>
      <c r="C2802" s="451"/>
      <c r="D2802" s="451"/>
      <c r="E2802" s="468"/>
      <c r="F2802" s="468"/>
    </row>
    <row r="2803" spans="1:6" ht="12.75" x14ac:dyDescent="0.2">
      <c r="A2803" s="451"/>
      <c r="B2803" s="451"/>
      <c r="C2803" s="451"/>
      <c r="D2803" s="451"/>
      <c r="E2803" s="468"/>
      <c r="F2803" s="468"/>
    </row>
    <row r="2804" spans="1:6" ht="12.75" x14ac:dyDescent="0.2">
      <c r="A2804" s="451"/>
      <c r="B2804" s="451"/>
      <c r="C2804" s="451"/>
      <c r="D2804" s="451"/>
      <c r="E2804" s="468"/>
      <c r="F2804" s="468"/>
    </row>
    <row r="2805" spans="1:6" ht="12.75" x14ac:dyDescent="0.2">
      <c r="A2805" s="451"/>
      <c r="B2805" s="451"/>
      <c r="C2805" s="451"/>
      <c r="D2805" s="451"/>
      <c r="E2805" s="468"/>
      <c r="F2805" s="468"/>
    </row>
    <row r="2806" spans="1:6" ht="12.75" x14ac:dyDescent="0.2">
      <c r="A2806" s="451"/>
      <c r="B2806" s="451"/>
      <c r="C2806" s="451"/>
      <c r="D2806" s="451"/>
      <c r="E2806" s="468"/>
      <c r="F2806" s="468"/>
    </row>
    <row r="2807" spans="1:6" ht="12.75" x14ac:dyDescent="0.2">
      <c r="A2807" s="451"/>
      <c r="B2807" s="451"/>
      <c r="C2807" s="451"/>
      <c r="D2807" s="451"/>
      <c r="E2807" s="468"/>
      <c r="F2807" s="468"/>
    </row>
    <row r="2808" spans="1:6" ht="12.75" x14ac:dyDescent="0.2">
      <c r="A2808" s="451"/>
      <c r="B2808" s="451"/>
      <c r="C2808" s="451"/>
      <c r="D2808" s="451"/>
      <c r="E2808" s="468"/>
      <c r="F2808" s="468"/>
    </row>
    <row r="2809" spans="1:6" ht="12.75" x14ac:dyDescent="0.2">
      <c r="A2809" s="451"/>
      <c r="B2809" s="451"/>
      <c r="C2809" s="451"/>
      <c r="D2809" s="451"/>
      <c r="E2809" s="468"/>
      <c r="F2809" s="468"/>
    </row>
    <row r="2810" spans="1:6" ht="12.75" x14ac:dyDescent="0.2">
      <c r="A2810" s="451"/>
      <c r="B2810" s="451"/>
      <c r="C2810" s="451"/>
      <c r="D2810" s="451"/>
      <c r="E2810" s="468"/>
      <c r="F2810" s="468"/>
    </row>
    <row r="2811" spans="1:6" ht="12.75" x14ac:dyDescent="0.2">
      <c r="A2811" s="451"/>
      <c r="B2811" s="451"/>
      <c r="C2811" s="451"/>
      <c r="D2811" s="451"/>
      <c r="E2811" s="468"/>
      <c r="F2811" s="468"/>
    </row>
    <row r="2812" spans="1:6" ht="12.75" x14ac:dyDescent="0.2">
      <c r="A2812" s="451"/>
      <c r="B2812" s="451"/>
      <c r="C2812" s="451"/>
      <c r="D2812" s="451"/>
      <c r="E2812" s="468"/>
      <c r="F2812" s="468"/>
    </row>
    <row r="2813" spans="1:6" ht="12.75" x14ac:dyDescent="0.2">
      <c r="A2813" s="451"/>
      <c r="B2813" s="451"/>
      <c r="C2813" s="451"/>
      <c r="D2813" s="451"/>
      <c r="E2813" s="468"/>
      <c r="F2813" s="468"/>
    </row>
    <row r="2814" spans="1:6" ht="12.75" x14ac:dyDescent="0.2">
      <c r="A2814" s="451"/>
      <c r="B2814" s="451"/>
      <c r="C2814" s="451"/>
      <c r="D2814" s="451"/>
      <c r="E2814" s="468"/>
      <c r="F2814" s="468"/>
    </row>
    <row r="2815" spans="1:6" ht="12.75" x14ac:dyDescent="0.2">
      <c r="A2815" s="451"/>
      <c r="B2815" s="451"/>
      <c r="C2815" s="451"/>
      <c r="D2815" s="451"/>
      <c r="E2815" s="468"/>
      <c r="F2815" s="468"/>
    </row>
    <row r="2816" spans="1:6" ht="12.75" x14ac:dyDescent="0.2">
      <c r="A2816" s="451"/>
      <c r="B2816" s="451"/>
      <c r="C2816" s="451"/>
      <c r="D2816" s="451"/>
      <c r="E2816" s="468"/>
      <c r="F2816" s="468"/>
    </row>
    <row r="2817" spans="1:6" ht="12.75" x14ac:dyDescent="0.2">
      <c r="A2817" s="451"/>
      <c r="B2817" s="451"/>
      <c r="C2817" s="451"/>
      <c r="D2817" s="451"/>
      <c r="E2817" s="468"/>
      <c r="F2817" s="468"/>
    </row>
    <row r="2818" spans="1:6" ht="12.75" x14ac:dyDescent="0.2">
      <c r="A2818" s="451"/>
      <c r="B2818" s="451"/>
      <c r="C2818" s="451"/>
      <c r="D2818" s="451"/>
      <c r="E2818" s="468"/>
      <c r="F2818" s="468"/>
    </row>
    <row r="2819" spans="1:6" ht="12.75" x14ac:dyDescent="0.2">
      <c r="A2819" s="451"/>
      <c r="B2819" s="451"/>
      <c r="C2819" s="451"/>
      <c r="D2819" s="451"/>
      <c r="E2819" s="468"/>
      <c r="F2819" s="468"/>
    </row>
    <row r="2820" spans="1:6" ht="12.75" x14ac:dyDescent="0.2">
      <c r="A2820" s="451"/>
      <c r="B2820" s="451"/>
      <c r="C2820" s="451"/>
      <c r="D2820" s="451"/>
      <c r="E2820" s="468"/>
      <c r="F2820" s="468"/>
    </row>
    <row r="2821" spans="1:6" ht="12.75" x14ac:dyDescent="0.2">
      <c r="A2821" s="451"/>
      <c r="B2821" s="451"/>
      <c r="C2821" s="451"/>
      <c r="D2821" s="451"/>
      <c r="E2821" s="468"/>
      <c r="F2821" s="468"/>
    </row>
    <row r="2822" spans="1:6" ht="12.75" x14ac:dyDescent="0.2">
      <c r="A2822" s="451"/>
      <c r="B2822" s="451"/>
      <c r="C2822" s="451"/>
      <c r="D2822" s="451"/>
      <c r="E2822" s="468"/>
      <c r="F2822" s="468"/>
    </row>
    <row r="2823" spans="1:6" ht="12.75" x14ac:dyDescent="0.2">
      <c r="A2823" s="451"/>
      <c r="B2823" s="451"/>
      <c r="C2823" s="451"/>
      <c r="D2823" s="451"/>
      <c r="E2823" s="468"/>
      <c r="F2823" s="468"/>
    </row>
    <row r="2824" spans="1:6" ht="12.75" x14ac:dyDescent="0.2">
      <c r="A2824" s="451"/>
      <c r="B2824" s="451"/>
      <c r="C2824" s="451"/>
      <c r="D2824" s="451"/>
      <c r="E2824" s="468"/>
      <c r="F2824" s="468"/>
    </row>
    <row r="2825" spans="1:6" ht="12.75" x14ac:dyDescent="0.2">
      <c r="A2825" s="451"/>
      <c r="B2825" s="451"/>
      <c r="C2825" s="451"/>
      <c r="D2825" s="451"/>
      <c r="E2825" s="468"/>
      <c r="F2825" s="468"/>
    </row>
    <row r="2826" spans="1:6" ht="12.75" x14ac:dyDescent="0.2">
      <c r="A2826" s="451"/>
      <c r="B2826" s="451"/>
      <c r="C2826" s="451"/>
      <c r="D2826" s="451"/>
      <c r="E2826" s="468"/>
      <c r="F2826" s="468"/>
    </row>
    <row r="2827" spans="1:6" ht="12.75" x14ac:dyDescent="0.2">
      <c r="A2827" s="451"/>
      <c r="B2827" s="451"/>
      <c r="C2827" s="451"/>
      <c r="D2827" s="451"/>
      <c r="E2827" s="468"/>
      <c r="F2827" s="468"/>
    </row>
    <row r="2828" spans="1:6" ht="12.75" x14ac:dyDescent="0.2">
      <c r="A2828" s="451"/>
      <c r="B2828" s="451"/>
      <c r="C2828" s="451"/>
      <c r="D2828" s="451"/>
      <c r="E2828" s="468"/>
      <c r="F2828" s="468"/>
    </row>
    <row r="2829" spans="1:6" ht="12.75" x14ac:dyDescent="0.2">
      <c r="A2829" s="451"/>
      <c r="B2829" s="451"/>
      <c r="C2829" s="451"/>
      <c r="D2829" s="451"/>
      <c r="E2829" s="468"/>
      <c r="F2829" s="468"/>
    </row>
    <row r="2830" spans="1:6" ht="12.75" x14ac:dyDescent="0.2">
      <c r="A2830" s="451"/>
      <c r="B2830" s="451"/>
      <c r="C2830" s="451"/>
      <c r="D2830" s="451"/>
      <c r="E2830" s="468"/>
      <c r="F2830" s="468"/>
    </row>
    <row r="2831" spans="1:6" ht="12.75" x14ac:dyDescent="0.2">
      <c r="A2831" s="451"/>
      <c r="B2831" s="451"/>
      <c r="C2831" s="451"/>
      <c r="D2831" s="451"/>
      <c r="E2831" s="468"/>
      <c r="F2831" s="468"/>
    </row>
    <row r="2832" spans="1:6" ht="12.75" x14ac:dyDescent="0.2">
      <c r="A2832" s="451"/>
      <c r="B2832" s="451"/>
      <c r="C2832" s="451"/>
      <c r="D2832" s="451"/>
      <c r="E2832" s="468"/>
      <c r="F2832" s="468"/>
    </row>
    <row r="2833" spans="1:6" ht="12.75" x14ac:dyDescent="0.2">
      <c r="A2833" s="451"/>
      <c r="B2833" s="451"/>
      <c r="C2833" s="451"/>
      <c r="D2833" s="451"/>
      <c r="E2833" s="468"/>
      <c r="F2833" s="468"/>
    </row>
    <row r="2834" spans="1:6" ht="12.75" x14ac:dyDescent="0.2">
      <c r="A2834" s="451"/>
      <c r="B2834" s="451"/>
      <c r="C2834" s="451"/>
      <c r="D2834" s="451"/>
      <c r="E2834" s="468"/>
      <c r="F2834" s="468"/>
    </row>
    <row r="2835" spans="1:6" ht="12.75" x14ac:dyDescent="0.2">
      <c r="A2835" s="451"/>
      <c r="B2835" s="451"/>
      <c r="C2835" s="451"/>
      <c r="D2835" s="451"/>
      <c r="E2835" s="468"/>
      <c r="F2835" s="468"/>
    </row>
    <row r="2836" spans="1:6" ht="12.75" x14ac:dyDescent="0.2">
      <c r="A2836" s="451"/>
      <c r="B2836" s="451"/>
      <c r="C2836" s="451"/>
      <c r="D2836" s="451"/>
      <c r="E2836" s="468"/>
      <c r="F2836" s="468"/>
    </row>
    <row r="2837" spans="1:6" ht="12.75" x14ac:dyDescent="0.2">
      <c r="A2837" s="451"/>
      <c r="B2837" s="451"/>
      <c r="C2837" s="451"/>
      <c r="D2837" s="451"/>
      <c r="E2837" s="468"/>
      <c r="F2837" s="468"/>
    </row>
    <row r="2838" spans="1:6" ht="12.75" x14ac:dyDescent="0.2">
      <c r="A2838" s="451"/>
      <c r="B2838" s="451"/>
      <c r="C2838" s="451"/>
      <c r="D2838" s="451"/>
      <c r="E2838" s="468"/>
      <c r="F2838" s="468"/>
    </row>
    <row r="2839" spans="1:6" ht="12.75" x14ac:dyDescent="0.2">
      <c r="A2839" s="451"/>
      <c r="B2839" s="451"/>
      <c r="C2839" s="451"/>
      <c r="D2839" s="451"/>
      <c r="E2839" s="468"/>
      <c r="F2839" s="468"/>
    </row>
    <row r="2840" spans="1:6" ht="12.75" x14ac:dyDescent="0.2">
      <c r="A2840" s="451"/>
      <c r="B2840" s="451"/>
      <c r="C2840" s="451"/>
      <c r="D2840" s="451"/>
      <c r="E2840" s="468"/>
      <c r="F2840" s="468"/>
    </row>
    <row r="2841" spans="1:6" ht="12.75" x14ac:dyDescent="0.2">
      <c r="A2841" s="451"/>
      <c r="B2841" s="451"/>
      <c r="C2841" s="451"/>
      <c r="D2841" s="451"/>
      <c r="E2841" s="468"/>
      <c r="F2841" s="468"/>
    </row>
    <row r="2842" spans="1:6" ht="12.75" x14ac:dyDescent="0.2">
      <c r="A2842" s="451"/>
      <c r="B2842" s="451"/>
      <c r="C2842" s="451"/>
      <c r="D2842" s="451"/>
      <c r="E2842" s="468"/>
      <c r="F2842" s="468"/>
    </row>
    <row r="2843" spans="1:6" ht="12.75" x14ac:dyDescent="0.2">
      <c r="A2843" s="451"/>
      <c r="B2843" s="451"/>
      <c r="C2843" s="451"/>
      <c r="D2843" s="451"/>
      <c r="E2843" s="468"/>
      <c r="F2843" s="468"/>
    </row>
    <row r="2844" spans="1:6" ht="12.75" x14ac:dyDescent="0.2">
      <c r="A2844" s="451"/>
      <c r="B2844" s="451"/>
      <c r="C2844" s="451"/>
      <c r="D2844" s="451"/>
      <c r="E2844" s="468"/>
      <c r="F2844" s="468"/>
    </row>
    <row r="2845" spans="1:6" ht="12.75" x14ac:dyDescent="0.2">
      <c r="A2845" s="451"/>
      <c r="B2845" s="451"/>
      <c r="C2845" s="451"/>
      <c r="D2845" s="451"/>
      <c r="E2845" s="468"/>
      <c r="F2845" s="468"/>
    </row>
    <row r="2846" spans="1:6" ht="12.75" x14ac:dyDescent="0.2">
      <c r="A2846" s="451"/>
      <c r="B2846" s="451"/>
      <c r="C2846" s="451"/>
      <c r="D2846" s="451"/>
      <c r="E2846" s="468"/>
      <c r="F2846" s="468"/>
    </row>
    <row r="2847" spans="1:6" ht="12.75" x14ac:dyDescent="0.2">
      <c r="A2847" s="451"/>
      <c r="B2847" s="451"/>
      <c r="C2847" s="451"/>
      <c r="D2847" s="451"/>
      <c r="E2847" s="468"/>
      <c r="F2847" s="468"/>
    </row>
    <row r="2848" spans="1:6" ht="12.75" x14ac:dyDescent="0.2">
      <c r="A2848" s="451"/>
      <c r="B2848" s="451"/>
      <c r="C2848" s="451"/>
      <c r="D2848" s="451"/>
      <c r="E2848" s="468"/>
      <c r="F2848" s="468"/>
    </row>
    <row r="2849" spans="1:6" ht="12.75" x14ac:dyDescent="0.2">
      <c r="A2849" s="451"/>
      <c r="B2849" s="451"/>
      <c r="C2849" s="451"/>
      <c r="D2849" s="451"/>
      <c r="E2849" s="468"/>
      <c r="F2849" s="468"/>
    </row>
    <row r="2850" spans="1:6" ht="12.75" x14ac:dyDescent="0.2">
      <c r="A2850" s="451"/>
      <c r="B2850" s="451"/>
      <c r="C2850" s="451"/>
      <c r="D2850" s="451"/>
      <c r="E2850" s="468"/>
      <c r="F2850" s="468"/>
    </row>
    <row r="2851" spans="1:6" ht="12.75" x14ac:dyDescent="0.2">
      <c r="A2851" s="451"/>
      <c r="B2851" s="451"/>
      <c r="C2851" s="451"/>
      <c r="D2851" s="451"/>
      <c r="E2851" s="468"/>
      <c r="F2851" s="468"/>
    </row>
    <row r="2852" spans="1:6" ht="12.75" x14ac:dyDescent="0.2">
      <c r="A2852" s="451"/>
      <c r="B2852" s="451"/>
      <c r="C2852" s="451"/>
      <c r="D2852" s="451"/>
      <c r="E2852" s="468"/>
      <c r="F2852" s="468"/>
    </row>
    <row r="2853" spans="1:6" ht="12.75" x14ac:dyDescent="0.2">
      <c r="A2853" s="451"/>
      <c r="B2853" s="451"/>
      <c r="C2853" s="451"/>
      <c r="D2853" s="451"/>
      <c r="E2853" s="468"/>
      <c r="F2853" s="468"/>
    </row>
    <row r="2854" spans="1:6" ht="12.75" x14ac:dyDescent="0.2">
      <c r="A2854" s="451"/>
      <c r="B2854" s="451"/>
      <c r="C2854" s="451"/>
      <c r="D2854" s="451"/>
      <c r="E2854" s="468"/>
      <c r="F2854" s="468"/>
    </row>
    <row r="2855" spans="1:6" ht="12.75" x14ac:dyDescent="0.2">
      <c r="A2855" s="451"/>
      <c r="B2855" s="451"/>
      <c r="C2855" s="451"/>
      <c r="D2855" s="451"/>
      <c r="E2855" s="468"/>
      <c r="F2855" s="468"/>
    </row>
    <row r="2856" spans="1:6" ht="12.75" x14ac:dyDescent="0.2">
      <c r="A2856" s="451"/>
      <c r="B2856" s="451"/>
      <c r="C2856" s="451"/>
      <c r="D2856" s="451"/>
      <c r="E2856" s="468"/>
      <c r="F2856" s="468"/>
    </row>
    <row r="2857" spans="1:6" ht="12.75" x14ac:dyDescent="0.2">
      <c r="A2857" s="451"/>
      <c r="B2857" s="451"/>
      <c r="C2857" s="451"/>
      <c r="D2857" s="451"/>
      <c r="E2857" s="468"/>
      <c r="F2857" s="468"/>
    </row>
    <row r="2858" spans="1:6" ht="12.75" x14ac:dyDescent="0.2">
      <c r="A2858" s="451"/>
      <c r="B2858" s="451"/>
      <c r="C2858" s="451"/>
      <c r="D2858" s="451"/>
      <c r="E2858" s="468"/>
      <c r="F2858" s="468"/>
    </row>
    <row r="2859" spans="1:6" ht="12.75" x14ac:dyDescent="0.2">
      <c r="A2859" s="451"/>
      <c r="B2859" s="451"/>
      <c r="C2859" s="451"/>
      <c r="D2859" s="451"/>
      <c r="E2859" s="468"/>
      <c r="F2859" s="468"/>
    </row>
    <row r="2860" spans="1:6" ht="12.75" x14ac:dyDescent="0.2">
      <c r="A2860" s="451"/>
      <c r="B2860" s="451"/>
      <c r="C2860" s="451"/>
      <c r="D2860" s="451"/>
      <c r="E2860" s="468"/>
      <c r="F2860" s="468"/>
    </row>
    <row r="2861" spans="1:6" ht="12.75" x14ac:dyDescent="0.2">
      <c r="A2861" s="451"/>
      <c r="B2861" s="451"/>
      <c r="C2861" s="451"/>
      <c r="D2861" s="451"/>
      <c r="E2861" s="468"/>
      <c r="F2861" s="468"/>
    </row>
    <row r="2862" spans="1:6" ht="12.75" x14ac:dyDescent="0.2">
      <c r="A2862" s="451"/>
      <c r="B2862" s="451"/>
      <c r="C2862" s="451"/>
      <c r="D2862" s="451"/>
      <c r="E2862" s="468"/>
      <c r="F2862" s="468"/>
    </row>
    <row r="2863" spans="1:6" ht="12.75" x14ac:dyDescent="0.2">
      <c r="A2863" s="451"/>
      <c r="B2863" s="451"/>
      <c r="C2863" s="451"/>
      <c r="D2863" s="451"/>
      <c r="E2863" s="468"/>
      <c r="F2863" s="468"/>
    </row>
    <row r="2864" spans="1:6" ht="12.75" x14ac:dyDescent="0.2">
      <c r="A2864" s="451"/>
      <c r="B2864" s="451"/>
      <c r="C2864" s="451"/>
      <c r="D2864" s="451"/>
      <c r="E2864" s="468"/>
      <c r="F2864" s="468"/>
    </row>
    <row r="2865" spans="1:6" ht="12.75" x14ac:dyDescent="0.2">
      <c r="A2865" s="451"/>
      <c r="B2865" s="451"/>
      <c r="C2865" s="451"/>
      <c r="D2865" s="451"/>
      <c r="E2865" s="468"/>
      <c r="F2865" s="468"/>
    </row>
    <row r="2866" spans="1:6" ht="12.75" x14ac:dyDescent="0.2">
      <c r="A2866" s="451"/>
      <c r="B2866" s="451"/>
      <c r="C2866" s="451"/>
      <c r="D2866" s="451"/>
      <c r="E2866" s="468"/>
      <c r="F2866" s="468"/>
    </row>
    <row r="2867" spans="1:6" ht="12.75" x14ac:dyDescent="0.2">
      <c r="A2867" s="451"/>
      <c r="B2867" s="451"/>
      <c r="C2867" s="451"/>
      <c r="D2867" s="451"/>
      <c r="E2867" s="468"/>
      <c r="F2867" s="468"/>
    </row>
    <row r="2868" spans="1:6" ht="12.75" x14ac:dyDescent="0.2">
      <c r="A2868" s="451"/>
      <c r="B2868" s="451"/>
      <c r="C2868" s="451"/>
      <c r="D2868" s="451"/>
      <c r="E2868" s="468"/>
      <c r="F2868" s="468"/>
    </row>
    <row r="2869" spans="1:6" ht="12.75" x14ac:dyDescent="0.2">
      <c r="A2869" s="451"/>
      <c r="B2869" s="451"/>
      <c r="C2869" s="451"/>
      <c r="D2869" s="451"/>
      <c r="E2869" s="468"/>
      <c r="F2869" s="468"/>
    </row>
    <row r="2870" spans="1:6" ht="12.75" x14ac:dyDescent="0.2">
      <c r="A2870" s="451"/>
      <c r="B2870" s="451"/>
      <c r="C2870" s="451"/>
      <c r="D2870" s="451"/>
      <c r="E2870" s="468"/>
      <c r="F2870" s="468"/>
    </row>
    <row r="2871" spans="1:6" ht="12.75" x14ac:dyDescent="0.2">
      <c r="A2871" s="451"/>
      <c r="B2871" s="451"/>
      <c r="C2871" s="451"/>
      <c r="D2871" s="451"/>
      <c r="E2871" s="468"/>
      <c r="F2871" s="468"/>
    </row>
    <row r="2872" spans="1:6" ht="12.75" x14ac:dyDescent="0.2">
      <c r="A2872" s="451"/>
      <c r="B2872" s="451"/>
      <c r="C2872" s="451"/>
      <c r="D2872" s="451"/>
      <c r="E2872" s="468"/>
      <c r="F2872" s="468"/>
    </row>
    <row r="2873" spans="1:6" ht="12.75" x14ac:dyDescent="0.2">
      <c r="A2873" s="451"/>
      <c r="B2873" s="451"/>
      <c r="C2873" s="451"/>
      <c r="D2873" s="451"/>
      <c r="E2873" s="468"/>
      <c r="F2873" s="468"/>
    </row>
    <row r="2874" spans="1:6" ht="12.75" x14ac:dyDescent="0.2">
      <c r="A2874" s="451"/>
      <c r="B2874" s="451"/>
      <c r="C2874" s="451"/>
      <c r="D2874" s="451"/>
      <c r="E2874" s="468"/>
      <c r="F2874" s="468"/>
    </row>
    <row r="2875" spans="1:6" ht="12.75" x14ac:dyDescent="0.2">
      <c r="A2875" s="451"/>
      <c r="B2875" s="451"/>
      <c r="C2875" s="451"/>
      <c r="D2875" s="451"/>
      <c r="E2875" s="468"/>
      <c r="F2875" s="468"/>
    </row>
    <row r="2876" spans="1:6" ht="12.75" x14ac:dyDescent="0.2">
      <c r="A2876" s="451"/>
      <c r="B2876" s="451"/>
      <c r="C2876" s="451"/>
      <c r="D2876" s="451"/>
      <c r="E2876" s="468"/>
      <c r="F2876" s="468"/>
    </row>
    <row r="2877" spans="1:6" ht="12.75" x14ac:dyDescent="0.2">
      <c r="A2877" s="451"/>
      <c r="B2877" s="451"/>
      <c r="C2877" s="451"/>
      <c r="D2877" s="451"/>
      <c r="E2877" s="468"/>
      <c r="F2877" s="468"/>
    </row>
    <row r="2878" spans="1:6" ht="12.75" x14ac:dyDescent="0.2">
      <c r="A2878" s="451"/>
      <c r="B2878" s="451"/>
      <c r="C2878" s="451"/>
      <c r="D2878" s="451"/>
      <c r="E2878" s="468"/>
      <c r="F2878" s="468"/>
    </row>
    <row r="2879" spans="1:6" ht="12.75" x14ac:dyDescent="0.2">
      <c r="A2879" s="451"/>
      <c r="B2879" s="451"/>
      <c r="C2879" s="451"/>
      <c r="D2879" s="451"/>
      <c r="E2879" s="468"/>
      <c r="F2879" s="468"/>
    </row>
    <row r="2880" spans="1:6" ht="12.75" x14ac:dyDescent="0.2">
      <c r="A2880" s="451"/>
      <c r="B2880" s="451"/>
      <c r="C2880" s="451"/>
      <c r="D2880" s="451"/>
      <c r="E2880" s="468"/>
      <c r="F2880" s="468"/>
    </row>
    <row r="2881" spans="1:6" ht="12.75" x14ac:dyDescent="0.2">
      <c r="A2881" s="451"/>
      <c r="B2881" s="451"/>
      <c r="C2881" s="451"/>
      <c r="D2881" s="451"/>
      <c r="E2881" s="468"/>
      <c r="F2881" s="468"/>
    </row>
    <row r="2882" spans="1:6" ht="12.75" x14ac:dyDescent="0.2">
      <c r="A2882" s="451"/>
      <c r="B2882" s="451"/>
      <c r="C2882" s="451"/>
      <c r="D2882" s="451"/>
      <c r="E2882" s="468"/>
      <c r="F2882" s="468"/>
    </row>
    <row r="2883" spans="1:6" ht="12.75" x14ac:dyDescent="0.2">
      <c r="A2883" s="451"/>
      <c r="B2883" s="451"/>
      <c r="C2883" s="451"/>
      <c r="D2883" s="451"/>
      <c r="E2883" s="468"/>
      <c r="F2883" s="468"/>
    </row>
    <row r="2884" spans="1:6" ht="12.75" x14ac:dyDescent="0.2">
      <c r="A2884" s="451"/>
      <c r="B2884" s="451"/>
      <c r="C2884" s="451"/>
      <c r="D2884" s="451"/>
      <c r="E2884" s="468"/>
      <c r="F2884" s="468"/>
    </row>
    <row r="2885" spans="1:6" ht="12.75" x14ac:dyDescent="0.2">
      <c r="A2885" s="451"/>
      <c r="B2885" s="451"/>
      <c r="C2885" s="451"/>
      <c r="D2885" s="451"/>
      <c r="E2885" s="468"/>
      <c r="F2885" s="468"/>
    </row>
    <row r="2886" spans="1:6" ht="12.75" x14ac:dyDescent="0.2">
      <c r="A2886" s="451"/>
      <c r="B2886" s="451"/>
      <c r="C2886" s="451"/>
      <c r="D2886" s="451"/>
      <c r="E2886" s="468"/>
      <c r="F2886" s="468"/>
    </row>
    <row r="2887" spans="1:6" ht="12.75" x14ac:dyDescent="0.2">
      <c r="A2887" s="451"/>
      <c r="B2887" s="451"/>
      <c r="C2887" s="451"/>
      <c r="D2887" s="451"/>
      <c r="E2887" s="468"/>
      <c r="F2887" s="468"/>
    </row>
    <row r="2888" spans="1:6" ht="12.75" x14ac:dyDescent="0.2">
      <c r="A2888" s="451"/>
      <c r="B2888" s="451"/>
      <c r="C2888" s="451"/>
      <c r="D2888" s="451"/>
      <c r="E2888" s="468"/>
      <c r="F2888" s="468"/>
    </row>
    <row r="2889" spans="1:6" ht="12.75" x14ac:dyDescent="0.2">
      <c r="A2889" s="451"/>
      <c r="B2889" s="451"/>
      <c r="C2889" s="451"/>
      <c r="D2889" s="451"/>
      <c r="E2889" s="468"/>
      <c r="F2889" s="468"/>
    </row>
    <row r="2890" spans="1:6" ht="12.75" x14ac:dyDescent="0.2">
      <c r="A2890" s="451"/>
      <c r="B2890" s="451"/>
      <c r="C2890" s="451"/>
      <c r="D2890" s="451"/>
      <c r="E2890" s="468"/>
      <c r="F2890" s="468"/>
    </row>
    <row r="2891" spans="1:6" ht="12.75" x14ac:dyDescent="0.2">
      <c r="A2891" s="451"/>
      <c r="B2891" s="451"/>
      <c r="C2891" s="451"/>
      <c r="D2891" s="451"/>
      <c r="E2891" s="468"/>
      <c r="F2891" s="468"/>
    </row>
    <row r="2892" spans="1:6" ht="12.75" x14ac:dyDescent="0.2">
      <c r="A2892" s="451"/>
      <c r="B2892" s="451"/>
      <c r="C2892" s="451"/>
      <c r="D2892" s="451"/>
      <c r="E2892" s="468"/>
      <c r="F2892" s="468"/>
    </row>
    <row r="2893" spans="1:6" ht="12.75" x14ac:dyDescent="0.2">
      <c r="A2893" s="451"/>
      <c r="B2893" s="451"/>
      <c r="C2893" s="451"/>
      <c r="D2893" s="451"/>
      <c r="E2893" s="468"/>
      <c r="F2893" s="468"/>
    </row>
    <row r="2894" spans="1:6" ht="12.75" x14ac:dyDescent="0.2">
      <c r="A2894" s="451"/>
      <c r="B2894" s="451"/>
      <c r="C2894" s="451"/>
      <c r="D2894" s="451"/>
      <c r="E2894" s="468"/>
      <c r="F2894" s="468"/>
    </row>
    <row r="2895" spans="1:6" ht="12.75" x14ac:dyDescent="0.2">
      <c r="A2895" s="451"/>
      <c r="B2895" s="451"/>
      <c r="C2895" s="451"/>
      <c r="D2895" s="451"/>
      <c r="E2895" s="468"/>
      <c r="F2895" s="468"/>
    </row>
    <row r="2896" spans="1:6" ht="12.75" x14ac:dyDescent="0.2">
      <c r="A2896" s="451"/>
      <c r="B2896" s="451"/>
      <c r="C2896" s="451"/>
      <c r="D2896" s="451"/>
      <c r="E2896" s="468"/>
      <c r="F2896" s="468"/>
    </row>
    <row r="2897" spans="1:6" ht="12.75" x14ac:dyDescent="0.2">
      <c r="A2897" s="451"/>
      <c r="B2897" s="451"/>
      <c r="C2897" s="451"/>
      <c r="D2897" s="451"/>
      <c r="E2897" s="468"/>
      <c r="F2897" s="468"/>
    </row>
    <row r="2898" spans="1:6" ht="12.75" x14ac:dyDescent="0.2">
      <c r="A2898" s="451"/>
      <c r="B2898" s="451"/>
      <c r="C2898" s="451"/>
      <c r="D2898" s="451"/>
      <c r="E2898" s="468"/>
      <c r="F2898" s="468"/>
    </row>
    <row r="2899" spans="1:6" ht="12.75" x14ac:dyDescent="0.2">
      <c r="A2899" s="451"/>
      <c r="B2899" s="451"/>
      <c r="C2899" s="451"/>
      <c r="D2899" s="451"/>
      <c r="E2899" s="468"/>
      <c r="F2899" s="468"/>
    </row>
    <row r="2900" spans="1:6" ht="12.75" x14ac:dyDescent="0.2">
      <c r="A2900" s="451"/>
      <c r="B2900" s="451"/>
      <c r="C2900" s="451"/>
      <c r="D2900" s="451"/>
      <c r="E2900" s="468"/>
      <c r="F2900" s="468"/>
    </row>
    <row r="2901" spans="1:6" ht="12.75" x14ac:dyDescent="0.2">
      <c r="A2901" s="451"/>
      <c r="B2901" s="451"/>
      <c r="C2901" s="451"/>
      <c r="D2901" s="451"/>
      <c r="E2901" s="468"/>
      <c r="F2901" s="468"/>
    </row>
    <row r="2902" spans="1:6" ht="12.75" x14ac:dyDescent="0.2">
      <c r="A2902" s="451"/>
      <c r="B2902" s="451"/>
      <c r="C2902" s="451"/>
      <c r="D2902" s="451"/>
      <c r="E2902" s="468"/>
      <c r="F2902" s="468"/>
    </row>
    <row r="2903" spans="1:6" ht="12.75" x14ac:dyDescent="0.2">
      <c r="A2903" s="451"/>
      <c r="B2903" s="451"/>
      <c r="C2903" s="451"/>
      <c r="D2903" s="451"/>
      <c r="E2903" s="468"/>
      <c r="F2903" s="468"/>
    </row>
    <row r="2904" spans="1:6" ht="12.75" x14ac:dyDescent="0.2">
      <c r="A2904" s="451"/>
      <c r="B2904" s="451"/>
      <c r="C2904" s="451"/>
      <c r="D2904" s="451"/>
      <c r="E2904" s="468"/>
      <c r="F2904" s="468"/>
    </row>
    <row r="2905" spans="1:6" ht="12.75" x14ac:dyDescent="0.2">
      <c r="A2905" s="451"/>
      <c r="B2905" s="451"/>
      <c r="C2905" s="451"/>
      <c r="D2905" s="451"/>
      <c r="E2905" s="468"/>
      <c r="F2905" s="468"/>
    </row>
    <row r="2906" spans="1:6" ht="12.75" x14ac:dyDescent="0.2">
      <c r="A2906" s="451"/>
      <c r="B2906" s="451"/>
      <c r="C2906" s="451"/>
      <c r="D2906" s="451"/>
      <c r="E2906" s="468"/>
      <c r="F2906" s="468"/>
    </row>
    <row r="2907" spans="1:6" ht="12.75" x14ac:dyDescent="0.2">
      <c r="A2907" s="451"/>
      <c r="B2907" s="451"/>
      <c r="C2907" s="451"/>
      <c r="D2907" s="451"/>
      <c r="E2907" s="468"/>
      <c r="F2907" s="468"/>
    </row>
    <row r="2908" spans="1:6" ht="12.75" x14ac:dyDescent="0.2">
      <c r="A2908" s="451"/>
      <c r="B2908" s="451"/>
      <c r="C2908" s="451"/>
      <c r="D2908" s="451"/>
      <c r="E2908" s="468"/>
      <c r="F2908" s="468"/>
    </row>
    <row r="2909" spans="1:6" ht="12.75" x14ac:dyDescent="0.2">
      <c r="A2909" s="451"/>
      <c r="B2909" s="451"/>
      <c r="C2909" s="451"/>
      <c r="D2909" s="451"/>
      <c r="E2909" s="468"/>
      <c r="F2909" s="468"/>
    </row>
    <row r="2910" spans="1:6" ht="12.75" x14ac:dyDescent="0.2">
      <c r="A2910" s="451"/>
      <c r="B2910" s="451"/>
      <c r="C2910" s="451"/>
      <c r="D2910" s="451"/>
      <c r="E2910" s="468"/>
      <c r="F2910" s="468"/>
    </row>
    <row r="2911" spans="1:6" ht="12.75" x14ac:dyDescent="0.2">
      <c r="A2911" s="451"/>
      <c r="B2911" s="451"/>
      <c r="C2911" s="451"/>
      <c r="D2911" s="451"/>
      <c r="E2911" s="468"/>
      <c r="F2911" s="468"/>
    </row>
    <row r="2912" spans="1:6" ht="12.75" x14ac:dyDescent="0.2">
      <c r="A2912" s="451"/>
      <c r="B2912" s="451"/>
      <c r="C2912" s="451"/>
      <c r="D2912" s="451"/>
      <c r="E2912" s="468"/>
      <c r="F2912" s="468"/>
    </row>
    <row r="2913" spans="1:6" ht="12.75" x14ac:dyDescent="0.2">
      <c r="A2913" s="451"/>
      <c r="B2913" s="451"/>
      <c r="C2913" s="451"/>
      <c r="D2913" s="451"/>
      <c r="E2913" s="468"/>
      <c r="F2913" s="468"/>
    </row>
    <row r="2914" spans="1:6" ht="12.75" x14ac:dyDescent="0.2">
      <c r="A2914" s="451"/>
      <c r="B2914" s="451"/>
      <c r="C2914" s="451"/>
      <c r="D2914" s="451"/>
      <c r="E2914" s="468"/>
      <c r="F2914" s="468"/>
    </row>
    <row r="2915" spans="1:6" ht="12.75" x14ac:dyDescent="0.2">
      <c r="A2915" s="451"/>
      <c r="B2915" s="451"/>
      <c r="C2915" s="451"/>
      <c r="D2915" s="451"/>
      <c r="E2915" s="468"/>
      <c r="F2915" s="468"/>
    </row>
    <row r="2916" spans="1:6" ht="12.75" x14ac:dyDescent="0.2">
      <c r="A2916" s="451"/>
      <c r="B2916" s="451"/>
      <c r="C2916" s="451"/>
      <c r="D2916" s="451"/>
      <c r="E2916" s="468"/>
      <c r="F2916" s="468"/>
    </row>
    <row r="2917" spans="1:6" ht="12.75" x14ac:dyDescent="0.2">
      <c r="A2917" s="451"/>
      <c r="B2917" s="451"/>
      <c r="C2917" s="451"/>
      <c r="D2917" s="451"/>
      <c r="E2917" s="468"/>
      <c r="F2917" s="468"/>
    </row>
    <row r="2918" spans="1:6" ht="12.75" x14ac:dyDescent="0.2">
      <c r="A2918" s="451"/>
      <c r="B2918" s="451"/>
      <c r="C2918" s="451"/>
      <c r="D2918" s="451"/>
      <c r="E2918" s="468"/>
      <c r="F2918" s="468"/>
    </row>
    <row r="2919" spans="1:6" ht="12.75" x14ac:dyDescent="0.2">
      <c r="A2919" s="451"/>
      <c r="B2919" s="451"/>
      <c r="C2919" s="451"/>
      <c r="D2919" s="451"/>
      <c r="E2919" s="468"/>
      <c r="F2919" s="468"/>
    </row>
    <row r="2920" spans="1:6" ht="12.75" x14ac:dyDescent="0.2">
      <c r="A2920" s="451"/>
      <c r="B2920" s="451"/>
      <c r="C2920" s="451"/>
      <c r="D2920" s="451"/>
      <c r="E2920" s="468"/>
      <c r="F2920" s="468"/>
    </row>
    <row r="2921" spans="1:6" ht="12.75" x14ac:dyDescent="0.2">
      <c r="A2921" s="451"/>
      <c r="B2921" s="451"/>
      <c r="C2921" s="451"/>
      <c r="D2921" s="451"/>
      <c r="E2921" s="468"/>
      <c r="F2921" s="468"/>
    </row>
    <row r="2922" spans="1:6" ht="12.75" x14ac:dyDescent="0.2">
      <c r="A2922" s="451"/>
      <c r="B2922" s="451"/>
      <c r="C2922" s="451"/>
      <c r="D2922" s="451"/>
      <c r="E2922" s="468"/>
      <c r="F2922" s="468"/>
    </row>
    <row r="2923" spans="1:6" ht="12.75" x14ac:dyDescent="0.2">
      <c r="A2923" s="451"/>
      <c r="B2923" s="451"/>
      <c r="C2923" s="451"/>
      <c r="D2923" s="451"/>
      <c r="E2923" s="468"/>
      <c r="F2923" s="468"/>
    </row>
    <row r="2924" spans="1:6" ht="12.75" x14ac:dyDescent="0.2">
      <c r="A2924" s="451"/>
      <c r="B2924" s="451"/>
      <c r="C2924" s="451"/>
      <c r="D2924" s="451"/>
      <c r="E2924" s="468"/>
      <c r="F2924" s="468"/>
    </row>
    <row r="2925" spans="1:6" ht="12.75" x14ac:dyDescent="0.2">
      <c r="A2925" s="451"/>
      <c r="B2925" s="451"/>
      <c r="C2925" s="451"/>
      <c r="D2925" s="451"/>
      <c r="E2925" s="468"/>
      <c r="F2925" s="468"/>
    </row>
    <row r="2926" spans="1:6" ht="12.75" x14ac:dyDescent="0.2">
      <c r="A2926" s="451"/>
      <c r="B2926" s="451"/>
      <c r="C2926" s="451"/>
      <c r="D2926" s="451"/>
      <c r="E2926" s="468"/>
      <c r="F2926" s="468"/>
    </row>
    <row r="2927" spans="1:6" ht="12.75" x14ac:dyDescent="0.2">
      <c r="A2927" s="451"/>
      <c r="B2927" s="451"/>
      <c r="C2927" s="451"/>
      <c r="D2927" s="451"/>
      <c r="E2927" s="468"/>
      <c r="F2927" s="468"/>
    </row>
    <row r="2928" spans="1:6" ht="12.75" x14ac:dyDescent="0.2">
      <c r="A2928" s="451"/>
      <c r="B2928" s="451"/>
      <c r="C2928" s="451"/>
      <c r="D2928" s="451"/>
      <c r="E2928" s="468"/>
      <c r="F2928" s="468"/>
    </row>
    <row r="2929" spans="1:6" ht="12.75" x14ac:dyDescent="0.2">
      <c r="A2929" s="451"/>
      <c r="B2929" s="451"/>
      <c r="C2929" s="451"/>
      <c r="D2929" s="451"/>
      <c r="E2929" s="468"/>
      <c r="F2929" s="468"/>
    </row>
    <row r="2930" spans="1:6" ht="12.75" x14ac:dyDescent="0.2">
      <c r="A2930" s="451"/>
      <c r="B2930" s="451"/>
      <c r="C2930" s="451"/>
      <c r="D2930" s="451"/>
      <c r="E2930" s="468"/>
      <c r="F2930" s="468"/>
    </row>
    <row r="2931" spans="1:6" ht="12.75" x14ac:dyDescent="0.2">
      <c r="A2931" s="451"/>
      <c r="B2931" s="451"/>
      <c r="C2931" s="451"/>
      <c r="D2931" s="451"/>
      <c r="E2931" s="468"/>
      <c r="F2931" s="468"/>
    </row>
    <row r="2932" spans="1:6" ht="12.75" x14ac:dyDescent="0.2">
      <c r="A2932" s="451"/>
      <c r="B2932" s="451"/>
      <c r="C2932" s="451"/>
      <c r="D2932" s="451"/>
      <c r="E2932" s="468"/>
      <c r="F2932" s="468"/>
    </row>
    <row r="2933" spans="1:6" ht="12.75" x14ac:dyDescent="0.2">
      <c r="A2933" s="451"/>
      <c r="B2933" s="451"/>
      <c r="C2933" s="451"/>
      <c r="D2933" s="451"/>
      <c r="E2933" s="468"/>
      <c r="F2933" s="468"/>
    </row>
    <row r="2934" spans="1:6" ht="12.75" x14ac:dyDescent="0.2">
      <c r="A2934" s="451"/>
      <c r="B2934" s="451"/>
      <c r="C2934" s="451"/>
      <c r="D2934" s="451"/>
      <c r="E2934" s="468"/>
      <c r="F2934" s="468"/>
    </row>
    <row r="2935" spans="1:6" ht="12.75" x14ac:dyDescent="0.2">
      <c r="A2935" s="451"/>
      <c r="B2935" s="451"/>
      <c r="C2935" s="451"/>
      <c r="D2935" s="451"/>
      <c r="E2935" s="468"/>
      <c r="F2935" s="468"/>
    </row>
    <row r="2936" spans="1:6" ht="12.75" x14ac:dyDescent="0.2">
      <c r="A2936" s="451"/>
      <c r="B2936" s="451"/>
      <c r="C2936" s="451"/>
      <c r="D2936" s="451"/>
      <c r="E2936" s="468"/>
      <c r="F2936" s="468"/>
    </row>
    <row r="2937" spans="1:6" ht="12.75" x14ac:dyDescent="0.2">
      <c r="A2937" s="451"/>
      <c r="B2937" s="451"/>
      <c r="C2937" s="451"/>
      <c r="D2937" s="451"/>
      <c r="E2937" s="468"/>
      <c r="F2937" s="468"/>
    </row>
    <row r="2938" spans="1:6" ht="12.75" x14ac:dyDescent="0.2">
      <c r="A2938" s="451"/>
      <c r="B2938" s="451"/>
      <c r="C2938" s="451"/>
      <c r="D2938" s="451"/>
      <c r="E2938" s="468"/>
      <c r="F2938" s="468"/>
    </row>
    <row r="2939" spans="1:6" ht="12.75" x14ac:dyDescent="0.2">
      <c r="A2939" s="451"/>
      <c r="B2939" s="451"/>
      <c r="C2939" s="451"/>
      <c r="D2939" s="451"/>
      <c r="E2939" s="468"/>
      <c r="F2939" s="468"/>
    </row>
    <row r="2940" spans="1:6" ht="12.75" x14ac:dyDescent="0.2">
      <c r="A2940" s="451"/>
      <c r="B2940" s="451"/>
      <c r="C2940" s="451"/>
      <c r="D2940" s="451"/>
      <c r="E2940" s="468"/>
      <c r="F2940" s="468"/>
    </row>
    <row r="2941" spans="1:6" ht="12.75" x14ac:dyDescent="0.2">
      <c r="A2941" s="451"/>
      <c r="B2941" s="451"/>
      <c r="C2941" s="451"/>
      <c r="D2941" s="451"/>
      <c r="E2941" s="468"/>
      <c r="F2941" s="468"/>
    </row>
    <row r="2942" spans="1:6" ht="12.75" x14ac:dyDescent="0.2">
      <c r="A2942" s="451"/>
      <c r="B2942" s="451"/>
      <c r="C2942" s="451"/>
      <c r="D2942" s="451"/>
      <c r="E2942" s="468"/>
      <c r="F2942" s="468"/>
    </row>
    <row r="2943" spans="1:6" ht="12.75" x14ac:dyDescent="0.2">
      <c r="A2943" s="451"/>
      <c r="B2943" s="451"/>
      <c r="C2943" s="451"/>
      <c r="D2943" s="451"/>
      <c r="E2943" s="468"/>
      <c r="F2943" s="468"/>
    </row>
    <row r="2944" spans="1:6" ht="12.75" x14ac:dyDescent="0.2">
      <c r="A2944" s="451"/>
      <c r="B2944" s="451"/>
      <c r="C2944" s="451"/>
      <c r="D2944" s="451"/>
      <c r="E2944" s="468"/>
      <c r="F2944" s="468"/>
    </row>
    <row r="2945" spans="1:6" ht="12.75" x14ac:dyDescent="0.2">
      <c r="A2945" s="451"/>
      <c r="B2945" s="451"/>
      <c r="C2945" s="451"/>
      <c r="D2945" s="451"/>
      <c r="E2945" s="468"/>
      <c r="F2945" s="468"/>
    </row>
    <row r="2946" spans="1:6" ht="12.75" x14ac:dyDescent="0.2">
      <c r="A2946" s="451"/>
      <c r="B2946" s="451"/>
      <c r="C2946" s="451"/>
      <c r="D2946" s="451"/>
      <c r="E2946" s="468"/>
      <c r="F2946" s="468"/>
    </row>
    <row r="2947" spans="1:6" ht="12.75" x14ac:dyDescent="0.2">
      <c r="A2947" s="451"/>
      <c r="B2947" s="451"/>
      <c r="C2947" s="451"/>
      <c r="D2947" s="451"/>
      <c r="E2947" s="468"/>
      <c r="F2947" s="468"/>
    </row>
    <row r="2948" spans="1:6" ht="12.75" x14ac:dyDescent="0.2">
      <c r="A2948" s="451"/>
      <c r="B2948" s="451"/>
      <c r="C2948" s="451"/>
      <c r="D2948" s="451"/>
      <c r="E2948" s="468"/>
      <c r="F2948" s="468"/>
    </row>
    <row r="2949" spans="1:6" ht="12.75" x14ac:dyDescent="0.2">
      <c r="A2949" s="451"/>
      <c r="B2949" s="451"/>
      <c r="C2949" s="451"/>
      <c r="D2949" s="451"/>
      <c r="E2949" s="468"/>
      <c r="F2949" s="468"/>
    </row>
    <row r="2950" spans="1:6" ht="12.75" x14ac:dyDescent="0.2">
      <c r="A2950" s="451"/>
      <c r="B2950" s="451"/>
      <c r="C2950" s="451"/>
      <c r="D2950" s="451"/>
      <c r="E2950" s="468"/>
      <c r="F2950" s="468"/>
    </row>
    <row r="2951" spans="1:6" ht="12.75" x14ac:dyDescent="0.2">
      <c r="A2951" s="451"/>
      <c r="B2951" s="451"/>
      <c r="C2951" s="451"/>
      <c r="D2951" s="451"/>
      <c r="E2951" s="468"/>
      <c r="F2951" s="468"/>
    </row>
    <row r="2952" spans="1:6" ht="12.75" x14ac:dyDescent="0.2">
      <c r="A2952" s="451"/>
      <c r="B2952" s="451"/>
      <c r="C2952" s="451"/>
      <c r="D2952" s="451"/>
      <c r="E2952" s="468"/>
      <c r="F2952" s="468"/>
    </row>
    <row r="2953" spans="1:6" ht="12.75" x14ac:dyDescent="0.2">
      <c r="A2953" s="451"/>
      <c r="B2953" s="451"/>
      <c r="C2953" s="451"/>
      <c r="D2953" s="451"/>
      <c r="E2953" s="468"/>
      <c r="F2953" s="468"/>
    </row>
    <row r="2954" spans="1:6" ht="12.75" x14ac:dyDescent="0.2">
      <c r="A2954" s="451"/>
      <c r="B2954" s="451"/>
      <c r="C2954" s="451"/>
      <c r="D2954" s="451"/>
      <c r="E2954" s="468"/>
      <c r="F2954" s="468"/>
    </row>
    <row r="2955" spans="1:6" ht="12.75" x14ac:dyDescent="0.2">
      <c r="A2955" s="451"/>
      <c r="B2955" s="451"/>
      <c r="C2955" s="451"/>
      <c r="D2955" s="451"/>
      <c r="E2955" s="468"/>
      <c r="F2955" s="468"/>
    </row>
    <row r="2956" spans="1:6" ht="12.75" x14ac:dyDescent="0.2">
      <c r="A2956" s="451"/>
      <c r="B2956" s="451"/>
      <c r="C2956" s="451"/>
      <c r="D2956" s="451"/>
      <c r="E2956" s="468"/>
      <c r="F2956" s="468"/>
    </row>
    <row r="2957" spans="1:6" ht="12.75" x14ac:dyDescent="0.2">
      <c r="A2957" s="451"/>
      <c r="B2957" s="451"/>
      <c r="C2957" s="451"/>
      <c r="D2957" s="451"/>
      <c r="E2957" s="468"/>
      <c r="F2957" s="468"/>
    </row>
    <row r="2958" spans="1:6" ht="12.75" x14ac:dyDescent="0.2">
      <c r="A2958" s="451"/>
      <c r="B2958" s="451"/>
      <c r="C2958" s="451"/>
      <c r="D2958" s="451"/>
      <c r="E2958" s="468"/>
      <c r="F2958" s="468"/>
    </row>
    <row r="2959" spans="1:6" ht="12.75" x14ac:dyDescent="0.2">
      <c r="A2959" s="451"/>
      <c r="B2959" s="451"/>
      <c r="C2959" s="451"/>
      <c r="D2959" s="451"/>
      <c r="E2959" s="468"/>
      <c r="F2959" s="468"/>
    </row>
    <row r="2960" spans="1:6" ht="12.75" x14ac:dyDescent="0.2">
      <c r="A2960" s="451"/>
      <c r="B2960" s="451"/>
      <c r="C2960" s="451"/>
      <c r="D2960" s="451"/>
      <c r="E2960" s="468"/>
      <c r="F2960" s="468"/>
    </row>
    <row r="2961" spans="1:6" ht="12.75" x14ac:dyDescent="0.2">
      <c r="A2961" s="451"/>
      <c r="B2961" s="451"/>
      <c r="C2961" s="451"/>
      <c r="D2961" s="451"/>
      <c r="E2961" s="468"/>
      <c r="F2961" s="468"/>
    </row>
    <row r="2962" spans="1:6" ht="12.75" x14ac:dyDescent="0.2">
      <c r="A2962" s="451"/>
      <c r="B2962" s="451"/>
      <c r="C2962" s="451"/>
      <c r="D2962" s="451"/>
      <c r="E2962" s="468"/>
      <c r="F2962" s="468"/>
    </row>
    <row r="2963" spans="1:6" ht="12.75" x14ac:dyDescent="0.2">
      <c r="A2963" s="451"/>
      <c r="B2963" s="451"/>
      <c r="C2963" s="451"/>
      <c r="D2963" s="451"/>
      <c r="E2963" s="468"/>
      <c r="F2963" s="468"/>
    </row>
    <row r="2964" spans="1:6" ht="12.75" x14ac:dyDescent="0.2">
      <c r="A2964" s="451"/>
      <c r="B2964" s="451"/>
      <c r="C2964" s="451"/>
      <c r="D2964" s="451"/>
      <c r="E2964" s="468"/>
      <c r="F2964" s="468"/>
    </row>
    <row r="2965" spans="1:6" ht="12.75" x14ac:dyDescent="0.2">
      <c r="A2965" s="451"/>
      <c r="B2965" s="451"/>
      <c r="C2965" s="451"/>
      <c r="D2965" s="451"/>
      <c r="E2965" s="468"/>
      <c r="F2965" s="468"/>
    </row>
    <row r="2966" spans="1:6" ht="12.75" x14ac:dyDescent="0.2">
      <c r="A2966" s="451"/>
      <c r="B2966" s="451"/>
      <c r="C2966" s="451"/>
      <c r="D2966" s="451"/>
      <c r="E2966" s="468"/>
      <c r="F2966" s="468"/>
    </row>
    <row r="2967" spans="1:6" ht="12.75" x14ac:dyDescent="0.2">
      <c r="A2967" s="451"/>
      <c r="B2967" s="451"/>
      <c r="C2967" s="451"/>
      <c r="D2967" s="451"/>
      <c r="E2967" s="468"/>
      <c r="F2967" s="468"/>
    </row>
    <row r="2968" spans="1:6" ht="12.75" x14ac:dyDescent="0.2">
      <c r="A2968" s="451"/>
      <c r="B2968" s="451"/>
      <c r="C2968" s="451"/>
      <c r="D2968" s="451"/>
      <c r="E2968" s="468"/>
      <c r="F2968" s="468"/>
    </row>
    <row r="2969" spans="1:6" ht="12.75" x14ac:dyDescent="0.2">
      <c r="A2969" s="451"/>
      <c r="B2969" s="451"/>
      <c r="C2969" s="451"/>
      <c r="D2969" s="451"/>
      <c r="E2969" s="468"/>
      <c r="F2969" s="468"/>
    </row>
    <row r="2970" spans="1:6" ht="12.75" x14ac:dyDescent="0.2">
      <c r="A2970" s="451"/>
      <c r="B2970" s="451"/>
      <c r="C2970" s="451"/>
      <c r="D2970" s="451"/>
      <c r="E2970" s="468"/>
      <c r="F2970" s="468"/>
    </row>
    <row r="2971" spans="1:6" ht="12.75" x14ac:dyDescent="0.2">
      <c r="A2971" s="451"/>
      <c r="B2971" s="451"/>
      <c r="C2971" s="451"/>
      <c r="D2971" s="451"/>
      <c r="E2971" s="468"/>
      <c r="F2971" s="468"/>
    </row>
    <row r="2972" spans="1:6" ht="12.75" x14ac:dyDescent="0.2">
      <c r="A2972" s="451"/>
      <c r="B2972" s="451"/>
      <c r="C2972" s="451"/>
      <c r="D2972" s="451"/>
      <c r="E2972" s="468"/>
      <c r="F2972" s="468"/>
    </row>
    <row r="2973" spans="1:6" ht="12.75" x14ac:dyDescent="0.2">
      <c r="A2973" s="451"/>
      <c r="B2973" s="451"/>
      <c r="C2973" s="451"/>
      <c r="D2973" s="451"/>
      <c r="E2973" s="468"/>
      <c r="F2973" s="468"/>
    </row>
    <row r="2974" spans="1:6" ht="12.75" x14ac:dyDescent="0.2">
      <c r="A2974" s="451"/>
      <c r="B2974" s="451"/>
      <c r="C2974" s="451"/>
      <c r="D2974" s="451"/>
      <c r="E2974" s="468"/>
      <c r="F2974" s="468"/>
    </row>
    <row r="2975" spans="1:6" ht="12.75" x14ac:dyDescent="0.2">
      <c r="A2975" s="451"/>
      <c r="B2975" s="451"/>
      <c r="C2975" s="451"/>
      <c r="D2975" s="451"/>
      <c r="E2975" s="468"/>
      <c r="F2975" s="468"/>
    </row>
    <row r="2976" spans="1:6" ht="12.75" x14ac:dyDescent="0.2">
      <c r="A2976" s="451"/>
      <c r="B2976" s="451"/>
      <c r="C2976" s="451"/>
      <c r="D2976" s="451"/>
      <c r="E2976" s="468"/>
      <c r="F2976" s="468"/>
    </row>
    <row r="2977" spans="1:6" ht="12.75" x14ac:dyDescent="0.2">
      <c r="A2977" s="451"/>
      <c r="B2977" s="451"/>
      <c r="C2977" s="451"/>
      <c r="D2977" s="451"/>
      <c r="E2977" s="468"/>
      <c r="F2977" s="468"/>
    </row>
    <row r="2978" spans="1:6" ht="12.75" x14ac:dyDescent="0.2">
      <c r="A2978" s="451"/>
      <c r="B2978" s="451"/>
      <c r="C2978" s="451"/>
      <c r="D2978" s="451"/>
      <c r="E2978" s="468"/>
      <c r="F2978" s="468"/>
    </row>
    <row r="2979" spans="1:6" ht="12.75" x14ac:dyDescent="0.2">
      <c r="A2979" s="451"/>
      <c r="B2979" s="451"/>
      <c r="C2979" s="451"/>
      <c r="D2979" s="451"/>
      <c r="E2979" s="468"/>
      <c r="F2979" s="468"/>
    </row>
    <row r="2980" spans="1:6" ht="12.75" x14ac:dyDescent="0.2">
      <c r="A2980" s="451"/>
      <c r="B2980" s="451"/>
      <c r="C2980" s="451"/>
      <c r="D2980" s="451"/>
      <c r="E2980" s="468"/>
      <c r="F2980" s="468"/>
    </row>
    <row r="2981" spans="1:6" ht="12.75" x14ac:dyDescent="0.2">
      <c r="A2981" s="451"/>
      <c r="B2981" s="451"/>
      <c r="C2981" s="451"/>
      <c r="D2981" s="451"/>
      <c r="E2981" s="468"/>
      <c r="F2981" s="468"/>
    </row>
    <row r="2982" spans="1:6" ht="12.75" x14ac:dyDescent="0.2">
      <c r="A2982" s="451"/>
      <c r="B2982" s="451"/>
      <c r="C2982" s="451"/>
      <c r="D2982" s="451"/>
      <c r="E2982" s="468"/>
      <c r="F2982" s="468"/>
    </row>
    <row r="2983" spans="1:6" ht="12.75" x14ac:dyDescent="0.2">
      <c r="A2983" s="451"/>
      <c r="B2983" s="451"/>
      <c r="C2983" s="451"/>
      <c r="D2983" s="451"/>
      <c r="E2983" s="468"/>
      <c r="F2983" s="468"/>
    </row>
    <row r="2984" spans="1:6" ht="12.75" x14ac:dyDescent="0.2">
      <c r="A2984" s="451"/>
      <c r="B2984" s="451"/>
      <c r="C2984" s="451"/>
      <c r="D2984" s="451"/>
      <c r="E2984" s="468"/>
      <c r="F2984" s="468"/>
    </row>
    <row r="2985" spans="1:6" ht="12.75" x14ac:dyDescent="0.2">
      <c r="A2985" s="451"/>
      <c r="B2985" s="451"/>
      <c r="C2985" s="451"/>
      <c r="D2985" s="451"/>
      <c r="E2985" s="468"/>
      <c r="F2985" s="468"/>
    </row>
    <row r="2986" spans="1:6" ht="12.75" x14ac:dyDescent="0.2">
      <c r="A2986" s="451"/>
      <c r="B2986" s="451"/>
      <c r="C2986" s="451"/>
      <c r="D2986" s="451"/>
      <c r="E2986" s="468"/>
      <c r="F2986" s="468"/>
    </row>
    <row r="2987" spans="1:6" ht="12.75" x14ac:dyDescent="0.2">
      <c r="A2987" s="451"/>
      <c r="B2987" s="451"/>
      <c r="C2987" s="451"/>
      <c r="D2987" s="451"/>
      <c r="E2987" s="468"/>
      <c r="F2987" s="468"/>
    </row>
    <row r="2988" spans="1:6" ht="12.75" x14ac:dyDescent="0.2">
      <c r="A2988" s="451"/>
      <c r="B2988" s="451"/>
      <c r="C2988" s="451"/>
      <c r="D2988" s="451"/>
      <c r="E2988" s="468"/>
      <c r="F2988" s="468"/>
    </row>
    <row r="2989" spans="1:6" ht="12.75" x14ac:dyDescent="0.2">
      <c r="A2989" s="451"/>
      <c r="B2989" s="451"/>
      <c r="C2989" s="451"/>
      <c r="D2989" s="451"/>
      <c r="E2989" s="468"/>
      <c r="F2989" s="468"/>
    </row>
    <row r="2990" spans="1:6" ht="12.75" x14ac:dyDescent="0.2">
      <c r="A2990" s="451"/>
      <c r="B2990" s="451"/>
      <c r="C2990" s="451"/>
      <c r="D2990" s="451"/>
      <c r="E2990" s="468"/>
      <c r="F2990" s="468"/>
    </row>
    <row r="2991" spans="1:6" ht="12.75" x14ac:dyDescent="0.2">
      <c r="A2991" s="451"/>
      <c r="B2991" s="451"/>
      <c r="C2991" s="451"/>
      <c r="D2991" s="451"/>
      <c r="E2991" s="468"/>
      <c r="F2991" s="468"/>
    </row>
    <row r="2992" spans="1:6" ht="12.75" x14ac:dyDescent="0.2">
      <c r="A2992" s="451"/>
      <c r="B2992" s="451"/>
      <c r="C2992" s="451"/>
      <c r="D2992" s="451"/>
      <c r="E2992" s="468"/>
      <c r="F2992" s="468"/>
    </row>
    <row r="2993" spans="1:6" ht="12.75" x14ac:dyDescent="0.2">
      <c r="A2993" s="451"/>
      <c r="B2993" s="451"/>
      <c r="C2993" s="451"/>
      <c r="D2993" s="451"/>
      <c r="E2993" s="468"/>
      <c r="F2993" s="468"/>
    </row>
    <row r="2994" spans="1:6" ht="12.75" x14ac:dyDescent="0.2">
      <c r="A2994" s="451"/>
      <c r="B2994" s="451"/>
      <c r="C2994" s="451"/>
      <c r="D2994" s="451"/>
      <c r="E2994" s="468"/>
      <c r="F2994" s="468"/>
    </row>
    <row r="2995" spans="1:6" ht="12.75" x14ac:dyDescent="0.2">
      <c r="A2995" s="451"/>
      <c r="B2995" s="451"/>
      <c r="C2995" s="451"/>
      <c r="D2995" s="451"/>
      <c r="E2995" s="468"/>
      <c r="F2995" s="468"/>
    </row>
    <row r="2996" spans="1:6" ht="12.75" x14ac:dyDescent="0.2">
      <c r="A2996" s="451"/>
      <c r="B2996" s="451"/>
      <c r="C2996" s="451"/>
      <c r="D2996" s="451"/>
      <c r="E2996" s="468"/>
      <c r="F2996" s="468"/>
    </row>
    <row r="2997" spans="1:6" ht="12.75" x14ac:dyDescent="0.2">
      <c r="A2997" s="451"/>
      <c r="B2997" s="451"/>
      <c r="C2997" s="451"/>
      <c r="D2997" s="451"/>
      <c r="E2997" s="468"/>
      <c r="F2997" s="468"/>
    </row>
    <row r="2998" spans="1:6" ht="12.75" x14ac:dyDescent="0.2">
      <c r="A2998" s="451"/>
      <c r="B2998" s="451"/>
      <c r="C2998" s="451"/>
      <c r="D2998" s="451"/>
      <c r="E2998" s="468"/>
      <c r="F2998" s="468"/>
    </row>
    <row r="2999" spans="1:6" ht="12.75" x14ac:dyDescent="0.2">
      <c r="A2999" s="451"/>
      <c r="B2999" s="451"/>
      <c r="C2999" s="451"/>
      <c r="D2999" s="451"/>
      <c r="E2999" s="468"/>
      <c r="F2999" s="468"/>
    </row>
    <row r="3000" spans="1:6" ht="12.75" x14ac:dyDescent="0.2">
      <c r="A3000" s="451"/>
      <c r="B3000" s="451"/>
      <c r="C3000" s="451"/>
      <c r="D3000" s="451"/>
      <c r="E3000" s="468"/>
      <c r="F3000" s="468"/>
    </row>
    <row r="3001" spans="1:6" ht="12.75" x14ac:dyDescent="0.2">
      <c r="A3001" s="451"/>
      <c r="B3001" s="451"/>
      <c r="C3001" s="451"/>
      <c r="D3001" s="451"/>
      <c r="E3001" s="468"/>
      <c r="F3001" s="468"/>
    </row>
    <row r="3002" spans="1:6" ht="12.75" x14ac:dyDescent="0.2">
      <c r="A3002" s="451"/>
      <c r="B3002" s="451"/>
      <c r="C3002" s="451"/>
      <c r="D3002" s="451"/>
      <c r="E3002" s="468"/>
      <c r="F3002" s="468"/>
    </row>
    <row r="3003" spans="1:6" ht="12.75" x14ac:dyDescent="0.2">
      <c r="A3003" s="451"/>
      <c r="B3003" s="451"/>
      <c r="C3003" s="451"/>
      <c r="D3003" s="451"/>
      <c r="E3003" s="468"/>
      <c r="F3003" s="468"/>
    </row>
    <row r="3004" spans="1:6" ht="12.75" x14ac:dyDescent="0.2">
      <c r="A3004" s="451"/>
      <c r="B3004" s="451"/>
      <c r="C3004" s="451"/>
      <c r="D3004" s="451"/>
      <c r="E3004" s="468"/>
      <c r="F3004" s="468"/>
    </row>
    <row r="3005" spans="1:6" ht="12.75" x14ac:dyDescent="0.2">
      <c r="A3005" s="451"/>
      <c r="B3005" s="451"/>
      <c r="C3005" s="451"/>
      <c r="D3005" s="451"/>
      <c r="E3005" s="468"/>
      <c r="F3005" s="468"/>
    </row>
    <row r="3006" spans="1:6" ht="12.75" x14ac:dyDescent="0.2">
      <c r="A3006" s="451"/>
      <c r="B3006" s="451"/>
      <c r="C3006" s="451"/>
      <c r="D3006" s="451"/>
      <c r="E3006" s="468"/>
      <c r="F3006" s="468"/>
    </row>
    <row r="3007" spans="1:6" ht="12.75" x14ac:dyDescent="0.2">
      <c r="A3007" s="451"/>
      <c r="B3007" s="451"/>
      <c r="C3007" s="451"/>
      <c r="D3007" s="451"/>
      <c r="E3007" s="468"/>
      <c r="F3007" s="468"/>
    </row>
    <row r="3008" spans="1:6" ht="12.75" x14ac:dyDescent="0.2">
      <c r="A3008" s="451"/>
      <c r="B3008" s="451"/>
      <c r="C3008" s="451"/>
      <c r="D3008" s="451"/>
      <c r="E3008" s="468"/>
      <c r="F3008" s="468"/>
    </row>
    <row r="3009" spans="1:6" ht="12.75" x14ac:dyDescent="0.2">
      <c r="A3009" s="451"/>
      <c r="B3009" s="451"/>
      <c r="C3009" s="451"/>
      <c r="D3009" s="451"/>
      <c r="E3009" s="468"/>
      <c r="F3009" s="468"/>
    </row>
    <row r="3010" spans="1:6" ht="12.75" x14ac:dyDescent="0.2">
      <c r="A3010" s="451"/>
      <c r="B3010" s="451"/>
      <c r="C3010" s="451"/>
      <c r="D3010" s="451"/>
      <c r="E3010" s="468"/>
      <c r="F3010" s="468"/>
    </row>
    <row r="3011" spans="1:6" ht="12.75" x14ac:dyDescent="0.2">
      <c r="A3011" s="451"/>
      <c r="B3011" s="451"/>
      <c r="C3011" s="451"/>
      <c r="D3011" s="451"/>
      <c r="E3011" s="468"/>
      <c r="F3011" s="468"/>
    </row>
    <row r="3012" spans="1:6" ht="12.75" x14ac:dyDescent="0.2">
      <c r="A3012" s="451"/>
      <c r="B3012" s="451"/>
      <c r="C3012" s="451"/>
      <c r="D3012" s="451"/>
      <c r="E3012" s="468"/>
      <c r="F3012" s="468"/>
    </row>
    <row r="3013" spans="1:6" ht="12.75" x14ac:dyDescent="0.2">
      <c r="A3013" s="451"/>
      <c r="B3013" s="451"/>
      <c r="C3013" s="451"/>
      <c r="D3013" s="451"/>
      <c r="E3013" s="468"/>
      <c r="F3013" s="468"/>
    </row>
    <row r="3014" spans="1:6" ht="12.75" x14ac:dyDescent="0.2">
      <c r="A3014" s="451"/>
      <c r="B3014" s="451"/>
      <c r="C3014" s="451"/>
      <c r="D3014" s="451"/>
      <c r="E3014" s="468"/>
      <c r="F3014" s="468"/>
    </row>
    <row r="3015" spans="1:6" ht="12.75" x14ac:dyDescent="0.2">
      <c r="A3015" s="451"/>
      <c r="B3015" s="451"/>
      <c r="C3015" s="451"/>
      <c r="D3015" s="451"/>
      <c r="E3015" s="468"/>
      <c r="F3015" s="468"/>
    </row>
    <row r="3016" spans="1:6" ht="12.75" x14ac:dyDescent="0.2">
      <c r="A3016" s="451"/>
      <c r="B3016" s="451"/>
      <c r="C3016" s="451"/>
      <c r="D3016" s="451"/>
      <c r="E3016" s="468"/>
      <c r="F3016" s="468"/>
    </row>
    <row r="3017" spans="1:6" ht="12.75" x14ac:dyDescent="0.2">
      <c r="A3017" s="451"/>
      <c r="B3017" s="451"/>
      <c r="C3017" s="451"/>
      <c r="D3017" s="451"/>
      <c r="E3017" s="468"/>
      <c r="F3017" s="468"/>
    </row>
    <row r="3018" spans="1:6" ht="12.75" x14ac:dyDescent="0.2">
      <c r="A3018" s="451"/>
      <c r="B3018" s="451"/>
      <c r="C3018" s="451"/>
      <c r="D3018" s="451"/>
      <c r="E3018" s="468"/>
      <c r="F3018" s="468"/>
    </row>
    <row r="3019" spans="1:6" ht="12.75" x14ac:dyDescent="0.2">
      <c r="A3019" s="451"/>
      <c r="B3019" s="451"/>
      <c r="C3019" s="451"/>
      <c r="D3019" s="451"/>
      <c r="E3019" s="468"/>
      <c r="F3019" s="468"/>
    </row>
    <row r="3020" spans="1:6" ht="12.75" x14ac:dyDescent="0.2">
      <c r="A3020" s="451"/>
      <c r="B3020" s="451"/>
      <c r="C3020" s="451"/>
      <c r="D3020" s="451"/>
      <c r="E3020" s="468"/>
      <c r="F3020" s="468"/>
    </row>
    <row r="3021" spans="1:6" ht="12.75" x14ac:dyDescent="0.2">
      <c r="A3021" s="451"/>
      <c r="B3021" s="451"/>
      <c r="C3021" s="451"/>
      <c r="D3021" s="451"/>
      <c r="E3021" s="468"/>
      <c r="F3021" s="468"/>
    </row>
    <row r="3022" spans="1:6" ht="12.75" x14ac:dyDescent="0.2">
      <c r="A3022" s="451"/>
      <c r="B3022" s="451"/>
      <c r="C3022" s="451"/>
      <c r="D3022" s="451"/>
      <c r="E3022" s="468"/>
      <c r="F3022" s="468"/>
    </row>
    <row r="3023" spans="1:6" ht="12.75" x14ac:dyDescent="0.2">
      <c r="A3023" s="451"/>
      <c r="B3023" s="451"/>
      <c r="C3023" s="451"/>
      <c r="D3023" s="451"/>
      <c r="E3023" s="468"/>
      <c r="F3023" s="468"/>
    </row>
    <row r="3024" spans="1:6" ht="12.75" x14ac:dyDescent="0.2">
      <c r="A3024" s="451"/>
      <c r="B3024" s="451"/>
      <c r="C3024" s="451"/>
      <c r="D3024" s="451"/>
      <c r="E3024" s="468"/>
      <c r="F3024" s="468"/>
    </row>
    <row r="3025" spans="1:6" ht="12.75" x14ac:dyDescent="0.2">
      <c r="A3025" s="451"/>
      <c r="B3025" s="451"/>
      <c r="C3025" s="451"/>
      <c r="D3025" s="451"/>
      <c r="E3025" s="468"/>
      <c r="F3025" s="468"/>
    </row>
    <row r="3026" spans="1:6" ht="12.75" x14ac:dyDescent="0.2">
      <c r="A3026" s="451"/>
      <c r="B3026" s="451"/>
      <c r="C3026" s="451"/>
      <c r="D3026" s="451"/>
      <c r="E3026" s="468"/>
      <c r="F3026" s="468"/>
    </row>
    <row r="3027" spans="1:6" ht="12.75" x14ac:dyDescent="0.2">
      <c r="A3027" s="451"/>
      <c r="B3027" s="451"/>
      <c r="C3027" s="451"/>
      <c r="D3027" s="451"/>
      <c r="E3027" s="468"/>
      <c r="F3027" s="468"/>
    </row>
    <row r="3028" spans="1:6" ht="12.75" x14ac:dyDescent="0.2">
      <c r="A3028" s="451"/>
      <c r="B3028" s="451"/>
      <c r="C3028" s="451"/>
      <c r="D3028" s="451"/>
      <c r="E3028" s="468"/>
      <c r="F3028" s="468"/>
    </row>
    <row r="3029" spans="1:6" ht="12.75" x14ac:dyDescent="0.2">
      <c r="A3029" s="451"/>
      <c r="B3029" s="451"/>
      <c r="C3029" s="451"/>
      <c r="D3029" s="451"/>
      <c r="E3029" s="468"/>
      <c r="F3029" s="468"/>
    </row>
    <row r="3030" spans="1:6" ht="12.75" x14ac:dyDescent="0.2">
      <c r="A3030" s="451"/>
      <c r="B3030" s="451"/>
      <c r="C3030" s="451"/>
      <c r="D3030" s="451"/>
      <c r="E3030" s="468"/>
      <c r="F3030" s="468"/>
    </row>
    <row r="3031" spans="1:6" ht="12.75" x14ac:dyDescent="0.2">
      <c r="A3031" s="451"/>
      <c r="B3031" s="451"/>
      <c r="C3031" s="451"/>
      <c r="D3031" s="451"/>
      <c r="E3031" s="468"/>
      <c r="F3031" s="468"/>
    </row>
    <row r="3032" spans="1:6" ht="12.75" x14ac:dyDescent="0.2">
      <c r="A3032" s="451"/>
      <c r="B3032" s="451"/>
      <c r="C3032" s="451"/>
      <c r="D3032" s="451"/>
      <c r="E3032" s="468"/>
      <c r="F3032" s="468"/>
    </row>
    <row r="3033" spans="1:6" ht="12.75" x14ac:dyDescent="0.2">
      <c r="A3033" s="451"/>
      <c r="B3033" s="451"/>
      <c r="C3033" s="451"/>
      <c r="D3033" s="451"/>
      <c r="E3033" s="468"/>
      <c r="F3033" s="468"/>
    </row>
    <row r="3034" spans="1:6" ht="12.75" x14ac:dyDescent="0.2">
      <c r="A3034" s="451"/>
      <c r="B3034" s="451"/>
      <c r="C3034" s="451"/>
      <c r="D3034" s="451"/>
      <c r="E3034" s="468"/>
      <c r="F3034" s="468"/>
    </row>
    <row r="3035" spans="1:6" ht="12.75" x14ac:dyDescent="0.2">
      <c r="A3035" s="451"/>
      <c r="B3035" s="451"/>
      <c r="C3035" s="451"/>
      <c r="D3035" s="451"/>
      <c r="E3035" s="468"/>
      <c r="F3035" s="468"/>
    </row>
    <row r="3036" spans="1:6" ht="12.75" x14ac:dyDescent="0.2">
      <c r="A3036" s="451"/>
      <c r="B3036" s="451"/>
      <c r="C3036" s="451"/>
      <c r="D3036" s="451"/>
      <c r="E3036" s="468"/>
      <c r="F3036" s="468"/>
    </row>
    <row r="3037" spans="1:6" ht="12.75" x14ac:dyDescent="0.2">
      <c r="A3037" s="451"/>
      <c r="B3037" s="451"/>
      <c r="C3037" s="451"/>
      <c r="D3037" s="451"/>
      <c r="E3037" s="468"/>
      <c r="F3037" s="468"/>
    </row>
    <row r="3038" spans="1:6" ht="12.75" x14ac:dyDescent="0.2">
      <c r="A3038" s="451"/>
      <c r="B3038" s="451"/>
      <c r="C3038" s="451"/>
      <c r="D3038" s="451"/>
      <c r="E3038" s="468"/>
      <c r="F3038" s="468"/>
    </row>
    <row r="3039" spans="1:6" ht="12.75" x14ac:dyDescent="0.2">
      <c r="A3039" s="451"/>
      <c r="B3039" s="451"/>
      <c r="C3039" s="451"/>
      <c r="D3039" s="451"/>
      <c r="E3039" s="468"/>
      <c r="F3039" s="468"/>
    </row>
    <row r="3040" spans="1:6" ht="12.75" x14ac:dyDescent="0.2">
      <c r="A3040" s="451"/>
      <c r="B3040" s="451"/>
      <c r="C3040" s="451"/>
      <c r="D3040" s="451"/>
      <c r="E3040" s="468"/>
      <c r="F3040" s="468"/>
    </row>
    <row r="3041" spans="1:6" ht="12.75" x14ac:dyDescent="0.2">
      <c r="A3041" s="451"/>
      <c r="B3041" s="451"/>
      <c r="C3041" s="451"/>
      <c r="D3041" s="451"/>
      <c r="E3041" s="468"/>
      <c r="F3041" s="468"/>
    </row>
    <row r="3042" spans="1:6" ht="12.75" x14ac:dyDescent="0.2">
      <c r="A3042" s="451"/>
      <c r="B3042" s="451"/>
      <c r="C3042" s="451"/>
      <c r="D3042" s="451"/>
      <c r="E3042" s="468"/>
      <c r="F3042" s="468"/>
    </row>
    <row r="3043" spans="1:6" ht="12.75" x14ac:dyDescent="0.2">
      <c r="A3043" s="451"/>
      <c r="B3043" s="451"/>
      <c r="C3043" s="451"/>
      <c r="D3043" s="451"/>
      <c r="E3043" s="468"/>
      <c r="F3043" s="468"/>
    </row>
    <row r="3044" spans="1:6" ht="12.75" x14ac:dyDescent="0.2">
      <c r="A3044" s="451"/>
      <c r="B3044" s="451"/>
      <c r="C3044" s="451"/>
      <c r="D3044" s="451"/>
      <c r="E3044" s="468"/>
      <c r="F3044" s="468"/>
    </row>
    <row r="3045" spans="1:6" ht="12.75" x14ac:dyDescent="0.2">
      <c r="A3045" s="451"/>
      <c r="B3045" s="451"/>
      <c r="C3045" s="451"/>
      <c r="D3045" s="451"/>
      <c r="E3045" s="468"/>
      <c r="F3045" s="468"/>
    </row>
    <row r="3046" spans="1:6" ht="12.75" x14ac:dyDescent="0.2">
      <c r="A3046" s="451"/>
      <c r="B3046" s="451"/>
      <c r="C3046" s="451"/>
      <c r="D3046" s="451"/>
      <c r="E3046" s="468"/>
      <c r="F3046" s="468"/>
    </row>
    <row r="3047" spans="1:6" ht="12.75" x14ac:dyDescent="0.2">
      <c r="A3047" s="451"/>
      <c r="B3047" s="451"/>
      <c r="C3047" s="451"/>
      <c r="D3047" s="451"/>
      <c r="E3047" s="468"/>
      <c r="F3047" s="468"/>
    </row>
    <row r="3048" spans="1:6" ht="12.75" x14ac:dyDescent="0.2">
      <c r="A3048" s="451"/>
      <c r="B3048" s="451"/>
      <c r="C3048" s="451"/>
      <c r="D3048" s="451"/>
      <c r="E3048" s="468"/>
      <c r="F3048" s="468"/>
    </row>
    <row r="3049" spans="1:6" ht="12.75" x14ac:dyDescent="0.2">
      <c r="A3049" s="451"/>
      <c r="B3049" s="451"/>
      <c r="C3049" s="451"/>
      <c r="D3049" s="451"/>
      <c r="E3049" s="468"/>
      <c r="F3049" s="468"/>
    </row>
    <row r="3050" spans="1:6" ht="12.75" x14ac:dyDescent="0.2">
      <c r="A3050" s="451"/>
      <c r="B3050" s="451"/>
      <c r="C3050" s="451"/>
      <c r="D3050" s="451"/>
      <c r="E3050" s="468"/>
      <c r="F3050" s="468"/>
    </row>
    <row r="3051" spans="1:6" ht="12.75" x14ac:dyDescent="0.2">
      <c r="A3051" s="451"/>
      <c r="B3051" s="451"/>
      <c r="C3051" s="451"/>
      <c r="D3051" s="451"/>
      <c r="E3051" s="468"/>
      <c r="F3051" s="468"/>
    </row>
    <row r="3052" spans="1:6" ht="12.75" x14ac:dyDescent="0.2">
      <c r="A3052" s="451"/>
      <c r="B3052" s="451"/>
      <c r="C3052" s="451"/>
      <c r="D3052" s="451"/>
      <c r="E3052" s="468"/>
      <c r="F3052" s="468"/>
    </row>
    <row r="3053" spans="1:6" ht="12.75" x14ac:dyDescent="0.2">
      <c r="A3053" s="451"/>
      <c r="B3053" s="451"/>
      <c r="C3053" s="451"/>
      <c r="D3053" s="451"/>
      <c r="E3053" s="468"/>
      <c r="F3053" s="468"/>
    </row>
    <row r="3054" spans="1:6" ht="12.75" x14ac:dyDescent="0.2">
      <c r="A3054" s="451"/>
      <c r="B3054" s="451"/>
      <c r="C3054" s="451"/>
      <c r="D3054" s="451"/>
      <c r="E3054" s="468"/>
      <c r="F3054" s="468"/>
    </row>
    <row r="3055" spans="1:6" ht="12.75" x14ac:dyDescent="0.2">
      <c r="A3055" s="451"/>
      <c r="B3055" s="451"/>
      <c r="C3055" s="451"/>
      <c r="D3055" s="451"/>
      <c r="E3055" s="468"/>
      <c r="F3055" s="468"/>
    </row>
    <row r="3056" spans="1:6" ht="12.75" x14ac:dyDescent="0.2">
      <c r="A3056" s="451"/>
      <c r="B3056" s="451"/>
      <c r="C3056" s="451"/>
      <c r="D3056" s="451"/>
      <c r="E3056" s="468"/>
      <c r="F3056" s="468"/>
    </row>
    <row r="3057" spans="1:6" ht="12.75" x14ac:dyDescent="0.2">
      <c r="A3057" s="451"/>
      <c r="B3057" s="451"/>
      <c r="C3057" s="451"/>
      <c r="D3057" s="451"/>
      <c r="E3057" s="468"/>
      <c r="F3057" s="468"/>
    </row>
    <row r="3058" spans="1:6" ht="12.75" x14ac:dyDescent="0.2">
      <c r="A3058" s="451"/>
      <c r="B3058" s="451"/>
      <c r="C3058" s="451"/>
      <c r="D3058" s="451"/>
      <c r="E3058" s="468"/>
      <c r="F3058" s="468"/>
    </row>
    <row r="3059" spans="1:6" ht="12.75" x14ac:dyDescent="0.2">
      <c r="A3059" s="451"/>
      <c r="B3059" s="451"/>
      <c r="C3059" s="451"/>
      <c r="D3059" s="451"/>
      <c r="E3059" s="468"/>
      <c r="F3059" s="468"/>
    </row>
    <row r="3060" spans="1:6" ht="12.75" x14ac:dyDescent="0.2">
      <c r="A3060" s="451"/>
      <c r="B3060" s="451"/>
      <c r="C3060" s="451"/>
      <c r="D3060" s="451"/>
      <c r="E3060" s="468"/>
      <c r="F3060" s="468"/>
    </row>
    <row r="3061" spans="1:6" ht="12.75" x14ac:dyDescent="0.2">
      <c r="A3061" s="451"/>
      <c r="B3061" s="451"/>
      <c r="C3061" s="451"/>
      <c r="D3061" s="451"/>
      <c r="E3061" s="468"/>
      <c r="F3061" s="468"/>
    </row>
    <row r="3062" spans="1:6" ht="12.75" x14ac:dyDescent="0.2">
      <c r="A3062" s="451"/>
      <c r="B3062" s="451"/>
      <c r="C3062" s="451"/>
      <c r="D3062" s="451"/>
      <c r="E3062" s="468"/>
      <c r="F3062" s="468"/>
    </row>
    <row r="3063" spans="1:6" ht="12.75" x14ac:dyDescent="0.2">
      <c r="A3063" s="451"/>
      <c r="B3063" s="451"/>
      <c r="C3063" s="451"/>
      <c r="D3063" s="451"/>
      <c r="E3063" s="468"/>
      <c r="F3063" s="468"/>
    </row>
    <row r="3064" spans="1:6" ht="12.75" x14ac:dyDescent="0.2">
      <c r="A3064" s="451"/>
      <c r="B3064" s="451"/>
      <c r="C3064" s="451"/>
      <c r="D3064" s="451"/>
      <c r="E3064" s="468"/>
      <c r="F3064" s="468"/>
    </row>
    <row r="3065" spans="1:6" ht="12.75" x14ac:dyDescent="0.2">
      <c r="A3065" s="451"/>
      <c r="B3065" s="451"/>
      <c r="C3065" s="451"/>
      <c r="D3065" s="451"/>
      <c r="E3065" s="468"/>
      <c r="F3065" s="468"/>
    </row>
    <row r="3066" spans="1:6" ht="12.75" x14ac:dyDescent="0.2">
      <c r="A3066" s="451"/>
      <c r="B3066" s="451"/>
      <c r="C3066" s="451"/>
      <c r="D3066" s="451"/>
      <c r="E3066" s="468"/>
      <c r="F3066" s="468"/>
    </row>
    <row r="3067" spans="1:6" ht="12.75" x14ac:dyDescent="0.2">
      <c r="A3067" s="451"/>
      <c r="B3067" s="451"/>
      <c r="C3067" s="451"/>
      <c r="D3067" s="451"/>
      <c r="E3067" s="468"/>
      <c r="F3067" s="468"/>
    </row>
    <row r="3068" spans="1:6" ht="12.75" x14ac:dyDescent="0.2">
      <c r="A3068" s="451"/>
      <c r="B3068" s="451"/>
      <c r="C3068" s="451"/>
      <c r="D3068" s="451"/>
      <c r="E3068" s="468"/>
      <c r="F3068" s="468"/>
    </row>
    <row r="3069" spans="1:6" ht="12.75" x14ac:dyDescent="0.2">
      <c r="A3069" s="451"/>
      <c r="B3069" s="451"/>
      <c r="C3069" s="451"/>
      <c r="D3069" s="451"/>
      <c r="E3069" s="468"/>
      <c r="F3069" s="468"/>
    </row>
    <row r="3070" spans="1:6" ht="12.75" x14ac:dyDescent="0.2">
      <c r="A3070" s="451"/>
      <c r="B3070" s="451"/>
      <c r="C3070" s="451"/>
      <c r="D3070" s="451"/>
      <c r="E3070" s="468"/>
      <c r="F3070" s="468"/>
    </row>
    <row r="3071" spans="1:6" ht="12.75" x14ac:dyDescent="0.2">
      <c r="A3071" s="451"/>
      <c r="B3071" s="451"/>
      <c r="C3071" s="451"/>
      <c r="D3071" s="451"/>
      <c r="E3071" s="468"/>
      <c r="F3071" s="468"/>
    </row>
    <row r="3072" spans="1:6" ht="12.75" x14ac:dyDescent="0.2">
      <c r="A3072" s="451"/>
      <c r="B3072" s="451"/>
      <c r="C3072" s="451"/>
      <c r="D3072" s="451"/>
      <c r="E3072" s="468"/>
      <c r="F3072" s="468"/>
    </row>
    <row r="3073" spans="1:6" ht="12.75" x14ac:dyDescent="0.2">
      <c r="A3073" s="451"/>
      <c r="B3073" s="451"/>
      <c r="C3073" s="451"/>
      <c r="D3073" s="451"/>
      <c r="E3073" s="468"/>
      <c r="F3073" s="468"/>
    </row>
    <row r="3074" spans="1:6" ht="12.75" x14ac:dyDescent="0.2">
      <c r="A3074" s="451"/>
      <c r="B3074" s="451"/>
      <c r="C3074" s="451"/>
      <c r="D3074" s="451"/>
      <c r="E3074" s="468"/>
      <c r="F3074" s="468"/>
    </row>
    <row r="3075" spans="1:6" ht="12.75" x14ac:dyDescent="0.2">
      <c r="A3075" s="451"/>
      <c r="B3075" s="451"/>
      <c r="C3075" s="451"/>
      <c r="D3075" s="451"/>
      <c r="E3075" s="468"/>
      <c r="F3075" s="468"/>
    </row>
    <row r="3076" spans="1:6" ht="12.75" x14ac:dyDescent="0.2">
      <c r="A3076" s="451"/>
      <c r="B3076" s="451"/>
      <c r="C3076" s="451"/>
      <c r="D3076" s="451"/>
      <c r="E3076" s="468"/>
      <c r="F3076" s="468"/>
    </row>
    <row r="3077" spans="1:6" ht="12.75" x14ac:dyDescent="0.2">
      <c r="A3077" s="451"/>
      <c r="B3077" s="451"/>
      <c r="C3077" s="451"/>
      <c r="D3077" s="451"/>
      <c r="E3077" s="468"/>
      <c r="F3077" s="468"/>
    </row>
    <row r="3078" spans="1:6" ht="12.75" x14ac:dyDescent="0.2">
      <c r="A3078" s="451"/>
      <c r="B3078" s="451"/>
      <c r="C3078" s="451"/>
      <c r="D3078" s="451"/>
      <c r="E3078" s="468"/>
      <c r="F3078" s="468"/>
    </row>
    <row r="3079" spans="1:6" ht="12.75" x14ac:dyDescent="0.2">
      <c r="A3079" s="451"/>
      <c r="B3079" s="451"/>
      <c r="C3079" s="451"/>
      <c r="D3079" s="451"/>
      <c r="E3079" s="468"/>
      <c r="F3079" s="468"/>
    </row>
    <row r="3080" spans="1:6" ht="12.75" x14ac:dyDescent="0.2">
      <c r="A3080" s="451"/>
      <c r="B3080" s="451"/>
      <c r="C3080" s="451"/>
      <c r="D3080" s="451"/>
      <c r="E3080" s="468"/>
      <c r="F3080" s="468"/>
    </row>
    <row r="3081" spans="1:6" ht="12.75" x14ac:dyDescent="0.2">
      <c r="A3081" s="451"/>
      <c r="B3081" s="451"/>
      <c r="C3081" s="451"/>
      <c r="D3081" s="451"/>
      <c r="E3081" s="468"/>
      <c r="F3081" s="468"/>
    </row>
    <row r="3082" spans="1:6" ht="12.75" x14ac:dyDescent="0.2">
      <c r="A3082" s="451"/>
      <c r="B3082" s="451"/>
      <c r="C3082" s="451"/>
      <c r="D3082" s="451"/>
      <c r="E3082" s="468"/>
      <c r="F3082" s="468"/>
    </row>
    <row r="3083" spans="1:6" ht="12.75" x14ac:dyDescent="0.2">
      <c r="A3083" s="451"/>
      <c r="B3083" s="451"/>
      <c r="C3083" s="451"/>
      <c r="D3083" s="451"/>
      <c r="E3083" s="468"/>
      <c r="F3083" s="468"/>
    </row>
    <row r="3084" spans="1:6" ht="12.75" x14ac:dyDescent="0.2">
      <c r="A3084" s="451"/>
      <c r="B3084" s="451"/>
      <c r="C3084" s="451"/>
      <c r="D3084" s="451"/>
      <c r="E3084" s="468"/>
      <c r="F3084" s="468"/>
    </row>
    <row r="3085" spans="1:6" ht="12.75" x14ac:dyDescent="0.2">
      <c r="A3085" s="451"/>
      <c r="B3085" s="451"/>
      <c r="C3085" s="451"/>
      <c r="D3085" s="451"/>
      <c r="E3085" s="468"/>
      <c r="F3085" s="468"/>
    </row>
    <row r="3086" spans="1:6" ht="12.75" x14ac:dyDescent="0.2">
      <c r="A3086" s="451"/>
      <c r="B3086" s="451"/>
      <c r="C3086" s="451"/>
      <c r="D3086" s="451"/>
      <c r="E3086" s="468"/>
      <c r="F3086" s="468"/>
    </row>
    <row r="3087" spans="1:6" ht="12.75" x14ac:dyDescent="0.2">
      <c r="A3087" s="451"/>
      <c r="B3087" s="451"/>
      <c r="C3087" s="451"/>
      <c r="D3087" s="451"/>
      <c r="E3087" s="468"/>
      <c r="F3087" s="468"/>
    </row>
    <row r="3088" spans="1:6" ht="12.75" x14ac:dyDescent="0.2">
      <c r="A3088" s="451"/>
      <c r="B3088" s="451"/>
      <c r="C3088" s="451"/>
      <c r="D3088" s="451"/>
      <c r="E3088" s="468"/>
      <c r="F3088" s="468"/>
    </row>
    <row r="3089" spans="1:6" ht="12.75" x14ac:dyDescent="0.2">
      <c r="A3089" s="451"/>
      <c r="B3089" s="451"/>
      <c r="C3089" s="451"/>
      <c r="D3089" s="451"/>
      <c r="E3089" s="468"/>
      <c r="F3089" s="468"/>
    </row>
    <row r="3090" spans="1:6" ht="12.75" x14ac:dyDescent="0.2">
      <c r="A3090" s="451"/>
      <c r="B3090" s="451"/>
      <c r="C3090" s="451"/>
      <c r="D3090" s="451"/>
      <c r="E3090" s="468"/>
      <c r="F3090" s="468"/>
    </row>
    <row r="3091" spans="1:6" ht="12.75" x14ac:dyDescent="0.2">
      <c r="A3091" s="451"/>
      <c r="B3091" s="451"/>
      <c r="C3091" s="451"/>
      <c r="D3091" s="451"/>
      <c r="E3091" s="468"/>
      <c r="F3091" s="468"/>
    </row>
    <row r="3092" spans="1:6" ht="12.75" x14ac:dyDescent="0.2">
      <c r="A3092" s="451"/>
      <c r="B3092" s="451"/>
      <c r="C3092" s="451"/>
      <c r="D3092" s="451"/>
      <c r="E3092" s="468"/>
      <c r="F3092" s="468"/>
    </row>
    <row r="3093" spans="1:6" ht="12.75" x14ac:dyDescent="0.2">
      <c r="A3093" s="451"/>
      <c r="B3093" s="451"/>
      <c r="C3093" s="451"/>
      <c r="D3093" s="451"/>
      <c r="E3093" s="468"/>
      <c r="F3093" s="468"/>
    </row>
    <row r="3094" spans="1:6" ht="12.75" x14ac:dyDescent="0.2">
      <c r="A3094" s="451"/>
      <c r="B3094" s="451"/>
      <c r="C3094" s="451"/>
      <c r="D3094" s="451"/>
      <c r="E3094" s="468"/>
      <c r="F3094" s="468"/>
    </row>
    <row r="3095" spans="1:6" ht="12.75" x14ac:dyDescent="0.2">
      <c r="A3095" s="451"/>
      <c r="B3095" s="451"/>
      <c r="C3095" s="451"/>
      <c r="D3095" s="451"/>
      <c r="E3095" s="468"/>
      <c r="F3095" s="468"/>
    </row>
    <row r="3096" spans="1:6" ht="12.75" x14ac:dyDescent="0.2">
      <c r="A3096" s="451"/>
      <c r="B3096" s="451"/>
      <c r="C3096" s="451"/>
      <c r="D3096" s="451"/>
      <c r="E3096" s="468"/>
      <c r="F3096" s="468"/>
    </row>
    <row r="3097" spans="1:6" ht="12.75" x14ac:dyDescent="0.2">
      <c r="A3097" s="451"/>
      <c r="B3097" s="451"/>
      <c r="C3097" s="451"/>
      <c r="D3097" s="451"/>
      <c r="E3097" s="468"/>
      <c r="F3097" s="468"/>
    </row>
    <row r="3098" spans="1:6" ht="12.75" x14ac:dyDescent="0.2">
      <c r="A3098" s="451"/>
      <c r="B3098" s="451"/>
      <c r="C3098" s="451"/>
      <c r="D3098" s="451"/>
      <c r="E3098" s="468"/>
      <c r="F3098" s="468"/>
    </row>
    <row r="3099" spans="1:6" ht="12.75" x14ac:dyDescent="0.2">
      <c r="A3099" s="451"/>
      <c r="B3099" s="451"/>
      <c r="C3099" s="451"/>
      <c r="D3099" s="451"/>
      <c r="E3099" s="468"/>
      <c r="F3099" s="468"/>
    </row>
    <row r="3100" spans="1:6" ht="12.75" x14ac:dyDescent="0.2">
      <c r="A3100" s="451"/>
      <c r="B3100" s="451"/>
      <c r="C3100" s="451"/>
      <c r="D3100" s="451"/>
      <c r="E3100" s="468"/>
      <c r="F3100" s="468"/>
    </row>
    <row r="3101" spans="1:6" ht="12.75" x14ac:dyDescent="0.2">
      <c r="A3101" s="451"/>
      <c r="B3101" s="451"/>
      <c r="C3101" s="451"/>
      <c r="D3101" s="451"/>
      <c r="E3101" s="468"/>
      <c r="F3101" s="468"/>
    </row>
    <row r="3102" spans="1:6" ht="12.75" x14ac:dyDescent="0.2">
      <c r="A3102" s="451"/>
      <c r="B3102" s="451"/>
      <c r="C3102" s="451"/>
      <c r="D3102" s="451"/>
      <c r="E3102" s="468"/>
      <c r="F3102" s="468"/>
    </row>
    <row r="3103" spans="1:6" ht="12.75" x14ac:dyDescent="0.2">
      <c r="A3103" s="451"/>
      <c r="B3103" s="451"/>
      <c r="C3103" s="451"/>
      <c r="D3103" s="451"/>
      <c r="E3103" s="468"/>
      <c r="F3103" s="468"/>
    </row>
    <row r="3104" spans="1:6" ht="12.75" x14ac:dyDescent="0.2">
      <c r="A3104" s="451"/>
      <c r="B3104" s="451"/>
      <c r="C3104" s="451"/>
      <c r="D3104" s="451"/>
      <c r="E3104" s="468"/>
      <c r="F3104" s="468"/>
    </row>
    <row r="3105" spans="1:6" ht="12.75" x14ac:dyDescent="0.2">
      <c r="A3105" s="451"/>
      <c r="B3105" s="451"/>
      <c r="C3105" s="451"/>
      <c r="D3105" s="451"/>
      <c r="E3105" s="468"/>
      <c r="F3105" s="468"/>
    </row>
    <row r="3106" spans="1:6" ht="12.75" x14ac:dyDescent="0.2">
      <c r="A3106" s="451"/>
      <c r="B3106" s="451"/>
      <c r="C3106" s="451"/>
      <c r="D3106" s="451"/>
      <c r="E3106" s="468"/>
      <c r="F3106" s="468"/>
    </row>
    <row r="3107" spans="1:6" ht="12.75" x14ac:dyDescent="0.2">
      <c r="A3107" s="451"/>
      <c r="B3107" s="451"/>
      <c r="C3107" s="451"/>
      <c r="D3107" s="451"/>
      <c r="E3107" s="468"/>
      <c r="F3107" s="468"/>
    </row>
    <row r="3108" spans="1:6" ht="12.75" x14ac:dyDescent="0.2">
      <c r="A3108" s="451"/>
      <c r="B3108" s="451"/>
      <c r="C3108" s="451"/>
      <c r="D3108" s="451"/>
      <c r="E3108" s="468"/>
      <c r="F3108" s="468"/>
    </row>
    <row r="3109" spans="1:6" ht="12.75" x14ac:dyDescent="0.2">
      <c r="A3109" s="451"/>
      <c r="B3109" s="451"/>
      <c r="C3109" s="451"/>
      <c r="D3109" s="451"/>
      <c r="E3109" s="468"/>
      <c r="F3109" s="468"/>
    </row>
    <row r="3110" spans="1:6" ht="12.75" x14ac:dyDescent="0.2">
      <c r="A3110" s="451"/>
      <c r="B3110" s="451"/>
      <c r="C3110" s="451"/>
      <c r="D3110" s="451"/>
      <c r="E3110" s="468"/>
      <c r="F3110" s="468"/>
    </row>
    <row r="3111" spans="1:6" ht="12.75" x14ac:dyDescent="0.2">
      <c r="A3111" s="451"/>
      <c r="B3111" s="451"/>
      <c r="C3111" s="451"/>
      <c r="D3111" s="451"/>
      <c r="E3111" s="468"/>
      <c r="F3111" s="468"/>
    </row>
    <row r="3112" spans="1:6" ht="12.75" x14ac:dyDescent="0.2">
      <c r="A3112" s="451"/>
      <c r="B3112" s="451"/>
      <c r="C3112" s="451"/>
      <c r="D3112" s="451"/>
      <c r="E3112" s="468"/>
      <c r="F3112" s="468"/>
    </row>
    <row r="3113" spans="1:6" ht="12.75" x14ac:dyDescent="0.2">
      <c r="A3113" s="451"/>
      <c r="B3113" s="451"/>
      <c r="C3113" s="451"/>
      <c r="D3113" s="451"/>
      <c r="E3113" s="468"/>
      <c r="F3113" s="468"/>
    </row>
    <row r="3114" spans="1:6" ht="12.75" x14ac:dyDescent="0.2">
      <c r="A3114" s="451"/>
      <c r="B3114" s="451"/>
      <c r="C3114" s="451"/>
      <c r="D3114" s="451"/>
      <c r="E3114" s="468"/>
      <c r="F3114" s="468"/>
    </row>
    <row r="3115" spans="1:6" ht="12.75" x14ac:dyDescent="0.2">
      <c r="A3115" s="451"/>
      <c r="B3115" s="451"/>
      <c r="C3115" s="451"/>
      <c r="D3115" s="451"/>
      <c r="E3115" s="468"/>
      <c r="F3115" s="468"/>
    </row>
    <row r="3116" spans="1:6" ht="12.75" x14ac:dyDescent="0.2">
      <c r="A3116" s="451"/>
      <c r="B3116" s="451"/>
      <c r="C3116" s="451"/>
      <c r="D3116" s="451"/>
      <c r="E3116" s="468"/>
      <c r="F3116" s="468"/>
    </row>
    <row r="3117" spans="1:6" ht="12.75" x14ac:dyDescent="0.2">
      <c r="A3117" s="451"/>
      <c r="B3117" s="451"/>
      <c r="C3117" s="451"/>
      <c r="D3117" s="451"/>
      <c r="E3117" s="468"/>
      <c r="F3117" s="468"/>
    </row>
    <row r="3118" spans="1:6" ht="12.75" x14ac:dyDescent="0.2">
      <c r="A3118" s="451"/>
      <c r="B3118" s="451"/>
      <c r="C3118" s="451"/>
      <c r="D3118" s="451"/>
      <c r="E3118" s="468"/>
      <c r="F3118" s="468"/>
    </row>
    <row r="3119" spans="1:6" ht="12.75" x14ac:dyDescent="0.2">
      <c r="A3119" s="451"/>
      <c r="B3119" s="451"/>
      <c r="C3119" s="451"/>
      <c r="D3119" s="451"/>
      <c r="E3119" s="468"/>
      <c r="F3119" s="468"/>
    </row>
    <row r="3120" spans="1:6" ht="12.75" x14ac:dyDescent="0.2">
      <c r="A3120" s="451"/>
      <c r="B3120" s="451"/>
      <c r="C3120" s="451"/>
      <c r="D3120" s="451"/>
      <c r="E3120" s="468"/>
      <c r="F3120" s="468"/>
    </row>
    <row r="3121" spans="1:6" ht="12.75" x14ac:dyDescent="0.2">
      <c r="A3121" s="451"/>
      <c r="B3121" s="451"/>
      <c r="C3121" s="451"/>
      <c r="D3121" s="451"/>
      <c r="E3121" s="468"/>
      <c r="F3121" s="468"/>
    </row>
    <row r="3122" spans="1:6" ht="12.75" x14ac:dyDescent="0.2">
      <c r="A3122" s="451"/>
      <c r="B3122" s="451"/>
      <c r="C3122" s="451"/>
      <c r="D3122" s="451"/>
      <c r="E3122" s="468"/>
      <c r="F3122" s="468"/>
    </row>
    <row r="3123" spans="1:6" ht="12.75" x14ac:dyDescent="0.2">
      <c r="A3123" s="451"/>
      <c r="B3123" s="451"/>
      <c r="C3123" s="451"/>
      <c r="D3123" s="451"/>
      <c r="E3123" s="468"/>
      <c r="F3123" s="468"/>
    </row>
    <row r="3124" spans="1:6" ht="12.75" x14ac:dyDescent="0.2">
      <c r="A3124" s="451"/>
      <c r="B3124" s="451"/>
      <c r="C3124" s="451"/>
      <c r="D3124" s="451"/>
      <c r="E3124" s="468"/>
      <c r="F3124" s="468"/>
    </row>
    <row r="3125" spans="1:6" ht="12.75" x14ac:dyDescent="0.2">
      <c r="A3125" s="451"/>
      <c r="B3125" s="451"/>
      <c r="C3125" s="451"/>
      <c r="D3125" s="451"/>
      <c r="E3125" s="468"/>
      <c r="F3125" s="468"/>
    </row>
    <row r="3126" spans="1:6" ht="12.75" x14ac:dyDescent="0.2">
      <c r="A3126" s="451"/>
      <c r="B3126" s="451"/>
      <c r="C3126" s="451"/>
      <c r="D3126" s="451"/>
      <c r="E3126" s="468"/>
      <c r="F3126" s="468"/>
    </row>
    <row r="3127" spans="1:6" ht="12.75" x14ac:dyDescent="0.2">
      <c r="A3127" s="451"/>
      <c r="B3127" s="451"/>
      <c r="C3127" s="451"/>
      <c r="D3127" s="451"/>
      <c r="E3127" s="468"/>
      <c r="F3127" s="468"/>
    </row>
    <row r="3128" spans="1:6" ht="12.75" x14ac:dyDescent="0.2">
      <c r="A3128" s="451"/>
      <c r="B3128" s="451"/>
      <c r="C3128" s="451"/>
      <c r="D3128" s="451"/>
      <c r="E3128" s="468"/>
      <c r="F3128" s="468"/>
    </row>
    <row r="3129" spans="1:6" ht="12.75" x14ac:dyDescent="0.2">
      <c r="A3129" s="451"/>
      <c r="B3129" s="451"/>
      <c r="C3129" s="451"/>
      <c r="D3129" s="451"/>
      <c r="E3129" s="468"/>
      <c r="F3129" s="468"/>
    </row>
    <row r="3130" spans="1:6" ht="12.75" x14ac:dyDescent="0.2">
      <c r="A3130" s="451"/>
      <c r="B3130" s="451"/>
      <c r="C3130" s="451"/>
      <c r="D3130" s="451"/>
      <c r="E3130" s="468"/>
      <c r="F3130" s="468"/>
    </row>
    <row r="3131" spans="1:6" ht="12.75" x14ac:dyDescent="0.2">
      <c r="A3131" s="451"/>
      <c r="B3131" s="451"/>
      <c r="C3131" s="451"/>
      <c r="D3131" s="451"/>
      <c r="E3131" s="468"/>
      <c r="F3131" s="468"/>
    </row>
    <row r="3132" spans="1:6" ht="12.75" x14ac:dyDescent="0.2">
      <c r="A3132" s="451"/>
      <c r="B3132" s="451"/>
      <c r="C3132" s="451"/>
      <c r="D3132" s="451"/>
      <c r="E3132" s="468"/>
      <c r="F3132" s="468"/>
    </row>
    <row r="3133" spans="1:6" ht="12.75" x14ac:dyDescent="0.2">
      <c r="A3133" s="451"/>
      <c r="B3133" s="451"/>
      <c r="C3133" s="451"/>
      <c r="D3133" s="451"/>
      <c r="E3133" s="468"/>
      <c r="F3133" s="468"/>
    </row>
    <row r="3134" spans="1:6" ht="12.75" x14ac:dyDescent="0.2">
      <c r="A3134" s="451"/>
      <c r="B3134" s="451"/>
      <c r="C3134" s="451"/>
      <c r="D3134" s="451"/>
      <c r="E3134" s="468"/>
      <c r="F3134" s="468"/>
    </row>
    <row r="3135" spans="1:6" ht="12.75" x14ac:dyDescent="0.2">
      <c r="A3135" s="451"/>
      <c r="B3135" s="451"/>
      <c r="C3135" s="451"/>
      <c r="D3135" s="451"/>
      <c r="E3135" s="468"/>
      <c r="F3135" s="468"/>
    </row>
    <row r="3136" spans="1:6" ht="12.75" x14ac:dyDescent="0.2">
      <c r="A3136" s="451"/>
      <c r="B3136" s="451"/>
      <c r="C3136" s="451"/>
      <c r="D3136" s="451"/>
      <c r="E3136" s="468"/>
      <c r="F3136" s="468"/>
    </row>
    <row r="3137" spans="1:6" ht="12.75" x14ac:dyDescent="0.2">
      <c r="A3137" s="451"/>
      <c r="B3137" s="451"/>
      <c r="C3137" s="451"/>
      <c r="D3137" s="451"/>
      <c r="E3137" s="468"/>
      <c r="F3137" s="468"/>
    </row>
    <row r="3138" spans="1:6" ht="12.75" x14ac:dyDescent="0.2">
      <c r="A3138" s="451"/>
      <c r="B3138" s="451"/>
      <c r="C3138" s="451"/>
      <c r="D3138" s="451"/>
      <c r="E3138" s="468"/>
      <c r="F3138" s="468"/>
    </row>
    <row r="3139" spans="1:6" ht="12.75" x14ac:dyDescent="0.2">
      <c r="A3139" s="451"/>
      <c r="B3139" s="451"/>
      <c r="C3139" s="451"/>
      <c r="D3139" s="451"/>
      <c r="E3139" s="468"/>
      <c r="F3139" s="468"/>
    </row>
    <row r="3140" spans="1:6" ht="12.75" x14ac:dyDescent="0.2">
      <c r="A3140" s="451"/>
      <c r="B3140" s="451"/>
      <c r="C3140" s="451"/>
      <c r="D3140" s="451"/>
      <c r="E3140" s="468"/>
      <c r="F3140" s="468"/>
    </row>
    <row r="3141" spans="1:6" ht="12.75" x14ac:dyDescent="0.2">
      <c r="A3141" s="451"/>
      <c r="B3141" s="451"/>
      <c r="C3141" s="451"/>
      <c r="D3141" s="451"/>
      <c r="E3141" s="468"/>
      <c r="F3141" s="468"/>
    </row>
    <row r="3142" spans="1:6" ht="12.75" x14ac:dyDescent="0.2">
      <c r="A3142" s="451"/>
      <c r="B3142" s="451"/>
      <c r="C3142" s="451"/>
      <c r="D3142" s="451"/>
      <c r="E3142" s="468"/>
      <c r="F3142" s="468"/>
    </row>
    <row r="3143" spans="1:6" ht="12.75" x14ac:dyDescent="0.2">
      <c r="A3143" s="451"/>
      <c r="B3143" s="451"/>
      <c r="C3143" s="451"/>
      <c r="D3143" s="451"/>
      <c r="E3143" s="468"/>
      <c r="F3143" s="468"/>
    </row>
    <row r="3144" spans="1:6" ht="12.75" x14ac:dyDescent="0.2">
      <c r="A3144" s="451"/>
      <c r="B3144" s="451"/>
      <c r="C3144" s="451"/>
      <c r="D3144" s="451"/>
      <c r="E3144" s="468"/>
      <c r="F3144" s="468"/>
    </row>
    <row r="3145" spans="1:6" ht="12.75" x14ac:dyDescent="0.2">
      <c r="A3145" s="451"/>
      <c r="B3145" s="451"/>
      <c r="C3145" s="451"/>
      <c r="D3145" s="451"/>
      <c r="E3145" s="468"/>
      <c r="F3145" s="468"/>
    </row>
    <row r="3146" spans="1:6" ht="12.75" x14ac:dyDescent="0.2">
      <c r="A3146" s="451"/>
      <c r="B3146" s="451"/>
      <c r="C3146" s="451"/>
      <c r="D3146" s="451"/>
      <c r="E3146" s="468"/>
      <c r="F3146" s="468"/>
    </row>
    <row r="3147" spans="1:6" ht="12.75" x14ac:dyDescent="0.2">
      <c r="A3147" s="451"/>
      <c r="B3147" s="451"/>
      <c r="C3147" s="451"/>
      <c r="D3147" s="451"/>
      <c r="E3147" s="468"/>
      <c r="F3147" s="468"/>
    </row>
    <row r="3148" spans="1:6" ht="12.75" x14ac:dyDescent="0.2">
      <c r="A3148" s="451"/>
      <c r="B3148" s="451"/>
      <c r="C3148" s="451"/>
      <c r="D3148" s="451"/>
      <c r="E3148" s="468"/>
      <c r="F3148" s="468"/>
    </row>
    <row r="3149" spans="1:6" ht="12.75" x14ac:dyDescent="0.2">
      <c r="A3149" s="451"/>
      <c r="B3149" s="451"/>
      <c r="C3149" s="451"/>
      <c r="D3149" s="451"/>
      <c r="E3149" s="468"/>
      <c r="F3149" s="468"/>
    </row>
    <row r="3150" spans="1:6" ht="12.75" x14ac:dyDescent="0.2">
      <c r="A3150" s="451"/>
      <c r="B3150" s="451"/>
      <c r="C3150" s="451"/>
      <c r="D3150" s="451"/>
      <c r="E3150" s="468"/>
      <c r="F3150" s="468"/>
    </row>
    <row r="3151" spans="1:6" ht="12.75" x14ac:dyDescent="0.2">
      <c r="A3151" s="451"/>
      <c r="B3151" s="451"/>
      <c r="C3151" s="451"/>
      <c r="D3151" s="451"/>
      <c r="E3151" s="468"/>
      <c r="F3151" s="468"/>
    </row>
    <row r="3152" spans="1:6" ht="12.75" x14ac:dyDescent="0.2">
      <c r="A3152" s="451"/>
      <c r="B3152" s="451"/>
      <c r="C3152" s="451"/>
      <c r="D3152" s="451"/>
      <c r="E3152" s="468"/>
      <c r="F3152" s="468"/>
    </row>
    <row r="3153" spans="1:6" ht="12.75" x14ac:dyDescent="0.2">
      <c r="A3153" s="451"/>
      <c r="B3153" s="451"/>
      <c r="C3153" s="451"/>
      <c r="D3153" s="451"/>
      <c r="E3153" s="468"/>
      <c r="F3153" s="468"/>
    </row>
    <row r="3154" spans="1:6" ht="12.75" x14ac:dyDescent="0.2">
      <c r="A3154" s="451"/>
      <c r="B3154" s="451"/>
      <c r="C3154" s="451"/>
      <c r="D3154" s="451"/>
      <c r="E3154" s="468"/>
      <c r="F3154" s="468"/>
    </row>
    <row r="3155" spans="1:6" ht="12.75" x14ac:dyDescent="0.2">
      <c r="A3155" s="451"/>
      <c r="B3155" s="451"/>
      <c r="C3155" s="451"/>
      <c r="D3155" s="451"/>
      <c r="E3155" s="468"/>
      <c r="F3155" s="468"/>
    </row>
    <row r="3156" spans="1:6" ht="12.75" x14ac:dyDescent="0.2">
      <c r="A3156" s="451"/>
      <c r="B3156" s="451"/>
      <c r="C3156" s="451"/>
      <c r="D3156" s="451"/>
      <c r="E3156" s="468"/>
      <c r="F3156" s="468"/>
    </row>
    <row r="3157" spans="1:6" ht="12.75" x14ac:dyDescent="0.2">
      <c r="A3157" s="451"/>
      <c r="B3157" s="451"/>
      <c r="C3157" s="451"/>
      <c r="D3157" s="451"/>
      <c r="E3157" s="468"/>
      <c r="F3157" s="468"/>
    </row>
    <row r="3158" spans="1:6" ht="12.75" x14ac:dyDescent="0.2">
      <c r="A3158" s="451"/>
      <c r="B3158" s="451"/>
      <c r="C3158" s="451"/>
      <c r="D3158" s="451"/>
      <c r="E3158" s="468"/>
      <c r="F3158" s="468"/>
    </row>
    <row r="3159" spans="1:6" ht="12.75" x14ac:dyDescent="0.2">
      <c r="A3159" s="451"/>
      <c r="B3159" s="451"/>
      <c r="C3159" s="451"/>
      <c r="D3159" s="451"/>
      <c r="E3159" s="468"/>
      <c r="F3159" s="468"/>
    </row>
    <row r="3160" spans="1:6" ht="12.75" x14ac:dyDescent="0.2">
      <c r="A3160" s="451"/>
      <c r="B3160" s="451"/>
      <c r="C3160" s="451"/>
      <c r="D3160" s="451"/>
      <c r="E3160" s="468"/>
      <c r="F3160" s="468"/>
    </row>
    <row r="3161" spans="1:6" ht="12.75" x14ac:dyDescent="0.2">
      <c r="A3161" s="451"/>
      <c r="B3161" s="451"/>
      <c r="C3161" s="451"/>
      <c r="D3161" s="451"/>
      <c r="E3161" s="468"/>
      <c r="F3161" s="468"/>
    </row>
    <row r="3162" spans="1:6" ht="12.75" x14ac:dyDescent="0.2">
      <c r="A3162" s="451"/>
      <c r="B3162" s="451"/>
      <c r="C3162" s="451"/>
      <c r="D3162" s="451"/>
      <c r="E3162" s="468"/>
      <c r="F3162" s="468"/>
    </row>
    <row r="3163" spans="1:6" ht="12.75" x14ac:dyDescent="0.2">
      <c r="A3163" s="451"/>
      <c r="B3163" s="451"/>
      <c r="C3163" s="451"/>
      <c r="D3163" s="451"/>
      <c r="E3163" s="468"/>
      <c r="F3163" s="468"/>
    </row>
    <row r="3164" spans="1:6" ht="12.75" x14ac:dyDescent="0.2">
      <c r="A3164" s="451"/>
      <c r="B3164" s="451"/>
      <c r="C3164" s="451"/>
      <c r="D3164" s="451"/>
      <c r="E3164" s="468"/>
      <c r="F3164" s="468"/>
    </row>
    <row r="3165" spans="1:6" ht="12.75" x14ac:dyDescent="0.2">
      <c r="A3165" s="451"/>
      <c r="B3165" s="451"/>
      <c r="C3165" s="451"/>
      <c r="D3165" s="451"/>
      <c r="E3165" s="468"/>
      <c r="F3165" s="468"/>
    </row>
    <row r="3166" spans="1:6" ht="12.75" x14ac:dyDescent="0.2">
      <c r="A3166" s="451"/>
      <c r="B3166" s="451"/>
      <c r="C3166" s="451"/>
      <c r="D3166" s="451"/>
      <c r="E3166" s="468"/>
      <c r="F3166" s="468"/>
    </row>
    <row r="3167" spans="1:6" ht="12.75" x14ac:dyDescent="0.2">
      <c r="A3167" s="451"/>
      <c r="B3167" s="451"/>
      <c r="C3167" s="451"/>
      <c r="D3167" s="451"/>
      <c r="E3167" s="468"/>
      <c r="F3167" s="468"/>
    </row>
    <row r="3168" spans="1:6" ht="12.75" x14ac:dyDescent="0.2">
      <c r="A3168" s="451"/>
      <c r="B3168" s="451"/>
      <c r="C3168" s="451"/>
      <c r="D3168" s="451"/>
      <c r="E3168" s="468"/>
      <c r="F3168" s="468"/>
    </row>
    <row r="3169" spans="1:6" ht="12.75" x14ac:dyDescent="0.2">
      <c r="A3169" s="451"/>
      <c r="B3169" s="451"/>
      <c r="C3169" s="451"/>
      <c r="D3169" s="451"/>
      <c r="E3169" s="468"/>
      <c r="F3169" s="468"/>
    </row>
    <row r="3170" spans="1:6" ht="12.75" x14ac:dyDescent="0.2">
      <c r="A3170" s="451"/>
      <c r="B3170" s="451"/>
      <c r="C3170" s="451"/>
      <c r="D3170" s="451"/>
      <c r="E3170" s="468"/>
      <c r="F3170" s="468"/>
    </row>
    <row r="3171" spans="1:6" ht="12.75" x14ac:dyDescent="0.2">
      <c r="A3171" s="451"/>
      <c r="B3171" s="451"/>
      <c r="C3171" s="451"/>
      <c r="D3171" s="451"/>
      <c r="E3171" s="468"/>
      <c r="F3171" s="468"/>
    </row>
    <row r="3172" spans="1:6" ht="12.75" x14ac:dyDescent="0.2">
      <c r="A3172" s="451"/>
      <c r="B3172" s="451"/>
      <c r="C3172" s="451"/>
      <c r="D3172" s="451"/>
      <c r="E3172" s="468"/>
      <c r="F3172" s="468"/>
    </row>
    <row r="3173" spans="1:6" ht="12.75" x14ac:dyDescent="0.2">
      <c r="A3173" s="451"/>
      <c r="B3173" s="451"/>
      <c r="C3173" s="451"/>
      <c r="D3173" s="451"/>
      <c r="E3173" s="468"/>
      <c r="F3173" s="468"/>
    </row>
    <row r="3174" spans="1:6" ht="12.75" x14ac:dyDescent="0.2">
      <c r="A3174" s="451"/>
      <c r="B3174" s="451"/>
      <c r="C3174" s="451"/>
      <c r="D3174" s="451"/>
      <c r="E3174" s="468"/>
      <c r="F3174" s="468"/>
    </row>
    <row r="3175" spans="1:6" ht="12.75" x14ac:dyDescent="0.2">
      <c r="A3175" s="451"/>
      <c r="B3175" s="451"/>
      <c r="C3175" s="451"/>
      <c r="D3175" s="451"/>
      <c r="E3175" s="468"/>
      <c r="F3175" s="468"/>
    </row>
    <row r="3176" spans="1:6" ht="12.75" x14ac:dyDescent="0.2">
      <c r="A3176" s="451"/>
      <c r="B3176" s="451"/>
      <c r="C3176" s="451"/>
      <c r="D3176" s="451"/>
      <c r="E3176" s="468"/>
      <c r="F3176" s="468"/>
    </row>
    <row r="3177" spans="1:6" ht="12.75" x14ac:dyDescent="0.2">
      <c r="A3177" s="451"/>
      <c r="B3177" s="451"/>
      <c r="C3177" s="451"/>
      <c r="D3177" s="451"/>
      <c r="E3177" s="468"/>
      <c r="F3177" s="468"/>
    </row>
    <row r="3178" spans="1:6" ht="12.75" x14ac:dyDescent="0.2">
      <c r="A3178" s="451"/>
      <c r="B3178" s="451"/>
      <c r="C3178" s="451"/>
      <c r="D3178" s="451"/>
      <c r="E3178" s="468"/>
      <c r="F3178" s="468"/>
    </row>
    <row r="3179" spans="1:6" ht="12.75" x14ac:dyDescent="0.2">
      <c r="A3179" s="451"/>
      <c r="B3179" s="451"/>
      <c r="C3179" s="451"/>
      <c r="D3179" s="451"/>
      <c r="E3179" s="468"/>
      <c r="F3179" s="468"/>
    </row>
    <row r="3180" spans="1:6" ht="12.75" x14ac:dyDescent="0.2">
      <c r="A3180" s="451"/>
      <c r="B3180" s="451"/>
      <c r="C3180" s="451"/>
      <c r="D3180" s="451"/>
      <c r="E3180" s="468"/>
      <c r="F3180" s="468"/>
    </row>
    <row r="3181" spans="1:6" ht="12.75" x14ac:dyDescent="0.2">
      <c r="A3181" s="451"/>
      <c r="B3181" s="451"/>
      <c r="C3181" s="451"/>
      <c r="D3181" s="451"/>
      <c r="E3181" s="468"/>
      <c r="F3181" s="468"/>
    </row>
    <row r="3182" spans="1:6" ht="12.75" x14ac:dyDescent="0.2">
      <c r="A3182" s="451"/>
      <c r="B3182" s="451"/>
      <c r="C3182" s="451"/>
      <c r="D3182" s="451"/>
      <c r="E3182" s="468"/>
      <c r="F3182" s="468"/>
    </row>
    <row r="3183" spans="1:6" ht="12.75" x14ac:dyDescent="0.2">
      <c r="A3183" s="451"/>
      <c r="B3183" s="451"/>
      <c r="C3183" s="451"/>
      <c r="D3183" s="451"/>
      <c r="E3183" s="468"/>
      <c r="F3183" s="468"/>
    </row>
    <row r="3184" spans="1:6" ht="12.75" x14ac:dyDescent="0.2">
      <c r="A3184" s="451"/>
      <c r="B3184" s="451"/>
      <c r="C3184" s="451"/>
      <c r="D3184" s="451"/>
      <c r="E3184" s="468"/>
      <c r="F3184" s="468"/>
    </row>
    <row r="3185" spans="1:6" ht="12.75" x14ac:dyDescent="0.2">
      <c r="A3185" s="451"/>
      <c r="B3185" s="451"/>
      <c r="C3185" s="451"/>
      <c r="D3185" s="451"/>
      <c r="E3185" s="468"/>
      <c r="F3185" s="468"/>
    </row>
    <row r="3186" spans="1:6" ht="12.75" x14ac:dyDescent="0.2">
      <c r="A3186" s="451"/>
      <c r="B3186" s="451"/>
      <c r="C3186" s="451"/>
      <c r="D3186" s="451"/>
      <c r="E3186" s="468"/>
      <c r="F3186" s="468"/>
    </row>
    <row r="3187" spans="1:6" ht="12.75" x14ac:dyDescent="0.2">
      <c r="A3187" s="451"/>
      <c r="B3187" s="451"/>
      <c r="C3187" s="451"/>
      <c r="D3187" s="451"/>
      <c r="E3187" s="468"/>
      <c r="F3187" s="468"/>
    </row>
    <row r="3188" spans="1:6" ht="12.75" x14ac:dyDescent="0.2">
      <c r="A3188" s="451"/>
      <c r="B3188" s="451"/>
      <c r="C3188" s="451"/>
      <c r="D3188" s="451"/>
      <c r="E3188" s="468"/>
      <c r="F3188" s="468"/>
    </row>
    <row r="3189" spans="1:6" ht="12.75" x14ac:dyDescent="0.2">
      <c r="A3189" s="451"/>
      <c r="B3189" s="451"/>
      <c r="C3189" s="451"/>
      <c r="D3189" s="451"/>
      <c r="E3189" s="468"/>
      <c r="F3189" s="468"/>
    </row>
    <row r="3190" spans="1:6" ht="12.75" x14ac:dyDescent="0.2">
      <c r="A3190" s="451"/>
      <c r="B3190" s="451"/>
      <c r="C3190" s="451"/>
      <c r="D3190" s="451"/>
      <c r="E3190" s="468"/>
      <c r="F3190" s="468"/>
    </row>
    <row r="3191" spans="1:6" ht="12.75" x14ac:dyDescent="0.2">
      <c r="A3191" s="451"/>
      <c r="B3191" s="451"/>
      <c r="C3191" s="451"/>
      <c r="D3191" s="451"/>
      <c r="E3191" s="468"/>
      <c r="F3191" s="468"/>
    </row>
    <row r="3192" spans="1:6" ht="12.75" x14ac:dyDescent="0.2">
      <c r="A3192" s="451"/>
      <c r="B3192" s="451"/>
      <c r="C3192" s="451"/>
      <c r="D3192" s="451"/>
      <c r="E3192" s="468"/>
      <c r="F3192" s="468"/>
    </row>
    <row r="3193" spans="1:6" ht="12.75" x14ac:dyDescent="0.2">
      <c r="A3193" s="451"/>
      <c r="B3193" s="451"/>
      <c r="C3193" s="451"/>
      <c r="D3193" s="451"/>
      <c r="E3193" s="468"/>
      <c r="F3193" s="468"/>
    </row>
    <row r="3194" spans="1:6" ht="12.75" x14ac:dyDescent="0.2">
      <c r="A3194" s="451"/>
      <c r="B3194" s="451"/>
      <c r="C3194" s="451"/>
      <c r="D3194" s="451"/>
      <c r="E3194" s="468"/>
      <c r="F3194" s="468"/>
    </row>
    <row r="3195" spans="1:6" ht="12.75" x14ac:dyDescent="0.2">
      <c r="A3195" s="451"/>
      <c r="B3195" s="451"/>
      <c r="C3195" s="451"/>
      <c r="D3195" s="451"/>
      <c r="E3195" s="468"/>
      <c r="F3195" s="468"/>
    </row>
    <row r="3196" spans="1:6" ht="12.75" x14ac:dyDescent="0.2">
      <c r="A3196" s="451"/>
      <c r="B3196" s="451"/>
      <c r="C3196" s="451"/>
      <c r="D3196" s="451"/>
      <c r="E3196" s="468"/>
      <c r="F3196" s="468"/>
    </row>
    <row r="3197" spans="1:6" ht="12.75" x14ac:dyDescent="0.2">
      <c r="A3197" s="451"/>
      <c r="B3197" s="451"/>
      <c r="C3197" s="451"/>
      <c r="D3197" s="451"/>
      <c r="E3197" s="468"/>
      <c r="F3197" s="468"/>
    </row>
    <row r="3198" spans="1:6" ht="12.75" x14ac:dyDescent="0.2">
      <c r="A3198" s="451"/>
      <c r="B3198" s="451"/>
      <c r="C3198" s="451"/>
      <c r="D3198" s="451"/>
      <c r="E3198" s="468"/>
      <c r="F3198" s="468"/>
    </row>
    <row r="3199" spans="1:6" ht="12.75" x14ac:dyDescent="0.2">
      <c r="A3199" s="451"/>
      <c r="B3199" s="451"/>
      <c r="C3199" s="451"/>
      <c r="D3199" s="451"/>
      <c r="E3199" s="468"/>
      <c r="F3199" s="468"/>
    </row>
    <row r="3200" spans="1:6" ht="12.75" x14ac:dyDescent="0.2">
      <c r="A3200" s="451"/>
      <c r="B3200" s="451"/>
      <c r="C3200" s="451"/>
      <c r="D3200" s="451"/>
      <c r="E3200" s="468"/>
      <c r="F3200" s="468"/>
    </row>
    <row r="3201" spans="1:6" ht="12.75" x14ac:dyDescent="0.2">
      <c r="A3201" s="451"/>
      <c r="B3201" s="451"/>
      <c r="C3201" s="451"/>
      <c r="D3201" s="451"/>
      <c r="E3201" s="468"/>
      <c r="F3201" s="468"/>
    </row>
    <row r="3202" spans="1:6" ht="12.75" x14ac:dyDescent="0.2">
      <c r="A3202" s="451"/>
      <c r="B3202" s="451"/>
      <c r="C3202" s="451"/>
      <c r="D3202" s="451"/>
      <c r="E3202" s="468"/>
      <c r="F3202" s="468"/>
    </row>
    <row r="3203" spans="1:6" ht="12.75" x14ac:dyDescent="0.2">
      <c r="A3203" s="451"/>
      <c r="B3203" s="451"/>
      <c r="C3203" s="451"/>
      <c r="D3203" s="451"/>
      <c r="E3203" s="468"/>
      <c r="F3203" s="468"/>
    </row>
    <row r="3204" spans="1:6" ht="12.75" x14ac:dyDescent="0.2">
      <c r="A3204" s="451"/>
      <c r="B3204" s="451"/>
      <c r="C3204" s="451"/>
      <c r="D3204" s="451"/>
      <c r="E3204" s="468"/>
      <c r="F3204" s="468"/>
    </row>
    <row r="3205" spans="1:6" ht="12.75" x14ac:dyDescent="0.2">
      <c r="A3205" s="451"/>
      <c r="B3205" s="451"/>
      <c r="C3205" s="451"/>
      <c r="D3205" s="451"/>
      <c r="E3205" s="468"/>
      <c r="F3205" s="468"/>
    </row>
    <row r="3206" spans="1:6" ht="12.75" x14ac:dyDescent="0.2">
      <c r="A3206" s="451"/>
      <c r="B3206" s="451"/>
      <c r="C3206" s="451"/>
      <c r="D3206" s="451"/>
      <c r="E3206" s="468"/>
      <c r="F3206" s="468"/>
    </row>
    <row r="3207" spans="1:6" ht="12.75" x14ac:dyDescent="0.2">
      <c r="A3207" s="451"/>
      <c r="B3207" s="451"/>
      <c r="C3207" s="451"/>
      <c r="D3207" s="451"/>
      <c r="E3207" s="468"/>
      <c r="F3207" s="468"/>
    </row>
    <row r="3208" spans="1:6" ht="12.75" x14ac:dyDescent="0.2">
      <c r="A3208" s="451"/>
      <c r="B3208" s="451"/>
      <c r="C3208" s="451"/>
      <c r="D3208" s="451"/>
      <c r="E3208" s="468"/>
      <c r="F3208" s="468"/>
    </row>
    <row r="3209" spans="1:6" ht="12.75" x14ac:dyDescent="0.2">
      <c r="A3209" s="451"/>
      <c r="B3209" s="451"/>
      <c r="C3209" s="451"/>
      <c r="D3209" s="451"/>
      <c r="E3209" s="468"/>
      <c r="F3209" s="468"/>
    </row>
    <row r="3210" spans="1:6" ht="12.75" x14ac:dyDescent="0.2">
      <c r="A3210" s="451"/>
      <c r="B3210" s="451"/>
      <c r="C3210" s="451"/>
      <c r="D3210" s="451"/>
      <c r="E3210" s="468"/>
      <c r="F3210" s="468"/>
    </row>
    <row r="3211" spans="1:6" ht="12.75" x14ac:dyDescent="0.2">
      <c r="A3211" s="451"/>
      <c r="B3211" s="451"/>
      <c r="C3211" s="451"/>
      <c r="D3211" s="451"/>
      <c r="E3211" s="468"/>
      <c r="F3211" s="468"/>
    </row>
    <row r="3212" spans="1:6" ht="12.75" x14ac:dyDescent="0.2">
      <c r="A3212" s="451"/>
      <c r="B3212" s="451"/>
      <c r="C3212" s="451"/>
      <c r="D3212" s="451"/>
      <c r="E3212" s="468"/>
      <c r="F3212" s="468"/>
    </row>
    <row r="3213" spans="1:6" ht="12.75" x14ac:dyDescent="0.2">
      <c r="A3213" s="451"/>
      <c r="B3213" s="451"/>
      <c r="C3213" s="451"/>
      <c r="D3213" s="451"/>
      <c r="E3213" s="468"/>
      <c r="F3213" s="468"/>
    </row>
    <row r="3214" spans="1:6" ht="12.75" x14ac:dyDescent="0.2">
      <c r="A3214" s="451"/>
      <c r="B3214" s="451"/>
      <c r="C3214" s="451"/>
      <c r="D3214" s="451"/>
      <c r="E3214" s="468"/>
      <c r="F3214" s="468"/>
    </row>
    <row r="3215" spans="1:6" ht="12.75" x14ac:dyDescent="0.2">
      <c r="A3215" s="451"/>
      <c r="B3215" s="451"/>
      <c r="C3215" s="451"/>
      <c r="D3215" s="451"/>
      <c r="E3215" s="468"/>
      <c r="F3215" s="468"/>
    </row>
    <row r="3216" spans="1:6" ht="12.75" x14ac:dyDescent="0.2">
      <c r="A3216" s="451"/>
      <c r="B3216" s="451"/>
      <c r="C3216" s="451"/>
      <c r="D3216" s="451"/>
      <c r="E3216" s="468"/>
      <c r="F3216" s="468"/>
    </row>
    <row r="3217" spans="1:6" ht="12.75" x14ac:dyDescent="0.2">
      <c r="A3217" s="451"/>
      <c r="B3217" s="451"/>
      <c r="C3217" s="451"/>
      <c r="D3217" s="451"/>
      <c r="E3217" s="468"/>
      <c r="F3217" s="468"/>
    </row>
    <row r="3218" spans="1:6" ht="12.75" x14ac:dyDescent="0.2">
      <c r="A3218" s="451"/>
      <c r="B3218" s="451"/>
      <c r="C3218" s="451"/>
      <c r="D3218" s="451"/>
      <c r="E3218" s="468"/>
      <c r="F3218" s="468"/>
    </row>
    <row r="3219" spans="1:6" ht="12.75" x14ac:dyDescent="0.2">
      <c r="A3219" s="451"/>
      <c r="B3219" s="451"/>
      <c r="C3219" s="451"/>
      <c r="D3219" s="451"/>
      <c r="E3219" s="468"/>
      <c r="F3219" s="468"/>
    </row>
    <row r="3220" spans="1:6" ht="12.75" x14ac:dyDescent="0.2">
      <c r="A3220" s="451"/>
      <c r="B3220" s="451"/>
      <c r="C3220" s="451"/>
      <c r="D3220" s="451"/>
      <c r="E3220" s="468"/>
      <c r="F3220" s="468"/>
    </row>
    <row r="3221" spans="1:6" ht="12.75" x14ac:dyDescent="0.2">
      <c r="A3221" s="451"/>
      <c r="B3221" s="451"/>
      <c r="C3221" s="451"/>
      <c r="D3221" s="451"/>
      <c r="E3221" s="468"/>
      <c r="F3221" s="468"/>
    </row>
    <row r="3222" spans="1:6" ht="12.75" x14ac:dyDescent="0.2">
      <c r="A3222" s="451"/>
      <c r="B3222" s="451"/>
      <c r="C3222" s="451"/>
      <c r="D3222" s="451"/>
      <c r="E3222" s="468"/>
      <c r="F3222" s="468"/>
    </row>
    <row r="3223" spans="1:6" ht="12.75" x14ac:dyDescent="0.2">
      <c r="A3223" s="451"/>
      <c r="B3223" s="451"/>
      <c r="C3223" s="451"/>
      <c r="D3223" s="451"/>
      <c r="E3223" s="468"/>
      <c r="F3223" s="468"/>
    </row>
    <row r="3224" spans="1:6" ht="12.75" x14ac:dyDescent="0.2">
      <c r="A3224" s="451"/>
      <c r="B3224" s="451"/>
      <c r="C3224" s="451"/>
      <c r="D3224" s="451"/>
      <c r="E3224" s="468"/>
      <c r="F3224" s="468"/>
    </row>
    <row r="3225" spans="1:6" ht="12.75" x14ac:dyDescent="0.2">
      <c r="A3225" s="451"/>
      <c r="B3225" s="451"/>
      <c r="C3225" s="451"/>
      <c r="D3225" s="451"/>
      <c r="E3225" s="468"/>
      <c r="F3225" s="468"/>
    </row>
    <row r="3226" spans="1:6" ht="12.75" x14ac:dyDescent="0.2">
      <c r="A3226" s="451"/>
      <c r="B3226" s="451"/>
      <c r="C3226" s="451"/>
      <c r="D3226" s="451"/>
      <c r="E3226" s="468"/>
      <c r="F3226" s="468"/>
    </row>
    <row r="3227" spans="1:6" ht="12.75" x14ac:dyDescent="0.2">
      <c r="A3227" s="451"/>
      <c r="B3227" s="451"/>
      <c r="C3227" s="451"/>
      <c r="D3227" s="451"/>
      <c r="E3227" s="468"/>
      <c r="F3227" s="468"/>
    </row>
    <row r="3228" spans="1:6" ht="12.75" x14ac:dyDescent="0.2">
      <c r="A3228" s="451"/>
      <c r="B3228" s="451"/>
      <c r="C3228" s="451"/>
      <c r="D3228" s="451"/>
      <c r="E3228" s="468"/>
      <c r="F3228" s="468"/>
    </row>
    <row r="3229" spans="1:6" ht="12.75" x14ac:dyDescent="0.2">
      <c r="A3229" s="451"/>
      <c r="B3229" s="451"/>
      <c r="C3229" s="451"/>
      <c r="D3229" s="451"/>
      <c r="E3229" s="468"/>
      <c r="F3229" s="468"/>
    </row>
    <row r="3230" spans="1:6" ht="12.75" x14ac:dyDescent="0.2">
      <c r="A3230" s="451"/>
      <c r="B3230" s="451"/>
      <c r="C3230" s="451"/>
      <c r="D3230" s="451"/>
      <c r="E3230" s="468"/>
      <c r="F3230" s="468"/>
    </row>
    <row r="3231" spans="1:6" ht="12.75" x14ac:dyDescent="0.2">
      <c r="A3231" s="451"/>
      <c r="B3231" s="451"/>
      <c r="C3231" s="451"/>
      <c r="D3231" s="451"/>
      <c r="E3231" s="468"/>
      <c r="F3231" s="468"/>
    </row>
    <row r="3232" spans="1:6" ht="12.75" x14ac:dyDescent="0.2">
      <c r="A3232" s="451"/>
      <c r="B3232" s="451"/>
      <c r="C3232" s="451"/>
      <c r="D3232" s="451"/>
      <c r="E3232" s="468"/>
      <c r="F3232" s="468"/>
    </row>
    <row r="3233" spans="1:6" ht="12.75" x14ac:dyDescent="0.2">
      <c r="A3233" s="451"/>
      <c r="B3233" s="451"/>
      <c r="C3233" s="451"/>
      <c r="D3233" s="451"/>
      <c r="E3233" s="468"/>
      <c r="F3233" s="468"/>
    </row>
    <row r="3234" spans="1:6" ht="12.75" x14ac:dyDescent="0.2">
      <c r="A3234" s="451"/>
      <c r="B3234" s="451"/>
      <c r="C3234" s="451"/>
      <c r="D3234" s="451"/>
      <c r="E3234" s="468"/>
      <c r="F3234" s="468"/>
    </row>
    <row r="3235" spans="1:6" ht="12.75" x14ac:dyDescent="0.2">
      <c r="A3235" s="451"/>
      <c r="B3235" s="451"/>
      <c r="C3235" s="451"/>
      <c r="D3235" s="451"/>
      <c r="E3235" s="468"/>
      <c r="F3235" s="468"/>
    </row>
    <row r="3236" spans="1:6" ht="12.75" x14ac:dyDescent="0.2">
      <c r="A3236" s="451"/>
      <c r="B3236" s="451"/>
      <c r="C3236" s="451"/>
      <c r="D3236" s="451"/>
      <c r="E3236" s="468"/>
      <c r="F3236" s="468"/>
    </row>
    <row r="3237" spans="1:6" ht="12.75" x14ac:dyDescent="0.2">
      <c r="A3237" s="451"/>
      <c r="B3237" s="451"/>
      <c r="C3237" s="451"/>
      <c r="D3237" s="451"/>
      <c r="E3237" s="468"/>
      <c r="F3237" s="468"/>
    </row>
    <row r="3238" spans="1:6" ht="12.75" x14ac:dyDescent="0.2">
      <c r="A3238" s="451"/>
      <c r="B3238" s="451"/>
      <c r="C3238" s="451"/>
      <c r="D3238" s="451"/>
      <c r="E3238" s="468"/>
      <c r="F3238" s="468"/>
    </row>
    <row r="3239" spans="1:6" ht="12.75" x14ac:dyDescent="0.2">
      <c r="A3239" s="451"/>
      <c r="B3239" s="451"/>
      <c r="C3239" s="451"/>
      <c r="D3239" s="451"/>
      <c r="E3239" s="468"/>
      <c r="F3239" s="468"/>
    </row>
    <row r="3240" spans="1:6" ht="12.75" x14ac:dyDescent="0.2">
      <c r="A3240" s="451"/>
      <c r="B3240" s="451"/>
      <c r="C3240" s="451"/>
      <c r="D3240" s="451"/>
      <c r="E3240" s="468"/>
      <c r="F3240" s="468"/>
    </row>
    <row r="3241" spans="1:6" ht="12.75" x14ac:dyDescent="0.2">
      <c r="A3241" s="451"/>
      <c r="B3241" s="451"/>
      <c r="C3241" s="451"/>
      <c r="D3241" s="451"/>
      <c r="E3241" s="468"/>
      <c r="F3241" s="468"/>
    </row>
    <row r="3242" spans="1:6" ht="12.75" x14ac:dyDescent="0.2">
      <c r="A3242" s="451"/>
      <c r="B3242" s="451"/>
      <c r="C3242" s="451"/>
      <c r="D3242" s="451"/>
      <c r="E3242" s="468"/>
      <c r="F3242" s="468"/>
    </row>
    <row r="3243" spans="1:6" ht="12.75" x14ac:dyDescent="0.2">
      <c r="A3243" s="451"/>
      <c r="B3243" s="451"/>
      <c r="C3243" s="451"/>
      <c r="D3243" s="451"/>
      <c r="E3243" s="468"/>
      <c r="F3243" s="468"/>
    </row>
    <row r="3244" spans="1:6" ht="12.75" x14ac:dyDescent="0.2">
      <c r="A3244" s="451"/>
      <c r="B3244" s="451"/>
      <c r="C3244" s="451"/>
      <c r="D3244" s="451"/>
      <c r="E3244" s="468"/>
      <c r="F3244" s="468"/>
    </row>
    <row r="3245" spans="1:6" ht="12.75" x14ac:dyDescent="0.2">
      <c r="A3245" s="451"/>
      <c r="B3245" s="451"/>
      <c r="C3245" s="451"/>
      <c r="D3245" s="451"/>
      <c r="E3245" s="468"/>
      <c r="F3245" s="468"/>
    </row>
    <row r="3246" spans="1:6" ht="12.75" x14ac:dyDescent="0.2">
      <c r="A3246" s="451"/>
      <c r="B3246" s="451"/>
      <c r="C3246" s="451"/>
      <c r="D3246" s="451"/>
      <c r="E3246" s="468"/>
      <c r="F3246" s="468"/>
    </row>
    <row r="3247" spans="1:6" ht="12.75" x14ac:dyDescent="0.2">
      <c r="A3247" s="451"/>
      <c r="B3247" s="451"/>
      <c r="C3247" s="451"/>
      <c r="D3247" s="451"/>
      <c r="E3247" s="468"/>
      <c r="F3247" s="468"/>
    </row>
    <row r="3248" spans="1:6" ht="12.75" x14ac:dyDescent="0.2">
      <c r="A3248" s="451"/>
      <c r="B3248" s="451"/>
      <c r="C3248" s="451"/>
      <c r="D3248" s="451"/>
      <c r="E3248" s="468"/>
      <c r="F3248" s="468"/>
    </row>
    <row r="3249" spans="1:6" ht="12.75" x14ac:dyDescent="0.2">
      <c r="A3249" s="451"/>
      <c r="B3249" s="451"/>
      <c r="C3249" s="451"/>
      <c r="D3249" s="451"/>
      <c r="E3249" s="468"/>
      <c r="F3249" s="468"/>
    </row>
    <row r="3250" spans="1:6" ht="12.75" x14ac:dyDescent="0.2">
      <c r="A3250" s="451"/>
      <c r="B3250" s="451"/>
      <c r="C3250" s="451"/>
      <c r="D3250" s="451"/>
      <c r="E3250" s="468"/>
      <c r="F3250" s="468"/>
    </row>
    <row r="3251" spans="1:6" ht="12.75" x14ac:dyDescent="0.2">
      <c r="A3251" s="451"/>
      <c r="B3251" s="451"/>
      <c r="C3251" s="451"/>
      <c r="D3251" s="451"/>
      <c r="E3251" s="468"/>
      <c r="F3251" s="468"/>
    </row>
    <row r="3252" spans="1:6" ht="12.75" x14ac:dyDescent="0.2">
      <c r="A3252" s="451"/>
      <c r="B3252" s="451"/>
      <c r="C3252" s="451"/>
      <c r="D3252" s="451"/>
      <c r="E3252" s="468"/>
      <c r="F3252" s="468"/>
    </row>
    <row r="3253" spans="1:6" ht="12.75" x14ac:dyDescent="0.2">
      <c r="A3253" s="451"/>
      <c r="B3253" s="451"/>
      <c r="C3253" s="451"/>
      <c r="D3253" s="451"/>
      <c r="E3253" s="468"/>
      <c r="F3253" s="468"/>
    </row>
    <row r="3254" spans="1:6" ht="12.75" x14ac:dyDescent="0.2">
      <c r="A3254" s="451"/>
      <c r="B3254" s="451"/>
      <c r="C3254" s="451"/>
      <c r="D3254" s="451"/>
      <c r="E3254" s="468"/>
      <c r="F3254" s="468"/>
    </row>
    <row r="3255" spans="1:6" ht="12.75" x14ac:dyDescent="0.2">
      <c r="A3255" s="451"/>
      <c r="B3255" s="451"/>
      <c r="C3255" s="451"/>
      <c r="D3255" s="451"/>
      <c r="E3255" s="468"/>
      <c r="F3255" s="468"/>
    </row>
    <row r="3256" spans="1:6" ht="12.75" x14ac:dyDescent="0.2">
      <c r="A3256" s="451"/>
      <c r="B3256" s="451"/>
      <c r="C3256" s="451"/>
      <c r="D3256" s="451"/>
      <c r="E3256" s="468"/>
      <c r="F3256" s="468"/>
    </row>
    <row r="3257" spans="1:6" ht="12.75" x14ac:dyDescent="0.2">
      <c r="A3257" s="451"/>
      <c r="B3257" s="451"/>
      <c r="C3257" s="451"/>
      <c r="D3257" s="451"/>
      <c r="E3257" s="468"/>
      <c r="F3257" s="468"/>
    </row>
    <row r="3258" spans="1:6" ht="12.75" x14ac:dyDescent="0.2">
      <c r="A3258" s="451"/>
      <c r="B3258" s="451"/>
      <c r="C3258" s="451"/>
      <c r="D3258" s="451"/>
      <c r="E3258" s="468"/>
      <c r="F3258" s="468"/>
    </row>
    <row r="3259" spans="1:6" ht="12.75" x14ac:dyDescent="0.2">
      <c r="A3259" s="451"/>
      <c r="B3259" s="451"/>
      <c r="C3259" s="451"/>
      <c r="D3259" s="451"/>
      <c r="E3259" s="468"/>
      <c r="F3259" s="468"/>
    </row>
    <row r="3260" spans="1:6" ht="12.75" x14ac:dyDescent="0.2">
      <c r="A3260" s="451"/>
      <c r="B3260" s="451"/>
      <c r="C3260" s="451"/>
      <c r="D3260" s="451"/>
      <c r="E3260" s="468"/>
      <c r="F3260" s="468"/>
    </row>
    <row r="3261" spans="1:6" ht="12.75" x14ac:dyDescent="0.2">
      <c r="A3261" s="451"/>
      <c r="B3261" s="451"/>
      <c r="C3261" s="451"/>
      <c r="D3261" s="451"/>
      <c r="E3261" s="468"/>
      <c r="F3261" s="468"/>
    </row>
    <row r="3262" spans="1:6" ht="12.75" x14ac:dyDescent="0.2">
      <c r="A3262" s="451"/>
      <c r="B3262" s="451"/>
      <c r="C3262" s="451"/>
      <c r="D3262" s="451"/>
      <c r="E3262" s="468"/>
      <c r="F3262" s="468"/>
    </row>
    <row r="3263" spans="1:6" ht="12.75" x14ac:dyDescent="0.2">
      <c r="A3263" s="451"/>
      <c r="B3263" s="451"/>
      <c r="C3263" s="451"/>
      <c r="D3263" s="451"/>
      <c r="E3263" s="468"/>
      <c r="F3263" s="468"/>
    </row>
    <row r="3264" spans="1:6" ht="12.75" x14ac:dyDescent="0.2">
      <c r="A3264" s="451"/>
      <c r="B3264" s="451"/>
      <c r="C3264" s="451"/>
      <c r="D3264" s="451"/>
      <c r="E3264" s="468"/>
      <c r="F3264" s="468"/>
    </row>
    <row r="3265" spans="1:6" ht="12.75" x14ac:dyDescent="0.2">
      <c r="A3265" s="451"/>
      <c r="B3265" s="451"/>
      <c r="C3265" s="451"/>
      <c r="D3265" s="451"/>
      <c r="E3265" s="468"/>
      <c r="F3265" s="468"/>
    </row>
    <row r="3266" spans="1:6" ht="12.75" x14ac:dyDescent="0.2">
      <c r="A3266" s="451"/>
      <c r="B3266" s="451"/>
      <c r="C3266" s="451"/>
      <c r="D3266" s="451"/>
      <c r="E3266" s="468"/>
      <c r="F3266" s="468"/>
    </row>
    <row r="3267" spans="1:6" ht="12.75" x14ac:dyDescent="0.2">
      <c r="A3267" s="451"/>
      <c r="B3267" s="451"/>
      <c r="C3267" s="451"/>
      <c r="D3267" s="451"/>
      <c r="E3267" s="468"/>
      <c r="F3267" s="468"/>
    </row>
    <row r="3268" spans="1:6" ht="12.75" x14ac:dyDescent="0.2">
      <c r="A3268" s="451"/>
      <c r="B3268" s="451"/>
      <c r="C3268" s="451"/>
      <c r="D3268" s="451"/>
      <c r="E3268" s="468"/>
      <c r="F3268" s="468"/>
    </row>
    <row r="3269" spans="1:6" ht="12.75" x14ac:dyDescent="0.2">
      <c r="A3269" s="451"/>
      <c r="B3269" s="451"/>
      <c r="C3269" s="451"/>
      <c r="D3269" s="451"/>
      <c r="E3269" s="468"/>
      <c r="F3269" s="468"/>
    </row>
    <row r="3270" spans="1:6" ht="12.75" x14ac:dyDescent="0.2">
      <c r="A3270" s="451"/>
      <c r="B3270" s="451"/>
      <c r="C3270" s="451"/>
      <c r="D3270" s="451"/>
      <c r="E3270" s="468"/>
      <c r="F3270" s="468"/>
    </row>
    <row r="3271" spans="1:6" ht="12.75" x14ac:dyDescent="0.2">
      <c r="A3271" s="451"/>
      <c r="B3271" s="451"/>
      <c r="C3271" s="451"/>
      <c r="D3271" s="451"/>
      <c r="E3271" s="468"/>
      <c r="F3271" s="468"/>
    </row>
    <row r="3272" spans="1:6" ht="12.75" x14ac:dyDescent="0.2">
      <c r="A3272" s="451"/>
      <c r="B3272" s="451"/>
      <c r="C3272" s="451"/>
      <c r="D3272" s="451"/>
      <c r="E3272" s="468"/>
      <c r="F3272" s="468"/>
    </row>
    <row r="3273" spans="1:6" ht="12.75" x14ac:dyDescent="0.2">
      <c r="A3273" s="451"/>
      <c r="B3273" s="451"/>
      <c r="C3273" s="451"/>
      <c r="D3273" s="451"/>
      <c r="E3273" s="468"/>
      <c r="F3273" s="468"/>
    </row>
    <row r="3274" spans="1:6" ht="12.75" x14ac:dyDescent="0.2">
      <c r="A3274" s="451"/>
      <c r="B3274" s="451"/>
      <c r="C3274" s="451"/>
      <c r="D3274" s="451"/>
      <c r="E3274" s="468"/>
      <c r="F3274" s="468"/>
    </row>
    <row r="3275" spans="1:6" ht="12.75" x14ac:dyDescent="0.2">
      <c r="A3275" s="451"/>
      <c r="B3275" s="451"/>
      <c r="C3275" s="451"/>
      <c r="D3275" s="451"/>
      <c r="E3275" s="468"/>
      <c r="F3275" s="468"/>
    </row>
    <row r="3276" spans="1:6" ht="12.75" x14ac:dyDescent="0.2">
      <c r="A3276" s="451"/>
      <c r="B3276" s="451"/>
      <c r="C3276" s="451"/>
      <c r="D3276" s="451"/>
      <c r="E3276" s="468"/>
      <c r="F3276" s="468"/>
    </row>
    <row r="3277" spans="1:6" ht="12.75" x14ac:dyDescent="0.2">
      <c r="A3277" s="451"/>
      <c r="B3277" s="451"/>
      <c r="C3277" s="451"/>
      <c r="D3277" s="451"/>
      <c r="E3277" s="468"/>
      <c r="F3277" s="468"/>
    </row>
    <row r="3278" spans="1:6" ht="12.75" x14ac:dyDescent="0.2">
      <c r="A3278" s="451"/>
      <c r="B3278" s="451"/>
      <c r="C3278" s="451"/>
      <c r="D3278" s="451"/>
      <c r="E3278" s="468"/>
      <c r="F3278" s="468"/>
    </row>
    <row r="3279" spans="1:6" ht="12.75" x14ac:dyDescent="0.2">
      <c r="A3279" s="451"/>
      <c r="B3279" s="451"/>
      <c r="C3279" s="451"/>
      <c r="D3279" s="451"/>
      <c r="E3279" s="468"/>
      <c r="F3279" s="468"/>
    </row>
    <row r="3280" spans="1:6" ht="12.75" x14ac:dyDescent="0.2">
      <c r="A3280" s="451"/>
      <c r="B3280" s="451"/>
      <c r="C3280" s="451"/>
      <c r="D3280" s="451"/>
      <c r="E3280" s="468"/>
      <c r="F3280" s="468"/>
    </row>
    <row r="3281" spans="1:6" ht="12.75" x14ac:dyDescent="0.2">
      <c r="A3281" s="451"/>
      <c r="B3281" s="451"/>
      <c r="C3281" s="451"/>
      <c r="D3281" s="451"/>
      <c r="E3281" s="468"/>
      <c r="F3281" s="468"/>
    </row>
    <row r="3282" spans="1:6" ht="12.75" x14ac:dyDescent="0.2">
      <c r="A3282" s="451"/>
      <c r="B3282" s="451"/>
      <c r="C3282" s="451"/>
      <c r="D3282" s="451"/>
      <c r="E3282" s="468"/>
      <c r="F3282" s="468"/>
    </row>
    <row r="3283" spans="1:6" ht="12.75" x14ac:dyDescent="0.2">
      <c r="A3283" s="451"/>
      <c r="B3283" s="451"/>
      <c r="C3283" s="451"/>
      <c r="D3283" s="451"/>
      <c r="E3283" s="468"/>
      <c r="F3283" s="468"/>
    </row>
    <row r="3284" spans="1:6" ht="12.75" x14ac:dyDescent="0.2">
      <c r="A3284" s="451"/>
      <c r="B3284" s="451"/>
      <c r="C3284" s="451"/>
      <c r="D3284" s="451"/>
      <c r="E3284" s="468"/>
      <c r="F3284" s="468"/>
    </row>
    <row r="3285" spans="1:6" ht="12.75" x14ac:dyDescent="0.2">
      <c r="A3285" s="451"/>
      <c r="B3285" s="451"/>
      <c r="C3285" s="451"/>
      <c r="D3285" s="451"/>
      <c r="E3285" s="468"/>
      <c r="F3285" s="468"/>
    </row>
    <row r="3286" spans="1:6" ht="12.75" x14ac:dyDescent="0.2">
      <c r="A3286" s="451"/>
      <c r="B3286" s="451"/>
      <c r="C3286" s="451"/>
      <c r="D3286" s="451"/>
      <c r="E3286" s="468"/>
      <c r="F3286" s="468"/>
    </row>
    <row r="3287" spans="1:6" ht="12.75" x14ac:dyDescent="0.2">
      <c r="A3287" s="451"/>
      <c r="B3287" s="451"/>
      <c r="C3287" s="451"/>
      <c r="D3287" s="451"/>
      <c r="E3287" s="468"/>
      <c r="F3287" s="468"/>
    </row>
    <row r="3288" spans="1:6" ht="12.75" x14ac:dyDescent="0.2">
      <c r="A3288" s="451"/>
      <c r="B3288" s="451"/>
      <c r="C3288" s="451"/>
      <c r="D3288" s="451"/>
      <c r="E3288" s="468"/>
      <c r="F3288" s="468"/>
    </row>
    <row r="3289" spans="1:6" ht="12.75" x14ac:dyDescent="0.2">
      <c r="A3289" s="451"/>
      <c r="B3289" s="451"/>
      <c r="C3289" s="451"/>
      <c r="D3289" s="451"/>
      <c r="E3289" s="468"/>
      <c r="F3289" s="468"/>
    </row>
    <row r="3290" spans="1:6" ht="12.75" x14ac:dyDescent="0.2">
      <c r="A3290" s="451"/>
      <c r="B3290" s="451"/>
      <c r="C3290" s="451"/>
      <c r="D3290" s="451"/>
      <c r="E3290" s="468"/>
      <c r="F3290" s="468"/>
    </row>
    <row r="3291" spans="1:6" ht="12.75" x14ac:dyDescent="0.2">
      <c r="A3291" s="451"/>
      <c r="B3291" s="451"/>
      <c r="C3291" s="451"/>
      <c r="D3291" s="451"/>
      <c r="E3291" s="468"/>
      <c r="F3291" s="468"/>
    </row>
    <row r="3292" spans="1:6" ht="12.75" x14ac:dyDescent="0.2">
      <c r="A3292" s="451"/>
      <c r="B3292" s="451"/>
      <c r="C3292" s="451"/>
      <c r="D3292" s="451"/>
      <c r="E3292" s="468"/>
      <c r="F3292" s="468"/>
    </row>
    <row r="3293" spans="1:6" ht="12.75" x14ac:dyDescent="0.2">
      <c r="A3293" s="451"/>
      <c r="B3293" s="451"/>
      <c r="C3293" s="451"/>
      <c r="D3293" s="451"/>
      <c r="E3293" s="468"/>
      <c r="F3293" s="468"/>
    </row>
    <row r="3294" spans="1:6" ht="12.75" x14ac:dyDescent="0.2">
      <c r="A3294" s="451"/>
      <c r="B3294" s="451"/>
      <c r="C3294" s="451"/>
      <c r="D3294" s="451"/>
      <c r="E3294" s="468"/>
      <c r="F3294" s="468"/>
    </row>
    <row r="3295" spans="1:6" ht="12.75" x14ac:dyDescent="0.2">
      <c r="A3295" s="451"/>
      <c r="B3295" s="451"/>
      <c r="C3295" s="451"/>
      <c r="D3295" s="451"/>
      <c r="E3295" s="468"/>
      <c r="F3295" s="468"/>
    </row>
    <row r="3296" spans="1:6" ht="12.75" x14ac:dyDescent="0.2">
      <c r="A3296" s="451"/>
      <c r="B3296" s="451"/>
      <c r="C3296" s="451"/>
      <c r="D3296" s="451"/>
      <c r="E3296" s="468"/>
      <c r="F3296" s="468"/>
    </row>
    <row r="3297" spans="1:6" ht="12.75" x14ac:dyDescent="0.2">
      <c r="A3297" s="451"/>
      <c r="B3297" s="451"/>
      <c r="C3297" s="451"/>
      <c r="D3297" s="451"/>
      <c r="E3297" s="468"/>
      <c r="F3297" s="468"/>
    </row>
    <row r="3298" spans="1:6" ht="12.75" x14ac:dyDescent="0.2">
      <c r="A3298" s="451"/>
      <c r="B3298" s="451"/>
      <c r="C3298" s="451"/>
      <c r="D3298" s="451"/>
      <c r="E3298" s="468"/>
      <c r="F3298" s="468"/>
    </row>
    <row r="3299" spans="1:6" ht="12.75" x14ac:dyDescent="0.2">
      <c r="A3299" s="451"/>
      <c r="B3299" s="451"/>
      <c r="C3299" s="451"/>
      <c r="D3299" s="451"/>
      <c r="E3299" s="468"/>
      <c r="F3299" s="468"/>
    </row>
    <row r="3300" spans="1:6" ht="12.75" x14ac:dyDescent="0.2">
      <c r="A3300" s="451"/>
      <c r="B3300" s="451"/>
      <c r="C3300" s="451"/>
      <c r="D3300" s="451"/>
      <c r="E3300" s="468"/>
      <c r="F3300" s="468"/>
    </row>
    <row r="3301" spans="1:6" ht="12.75" x14ac:dyDescent="0.2">
      <c r="A3301" s="451"/>
      <c r="B3301" s="451"/>
      <c r="C3301" s="451"/>
      <c r="D3301" s="451"/>
      <c r="E3301" s="468"/>
      <c r="F3301" s="468"/>
    </row>
    <row r="3302" spans="1:6" ht="12.75" x14ac:dyDescent="0.2">
      <c r="A3302" s="451"/>
      <c r="B3302" s="451"/>
      <c r="C3302" s="451"/>
      <c r="D3302" s="451"/>
      <c r="E3302" s="468"/>
      <c r="F3302" s="468"/>
    </row>
    <row r="3303" spans="1:6" ht="12.75" x14ac:dyDescent="0.2">
      <c r="A3303" s="451"/>
      <c r="B3303" s="451"/>
      <c r="C3303" s="451"/>
      <c r="D3303" s="451"/>
      <c r="E3303" s="468"/>
      <c r="F3303" s="468"/>
    </row>
    <row r="3304" spans="1:6" ht="12.75" x14ac:dyDescent="0.2">
      <c r="A3304" s="451"/>
      <c r="B3304" s="451"/>
      <c r="C3304" s="451"/>
      <c r="D3304" s="451"/>
      <c r="E3304" s="468"/>
      <c r="F3304" s="468"/>
    </row>
    <row r="3305" spans="1:6" ht="12.75" x14ac:dyDescent="0.2">
      <c r="A3305" s="451"/>
      <c r="B3305" s="451"/>
      <c r="C3305" s="451"/>
      <c r="D3305" s="451"/>
      <c r="E3305" s="468"/>
      <c r="F3305" s="468"/>
    </row>
    <row r="3306" spans="1:6" ht="12.75" x14ac:dyDescent="0.2">
      <c r="A3306" s="451"/>
      <c r="B3306" s="451"/>
      <c r="C3306" s="451"/>
      <c r="D3306" s="451"/>
      <c r="E3306" s="468"/>
      <c r="F3306" s="468"/>
    </row>
    <row r="3307" spans="1:6" ht="12.75" x14ac:dyDescent="0.2">
      <c r="A3307" s="451"/>
      <c r="B3307" s="451"/>
      <c r="C3307" s="451"/>
      <c r="D3307" s="451"/>
      <c r="E3307" s="468"/>
      <c r="F3307" s="468"/>
    </row>
    <row r="3308" spans="1:6" ht="12.75" x14ac:dyDescent="0.2">
      <c r="A3308" s="451"/>
      <c r="B3308" s="451"/>
      <c r="C3308" s="451"/>
      <c r="D3308" s="451"/>
      <c r="E3308" s="468"/>
      <c r="F3308" s="468"/>
    </row>
    <row r="3309" spans="1:6" ht="12.75" x14ac:dyDescent="0.2">
      <c r="A3309" s="451"/>
      <c r="B3309" s="451"/>
      <c r="C3309" s="451"/>
      <c r="D3309" s="451"/>
      <c r="E3309" s="468"/>
      <c r="F3309" s="468"/>
    </row>
    <row r="3310" spans="1:6" ht="12.75" x14ac:dyDescent="0.2">
      <c r="A3310" s="451"/>
      <c r="B3310" s="451"/>
      <c r="C3310" s="451"/>
      <c r="D3310" s="451"/>
      <c r="E3310" s="468"/>
      <c r="F3310" s="468"/>
    </row>
    <row r="3311" spans="1:6" ht="12.75" x14ac:dyDescent="0.2">
      <c r="A3311" s="451"/>
      <c r="B3311" s="451"/>
      <c r="C3311" s="451"/>
      <c r="D3311" s="451"/>
      <c r="E3311" s="468"/>
      <c r="F3311" s="468"/>
    </row>
    <row r="3312" spans="1:6" ht="12.75" x14ac:dyDescent="0.2">
      <c r="A3312" s="451"/>
      <c r="B3312" s="451"/>
      <c r="C3312" s="451"/>
      <c r="D3312" s="451"/>
      <c r="E3312" s="468"/>
      <c r="F3312" s="468"/>
    </row>
    <row r="3313" spans="1:6" ht="12.75" x14ac:dyDescent="0.2">
      <c r="A3313" s="451"/>
      <c r="B3313" s="451"/>
      <c r="C3313" s="451"/>
      <c r="D3313" s="451"/>
      <c r="E3313" s="468"/>
      <c r="F3313" s="468"/>
    </row>
    <row r="3314" spans="1:6" ht="12.75" x14ac:dyDescent="0.2">
      <c r="A3314" s="451"/>
      <c r="B3314" s="451"/>
      <c r="C3314" s="451"/>
      <c r="D3314" s="451"/>
      <c r="E3314" s="468"/>
      <c r="F3314" s="468"/>
    </row>
    <row r="3315" spans="1:6" ht="12.75" x14ac:dyDescent="0.2">
      <c r="A3315" s="451"/>
      <c r="B3315" s="451"/>
      <c r="C3315" s="451"/>
      <c r="D3315" s="451"/>
      <c r="E3315" s="468"/>
      <c r="F3315" s="468"/>
    </row>
    <row r="3316" spans="1:6" ht="12.75" x14ac:dyDescent="0.2">
      <c r="A3316" s="451"/>
      <c r="B3316" s="451"/>
      <c r="C3316" s="451"/>
      <c r="D3316" s="451"/>
      <c r="E3316" s="468"/>
      <c r="F3316" s="468"/>
    </row>
    <row r="3317" spans="1:6" ht="12.75" x14ac:dyDescent="0.2">
      <c r="A3317" s="451"/>
      <c r="B3317" s="451"/>
      <c r="C3317" s="451"/>
      <c r="D3317" s="451"/>
      <c r="E3317" s="468"/>
      <c r="F3317" s="468"/>
    </row>
    <row r="3318" spans="1:6" ht="12.75" x14ac:dyDescent="0.2">
      <c r="A3318" s="451"/>
      <c r="B3318" s="451"/>
      <c r="C3318" s="451"/>
      <c r="D3318" s="451"/>
      <c r="E3318" s="468"/>
      <c r="F3318" s="468"/>
    </row>
    <row r="3319" spans="1:6" ht="12.75" x14ac:dyDescent="0.2">
      <c r="A3319" s="451"/>
      <c r="B3319" s="451"/>
      <c r="C3319" s="451"/>
      <c r="D3319" s="451"/>
      <c r="E3319" s="468"/>
      <c r="F3319" s="468"/>
    </row>
    <row r="3320" spans="1:6" ht="12.75" x14ac:dyDescent="0.2">
      <c r="A3320" s="451"/>
      <c r="B3320" s="451"/>
      <c r="C3320" s="451"/>
      <c r="D3320" s="451"/>
      <c r="E3320" s="468"/>
      <c r="F3320" s="468"/>
    </row>
    <row r="3321" spans="1:6" ht="12.75" x14ac:dyDescent="0.2">
      <c r="A3321" s="451"/>
      <c r="B3321" s="451"/>
      <c r="C3321" s="451"/>
      <c r="D3321" s="451"/>
      <c r="E3321" s="468"/>
      <c r="F3321" s="468"/>
    </row>
    <row r="3322" spans="1:6" ht="12.75" x14ac:dyDescent="0.2">
      <c r="A3322" s="451"/>
      <c r="B3322" s="451"/>
      <c r="C3322" s="451"/>
      <c r="D3322" s="451"/>
      <c r="E3322" s="468"/>
      <c r="F3322" s="468"/>
    </row>
    <row r="3323" spans="1:6" ht="12.75" x14ac:dyDescent="0.2">
      <c r="A3323" s="451"/>
      <c r="B3323" s="451"/>
      <c r="C3323" s="451"/>
      <c r="D3323" s="451"/>
      <c r="E3323" s="468"/>
      <c r="F3323" s="468"/>
    </row>
    <row r="3324" spans="1:6" ht="12.75" x14ac:dyDescent="0.2">
      <c r="A3324" s="451"/>
      <c r="B3324" s="451"/>
      <c r="C3324" s="451"/>
      <c r="D3324" s="451"/>
      <c r="E3324" s="468"/>
      <c r="F3324" s="468"/>
    </row>
    <row r="3325" spans="1:6" ht="12.75" x14ac:dyDescent="0.2">
      <c r="A3325" s="451"/>
      <c r="B3325" s="451"/>
      <c r="C3325" s="451"/>
      <c r="D3325" s="451"/>
      <c r="E3325" s="468"/>
      <c r="F3325" s="468"/>
    </row>
    <row r="3326" spans="1:6" ht="12.75" x14ac:dyDescent="0.2">
      <c r="A3326" s="451"/>
      <c r="B3326" s="451"/>
      <c r="C3326" s="451"/>
      <c r="D3326" s="451"/>
      <c r="E3326" s="468"/>
      <c r="F3326" s="468"/>
    </row>
    <row r="3327" spans="1:6" ht="12.75" x14ac:dyDescent="0.2">
      <c r="A3327" s="451"/>
      <c r="B3327" s="451"/>
      <c r="C3327" s="451"/>
      <c r="D3327" s="451"/>
      <c r="E3327" s="468"/>
      <c r="F3327" s="468"/>
    </row>
    <row r="3328" spans="1:6" ht="12.75" x14ac:dyDescent="0.2">
      <c r="A3328" s="451"/>
      <c r="B3328" s="451"/>
      <c r="C3328" s="451"/>
      <c r="D3328" s="451"/>
      <c r="E3328" s="468"/>
      <c r="F3328" s="468"/>
    </row>
    <row r="3329" spans="1:6" ht="12.75" x14ac:dyDescent="0.2">
      <c r="A3329" s="451"/>
      <c r="B3329" s="451"/>
      <c r="C3329" s="451"/>
      <c r="D3329" s="451"/>
      <c r="E3329" s="468"/>
      <c r="F3329" s="468"/>
    </row>
    <row r="3330" spans="1:6" ht="12.75" x14ac:dyDescent="0.2">
      <c r="A3330" s="451"/>
      <c r="B3330" s="451"/>
      <c r="C3330" s="451"/>
      <c r="D3330" s="451"/>
      <c r="E3330" s="468"/>
      <c r="F3330" s="468"/>
    </row>
    <row r="3331" spans="1:6" ht="12.75" x14ac:dyDescent="0.2">
      <c r="A3331" s="451"/>
      <c r="B3331" s="451"/>
      <c r="C3331" s="451"/>
      <c r="D3331" s="451"/>
      <c r="E3331" s="468"/>
      <c r="F3331" s="468"/>
    </row>
    <row r="3332" spans="1:6" ht="12.75" x14ac:dyDescent="0.2">
      <c r="A3332" s="451"/>
      <c r="B3332" s="451"/>
      <c r="C3332" s="451"/>
      <c r="D3332" s="451"/>
      <c r="E3332" s="468"/>
      <c r="F3332" s="468"/>
    </row>
    <row r="3333" spans="1:6" ht="12.75" x14ac:dyDescent="0.2">
      <c r="A3333" s="451"/>
      <c r="B3333" s="451"/>
      <c r="C3333" s="451"/>
      <c r="D3333" s="451"/>
      <c r="E3333" s="468"/>
      <c r="F3333" s="468"/>
    </row>
    <row r="3334" spans="1:6" ht="12.75" x14ac:dyDescent="0.2">
      <c r="A3334" s="451"/>
      <c r="B3334" s="451"/>
      <c r="C3334" s="451"/>
      <c r="D3334" s="451"/>
      <c r="E3334" s="468"/>
      <c r="F3334" s="468"/>
    </row>
    <row r="3335" spans="1:6" ht="12.75" x14ac:dyDescent="0.2">
      <c r="A3335" s="451"/>
      <c r="B3335" s="451"/>
      <c r="C3335" s="451"/>
      <c r="D3335" s="451"/>
      <c r="E3335" s="468"/>
      <c r="F3335" s="468"/>
    </row>
    <row r="3336" spans="1:6" ht="12.75" x14ac:dyDescent="0.2">
      <c r="A3336" s="451"/>
      <c r="B3336" s="451"/>
      <c r="C3336" s="451"/>
      <c r="D3336" s="451"/>
      <c r="E3336" s="468"/>
      <c r="F3336" s="468"/>
    </row>
    <row r="3337" spans="1:6" ht="12.75" x14ac:dyDescent="0.2">
      <c r="A3337" s="451"/>
      <c r="B3337" s="451"/>
      <c r="C3337" s="451"/>
      <c r="D3337" s="451"/>
      <c r="E3337" s="468"/>
      <c r="F3337" s="468"/>
    </row>
    <row r="3338" spans="1:6" ht="12.75" x14ac:dyDescent="0.2">
      <c r="A3338" s="451"/>
      <c r="B3338" s="451"/>
      <c r="C3338" s="451"/>
      <c r="D3338" s="451"/>
      <c r="E3338" s="468"/>
      <c r="F3338" s="468"/>
    </row>
    <row r="3339" spans="1:6" ht="12.75" x14ac:dyDescent="0.2">
      <c r="A3339" s="451"/>
      <c r="B3339" s="451"/>
      <c r="C3339" s="451"/>
      <c r="D3339" s="451"/>
      <c r="E3339" s="468"/>
      <c r="F3339" s="468"/>
    </row>
    <row r="3340" spans="1:6" ht="12.75" x14ac:dyDescent="0.2">
      <c r="A3340" s="451"/>
      <c r="B3340" s="451"/>
      <c r="C3340" s="451"/>
      <c r="D3340" s="451"/>
      <c r="E3340" s="468"/>
      <c r="F3340" s="468"/>
    </row>
    <row r="3341" spans="1:6" ht="12.75" x14ac:dyDescent="0.2">
      <c r="A3341" s="451"/>
      <c r="B3341" s="451"/>
      <c r="C3341" s="451"/>
      <c r="D3341" s="451"/>
      <c r="E3341" s="468"/>
      <c r="F3341" s="468"/>
    </row>
    <row r="3342" spans="1:6" ht="12.75" x14ac:dyDescent="0.2">
      <c r="A3342" s="451"/>
      <c r="B3342" s="451"/>
      <c r="C3342" s="451"/>
      <c r="D3342" s="451"/>
      <c r="E3342" s="468"/>
      <c r="F3342" s="468"/>
    </row>
    <row r="3343" spans="1:6" ht="12.75" x14ac:dyDescent="0.2">
      <c r="A3343" s="451"/>
      <c r="B3343" s="451"/>
      <c r="C3343" s="451"/>
      <c r="D3343" s="451"/>
      <c r="E3343" s="468"/>
      <c r="F3343" s="468"/>
    </row>
    <row r="3344" spans="1:6" ht="12.75" x14ac:dyDescent="0.2">
      <c r="A3344" s="451"/>
      <c r="B3344" s="451"/>
      <c r="C3344" s="451"/>
      <c r="D3344" s="451"/>
      <c r="E3344" s="468"/>
      <c r="F3344" s="468"/>
    </row>
    <row r="3345" spans="1:6" ht="12.75" x14ac:dyDescent="0.2">
      <c r="A3345" s="451"/>
      <c r="B3345" s="451"/>
      <c r="C3345" s="451"/>
      <c r="D3345" s="451"/>
      <c r="E3345" s="468"/>
      <c r="F3345" s="468"/>
    </row>
    <row r="3346" spans="1:6" ht="12.75" x14ac:dyDescent="0.2">
      <c r="A3346" s="451"/>
      <c r="B3346" s="451"/>
      <c r="C3346" s="451"/>
      <c r="D3346" s="451"/>
      <c r="E3346" s="468"/>
      <c r="F3346" s="468"/>
    </row>
    <row r="3347" spans="1:6" ht="12.75" x14ac:dyDescent="0.2">
      <c r="A3347" s="451"/>
      <c r="B3347" s="451"/>
      <c r="C3347" s="451"/>
      <c r="D3347" s="451"/>
      <c r="E3347" s="468"/>
      <c r="F3347" s="468"/>
    </row>
    <row r="3348" spans="1:6" ht="12.75" x14ac:dyDescent="0.2">
      <c r="A3348" s="451"/>
      <c r="B3348" s="451"/>
      <c r="C3348" s="451"/>
      <c r="D3348" s="451"/>
      <c r="E3348" s="468"/>
      <c r="F3348" s="468"/>
    </row>
    <row r="3349" spans="1:6" ht="12.75" x14ac:dyDescent="0.2">
      <c r="A3349" s="451"/>
      <c r="B3349" s="451"/>
      <c r="C3349" s="451"/>
      <c r="D3349" s="451"/>
      <c r="E3349" s="468"/>
      <c r="F3349" s="468"/>
    </row>
    <row r="3350" spans="1:6" ht="12.75" x14ac:dyDescent="0.2">
      <c r="A3350" s="451"/>
      <c r="B3350" s="451"/>
      <c r="C3350" s="451"/>
      <c r="D3350" s="451"/>
      <c r="E3350" s="468"/>
      <c r="F3350" s="468"/>
    </row>
    <row r="3351" spans="1:6" ht="12.75" x14ac:dyDescent="0.2">
      <c r="A3351" s="451"/>
      <c r="B3351" s="451"/>
      <c r="C3351" s="451"/>
      <c r="D3351" s="451"/>
      <c r="E3351" s="468"/>
      <c r="F3351" s="468"/>
    </row>
    <row r="3352" spans="1:6" ht="12.75" x14ac:dyDescent="0.2">
      <c r="A3352" s="451"/>
      <c r="B3352" s="451"/>
      <c r="C3352" s="451"/>
      <c r="D3352" s="451"/>
      <c r="E3352" s="468"/>
      <c r="F3352" s="468"/>
    </row>
    <row r="3353" spans="1:6" ht="12.75" x14ac:dyDescent="0.2">
      <c r="A3353" s="451"/>
      <c r="B3353" s="451"/>
      <c r="C3353" s="451"/>
      <c r="D3353" s="451"/>
      <c r="E3353" s="468"/>
      <c r="F3353" s="468"/>
    </row>
    <row r="3354" spans="1:6" ht="12.75" x14ac:dyDescent="0.2">
      <c r="A3354" s="451"/>
      <c r="B3354" s="451"/>
      <c r="C3354" s="451"/>
      <c r="D3354" s="451"/>
      <c r="E3354" s="468"/>
      <c r="F3354" s="468"/>
    </row>
    <row r="3355" spans="1:6" ht="12.75" x14ac:dyDescent="0.2">
      <c r="A3355" s="451"/>
      <c r="B3355" s="451"/>
      <c r="C3355" s="451"/>
      <c r="D3355" s="451"/>
      <c r="E3355" s="468"/>
      <c r="F3355" s="468"/>
    </row>
    <row r="3356" spans="1:6" ht="12.75" x14ac:dyDescent="0.2">
      <c r="A3356" s="451"/>
      <c r="B3356" s="451"/>
      <c r="C3356" s="451"/>
      <c r="D3356" s="451"/>
      <c r="E3356" s="468"/>
      <c r="F3356" s="468"/>
    </row>
    <row r="3357" spans="1:6" ht="12.75" x14ac:dyDescent="0.2">
      <c r="A3357" s="451"/>
      <c r="B3357" s="451"/>
      <c r="C3357" s="451"/>
      <c r="D3357" s="451"/>
      <c r="E3357" s="468"/>
      <c r="F3357" s="468"/>
    </row>
    <row r="3358" spans="1:6" ht="12.75" x14ac:dyDescent="0.2">
      <c r="A3358" s="451"/>
      <c r="B3358" s="451"/>
      <c r="C3358" s="451"/>
      <c r="D3358" s="451"/>
      <c r="E3358" s="468"/>
      <c r="F3358" s="468"/>
    </row>
    <row r="3359" spans="1:6" ht="12.75" x14ac:dyDescent="0.2">
      <c r="A3359" s="451"/>
      <c r="B3359" s="451"/>
      <c r="C3359" s="451"/>
      <c r="D3359" s="451"/>
      <c r="E3359" s="468"/>
      <c r="F3359" s="468"/>
    </row>
    <row r="3360" spans="1:6" ht="12.75" x14ac:dyDescent="0.2">
      <c r="A3360" s="451"/>
      <c r="B3360" s="451"/>
      <c r="C3360" s="451"/>
      <c r="D3360" s="451"/>
      <c r="E3360" s="468"/>
      <c r="F3360" s="468"/>
    </row>
    <row r="3361" spans="1:6" ht="12.75" x14ac:dyDescent="0.2">
      <c r="A3361" s="451"/>
      <c r="B3361" s="451"/>
      <c r="C3361" s="451"/>
      <c r="D3361" s="451"/>
      <c r="E3361" s="468"/>
      <c r="F3361" s="468"/>
    </row>
    <row r="3362" spans="1:6" ht="12.75" x14ac:dyDescent="0.2">
      <c r="A3362" s="451"/>
      <c r="B3362" s="451"/>
      <c r="C3362" s="451"/>
      <c r="D3362" s="451"/>
      <c r="E3362" s="468"/>
      <c r="F3362" s="468"/>
    </row>
    <row r="3363" spans="1:6" ht="12.75" x14ac:dyDescent="0.2">
      <c r="A3363" s="451"/>
      <c r="B3363" s="451"/>
      <c r="C3363" s="451"/>
      <c r="D3363" s="451"/>
      <c r="E3363" s="468"/>
      <c r="F3363" s="468"/>
    </row>
    <row r="3364" spans="1:6" ht="12.75" x14ac:dyDescent="0.2">
      <c r="A3364" s="451"/>
      <c r="B3364" s="451"/>
      <c r="C3364" s="451"/>
      <c r="D3364" s="451"/>
      <c r="E3364" s="468"/>
      <c r="F3364" s="468"/>
    </row>
    <row r="3365" spans="1:6" ht="12.75" x14ac:dyDescent="0.2">
      <c r="A3365" s="451"/>
      <c r="B3365" s="451"/>
      <c r="C3365" s="451"/>
      <c r="D3365" s="451"/>
      <c r="E3365" s="468"/>
      <c r="F3365" s="468"/>
    </row>
    <row r="3366" spans="1:6" ht="12.75" x14ac:dyDescent="0.2">
      <c r="A3366" s="451"/>
      <c r="B3366" s="451"/>
      <c r="C3366" s="451"/>
      <c r="D3366" s="451"/>
      <c r="E3366" s="468"/>
      <c r="F3366" s="468"/>
    </row>
    <row r="3367" spans="1:6" ht="12.75" x14ac:dyDescent="0.2">
      <c r="A3367" s="451"/>
      <c r="B3367" s="451"/>
      <c r="C3367" s="451"/>
      <c r="D3367" s="451"/>
      <c r="E3367" s="468"/>
      <c r="F3367" s="468"/>
    </row>
    <row r="3368" spans="1:6" ht="12.75" x14ac:dyDescent="0.2">
      <c r="A3368" s="451"/>
      <c r="B3368" s="451"/>
      <c r="C3368" s="451"/>
      <c r="D3368" s="451"/>
      <c r="E3368" s="468"/>
      <c r="F3368" s="468"/>
    </row>
    <row r="3369" spans="1:6" ht="12.75" x14ac:dyDescent="0.2">
      <c r="A3369" s="451"/>
      <c r="B3369" s="451"/>
      <c r="C3369" s="451"/>
      <c r="D3369" s="451"/>
      <c r="E3369" s="468"/>
      <c r="F3369" s="468"/>
    </row>
    <row r="3370" spans="1:6" ht="12.75" x14ac:dyDescent="0.2">
      <c r="A3370" s="451"/>
      <c r="B3370" s="451"/>
      <c r="C3370" s="451"/>
      <c r="D3370" s="451"/>
      <c r="E3370" s="468"/>
      <c r="F3370" s="468"/>
    </row>
    <row r="3371" spans="1:6" ht="12.75" x14ac:dyDescent="0.2">
      <c r="A3371" s="451"/>
      <c r="B3371" s="451"/>
      <c r="C3371" s="451"/>
      <c r="D3371" s="451"/>
      <c r="E3371" s="468"/>
      <c r="F3371" s="468"/>
    </row>
    <row r="3372" spans="1:6" ht="12.75" x14ac:dyDescent="0.2">
      <c r="A3372" s="451"/>
      <c r="B3372" s="451"/>
      <c r="C3372" s="451"/>
      <c r="D3372" s="451"/>
      <c r="E3372" s="468"/>
      <c r="F3372" s="468"/>
    </row>
    <row r="3373" spans="1:6" ht="12.75" x14ac:dyDescent="0.2">
      <c r="A3373" s="451"/>
      <c r="B3373" s="451"/>
      <c r="C3373" s="451"/>
      <c r="D3373" s="451"/>
      <c r="E3373" s="468"/>
      <c r="F3373" s="468"/>
    </row>
    <row r="3374" spans="1:6" ht="12.75" x14ac:dyDescent="0.2">
      <c r="A3374" s="451"/>
      <c r="B3374" s="451"/>
      <c r="C3374" s="451"/>
      <c r="D3374" s="451"/>
      <c r="E3374" s="468"/>
      <c r="F3374" s="468"/>
    </row>
    <row r="3375" spans="1:6" ht="12.75" x14ac:dyDescent="0.2">
      <c r="A3375" s="451"/>
      <c r="B3375" s="451"/>
      <c r="C3375" s="451"/>
      <c r="D3375" s="451"/>
      <c r="E3375" s="468"/>
      <c r="F3375" s="468"/>
    </row>
    <row r="3376" spans="1:6" ht="12.75" x14ac:dyDescent="0.2">
      <c r="A3376" s="451"/>
      <c r="B3376" s="451"/>
      <c r="C3376" s="451"/>
      <c r="D3376" s="451"/>
      <c r="E3376" s="468"/>
      <c r="F3376" s="468"/>
    </row>
    <row r="3377" spans="1:6" ht="12.75" x14ac:dyDescent="0.2">
      <c r="A3377" s="451"/>
      <c r="B3377" s="451"/>
      <c r="C3377" s="451"/>
      <c r="D3377" s="451"/>
      <c r="E3377" s="468"/>
      <c r="F3377" s="468"/>
    </row>
    <row r="3378" spans="1:6" ht="12.75" x14ac:dyDescent="0.2">
      <c r="A3378" s="451"/>
      <c r="B3378" s="451"/>
      <c r="C3378" s="451"/>
      <c r="D3378" s="451"/>
      <c r="E3378" s="468"/>
      <c r="F3378" s="468"/>
    </row>
    <row r="3379" spans="1:6" ht="12.75" x14ac:dyDescent="0.2">
      <c r="A3379" s="451"/>
      <c r="B3379" s="451"/>
      <c r="C3379" s="451"/>
      <c r="D3379" s="451"/>
      <c r="E3379" s="468"/>
      <c r="F3379" s="468"/>
    </row>
    <row r="3380" spans="1:6" ht="12.75" x14ac:dyDescent="0.2">
      <c r="A3380" s="451"/>
      <c r="B3380" s="451"/>
      <c r="C3380" s="451"/>
      <c r="D3380" s="451"/>
      <c r="E3380" s="468"/>
      <c r="F3380" s="468"/>
    </row>
    <row r="3381" spans="1:6" ht="12.75" x14ac:dyDescent="0.2">
      <c r="A3381" s="451"/>
      <c r="B3381" s="451"/>
      <c r="C3381" s="451"/>
      <c r="D3381" s="451"/>
      <c r="E3381" s="468"/>
      <c r="F3381" s="468"/>
    </row>
    <row r="3382" spans="1:6" ht="12.75" x14ac:dyDescent="0.2">
      <c r="A3382" s="451"/>
      <c r="B3382" s="451"/>
      <c r="C3382" s="451"/>
      <c r="D3382" s="451"/>
      <c r="E3382" s="468"/>
      <c r="F3382" s="468"/>
    </row>
    <row r="3383" spans="1:6" ht="12.75" x14ac:dyDescent="0.2">
      <c r="A3383" s="451"/>
      <c r="B3383" s="451"/>
      <c r="C3383" s="451"/>
      <c r="D3383" s="451"/>
      <c r="E3383" s="468"/>
      <c r="F3383" s="468"/>
    </row>
    <row r="3384" spans="1:6" ht="12.75" x14ac:dyDescent="0.2">
      <c r="A3384" s="451"/>
      <c r="B3384" s="451"/>
      <c r="C3384" s="451"/>
      <c r="D3384" s="451"/>
      <c r="E3384" s="468"/>
      <c r="F3384" s="468"/>
    </row>
    <row r="3385" spans="1:6" ht="12.75" x14ac:dyDescent="0.2">
      <c r="A3385" s="451"/>
      <c r="B3385" s="451"/>
      <c r="C3385" s="451"/>
      <c r="D3385" s="451"/>
      <c r="E3385" s="468"/>
      <c r="F3385" s="468"/>
    </row>
    <row r="3386" spans="1:6" ht="12.75" x14ac:dyDescent="0.2">
      <c r="A3386" s="451"/>
      <c r="B3386" s="451"/>
      <c r="C3386" s="451"/>
      <c r="D3386" s="451"/>
      <c r="E3386" s="468"/>
      <c r="F3386" s="468"/>
    </row>
    <row r="3387" spans="1:6" ht="12.75" x14ac:dyDescent="0.2">
      <c r="A3387" s="451"/>
      <c r="B3387" s="451"/>
      <c r="C3387" s="451"/>
      <c r="D3387" s="451"/>
      <c r="E3387" s="468"/>
      <c r="F3387" s="468"/>
    </row>
    <row r="3388" spans="1:6" ht="12.75" x14ac:dyDescent="0.2">
      <c r="A3388" s="451"/>
      <c r="B3388" s="451"/>
      <c r="C3388" s="451"/>
      <c r="D3388" s="451"/>
      <c r="E3388" s="468"/>
      <c r="F3388" s="468"/>
    </row>
    <row r="3389" spans="1:6" ht="12.75" x14ac:dyDescent="0.2">
      <c r="A3389" s="451"/>
      <c r="B3389" s="451"/>
      <c r="C3389" s="451"/>
      <c r="D3389" s="451"/>
      <c r="E3389" s="468"/>
      <c r="F3389" s="468"/>
    </row>
    <row r="3390" spans="1:6" ht="12.75" x14ac:dyDescent="0.2">
      <c r="A3390" s="451"/>
      <c r="B3390" s="451"/>
      <c r="C3390" s="451"/>
      <c r="D3390" s="451"/>
      <c r="E3390" s="468"/>
      <c r="F3390" s="468"/>
    </row>
    <row r="3391" spans="1:6" ht="12.75" x14ac:dyDescent="0.2">
      <c r="A3391" s="451"/>
      <c r="B3391" s="451"/>
      <c r="C3391" s="451"/>
      <c r="D3391" s="451"/>
      <c r="E3391" s="468"/>
      <c r="F3391" s="468"/>
    </row>
    <row r="3392" spans="1:6" ht="12.75" x14ac:dyDescent="0.2">
      <c r="A3392" s="451"/>
      <c r="B3392" s="451"/>
      <c r="C3392" s="451"/>
      <c r="D3392" s="451"/>
      <c r="E3392" s="468"/>
      <c r="F3392" s="468"/>
    </row>
    <row r="3393" spans="1:6" ht="12.75" x14ac:dyDescent="0.2">
      <c r="A3393" s="451"/>
      <c r="B3393" s="451"/>
      <c r="C3393" s="451"/>
      <c r="D3393" s="451"/>
      <c r="E3393" s="468"/>
      <c r="F3393" s="468"/>
    </row>
    <row r="3394" spans="1:6" ht="12.75" x14ac:dyDescent="0.2">
      <c r="A3394" s="451"/>
      <c r="B3394" s="451"/>
      <c r="C3394" s="451"/>
      <c r="D3394" s="451"/>
      <c r="E3394" s="468"/>
      <c r="F3394" s="468"/>
    </row>
    <row r="3395" spans="1:6" ht="12.75" x14ac:dyDescent="0.2">
      <c r="A3395" s="451"/>
      <c r="B3395" s="451"/>
      <c r="C3395" s="451"/>
      <c r="D3395" s="451"/>
      <c r="E3395" s="468"/>
      <c r="F3395" s="468"/>
    </row>
    <row r="3396" spans="1:6" ht="12.75" x14ac:dyDescent="0.2">
      <c r="A3396" s="451"/>
      <c r="B3396" s="451"/>
      <c r="C3396" s="451"/>
      <c r="D3396" s="451"/>
      <c r="E3396" s="468"/>
      <c r="F3396" s="468"/>
    </row>
    <row r="3397" spans="1:6" ht="12.75" x14ac:dyDescent="0.2">
      <c r="A3397" s="451"/>
      <c r="B3397" s="451"/>
      <c r="C3397" s="451"/>
      <c r="D3397" s="451"/>
      <c r="E3397" s="468"/>
      <c r="F3397" s="468"/>
    </row>
    <row r="3398" spans="1:6" ht="12.75" x14ac:dyDescent="0.2">
      <c r="A3398" s="451"/>
      <c r="B3398" s="451"/>
      <c r="C3398" s="451"/>
      <c r="D3398" s="451"/>
      <c r="E3398" s="468"/>
      <c r="F3398" s="468"/>
    </row>
    <row r="3399" spans="1:6" ht="12.75" x14ac:dyDescent="0.2">
      <c r="A3399" s="451"/>
      <c r="B3399" s="451"/>
      <c r="C3399" s="451"/>
      <c r="D3399" s="451"/>
      <c r="E3399" s="468"/>
      <c r="F3399" s="468"/>
    </row>
    <row r="3400" spans="1:6" ht="12.75" x14ac:dyDescent="0.2">
      <c r="A3400" s="451"/>
      <c r="B3400" s="451"/>
      <c r="C3400" s="451"/>
      <c r="D3400" s="451"/>
      <c r="E3400" s="468"/>
      <c r="F3400" s="468"/>
    </row>
    <row r="3401" spans="1:6" ht="12.75" x14ac:dyDescent="0.2">
      <c r="A3401" s="451"/>
      <c r="B3401" s="451"/>
      <c r="C3401" s="451"/>
      <c r="D3401" s="451"/>
      <c r="E3401" s="468"/>
      <c r="F3401" s="468"/>
    </row>
    <row r="3402" spans="1:6" ht="12.75" x14ac:dyDescent="0.2">
      <c r="A3402" s="451"/>
      <c r="B3402" s="451"/>
      <c r="C3402" s="451"/>
      <c r="D3402" s="451"/>
      <c r="E3402" s="468"/>
      <c r="F3402" s="468"/>
    </row>
    <row r="3403" spans="1:6" ht="12.75" x14ac:dyDescent="0.2">
      <c r="A3403" s="451"/>
      <c r="B3403" s="451"/>
      <c r="C3403" s="451"/>
      <c r="D3403" s="451"/>
      <c r="E3403" s="468"/>
      <c r="F3403" s="468"/>
    </row>
    <row r="3404" spans="1:6" ht="12.75" x14ac:dyDescent="0.2">
      <c r="A3404" s="451"/>
      <c r="B3404" s="451"/>
      <c r="C3404" s="451"/>
      <c r="D3404" s="451"/>
      <c r="E3404" s="468"/>
      <c r="F3404" s="468"/>
    </row>
    <row r="3405" spans="1:6" ht="12.75" x14ac:dyDescent="0.2">
      <c r="A3405" s="451"/>
      <c r="B3405" s="451"/>
      <c r="C3405" s="451"/>
      <c r="D3405" s="451"/>
      <c r="E3405" s="468"/>
      <c r="F3405" s="468"/>
    </row>
    <row r="3406" spans="1:6" ht="12.75" x14ac:dyDescent="0.2">
      <c r="A3406" s="451"/>
      <c r="B3406" s="451"/>
      <c r="C3406" s="451"/>
      <c r="D3406" s="451"/>
      <c r="E3406" s="468"/>
      <c r="F3406" s="468"/>
    </row>
    <row r="3407" spans="1:6" ht="12.75" x14ac:dyDescent="0.2">
      <c r="A3407" s="451"/>
      <c r="B3407" s="451"/>
      <c r="C3407" s="451"/>
      <c r="D3407" s="451"/>
      <c r="E3407" s="468"/>
      <c r="F3407" s="468"/>
    </row>
    <row r="3408" spans="1:6" ht="12.75" x14ac:dyDescent="0.2">
      <c r="A3408" s="451"/>
      <c r="B3408" s="451"/>
      <c r="C3408" s="451"/>
      <c r="D3408" s="451"/>
      <c r="E3408" s="468"/>
      <c r="F3408" s="468"/>
    </row>
    <row r="3409" spans="1:6" ht="12.75" x14ac:dyDescent="0.2">
      <c r="A3409" s="451"/>
      <c r="B3409" s="451"/>
      <c r="C3409" s="451"/>
      <c r="D3409" s="451"/>
      <c r="E3409" s="468"/>
      <c r="F3409" s="468"/>
    </row>
    <row r="3410" spans="1:6" ht="12.75" x14ac:dyDescent="0.2">
      <c r="A3410" s="451"/>
      <c r="B3410" s="451"/>
      <c r="C3410" s="451"/>
      <c r="D3410" s="451"/>
      <c r="E3410" s="468"/>
      <c r="F3410" s="468"/>
    </row>
    <row r="3411" spans="1:6" ht="12.75" x14ac:dyDescent="0.2">
      <c r="A3411" s="451"/>
      <c r="B3411" s="451"/>
      <c r="C3411" s="451"/>
      <c r="D3411" s="451"/>
      <c r="E3411" s="468"/>
      <c r="F3411" s="468"/>
    </row>
    <row r="3412" spans="1:6" ht="12.75" x14ac:dyDescent="0.2">
      <c r="A3412" s="451"/>
      <c r="B3412" s="451"/>
      <c r="C3412" s="451"/>
      <c r="D3412" s="451"/>
      <c r="E3412" s="468"/>
      <c r="F3412" s="468"/>
    </row>
    <row r="3413" spans="1:6" ht="12.75" x14ac:dyDescent="0.2">
      <c r="A3413" s="451"/>
      <c r="B3413" s="451"/>
      <c r="C3413" s="451"/>
      <c r="D3413" s="451"/>
      <c r="E3413" s="468"/>
      <c r="F3413" s="468"/>
    </row>
    <row r="3414" spans="1:6" ht="12.75" x14ac:dyDescent="0.2">
      <c r="A3414" s="451"/>
      <c r="B3414" s="451"/>
      <c r="C3414" s="451"/>
      <c r="D3414" s="451"/>
      <c r="E3414" s="468"/>
      <c r="F3414" s="468"/>
    </row>
    <row r="3415" spans="1:6" ht="12.75" x14ac:dyDescent="0.2">
      <c r="A3415" s="451"/>
      <c r="B3415" s="451"/>
      <c r="C3415" s="451"/>
      <c r="D3415" s="451"/>
      <c r="E3415" s="468"/>
      <c r="F3415" s="468"/>
    </row>
    <row r="3416" spans="1:6" ht="12.75" x14ac:dyDescent="0.2">
      <c r="A3416" s="451"/>
      <c r="B3416" s="451"/>
      <c r="C3416" s="451"/>
      <c r="D3416" s="451"/>
      <c r="E3416" s="468"/>
      <c r="F3416" s="468"/>
    </row>
    <row r="3417" spans="1:6" ht="12.75" x14ac:dyDescent="0.2">
      <c r="A3417" s="451"/>
      <c r="B3417" s="451"/>
      <c r="C3417" s="451"/>
      <c r="D3417" s="451"/>
      <c r="E3417" s="468"/>
      <c r="F3417" s="468"/>
    </row>
    <row r="3418" spans="1:6" ht="12.75" x14ac:dyDescent="0.2">
      <c r="A3418" s="451"/>
      <c r="B3418" s="451"/>
      <c r="C3418" s="451"/>
      <c r="D3418" s="451"/>
      <c r="E3418" s="468"/>
      <c r="F3418" s="468"/>
    </row>
    <row r="3419" spans="1:6" ht="12.75" x14ac:dyDescent="0.2">
      <c r="A3419" s="451"/>
      <c r="B3419" s="451"/>
      <c r="C3419" s="451"/>
      <c r="D3419" s="451"/>
      <c r="E3419" s="468"/>
      <c r="F3419" s="468"/>
    </row>
    <row r="3420" spans="1:6" ht="12.75" x14ac:dyDescent="0.2">
      <c r="A3420" s="451"/>
      <c r="B3420" s="451"/>
      <c r="C3420" s="451"/>
      <c r="D3420" s="451"/>
      <c r="E3420" s="468"/>
      <c r="F3420" s="468"/>
    </row>
    <row r="3421" spans="1:6" ht="12.75" x14ac:dyDescent="0.2">
      <c r="A3421" s="451"/>
      <c r="B3421" s="451"/>
      <c r="C3421" s="451"/>
      <c r="D3421" s="451"/>
      <c r="E3421" s="468"/>
      <c r="F3421" s="468"/>
    </row>
    <row r="3422" spans="1:6" ht="12.75" x14ac:dyDescent="0.2">
      <c r="A3422" s="451"/>
      <c r="B3422" s="451"/>
      <c r="C3422" s="451"/>
      <c r="D3422" s="451"/>
      <c r="E3422" s="468"/>
      <c r="F3422" s="468"/>
    </row>
    <row r="3423" spans="1:6" ht="12.75" x14ac:dyDescent="0.2">
      <c r="A3423" s="451"/>
      <c r="B3423" s="451"/>
      <c r="C3423" s="451"/>
      <c r="D3423" s="451"/>
      <c r="E3423" s="468"/>
      <c r="F3423" s="468"/>
    </row>
    <row r="3424" spans="1:6" ht="12.75" x14ac:dyDescent="0.2">
      <c r="A3424" s="451"/>
      <c r="B3424" s="451"/>
      <c r="C3424" s="451"/>
      <c r="D3424" s="451"/>
      <c r="E3424" s="468"/>
      <c r="F3424" s="468"/>
    </row>
    <row r="3425" spans="1:6" ht="12.75" x14ac:dyDescent="0.2">
      <c r="A3425" s="451"/>
      <c r="B3425" s="451"/>
      <c r="C3425" s="451"/>
      <c r="D3425" s="451"/>
      <c r="E3425" s="468"/>
      <c r="F3425" s="468"/>
    </row>
    <row r="3426" spans="1:6" ht="12.75" x14ac:dyDescent="0.2">
      <c r="A3426" s="451"/>
      <c r="B3426" s="451"/>
      <c r="C3426" s="451"/>
      <c r="D3426" s="451"/>
      <c r="E3426" s="468"/>
      <c r="F3426" s="468"/>
    </row>
    <row r="3427" spans="1:6" ht="12.75" x14ac:dyDescent="0.2">
      <c r="A3427" s="451"/>
      <c r="B3427" s="451"/>
      <c r="C3427" s="451"/>
      <c r="D3427" s="451"/>
      <c r="E3427" s="468"/>
      <c r="F3427" s="468"/>
    </row>
    <row r="3428" spans="1:6" ht="12.75" x14ac:dyDescent="0.2">
      <c r="A3428" s="451"/>
      <c r="B3428" s="451"/>
      <c r="C3428" s="451"/>
      <c r="D3428" s="451"/>
      <c r="E3428" s="468"/>
      <c r="F3428" s="468"/>
    </row>
    <row r="3429" spans="1:6" ht="12.75" x14ac:dyDescent="0.2">
      <c r="A3429" s="451"/>
      <c r="B3429" s="451"/>
      <c r="C3429" s="451"/>
      <c r="D3429" s="451"/>
      <c r="E3429" s="468"/>
      <c r="F3429" s="468"/>
    </row>
    <row r="3430" spans="1:6" ht="12.75" x14ac:dyDescent="0.2">
      <c r="A3430" s="451"/>
      <c r="B3430" s="451"/>
      <c r="C3430" s="451"/>
      <c r="D3430" s="451"/>
      <c r="E3430" s="468"/>
      <c r="F3430" s="468"/>
    </row>
    <row r="3431" spans="1:6" ht="12.75" x14ac:dyDescent="0.2">
      <c r="A3431" s="451"/>
      <c r="B3431" s="451"/>
      <c r="C3431" s="451"/>
      <c r="D3431" s="451"/>
      <c r="E3431" s="468"/>
      <c r="F3431" s="468"/>
    </row>
    <row r="3432" spans="1:6" ht="12.75" x14ac:dyDescent="0.2">
      <c r="A3432" s="451"/>
      <c r="B3432" s="451"/>
      <c r="C3432" s="451"/>
      <c r="D3432" s="451"/>
      <c r="E3432" s="468"/>
      <c r="F3432" s="468"/>
    </row>
    <row r="3433" spans="1:6" ht="12.75" x14ac:dyDescent="0.2">
      <c r="A3433" s="451"/>
      <c r="B3433" s="451"/>
      <c r="C3433" s="451"/>
      <c r="D3433" s="451"/>
      <c r="E3433" s="468"/>
      <c r="F3433" s="468"/>
    </row>
    <row r="3434" spans="1:6" ht="12.75" x14ac:dyDescent="0.2">
      <c r="A3434" s="451"/>
      <c r="B3434" s="451"/>
      <c r="C3434" s="451"/>
      <c r="D3434" s="451"/>
      <c r="E3434" s="468"/>
      <c r="F3434" s="468"/>
    </row>
    <row r="3435" spans="1:6" ht="12.75" x14ac:dyDescent="0.2">
      <c r="A3435" s="451"/>
      <c r="B3435" s="451"/>
      <c r="C3435" s="451"/>
      <c r="D3435" s="451"/>
      <c r="E3435" s="468"/>
      <c r="F3435" s="468"/>
    </row>
    <row r="3436" spans="1:6" ht="12.75" x14ac:dyDescent="0.2">
      <c r="A3436" s="451"/>
      <c r="B3436" s="451"/>
      <c r="C3436" s="451"/>
      <c r="D3436" s="451"/>
      <c r="E3436" s="468"/>
      <c r="F3436" s="468"/>
    </row>
    <row r="3437" spans="1:6" ht="12.75" x14ac:dyDescent="0.2">
      <c r="A3437" s="451"/>
      <c r="B3437" s="451"/>
      <c r="C3437" s="451"/>
      <c r="D3437" s="451"/>
      <c r="E3437" s="468"/>
      <c r="F3437" s="468"/>
    </row>
    <row r="3438" spans="1:6" ht="12.75" x14ac:dyDescent="0.2">
      <c r="A3438" s="451"/>
      <c r="B3438" s="451"/>
      <c r="C3438" s="451"/>
      <c r="D3438" s="451"/>
      <c r="E3438" s="468"/>
      <c r="F3438" s="468"/>
    </row>
    <row r="3439" spans="1:6" ht="12.75" x14ac:dyDescent="0.2">
      <c r="A3439" s="451"/>
      <c r="B3439" s="451"/>
      <c r="C3439" s="451"/>
      <c r="D3439" s="451"/>
      <c r="E3439" s="468"/>
      <c r="F3439" s="468"/>
    </row>
    <row r="3440" spans="1:6" ht="12.75" x14ac:dyDescent="0.2">
      <c r="A3440" s="451"/>
      <c r="B3440" s="451"/>
      <c r="C3440" s="451"/>
      <c r="D3440" s="451"/>
      <c r="E3440" s="468"/>
      <c r="F3440" s="468"/>
    </row>
    <row r="3441" spans="1:6" ht="12.75" x14ac:dyDescent="0.2">
      <c r="A3441" s="451"/>
      <c r="B3441" s="451"/>
      <c r="C3441" s="451"/>
      <c r="D3441" s="451"/>
      <c r="E3441" s="468"/>
      <c r="F3441" s="468"/>
    </row>
    <row r="3442" spans="1:6" ht="12.75" x14ac:dyDescent="0.2">
      <c r="A3442" s="451"/>
      <c r="B3442" s="451"/>
      <c r="C3442" s="451"/>
      <c r="D3442" s="451"/>
      <c r="E3442" s="468"/>
      <c r="F3442" s="468"/>
    </row>
    <row r="3443" spans="1:6" ht="12.75" x14ac:dyDescent="0.2">
      <c r="A3443" s="451"/>
      <c r="B3443" s="451"/>
      <c r="C3443" s="451"/>
      <c r="D3443" s="451"/>
      <c r="E3443" s="468"/>
      <c r="F3443" s="468"/>
    </row>
    <row r="3444" spans="1:6" ht="12.75" x14ac:dyDescent="0.2">
      <c r="A3444" s="451"/>
      <c r="B3444" s="451"/>
      <c r="C3444" s="451"/>
      <c r="D3444" s="451"/>
      <c r="E3444" s="468"/>
      <c r="F3444" s="468"/>
    </row>
    <row r="3445" spans="1:6" ht="12.75" x14ac:dyDescent="0.2">
      <c r="A3445" s="451"/>
      <c r="B3445" s="451"/>
      <c r="C3445" s="451"/>
      <c r="D3445" s="451"/>
      <c r="E3445" s="468"/>
      <c r="F3445" s="468"/>
    </row>
    <row r="3446" spans="1:6" ht="12.75" x14ac:dyDescent="0.2">
      <c r="A3446" s="451"/>
      <c r="B3446" s="451"/>
      <c r="C3446" s="451"/>
      <c r="D3446" s="451"/>
      <c r="E3446" s="468"/>
      <c r="F3446" s="468"/>
    </row>
    <row r="3447" spans="1:6" ht="12.75" x14ac:dyDescent="0.2">
      <c r="A3447" s="451"/>
      <c r="B3447" s="451"/>
      <c r="C3447" s="451"/>
      <c r="D3447" s="451"/>
      <c r="E3447" s="468"/>
      <c r="F3447" s="468"/>
    </row>
    <row r="3448" spans="1:6" ht="12.75" x14ac:dyDescent="0.2">
      <c r="A3448" s="451"/>
      <c r="B3448" s="451"/>
      <c r="C3448" s="451"/>
      <c r="D3448" s="451"/>
      <c r="E3448" s="468"/>
      <c r="F3448" s="468"/>
    </row>
    <row r="3449" spans="1:6" ht="12.75" x14ac:dyDescent="0.2">
      <c r="A3449" s="451"/>
      <c r="B3449" s="451"/>
      <c r="C3449" s="451"/>
      <c r="D3449" s="451"/>
      <c r="E3449" s="468"/>
      <c r="F3449" s="468"/>
    </row>
    <row r="3450" spans="1:6" ht="12.75" x14ac:dyDescent="0.2">
      <c r="A3450" s="451"/>
      <c r="B3450" s="451"/>
      <c r="C3450" s="451"/>
      <c r="D3450" s="451"/>
      <c r="E3450" s="468"/>
      <c r="F3450" s="468"/>
    </row>
    <row r="3451" spans="1:6" ht="12.75" x14ac:dyDescent="0.2">
      <c r="A3451" s="451"/>
      <c r="B3451" s="451"/>
      <c r="C3451" s="451"/>
      <c r="D3451" s="451"/>
      <c r="E3451" s="468"/>
      <c r="F3451" s="468"/>
    </row>
    <row r="3452" spans="1:6" ht="12.75" x14ac:dyDescent="0.2">
      <c r="A3452" s="451"/>
      <c r="B3452" s="451"/>
      <c r="C3452" s="451"/>
      <c r="D3452" s="451"/>
      <c r="E3452" s="468"/>
      <c r="F3452" s="468"/>
    </row>
    <row r="3453" spans="1:6" ht="12.75" x14ac:dyDescent="0.2">
      <c r="A3453" s="451"/>
      <c r="B3453" s="451"/>
      <c r="C3453" s="451"/>
      <c r="D3453" s="451"/>
      <c r="E3453" s="468"/>
      <c r="F3453" s="468"/>
    </row>
    <row r="3454" spans="1:6" ht="12.75" x14ac:dyDescent="0.2">
      <c r="A3454" s="451"/>
      <c r="B3454" s="451"/>
      <c r="C3454" s="451"/>
      <c r="D3454" s="451"/>
      <c r="E3454" s="468"/>
      <c r="F3454" s="468"/>
    </row>
    <row r="3455" spans="1:6" ht="12.75" x14ac:dyDescent="0.2">
      <c r="A3455" s="451"/>
      <c r="B3455" s="451"/>
      <c r="C3455" s="451"/>
      <c r="D3455" s="451"/>
      <c r="E3455" s="468"/>
      <c r="F3455" s="468"/>
    </row>
    <row r="3456" spans="1:6" ht="12.75" x14ac:dyDescent="0.2">
      <c r="A3456" s="451"/>
      <c r="B3456" s="451"/>
      <c r="C3456" s="451"/>
      <c r="D3456" s="451"/>
      <c r="E3456" s="468"/>
      <c r="F3456" s="468"/>
    </row>
    <row r="3457" spans="1:6" ht="12.75" x14ac:dyDescent="0.2">
      <c r="A3457" s="451"/>
      <c r="B3457" s="451"/>
      <c r="C3457" s="451"/>
      <c r="D3457" s="451"/>
      <c r="E3457" s="468"/>
      <c r="F3457" s="468"/>
    </row>
    <row r="3458" spans="1:6" ht="12.75" x14ac:dyDescent="0.2">
      <c r="A3458" s="451"/>
      <c r="B3458" s="451"/>
      <c r="C3458" s="451"/>
      <c r="D3458" s="451"/>
      <c r="E3458" s="468"/>
      <c r="F3458" s="468"/>
    </row>
    <row r="3459" spans="1:6" ht="12.75" x14ac:dyDescent="0.2">
      <c r="A3459" s="451"/>
      <c r="B3459" s="451"/>
      <c r="C3459" s="451"/>
      <c r="D3459" s="451"/>
      <c r="E3459" s="468"/>
      <c r="F3459" s="468"/>
    </row>
    <row r="3460" spans="1:6" ht="12.75" x14ac:dyDescent="0.2">
      <c r="A3460" s="451"/>
      <c r="B3460" s="451"/>
      <c r="C3460" s="451"/>
      <c r="D3460" s="451"/>
      <c r="E3460" s="468"/>
      <c r="F3460" s="468"/>
    </row>
    <row r="3461" spans="1:6" ht="12.75" x14ac:dyDescent="0.2">
      <c r="A3461" s="451"/>
      <c r="B3461" s="451"/>
      <c r="C3461" s="451"/>
      <c r="D3461" s="451"/>
      <c r="E3461" s="468"/>
      <c r="F3461" s="468"/>
    </row>
    <row r="3462" spans="1:6" ht="12.75" x14ac:dyDescent="0.2">
      <c r="A3462" s="451"/>
      <c r="B3462" s="451"/>
      <c r="C3462" s="451"/>
      <c r="D3462" s="451"/>
      <c r="E3462" s="468"/>
      <c r="F3462" s="468"/>
    </row>
    <row r="3463" spans="1:6" ht="12.75" x14ac:dyDescent="0.2">
      <c r="A3463" s="451"/>
      <c r="B3463" s="451"/>
      <c r="C3463" s="451"/>
      <c r="D3463" s="451"/>
      <c r="E3463" s="468"/>
      <c r="F3463" s="468"/>
    </row>
    <row r="3464" spans="1:6" ht="12.75" x14ac:dyDescent="0.2">
      <c r="A3464" s="451"/>
      <c r="B3464" s="451"/>
      <c r="C3464" s="451"/>
      <c r="D3464" s="451"/>
      <c r="E3464" s="468"/>
      <c r="F3464" s="468"/>
    </row>
    <row r="3465" spans="1:6" ht="12.75" x14ac:dyDescent="0.2">
      <c r="A3465" s="451"/>
      <c r="B3465" s="451"/>
      <c r="C3465" s="451"/>
      <c r="D3465" s="451"/>
      <c r="E3465" s="468"/>
      <c r="F3465" s="468"/>
    </row>
    <row r="3466" spans="1:6" ht="12.75" x14ac:dyDescent="0.2">
      <c r="A3466" s="451"/>
      <c r="B3466" s="451"/>
      <c r="C3466" s="451"/>
      <c r="D3466" s="451"/>
      <c r="E3466" s="468"/>
      <c r="F3466" s="468"/>
    </row>
    <row r="3467" spans="1:6" ht="12.75" x14ac:dyDescent="0.2">
      <c r="A3467" s="451"/>
      <c r="B3467" s="451"/>
      <c r="C3467" s="451"/>
      <c r="D3467" s="451"/>
      <c r="E3467" s="468"/>
      <c r="F3467" s="468"/>
    </row>
    <row r="3468" spans="1:6" ht="12.75" x14ac:dyDescent="0.2">
      <c r="A3468" s="451"/>
      <c r="B3468" s="451"/>
      <c r="C3468" s="451"/>
      <c r="D3468" s="451"/>
      <c r="E3468" s="468"/>
      <c r="F3468" s="468"/>
    </row>
    <row r="3469" spans="1:6" ht="12.75" x14ac:dyDescent="0.2">
      <c r="A3469" s="451"/>
      <c r="B3469" s="451"/>
      <c r="C3469" s="451"/>
      <c r="D3469" s="451"/>
      <c r="E3469" s="468"/>
      <c r="F3469" s="468"/>
    </row>
    <row r="3470" spans="1:6" ht="12.75" x14ac:dyDescent="0.2">
      <c r="A3470" s="451"/>
      <c r="B3470" s="451"/>
      <c r="C3470" s="451"/>
      <c r="D3470" s="451"/>
      <c r="E3470" s="468"/>
      <c r="F3470" s="468"/>
    </row>
    <row r="3471" spans="1:6" ht="12.75" x14ac:dyDescent="0.2">
      <c r="A3471" s="451"/>
      <c r="B3471" s="451"/>
      <c r="C3471" s="451"/>
      <c r="D3471" s="451"/>
      <c r="E3471" s="468"/>
      <c r="F3471" s="468"/>
    </row>
    <row r="3472" spans="1:6" ht="12.75" x14ac:dyDescent="0.2">
      <c r="A3472" s="451"/>
      <c r="B3472" s="451"/>
      <c r="C3472" s="451"/>
      <c r="D3472" s="451"/>
      <c r="E3472" s="468"/>
      <c r="F3472" s="468"/>
    </row>
    <row r="3473" spans="1:6" ht="12.75" x14ac:dyDescent="0.2">
      <c r="A3473" s="451"/>
      <c r="B3473" s="451"/>
      <c r="C3473" s="451"/>
      <c r="D3473" s="451"/>
      <c r="E3473" s="468"/>
      <c r="F3473" s="468"/>
    </row>
    <row r="3474" spans="1:6" ht="12.75" x14ac:dyDescent="0.2">
      <c r="A3474" s="451"/>
      <c r="B3474" s="451"/>
      <c r="C3474" s="451"/>
      <c r="D3474" s="451"/>
      <c r="E3474" s="468"/>
      <c r="F3474" s="468"/>
    </row>
    <row r="3475" spans="1:6" ht="12.75" x14ac:dyDescent="0.2">
      <c r="A3475" s="451"/>
      <c r="B3475" s="451"/>
      <c r="C3475" s="451"/>
      <c r="D3475" s="451"/>
      <c r="E3475" s="468"/>
      <c r="F3475" s="468"/>
    </row>
    <row r="3476" spans="1:6" ht="12.75" x14ac:dyDescent="0.2">
      <c r="A3476" s="451"/>
      <c r="B3476" s="451"/>
      <c r="C3476" s="451"/>
      <c r="D3476" s="451"/>
      <c r="E3476" s="468"/>
      <c r="F3476" s="468"/>
    </row>
    <row r="3477" spans="1:6" ht="12.75" x14ac:dyDescent="0.2">
      <c r="A3477" s="451"/>
      <c r="B3477" s="451"/>
      <c r="C3477" s="451"/>
      <c r="D3477" s="451"/>
      <c r="E3477" s="468"/>
      <c r="F3477" s="468"/>
    </row>
    <row r="3478" spans="1:6" ht="12.75" x14ac:dyDescent="0.2">
      <c r="A3478" s="451"/>
      <c r="B3478" s="451"/>
      <c r="C3478" s="451"/>
      <c r="D3478" s="451"/>
      <c r="E3478" s="468"/>
      <c r="F3478" s="468"/>
    </row>
    <row r="3479" spans="1:6" ht="12.75" x14ac:dyDescent="0.2">
      <c r="A3479" s="451"/>
      <c r="B3479" s="451"/>
      <c r="C3479" s="451"/>
      <c r="D3479" s="451"/>
      <c r="E3479" s="468"/>
      <c r="F3479" s="468"/>
    </row>
    <row r="3480" spans="1:6" ht="12.75" x14ac:dyDescent="0.2">
      <c r="A3480" s="451"/>
      <c r="B3480" s="451"/>
      <c r="C3480" s="451"/>
      <c r="D3480" s="451"/>
      <c r="E3480" s="468"/>
      <c r="F3480" s="468"/>
    </row>
    <row r="3481" spans="1:6" ht="12.75" x14ac:dyDescent="0.2">
      <c r="A3481" s="451"/>
      <c r="B3481" s="451"/>
      <c r="C3481" s="451"/>
      <c r="D3481" s="451"/>
      <c r="E3481" s="468"/>
      <c r="F3481" s="468"/>
    </row>
    <row r="3482" spans="1:6" ht="12.75" x14ac:dyDescent="0.2">
      <c r="A3482" s="451"/>
      <c r="B3482" s="451"/>
      <c r="C3482" s="451"/>
      <c r="D3482" s="451"/>
      <c r="E3482" s="468"/>
      <c r="F3482" s="468"/>
    </row>
    <row r="3483" spans="1:6" ht="12.75" x14ac:dyDescent="0.2">
      <c r="A3483" s="451"/>
      <c r="B3483" s="451"/>
      <c r="C3483" s="451"/>
      <c r="D3483" s="451"/>
      <c r="E3483" s="468"/>
      <c r="F3483" s="468"/>
    </row>
    <row r="3484" spans="1:6" ht="12.75" x14ac:dyDescent="0.2">
      <c r="A3484" s="451"/>
      <c r="B3484" s="451"/>
      <c r="C3484" s="451"/>
      <c r="D3484" s="451"/>
      <c r="E3484" s="468"/>
      <c r="F3484" s="468"/>
    </row>
    <row r="3485" spans="1:6" ht="12.75" x14ac:dyDescent="0.2">
      <c r="A3485" s="451"/>
      <c r="B3485" s="451"/>
      <c r="C3485" s="451"/>
      <c r="D3485" s="451"/>
      <c r="E3485" s="468"/>
      <c r="F3485" s="468"/>
    </row>
    <row r="3486" spans="1:6" ht="12.75" x14ac:dyDescent="0.2">
      <c r="A3486" s="451"/>
      <c r="B3486" s="451"/>
      <c r="C3486" s="451"/>
      <c r="D3486" s="451"/>
      <c r="E3486" s="468"/>
      <c r="F3486" s="468"/>
    </row>
    <row r="3487" spans="1:6" ht="12.75" x14ac:dyDescent="0.2">
      <c r="A3487" s="451"/>
      <c r="B3487" s="451"/>
      <c r="C3487" s="451"/>
      <c r="D3487" s="451"/>
      <c r="E3487" s="468"/>
      <c r="F3487" s="468"/>
    </row>
    <row r="3488" spans="1:6" ht="12.75" x14ac:dyDescent="0.2">
      <c r="A3488" s="451"/>
      <c r="B3488" s="451"/>
      <c r="C3488" s="451"/>
      <c r="D3488" s="451"/>
      <c r="E3488" s="468"/>
      <c r="F3488" s="468"/>
    </row>
    <row r="3489" spans="1:6" ht="12.75" x14ac:dyDescent="0.2">
      <c r="A3489" s="451"/>
      <c r="B3489" s="451"/>
      <c r="C3489" s="451"/>
      <c r="D3489" s="451"/>
      <c r="E3489" s="468"/>
      <c r="F3489" s="468"/>
    </row>
    <row r="3490" spans="1:6" ht="12.75" x14ac:dyDescent="0.2">
      <c r="A3490" s="451"/>
      <c r="B3490" s="451"/>
      <c r="C3490" s="451"/>
      <c r="D3490" s="451"/>
      <c r="E3490" s="468"/>
      <c r="F3490" s="468"/>
    </row>
    <row r="3491" spans="1:6" ht="12.75" x14ac:dyDescent="0.2">
      <c r="A3491" s="451"/>
      <c r="B3491" s="451"/>
      <c r="C3491" s="451"/>
      <c r="D3491" s="451"/>
      <c r="E3491" s="468"/>
      <c r="F3491" s="468"/>
    </row>
    <row r="3492" spans="1:6" ht="12.75" x14ac:dyDescent="0.2">
      <c r="A3492" s="451"/>
      <c r="B3492" s="451"/>
      <c r="C3492" s="451"/>
      <c r="D3492" s="451"/>
      <c r="E3492" s="468"/>
      <c r="F3492" s="468"/>
    </row>
    <row r="3493" spans="1:6" ht="12.75" x14ac:dyDescent="0.2">
      <c r="A3493" s="451"/>
      <c r="B3493" s="451"/>
      <c r="C3493" s="451"/>
      <c r="D3493" s="451"/>
      <c r="E3493" s="468"/>
      <c r="F3493" s="468"/>
    </row>
    <row r="3494" spans="1:6" ht="12.75" x14ac:dyDescent="0.2">
      <c r="A3494" s="451"/>
      <c r="B3494" s="451"/>
      <c r="C3494" s="451"/>
      <c r="D3494" s="451"/>
      <c r="E3494" s="468"/>
      <c r="F3494" s="468"/>
    </row>
    <row r="3495" spans="1:6" ht="12.75" x14ac:dyDescent="0.2">
      <c r="A3495" s="451"/>
      <c r="B3495" s="451"/>
      <c r="C3495" s="451"/>
      <c r="D3495" s="451"/>
      <c r="E3495" s="468"/>
      <c r="F3495" s="468"/>
    </row>
    <row r="3496" spans="1:6" ht="12.75" x14ac:dyDescent="0.2">
      <c r="A3496" s="451"/>
      <c r="B3496" s="451"/>
      <c r="C3496" s="451"/>
      <c r="D3496" s="451"/>
      <c r="E3496" s="468"/>
      <c r="F3496" s="468"/>
    </row>
    <row r="3497" spans="1:6" ht="12.75" x14ac:dyDescent="0.2">
      <c r="A3497" s="451"/>
      <c r="B3497" s="451"/>
      <c r="C3497" s="451"/>
      <c r="D3497" s="451"/>
      <c r="E3497" s="468"/>
      <c r="F3497" s="468"/>
    </row>
    <row r="3498" spans="1:6" ht="12.75" x14ac:dyDescent="0.2">
      <c r="A3498" s="451"/>
      <c r="B3498" s="451"/>
      <c r="C3498" s="451"/>
      <c r="D3498" s="451"/>
      <c r="E3498" s="468"/>
      <c r="F3498" s="468"/>
    </row>
    <row r="3499" spans="1:6" ht="12.75" x14ac:dyDescent="0.2">
      <c r="A3499" s="451"/>
      <c r="B3499" s="451"/>
      <c r="C3499" s="451"/>
      <c r="D3499" s="451"/>
      <c r="E3499" s="468"/>
      <c r="F3499" s="468"/>
    </row>
    <row r="3500" spans="1:6" ht="12.75" x14ac:dyDescent="0.2">
      <c r="A3500" s="451"/>
      <c r="B3500" s="451"/>
      <c r="C3500" s="451"/>
      <c r="D3500" s="451"/>
      <c r="E3500" s="468"/>
      <c r="F3500" s="468"/>
    </row>
    <row r="3501" spans="1:6" ht="12.75" x14ac:dyDescent="0.2">
      <c r="A3501" s="451"/>
      <c r="B3501" s="451"/>
      <c r="C3501" s="451"/>
      <c r="D3501" s="451"/>
      <c r="E3501" s="468"/>
      <c r="F3501" s="468"/>
    </row>
    <row r="3502" spans="1:6" ht="12.75" x14ac:dyDescent="0.2">
      <c r="A3502" s="451"/>
      <c r="B3502" s="451"/>
      <c r="C3502" s="451"/>
      <c r="D3502" s="451"/>
      <c r="E3502" s="468"/>
      <c r="F3502" s="468"/>
    </row>
    <row r="3503" spans="1:6" ht="12.75" x14ac:dyDescent="0.2">
      <c r="A3503" s="451"/>
      <c r="B3503" s="451"/>
      <c r="C3503" s="451"/>
      <c r="D3503" s="451"/>
      <c r="E3503" s="468"/>
      <c r="F3503" s="468"/>
    </row>
    <row r="3504" spans="1:6" ht="12.75" x14ac:dyDescent="0.2">
      <c r="A3504" s="451"/>
      <c r="B3504" s="451"/>
      <c r="C3504" s="451"/>
      <c r="D3504" s="451"/>
      <c r="E3504" s="468"/>
      <c r="F3504" s="468"/>
    </row>
    <row r="3505" spans="1:6" ht="12.75" x14ac:dyDescent="0.2">
      <c r="A3505" s="451"/>
      <c r="B3505" s="451"/>
      <c r="C3505" s="451"/>
      <c r="D3505" s="451"/>
      <c r="E3505" s="468"/>
      <c r="F3505" s="468"/>
    </row>
    <row r="3506" spans="1:6" ht="12.75" x14ac:dyDescent="0.2">
      <c r="A3506" s="451"/>
      <c r="B3506" s="451"/>
      <c r="C3506" s="451"/>
      <c r="D3506" s="451"/>
      <c r="E3506" s="468"/>
      <c r="F3506" s="468"/>
    </row>
    <row r="3507" spans="1:6" ht="12.75" x14ac:dyDescent="0.2">
      <c r="A3507" s="451"/>
      <c r="B3507" s="451"/>
      <c r="C3507" s="451"/>
      <c r="D3507" s="451"/>
      <c r="E3507" s="468"/>
      <c r="F3507" s="468"/>
    </row>
    <row r="3508" spans="1:6" ht="12.75" x14ac:dyDescent="0.2">
      <c r="A3508" s="451"/>
      <c r="B3508" s="451"/>
      <c r="C3508" s="451"/>
      <c r="D3508" s="451"/>
      <c r="E3508" s="468"/>
      <c r="F3508" s="468"/>
    </row>
    <row r="3509" spans="1:6" ht="12.75" x14ac:dyDescent="0.2">
      <c r="A3509" s="451"/>
      <c r="B3509" s="451"/>
      <c r="C3509" s="451"/>
      <c r="D3509" s="451"/>
      <c r="E3509" s="468"/>
      <c r="F3509" s="468"/>
    </row>
    <row r="3510" spans="1:6" ht="12.75" x14ac:dyDescent="0.2">
      <c r="A3510" s="451"/>
      <c r="B3510" s="451"/>
      <c r="C3510" s="451"/>
      <c r="D3510" s="451"/>
      <c r="E3510" s="468"/>
      <c r="F3510" s="468"/>
    </row>
    <row r="3511" spans="1:6" ht="12.75" x14ac:dyDescent="0.2">
      <c r="A3511" s="451"/>
      <c r="B3511" s="451"/>
      <c r="C3511" s="451"/>
      <c r="D3511" s="451"/>
      <c r="E3511" s="468"/>
      <c r="F3511" s="468"/>
    </row>
    <row r="3512" spans="1:6" ht="12.75" x14ac:dyDescent="0.2">
      <c r="A3512" s="451"/>
      <c r="B3512" s="451"/>
      <c r="C3512" s="451"/>
      <c r="D3512" s="451"/>
      <c r="E3512" s="468"/>
      <c r="F3512" s="468"/>
    </row>
    <row r="3513" spans="1:6" ht="12.75" x14ac:dyDescent="0.2">
      <c r="A3513" s="451"/>
      <c r="B3513" s="451"/>
      <c r="C3513" s="451"/>
      <c r="D3513" s="451"/>
      <c r="E3513" s="468"/>
      <c r="F3513" s="468"/>
    </row>
    <row r="3514" spans="1:6" ht="12.75" x14ac:dyDescent="0.2">
      <c r="A3514" s="451"/>
      <c r="B3514" s="451"/>
      <c r="C3514" s="451"/>
      <c r="D3514" s="451"/>
      <c r="E3514" s="468"/>
      <c r="F3514" s="468"/>
    </row>
    <row r="3515" spans="1:6" ht="12.75" x14ac:dyDescent="0.2">
      <c r="A3515" s="451"/>
      <c r="B3515" s="451"/>
      <c r="C3515" s="451"/>
      <c r="D3515" s="451"/>
      <c r="E3515" s="468"/>
      <c r="F3515" s="468"/>
    </row>
    <row r="3516" spans="1:6" ht="12.75" x14ac:dyDescent="0.2">
      <c r="A3516" s="451"/>
      <c r="B3516" s="451"/>
      <c r="C3516" s="451"/>
      <c r="D3516" s="451"/>
      <c r="E3516" s="468"/>
      <c r="F3516" s="468"/>
    </row>
    <row r="3517" spans="1:6" ht="12.75" x14ac:dyDescent="0.2">
      <c r="A3517" s="451"/>
      <c r="B3517" s="451"/>
      <c r="C3517" s="451"/>
      <c r="D3517" s="451"/>
      <c r="E3517" s="468"/>
      <c r="F3517" s="468"/>
    </row>
    <row r="3518" spans="1:6" ht="12.75" x14ac:dyDescent="0.2">
      <c r="A3518" s="451"/>
      <c r="B3518" s="451"/>
      <c r="C3518" s="451"/>
      <c r="D3518" s="451"/>
      <c r="E3518" s="468"/>
      <c r="F3518" s="468"/>
    </row>
    <row r="3519" spans="1:6" ht="12.75" x14ac:dyDescent="0.2">
      <c r="A3519" s="451"/>
      <c r="B3519" s="451"/>
      <c r="C3519" s="451"/>
      <c r="D3519" s="451"/>
      <c r="E3519" s="468"/>
      <c r="F3519" s="468"/>
    </row>
    <row r="3520" spans="1:6" ht="12.75" x14ac:dyDescent="0.2">
      <c r="A3520" s="451"/>
      <c r="B3520" s="451"/>
      <c r="C3520" s="451"/>
      <c r="D3520" s="451"/>
      <c r="E3520" s="468"/>
      <c r="F3520" s="468"/>
    </row>
    <row r="3521" spans="1:6" ht="12.75" x14ac:dyDescent="0.2">
      <c r="A3521" s="451"/>
      <c r="B3521" s="451"/>
      <c r="C3521" s="451"/>
      <c r="D3521" s="451"/>
      <c r="E3521" s="468"/>
      <c r="F3521" s="468"/>
    </row>
    <row r="3522" spans="1:6" ht="12.75" x14ac:dyDescent="0.2">
      <c r="A3522" s="451"/>
      <c r="B3522" s="451"/>
      <c r="C3522" s="451"/>
      <c r="D3522" s="451"/>
      <c r="E3522" s="468"/>
      <c r="F3522" s="468"/>
    </row>
    <row r="3523" spans="1:6" ht="12.75" x14ac:dyDescent="0.2">
      <c r="A3523" s="451"/>
      <c r="B3523" s="451"/>
      <c r="C3523" s="451"/>
      <c r="D3523" s="451"/>
      <c r="E3523" s="468"/>
      <c r="F3523" s="468"/>
    </row>
    <row r="3524" spans="1:6" ht="12.75" x14ac:dyDescent="0.2">
      <c r="A3524" s="451"/>
      <c r="B3524" s="451"/>
      <c r="C3524" s="451"/>
      <c r="D3524" s="451"/>
      <c r="E3524" s="468"/>
      <c r="F3524" s="468"/>
    </row>
    <row r="3525" spans="1:6" ht="12.75" x14ac:dyDescent="0.2">
      <c r="A3525" s="451"/>
      <c r="B3525" s="451"/>
      <c r="C3525" s="451"/>
      <c r="D3525" s="451"/>
      <c r="E3525" s="468"/>
      <c r="F3525" s="468"/>
    </row>
    <row r="3526" spans="1:6" ht="12.75" x14ac:dyDescent="0.2">
      <c r="A3526" s="451"/>
      <c r="B3526" s="451"/>
      <c r="C3526" s="451"/>
      <c r="D3526" s="451"/>
      <c r="E3526" s="468"/>
      <c r="F3526" s="468"/>
    </row>
    <row r="3527" spans="1:6" ht="12.75" x14ac:dyDescent="0.2">
      <c r="A3527" s="451"/>
      <c r="B3527" s="451"/>
      <c r="C3527" s="451"/>
      <c r="D3527" s="451"/>
      <c r="E3527" s="468"/>
      <c r="F3527" s="468"/>
    </row>
    <row r="3528" spans="1:6" ht="12.75" x14ac:dyDescent="0.2">
      <c r="A3528" s="451"/>
      <c r="B3528" s="451"/>
      <c r="C3528" s="451"/>
      <c r="D3528" s="451"/>
      <c r="E3528" s="468"/>
      <c r="F3528" s="468"/>
    </row>
    <row r="3529" spans="1:6" ht="12.75" x14ac:dyDescent="0.2">
      <c r="A3529" s="451"/>
      <c r="B3529" s="451"/>
      <c r="C3529" s="451"/>
      <c r="D3529" s="451"/>
      <c r="E3529" s="468"/>
      <c r="F3529" s="468"/>
    </row>
    <row r="3530" spans="1:6" ht="12.75" x14ac:dyDescent="0.2">
      <c r="A3530" s="451"/>
      <c r="B3530" s="451"/>
      <c r="C3530" s="451"/>
      <c r="D3530" s="451"/>
      <c r="E3530" s="468"/>
      <c r="F3530" s="468"/>
    </row>
    <row r="3531" spans="1:6" ht="12.75" x14ac:dyDescent="0.2">
      <c r="A3531" s="451"/>
      <c r="B3531" s="451"/>
      <c r="C3531" s="451"/>
      <c r="D3531" s="451"/>
      <c r="E3531" s="468"/>
      <c r="F3531" s="468"/>
    </row>
    <row r="3532" spans="1:6" ht="12.75" x14ac:dyDescent="0.2">
      <c r="A3532" s="451"/>
      <c r="B3532" s="451"/>
      <c r="C3532" s="451"/>
      <c r="D3532" s="451"/>
      <c r="E3532" s="468"/>
      <c r="F3532" s="468"/>
    </row>
    <row r="3533" spans="1:6" ht="12.75" x14ac:dyDescent="0.2">
      <c r="A3533" s="451"/>
      <c r="B3533" s="451"/>
      <c r="C3533" s="451"/>
      <c r="D3533" s="451"/>
      <c r="E3533" s="468"/>
      <c r="F3533" s="468"/>
    </row>
    <row r="3534" spans="1:6" ht="12.75" x14ac:dyDescent="0.2">
      <c r="A3534" s="451"/>
      <c r="B3534" s="451"/>
      <c r="C3534" s="451"/>
      <c r="D3534" s="451"/>
      <c r="E3534" s="468"/>
      <c r="F3534" s="468"/>
    </row>
    <row r="3535" spans="1:6" ht="12.75" x14ac:dyDescent="0.2">
      <c r="A3535" s="451"/>
      <c r="B3535" s="451"/>
      <c r="C3535" s="451"/>
      <c r="D3535" s="451"/>
      <c r="E3535" s="468"/>
      <c r="F3535" s="468"/>
    </row>
    <row r="3536" spans="1:6" ht="12.75" x14ac:dyDescent="0.2">
      <c r="A3536" s="451"/>
      <c r="B3536" s="451"/>
      <c r="C3536" s="451"/>
      <c r="D3536" s="451"/>
      <c r="E3536" s="468"/>
      <c r="F3536" s="468"/>
    </row>
    <row r="3537" spans="1:6" ht="12.75" x14ac:dyDescent="0.2">
      <c r="A3537" s="451"/>
      <c r="B3537" s="451"/>
      <c r="C3537" s="451"/>
      <c r="D3537" s="451"/>
      <c r="E3537" s="468"/>
      <c r="F3537" s="468"/>
    </row>
    <row r="3538" spans="1:6" ht="12.75" x14ac:dyDescent="0.2">
      <c r="A3538" s="451"/>
      <c r="B3538" s="451"/>
      <c r="C3538" s="451"/>
      <c r="D3538" s="451"/>
      <c r="E3538" s="468"/>
      <c r="F3538" s="468"/>
    </row>
    <row r="3539" spans="1:6" ht="12.75" x14ac:dyDescent="0.2">
      <c r="A3539" s="451"/>
      <c r="B3539" s="451"/>
      <c r="C3539" s="451"/>
      <c r="D3539" s="451"/>
      <c r="E3539" s="468"/>
      <c r="F3539" s="468"/>
    </row>
    <row r="3540" spans="1:6" ht="12.75" x14ac:dyDescent="0.2">
      <c r="A3540" s="451"/>
      <c r="B3540" s="451"/>
      <c r="C3540" s="451"/>
      <c r="D3540" s="451"/>
      <c r="E3540" s="468"/>
      <c r="F3540" s="468"/>
    </row>
    <row r="3541" spans="1:6" ht="12.75" x14ac:dyDescent="0.2">
      <c r="A3541" s="451"/>
      <c r="B3541" s="451"/>
      <c r="C3541" s="451"/>
      <c r="D3541" s="451"/>
      <c r="E3541" s="468"/>
      <c r="F3541" s="468"/>
    </row>
    <row r="3542" spans="1:6" ht="12.75" x14ac:dyDescent="0.2">
      <c r="A3542" s="451"/>
      <c r="B3542" s="451"/>
      <c r="C3542" s="451"/>
      <c r="D3542" s="451"/>
      <c r="E3542" s="468"/>
      <c r="F3542" s="468"/>
    </row>
    <row r="3543" spans="1:6" ht="12.75" x14ac:dyDescent="0.2">
      <c r="A3543" s="451"/>
      <c r="B3543" s="451"/>
      <c r="C3543" s="451"/>
      <c r="D3543" s="451"/>
      <c r="E3543" s="468"/>
      <c r="F3543" s="468"/>
    </row>
    <row r="3544" spans="1:6" ht="12.75" x14ac:dyDescent="0.2">
      <c r="A3544" s="451"/>
      <c r="B3544" s="451"/>
      <c r="C3544" s="451"/>
      <c r="D3544" s="451"/>
      <c r="E3544" s="468"/>
      <c r="F3544" s="468"/>
    </row>
    <row r="3545" spans="1:6" ht="12.75" x14ac:dyDescent="0.2">
      <c r="A3545" s="451"/>
      <c r="B3545" s="451"/>
      <c r="C3545" s="451"/>
      <c r="D3545" s="451"/>
      <c r="E3545" s="468"/>
      <c r="F3545" s="468"/>
    </row>
    <row r="3546" spans="1:6" ht="12.75" x14ac:dyDescent="0.2">
      <c r="A3546" s="451"/>
      <c r="B3546" s="451"/>
      <c r="C3546" s="451"/>
      <c r="D3546" s="451"/>
      <c r="E3546" s="468"/>
      <c r="F3546" s="468"/>
    </row>
    <row r="3547" spans="1:6" ht="12.75" x14ac:dyDescent="0.2">
      <c r="A3547" s="451"/>
      <c r="B3547" s="451"/>
      <c r="C3547" s="451"/>
      <c r="D3547" s="451"/>
      <c r="E3547" s="468"/>
      <c r="F3547" s="468"/>
    </row>
    <row r="3548" spans="1:6" ht="12.75" x14ac:dyDescent="0.2">
      <c r="A3548" s="451"/>
      <c r="B3548" s="451"/>
      <c r="C3548" s="451"/>
      <c r="D3548" s="451"/>
      <c r="E3548" s="468"/>
      <c r="F3548" s="468"/>
    </row>
    <row r="3549" spans="1:6" ht="12.75" x14ac:dyDescent="0.2">
      <c r="A3549" s="451"/>
      <c r="B3549" s="451"/>
      <c r="C3549" s="451"/>
      <c r="D3549" s="451"/>
      <c r="E3549" s="468"/>
      <c r="F3549" s="468"/>
    </row>
    <row r="3550" spans="1:6" ht="12.75" x14ac:dyDescent="0.2">
      <c r="A3550" s="451"/>
      <c r="B3550" s="451"/>
      <c r="C3550" s="451"/>
      <c r="D3550" s="451"/>
      <c r="E3550" s="468"/>
      <c r="F3550" s="468"/>
    </row>
    <row r="3551" spans="1:6" ht="12.75" x14ac:dyDescent="0.2">
      <c r="A3551" s="451"/>
      <c r="B3551" s="451"/>
      <c r="C3551" s="451"/>
      <c r="D3551" s="451"/>
      <c r="E3551" s="468"/>
      <c r="F3551" s="468"/>
    </row>
    <row r="3552" spans="1:6" ht="12.75" x14ac:dyDescent="0.2">
      <c r="A3552" s="451"/>
      <c r="B3552" s="451"/>
      <c r="C3552" s="451"/>
      <c r="D3552" s="451"/>
      <c r="E3552" s="468"/>
      <c r="F3552" s="468"/>
    </row>
    <row r="3553" spans="1:6" ht="12.75" x14ac:dyDescent="0.2">
      <c r="A3553" s="451"/>
      <c r="B3553" s="451"/>
      <c r="C3553" s="451"/>
      <c r="D3553" s="451"/>
      <c r="E3553" s="468"/>
      <c r="F3553" s="468"/>
    </row>
    <row r="3554" spans="1:6" ht="12.75" x14ac:dyDescent="0.2">
      <c r="A3554" s="451"/>
      <c r="B3554" s="451"/>
      <c r="C3554" s="451"/>
      <c r="D3554" s="451"/>
      <c r="E3554" s="468"/>
      <c r="F3554" s="468"/>
    </row>
    <row r="3555" spans="1:6" ht="12.75" x14ac:dyDescent="0.2">
      <c r="A3555" s="451"/>
      <c r="B3555" s="451"/>
      <c r="C3555" s="451"/>
      <c r="D3555" s="451"/>
      <c r="E3555" s="468"/>
      <c r="F3555" s="468"/>
    </row>
    <row r="3556" spans="1:6" ht="12.75" x14ac:dyDescent="0.2">
      <c r="A3556" s="451"/>
      <c r="B3556" s="451"/>
      <c r="C3556" s="451"/>
      <c r="D3556" s="451"/>
      <c r="E3556" s="468"/>
      <c r="F3556" s="468"/>
    </row>
    <row r="3557" spans="1:6" ht="12.75" x14ac:dyDescent="0.2">
      <c r="A3557" s="451"/>
      <c r="B3557" s="451"/>
      <c r="C3557" s="451"/>
      <c r="D3557" s="451"/>
      <c r="E3557" s="468"/>
      <c r="F3557" s="468"/>
    </row>
    <row r="3558" spans="1:6" ht="12.75" x14ac:dyDescent="0.2">
      <c r="A3558" s="451"/>
      <c r="B3558" s="451"/>
      <c r="C3558" s="451"/>
      <c r="D3558" s="451"/>
      <c r="E3558" s="468"/>
      <c r="F3558" s="468"/>
    </row>
    <row r="3559" spans="1:6" ht="12.75" x14ac:dyDescent="0.2">
      <c r="A3559" s="451"/>
      <c r="B3559" s="451"/>
      <c r="C3559" s="451"/>
      <c r="D3559" s="451"/>
      <c r="E3559" s="468"/>
      <c r="F3559" s="468"/>
    </row>
    <row r="3560" spans="1:6" ht="12.75" x14ac:dyDescent="0.2">
      <c r="A3560" s="451"/>
      <c r="B3560" s="451"/>
      <c r="C3560" s="451"/>
      <c r="D3560" s="451"/>
      <c r="E3560" s="468"/>
      <c r="F3560" s="468"/>
    </row>
    <row r="3561" spans="1:6" ht="12.75" x14ac:dyDescent="0.2">
      <c r="A3561" s="451"/>
      <c r="B3561" s="451"/>
      <c r="C3561" s="451"/>
      <c r="D3561" s="451"/>
      <c r="E3561" s="468"/>
      <c r="F3561" s="468"/>
    </row>
    <row r="3562" spans="1:6" ht="12.75" x14ac:dyDescent="0.2">
      <c r="A3562" s="451"/>
      <c r="B3562" s="451"/>
      <c r="C3562" s="451"/>
      <c r="D3562" s="451"/>
      <c r="E3562" s="468"/>
      <c r="F3562" s="468"/>
    </row>
    <row r="3563" spans="1:6" ht="12.75" x14ac:dyDescent="0.2">
      <c r="A3563" s="451"/>
      <c r="B3563" s="451"/>
      <c r="C3563" s="451"/>
      <c r="D3563" s="451"/>
      <c r="E3563" s="468"/>
      <c r="F3563" s="468"/>
    </row>
    <row r="3564" spans="1:6" ht="12.75" x14ac:dyDescent="0.2">
      <c r="A3564" s="451"/>
      <c r="B3564" s="451"/>
      <c r="C3564" s="451"/>
      <c r="D3564" s="451"/>
      <c r="E3564" s="468"/>
      <c r="F3564" s="468"/>
    </row>
    <row r="3565" spans="1:6" ht="12.75" x14ac:dyDescent="0.2">
      <c r="A3565" s="451"/>
      <c r="B3565" s="451"/>
      <c r="C3565" s="451"/>
      <c r="D3565" s="451"/>
      <c r="E3565" s="468"/>
      <c r="F3565" s="468"/>
    </row>
    <row r="3566" spans="1:6" ht="12.75" x14ac:dyDescent="0.2">
      <c r="A3566" s="451"/>
      <c r="B3566" s="451"/>
      <c r="C3566" s="451"/>
      <c r="D3566" s="451"/>
      <c r="E3566" s="468"/>
      <c r="F3566" s="468"/>
    </row>
    <row r="3567" spans="1:6" ht="12.75" x14ac:dyDescent="0.2">
      <c r="A3567" s="451"/>
      <c r="B3567" s="451"/>
      <c r="C3567" s="451"/>
      <c r="D3567" s="451"/>
      <c r="E3567" s="468"/>
      <c r="F3567" s="468"/>
    </row>
    <row r="3568" spans="1:6" ht="12.75" x14ac:dyDescent="0.2">
      <c r="A3568" s="451"/>
      <c r="B3568" s="451"/>
      <c r="C3568" s="451"/>
      <c r="D3568" s="451"/>
      <c r="E3568" s="468"/>
      <c r="F3568" s="468"/>
    </row>
    <row r="3569" spans="1:6" ht="12.75" x14ac:dyDescent="0.2">
      <c r="A3569" s="451"/>
      <c r="B3569" s="451"/>
      <c r="C3569" s="451"/>
      <c r="D3569" s="451"/>
      <c r="E3569" s="468"/>
      <c r="F3569" s="468"/>
    </row>
    <row r="3570" spans="1:6" ht="12.75" x14ac:dyDescent="0.2">
      <c r="A3570" s="451"/>
      <c r="B3570" s="451"/>
      <c r="C3570" s="451"/>
      <c r="D3570" s="451"/>
      <c r="E3570" s="468"/>
      <c r="F3570" s="468"/>
    </row>
    <row r="3571" spans="1:6" ht="12.75" x14ac:dyDescent="0.2">
      <c r="A3571" s="451"/>
      <c r="B3571" s="451"/>
      <c r="C3571" s="451"/>
      <c r="D3571" s="451"/>
      <c r="E3571" s="468"/>
      <c r="F3571" s="468"/>
    </row>
    <row r="3572" spans="1:6" ht="12.75" x14ac:dyDescent="0.2">
      <c r="A3572" s="451"/>
      <c r="B3572" s="451"/>
      <c r="C3572" s="451"/>
      <c r="D3572" s="451"/>
      <c r="E3572" s="468"/>
      <c r="F3572" s="468"/>
    </row>
    <row r="3573" spans="1:6" ht="12.75" x14ac:dyDescent="0.2">
      <c r="A3573" s="451"/>
      <c r="B3573" s="451"/>
      <c r="C3573" s="451"/>
      <c r="D3573" s="451"/>
      <c r="E3573" s="468"/>
      <c r="F3573" s="468"/>
    </row>
    <row r="3574" spans="1:6" ht="12.75" x14ac:dyDescent="0.2">
      <c r="A3574" s="451"/>
      <c r="B3574" s="451"/>
      <c r="C3574" s="451"/>
      <c r="D3574" s="451"/>
      <c r="E3574" s="468"/>
      <c r="F3574" s="468"/>
    </row>
    <row r="3575" spans="1:6" ht="12.75" x14ac:dyDescent="0.2">
      <c r="A3575" s="451"/>
      <c r="B3575" s="451"/>
      <c r="C3575" s="451"/>
      <c r="D3575" s="451"/>
      <c r="E3575" s="468"/>
      <c r="F3575" s="468"/>
    </row>
    <row r="3576" spans="1:6" ht="12.75" x14ac:dyDescent="0.2">
      <c r="A3576" s="451"/>
      <c r="B3576" s="451"/>
      <c r="C3576" s="451"/>
      <c r="D3576" s="451"/>
      <c r="E3576" s="468"/>
      <c r="F3576" s="468"/>
    </row>
    <row r="3577" spans="1:6" ht="12.75" x14ac:dyDescent="0.2">
      <c r="A3577" s="451"/>
      <c r="B3577" s="451"/>
      <c r="C3577" s="451"/>
      <c r="D3577" s="451"/>
      <c r="E3577" s="468"/>
      <c r="F3577" s="468"/>
    </row>
    <row r="3578" spans="1:6" ht="12.75" x14ac:dyDescent="0.2">
      <c r="A3578" s="451"/>
      <c r="B3578" s="451"/>
      <c r="C3578" s="451"/>
      <c r="D3578" s="451"/>
      <c r="E3578" s="468"/>
      <c r="F3578" s="468"/>
    </row>
    <row r="3579" spans="1:6" ht="12.75" x14ac:dyDescent="0.2">
      <c r="A3579" s="451"/>
      <c r="B3579" s="451"/>
      <c r="C3579" s="451"/>
      <c r="D3579" s="451"/>
      <c r="E3579" s="468"/>
      <c r="F3579" s="468"/>
    </row>
    <row r="3580" spans="1:6" ht="12.75" x14ac:dyDescent="0.2">
      <c r="A3580" s="451"/>
      <c r="B3580" s="451"/>
      <c r="C3580" s="451"/>
      <c r="D3580" s="451"/>
      <c r="E3580" s="468"/>
      <c r="F3580" s="468"/>
    </row>
    <row r="3581" spans="1:6" ht="12.75" x14ac:dyDescent="0.2">
      <c r="A3581" s="451"/>
      <c r="B3581" s="451"/>
      <c r="C3581" s="451"/>
      <c r="D3581" s="451"/>
      <c r="E3581" s="468"/>
      <c r="F3581" s="468"/>
    </row>
    <row r="3582" spans="1:6" ht="12.75" x14ac:dyDescent="0.2">
      <c r="A3582" s="451"/>
      <c r="B3582" s="451"/>
      <c r="C3582" s="451"/>
      <c r="D3582" s="451"/>
      <c r="E3582" s="468"/>
      <c r="F3582" s="468"/>
    </row>
    <row r="3583" spans="1:6" ht="12.75" x14ac:dyDescent="0.2">
      <c r="A3583" s="451"/>
      <c r="B3583" s="451"/>
      <c r="C3583" s="451"/>
      <c r="D3583" s="451"/>
      <c r="E3583" s="468"/>
      <c r="F3583" s="468"/>
    </row>
    <row r="3584" spans="1:6" ht="12.75" x14ac:dyDescent="0.2">
      <c r="A3584" s="451"/>
      <c r="B3584" s="451"/>
      <c r="C3584" s="451"/>
      <c r="D3584" s="451"/>
      <c r="E3584" s="468"/>
      <c r="F3584" s="468"/>
    </row>
    <row r="3585" spans="1:6" ht="12.75" x14ac:dyDescent="0.2">
      <c r="A3585" s="451"/>
      <c r="B3585" s="451"/>
      <c r="C3585" s="451"/>
      <c r="D3585" s="451"/>
      <c r="E3585" s="468"/>
      <c r="F3585" s="468"/>
    </row>
    <row r="3586" spans="1:6" ht="12.75" x14ac:dyDescent="0.2">
      <c r="A3586" s="451"/>
      <c r="B3586" s="451"/>
      <c r="C3586" s="451"/>
      <c r="D3586" s="451"/>
      <c r="E3586" s="468"/>
      <c r="F3586" s="468"/>
    </row>
    <row r="3587" spans="1:6" ht="12.75" x14ac:dyDescent="0.2">
      <c r="A3587" s="451"/>
      <c r="B3587" s="451"/>
      <c r="C3587" s="451"/>
      <c r="D3587" s="451"/>
      <c r="E3587" s="468"/>
      <c r="F3587" s="468"/>
    </row>
    <row r="3588" spans="1:6" ht="12.75" x14ac:dyDescent="0.2">
      <c r="A3588" s="451"/>
      <c r="B3588" s="451"/>
      <c r="C3588" s="451"/>
      <c r="D3588" s="451"/>
      <c r="E3588" s="468"/>
      <c r="F3588" s="468"/>
    </row>
    <row r="3589" spans="1:6" ht="12.75" x14ac:dyDescent="0.2">
      <c r="A3589" s="451"/>
      <c r="B3589" s="451"/>
      <c r="C3589" s="451"/>
      <c r="D3589" s="451"/>
      <c r="E3589" s="468"/>
      <c r="F3589" s="468"/>
    </row>
    <row r="3590" spans="1:6" ht="12.75" x14ac:dyDescent="0.2">
      <c r="A3590" s="451"/>
      <c r="B3590" s="451"/>
      <c r="C3590" s="451"/>
      <c r="D3590" s="451"/>
      <c r="E3590" s="468"/>
      <c r="F3590" s="468"/>
    </row>
    <row r="3591" spans="1:6" ht="12.75" x14ac:dyDescent="0.2">
      <c r="A3591" s="451"/>
      <c r="B3591" s="451"/>
      <c r="C3591" s="451"/>
      <c r="D3591" s="451"/>
      <c r="E3591" s="468"/>
      <c r="F3591" s="468"/>
    </row>
    <row r="3592" spans="1:6" ht="12.75" x14ac:dyDescent="0.2">
      <c r="A3592" s="451"/>
      <c r="B3592" s="451"/>
      <c r="C3592" s="451"/>
      <c r="D3592" s="451"/>
      <c r="E3592" s="468"/>
      <c r="F3592" s="468"/>
    </row>
    <row r="3593" spans="1:6" ht="12.75" x14ac:dyDescent="0.2">
      <c r="A3593" s="451"/>
      <c r="B3593" s="451"/>
      <c r="C3593" s="451"/>
      <c r="D3593" s="451"/>
      <c r="E3593" s="468"/>
      <c r="F3593" s="468"/>
    </row>
    <row r="3594" spans="1:6" ht="12.75" x14ac:dyDescent="0.2">
      <c r="A3594" s="451"/>
      <c r="B3594" s="451"/>
      <c r="C3594" s="451"/>
      <c r="D3594" s="451"/>
      <c r="E3594" s="468"/>
      <c r="F3594" s="468"/>
    </row>
    <row r="3595" spans="1:6" ht="12.75" x14ac:dyDescent="0.2">
      <c r="A3595" s="451"/>
      <c r="B3595" s="451"/>
      <c r="C3595" s="451"/>
      <c r="D3595" s="451"/>
      <c r="E3595" s="468"/>
      <c r="F3595" s="468"/>
    </row>
    <row r="3596" spans="1:6" ht="12.75" x14ac:dyDescent="0.2">
      <c r="A3596" s="451"/>
      <c r="B3596" s="451"/>
      <c r="C3596" s="451"/>
      <c r="D3596" s="451"/>
      <c r="E3596" s="468"/>
      <c r="F3596" s="468"/>
    </row>
    <row r="3597" spans="1:6" ht="12.75" x14ac:dyDescent="0.2">
      <c r="A3597" s="451"/>
      <c r="B3597" s="451"/>
      <c r="C3597" s="451"/>
      <c r="D3597" s="451"/>
      <c r="E3597" s="468"/>
      <c r="F3597" s="468"/>
    </row>
    <row r="3598" spans="1:6" ht="12.75" x14ac:dyDescent="0.2">
      <c r="A3598" s="451"/>
      <c r="B3598" s="451"/>
      <c r="C3598" s="451"/>
      <c r="D3598" s="451"/>
      <c r="E3598" s="468"/>
      <c r="F3598" s="468"/>
    </row>
    <row r="3599" spans="1:6" ht="12.75" x14ac:dyDescent="0.2">
      <c r="A3599" s="451"/>
      <c r="B3599" s="451"/>
      <c r="C3599" s="451"/>
      <c r="D3599" s="451"/>
      <c r="E3599" s="468"/>
      <c r="F3599" s="468"/>
    </row>
    <row r="3600" spans="1:6" ht="12.75" x14ac:dyDescent="0.2">
      <c r="A3600" s="451"/>
      <c r="B3600" s="451"/>
      <c r="C3600" s="451"/>
      <c r="D3600" s="451"/>
      <c r="E3600" s="468"/>
      <c r="F3600" s="468"/>
    </row>
    <row r="3601" spans="1:6" ht="12.75" x14ac:dyDescent="0.2">
      <c r="A3601" s="451"/>
      <c r="B3601" s="451"/>
      <c r="C3601" s="451"/>
      <c r="D3601" s="451"/>
      <c r="E3601" s="468"/>
      <c r="F3601" s="468"/>
    </row>
    <row r="3602" spans="1:6" ht="12.75" x14ac:dyDescent="0.2">
      <c r="A3602" s="451"/>
      <c r="B3602" s="451"/>
      <c r="C3602" s="451"/>
      <c r="D3602" s="451"/>
      <c r="E3602" s="468"/>
      <c r="F3602" s="468"/>
    </row>
    <row r="3603" spans="1:6" ht="12.75" x14ac:dyDescent="0.2">
      <c r="A3603" s="451"/>
      <c r="B3603" s="451"/>
      <c r="C3603" s="451"/>
      <c r="D3603" s="451"/>
      <c r="E3603" s="468"/>
      <c r="F3603" s="468"/>
    </row>
    <row r="3604" spans="1:6" ht="12.75" x14ac:dyDescent="0.2">
      <c r="A3604" s="451"/>
      <c r="B3604" s="451"/>
      <c r="C3604" s="451"/>
      <c r="D3604" s="451"/>
      <c r="E3604" s="468"/>
      <c r="F3604" s="468"/>
    </row>
    <row r="3605" spans="1:6" ht="12.75" x14ac:dyDescent="0.2">
      <c r="A3605" s="451"/>
      <c r="B3605" s="451"/>
      <c r="C3605" s="451"/>
      <c r="D3605" s="451"/>
      <c r="E3605" s="468"/>
      <c r="F3605" s="468"/>
    </row>
    <row r="3606" spans="1:6" ht="12.75" x14ac:dyDescent="0.2">
      <c r="A3606" s="451"/>
      <c r="B3606" s="451"/>
      <c r="C3606" s="451"/>
      <c r="D3606" s="451"/>
      <c r="E3606" s="468"/>
      <c r="F3606" s="468"/>
    </row>
    <row r="3607" spans="1:6" ht="12.75" x14ac:dyDescent="0.2">
      <c r="A3607" s="451"/>
      <c r="B3607" s="451"/>
      <c r="C3607" s="451"/>
      <c r="D3607" s="451"/>
      <c r="E3607" s="468"/>
      <c r="F3607" s="468"/>
    </row>
    <row r="3608" spans="1:6" ht="12.75" x14ac:dyDescent="0.2">
      <c r="A3608" s="451"/>
      <c r="B3608" s="451"/>
      <c r="C3608" s="451"/>
      <c r="D3608" s="451"/>
      <c r="E3608" s="468"/>
      <c r="F3608" s="468"/>
    </row>
    <row r="3609" spans="1:6" ht="12.75" x14ac:dyDescent="0.2">
      <c r="A3609" s="451"/>
      <c r="B3609" s="451"/>
      <c r="C3609" s="451"/>
      <c r="D3609" s="451"/>
      <c r="E3609" s="468"/>
      <c r="F3609" s="468"/>
    </row>
    <row r="3610" spans="1:6" ht="12.75" x14ac:dyDescent="0.2">
      <c r="A3610" s="451"/>
      <c r="B3610" s="451"/>
      <c r="C3610" s="451"/>
      <c r="D3610" s="451"/>
      <c r="E3610" s="468"/>
      <c r="F3610" s="468"/>
    </row>
    <row r="3611" spans="1:6" ht="12.75" x14ac:dyDescent="0.2">
      <c r="A3611" s="451"/>
      <c r="B3611" s="451"/>
      <c r="C3611" s="451"/>
      <c r="D3611" s="451"/>
      <c r="E3611" s="468"/>
      <c r="F3611" s="468"/>
    </row>
    <row r="3612" spans="1:6" ht="12.75" x14ac:dyDescent="0.2">
      <c r="A3612" s="451"/>
      <c r="B3612" s="451"/>
      <c r="C3612" s="451"/>
      <c r="D3612" s="451"/>
      <c r="E3612" s="468"/>
      <c r="F3612" s="468"/>
    </row>
    <row r="3613" spans="1:6" ht="12.75" x14ac:dyDescent="0.2">
      <c r="A3613" s="451"/>
      <c r="B3613" s="451"/>
      <c r="C3613" s="451"/>
      <c r="D3613" s="451"/>
      <c r="E3613" s="468"/>
      <c r="F3613" s="468"/>
    </row>
    <row r="3614" spans="1:6" ht="12.75" x14ac:dyDescent="0.2">
      <c r="A3614" s="451"/>
      <c r="B3614" s="451"/>
      <c r="C3614" s="451"/>
      <c r="D3614" s="451"/>
      <c r="E3614" s="468"/>
      <c r="F3614" s="468"/>
    </row>
    <row r="3615" spans="1:6" ht="12.75" x14ac:dyDescent="0.2">
      <c r="A3615" s="451"/>
      <c r="B3615" s="451"/>
      <c r="C3615" s="451"/>
      <c r="D3615" s="451"/>
      <c r="E3615" s="468"/>
      <c r="F3615" s="468"/>
    </row>
    <row r="3616" spans="1:6" ht="12.75" x14ac:dyDescent="0.2">
      <c r="A3616" s="451"/>
      <c r="B3616" s="451"/>
      <c r="C3616" s="451"/>
      <c r="D3616" s="451"/>
      <c r="E3616" s="468"/>
      <c r="F3616" s="468"/>
    </row>
    <row r="3617" spans="1:6" ht="12.75" x14ac:dyDescent="0.2">
      <c r="A3617" s="451"/>
      <c r="B3617" s="451"/>
      <c r="C3617" s="451"/>
      <c r="D3617" s="451"/>
      <c r="E3617" s="468"/>
      <c r="F3617" s="468"/>
    </row>
    <row r="3618" spans="1:6" ht="12.75" x14ac:dyDescent="0.2">
      <c r="A3618" s="451"/>
      <c r="B3618" s="451"/>
      <c r="C3618" s="451"/>
      <c r="D3618" s="451"/>
      <c r="E3618" s="468"/>
      <c r="F3618" s="468"/>
    </row>
    <row r="3619" spans="1:6" ht="12.75" x14ac:dyDescent="0.2">
      <c r="A3619" s="451"/>
      <c r="B3619" s="451"/>
      <c r="C3619" s="451"/>
      <c r="D3619" s="451"/>
      <c r="E3619" s="468"/>
      <c r="F3619" s="468"/>
    </row>
    <row r="3620" spans="1:6" ht="12.75" x14ac:dyDescent="0.2">
      <c r="A3620" s="451"/>
      <c r="B3620" s="451"/>
      <c r="C3620" s="451"/>
      <c r="D3620" s="451"/>
      <c r="E3620" s="468"/>
      <c r="F3620" s="468"/>
    </row>
    <row r="3621" spans="1:6" ht="12.75" x14ac:dyDescent="0.2">
      <c r="A3621" s="451"/>
      <c r="B3621" s="451"/>
      <c r="C3621" s="451"/>
      <c r="D3621" s="451"/>
      <c r="E3621" s="468"/>
      <c r="F3621" s="468"/>
    </row>
    <row r="3622" spans="1:6" ht="12.75" x14ac:dyDescent="0.2">
      <c r="A3622" s="451"/>
      <c r="B3622" s="451"/>
      <c r="C3622" s="451"/>
      <c r="D3622" s="451"/>
      <c r="E3622" s="468"/>
      <c r="F3622" s="468"/>
    </row>
    <row r="3623" spans="1:6" ht="12.75" x14ac:dyDescent="0.2">
      <c r="A3623" s="451"/>
      <c r="B3623" s="451"/>
      <c r="C3623" s="451"/>
      <c r="D3623" s="451"/>
      <c r="E3623" s="468"/>
      <c r="F3623" s="468"/>
    </row>
    <row r="3624" spans="1:6" ht="12.75" x14ac:dyDescent="0.2">
      <c r="A3624" s="451"/>
      <c r="B3624" s="451"/>
      <c r="C3624" s="451"/>
      <c r="D3624" s="451"/>
      <c r="E3624" s="468"/>
      <c r="F3624" s="468"/>
    </row>
    <row r="3625" spans="1:6" ht="12.75" x14ac:dyDescent="0.2">
      <c r="A3625" s="451"/>
      <c r="B3625" s="451"/>
      <c r="C3625" s="451"/>
      <c r="D3625" s="451"/>
      <c r="E3625" s="468"/>
      <c r="F3625" s="468"/>
    </row>
    <row r="3626" spans="1:6" ht="12.75" x14ac:dyDescent="0.2">
      <c r="A3626" s="451"/>
      <c r="B3626" s="451"/>
      <c r="C3626" s="451"/>
      <c r="D3626" s="451"/>
      <c r="E3626" s="468"/>
      <c r="F3626" s="468"/>
    </row>
    <row r="3627" spans="1:6" ht="12.75" x14ac:dyDescent="0.2">
      <c r="A3627" s="451"/>
      <c r="B3627" s="451"/>
      <c r="C3627" s="451"/>
      <c r="D3627" s="451"/>
      <c r="E3627" s="468"/>
      <c r="F3627" s="468"/>
    </row>
    <row r="3628" spans="1:6" ht="12.75" x14ac:dyDescent="0.2">
      <c r="A3628" s="451"/>
      <c r="B3628" s="451"/>
      <c r="C3628" s="451"/>
      <c r="D3628" s="451"/>
      <c r="E3628" s="468"/>
      <c r="F3628" s="468"/>
    </row>
    <row r="3629" spans="1:6" ht="12.75" x14ac:dyDescent="0.2">
      <c r="A3629" s="451"/>
      <c r="B3629" s="451"/>
      <c r="C3629" s="451"/>
      <c r="D3629" s="451"/>
      <c r="E3629" s="468"/>
      <c r="F3629" s="468"/>
    </row>
    <row r="3630" spans="1:6" ht="12.75" x14ac:dyDescent="0.2">
      <c r="A3630" s="451"/>
      <c r="B3630" s="451"/>
      <c r="C3630" s="451"/>
      <c r="D3630" s="451"/>
      <c r="E3630" s="468"/>
      <c r="F3630" s="468"/>
    </row>
    <row r="3631" spans="1:6" ht="12.75" x14ac:dyDescent="0.2">
      <c r="A3631" s="451"/>
      <c r="B3631" s="451"/>
      <c r="C3631" s="451"/>
      <c r="D3631" s="451"/>
      <c r="E3631" s="468"/>
      <c r="F3631" s="468"/>
    </row>
    <row r="3632" spans="1:6" ht="12.75" x14ac:dyDescent="0.2">
      <c r="A3632" s="451"/>
      <c r="B3632" s="451"/>
      <c r="C3632" s="451"/>
      <c r="D3632" s="451"/>
      <c r="E3632" s="468"/>
      <c r="F3632" s="468"/>
    </row>
    <row r="3633" spans="1:6" ht="12.75" x14ac:dyDescent="0.2">
      <c r="A3633" s="451"/>
      <c r="B3633" s="451"/>
      <c r="C3633" s="451"/>
      <c r="D3633" s="451"/>
      <c r="E3633" s="468"/>
      <c r="F3633" s="468"/>
    </row>
    <row r="3634" spans="1:6" ht="12.75" x14ac:dyDescent="0.2">
      <c r="A3634" s="451"/>
      <c r="B3634" s="451"/>
      <c r="C3634" s="451"/>
      <c r="D3634" s="451"/>
      <c r="E3634" s="468"/>
      <c r="F3634" s="468"/>
    </row>
    <row r="3635" spans="1:6" ht="12.75" x14ac:dyDescent="0.2">
      <c r="A3635" s="451"/>
      <c r="B3635" s="451"/>
      <c r="C3635" s="451"/>
      <c r="D3635" s="451"/>
      <c r="E3635" s="468"/>
      <c r="F3635" s="468"/>
    </row>
    <row r="3636" spans="1:6" ht="12.75" x14ac:dyDescent="0.2">
      <c r="A3636" s="451"/>
      <c r="B3636" s="451"/>
      <c r="C3636" s="451"/>
      <c r="D3636" s="451"/>
      <c r="E3636" s="468"/>
      <c r="F3636" s="468"/>
    </row>
    <row r="3637" spans="1:6" ht="12.75" x14ac:dyDescent="0.2">
      <c r="A3637" s="451"/>
      <c r="B3637" s="451"/>
      <c r="C3637" s="451"/>
      <c r="D3637" s="451"/>
      <c r="E3637" s="468"/>
      <c r="F3637" s="468"/>
    </row>
    <row r="3638" spans="1:6" ht="12.75" x14ac:dyDescent="0.2">
      <c r="A3638" s="451"/>
      <c r="B3638" s="451"/>
      <c r="C3638" s="451"/>
      <c r="D3638" s="451"/>
      <c r="E3638" s="468"/>
      <c r="F3638" s="468"/>
    </row>
    <row r="3639" spans="1:6" ht="12.75" x14ac:dyDescent="0.2">
      <c r="A3639" s="451"/>
      <c r="B3639" s="451"/>
      <c r="C3639" s="451"/>
      <c r="D3639" s="451"/>
      <c r="E3639" s="468"/>
      <c r="F3639" s="468"/>
    </row>
    <row r="3640" spans="1:6" ht="12.75" x14ac:dyDescent="0.2">
      <c r="A3640" s="451"/>
      <c r="B3640" s="451"/>
      <c r="C3640" s="451"/>
      <c r="D3640" s="451"/>
      <c r="E3640" s="468"/>
      <c r="F3640" s="468"/>
    </row>
    <row r="3641" spans="1:6" ht="12.75" x14ac:dyDescent="0.2">
      <c r="A3641" s="451"/>
      <c r="B3641" s="451"/>
      <c r="C3641" s="451"/>
      <c r="D3641" s="451"/>
      <c r="E3641" s="468"/>
      <c r="F3641" s="468"/>
    </row>
    <row r="3642" spans="1:6" ht="12.75" x14ac:dyDescent="0.2">
      <c r="A3642" s="451"/>
      <c r="B3642" s="451"/>
      <c r="C3642" s="451"/>
      <c r="D3642" s="451"/>
      <c r="E3642" s="468"/>
      <c r="F3642" s="468"/>
    </row>
    <row r="3643" spans="1:6" ht="12.75" x14ac:dyDescent="0.2">
      <c r="A3643" s="451"/>
      <c r="B3643" s="451"/>
      <c r="C3643" s="451"/>
      <c r="D3643" s="451"/>
      <c r="E3643" s="468"/>
      <c r="F3643" s="468"/>
    </row>
    <row r="3644" spans="1:6" ht="12.75" x14ac:dyDescent="0.2">
      <c r="A3644" s="451"/>
      <c r="B3644" s="451"/>
      <c r="C3644" s="451"/>
      <c r="D3644" s="451"/>
      <c r="E3644" s="468"/>
      <c r="F3644" s="468"/>
    </row>
    <row r="3645" spans="1:6" ht="12.75" x14ac:dyDescent="0.2">
      <c r="A3645" s="451"/>
      <c r="B3645" s="451"/>
      <c r="C3645" s="451"/>
      <c r="D3645" s="451"/>
      <c r="E3645" s="468"/>
      <c r="F3645" s="468"/>
    </row>
    <row r="3646" spans="1:6" ht="12.75" x14ac:dyDescent="0.2">
      <c r="A3646" s="451"/>
      <c r="B3646" s="451"/>
      <c r="C3646" s="451"/>
      <c r="D3646" s="451"/>
      <c r="E3646" s="468"/>
      <c r="F3646" s="468"/>
    </row>
    <row r="3647" spans="1:6" ht="12.75" x14ac:dyDescent="0.2">
      <c r="A3647" s="451"/>
      <c r="B3647" s="451"/>
      <c r="C3647" s="451"/>
      <c r="D3647" s="451"/>
      <c r="E3647" s="468"/>
      <c r="F3647" s="468"/>
    </row>
    <row r="3648" spans="1:6" ht="12.75" x14ac:dyDescent="0.2">
      <c r="A3648" s="451"/>
      <c r="B3648" s="451"/>
      <c r="C3648" s="451"/>
      <c r="D3648" s="451"/>
      <c r="E3648" s="468"/>
      <c r="F3648" s="468"/>
    </row>
    <row r="3649" spans="1:6" ht="12.75" x14ac:dyDescent="0.2">
      <c r="A3649" s="451"/>
      <c r="B3649" s="451"/>
      <c r="C3649" s="451"/>
      <c r="D3649" s="451"/>
      <c r="E3649" s="468"/>
      <c r="F3649" s="468"/>
    </row>
    <row r="3650" spans="1:6" ht="12.75" x14ac:dyDescent="0.2">
      <c r="A3650" s="451"/>
      <c r="B3650" s="451"/>
      <c r="C3650" s="451"/>
      <c r="D3650" s="451"/>
      <c r="E3650" s="468"/>
      <c r="F3650" s="468"/>
    </row>
    <row r="3651" spans="1:6" ht="12.75" x14ac:dyDescent="0.2">
      <c r="A3651" s="451"/>
      <c r="B3651" s="451"/>
      <c r="C3651" s="451"/>
      <c r="D3651" s="451"/>
      <c r="E3651" s="468"/>
      <c r="F3651" s="468"/>
    </row>
    <row r="3652" spans="1:6" ht="12.75" x14ac:dyDescent="0.2">
      <c r="A3652" s="451"/>
      <c r="B3652" s="451"/>
      <c r="C3652" s="451"/>
      <c r="D3652" s="451"/>
      <c r="E3652" s="468"/>
      <c r="F3652" s="468"/>
    </row>
    <row r="3653" spans="1:6" ht="12.75" x14ac:dyDescent="0.2">
      <c r="A3653" s="451"/>
      <c r="B3653" s="451"/>
      <c r="C3653" s="451"/>
      <c r="D3653" s="451"/>
      <c r="E3653" s="468"/>
      <c r="F3653" s="468"/>
    </row>
    <row r="3654" spans="1:6" ht="12.75" x14ac:dyDescent="0.2">
      <c r="A3654" s="451"/>
      <c r="B3654" s="451"/>
      <c r="C3654" s="451"/>
      <c r="D3654" s="451"/>
      <c r="E3654" s="468"/>
      <c r="F3654" s="468"/>
    </row>
    <row r="3655" spans="1:6" ht="12.75" x14ac:dyDescent="0.2">
      <c r="A3655" s="451"/>
      <c r="B3655" s="451"/>
      <c r="C3655" s="451"/>
      <c r="D3655" s="451"/>
      <c r="E3655" s="468"/>
      <c r="F3655" s="468"/>
    </row>
    <row r="3656" spans="1:6" ht="12.75" x14ac:dyDescent="0.2">
      <c r="A3656" s="451"/>
      <c r="B3656" s="451"/>
      <c r="C3656" s="451"/>
      <c r="D3656" s="451"/>
      <c r="E3656" s="468"/>
      <c r="F3656" s="468"/>
    </row>
    <row r="3657" spans="1:6" ht="12.75" x14ac:dyDescent="0.2">
      <c r="A3657" s="451"/>
      <c r="B3657" s="451"/>
      <c r="C3657" s="451"/>
      <c r="D3657" s="451"/>
      <c r="E3657" s="468"/>
      <c r="F3657" s="468"/>
    </row>
    <row r="3658" spans="1:6" ht="12.75" x14ac:dyDescent="0.2">
      <c r="A3658" s="451"/>
      <c r="B3658" s="451"/>
      <c r="C3658" s="451"/>
      <c r="D3658" s="451"/>
      <c r="E3658" s="468"/>
      <c r="F3658" s="468"/>
    </row>
    <row r="3659" spans="1:6" ht="12.75" x14ac:dyDescent="0.2">
      <c r="A3659" s="451"/>
      <c r="B3659" s="451"/>
      <c r="C3659" s="451"/>
      <c r="D3659" s="451"/>
      <c r="E3659" s="468"/>
      <c r="F3659" s="468"/>
    </row>
    <row r="3660" spans="1:6" ht="12.75" x14ac:dyDescent="0.2">
      <c r="A3660" s="451"/>
      <c r="B3660" s="451"/>
      <c r="C3660" s="451"/>
      <c r="D3660" s="451"/>
      <c r="E3660" s="468"/>
      <c r="F3660" s="468"/>
    </row>
    <row r="3661" spans="1:6" ht="12.75" x14ac:dyDescent="0.2">
      <c r="A3661" s="451"/>
      <c r="B3661" s="451"/>
      <c r="C3661" s="451"/>
      <c r="D3661" s="451"/>
      <c r="E3661" s="468"/>
      <c r="F3661" s="468"/>
    </row>
    <row r="3662" spans="1:6" ht="12.75" x14ac:dyDescent="0.2">
      <c r="A3662" s="451"/>
      <c r="B3662" s="451"/>
      <c r="C3662" s="451"/>
      <c r="D3662" s="451"/>
      <c r="E3662" s="468"/>
      <c r="F3662" s="468"/>
    </row>
    <row r="3663" spans="1:6" ht="12.75" x14ac:dyDescent="0.2">
      <c r="A3663" s="451"/>
      <c r="B3663" s="451"/>
      <c r="C3663" s="451"/>
      <c r="D3663" s="451"/>
      <c r="E3663" s="468"/>
      <c r="F3663" s="468"/>
    </row>
    <row r="3664" spans="1:6" ht="12.75" x14ac:dyDescent="0.2">
      <c r="A3664" s="451"/>
      <c r="B3664" s="451"/>
      <c r="C3664" s="451"/>
      <c r="D3664" s="451"/>
      <c r="E3664" s="468"/>
      <c r="F3664" s="468"/>
    </row>
    <row r="3665" spans="1:6" ht="12.75" x14ac:dyDescent="0.2">
      <c r="A3665" s="451"/>
      <c r="B3665" s="451"/>
      <c r="C3665" s="451"/>
      <c r="D3665" s="451"/>
      <c r="E3665" s="468"/>
      <c r="F3665" s="468"/>
    </row>
    <row r="3666" spans="1:6" ht="12.75" x14ac:dyDescent="0.2">
      <c r="A3666" s="451"/>
      <c r="B3666" s="451"/>
      <c r="C3666" s="451"/>
      <c r="D3666" s="451"/>
      <c r="E3666" s="468"/>
      <c r="F3666" s="468"/>
    </row>
    <row r="3667" spans="1:6" ht="12.75" x14ac:dyDescent="0.2">
      <c r="A3667" s="451"/>
      <c r="B3667" s="451"/>
      <c r="C3667" s="451"/>
      <c r="D3667" s="451"/>
      <c r="E3667" s="468"/>
      <c r="F3667" s="468"/>
    </row>
    <row r="3668" spans="1:6" ht="12.75" x14ac:dyDescent="0.2">
      <c r="A3668" s="451"/>
      <c r="B3668" s="451"/>
      <c r="C3668" s="451"/>
      <c r="D3668" s="451"/>
      <c r="E3668" s="468"/>
      <c r="F3668" s="468"/>
    </row>
    <row r="3669" spans="1:6" ht="12.75" x14ac:dyDescent="0.2">
      <c r="A3669" s="451"/>
      <c r="B3669" s="451"/>
      <c r="C3669" s="451"/>
      <c r="D3669" s="451"/>
      <c r="E3669" s="468"/>
      <c r="F3669" s="468"/>
    </row>
    <row r="3670" spans="1:6" ht="12.75" x14ac:dyDescent="0.2">
      <c r="A3670" s="451"/>
      <c r="B3670" s="451"/>
      <c r="C3670" s="451"/>
      <c r="D3670" s="451"/>
      <c r="E3670" s="468"/>
      <c r="F3670" s="468"/>
    </row>
    <row r="3671" spans="1:6" ht="12.75" x14ac:dyDescent="0.2">
      <c r="A3671" s="451"/>
      <c r="B3671" s="451"/>
      <c r="C3671" s="451"/>
      <c r="D3671" s="451"/>
      <c r="E3671" s="468"/>
      <c r="F3671" s="468"/>
    </row>
    <row r="3672" spans="1:6" ht="12.75" x14ac:dyDescent="0.2">
      <c r="A3672" s="451"/>
      <c r="B3672" s="451"/>
      <c r="C3672" s="451"/>
      <c r="D3672" s="451"/>
      <c r="E3672" s="468"/>
      <c r="F3672" s="468"/>
    </row>
    <row r="3673" spans="1:6" ht="12.75" x14ac:dyDescent="0.2">
      <c r="A3673" s="451"/>
      <c r="B3673" s="451"/>
      <c r="C3673" s="451"/>
      <c r="D3673" s="451"/>
      <c r="E3673" s="468"/>
      <c r="F3673" s="468"/>
    </row>
    <row r="3674" spans="1:6" ht="12.75" x14ac:dyDescent="0.2">
      <c r="A3674" s="451"/>
      <c r="B3674" s="451"/>
      <c r="C3674" s="451"/>
      <c r="D3674" s="451"/>
      <c r="E3674" s="468"/>
      <c r="F3674" s="468"/>
    </row>
    <row r="3675" spans="1:6" ht="12.75" x14ac:dyDescent="0.2">
      <c r="A3675" s="451"/>
      <c r="B3675" s="451"/>
      <c r="C3675" s="451"/>
      <c r="D3675" s="451"/>
      <c r="E3675" s="468"/>
      <c r="F3675" s="468"/>
    </row>
    <row r="3676" spans="1:6" ht="12.75" x14ac:dyDescent="0.2">
      <c r="A3676" s="451"/>
      <c r="B3676" s="451"/>
      <c r="C3676" s="451"/>
      <c r="D3676" s="451"/>
      <c r="E3676" s="468"/>
      <c r="F3676" s="468"/>
    </row>
    <row r="3677" spans="1:6" ht="12.75" x14ac:dyDescent="0.2">
      <c r="A3677" s="451"/>
      <c r="B3677" s="451"/>
      <c r="C3677" s="451"/>
      <c r="D3677" s="451"/>
      <c r="E3677" s="468"/>
      <c r="F3677" s="468"/>
    </row>
    <row r="3678" spans="1:6" ht="12.75" x14ac:dyDescent="0.2">
      <c r="A3678" s="451"/>
      <c r="B3678" s="451"/>
      <c r="C3678" s="451"/>
      <c r="D3678" s="451"/>
      <c r="E3678" s="468"/>
      <c r="F3678" s="468"/>
    </row>
    <row r="3679" spans="1:6" ht="12.75" x14ac:dyDescent="0.2">
      <c r="A3679" s="451"/>
      <c r="B3679" s="451"/>
      <c r="C3679" s="451"/>
      <c r="D3679" s="451"/>
      <c r="E3679" s="468"/>
      <c r="F3679" s="468"/>
    </row>
    <row r="3680" spans="1:6" ht="12.75" x14ac:dyDescent="0.2">
      <c r="A3680" s="451"/>
      <c r="B3680" s="451"/>
      <c r="C3680" s="451"/>
      <c r="D3680" s="451"/>
      <c r="E3680" s="468"/>
      <c r="F3680" s="468"/>
    </row>
    <row r="3681" spans="1:6" ht="12.75" x14ac:dyDescent="0.2">
      <c r="A3681" s="451"/>
      <c r="B3681" s="451"/>
      <c r="C3681" s="451"/>
      <c r="D3681" s="451"/>
      <c r="E3681" s="468"/>
      <c r="F3681" s="468"/>
    </row>
    <row r="3682" spans="1:6" ht="12.75" x14ac:dyDescent="0.2">
      <c r="A3682" s="451"/>
      <c r="B3682" s="451"/>
      <c r="C3682" s="451"/>
      <c r="D3682" s="451"/>
      <c r="E3682" s="468"/>
      <c r="F3682" s="468"/>
    </row>
    <row r="3683" spans="1:6" ht="12.75" x14ac:dyDescent="0.2">
      <c r="A3683" s="451"/>
      <c r="B3683" s="451"/>
      <c r="C3683" s="451"/>
      <c r="D3683" s="451"/>
      <c r="E3683" s="468"/>
      <c r="F3683" s="468"/>
    </row>
    <row r="3684" spans="1:6" ht="12.75" x14ac:dyDescent="0.2">
      <c r="A3684" s="451"/>
      <c r="B3684" s="451"/>
      <c r="C3684" s="451"/>
      <c r="D3684" s="451"/>
      <c r="E3684" s="468"/>
      <c r="F3684" s="468"/>
    </row>
    <row r="3685" spans="1:6" ht="12.75" x14ac:dyDescent="0.2">
      <c r="A3685" s="451"/>
      <c r="B3685" s="451"/>
      <c r="C3685" s="451"/>
      <c r="D3685" s="451"/>
      <c r="E3685" s="468"/>
      <c r="F3685" s="468"/>
    </row>
    <row r="3686" spans="1:6" ht="12.75" x14ac:dyDescent="0.2">
      <c r="A3686" s="451"/>
      <c r="B3686" s="451"/>
      <c r="C3686" s="451"/>
      <c r="D3686" s="451"/>
      <c r="E3686" s="468"/>
      <c r="F3686" s="468"/>
    </row>
    <row r="3687" spans="1:6" ht="12.75" x14ac:dyDescent="0.2">
      <c r="A3687" s="451"/>
      <c r="B3687" s="451"/>
      <c r="C3687" s="451"/>
      <c r="D3687" s="451"/>
      <c r="E3687" s="468"/>
      <c r="F3687" s="468"/>
    </row>
    <row r="3688" spans="1:6" ht="12.75" x14ac:dyDescent="0.2">
      <c r="A3688" s="451"/>
      <c r="B3688" s="451"/>
      <c r="C3688" s="451"/>
      <c r="D3688" s="451"/>
      <c r="E3688" s="468"/>
      <c r="F3688" s="468"/>
    </row>
    <row r="3689" spans="1:6" ht="12.75" x14ac:dyDescent="0.2">
      <c r="A3689" s="451"/>
      <c r="B3689" s="451"/>
      <c r="C3689" s="451"/>
      <c r="D3689" s="451"/>
      <c r="E3689" s="468"/>
      <c r="F3689" s="468"/>
    </row>
    <row r="3690" spans="1:6" ht="12.75" x14ac:dyDescent="0.2">
      <c r="A3690" s="451"/>
      <c r="B3690" s="451"/>
      <c r="C3690" s="451"/>
      <c r="D3690" s="451"/>
      <c r="E3690" s="468"/>
      <c r="F3690" s="468"/>
    </row>
    <row r="3691" spans="1:6" ht="12.75" x14ac:dyDescent="0.2">
      <c r="A3691" s="451"/>
      <c r="B3691" s="451"/>
      <c r="C3691" s="451"/>
      <c r="D3691" s="451"/>
      <c r="E3691" s="468"/>
      <c r="F3691" s="468"/>
    </row>
    <row r="3692" spans="1:6" ht="12.75" x14ac:dyDescent="0.2">
      <c r="A3692" s="451"/>
      <c r="B3692" s="451"/>
      <c r="C3692" s="451"/>
      <c r="D3692" s="451"/>
      <c r="E3692" s="468"/>
      <c r="F3692" s="468"/>
    </row>
    <row r="3693" spans="1:6" ht="12.75" x14ac:dyDescent="0.2">
      <c r="A3693" s="451"/>
      <c r="B3693" s="451"/>
      <c r="C3693" s="451"/>
      <c r="D3693" s="451"/>
      <c r="E3693" s="468"/>
      <c r="F3693" s="468"/>
    </row>
    <row r="3694" spans="1:6" ht="12.75" x14ac:dyDescent="0.2">
      <c r="A3694" s="451"/>
      <c r="B3694" s="451"/>
      <c r="C3694" s="451"/>
      <c r="D3694" s="451"/>
      <c r="E3694" s="468"/>
      <c r="F3694" s="468"/>
    </row>
    <row r="3695" spans="1:6" ht="12.75" x14ac:dyDescent="0.2">
      <c r="A3695" s="451"/>
      <c r="B3695" s="451"/>
      <c r="C3695" s="451"/>
      <c r="D3695" s="451"/>
      <c r="E3695" s="468"/>
      <c r="F3695" s="468"/>
    </row>
    <row r="3696" spans="1:6" ht="12.75" x14ac:dyDescent="0.2">
      <c r="A3696" s="451"/>
      <c r="B3696" s="451"/>
      <c r="C3696" s="451"/>
      <c r="D3696" s="451"/>
      <c r="E3696" s="468"/>
      <c r="F3696" s="468"/>
    </row>
    <row r="3697" spans="1:6" ht="12.75" x14ac:dyDescent="0.2">
      <c r="A3697" s="451"/>
      <c r="B3697" s="451"/>
      <c r="C3697" s="451"/>
      <c r="D3697" s="451"/>
      <c r="E3697" s="468"/>
      <c r="F3697" s="468"/>
    </row>
    <row r="3698" spans="1:6" ht="12.75" x14ac:dyDescent="0.2">
      <c r="A3698" s="451"/>
      <c r="B3698" s="451"/>
      <c r="C3698" s="451"/>
      <c r="D3698" s="451"/>
      <c r="E3698" s="468"/>
      <c r="F3698" s="468"/>
    </row>
    <row r="3699" spans="1:6" ht="12.75" x14ac:dyDescent="0.2">
      <c r="A3699" s="451"/>
      <c r="B3699" s="451"/>
      <c r="C3699" s="451"/>
      <c r="D3699" s="451"/>
      <c r="E3699" s="468"/>
      <c r="F3699" s="468"/>
    </row>
    <row r="3700" spans="1:6" ht="12.75" x14ac:dyDescent="0.2">
      <c r="A3700" s="451"/>
      <c r="B3700" s="451"/>
      <c r="C3700" s="451"/>
      <c r="D3700" s="451"/>
      <c r="E3700" s="468"/>
      <c r="F3700" s="468"/>
    </row>
    <row r="3701" spans="1:6" ht="12.75" x14ac:dyDescent="0.2">
      <c r="A3701" s="451"/>
      <c r="B3701" s="451"/>
      <c r="C3701" s="451"/>
      <c r="D3701" s="451"/>
      <c r="E3701" s="468"/>
      <c r="F3701" s="468"/>
    </row>
    <row r="3702" spans="1:6" ht="12.75" x14ac:dyDescent="0.2">
      <c r="A3702" s="451"/>
      <c r="B3702" s="451"/>
      <c r="C3702" s="451"/>
      <c r="D3702" s="451"/>
      <c r="E3702" s="468"/>
      <c r="F3702" s="468"/>
    </row>
    <row r="3703" spans="1:6" ht="12.75" x14ac:dyDescent="0.2">
      <c r="A3703" s="451"/>
      <c r="B3703" s="451"/>
      <c r="C3703" s="451"/>
      <c r="D3703" s="451"/>
      <c r="E3703" s="468"/>
      <c r="F3703" s="468"/>
    </row>
    <row r="3704" spans="1:6" ht="12.75" x14ac:dyDescent="0.2">
      <c r="A3704" s="451"/>
      <c r="B3704" s="451"/>
      <c r="C3704" s="451"/>
      <c r="D3704" s="451"/>
      <c r="E3704" s="468"/>
      <c r="F3704" s="468"/>
    </row>
    <row r="3705" spans="1:6" ht="12.75" x14ac:dyDescent="0.2">
      <c r="A3705" s="451"/>
      <c r="B3705" s="451"/>
      <c r="C3705" s="451"/>
      <c r="D3705" s="451"/>
      <c r="E3705" s="468"/>
      <c r="F3705" s="468"/>
    </row>
    <row r="3706" spans="1:6" ht="12.75" x14ac:dyDescent="0.2">
      <c r="A3706" s="451"/>
      <c r="B3706" s="451"/>
      <c r="C3706" s="451"/>
      <c r="D3706" s="451"/>
      <c r="E3706" s="468"/>
      <c r="F3706" s="468"/>
    </row>
    <row r="3707" spans="1:6" ht="12.75" x14ac:dyDescent="0.2">
      <c r="A3707" s="451"/>
      <c r="B3707" s="451"/>
      <c r="C3707" s="451"/>
      <c r="D3707" s="451"/>
      <c r="E3707" s="468"/>
      <c r="F3707" s="468"/>
    </row>
    <row r="3708" spans="1:6" ht="12.75" x14ac:dyDescent="0.2">
      <c r="A3708" s="451"/>
      <c r="B3708" s="451"/>
      <c r="C3708" s="451"/>
      <c r="D3708" s="451"/>
      <c r="E3708" s="468"/>
      <c r="F3708" s="468"/>
    </row>
    <row r="3709" spans="1:6" ht="12.75" x14ac:dyDescent="0.2">
      <c r="A3709" s="451"/>
      <c r="B3709" s="451"/>
      <c r="C3709" s="451"/>
      <c r="D3709" s="451"/>
      <c r="E3709" s="468"/>
      <c r="F3709" s="468"/>
    </row>
    <row r="3710" spans="1:6" ht="12.75" x14ac:dyDescent="0.2">
      <c r="A3710" s="451"/>
      <c r="B3710" s="451"/>
      <c r="C3710" s="451"/>
      <c r="D3710" s="451"/>
      <c r="E3710" s="468"/>
      <c r="F3710" s="468"/>
    </row>
    <row r="3711" spans="1:6" ht="12.75" x14ac:dyDescent="0.2">
      <c r="A3711" s="451"/>
      <c r="B3711" s="451"/>
      <c r="C3711" s="451"/>
      <c r="D3711" s="451"/>
      <c r="E3711" s="468"/>
      <c r="F3711" s="468"/>
    </row>
    <row r="3712" spans="1:6" ht="12.75" x14ac:dyDescent="0.2">
      <c r="A3712" s="451"/>
      <c r="B3712" s="451"/>
      <c r="C3712" s="451"/>
      <c r="D3712" s="451"/>
      <c r="E3712" s="468"/>
      <c r="F3712" s="468"/>
    </row>
    <row r="3713" spans="1:6" ht="12.75" x14ac:dyDescent="0.2">
      <c r="A3713" s="451"/>
      <c r="B3713" s="451"/>
      <c r="C3713" s="451"/>
      <c r="D3713" s="451"/>
      <c r="E3713" s="468"/>
      <c r="F3713" s="468"/>
    </row>
    <row r="3714" spans="1:6" ht="12.75" x14ac:dyDescent="0.2">
      <c r="A3714" s="451"/>
      <c r="B3714" s="451"/>
      <c r="C3714" s="451"/>
      <c r="D3714" s="451"/>
      <c r="E3714" s="468"/>
      <c r="F3714" s="468"/>
    </row>
    <row r="3715" spans="1:6" ht="12.75" x14ac:dyDescent="0.2">
      <c r="A3715" s="451"/>
      <c r="B3715" s="451"/>
      <c r="C3715" s="451"/>
      <c r="D3715" s="451"/>
      <c r="E3715" s="468"/>
      <c r="F3715" s="468"/>
    </row>
    <row r="3716" spans="1:6" ht="12.75" x14ac:dyDescent="0.2">
      <c r="A3716" s="451"/>
      <c r="B3716" s="451"/>
      <c r="C3716" s="451"/>
      <c r="D3716" s="451"/>
      <c r="E3716" s="468"/>
      <c r="F3716" s="468"/>
    </row>
    <row r="3717" spans="1:6" ht="12.75" x14ac:dyDescent="0.2">
      <c r="A3717" s="451"/>
      <c r="B3717" s="451"/>
      <c r="C3717" s="451"/>
      <c r="D3717" s="451"/>
      <c r="E3717" s="468"/>
      <c r="F3717" s="468"/>
    </row>
    <row r="3718" spans="1:6" ht="12.75" x14ac:dyDescent="0.2">
      <c r="A3718" s="451"/>
      <c r="B3718" s="451"/>
      <c r="C3718" s="451"/>
      <c r="D3718" s="451"/>
      <c r="E3718" s="468"/>
      <c r="F3718" s="468"/>
    </row>
    <row r="3719" spans="1:6" ht="12.75" x14ac:dyDescent="0.2">
      <c r="A3719" s="451"/>
      <c r="B3719" s="451"/>
      <c r="C3719" s="451"/>
      <c r="D3719" s="451"/>
      <c r="E3719" s="468"/>
      <c r="F3719" s="468"/>
    </row>
    <row r="3720" spans="1:6" ht="12.75" x14ac:dyDescent="0.2">
      <c r="A3720" s="451"/>
      <c r="B3720" s="451"/>
      <c r="C3720" s="451"/>
      <c r="D3720" s="451"/>
      <c r="E3720" s="468"/>
      <c r="F3720" s="468"/>
    </row>
    <row r="3721" spans="1:6" ht="12.75" x14ac:dyDescent="0.2">
      <c r="A3721" s="451"/>
      <c r="B3721" s="451"/>
      <c r="C3721" s="451"/>
      <c r="D3721" s="451"/>
      <c r="E3721" s="468"/>
      <c r="F3721" s="468"/>
    </row>
    <row r="3722" spans="1:6" ht="12.75" x14ac:dyDescent="0.2">
      <c r="A3722" s="451"/>
      <c r="B3722" s="451"/>
      <c r="C3722" s="451"/>
      <c r="D3722" s="451"/>
      <c r="E3722" s="468"/>
      <c r="F3722" s="468"/>
    </row>
    <row r="3723" spans="1:6" ht="12.75" x14ac:dyDescent="0.2">
      <c r="A3723" s="451"/>
      <c r="B3723" s="451"/>
      <c r="C3723" s="451"/>
      <c r="D3723" s="451"/>
      <c r="E3723" s="468"/>
      <c r="F3723" s="468"/>
    </row>
    <row r="3724" spans="1:6" ht="12.75" x14ac:dyDescent="0.2">
      <c r="A3724" s="451"/>
      <c r="B3724" s="451"/>
      <c r="C3724" s="451"/>
      <c r="D3724" s="451"/>
      <c r="E3724" s="468"/>
      <c r="F3724" s="468"/>
    </row>
    <row r="3725" spans="1:6" ht="12.75" x14ac:dyDescent="0.2">
      <c r="A3725" s="451"/>
      <c r="B3725" s="451"/>
      <c r="C3725" s="451"/>
      <c r="D3725" s="451"/>
      <c r="E3725" s="468"/>
      <c r="F3725" s="468"/>
    </row>
    <row r="3726" spans="1:6" ht="12.75" x14ac:dyDescent="0.2">
      <c r="A3726" s="451"/>
      <c r="B3726" s="451"/>
      <c r="C3726" s="451"/>
      <c r="D3726" s="451"/>
      <c r="E3726" s="468"/>
      <c r="F3726" s="468"/>
    </row>
    <row r="3727" spans="1:6" ht="12.75" x14ac:dyDescent="0.2">
      <c r="A3727" s="451"/>
      <c r="B3727" s="451"/>
      <c r="C3727" s="451"/>
      <c r="D3727" s="451"/>
      <c r="E3727" s="468"/>
      <c r="F3727" s="468"/>
    </row>
    <row r="3728" spans="1:6" ht="12.75" x14ac:dyDescent="0.2">
      <c r="A3728" s="451"/>
      <c r="B3728" s="451"/>
      <c r="C3728" s="451"/>
      <c r="D3728" s="451"/>
      <c r="E3728" s="468"/>
      <c r="F3728" s="468"/>
    </row>
    <row r="3729" spans="1:6" ht="12.75" x14ac:dyDescent="0.2">
      <c r="A3729" s="451"/>
      <c r="B3729" s="451"/>
      <c r="C3729" s="451"/>
      <c r="D3729" s="451"/>
      <c r="E3729" s="468"/>
      <c r="F3729" s="468"/>
    </row>
    <row r="3730" spans="1:6" ht="12.75" x14ac:dyDescent="0.2">
      <c r="A3730" s="451"/>
      <c r="B3730" s="451"/>
      <c r="C3730" s="451"/>
      <c r="D3730" s="451"/>
      <c r="E3730" s="468"/>
      <c r="F3730" s="468"/>
    </row>
    <row r="3731" spans="1:6" ht="12.75" x14ac:dyDescent="0.2">
      <c r="A3731" s="451"/>
      <c r="B3731" s="451"/>
      <c r="C3731" s="451"/>
      <c r="D3731" s="451"/>
      <c r="E3731" s="468"/>
      <c r="F3731" s="468"/>
    </row>
    <row r="3732" spans="1:6" ht="12.75" x14ac:dyDescent="0.2">
      <c r="A3732" s="451"/>
      <c r="B3732" s="451"/>
      <c r="C3732" s="451"/>
      <c r="D3732" s="451"/>
      <c r="E3732" s="468"/>
      <c r="F3732" s="468"/>
    </row>
    <row r="3733" spans="1:6" ht="12.75" x14ac:dyDescent="0.2">
      <c r="A3733" s="451"/>
      <c r="B3733" s="451"/>
      <c r="C3733" s="451"/>
      <c r="D3733" s="451"/>
      <c r="E3733" s="468"/>
      <c r="F3733" s="468"/>
    </row>
    <row r="3734" spans="1:6" ht="12.75" x14ac:dyDescent="0.2">
      <c r="A3734" s="451"/>
      <c r="B3734" s="451"/>
      <c r="C3734" s="451"/>
      <c r="D3734" s="451"/>
      <c r="E3734" s="468"/>
      <c r="F3734" s="468"/>
    </row>
    <row r="3735" spans="1:6" ht="12.75" x14ac:dyDescent="0.2">
      <c r="A3735" s="451"/>
      <c r="B3735" s="451"/>
      <c r="C3735" s="451"/>
      <c r="D3735" s="451"/>
      <c r="E3735" s="468"/>
      <c r="F3735" s="468"/>
    </row>
    <row r="3736" spans="1:6" ht="12.75" x14ac:dyDescent="0.2">
      <c r="A3736" s="451"/>
      <c r="B3736" s="451"/>
      <c r="C3736" s="451"/>
      <c r="D3736" s="451"/>
      <c r="E3736" s="468"/>
      <c r="F3736" s="468"/>
    </row>
    <row r="3737" spans="1:6" ht="12.75" x14ac:dyDescent="0.2">
      <c r="A3737" s="451"/>
      <c r="B3737" s="451"/>
      <c r="C3737" s="451"/>
      <c r="D3737" s="451"/>
      <c r="E3737" s="468"/>
      <c r="F3737" s="468"/>
    </row>
    <row r="3738" spans="1:6" ht="12.75" x14ac:dyDescent="0.2">
      <c r="A3738" s="451"/>
      <c r="B3738" s="451"/>
      <c r="C3738" s="451"/>
      <c r="D3738" s="451"/>
      <c r="E3738" s="468"/>
      <c r="F3738" s="468"/>
    </row>
    <row r="3739" spans="1:6" ht="12.75" x14ac:dyDescent="0.2">
      <c r="A3739" s="451"/>
      <c r="B3739" s="451"/>
      <c r="C3739" s="451"/>
      <c r="D3739" s="451"/>
      <c r="E3739" s="468"/>
      <c r="F3739" s="468"/>
    </row>
    <row r="3740" spans="1:6" ht="12.75" x14ac:dyDescent="0.2">
      <c r="A3740" s="451"/>
      <c r="B3740" s="451"/>
      <c r="C3740" s="451"/>
      <c r="D3740" s="451"/>
      <c r="E3740" s="468"/>
      <c r="F3740" s="468"/>
    </row>
    <row r="3741" spans="1:6" ht="12.75" x14ac:dyDescent="0.2">
      <c r="A3741" s="451"/>
      <c r="B3741" s="451"/>
      <c r="C3741" s="451"/>
      <c r="D3741" s="451"/>
      <c r="E3741" s="468"/>
      <c r="F3741" s="468"/>
    </row>
    <row r="3742" spans="1:6" ht="12.75" x14ac:dyDescent="0.2">
      <c r="A3742" s="451"/>
      <c r="B3742" s="451"/>
      <c r="C3742" s="451"/>
      <c r="D3742" s="451"/>
      <c r="E3742" s="468"/>
      <c r="F3742" s="468"/>
    </row>
    <row r="3743" spans="1:6" ht="12.75" x14ac:dyDescent="0.2">
      <c r="A3743" s="451"/>
      <c r="B3743" s="451"/>
      <c r="C3743" s="451"/>
      <c r="D3743" s="451"/>
      <c r="E3743" s="468"/>
      <c r="F3743" s="468"/>
    </row>
    <row r="3744" spans="1:6" ht="12.75" x14ac:dyDescent="0.2">
      <c r="A3744" s="451"/>
      <c r="B3744" s="451"/>
      <c r="C3744" s="451"/>
      <c r="D3744" s="451"/>
      <c r="E3744" s="468"/>
      <c r="F3744" s="468"/>
    </row>
    <row r="3745" spans="1:6" ht="12.75" x14ac:dyDescent="0.2">
      <c r="A3745" s="451"/>
      <c r="B3745" s="451"/>
      <c r="C3745" s="451"/>
      <c r="D3745" s="451"/>
      <c r="E3745" s="468"/>
      <c r="F3745" s="468"/>
    </row>
    <row r="3746" spans="1:6" ht="12.75" x14ac:dyDescent="0.2">
      <c r="A3746" s="451"/>
      <c r="B3746" s="451"/>
      <c r="C3746" s="451"/>
      <c r="D3746" s="451"/>
      <c r="E3746" s="468"/>
      <c r="F3746" s="468"/>
    </row>
    <row r="3747" spans="1:6" ht="12.75" x14ac:dyDescent="0.2">
      <c r="A3747" s="451"/>
      <c r="B3747" s="451"/>
      <c r="C3747" s="451"/>
      <c r="D3747" s="451"/>
      <c r="E3747" s="468"/>
      <c r="F3747" s="468"/>
    </row>
    <row r="3748" spans="1:6" ht="12.75" x14ac:dyDescent="0.2">
      <c r="A3748" s="451"/>
      <c r="B3748" s="451"/>
      <c r="C3748" s="451"/>
      <c r="D3748" s="451"/>
      <c r="E3748" s="468"/>
      <c r="F3748" s="468"/>
    </row>
    <row r="3749" spans="1:6" ht="12.75" x14ac:dyDescent="0.2">
      <c r="A3749" s="451"/>
      <c r="B3749" s="451"/>
      <c r="C3749" s="451"/>
      <c r="D3749" s="451"/>
      <c r="E3749" s="468"/>
      <c r="F3749" s="468"/>
    </row>
    <row r="3750" spans="1:6" ht="12.75" x14ac:dyDescent="0.2">
      <c r="A3750" s="451"/>
      <c r="B3750" s="451"/>
      <c r="C3750" s="451"/>
      <c r="D3750" s="451"/>
      <c r="E3750" s="468"/>
      <c r="F3750" s="468"/>
    </row>
    <row r="3751" spans="1:6" ht="12.75" x14ac:dyDescent="0.2">
      <c r="A3751" s="451"/>
      <c r="B3751" s="451"/>
      <c r="C3751" s="451"/>
      <c r="D3751" s="451"/>
      <c r="E3751" s="468"/>
      <c r="F3751" s="468"/>
    </row>
    <row r="3752" spans="1:6" ht="12.75" x14ac:dyDescent="0.2">
      <c r="A3752" s="451"/>
      <c r="B3752" s="451"/>
      <c r="C3752" s="451"/>
      <c r="D3752" s="451"/>
      <c r="E3752" s="468"/>
      <c r="F3752" s="468"/>
    </row>
    <row r="3753" spans="1:6" ht="12.75" x14ac:dyDescent="0.2">
      <c r="A3753" s="451"/>
      <c r="B3753" s="451"/>
      <c r="C3753" s="451"/>
      <c r="D3753" s="451"/>
      <c r="E3753" s="468"/>
      <c r="F3753" s="468"/>
    </row>
    <row r="3754" spans="1:6" ht="12.75" x14ac:dyDescent="0.2">
      <c r="A3754" s="451"/>
      <c r="B3754" s="451"/>
      <c r="C3754" s="451"/>
      <c r="D3754" s="451"/>
      <c r="E3754" s="468"/>
      <c r="F3754" s="468"/>
    </row>
    <row r="3755" spans="1:6" ht="12.75" x14ac:dyDescent="0.2">
      <c r="A3755" s="451"/>
      <c r="B3755" s="451"/>
      <c r="C3755" s="451"/>
      <c r="D3755" s="451"/>
      <c r="E3755" s="468"/>
      <c r="F3755" s="468"/>
    </row>
    <row r="3756" spans="1:6" ht="12.75" x14ac:dyDescent="0.2">
      <c r="A3756" s="451"/>
      <c r="B3756" s="451"/>
      <c r="C3756" s="451"/>
      <c r="D3756" s="451"/>
      <c r="E3756" s="468"/>
      <c r="F3756" s="468"/>
    </row>
    <row r="3757" spans="1:6" ht="12.75" x14ac:dyDescent="0.2">
      <c r="A3757" s="451"/>
      <c r="B3757" s="451"/>
      <c r="C3757" s="451"/>
      <c r="D3757" s="451"/>
      <c r="E3757" s="468"/>
      <c r="F3757" s="468"/>
    </row>
    <row r="3758" spans="1:6" ht="12.75" x14ac:dyDescent="0.2">
      <c r="A3758" s="451"/>
      <c r="B3758" s="451"/>
      <c r="C3758" s="451"/>
      <c r="D3758" s="451"/>
      <c r="E3758" s="468"/>
      <c r="F3758" s="468"/>
    </row>
    <row r="3759" spans="1:6" ht="12.75" x14ac:dyDescent="0.2">
      <c r="A3759" s="451"/>
      <c r="B3759" s="451"/>
      <c r="C3759" s="451"/>
      <c r="D3759" s="451"/>
      <c r="E3759" s="468"/>
      <c r="F3759" s="468"/>
    </row>
    <row r="3760" spans="1:6" ht="12.75" x14ac:dyDescent="0.2">
      <c r="A3760" s="451"/>
      <c r="B3760" s="451"/>
      <c r="C3760" s="451"/>
      <c r="D3760" s="451"/>
      <c r="E3760" s="468"/>
      <c r="F3760" s="468"/>
    </row>
    <row r="3761" spans="1:6" ht="12.75" x14ac:dyDescent="0.2">
      <c r="A3761" s="451"/>
      <c r="B3761" s="451"/>
      <c r="C3761" s="451"/>
      <c r="D3761" s="451"/>
      <c r="E3761" s="468"/>
      <c r="F3761" s="468"/>
    </row>
    <row r="3762" spans="1:6" ht="12.75" x14ac:dyDescent="0.2">
      <c r="A3762" s="451"/>
      <c r="B3762" s="451"/>
      <c r="C3762" s="451"/>
      <c r="D3762" s="451"/>
      <c r="E3762" s="468"/>
      <c r="F3762" s="468"/>
    </row>
    <row r="3763" spans="1:6" ht="12.75" x14ac:dyDescent="0.2">
      <c r="A3763" s="451"/>
      <c r="B3763" s="451"/>
      <c r="C3763" s="451"/>
      <c r="D3763" s="451"/>
      <c r="E3763" s="468"/>
      <c r="F3763" s="468"/>
    </row>
    <row r="3764" spans="1:6" ht="12.75" x14ac:dyDescent="0.2">
      <c r="A3764" s="451"/>
      <c r="B3764" s="451"/>
      <c r="C3764" s="451"/>
      <c r="D3764" s="451"/>
      <c r="E3764" s="468"/>
      <c r="F3764" s="468"/>
    </row>
    <row r="3765" spans="1:6" ht="12.75" x14ac:dyDescent="0.2">
      <c r="A3765" s="451"/>
      <c r="B3765" s="451"/>
      <c r="C3765" s="451"/>
      <c r="D3765" s="451"/>
      <c r="E3765" s="468"/>
      <c r="F3765" s="468"/>
    </row>
    <row r="3766" spans="1:6" ht="12.75" x14ac:dyDescent="0.2">
      <c r="A3766" s="451"/>
      <c r="B3766" s="451"/>
      <c r="C3766" s="451"/>
      <c r="D3766" s="451"/>
      <c r="E3766" s="468"/>
      <c r="F3766" s="468"/>
    </row>
    <row r="3767" spans="1:6" ht="12.75" x14ac:dyDescent="0.2">
      <c r="A3767" s="451"/>
      <c r="B3767" s="451"/>
      <c r="C3767" s="451"/>
      <c r="D3767" s="451"/>
      <c r="E3767" s="468"/>
      <c r="F3767" s="468"/>
    </row>
    <row r="3768" spans="1:6" ht="12.75" x14ac:dyDescent="0.2">
      <c r="A3768" s="451"/>
      <c r="B3768" s="451"/>
      <c r="C3768" s="451"/>
      <c r="D3768" s="451"/>
      <c r="E3768" s="468"/>
      <c r="F3768" s="468"/>
    </row>
    <row r="3769" spans="1:6" ht="12.75" x14ac:dyDescent="0.2">
      <c r="A3769" s="451"/>
      <c r="B3769" s="451"/>
      <c r="C3769" s="451"/>
      <c r="D3769" s="451"/>
      <c r="E3769" s="468"/>
      <c r="F3769" s="468"/>
    </row>
    <row r="3770" spans="1:6" ht="12.75" x14ac:dyDescent="0.2">
      <c r="A3770" s="451"/>
      <c r="B3770" s="451"/>
      <c r="C3770" s="451"/>
      <c r="D3770" s="451"/>
      <c r="E3770" s="468"/>
      <c r="F3770" s="468"/>
    </row>
    <row r="3771" spans="1:6" ht="12.75" x14ac:dyDescent="0.2">
      <c r="A3771" s="451"/>
      <c r="B3771" s="451"/>
      <c r="C3771" s="451"/>
      <c r="D3771" s="451"/>
      <c r="E3771" s="468"/>
      <c r="F3771" s="468"/>
    </row>
    <row r="3772" spans="1:6" ht="12.75" x14ac:dyDescent="0.2">
      <c r="A3772" s="451"/>
      <c r="B3772" s="451"/>
      <c r="C3772" s="451"/>
      <c r="D3772" s="451"/>
      <c r="E3772" s="468"/>
      <c r="F3772" s="468"/>
    </row>
    <row r="3773" spans="1:6" ht="12.75" x14ac:dyDescent="0.2">
      <c r="A3773" s="451"/>
      <c r="B3773" s="451"/>
      <c r="C3773" s="451"/>
      <c r="D3773" s="451"/>
      <c r="E3773" s="468"/>
      <c r="F3773" s="468"/>
    </row>
    <row r="3774" spans="1:6" ht="12.75" x14ac:dyDescent="0.2">
      <c r="A3774" s="451"/>
      <c r="B3774" s="451"/>
      <c r="C3774" s="451"/>
      <c r="D3774" s="451"/>
      <c r="E3774" s="468"/>
      <c r="F3774" s="468"/>
    </row>
    <row r="3775" spans="1:6" ht="12.75" x14ac:dyDescent="0.2">
      <c r="A3775" s="451"/>
      <c r="B3775" s="451"/>
      <c r="C3775" s="451"/>
      <c r="D3775" s="451"/>
      <c r="E3775" s="468"/>
      <c r="F3775" s="468"/>
    </row>
    <row r="3776" spans="1:6" ht="12.75" x14ac:dyDescent="0.2">
      <c r="A3776" s="451"/>
      <c r="B3776" s="451"/>
      <c r="C3776" s="451"/>
      <c r="D3776" s="451"/>
      <c r="E3776" s="468"/>
      <c r="F3776" s="468"/>
    </row>
    <row r="3777" spans="1:6" ht="12.75" x14ac:dyDescent="0.2">
      <c r="A3777" s="451"/>
      <c r="B3777" s="451"/>
      <c r="C3777" s="451"/>
      <c r="D3777" s="451"/>
      <c r="E3777" s="468"/>
      <c r="F3777" s="468"/>
    </row>
    <row r="3778" spans="1:6" ht="12.75" x14ac:dyDescent="0.2">
      <c r="A3778" s="451"/>
      <c r="B3778" s="451"/>
      <c r="C3778" s="451"/>
      <c r="D3778" s="451"/>
      <c r="E3778" s="468"/>
      <c r="F3778" s="468"/>
    </row>
    <row r="3779" spans="1:6" ht="12.75" x14ac:dyDescent="0.2">
      <c r="A3779" s="451"/>
      <c r="B3779" s="451"/>
      <c r="C3779" s="451"/>
      <c r="D3779" s="451"/>
      <c r="E3779" s="468"/>
      <c r="F3779" s="468"/>
    </row>
    <row r="3780" spans="1:6" ht="12.75" x14ac:dyDescent="0.2">
      <c r="A3780" s="451"/>
      <c r="B3780" s="451"/>
      <c r="C3780" s="451"/>
      <c r="D3780" s="451"/>
      <c r="E3780" s="468"/>
      <c r="F3780" s="468"/>
    </row>
    <row r="3781" spans="1:6" ht="12.75" x14ac:dyDescent="0.2">
      <c r="A3781" s="451"/>
      <c r="B3781" s="451"/>
      <c r="C3781" s="451"/>
      <c r="D3781" s="451"/>
      <c r="E3781" s="468"/>
      <c r="F3781" s="468"/>
    </row>
    <row r="3782" spans="1:6" ht="12.75" x14ac:dyDescent="0.2">
      <c r="A3782" s="451"/>
      <c r="B3782" s="451"/>
      <c r="C3782" s="451"/>
      <c r="D3782" s="451"/>
      <c r="E3782" s="468"/>
      <c r="F3782" s="468"/>
    </row>
    <row r="3783" spans="1:6" ht="12.75" x14ac:dyDescent="0.2">
      <c r="A3783" s="451"/>
      <c r="B3783" s="451"/>
      <c r="C3783" s="451"/>
      <c r="D3783" s="451"/>
      <c r="E3783" s="468"/>
      <c r="F3783" s="468"/>
    </row>
    <row r="3784" spans="1:6" ht="12.75" x14ac:dyDescent="0.2">
      <c r="A3784" s="451"/>
      <c r="B3784" s="451"/>
      <c r="C3784" s="451"/>
      <c r="D3784" s="451"/>
      <c r="E3784" s="468"/>
      <c r="F3784" s="468"/>
    </row>
    <row r="3785" spans="1:6" ht="12.75" x14ac:dyDescent="0.2">
      <c r="A3785" s="451"/>
      <c r="B3785" s="451"/>
      <c r="C3785" s="451"/>
      <c r="D3785" s="451"/>
      <c r="E3785" s="468"/>
      <c r="F3785" s="468"/>
    </row>
    <row r="3786" spans="1:6" ht="12.75" x14ac:dyDescent="0.2">
      <c r="A3786" s="451"/>
      <c r="B3786" s="451"/>
      <c r="C3786" s="451"/>
      <c r="D3786" s="451"/>
      <c r="E3786" s="468"/>
      <c r="F3786" s="468"/>
    </row>
    <row r="3787" spans="1:6" ht="12.75" x14ac:dyDescent="0.2">
      <c r="A3787" s="451"/>
      <c r="B3787" s="451"/>
      <c r="C3787" s="451"/>
      <c r="D3787" s="451"/>
      <c r="E3787" s="468"/>
      <c r="F3787" s="468"/>
    </row>
    <row r="3788" spans="1:6" ht="12.75" x14ac:dyDescent="0.2">
      <c r="A3788" s="451"/>
      <c r="B3788" s="451"/>
      <c r="C3788" s="451"/>
      <c r="D3788" s="451"/>
      <c r="E3788" s="468"/>
      <c r="F3788" s="468"/>
    </row>
    <row r="3789" spans="1:6" ht="12.75" x14ac:dyDescent="0.2">
      <c r="A3789" s="451"/>
      <c r="B3789" s="451"/>
      <c r="C3789" s="451"/>
      <c r="D3789" s="451"/>
      <c r="E3789" s="468"/>
      <c r="F3789" s="468"/>
    </row>
    <row r="3790" spans="1:6" ht="12.75" x14ac:dyDescent="0.2">
      <c r="A3790" s="451"/>
      <c r="B3790" s="451"/>
      <c r="C3790" s="451"/>
      <c r="D3790" s="451"/>
      <c r="E3790" s="468"/>
      <c r="F3790" s="468"/>
    </row>
    <row r="3791" spans="1:6" ht="12.75" x14ac:dyDescent="0.2">
      <c r="A3791" s="451"/>
      <c r="B3791" s="451"/>
      <c r="C3791" s="451"/>
      <c r="D3791" s="451"/>
      <c r="E3791" s="468"/>
      <c r="F3791" s="468"/>
    </row>
    <row r="3792" spans="1:6" ht="12.75" x14ac:dyDescent="0.2">
      <c r="A3792" s="451"/>
      <c r="B3792" s="451"/>
      <c r="C3792" s="451"/>
      <c r="D3792" s="451"/>
      <c r="E3792" s="468"/>
      <c r="F3792" s="468"/>
    </row>
    <row r="3793" spans="1:6" ht="12.75" x14ac:dyDescent="0.2">
      <c r="A3793" s="451"/>
      <c r="B3793" s="451"/>
      <c r="C3793" s="451"/>
      <c r="D3793" s="451"/>
      <c r="E3793" s="468"/>
      <c r="F3793" s="468"/>
    </row>
    <row r="3794" spans="1:6" ht="12.75" x14ac:dyDescent="0.2">
      <c r="A3794" s="451"/>
      <c r="B3794" s="451"/>
      <c r="C3794" s="451"/>
      <c r="D3794" s="451"/>
      <c r="E3794" s="468"/>
      <c r="F3794" s="468"/>
    </row>
    <row r="3795" spans="1:6" ht="12.75" x14ac:dyDescent="0.2">
      <c r="A3795" s="451"/>
      <c r="B3795" s="451"/>
      <c r="C3795" s="451"/>
      <c r="D3795" s="451"/>
      <c r="E3795" s="468"/>
      <c r="F3795" s="468"/>
    </row>
    <row r="3796" spans="1:6" ht="12.75" x14ac:dyDescent="0.2">
      <c r="A3796" s="451"/>
      <c r="B3796" s="451"/>
      <c r="C3796" s="451"/>
      <c r="D3796" s="451"/>
      <c r="E3796" s="468"/>
      <c r="F3796" s="468"/>
    </row>
    <row r="3797" spans="1:6" ht="12.75" x14ac:dyDescent="0.2">
      <c r="A3797" s="451"/>
      <c r="B3797" s="451"/>
      <c r="C3797" s="451"/>
      <c r="D3797" s="451"/>
      <c r="E3797" s="468"/>
      <c r="F3797" s="468"/>
    </row>
    <row r="3798" spans="1:6" ht="12.75" x14ac:dyDescent="0.2">
      <c r="A3798" s="451"/>
      <c r="B3798" s="451"/>
      <c r="C3798" s="451"/>
      <c r="D3798" s="451"/>
      <c r="E3798" s="468"/>
      <c r="F3798" s="468"/>
    </row>
    <row r="3799" spans="1:6" ht="12.75" x14ac:dyDescent="0.2">
      <c r="A3799" s="451"/>
      <c r="B3799" s="451"/>
      <c r="C3799" s="451"/>
      <c r="D3799" s="451"/>
      <c r="E3799" s="468"/>
      <c r="F3799" s="468"/>
    </row>
    <row r="3800" spans="1:6" ht="12.75" x14ac:dyDescent="0.2">
      <c r="A3800" s="451"/>
      <c r="B3800" s="451"/>
      <c r="C3800" s="451"/>
      <c r="D3800" s="451"/>
      <c r="E3800" s="468"/>
      <c r="F3800" s="468"/>
    </row>
    <row r="3801" spans="1:6" ht="12.75" x14ac:dyDescent="0.2">
      <c r="A3801" s="451"/>
      <c r="B3801" s="451"/>
      <c r="C3801" s="451"/>
      <c r="D3801" s="451"/>
      <c r="E3801" s="468"/>
      <c r="F3801" s="468"/>
    </row>
    <row r="3802" spans="1:6" ht="12.75" x14ac:dyDescent="0.2">
      <c r="A3802" s="451"/>
      <c r="B3802" s="451"/>
      <c r="C3802" s="451"/>
      <c r="D3802" s="451"/>
      <c r="E3802" s="468"/>
      <c r="F3802" s="468"/>
    </row>
    <row r="3803" spans="1:6" ht="12.75" x14ac:dyDescent="0.2">
      <c r="A3803" s="451"/>
      <c r="B3803" s="451"/>
      <c r="C3803" s="451"/>
      <c r="D3803" s="451"/>
      <c r="E3803" s="468"/>
      <c r="F3803" s="468"/>
    </row>
    <row r="3804" spans="1:6" ht="12.75" x14ac:dyDescent="0.2">
      <c r="A3804" s="451"/>
      <c r="B3804" s="451"/>
      <c r="C3804" s="451"/>
      <c r="D3804" s="451"/>
      <c r="E3804" s="468"/>
      <c r="F3804" s="468"/>
    </row>
    <row r="3805" spans="1:6" ht="12.75" x14ac:dyDescent="0.2">
      <c r="A3805" s="451"/>
      <c r="B3805" s="451"/>
      <c r="C3805" s="451"/>
      <c r="D3805" s="451"/>
      <c r="E3805" s="468"/>
      <c r="F3805" s="468"/>
    </row>
    <row r="3806" spans="1:6" ht="12.75" x14ac:dyDescent="0.2">
      <c r="A3806" s="451"/>
      <c r="B3806" s="451"/>
      <c r="C3806" s="451"/>
      <c r="D3806" s="451"/>
      <c r="E3806" s="468"/>
      <c r="F3806" s="468"/>
    </row>
    <row r="3807" spans="1:6" ht="12.75" x14ac:dyDescent="0.2">
      <c r="A3807" s="451"/>
      <c r="B3807" s="451"/>
      <c r="C3807" s="451"/>
      <c r="D3807" s="451"/>
      <c r="E3807" s="468"/>
      <c r="F3807" s="468"/>
    </row>
    <row r="3808" spans="1:6" ht="12.75" x14ac:dyDescent="0.2">
      <c r="A3808" s="451"/>
      <c r="B3808" s="451"/>
      <c r="C3808" s="451"/>
      <c r="D3808" s="451"/>
      <c r="E3808" s="468"/>
      <c r="F3808" s="468"/>
    </row>
    <row r="3809" spans="1:6" ht="12.75" x14ac:dyDescent="0.2">
      <c r="A3809" s="451"/>
      <c r="B3809" s="451"/>
      <c r="C3809" s="451"/>
      <c r="D3809" s="451"/>
      <c r="E3809" s="468"/>
      <c r="F3809" s="468"/>
    </row>
    <row r="3810" spans="1:6" ht="12.75" x14ac:dyDescent="0.2">
      <c r="A3810" s="451"/>
      <c r="B3810" s="451"/>
      <c r="C3810" s="451"/>
      <c r="D3810" s="451"/>
      <c r="E3810" s="468"/>
      <c r="F3810" s="468"/>
    </row>
    <row r="3811" spans="1:6" ht="12.75" x14ac:dyDescent="0.2">
      <c r="A3811" s="451"/>
      <c r="B3811" s="451"/>
      <c r="C3811" s="451"/>
      <c r="D3811" s="451"/>
      <c r="E3811" s="468"/>
      <c r="F3811" s="468"/>
    </row>
    <row r="3812" spans="1:6" ht="12.75" x14ac:dyDescent="0.2">
      <c r="A3812" s="451"/>
      <c r="B3812" s="451"/>
      <c r="C3812" s="451"/>
      <c r="D3812" s="451"/>
      <c r="E3812" s="468"/>
      <c r="F3812" s="468"/>
    </row>
    <row r="3813" spans="1:6" ht="12.75" x14ac:dyDescent="0.2">
      <c r="A3813" s="451"/>
      <c r="B3813" s="451"/>
      <c r="C3813" s="451"/>
      <c r="D3813" s="451"/>
      <c r="E3813" s="468"/>
      <c r="F3813" s="468"/>
    </row>
    <row r="3814" spans="1:6" ht="12.75" x14ac:dyDescent="0.2">
      <c r="A3814" s="451"/>
      <c r="B3814" s="451"/>
      <c r="C3814" s="451"/>
      <c r="D3814" s="451"/>
      <c r="E3814" s="468"/>
      <c r="F3814" s="468"/>
    </row>
    <row r="3815" spans="1:6" ht="12.75" x14ac:dyDescent="0.2">
      <c r="A3815" s="451"/>
      <c r="B3815" s="451"/>
      <c r="C3815" s="451"/>
      <c r="D3815" s="451"/>
      <c r="E3815" s="468"/>
      <c r="F3815" s="468"/>
    </row>
    <row r="3816" spans="1:6" ht="12.75" x14ac:dyDescent="0.2">
      <c r="A3816" s="451"/>
      <c r="B3816" s="451"/>
      <c r="C3816" s="451"/>
      <c r="D3816" s="451"/>
      <c r="E3816" s="468"/>
      <c r="F3816" s="468"/>
    </row>
    <row r="3817" spans="1:6" ht="12.75" x14ac:dyDescent="0.2">
      <c r="A3817" s="451"/>
      <c r="B3817" s="451"/>
      <c r="C3817" s="451"/>
      <c r="D3817" s="451"/>
      <c r="E3817" s="468"/>
      <c r="F3817" s="468"/>
    </row>
    <row r="3818" spans="1:6" ht="12.75" x14ac:dyDescent="0.2">
      <c r="A3818" s="451"/>
      <c r="B3818" s="451"/>
      <c r="C3818" s="451"/>
      <c r="D3818" s="451"/>
      <c r="E3818" s="468"/>
      <c r="F3818" s="468"/>
    </row>
    <row r="3819" spans="1:6" ht="12.75" x14ac:dyDescent="0.2">
      <c r="A3819" s="451"/>
      <c r="B3819" s="451"/>
      <c r="C3819" s="451"/>
      <c r="D3819" s="451"/>
      <c r="E3819" s="468"/>
      <c r="F3819" s="468"/>
    </row>
    <row r="3820" spans="1:6" ht="12.75" x14ac:dyDescent="0.2">
      <c r="A3820" s="451"/>
      <c r="B3820" s="451"/>
      <c r="C3820" s="451"/>
      <c r="D3820" s="451"/>
      <c r="E3820" s="468"/>
      <c r="F3820" s="468"/>
    </row>
    <row r="3821" spans="1:6" ht="12.75" x14ac:dyDescent="0.2">
      <c r="A3821" s="451"/>
      <c r="B3821" s="451"/>
      <c r="C3821" s="451"/>
      <c r="D3821" s="451"/>
      <c r="E3821" s="468"/>
      <c r="F3821" s="468"/>
    </row>
    <row r="3822" spans="1:6" ht="12.75" x14ac:dyDescent="0.2">
      <c r="A3822" s="451"/>
      <c r="B3822" s="451"/>
      <c r="C3822" s="451"/>
      <c r="D3822" s="451"/>
      <c r="E3822" s="468"/>
      <c r="F3822" s="468"/>
    </row>
    <row r="3823" spans="1:6" ht="12.75" x14ac:dyDescent="0.2">
      <c r="A3823" s="451"/>
      <c r="B3823" s="451"/>
      <c r="C3823" s="451"/>
      <c r="D3823" s="451"/>
      <c r="E3823" s="468"/>
      <c r="F3823" s="468"/>
    </row>
    <row r="3824" spans="1:6" ht="12.75" x14ac:dyDescent="0.2">
      <c r="A3824" s="451"/>
      <c r="B3824" s="451"/>
      <c r="C3824" s="451"/>
      <c r="D3824" s="451"/>
      <c r="E3824" s="468"/>
      <c r="F3824" s="468"/>
    </row>
    <row r="3825" spans="1:6" ht="12.75" x14ac:dyDescent="0.2">
      <c r="A3825" s="451"/>
      <c r="B3825" s="451"/>
      <c r="C3825" s="451"/>
      <c r="D3825" s="451"/>
      <c r="E3825" s="468"/>
      <c r="F3825" s="468"/>
    </row>
    <row r="3826" spans="1:6" ht="12.75" x14ac:dyDescent="0.2">
      <c r="A3826" s="451"/>
      <c r="B3826" s="451"/>
      <c r="C3826" s="451"/>
      <c r="D3826" s="451"/>
      <c r="E3826" s="468"/>
      <c r="F3826" s="468"/>
    </row>
    <row r="3827" spans="1:6" ht="12.75" x14ac:dyDescent="0.2">
      <c r="A3827" s="451"/>
      <c r="B3827" s="451"/>
      <c r="C3827" s="451"/>
      <c r="D3827" s="451"/>
      <c r="E3827" s="468"/>
      <c r="F3827" s="468"/>
    </row>
    <row r="3828" spans="1:6" ht="12.75" x14ac:dyDescent="0.2">
      <c r="A3828" s="451"/>
      <c r="B3828" s="451"/>
      <c r="C3828" s="451"/>
      <c r="D3828" s="451"/>
      <c r="E3828" s="468"/>
      <c r="F3828" s="468"/>
    </row>
    <row r="3829" spans="1:6" ht="12.75" x14ac:dyDescent="0.2">
      <c r="A3829" s="451"/>
      <c r="B3829" s="451"/>
      <c r="C3829" s="451"/>
      <c r="D3829" s="451"/>
      <c r="E3829" s="468"/>
      <c r="F3829" s="468"/>
    </row>
    <row r="3830" spans="1:6" ht="12.75" x14ac:dyDescent="0.2">
      <c r="A3830" s="451"/>
      <c r="B3830" s="451"/>
      <c r="C3830" s="451"/>
      <c r="D3830" s="451"/>
      <c r="E3830" s="468"/>
      <c r="F3830" s="468"/>
    </row>
    <row r="3831" spans="1:6" ht="12.75" x14ac:dyDescent="0.2">
      <c r="A3831" s="451"/>
      <c r="B3831" s="451"/>
      <c r="C3831" s="451"/>
      <c r="D3831" s="451"/>
      <c r="E3831" s="468"/>
      <c r="F3831" s="468"/>
    </row>
    <row r="3832" spans="1:6" ht="12.75" x14ac:dyDescent="0.2">
      <c r="A3832" s="451"/>
      <c r="B3832" s="451"/>
      <c r="C3832" s="451"/>
      <c r="D3832" s="451"/>
      <c r="E3832" s="468"/>
      <c r="F3832" s="468"/>
    </row>
    <row r="3833" spans="1:6" ht="12.75" x14ac:dyDescent="0.2">
      <c r="A3833" s="451"/>
      <c r="B3833" s="451"/>
      <c r="C3833" s="451"/>
      <c r="D3833" s="451"/>
      <c r="E3833" s="468"/>
      <c r="F3833" s="468"/>
    </row>
    <row r="3834" spans="1:6" ht="12.75" x14ac:dyDescent="0.2">
      <c r="A3834" s="451"/>
      <c r="B3834" s="451"/>
      <c r="C3834" s="451"/>
      <c r="D3834" s="451"/>
      <c r="E3834" s="468"/>
      <c r="F3834" s="468"/>
    </row>
    <row r="3835" spans="1:6" ht="12.75" x14ac:dyDescent="0.2">
      <c r="A3835" s="451"/>
      <c r="B3835" s="451"/>
      <c r="C3835" s="451"/>
      <c r="D3835" s="451"/>
      <c r="E3835" s="468"/>
      <c r="F3835" s="468"/>
    </row>
    <row r="3836" spans="1:6" ht="12.75" x14ac:dyDescent="0.2">
      <c r="A3836" s="451"/>
      <c r="B3836" s="451"/>
      <c r="C3836" s="451"/>
      <c r="D3836" s="451"/>
      <c r="E3836" s="468"/>
      <c r="F3836" s="468"/>
    </row>
    <row r="3837" spans="1:6" ht="12.75" x14ac:dyDescent="0.2">
      <c r="A3837" s="451"/>
      <c r="B3837" s="451"/>
      <c r="C3837" s="451"/>
      <c r="D3837" s="451"/>
      <c r="E3837" s="468"/>
      <c r="F3837" s="468"/>
    </row>
    <row r="3838" spans="1:6" ht="12.75" x14ac:dyDescent="0.2">
      <c r="A3838" s="451"/>
      <c r="B3838" s="451"/>
      <c r="C3838" s="451"/>
      <c r="D3838" s="451"/>
      <c r="E3838" s="468"/>
      <c r="F3838" s="468"/>
    </row>
    <row r="3839" spans="1:6" ht="12.75" x14ac:dyDescent="0.2">
      <c r="A3839" s="451"/>
      <c r="B3839" s="451"/>
      <c r="C3839" s="451"/>
      <c r="D3839" s="451"/>
      <c r="E3839" s="468"/>
      <c r="F3839" s="468"/>
    </row>
    <row r="3840" spans="1:6" ht="12.75" x14ac:dyDescent="0.2">
      <c r="A3840" s="451"/>
      <c r="B3840" s="451"/>
      <c r="C3840" s="451"/>
      <c r="D3840" s="451"/>
      <c r="E3840" s="468"/>
      <c r="F3840" s="468"/>
    </row>
    <row r="3841" spans="1:6" ht="12.75" x14ac:dyDescent="0.2">
      <c r="A3841" s="451"/>
      <c r="B3841" s="451"/>
      <c r="C3841" s="451"/>
      <c r="D3841" s="451"/>
      <c r="E3841" s="468"/>
      <c r="F3841" s="468"/>
    </row>
    <row r="3842" spans="1:6" ht="12.75" x14ac:dyDescent="0.2">
      <c r="A3842" s="451"/>
      <c r="B3842" s="451"/>
      <c r="C3842" s="451"/>
      <c r="D3842" s="451"/>
      <c r="E3842" s="468"/>
      <c r="F3842" s="468"/>
    </row>
    <row r="3843" spans="1:6" ht="12.75" x14ac:dyDescent="0.2">
      <c r="A3843" s="451"/>
      <c r="B3843" s="451"/>
      <c r="C3843" s="451"/>
      <c r="D3843" s="451"/>
      <c r="E3843" s="468"/>
      <c r="F3843" s="468"/>
    </row>
    <row r="3844" spans="1:6" ht="12.75" x14ac:dyDescent="0.2">
      <c r="A3844" s="451"/>
      <c r="B3844" s="451"/>
      <c r="C3844" s="451"/>
      <c r="D3844" s="451"/>
      <c r="E3844" s="468"/>
      <c r="F3844" s="468"/>
    </row>
    <row r="3845" spans="1:6" ht="12.75" x14ac:dyDescent="0.2">
      <c r="A3845" s="451"/>
      <c r="B3845" s="451"/>
      <c r="C3845" s="451"/>
      <c r="D3845" s="451"/>
      <c r="E3845" s="468"/>
      <c r="F3845" s="468"/>
    </row>
    <row r="3846" spans="1:6" ht="12.75" x14ac:dyDescent="0.2">
      <c r="A3846" s="451"/>
      <c r="B3846" s="451"/>
      <c r="C3846" s="451"/>
      <c r="D3846" s="451"/>
      <c r="E3846" s="468"/>
      <c r="F3846" s="468"/>
    </row>
    <row r="3847" spans="1:6" ht="12.75" x14ac:dyDescent="0.2">
      <c r="A3847" s="451"/>
      <c r="B3847" s="451"/>
      <c r="C3847" s="451"/>
      <c r="D3847" s="451"/>
      <c r="E3847" s="468"/>
      <c r="F3847" s="468"/>
    </row>
    <row r="3848" spans="1:6" ht="12.75" x14ac:dyDescent="0.2">
      <c r="A3848" s="451"/>
      <c r="B3848" s="451"/>
      <c r="C3848" s="451"/>
      <c r="D3848" s="451"/>
      <c r="E3848" s="468"/>
      <c r="F3848" s="468"/>
    </row>
    <row r="3849" spans="1:6" ht="12.75" x14ac:dyDescent="0.2">
      <c r="A3849" s="451"/>
      <c r="B3849" s="451"/>
      <c r="C3849" s="451"/>
      <c r="D3849" s="451"/>
      <c r="E3849" s="468"/>
      <c r="F3849" s="468"/>
    </row>
    <row r="3850" spans="1:6" ht="12.75" x14ac:dyDescent="0.2">
      <c r="A3850" s="451"/>
      <c r="B3850" s="451"/>
      <c r="C3850" s="451"/>
      <c r="D3850" s="451"/>
      <c r="E3850" s="468"/>
      <c r="F3850" s="468"/>
    </row>
    <row r="3851" spans="1:6" ht="12.75" x14ac:dyDescent="0.2">
      <c r="A3851" s="451"/>
      <c r="B3851" s="451"/>
      <c r="C3851" s="451"/>
      <c r="D3851" s="451"/>
      <c r="E3851" s="468"/>
      <c r="F3851" s="468"/>
    </row>
    <row r="3852" spans="1:6" ht="12.75" x14ac:dyDescent="0.2">
      <c r="A3852" s="451"/>
      <c r="B3852" s="451"/>
      <c r="C3852" s="451"/>
      <c r="D3852" s="451"/>
      <c r="E3852" s="468"/>
      <c r="F3852" s="468"/>
    </row>
    <row r="3853" spans="1:6" ht="12.75" x14ac:dyDescent="0.2">
      <c r="A3853" s="451"/>
      <c r="B3853" s="451"/>
      <c r="C3853" s="451"/>
      <c r="D3853" s="451"/>
      <c r="E3853" s="468"/>
      <c r="F3853" s="468"/>
    </row>
    <row r="3854" spans="1:6" ht="12.75" x14ac:dyDescent="0.2">
      <c r="A3854" s="451"/>
      <c r="B3854" s="451"/>
      <c r="C3854" s="451"/>
      <c r="D3854" s="451"/>
      <c r="E3854" s="468"/>
      <c r="F3854" s="468"/>
    </row>
    <row r="3855" spans="1:6" ht="12.75" x14ac:dyDescent="0.2">
      <c r="A3855" s="451"/>
      <c r="B3855" s="451"/>
      <c r="C3855" s="451"/>
      <c r="D3855" s="451"/>
      <c r="E3855" s="468"/>
      <c r="F3855" s="468"/>
    </row>
    <row r="3856" spans="1:6" ht="12.75" x14ac:dyDescent="0.2">
      <c r="A3856" s="451"/>
      <c r="B3856" s="451"/>
      <c r="C3856" s="451"/>
      <c r="D3856" s="451"/>
      <c r="E3856" s="468"/>
      <c r="F3856" s="468"/>
    </row>
    <row r="3857" spans="1:6" ht="12.75" x14ac:dyDescent="0.2">
      <c r="A3857" s="451"/>
      <c r="B3857" s="451"/>
      <c r="C3857" s="451"/>
      <c r="D3857" s="451"/>
      <c r="E3857" s="468"/>
      <c r="F3857" s="468"/>
    </row>
    <row r="3858" spans="1:6" ht="12.75" x14ac:dyDescent="0.2">
      <c r="A3858" s="451"/>
      <c r="B3858" s="451"/>
      <c r="C3858" s="451"/>
      <c r="D3858" s="451"/>
      <c r="E3858" s="468"/>
      <c r="F3858" s="468"/>
    </row>
    <row r="3859" spans="1:6" ht="12.75" x14ac:dyDescent="0.2">
      <c r="A3859" s="451"/>
      <c r="B3859" s="451"/>
      <c r="C3859" s="451"/>
      <c r="D3859" s="451"/>
      <c r="E3859" s="468"/>
      <c r="F3859" s="468"/>
    </row>
    <row r="3860" spans="1:6" ht="12.75" x14ac:dyDescent="0.2">
      <c r="A3860" s="451"/>
      <c r="B3860" s="451"/>
      <c r="C3860" s="451"/>
      <c r="D3860" s="451"/>
      <c r="E3860" s="468"/>
      <c r="F3860" s="468"/>
    </row>
    <row r="3861" spans="1:6" ht="12.75" x14ac:dyDescent="0.2">
      <c r="A3861" s="451"/>
      <c r="B3861" s="451"/>
      <c r="C3861" s="451"/>
      <c r="D3861" s="451"/>
      <c r="E3861" s="468"/>
      <c r="F3861" s="468"/>
    </row>
    <row r="3862" spans="1:6" ht="12.75" x14ac:dyDescent="0.2">
      <c r="A3862" s="451"/>
      <c r="B3862" s="451"/>
      <c r="C3862" s="451"/>
      <c r="D3862" s="451"/>
      <c r="E3862" s="468"/>
      <c r="F3862" s="468"/>
    </row>
    <row r="3863" spans="1:6" ht="12.75" x14ac:dyDescent="0.2">
      <c r="A3863" s="451"/>
      <c r="B3863" s="451"/>
      <c r="C3863" s="451"/>
      <c r="D3863" s="451"/>
      <c r="E3863" s="468"/>
      <c r="F3863" s="468"/>
    </row>
    <row r="3864" spans="1:6" ht="12.75" x14ac:dyDescent="0.2">
      <c r="A3864" s="451"/>
      <c r="B3864" s="451"/>
      <c r="C3864" s="451"/>
      <c r="D3864" s="451"/>
      <c r="E3864" s="468"/>
      <c r="F3864" s="468"/>
    </row>
    <row r="3865" spans="1:6" ht="12.75" x14ac:dyDescent="0.2">
      <c r="A3865" s="451"/>
      <c r="B3865" s="451"/>
      <c r="C3865" s="451"/>
      <c r="D3865" s="451"/>
      <c r="E3865" s="468"/>
      <c r="F3865" s="468"/>
    </row>
    <row r="3866" spans="1:6" ht="12.75" x14ac:dyDescent="0.2">
      <c r="A3866" s="451"/>
      <c r="B3866" s="451"/>
      <c r="C3866" s="451"/>
      <c r="D3866" s="451"/>
      <c r="E3866" s="468"/>
      <c r="F3866" s="468"/>
    </row>
    <row r="3867" spans="1:6" ht="12.75" x14ac:dyDescent="0.2">
      <c r="A3867" s="451"/>
      <c r="B3867" s="451"/>
      <c r="C3867" s="451"/>
      <c r="D3867" s="451"/>
      <c r="E3867" s="468"/>
      <c r="F3867" s="468"/>
    </row>
    <row r="3868" spans="1:6" ht="12.75" x14ac:dyDescent="0.2">
      <c r="A3868" s="451"/>
      <c r="B3868" s="451"/>
      <c r="C3868" s="451"/>
      <c r="D3868" s="451"/>
      <c r="E3868" s="468"/>
      <c r="F3868" s="468"/>
    </row>
    <row r="3869" spans="1:6" ht="12.75" x14ac:dyDescent="0.2">
      <c r="A3869" s="451"/>
      <c r="B3869" s="451"/>
      <c r="C3869" s="451"/>
      <c r="D3869" s="451"/>
      <c r="E3869" s="468"/>
      <c r="F3869" s="468"/>
    </row>
    <row r="3870" spans="1:6" ht="12.75" x14ac:dyDescent="0.2">
      <c r="A3870" s="451"/>
      <c r="B3870" s="451"/>
      <c r="C3870" s="451"/>
      <c r="D3870" s="451"/>
      <c r="E3870" s="468"/>
      <c r="F3870" s="468"/>
    </row>
    <row r="3871" spans="1:6" ht="12.75" x14ac:dyDescent="0.2">
      <c r="A3871" s="451"/>
      <c r="B3871" s="451"/>
      <c r="C3871" s="451"/>
      <c r="D3871" s="451"/>
      <c r="E3871" s="468"/>
      <c r="F3871" s="468"/>
    </row>
    <row r="3872" spans="1:6" ht="12.75" x14ac:dyDescent="0.2">
      <c r="A3872" s="451"/>
      <c r="B3872" s="451"/>
      <c r="C3872" s="451"/>
      <c r="D3872" s="451"/>
      <c r="E3872" s="468"/>
      <c r="F3872" s="468"/>
    </row>
    <row r="3873" spans="1:6" ht="12.75" x14ac:dyDescent="0.2">
      <c r="A3873" s="451"/>
      <c r="B3873" s="451"/>
      <c r="C3873" s="451"/>
      <c r="D3873" s="451"/>
      <c r="E3873" s="468"/>
      <c r="F3873" s="468"/>
    </row>
    <row r="3874" spans="1:6" ht="12.75" x14ac:dyDescent="0.2">
      <c r="A3874" s="451"/>
      <c r="B3874" s="451"/>
      <c r="C3874" s="451"/>
      <c r="D3874" s="451"/>
      <c r="E3874" s="468"/>
      <c r="F3874" s="468"/>
    </row>
    <row r="3875" spans="1:6" ht="12.75" x14ac:dyDescent="0.2">
      <c r="A3875" s="451"/>
      <c r="B3875" s="451"/>
      <c r="C3875" s="451"/>
      <c r="D3875" s="451"/>
      <c r="E3875" s="468"/>
      <c r="F3875" s="468"/>
    </row>
    <row r="3876" spans="1:6" ht="12.75" x14ac:dyDescent="0.2">
      <c r="A3876" s="451"/>
      <c r="B3876" s="451"/>
      <c r="C3876" s="451"/>
      <c r="D3876" s="451"/>
      <c r="E3876" s="468"/>
      <c r="F3876" s="468"/>
    </row>
    <row r="3877" spans="1:6" ht="12.75" x14ac:dyDescent="0.2">
      <c r="A3877" s="451"/>
      <c r="B3877" s="451"/>
      <c r="C3877" s="451"/>
      <c r="D3877" s="451"/>
      <c r="E3877" s="468"/>
      <c r="F3877" s="468"/>
    </row>
    <row r="3878" spans="1:6" ht="12.75" x14ac:dyDescent="0.2">
      <c r="A3878" s="451"/>
      <c r="B3878" s="451"/>
      <c r="C3878" s="451"/>
      <c r="D3878" s="451"/>
      <c r="E3878" s="468"/>
      <c r="F3878" s="468"/>
    </row>
    <row r="3879" spans="1:6" ht="12.75" x14ac:dyDescent="0.2">
      <c r="A3879" s="451"/>
      <c r="B3879" s="451"/>
      <c r="C3879" s="451"/>
      <c r="D3879" s="451"/>
      <c r="E3879" s="468"/>
      <c r="F3879" s="468"/>
    </row>
    <row r="3880" spans="1:6" ht="12.75" x14ac:dyDescent="0.2">
      <c r="A3880" s="451"/>
      <c r="B3880" s="451"/>
      <c r="C3880" s="451"/>
      <c r="D3880" s="451"/>
      <c r="E3880" s="468"/>
      <c r="F3880" s="468"/>
    </row>
    <row r="3881" spans="1:6" ht="12.75" x14ac:dyDescent="0.2">
      <c r="A3881" s="451"/>
      <c r="B3881" s="451"/>
      <c r="C3881" s="451"/>
      <c r="D3881" s="451"/>
      <c r="E3881" s="468"/>
      <c r="F3881" s="468"/>
    </row>
    <row r="3882" spans="1:6" ht="12.75" x14ac:dyDescent="0.2">
      <c r="A3882" s="451"/>
      <c r="B3882" s="451"/>
      <c r="C3882" s="451"/>
      <c r="D3882" s="451"/>
      <c r="E3882" s="468"/>
      <c r="F3882" s="468"/>
    </row>
    <row r="3883" spans="1:6" ht="12.75" x14ac:dyDescent="0.2">
      <c r="A3883" s="451"/>
      <c r="B3883" s="451"/>
      <c r="C3883" s="451"/>
      <c r="D3883" s="451"/>
      <c r="E3883" s="468"/>
      <c r="F3883" s="468"/>
    </row>
    <row r="3884" spans="1:6" ht="12.75" x14ac:dyDescent="0.2">
      <c r="A3884" s="451"/>
      <c r="B3884" s="451"/>
      <c r="C3884" s="451"/>
      <c r="D3884" s="451"/>
      <c r="E3884" s="468"/>
      <c r="F3884" s="468"/>
    </row>
    <row r="3885" spans="1:6" ht="12.75" x14ac:dyDescent="0.2">
      <c r="A3885" s="451"/>
      <c r="B3885" s="451"/>
      <c r="C3885" s="451"/>
      <c r="D3885" s="451"/>
      <c r="E3885" s="468"/>
      <c r="F3885" s="468"/>
    </row>
    <row r="3886" spans="1:6" ht="12.75" x14ac:dyDescent="0.2">
      <c r="A3886" s="451"/>
      <c r="B3886" s="451"/>
      <c r="C3886" s="451"/>
      <c r="D3886" s="451"/>
      <c r="E3886" s="468"/>
      <c r="F3886" s="468"/>
    </row>
    <row r="3887" spans="1:6" ht="12.75" x14ac:dyDescent="0.2">
      <c r="A3887" s="451"/>
      <c r="B3887" s="451"/>
      <c r="C3887" s="451"/>
      <c r="D3887" s="451"/>
      <c r="E3887" s="468"/>
      <c r="F3887" s="468"/>
    </row>
    <row r="3888" spans="1:6" ht="12.75" x14ac:dyDescent="0.2">
      <c r="A3888" s="451"/>
      <c r="B3888" s="451"/>
      <c r="C3888" s="451"/>
      <c r="D3888" s="451"/>
      <c r="E3888" s="468"/>
      <c r="F3888" s="468"/>
    </row>
    <row r="3889" spans="1:6" ht="12.75" x14ac:dyDescent="0.2">
      <c r="A3889" s="451"/>
      <c r="B3889" s="451"/>
      <c r="C3889" s="451"/>
      <c r="D3889" s="451"/>
      <c r="E3889" s="468"/>
      <c r="F3889" s="468"/>
    </row>
    <row r="3890" spans="1:6" ht="12.75" x14ac:dyDescent="0.2">
      <c r="A3890" s="451"/>
      <c r="B3890" s="451"/>
      <c r="C3890" s="451"/>
      <c r="D3890" s="451"/>
      <c r="E3890" s="468"/>
      <c r="F3890" s="468"/>
    </row>
    <row r="3891" spans="1:6" ht="12.75" x14ac:dyDescent="0.2">
      <c r="A3891" s="451"/>
      <c r="B3891" s="451"/>
      <c r="C3891" s="451"/>
      <c r="D3891" s="451"/>
      <c r="E3891" s="468"/>
      <c r="F3891" s="468"/>
    </row>
    <row r="3892" spans="1:6" ht="12.75" x14ac:dyDescent="0.2">
      <c r="A3892" s="451"/>
      <c r="B3892" s="451"/>
      <c r="C3892" s="451"/>
      <c r="D3892" s="451"/>
      <c r="E3892" s="468"/>
      <c r="F3892" s="468"/>
    </row>
    <row r="3893" spans="1:6" ht="12.75" x14ac:dyDescent="0.2">
      <c r="A3893" s="451"/>
      <c r="B3893" s="451"/>
      <c r="C3893" s="451"/>
      <c r="D3893" s="451"/>
      <c r="E3893" s="468"/>
      <c r="F3893" s="468"/>
    </row>
    <row r="3894" spans="1:6" ht="12.75" x14ac:dyDescent="0.2">
      <c r="A3894" s="451"/>
      <c r="B3894" s="451"/>
      <c r="C3894" s="451"/>
      <c r="D3894" s="451"/>
      <c r="E3894" s="468"/>
      <c r="F3894" s="468"/>
    </row>
    <row r="3895" spans="1:6" ht="12.75" x14ac:dyDescent="0.2">
      <c r="A3895" s="451"/>
      <c r="B3895" s="451"/>
      <c r="C3895" s="451"/>
      <c r="D3895" s="451"/>
      <c r="E3895" s="468"/>
      <c r="F3895" s="468"/>
    </row>
    <row r="3896" spans="1:6" ht="12.75" x14ac:dyDescent="0.2">
      <c r="A3896" s="451"/>
      <c r="B3896" s="451"/>
      <c r="C3896" s="451"/>
      <c r="D3896" s="451"/>
      <c r="E3896" s="468"/>
      <c r="F3896" s="468"/>
    </row>
    <row r="3897" spans="1:6" ht="12.75" x14ac:dyDescent="0.2">
      <c r="A3897" s="451"/>
      <c r="B3897" s="451"/>
      <c r="C3897" s="451"/>
      <c r="D3897" s="451"/>
      <c r="E3897" s="468"/>
      <c r="F3897" s="468"/>
    </row>
    <row r="3898" spans="1:6" ht="12.75" x14ac:dyDescent="0.2">
      <c r="A3898" s="451"/>
      <c r="B3898" s="451"/>
      <c r="C3898" s="451"/>
      <c r="D3898" s="451"/>
      <c r="E3898" s="468"/>
      <c r="F3898" s="468"/>
    </row>
    <row r="3899" spans="1:6" ht="12.75" x14ac:dyDescent="0.2">
      <c r="A3899" s="451"/>
      <c r="B3899" s="451"/>
      <c r="C3899" s="451"/>
      <c r="D3899" s="451"/>
      <c r="E3899" s="468"/>
      <c r="F3899" s="468"/>
    </row>
    <row r="3900" spans="1:6" ht="12.75" x14ac:dyDescent="0.2">
      <c r="A3900" s="451"/>
      <c r="B3900" s="451"/>
      <c r="C3900" s="451"/>
      <c r="D3900" s="451"/>
      <c r="E3900" s="468"/>
      <c r="F3900" s="468"/>
    </row>
    <row r="3901" spans="1:6" ht="12.75" x14ac:dyDescent="0.2">
      <c r="A3901" s="451"/>
      <c r="B3901" s="451"/>
      <c r="C3901" s="451"/>
      <c r="D3901" s="451"/>
      <c r="E3901" s="468"/>
      <c r="F3901" s="468"/>
    </row>
    <row r="3902" spans="1:6" ht="12.75" x14ac:dyDescent="0.2">
      <c r="A3902" s="451"/>
      <c r="B3902" s="451"/>
      <c r="C3902" s="451"/>
      <c r="D3902" s="451"/>
      <c r="E3902" s="468"/>
      <c r="F3902" s="468"/>
    </row>
    <row r="3903" spans="1:6" ht="12.75" x14ac:dyDescent="0.2">
      <c r="A3903" s="451"/>
      <c r="B3903" s="451"/>
      <c r="C3903" s="451"/>
      <c r="D3903" s="451"/>
      <c r="E3903" s="468"/>
      <c r="F3903" s="468"/>
    </row>
    <row r="3904" spans="1:6" ht="12.75" x14ac:dyDescent="0.2">
      <c r="A3904" s="451"/>
      <c r="B3904" s="451"/>
      <c r="C3904" s="451"/>
      <c r="D3904" s="451"/>
      <c r="E3904" s="468"/>
      <c r="F3904" s="468"/>
    </row>
    <row r="3905" spans="1:6" ht="12.75" x14ac:dyDescent="0.2">
      <c r="A3905" s="451"/>
      <c r="B3905" s="451"/>
      <c r="C3905" s="451"/>
      <c r="D3905" s="451"/>
      <c r="E3905" s="468"/>
      <c r="F3905" s="468"/>
    </row>
    <row r="3906" spans="1:6" ht="12.75" x14ac:dyDescent="0.2">
      <c r="A3906" s="451"/>
      <c r="B3906" s="451"/>
      <c r="C3906" s="451"/>
      <c r="D3906" s="451"/>
      <c r="E3906" s="468"/>
      <c r="F3906" s="468"/>
    </row>
    <row r="3907" spans="1:6" ht="12.75" x14ac:dyDescent="0.2">
      <c r="A3907" s="451"/>
      <c r="B3907" s="451"/>
      <c r="C3907" s="451"/>
      <c r="D3907" s="451"/>
      <c r="E3907" s="468"/>
      <c r="F3907" s="468"/>
    </row>
    <row r="3908" spans="1:6" ht="12.75" x14ac:dyDescent="0.2">
      <c r="A3908" s="451"/>
      <c r="B3908" s="451"/>
      <c r="C3908" s="451"/>
      <c r="D3908" s="451"/>
      <c r="E3908" s="468"/>
      <c r="F3908" s="468"/>
    </row>
    <row r="3909" spans="1:6" ht="12.75" x14ac:dyDescent="0.2">
      <c r="A3909" s="451"/>
      <c r="B3909" s="451"/>
      <c r="C3909" s="451"/>
      <c r="D3909" s="451"/>
      <c r="E3909" s="468"/>
      <c r="F3909" s="468"/>
    </row>
    <row r="3910" spans="1:6" ht="12.75" x14ac:dyDescent="0.2">
      <c r="A3910" s="451"/>
      <c r="B3910" s="451"/>
      <c r="C3910" s="451"/>
      <c r="D3910" s="451"/>
      <c r="E3910" s="468"/>
      <c r="F3910" s="468"/>
    </row>
    <row r="3911" spans="1:6" ht="12.75" x14ac:dyDescent="0.2">
      <c r="A3911" s="451"/>
      <c r="B3911" s="451"/>
      <c r="C3911" s="451"/>
      <c r="D3911" s="451"/>
      <c r="E3911" s="468"/>
      <c r="F3911" s="468"/>
    </row>
    <row r="3912" spans="1:6" ht="12.75" x14ac:dyDescent="0.2">
      <c r="A3912" s="451"/>
      <c r="B3912" s="451"/>
      <c r="C3912" s="451"/>
      <c r="D3912" s="451"/>
      <c r="E3912" s="468"/>
      <c r="F3912" s="468"/>
    </row>
    <row r="3913" spans="1:6" ht="12.75" x14ac:dyDescent="0.2">
      <c r="A3913" s="451"/>
      <c r="B3913" s="451"/>
      <c r="C3913" s="451"/>
      <c r="D3913" s="451"/>
      <c r="E3913" s="468"/>
      <c r="F3913" s="468"/>
    </row>
    <row r="3914" spans="1:6" ht="12.75" x14ac:dyDescent="0.2">
      <c r="A3914" s="451"/>
      <c r="B3914" s="451"/>
      <c r="C3914" s="451"/>
      <c r="D3914" s="451"/>
      <c r="E3914" s="468"/>
      <c r="F3914" s="468"/>
    </row>
    <row r="3915" spans="1:6" ht="12.75" x14ac:dyDescent="0.2">
      <c r="A3915" s="451"/>
      <c r="B3915" s="451"/>
      <c r="C3915" s="451"/>
      <c r="D3915" s="451"/>
      <c r="E3915" s="468"/>
      <c r="F3915" s="468"/>
    </row>
    <row r="3916" spans="1:6" ht="12.75" x14ac:dyDescent="0.2">
      <c r="A3916" s="451"/>
      <c r="B3916" s="451"/>
      <c r="C3916" s="451"/>
      <c r="D3916" s="451"/>
      <c r="E3916" s="468"/>
      <c r="F3916" s="468"/>
    </row>
    <row r="3917" spans="1:6" ht="12.75" x14ac:dyDescent="0.2">
      <c r="A3917" s="451"/>
      <c r="B3917" s="451"/>
      <c r="C3917" s="451"/>
      <c r="D3917" s="451"/>
      <c r="E3917" s="468"/>
      <c r="F3917" s="468"/>
    </row>
    <row r="3918" spans="1:6" ht="12.75" x14ac:dyDescent="0.2">
      <c r="A3918" s="451"/>
      <c r="B3918" s="451"/>
      <c r="C3918" s="451"/>
      <c r="D3918" s="451"/>
      <c r="E3918" s="468"/>
      <c r="F3918" s="468"/>
    </row>
    <row r="3919" spans="1:6" ht="12.75" x14ac:dyDescent="0.2">
      <c r="A3919" s="451"/>
      <c r="B3919" s="451"/>
      <c r="C3919" s="451"/>
      <c r="D3919" s="451"/>
      <c r="E3919" s="468"/>
      <c r="F3919" s="468"/>
    </row>
    <row r="3920" spans="1:6" ht="12.75" x14ac:dyDescent="0.2">
      <c r="A3920" s="451"/>
      <c r="B3920" s="451"/>
      <c r="C3920" s="451"/>
      <c r="D3920" s="451"/>
      <c r="E3920" s="468"/>
      <c r="F3920" s="468"/>
    </row>
    <row r="3921" spans="1:6" ht="12.75" x14ac:dyDescent="0.2">
      <c r="A3921" s="451"/>
      <c r="B3921" s="451"/>
      <c r="C3921" s="451"/>
      <c r="D3921" s="451"/>
      <c r="E3921" s="468"/>
      <c r="F3921" s="468"/>
    </row>
    <row r="3922" spans="1:6" ht="12.75" x14ac:dyDescent="0.2">
      <c r="A3922" s="451"/>
      <c r="B3922" s="451"/>
      <c r="C3922" s="451"/>
      <c r="D3922" s="451"/>
      <c r="E3922" s="468"/>
      <c r="F3922" s="468"/>
    </row>
    <row r="3923" spans="1:6" ht="12.75" x14ac:dyDescent="0.2">
      <c r="A3923" s="451"/>
      <c r="B3923" s="451"/>
      <c r="C3923" s="451"/>
      <c r="D3923" s="451"/>
      <c r="E3923" s="468"/>
      <c r="F3923" s="468"/>
    </row>
    <row r="3924" spans="1:6" ht="12.75" x14ac:dyDescent="0.2">
      <c r="A3924" s="451"/>
      <c r="B3924" s="451"/>
      <c r="C3924" s="451"/>
      <c r="D3924" s="451"/>
      <c r="E3924" s="468"/>
      <c r="F3924" s="468"/>
    </row>
    <row r="3925" spans="1:6" ht="12.75" x14ac:dyDescent="0.2">
      <c r="A3925" s="451"/>
      <c r="B3925" s="451"/>
      <c r="C3925" s="451"/>
      <c r="D3925" s="451"/>
      <c r="E3925" s="468"/>
      <c r="F3925" s="468"/>
    </row>
    <row r="3926" spans="1:6" ht="12.75" x14ac:dyDescent="0.2">
      <c r="A3926" s="451"/>
      <c r="B3926" s="451"/>
      <c r="C3926" s="451"/>
      <c r="D3926" s="451"/>
      <c r="E3926" s="468"/>
      <c r="F3926" s="468"/>
    </row>
    <row r="3927" spans="1:6" ht="12.75" x14ac:dyDescent="0.2">
      <c r="A3927" s="451"/>
      <c r="B3927" s="451"/>
      <c r="C3927" s="451"/>
      <c r="D3927" s="451"/>
      <c r="E3927" s="468"/>
      <c r="F3927" s="468"/>
    </row>
    <row r="3928" spans="1:6" ht="12.75" x14ac:dyDescent="0.2">
      <c r="A3928" s="451"/>
      <c r="B3928" s="451"/>
      <c r="C3928" s="451"/>
      <c r="D3928" s="451"/>
      <c r="E3928" s="468"/>
      <c r="F3928" s="468"/>
    </row>
    <row r="3929" spans="1:6" ht="12.75" x14ac:dyDescent="0.2">
      <c r="A3929" s="451"/>
      <c r="B3929" s="451"/>
      <c r="C3929" s="451"/>
      <c r="D3929" s="451"/>
      <c r="E3929" s="468"/>
      <c r="F3929" s="468"/>
    </row>
    <row r="3930" spans="1:6" ht="12.75" x14ac:dyDescent="0.2">
      <c r="A3930" s="451"/>
      <c r="B3930" s="451"/>
      <c r="C3930" s="451"/>
      <c r="D3930" s="451"/>
      <c r="E3930" s="468"/>
      <c r="F3930" s="468"/>
    </row>
    <row r="3931" spans="1:6" ht="12.75" x14ac:dyDescent="0.2">
      <c r="A3931" s="451"/>
      <c r="B3931" s="451"/>
      <c r="C3931" s="451"/>
      <c r="D3931" s="451"/>
      <c r="E3931" s="468"/>
      <c r="F3931" s="468"/>
    </row>
    <row r="3932" spans="1:6" ht="12.75" x14ac:dyDescent="0.2">
      <c r="A3932" s="451"/>
      <c r="B3932" s="451"/>
      <c r="C3932" s="451"/>
      <c r="D3932" s="451"/>
      <c r="E3932" s="468"/>
      <c r="F3932" s="468"/>
    </row>
    <row r="3933" spans="1:6" ht="12.75" x14ac:dyDescent="0.2">
      <c r="A3933" s="451"/>
      <c r="B3933" s="451"/>
      <c r="C3933" s="451"/>
      <c r="D3933" s="451"/>
      <c r="E3933" s="468"/>
      <c r="F3933" s="468"/>
    </row>
    <row r="3934" spans="1:6" ht="12.75" x14ac:dyDescent="0.2">
      <c r="A3934" s="451"/>
      <c r="B3934" s="451"/>
      <c r="C3934" s="451"/>
      <c r="D3934" s="451"/>
      <c r="E3934" s="468"/>
      <c r="F3934" s="468"/>
    </row>
    <row r="3935" spans="1:6" ht="12.75" x14ac:dyDescent="0.2">
      <c r="A3935" s="451"/>
      <c r="B3935" s="451"/>
      <c r="C3935" s="451"/>
      <c r="D3935" s="451"/>
      <c r="E3935" s="468"/>
      <c r="F3935" s="468"/>
    </row>
    <row r="3936" spans="1:6" ht="12.75" x14ac:dyDescent="0.2">
      <c r="A3936" s="451"/>
      <c r="B3936" s="451"/>
      <c r="C3936" s="451"/>
      <c r="D3936" s="451"/>
      <c r="E3936" s="468"/>
      <c r="F3936" s="468"/>
    </row>
    <row r="3937" spans="1:6" ht="12.75" x14ac:dyDescent="0.2">
      <c r="A3937" s="451"/>
      <c r="B3937" s="451"/>
      <c r="C3937" s="451"/>
      <c r="D3937" s="451"/>
      <c r="E3937" s="468"/>
      <c r="F3937" s="468"/>
    </row>
    <row r="3938" spans="1:6" ht="12.75" x14ac:dyDescent="0.2">
      <c r="A3938" s="451"/>
      <c r="B3938" s="451"/>
      <c r="C3938" s="451"/>
      <c r="D3938" s="451"/>
      <c r="E3938" s="468"/>
      <c r="F3938" s="468"/>
    </row>
    <row r="3939" spans="1:6" ht="12.75" x14ac:dyDescent="0.2">
      <c r="A3939" s="451"/>
      <c r="B3939" s="451"/>
      <c r="C3939" s="451"/>
      <c r="D3939" s="451"/>
      <c r="E3939" s="468"/>
      <c r="F3939" s="468"/>
    </row>
    <row r="3940" spans="1:6" ht="12.75" x14ac:dyDescent="0.2">
      <c r="A3940" s="451"/>
      <c r="B3940" s="451"/>
      <c r="C3940" s="451"/>
      <c r="D3940" s="451"/>
      <c r="E3940" s="468"/>
      <c r="F3940" s="468"/>
    </row>
    <row r="3941" spans="1:6" ht="12.75" x14ac:dyDescent="0.2">
      <c r="A3941" s="451"/>
      <c r="B3941" s="451"/>
      <c r="C3941" s="451"/>
      <c r="D3941" s="451"/>
      <c r="E3941" s="468"/>
      <c r="F3941" s="468"/>
    </row>
    <row r="3942" spans="1:6" ht="12.75" x14ac:dyDescent="0.2">
      <c r="A3942" s="451"/>
      <c r="B3942" s="451"/>
      <c r="C3942" s="451"/>
      <c r="D3942" s="451"/>
      <c r="E3942" s="468"/>
      <c r="F3942" s="468"/>
    </row>
    <row r="3943" spans="1:6" ht="12.75" x14ac:dyDescent="0.2">
      <c r="A3943" s="451"/>
      <c r="B3943" s="451"/>
      <c r="C3943" s="451"/>
      <c r="D3943" s="451"/>
      <c r="E3943" s="468"/>
      <c r="F3943" s="468"/>
    </row>
    <row r="3944" spans="1:6" ht="12.75" x14ac:dyDescent="0.2">
      <c r="A3944" s="451"/>
      <c r="B3944" s="451"/>
      <c r="C3944" s="451"/>
      <c r="D3944" s="451"/>
      <c r="E3944" s="468"/>
      <c r="F3944" s="468"/>
    </row>
    <row r="3945" spans="1:6" ht="12.75" x14ac:dyDescent="0.2">
      <c r="A3945" s="451"/>
      <c r="B3945" s="451"/>
      <c r="C3945" s="451"/>
      <c r="D3945" s="451"/>
      <c r="E3945" s="468"/>
      <c r="F3945" s="468"/>
    </row>
    <row r="3946" spans="1:6" ht="12.75" x14ac:dyDescent="0.2">
      <c r="A3946" s="451"/>
      <c r="B3946" s="451"/>
      <c r="C3946" s="451"/>
      <c r="D3946" s="451"/>
      <c r="E3946" s="468"/>
      <c r="F3946" s="468"/>
    </row>
    <row r="3947" spans="1:6" ht="12.75" x14ac:dyDescent="0.2">
      <c r="A3947" s="451"/>
      <c r="B3947" s="451"/>
      <c r="C3947" s="451"/>
      <c r="D3947" s="451"/>
      <c r="E3947" s="468"/>
      <c r="F3947" s="468"/>
    </row>
    <row r="3948" spans="1:6" ht="12.75" x14ac:dyDescent="0.2">
      <c r="A3948" s="451"/>
      <c r="B3948" s="451"/>
      <c r="C3948" s="451"/>
      <c r="D3948" s="451"/>
      <c r="E3948" s="468"/>
      <c r="F3948" s="468"/>
    </row>
    <row r="3949" spans="1:6" ht="12.75" x14ac:dyDescent="0.2">
      <c r="A3949" s="451"/>
      <c r="B3949" s="451"/>
      <c r="C3949" s="451"/>
      <c r="D3949" s="451"/>
      <c r="E3949" s="468"/>
      <c r="F3949" s="468"/>
    </row>
    <row r="3950" spans="1:6" ht="12.75" x14ac:dyDescent="0.2">
      <c r="A3950" s="451"/>
      <c r="B3950" s="451"/>
      <c r="C3950" s="451"/>
      <c r="D3950" s="451"/>
      <c r="E3950" s="468"/>
      <c r="F3950" s="468"/>
    </row>
    <row r="3951" spans="1:6" ht="12.75" x14ac:dyDescent="0.2">
      <c r="A3951" s="451"/>
      <c r="B3951" s="451"/>
      <c r="C3951" s="451"/>
      <c r="D3951" s="451"/>
      <c r="E3951" s="468"/>
      <c r="F3951" s="468"/>
    </row>
    <row r="3952" spans="1:6" ht="12.75" x14ac:dyDescent="0.2">
      <c r="A3952" s="451"/>
      <c r="B3952" s="451"/>
      <c r="C3952" s="451"/>
      <c r="D3952" s="451"/>
      <c r="E3952" s="468"/>
      <c r="F3952" s="468"/>
    </row>
    <row r="3953" spans="1:6" ht="12.75" x14ac:dyDescent="0.2">
      <c r="A3953" s="451"/>
      <c r="B3953" s="451"/>
      <c r="C3953" s="451"/>
      <c r="D3953" s="451"/>
      <c r="E3953" s="468"/>
      <c r="F3953" s="468"/>
    </row>
    <row r="3954" spans="1:6" ht="12.75" x14ac:dyDescent="0.2">
      <c r="A3954" s="451"/>
      <c r="B3954" s="451"/>
      <c r="C3954" s="451"/>
      <c r="D3954" s="451"/>
      <c r="E3954" s="468"/>
      <c r="F3954" s="468"/>
    </row>
    <row r="3955" spans="1:6" ht="12.75" x14ac:dyDescent="0.2">
      <c r="A3955" s="451"/>
      <c r="B3955" s="451"/>
      <c r="C3955" s="451"/>
      <c r="D3955" s="451"/>
      <c r="E3955" s="468"/>
      <c r="F3955" s="468"/>
    </row>
    <row r="3956" spans="1:6" ht="12.75" x14ac:dyDescent="0.2">
      <c r="A3956" s="451"/>
      <c r="B3956" s="451"/>
      <c r="C3956" s="451"/>
      <c r="D3956" s="451"/>
      <c r="E3956" s="468"/>
      <c r="F3956" s="468"/>
    </row>
    <row r="3957" spans="1:6" ht="12.75" x14ac:dyDescent="0.2">
      <c r="A3957" s="451"/>
      <c r="B3957" s="451"/>
      <c r="C3957" s="451"/>
      <c r="D3957" s="451"/>
      <c r="E3957" s="468"/>
      <c r="F3957" s="468"/>
    </row>
    <row r="3958" spans="1:6" ht="12.75" x14ac:dyDescent="0.2">
      <c r="A3958" s="451"/>
      <c r="B3958" s="451"/>
      <c r="C3958" s="451"/>
      <c r="D3958" s="451"/>
      <c r="E3958" s="468"/>
      <c r="F3958" s="468"/>
    </row>
    <row r="3959" spans="1:6" ht="12.75" x14ac:dyDescent="0.2">
      <c r="A3959" s="451"/>
      <c r="B3959" s="451"/>
      <c r="C3959" s="451"/>
      <c r="D3959" s="451"/>
      <c r="E3959" s="468"/>
      <c r="F3959" s="468"/>
    </row>
    <row r="3960" spans="1:6" ht="12.75" x14ac:dyDescent="0.2">
      <c r="A3960" s="451"/>
      <c r="B3960" s="451"/>
      <c r="C3960" s="451"/>
      <c r="D3960" s="451"/>
      <c r="E3960" s="468"/>
      <c r="F3960" s="468"/>
    </row>
    <row r="3961" spans="1:6" ht="12.75" x14ac:dyDescent="0.2">
      <c r="A3961" s="451"/>
      <c r="B3961" s="451"/>
      <c r="C3961" s="451"/>
      <c r="D3961" s="451"/>
      <c r="E3961" s="468"/>
      <c r="F3961" s="468"/>
    </row>
    <row r="3962" spans="1:6" ht="12.75" x14ac:dyDescent="0.2">
      <c r="A3962" s="451"/>
      <c r="B3962" s="451"/>
      <c r="C3962" s="451"/>
      <c r="D3962" s="451"/>
      <c r="E3962" s="468"/>
      <c r="F3962" s="468"/>
    </row>
    <row r="3963" spans="1:6" ht="12.75" x14ac:dyDescent="0.2">
      <c r="A3963" s="451"/>
      <c r="B3963" s="451"/>
      <c r="C3963" s="451"/>
      <c r="D3963" s="451"/>
      <c r="E3963" s="468"/>
      <c r="F3963" s="468"/>
    </row>
    <row r="3964" spans="1:6" ht="12.75" x14ac:dyDescent="0.2">
      <c r="A3964" s="451"/>
      <c r="B3964" s="451"/>
      <c r="C3964" s="451"/>
      <c r="D3964" s="451"/>
      <c r="E3964" s="468"/>
      <c r="F3964" s="468"/>
    </row>
    <row r="3965" spans="1:6" ht="12.75" x14ac:dyDescent="0.2">
      <c r="A3965" s="451"/>
      <c r="B3965" s="451"/>
      <c r="C3965" s="451"/>
      <c r="D3965" s="451"/>
      <c r="E3965" s="468"/>
      <c r="F3965" s="468"/>
    </row>
    <row r="3966" spans="1:6" ht="12.75" x14ac:dyDescent="0.2">
      <c r="A3966" s="451"/>
      <c r="B3966" s="451"/>
      <c r="C3966" s="451"/>
      <c r="D3966" s="451"/>
      <c r="E3966" s="468"/>
      <c r="F3966" s="468"/>
    </row>
    <row r="3967" spans="1:6" ht="12.75" x14ac:dyDescent="0.2">
      <c r="A3967" s="451"/>
      <c r="B3967" s="451"/>
      <c r="C3967" s="451"/>
      <c r="D3967" s="451"/>
      <c r="E3967" s="468"/>
      <c r="F3967" s="468"/>
    </row>
    <row r="3968" spans="1:6" ht="12.75" x14ac:dyDescent="0.2">
      <c r="A3968" s="451"/>
      <c r="B3968" s="451"/>
      <c r="C3968" s="451"/>
      <c r="D3968" s="451"/>
      <c r="E3968" s="468"/>
      <c r="F3968" s="468"/>
    </row>
    <row r="3969" spans="1:6" ht="12.75" x14ac:dyDescent="0.2">
      <c r="A3969" s="451"/>
      <c r="B3969" s="451"/>
      <c r="C3969" s="451"/>
      <c r="D3969" s="451"/>
      <c r="E3969" s="468"/>
      <c r="F3969" s="468"/>
    </row>
    <row r="3970" spans="1:6" ht="12.75" x14ac:dyDescent="0.2">
      <c r="A3970" s="451"/>
      <c r="B3970" s="451"/>
      <c r="C3970" s="451"/>
      <c r="D3970" s="451"/>
      <c r="E3970" s="468"/>
      <c r="F3970" s="468"/>
    </row>
    <row r="3971" spans="1:6" ht="12.75" x14ac:dyDescent="0.2">
      <c r="A3971" s="451"/>
      <c r="B3971" s="451"/>
      <c r="C3971" s="451"/>
      <c r="D3971" s="451"/>
      <c r="E3971" s="468"/>
      <c r="F3971" s="468"/>
    </row>
    <row r="3972" spans="1:6" ht="12.75" x14ac:dyDescent="0.2">
      <c r="A3972" s="451"/>
      <c r="B3972" s="451"/>
      <c r="C3972" s="451"/>
      <c r="D3972" s="451"/>
      <c r="E3972" s="468"/>
      <c r="F3972" s="468"/>
    </row>
    <row r="3973" spans="1:6" ht="12.75" x14ac:dyDescent="0.2">
      <c r="A3973" s="451"/>
      <c r="B3973" s="451"/>
      <c r="C3973" s="451"/>
      <c r="D3973" s="451"/>
      <c r="E3973" s="468"/>
      <c r="F3973" s="468"/>
    </row>
    <row r="3974" spans="1:6" ht="12.75" x14ac:dyDescent="0.2">
      <c r="A3974" s="451"/>
      <c r="B3974" s="451"/>
      <c r="C3974" s="451"/>
      <c r="D3974" s="451"/>
      <c r="E3974" s="468"/>
      <c r="F3974" s="468"/>
    </row>
    <row r="3975" spans="1:6" ht="12.75" x14ac:dyDescent="0.2">
      <c r="A3975" s="451"/>
      <c r="B3975" s="451"/>
      <c r="C3975" s="451"/>
      <c r="D3975" s="451"/>
      <c r="E3975" s="468"/>
      <c r="F3975" s="468"/>
    </row>
    <row r="3976" spans="1:6" ht="12.75" x14ac:dyDescent="0.2">
      <c r="A3976" s="451"/>
      <c r="B3976" s="451"/>
      <c r="C3976" s="451"/>
      <c r="D3976" s="451"/>
      <c r="E3976" s="468"/>
      <c r="F3976" s="468"/>
    </row>
    <row r="3977" spans="1:6" ht="12.75" x14ac:dyDescent="0.2">
      <c r="A3977" s="451"/>
      <c r="B3977" s="451"/>
      <c r="C3977" s="451"/>
      <c r="D3977" s="451"/>
      <c r="E3977" s="468"/>
      <c r="F3977" s="468"/>
    </row>
    <row r="3978" spans="1:6" ht="12.75" x14ac:dyDescent="0.2">
      <c r="A3978" s="451"/>
      <c r="B3978" s="451"/>
      <c r="C3978" s="451"/>
      <c r="D3978" s="451"/>
      <c r="E3978" s="468"/>
      <c r="F3978" s="468"/>
    </row>
    <row r="3979" spans="1:6" ht="12.75" x14ac:dyDescent="0.2">
      <c r="A3979" s="451"/>
      <c r="B3979" s="451"/>
      <c r="C3979" s="451"/>
      <c r="D3979" s="451"/>
      <c r="E3979" s="468"/>
      <c r="F3979" s="468"/>
    </row>
    <row r="3980" spans="1:6" ht="12.75" x14ac:dyDescent="0.2">
      <c r="A3980" s="451"/>
      <c r="B3980" s="451"/>
      <c r="C3980" s="451"/>
      <c r="D3980" s="451"/>
      <c r="E3980" s="468"/>
      <c r="F3980" s="468"/>
    </row>
    <row r="3981" spans="1:6" ht="12.75" x14ac:dyDescent="0.2">
      <c r="A3981" s="451"/>
      <c r="B3981" s="451"/>
      <c r="C3981" s="451"/>
      <c r="D3981" s="451"/>
      <c r="E3981" s="468"/>
      <c r="F3981" s="468"/>
    </row>
    <row r="3982" spans="1:6" ht="12.75" x14ac:dyDescent="0.2">
      <c r="A3982" s="451"/>
      <c r="B3982" s="451"/>
      <c r="C3982" s="451"/>
      <c r="D3982" s="451"/>
      <c r="E3982" s="468"/>
      <c r="F3982" s="468"/>
    </row>
    <row r="3983" spans="1:6" ht="12.75" x14ac:dyDescent="0.2">
      <c r="A3983" s="451"/>
      <c r="B3983" s="451"/>
      <c r="C3983" s="451"/>
      <c r="D3983" s="451"/>
      <c r="E3983" s="468"/>
      <c r="F3983" s="468"/>
    </row>
    <row r="3984" spans="1:6" ht="12.75" x14ac:dyDescent="0.2">
      <c r="A3984" s="451"/>
      <c r="B3984" s="451"/>
      <c r="C3984" s="451"/>
      <c r="D3984" s="451"/>
      <c r="E3984" s="468"/>
      <c r="F3984" s="468"/>
    </row>
    <row r="3985" spans="1:6" ht="12.75" x14ac:dyDescent="0.2">
      <c r="A3985" s="451"/>
      <c r="B3985" s="451"/>
      <c r="C3985" s="451"/>
      <c r="D3985" s="451"/>
      <c r="E3985" s="468"/>
      <c r="F3985" s="468"/>
    </row>
    <row r="3986" spans="1:6" ht="12.75" x14ac:dyDescent="0.2">
      <c r="A3986" s="451"/>
      <c r="B3986" s="451"/>
      <c r="C3986" s="451"/>
      <c r="D3986" s="451"/>
      <c r="E3986" s="468"/>
      <c r="F3986" s="468"/>
    </row>
    <row r="3987" spans="1:6" ht="12.75" x14ac:dyDescent="0.2">
      <c r="A3987" s="451"/>
      <c r="B3987" s="451"/>
      <c r="C3987" s="451"/>
      <c r="D3987" s="451"/>
      <c r="E3987" s="468"/>
      <c r="F3987" s="468"/>
    </row>
    <row r="3988" spans="1:6" ht="12.75" x14ac:dyDescent="0.2">
      <c r="A3988" s="451"/>
      <c r="B3988" s="451"/>
      <c r="C3988" s="451"/>
      <c r="D3988" s="451"/>
      <c r="E3988" s="468"/>
      <c r="F3988" s="468"/>
    </row>
    <row r="3989" spans="1:6" ht="12.75" x14ac:dyDescent="0.2">
      <c r="A3989" s="451"/>
      <c r="B3989" s="451"/>
      <c r="C3989" s="451"/>
      <c r="D3989" s="451"/>
      <c r="E3989" s="468"/>
      <c r="F3989" s="468"/>
    </row>
    <row r="3990" spans="1:6" ht="12.75" x14ac:dyDescent="0.2">
      <c r="A3990" s="451"/>
      <c r="B3990" s="451"/>
      <c r="C3990" s="451"/>
      <c r="D3990" s="451"/>
      <c r="E3990" s="468"/>
      <c r="F3990" s="468"/>
    </row>
    <row r="3991" spans="1:6" ht="12.75" x14ac:dyDescent="0.2">
      <c r="A3991" s="451"/>
      <c r="B3991" s="451"/>
      <c r="C3991" s="451"/>
      <c r="D3991" s="451"/>
      <c r="E3991" s="468"/>
      <c r="F3991" s="468"/>
    </row>
    <row r="3992" spans="1:6" ht="12.75" x14ac:dyDescent="0.2">
      <c r="A3992" s="451"/>
      <c r="B3992" s="451"/>
      <c r="C3992" s="451"/>
      <c r="D3992" s="451"/>
      <c r="E3992" s="468"/>
      <c r="F3992" s="468"/>
    </row>
    <row r="3993" spans="1:6" ht="12.75" x14ac:dyDescent="0.2">
      <c r="A3993" s="451"/>
      <c r="B3993" s="451"/>
      <c r="C3993" s="451"/>
      <c r="D3993" s="451"/>
      <c r="E3993" s="468"/>
      <c r="F3993" s="468"/>
    </row>
    <row r="3994" spans="1:6" ht="12.75" x14ac:dyDescent="0.2">
      <c r="A3994" s="451"/>
      <c r="B3994" s="451"/>
      <c r="C3994" s="451"/>
      <c r="D3994" s="451"/>
      <c r="E3994" s="468"/>
      <c r="F3994" s="468"/>
    </row>
    <row r="3995" spans="1:6" ht="12.75" x14ac:dyDescent="0.2">
      <c r="A3995" s="451"/>
      <c r="B3995" s="451"/>
      <c r="C3995" s="451"/>
      <c r="D3995" s="451"/>
      <c r="E3995" s="468"/>
      <c r="F3995" s="468"/>
    </row>
    <row r="3996" spans="1:6" ht="12.75" x14ac:dyDescent="0.2">
      <c r="A3996" s="451"/>
      <c r="B3996" s="451"/>
      <c r="C3996" s="451"/>
      <c r="D3996" s="451"/>
      <c r="E3996" s="468"/>
      <c r="F3996" s="468"/>
    </row>
    <row r="3997" spans="1:6" ht="12.75" x14ac:dyDescent="0.2">
      <c r="A3997" s="451"/>
      <c r="B3997" s="451"/>
      <c r="C3997" s="451"/>
      <c r="D3997" s="451"/>
      <c r="E3997" s="468"/>
      <c r="F3997" s="468"/>
    </row>
    <row r="3998" spans="1:6" ht="12.75" x14ac:dyDescent="0.2">
      <c r="A3998" s="451"/>
      <c r="B3998" s="451"/>
      <c r="C3998" s="451"/>
      <c r="D3998" s="451"/>
      <c r="E3998" s="468"/>
      <c r="F3998" s="468"/>
    </row>
    <row r="3999" spans="1:6" ht="12.75" x14ac:dyDescent="0.2">
      <c r="A3999" s="451"/>
      <c r="B3999" s="451"/>
      <c r="C3999" s="451"/>
      <c r="D3999" s="451"/>
      <c r="E3999" s="468"/>
      <c r="F3999" s="468"/>
    </row>
    <row r="4000" spans="1:6" ht="12.75" x14ac:dyDescent="0.2">
      <c r="A4000" s="451"/>
      <c r="B4000" s="451"/>
      <c r="C4000" s="451"/>
      <c r="D4000" s="451"/>
      <c r="E4000" s="468"/>
      <c r="F4000" s="468"/>
    </row>
    <row r="4001" spans="1:6" ht="12.75" x14ac:dyDescent="0.2">
      <c r="A4001" s="451"/>
      <c r="B4001" s="451"/>
      <c r="C4001" s="451"/>
      <c r="D4001" s="451"/>
      <c r="E4001" s="468"/>
      <c r="F4001" s="468"/>
    </row>
    <row r="4002" spans="1:6" ht="12.75" x14ac:dyDescent="0.2">
      <c r="A4002" s="451"/>
      <c r="B4002" s="451"/>
      <c r="C4002" s="451"/>
      <c r="D4002" s="451"/>
      <c r="E4002" s="468"/>
      <c r="F4002" s="468"/>
    </row>
    <row r="4003" spans="1:6" ht="12.75" x14ac:dyDescent="0.2">
      <c r="A4003" s="451"/>
      <c r="B4003" s="451"/>
      <c r="C4003" s="451"/>
      <c r="D4003" s="451"/>
      <c r="E4003" s="468"/>
      <c r="F4003" s="468"/>
    </row>
    <row r="4004" spans="1:6" ht="12.75" x14ac:dyDescent="0.2">
      <c r="A4004" s="451"/>
      <c r="B4004" s="451"/>
      <c r="C4004" s="451"/>
      <c r="D4004" s="451"/>
      <c r="E4004" s="468"/>
      <c r="F4004" s="468"/>
    </row>
    <row r="4005" spans="1:6" ht="12.75" x14ac:dyDescent="0.2">
      <c r="A4005" s="451"/>
      <c r="B4005" s="451"/>
      <c r="C4005" s="451"/>
      <c r="D4005" s="451"/>
      <c r="E4005" s="468"/>
      <c r="F4005" s="468"/>
    </row>
    <row r="4006" spans="1:6" ht="12.75" x14ac:dyDescent="0.2">
      <c r="A4006" s="451"/>
      <c r="B4006" s="451"/>
      <c r="C4006" s="451"/>
      <c r="D4006" s="451"/>
      <c r="E4006" s="468"/>
      <c r="F4006" s="468"/>
    </row>
    <row r="4007" spans="1:6" ht="12.75" x14ac:dyDescent="0.2">
      <c r="A4007" s="451"/>
      <c r="B4007" s="451"/>
      <c r="C4007" s="451"/>
      <c r="D4007" s="451"/>
      <c r="E4007" s="468"/>
      <c r="F4007" s="468"/>
    </row>
    <row r="4008" spans="1:6" ht="12.75" x14ac:dyDescent="0.2">
      <c r="A4008" s="451"/>
      <c r="B4008" s="451"/>
      <c r="C4008" s="451"/>
      <c r="D4008" s="451"/>
      <c r="E4008" s="468"/>
      <c r="F4008" s="468"/>
    </row>
    <row r="4009" spans="1:6" ht="12.75" x14ac:dyDescent="0.2">
      <c r="A4009" s="451"/>
      <c r="B4009" s="451"/>
      <c r="C4009" s="451"/>
      <c r="D4009" s="451"/>
      <c r="E4009" s="468"/>
      <c r="F4009" s="468"/>
    </row>
    <row r="4010" spans="1:6" ht="12.75" x14ac:dyDescent="0.2">
      <c r="A4010" s="451"/>
      <c r="B4010" s="451"/>
      <c r="C4010" s="451"/>
      <c r="D4010" s="451"/>
      <c r="E4010" s="468"/>
      <c r="F4010" s="468"/>
    </row>
    <row r="4011" spans="1:6" ht="12.75" x14ac:dyDescent="0.2">
      <c r="A4011" s="451"/>
      <c r="B4011" s="451"/>
      <c r="C4011" s="451"/>
      <c r="D4011" s="451"/>
      <c r="E4011" s="468"/>
      <c r="F4011" s="468"/>
    </row>
    <row r="4012" spans="1:6" ht="12.75" x14ac:dyDescent="0.2">
      <c r="A4012" s="451"/>
      <c r="B4012" s="451"/>
      <c r="C4012" s="451"/>
      <c r="D4012" s="451"/>
      <c r="E4012" s="468"/>
      <c r="F4012" s="468"/>
    </row>
    <row r="4013" spans="1:6" ht="12.75" x14ac:dyDescent="0.2">
      <c r="A4013" s="451"/>
      <c r="B4013" s="451"/>
      <c r="C4013" s="451"/>
      <c r="D4013" s="451"/>
      <c r="E4013" s="468"/>
      <c r="F4013" s="468"/>
    </row>
    <row r="4014" spans="1:6" ht="12.75" x14ac:dyDescent="0.2">
      <c r="A4014" s="451"/>
      <c r="B4014" s="451"/>
      <c r="C4014" s="451"/>
      <c r="D4014" s="451"/>
      <c r="E4014" s="468"/>
      <c r="F4014" s="468"/>
    </row>
    <row r="4015" spans="1:6" ht="12.75" x14ac:dyDescent="0.2">
      <c r="A4015" s="451"/>
      <c r="B4015" s="451"/>
      <c r="C4015" s="451"/>
      <c r="D4015" s="451"/>
      <c r="E4015" s="468"/>
      <c r="F4015" s="468"/>
    </row>
    <row r="4016" spans="1:6" ht="12.75" x14ac:dyDescent="0.2">
      <c r="A4016" s="451"/>
      <c r="B4016" s="451"/>
      <c r="C4016" s="451"/>
      <c r="D4016" s="451"/>
      <c r="E4016" s="468"/>
      <c r="F4016" s="468"/>
    </row>
    <row r="4017" spans="1:6" ht="12.75" x14ac:dyDescent="0.2">
      <c r="A4017" s="451"/>
      <c r="B4017" s="451"/>
      <c r="C4017" s="451"/>
      <c r="D4017" s="451"/>
      <c r="E4017" s="468"/>
      <c r="F4017" s="468"/>
    </row>
    <row r="4018" spans="1:6" ht="12.75" x14ac:dyDescent="0.2">
      <c r="A4018" s="451"/>
      <c r="B4018" s="451"/>
      <c r="C4018" s="451"/>
      <c r="D4018" s="451"/>
      <c r="E4018" s="468"/>
      <c r="F4018" s="468"/>
    </row>
    <row r="4019" spans="1:6" ht="12.75" x14ac:dyDescent="0.2">
      <c r="A4019" s="451"/>
      <c r="B4019" s="451"/>
      <c r="C4019" s="451"/>
      <c r="D4019" s="451"/>
      <c r="E4019" s="468"/>
      <c r="F4019" s="468"/>
    </row>
    <row r="4020" spans="1:6" ht="12.75" x14ac:dyDescent="0.2">
      <c r="A4020" s="451"/>
      <c r="B4020" s="451"/>
      <c r="C4020" s="451"/>
      <c r="D4020" s="451"/>
      <c r="E4020" s="468"/>
      <c r="F4020" s="468"/>
    </row>
    <row r="4021" spans="1:6" ht="12.75" x14ac:dyDescent="0.2">
      <c r="A4021" s="451"/>
      <c r="B4021" s="451"/>
      <c r="C4021" s="451"/>
      <c r="D4021" s="451"/>
      <c r="E4021" s="468"/>
      <c r="F4021" s="468"/>
    </row>
    <row r="4022" spans="1:6" ht="12.75" x14ac:dyDescent="0.2">
      <c r="A4022" s="451"/>
      <c r="B4022" s="451"/>
      <c r="C4022" s="451"/>
      <c r="D4022" s="451"/>
      <c r="E4022" s="468"/>
      <c r="F4022" s="468"/>
    </row>
    <row r="4023" spans="1:6" ht="12.75" x14ac:dyDescent="0.2">
      <c r="A4023" s="451"/>
      <c r="B4023" s="451"/>
      <c r="C4023" s="451"/>
      <c r="D4023" s="451"/>
      <c r="E4023" s="468"/>
      <c r="F4023" s="468"/>
    </row>
    <row r="4024" spans="1:6" ht="12.75" x14ac:dyDescent="0.2">
      <c r="A4024" s="451"/>
      <c r="B4024" s="451"/>
      <c r="C4024" s="451"/>
      <c r="D4024" s="451"/>
      <c r="E4024" s="468"/>
      <c r="F4024" s="468"/>
    </row>
    <row r="4025" spans="1:6" ht="12.75" x14ac:dyDescent="0.2">
      <c r="A4025" s="451"/>
      <c r="B4025" s="451"/>
      <c r="C4025" s="451"/>
      <c r="D4025" s="451"/>
      <c r="E4025" s="468"/>
      <c r="F4025" s="468"/>
    </row>
    <row r="4026" spans="1:6" ht="12.75" x14ac:dyDescent="0.2">
      <c r="A4026" s="451"/>
      <c r="B4026" s="451"/>
      <c r="C4026" s="451"/>
      <c r="D4026" s="451"/>
      <c r="E4026" s="468"/>
      <c r="F4026" s="468"/>
    </row>
    <row r="4027" spans="1:6" ht="12.75" x14ac:dyDescent="0.2">
      <c r="A4027" s="451"/>
      <c r="B4027" s="451"/>
      <c r="C4027" s="451"/>
      <c r="D4027" s="451"/>
      <c r="E4027" s="468"/>
      <c r="F4027" s="468"/>
    </row>
    <row r="4028" spans="1:6" ht="12.75" x14ac:dyDescent="0.2">
      <c r="A4028" s="451"/>
      <c r="B4028" s="451"/>
      <c r="C4028" s="451"/>
      <c r="D4028" s="451"/>
      <c r="E4028" s="468"/>
      <c r="F4028" s="468"/>
    </row>
    <row r="4029" spans="1:6" ht="12.75" x14ac:dyDescent="0.2">
      <c r="A4029" s="451"/>
      <c r="B4029" s="451"/>
      <c r="C4029" s="451"/>
      <c r="D4029" s="451"/>
      <c r="E4029" s="468"/>
      <c r="F4029" s="468"/>
    </row>
    <row r="4030" spans="1:6" ht="12.75" x14ac:dyDescent="0.2">
      <c r="A4030" s="451"/>
      <c r="B4030" s="451"/>
      <c r="C4030" s="451"/>
      <c r="D4030" s="451"/>
      <c r="E4030" s="468"/>
      <c r="F4030" s="468"/>
    </row>
    <row r="4031" spans="1:6" ht="12.75" x14ac:dyDescent="0.2">
      <c r="A4031" s="451"/>
      <c r="B4031" s="451"/>
      <c r="C4031" s="451"/>
      <c r="D4031" s="451"/>
      <c r="E4031" s="468"/>
      <c r="F4031" s="468"/>
    </row>
    <row r="4032" spans="1:6" ht="12.75" x14ac:dyDescent="0.2">
      <c r="A4032" s="451"/>
      <c r="B4032" s="451"/>
      <c r="C4032" s="451"/>
      <c r="D4032" s="451"/>
      <c r="E4032" s="468"/>
      <c r="F4032" s="468"/>
    </row>
    <row r="4033" spans="1:6" ht="12.75" x14ac:dyDescent="0.2">
      <c r="A4033" s="451"/>
      <c r="B4033" s="451"/>
      <c r="C4033" s="451"/>
      <c r="D4033" s="451"/>
      <c r="E4033" s="468"/>
      <c r="F4033" s="468"/>
    </row>
    <row r="4034" spans="1:6" ht="12.75" x14ac:dyDescent="0.2">
      <c r="A4034" s="451"/>
      <c r="B4034" s="451"/>
      <c r="C4034" s="451"/>
      <c r="D4034" s="451"/>
      <c r="E4034" s="468"/>
      <c r="F4034" s="468"/>
    </row>
    <row r="4035" spans="1:6" ht="12.75" x14ac:dyDescent="0.2">
      <c r="A4035" s="451"/>
      <c r="B4035" s="451"/>
      <c r="C4035" s="451"/>
      <c r="D4035" s="451"/>
      <c r="E4035" s="468"/>
      <c r="F4035" s="468"/>
    </row>
    <row r="4036" spans="1:6" ht="12.75" x14ac:dyDescent="0.2">
      <c r="A4036" s="451"/>
      <c r="B4036" s="451"/>
      <c r="C4036" s="451"/>
      <c r="D4036" s="451"/>
      <c r="E4036" s="468"/>
      <c r="F4036" s="468"/>
    </row>
    <row r="4037" spans="1:6" ht="12.75" x14ac:dyDescent="0.2">
      <c r="A4037" s="451"/>
      <c r="B4037" s="451"/>
      <c r="C4037" s="451"/>
      <c r="D4037" s="451"/>
      <c r="E4037" s="468"/>
      <c r="F4037" s="468"/>
    </row>
    <row r="4038" spans="1:6" ht="12.75" x14ac:dyDescent="0.2">
      <c r="A4038" s="451"/>
      <c r="B4038" s="451"/>
      <c r="C4038" s="451"/>
      <c r="D4038" s="451"/>
      <c r="E4038" s="468"/>
      <c r="F4038" s="468"/>
    </row>
    <row r="4039" spans="1:6" ht="12.75" x14ac:dyDescent="0.2">
      <c r="A4039" s="451"/>
      <c r="B4039" s="451"/>
      <c r="C4039" s="451"/>
      <c r="D4039" s="451"/>
      <c r="E4039" s="468"/>
      <c r="F4039" s="468"/>
    </row>
    <row r="4040" spans="1:6" ht="12.75" x14ac:dyDescent="0.2">
      <c r="A4040" s="451"/>
      <c r="B4040" s="451"/>
      <c r="C4040" s="451"/>
      <c r="D4040" s="451"/>
      <c r="E4040" s="468"/>
      <c r="F4040" s="468"/>
    </row>
    <row r="4041" spans="1:6" ht="12.75" x14ac:dyDescent="0.2">
      <c r="A4041" s="451"/>
      <c r="B4041" s="451"/>
      <c r="C4041" s="451"/>
      <c r="D4041" s="451"/>
      <c r="E4041" s="468"/>
      <c r="F4041" s="468"/>
    </row>
    <row r="4042" spans="1:6" ht="12.75" x14ac:dyDescent="0.2">
      <c r="A4042" s="451"/>
      <c r="B4042" s="451"/>
      <c r="C4042" s="451"/>
      <c r="D4042" s="451"/>
      <c r="E4042" s="468"/>
      <c r="F4042" s="468"/>
    </row>
    <row r="4043" spans="1:6" ht="12.75" x14ac:dyDescent="0.2">
      <c r="A4043" s="451"/>
      <c r="B4043" s="451"/>
      <c r="C4043" s="451"/>
      <c r="D4043" s="451"/>
      <c r="E4043" s="468"/>
      <c r="F4043" s="468"/>
    </row>
    <row r="4044" spans="1:6" ht="12.75" x14ac:dyDescent="0.2">
      <c r="A4044" s="451"/>
      <c r="B4044" s="451"/>
      <c r="C4044" s="451"/>
      <c r="D4044" s="451"/>
      <c r="E4044" s="468"/>
      <c r="F4044" s="468"/>
    </row>
    <row r="4045" spans="1:6" ht="12.75" x14ac:dyDescent="0.2">
      <c r="A4045" s="451"/>
      <c r="B4045" s="451"/>
      <c r="C4045" s="451"/>
      <c r="D4045" s="451"/>
      <c r="E4045" s="468"/>
      <c r="F4045" s="468"/>
    </row>
    <row r="4046" spans="1:6" ht="12.75" x14ac:dyDescent="0.2">
      <c r="A4046" s="451"/>
      <c r="B4046" s="451"/>
      <c r="C4046" s="451"/>
      <c r="D4046" s="451"/>
      <c r="E4046" s="468"/>
      <c r="F4046" s="468"/>
    </row>
    <row r="4047" spans="1:6" ht="12.75" x14ac:dyDescent="0.2">
      <c r="A4047" s="451"/>
      <c r="B4047" s="451"/>
      <c r="C4047" s="451"/>
      <c r="D4047" s="451"/>
      <c r="E4047" s="468"/>
      <c r="F4047" s="468"/>
    </row>
    <row r="4048" spans="1:6" ht="12.75" x14ac:dyDescent="0.2">
      <c r="A4048" s="451"/>
      <c r="B4048" s="451"/>
      <c r="C4048" s="451"/>
      <c r="D4048" s="451"/>
      <c r="E4048" s="468"/>
      <c r="F4048" s="468"/>
    </row>
    <row r="4049" spans="1:6" ht="12.75" x14ac:dyDescent="0.2">
      <c r="A4049" s="451"/>
      <c r="B4049" s="451"/>
      <c r="C4049" s="451"/>
      <c r="D4049" s="451"/>
      <c r="E4049" s="468"/>
      <c r="F4049" s="468"/>
    </row>
    <row r="4050" spans="1:6" ht="12.75" x14ac:dyDescent="0.2">
      <c r="A4050" s="451"/>
      <c r="B4050" s="451"/>
      <c r="C4050" s="451"/>
      <c r="D4050" s="451"/>
      <c r="E4050" s="468"/>
      <c r="F4050" s="468"/>
    </row>
    <row r="4051" spans="1:6" ht="12.75" x14ac:dyDescent="0.2">
      <c r="A4051" s="451"/>
      <c r="B4051" s="451"/>
      <c r="C4051" s="451"/>
      <c r="D4051" s="451"/>
      <c r="E4051" s="468"/>
      <c r="F4051" s="468"/>
    </row>
    <row r="4052" spans="1:6" ht="12.75" x14ac:dyDescent="0.2">
      <c r="A4052" s="451"/>
      <c r="B4052" s="451"/>
      <c r="C4052" s="451"/>
      <c r="D4052" s="451"/>
      <c r="E4052" s="468"/>
      <c r="F4052" s="468"/>
    </row>
    <row r="4053" spans="1:6" ht="12.75" x14ac:dyDescent="0.2">
      <c r="A4053" s="451"/>
      <c r="B4053" s="451"/>
      <c r="C4053" s="451"/>
      <c r="D4053" s="451"/>
      <c r="E4053" s="468"/>
      <c r="F4053" s="468"/>
    </row>
    <row r="4054" spans="1:6" ht="12.75" x14ac:dyDescent="0.2">
      <c r="A4054" s="451"/>
      <c r="B4054" s="451"/>
      <c r="C4054" s="451"/>
      <c r="D4054" s="451"/>
      <c r="E4054" s="468"/>
      <c r="F4054" s="468"/>
    </row>
    <row r="4055" spans="1:6" ht="12.75" x14ac:dyDescent="0.2">
      <c r="A4055" s="451"/>
      <c r="B4055" s="451"/>
      <c r="C4055" s="451"/>
      <c r="D4055" s="451"/>
      <c r="E4055" s="468"/>
      <c r="F4055" s="468"/>
    </row>
    <row r="4056" spans="1:6" ht="12.75" x14ac:dyDescent="0.2">
      <c r="A4056" s="451"/>
      <c r="B4056" s="451"/>
      <c r="C4056" s="451"/>
      <c r="D4056" s="451"/>
      <c r="E4056" s="468"/>
      <c r="F4056" s="468"/>
    </row>
    <row r="4057" spans="1:6" ht="12.75" x14ac:dyDescent="0.2">
      <c r="A4057" s="451"/>
      <c r="B4057" s="451"/>
      <c r="C4057" s="451"/>
      <c r="D4057" s="451"/>
      <c r="E4057" s="468"/>
      <c r="F4057" s="468"/>
    </row>
    <row r="4058" spans="1:6" ht="12.75" x14ac:dyDescent="0.2">
      <c r="A4058" s="451"/>
      <c r="B4058" s="451"/>
      <c r="C4058" s="451"/>
      <c r="D4058" s="451"/>
      <c r="E4058" s="468"/>
      <c r="F4058" s="468"/>
    </row>
    <row r="4059" spans="1:6" ht="12.75" x14ac:dyDescent="0.2">
      <c r="A4059" s="451"/>
      <c r="B4059" s="451"/>
      <c r="C4059" s="451"/>
      <c r="D4059" s="451"/>
      <c r="E4059" s="468"/>
      <c r="F4059" s="468"/>
    </row>
    <row r="4060" spans="1:6" ht="12.75" x14ac:dyDescent="0.2">
      <c r="A4060" s="451"/>
      <c r="B4060" s="451"/>
      <c r="C4060" s="451"/>
      <c r="D4060" s="451"/>
      <c r="E4060" s="468"/>
      <c r="F4060" s="468"/>
    </row>
    <row r="4061" spans="1:6" ht="12.75" x14ac:dyDescent="0.2">
      <c r="A4061" s="451"/>
      <c r="B4061" s="451"/>
      <c r="C4061" s="451"/>
      <c r="D4061" s="451"/>
      <c r="E4061" s="468"/>
      <c r="F4061" s="468"/>
    </row>
    <row r="4062" spans="1:6" ht="12.75" x14ac:dyDescent="0.2">
      <c r="A4062" s="451"/>
      <c r="B4062" s="451"/>
      <c r="C4062" s="451"/>
      <c r="D4062" s="451"/>
      <c r="E4062" s="468"/>
      <c r="F4062" s="468"/>
    </row>
    <row r="4063" spans="1:6" ht="12.75" x14ac:dyDescent="0.2">
      <c r="A4063" s="451"/>
      <c r="B4063" s="451"/>
      <c r="C4063" s="451"/>
      <c r="D4063" s="451"/>
      <c r="E4063" s="468"/>
      <c r="F4063" s="468"/>
    </row>
    <row r="4064" spans="1:6" ht="12.75" x14ac:dyDescent="0.2">
      <c r="A4064" s="451"/>
      <c r="B4064" s="451"/>
      <c r="C4064" s="451"/>
      <c r="D4064" s="451"/>
      <c r="E4064" s="468"/>
      <c r="F4064" s="468"/>
    </row>
    <row r="4065" spans="1:6" ht="12.75" x14ac:dyDescent="0.2">
      <c r="A4065" s="451"/>
      <c r="B4065" s="451"/>
      <c r="C4065" s="451"/>
      <c r="D4065" s="451"/>
      <c r="E4065" s="468"/>
      <c r="F4065" s="468"/>
    </row>
    <row r="4066" spans="1:6" ht="12.75" x14ac:dyDescent="0.2">
      <c r="A4066" s="451"/>
      <c r="B4066" s="451"/>
      <c r="C4066" s="451"/>
      <c r="D4066" s="451"/>
      <c r="E4066" s="468"/>
      <c r="F4066" s="468"/>
    </row>
    <row r="4067" spans="1:6" ht="12.75" x14ac:dyDescent="0.2">
      <c r="A4067" s="451"/>
      <c r="B4067" s="451"/>
      <c r="C4067" s="451"/>
      <c r="D4067" s="451"/>
      <c r="E4067" s="468"/>
      <c r="F4067" s="468"/>
    </row>
    <row r="4068" spans="1:6" ht="12.75" x14ac:dyDescent="0.2">
      <c r="A4068" s="451"/>
      <c r="B4068" s="451"/>
      <c r="C4068" s="451"/>
      <c r="D4068" s="451"/>
      <c r="E4068" s="468"/>
      <c r="F4068" s="468"/>
    </row>
    <row r="4069" spans="1:6" ht="12.75" x14ac:dyDescent="0.2">
      <c r="A4069" s="451"/>
      <c r="B4069" s="451"/>
      <c r="C4069" s="451"/>
      <c r="D4069" s="451"/>
      <c r="E4069" s="468"/>
      <c r="F4069" s="468"/>
    </row>
    <row r="4070" spans="1:6" ht="12.75" x14ac:dyDescent="0.2">
      <c r="A4070" s="451"/>
      <c r="B4070" s="451"/>
      <c r="C4070" s="451"/>
      <c r="D4070" s="451"/>
      <c r="E4070" s="468"/>
      <c r="F4070" s="468"/>
    </row>
    <row r="4071" spans="1:6" ht="12.75" x14ac:dyDescent="0.2">
      <c r="A4071" s="451"/>
      <c r="B4071" s="451"/>
      <c r="C4071" s="451"/>
      <c r="D4071" s="451"/>
      <c r="E4071" s="468"/>
      <c r="F4071" s="468"/>
    </row>
    <row r="4072" spans="1:6" ht="12.75" x14ac:dyDescent="0.2">
      <c r="A4072" s="451"/>
      <c r="B4072" s="451"/>
      <c r="C4072" s="451"/>
      <c r="D4072" s="451"/>
      <c r="E4072" s="468"/>
      <c r="F4072" s="468"/>
    </row>
    <row r="4073" spans="1:6" ht="12.75" x14ac:dyDescent="0.2">
      <c r="A4073" s="451"/>
      <c r="B4073" s="451"/>
      <c r="C4073" s="451"/>
      <c r="D4073" s="451"/>
      <c r="E4073" s="468"/>
      <c r="F4073" s="468"/>
    </row>
    <row r="4074" spans="1:6" ht="12.75" x14ac:dyDescent="0.2">
      <c r="A4074" s="451"/>
      <c r="B4074" s="451"/>
      <c r="C4074" s="451"/>
      <c r="D4074" s="451"/>
      <c r="E4074" s="468"/>
      <c r="F4074" s="468"/>
    </row>
    <row r="4075" spans="1:6" ht="12.75" x14ac:dyDescent="0.2">
      <c r="A4075" s="451"/>
      <c r="B4075" s="451"/>
      <c r="C4075" s="451"/>
      <c r="D4075" s="451"/>
      <c r="E4075" s="468"/>
      <c r="F4075" s="468"/>
    </row>
    <row r="4076" spans="1:6" ht="12.75" x14ac:dyDescent="0.2">
      <c r="A4076" s="451"/>
      <c r="B4076" s="451"/>
      <c r="C4076" s="451"/>
      <c r="D4076" s="451"/>
      <c r="E4076" s="468"/>
      <c r="F4076" s="468"/>
    </row>
    <row r="4077" spans="1:6" ht="12.75" x14ac:dyDescent="0.2">
      <c r="A4077" s="451"/>
      <c r="B4077" s="451"/>
      <c r="C4077" s="451"/>
      <c r="D4077" s="451"/>
      <c r="E4077" s="468"/>
      <c r="F4077" s="468"/>
    </row>
    <row r="4078" spans="1:6" ht="12.75" x14ac:dyDescent="0.2">
      <c r="A4078" s="451"/>
      <c r="B4078" s="451"/>
      <c r="C4078" s="451"/>
      <c r="D4078" s="451"/>
      <c r="E4078" s="468"/>
      <c r="F4078" s="468"/>
    </row>
    <row r="4079" spans="1:6" ht="12.75" x14ac:dyDescent="0.2">
      <c r="A4079" s="451"/>
      <c r="B4079" s="451"/>
      <c r="C4079" s="451"/>
      <c r="D4079" s="451"/>
      <c r="E4079" s="468"/>
      <c r="F4079" s="468"/>
    </row>
    <row r="4080" spans="1:6" ht="12.75" x14ac:dyDescent="0.2">
      <c r="A4080" s="451"/>
      <c r="B4080" s="451"/>
      <c r="C4080" s="451"/>
      <c r="D4080" s="451"/>
      <c r="E4080" s="468"/>
      <c r="F4080" s="468"/>
    </row>
    <row r="4081" spans="1:6" ht="12.75" x14ac:dyDescent="0.2">
      <c r="A4081" s="451"/>
      <c r="B4081" s="451"/>
      <c r="C4081" s="451"/>
      <c r="D4081" s="451"/>
      <c r="E4081" s="468"/>
      <c r="F4081" s="468"/>
    </row>
    <row r="4082" spans="1:6" ht="12.75" x14ac:dyDescent="0.2">
      <c r="A4082" s="451"/>
      <c r="B4082" s="451"/>
      <c r="C4082" s="451"/>
      <c r="D4082" s="451"/>
      <c r="E4082" s="468"/>
      <c r="F4082" s="468"/>
    </row>
    <row r="4083" spans="1:6" ht="12.75" x14ac:dyDescent="0.2">
      <c r="A4083" s="451"/>
      <c r="B4083" s="451"/>
      <c r="C4083" s="451"/>
      <c r="D4083" s="451"/>
      <c r="E4083" s="468"/>
      <c r="F4083" s="468"/>
    </row>
    <row r="4084" spans="1:6" ht="12.75" x14ac:dyDescent="0.2">
      <c r="A4084" s="451"/>
      <c r="B4084" s="451"/>
      <c r="C4084" s="451"/>
      <c r="D4084" s="451"/>
      <c r="E4084" s="468"/>
      <c r="F4084" s="468"/>
    </row>
    <row r="4085" spans="1:6" ht="12.75" x14ac:dyDescent="0.2">
      <c r="A4085" s="451"/>
      <c r="B4085" s="451"/>
      <c r="C4085" s="451"/>
      <c r="D4085" s="451"/>
      <c r="E4085" s="468"/>
      <c r="F4085" s="468"/>
    </row>
    <row r="4086" spans="1:6" ht="12.75" x14ac:dyDescent="0.2">
      <c r="A4086" s="451"/>
      <c r="B4086" s="451"/>
      <c r="C4086" s="451"/>
      <c r="D4086" s="451"/>
      <c r="E4086" s="468"/>
      <c r="F4086" s="468"/>
    </row>
    <row r="4087" spans="1:6" ht="12.75" x14ac:dyDescent="0.2">
      <c r="A4087" s="451"/>
      <c r="B4087" s="451"/>
      <c r="C4087" s="451"/>
      <c r="D4087" s="451"/>
      <c r="E4087" s="468"/>
      <c r="F4087" s="468"/>
    </row>
    <row r="4088" spans="1:6" ht="12.75" x14ac:dyDescent="0.2">
      <c r="A4088" s="451"/>
      <c r="B4088" s="451"/>
      <c r="C4088" s="451"/>
      <c r="D4088" s="451"/>
      <c r="E4088" s="468"/>
      <c r="F4088" s="468"/>
    </row>
    <row r="4089" spans="1:6" ht="12.75" x14ac:dyDescent="0.2">
      <c r="A4089" s="451"/>
      <c r="B4089" s="451"/>
      <c r="C4089" s="451"/>
      <c r="D4089" s="451"/>
      <c r="E4089" s="468"/>
      <c r="F4089" s="468"/>
    </row>
    <row r="4090" spans="1:6" ht="12.75" x14ac:dyDescent="0.2">
      <c r="A4090" s="451"/>
      <c r="B4090" s="451"/>
      <c r="C4090" s="451"/>
      <c r="D4090" s="451"/>
      <c r="E4090" s="468"/>
      <c r="F4090" s="468"/>
    </row>
    <row r="4091" spans="1:6" ht="12.75" x14ac:dyDescent="0.2">
      <c r="A4091" s="451"/>
      <c r="B4091" s="451"/>
      <c r="C4091" s="451"/>
      <c r="D4091" s="451"/>
      <c r="E4091" s="468"/>
      <c r="F4091" s="468"/>
    </row>
    <row r="4092" spans="1:6" ht="12.75" x14ac:dyDescent="0.2">
      <c r="A4092" s="451"/>
      <c r="B4092" s="451"/>
      <c r="C4092" s="451"/>
      <c r="D4092" s="451"/>
      <c r="E4092" s="468"/>
      <c r="F4092" s="468"/>
    </row>
    <row r="4093" spans="1:6" ht="12.75" x14ac:dyDescent="0.2">
      <c r="A4093" s="451"/>
      <c r="B4093" s="451"/>
      <c r="C4093" s="451"/>
      <c r="D4093" s="451"/>
      <c r="E4093" s="468"/>
      <c r="F4093" s="468"/>
    </row>
    <row r="4094" spans="1:6" ht="12.75" x14ac:dyDescent="0.2">
      <c r="A4094" s="451"/>
      <c r="B4094" s="451"/>
      <c r="C4094" s="451"/>
      <c r="D4094" s="451"/>
      <c r="E4094" s="468"/>
      <c r="F4094" s="468"/>
    </row>
    <row r="4095" spans="1:6" ht="12.75" x14ac:dyDescent="0.2">
      <c r="A4095" s="451"/>
      <c r="B4095" s="451"/>
      <c r="C4095" s="451"/>
      <c r="D4095" s="451"/>
      <c r="E4095" s="468"/>
      <c r="F4095" s="468"/>
    </row>
    <row r="4096" spans="1:6" ht="12.75" x14ac:dyDescent="0.2">
      <c r="A4096" s="451"/>
      <c r="B4096" s="451"/>
      <c r="C4096" s="451"/>
      <c r="D4096" s="451"/>
      <c r="E4096" s="468"/>
      <c r="F4096" s="468"/>
    </row>
    <row r="4097" spans="1:6" ht="12.75" x14ac:dyDescent="0.2">
      <c r="A4097" s="451"/>
      <c r="B4097" s="451"/>
      <c r="C4097" s="451"/>
      <c r="D4097" s="451"/>
      <c r="E4097" s="468"/>
      <c r="F4097" s="468"/>
    </row>
    <row r="4098" spans="1:6" ht="12.75" x14ac:dyDescent="0.2">
      <c r="A4098" s="451"/>
      <c r="B4098" s="451"/>
      <c r="C4098" s="451"/>
      <c r="D4098" s="451"/>
      <c r="E4098" s="468"/>
      <c r="F4098" s="468"/>
    </row>
    <row r="4099" spans="1:6" ht="12.75" x14ac:dyDescent="0.2">
      <c r="A4099" s="451"/>
      <c r="B4099" s="451"/>
      <c r="C4099" s="451"/>
      <c r="D4099" s="451"/>
      <c r="E4099" s="468"/>
      <c r="F4099" s="468"/>
    </row>
    <row r="4100" spans="1:6" ht="12.75" x14ac:dyDescent="0.2">
      <c r="A4100" s="451"/>
      <c r="B4100" s="451"/>
      <c r="C4100" s="451"/>
      <c r="D4100" s="451"/>
      <c r="E4100" s="468"/>
      <c r="F4100" s="468"/>
    </row>
    <row r="4101" spans="1:6" ht="12.75" x14ac:dyDescent="0.2">
      <c r="A4101" s="451"/>
      <c r="B4101" s="451"/>
      <c r="C4101" s="451"/>
      <c r="D4101" s="451"/>
      <c r="E4101" s="468"/>
      <c r="F4101" s="468"/>
    </row>
    <row r="4102" spans="1:6" ht="12.75" x14ac:dyDescent="0.2">
      <c r="A4102" s="451"/>
      <c r="B4102" s="451"/>
      <c r="C4102" s="451"/>
      <c r="D4102" s="451"/>
      <c r="E4102" s="468"/>
      <c r="F4102" s="468"/>
    </row>
    <row r="4103" spans="1:6" ht="12.75" x14ac:dyDescent="0.2">
      <c r="A4103" s="451"/>
      <c r="B4103" s="451"/>
      <c r="C4103" s="451"/>
      <c r="D4103" s="451"/>
      <c r="E4103" s="468"/>
      <c r="F4103" s="468"/>
    </row>
    <row r="4104" spans="1:6" ht="12.75" x14ac:dyDescent="0.2">
      <c r="A4104" s="451"/>
      <c r="B4104" s="451"/>
      <c r="C4104" s="451"/>
      <c r="D4104" s="451"/>
      <c r="E4104" s="468"/>
      <c r="F4104" s="468"/>
    </row>
    <row r="4105" spans="1:6" ht="12.75" x14ac:dyDescent="0.2">
      <c r="A4105" s="451"/>
      <c r="B4105" s="451"/>
      <c r="C4105" s="451"/>
      <c r="D4105" s="451"/>
      <c r="E4105" s="468"/>
      <c r="F4105" s="468"/>
    </row>
    <row r="4106" spans="1:6" ht="12.75" x14ac:dyDescent="0.2">
      <c r="A4106" s="451"/>
      <c r="B4106" s="451"/>
      <c r="C4106" s="451"/>
      <c r="D4106" s="451"/>
      <c r="E4106" s="468"/>
      <c r="F4106" s="468"/>
    </row>
    <row r="4107" spans="1:6" ht="12.75" x14ac:dyDescent="0.2">
      <c r="A4107" s="451"/>
      <c r="B4107" s="451"/>
      <c r="C4107" s="451"/>
      <c r="D4107" s="451"/>
      <c r="E4107" s="468"/>
      <c r="F4107" s="468"/>
    </row>
    <row r="4108" spans="1:6" ht="12.75" x14ac:dyDescent="0.2">
      <c r="A4108" s="451"/>
      <c r="B4108" s="451"/>
      <c r="C4108" s="451"/>
      <c r="D4108" s="451"/>
      <c r="E4108" s="468"/>
      <c r="F4108" s="468"/>
    </row>
    <row r="4109" spans="1:6" ht="12.75" x14ac:dyDescent="0.2">
      <c r="A4109" s="451"/>
      <c r="B4109" s="451"/>
      <c r="C4109" s="451"/>
      <c r="D4109" s="451"/>
      <c r="E4109" s="468"/>
      <c r="F4109" s="468"/>
    </row>
    <row r="4110" spans="1:6" ht="12.75" x14ac:dyDescent="0.2">
      <c r="A4110" s="451"/>
      <c r="B4110" s="451"/>
      <c r="C4110" s="451"/>
      <c r="D4110" s="451"/>
      <c r="E4110" s="468"/>
      <c r="F4110" s="468"/>
    </row>
    <row r="4111" spans="1:6" ht="12.75" x14ac:dyDescent="0.2">
      <c r="A4111" s="451"/>
      <c r="B4111" s="451"/>
      <c r="C4111" s="451"/>
      <c r="D4111" s="451"/>
      <c r="E4111" s="468"/>
      <c r="F4111" s="468"/>
    </row>
    <row r="4112" spans="1:6" ht="12.75" x14ac:dyDescent="0.2">
      <c r="A4112" s="451"/>
      <c r="B4112" s="451"/>
      <c r="C4112" s="451"/>
      <c r="D4112" s="451"/>
      <c r="E4112" s="468"/>
      <c r="F4112" s="468"/>
    </row>
    <row r="4113" spans="1:6" ht="12.75" x14ac:dyDescent="0.2">
      <c r="A4113" s="451"/>
      <c r="B4113" s="451"/>
      <c r="C4113" s="451"/>
      <c r="D4113" s="451"/>
      <c r="E4113" s="468"/>
      <c r="F4113" s="468"/>
    </row>
    <row r="4114" spans="1:6" ht="12.75" x14ac:dyDescent="0.2">
      <c r="A4114" s="451"/>
      <c r="B4114" s="451"/>
      <c r="C4114" s="451"/>
      <c r="D4114" s="451"/>
      <c r="E4114" s="468"/>
      <c r="F4114" s="468"/>
    </row>
    <row r="4115" spans="1:6" ht="12.75" x14ac:dyDescent="0.2">
      <c r="A4115" s="451"/>
      <c r="B4115" s="451"/>
      <c r="C4115" s="451"/>
      <c r="D4115" s="451"/>
      <c r="E4115" s="468"/>
      <c r="F4115" s="468"/>
    </row>
    <row r="4116" spans="1:6" ht="12.75" x14ac:dyDescent="0.2">
      <c r="A4116" s="451"/>
      <c r="B4116" s="451"/>
      <c r="C4116" s="451"/>
      <c r="D4116" s="451"/>
      <c r="E4116" s="468"/>
      <c r="F4116" s="468"/>
    </row>
    <row r="4117" spans="1:6" ht="12.75" x14ac:dyDescent="0.2">
      <c r="A4117" s="451"/>
      <c r="B4117" s="451"/>
      <c r="C4117" s="451"/>
      <c r="D4117" s="451"/>
      <c r="E4117" s="468"/>
      <c r="F4117" s="468"/>
    </row>
    <row r="4118" spans="1:6" ht="12.75" x14ac:dyDescent="0.2">
      <c r="A4118" s="451"/>
      <c r="B4118" s="451"/>
      <c r="C4118" s="451"/>
      <c r="D4118" s="451"/>
      <c r="E4118" s="468"/>
      <c r="F4118" s="468"/>
    </row>
    <row r="4119" spans="1:6" ht="12.75" x14ac:dyDescent="0.2">
      <c r="A4119" s="451"/>
      <c r="B4119" s="451"/>
      <c r="C4119" s="451"/>
      <c r="D4119" s="451"/>
      <c r="E4119" s="468"/>
      <c r="F4119" s="468"/>
    </row>
    <row r="4120" spans="1:6" ht="12.75" x14ac:dyDescent="0.2">
      <c r="A4120" s="451"/>
      <c r="B4120" s="451"/>
      <c r="C4120" s="451"/>
      <c r="D4120" s="451"/>
      <c r="E4120" s="468"/>
      <c r="F4120" s="468"/>
    </row>
    <row r="4121" spans="1:6" ht="12.75" x14ac:dyDescent="0.2">
      <c r="A4121" s="451"/>
      <c r="B4121" s="451"/>
      <c r="C4121" s="451"/>
      <c r="D4121" s="451"/>
      <c r="E4121" s="468"/>
      <c r="F4121" s="468"/>
    </row>
    <row r="4122" spans="1:6" ht="12.75" x14ac:dyDescent="0.2">
      <c r="A4122" s="451"/>
      <c r="B4122" s="451"/>
      <c r="C4122" s="451"/>
      <c r="D4122" s="451"/>
      <c r="E4122" s="468"/>
      <c r="F4122" s="468"/>
    </row>
    <row r="4123" spans="1:6" ht="12.75" x14ac:dyDescent="0.2">
      <c r="A4123" s="451"/>
      <c r="B4123" s="451"/>
      <c r="C4123" s="451"/>
      <c r="D4123" s="451"/>
      <c r="E4123" s="468"/>
      <c r="F4123" s="468"/>
    </row>
    <row r="4124" spans="1:6" ht="12.75" x14ac:dyDescent="0.2">
      <c r="A4124" s="451"/>
      <c r="B4124" s="451"/>
      <c r="C4124" s="451"/>
      <c r="D4124" s="451"/>
      <c r="E4124" s="468"/>
      <c r="F4124" s="468"/>
    </row>
    <row r="4125" spans="1:6" ht="12.75" x14ac:dyDescent="0.2">
      <c r="A4125" s="451"/>
      <c r="B4125" s="451"/>
      <c r="C4125" s="451"/>
      <c r="D4125" s="451"/>
      <c r="E4125" s="468"/>
      <c r="F4125" s="468"/>
    </row>
    <row r="4126" spans="1:6" ht="12.75" x14ac:dyDescent="0.2">
      <c r="A4126" s="451"/>
      <c r="B4126" s="451"/>
      <c r="C4126" s="451"/>
      <c r="D4126" s="451"/>
      <c r="E4126" s="468"/>
      <c r="F4126" s="468"/>
    </row>
    <row r="4127" spans="1:6" ht="12.75" x14ac:dyDescent="0.2">
      <c r="A4127" s="451"/>
      <c r="B4127" s="451"/>
      <c r="C4127" s="451"/>
      <c r="D4127" s="451"/>
      <c r="E4127" s="468"/>
      <c r="F4127" s="468"/>
    </row>
    <row r="4128" spans="1:6" ht="12.75" x14ac:dyDescent="0.2">
      <c r="A4128" s="451"/>
      <c r="B4128" s="451"/>
      <c r="C4128" s="451"/>
      <c r="D4128" s="451"/>
      <c r="E4128" s="468"/>
      <c r="F4128" s="468"/>
    </row>
    <row r="4129" spans="1:6" ht="12.75" x14ac:dyDescent="0.2">
      <c r="A4129" s="451"/>
      <c r="B4129" s="451"/>
      <c r="C4129" s="451"/>
      <c r="D4129" s="451"/>
      <c r="E4129" s="468"/>
      <c r="F4129" s="468"/>
    </row>
    <row r="4130" spans="1:6" ht="12.75" x14ac:dyDescent="0.2">
      <c r="A4130" s="451"/>
      <c r="B4130" s="451"/>
      <c r="C4130" s="451"/>
      <c r="D4130" s="451"/>
      <c r="E4130" s="468"/>
      <c r="F4130" s="468"/>
    </row>
    <row r="4131" spans="1:6" ht="12.75" x14ac:dyDescent="0.2">
      <c r="A4131" s="451"/>
      <c r="B4131" s="451"/>
      <c r="C4131" s="451"/>
      <c r="D4131" s="451"/>
      <c r="E4131" s="468"/>
      <c r="F4131" s="468"/>
    </row>
    <row r="4132" spans="1:6" ht="12.75" x14ac:dyDescent="0.2">
      <c r="A4132" s="451"/>
      <c r="B4132" s="451"/>
      <c r="C4132" s="451"/>
      <c r="D4132" s="451"/>
      <c r="E4132" s="468"/>
      <c r="F4132" s="468"/>
    </row>
    <row r="4133" spans="1:6" ht="12.75" x14ac:dyDescent="0.2">
      <c r="A4133" s="451"/>
      <c r="B4133" s="451"/>
      <c r="C4133" s="451"/>
      <c r="D4133" s="451"/>
      <c r="E4133" s="468"/>
      <c r="F4133" s="468"/>
    </row>
    <row r="4134" spans="1:6" ht="12.75" x14ac:dyDescent="0.2">
      <c r="A4134" s="451"/>
      <c r="B4134" s="451"/>
      <c r="C4134" s="451"/>
      <c r="D4134" s="451"/>
      <c r="E4134" s="468"/>
      <c r="F4134" s="468"/>
    </row>
    <row r="4135" spans="1:6" ht="12.75" x14ac:dyDescent="0.2">
      <c r="A4135" s="451"/>
      <c r="B4135" s="451"/>
      <c r="C4135" s="451"/>
      <c r="D4135" s="451"/>
      <c r="E4135" s="468"/>
      <c r="F4135" s="468"/>
    </row>
    <row r="4136" spans="1:6" ht="12.75" x14ac:dyDescent="0.2">
      <c r="A4136" s="451"/>
      <c r="B4136" s="451"/>
      <c r="C4136" s="451"/>
      <c r="D4136" s="451"/>
      <c r="E4136" s="468"/>
      <c r="F4136" s="468"/>
    </row>
    <row r="4137" spans="1:6" ht="12.75" x14ac:dyDescent="0.2">
      <c r="A4137" s="451"/>
      <c r="B4137" s="451"/>
      <c r="C4137" s="451"/>
      <c r="D4137" s="451"/>
      <c r="E4137" s="468"/>
      <c r="F4137" s="468"/>
    </row>
    <row r="4138" spans="1:6" ht="12.75" x14ac:dyDescent="0.2">
      <c r="A4138" s="451"/>
      <c r="B4138" s="451"/>
      <c r="C4138" s="451"/>
      <c r="D4138" s="451"/>
      <c r="E4138" s="468"/>
      <c r="F4138" s="468"/>
    </row>
    <row r="4139" spans="1:6" ht="12.75" x14ac:dyDescent="0.2">
      <c r="A4139" s="451"/>
      <c r="B4139" s="451"/>
      <c r="C4139" s="451"/>
      <c r="D4139" s="451"/>
      <c r="E4139" s="468"/>
      <c r="F4139" s="468"/>
    </row>
    <row r="4140" spans="1:6" ht="12.75" x14ac:dyDescent="0.2">
      <c r="A4140" s="451"/>
      <c r="B4140" s="451"/>
      <c r="C4140" s="451"/>
      <c r="D4140" s="451"/>
      <c r="E4140" s="468"/>
      <c r="F4140" s="468"/>
    </row>
    <row r="4141" spans="1:6" ht="12.75" x14ac:dyDescent="0.2">
      <c r="A4141" s="451"/>
      <c r="B4141" s="451"/>
      <c r="C4141" s="451"/>
      <c r="D4141" s="451"/>
      <c r="E4141" s="468"/>
      <c r="F4141" s="468"/>
    </row>
    <row r="4142" spans="1:6" ht="12.75" x14ac:dyDescent="0.2">
      <c r="A4142" s="451"/>
      <c r="B4142" s="451"/>
      <c r="C4142" s="451"/>
      <c r="D4142" s="451"/>
      <c r="E4142" s="468"/>
      <c r="F4142" s="468"/>
    </row>
    <row r="4143" spans="1:6" ht="12.75" x14ac:dyDescent="0.2">
      <c r="A4143" s="451"/>
      <c r="B4143" s="451"/>
      <c r="C4143" s="451"/>
      <c r="D4143" s="451"/>
      <c r="E4143" s="468"/>
      <c r="F4143" s="468"/>
    </row>
    <row r="4144" spans="1:6" ht="12.75" x14ac:dyDescent="0.2">
      <c r="A4144" s="451"/>
      <c r="B4144" s="451"/>
      <c r="C4144" s="451"/>
      <c r="D4144" s="451"/>
      <c r="E4144" s="468"/>
      <c r="F4144" s="468"/>
    </row>
    <row r="4145" spans="1:6" ht="12.75" x14ac:dyDescent="0.2">
      <c r="A4145" s="451"/>
      <c r="B4145" s="451"/>
      <c r="C4145" s="451"/>
      <c r="D4145" s="451"/>
      <c r="E4145" s="468"/>
      <c r="F4145" s="468"/>
    </row>
    <row r="4146" spans="1:6" ht="12.75" x14ac:dyDescent="0.2">
      <c r="A4146" s="451"/>
      <c r="B4146" s="451"/>
      <c r="C4146" s="451"/>
      <c r="D4146" s="451"/>
      <c r="E4146" s="468"/>
      <c r="F4146" s="468"/>
    </row>
    <row r="4147" spans="1:6" ht="12.75" x14ac:dyDescent="0.2">
      <c r="A4147" s="451"/>
      <c r="B4147" s="451"/>
      <c r="C4147" s="451"/>
      <c r="D4147" s="451"/>
      <c r="E4147" s="468"/>
      <c r="F4147" s="468"/>
    </row>
    <row r="4148" spans="1:6" ht="12.75" x14ac:dyDescent="0.2">
      <c r="A4148" s="451"/>
      <c r="B4148" s="451"/>
      <c r="C4148" s="451"/>
      <c r="D4148" s="451"/>
      <c r="E4148" s="468"/>
      <c r="F4148" s="468"/>
    </row>
    <row r="4149" spans="1:6" ht="12.75" x14ac:dyDescent="0.2">
      <c r="A4149" s="451"/>
      <c r="B4149" s="451"/>
      <c r="C4149" s="451"/>
      <c r="D4149" s="451"/>
      <c r="E4149" s="468"/>
      <c r="F4149" s="468"/>
    </row>
    <row r="4150" spans="1:6" ht="12.75" x14ac:dyDescent="0.2">
      <c r="A4150" s="451"/>
      <c r="B4150" s="451"/>
      <c r="C4150" s="451"/>
      <c r="D4150" s="451"/>
      <c r="E4150" s="468"/>
      <c r="F4150" s="468"/>
    </row>
    <row r="4151" spans="1:6" ht="12.75" x14ac:dyDescent="0.2">
      <c r="A4151" s="451"/>
      <c r="B4151" s="451"/>
      <c r="C4151" s="451"/>
      <c r="D4151" s="451"/>
      <c r="E4151" s="468"/>
      <c r="F4151" s="468"/>
    </row>
    <row r="4152" spans="1:6" ht="12.75" x14ac:dyDescent="0.2">
      <c r="A4152" s="451"/>
      <c r="B4152" s="451"/>
      <c r="C4152" s="451"/>
      <c r="D4152" s="451"/>
      <c r="E4152" s="468"/>
      <c r="F4152" s="468"/>
    </row>
    <row r="4153" spans="1:6" ht="12.75" x14ac:dyDescent="0.2">
      <c r="A4153" s="451"/>
      <c r="B4153" s="451"/>
      <c r="C4153" s="451"/>
      <c r="D4153" s="451"/>
      <c r="E4153" s="468"/>
      <c r="F4153" s="468"/>
    </row>
    <row r="4154" spans="1:6" ht="12.75" x14ac:dyDescent="0.2">
      <c r="A4154" s="451"/>
      <c r="B4154" s="451"/>
      <c r="C4154" s="451"/>
      <c r="D4154" s="451"/>
      <c r="E4154" s="468"/>
      <c r="F4154" s="468"/>
    </row>
    <row r="4155" spans="1:6" ht="12.75" x14ac:dyDescent="0.2">
      <c r="A4155" s="451"/>
      <c r="B4155" s="451"/>
      <c r="C4155" s="451"/>
      <c r="D4155" s="451"/>
      <c r="E4155" s="468"/>
      <c r="F4155" s="468"/>
    </row>
    <row r="4156" spans="1:6" ht="12.75" x14ac:dyDescent="0.2">
      <c r="A4156" s="451"/>
      <c r="B4156" s="451"/>
      <c r="C4156" s="451"/>
      <c r="D4156" s="451"/>
      <c r="E4156" s="468"/>
      <c r="F4156" s="468"/>
    </row>
    <row r="4157" spans="1:6" ht="12.75" x14ac:dyDescent="0.2">
      <c r="A4157" s="451"/>
      <c r="B4157" s="451"/>
      <c r="C4157" s="451"/>
      <c r="D4157" s="451"/>
      <c r="E4157" s="468"/>
      <c r="F4157" s="468"/>
    </row>
    <row r="4158" spans="1:6" ht="12.75" x14ac:dyDescent="0.2">
      <c r="A4158" s="451"/>
      <c r="B4158" s="451"/>
      <c r="C4158" s="451"/>
      <c r="D4158" s="451"/>
      <c r="E4158" s="468"/>
      <c r="F4158" s="468"/>
    </row>
    <row r="4159" spans="1:6" ht="12.75" x14ac:dyDescent="0.2">
      <c r="A4159" s="451"/>
      <c r="B4159" s="451"/>
      <c r="C4159" s="451"/>
      <c r="D4159" s="451"/>
      <c r="E4159" s="468"/>
      <c r="F4159" s="468"/>
    </row>
    <row r="4160" spans="1:6" ht="12.75" x14ac:dyDescent="0.2">
      <c r="A4160" s="451"/>
      <c r="B4160" s="451"/>
      <c r="C4160" s="451"/>
      <c r="D4160" s="451"/>
      <c r="E4160" s="468"/>
      <c r="F4160" s="468"/>
    </row>
    <row r="4161" spans="1:6" ht="12.75" x14ac:dyDescent="0.2">
      <c r="A4161" s="451"/>
      <c r="B4161" s="451"/>
      <c r="C4161" s="451"/>
      <c r="D4161" s="451"/>
      <c r="E4161" s="468"/>
      <c r="F4161" s="468"/>
    </row>
    <row r="4162" spans="1:6" ht="12.75" x14ac:dyDescent="0.2">
      <c r="A4162" s="451"/>
      <c r="B4162" s="451"/>
      <c r="C4162" s="451"/>
      <c r="D4162" s="451"/>
      <c r="E4162" s="468"/>
      <c r="F4162" s="468"/>
    </row>
    <row r="4163" spans="1:6" ht="12.75" x14ac:dyDescent="0.2">
      <c r="A4163" s="451"/>
      <c r="B4163" s="451"/>
      <c r="C4163" s="451"/>
      <c r="D4163" s="451"/>
      <c r="E4163" s="468"/>
      <c r="F4163" s="468"/>
    </row>
    <row r="4164" spans="1:6" ht="12.75" x14ac:dyDescent="0.2">
      <c r="A4164" s="451"/>
      <c r="B4164" s="451"/>
      <c r="C4164" s="451"/>
      <c r="D4164" s="451"/>
      <c r="E4164" s="468"/>
      <c r="F4164" s="468"/>
    </row>
    <row r="4165" spans="1:6" ht="12.75" x14ac:dyDescent="0.2">
      <c r="A4165" s="451"/>
      <c r="B4165" s="451"/>
      <c r="C4165" s="451"/>
      <c r="D4165" s="451"/>
      <c r="E4165" s="468"/>
      <c r="F4165" s="468"/>
    </row>
    <row r="4166" spans="1:6" ht="12.75" x14ac:dyDescent="0.2">
      <c r="A4166" s="451"/>
      <c r="B4166" s="451"/>
      <c r="C4166" s="451"/>
      <c r="D4166" s="451"/>
      <c r="E4166" s="468"/>
      <c r="F4166" s="468"/>
    </row>
    <row r="4167" spans="1:6" ht="12.75" x14ac:dyDescent="0.2">
      <c r="A4167" s="451"/>
      <c r="B4167" s="451"/>
      <c r="C4167" s="451"/>
      <c r="D4167" s="451"/>
      <c r="E4167" s="468"/>
      <c r="F4167" s="468"/>
    </row>
    <row r="4168" spans="1:6" ht="12.75" x14ac:dyDescent="0.2">
      <c r="A4168" s="451"/>
      <c r="B4168" s="451"/>
      <c r="C4168" s="451"/>
      <c r="D4168" s="451"/>
      <c r="E4168" s="468"/>
      <c r="F4168" s="468"/>
    </row>
    <row r="4169" spans="1:6" ht="12.75" x14ac:dyDescent="0.2">
      <c r="A4169" s="451"/>
      <c r="B4169" s="451"/>
      <c r="C4169" s="451"/>
      <c r="D4169" s="451"/>
      <c r="E4169" s="468"/>
      <c r="F4169" s="468"/>
    </row>
    <row r="4170" spans="1:6" ht="12.75" x14ac:dyDescent="0.2">
      <c r="A4170" s="451"/>
      <c r="B4170" s="451"/>
      <c r="C4170" s="451"/>
      <c r="D4170" s="451"/>
      <c r="E4170" s="468"/>
      <c r="F4170" s="468"/>
    </row>
    <row r="4171" spans="1:6" ht="12.75" x14ac:dyDescent="0.2">
      <c r="A4171" s="451"/>
      <c r="B4171" s="451"/>
      <c r="C4171" s="451"/>
      <c r="D4171" s="451"/>
      <c r="E4171" s="468"/>
      <c r="F4171" s="468"/>
    </row>
    <row r="4172" spans="1:6" ht="12.75" x14ac:dyDescent="0.2">
      <c r="A4172" s="451"/>
      <c r="B4172" s="451"/>
      <c r="C4172" s="451"/>
      <c r="D4172" s="451"/>
      <c r="E4172" s="468"/>
      <c r="F4172" s="468"/>
    </row>
    <row r="4173" spans="1:6" ht="12.75" x14ac:dyDescent="0.2">
      <c r="A4173" s="451"/>
      <c r="B4173" s="451"/>
      <c r="C4173" s="451"/>
      <c r="D4173" s="451"/>
      <c r="E4173" s="468"/>
      <c r="F4173" s="468"/>
    </row>
    <row r="4174" spans="1:6" ht="12.75" x14ac:dyDescent="0.2">
      <c r="A4174" s="451"/>
      <c r="B4174" s="451"/>
      <c r="C4174" s="451"/>
      <c r="D4174" s="451"/>
      <c r="E4174" s="468"/>
      <c r="F4174" s="468"/>
    </row>
    <row r="4175" spans="1:6" ht="12.75" x14ac:dyDescent="0.2">
      <c r="A4175" s="451"/>
      <c r="B4175" s="451"/>
      <c r="C4175" s="451"/>
      <c r="D4175" s="451"/>
      <c r="E4175" s="468"/>
      <c r="F4175" s="468"/>
    </row>
    <row r="4176" spans="1:6" ht="12.75" x14ac:dyDescent="0.2">
      <c r="A4176" s="451"/>
      <c r="B4176" s="451"/>
      <c r="C4176" s="451"/>
      <c r="D4176" s="451"/>
      <c r="E4176" s="468"/>
      <c r="F4176" s="468"/>
    </row>
    <row r="4177" spans="1:6" ht="12.75" x14ac:dyDescent="0.2">
      <c r="A4177" s="451"/>
      <c r="B4177" s="451"/>
      <c r="C4177" s="451"/>
      <c r="D4177" s="451"/>
      <c r="E4177" s="468"/>
      <c r="F4177" s="468"/>
    </row>
    <row r="4178" spans="1:6" ht="12.75" x14ac:dyDescent="0.2">
      <c r="A4178" s="451"/>
      <c r="B4178" s="451"/>
      <c r="C4178" s="451"/>
      <c r="D4178" s="451"/>
      <c r="E4178" s="468"/>
      <c r="F4178" s="468"/>
    </row>
    <row r="4179" spans="1:6" ht="12.75" x14ac:dyDescent="0.2">
      <c r="A4179" s="451"/>
      <c r="B4179" s="451"/>
      <c r="C4179" s="451"/>
      <c r="D4179" s="451"/>
      <c r="E4179" s="468"/>
      <c r="F4179" s="468"/>
    </row>
    <row r="4180" spans="1:6" ht="12.75" x14ac:dyDescent="0.2">
      <c r="A4180" s="451"/>
      <c r="B4180" s="451"/>
      <c r="C4180" s="451"/>
      <c r="D4180" s="451"/>
      <c r="E4180" s="468"/>
      <c r="F4180" s="468"/>
    </row>
    <row r="4181" spans="1:6" ht="12.75" x14ac:dyDescent="0.2">
      <c r="A4181" s="451"/>
      <c r="B4181" s="451"/>
      <c r="C4181" s="451"/>
      <c r="D4181" s="451"/>
      <c r="E4181" s="468"/>
      <c r="F4181" s="468"/>
    </row>
    <row r="4182" spans="1:6" ht="12.75" x14ac:dyDescent="0.2">
      <c r="A4182" s="451"/>
      <c r="B4182" s="451"/>
      <c r="C4182" s="451"/>
      <c r="D4182" s="451"/>
      <c r="E4182" s="468"/>
      <c r="F4182" s="468"/>
    </row>
    <row r="4183" spans="1:6" ht="12.75" x14ac:dyDescent="0.2">
      <c r="A4183" s="451"/>
      <c r="B4183" s="451"/>
      <c r="C4183" s="451"/>
      <c r="D4183" s="451"/>
      <c r="E4183" s="468"/>
      <c r="F4183" s="468"/>
    </row>
    <row r="4184" spans="1:6" ht="12.75" x14ac:dyDescent="0.2">
      <c r="A4184" s="451"/>
      <c r="B4184" s="451"/>
      <c r="C4184" s="451"/>
      <c r="D4184" s="451"/>
      <c r="E4184" s="468"/>
      <c r="F4184" s="468"/>
    </row>
    <row r="4185" spans="1:6" ht="12.75" x14ac:dyDescent="0.2">
      <c r="A4185" s="451"/>
      <c r="B4185" s="451"/>
      <c r="C4185" s="451"/>
      <c r="D4185" s="451"/>
      <c r="E4185" s="468"/>
      <c r="F4185" s="468"/>
    </row>
    <row r="4186" spans="1:6" ht="12.75" x14ac:dyDescent="0.2">
      <c r="A4186" s="451"/>
      <c r="B4186" s="451"/>
      <c r="C4186" s="451"/>
      <c r="D4186" s="451"/>
      <c r="E4186" s="468"/>
      <c r="F4186" s="468"/>
    </row>
    <row r="4187" spans="1:6" ht="12.75" x14ac:dyDescent="0.2">
      <c r="A4187" s="451"/>
      <c r="B4187" s="451"/>
      <c r="C4187" s="451"/>
      <c r="D4187" s="451"/>
      <c r="E4187" s="468"/>
      <c r="F4187" s="468"/>
    </row>
    <row r="4188" spans="1:6" ht="12.75" x14ac:dyDescent="0.2">
      <c r="A4188" s="451"/>
      <c r="B4188" s="451"/>
      <c r="C4188" s="451"/>
      <c r="D4188" s="451"/>
      <c r="E4188" s="468"/>
      <c r="F4188" s="468"/>
    </row>
    <row r="4189" spans="1:6" ht="12.75" x14ac:dyDescent="0.2">
      <c r="A4189" s="451"/>
      <c r="B4189" s="451"/>
      <c r="C4189" s="451"/>
      <c r="D4189" s="451"/>
      <c r="E4189" s="468"/>
      <c r="F4189" s="468"/>
    </row>
    <row r="4190" spans="1:6" ht="12.75" x14ac:dyDescent="0.2">
      <c r="A4190" s="451"/>
      <c r="B4190" s="451"/>
      <c r="C4190" s="451"/>
      <c r="D4190" s="451"/>
      <c r="E4190" s="468"/>
      <c r="F4190" s="468"/>
    </row>
    <row r="4191" spans="1:6" ht="12.75" x14ac:dyDescent="0.2">
      <c r="A4191" s="451"/>
      <c r="B4191" s="451"/>
      <c r="C4191" s="451"/>
      <c r="D4191" s="451"/>
      <c r="E4191" s="468"/>
      <c r="F4191" s="468"/>
    </row>
    <row r="4192" spans="1:6" ht="12.75" x14ac:dyDescent="0.2">
      <c r="A4192" s="451"/>
      <c r="B4192" s="451"/>
      <c r="C4192" s="451"/>
      <c r="D4192" s="451"/>
      <c r="E4192" s="468"/>
      <c r="F4192" s="468"/>
    </row>
    <row r="4193" spans="1:6" ht="12.75" x14ac:dyDescent="0.2">
      <c r="A4193" s="451"/>
      <c r="B4193" s="451"/>
      <c r="C4193" s="451"/>
      <c r="D4193" s="451"/>
      <c r="E4193" s="468"/>
      <c r="F4193" s="468"/>
    </row>
    <row r="4194" spans="1:6" ht="12.75" x14ac:dyDescent="0.2">
      <c r="A4194" s="451"/>
      <c r="B4194" s="451"/>
      <c r="C4194" s="451"/>
      <c r="D4194" s="451"/>
      <c r="E4194" s="468"/>
      <c r="F4194" s="468"/>
    </row>
    <row r="4195" spans="1:6" ht="12.75" x14ac:dyDescent="0.2">
      <c r="A4195" s="451"/>
      <c r="B4195" s="451"/>
      <c r="C4195" s="451"/>
      <c r="D4195" s="451"/>
      <c r="E4195" s="468"/>
      <c r="F4195" s="468"/>
    </row>
    <row r="4196" spans="1:6" ht="12.75" x14ac:dyDescent="0.2">
      <c r="A4196" s="451"/>
      <c r="B4196" s="451"/>
      <c r="C4196" s="451"/>
      <c r="D4196" s="451"/>
      <c r="E4196" s="468"/>
      <c r="F4196" s="468"/>
    </row>
    <row r="4197" spans="1:6" ht="12.75" x14ac:dyDescent="0.2">
      <c r="A4197" s="451"/>
      <c r="B4197" s="451"/>
      <c r="C4197" s="451"/>
      <c r="D4197" s="451"/>
      <c r="E4197" s="468"/>
      <c r="F4197" s="468"/>
    </row>
    <row r="4198" spans="1:6" ht="12.75" x14ac:dyDescent="0.2">
      <c r="A4198" s="451"/>
      <c r="B4198" s="451"/>
      <c r="C4198" s="451"/>
      <c r="D4198" s="451"/>
      <c r="E4198" s="468"/>
      <c r="F4198" s="468"/>
    </row>
    <row r="4199" spans="1:6" ht="12.75" x14ac:dyDescent="0.2">
      <c r="A4199" s="451"/>
      <c r="B4199" s="451"/>
      <c r="C4199" s="451"/>
      <c r="D4199" s="451"/>
      <c r="E4199" s="468"/>
      <c r="F4199" s="468"/>
    </row>
    <row r="4200" spans="1:6" ht="12.75" x14ac:dyDescent="0.2">
      <c r="A4200" s="451"/>
      <c r="B4200" s="451"/>
      <c r="C4200" s="451"/>
      <c r="D4200" s="451"/>
      <c r="E4200" s="468"/>
      <c r="F4200" s="468"/>
    </row>
    <row r="4201" spans="1:6" ht="12.75" x14ac:dyDescent="0.2">
      <c r="A4201" s="451"/>
      <c r="B4201" s="451"/>
      <c r="C4201" s="451"/>
      <c r="D4201" s="451"/>
      <c r="E4201" s="468"/>
      <c r="F4201" s="468"/>
    </row>
    <row r="4202" spans="1:6" ht="12.75" x14ac:dyDescent="0.2">
      <c r="A4202" s="451"/>
      <c r="B4202" s="451"/>
      <c r="C4202" s="451"/>
      <c r="D4202" s="451"/>
      <c r="E4202" s="468"/>
      <c r="F4202" s="468"/>
    </row>
    <row r="4203" spans="1:6" ht="12.75" x14ac:dyDescent="0.2">
      <c r="A4203" s="451"/>
      <c r="B4203" s="451"/>
      <c r="C4203" s="451"/>
      <c r="D4203" s="451"/>
      <c r="E4203" s="468"/>
      <c r="F4203" s="468"/>
    </row>
    <row r="4204" spans="1:6" ht="12.75" x14ac:dyDescent="0.2">
      <c r="A4204" s="451"/>
      <c r="B4204" s="451"/>
      <c r="C4204" s="451"/>
      <c r="D4204" s="451"/>
      <c r="E4204" s="468"/>
      <c r="F4204" s="468"/>
    </row>
    <row r="4205" spans="1:6" ht="12.75" x14ac:dyDescent="0.2">
      <c r="A4205" s="451"/>
      <c r="B4205" s="451"/>
      <c r="C4205" s="451"/>
      <c r="D4205" s="451"/>
      <c r="E4205" s="468"/>
      <c r="F4205" s="468"/>
    </row>
    <row r="4206" spans="1:6" ht="12.75" x14ac:dyDescent="0.2">
      <c r="A4206" s="451"/>
      <c r="B4206" s="451"/>
      <c r="C4206" s="451"/>
      <c r="D4206" s="451"/>
      <c r="E4206" s="468"/>
      <c r="F4206" s="468"/>
    </row>
    <row r="4207" spans="1:6" ht="12.75" x14ac:dyDescent="0.2">
      <c r="A4207" s="451"/>
      <c r="B4207" s="451"/>
      <c r="C4207" s="451"/>
      <c r="D4207" s="451"/>
      <c r="E4207" s="468"/>
      <c r="F4207" s="468"/>
    </row>
    <row r="4208" spans="1:6" ht="12.75" x14ac:dyDescent="0.2">
      <c r="A4208" s="451"/>
      <c r="B4208" s="451"/>
      <c r="C4208" s="451"/>
      <c r="D4208" s="451"/>
      <c r="E4208" s="468"/>
      <c r="F4208" s="468"/>
    </row>
    <row r="4209" spans="1:6" ht="12.75" x14ac:dyDescent="0.2">
      <c r="A4209" s="451"/>
      <c r="B4209" s="451"/>
      <c r="C4209" s="451"/>
      <c r="D4209" s="451"/>
      <c r="E4209" s="468"/>
      <c r="F4209" s="468"/>
    </row>
    <row r="4210" spans="1:6" ht="12.75" x14ac:dyDescent="0.2">
      <c r="A4210" s="451"/>
      <c r="B4210" s="451"/>
      <c r="C4210" s="451"/>
      <c r="D4210" s="451"/>
      <c r="E4210" s="468"/>
      <c r="F4210" s="468"/>
    </row>
    <row r="4211" spans="1:6" ht="12.75" x14ac:dyDescent="0.2">
      <c r="A4211" s="451"/>
      <c r="B4211" s="451"/>
      <c r="C4211" s="451"/>
      <c r="D4211" s="451"/>
      <c r="E4211" s="468"/>
      <c r="F4211" s="468"/>
    </row>
    <row r="4212" spans="1:6" ht="12.75" x14ac:dyDescent="0.2">
      <c r="A4212" s="451"/>
      <c r="B4212" s="451"/>
      <c r="C4212" s="451"/>
      <c r="D4212" s="451"/>
      <c r="E4212" s="468"/>
      <c r="F4212" s="468"/>
    </row>
    <row r="4213" spans="1:6" ht="12.75" x14ac:dyDescent="0.2">
      <c r="A4213" s="451"/>
      <c r="B4213" s="451"/>
      <c r="C4213" s="451"/>
      <c r="D4213" s="451"/>
      <c r="E4213" s="468"/>
      <c r="F4213" s="468"/>
    </row>
    <row r="4214" spans="1:6" ht="12.75" x14ac:dyDescent="0.2">
      <c r="A4214" s="451"/>
      <c r="B4214" s="451"/>
      <c r="C4214" s="451"/>
      <c r="D4214" s="451"/>
      <c r="E4214" s="468"/>
      <c r="F4214" s="468"/>
    </row>
    <row r="4215" spans="1:6" ht="12.75" x14ac:dyDescent="0.2">
      <c r="A4215" s="451"/>
      <c r="B4215" s="451"/>
      <c r="C4215" s="451"/>
      <c r="D4215" s="451"/>
      <c r="E4215" s="468"/>
      <c r="F4215" s="468"/>
    </row>
    <row r="4216" spans="1:6" ht="12.75" x14ac:dyDescent="0.2">
      <c r="A4216" s="451"/>
      <c r="B4216" s="451"/>
      <c r="C4216" s="451"/>
      <c r="D4216" s="451"/>
      <c r="E4216" s="468"/>
      <c r="F4216" s="468"/>
    </row>
    <row r="4217" spans="1:6" ht="12.75" x14ac:dyDescent="0.2">
      <c r="A4217" s="451"/>
      <c r="B4217" s="451"/>
      <c r="C4217" s="451"/>
      <c r="D4217" s="451"/>
      <c r="E4217" s="468"/>
      <c r="F4217" s="468"/>
    </row>
    <row r="4218" spans="1:6" ht="12.75" x14ac:dyDescent="0.2">
      <c r="A4218" s="451"/>
      <c r="B4218" s="451"/>
      <c r="C4218" s="451"/>
      <c r="D4218" s="451"/>
      <c r="E4218" s="468"/>
      <c r="F4218" s="468"/>
    </row>
    <row r="4219" spans="1:6" ht="12.75" x14ac:dyDescent="0.2">
      <c r="A4219" s="451"/>
      <c r="B4219" s="451"/>
      <c r="C4219" s="451"/>
      <c r="D4219" s="451"/>
      <c r="E4219" s="468"/>
      <c r="F4219" s="468"/>
    </row>
    <row r="4220" spans="1:6" ht="12.75" x14ac:dyDescent="0.2">
      <c r="A4220" s="451"/>
      <c r="B4220" s="451"/>
      <c r="C4220" s="451"/>
      <c r="D4220" s="451"/>
      <c r="E4220" s="468"/>
      <c r="F4220" s="468"/>
    </row>
    <row r="4221" spans="1:6" ht="12.75" x14ac:dyDescent="0.2">
      <c r="A4221" s="451"/>
      <c r="B4221" s="451"/>
      <c r="C4221" s="451"/>
      <c r="D4221" s="451"/>
      <c r="E4221" s="468"/>
      <c r="F4221" s="468"/>
    </row>
    <row r="4222" spans="1:6" ht="12.75" x14ac:dyDescent="0.2">
      <c r="A4222" s="451"/>
      <c r="B4222" s="451"/>
      <c r="C4222" s="451"/>
      <c r="D4222" s="451"/>
      <c r="E4222" s="468"/>
      <c r="F4222" s="468"/>
    </row>
    <row r="4223" spans="1:6" ht="12.75" x14ac:dyDescent="0.2">
      <c r="A4223" s="451"/>
      <c r="B4223" s="451"/>
      <c r="C4223" s="451"/>
      <c r="D4223" s="451"/>
      <c r="E4223" s="468"/>
      <c r="F4223" s="468"/>
    </row>
    <row r="4224" spans="1:6" ht="12.75" x14ac:dyDescent="0.2">
      <c r="A4224" s="451"/>
      <c r="B4224" s="451"/>
      <c r="C4224" s="451"/>
      <c r="D4224" s="451"/>
      <c r="E4224" s="468"/>
      <c r="F4224" s="468"/>
    </row>
    <row r="4225" spans="1:6" ht="12.75" x14ac:dyDescent="0.2">
      <c r="A4225" s="451"/>
      <c r="B4225" s="451"/>
      <c r="C4225" s="451"/>
      <c r="D4225" s="451"/>
      <c r="E4225" s="468"/>
      <c r="F4225" s="468"/>
    </row>
    <row r="4226" spans="1:6" ht="12.75" x14ac:dyDescent="0.2">
      <c r="A4226" s="451"/>
      <c r="B4226" s="451"/>
      <c r="C4226" s="451"/>
      <c r="D4226" s="451"/>
      <c r="E4226" s="468"/>
      <c r="F4226" s="468"/>
    </row>
    <row r="4227" spans="1:6" ht="12.75" x14ac:dyDescent="0.2">
      <c r="A4227" s="451"/>
      <c r="B4227" s="451"/>
      <c r="C4227" s="451"/>
      <c r="D4227" s="451"/>
      <c r="E4227" s="468"/>
      <c r="F4227" s="468"/>
    </row>
    <row r="4228" spans="1:6" ht="12.75" x14ac:dyDescent="0.2">
      <c r="A4228" s="451"/>
      <c r="B4228" s="451"/>
      <c r="C4228" s="451"/>
      <c r="D4228" s="451"/>
      <c r="E4228" s="468"/>
      <c r="F4228" s="468"/>
    </row>
    <row r="4229" spans="1:6" ht="12.75" x14ac:dyDescent="0.2">
      <c r="A4229" s="451"/>
      <c r="B4229" s="451"/>
      <c r="C4229" s="451"/>
      <c r="D4229" s="451"/>
      <c r="E4229" s="468"/>
      <c r="F4229" s="468"/>
    </row>
    <row r="4230" spans="1:6" ht="12.75" x14ac:dyDescent="0.2">
      <c r="A4230" s="451"/>
      <c r="B4230" s="451"/>
      <c r="C4230" s="451"/>
      <c r="D4230" s="451"/>
      <c r="E4230" s="468"/>
      <c r="F4230" s="468"/>
    </row>
    <row r="4231" spans="1:6" ht="12.75" x14ac:dyDescent="0.2">
      <c r="A4231" s="451"/>
      <c r="B4231" s="451"/>
      <c r="C4231" s="451"/>
      <c r="D4231" s="451"/>
      <c r="E4231" s="468"/>
      <c r="F4231" s="468"/>
    </row>
    <row r="4232" spans="1:6" ht="12.75" x14ac:dyDescent="0.2">
      <c r="A4232" s="451"/>
      <c r="B4232" s="451"/>
      <c r="C4232" s="451"/>
      <c r="D4232" s="451"/>
      <c r="E4232" s="468"/>
      <c r="F4232" s="468"/>
    </row>
    <row r="4233" spans="1:6" ht="12.75" x14ac:dyDescent="0.2">
      <c r="A4233" s="451"/>
      <c r="B4233" s="451"/>
      <c r="C4233" s="451"/>
      <c r="D4233" s="451"/>
      <c r="E4233" s="468"/>
      <c r="F4233" s="468"/>
    </row>
    <row r="4234" spans="1:6" ht="12.75" x14ac:dyDescent="0.2">
      <c r="A4234" s="451"/>
      <c r="B4234" s="451"/>
      <c r="C4234" s="451"/>
      <c r="D4234" s="451"/>
      <c r="E4234" s="468"/>
      <c r="F4234" s="468"/>
    </row>
    <row r="4235" spans="1:6" ht="12.75" x14ac:dyDescent="0.2">
      <c r="A4235" s="451"/>
      <c r="B4235" s="451"/>
      <c r="C4235" s="451"/>
      <c r="D4235" s="451"/>
      <c r="E4235" s="468"/>
      <c r="F4235" s="468"/>
    </row>
    <row r="4236" spans="1:6" ht="12.75" x14ac:dyDescent="0.2">
      <c r="A4236" s="451"/>
      <c r="B4236" s="451"/>
      <c r="C4236" s="451"/>
      <c r="D4236" s="451"/>
      <c r="E4236" s="468"/>
      <c r="F4236" s="468"/>
    </row>
    <row r="4237" spans="1:6" ht="12.75" x14ac:dyDescent="0.2">
      <c r="A4237" s="451"/>
      <c r="B4237" s="451"/>
      <c r="C4237" s="451"/>
      <c r="D4237" s="451"/>
      <c r="E4237" s="468"/>
      <c r="F4237" s="468"/>
    </row>
    <row r="4238" spans="1:6" ht="12.75" x14ac:dyDescent="0.2">
      <c r="A4238" s="451"/>
      <c r="B4238" s="451"/>
      <c r="C4238" s="451"/>
      <c r="D4238" s="451"/>
      <c r="E4238" s="468"/>
      <c r="F4238" s="468"/>
    </row>
    <row r="4239" spans="1:6" ht="12.75" x14ac:dyDescent="0.2">
      <c r="A4239" s="451"/>
      <c r="B4239" s="451"/>
      <c r="C4239" s="451"/>
      <c r="D4239" s="451"/>
      <c r="E4239" s="468"/>
      <c r="F4239" s="468"/>
    </row>
    <row r="4240" spans="1:6" ht="12.75" x14ac:dyDescent="0.2">
      <c r="A4240" s="451"/>
      <c r="B4240" s="451"/>
      <c r="C4240" s="451"/>
      <c r="D4240" s="451"/>
      <c r="E4240" s="468"/>
      <c r="F4240" s="468"/>
    </row>
    <row r="4241" spans="1:6" ht="12.75" x14ac:dyDescent="0.2">
      <c r="A4241" s="451"/>
      <c r="B4241" s="451"/>
      <c r="C4241" s="451"/>
      <c r="D4241" s="451"/>
      <c r="E4241" s="468"/>
      <c r="F4241" s="468"/>
    </row>
    <row r="4242" spans="1:6" ht="12.75" x14ac:dyDescent="0.2">
      <c r="A4242" s="451"/>
      <c r="B4242" s="451"/>
      <c r="C4242" s="451"/>
      <c r="D4242" s="451"/>
      <c r="E4242" s="468"/>
      <c r="F4242" s="468"/>
    </row>
    <row r="4243" spans="1:6" ht="12.75" x14ac:dyDescent="0.2">
      <c r="A4243" s="451"/>
      <c r="B4243" s="451"/>
      <c r="C4243" s="451"/>
      <c r="D4243" s="451"/>
      <c r="E4243" s="468"/>
      <c r="F4243" s="468"/>
    </row>
    <row r="4244" spans="1:6" ht="12.75" x14ac:dyDescent="0.2">
      <c r="A4244" s="451"/>
      <c r="B4244" s="451"/>
      <c r="C4244" s="451"/>
      <c r="D4244" s="451"/>
      <c r="E4244" s="468"/>
      <c r="F4244" s="468"/>
    </row>
    <row r="4245" spans="1:6" ht="12.75" x14ac:dyDescent="0.2">
      <c r="A4245" s="451"/>
      <c r="B4245" s="451"/>
      <c r="C4245" s="451"/>
      <c r="D4245" s="451"/>
      <c r="E4245" s="468"/>
      <c r="F4245" s="468"/>
    </row>
    <row r="4246" spans="1:6" ht="12.75" x14ac:dyDescent="0.2">
      <c r="A4246" s="451"/>
      <c r="B4246" s="451"/>
      <c r="C4246" s="451"/>
      <c r="D4246" s="451"/>
      <c r="E4246" s="468"/>
      <c r="F4246" s="468"/>
    </row>
    <row r="4247" spans="1:6" ht="12.75" x14ac:dyDescent="0.2">
      <c r="A4247" s="451"/>
      <c r="B4247" s="451"/>
      <c r="C4247" s="451"/>
      <c r="D4247" s="451"/>
      <c r="E4247" s="468"/>
      <c r="F4247" s="468"/>
    </row>
    <row r="4248" spans="1:6" ht="12.75" x14ac:dyDescent="0.2">
      <c r="A4248" s="451"/>
      <c r="B4248" s="451"/>
      <c r="C4248" s="451"/>
      <c r="D4248" s="451"/>
      <c r="E4248" s="468"/>
      <c r="F4248" s="468"/>
    </row>
    <row r="4249" spans="1:6" ht="12.75" x14ac:dyDescent="0.2">
      <c r="A4249" s="451"/>
      <c r="B4249" s="451"/>
      <c r="C4249" s="451"/>
      <c r="D4249" s="451"/>
      <c r="E4249" s="468"/>
      <c r="F4249" s="468"/>
    </row>
    <row r="4250" spans="1:6" ht="12.75" x14ac:dyDescent="0.2">
      <c r="A4250" s="451"/>
      <c r="B4250" s="451"/>
      <c r="C4250" s="451"/>
      <c r="D4250" s="451"/>
      <c r="E4250" s="468"/>
      <c r="F4250" s="468"/>
    </row>
    <row r="4251" spans="1:6" ht="12.75" x14ac:dyDescent="0.2">
      <c r="A4251" s="451"/>
      <c r="B4251" s="451"/>
      <c r="C4251" s="451"/>
      <c r="D4251" s="451"/>
      <c r="E4251" s="468"/>
      <c r="F4251" s="468"/>
    </row>
    <row r="4252" spans="1:6" ht="12.75" x14ac:dyDescent="0.2">
      <c r="A4252" s="451"/>
      <c r="B4252" s="451"/>
      <c r="C4252" s="451"/>
      <c r="D4252" s="451"/>
      <c r="E4252" s="468"/>
      <c r="F4252" s="468"/>
    </row>
    <row r="4253" spans="1:6" ht="12.75" x14ac:dyDescent="0.2">
      <c r="A4253" s="451"/>
      <c r="B4253" s="451"/>
      <c r="C4253" s="451"/>
      <c r="D4253" s="451"/>
      <c r="E4253" s="468"/>
      <c r="F4253" s="468"/>
    </row>
    <row r="4254" spans="1:6" ht="12.75" x14ac:dyDescent="0.2">
      <c r="A4254" s="451"/>
      <c r="B4254" s="451"/>
      <c r="C4254" s="451"/>
      <c r="D4254" s="451"/>
      <c r="E4254" s="468"/>
      <c r="F4254" s="468"/>
    </row>
    <row r="4255" spans="1:6" ht="12.75" x14ac:dyDescent="0.2">
      <c r="A4255" s="451"/>
      <c r="B4255" s="451"/>
      <c r="C4255" s="451"/>
      <c r="D4255" s="451"/>
      <c r="E4255" s="468"/>
      <c r="F4255" s="468"/>
    </row>
    <row r="4256" spans="1:6" ht="12.75" x14ac:dyDescent="0.2">
      <c r="A4256" s="451"/>
      <c r="B4256" s="451"/>
      <c r="C4256" s="451"/>
      <c r="D4256" s="451"/>
      <c r="E4256" s="468"/>
      <c r="F4256" s="468"/>
    </row>
    <row r="4257" spans="1:6" ht="12.75" x14ac:dyDescent="0.2">
      <c r="A4257" s="451"/>
      <c r="B4257" s="451"/>
      <c r="C4257" s="451"/>
      <c r="D4257" s="451"/>
      <c r="E4257" s="468"/>
      <c r="F4257" s="468"/>
    </row>
    <row r="4258" spans="1:6" ht="12.75" x14ac:dyDescent="0.2">
      <c r="A4258" s="451"/>
      <c r="B4258" s="451"/>
      <c r="C4258" s="451"/>
      <c r="D4258" s="451"/>
      <c r="E4258" s="468"/>
      <c r="F4258" s="468"/>
    </row>
    <row r="4259" spans="1:6" ht="12.75" x14ac:dyDescent="0.2">
      <c r="A4259" s="451"/>
      <c r="B4259" s="451"/>
      <c r="C4259" s="451"/>
      <c r="D4259" s="451"/>
      <c r="E4259" s="468"/>
      <c r="F4259" s="468"/>
    </row>
    <row r="4260" spans="1:6" ht="12.75" x14ac:dyDescent="0.2">
      <c r="A4260" s="451"/>
      <c r="B4260" s="451"/>
      <c r="C4260" s="451"/>
      <c r="D4260" s="451"/>
      <c r="E4260" s="468"/>
      <c r="F4260" s="468"/>
    </row>
    <row r="4261" spans="1:6" ht="12.75" x14ac:dyDescent="0.2">
      <c r="A4261" s="451"/>
      <c r="B4261" s="451"/>
      <c r="C4261" s="451"/>
      <c r="D4261" s="451"/>
      <c r="E4261" s="468"/>
      <c r="F4261" s="468"/>
    </row>
    <row r="4262" spans="1:6" ht="12.75" x14ac:dyDescent="0.2">
      <c r="A4262" s="451"/>
      <c r="B4262" s="451"/>
      <c r="C4262" s="451"/>
      <c r="D4262" s="451"/>
      <c r="E4262" s="468"/>
      <c r="F4262" s="468"/>
    </row>
    <row r="4263" spans="1:6" ht="12.75" x14ac:dyDescent="0.2">
      <c r="A4263" s="451"/>
      <c r="B4263" s="451"/>
      <c r="C4263" s="451"/>
      <c r="D4263" s="451"/>
      <c r="E4263" s="468"/>
      <c r="F4263" s="468"/>
    </row>
    <row r="4264" spans="1:6" ht="12.75" x14ac:dyDescent="0.2">
      <c r="A4264" s="451"/>
      <c r="B4264" s="451"/>
      <c r="C4264" s="451"/>
      <c r="D4264" s="451"/>
      <c r="E4264" s="468"/>
      <c r="F4264" s="468"/>
    </row>
    <row r="4265" spans="1:6" ht="12.75" x14ac:dyDescent="0.2">
      <c r="A4265" s="451"/>
      <c r="B4265" s="451"/>
      <c r="C4265" s="451"/>
      <c r="D4265" s="451"/>
      <c r="E4265" s="468"/>
      <c r="F4265" s="468"/>
    </row>
    <row r="4266" spans="1:6" ht="12.75" x14ac:dyDescent="0.2">
      <c r="A4266" s="451"/>
      <c r="B4266" s="451"/>
      <c r="C4266" s="451"/>
      <c r="D4266" s="451"/>
      <c r="E4266" s="468"/>
      <c r="F4266" s="468"/>
    </row>
    <row r="4267" spans="1:6" ht="12.75" x14ac:dyDescent="0.2">
      <c r="A4267" s="451"/>
      <c r="B4267" s="451"/>
      <c r="C4267" s="451"/>
      <c r="D4267" s="451"/>
      <c r="E4267" s="468"/>
      <c r="F4267" s="468"/>
    </row>
    <row r="4268" spans="1:6" ht="12.75" x14ac:dyDescent="0.2">
      <c r="A4268" s="451"/>
      <c r="B4268" s="451"/>
      <c r="C4268" s="451"/>
      <c r="D4268" s="451"/>
      <c r="E4268" s="468"/>
      <c r="F4268" s="468"/>
    </row>
    <row r="4269" spans="1:6" ht="12.75" x14ac:dyDescent="0.2">
      <c r="A4269" s="451"/>
      <c r="B4269" s="451"/>
      <c r="C4269" s="451"/>
      <c r="D4269" s="451"/>
      <c r="E4269" s="468"/>
      <c r="F4269" s="468"/>
    </row>
    <row r="4270" spans="1:6" ht="12.75" x14ac:dyDescent="0.2">
      <c r="A4270" s="451"/>
      <c r="B4270" s="451"/>
      <c r="C4270" s="451"/>
      <c r="D4270" s="451"/>
      <c r="E4270" s="468"/>
      <c r="F4270" s="468"/>
    </row>
    <row r="4271" spans="1:6" ht="12.75" x14ac:dyDescent="0.2">
      <c r="A4271" s="451"/>
      <c r="B4271" s="451"/>
      <c r="C4271" s="451"/>
      <c r="D4271" s="451"/>
      <c r="E4271" s="468"/>
      <c r="F4271" s="468"/>
    </row>
    <row r="4272" spans="1:6" ht="12.75" x14ac:dyDescent="0.2">
      <c r="A4272" s="451"/>
      <c r="B4272" s="451"/>
      <c r="C4272" s="451"/>
      <c r="D4272" s="451"/>
      <c r="E4272" s="468"/>
      <c r="F4272" s="468"/>
    </row>
    <row r="4273" spans="1:6" ht="12.75" x14ac:dyDescent="0.2">
      <c r="A4273" s="451"/>
      <c r="B4273" s="451"/>
      <c r="C4273" s="451"/>
      <c r="D4273" s="451"/>
      <c r="E4273" s="468"/>
      <c r="F4273" s="468"/>
    </row>
    <row r="4274" spans="1:6" ht="12.75" x14ac:dyDescent="0.2">
      <c r="A4274" s="451"/>
      <c r="B4274" s="451"/>
      <c r="C4274" s="451"/>
      <c r="D4274" s="451"/>
      <c r="E4274" s="468"/>
      <c r="F4274" s="468"/>
    </row>
    <row r="4275" spans="1:6" ht="12.75" x14ac:dyDescent="0.2">
      <c r="A4275" s="451"/>
      <c r="B4275" s="451"/>
      <c r="C4275" s="451"/>
      <c r="D4275" s="451"/>
      <c r="E4275" s="468"/>
      <c r="F4275" s="468"/>
    </row>
    <row r="4276" spans="1:6" ht="12.75" x14ac:dyDescent="0.2">
      <c r="A4276" s="451"/>
      <c r="B4276" s="451"/>
      <c r="C4276" s="451"/>
      <c r="D4276" s="451"/>
      <c r="E4276" s="468"/>
      <c r="F4276" s="468"/>
    </row>
    <row r="4277" spans="1:6" ht="12.75" x14ac:dyDescent="0.2">
      <c r="A4277" s="451"/>
      <c r="B4277" s="451"/>
      <c r="C4277" s="451"/>
      <c r="D4277" s="451"/>
      <c r="E4277" s="468"/>
      <c r="F4277" s="468"/>
    </row>
    <row r="4278" spans="1:6" ht="12.75" x14ac:dyDescent="0.2">
      <c r="A4278" s="451"/>
      <c r="B4278" s="451"/>
      <c r="C4278" s="451"/>
      <c r="D4278" s="451"/>
      <c r="E4278" s="468"/>
      <c r="F4278" s="468"/>
    </row>
    <row r="4279" spans="1:6" ht="12.75" x14ac:dyDescent="0.2">
      <c r="A4279" s="451"/>
      <c r="B4279" s="451"/>
      <c r="C4279" s="451"/>
      <c r="D4279" s="451"/>
      <c r="E4279" s="468"/>
      <c r="F4279" s="468"/>
    </row>
    <row r="4280" spans="1:6" ht="12.75" x14ac:dyDescent="0.2">
      <c r="A4280" s="451"/>
      <c r="B4280" s="451"/>
      <c r="C4280" s="451"/>
      <c r="D4280" s="451"/>
      <c r="E4280" s="468"/>
      <c r="F4280" s="468"/>
    </row>
    <row r="4281" spans="1:6" ht="12.75" x14ac:dyDescent="0.2">
      <c r="A4281" s="451"/>
      <c r="B4281" s="451"/>
      <c r="C4281" s="451"/>
      <c r="D4281" s="451"/>
      <c r="E4281" s="468"/>
      <c r="F4281" s="468"/>
    </row>
    <row r="4282" spans="1:6" ht="12.75" x14ac:dyDescent="0.2">
      <c r="A4282" s="451"/>
      <c r="B4282" s="451"/>
      <c r="C4282" s="451"/>
      <c r="D4282" s="451"/>
      <c r="E4282" s="468"/>
      <c r="F4282" s="468"/>
    </row>
    <row r="4283" spans="1:6" ht="12.75" x14ac:dyDescent="0.2">
      <c r="A4283" s="451"/>
      <c r="B4283" s="451"/>
      <c r="C4283" s="451"/>
      <c r="D4283" s="451"/>
      <c r="E4283" s="468"/>
      <c r="F4283" s="468"/>
    </row>
    <row r="4284" spans="1:6" ht="12.75" x14ac:dyDescent="0.2">
      <c r="A4284" s="451"/>
      <c r="B4284" s="451"/>
      <c r="C4284" s="451"/>
      <c r="D4284" s="451"/>
      <c r="E4284" s="468"/>
      <c r="F4284" s="468"/>
    </row>
    <row r="4285" spans="1:6" ht="12.75" x14ac:dyDescent="0.2">
      <c r="A4285" s="451"/>
      <c r="B4285" s="451"/>
      <c r="C4285" s="451"/>
      <c r="D4285" s="451"/>
      <c r="E4285" s="468"/>
      <c r="F4285" s="468"/>
    </row>
    <row r="4286" spans="1:6" ht="12.75" x14ac:dyDescent="0.2">
      <c r="A4286" s="451"/>
      <c r="B4286" s="451"/>
      <c r="C4286" s="451"/>
      <c r="D4286" s="451"/>
      <c r="E4286" s="468"/>
      <c r="F4286" s="468"/>
    </row>
    <row r="4287" spans="1:6" ht="12.75" x14ac:dyDescent="0.2">
      <c r="A4287" s="451"/>
      <c r="B4287" s="451"/>
      <c r="C4287" s="451"/>
      <c r="D4287" s="451"/>
      <c r="E4287" s="468"/>
      <c r="F4287" s="468"/>
    </row>
    <row r="4288" spans="1:6" ht="12.75" x14ac:dyDescent="0.2">
      <c r="A4288" s="451"/>
      <c r="B4288" s="451"/>
      <c r="C4288" s="451"/>
      <c r="D4288" s="451"/>
      <c r="E4288" s="468"/>
      <c r="F4288" s="468"/>
    </row>
    <row r="4289" spans="1:6" ht="12.75" x14ac:dyDescent="0.2">
      <c r="A4289" s="451"/>
      <c r="B4289" s="451"/>
      <c r="C4289" s="451"/>
      <c r="D4289" s="451"/>
      <c r="E4289" s="468"/>
      <c r="F4289" s="468"/>
    </row>
    <row r="4290" spans="1:6" ht="12.75" x14ac:dyDescent="0.2">
      <c r="A4290" s="451"/>
      <c r="B4290" s="451"/>
      <c r="C4290" s="451"/>
      <c r="D4290" s="451"/>
      <c r="E4290" s="468"/>
      <c r="F4290" s="468"/>
    </row>
    <row r="4291" spans="1:6" ht="12.75" x14ac:dyDescent="0.2">
      <c r="A4291" s="451"/>
      <c r="B4291" s="451"/>
      <c r="C4291" s="451"/>
      <c r="D4291" s="451"/>
      <c r="E4291" s="468"/>
      <c r="F4291" s="468"/>
    </row>
    <row r="4292" spans="1:6" ht="12.75" x14ac:dyDescent="0.2">
      <c r="A4292" s="451"/>
      <c r="B4292" s="451"/>
      <c r="C4292" s="451"/>
      <c r="D4292" s="451"/>
      <c r="E4292" s="468"/>
      <c r="F4292" s="468"/>
    </row>
    <row r="4293" spans="1:6" ht="12.75" x14ac:dyDescent="0.2">
      <c r="A4293" s="451"/>
      <c r="B4293" s="451"/>
      <c r="C4293" s="451"/>
      <c r="D4293" s="451"/>
      <c r="E4293" s="468"/>
      <c r="F4293" s="468"/>
    </row>
    <row r="4294" spans="1:6" ht="12.75" x14ac:dyDescent="0.2">
      <c r="A4294" s="451"/>
      <c r="B4294" s="451"/>
      <c r="C4294" s="451"/>
      <c r="D4294" s="451"/>
      <c r="E4294" s="468"/>
      <c r="F4294" s="468"/>
    </row>
    <row r="4295" spans="1:6" ht="12.75" x14ac:dyDescent="0.2">
      <c r="A4295" s="451"/>
      <c r="B4295" s="451"/>
      <c r="C4295" s="451"/>
      <c r="D4295" s="451"/>
      <c r="E4295" s="468"/>
      <c r="F4295" s="468"/>
    </row>
    <row r="4296" spans="1:6" ht="12.75" x14ac:dyDescent="0.2">
      <c r="A4296" s="451"/>
      <c r="B4296" s="451"/>
      <c r="C4296" s="451"/>
      <c r="D4296" s="451"/>
      <c r="E4296" s="468"/>
      <c r="F4296" s="468"/>
    </row>
    <row r="4297" spans="1:6" ht="12.75" x14ac:dyDescent="0.2">
      <c r="A4297" s="451"/>
      <c r="B4297" s="451"/>
      <c r="C4297" s="451"/>
      <c r="D4297" s="451"/>
      <c r="E4297" s="468"/>
      <c r="F4297" s="468"/>
    </row>
    <row r="4298" spans="1:6" ht="12.75" x14ac:dyDescent="0.2">
      <c r="A4298" s="451"/>
      <c r="B4298" s="451"/>
      <c r="C4298" s="451"/>
      <c r="D4298" s="451"/>
      <c r="E4298" s="468"/>
      <c r="F4298" s="468"/>
    </row>
    <row r="4299" spans="1:6" ht="12.75" x14ac:dyDescent="0.2">
      <c r="A4299" s="451"/>
      <c r="B4299" s="451"/>
      <c r="C4299" s="451"/>
      <c r="D4299" s="451"/>
      <c r="E4299" s="468"/>
      <c r="F4299" s="468"/>
    </row>
    <row r="4300" spans="1:6" ht="12.75" x14ac:dyDescent="0.2">
      <c r="A4300" s="451"/>
      <c r="B4300" s="451"/>
      <c r="C4300" s="451"/>
      <c r="D4300" s="451"/>
      <c r="E4300" s="468"/>
      <c r="F4300" s="468"/>
    </row>
    <row r="4301" spans="1:6" ht="12.75" x14ac:dyDescent="0.2">
      <c r="A4301" s="451"/>
      <c r="B4301" s="451"/>
      <c r="C4301" s="451"/>
      <c r="D4301" s="451"/>
      <c r="E4301" s="468"/>
      <c r="F4301" s="468"/>
    </row>
    <row r="4302" spans="1:6" ht="12.75" x14ac:dyDescent="0.2">
      <c r="A4302" s="451"/>
      <c r="B4302" s="451"/>
      <c r="C4302" s="451"/>
      <c r="D4302" s="451"/>
      <c r="E4302" s="468"/>
      <c r="F4302" s="468"/>
    </row>
    <row r="4303" spans="1:6" ht="12.75" x14ac:dyDescent="0.2">
      <c r="A4303" s="451"/>
      <c r="B4303" s="451"/>
      <c r="C4303" s="451"/>
      <c r="D4303" s="451"/>
      <c r="E4303" s="468"/>
      <c r="F4303" s="468"/>
    </row>
    <row r="4304" spans="1:6" ht="12.75" x14ac:dyDescent="0.2">
      <c r="A4304" s="451"/>
      <c r="B4304" s="451"/>
      <c r="C4304" s="451"/>
      <c r="D4304" s="451"/>
      <c r="E4304" s="468"/>
      <c r="F4304" s="468"/>
    </row>
    <row r="4305" spans="1:6" ht="12.75" x14ac:dyDescent="0.2">
      <c r="A4305" s="451"/>
      <c r="B4305" s="451"/>
      <c r="C4305" s="451"/>
      <c r="D4305" s="451"/>
      <c r="E4305" s="468"/>
      <c r="F4305" s="468"/>
    </row>
    <row r="4306" spans="1:6" ht="12.75" x14ac:dyDescent="0.2">
      <c r="A4306" s="451"/>
      <c r="B4306" s="451"/>
      <c r="C4306" s="451"/>
      <c r="D4306" s="451"/>
      <c r="E4306" s="468"/>
      <c r="F4306" s="468"/>
    </row>
    <row r="4307" spans="1:6" ht="12.75" x14ac:dyDescent="0.2">
      <c r="A4307" s="451"/>
      <c r="B4307" s="451"/>
      <c r="C4307" s="451"/>
      <c r="D4307" s="451"/>
      <c r="E4307" s="468"/>
      <c r="F4307" s="468"/>
    </row>
    <row r="4308" spans="1:6" ht="12.75" x14ac:dyDescent="0.2">
      <c r="A4308" s="451"/>
      <c r="B4308" s="451"/>
      <c r="C4308" s="451"/>
      <c r="D4308" s="451"/>
      <c r="E4308" s="468"/>
      <c r="F4308" s="468"/>
    </row>
    <row r="4309" spans="1:6" ht="12.75" x14ac:dyDescent="0.2">
      <c r="A4309" s="451"/>
      <c r="B4309" s="451"/>
      <c r="C4309" s="451"/>
      <c r="D4309" s="451"/>
      <c r="E4309" s="468"/>
      <c r="F4309" s="468"/>
    </row>
    <row r="4310" spans="1:6" ht="12.75" x14ac:dyDescent="0.2">
      <c r="A4310" s="451"/>
      <c r="B4310" s="451"/>
      <c r="C4310" s="451"/>
      <c r="D4310" s="451"/>
      <c r="E4310" s="468"/>
      <c r="F4310" s="468"/>
    </row>
    <row r="4311" spans="1:6" ht="12.75" x14ac:dyDescent="0.2">
      <c r="A4311" s="451"/>
      <c r="B4311" s="451"/>
      <c r="C4311" s="451"/>
      <c r="D4311" s="451"/>
      <c r="E4311" s="468"/>
      <c r="F4311" s="468"/>
    </row>
    <row r="4312" spans="1:6" ht="12.75" x14ac:dyDescent="0.2">
      <c r="A4312" s="451"/>
      <c r="B4312" s="451"/>
      <c r="C4312" s="451"/>
      <c r="D4312" s="451"/>
      <c r="E4312" s="468"/>
      <c r="F4312" s="468"/>
    </row>
    <row r="4313" spans="1:6" ht="12.75" x14ac:dyDescent="0.2">
      <c r="A4313" s="451"/>
      <c r="B4313" s="451"/>
      <c r="C4313" s="451"/>
      <c r="D4313" s="451"/>
      <c r="E4313" s="468"/>
      <c r="F4313" s="468"/>
    </row>
    <row r="4314" spans="1:6" ht="12.75" x14ac:dyDescent="0.2">
      <c r="A4314" s="451"/>
      <c r="B4314" s="451"/>
      <c r="C4314" s="451"/>
      <c r="D4314" s="451"/>
      <c r="E4314" s="468"/>
      <c r="F4314" s="468"/>
    </row>
    <row r="4315" spans="1:6" ht="12.75" x14ac:dyDescent="0.2">
      <c r="A4315" s="451"/>
      <c r="B4315" s="451"/>
      <c r="C4315" s="451"/>
      <c r="D4315" s="451"/>
      <c r="E4315" s="468"/>
      <c r="F4315" s="468"/>
    </row>
    <row r="4316" spans="1:6" ht="12.75" x14ac:dyDescent="0.2">
      <c r="A4316" s="451"/>
      <c r="B4316" s="451"/>
      <c r="C4316" s="451"/>
      <c r="D4316" s="451"/>
      <c r="E4316" s="468"/>
      <c r="F4316" s="468"/>
    </row>
    <row r="4317" spans="1:6" ht="12.75" x14ac:dyDescent="0.2">
      <c r="A4317" s="451"/>
      <c r="B4317" s="451"/>
      <c r="C4317" s="451"/>
      <c r="D4317" s="451"/>
      <c r="E4317" s="468"/>
      <c r="F4317" s="468"/>
    </row>
    <row r="4318" spans="1:6" ht="12.75" x14ac:dyDescent="0.2">
      <c r="A4318" s="451"/>
      <c r="B4318" s="451"/>
      <c r="C4318" s="451"/>
      <c r="D4318" s="451"/>
      <c r="E4318" s="468"/>
      <c r="F4318" s="468"/>
    </row>
    <row r="4319" spans="1:6" ht="12.75" x14ac:dyDescent="0.2">
      <c r="A4319" s="451"/>
      <c r="B4319" s="451"/>
      <c r="C4319" s="451"/>
      <c r="D4319" s="451"/>
      <c r="E4319" s="468"/>
      <c r="F4319" s="468"/>
    </row>
    <row r="4320" spans="1:6" ht="12.75" x14ac:dyDescent="0.2">
      <c r="A4320" s="451"/>
      <c r="B4320" s="451"/>
      <c r="C4320" s="451"/>
      <c r="D4320" s="451"/>
      <c r="E4320" s="468"/>
      <c r="F4320" s="468"/>
    </row>
    <row r="4321" spans="1:6" ht="12.75" x14ac:dyDescent="0.2">
      <c r="A4321" s="451"/>
      <c r="B4321" s="451"/>
      <c r="C4321" s="451"/>
      <c r="D4321" s="451"/>
      <c r="E4321" s="468"/>
      <c r="F4321" s="468"/>
    </row>
    <row r="4322" spans="1:6" ht="12.75" x14ac:dyDescent="0.2">
      <c r="A4322" s="451"/>
      <c r="B4322" s="451"/>
      <c r="C4322" s="451"/>
      <c r="D4322" s="451"/>
      <c r="E4322" s="468"/>
      <c r="F4322" s="468"/>
    </row>
    <row r="4323" spans="1:6" ht="12.75" x14ac:dyDescent="0.2">
      <c r="A4323" s="451"/>
      <c r="B4323" s="451"/>
      <c r="C4323" s="451"/>
      <c r="D4323" s="451"/>
      <c r="E4323" s="468"/>
      <c r="F4323" s="468"/>
    </row>
    <row r="4324" spans="1:6" ht="12.75" x14ac:dyDescent="0.2">
      <c r="A4324" s="451"/>
      <c r="B4324" s="451"/>
      <c r="C4324" s="451"/>
      <c r="D4324" s="451"/>
      <c r="E4324" s="468"/>
      <c r="F4324" s="468"/>
    </row>
    <row r="4325" spans="1:6" ht="12.75" x14ac:dyDescent="0.2">
      <c r="A4325" s="451"/>
      <c r="B4325" s="451"/>
      <c r="C4325" s="451"/>
      <c r="D4325" s="451"/>
      <c r="E4325" s="468"/>
      <c r="F4325" s="468"/>
    </row>
    <row r="4326" spans="1:6" ht="12.75" x14ac:dyDescent="0.2">
      <c r="A4326" s="451"/>
      <c r="B4326" s="451"/>
      <c r="C4326" s="451"/>
      <c r="D4326" s="451"/>
      <c r="E4326" s="468"/>
      <c r="F4326" s="468"/>
    </row>
    <row r="4327" spans="1:6" ht="12.75" x14ac:dyDescent="0.2">
      <c r="A4327" s="451"/>
      <c r="B4327" s="451"/>
      <c r="C4327" s="451"/>
      <c r="D4327" s="451"/>
      <c r="E4327" s="468"/>
      <c r="F4327" s="468"/>
    </row>
    <row r="4328" spans="1:6" ht="12.75" x14ac:dyDescent="0.2">
      <c r="A4328" s="451"/>
      <c r="B4328" s="451"/>
      <c r="C4328" s="451"/>
      <c r="D4328" s="451"/>
      <c r="E4328" s="468"/>
      <c r="F4328" s="468"/>
    </row>
    <row r="4329" spans="1:6" ht="12.75" x14ac:dyDescent="0.2">
      <c r="A4329" s="451"/>
      <c r="B4329" s="451"/>
      <c r="C4329" s="451"/>
      <c r="D4329" s="451"/>
      <c r="E4329" s="468"/>
      <c r="F4329" s="468"/>
    </row>
    <row r="4330" spans="1:6" ht="12.75" x14ac:dyDescent="0.2">
      <c r="A4330" s="451"/>
      <c r="B4330" s="451"/>
      <c r="C4330" s="451"/>
      <c r="D4330" s="451"/>
      <c r="E4330" s="468"/>
      <c r="F4330" s="468"/>
    </row>
    <row r="4331" spans="1:6" ht="12.75" x14ac:dyDescent="0.2">
      <c r="A4331" s="451"/>
      <c r="B4331" s="451"/>
      <c r="C4331" s="451"/>
      <c r="D4331" s="451"/>
      <c r="E4331" s="468"/>
      <c r="F4331" s="468"/>
    </row>
    <row r="4332" spans="1:6" ht="12.75" x14ac:dyDescent="0.2">
      <c r="A4332" s="451"/>
      <c r="B4332" s="451"/>
      <c r="C4332" s="451"/>
      <c r="D4332" s="451"/>
      <c r="E4332" s="468"/>
      <c r="F4332" s="468"/>
    </row>
    <row r="4333" spans="1:6" ht="12.75" x14ac:dyDescent="0.2">
      <c r="A4333" s="451"/>
      <c r="B4333" s="451"/>
      <c r="C4333" s="451"/>
      <c r="D4333" s="451"/>
      <c r="E4333" s="468"/>
      <c r="F4333" s="468"/>
    </row>
    <row r="4334" spans="1:6" ht="12.75" x14ac:dyDescent="0.2">
      <c r="A4334" s="451"/>
      <c r="B4334" s="451"/>
      <c r="C4334" s="451"/>
      <c r="D4334" s="451"/>
      <c r="E4334" s="468"/>
      <c r="F4334" s="468"/>
    </row>
    <row r="4335" spans="1:6" ht="12.75" x14ac:dyDescent="0.2">
      <c r="A4335" s="451"/>
      <c r="B4335" s="451"/>
      <c r="C4335" s="451"/>
      <c r="D4335" s="451"/>
      <c r="E4335" s="468"/>
      <c r="F4335" s="468"/>
    </row>
    <row r="4336" spans="1:6" ht="12.75" x14ac:dyDescent="0.2">
      <c r="A4336" s="451"/>
      <c r="B4336" s="451"/>
      <c r="C4336" s="451"/>
      <c r="D4336" s="451"/>
      <c r="E4336" s="468"/>
      <c r="F4336" s="468"/>
    </row>
    <row r="4337" spans="1:6" ht="12.75" x14ac:dyDescent="0.2">
      <c r="A4337" s="451"/>
      <c r="B4337" s="451"/>
      <c r="C4337" s="451"/>
      <c r="D4337" s="451"/>
      <c r="E4337" s="468"/>
      <c r="F4337" s="468"/>
    </row>
    <row r="4338" spans="1:6" ht="12.75" x14ac:dyDescent="0.2">
      <c r="A4338" s="451"/>
      <c r="B4338" s="451"/>
      <c r="C4338" s="451"/>
      <c r="D4338" s="451"/>
      <c r="E4338" s="468"/>
      <c r="F4338" s="468"/>
    </row>
    <row r="4339" spans="1:6" ht="12.75" x14ac:dyDescent="0.2">
      <c r="A4339" s="451"/>
      <c r="B4339" s="451"/>
      <c r="C4339" s="451"/>
      <c r="D4339" s="451"/>
      <c r="E4339" s="468"/>
      <c r="F4339" s="468"/>
    </row>
    <row r="4340" spans="1:6" ht="12.75" x14ac:dyDescent="0.2">
      <c r="A4340" s="451"/>
      <c r="B4340" s="451"/>
      <c r="C4340" s="451"/>
      <c r="D4340" s="451"/>
      <c r="E4340" s="468"/>
      <c r="F4340" s="468"/>
    </row>
    <row r="4341" spans="1:6" ht="12.75" x14ac:dyDescent="0.2">
      <c r="A4341" s="451"/>
      <c r="B4341" s="451"/>
      <c r="C4341" s="451"/>
      <c r="D4341" s="451"/>
      <c r="E4341" s="468"/>
      <c r="F4341" s="468"/>
    </row>
    <row r="4342" spans="1:6" ht="12.75" x14ac:dyDescent="0.2">
      <c r="A4342" s="451"/>
      <c r="B4342" s="451"/>
      <c r="C4342" s="451"/>
      <c r="D4342" s="451"/>
      <c r="E4342" s="468"/>
      <c r="F4342" s="468"/>
    </row>
    <row r="4343" spans="1:6" ht="12.75" x14ac:dyDescent="0.2">
      <c r="A4343" s="451"/>
      <c r="B4343" s="451"/>
      <c r="C4343" s="451"/>
      <c r="D4343" s="451"/>
      <c r="E4343" s="468"/>
      <c r="F4343" s="468"/>
    </row>
    <row r="4344" spans="1:6" ht="12.75" x14ac:dyDescent="0.2">
      <c r="A4344" s="451"/>
      <c r="B4344" s="451"/>
      <c r="C4344" s="451"/>
      <c r="D4344" s="451"/>
      <c r="E4344" s="468"/>
      <c r="F4344" s="468"/>
    </row>
    <row r="4345" spans="1:6" ht="12.75" x14ac:dyDescent="0.2">
      <c r="A4345" s="451"/>
      <c r="B4345" s="451"/>
      <c r="C4345" s="451"/>
      <c r="D4345" s="451"/>
      <c r="E4345" s="468"/>
      <c r="F4345" s="468"/>
    </row>
    <row r="4346" spans="1:6" ht="12.75" x14ac:dyDescent="0.2">
      <c r="A4346" s="451"/>
      <c r="B4346" s="451"/>
      <c r="C4346" s="451"/>
      <c r="D4346" s="451"/>
      <c r="E4346" s="468"/>
      <c r="F4346" s="468"/>
    </row>
    <row r="4347" spans="1:6" ht="12.75" x14ac:dyDescent="0.2">
      <c r="A4347" s="451"/>
      <c r="B4347" s="451"/>
      <c r="C4347" s="451"/>
      <c r="D4347" s="451"/>
      <c r="E4347" s="468"/>
      <c r="F4347" s="468"/>
    </row>
    <row r="4348" spans="1:6" ht="12.75" x14ac:dyDescent="0.2">
      <c r="A4348" s="451"/>
      <c r="B4348" s="451"/>
      <c r="C4348" s="451"/>
      <c r="D4348" s="451"/>
      <c r="E4348" s="468"/>
      <c r="F4348" s="468"/>
    </row>
    <row r="4349" spans="1:6" ht="12.75" x14ac:dyDescent="0.2">
      <c r="A4349" s="451"/>
      <c r="B4349" s="451"/>
      <c r="C4349" s="451"/>
      <c r="D4349" s="451"/>
      <c r="E4349" s="468"/>
      <c r="F4349" s="468"/>
    </row>
    <row r="4350" spans="1:6" ht="12.75" x14ac:dyDescent="0.2">
      <c r="A4350" s="451"/>
      <c r="B4350" s="451"/>
      <c r="C4350" s="451"/>
      <c r="D4350" s="451"/>
      <c r="E4350" s="468"/>
      <c r="F4350" s="468"/>
    </row>
    <row r="4351" spans="1:6" ht="12.75" x14ac:dyDescent="0.2">
      <c r="A4351" s="451"/>
      <c r="B4351" s="451"/>
      <c r="C4351" s="451"/>
      <c r="D4351" s="451"/>
      <c r="E4351" s="468"/>
      <c r="F4351" s="468"/>
    </row>
    <row r="4352" spans="1:6" ht="12.75" x14ac:dyDescent="0.2">
      <c r="A4352" s="451"/>
      <c r="B4352" s="451"/>
      <c r="C4352" s="451"/>
      <c r="D4352" s="451"/>
      <c r="E4352" s="468"/>
      <c r="F4352" s="468"/>
    </row>
    <row r="4353" spans="1:6" ht="12.75" x14ac:dyDescent="0.2">
      <c r="A4353" s="451"/>
      <c r="B4353" s="451"/>
      <c r="C4353" s="451"/>
      <c r="D4353" s="451"/>
      <c r="E4353" s="468"/>
      <c r="F4353" s="468"/>
    </row>
    <row r="4354" spans="1:6" ht="12.75" x14ac:dyDescent="0.2">
      <c r="A4354" s="451"/>
      <c r="B4354" s="451"/>
      <c r="C4354" s="451"/>
      <c r="D4354" s="451"/>
      <c r="E4354" s="468"/>
      <c r="F4354" s="468"/>
    </row>
    <row r="4355" spans="1:6" ht="12.75" x14ac:dyDescent="0.2">
      <c r="A4355" s="451"/>
      <c r="B4355" s="451"/>
      <c r="C4355" s="451"/>
      <c r="D4355" s="451"/>
      <c r="E4355" s="468"/>
      <c r="F4355" s="468"/>
    </row>
    <row r="4356" spans="1:6" ht="12.75" x14ac:dyDescent="0.2">
      <c r="A4356" s="451"/>
      <c r="B4356" s="451"/>
      <c r="C4356" s="451"/>
      <c r="D4356" s="451"/>
      <c r="E4356" s="468"/>
      <c r="F4356" s="468"/>
    </row>
    <row r="4357" spans="1:6" ht="12.75" x14ac:dyDescent="0.2">
      <c r="A4357" s="451"/>
      <c r="B4357" s="451"/>
      <c r="C4357" s="451"/>
      <c r="D4357" s="451"/>
      <c r="E4357" s="468"/>
      <c r="F4357" s="468"/>
    </row>
    <row r="4358" spans="1:6" ht="12.75" x14ac:dyDescent="0.2">
      <c r="A4358" s="451"/>
      <c r="B4358" s="451"/>
      <c r="C4358" s="451"/>
      <c r="D4358" s="451"/>
      <c r="E4358" s="468"/>
      <c r="F4358" s="468"/>
    </row>
    <row r="4359" spans="1:6" ht="12.75" x14ac:dyDescent="0.2">
      <c r="A4359" s="451"/>
      <c r="B4359" s="451"/>
      <c r="C4359" s="451"/>
      <c r="D4359" s="451"/>
      <c r="E4359" s="468"/>
      <c r="F4359" s="468"/>
    </row>
    <row r="4360" spans="1:6" ht="12.75" x14ac:dyDescent="0.2">
      <c r="A4360" s="451"/>
      <c r="B4360" s="451"/>
      <c r="C4360" s="451"/>
      <c r="D4360" s="451"/>
      <c r="E4360" s="468"/>
      <c r="F4360" s="468"/>
    </row>
    <row r="4361" spans="1:6" ht="12.75" x14ac:dyDescent="0.2">
      <c r="A4361" s="451"/>
      <c r="B4361" s="451"/>
      <c r="C4361" s="451"/>
      <c r="D4361" s="451"/>
      <c r="E4361" s="468"/>
      <c r="F4361" s="468"/>
    </row>
    <row r="4362" spans="1:6" ht="12.75" x14ac:dyDescent="0.2">
      <c r="A4362" s="451"/>
      <c r="B4362" s="451"/>
      <c r="C4362" s="451"/>
      <c r="D4362" s="451"/>
      <c r="E4362" s="468"/>
      <c r="F4362" s="468"/>
    </row>
    <row r="4363" spans="1:6" ht="12.75" x14ac:dyDescent="0.2">
      <c r="A4363" s="451"/>
      <c r="B4363" s="451"/>
      <c r="C4363" s="451"/>
      <c r="D4363" s="451"/>
      <c r="E4363" s="468"/>
      <c r="F4363" s="468"/>
    </row>
    <row r="4364" spans="1:6" ht="12.75" x14ac:dyDescent="0.2">
      <c r="A4364" s="451"/>
      <c r="B4364" s="451"/>
      <c r="C4364" s="451"/>
      <c r="D4364" s="451"/>
      <c r="E4364" s="468"/>
      <c r="F4364" s="468"/>
    </row>
    <row r="4365" spans="1:6" ht="12.75" x14ac:dyDescent="0.2">
      <c r="A4365" s="451"/>
      <c r="B4365" s="451"/>
      <c r="C4365" s="451"/>
      <c r="D4365" s="451"/>
      <c r="E4365" s="468"/>
      <c r="F4365" s="468"/>
    </row>
    <row r="4366" spans="1:6" ht="12.75" x14ac:dyDescent="0.2">
      <c r="A4366" s="451"/>
      <c r="B4366" s="451"/>
      <c r="C4366" s="451"/>
      <c r="D4366" s="451"/>
      <c r="E4366" s="468"/>
      <c r="F4366" s="468"/>
    </row>
    <row r="4367" spans="1:6" ht="12.75" x14ac:dyDescent="0.2">
      <c r="A4367" s="451"/>
      <c r="B4367" s="451"/>
      <c r="C4367" s="451"/>
      <c r="D4367" s="451"/>
      <c r="E4367" s="468"/>
      <c r="F4367" s="468"/>
    </row>
    <row r="4368" spans="1:6" ht="12.75" x14ac:dyDescent="0.2">
      <c r="A4368" s="451"/>
      <c r="B4368" s="451"/>
      <c r="C4368" s="451"/>
      <c r="D4368" s="451"/>
      <c r="E4368" s="468"/>
      <c r="F4368" s="468"/>
    </row>
    <row r="4369" spans="1:6" ht="12.75" x14ac:dyDescent="0.2">
      <c r="A4369" s="451"/>
      <c r="B4369" s="451"/>
      <c r="C4369" s="451"/>
      <c r="D4369" s="451"/>
      <c r="E4369" s="468"/>
      <c r="F4369" s="468"/>
    </row>
    <row r="4370" spans="1:6" ht="12.75" x14ac:dyDescent="0.2">
      <c r="A4370" s="451"/>
      <c r="B4370" s="451"/>
      <c r="C4370" s="451"/>
      <c r="D4370" s="451"/>
      <c r="E4370" s="468"/>
      <c r="F4370" s="468"/>
    </row>
    <row r="4371" spans="1:6" ht="12.75" x14ac:dyDescent="0.2">
      <c r="A4371" s="451"/>
      <c r="B4371" s="451"/>
      <c r="C4371" s="451"/>
      <c r="D4371" s="451"/>
      <c r="E4371" s="468"/>
      <c r="F4371" s="468"/>
    </row>
    <row r="4372" spans="1:6" ht="12.75" x14ac:dyDescent="0.2">
      <c r="A4372" s="451"/>
      <c r="B4372" s="451"/>
      <c r="C4372" s="451"/>
      <c r="D4372" s="451"/>
      <c r="E4372" s="468"/>
      <c r="F4372" s="468"/>
    </row>
    <row r="4373" spans="1:6" ht="12.75" x14ac:dyDescent="0.2">
      <c r="A4373" s="451"/>
      <c r="B4373" s="451"/>
      <c r="C4373" s="451"/>
      <c r="D4373" s="451"/>
      <c r="E4373" s="468"/>
      <c r="F4373" s="468"/>
    </row>
    <row r="4374" spans="1:6" ht="12.75" x14ac:dyDescent="0.2">
      <c r="A4374" s="451"/>
      <c r="B4374" s="451"/>
      <c r="C4374" s="451"/>
      <c r="D4374" s="451"/>
      <c r="E4374" s="468"/>
      <c r="F4374" s="468"/>
    </row>
    <row r="4375" spans="1:6" ht="12.75" x14ac:dyDescent="0.2">
      <c r="A4375" s="451"/>
      <c r="B4375" s="451"/>
      <c r="C4375" s="451"/>
      <c r="D4375" s="451"/>
      <c r="E4375" s="468"/>
      <c r="F4375" s="468"/>
    </row>
    <row r="4376" spans="1:6" ht="12.75" x14ac:dyDescent="0.2">
      <c r="A4376" s="451"/>
      <c r="B4376" s="451"/>
      <c r="C4376" s="451"/>
      <c r="D4376" s="451"/>
      <c r="E4376" s="468"/>
      <c r="F4376" s="468"/>
    </row>
    <row r="4377" spans="1:6" ht="12.75" x14ac:dyDescent="0.2">
      <c r="A4377" s="451"/>
      <c r="B4377" s="451"/>
      <c r="C4377" s="451"/>
      <c r="D4377" s="451"/>
      <c r="E4377" s="468"/>
      <c r="F4377" s="468"/>
    </row>
    <row r="4378" spans="1:6" ht="12.75" x14ac:dyDescent="0.2">
      <c r="A4378" s="451"/>
      <c r="B4378" s="451"/>
      <c r="C4378" s="451"/>
      <c r="D4378" s="451"/>
      <c r="E4378" s="468"/>
      <c r="F4378" s="468"/>
    </row>
    <row r="4379" spans="1:6" ht="12.75" x14ac:dyDescent="0.2">
      <c r="A4379" s="451"/>
      <c r="B4379" s="451"/>
      <c r="C4379" s="451"/>
      <c r="D4379" s="451"/>
      <c r="E4379" s="468"/>
      <c r="F4379" s="468"/>
    </row>
    <row r="4380" spans="1:6" ht="12.75" x14ac:dyDescent="0.2">
      <c r="A4380" s="451"/>
      <c r="B4380" s="451"/>
      <c r="C4380" s="451"/>
      <c r="D4380" s="451"/>
      <c r="E4380" s="468"/>
      <c r="F4380" s="468"/>
    </row>
    <row r="4381" spans="1:6" ht="12.75" x14ac:dyDescent="0.2">
      <c r="A4381" s="451"/>
      <c r="B4381" s="451"/>
      <c r="C4381" s="451"/>
      <c r="D4381" s="451"/>
      <c r="E4381" s="468"/>
      <c r="F4381" s="468"/>
    </row>
    <row r="4382" spans="1:6" ht="12.75" x14ac:dyDescent="0.2">
      <c r="A4382" s="451"/>
      <c r="B4382" s="451"/>
      <c r="C4382" s="451"/>
      <c r="D4382" s="451"/>
      <c r="E4382" s="468"/>
      <c r="F4382" s="468"/>
    </row>
    <row r="4383" spans="1:6" ht="12.75" x14ac:dyDescent="0.2">
      <c r="A4383" s="451"/>
      <c r="B4383" s="451"/>
      <c r="C4383" s="451"/>
      <c r="D4383" s="451"/>
      <c r="E4383" s="468"/>
      <c r="F4383" s="468"/>
    </row>
    <row r="4384" spans="1:6" ht="12.75" x14ac:dyDescent="0.2">
      <c r="A4384" s="451"/>
      <c r="B4384" s="451"/>
      <c r="C4384" s="451"/>
      <c r="D4384" s="451"/>
      <c r="E4384" s="468"/>
      <c r="F4384" s="468"/>
    </row>
    <row r="4385" spans="1:6" ht="12.75" x14ac:dyDescent="0.2">
      <c r="A4385" s="451"/>
      <c r="B4385" s="451"/>
      <c r="C4385" s="451"/>
      <c r="D4385" s="451"/>
      <c r="E4385" s="468"/>
      <c r="F4385" s="468"/>
    </row>
    <row r="4386" spans="1:6" ht="12.75" x14ac:dyDescent="0.2">
      <c r="A4386" s="451"/>
      <c r="B4386" s="451"/>
      <c r="C4386" s="451"/>
      <c r="D4386" s="451"/>
      <c r="E4386" s="468"/>
      <c r="F4386" s="468"/>
    </row>
    <row r="4387" spans="1:6" ht="12.75" x14ac:dyDescent="0.2">
      <c r="A4387" s="451"/>
      <c r="B4387" s="451"/>
      <c r="C4387" s="451"/>
      <c r="D4387" s="451"/>
      <c r="E4387" s="468"/>
      <c r="F4387" s="468"/>
    </row>
    <row r="4388" spans="1:6" ht="12.75" x14ac:dyDescent="0.2">
      <c r="A4388" s="451"/>
      <c r="B4388" s="451"/>
      <c r="C4388" s="451"/>
      <c r="D4388" s="451"/>
      <c r="E4388" s="468"/>
      <c r="F4388" s="468"/>
    </row>
    <row r="4389" spans="1:6" ht="12.75" x14ac:dyDescent="0.2">
      <c r="A4389" s="451"/>
      <c r="B4389" s="451"/>
      <c r="C4389" s="451"/>
      <c r="D4389" s="451"/>
      <c r="E4389" s="468"/>
      <c r="F4389" s="468"/>
    </row>
    <row r="4390" spans="1:6" ht="12.75" x14ac:dyDescent="0.2">
      <c r="A4390" s="451"/>
      <c r="B4390" s="451"/>
      <c r="C4390" s="451"/>
      <c r="D4390" s="451"/>
      <c r="E4390" s="468"/>
      <c r="F4390" s="468"/>
    </row>
    <row r="4391" spans="1:6" ht="12.75" x14ac:dyDescent="0.2">
      <c r="A4391" s="451"/>
      <c r="B4391" s="451"/>
      <c r="C4391" s="451"/>
      <c r="D4391" s="451"/>
      <c r="E4391" s="468"/>
      <c r="F4391" s="468"/>
    </row>
    <row r="4392" spans="1:6" ht="12.75" x14ac:dyDescent="0.2">
      <c r="A4392" s="451"/>
      <c r="B4392" s="451"/>
      <c r="C4392" s="451"/>
      <c r="D4392" s="451"/>
      <c r="E4392" s="468"/>
      <c r="F4392" s="468"/>
    </row>
    <row r="4393" spans="1:6" ht="12.75" x14ac:dyDescent="0.2">
      <c r="A4393" s="451"/>
      <c r="B4393" s="451"/>
      <c r="C4393" s="451"/>
      <c r="D4393" s="451"/>
      <c r="E4393" s="468"/>
      <c r="F4393" s="468"/>
    </row>
    <row r="4394" spans="1:6" ht="12.75" x14ac:dyDescent="0.2">
      <c r="A4394" s="451"/>
      <c r="B4394" s="451"/>
      <c r="C4394" s="451"/>
      <c r="D4394" s="451"/>
      <c r="E4394" s="468"/>
      <c r="F4394" s="468"/>
    </row>
    <row r="4395" spans="1:6" ht="12.75" x14ac:dyDescent="0.2">
      <c r="A4395" s="451"/>
      <c r="B4395" s="451"/>
      <c r="C4395" s="451"/>
      <c r="D4395" s="451"/>
      <c r="E4395" s="468"/>
      <c r="F4395" s="468"/>
    </row>
    <row r="4396" spans="1:6" ht="12.75" x14ac:dyDescent="0.2">
      <c r="A4396" s="451"/>
      <c r="B4396" s="451"/>
      <c r="C4396" s="451"/>
      <c r="D4396" s="451"/>
      <c r="E4396" s="468"/>
      <c r="F4396" s="468"/>
    </row>
    <row r="4397" spans="1:6" ht="12.75" x14ac:dyDescent="0.2">
      <c r="A4397" s="451"/>
      <c r="B4397" s="451"/>
      <c r="C4397" s="451"/>
      <c r="D4397" s="451"/>
      <c r="E4397" s="468"/>
      <c r="F4397" s="468"/>
    </row>
    <row r="4398" spans="1:6" ht="12.75" x14ac:dyDescent="0.2">
      <c r="A4398" s="451"/>
      <c r="B4398" s="451"/>
      <c r="C4398" s="451"/>
      <c r="D4398" s="451"/>
      <c r="E4398" s="468"/>
      <c r="F4398" s="468"/>
    </row>
    <row r="4399" spans="1:6" ht="12.75" x14ac:dyDescent="0.2">
      <c r="A4399" s="451"/>
      <c r="B4399" s="451"/>
      <c r="C4399" s="451"/>
      <c r="D4399" s="451"/>
      <c r="E4399" s="468"/>
      <c r="F4399" s="468"/>
    </row>
    <row r="4400" spans="1:6" ht="12.75" x14ac:dyDescent="0.2">
      <c r="A4400" s="451"/>
      <c r="B4400" s="451"/>
      <c r="C4400" s="451"/>
      <c r="D4400" s="451"/>
      <c r="E4400" s="468"/>
      <c r="F4400" s="468"/>
    </row>
    <row r="4401" spans="1:6" ht="12.75" x14ac:dyDescent="0.2">
      <c r="A4401" s="451"/>
      <c r="B4401" s="451"/>
      <c r="C4401" s="451"/>
      <c r="D4401" s="451"/>
      <c r="E4401" s="468"/>
      <c r="F4401" s="468"/>
    </row>
    <row r="4402" spans="1:6" ht="12.75" x14ac:dyDescent="0.2">
      <c r="A4402" s="451"/>
      <c r="B4402" s="451"/>
      <c r="C4402" s="451"/>
      <c r="D4402" s="451"/>
      <c r="E4402" s="468"/>
      <c r="F4402" s="468"/>
    </row>
    <row r="4403" spans="1:6" ht="12.75" x14ac:dyDescent="0.2">
      <c r="A4403" s="451"/>
      <c r="B4403" s="451"/>
      <c r="C4403" s="451"/>
      <c r="D4403" s="451"/>
      <c r="E4403" s="468"/>
      <c r="F4403" s="468"/>
    </row>
    <row r="4404" spans="1:6" ht="12.75" x14ac:dyDescent="0.2">
      <c r="A4404" s="451"/>
      <c r="B4404" s="451"/>
      <c r="C4404" s="451"/>
      <c r="D4404" s="451"/>
      <c r="E4404" s="468"/>
      <c r="F4404" s="468"/>
    </row>
    <row r="4405" spans="1:6" ht="12.75" x14ac:dyDescent="0.2">
      <c r="A4405" s="451"/>
      <c r="B4405" s="451"/>
      <c r="C4405" s="451"/>
      <c r="D4405" s="451"/>
      <c r="E4405" s="468"/>
      <c r="F4405" s="468"/>
    </row>
    <row r="4406" spans="1:6" ht="12.75" x14ac:dyDescent="0.2">
      <c r="A4406" s="451"/>
      <c r="B4406" s="451"/>
      <c r="C4406" s="451"/>
      <c r="D4406" s="451"/>
      <c r="E4406" s="468"/>
      <c r="F4406" s="468"/>
    </row>
    <row r="4407" spans="1:6" ht="12.75" x14ac:dyDescent="0.2">
      <c r="A4407" s="451"/>
      <c r="B4407" s="451"/>
      <c r="C4407" s="451"/>
      <c r="D4407" s="451"/>
      <c r="E4407" s="468"/>
      <c r="F4407" s="468"/>
    </row>
    <row r="4408" spans="1:6" ht="12.75" x14ac:dyDescent="0.2">
      <c r="A4408" s="451"/>
      <c r="B4408" s="451"/>
      <c r="C4408" s="451"/>
      <c r="D4408" s="451"/>
      <c r="E4408" s="468"/>
      <c r="F4408" s="468"/>
    </row>
    <row r="4409" spans="1:6" ht="12.75" x14ac:dyDescent="0.2">
      <c r="A4409" s="451"/>
      <c r="B4409" s="451"/>
      <c r="C4409" s="451"/>
      <c r="D4409" s="451"/>
      <c r="E4409" s="468"/>
      <c r="F4409" s="468"/>
    </row>
    <row r="4410" spans="1:6" ht="12.75" x14ac:dyDescent="0.2">
      <c r="A4410" s="451"/>
      <c r="B4410" s="451"/>
      <c r="C4410" s="451"/>
      <c r="D4410" s="451"/>
      <c r="E4410" s="468"/>
      <c r="F4410" s="468"/>
    </row>
    <row r="4411" spans="1:6" ht="12.75" x14ac:dyDescent="0.2">
      <c r="A4411" s="451"/>
      <c r="B4411" s="451"/>
      <c r="C4411" s="451"/>
      <c r="D4411" s="451"/>
      <c r="E4411" s="468"/>
      <c r="F4411" s="468"/>
    </row>
    <row r="4412" spans="1:6" ht="12.75" x14ac:dyDescent="0.2">
      <c r="A4412" s="451"/>
      <c r="B4412" s="451"/>
      <c r="C4412" s="451"/>
      <c r="D4412" s="451"/>
      <c r="E4412" s="468"/>
      <c r="F4412" s="468"/>
    </row>
    <row r="4413" spans="1:6" ht="12.75" x14ac:dyDescent="0.2">
      <c r="A4413" s="451"/>
      <c r="B4413" s="451"/>
      <c r="C4413" s="451"/>
      <c r="D4413" s="451"/>
      <c r="E4413" s="468"/>
      <c r="F4413" s="468"/>
    </row>
    <row r="4414" spans="1:6" ht="12.75" x14ac:dyDescent="0.2">
      <c r="A4414" s="451"/>
      <c r="B4414" s="451"/>
      <c r="C4414" s="451"/>
      <c r="D4414" s="451"/>
      <c r="E4414" s="468"/>
      <c r="F4414" s="468"/>
    </row>
    <row r="4415" spans="1:6" ht="12.75" x14ac:dyDescent="0.2">
      <c r="A4415" s="451"/>
      <c r="B4415" s="451"/>
      <c r="C4415" s="451"/>
      <c r="D4415" s="451"/>
      <c r="E4415" s="468"/>
      <c r="F4415" s="468"/>
    </row>
    <row r="4416" spans="1:6" ht="12.75" x14ac:dyDescent="0.2">
      <c r="A4416" s="451"/>
      <c r="B4416" s="451"/>
      <c r="C4416" s="451"/>
      <c r="D4416" s="451"/>
      <c r="E4416" s="468"/>
      <c r="F4416" s="468"/>
    </row>
    <row r="4417" spans="1:6" ht="12.75" x14ac:dyDescent="0.2">
      <c r="A4417" s="451"/>
      <c r="B4417" s="451"/>
      <c r="C4417" s="451"/>
      <c r="D4417" s="451"/>
      <c r="E4417" s="468"/>
      <c r="F4417" s="468"/>
    </row>
    <row r="4418" spans="1:6" ht="12.75" x14ac:dyDescent="0.2">
      <c r="A4418" s="451"/>
      <c r="B4418" s="451"/>
      <c r="C4418" s="451"/>
      <c r="D4418" s="451"/>
      <c r="E4418" s="468"/>
      <c r="F4418" s="468"/>
    </row>
    <row r="4419" spans="1:6" ht="12.75" x14ac:dyDescent="0.2">
      <c r="A4419" s="451"/>
      <c r="B4419" s="451"/>
      <c r="C4419" s="451"/>
      <c r="D4419" s="451"/>
      <c r="E4419" s="468"/>
      <c r="F4419" s="468"/>
    </row>
    <row r="4420" spans="1:6" ht="12.75" x14ac:dyDescent="0.2">
      <c r="A4420" s="451"/>
      <c r="B4420" s="451"/>
      <c r="C4420" s="451"/>
      <c r="D4420" s="451"/>
      <c r="E4420" s="468"/>
      <c r="F4420" s="468"/>
    </row>
    <row r="4421" spans="1:6" ht="12.75" x14ac:dyDescent="0.2">
      <c r="A4421" s="451"/>
      <c r="B4421" s="451"/>
      <c r="C4421" s="451"/>
      <c r="D4421" s="451"/>
      <c r="E4421" s="468"/>
      <c r="F4421" s="468"/>
    </row>
    <row r="4422" spans="1:6" ht="12.75" x14ac:dyDescent="0.2">
      <c r="A4422" s="451"/>
      <c r="B4422" s="451"/>
      <c r="C4422" s="451"/>
      <c r="D4422" s="451"/>
      <c r="E4422" s="468"/>
      <c r="F4422" s="468"/>
    </row>
    <row r="4423" spans="1:6" ht="12.75" x14ac:dyDescent="0.2">
      <c r="A4423" s="451"/>
      <c r="B4423" s="451"/>
      <c r="C4423" s="451"/>
      <c r="D4423" s="451"/>
      <c r="E4423" s="468"/>
      <c r="F4423" s="468"/>
    </row>
    <row r="4424" spans="1:6" ht="12.75" x14ac:dyDescent="0.2">
      <c r="A4424" s="451"/>
      <c r="B4424" s="451"/>
      <c r="C4424" s="451"/>
      <c r="D4424" s="451"/>
      <c r="E4424" s="468"/>
      <c r="F4424" s="468"/>
    </row>
    <row r="4425" spans="1:6" ht="12.75" x14ac:dyDescent="0.2">
      <c r="A4425" s="451"/>
      <c r="B4425" s="451"/>
      <c r="C4425" s="451"/>
      <c r="D4425" s="451"/>
      <c r="E4425" s="468"/>
      <c r="F4425" s="468"/>
    </row>
    <row r="4426" spans="1:6" ht="12.75" x14ac:dyDescent="0.2">
      <c r="A4426" s="451"/>
      <c r="B4426" s="451"/>
      <c r="C4426" s="451"/>
      <c r="D4426" s="451"/>
      <c r="E4426" s="468"/>
      <c r="F4426" s="468"/>
    </row>
    <row r="4427" spans="1:6" ht="12.75" x14ac:dyDescent="0.2">
      <c r="A4427" s="451"/>
      <c r="B4427" s="451"/>
      <c r="C4427" s="451"/>
      <c r="D4427" s="451"/>
      <c r="E4427" s="468"/>
      <c r="F4427" s="468"/>
    </row>
    <row r="4428" spans="1:6" ht="12.75" x14ac:dyDescent="0.2">
      <c r="A4428" s="451"/>
      <c r="B4428" s="451"/>
      <c r="C4428" s="451"/>
      <c r="D4428" s="451"/>
      <c r="E4428" s="468"/>
      <c r="F4428" s="468"/>
    </row>
    <row r="4429" spans="1:6" ht="12.75" x14ac:dyDescent="0.2">
      <c r="A4429" s="451"/>
      <c r="B4429" s="451"/>
      <c r="C4429" s="451"/>
      <c r="D4429" s="451"/>
      <c r="E4429" s="468"/>
      <c r="F4429" s="468"/>
    </row>
    <row r="4430" spans="1:6" ht="12.75" x14ac:dyDescent="0.2">
      <c r="A4430" s="451"/>
      <c r="B4430" s="451"/>
      <c r="C4430" s="451"/>
      <c r="D4430" s="451"/>
      <c r="E4430" s="468"/>
      <c r="F4430" s="468"/>
    </row>
    <row r="4431" spans="1:6" ht="12.75" x14ac:dyDescent="0.2">
      <c r="A4431" s="451"/>
      <c r="B4431" s="451"/>
      <c r="C4431" s="451"/>
      <c r="D4431" s="451"/>
      <c r="E4431" s="468"/>
      <c r="F4431" s="468"/>
    </row>
    <row r="4432" spans="1:6" ht="12.75" x14ac:dyDescent="0.2">
      <c r="A4432" s="451"/>
      <c r="B4432" s="451"/>
      <c r="C4432" s="451"/>
      <c r="D4432" s="451"/>
      <c r="E4432" s="468"/>
      <c r="F4432" s="468"/>
    </row>
    <row r="4433" spans="1:6" ht="12.75" x14ac:dyDescent="0.2">
      <c r="A4433" s="451"/>
      <c r="B4433" s="451"/>
      <c r="C4433" s="451"/>
      <c r="D4433" s="451"/>
      <c r="E4433" s="468"/>
      <c r="F4433" s="468"/>
    </row>
    <row r="4434" spans="1:6" ht="12.75" x14ac:dyDescent="0.2">
      <c r="A4434" s="451"/>
      <c r="B4434" s="451"/>
      <c r="C4434" s="451"/>
      <c r="D4434" s="451"/>
      <c r="E4434" s="468"/>
      <c r="F4434" s="468"/>
    </row>
    <row r="4435" spans="1:6" ht="12.75" x14ac:dyDescent="0.2">
      <c r="A4435" s="451"/>
      <c r="B4435" s="451"/>
      <c r="C4435" s="451"/>
      <c r="D4435" s="451"/>
      <c r="E4435" s="468"/>
      <c r="F4435" s="468"/>
    </row>
    <row r="4436" spans="1:6" ht="12.75" x14ac:dyDescent="0.2">
      <c r="A4436" s="451"/>
      <c r="B4436" s="451"/>
      <c r="C4436" s="451"/>
      <c r="D4436" s="451"/>
      <c r="E4436" s="468"/>
      <c r="F4436" s="468"/>
    </row>
    <row r="4437" spans="1:6" ht="12.75" x14ac:dyDescent="0.2">
      <c r="A4437" s="451"/>
      <c r="B4437" s="451"/>
      <c r="C4437" s="451"/>
      <c r="D4437" s="451"/>
      <c r="E4437" s="468"/>
      <c r="F4437" s="468"/>
    </row>
    <row r="4438" spans="1:6" ht="12.75" x14ac:dyDescent="0.2">
      <c r="A4438" s="451"/>
      <c r="B4438" s="451"/>
      <c r="C4438" s="451"/>
      <c r="D4438" s="451"/>
      <c r="E4438" s="468"/>
      <c r="F4438" s="468"/>
    </row>
    <row r="4439" spans="1:6" ht="12.75" x14ac:dyDescent="0.2">
      <c r="A4439" s="451"/>
      <c r="B4439" s="451"/>
      <c r="C4439" s="451"/>
      <c r="D4439" s="451"/>
      <c r="E4439" s="468"/>
      <c r="F4439" s="468"/>
    </row>
    <row r="4440" spans="1:6" ht="12.75" x14ac:dyDescent="0.2">
      <c r="A4440" s="451"/>
      <c r="B4440" s="451"/>
      <c r="C4440" s="451"/>
      <c r="D4440" s="451"/>
      <c r="E4440" s="468"/>
      <c r="F4440" s="468"/>
    </row>
    <row r="4441" spans="1:6" ht="12.75" x14ac:dyDescent="0.2">
      <c r="A4441" s="451"/>
      <c r="B4441" s="451"/>
      <c r="C4441" s="451"/>
      <c r="D4441" s="451"/>
      <c r="E4441" s="468"/>
      <c r="F4441" s="468"/>
    </row>
    <row r="4442" spans="1:6" ht="12.75" x14ac:dyDescent="0.2">
      <c r="A4442" s="451"/>
      <c r="B4442" s="451"/>
      <c r="C4442" s="451"/>
      <c r="D4442" s="451"/>
      <c r="E4442" s="468"/>
      <c r="F4442" s="468"/>
    </row>
    <row r="4443" spans="1:6" ht="12.75" x14ac:dyDescent="0.2">
      <c r="A4443" s="451"/>
      <c r="B4443" s="451"/>
      <c r="C4443" s="451"/>
      <c r="D4443" s="451"/>
      <c r="E4443" s="468"/>
      <c r="F4443" s="468"/>
    </row>
    <row r="4444" spans="1:6" ht="12.75" x14ac:dyDescent="0.2">
      <c r="A4444" s="451"/>
      <c r="B4444" s="451"/>
      <c r="C4444" s="451"/>
      <c r="D4444" s="451"/>
      <c r="E4444" s="468"/>
      <c r="F4444" s="468"/>
    </row>
    <row r="4445" spans="1:6" ht="12.75" x14ac:dyDescent="0.2">
      <c r="A4445" s="451"/>
      <c r="B4445" s="451"/>
      <c r="C4445" s="451"/>
      <c r="D4445" s="451"/>
      <c r="E4445" s="468"/>
      <c r="F4445" s="468"/>
    </row>
    <row r="4446" spans="1:6" ht="12.75" x14ac:dyDescent="0.2">
      <c r="A4446" s="451"/>
      <c r="B4446" s="451"/>
      <c r="C4446" s="451"/>
      <c r="D4446" s="451"/>
      <c r="E4446" s="468"/>
      <c r="F4446" s="468"/>
    </row>
    <row r="4447" spans="1:6" ht="12.75" x14ac:dyDescent="0.2">
      <c r="A4447" s="451"/>
      <c r="B4447" s="451"/>
      <c r="C4447" s="451"/>
      <c r="D4447" s="451"/>
      <c r="E4447" s="468"/>
      <c r="F4447" s="468"/>
    </row>
    <row r="4448" spans="1:6" ht="12.75" x14ac:dyDescent="0.2">
      <c r="A4448" s="451"/>
      <c r="B4448" s="451"/>
      <c r="C4448" s="451"/>
      <c r="D4448" s="451"/>
      <c r="E4448" s="468"/>
      <c r="F4448" s="468"/>
    </row>
    <row r="4449" spans="1:6" ht="12.75" x14ac:dyDescent="0.2">
      <c r="A4449" s="451"/>
      <c r="B4449" s="451"/>
      <c r="C4449" s="451"/>
      <c r="D4449" s="451"/>
      <c r="E4449" s="468"/>
      <c r="F4449" s="468"/>
    </row>
    <row r="4450" spans="1:6" ht="12.75" x14ac:dyDescent="0.2">
      <c r="A4450" s="451"/>
      <c r="B4450" s="451"/>
      <c r="C4450" s="451"/>
      <c r="D4450" s="451"/>
      <c r="E4450" s="468"/>
      <c r="F4450" s="468"/>
    </row>
    <row r="4451" spans="1:6" ht="12.75" x14ac:dyDescent="0.2">
      <c r="A4451" s="451"/>
      <c r="B4451" s="451"/>
      <c r="C4451" s="451"/>
      <c r="D4451" s="451"/>
      <c r="E4451" s="468"/>
      <c r="F4451" s="468"/>
    </row>
    <row r="4452" spans="1:6" ht="12.75" x14ac:dyDescent="0.2">
      <c r="A4452" s="451"/>
      <c r="B4452" s="451"/>
      <c r="C4452" s="451"/>
      <c r="D4452" s="451"/>
      <c r="E4452" s="468"/>
      <c r="F4452" s="468"/>
    </row>
    <row r="4453" spans="1:6" ht="12.75" x14ac:dyDescent="0.2">
      <c r="A4453" s="451"/>
      <c r="B4453" s="451"/>
      <c r="C4453" s="451"/>
      <c r="D4453" s="451"/>
      <c r="E4453" s="468"/>
      <c r="F4453" s="468"/>
    </row>
    <row r="4454" spans="1:6" ht="12.75" x14ac:dyDescent="0.2">
      <c r="A4454" s="451"/>
      <c r="B4454" s="451"/>
      <c r="C4454" s="451"/>
      <c r="D4454" s="451"/>
      <c r="E4454" s="468"/>
      <c r="F4454" s="468"/>
    </row>
    <row r="4455" spans="1:6" ht="12.75" x14ac:dyDescent="0.2">
      <c r="A4455" s="451"/>
      <c r="B4455" s="451"/>
      <c r="C4455" s="451"/>
      <c r="D4455" s="451"/>
      <c r="E4455" s="468"/>
      <c r="F4455" s="468"/>
    </row>
    <row r="4456" spans="1:6" ht="12.75" x14ac:dyDescent="0.2">
      <c r="A4456" s="451"/>
      <c r="B4456" s="451"/>
      <c r="C4456" s="451"/>
      <c r="D4456" s="451"/>
      <c r="E4456" s="468"/>
      <c r="F4456" s="468"/>
    </row>
    <row r="4457" spans="1:6" ht="12.75" x14ac:dyDescent="0.2">
      <c r="A4457" s="451"/>
      <c r="B4457" s="451"/>
      <c r="C4457" s="451"/>
      <c r="D4457" s="451"/>
      <c r="E4457" s="468"/>
      <c r="F4457" s="468"/>
    </row>
    <row r="4458" spans="1:6" ht="12.75" x14ac:dyDescent="0.2">
      <c r="A4458" s="451"/>
      <c r="B4458" s="451"/>
      <c r="C4458" s="451"/>
      <c r="D4458" s="451"/>
      <c r="E4458" s="468"/>
      <c r="F4458" s="468"/>
    </row>
    <row r="4459" spans="1:6" ht="12.75" x14ac:dyDescent="0.2">
      <c r="A4459" s="451"/>
      <c r="B4459" s="451"/>
      <c r="C4459" s="451"/>
      <c r="D4459" s="451"/>
      <c r="E4459" s="468"/>
      <c r="F4459" s="468"/>
    </row>
    <row r="4460" spans="1:6" ht="12.75" x14ac:dyDescent="0.2">
      <c r="A4460" s="451"/>
      <c r="B4460" s="451"/>
      <c r="C4460" s="451"/>
      <c r="D4460" s="451"/>
      <c r="E4460" s="468"/>
      <c r="F4460" s="468"/>
    </row>
    <row r="4461" spans="1:6" ht="12.75" x14ac:dyDescent="0.2">
      <c r="A4461" s="451"/>
      <c r="B4461" s="451"/>
      <c r="C4461" s="451"/>
      <c r="D4461" s="451"/>
      <c r="E4461" s="468"/>
      <c r="F4461" s="468"/>
    </row>
    <row r="4462" spans="1:6" ht="12.75" x14ac:dyDescent="0.2">
      <c r="A4462" s="451"/>
      <c r="B4462" s="451"/>
      <c r="C4462" s="451"/>
      <c r="D4462" s="451"/>
      <c r="E4462" s="468"/>
      <c r="F4462" s="468"/>
    </row>
    <row r="4463" spans="1:6" ht="12.75" x14ac:dyDescent="0.2">
      <c r="A4463" s="451"/>
      <c r="B4463" s="451"/>
      <c r="C4463" s="451"/>
      <c r="D4463" s="451"/>
      <c r="E4463" s="468"/>
      <c r="F4463" s="468"/>
    </row>
    <row r="4464" spans="1:6" ht="12.75" x14ac:dyDescent="0.2">
      <c r="A4464" s="451"/>
      <c r="B4464" s="451"/>
      <c r="C4464" s="451"/>
      <c r="D4464" s="451"/>
      <c r="E4464" s="468"/>
      <c r="F4464" s="468"/>
    </row>
    <row r="4465" spans="1:6" ht="12.75" x14ac:dyDescent="0.2">
      <c r="A4465" s="451"/>
      <c r="B4465" s="451"/>
      <c r="C4465" s="451"/>
      <c r="D4465" s="451"/>
      <c r="E4465" s="468"/>
      <c r="F4465" s="468"/>
    </row>
    <row r="4466" spans="1:6" ht="12.75" x14ac:dyDescent="0.2">
      <c r="A4466" s="451"/>
      <c r="B4466" s="451"/>
      <c r="C4466" s="451"/>
      <c r="D4466" s="451"/>
      <c r="E4466" s="468"/>
      <c r="F4466" s="468"/>
    </row>
    <row r="4467" spans="1:6" ht="12.75" x14ac:dyDescent="0.2">
      <c r="A4467" s="451"/>
      <c r="B4467" s="451"/>
      <c r="C4467" s="451"/>
      <c r="D4467" s="451"/>
      <c r="E4467" s="468"/>
      <c r="F4467" s="468"/>
    </row>
    <row r="4468" spans="1:6" ht="12.75" x14ac:dyDescent="0.2">
      <c r="A4468" s="451"/>
      <c r="B4468" s="451"/>
      <c r="C4468" s="451"/>
      <c r="D4468" s="451"/>
      <c r="E4468" s="468"/>
      <c r="F4468" s="468"/>
    </row>
    <row r="4469" spans="1:6" ht="12.75" x14ac:dyDescent="0.2">
      <c r="A4469" s="451"/>
      <c r="B4469" s="451"/>
      <c r="C4469" s="451"/>
      <c r="D4469" s="451"/>
      <c r="E4469" s="468"/>
      <c r="F4469" s="468"/>
    </row>
    <row r="4470" spans="1:6" ht="12.75" x14ac:dyDescent="0.2">
      <c r="A4470" s="451"/>
      <c r="B4470" s="451"/>
      <c r="C4470" s="451"/>
      <c r="D4470" s="451"/>
      <c r="E4470" s="468"/>
      <c r="F4470" s="468"/>
    </row>
    <row r="4471" spans="1:6" ht="12.75" x14ac:dyDescent="0.2">
      <c r="A4471" s="451"/>
      <c r="B4471" s="451"/>
      <c r="C4471" s="451"/>
      <c r="D4471" s="451"/>
      <c r="E4471" s="468"/>
      <c r="F4471" s="468"/>
    </row>
    <row r="4472" spans="1:6" ht="12.75" x14ac:dyDescent="0.2">
      <c r="A4472" s="451"/>
      <c r="B4472" s="451"/>
      <c r="C4472" s="451"/>
      <c r="D4472" s="451"/>
      <c r="E4472" s="468"/>
      <c r="F4472" s="468"/>
    </row>
    <row r="4473" spans="1:6" ht="12.75" x14ac:dyDescent="0.2">
      <c r="A4473" s="451"/>
      <c r="B4473" s="451"/>
      <c r="C4473" s="451"/>
      <c r="D4473" s="451"/>
      <c r="E4473" s="468"/>
      <c r="F4473" s="468"/>
    </row>
    <row r="4474" spans="1:6" ht="12.75" x14ac:dyDescent="0.2">
      <c r="A4474" s="451"/>
      <c r="B4474" s="451"/>
      <c r="C4474" s="451"/>
      <c r="D4474" s="451"/>
      <c r="E4474" s="468"/>
      <c r="F4474" s="468"/>
    </row>
    <row r="4475" spans="1:6" ht="12.75" x14ac:dyDescent="0.2">
      <c r="A4475" s="451"/>
      <c r="B4475" s="451"/>
      <c r="C4475" s="451"/>
      <c r="D4475" s="451"/>
      <c r="E4475" s="468"/>
      <c r="F4475" s="468"/>
    </row>
    <row r="4476" spans="1:6" ht="12.75" x14ac:dyDescent="0.2">
      <c r="A4476" s="451"/>
      <c r="B4476" s="451"/>
      <c r="C4476" s="451"/>
      <c r="D4476" s="451"/>
      <c r="E4476" s="468"/>
      <c r="F4476" s="468"/>
    </row>
    <row r="4477" spans="1:6" ht="12.75" x14ac:dyDescent="0.2">
      <c r="A4477" s="451"/>
      <c r="B4477" s="451"/>
      <c r="C4477" s="451"/>
      <c r="D4477" s="451"/>
      <c r="E4477" s="468"/>
      <c r="F4477" s="468"/>
    </row>
    <row r="4478" spans="1:6" ht="12.75" x14ac:dyDescent="0.2">
      <c r="A4478" s="451"/>
      <c r="B4478" s="451"/>
      <c r="C4478" s="451"/>
      <c r="D4478" s="451"/>
      <c r="E4478" s="468"/>
      <c r="F4478" s="468"/>
    </row>
    <row r="4479" spans="1:6" ht="12.75" x14ac:dyDescent="0.2">
      <c r="A4479" s="451"/>
      <c r="B4479" s="451"/>
      <c r="C4479" s="451"/>
      <c r="D4479" s="451"/>
      <c r="E4479" s="468"/>
      <c r="F4479" s="468"/>
    </row>
    <row r="4480" spans="1:6" ht="12.75" x14ac:dyDescent="0.2">
      <c r="A4480" s="451"/>
      <c r="B4480" s="451"/>
      <c r="C4480" s="451"/>
      <c r="D4480" s="451"/>
      <c r="E4480" s="468"/>
      <c r="F4480" s="468"/>
    </row>
    <row r="4481" spans="1:6" ht="12.75" x14ac:dyDescent="0.2">
      <c r="A4481" s="451"/>
      <c r="B4481" s="451"/>
      <c r="C4481" s="451"/>
      <c r="D4481" s="451"/>
      <c r="E4481" s="468"/>
      <c r="F4481" s="468"/>
    </row>
    <row r="4482" spans="1:6" ht="12.75" x14ac:dyDescent="0.2">
      <c r="A4482" s="451"/>
      <c r="B4482" s="451"/>
      <c r="C4482" s="451"/>
      <c r="D4482" s="451"/>
      <c r="E4482" s="468"/>
      <c r="F4482" s="468"/>
    </row>
    <row r="4483" spans="1:6" ht="12.75" x14ac:dyDescent="0.2">
      <c r="A4483" s="451"/>
      <c r="B4483" s="451"/>
      <c r="C4483" s="451"/>
      <c r="D4483" s="451"/>
      <c r="E4483" s="468"/>
      <c r="F4483" s="468"/>
    </row>
    <row r="4484" spans="1:6" ht="12.75" x14ac:dyDescent="0.2">
      <c r="A4484" s="451"/>
      <c r="B4484" s="451"/>
      <c r="C4484" s="451"/>
      <c r="D4484" s="451"/>
      <c r="E4484" s="468"/>
      <c r="F4484" s="468"/>
    </row>
    <row r="4485" spans="1:6" ht="12.75" x14ac:dyDescent="0.2">
      <c r="A4485" s="451"/>
      <c r="B4485" s="451"/>
      <c r="C4485" s="451"/>
      <c r="D4485" s="451"/>
      <c r="E4485" s="468"/>
      <c r="F4485" s="468"/>
    </row>
    <row r="4486" spans="1:6" ht="12.75" x14ac:dyDescent="0.2">
      <c r="A4486" s="451"/>
      <c r="B4486" s="451"/>
      <c r="C4486" s="451"/>
      <c r="D4486" s="451"/>
      <c r="E4486" s="468"/>
      <c r="F4486" s="468"/>
    </row>
    <row r="4487" spans="1:6" ht="12.75" x14ac:dyDescent="0.2">
      <c r="A4487" s="451"/>
      <c r="B4487" s="451"/>
      <c r="C4487" s="451"/>
      <c r="D4487" s="451"/>
      <c r="E4487" s="468"/>
      <c r="F4487" s="468"/>
    </row>
    <row r="4488" spans="1:6" ht="12.75" x14ac:dyDescent="0.2">
      <c r="A4488" s="451"/>
      <c r="B4488" s="451"/>
      <c r="C4488" s="451"/>
      <c r="D4488" s="451"/>
      <c r="E4488" s="468"/>
      <c r="F4488" s="468"/>
    </row>
    <row r="4489" spans="1:6" ht="12.75" x14ac:dyDescent="0.2">
      <c r="A4489" s="451"/>
      <c r="B4489" s="451"/>
      <c r="C4489" s="451"/>
      <c r="D4489" s="451"/>
      <c r="E4489" s="468"/>
      <c r="F4489" s="468"/>
    </row>
    <row r="4490" spans="1:6" ht="12.75" x14ac:dyDescent="0.2">
      <c r="A4490" s="451"/>
      <c r="B4490" s="451"/>
      <c r="C4490" s="451"/>
      <c r="D4490" s="451"/>
      <c r="E4490" s="468"/>
      <c r="F4490" s="468"/>
    </row>
    <row r="4491" spans="1:6" ht="12.75" x14ac:dyDescent="0.2">
      <c r="A4491" s="451"/>
      <c r="B4491" s="451"/>
      <c r="C4491" s="451"/>
      <c r="D4491" s="451"/>
      <c r="E4491" s="468"/>
      <c r="F4491" s="468"/>
    </row>
    <row r="4492" spans="1:6" ht="12.75" x14ac:dyDescent="0.2">
      <c r="A4492" s="451"/>
      <c r="B4492" s="451"/>
      <c r="C4492" s="451"/>
      <c r="D4492" s="451"/>
      <c r="E4492" s="468"/>
      <c r="F4492" s="468"/>
    </row>
    <row r="4493" spans="1:6" ht="12.75" x14ac:dyDescent="0.2">
      <c r="A4493" s="451"/>
      <c r="B4493" s="451"/>
      <c r="C4493" s="451"/>
      <c r="D4493" s="451"/>
      <c r="E4493" s="468"/>
      <c r="F4493" s="468"/>
    </row>
    <row r="4494" spans="1:6" ht="12.75" x14ac:dyDescent="0.2">
      <c r="A4494" s="451"/>
      <c r="B4494" s="451"/>
      <c r="C4494" s="451"/>
      <c r="D4494" s="451"/>
      <c r="E4494" s="468"/>
      <c r="F4494" s="468"/>
    </row>
    <row r="4495" spans="1:6" ht="12.75" x14ac:dyDescent="0.2">
      <c r="A4495" s="451"/>
      <c r="B4495" s="451"/>
      <c r="C4495" s="451"/>
      <c r="D4495" s="451"/>
      <c r="E4495" s="468"/>
      <c r="F4495" s="468"/>
    </row>
    <row r="4496" spans="1:6" ht="12.75" x14ac:dyDescent="0.2">
      <c r="A4496" s="451"/>
      <c r="B4496" s="451"/>
      <c r="C4496" s="451"/>
      <c r="D4496" s="451"/>
      <c r="E4496" s="468"/>
      <c r="F4496" s="468"/>
    </row>
    <row r="4497" spans="1:6" ht="12.75" x14ac:dyDescent="0.2">
      <c r="A4497" s="451"/>
      <c r="B4497" s="451"/>
      <c r="C4497" s="451"/>
      <c r="D4497" s="451"/>
      <c r="E4497" s="468"/>
      <c r="F4497" s="468"/>
    </row>
    <row r="4498" spans="1:6" ht="12.75" x14ac:dyDescent="0.2">
      <c r="A4498" s="451"/>
      <c r="B4498" s="451"/>
      <c r="C4498" s="451"/>
      <c r="D4498" s="451"/>
      <c r="E4498" s="468"/>
      <c r="F4498" s="468"/>
    </row>
    <row r="4499" spans="1:6" ht="12.75" x14ac:dyDescent="0.2">
      <c r="A4499" s="451"/>
      <c r="B4499" s="451"/>
      <c r="C4499" s="451"/>
      <c r="D4499" s="451"/>
      <c r="E4499" s="468"/>
      <c r="F4499" s="468"/>
    </row>
    <row r="4500" spans="1:6" ht="12.75" x14ac:dyDescent="0.2">
      <c r="A4500" s="451"/>
      <c r="B4500" s="451"/>
      <c r="C4500" s="451"/>
      <c r="D4500" s="451"/>
      <c r="E4500" s="468"/>
      <c r="F4500" s="468"/>
    </row>
    <row r="4501" spans="1:6" ht="12.75" x14ac:dyDescent="0.2">
      <c r="A4501" s="451"/>
      <c r="B4501" s="451"/>
      <c r="C4501" s="451"/>
      <c r="D4501" s="451"/>
      <c r="E4501" s="468"/>
      <c r="F4501" s="468"/>
    </row>
    <row r="4502" spans="1:6" ht="12.75" x14ac:dyDescent="0.2">
      <c r="A4502" s="451"/>
      <c r="B4502" s="451"/>
      <c r="C4502" s="451"/>
      <c r="D4502" s="451"/>
      <c r="E4502" s="468"/>
      <c r="F4502" s="468"/>
    </row>
    <row r="4503" spans="1:6" ht="12.75" x14ac:dyDescent="0.2">
      <c r="A4503" s="451"/>
      <c r="B4503" s="451"/>
      <c r="C4503" s="451"/>
      <c r="D4503" s="451"/>
      <c r="E4503" s="468"/>
      <c r="F4503" s="468"/>
    </row>
    <row r="4504" spans="1:6" ht="12.75" x14ac:dyDescent="0.2">
      <c r="A4504" s="451"/>
      <c r="B4504" s="451"/>
      <c r="C4504" s="451"/>
      <c r="D4504" s="451"/>
      <c r="E4504" s="468"/>
      <c r="F4504" s="468"/>
    </row>
    <row r="4505" spans="1:6" ht="12.75" x14ac:dyDescent="0.2">
      <c r="A4505" s="451"/>
      <c r="B4505" s="451"/>
      <c r="C4505" s="451"/>
      <c r="D4505" s="451"/>
      <c r="E4505" s="468"/>
      <c r="F4505" s="468"/>
    </row>
    <row r="4506" spans="1:6" ht="12.75" x14ac:dyDescent="0.2">
      <c r="A4506" s="451"/>
      <c r="B4506" s="451"/>
      <c r="C4506" s="451"/>
      <c r="D4506" s="451"/>
      <c r="E4506" s="468"/>
      <c r="F4506" s="468"/>
    </row>
    <row r="4507" spans="1:6" ht="12.75" x14ac:dyDescent="0.2">
      <c r="A4507" s="451"/>
      <c r="B4507" s="451"/>
      <c r="C4507" s="451"/>
      <c r="D4507" s="451"/>
      <c r="E4507" s="468"/>
      <c r="F4507" s="468"/>
    </row>
    <row r="4508" spans="1:6" ht="12.75" x14ac:dyDescent="0.2">
      <c r="A4508" s="451"/>
      <c r="B4508" s="451"/>
      <c r="C4508" s="451"/>
      <c r="D4508" s="451"/>
      <c r="E4508" s="468"/>
      <c r="F4508" s="468"/>
    </row>
    <row r="4509" spans="1:6" ht="12.75" x14ac:dyDescent="0.2">
      <c r="A4509" s="451"/>
      <c r="B4509" s="451"/>
      <c r="C4509" s="451"/>
      <c r="D4509" s="451"/>
      <c r="E4509" s="468"/>
      <c r="F4509" s="468"/>
    </row>
    <row r="4510" spans="1:6" ht="12.75" x14ac:dyDescent="0.2">
      <c r="A4510" s="451"/>
      <c r="B4510" s="451"/>
      <c r="C4510" s="451"/>
      <c r="D4510" s="451"/>
      <c r="E4510" s="468"/>
      <c r="F4510" s="468"/>
    </row>
    <row r="4511" spans="1:6" ht="12.75" x14ac:dyDescent="0.2">
      <c r="A4511" s="451"/>
      <c r="B4511" s="451"/>
      <c r="C4511" s="451"/>
      <c r="D4511" s="451"/>
      <c r="E4511" s="468"/>
      <c r="F4511" s="468"/>
    </row>
    <row r="4512" spans="1:6" ht="12.75" x14ac:dyDescent="0.2">
      <c r="A4512" s="451"/>
      <c r="B4512" s="451"/>
      <c r="C4512" s="451"/>
      <c r="D4512" s="451"/>
      <c r="E4512" s="468"/>
      <c r="F4512" s="468"/>
    </row>
    <row r="4513" spans="1:6" ht="12.75" x14ac:dyDescent="0.2">
      <c r="A4513" s="451"/>
      <c r="B4513" s="451"/>
      <c r="C4513" s="451"/>
      <c r="D4513" s="451"/>
      <c r="E4513" s="468"/>
      <c r="F4513" s="468"/>
    </row>
    <row r="4514" spans="1:6" ht="12.75" x14ac:dyDescent="0.2">
      <c r="A4514" s="451"/>
      <c r="B4514" s="451"/>
      <c r="C4514" s="451"/>
      <c r="D4514" s="451"/>
      <c r="E4514" s="468"/>
      <c r="F4514" s="468"/>
    </row>
    <row r="4515" spans="1:6" ht="12.75" x14ac:dyDescent="0.2">
      <c r="A4515" s="451"/>
      <c r="B4515" s="451"/>
      <c r="C4515" s="451"/>
      <c r="D4515" s="451"/>
      <c r="E4515" s="468"/>
      <c r="F4515" s="468"/>
    </row>
    <row r="4516" spans="1:6" ht="12.75" x14ac:dyDescent="0.2">
      <c r="A4516" s="451"/>
      <c r="B4516" s="451"/>
      <c r="C4516" s="451"/>
      <c r="D4516" s="451"/>
      <c r="E4516" s="468"/>
      <c r="F4516" s="468"/>
    </row>
    <row r="4517" spans="1:6" ht="12.75" x14ac:dyDescent="0.2">
      <c r="A4517" s="451"/>
      <c r="B4517" s="451"/>
      <c r="C4517" s="451"/>
      <c r="D4517" s="451"/>
      <c r="E4517" s="468"/>
      <c r="F4517" s="468"/>
    </row>
    <row r="4518" spans="1:6" ht="12.75" x14ac:dyDescent="0.2">
      <c r="A4518" s="451"/>
      <c r="B4518" s="451"/>
      <c r="C4518" s="451"/>
      <c r="D4518" s="451"/>
      <c r="E4518" s="468"/>
      <c r="F4518" s="468"/>
    </row>
    <row r="4519" spans="1:6" ht="12.75" x14ac:dyDescent="0.2">
      <c r="A4519" s="451"/>
      <c r="B4519" s="451"/>
      <c r="C4519" s="451"/>
      <c r="D4519" s="451"/>
      <c r="E4519" s="468"/>
      <c r="F4519" s="468"/>
    </row>
    <row r="4520" spans="1:6" ht="12.75" x14ac:dyDescent="0.2">
      <c r="A4520" s="451"/>
      <c r="B4520" s="451"/>
      <c r="C4520" s="451"/>
      <c r="D4520" s="451"/>
      <c r="E4520" s="468"/>
      <c r="F4520" s="468"/>
    </row>
    <row r="4521" spans="1:6" ht="12.75" x14ac:dyDescent="0.2">
      <c r="A4521" s="451"/>
      <c r="B4521" s="451"/>
      <c r="C4521" s="451"/>
      <c r="D4521" s="451"/>
      <c r="E4521" s="468"/>
      <c r="F4521" s="468"/>
    </row>
    <row r="4522" spans="1:6" ht="12.75" x14ac:dyDescent="0.2">
      <c r="A4522" s="451"/>
      <c r="B4522" s="451"/>
      <c r="C4522" s="451"/>
      <c r="D4522" s="451"/>
      <c r="E4522" s="468"/>
      <c r="F4522" s="468"/>
    </row>
    <row r="4523" spans="1:6" ht="12.75" x14ac:dyDescent="0.2">
      <c r="A4523" s="451"/>
      <c r="B4523" s="451"/>
      <c r="C4523" s="451"/>
      <c r="D4523" s="451"/>
      <c r="E4523" s="468"/>
      <c r="F4523" s="468"/>
    </row>
    <row r="4524" spans="1:6" ht="12.75" x14ac:dyDescent="0.2">
      <c r="A4524" s="451"/>
      <c r="B4524" s="451"/>
      <c r="C4524" s="451"/>
      <c r="D4524" s="451"/>
      <c r="E4524" s="468"/>
      <c r="F4524" s="468"/>
    </row>
    <row r="4525" spans="1:6" ht="12.75" x14ac:dyDescent="0.2">
      <c r="A4525" s="451"/>
      <c r="B4525" s="451"/>
      <c r="C4525" s="451"/>
      <c r="D4525" s="451"/>
      <c r="E4525" s="468"/>
      <c r="F4525" s="468"/>
    </row>
    <row r="4526" spans="1:6" ht="12.75" x14ac:dyDescent="0.2">
      <c r="A4526" s="451"/>
      <c r="B4526" s="451"/>
      <c r="C4526" s="451"/>
      <c r="D4526" s="451"/>
      <c r="E4526" s="468"/>
      <c r="F4526" s="468"/>
    </row>
    <row r="4527" spans="1:6" ht="12.75" x14ac:dyDescent="0.2">
      <c r="A4527" s="451"/>
      <c r="B4527" s="451"/>
      <c r="C4527" s="451"/>
      <c r="D4527" s="451"/>
      <c r="E4527" s="468"/>
      <c r="F4527" s="468"/>
    </row>
    <row r="4528" spans="1:6" ht="12.75" x14ac:dyDescent="0.2">
      <c r="A4528" s="451"/>
      <c r="B4528" s="451"/>
      <c r="C4528" s="451"/>
      <c r="D4528" s="451"/>
      <c r="E4528" s="468"/>
      <c r="F4528" s="468"/>
    </row>
    <row r="4529" spans="1:6" ht="12.75" x14ac:dyDescent="0.2">
      <c r="A4529" s="451"/>
      <c r="B4529" s="451"/>
      <c r="C4529" s="451"/>
      <c r="D4529" s="451"/>
      <c r="E4529" s="468"/>
      <c r="F4529" s="468"/>
    </row>
    <row r="4530" spans="1:6" ht="12.75" x14ac:dyDescent="0.2">
      <c r="A4530" s="451"/>
      <c r="B4530" s="451"/>
      <c r="C4530" s="451"/>
      <c r="D4530" s="451"/>
      <c r="E4530" s="468"/>
      <c r="F4530" s="468"/>
    </row>
    <row r="4531" spans="1:6" ht="12.75" x14ac:dyDescent="0.2">
      <c r="A4531" s="451"/>
      <c r="B4531" s="451"/>
      <c r="C4531" s="451"/>
      <c r="D4531" s="451"/>
      <c r="E4531" s="468"/>
      <c r="F4531" s="468"/>
    </row>
    <row r="4532" spans="1:6" ht="12.75" x14ac:dyDescent="0.2">
      <c r="A4532" s="451"/>
      <c r="B4532" s="451"/>
      <c r="C4532" s="451"/>
      <c r="D4532" s="451"/>
      <c r="E4532" s="468"/>
      <c r="F4532" s="468"/>
    </row>
    <row r="4533" spans="1:6" ht="12.75" x14ac:dyDescent="0.2">
      <c r="A4533" s="451"/>
      <c r="B4533" s="451"/>
      <c r="C4533" s="451"/>
      <c r="D4533" s="451"/>
      <c r="E4533" s="468"/>
      <c r="F4533" s="468"/>
    </row>
    <row r="4534" spans="1:6" ht="12.75" x14ac:dyDescent="0.2">
      <c r="A4534" s="451"/>
      <c r="B4534" s="451"/>
      <c r="C4534" s="451"/>
      <c r="D4534" s="451"/>
      <c r="E4534" s="468"/>
      <c r="F4534" s="468"/>
    </row>
    <row r="4535" spans="1:6" ht="12.75" x14ac:dyDescent="0.2">
      <c r="A4535" s="451"/>
      <c r="B4535" s="451"/>
      <c r="C4535" s="451"/>
      <c r="D4535" s="451"/>
      <c r="E4535" s="468"/>
      <c r="F4535" s="468"/>
    </row>
    <row r="4536" spans="1:6" ht="12.75" x14ac:dyDescent="0.2">
      <c r="A4536" s="451"/>
      <c r="B4536" s="451"/>
      <c r="C4536" s="451"/>
      <c r="D4536" s="451"/>
      <c r="E4536" s="468"/>
      <c r="F4536" s="468"/>
    </row>
    <row r="4537" spans="1:6" ht="12.75" x14ac:dyDescent="0.2">
      <c r="A4537" s="451"/>
      <c r="B4537" s="451"/>
      <c r="C4537" s="451"/>
      <c r="D4537" s="451"/>
      <c r="E4537" s="468"/>
      <c r="F4537" s="468"/>
    </row>
    <row r="4538" spans="1:6" ht="12.75" x14ac:dyDescent="0.2">
      <c r="A4538" s="451"/>
      <c r="B4538" s="451"/>
      <c r="C4538" s="451"/>
      <c r="D4538" s="451"/>
      <c r="E4538" s="468"/>
      <c r="F4538" s="468"/>
    </row>
    <row r="4539" spans="1:6" ht="12.75" x14ac:dyDescent="0.2">
      <c r="A4539" s="451"/>
      <c r="B4539" s="451"/>
      <c r="C4539" s="451"/>
      <c r="D4539" s="451"/>
      <c r="E4539" s="468"/>
      <c r="F4539" s="468"/>
    </row>
    <row r="4540" spans="1:6" ht="12.75" x14ac:dyDescent="0.2">
      <c r="A4540" s="451"/>
      <c r="B4540" s="451"/>
      <c r="C4540" s="451"/>
      <c r="D4540" s="451"/>
      <c r="E4540" s="468"/>
      <c r="F4540" s="468"/>
    </row>
    <row r="4541" spans="1:6" ht="12.75" x14ac:dyDescent="0.2">
      <c r="A4541" s="451"/>
      <c r="B4541" s="451"/>
      <c r="C4541" s="451"/>
      <c r="D4541" s="451"/>
      <c r="E4541" s="468"/>
      <c r="F4541" s="468"/>
    </row>
    <row r="4542" spans="1:6" ht="12.75" x14ac:dyDescent="0.2">
      <c r="A4542" s="451"/>
      <c r="B4542" s="451"/>
      <c r="C4542" s="451"/>
      <c r="D4542" s="451"/>
      <c r="E4542" s="468"/>
      <c r="F4542" s="468"/>
    </row>
    <row r="4543" spans="1:6" ht="12.75" x14ac:dyDescent="0.2">
      <c r="A4543" s="451"/>
      <c r="B4543" s="451"/>
      <c r="C4543" s="451"/>
      <c r="D4543" s="451"/>
      <c r="E4543" s="468"/>
      <c r="F4543" s="468"/>
    </row>
    <row r="4544" spans="1:6" ht="12.75" x14ac:dyDescent="0.2">
      <c r="A4544" s="451"/>
      <c r="B4544" s="451"/>
      <c r="C4544" s="451"/>
      <c r="D4544" s="451"/>
      <c r="E4544" s="468"/>
      <c r="F4544" s="468"/>
    </row>
    <row r="4545" spans="1:6" ht="12.75" x14ac:dyDescent="0.2">
      <c r="A4545" s="451"/>
      <c r="B4545" s="451"/>
      <c r="C4545" s="451"/>
      <c r="D4545" s="451"/>
      <c r="E4545" s="468"/>
      <c r="F4545" s="468"/>
    </row>
    <row r="4546" spans="1:6" ht="12.75" x14ac:dyDescent="0.2">
      <c r="A4546" s="451"/>
      <c r="B4546" s="451"/>
      <c r="C4546" s="451"/>
      <c r="D4546" s="451"/>
      <c r="E4546" s="468"/>
      <c r="F4546" s="468"/>
    </row>
    <row r="4547" spans="1:6" ht="12.75" x14ac:dyDescent="0.2">
      <c r="A4547" s="451"/>
      <c r="B4547" s="451"/>
      <c r="C4547" s="451"/>
      <c r="D4547" s="451"/>
      <c r="E4547" s="468"/>
      <c r="F4547" s="468"/>
    </row>
    <row r="4548" spans="1:6" ht="12.75" x14ac:dyDescent="0.2">
      <c r="A4548" s="451"/>
      <c r="B4548" s="451"/>
      <c r="C4548" s="451"/>
      <c r="D4548" s="451"/>
      <c r="E4548" s="468"/>
      <c r="F4548" s="468"/>
    </row>
    <row r="4549" spans="1:6" ht="12.75" x14ac:dyDescent="0.2">
      <c r="A4549" s="451"/>
      <c r="B4549" s="451"/>
      <c r="C4549" s="451"/>
      <c r="D4549" s="451"/>
      <c r="E4549" s="468"/>
      <c r="F4549" s="468"/>
    </row>
    <row r="4550" spans="1:6" ht="12.75" x14ac:dyDescent="0.2">
      <c r="A4550" s="451"/>
      <c r="B4550" s="451"/>
      <c r="C4550" s="451"/>
      <c r="D4550" s="451"/>
      <c r="E4550" s="468"/>
      <c r="F4550" s="468"/>
    </row>
    <row r="4551" spans="1:6" ht="12.75" x14ac:dyDescent="0.2">
      <c r="A4551" s="451"/>
      <c r="B4551" s="451"/>
      <c r="C4551" s="451"/>
      <c r="D4551" s="451"/>
      <c r="E4551" s="468"/>
      <c r="F4551" s="468"/>
    </row>
    <row r="4552" spans="1:6" ht="12.75" x14ac:dyDescent="0.2">
      <c r="A4552" s="451"/>
      <c r="B4552" s="451"/>
      <c r="C4552" s="451"/>
      <c r="D4552" s="451"/>
      <c r="E4552" s="468"/>
      <c r="F4552" s="468"/>
    </row>
    <row r="4553" spans="1:6" ht="12.75" x14ac:dyDescent="0.2">
      <c r="A4553" s="451"/>
      <c r="B4553" s="451"/>
      <c r="C4553" s="451"/>
      <c r="D4553" s="451"/>
      <c r="E4553" s="468"/>
      <c r="F4553" s="468"/>
    </row>
    <row r="4554" spans="1:6" ht="12.75" x14ac:dyDescent="0.2">
      <c r="A4554" s="451"/>
      <c r="B4554" s="451"/>
      <c r="C4554" s="451"/>
      <c r="D4554" s="451"/>
      <c r="E4554" s="468"/>
      <c r="F4554" s="468"/>
    </row>
    <row r="4555" spans="1:6" ht="12.75" x14ac:dyDescent="0.2">
      <c r="A4555" s="451"/>
      <c r="B4555" s="451"/>
      <c r="C4555" s="451"/>
      <c r="D4555" s="451"/>
      <c r="E4555" s="468"/>
      <c r="F4555" s="468"/>
    </row>
    <row r="4556" spans="1:6" ht="12.75" x14ac:dyDescent="0.2">
      <c r="A4556" s="451"/>
      <c r="B4556" s="451"/>
      <c r="C4556" s="451"/>
      <c r="D4556" s="451"/>
      <c r="E4556" s="468"/>
      <c r="F4556" s="468"/>
    </row>
    <row r="4557" spans="1:6" ht="12.75" x14ac:dyDescent="0.2">
      <c r="A4557" s="451"/>
      <c r="B4557" s="451"/>
      <c r="C4557" s="451"/>
      <c r="D4557" s="451"/>
      <c r="E4557" s="468"/>
      <c r="F4557" s="468"/>
    </row>
    <row r="4558" spans="1:6" ht="12.75" x14ac:dyDescent="0.2">
      <c r="A4558" s="451"/>
      <c r="B4558" s="451"/>
      <c r="C4558" s="451"/>
      <c r="D4558" s="451"/>
      <c r="E4558" s="468"/>
      <c r="F4558" s="468"/>
    </row>
    <row r="4559" spans="1:6" ht="12.75" x14ac:dyDescent="0.2">
      <c r="A4559" s="451"/>
      <c r="B4559" s="451"/>
      <c r="C4559" s="451"/>
      <c r="D4559" s="451"/>
      <c r="E4559" s="468"/>
      <c r="F4559" s="468"/>
    </row>
    <row r="4560" spans="1:6" ht="12.75" x14ac:dyDescent="0.2">
      <c r="A4560" s="451"/>
      <c r="B4560" s="451"/>
      <c r="C4560" s="451"/>
      <c r="D4560" s="451"/>
      <c r="E4560" s="468"/>
      <c r="F4560" s="468"/>
    </row>
    <row r="4561" spans="1:6" ht="12.75" x14ac:dyDescent="0.2">
      <c r="A4561" s="451"/>
      <c r="B4561" s="451"/>
      <c r="C4561" s="451"/>
      <c r="D4561" s="451"/>
      <c r="E4561" s="468"/>
      <c r="F4561" s="468"/>
    </row>
    <row r="4562" spans="1:6" ht="12.75" x14ac:dyDescent="0.2">
      <c r="A4562" s="451"/>
      <c r="B4562" s="451"/>
      <c r="C4562" s="451"/>
      <c r="D4562" s="451"/>
      <c r="E4562" s="468"/>
      <c r="F4562" s="468"/>
    </row>
    <row r="4563" spans="1:6" ht="12.75" x14ac:dyDescent="0.2">
      <c r="A4563" s="451"/>
      <c r="B4563" s="451"/>
      <c r="C4563" s="451"/>
      <c r="D4563" s="451"/>
      <c r="E4563" s="468"/>
      <c r="F4563" s="468"/>
    </row>
    <row r="4564" spans="1:6" ht="12.75" x14ac:dyDescent="0.2">
      <c r="A4564" s="451"/>
      <c r="B4564" s="451"/>
      <c r="C4564" s="451"/>
      <c r="D4564" s="451"/>
      <c r="E4564" s="468"/>
      <c r="F4564" s="468"/>
    </row>
    <row r="4565" spans="1:6" ht="12.75" x14ac:dyDescent="0.2">
      <c r="A4565" s="451"/>
      <c r="B4565" s="451"/>
      <c r="C4565" s="451"/>
      <c r="D4565" s="451"/>
      <c r="E4565" s="468"/>
      <c r="F4565" s="468"/>
    </row>
    <row r="4566" spans="1:6" ht="12.75" x14ac:dyDescent="0.2">
      <c r="A4566" s="451"/>
      <c r="B4566" s="451"/>
      <c r="C4566" s="451"/>
      <c r="D4566" s="451"/>
      <c r="E4566" s="468"/>
      <c r="F4566" s="468"/>
    </row>
    <row r="4567" spans="1:6" ht="12.75" x14ac:dyDescent="0.2">
      <c r="A4567" s="451"/>
      <c r="B4567" s="451"/>
      <c r="C4567" s="451"/>
      <c r="D4567" s="451"/>
      <c r="E4567" s="468"/>
      <c r="F4567" s="468"/>
    </row>
    <row r="4568" spans="1:6" ht="12.75" x14ac:dyDescent="0.2">
      <c r="A4568" s="451"/>
      <c r="B4568" s="451"/>
      <c r="C4568" s="451"/>
      <c r="D4568" s="451"/>
      <c r="E4568" s="468"/>
      <c r="F4568" s="468"/>
    </row>
    <row r="4569" spans="1:6" ht="12.75" x14ac:dyDescent="0.2">
      <c r="A4569" s="451"/>
      <c r="B4569" s="451"/>
      <c r="C4569" s="451"/>
      <c r="D4569" s="451"/>
      <c r="E4569" s="468"/>
      <c r="F4569" s="468"/>
    </row>
    <row r="4570" spans="1:6" ht="12.75" x14ac:dyDescent="0.2">
      <c r="A4570" s="451"/>
      <c r="B4570" s="451"/>
      <c r="C4570" s="451"/>
      <c r="D4570" s="451"/>
      <c r="E4570" s="468"/>
      <c r="F4570" s="468"/>
    </row>
    <row r="4571" spans="1:6" ht="12.75" x14ac:dyDescent="0.2">
      <c r="A4571" s="451"/>
      <c r="B4571" s="451"/>
      <c r="C4571" s="451"/>
      <c r="D4571" s="451"/>
      <c r="E4571" s="468"/>
      <c r="F4571" s="468"/>
    </row>
    <row r="4572" spans="1:6" ht="12.75" x14ac:dyDescent="0.2">
      <c r="A4572" s="451"/>
      <c r="B4572" s="451"/>
      <c r="C4572" s="451"/>
      <c r="D4572" s="451"/>
      <c r="E4572" s="468"/>
      <c r="F4572" s="468"/>
    </row>
    <row r="4573" spans="1:6" ht="12.75" x14ac:dyDescent="0.2">
      <c r="A4573" s="451"/>
      <c r="B4573" s="451"/>
      <c r="C4573" s="451"/>
      <c r="D4573" s="451"/>
      <c r="E4573" s="468"/>
      <c r="F4573" s="468"/>
    </row>
    <row r="4574" spans="1:6" ht="12.75" x14ac:dyDescent="0.2">
      <c r="A4574" s="451"/>
      <c r="B4574" s="451"/>
      <c r="C4574" s="451"/>
      <c r="D4574" s="451"/>
      <c r="E4574" s="468"/>
      <c r="F4574" s="468"/>
    </row>
    <row r="4575" spans="1:6" ht="12.75" x14ac:dyDescent="0.2">
      <c r="A4575" s="451"/>
      <c r="B4575" s="451"/>
      <c r="C4575" s="451"/>
      <c r="D4575" s="451"/>
      <c r="E4575" s="468"/>
      <c r="F4575" s="468"/>
    </row>
    <row r="4576" spans="1:6" ht="12.75" x14ac:dyDescent="0.2">
      <c r="A4576" s="451"/>
      <c r="B4576" s="451"/>
      <c r="C4576" s="451"/>
      <c r="D4576" s="451"/>
      <c r="E4576" s="468"/>
      <c r="F4576" s="468"/>
    </row>
    <row r="4577" spans="1:6" ht="12.75" x14ac:dyDescent="0.2">
      <c r="A4577" s="451"/>
      <c r="B4577" s="451"/>
      <c r="C4577" s="451"/>
      <c r="D4577" s="451"/>
      <c r="E4577" s="468"/>
      <c r="F4577" s="468"/>
    </row>
    <row r="4578" spans="1:6" ht="12.75" x14ac:dyDescent="0.2">
      <c r="A4578" s="451"/>
      <c r="B4578" s="451"/>
      <c r="C4578" s="451"/>
      <c r="D4578" s="451"/>
      <c r="E4578" s="468"/>
      <c r="F4578" s="468"/>
    </row>
    <row r="4579" spans="1:6" ht="12.75" x14ac:dyDescent="0.2">
      <c r="A4579" s="451"/>
      <c r="B4579" s="451"/>
      <c r="C4579" s="451"/>
      <c r="D4579" s="451"/>
      <c r="E4579" s="468"/>
      <c r="F4579" s="468"/>
    </row>
    <row r="4580" spans="1:6" ht="12.75" x14ac:dyDescent="0.2">
      <c r="A4580" s="451"/>
      <c r="B4580" s="451"/>
      <c r="C4580" s="451"/>
      <c r="D4580" s="451"/>
      <c r="E4580" s="468"/>
      <c r="F4580" s="468"/>
    </row>
    <row r="4581" spans="1:6" ht="12.75" x14ac:dyDescent="0.2">
      <c r="A4581" s="451"/>
      <c r="B4581" s="451"/>
      <c r="C4581" s="451"/>
      <c r="D4581" s="451"/>
      <c r="E4581" s="468"/>
      <c r="F4581" s="468"/>
    </row>
    <row r="4582" spans="1:6" ht="12.75" x14ac:dyDescent="0.2">
      <c r="A4582" s="451"/>
      <c r="B4582" s="451"/>
      <c r="C4582" s="451"/>
      <c r="D4582" s="451"/>
      <c r="E4582" s="468"/>
      <c r="F4582" s="468"/>
    </row>
    <row r="4583" spans="1:6" ht="12.75" x14ac:dyDescent="0.2">
      <c r="A4583" s="451"/>
      <c r="B4583" s="451"/>
      <c r="C4583" s="451"/>
      <c r="D4583" s="451"/>
      <c r="E4583" s="468"/>
      <c r="F4583" s="468"/>
    </row>
    <row r="4584" spans="1:6" ht="12.75" x14ac:dyDescent="0.2">
      <c r="A4584" s="451"/>
      <c r="B4584" s="451"/>
      <c r="C4584" s="451"/>
      <c r="D4584" s="451"/>
      <c r="E4584" s="468"/>
      <c r="F4584" s="468"/>
    </row>
    <row r="4585" spans="1:6" ht="12.75" x14ac:dyDescent="0.2">
      <c r="A4585" s="451"/>
      <c r="B4585" s="451"/>
      <c r="C4585" s="451"/>
      <c r="D4585" s="451"/>
      <c r="E4585" s="468"/>
      <c r="F4585" s="468"/>
    </row>
    <row r="4586" spans="1:6" ht="12.75" x14ac:dyDescent="0.2">
      <c r="A4586" s="451"/>
      <c r="B4586" s="451"/>
      <c r="C4586" s="451"/>
      <c r="D4586" s="451"/>
      <c r="E4586" s="468"/>
      <c r="F4586" s="468"/>
    </row>
    <row r="4587" spans="1:6" ht="12.75" x14ac:dyDescent="0.2">
      <c r="A4587" s="451"/>
      <c r="B4587" s="451"/>
      <c r="C4587" s="451"/>
      <c r="D4587" s="451"/>
      <c r="E4587" s="468"/>
      <c r="F4587" s="468"/>
    </row>
    <row r="4588" spans="1:6" ht="12.75" x14ac:dyDescent="0.2">
      <c r="A4588" s="451"/>
      <c r="B4588" s="451"/>
      <c r="C4588" s="451"/>
      <c r="D4588" s="451"/>
      <c r="E4588" s="468"/>
      <c r="F4588" s="468"/>
    </row>
    <row r="4589" spans="1:6" ht="12.75" x14ac:dyDescent="0.2">
      <c r="A4589" s="451"/>
      <c r="B4589" s="451"/>
      <c r="C4589" s="451"/>
      <c r="D4589" s="451"/>
      <c r="E4589" s="468"/>
      <c r="F4589" s="468"/>
    </row>
    <row r="4590" spans="1:6" ht="12.75" x14ac:dyDescent="0.2">
      <c r="A4590" s="451"/>
      <c r="B4590" s="451"/>
      <c r="C4590" s="451"/>
      <c r="D4590" s="451"/>
      <c r="E4590" s="468"/>
      <c r="F4590" s="468"/>
    </row>
    <row r="4591" spans="1:6" ht="12.75" x14ac:dyDescent="0.2">
      <c r="A4591" s="451"/>
      <c r="B4591" s="451"/>
      <c r="C4591" s="451"/>
      <c r="D4591" s="451"/>
      <c r="E4591" s="468"/>
      <c r="F4591" s="468"/>
    </row>
    <row r="4592" spans="1:6" ht="12.75" x14ac:dyDescent="0.2">
      <c r="A4592" s="451"/>
      <c r="B4592" s="451"/>
      <c r="C4592" s="451"/>
      <c r="D4592" s="451"/>
      <c r="E4592" s="468"/>
      <c r="F4592" s="468"/>
    </row>
    <row r="4593" spans="1:6" ht="12.75" x14ac:dyDescent="0.2">
      <c r="A4593" s="451"/>
      <c r="B4593" s="451"/>
      <c r="C4593" s="451"/>
      <c r="D4593" s="451"/>
      <c r="E4593" s="468"/>
      <c r="F4593" s="468"/>
    </row>
    <row r="4594" spans="1:6" ht="12.75" x14ac:dyDescent="0.2">
      <c r="A4594" s="451"/>
      <c r="B4594" s="451"/>
      <c r="C4594" s="451"/>
      <c r="D4594" s="451"/>
      <c r="E4594" s="468"/>
      <c r="F4594" s="468"/>
    </row>
    <row r="4595" spans="1:6" ht="12.75" x14ac:dyDescent="0.2">
      <c r="A4595" s="451"/>
      <c r="B4595" s="451"/>
      <c r="C4595" s="451"/>
      <c r="D4595" s="451"/>
      <c r="E4595" s="468"/>
      <c r="F4595" s="468"/>
    </row>
    <row r="4596" spans="1:6" ht="12.75" x14ac:dyDescent="0.2">
      <c r="A4596" s="451"/>
      <c r="B4596" s="451"/>
      <c r="C4596" s="451"/>
      <c r="D4596" s="451"/>
      <c r="E4596" s="468"/>
      <c r="F4596" s="468"/>
    </row>
    <row r="4597" spans="1:6" ht="12.75" x14ac:dyDescent="0.2">
      <c r="A4597" s="451"/>
      <c r="B4597" s="451"/>
      <c r="C4597" s="451"/>
      <c r="D4597" s="451"/>
      <c r="E4597" s="468"/>
      <c r="F4597" s="468"/>
    </row>
    <row r="4598" spans="1:6" ht="12.75" x14ac:dyDescent="0.2">
      <c r="A4598" s="451"/>
      <c r="B4598" s="451"/>
      <c r="C4598" s="451"/>
      <c r="D4598" s="451"/>
      <c r="E4598" s="468"/>
      <c r="F4598" s="468"/>
    </row>
    <row r="4599" spans="1:6" ht="12.75" x14ac:dyDescent="0.2">
      <c r="A4599" s="451"/>
      <c r="B4599" s="451"/>
      <c r="C4599" s="451"/>
      <c r="D4599" s="451"/>
      <c r="E4599" s="468"/>
      <c r="F4599" s="468"/>
    </row>
    <row r="4600" spans="1:6" ht="12.75" x14ac:dyDescent="0.2">
      <c r="A4600" s="451"/>
      <c r="B4600" s="451"/>
      <c r="C4600" s="451"/>
      <c r="D4600" s="451"/>
      <c r="E4600" s="468"/>
      <c r="F4600" s="468"/>
    </row>
    <row r="4601" spans="1:6" ht="12.75" x14ac:dyDescent="0.2">
      <c r="A4601" s="451"/>
      <c r="B4601" s="451"/>
      <c r="C4601" s="451"/>
      <c r="D4601" s="451"/>
      <c r="E4601" s="468"/>
      <c r="F4601" s="468"/>
    </row>
    <row r="4602" spans="1:6" ht="12.75" x14ac:dyDescent="0.2">
      <c r="A4602" s="451"/>
      <c r="B4602" s="451"/>
      <c r="C4602" s="451"/>
      <c r="D4602" s="451"/>
      <c r="E4602" s="468"/>
      <c r="F4602" s="468"/>
    </row>
    <row r="4603" spans="1:6" ht="12.75" x14ac:dyDescent="0.2">
      <c r="A4603" s="451"/>
      <c r="B4603" s="451"/>
      <c r="C4603" s="451"/>
      <c r="D4603" s="451"/>
      <c r="E4603" s="468"/>
      <c r="F4603" s="468"/>
    </row>
    <row r="4604" spans="1:6" ht="12.75" x14ac:dyDescent="0.2">
      <c r="A4604" s="451"/>
      <c r="B4604" s="451"/>
      <c r="C4604" s="451"/>
      <c r="D4604" s="451"/>
      <c r="E4604" s="468"/>
      <c r="F4604" s="468"/>
    </row>
    <row r="4605" spans="1:6" ht="12.75" x14ac:dyDescent="0.2">
      <c r="A4605" s="451"/>
      <c r="B4605" s="451"/>
      <c r="C4605" s="451"/>
      <c r="D4605" s="451"/>
      <c r="E4605" s="468"/>
      <c r="F4605" s="468"/>
    </row>
    <row r="4606" spans="1:6" ht="12.75" x14ac:dyDescent="0.2">
      <c r="A4606" s="451"/>
      <c r="B4606" s="451"/>
      <c r="C4606" s="451"/>
      <c r="D4606" s="451"/>
      <c r="E4606" s="468"/>
      <c r="F4606" s="468"/>
    </row>
    <row r="4607" spans="1:6" ht="12.75" x14ac:dyDescent="0.2">
      <c r="A4607" s="451"/>
      <c r="B4607" s="451"/>
      <c r="C4607" s="451"/>
      <c r="D4607" s="451"/>
      <c r="E4607" s="468"/>
      <c r="F4607" s="468"/>
    </row>
    <row r="4608" spans="1:6" ht="12.75" x14ac:dyDescent="0.2">
      <c r="A4608" s="451"/>
      <c r="B4608" s="451"/>
      <c r="C4608" s="451"/>
      <c r="D4608" s="451"/>
      <c r="E4608" s="468"/>
      <c r="F4608" s="468"/>
    </row>
    <row r="4609" spans="1:6" ht="12.75" x14ac:dyDescent="0.2">
      <c r="A4609" s="451"/>
      <c r="B4609" s="451"/>
      <c r="C4609" s="451"/>
      <c r="D4609" s="451"/>
      <c r="E4609" s="468"/>
      <c r="F4609" s="468"/>
    </row>
    <row r="4610" spans="1:6" ht="12.75" x14ac:dyDescent="0.2">
      <c r="A4610" s="451"/>
      <c r="B4610" s="451"/>
      <c r="C4610" s="451"/>
      <c r="D4610" s="451"/>
      <c r="E4610" s="468"/>
      <c r="F4610" s="468"/>
    </row>
    <row r="4611" spans="1:6" ht="12.75" x14ac:dyDescent="0.2">
      <c r="A4611" s="451"/>
      <c r="B4611" s="451"/>
      <c r="C4611" s="451"/>
      <c r="D4611" s="451"/>
      <c r="E4611" s="468"/>
      <c r="F4611" s="468"/>
    </row>
    <row r="4612" spans="1:6" ht="12.75" x14ac:dyDescent="0.2">
      <c r="A4612" s="451"/>
      <c r="B4612" s="451"/>
      <c r="C4612" s="451"/>
      <c r="D4612" s="451"/>
      <c r="E4612" s="468"/>
      <c r="F4612" s="468"/>
    </row>
    <row r="4613" spans="1:6" ht="12.75" x14ac:dyDescent="0.2">
      <c r="A4613" s="451"/>
      <c r="B4613" s="451"/>
      <c r="C4613" s="451"/>
      <c r="D4613" s="451"/>
      <c r="E4613" s="468"/>
      <c r="F4613" s="468"/>
    </row>
    <row r="4614" spans="1:6" ht="12.75" x14ac:dyDescent="0.2">
      <c r="A4614" s="451"/>
      <c r="B4614" s="451"/>
      <c r="C4614" s="451"/>
      <c r="D4614" s="451"/>
      <c r="E4614" s="468"/>
      <c r="F4614" s="468"/>
    </row>
    <row r="4615" spans="1:6" ht="12.75" x14ac:dyDescent="0.2">
      <c r="A4615" s="451"/>
      <c r="B4615" s="451"/>
      <c r="C4615" s="451"/>
      <c r="D4615" s="451"/>
      <c r="E4615" s="468"/>
      <c r="F4615" s="468"/>
    </row>
    <row r="4616" spans="1:6" ht="12.75" x14ac:dyDescent="0.2">
      <c r="A4616" s="451"/>
      <c r="B4616" s="451"/>
      <c r="C4616" s="451"/>
      <c r="D4616" s="451"/>
      <c r="E4616" s="468"/>
      <c r="F4616" s="468"/>
    </row>
    <row r="4617" spans="1:6" ht="12.75" x14ac:dyDescent="0.2">
      <c r="A4617" s="451"/>
      <c r="B4617" s="451"/>
      <c r="C4617" s="451"/>
      <c r="D4617" s="451"/>
      <c r="E4617" s="468"/>
      <c r="F4617" s="468"/>
    </row>
    <row r="4618" spans="1:6" ht="12.75" x14ac:dyDescent="0.2">
      <c r="A4618" s="451"/>
      <c r="B4618" s="451"/>
      <c r="C4618" s="451"/>
      <c r="D4618" s="451"/>
      <c r="E4618" s="468"/>
      <c r="F4618" s="468"/>
    </row>
    <row r="4619" spans="1:6" ht="12.75" x14ac:dyDescent="0.2">
      <c r="A4619" s="451"/>
      <c r="B4619" s="451"/>
      <c r="C4619" s="451"/>
      <c r="D4619" s="451"/>
      <c r="E4619" s="468"/>
      <c r="F4619" s="468"/>
    </row>
    <row r="4620" spans="1:6" ht="12.75" x14ac:dyDescent="0.2">
      <c r="A4620" s="451"/>
      <c r="B4620" s="451"/>
      <c r="C4620" s="451"/>
      <c r="D4620" s="451"/>
      <c r="E4620" s="468"/>
      <c r="F4620" s="468"/>
    </row>
    <row r="4621" spans="1:6" ht="12.75" x14ac:dyDescent="0.2">
      <c r="A4621" s="451"/>
      <c r="B4621" s="451"/>
      <c r="C4621" s="451"/>
      <c r="D4621" s="451"/>
      <c r="E4621" s="468"/>
      <c r="F4621" s="468"/>
    </row>
    <row r="4622" spans="1:6" ht="12.75" x14ac:dyDescent="0.2">
      <c r="A4622" s="451"/>
      <c r="B4622" s="451"/>
      <c r="C4622" s="451"/>
      <c r="D4622" s="451"/>
      <c r="E4622" s="468"/>
      <c r="F4622" s="468"/>
    </row>
    <row r="4623" spans="1:6" ht="12.75" x14ac:dyDescent="0.2">
      <c r="A4623" s="451"/>
      <c r="B4623" s="451"/>
      <c r="C4623" s="451"/>
      <c r="D4623" s="451"/>
      <c r="E4623" s="468"/>
      <c r="F4623" s="468"/>
    </row>
    <row r="4624" spans="1:6" ht="12.75" x14ac:dyDescent="0.2">
      <c r="A4624" s="451"/>
      <c r="B4624" s="451"/>
      <c r="C4624" s="451"/>
      <c r="D4624" s="451"/>
      <c r="E4624" s="468"/>
      <c r="F4624" s="468"/>
    </row>
    <row r="4625" spans="1:6" ht="12.75" x14ac:dyDescent="0.2">
      <c r="A4625" s="451"/>
      <c r="B4625" s="451"/>
      <c r="C4625" s="451"/>
      <c r="D4625" s="451"/>
      <c r="E4625" s="468"/>
      <c r="F4625" s="468"/>
    </row>
    <row r="4626" spans="1:6" ht="12.75" x14ac:dyDescent="0.2">
      <c r="A4626" s="451"/>
      <c r="B4626" s="451"/>
      <c r="C4626" s="451"/>
      <c r="D4626" s="451"/>
      <c r="E4626" s="468"/>
      <c r="F4626" s="468"/>
    </row>
    <row r="4627" spans="1:6" ht="12.75" x14ac:dyDescent="0.2">
      <c r="A4627" s="451"/>
      <c r="B4627" s="451"/>
      <c r="C4627" s="451"/>
      <c r="D4627" s="451"/>
      <c r="E4627" s="468"/>
      <c r="F4627" s="468"/>
    </row>
    <row r="4628" spans="1:6" ht="12.75" x14ac:dyDescent="0.2">
      <c r="A4628" s="451"/>
      <c r="B4628" s="451"/>
      <c r="C4628" s="451"/>
      <c r="D4628" s="451"/>
      <c r="E4628" s="468"/>
      <c r="F4628" s="468"/>
    </row>
    <row r="4629" spans="1:6" ht="12.75" x14ac:dyDescent="0.2">
      <c r="A4629" s="451"/>
      <c r="B4629" s="451"/>
      <c r="C4629" s="451"/>
      <c r="D4629" s="451"/>
      <c r="E4629" s="468"/>
      <c r="F4629" s="468"/>
    </row>
    <row r="4630" spans="1:6" ht="12.75" x14ac:dyDescent="0.2">
      <c r="A4630" s="451"/>
      <c r="B4630" s="451"/>
      <c r="C4630" s="451"/>
      <c r="D4630" s="451"/>
      <c r="E4630" s="468"/>
      <c r="F4630" s="468"/>
    </row>
    <row r="4631" spans="1:6" ht="12.75" x14ac:dyDescent="0.2">
      <c r="A4631" s="451"/>
      <c r="B4631" s="451"/>
      <c r="C4631" s="451"/>
      <c r="D4631" s="451"/>
      <c r="E4631" s="468"/>
      <c r="F4631" s="468"/>
    </row>
    <row r="4632" spans="1:6" ht="12.75" x14ac:dyDescent="0.2">
      <c r="A4632" s="451"/>
      <c r="B4632" s="451"/>
      <c r="C4632" s="451"/>
      <c r="D4632" s="451"/>
      <c r="E4632" s="468"/>
      <c r="F4632" s="468"/>
    </row>
    <row r="4633" spans="1:6" ht="12.75" x14ac:dyDescent="0.2">
      <c r="A4633" s="451"/>
      <c r="B4633" s="451"/>
      <c r="C4633" s="451"/>
      <c r="D4633" s="451"/>
      <c r="E4633" s="468"/>
      <c r="F4633" s="468"/>
    </row>
    <row r="4634" spans="1:6" ht="12.75" x14ac:dyDescent="0.2">
      <c r="A4634" s="451"/>
      <c r="B4634" s="451"/>
      <c r="C4634" s="451"/>
      <c r="D4634" s="451"/>
      <c r="E4634" s="468"/>
      <c r="F4634" s="468"/>
    </row>
    <row r="4635" spans="1:6" ht="12.75" x14ac:dyDescent="0.2">
      <c r="A4635" s="451"/>
      <c r="B4635" s="451"/>
      <c r="C4635" s="451"/>
      <c r="D4635" s="451"/>
      <c r="E4635" s="468"/>
      <c r="F4635" s="468"/>
    </row>
    <row r="4636" spans="1:6" ht="12.75" x14ac:dyDescent="0.2">
      <c r="A4636" s="451"/>
      <c r="B4636" s="451"/>
      <c r="C4636" s="451"/>
      <c r="D4636" s="451"/>
      <c r="E4636" s="468"/>
      <c r="F4636" s="468"/>
    </row>
    <row r="4637" spans="1:6" ht="12.75" x14ac:dyDescent="0.2">
      <c r="A4637" s="451"/>
      <c r="B4637" s="451"/>
      <c r="C4637" s="451"/>
      <c r="D4637" s="451"/>
      <c r="E4637" s="468"/>
      <c r="F4637" s="468"/>
    </row>
    <row r="4638" spans="1:6" ht="12.75" x14ac:dyDescent="0.2">
      <c r="A4638" s="451"/>
      <c r="B4638" s="451"/>
      <c r="C4638" s="451"/>
      <c r="D4638" s="451"/>
      <c r="E4638" s="468"/>
      <c r="F4638" s="468"/>
    </row>
    <row r="4639" spans="1:6" ht="12.75" x14ac:dyDescent="0.2">
      <c r="A4639" s="451"/>
      <c r="B4639" s="451"/>
      <c r="C4639" s="451"/>
      <c r="D4639" s="451"/>
      <c r="E4639" s="468"/>
      <c r="F4639" s="468"/>
    </row>
    <row r="4640" spans="1:6" ht="12.75" x14ac:dyDescent="0.2">
      <c r="A4640" s="451"/>
      <c r="B4640" s="451"/>
      <c r="C4640" s="451"/>
      <c r="D4640" s="451"/>
      <c r="E4640" s="468"/>
      <c r="F4640" s="468"/>
    </row>
    <row r="4641" spans="1:6" ht="12.75" x14ac:dyDescent="0.2">
      <c r="A4641" s="451"/>
      <c r="B4641" s="451"/>
      <c r="C4641" s="451"/>
      <c r="D4641" s="451"/>
      <c r="E4641" s="468"/>
      <c r="F4641" s="468"/>
    </row>
    <row r="4642" spans="1:6" ht="12.75" x14ac:dyDescent="0.2">
      <c r="A4642" s="451"/>
      <c r="B4642" s="451"/>
      <c r="C4642" s="451"/>
      <c r="D4642" s="451"/>
      <c r="E4642" s="468"/>
      <c r="F4642" s="468"/>
    </row>
    <row r="4643" spans="1:6" ht="12.75" x14ac:dyDescent="0.2">
      <c r="A4643" s="451"/>
      <c r="B4643" s="451"/>
      <c r="C4643" s="451"/>
      <c r="D4643" s="451"/>
      <c r="E4643" s="468"/>
      <c r="F4643" s="468"/>
    </row>
    <row r="4644" spans="1:6" ht="12.75" x14ac:dyDescent="0.2">
      <c r="A4644" s="451"/>
      <c r="B4644" s="451"/>
      <c r="C4644" s="451"/>
      <c r="D4644" s="451"/>
      <c r="E4644" s="468"/>
      <c r="F4644" s="468"/>
    </row>
    <row r="4645" spans="1:6" ht="12.75" x14ac:dyDescent="0.2">
      <c r="A4645" s="451"/>
      <c r="B4645" s="451"/>
      <c r="C4645" s="451"/>
      <c r="D4645" s="451"/>
      <c r="E4645" s="468"/>
      <c r="F4645" s="468"/>
    </row>
    <row r="4646" spans="1:6" ht="12.75" x14ac:dyDescent="0.2">
      <c r="A4646" s="451"/>
      <c r="B4646" s="451"/>
      <c r="C4646" s="451"/>
      <c r="D4646" s="451"/>
      <c r="E4646" s="468"/>
      <c r="F4646" s="468"/>
    </row>
    <row r="4647" spans="1:6" ht="12.75" x14ac:dyDescent="0.2">
      <c r="A4647" s="451"/>
      <c r="B4647" s="451"/>
      <c r="C4647" s="451"/>
      <c r="D4647" s="451"/>
      <c r="E4647" s="468"/>
      <c r="F4647" s="468"/>
    </row>
    <row r="4648" spans="1:6" ht="12.75" x14ac:dyDescent="0.2">
      <c r="A4648" s="451"/>
      <c r="B4648" s="451"/>
      <c r="C4648" s="451"/>
      <c r="D4648" s="451"/>
      <c r="E4648" s="468"/>
      <c r="F4648" s="468"/>
    </row>
    <row r="4649" spans="1:6" ht="12.75" x14ac:dyDescent="0.2">
      <c r="A4649" s="451"/>
      <c r="B4649" s="451"/>
      <c r="C4649" s="451"/>
      <c r="D4649" s="451"/>
      <c r="E4649" s="468"/>
      <c r="F4649" s="468"/>
    </row>
    <row r="4650" spans="1:6" ht="12.75" x14ac:dyDescent="0.2">
      <c r="A4650" s="451"/>
      <c r="B4650" s="451"/>
      <c r="C4650" s="451"/>
      <c r="D4650" s="451"/>
      <c r="E4650" s="468"/>
      <c r="F4650" s="468"/>
    </row>
    <row r="4651" spans="1:6" ht="12.75" x14ac:dyDescent="0.2">
      <c r="A4651" s="451"/>
      <c r="B4651" s="451"/>
      <c r="C4651" s="451"/>
      <c r="D4651" s="451"/>
      <c r="E4651" s="468"/>
      <c r="F4651" s="468"/>
    </row>
    <row r="4652" spans="1:6" ht="12.75" x14ac:dyDescent="0.2">
      <c r="A4652" s="451"/>
      <c r="B4652" s="451"/>
      <c r="C4652" s="451"/>
      <c r="D4652" s="451"/>
      <c r="E4652" s="468"/>
      <c r="F4652" s="468"/>
    </row>
    <row r="4653" spans="1:6" ht="12.75" x14ac:dyDescent="0.2">
      <c r="A4653" s="451"/>
      <c r="B4653" s="451"/>
      <c r="C4653" s="451"/>
      <c r="D4653" s="451"/>
      <c r="E4653" s="468"/>
      <c r="F4653" s="468"/>
    </row>
    <row r="4654" spans="1:6" ht="12.75" x14ac:dyDescent="0.2">
      <c r="A4654" s="451"/>
      <c r="B4654" s="451"/>
      <c r="C4654" s="451"/>
      <c r="D4654" s="451"/>
      <c r="E4654" s="468"/>
      <c r="F4654" s="468"/>
    </row>
    <row r="4655" spans="1:6" ht="12.75" x14ac:dyDescent="0.2">
      <c r="A4655" s="451"/>
      <c r="B4655" s="451"/>
      <c r="C4655" s="451"/>
      <c r="D4655" s="451"/>
      <c r="E4655" s="468"/>
      <c r="F4655" s="468"/>
    </row>
    <row r="4656" spans="1:6" ht="12.75" x14ac:dyDescent="0.2">
      <c r="A4656" s="451"/>
      <c r="B4656" s="451"/>
      <c r="C4656" s="451"/>
      <c r="D4656" s="451"/>
      <c r="E4656" s="468"/>
      <c r="F4656" s="468"/>
    </row>
    <row r="4657" spans="1:6" ht="12.75" x14ac:dyDescent="0.2">
      <c r="A4657" s="451"/>
      <c r="B4657" s="451"/>
      <c r="C4657" s="451"/>
      <c r="D4657" s="451"/>
      <c r="E4657" s="468"/>
      <c r="F4657" s="468"/>
    </row>
    <row r="4658" spans="1:6" ht="12.75" x14ac:dyDescent="0.2">
      <c r="A4658" s="451"/>
      <c r="B4658" s="451"/>
      <c r="C4658" s="451"/>
      <c r="D4658" s="451"/>
      <c r="E4658" s="468"/>
      <c r="F4658" s="468"/>
    </row>
    <row r="4659" spans="1:6" ht="12.75" x14ac:dyDescent="0.2">
      <c r="A4659" s="451"/>
      <c r="B4659" s="451"/>
      <c r="C4659" s="451"/>
      <c r="D4659" s="451"/>
      <c r="E4659" s="468"/>
      <c r="F4659" s="468"/>
    </row>
    <row r="4660" spans="1:6" ht="12.75" x14ac:dyDescent="0.2">
      <c r="A4660" s="451"/>
      <c r="B4660" s="451"/>
      <c r="C4660" s="451"/>
      <c r="D4660" s="451"/>
      <c r="E4660" s="468"/>
      <c r="F4660" s="468"/>
    </row>
    <row r="4661" spans="1:6" ht="12.75" x14ac:dyDescent="0.2">
      <c r="A4661" s="451"/>
      <c r="B4661" s="451"/>
      <c r="C4661" s="451"/>
      <c r="D4661" s="451"/>
      <c r="E4661" s="468"/>
      <c r="F4661" s="468"/>
    </row>
    <row r="4662" spans="1:6" ht="12.75" x14ac:dyDescent="0.2">
      <c r="A4662" s="451"/>
      <c r="B4662" s="451"/>
      <c r="C4662" s="451"/>
      <c r="D4662" s="451"/>
      <c r="E4662" s="468"/>
      <c r="F4662" s="468"/>
    </row>
    <row r="4663" spans="1:6" ht="12.75" x14ac:dyDescent="0.2">
      <c r="A4663" s="451"/>
      <c r="B4663" s="451"/>
      <c r="C4663" s="451"/>
      <c r="D4663" s="451"/>
      <c r="E4663" s="468"/>
      <c r="F4663" s="468"/>
    </row>
    <row r="4664" spans="1:6" ht="12.75" x14ac:dyDescent="0.2">
      <c r="A4664" s="451"/>
      <c r="B4664" s="451"/>
      <c r="C4664" s="451"/>
      <c r="D4664" s="451"/>
      <c r="E4664" s="468"/>
      <c r="F4664" s="468"/>
    </row>
    <row r="4665" spans="1:6" ht="12.75" x14ac:dyDescent="0.2">
      <c r="A4665" s="451"/>
      <c r="B4665" s="451"/>
      <c r="C4665" s="451"/>
      <c r="D4665" s="451"/>
      <c r="E4665" s="468"/>
      <c r="F4665" s="468"/>
    </row>
    <row r="4666" spans="1:6" ht="12.75" x14ac:dyDescent="0.2">
      <c r="A4666" s="451"/>
      <c r="B4666" s="451"/>
      <c r="C4666" s="451"/>
      <c r="D4666" s="451"/>
      <c r="E4666" s="468"/>
      <c r="F4666" s="468"/>
    </row>
    <row r="4667" spans="1:6" ht="12.75" x14ac:dyDescent="0.2">
      <c r="A4667" s="451"/>
      <c r="B4667" s="451"/>
      <c r="C4667" s="451"/>
      <c r="D4667" s="451"/>
      <c r="E4667" s="468"/>
      <c r="F4667" s="468"/>
    </row>
    <row r="4668" spans="1:6" ht="12.75" x14ac:dyDescent="0.2">
      <c r="A4668" s="451"/>
      <c r="B4668" s="451"/>
      <c r="C4668" s="451"/>
      <c r="D4668" s="451"/>
      <c r="E4668" s="468"/>
      <c r="F4668" s="468"/>
    </row>
    <row r="4669" spans="1:6" ht="12.75" x14ac:dyDescent="0.2">
      <c r="A4669" s="451"/>
      <c r="B4669" s="451"/>
      <c r="C4669" s="451"/>
      <c r="D4669" s="451"/>
      <c r="E4669" s="468"/>
      <c r="F4669" s="468"/>
    </row>
    <row r="4670" spans="1:6" ht="12.75" x14ac:dyDescent="0.2">
      <c r="A4670" s="451"/>
      <c r="B4670" s="451"/>
      <c r="C4670" s="451"/>
      <c r="D4670" s="451"/>
      <c r="E4670" s="468"/>
      <c r="F4670" s="468"/>
    </row>
    <row r="4671" spans="1:6" ht="12.75" x14ac:dyDescent="0.2">
      <c r="A4671" s="451"/>
      <c r="B4671" s="451"/>
      <c r="C4671" s="451"/>
      <c r="D4671" s="451"/>
      <c r="E4671" s="468"/>
      <c r="F4671" s="468"/>
    </row>
    <row r="4672" spans="1:6" ht="12.75" x14ac:dyDescent="0.2">
      <c r="A4672" s="451"/>
      <c r="B4672" s="451"/>
      <c r="C4672" s="451"/>
      <c r="D4672" s="451"/>
      <c r="E4672" s="468"/>
      <c r="F4672" s="468"/>
    </row>
    <row r="4673" spans="1:6" ht="12.75" x14ac:dyDescent="0.2">
      <c r="A4673" s="451"/>
      <c r="B4673" s="451"/>
      <c r="C4673" s="451"/>
      <c r="D4673" s="451"/>
      <c r="E4673" s="468"/>
      <c r="F4673" s="468"/>
    </row>
    <row r="4674" spans="1:6" ht="12.75" x14ac:dyDescent="0.2">
      <c r="A4674" s="451"/>
      <c r="B4674" s="451"/>
      <c r="C4674" s="451"/>
      <c r="D4674" s="451"/>
      <c r="E4674" s="468"/>
      <c r="F4674" s="468"/>
    </row>
    <row r="4675" spans="1:6" ht="12.75" x14ac:dyDescent="0.2">
      <c r="A4675" s="451"/>
      <c r="B4675" s="451"/>
      <c r="C4675" s="451"/>
      <c r="D4675" s="451"/>
      <c r="E4675" s="468"/>
      <c r="F4675" s="468"/>
    </row>
    <row r="4676" spans="1:6" ht="12.75" x14ac:dyDescent="0.2">
      <c r="A4676" s="451"/>
      <c r="B4676" s="451"/>
      <c r="C4676" s="451"/>
      <c r="D4676" s="451"/>
      <c r="E4676" s="468"/>
      <c r="F4676" s="468"/>
    </row>
    <row r="4677" spans="1:6" ht="12.75" x14ac:dyDescent="0.2">
      <c r="A4677" s="451"/>
      <c r="B4677" s="451"/>
      <c r="C4677" s="451"/>
      <c r="D4677" s="451"/>
      <c r="E4677" s="468"/>
      <c r="F4677" s="468"/>
    </row>
    <row r="4678" spans="1:6" ht="12.75" x14ac:dyDescent="0.2">
      <c r="A4678" s="451"/>
      <c r="B4678" s="451"/>
      <c r="C4678" s="451"/>
      <c r="D4678" s="451"/>
      <c r="E4678" s="468"/>
      <c r="F4678" s="468"/>
    </row>
    <row r="4679" spans="1:6" ht="12.75" x14ac:dyDescent="0.2">
      <c r="A4679" s="451"/>
      <c r="B4679" s="451"/>
      <c r="C4679" s="451"/>
      <c r="D4679" s="451"/>
      <c r="E4679" s="468"/>
      <c r="F4679" s="468"/>
    </row>
    <row r="4680" spans="1:6" ht="12.75" x14ac:dyDescent="0.2">
      <c r="A4680" s="451"/>
      <c r="B4680" s="451"/>
      <c r="C4680" s="451"/>
      <c r="D4680" s="451"/>
      <c r="E4680" s="468"/>
      <c r="F4680" s="468"/>
    </row>
    <row r="4681" spans="1:6" ht="12.75" x14ac:dyDescent="0.2">
      <c r="A4681" s="451"/>
      <c r="B4681" s="451"/>
      <c r="C4681" s="451"/>
      <c r="D4681" s="451"/>
      <c r="E4681" s="468"/>
      <c r="F4681" s="468"/>
    </row>
    <row r="4682" spans="1:6" ht="12.75" x14ac:dyDescent="0.2">
      <c r="A4682" s="451"/>
      <c r="B4682" s="451"/>
      <c r="C4682" s="451"/>
      <c r="D4682" s="451"/>
      <c r="E4682" s="468"/>
      <c r="F4682" s="468"/>
    </row>
    <row r="4683" spans="1:6" ht="12.75" x14ac:dyDescent="0.2">
      <c r="A4683" s="451"/>
      <c r="B4683" s="451"/>
      <c r="C4683" s="451"/>
      <c r="D4683" s="451"/>
      <c r="E4683" s="468"/>
      <c r="F4683" s="468"/>
    </row>
    <row r="4684" spans="1:6" ht="12.75" x14ac:dyDescent="0.2">
      <c r="A4684" s="451"/>
      <c r="B4684" s="451"/>
      <c r="C4684" s="451"/>
      <c r="D4684" s="451"/>
      <c r="E4684" s="468"/>
      <c r="F4684" s="468"/>
    </row>
    <row r="4685" spans="1:6" ht="12.75" x14ac:dyDescent="0.2">
      <c r="A4685" s="451"/>
      <c r="B4685" s="451"/>
      <c r="C4685" s="451"/>
      <c r="D4685" s="451"/>
      <c r="E4685" s="468"/>
      <c r="F4685" s="468"/>
    </row>
    <row r="4686" spans="1:6" ht="12.75" x14ac:dyDescent="0.2">
      <c r="A4686" s="451"/>
      <c r="B4686" s="451"/>
      <c r="C4686" s="451"/>
      <c r="D4686" s="451"/>
      <c r="E4686" s="468"/>
      <c r="F4686" s="468"/>
    </row>
    <row r="4687" spans="1:6" ht="12.75" x14ac:dyDescent="0.2">
      <c r="A4687" s="451"/>
      <c r="B4687" s="451"/>
      <c r="C4687" s="451"/>
      <c r="D4687" s="451"/>
      <c r="E4687" s="468"/>
      <c r="F4687" s="468"/>
    </row>
    <row r="4688" spans="1:6" ht="12.75" x14ac:dyDescent="0.2">
      <c r="A4688" s="451"/>
      <c r="B4688" s="451"/>
      <c r="C4688" s="451"/>
      <c r="D4688" s="451"/>
      <c r="E4688" s="468"/>
      <c r="F4688" s="468"/>
    </row>
    <row r="4689" spans="1:6" ht="12.75" x14ac:dyDescent="0.2">
      <c r="A4689" s="451"/>
      <c r="B4689" s="451"/>
      <c r="C4689" s="451"/>
      <c r="D4689" s="451"/>
      <c r="E4689" s="468"/>
      <c r="F4689" s="468"/>
    </row>
    <row r="4690" spans="1:6" ht="12.75" x14ac:dyDescent="0.2">
      <c r="A4690" s="451"/>
      <c r="B4690" s="451"/>
      <c r="C4690" s="451"/>
      <c r="D4690" s="451"/>
      <c r="E4690" s="468"/>
      <c r="F4690" s="468"/>
    </row>
    <row r="4691" spans="1:6" ht="12.75" x14ac:dyDescent="0.2">
      <c r="A4691" s="451"/>
      <c r="B4691" s="451"/>
      <c r="C4691" s="451"/>
      <c r="D4691" s="451"/>
      <c r="E4691" s="468"/>
      <c r="F4691" s="468"/>
    </row>
    <row r="4692" spans="1:6" ht="12.75" x14ac:dyDescent="0.2">
      <c r="A4692" s="451"/>
      <c r="B4692" s="451"/>
      <c r="C4692" s="451"/>
      <c r="D4692" s="451"/>
      <c r="E4692" s="468"/>
      <c r="F4692" s="468"/>
    </row>
    <row r="4693" spans="1:6" ht="12.75" x14ac:dyDescent="0.2">
      <c r="A4693" s="451"/>
      <c r="B4693" s="451"/>
      <c r="C4693" s="451"/>
      <c r="D4693" s="451"/>
      <c r="E4693" s="468"/>
      <c r="F4693" s="468"/>
    </row>
    <row r="4694" spans="1:6" ht="12.75" x14ac:dyDescent="0.2">
      <c r="A4694" s="451"/>
      <c r="B4694" s="451"/>
      <c r="C4694" s="451"/>
      <c r="D4694" s="451"/>
      <c r="E4694" s="468"/>
      <c r="F4694" s="468"/>
    </row>
    <row r="4695" spans="1:6" ht="12.75" x14ac:dyDescent="0.2">
      <c r="A4695" s="451"/>
      <c r="B4695" s="451"/>
      <c r="C4695" s="451"/>
      <c r="D4695" s="451"/>
      <c r="E4695" s="468"/>
      <c r="F4695" s="468"/>
    </row>
    <row r="4696" spans="1:6" ht="12.75" x14ac:dyDescent="0.2">
      <c r="A4696" s="451"/>
      <c r="B4696" s="451"/>
      <c r="C4696" s="451"/>
      <c r="D4696" s="451"/>
      <c r="E4696" s="468"/>
      <c r="F4696" s="468"/>
    </row>
    <row r="4697" spans="1:6" ht="12.75" x14ac:dyDescent="0.2">
      <c r="A4697" s="451"/>
      <c r="B4697" s="451"/>
      <c r="C4697" s="451"/>
      <c r="D4697" s="451"/>
      <c r="E4697" s="468"/>
      <c r="F4697" s="468"/>
    </row>
    <row r="4698" spans="1:6" ht="12.75" x14ac:dyDescent="0.2">
      <c r="A4698" s="451"/>
      <c r="B4698" s="451"/>
      <c r="C4698" s="451"/>
      <c r="D4698" s="451"/>
      <c r="E4698" s="468"/>
      <c r="F4698" s="468"/>
    </row>
    <row r="4699" spans="1:6" ht="12.75" x14ac:dyDescent="0.2">
      <c r="A4699" s="451"/>
      <c r="B4699" s="451"/>
      <c r="C4699" s="451"/>
      <c r="D4699" s="451"/>
      <c r="E4699" s="468"/>
      <c r="F4699" s="468"/>
    </row>
    <row r="4700" spans="1:6" ht="12.75" x14ac:dyDescent="0.2">
      <c r="A4700" s="451"/>
      <c r="B4700" s="451"/>
      <c r="C4700" s="451"/>
      <c r="D4700" s="451"/>
      <c r="E4700" s="468"/>
      <c r="F4700" s="468"/>
    </row>
    <row r="4701" spans="1:6" ht="12.75" x14ac:dyDescent="0.2">
      <c r="A4701" s="451"/>
      <c r="B4701" s="451"/>
      <c r="C4701" s="451"/>
      <c r="D4701" s="451"/>
      <c r="E4701" s="468"/>
      <c r="F4701" s="468"/>
    </row>
    <row r="4702" spans="1:6" ht="12.75" x14ac:dyDescent="0.2">
      <c r="A4702" s="451"/>
      <c r="B4702" s="451"/>
      <c r="C4702" s="451"/>
      <c r="D4702" s="451"/>
      <c r="E4702" s="468"/>
      <c r="F4702" s="468"/>
    </row>
    <row r="4703" spans="1:6" ht="12.75" x14ac:dyDescent="0.2">
      <c r="A4703" s="451"/>
      <c r="B4703" s="451"/>
      <c r="C4703" s="451"/>
      <c r="D4703" s="451"/>
      <c r="E4703" s="468"/>
      <c r="F4703" s="468"/>
    </row>
    <row r="4704" spans="1:6" ht="12.75" x14ac:dyDescent="0.2">
      <c r="A4704" s="451"/>
      <c r="B4704" s="451"/>
      <c r="C4704" s="451"/>
      <c r="D4704" s="451"/>
      <c r="E4704" s="468"/>
      <c r="F4704" s="468"/>
    </row>
    <row r="4705" spans="1:6" ht="12.75" x14ac:dyDescent="0.2">
      <c r="A4705" s="451"/>
      <c r="B4705" s="451"/>
      <c r="C4705" s="451"/>
      <c r="D4705" s="451"/>
      <c r="E4705" s="468"/>
      <c r="F4705" s="468"/>
    </row>
    <row r="4706" spans="1:6" ht="12.75" x14ac:dyDescent="0.2">
      <c r="A4706" s="451"/>
      <c r="B4706" s="451"/>
      <c r="C4706" s="451"/>
      <c r="D4706" s="451"/>
      <c r="E4706" s="468"/>
      <c r="F4706" s="468"/>
    </row>
    <row r="4707" spans="1:6" ht="12.75" x14ac:dyDescent="0.2">
      <c r="A4707" s="451"/>
      <c r="B4707" s="451"/>
      <c r="C4707" s="451"/>
      <c r="D4707" s="451"/>
      <c r="E4707" s="468"/>
      <c r="F4707" s="468"/>
    </row>
    <row r="4708" spans="1:6" ht="12.75" x14ac:dyDescent="0.2">
      <c r="A4708" s="451"/>
      <c r="B4708" s="451"/>
      <c r="C4708" s="451"/>
      <c r="D4708" s="451"/>
      <c r="E4708" s="468"/>
      <c r="F4708" s="468"/>
    </row>
    <row r="4709" spans="1:6" ht="12.75" x14ac:dyDescent="0.2">
      <c r="A4709" s="451"/>
      <c r="B4709" s="451"/>
      <c r="C4709" s="451"/>
      <c r="D4709" s="451"/>
      <c r="E4709" s="468"/>
      <c r="F4709" s="468"/>
    </row>
    <row r="4710" spans="1:6" ht="12.75" x14ac:dyDescent="0.2">
      <c r="A4710" s="451"/>
      <c r="B4710" s="451"/>
      <c r="C4710" s="451"/>
      <c r="D4710" s="451"/>
      <c r="E4710" s="468"/>
      <c r="F4710" s="468"/>
    </row>
    <row r="4711" spans="1:6" ht="12.75" x14ac:dyDescent="0.2">
      <c r="A4711" s="451"/>
      <c r="B4711" s="451"/>
      <c r="C4711" s="451"/>
      <c r="D4711" s="451"/>
      <c r="E4711" s="468"/>
      <c r="F4711" s="468"/>
    </row>
    <row r="4712" spans="1:6" ht="12.75" x14ac:dyDescent="0.2">
      <c r="A4712" s="451"/>
      <c r="B4712" s="451"/>
      <c r="C4712" s="451"/>
      <c r="D4712" s="451"/>
      <c r="E4712" s="468"/>
      <c r="F4712" s="468"/>
    </row>
    <row r="4713" spans="1:6" ht="12.75" x14ac:dyDescent="0.2">
      <c r="A4713" s="451"/>
      <c r="B4713" s="451"/>
      <c r="C4713" s="451"/>
      <c r="D4713" s="451"/>
      <c r="E4713" s="468"/>
      <c r="F4713" s="468"/>
    </row>
    <row r="4714" spans="1:6" ht="12.75" x14ac:dyDescent="0.2">
      <c r="A4714" s="451"/>
      <c r="B4714" s="451"/>
      <c r="C4714" s="451"/>
      <c r="D4714" s="451"/>
      <c r="E4714" s="468"/>
      <c r="F4714" s="468"/>
    </row>
    <row r="4715" spans="1:6" ht="12.75" x14ac:dyDescent="0.2">
      <c r="A4715" s="451"/>
      <c r="B4715" s="451"/>
      <c r="C4715" s="451"/>
      <c r="D4715" s="451"/>
      <c r="E4715" s="468"/>
      <c r="F4715" s="468"/>
    </row>
    <row r="4716" spans="1:6" ht="12.75" x14ac:dyDescent="0.2">
      <c r="A4716" s="451"/>
      <c r="B4716" s="451"/>
      <c r="C4716" s="451"/>
      <c r="D4716" s="451"/>
      <c r="E4716" s="468"/>
      <c r="F4716" s="468"/>
    </row>
    <row r="4717" spans="1:6" ht="12.75" x14ac:dyDescent="0.2">
      <c r="A4717" s="451"/>
      <c r="B4717" s="451"/>
      <c r="C4717" s="451"/>
      <c r="D4717" s="451"/>
      <c r="E4717" s="468"/>
      <c r="F4717" s="468"/>
    </row>
    <row r="4718" spans="1:6" ht="12.75" x14ac:dyDescent="0.2">
      <c r="A4718" s="451"/>
      <c r="B4718" s="451"/>
      <c r="C4718" s="451"/>
      <c r="D4718" s="451"/>
      <c r="E4718" s="468"/>
      <c r="F4718" s="468"/>
    </row>
    <row r="4719" spans="1:6" ht="12.75" x14ac:dyDescent="0.2">
      <c r="A4719" s="451"/>
      <c r="B4719" s="451"/>
      <c r="C4719" s="451"/>
      <c r="D4719" s="451"/>
      <c r="E4719" s="468"/>
      <c r="F4719" s="468"/>
    </row>
    <row r="4720" spans="1:6" ht="12.75" x14ac:dyDescent="0.2">
      <c r="A4720" s="451"/>
      <c r="B4720" s="451"/>
      <c r="C4720" s="451"/>
      <c r="D4720" s="451"/>
      <c r="E4720" s="468"/>
      <c r="F4720" s="468"/>
    </row>
    <row r="4721" spans="1:6" ht="12.75" x14ac:dyDescent="0.2">
      <c r="A4721" s="451"/>
      <c r="B4721" s="451"/>
      <c r="C4721" s="451"/>
      <c r="D4721" s="451"/>
      <c r="E4721" s="468"/>
      <c r="F4721" s="468"/>
    </row>
    <row r="4722" spans="1:6" ht="12.75" x14ac:dyDescent="0.2">
      <c r="A4722" s="451"/>
      <c r="B4722" s="451"/>
      <c r="C4722" s="451"/>
      <c r="D4722" s="451"/>
      <c r="E4722" s="468"/>
      <c r="F4722" s="468"/>
    </row>
    <row r="4723" spans="1:6" ht="12.75" x14ac:dyDescent="0.2">
      <c r="A4723" s="451"/>
      <c r="B4723" s="451"/>
      <c r="C4723" s="451"/>
      <c r="D4723" s="451"/>
      <c r="E4723" s="468"/>
      <c r="F4723" s="468"/>
    </row>
    <row r="4724" spans="1:6" ht="12.75" x14ac:dyDescent="0.2">
      <c r="A4724" s="451"/>
      <c r="B4724" s="451"/>
      <c r="C4724" s="451"/>
      <c r="D4724" s="451"/>
      <c r="E4724" s="468"/>
      <c r="F4724" s="468"/>
    </row>
    <row r="4725" spans="1:6" ht="12.75" x14ac:dyDescent="0.2">
      <c r="A4725" s="451"/>
      <c r="B4725" s="451"/>
      <c r="C4725" s="451"/>
      <c r="D4725" s="451"/>
      <c r="E4725" s="468"/>
      <c r="F4725" s="468"/>
    </row>
    <row r="4726" spans="1:6" ht="12.75" x14ac:dyDescent="0.2">
      <c r="A4726" s="451"/>
      <c r="B4726" s="451"/>
      <c r="C4726" s="451"/>
      <c r="D4726" s="451"/>
      <c r="E4726" s="468"/>
      <c r="F4726" s="468"/>
    </row>
    <row r="4727" spans="1:6" ht="12.75" x14ac:dyDescent="0.2">
      <c r="A4727" s="451"/>
      <c r="B4727" s="451"/>
      <c r="C4727" s="451"/>
      <c r="D4727" s="451"/>
      <c r="E4727" s="468"/>
      <c r="F4727" s="468"/>
    </row>
    <row r="4728" spans="1:6" ht="12.75" x14ac:dyDescent="0.2">
      <c r="A4728" s="451"/>
      <c r="B4728" s="451"/>
      <c r="C4728" s="451"/>
      <c r="D4728" s="451"/>
      <c r="E4728" s="468"/>
      <c r="F4728" s="468"/>
    </row>
    <row r="4729" spans="1:6" ht="12.75" x14ac:dyDescent="0.2">
      <c r="A4729" s="451"/>
      <c r="B4729" s="451"/>
      <c r="C4729" s="451"/>
      <c r="D4729" s="451"/>
      <c r="E4729" s="468"/>
      <c r="F4729" s="468"/>
    </row>
    <row r="4730" spans="1:6" ht="12.75" x14ac:dyDescent="0.2">
      <c r="A4730" s="451"/>
      <c r="B4730" s="451"/>
      <c r="C4730" s="451"/>
      <c r="D4730" s="451"/>
      <c r="E4730" s="468"/>
      <c r="F4730" s="468"/>
    </row>
    <row r="4731" spans="1:6" ht="12.75" x14ac:dyDescent="0.2">
      <c r="A4731" s="451"/>
      <c r="B4731" s="451"/>
      <c r="C4731" s="451"/>
      <c r="D4731" s="451"/>
      <c r="E4731" s="468"/>
      <c r="F4731" s="468"/>
    </row>
    <row r="4732" spans="1:6" ht="12.75" x14ac:dyDescent="0.2">
      <c r="A4732" s="451"/>
      <c r="B4732" s="451"/>
      <c r="C4732" s="451"/>
      <c r="D4732" s="451"/>
      <c r="E4732" s="468"/>
      <c r="F4732" s="468"/>
    </row>
    <row r="4733" spans="1:6" ht="12.75" x14ac:dyDescent="0.2">
      <c r="A4733" s="451"/>
      <c r="B4733" s="451"/>
      <c r="C4733" s="451"/>
      <c r="D4733" s="451"/>
      <c r="E4733" s="468"/>
      <c r="F4733" s="468"/>
    </row>
    <row r="4734" spans="1:6" ht="12.75" x14ac:dyDescent="0.2">
      <c r="A4734" s="451"/>
      <c r="B4734" s="451"/>
      <c r="C4734" s="451"/>
      <c r="D4734" s="451"/>
      <c r="E4734" s="468"/>
      <c r="F4734" s="468"/>
    </row>
    <row r="4735" spans="1:6" ht="12.75" x14ac:dyDescent="0.2">
      <c r="A4735" s="451"/>
      <c r="B4735" s="451"/>
      <c r="C4735" s="451"/>
      <c r="D4735" s="451"/>
      <c r="E4735" s="468"/>
      <c r="F4735" s="468"/>
    </row>
    <row r="4736" spans="1:6" ht="12.75" x14ac:dyDescent="0.2">
      <c r="A4736" s="451"/>
      <c r="B4736" s="451"/>
      <c r="C4736" s="451"/>
      <c r="D4736" s="451"/>
      <c r="E4736" s="468"/>
      <c r="F4736" s="468"/>
    </row>
    <row r="4737" spans="1:6" ht="12.75" x14ac:dyDescent="0.2">
      <c r="A4737" s="451"/>
      <c r="B4737" s="451"/>
      <c r="C4737" s="451"/>
      <c r="D4737" s="451"/>
      <c r="E4737" s="468"/>
      <c r="F4737" s="468"/>
    </row>
    <row r="4738" spans="1:6" ht="12.75" x14ac:dyDescent="0.2">
      <c r="A4738" s="451"/>
      <c r="B4738" s="451"/>
      <c r="C4738" s="451"/>
      <c r="D4738" s="451"/>
      <c r="E4738" s="468"/>
      <c r="F4738" s="468"/>
    </row>
    <row r="4739" spans="1:6" ht="12.75" x14ac:dyDescent="0.2">
      <c r="A4739" s="451"/>
      <c r="B4739" s="451"/>
      <c r="C4739" s="451"/>
      <c r="D4739" s="451"/>
      <c r="E4739" s="468"/>
      <c r="F4739" s="468"/>
    </row>
    <row r="4740" spans="1:6" ht="12.75" x14ac:dyDescent="0.2">
      <c r="A4740" s="451"/>
      <c r="B4740" s="451"/>
      <c r="C4740" s="451"/>
      <c r="D4740" s="451"/>
      <c r="E4740" s="468"/>
      <c r="F4740" s="468"/>
    </row>
    <row r="4741" spans="1:6" ht="12.75" x14ac:dyDescent="0.2">
      <c r="A4741" s="451"/>
      <c r="B4741" s="451"/>
      <c r="C4741" s="451"/>
      <c r="D4741" s="451"/>
      <c r="E4741" s="468"/>
      <c r="F4741" s="468"/>
    </row>
    <row r="4742" spans="1:6" ht="12.75" x14ac:dyDescent="0.2">
      <c r="A4742" s="451"/>
      <c r="B4742" s="451"/>
      <c r="C4742" s="451"/>
      <c r="D4742" s="451"/>
      <c r="E4742" s="468"/>
      <c r="F4742" s="468"/>
    </row>
    <row r="4743" spans="1:6" ht="12.75" x14ac:dyDescent="0.2">
      <c r="A4743" s="451"/>
      <c r="B4743" s="451"/>
      <c r="C4743" s="451"/>
      <c r="D4743" s="451"/>
      <c r="E4743" s="468"/>
      <c r="F4743" s="468"/>
    </row>
    <row r="4744" spans="1:6" ht="12.75" x14ac:dyDescent="0.2">
      <c r="A4744" s="451"/>
      <c r="B4744" s="451"/>
      <c r="C4744" s="451"/>
      <c r="D4744" s="451"/>
      <c r="E4744" s="468"/>
      <c r="F4744" s="468"/>
    </row>
    <row r="4745" spans="1:6" ht="12.75" x14ac:dyDescent="0.2">
      <c r="A4745" s="451"/>
      <c r="B4745" s="451"/>
      <c r="C4745" s="451"/>
      <c r="D4745" s="451"/>
      <c r="E4745" s="468"/>
      <c r="F4745" s="468"/>
    </row>
    <row r="4746" spans="1:6" ht="12.75" x14ac:dyDescent="0.2">
      <c r="A4746" s="451"/>
      <c r="B4746" s="451"/>
      <c r="C4746" s="451"/>
      <c r="D4746" s="451"/>
      <c r="E4746" s="468"/>
      <c r="F4746" s="468"/>
    </row>
    <row r="4747" spans="1:6" ht="12.75" x14ac:dyDescent="0.2">
      <c r="A4747" s="451"/>
      <c r="B4747" s="451"/>
      <c r="C4747" s="451"/>
      <c r="D4747" s="451"/>
      <c r="E4747" s="468"/>
      <c r="F4747" s="468"/>
    </row>
    <row r="4748" spans="1:6" ht="12.75" x14ac:dyDescent="0.2">
      <c r="A4748" s="451"/>
      <c r="B4748" s="451"/>
      <c r="C4748" s="451"/>
      <c r="D4748" s="451"/>
      <c r="E4748" s="468"/>
      <c r="F4748" s="468"/>
    </row>
    <row r="4749" spans="1:6" ht="12.75" x14ac:dyDescent="0.2">
      <c r="A4749" s="451"/>
      <c r="B4749" s="451"/>
      <c r="C4749" s="451"/>
      <c r="D4749" s="451"/>
      <c r="E4749" s="468"/>
      <c r="F4749" s="468"/>
    </row>
    <row r="4750" spans="1:6" ht="12.75" x14ac:dyDescent="0.2">
      <c r="A4750" s="451"/>
      <c r="B4750" s="451"/>
      <c r="C4750" s="451"/>
      <c r="D4750" s="451"/>
      <c r="E4750" s="468"/>
      <c r="F4750" s="468"/>
    </row>
    <row r="4751" spans="1:6" ht="12.75" x14ac:dyDescent="0.2">
      <c r="A4751" s="451"/>
      <c r="B4751" s="451"/>
      <c r="C4751" s="451"/>
      <c r="D4751" s="451"/>
      <c r="E4751" s="468"/>
      <c r="F4751" s="468"/>
    </row>
    <row r="4752" spans="1:6" ht="12.75" x14ac:dyDescent="0.2">
      <c r="A4752" s="451"/>
      <c r="B4752" s="451"/>
      <c r="C4752" s="451"/>
      <c r="D4752" s="451"/>
      <c r="E4752" s="468"/>
      <c r="F4752" s="468"/>
    </row>
    <row r="4753" spans="1:6" ht="12.75" x14ac:dyDescent="0.2">
      <c r="A4753" s="451"/>
      <c r="B4753" s="451"/>
      <c r="C4753" s="451"/>
      <c r="D4753" s="451"/>
      <c r="E4753" s="468"/>
      <c r="F4753" s="468"/>
    </row>
    <row r="4754" spans="1:6" ht="12.75" x14ac:dyDescent="0.2">
      <c r="A4754" s="451"/>
      <c r="B4754" s="451"/>
      <c r="C4754" s="451"/>
      <c r="D4754" s="451"/>
      <c r="E4754" s="468"/>
      <c r="F4754" s="468"/>
    </row>
    <row r="4755" spans="1:6" ht="12.75" x14ac:dyDescent="0.2">
      <c r="A4755" s="451"/>
      <c r="B4755" s="451"/>
      <c r="C4755" s="451"/>
      <c r="D4755" s="451"/>
      <c r="E4755" s="468"/>
      <c r="F4755" s="468"/>
    </row>
    <row r="4756" spans="1:6" ht="12.75" x14ac:dyDescent="0.2">
      <c r="A4756" s="451"/>
      <c r="B4756" s="451"/>
      <c r="C4756" s="451"/>
      <c r="D4756" s="451"/>
      <c r="E4756" s="468"/>
      <c r="F4756" s="468"/>
    </row>
    <row r="4757" spans="1:6" ht="12.75" x14ac:dyDescent="0.2">
      <c r="A4757" s="451"/>
      <c r="B4757" s="451"/>
      <c r="C4757" s="451"/>
      <c r="D4757" s="451"/>
      <c r="E4757" s="468"/>
      <c r="F4757" s="468"/>
    </row>
    <row r="4758" spans="1:6" ht="12.75" x14ac:dyDescent="0.2">
      <c r="A4758" s="451"/>
      <c r="B4758" s="451"/>
      <c r="C4758" s="451"/>
      <c r="D4758" s="451"/>
      <c r="E4758" s="468"/>
      <c r="F4758" s="468"/>
    </row>
    <row r="4759" spans="1:6" ht="12.75" x14ac:dyDescent="0.2">
      <c r="A4759" s="451"/>
      <c r="B4759" s="451"/>
      <c r="C4759" s="451"/>
      <c r="D4759" s="451"/>
      <c r="E4759" s="468"/>
      <c r="F4759" s="468"/>
    </row>
    <row r="4760" spans="1:6" ht="12.75" x14ac:dyDescent="0.2">
      <c r="A4760" s="451"/>
      <c r="B4760" s="451"/>
      <c r="C4760" s="451"/>
      <c r="D4760" s="451"/>
      <c r="E4760" s="468"/>
      <c r="F4760" s="468"/>
    </row>
    <row r="4761" spans="1:6" ht="12.75" x14ac:dyDescent="0.2">
      <c r="A4761" s="451"/>
      <c r="B4761" s="451"/>
      <c r="C4761" s="451"/>
      <c r="D4761" s="451"/>
      <c r="E4761" s="468"/>
      <c r="F4761" s="468"/>
    </row>
    <row r="4762" spans="1:6" ht="12.75" x14ac:dyDescent="0.2">
      <c r="A4762" s="451"/>
      <c r="B4762" s="451"/>
      <c r="C4762" s="451"/>
      <c r="D4762" s="451"/>
      <c r="E4762" s="468"/>
      <c r="F4762" s="468"/>
    </row>
    <row r="4763" spans="1:6" ht="12.75" x14ac:dyDescent="0.2">
      <c r="A4763" s="451"/>
      <c r="B4763" s="451"/>
      <c r="C4763" s="451"/>
      <c r="D4763" s="451"/>
      <c r="E4763" s="468"/>
      <c r="F4763" s="468"/>
    </row>
    <row r="4764" spans="1:6" ht="12.75" x14ac:dyDescent="0.2">
      <c r="A4764" s="451"/>
      <c r="B4764" s="451"/>
      <c r="C4764" s="451"/>
      <c r="D4764" s="451"/>
      <c r="E4764" s="468"/>
      <c r="F4764" s="468"/>
    </row>
    <row r="4765" spans="1:6" ht="12.75" x14ac:dyDescent="0.2">
      <c r="A4765" s="451"/>
      <c r="B4765" s="451"/>
      <c r="C4765" s="451"/>
      <c r="D4765" s="451"/>
      <c r="E4765" s="468"/>
      <c r="F4765" s="468"/>
    </row>
    <row r="4766" spans="1:6" ht="12.75" x14ac:dyDescent="0.2">
      <c r="A4766" s="451"/>
      <c r="B4766" s="451"/>
      <c r="C4766" s="451"/>
      <c r="D4766" s="451"/>
      <c r="E4766" s="468"/>
      <c r="F4766" s="468"/>
    </row>
    <row r="4767" spans="1:6" ht="12.75" x14ac:dyDescent="0.2">
      <c r="A4767" s="451"/>
      <c r="B4767" s="451"/>
      <c r="C4767" s="451"/>
      <c r="D4767" s="451"/>
      <c r="E4767" s="468"/>
      <c r="F4767" s="468"/>
    </row>
    <row r="4768" spans="1:6" ht="12.75" x14ac:dyDescent="0.2">
      <c r="A4768" s="451"/>
      <c r="B4768" s="451"/>
      <c r="C4768" s="451"/>
      <c r="D4768" s="451"/>
      <c r="E4768" s="468"/>
      <c r="F4768" s="468"/>
    </row>
    <row r="4769" spans="1:6" ht="12.75" x14ac:dyDescent="0.2">
      <c r="A4769" s="451"/>
      <c r="B4769" s="451"/>
      <c r="C4769" s="451"/>
      <c r="D4769" s="451"/>
      <c r="E4769" s="468"/>
      <c r="F4769" s="468"/>
    </row>
    <row r="4770" spans="1:6" ht="12.75" x14ac:dyDescent="0.2">
      <c r="A4770" s="451"/>
      <c r="B4770" s="451"/>
      <c r="C4770" s="451"/>
      <c r="D4770" s="451"/>
      <c r="E4770" s="468"/>
      <c r="F4770" s="468"/>
    </row>
    <row r="4771" spans="1:6" ht="12.75" x14ac:dyDescent="0.2">
      <c r="A4771" s="451"/>
      <c r="B4771" s="451"/>
      <c r="C4771" s="451"/>
      <c r="D4771" s="451"/>
      <c r="E4771" s="468"/>
      <c r="F4771" s="468"/>
    </row>
    <row r="4772" spans="1:6" ht="12.75" x14ac:dyDescent="0.2">
      <c r="A4772" s="451"/>
      <c r="B4772" s="451"/>
      <c r="C4772" s="451"/>
      <c r="D4772" s="451"/>
      <c r="E4772" s="468"/>
      <c r="F4772" s="468"/>
    </row>
    <row r="4773" spans="1:6" ht="12.75" x14ac:dyDescent="0.2">
      <c r="A4773" s="451"/>
      <c r="B4773" s="451"/>
      <c r="C4773" s="451"/>
      <c r="D4773" s="451"/>
      <c r="E4773" s="468"/>
      <c r="F4773" s="468"/>
    </row>
    <row r="4774" spans="1:6" ht="12.75" x14ac:dyDescent="0.2">
      <c r="A4774" s="451"/>
      <c r="B4774" s="451"/>
      <c r="C4774" s="451"/>
      <c r="D4774" s="451"/>
      <c r="E4774" s="468"/>
      <c r="F4774" s="468"/>
    </row>
    <row r="4775" spans="1:6" ht="12.75" x14ac:dyDescent="0.2">
      <c r="A4775" s="451"/>
      <c r="B4775" s="451"/>
      <c r="C4775" s="451"/>
      <c r="D4775" s="451"/>
      <c r="E4775" s="468"/>
      <c r="F4775" s="468"/>
    </row>
    <row r="4776" spans="1:6" ht="12.75" x14ac:dyDescent="0.2">
      <c r="A4776" s="451"/>
      <c r="B4776" s="451"/>
      <c r="C4776" s="451"/>
      <c r="D4776" s="451"/>
      <c r="E4776" s="468"/>
      <c r="F4776" s="468"/>
    </row>
    <row r="4777" spans="1:6" ht="12.75" x14ac:dyDescent="0.2">
      <c r="A4777" s="451"/>
      <c r="B4777" s="451"/>
      <c r="C4777" s="451"/>
      <c r="D4777" s="451"/>
      <c r="E4777" s="468"/>
      <c r="F4777" s="468"/>
    </row>
    <row r="4778" spans="1:6" ht="12.75" x14ac:dyDescent="0.2">
      <c r="A4778" s="451"/>
      <c r="B4778" s="451"/>
      <c r="C4778" s="451"/>
      <c r="D4778" s="451"/>
      <c r="E4778" s="468"/>
      <c r="F4778" s="468"/>
    </row>
    <row r="4779" spans="1:6" ht="12.75" x14ac:dyDescent="0.2">
      <c r="A4779" s="451"/>
      <c r="B4779" s="451"/>
      <c r="C4779" s="451"/>
      <c r="D4779" s="451"/>
      <c r="E4779" s="468"/>
      <c r="F4779" s="468"/>
    </row>
    <row r="4780" spans="1:6" ht="12.75" x14ac:dyDescent="0.2">
      <c r="A4780" s="451"/>
      <c r="B4780" s="451"/>
      <c r="C4780" s="451"/>
      <c r="D4780" s="451"/>
      <c r="E4780" s="468"/>
      <c r="F4780" s="468"/>
    </row>
    <row r="4781" spans="1:6" ht="12.75" x14ac:dyDescent="0.2">
      <c r="A4781" s="451"/>
      <c r="B4781" s="451"/>
      <c r="C4781" s="451"/>
      <c r="D4781" s="451"/>
      <c r="E4781" s="468"/>
      <c r="F4781" s="468"/>
    </row>
    <row r="4782" spans="1:6" ht="12.75" x14ac:dyDescent="0.2">
      <c r="A4782" s="451"/>
      <c r="B4782" s="451"/>
      <c r="C4782" s="451"/>
      <c r="D4782" s="451"/>
      <c r="E4782" s="468"/>
      <c r="F4782" s="468"/>
    </row>
    <row r="4783" spans="1:6" ht="12.75" x14ac:dyDescent="0.2">
      <c r="A4783" s="451"/>
      <c r="B4783" s="451"/>
      <c r="C4783" s="451"/>
      <c r="D4783" s="451"/>
      <c r="E4783" s="468"/>
      <c r="F4783" s="468"/>
    </row>
    <row r="4784" spans="1:6" ht="12.75" x14ac:dyDescent="0.2">
      <c r="A4784" s="451"/>
      <c r="B4784" s="451"/>
      <c r="C4784" s="451"/>
      <c r="D4784" s="451"/>
      <c r="E4784" s="468"/>
      <c r="F4784" s="468"/>
    </row>
    <row r="4785" spans="1:6" ht="12.75" x14ac:dyDescent="0.2">
      <c r="A4785" s="451"/>
      <c r="B4785" s="451"/>
      <c r="C4785" s="451"/>
      <c r="D4785" s="451"/>
      <c r="E4785" s="468"/>
      <c r="F4785" s="468"/>
    </row>
    <row r="4786" spans="1:6" ht="12.75" x14ac:dyDescent="0.2">
      <c r="A4786" s="451"/>
      <c r="B4786" s="451"/>
      <c r="C4786" s="451"/>
      <c r="D4786" s="451"/>
      <c r="E4786" s="468"/>
      <c r="F4786" s="468"/>
    </row>
    <row r="4787" spans="1:6" ht="12.75" x14ac:dyDescent="0.2">
      <c r="A4787" s="451"/>
      <c r="B4787" s="451"/>
      <c r="C4787" s="451"/>
      <c r="D4787" s="451"/>
      <c r="E4787" s="468"/>
      <c r="F4787" s="468"/>
    </row>
    <row r="4788" spans="1:6" ht="12.75" x14ac:dyDescent="0.2">
      <c r="A4788" s="451"/>
      <c r="B4788" s="451"/>
      <c r="C4788" s="451"/>
      <c r="D4788" s="451"/>
      <c r="E4788" s="468"/>
      <c r="F4788" s="468"/>
    </row>
    <row r="4789" spans="1:6" ht="12.75" x14ac:dyDescent="0.2">
      <c r="A4789" s="451"/>
      <c r="B4789" s="451"/>
      <c r="C4789" s="451"/>
      <c r="D4789" s="451"/>
      <c r="E4789" s="468"/>
      <c r="F4789" s="468"/>
    </row>
    <row r="4790" spans="1:6" ht="12.75" x14ac:dyDescent="0.2">
      <c r="A4790" s="451"/>
      <c r="B4790" s="451"/>
      <c r="C4790" s="451"/>
      <c r="D4790" s="451"/>
      <c r="E4790" s="468"/>
      <c r="F4790" s="468"/>
    </row>
    <row r="4791" spans="1:6" ht="12.75" x14ac:dyDescent="0.2">
      <c r="A4791" s="451"/>
      <c r="B4791" s="451"/>
      <c r="C4791" s="451"/>
      <c r="D4791" s="451"/>
      <c r="E4791" s="468"/>
      <c r="F4791" s="468"/>
    </row>
    <row r="4792" spans="1:6" ht="12.75" x14ac:dyDescent="0.2">
      <c r="A4792" s="451"/>
      <c r="B4792" s="451"/>
      <c r="C4792" s="451"/>
      <c r="D4792" s="451"/>
      <c r="E4792" s="468"/>
      <c r="F4792" s="468"/>
    </row>
    <row r="4793" spans="1:6" ht="12.75" x14ac:dyDescent="0.2">
      <c r="A4793" s="451"/>
      <c r="B4793" s="451"/>
      <c r="C4793" s="451"/>
      <c r="D4793" s="451"/>
      <c r="E4793" s="468"/>
      <c r="F4793" s="468"/>
    </row>
    <row r="4794" spans="1:6" ht="12.75" x14ac:dyDescent="0.2">
      <c r="A4794" s="451"/>
      <c r="B4794" s="451"/>
      <c r="C4794" s="451"/>
      <c r="D4794" s="451"/>
      <c r="E4794" s="468"/>
      <c r="F4794" s="468"/>
    </row>
    <row r="4795" spans="1:6" ht="12.75" x14ac:dyDescent="0.2">
      <c r="A4795" s="451"/>
      <c r="B4795" s="451"/>
      <c r="C4795" s="451"/>
      <c r="D4795" s="451"/>
      <c r="E4795" s="468"/>
      <c r="F4795" s="468"/>
    </row>
    <row r="4796" spans="1:6" ht="12.75" x14ac:dyDescent="0.2">
      <c r="A4796" s="451"/>
      <c r="B4796" s="451"/>
      <c r="C4796" s="451"/>
      <c r="D4796" s="451"/>
      <c r="E4796" s="468"/>
      <c r="F4796" s="468"/>
    </row>
    <row r="4797" spans="1:6" ht="12.75" x14ac:dyDescent="0.2">
      <c r="A4797" s="451"/>
      <c r="B4797" s="451"/>
      <c r="C4797" s="451"/>
      <c r="D4797" s="451"/>
      <c r="E4797" s="468"/>
      <c r="F4797" s="468"/>
    </row>
    <row r="4798" spans="1:6" ht="12.75" x14ac:dyDescent="0.2">
      <c r="A4798" s="451"/>
      <c r="B4798" s="451"/>
      <c r="C4798" s="451"/>
      <c r="D4798" s="451"/>
      <c r="E4798" s="468"/>
      <c r="F4798" s="468"/>
    </row>
    <row r="4799" spans="1:6" ht="12.75" x14ac:dyDescent="0.2">
      <c r="A4799" s="451"/>
      <c r="B4799" s="451"/>
      <c r="C4799" s="451"/>
      <c r="D4799" s="451"/>
      <c r="E4799" s="468"/>
      <c r="F4799" s="468"/>
    </row>
    <row r="4800" spans="1:6" ht="12.75" x14ac:dyDescent="0.2">
      <c r="A4800" s="451"/>
      <c r="B4800" s="451"/>
      <c r="C4800" s="451"/>
      <c r="D4800" s="451"/>
      <c r="E4800" s="468"/>
      <c r="F4800" s="468"/>
    </row>
    <row r="4801" spans="1:6" ht="12.75" x14ac:dyDescent="0.2">
      <c r="A4801" s="451"/>
      <c r="B4801" s="451"/>
      <c r="C4801" s="451"/>
      <c r="D4801" s="451"/>
      <c r="E4801" s="468"/>
      <c r="F4801" s="468"/>
    </row>
    <row r="4802" spans="1:6" ht="12.75" x14ac:dyDescent="0.2">
      <c r="A4802" s="451"/>
      <c r="B4802" s="451"/>
      <c r="C4802" s="451"/>
      <c r="D4802" s="451"/>
      <c r="E4802" s="468"/>
      <c r="F4802" s="468"/>
    </row>
    <row r="4803" spans="1:6" ht="12.75" x14ac:dyDescent="0.2">
      <c r="A4803" s="451"/>
      <c r="B4803" s="451"/>
      <c r="C4803" s="451"/>
      <c r="D4803" s="451"/>
      <c r="E4803" s="468"/>
      <c r="F4803" s="468"/>
    </row>
    <row r="4804" spans="1:6" ht="12.75" x14ac:dyDescent="0.2">
      <c r="A4804" s="451"/>
      <c r="B4804" s="451"/>
      <c r="C4804" s="451"/>
      <c r="D4804" s="451"/>
      <c r="E4804" s="468"/>
      <c r="F4804" s="468"/>
    </row>
    <row r="4805" spans="1:6" ht="12.75" x14ac:dyDescent="0.2">
      <c r="A4805" s="451"/>
      <c r="B4805" s="451"/>
      <c r="C4805" s="451"/>
      <c r="D4805" s="451"/>
      <c r="E4805" s="468"/>
      <c r="F4805" s="468"/>
    </row>
    <row r="4806" spans="1:6" ht="12.75" x14ac:dyDescent="0.2">
      <c r="A4806" s="451"/>
      <c r="B4806" s="451"/>
      <c r="C4806" s="451"/>
      <c r="D4806" s="451"/>
      <c r="E4806" s="468"/>
      <c r="F4806" s="468"/>
    </row>
    <row r="4807" spans="1:6" ht="12.75" x14ac:dyDescent="0.2">
      <c r="A4807" s="451"/>
      <c r="B4807" s="451"/>
      <c r="C4807" s="451"/>
      <c r="D4807" s="451"/>
      <c r="E4807" s="468"/>
      <c r="F4807" s="468"/>
    </row>
    <row r="4808" spans="1:6" ht="12.75" x14ac:dyDescent="0.2">
      <c r="A4808" s="451"/>
      <c r="B4808" s="451"/>
      <c r="C4808" s="451"/>
      <c r="D4808" s="451"/>
      <c r="E4808" s="468"/>
      <c r="F4808" s="468"/>
    </row>
    <row r="4809" spans="1:6" ht="12.75" x14ac:dyDescent="0.2">
      <c r="A4809" s="451"/>
      <c r="B4809" s="451"/>
      <c r="C4809" s="451"/>
      <c r="D4809" s="451"/>
      <c r="E4809" s="468"/>
      <c r="F4809" s="468"/>
    </row>
    <row r="4810" spans="1:6" ht="12.75" x14ac:dyDescent="0.2">
      <c r="A4810" s="451"/>
      <c r="B4810" s="451"/>
      <c r="C4810" s="451"/>
      <c r="D4810" s="451"/>
      <c r="E4810" s="468"/>
      <c r="F4810" s="468"/>
    </row>
    <row r="4811" spans="1:6" ht="12.75" x14ac:dyDescent="0.2">
      <c r="A4811" s="451"/>
      <c r="B4811" s="451"/>
      <c r="C4811" s="451"/>
      <c r="D4811" s="451"/>
      <c r="E4811" s="468"/>
      <c r="F4811" s="468"/>
    </row>
    <row r="4812" spans="1:6" ht="12.75" x14ac:dyDescent="0.2">
      <c r="A4812" s="451"/>
      <c r="B4812" s="451"/>
      <c r="C4812" s="451"/>
      <c r="D4812" s="451"/>
      <c r="E4812" s="468"/>
      <c r="F4812" s="468"/>
    </row>
    <row r="4813" spans="1:6" ht="12.75" x14ac:dyDescent="0.2">
      <c r="A4813" s="451"/>
      <c r="B4813" s="451"/>
      <c r="C4813" s="451"/>
      <c r="D4813" s="451"/>
      <c r="E4813" s="468"/>
      <c r="F4813" s="468"/>
    </row>
    <row r="4814" spans="1:6" ht="12.75" x14ac:dyDescent="0.2">
      <c r="A4814" s="451"/>
      <c r="B4814" s="451"/>
      <c r="C4814" s="451"/>
      <c r="D4814" s="451"/>
      <c r="E4814" s="468"/>
      <c r="F4814" s="468"/>
    </row>
    <row r="4815" spans="1:6" ht="12.75" x14ac:dyDescent="0.2">
      <c r="A4815" s="451"/>
      <c r="B4815" s="451"/>
      <c r="C4815" s="451"/>
      <c r="D4815" s="451"/>
      <c r="E4815" s="468"/>
      <c r="F4815" s="468"/>
    </row>
    <row r="4816" spans="1:6" ht="12.75" x14ac:dyDescent="0.2">
      <c r="A4816" s="451"/>
      <c r="B4816" s="451"/>
      <c r="C4816" s="451"/>
      <c r="D4816" s="451"/>
      <c r="E4816" s="468"/>
      <c r="F4816" s="468"/>
    </row>
    <row r="4817" spans="1:6" ht="12.75" x14ac:dyDescent="0.2">
      <c r="A4817" s="451"/>
      <c r="B4817" s="451"/>
      <c r="C4817" s="451"/>
      <c r="D4817" s="451"/>
      <c r="E4817" s="468"/>
      <c r="F4817" s="468"/>
    </row>
    <row r="4818" spans="1:6" ht="12.75" x14ac:dyDescent="0.2">
      <c r="A4818" s="451"/>
      <c r="B4818" s="451"/>
      <c r="C4818" s="451"/>
      <c r="D4818" s="451"/>
      <c r="E4818" s="468"/>
      <c r="F4818" s="468"/>
    </row>
    <row r="4819" spans="1:6" ht="12.75" x14ac:dyDescent="0.2">
      <c r="A4819" s="451"/>
      <c r="B4819" s="451"/>
      <c r="C4819" s="451"/>
      <c r="D4819" s="451"/>
      <c r="E4819" s="468"/>
      <c r="F4819" s="468"/>
    </row>
    <row r="4820" spans="1:6" ht="12.75" x14ac:dyDescent="0.2">
      <c r="A4820" s="451"/>
      <c r="B4820" s="451"/>
      <c r="C4820" s="451"/>
      <c r="D4820" s="451"/>
      <c r="E4820" s="468"/>
      <c r="F4820" s="468"/>
    </row>
    <row r="4821" spans="1:6" ht="12.75" x14ac:dyDescent="0.2">
      <c r="A4821" s="451"/>
      <c r="B4821" s="451"/>
      <c r="C4821" s="451"/>
      <c r="D4821" s="451"/>
      <c r="E4821" s="468"/>
      <c r="F4821" s="468"/>
    </row>
    <row r="4822" spans="1:6" ht="12.75" x14ac:dyDescent="0.2">
      <c r="A4822" s="451"/>
      <c r="B4822" s="451"/>
      <c r="C4822" s="451"/>
      <c r="D4822" s="451"/>
      <c r="E4822" s="468"/>
      <c r="F4822" s="468"/>
    </row>
    <row r="4823" spans="1:6" ht="12.75" x14ac:dyDescent="0.2">
      <c r="A4823" s="451"/>
      <c r="B4823" s="451"/>
      <c r="C4823" s="451"/>
      <c r="D4823" s="451"/>
      <c r="E4823" s="468"/>
      <c r="F4823" s="468"/>
    </row>
    <row r="4824" spans="1:6" ht="12.75" x14ac:dyDescent="0.2">
      <c r="A4824" s="451"/>
      <c r="B4824" s="451"/>
      <c r="C4824" s="451"/>
      <c r="D4824" s="451"/>
      <c r="E4824" s="468"/>
      <c r="F4824" s="468"/>
    </row>
    <row r="4825" spans="1:6" ht="12.75" x14ac:dyDescent="0.2">
      <c r="A4825" s="451"/>
      <c r="B4825" s="451"/>
      <c r="C4825" s="451"/>
      <c r="D4825" s="451"/>
      <c r="E4825" s="468"/>
      <c r="F4825" s="468"/>
    </row>
    <row r="4826" spans="1:6" ht="12.75" x14ac:dyDescent="0.2">
      <c r="A4826" s="451"/>
      <c r="B4826" s="451"/>
      <c r="C4826" s="451"/>
      <c r="D4826" s="451"/>
      <c r="E4826" s="468"/>
      <c r="F4826" s="468"/>
    </row>
    <row r="4827" spans="1:6" ht="12.75" x14ac:dyDescent="0.2">
      <c r="A4827" s="451"/>
      <c r="B4827" s="451"/>
      <c r="C4827" s="451"/>
      <c r="D4827" s="451"/>
      <c r="E4827" s="468"/>
      <c r="F4827" s="468"/>
    </row>
    <row r="4828" spans="1:6" ht="12.75" x14ac:dyDescent="0.2">
      <c r="A4828" s="451"/>
      <c r="B4828" s="451"/>
      <c r="C4828" s="451"/>
      <c r="D4828" s="451"/>
      <c r="E4828" s="468"/>
      <c r="F4828" s="468"/>
    </row>
    <row r="4829" spans="1:6" ht="12.75" x14ac:dyDescent="0.2">
      <c r="A4829" s="451"/>
      <c r="B4829" s="451"/>
      <c r="C4829" s="451"/>
      <c r="D4829" s="451"/>
      <c r="E4829" s="468"/>
      <c r="F4829" s="468"/>
    </row>
    <row r="4830" spans="1:6" ht="12.75" x14ac:dyDescent="0.2">
      <c r="A4830" s="451"/>
      <c r="B4830" s="451"/>
      <c r="C4830" s="451"/>
      <c r="D4830" s="451"/>
      <c r="E4830" s="468"/>
      <c r="F4830" s="468"/>
    </row>
    <row r="4831" spans="1:6" ht="12.75" x14ac:dyDescent="0.2">
      <c r="A4831" s="451"/>
      <c r="B4831" s="451"/>
      <c r="C4831" s="451"/>
      <c r="D4831" s="451"/>
      <c r="E4831" s="468"/>
      <c r="F4831" s="468"/>
    </row>
    <row r="4832" spans="1:6" ht="12.75" x14ac:dyDescent="0.2">
      <c r="A4832" s="451"/>
      <c r="B4832" s="451"/>
      <c r="C4832" s="451"/>
      <c r="D4832" s="451"/>
      <c r="E4832" s="468"/>
      <c r="F4832" s="468"/>
    </row>
    <row r="4833" spans="1:6" ht="12.75" x14ac:dyDescent="0.2">
      <c r="A4833" s="451"/>
      <c r="B4833" s="451"/>
      <c r="C4833" s="451"/>
      <c r="D4833" s="451"/>
      <c r="E4833" s="468"/>
      <c r="F4833" s="468"/>
    </row>
    <row r="4834" spans="1:6" ht="12.75" x14ac:dyDescent="0.2">
      <c r="A4834" s="451"/>
      <c r="B4834" s="451"/>
      <c r="C4834" s="451"/>
      <c r="D4834" s="451"/>
      <c r="E4834" s="468"/>
      <c r="F4834" s="468"/>
    </row>
    <row r="4835" spans="1:6" ht="12.75" x14ac:dyDescent="0.2">
      <c r="A4835" s="451"/>
      <c r="B4835" s="451"/>
      <c r="C4835" s="451"/>
      <c r="D4835" s="451"/>
      <c r="E4835" s="468"/>
      <c r="F4835" s="468"/>
    </row>
    <row r="4836" spans="1:6" ht="12.75" x14ac:dyDescent="0.2">
      <c r="A4836" s="451"/>
      <c r="B4836" s="451"/>
      <c r="C4836" s="451"/>
      <c r="D4836" s="451"/>
      <c r="E4836" s="468"/>
      <c r="F4836" s="468"/>
    </row>
    <row r="4837" spans="1:6" ht="12.75" x14ac:dyDescent="0.2">
      <c r="A4837" s="451"/>
      <c r="B4837" s="451"/>
      <c r="C4837" s="451"/>
      <c r="D4837" s="451"/>
      <c r="E4837" s="468"/>
      <c r="F4837" s="468"/>
    </row>
    <row r="4838" spans="1:6" ht="12.75" x14ac:dyDescent="0.2">
      <c r="A4838" s="451"/>
      <c r="B4838" s="451"/>
      <c r="C4838" s="451"/>
      <c r="D4838" s="451"/>
      <c r="E4838" s="468"/>
      <c r="F4838" s="468"/>
    </row>
    <row r="4839" spans="1:6" ht="12.75" x14ac:dyDescent="0.2">
      <c r="A4839" s="451"/>
      <c r="B4839" s="451"/>
      <c r="C4839" s="451"/>
      <c r="D4839" s="451"/>
      <c r="E4839" s="468"/>
      <c r="F4839" s="468"/>
    </row>
    <row r="4840" spans="1:6" ht="12.75" x14ac:dyDescent="0.2">
      <c r="A4840" s="451"/>
      <c r="B4840" s="451"/>
      <c r="C4840" s="451"/>
      <c r="D4840" s="451"/>
      <c r="E4840" s="468"/>
      <c r="F4840" s="468"/>
    </row>
    <row r="4841" spans="1:6" ht="12.75" x14ac:dyDescent="0.2">
      <c r="A4841" s="451"/>
      <c r="B4841" s="451"/>
      <c r="C4841" s="451"/>
      <c r="D4841" s="451"/>
      <c r="E4841" s="468"/>
      <c r="F4841" s="468"/>
    </row>
    <row r="4842" spans="1:6" ht="12.75" x14ac:dyDescent="0.2">
      <c r="A4842" s="451"/>
      <c r="B4842" s="451"/>
      <c r="C4842" s="451"/>
      <c r="D4842" s="451"/>
      <c r="E4842" s="468"/>
      <c r="F4842" s="468"/>
    </row>
    <row r="4843" spans="1:6" ht="12.75" x14ac:dyDescent="0.2">
      <c r="A4843" s="451"/>
      <c r="B4843" s="451"/>
      <c r="C4843" s="451"/>
      <c r="D4843" s="451"/>
      <c r="E4843" s="468"/>
      <c r="F4843" s="468"/>
    </row>
    <row r="4844" spans="1:6" ht="12.75" x14ac:dyDescent="0.2">
      <c r="A4844" s="451"/>
      <c r="B4844" s="451"/>
      <c r="C4844" s="451"/>
      <c r="D4844" s="451"/>
      <c r="E4844" s="468"/>
      <c r="F4844" s="468"/>
    </row>
    <row r="4845" spans="1:6" ht="12.75" x14ac:dyDescent="0.2">
      <c r="A4845" s="451"/>
      <c r="B4845" s="451"/>
      <c r="C4845" s="451"/>
      <c r="D4845" s="451"/>
      <c r="E4845" s="468"/>
      <c r="F4845" s="468"/>
    </row>
    <row r="4846" spans="1:6" ht="12.75" x14ac:dyDescent="0.2">
      <c r="A4846" s="451"/>
      <c r="B4846" s="451"/>
      <c r="C4846" s="451"/>
      <c r="D4846" s="451"/>
      <c r="E4846" s="468"/>
      <c r="F4846" s="468"/>
    </row>
    <row r="4847" spans="1:6" ht="12.75" x14ac:dyDescent="0.2">
      <c r="A4847" s="451"/>
      <c r="B4847" s="451"/>
      <c r="C4847" s="451"/>
      <c r="D4847" s="451"/>
      <c r="E4847" s="468"/>
      <c r="F4847" s="468"/>
    </row>
    <row r="4848" spans="1:6" ht="12.75" x14ac:dyDescent="0.2">
      <c r="A4848" s="451"/>
      <c r="B4848" s="451"/>
      <c r="C4848" s="451"/>
      <c r="D4848" s="451"/>
      <c r="E4848" s="468"/>
      <c r="F4848" s="468"/>
    </row>
    <row r="4849" spans="1:6" ht="12.75" x14ac:dyDescent="0.2">
      <c r="A4849" s="451"/>
      <c r="B4849" s="451"/>
      <c r="C4849" s="451"/>
      <c r="D4849" s="451"/>
      <c r="E4849" s="468"/>
      <c r="F4849" s="468"/>
    </row>
    <row r="4850" spans="1:6" ht="12.75" x14ac:dyDescent="0.2">
      <c r="A4850" s="451"/>
      <c r="B4850" s="451"/>
      <c r="C4850" s="451"/>
      <c r="D4850" s="451"/>
      <c r="E4850" s="468"/>
      <c r="F4850" s="468"/>
    </row>
    <row r="4851" spans="1:6" ht="12.75" x14ac:dyDescent="0.2">
      <c r="A4851" s="451"/>
      <c r="B4851" s="451"/>
      <c r="C4851" s="451"/>
      <c r="D4851" s="451"/>
      <c r="E4851" s="468"/>
      <c r="F4851" s="468"/>
    </row>
    <row r="4852" spans="1:6" ht="12.75" x14ac:dyDescent="0.2">
      <c r="A4852" s="451"/>
      <c r="B4852" s="451"/>
      <c r="C4852" s="451"/>
      <c r="D4852" s="451"/>
      <c r="E4852" s="468"/>
      <c r="F4852" s="468"/>
    </row>
    <row r="4853" spans="1:6" ht="12.75" x14ac:dyDescent="0.2">
      <c r="A4853" s="451"/>
      <c r="B4853" s="451"/>
      <c r="C4853" s="451"/>
      <c r="D4853" s="451"/>
      <c r="E4853" s="468"/>
      <c r="F4853" s="468"/>
    </row>
    <row r="4854" spans="1:6" ht="12.75" x14ac:dyDescent="0.2">
      <c r="A4854" s="451"/>
      <c r="B4854" s="451"/>
      <c r="C4854" s="451"/>
      <c r="D4854" s="451"/>
      <c r="E4854" s="468"/>
      <c r="F4854" s="468"/>
    </row>
    <row r="4855" spans="1:6" ht="12.75" x14ac:dyDescent="0.2">
      <c r="A4855" s="451"/>
      <c r="B4855" s="451"/>
      <c r="C4855" s="451"/>
      <c r="D4855" s="451"/>
      <c r="E4855" s="468"/>
      <c r="F4855" s="468"/>
    </row>
    <row r="4856" spans="1:6" ht="12.75" x14ac:dyDescent="0.2">
      <c r="A4856" s="451"/>
      <c r="B4856" s="451"/>
      <c r="C4856" s="451"/>
      <c r="D4856" s="451"/>
      <c r="E4856" s="468"/>
      <c r="F4856" s="468"/>
    </row>
    <row r="4857" spans="1:6" ht="12.75" x14ac:dyDescent="0.2">
      <c r="A4857" s="451"/>
      <c r="B4857" s="451"/>
      <c r="C4857" s="451"/>
      <c r="D4857" s="451"/>
      <c r="E4857" s="468"/>
      <c r="F4857" s="468"/>
    </row>
    <row r="4858" spans="1:6" ht="12.75" x14ac:dyDescent="0.2">
      <c r="A4858" s="451"/>
      <c r="B4858" s="451"/>
      <c r="C4858" s="451"/>
      <c r="D4858" s="451"/>
      <c r="E4858" s="468"/>
      <c r="F4858" s="468"/>
    </row>
    <row r="4859" spans="1:6" ht="12.75" x14ac:dyDescent="0.2">
      <c r="A4859" s="451"/>
      <c r="B4859" s="451"/>
      <c r="C4859" s="451"/>
      <c r="D4859" s="451"/>
      <c r="E4859" s="468"/>
      <c r="F4859" s="468"/>
    </row>
    <row r="4860" spans="1:6" ht="12.75" x14ac:dyDescent="0.2">
      <c r="A4860" s="451"/>
      <c r="B4860" s="451"/>
      <c r="C4860" s="451"/>
      <c r="D4860" s="451"/>
      <c r="E4860" s="468"/>
      <c r="F4860" s="468"/>
    </row>
    <row r="4861" spans="1:6" ht="12.75" x14ac:dyDescent="0.2">
      <c r="A4861" s="451"/>
      <c r="B4861" s="451"/>
      <c r="C4861" s="451"/>
      <c r="D4861" s="451"/>
      <c r="E4861" s="468"/>
      <c r="F4861" s="468"/>
    </row>
    <row r="4862" spans="1:6" ht="12.75" x14ac:dyDescent="0.2">
      <c r="A4862" s="451"/>
      <c r="B4862" s="451"/>
      <c r="C4862" s="451"/>
      <c r="D4862" s="451"/>
      <c r="E4862" s="468"/>
      <c r="F4862" s="468"/>
    </row>
    <row r="4863" spans="1:6" ht="12.75" x14ac:dyDescent="0.2">
      <c r="A4863" s="451"/>
      <c r="B4863" s="451"/>
      <c r="C4863" s="451"/>
      <c r="D4863" s="451"/>
      <c r="E4863" s="468"/>
      <c r="F4863" s="468"/>
    </row>
    <row r="4864" spans="1:6" ht="12.75" x14ac:dyDescent="0.2">
      <c r="A4864" s="451"/>
      <c r="B4864" s="451"/>
      <c r="C4864" s="451"/>
      <c r="D4864" s="451"/>
      <c r="E4864" s="468"/>
      <c r="F4864" s="468"/>
    </row>
    <row r="4865" spans="1:6" ht="12.75" x14ac:dyDescent="0.2">
      <c r="A4865" s="451"/>
      <c r="B4865" s="451"/>
      <c r="C4865" s="451"/>
      <c r="D4865" s="451"/>
      <c r="E4865" s="468"/>
      <c r="F4865" s="468"/>
    </row>
    <row r="4866" spans="1:6" ht="12.75" x14ac:dyDescent="0.2">
      <c r="A4866" s="451"/>
      <c r="B4866" s="451"/>
      <c r="C4866" s="451"/>
      <c r="D4866" s="451"/>
      <c r="E4866" s="468"/>
      <c r="F4866" s="468"/>
    </row>
    <row r="4867" spans="1:6" ht="12.75" x14ac:dyDescent="0.2">
      <c r="A4867" s="451"/>
      <c r="B4867" s="451"/>
      <c r="C4867" s="451"/>
      <c r="D4867" s="451"/>
      <c r="E4867" s="468"/>
      <c r="F4867" s="468"/>
    </row>
    <row r="4868" spans="1:6" ht="12.75" x14ac:dyDescent="0.2">
      <c r="A4868" s="451"/>
      <c r="B4868" s="451"/>
      <c r="C4868" s="451"/>
      <c r="D4868" s="451"/>
      <c r="E4868" s="468"/>
      <c r="F4868" s="468"/>
    </row>
    <row r="4869" spans="1:6" ht="12.75" x14ac:dyDescent="0.2">
      <c r="A4869" s="451"/>
      <c r="B4869" s="451"/>
      <c r="C4869" s="451"/>
      <c r="D4869" s="451"/>
      <c r="E4869" s="468"/>
      <c r="F4869" s="468"/>
    </row>
    <row r="4870" spans="1:6" ht="12.75" x14ac:dyDescent="0.2">
      <c r="A4870" s="451"/>
      <c r="B4870" s="451"/>
      <c r="C4870" s="451"/>
      <c r="D4870" s="451"/>
      <c r="E4870" s="468"/>
      <c r="F4870" s="468"/>
    </row>
    <row r="4871" spans="1:6" ht="12.75" x14ac:dyDescent="0.2">
      <c r="A4871" s="451"/>
      <c r="B4871" s="451"/>
      <c r="C4871" s="451"/>
      <c r="D4871" s="451"/>
      <c r="E4871" s="468"/>
      <c r="F4871" s="468"/>
    </row>
    <row r="4872" spans="1:6" ht="12.75" x14ac:dyDescent="0.2">
      <c r="A4872" s="451"/>
      <c r="B4872" s="451"/>
      <c r="C4872" s="451"/>
      <c r="D4872" s="451"/>
      <c r="E4872" s="468"/>
      <c r="F4872" s="468"/>
    </row>
    <row r="4873" spans="1:6" ht="12.75" x14ac:dyDescent="0.2">
      <c r="A4873" s="451"/>
      <c r="B4873" s="451"/>
      <c r="C4873" s="451"/>
      <c r="D4873" s="451"/>
      <c r="E4873" s="468"/>
      <c r="F4873" s="468"/>
    </row>
    <row r="4874" spans="1:6" ht="12.75" x14ac:dyDescent="0.2">
      <c r="A4874" s="451"/>
      <c r="B4874" s="451"/>
      <c r="C4874" s="451"/>
      <c r="D4874" s="451"/>
      <c r="E4874" s="468"/>
      <c r="F4874" s="468"/>
    </row>
    <row r="4875" spans="1:6" ht="12.75" x14ac:dyDescent="0.2">
      <c r="A4875" s="451"/>
      <c r="B4875" s="451"/>
      <c r="C4875" s="451"/>
      <c r="D4875" s="451"/>
      <c r="E4875" s="468"/>
      <c r="F4875" s="468"/>
    </row>
    <row r="4876" spans="1:6" ht="12.75" x14ac:dyDescent="0.2">
      <c r="A4876" s="451"/>
      <c r="B4876" s="451"/>
      <c r="C4876" s="451"/>
      <c r="D4876" s="451"/>
      <c r="E4876" s="468"/>
      <c r="F4876" s="468"/>
    </row>
    <row r="4877" spans="1:6" ht="12.75" x14ac:dyDescent="0.2">
      <c r="A4877" s="451"/>
      <c r="B4877" s="451"/>
      <c r="C4877" s="451"/>
      <c r="D4877" s="451"/>
      <c r="E4877" s="468"/>
      <c r="F4877" s="468"/>
    </row>
    <row r="4878" spans="1:6" ht="12.75" x14ac:dyDescent="0.2">
      <c r="A4878" s="451"/>
      <c r="B4878" s="451"/>
      <c r="C4878" s="451"/>
      <c r="D4878" s="451"/>
      <c r="E4878" s="468"/>
      <c r="F4878" s="468"/>
    </row>
    <row r="4879" spans="1:6" ht="12.75" x14ac:dyDescent="0.2">
      <c r="A4879" s="451"/>
      <c r="B4879" s="451"/>
      <c r="C4879" s="451"/>
      <c r="D4879" s="451"/>
      <c r="E4879" s="468"/>
      <c r="F4879" s="468"/>
    </row>
    <row r="4880" spans="1:6" ht="12.75" x14ac:dyDescent="0.2">
      <c r="A4880" s="451"/>
      <c r="B4880" s="451"/>
      <c r="C4880" s="451"/>
      <c r="D4880" s="451"/>
      <c r="E4880" s="468"/>
      <c r="F4880" s="468"/>
    </row>
    <row r="4881" spans="1:6" ht="12.75" x14ac:dyDescent="0.2">
      <c r="A4881" s="451"/>
      <c r="B4881" s="451"/>
      <c r="C4881" s="451"/>
      <c r="D4881" s="451"/>
      <c r="E4881" s="468"/>
      <c r="F4881" s="468"/>
    </row>
    <row r="4882" spans="1:6" ht="12.75" x14ac:dyDescent="0.2">
      <c r="A4882" s="451"/>
      <c r="B4882" s="451"/>
      <c r="C4882" s="451"/>
      <c r="D4882" s="451"/>
      <c r="E4882" s="468"/>
      <c r="F4882" s="468"/>
    </row>
    <row r="4883" spans="1:6" ht="12.75" x14ac:dyDescent="0.2">
      <c r="A4883" s="451"/>
      <c r="B4883" s="451"/>
      <c r="C4883" s="451"/>
      <c r="D4883" s="451"/>
      <c r="E4883" s="468"/>
      <c r="F4883" s="468"/>
    </row>
    <row r="4884" spans="1:6" ht="12.75" x14ac:dyDescent="0.2">
      <c r="A4884" s="451"/>
      <c r="B4884" s="451"/>
      <c r="C4884" s="451"/>
      <c r="D4884" s="451"/>
      <c r="E4884" s="468"/>
      <c r="F4884" s="468"/>
    </row>
    <row r="4885" spans="1:6" ht="12.75" x14ac:dyDescent="0.2">
      <c r="A4885" s="451"/>
      <c r="B4885" s="451"/>
      <c r="C4885" s="451"/>
      <c r="D4885" s="451"/>
      <c r="E4885" s="468"/>
      <c r="F4885" s="468"/>
    </row>
    <row r="4886" spans="1:6" ht="12.75" x14ac:dyDescent="0.2">
      <c r="A4886" s="451"/>
      <c r="B4886" s="451"/>
      <c r="C4886" s="451"/>
      <c r="D4886" s="451"/>
      <c r="E4886" s="468"/>
      <c r="F4886" s="468"/>
    </row>
    <row r="4887" spans="1:6" ht="12.75" x14ac:dyDescent="0.2">
      <c r="A4887" s="451"/>
      <c r="B4887" s="451"/>
      <c r="C4887" s="451"/>
      <c r="D4887" s="451"/>
      <c r="E4887" s="468"/>
      <c r="F4887" s="468"/>
    </row>
    <row r="4888" spans="1:6" ht="12.75" x14ac:dyDescent="0.2">
      <c r="A4888" s="451"/>
      <c r="B4888" s="451"/>
      <c r="C4888" s="451"/>
      <c r="D4888" s="451"/>
      <c r="E4888" s="468"/>
      <c r="F4888" s="468"/>
    </row>
    <row r="4889" spans="1:6" ht="12.75" x14ac:dyDescent="0.2">
      <c r="A4889" s="451"/>
      <c r="B4889" s="451"/>
      <c r="C4889" s="451"/>
      <c r="D4889" s="451"/>
      <c r="E4889" s="468"/>
      <c r="F4889" s="468"/>
    </row>
    <row r="4890" spans="1:6" ht="12.75" x14ac:dyDescent="0.2">
      <c r="A4890" s="451"/>
      <c r="B4890" s="451"/>
      <c r="C4890" s="451"/>
      <c r="D4890" s="451"/>
      <c r="E4890" s="468"/>
      <c r="F4890" s="468"/>
    </row>
    <row r="4891" spans="1:6" ht="12.75" x14ac:dyDescent="0.2">
      <c r="A4891" s="451"/>
      <c r="B4891" s="451"/>
      <c r="C4891" s="451"/>
      <c r="D4891" s="451"/>
      <c r="E4891" s="468"/>
      <c r="F4891" s="468"/>
    </row>
    <row r="4892" spans="1:6" ht="12.75" x14ac:dyDescent="0.2">
      <c r="A4892" s="451"/>
      <c r="B4892" s="451"/>
      <c r="C4892" s="451"/>
      <c r="D4892" s="451"/>
      <c r="E4892" s="468"/>
      <c r="F4892" s="468"/>
    </row>
    <row r="4893" spans="1:6" ht="12.75" x14ac:dyDescent="0.2">
      <c r="A4893" s="451"/>
      <c r="B4893" s="451"/>
      <c r="C4893" s="451"/>
      <c r="D4893" s="451"/>
      <c r="E4893" s="468"/>
      <c r="F4893" s="468"/>
    </row>
    <row r="4894" spans="1:6" ht="12.75" x14ac:dyDescent="0.2">
      <c r="A4894" s="451"/>
      <c r="B4894" s="451"/>
      <c r="C4894" s="451"/>
      <c r="D4894" s="451"/>
      <c r="E4894" s="468"/>
      <c r="F4894" s="468"/>
    </row>
    <row r="4895" spans="1:6" ht="12.75" x14ac:dyDescent="0.2">
      <c r="A4895" s="451"/>
      <c r="B4895" s="451"/>
      <c r="C4895" s="451"/>
      <c r="D4895" s="451"/>
      <c r="E4895" s="468"/>
      <c r="F4895" s="468"/>
    </row>
    <row r="4896" spans="1:6" ht="12.75" x14ac:dyDescent="0.2">
      <c r="A4896" s="451"/>
      <c r="B4896" s="451"/>
      <c r="C4896" s="451"/>
      <c r="D4896" s="451"/>
      <c r="E4896" s="468"/>
      <c r="F4896" s="468"/>
    </row>
    <row r="4897" spans="1:6" ht="12.75" x14ac:dyDescent="0.2">
      <c r="A4897" s="451"/>
      <c r="B4897" s="451"/>
      <c r="C4897" s="451"/>
      <c r="D4897" s="451"/>
      <c r="E4897" s="468"/>
      <c r="F4897" s="468"/>
    </row>
    <row r="4898" spans="1:6" ht="12.75" x14ac:dyDescent="0.2">
      <c r="A4898" s="451"/>
      <c r="B4898" s="451"/>
      <c r="C4898" s="451"/>
      <c r="D4898" s="451"/>
      <c r="E4898" s="468"/>
      <c r="F4898" s="468"/>
    </row>
    <row r="4899" spans="1:6" ht="12.75" x14ac:dyDescent="0.2">
      <c r="A4899" s="451"/>
      <c r="B4899" s="451"/>
      <c r="C4899" s="451"/>
      <c r="D4899" s="451"/>
      <c r="E4899" s="468"/>
      <c r="F4899" s="468"/>
    </row>
    <row r="4900" spans="1:6" ht="12.75" x14ac:dyDescent="0.2">
      <c r="A4900" s="451"/>
      <c r="B4900" s="451"/>
      <c r="C4900" s="451"/>
      <c r="D4900" s="451"/>
      <c r="E4900" s="468"/>
      <c r="F4900" s="468"/>
    </row>
    <row r="4901" spans="1:6" ht="12.75" x14ac:dyDescent="0.2">
      <c r="A4901" s="451"/>
      <c r="B4901" s="451"/>
      <c r="C4901" s="451"/>
      <c r="D4901" s="451"/>
      <c r="E4901" s="468"/>
      <c r="F4901" s="468"/>
    </row>
    <row r="4902" spans="1:6" ht="12.75" x14ac:dyDescent="0.2">
      <c r="A4902" s="451"/>
      <c r="B4902" s="451"/>
      <c r="C4902" s="451"/>
      <c r="D4902" s="451"/>
      <c r="E4902" s="468"/>
      <c r="F4902" s="468"/>
    </row>
    <row r="4903" spans="1:6" ht="12.75" x14ac:dyDescent="0.2">
      <c r="A4903" s="451"/>
      <c r="B4903" s="451"/>
      <c r="C4903" s="451"/>
      <c r="D4903" s="451"/>
      <c r="E4903" s="468"/>
      <c r="F4903" s="468"/>
    </row>
    <row r="4904" spans="1:6" ht="12.75" x14ac:dyDescent="0.2">
      <c r="A4904" s="451"/>
      <c r="B4904" s="451"/>
      <c r="C4904" s="451"/>
      <c r="D4904" s="451"/>
      <c r="E4904" s="468"/>
      <c r="F4904" s="468"/>
    </row>
    <row r="4905" spans="1:6" ht="12.75" x14ac:dyDescent="0.2">
      <c r="A4905" s="451"/>
      <c r="B4905" s="451"/>
      <c r="C4905" s="451"/>
      <c r="D4905" s="451"/>
      <c r="E4905" s="468"/>
      <c r="F4905" s="468"/>
    </row>
    <row r="4906" spans="1:6" ht="12.75" x14ac:dyDescent="0.2">
      <c r="A4906" s="451"/>
      <c r="B4906" s="451"/>
      <c r="C4906" s="451"/>
      <c r="D4906" s="451"/>
      <c r="E4906" s="468"/>
      <c r="F4906" s="468"/>
    </row>
    <row r="4907" spans="1:6" ht="12.75" x14ac:dyDescent="0.2">
      <c r="A4907" s="451"/>
      <c r="B4907" s="451"/>
      <c r="C4907" s="451"/>
      <c r="D4907" s="451"/>
      <c r="E4907" s="468"/>
      <c r="F4907" s="468"/>
    </row>
    <row r="4908" spans="1:6" ht="12.75" x14ac:dyDescent="0.2">
      <c r="A4908" s="451"/>
      <c r="B4908" s="451"/>
      <c r="C4908" s="451"/>
      <c r="D4908" s="451"/>
      <c r="E4908" s="468"/>
      <c r="F4908" s="468"/>
    </row>
    <row r="4909" spans="1:6" ht="12.75" x14ac:dyDescent="0.2">
      <c r="A4909" s="451"/>
      <c r="B4909" s="451"/>
      <c r="C4909" s="451"/>
      <c r="D4909" s="451"/>
      <c r="E4909" s="468"/>
      <c r="F4909" s="468"/>
    </row>
    <row r="4910" spans="1:6" ht="12.75" x14ac:dyDescent="0.2">
      <c r="A4910" s="451"/>
      <c r="B4910" s="451"/>
      <c r="C4910" s="451"/>
      <c r="D4910" s="451"/>
      <c r="E4910" s="468"/>
      <c r="F4910" s="468"/>
    </row>
    <row r="4911" spans="1:6" ht="12.75" x14ac:dyDescent="0.2">
      <c r="A4911" s="451"/>
      <c r="B4911" s="451"/>
      <c r="C4911" s="451"/>
      <c r="D4911" s="451"/>
      <c r="E4911" s="468"/>
      <c r="F4911" s="468"/>
    </row>
    <row r="4912" spans="1:6" ht="12.75" x14ac:dyDescent="0.2">
      <c r="A4912" s="451"/>
      <c r="B4912" s="451"/>
      <c r="C4912" s="451"/>
      <c r="D4912" s="451"/>
      <c r="E4912" s="468"/>
      <c r="F4912" s="468"/>
    </row>
    <row r="4913" spans="1:6" ht="12.75" x14ac:dyDescent="0.2">
      <c r="A4913" s="451"/>
      <c r="B4913" s="451"/>
      <c r="C4913" s="451"/>
      <c r="D4913" s="451"/>
      <c r="E4913" s="468"/>
      <c r="F4913" s="468"/>
    </row>
    <row r="4914" spans="1:6" ht="12.75" x14ac:dyDescent="0.2">
      <c r="A4914" s="451"/>
      <c r="B4914" s="451"/>
      <c r="C4914" s="451"/>
      <c r="D4914" s="451"/>
      <c r="E4914" s="468"/>
      <c r="F4914" s="468"/>
    </row>
    <row r="4915" spans="1:6" ht="12.75" x14ac:dyDescent="0.2">
      <c r="A4915" s="451"/>
      <c r="B4915" s="451"/>
      <c r="C4915" s="451"/>
      <c r="D4915" s="451"/>
      <c r="E4915" s="468"/>
      <c r="F4915" s="468"/>
    </row>
    <row r="4916" spans="1:6" ht="12.75" x14ac:dyDescent="0.2">
      <c r="A4916" s="451"/>
      <c r="B4916" s="451"/>
      <c r="C4916" s="451"/>
      <c r="D4916" s="451"/>
      <c r="E4916" s="468"/>
      <c r="F4916" s="468"/>
    </row>
    <row r="4917" spans="1:6" ht="12.75" x14ac:dyDescent="0.2">
      <c r="A4917" s="451"/>
      <c r="B4917" s="451"/>
      <c r="C4917" s="451"/>
      <c r="D4917" s="451"/>
      <c r="E4917" s="468"/>
      <c r="F4917" s="468"/>
    </row>
    <row r="4918" spans="1:6" ht="12.75" x14ac:dyDescent="0.2">
      <c r="A4918" s="451"/>
      <c r="B4918" s="451"/>
      <c r="C4918" s="451"/>
      <c r="D4918" s="451"/>
      <c r="E4918" s="468"/>
      <c r="F4918" s="468"/>
    </row>
    <row r="4919" spans="1:6" ht="12.75" x14ac:dyDescent="0.2">
      <c r="A4919" s="451"/>
      <c r="B4919" s="451"/>
      <c r="C4919" s="451"/>
      <c r="D4919" s="451"/>
      <c r="E4919" s="468"/>
      <c r="F4919" s="468"/>
    </row>
    <row r="4920" spans="1:6" ht="12.75" x14ac:dyDescent="0.2">
      <c r="A4920" s="451"/>
      <c r="B4920" s="451"/>
      <c r="C4920" s="451"/>
      <c r="D4920" s="451"/>
      <c r="E4920" s="468"/>
      <c r="F4920" s="468"/>
    </row>
    <row r="4921" spans="1:6" ht="12.75" x14ac:dyDescent="0.2">
      <c r="A4921" s="451"/>
      <c r="B4921" s="451"/>
      <c r="C4921" s="451"/>
      <c r="D4921" s="451"/>
      <c r="E4921" s="468"/>
      <c r="F4921" s="468"/>
    </row>
    <row r="4922" spans="1:6" ht="12.75" x14ac:dyDescent="0.2">
      <c r="A4922" s="451"/>
      <c r="B4922" s="451"/>
      <c r="C4922" s="451"/>
      <c r="D4922" s="451"/>
      <c r="E4922" s="468"/>
      <c r="F4922" s="468"/>
    </row>
    <row r="4923" spans="1:6" ht="12.75" x14ac:dyDescent="0.2">
      <c r="A4923" s="451"/>
      <c r="B4923" s="451"/>
      <c r="C4923" s="451"/>
      <c r="D4923" s="451"/>
      <c r="E4923" s="468"/>
      <c r="F4923" s="468"/>
    </row>
    <row r="4924" spans="1:6" ht="12.75" x14ac:dyDescent="0.2">
      <c r="A4924" s="451"/>
      <c r="B4924" s="451"/>
      <c r="C4924" s="451"/>
      <c r="D4924" s="451"/>
      <c r="E4924" s="468"/>
      <c r="F4924" s="468"/>
    </row>
    <row r="4925" spans="1:6" ht="12.75" x14ac:dyDescent="0.2">
      <c r="A4925" s="451"/>
      <c r="B4925" s="451"/>
      <c r="C4925" s="451"/>
      <c r="D4925" s="451"/>
      <c r="E4925" s="468"/>
      <c r="F4925" s="468"/>
    </row>
    <row r="4926" spans="1:6" ht="12.75" x14ac:dyDescent="0.2">
      <c r="A4926" s="451"/>
      <c r="B4926" s="451"/>
      <c r="C4926" s="451"/>
      <c r="D4926" s="451"/>
      <c r="E4926" s="468"/>
      <c r="F4926" s="468"/>
    </row>
    <row r="4927" spans="1:6" ht="12.75" x14ac:dyDescent="0.2">
      <c r="A4927" s="451"/>
      <c r="B4927" s="451"/>
      <c r="C4927" s="451"/>
      <c r="D4927" s="451"/>
      <c r="E4927" s="468"/>
      <c r="F4927" s="468"/>
    </row>
    <row r="4928" spans="1:6" ht="12.75" x14ac:dyDescent="0.2">
      <c r="A4928" s="451"/>
      <c r="B4928" s="451"/>
      <c r="C4928" s="451"/>
      <c r="D4928" s="451"/>
      <c r="E4928" s="468"/>
      <c r="F4928" s="468"/>
    </row>
    <row r="4929" spans="1:6" ht="12.75" x14ac:dyDescent="0.2">
      <c r="A4929" s="451"/>
      <c r="B4929" s="451"/>
      <c r="C4929" s="451"/>
      <c r="D4929" s="451"/>
      <c r="E4929" s="468"/>
      <c r="F4929" s="468"/>
    </row>
    <row r="4930" spans="1:6" ht="12.75" x14ac:dyDescent="0.2">
      <c r="A4930" s="451"/>
      <c r="B4930" s="451"/>
      <c r="C4930" s="451"/>
      <c r="D4930" s="451"/>
      <c r="E4930" s="468"/>
      <c r="F4930" s="468"/>
    </row>
    <row r="4931" spans="1:6" ht="12.75" x14ac:dyDescent="0.2">
      <c r="A4931" s="451"/>
      <c r="B4931" s="451"/>
      <c r="C4931" s="451"/>
      <c r="D4931" s="451"/>
      <c r="E4931" s="468"/>
      <c r="F4931" s="468"/>
    </row>
    <row r="4932" spans="1:6" ht="12.75" x14ac:dyDescent="0.2">
      <c r="A4932" s="451"/>
      <c r="B4932" s="451"/>
      <c r="C4932" s="451"/>
      <c r="D4932" s="451"/>
      <c r="E4932" s="468"/>
      <c r="F4932" s="468"/>
    </row>
    <row r="4933" spans="1:6" ht="12.75" x14ac:dyDescent="0.2">
      <c r="A4933" s="451"/>
      <c r="B4933" s="451"/>
      <c r="C4933" s="451"/>
      <c r="D4933" s="451"/>
      <c r="E4933" s="468"/>
      <c r="F4933" s="468"/>
    </row>
    <row r="4934" spans="1:6" ht="12.75" x14ac:dyDescent="0.2">
      <c r="A4934" s="451"/>
      <c r="B4934" s="451"/>
      <c r="C4934" s="451"/>
      <c r="D4934" s="451"/>
      <c r="E4934" s="468"/>
      <c r="F4934" s="468"/>
    </row>
    <row r="4935" spans="1:6" ht="12.75" x14ac:dyDescent="0.2">
      <c r="A4935" s="451"/>
      <c r="B4935" s="451"/>
      <c r="C4935" s="451"/>
      <c r="D4935" s="451"/>
      <c r="E4935" s="468"/>
      <c r="F4935" s="468"/>
    </row>
    <row r="4936" spans="1:6" ht="12.75" x14ac:dyDescent="0.2">
      <c r="A4936" s="451"/>
      <c r="B4936" s="451"/>
      <c r="C4936" s="451"/>
      <c r="D4936" s="451"/>
      <c r="E4936" s="468"/>
      <c r="F4936" s="468"/>
    </row>
    <row r="4937" spans="1:6" ht="12.75" x14ac:dyDescent="0.2">
      <c r="A4937" s="451"/>
      <c r="B4937" s="451"/>
      <c r="C4937" s="451"/>
      <c r="D4937" s="451"/>
      <c r="E4937" s="468"/>
      <c r="F4937" s="468"/>
    </row>
    <row r="4938" spans="1:6" ht="12.75" x14ac:dyDescent="0.2">
      <c r="A4938" s="451"/>
      <c r="B4938" s="451"/>
      <c r="C4938" s="451"/>
      <c r="D4938" s="451"/>
      <c r="E4938" s="468"/>
      <c r="F4938" s="468"/>
    </row>
    <row r="4939" spans="1:6" ht="12.75" x14ac:dyDescent="0.2">
      <c r="A4939" s="451"/>
      <c r="B4939" s="451"/>
      <c r="C4939" s="451"/>
      <c r="D4939" s="451"/>
      <c r="E4939" s="468"/>
      <c r="F4939" s="468"/>
    </row>
    <row r="4940" spans="1:6" ht="12.75" x14ac:dyDescent="0.2">
      <c r="A4940" s="451"/>
      <c r="B4940" s="451"/>
      <c r="C4940" s="451"/>
      <c r="D4940" s="451"/>
      <c r="E4940" s="468"/>
      <c r="F4940" s="468"/>
    </row>
    <row r="4941" spans="1:6" ht="12.75" x14ac:dyDescent="0.2">
      <c r="A4941" s="451"/>
      <c r="B4941" s="451"/>
      <c r="C4941" s="451"/>
      <c r="D4941" s="451"/>
      <c r="E4941" s="468"/>
      <c r="F4941" s="468"/>
    </row>
    <row r="4942" spans="1:6" ht="12.75" x14ac:dyDescent="0.2">
      <c r="A4942" s="451"/>
      <c r="B4942" s="451"/>
      <c r="C4942" s="451"/>
      <c r="D4942" s="451"/>
      <c r="E4942" s="468"/>
      <c r="F4942" s="468"/>
    </row>
    <row r="4943" spans="1:6" ht="12.75" x14ac:dyDescent="0.2">
      <c r="A4943" s="451"/>
      <c r="B4943" s="451"/>
      <c r="C4943" s="451"/>
      <c r="D4943" s="451"/>
      <c r="E4943" s="468"/>
      <c r="F4943" s="468"/>
    </row>
    <row r="4944" spans="1:6" ht="12.75" x14ac:dyDescent="0.2">
      <c r="A4944" s="451"/>
      <c r="B4944" s="451"/>
      <c r="C4944" s="451"/>
      <c r="D4944" s="451"/>
      <c r="E4944" s="468"/>
      <c r="F4944" s="468"/>
    </row>
    <row r="4945" spans="1:6" ht="12.75" x14ac:dyDescent="0.2">
      <c r="A4945" s="451"/>
      <c r="B4945" s="451"/>
      <c r="C4945" s="451"/>
      <c r="D4945" s="451"/>
      <c r="E4945" s="468"/>
      <c r="F4945" s="468"/>
    </row>
    <row r="4946" spans="1:6" ht="12.75" x14ac:dyDescent="0.2">
      <c r="A4946" s="451"/>
      <c r="B4946" s="451"/>
      <c r="C4946" s="451"/>
      <c r="D4946" s="451"/>
      <c r="E4946" s="468"/>
      <c r="F4946" s="468"/>
    </row>
    <row r="4947" spans="1:6" ht="12.75" x14ac:dyDescent="0.2">
      <c r="A4947" s="451"/>
      <c r="B4947" s="451"/>
      <c r="C4947" s="451"/>
      <c r="D4947" s="451"/>
      <c r="E4947" s="468"/>
      <c r="F4947" s="468"/>
    </row>
    <row r="4948" spans="1:6" ht="12.75" x14ac:dyDescent="0.2">
      <c r="A4948" s="451"/>
      <c r="B4948" s="451"/>
      <c r="C4948" s="451"/>
      <c r="D4948" s="451"/>
      <c r="E4948" s="468"/>
      <c r="F4948" s="468"/>
    </row>
    <row r="4949" spans="1:6" ht="12.75" x14ac:dyDescent="0.2">
      <c r="A4949" s="451"/>
      <c r="B4949" s="451"/>
      <c r="C4949" s="451"/>
      <c r="D4949" s="451"/>
      <c r="E4949" s="468"/>
      <c r="F4949" s="468"/>
    </row>
    <row r="4950" spans="1:6" ht="12.75" x14ac:dyDescent="0.2">
      <c r="A4950" s="451"/>
      <c r="B4950" s="451"/>
      <c r="C4950" s="451"/>
      <c r="D4950" s="451"/>
      <c r="E4950" s="468"/>
      <c r="F4950" s="468"/>
    </row>
    <row r="4951" spans="1:6" ht="12.75" x14ac:dyDescent="0.2">
      <c r="A4951" s="451"/>
      <c r="B4951" s="451"/>
      <c r="C4951" s="451"/>
      <c r="D4951" s="451"/>
      <c r="E4951" s="468"/>
      <c r="F4951" s="468"/>
    </row>
    <row r="4952" spans="1:6" ht="12.75" x14ac:dyDescent="0.2">
      <c r="A4952" s="451"/>
      <c r="B4952" s="451"/>
      <c r="C4952" s="451"/>
      <c r="D4952" s="451"/>
      <c r="E4952" s="468"/>
      <c r="F4952" s="468"/>
    </row>
    <row r="4953" spans="1:6" ht="12.75" x14ac:dyDescent="0.2">
      <c r="A4953" s="451"/>
      <c r="B4953" s="451"/>
      <c r="C4953" s="451"/>
      <c r="D4953" s="451"/>
      <c r="E4953" s="468"/>
      <c r="F4953" s="468"/>
    </row>
    <row r="4954" spans="1:6" ht="12.75" x14ac:dyDescent="0.2">
      <c r="A4954" s="451"/>
      <c r="B4954" s="451"/>
      <c r="C4954" s="451"/>
      <c r="D4954" s="451"/>
      <c r="E4954" s="468"/>
      <c r="F4954" s="468"/>
    </row>
    <row r="4955" spans="1:6" ht="12.75" x14ac:dyDescent="0.2">
      <c r="A4955" s="451"/>
      <c r="B4955" s="451"/>
      <c r="C4955" s="451"/>
      <c r="D4955" s="451"/>
      <c r="E4955" s="468"/>
      <c r="F4955" s="468"/>
    </row>
    <row r="4956" spans="1:6" ht="12.75" x14ac:dyDescent="0.2">
      <c r="A4956" s="451"/>
      <c r="B4956" s="451"/>
      <c r="C4956" s="451"/>
      <c r="D4956" s="451"/>
      <c r="E4956" s="468"/>
      <c r="F4956" s="468"/>
    </row>
    <row r="4957" spans="1:6" ht="12.75" x14ac:dyDescent="0.2">
      <c r="A4957" s="451"/>
      <c r="B4957" s="451"/>
      <c r="C4957" s="451"/>
      <c r="D4957" s="451"/>
      <c r="E4957" s="468"/>
      <c r="F4957" s="468"/>
    </row>
    <row r="4958" spans="1:6" ht="12.75" x14ac:dyDescent="0.2">
      <c r="A4958" s="451"/>
      <c r="B4958" s="451"/>
      <c r="C4958" s="451"/>
      <c r="D4958" s="451"/>
      <c r="E4958" s="468"/>
      <c r="F4958" s="468"/>
    </row>
    <row r="4959" spans="1:6" ht="12.75" x14ac:dyDescent="0.2">
      <c r="A4959" s="451"/>
      <c r="B4959" s="451"/>
      <c r="C4959" s="451"/>
      <c r="D4959" s="451"/>
      <c r="E4959" s="468"/>
      <c r="F4959" s="468"/>
    </row>
    <row r="4960" spans="1:6" ht="12.75" x14ac:dyDescent="0.2">
      <c r="A4960" s="451"/>
      <c r="B4960" s="451"/>
      <c r="C4960" s="451"/>
      <c r="D4960" s="451"/>
      <c r="E4960" s="468"/>
      <c r="F4960" s="468"/>
    </row>
    <row r="4961" spans="1:6" ht="12.75" x14ac:dyDescent="0.2">
      <c r="A4961" s="451"/>
      <c r="B4961" s="451"/>
      <c r="C4961" s="451"/>
      <c r="D4961" s="451"/>
      <c r="E4961" s="468"/>
      <c r="F4961" s="468"/>
    </row>
    <row r="4962" spans="1:6" ht="12.75" x14ac:dyDescent="0.2">
      <c r="A4962" s="451"/>
      <c r="B4962" s="451"/>
      <c r="C4962" s="451"/>
      <c r="D4962" s="451"/>
      <c r="E4962" s="468"/>
      <c r="F4962" s="468"/>
    </row>
    <row r="4963" spans="1:6" ht="12.75" x14ac:dyDescent="0.2">
      <c r="A4963" s="451"/>
      <c r="B4963" s="451"/>
      <c r="C4963" s="451"/>
      <c r="D4963" s="451"/>
      <c r="E4963" s="468"/>
      <c r="F4963" s="468"/>
    </row>
    <row r="4964" spans="1:6" ht="12.75" x14ac:dyDescent="0.2">
      <c r="A4964" s="451"/>
      <c r="B4964" s="451"/>
      <c r="C4964" s="451"/>
      <c r="D4964" s="451"/>
      <c r="E4964" s="468"/>
      <c r="F4964" s="468"/>
    </row>
    <row r="4965" spans="1:6" ht="12.75" x14ac:dyDescent="0.2">
      <c r="A4965" s="451"/>
      <c r="B4965" s="451"/>
      <c r="C4965" s="451"/>
      <c r="D4965" s="451"/>
      <c r="E4965" s="468"/>
      <c r="F4965" s="468"/>
    </row>
    <row r="4966" spans="1:6" ht="12.75" x14ac:dyDescent="0.2">
      <c r="A4966" s="451"/>
      <c r="B4966" s="451"/>
      <c r="C4966" s="451"/>
      <c r="D4966" s="451"/>
      <c r="E4966" s="468"/>
      <c r="F4966" s="468"/>
    </row>
    <row r="4967" spans="1:6" ht="12.75" x14ac:dyDescent="0.2">
      <c r="A4967" s="451"/>
      <c r="B4967" s="451"/>
      <c r="C4967" s="451"/>
      <c r="D4967" s="451"/>
      <c r="E4967" s="468"/>
      <c r="F4967" s="468"/>
    </row>
    <row r="4968" spans="1:6" ht="12.75" x14ac:dyDescent="0.2">
      <c r="A4968" s="451"/>
      <c r="B4968" s="451"/>
      <c r="C4968" s="451"/>
      <c r="D4968" s="451"/>
      <c r="E4968" s="468"/>
      <c r="F4968" s="468"/>
    </row>
    <row r="4969" spans="1:6" ht="12.75" x14ac:dyDescent="0.2">
      <c r="A4969" s="451"/>
      <c r="B4969" s="451"/>
      <c r="C4969" s="451"/>
      <c r="D4969" s="451"/>
      <c r="E4969" s="468"/>
      <c r="F4969" s="468"/>
    </row>
    <row r="4970" spans="1:6" ht="12.75" x14ac:dyDescent="0.2">
      <c r="A4970" s="451"/>
      <c r="B4970" s="451"/>
      <c r="C4970" s="451"/>
      <c r="D4970" s="451"/>
      <c r="E4970" s="468"/>
      <c r="F4970" s="468"/>
    </row>
    <row r="4971" spans="1:6" ht="12.75" x14ac:dyDescent="0.2">
      <c r="A4971" s="451"/>
      <c r="B4971" s="451"/>
      <c r="C4971" s="451"/>
      <c r="D4971" s="451"/>
      <c r="E4971" s="468"/>
      <c r="F4971" s="468"/>
    </row>
    <row r="4972" spans="1:6" ht="12.75" x14ac:dyDescent="0.2">
      <c r="A4972" s="451"/>
      <c r="B4972" s="451"/>
      <c r="C4972" s="451"/>
      <c r="D4972" s="451"/>
      <c r="E4972" s="468"/>
      <c r="F4972" s="468"/>
    </row>
    <row r="4973" spans="1:6" ht="12.75" x14ac:dyDescent="0.2">
      <c r="A4973" s="451"/>
      <c r="B4973" s="451"/>
      <c r="C4973" s="451"/>
      <c r="D4973" s="451"/>
      <c r="E4973" s="468"/>
      <c r="F4973" s="468"/>
    </row>
    <row r="4974" spans="1:6" ht="12.75" x14ac:dyDescent="0.2">
      <c r="A4974" s="451"/>
      <c r="B4974" s="451"/>
      <c r="C4974" s="451"/>
      <c r="D4974" s="451"/>
      <c r="E4974" s="468"/>
      <c r="F4974" s="468"/>
    </row>
    <row r="4975" spans="1:6" ht="12.75" x14ac:dyDescent="0.2">
      <c r="A4975" s="451"/>
      <c r="B4975" s="451"/>
      <c r="C4975" s="451"/>
      <c r="D4975" s="451"/>
      <c r="E4975" s="468"/>
      <c r="F4975" s="468"/>
    </row>
    <row r="4976" spans="1:6" ht="12.75" x14ac:dyDescent="0.2">
      <c r="A4976" s="451"/>
      <c r="B4976" s="451"/>
      <c r="C4976" s="451"/>
      <c r="D4976" s="451"/>
      <c r="E4976" s="468"/>
      <c r="F4976" s="468"/>
    </row>
    <row r="4977" spans="1:6" ht="12.75" x14ac:dyDescent="0.2">
      <c r="A4977" s="451"/>
      <c r="B4977" s="451"/>
      <c r="C4977" s="451"/>
      <c r="D4977" s="451"/>
      <c r="E4977" s="468"/>
      <c r="F4977" s="468"/>
    </row>
    <row r="4978" spans="1:6" ht="12.75" x14ac:dyDescent="0.2">
      <c r="A4978" s="451"/>
      <c r="B4978" s="451"/>
      <c r="C4978" s="451"/>
      <c r="D4978" s="451"/>
      <c r="E4978" s="468"/>
      <c r="F4978" s="468"/>
    </row>
    <row r="4979" spans="1:6" ht="12.75" x14ac:dyDescent="0.2">
      <c r="A4979" s="451"/>
      <c r="B4979" s="451"/>
      <c r="C4979" s="451"/>
      <c r="D4979" s="451"/>
      <c r="E4979" s="468"/>
      <c r="F4979" s="468"/>
    </row>
    <row r="4980" spans="1:6" ht="12.75" x14ac:dyDescent="0.2">
      <c r="A4980" s="451"/>
      <c r="B4980" s="451"/>
      <c r="C4980" s="451"/>
      <c r="D4980" s="451"/>
      <c r="E4980" s="468"/>
      <c r="F4980" s="468"/>
    </row>
    <row r="4981" spans="1:6" ht="12.75" x14ac:dyDescent="0.2">
      <c r="A4981" s="451"/>
      <c r="B4981" s="451"/>
      <c r="C4981" s="451"/>
      <c r="D4981" s="451"/>
      <c r="E4981" s="468"/>
      <c r="F4981" s="468"/>
    </row>
    <row r="4982" spans="1:6" ht="12.75" x14ac:dyDescent="0.2">
      <c r="A4982" s="451"/>
      <c r="B4982" s="451"/>
      <c r="C4982" s="451"/>
      <c r="D4982" s="451"/>
      <c r="E4982" s="468"/>
      <c r="F4982" s="468"/>
    </row>
    <row r="4983" spans="1:6" ht="12.75" x14ac:dyDescent="0.2">
      <c r="A4983" s="451"/>
      <c r="B4983" s="451"/>
      <c r="C4983" s="451"/>
      <c r="D4983" s="451"/>
      <c r="E4983" s="468"/>
      <c r="F4983" s="468"/>
    </row>
    <row r="4984" spans="1:6" ht="12.75" x14ac:dyDescent="0.2">
      <c r="A4984" s="451"/>
      <c r="B4984" s="451"/>
      <c r="C4984" s="451"/>
      <c r="D4984" s="451"/>
      <c r="E4984" s="468"/>
      <c r="F4984" s="468"/>
    </row>
    <row r="4985" spans="1:6" ht="12.75" x14ac:dyDescent="0.2">
      <c r="A4985" s="451"/>
      <c r="B4985" s="451"/>
      <c r="C4985" s="451"/>
      <c r="D4985" s="451"/>
      <c r="E4985" s="468"/>
      <c r="F4985" s="468"/>
    </row>
    <row r="4986" spans="1:6" ht="12.75" x14ac:dyDescent="0.2">
      <c r="A4986" s="451"/>
      <c r="B4986" s="451"/>
      <c r="C4986" s="451"/>
      <c r="D4986" s="451"/>
      <c r="E4986" s="468"/>
      <c r="F4986" s="468"/>
    </row>
    <row r="4987" spans="1:6" ht="12.75" x14ac:dyDescent="0.2">
      <c r="A4987" s="451"/>
      <c r="B4987" s="451"/>
      <c r="C4987" s="451"/>
      <c r="D4987" s="451"/>
      <c r="E4987" s="468"/>
      <c r="F4987" s="468"/>
    </row>
    <row r="4988" spans="1:6" ht="12.75" x14ac:dyDescent="0.2">
      <c r="A4988" s="451"/>
      <c r="B4988" s="451"/>
      <c r="C4988" s="451"/>
      <c r="D4988" s="451"/>
      <c r="E4988" s="468"/>
      <c r="F4988" s="468"/>
    </row>
    <row r="4989" spans="1:6" ht="12.75" x14ac:dyDescent="0.2">
      <c r="A4989" s="451"/>
      <c r="B4989" s="451"/>
      <c r="C4989" s="451"/>
      <c r="D4989" s="451"/>
      <c r="E4989" s="468"/>
      <c r="F4989" s="468"/>
    </row>
    <row r="4990" spans="1:6" ht="12.75" x14ac:dyDescent="0.2">
      <c r="A4990" s="451"/>
      <c r="B4990" s="451"/>
      <c r="C4990" s="451"/>
      <c r="D4990" s="451"/>
      <c r="E4990" s="468"/>
      <c r="F4990" s="468"/>
    </row>
    <row r="4991" spans="1:6" ht="12.75" x14ac:dyDescent="0.2">
      <c r="A4991" s="451"/>
      <c r="B4991" s="451"/>
      <c r="C4991" s="451"/>
      <c r="D4991" s="451"/>
      <c r="E4991" s="468"/>
      <c r="F4991" s="468"/>
    </row>
    <row r="4992" spans="1:6" ht="12.75" x14ac:dyDescent="0.2">
      <c r="A4992" s="451"/>
      <c r="B4992" s="451"/>
      <c r="C4992" s="451"/>
      <c r="D4992" s="451"/>
      <c r="E4992" s="468"/>
      <c r="F4992" s="468"/>
    </row>
    <row r="4993" spans="1:6" ht="12.75" x14ac:dyDescent="0.2">
      <c r="A4993" s="451"/>
      <c r="B4993" s="451"/>
      <c r="C4993" s="451"/>
      <c r="D4993" s="451"/>
      <c r="E4993" s="468"/>
      <c r="F4993" s="468"/>
    </row>
    <row r="4994" spans="1:6" ht="12.75" x14ac:dyDescent="0.2">
      <c r="A4994" s="451"/>
      <c r="B4994" s="451"/>
      <c r="C4994" s="451"/>
      <c r="D4994" s="451"/>
      <c r="E4994" s="468"/>
      <c r="F4994" s="468"/>
    </row>
    <row r="4995" spans="1:6" ht="12.75" x14ac:dyDescent="0.2">
      <c r="A4995" s="451"/>
      <c r="B4995" s="451"/>
      <c r="C4995" s="451"/>
      <c r="D4995" s="451"/>
      <c r="E4995" s="468"/>
      <c r="F4995" s="468"/>
    </row>
    <row r="4996" spans="1:6" ht="12.75" x14ac:dyDescent="0.2">
      <c r="A4996" s="451"/>
      <c r="B4996" s="451"/>
      <c r="C4996" s="451"/>
      <c r="D4996" s="451"/>
      <c r="E4996" s="468"/>
      <c r="F4996" s="468"/>
    </row>
    <row r="4997" spans="1:6" ht="12.75" x14ac:dyDescent="0.2">
      <c r="A4997" s="451"/>
      <c r="B4997" s="451"/>
      <c r="C4997" s="451"/>
      <c r="D4997" s="451"/>
      <c r="E4997" s="468"/>
      <c r="F4997" s="468"/>
    </row>
    <row r="4998" spans="1:6" ht="12.75" x14ac:dyDescent="0.2">
      <c r="A4998" s="451"/>
      <c r="B4998" s="451"/>
      <c r="C4998" s="451"/>
      <c r="D4998" s="451"/>
      <c r="E4998" s="468"/>
      <c r="F4998" s="468"/>
    </row>
    <row r="4999" spans="1:6" ht="12.75" x14ac:dyDescent="0.2">
      <c r="A4999" s="451"/>
      <c r="B4999" s="451"/>
      <c r="C4999" s="451"/>
      <c r="D4999" s="451"/>
      <c r="E4999" s="468"/>
      <c r="F4999" s="468"/>
    </row>
    <row r="5000" spans="1:6" ht="12.75" x14ac:dyDescent="0.2">
      <c r="A5000" s="451"/>
      <c r="B5000" s="451"/>
      <c r="C5000" s="451"/>
      <c r="D5000" s="451"/>
      <c r="E5000" s="468"/>
      <c r="F5000" s="468"/>
    </row>
    <row r="5001" spans="1:6" ht="12.75" x14ac:dyDescent="0.2">
      <c r="A5001" s="451"/>
      <c r="B5001" s="451"/>
      <c r="C5001" s="451"/>
      <c r="D5001" s="451"/>
      <c r="E5001" s="468"/>
      <c r="F5001" s="468"/>
    </row>
    <row r="5002" spans="1:6" ht="12.75" x14ac:dyDescent="0.2">
      <c r="A5002" s="451"/>
      <c r="B5002" s="451"/>
      <c r="C5002" s="451"/>
      <c r="D5002" s="451"/>
      <c r="E5002" s="468"/>
      <c r="F5002" s="468"/>
    </row>
    <row r="5003" spans="1:6" ht="12.75" x14ac:dyDescent="0.2">
      <c r="A5003" s="451"/>
      <c r="B5003" s="451"/>
      <c r="C5003" s="451"/>
      <c r="D5003" s="451"/>
      <c r="E5003" s="468"/>
      <c r="F5003" s="468"/>
    </row>
    <row r="5004" spans="1:6" ht="12.75" x14ac:dyDescent="0.2">
      <c r="A5004" s="451"/>
      <c r="B5004" s="451"/>
      <c r="C5004" s="451"/>
      <c r="D5004" s="451"/>
      <c r="E5004" s="468"/>
      <c r="F5004" s="468"/>
    </row>
    <row r="5005" spans="1:6" ht="12.75" x14ac:dyDescent="0.2">
      <c r="A5005" s="451"/>
      <c r="B5005" s="451"/>
      <c r="C5005" s="451"/>
      <c r="D5005" s="451"/>
      <c r="E5005" s="468"/>
      <c r="F5005" s="468"/>
    </row>
    <row r="5006" spans="1:6" ht="12.75" x14ac:dyDescent="0.2">
      <c r="A5006" s="451"/>
      <c r="B5006" s="451"/>
      <c r="C5006" s="451"/>
      <c r="D5006" s="451"/>
      <c r="E5006" s="468"/>
      <c r="F5006" s="468"/>
    </row>
    <row r="5007" spans="1:6" ht="12.75" x14ac:dyDescent="0.2">
      <c r="A5007" s="451"/>
      <c r="B5007" s="451"/>
      <c r="C5007" s="451"/>
      <c r="D5007" s="451"/>
      <c r="E5007" s="468"/>
      <c r="F5007" s="468"/>
    </row>
    <row r="5008" spans="1:6" ht="12.75" x14ac:dyDescent="0.2">
      <c r="A5008" s="451"/>
      <c r="B5008" s="451"/>
      <c r="C5008" s="451"/>
      <c r="D5008" s="451"/>
      <c r="E5008" s="468"/>
      <c r="F5008" s="468"/>
    </row>
    <row r="5009" spans="1:6" ht="12.75" x14ac:dyDescent="0.2">
      <c r="A5009" s="451"/>
      <c r="B5009" s="451"/>
      <c r="C5009" s="451"/>
      <c r="D5009" s="451"/>
      <c r="E5009" s="468"/>
      <c r="F5009" s="468"/>
    </row>
    <row r="5010" spans="1:6" ht="12.75" x14ac:dyDescent="0.2">
      <c r="A5010" s="451"/>
      <c r="B5010" s="451"/>
      <c r="C5010" s="451"/>
      <c r="D5010" s="451"/>
      <c r="E5010" s="468"/>
      <c r="F5010" s="468"/>
    </row>
    <row r="5011" spans="1:6" ht="12.75" x14ac:dyDescent="0.2">
      <c r="A5011" s="451"/>
      <c r="B5011" s="451"/>
      <c r="C5011" s="451"/>
      <c r="D5011" s="451"/>
      <c r="E5011" s="468"/>
      <c r="F5011" s="468"/>
    </row>
    <row r="5012" spans="1:6" ht="12.75" x14ac:dyDescent="0.2">
      <c r="A5012" s="451"/>
      <c r="B5012" s="451"/>
      <c r="C5012" s="451"/>
      <c r="D5012" s="451"/>
      <c r="E5012" s="468"/>
      <c r="F5012" s="468"/>
    </row>
    <row r="5013" spans="1:6" ht="12.75" x14ac:dyDescent="0.2">
      <c r="A5013" s="451"/>
      <c r="B5013" s="451"/>
      <c r="C5013" s="451"/>
      <c r="D5013" s="451"/>
      <c r="E5013" s="468"/>
      <c r="F5013" s="468"/>
    </row>
    <row r="5014" spans="1:6" ht="12.75" x14ac:dyDescent="0.2">
      <c r="A5014" s="451"/>
      <c r="B5014" s="451"/>
      <c r="C5014" s="451"/>
      <c r="D5014" s="451"/>
      <c r="E5014" s="468"/>
      <c r="F5014" s="468"/>
    </row>
    <row r="5015" spans="1:6" ht="12.75" x14ac:dyDescent="0.2">
      <c r="A5015" s="451"/>
      <c r="B5015" s="451"/>
      <c r="C5015" s="451"/>
      <c r="D5015" s="451"/>
      <c r="E5015" s="468"/>
      <c r="F5015" s="468"/>
    </row>
    <row r="5016" spans="1:6" ht="12.75" x14ac:dyDescent="0.2">
      <c r="A5016" s="451"/>
      <c r="B5016" s="451"/>
      <c r="C5016" s="451"/>
      <c r="D5016" s="451"/>
      <c r="E5016" s="468"/>
      <c r="F5016" s="468"/>
    </row>
    <row r="5017" spans="1:6" ht="12.75" x14ac:dyDescent="0.2">
      <c r="A5017" s="451"/>
      <c r="B5017" s="451"/>
      <c r="C5017" s="451"/>
      <c r="D5017" s="451"/>
      <c r="E5017" s="468"/>
      <c r="F5017" s="468"/>
    </row>
    <row r="5018" spans="1:6" ht="12.75" x14ac:dyDescent="0.2">
      <c r="A5018" s="451"/>
      <c r="B5018" s="451"/>
      <c r="C5018" s="451"/>
      <c r="D5018" s="451"/>
      <c r="E5018" s="468"/>
      <c r="F5018" s="468"/>
    </row>
    <row r="5019" spans="1:6" ht="12.75" x14ac:dyDescent="0.2">
      <c r="A5019" s="451"/>
      <c r="B5019" s="451"/>
      <c r="C5019" s="451"/>
      <c r="D5019" s="451"/>
      <c r="E5019" s="468"/>
      <c r="F5019" s="468"/>
    </row>
    <row r="5020" spans="1:6" ht="12.75" x14ac:dyDescent="0.2">
      <c r="A5020" s="451"/>
      <c r="B5020" s="451"/>
      <c r="C5020" s="451"/>
      <c r="D5020" s="451"/>
      <c r="E5020" s="468"/>
      <c r="F5020" s="468"/>
    </row>
    <row r="5021" spans="1:6" ht="12.75" x14ac:dyDescent="0.2">
      <c r="A5021" s="451"/>
      <c r="B5021" s="451"/>
      <c r="C5021" s="451"/>
      <c r="D5021" s="451"/>
      <c r="E5021" s="468"/>
      <c r="F5021" s="468"/>
    </row>
    <row r="5022" spans="1:6" ht="12.75" x14ac:dyDescent="0.2">
      <c r="A5022" s="451"/>
      <c r="B5022" s="451"/>
      <c r="C5022" s="451"/>
      <c r="D5022" s="451"/>
      <c r="E5022" s="468"/>
      <c r="F5022" s="468"/>
    </row>
    <row r="5023" spans="1:6" ht="12.75" x14ac:dyDescent="0.2">
      <c r="A5023" s="451"/>
      <c r="B5023" s="451"/>
      <c r="C5023" s="451"/>
      <c r="D5023" s="451"/>
      <c r="E5023" s="468"/>
      <c r="F5023" s="468"/>
    </row>
    <row r="5024" spans="1:6" ht="12.75" x14ac:dyDescent="0.2">
      <c r="A5024" s="451"/>
      <c r="B5024" s="451"/>
      <c r="C5024" s="451"/>
      <c r="D5024" s="451"/>
      <c r="E5024" s="468"/>
      <c r="F5024" s="468"/>
    </row>
    <row r="5025" spans="1:6" ht="12.75" x14ac:dyDescent="0.2">
      <c r="A5025" s="451"/>
      <c r="B5025" s="451"/>
      <c r="C5025" s="451"/>
      <c r="D5025" s="451"/>
      <c r="E5025" s="468"/>
      <c r="F5025" s="468"/>
    </row>
    <row r="5026" spans="1:6" ht="12.75" x14ac:dyDescent="0.2">
      <c r="A5026" s="451"/>
      <c r="B5026" s="451"/>
      <c r="C5026" s="451"/>
      <c r="D5026" s="451"/>
      <c r="E5026" s="468"/>
      <c r="F5026" s="468"/>
    </row>
    <row r="5027" spans="1:6" ht="12.75" x14ac:dyDescent="0.2">
      <c r="A5027" s="451"/>
      <c r="B5027" s="451"/>
      <c r="C5027" s="451"/>
      <c r="D5027" s="451"/>
      <c r="E5027" s="468"/>
      <c r="F5027" s="468"/>
    </row>
    <row r="5028" spans="1:6" ht="12.75" x14ac:dyDescent="0.2">
      <c r="A5028" s="451"/>
      <c r="B5028" s="451"/>
      <c r="C5028" s="451"/>
      <c r="D5028" s="451"/>
      <c r="E5028" s="468"/>
      <c r="F5028" s="468"/>
    </row>
    <row r="5029" spans="1:6" ht="12.75" x14ac:dyDescent="0.2">
      <c r="A5029" s="451"/>
      <c r="B5029" s="451"/>
      <c r="C5029" s="451"/>
      <c r="D5029" s="451"/>
      <c r="E5029" s="468"/>
      <c r="F5029" s="468"/>
    </row>
    <row r="5030" spans="1:6" ht="12.75" x14ac:dyDescent="0.2">
      <c r="A5030" s="451"/>
      <c r="B5030" s="451"/>
      <c r="C5030" s="451"/>
      <c r="D5030" s="451"/>
      <c r="E5030" s="468"/>
      <c r="F5030" s="468"/>
    </row>
    <row r="5031" spans="1:6" ht="12.75" x14ac:dyDescent="0.2">
      <c r="A5031" s="451"/>
      <c r="B5031" s="451"/>
      <c r="C5031" s="451"/>
      <c r="D5031" s="451"/>
      <c r="E5031" s="468"/>
      <c r="F5031" s="468"/>
    </row>
    <row r="5032" spans="1:6" ht="12.75" x14ac:dyDescent="0.2">
      <c r="A5032" s="451"/>
      <c r="B5032" s="451"/>
      <c r="C5032" s="451"/>
      <c r="D5032" s="451"/>
      <c r="E5032" s="468"/>
      <c r="F5032" s="468"/>
    </row>
    <row r="5033" spans="1:6" ht="12.75" x14ac:dyDescent="0.2">
      <c r="A5033" s="451"/>
      <c r="B5033" s="451"/>
      <c r="C5033" s="451"/>
      <c r="D5033" s="451"/>
      <c r="E5033" s="468"/>
      <c r="F5033" s="468"/>
    </row>
    <row r="5034" spans="1:6" ht="12.75" x14ac:dyDescent="0.2">
      <c r="A5034" s="451"/>
      <c r="B5034" s="451"/>
      <c r="C5034" s="451"/>
      <c r="D5034" s="451"/>
      <c r="E5034" s="468"/>
      <c r="F5034" s="468"/>
    </row>
    <row r="5035" spans="1:6" ht="12.75" x14ac:dyDescent="0.2">
      <c r="A5035" s="451"/>
      <c r="B5035" s="451"/>
      <c r="C5035" s="451"/>
      <c r="D5035" s="451"/>
      <c r="E5035" s="468"/>
      <c r="F5035" s="468"/>
    </row>
    <row r="5036" spans="1:6" ht="12.75" x14ac:dyDescent="0.2">
      <c r="A5036" s="451"/>
      <c r="B5036" s="451"/>
      <c r="C5036" s="451"/>
      <c r="D5036" s="451"/>
      <c r="E5036" s="468"/>
      <c r="F5036" s="468"/>
    </row>
    <row r="5037" spans="1:6" ht="12.75" x14ac:dyDescent="0.2">
      <c r="A5037" s="451"/>
      <c r="B5037" s="451"/>
      <c r="C5037" s="451"/>
      <c r="D5037" s="451"/>
      <c r="E5037" s="468"/>
      <c r="F5037" s="468"/>
    </row>
    <row r="5038" spans="1:6" ht="12.75" x14ac:dyDescent="0.2">
      <c r="A5038" s="451"/>
      <c r="B5038" s="451"/>
      <c r="C5038" s="451"/>
      <c r="D5038" s="451"/>
      <c r="E5038" s="468"/>
      <c r="F5038" s="468"/>
    </row>
    <row r="5039" spans="1:6" ht="12.75" x14ac:dyDescent="0.2">
      <c r="A5039" s="451"/>
      <c r="B5039" s="451"/>
      <c r="C5039" s="451"/>
      <c r="D5039" s="451"/>
      <c r="E5039" s="468"/>
      <c r="F5039" s="468"/>
    </row>
    <row r="5040" spans="1:6" ht="12.75" x14ac:dyDescent="0.2">
      <c r="A5040" s="451"/>
      <c r="B5040" s="451"/>
      <c r="C5040" s="451"/>
      <c r="D5040" s="451"/>
      <c r="E5040" s="468"/>
      <c r="F5040" s="468"/>
    </row>
    <row r="5041" spans="1:6" ht="12.75" x14ac:dyDescent="0.2">
      <c r="A5041" s="451"/>
      <c r="B5041" s="451"/>
      <c r="C5041" s="451"/>
      <c r="D5041" s="451"/>
      <c r="E5041" s="468"/>
      <c r="F5041" s="468"/>
    </row>
    <row r="5042" spans="1:6" ht="12.75" x14ac:dyDescent="0.2">
      <c r="A5042" s="451"/>
      <c r="B5042" s="451"/>
      <c r="C5042" s="451"/>
      <c r="D5042" s="451"/>
      <c r="E5042" s="468"/>
      <c r="F5042" s="468"/>
    </row>
    <row r="5043" spans="1:6" ht="12.75" x14ac:dyDescent="0.2">
      <c r="A5043" s="451"/>
      <c r="B5043" s="451"/>
      <c r="C5043" s="451"/>
      <c r="D5043" s="451"/>
      <c r="E5043" s="468"/>
      <c r="F5043" s="468"/>
    </row>
    <row r="5044" spans="1:6" ht="12.75" x14ac:dyDescent="0.2">
      <c r="A5044" s="451"/>
      <c r="B5044" s="451"/>
      <c r="C5044" s="451"/>
      <c r="D5044" s="451"/>
      <c r="E5044" s="468"/>
      <c r="F5044" s="468"/>
    </row>
    <row r="5045" spans="1:6" ht="12.75" x14ac:dyDescent="0.2">
      <c r="A5045" s="451"/>
      <c r="B5045" s="451"/>
      <c r="C5045" s="451"/>
      <c r="D5045" s="451"/>
      <c r="E5045" s="468"/>
      <c r="F5045" s="468"/>
    </row>
    <row r="5046" spans="1:6" ht="12.75" x14ac:dyDescent="0.2">
      <c r="A5046" s="451"/>
      <c r="B5046" s="451"/>
      <c r="C5046" s="451"/>
      <c r="D5046" s="451"/>
      <c r="E5046" s="468"/>
      <c r="F5046" s="468"/>
    </row>
    <row r="5047" spans="1:6" ht="12.75" x14ac:dyDescent="0.2">
      <c r="A5047" s="451"/>
      <c r="B5047" s="451"/>
      <c r="C5047" s="451"/>
      <c r="D5047" s="451"/>
      <c r="E5047" s="468"/>
      <c r="F5047" s="468"/>
    </row>
    <row r="5048" spans="1:6" ht="12.75" x14ac:dyDescent="0.2">
      <c r="A5048" s="451"/>
      <c r="B5048" s="451"/>
      <c r="C5048" s="451"/>
      <c r="D5048" s="451"/>
      <c r="E5048" s="468"/>
      <c r="F5048" s="468"/>
    </row>
    <row r="5049" spans="1:6" ht="12.75" x14ac:dyDescent="0.2">
      <c r="A5049" s="451"/>
      <c r="B5049" s="451"/>
      <c r="C5049" s="451"/>
      <c r="D5049" s="451"/>
      <c r="E5049" s="468"/>
      <c r="F5049" s="468"/>
    </row>
    <row r="5050" spans="1:6" ht="12.75" x14ac:dyDescent="0.2">
      <c r="A5050" s="451"/>
      <c r="B5050" s="451"/>
      <c r="C5050" s="451"/>
      <c r="D5050" s="451"/>
      <c r="E5050" s="468"/>
      <c r="F5050" s="468"/>
    </row>
    <row r="5051" spans="1:6" ht="12.75" x14ac:dyDescent="0.2">
      <c r="A5051" s="451"/>
      <c r="B5051" s="451"/>
      <c r="C5051" s="451"/>
      <c r="D5051" s="451"/>
      <c r="E5051" s="468"/>
      <c r="F5051" s="468"/>
    </row>
    <row r="5052" spans="1:6" ht="12.75" x14ac:dyDescent="0.2">
      <c r="A5052" s="451"/>
      <c r="B5052" s="451"/>
      <c r="C5052" s="451"/>
      <c r="D5052" s="451"/>
      <c r="E5052" s="468"/>
      <c r="F5052" s="468"/>
    </row>
    <row r="5053" spans="1:6" ht="12.75" x14ac:dyDescent="0.2">
      <c r="A5053" s="451"/>
      <c r="B5053" s="451"/>
      <c r="C5053" s="451"/>
      <c r="D5053" s="451"/>
      <c r="E5053" s="468"/>
      <c r="F5053" s="468"/>
    </row>
    <row r="5054" spans="1:6" ht="12.75" x14ac:dyDescent="0.2">
      <c r="A5054" s="451"/>
      <c r="B5054" s="451"/>
      <c r="C5054" s="451"/>
      <c r="D5054" s="451"/>
      <c r="E5054" s="468"/>
      <c r="F5054" s="468"/>
    </row>
    <row r="5055" spans="1:6" ht="12.75" x14ac:dyDescent="0.2">
      <c r="A5055" s="451"/>
      <c r="B5055" s="451"/>
      <c r="C5055" s="451"/>
      <c r="D5055" s="451"/>
      <c r="E5055" s="468"/>
      <c r="F5055" s="468"/>
    </row>
    <row r="5056" spans="1:6" ht="12.75" x14ac:dyDescent="0.2">
      <c r="A5056" s="451"/>
      <c r="B5056" s="451"/>
      <c r="C5056" s="451"/>
      <c r="D5056" s="451"/>
      <c r="E5056" s="468"/>
      <c r="F5056" s="468"/>
    </row>
    <row r="5057" spans="1:6" ht="12.75" x14ac:dyDescent="0.2">
      <c r="A5057" s="451"/>
      <c r="B5057" s="451"/>
      <c r="C5057" s="451"/>
      <c r="D5057" s="451"/>
      <c r="E5057" s="468"/>
      <c r="F5057" s="468"/>
    </row>
    <row r="5058" spans="1:6" ht="12.75" x14ac:dyDescent="0.2">
      <c r="A5058" s="451"/>
      <c r="B5058" s="451"/>
      <c r="C5058" s="451"/>
      <c r="D5058" s="451"/>
      <c r="E5058" s="468"/>
      <c r="F5058" s="468"/>
    </row>
    <row r="5059" spans="1:6" ht="12.75" x14ac:dyDescent="0.2">
      <c r="A5059" s="451"/>
      <c r="B5059" s="451"/>
      <c r="C5059" s="451"/>
      <c r="D5059" s="451"/>
      <c r="E5059" s="468"/>
      <c r="F5059" s="468"/>
    </row>
    <row r="5060" spans="1:6" ht="12.75" x14ac:dyDescent="0.2">
      <c r="A5060" s="451"/>
      <c r="B5060" s="451"/>
      <c r="C5060" s="451"/>
      <c r="D5060" s="451"/>
      <c r="E5060" s="468"/>
      <c r="F5060" s="468"/>
    </row>
    <row r="5061" spans="1:6" ht="12.75" x14ac:dyDescent="0.2">
      <c r="A5061" s="451"/>
      <c r="B5061" s="451"/>
      <c r="C5061" s="451"/>
      <c r="D5061" s="451"/>
      <c r="E5061" s="468"/>
      <c r="F5061" s="468"/>
    </row>
    <row r="5062" spans="1:6" ht="12.75" x14ac:dyDescent="0.2">
      <c r="A5062" s="451"/>
      <c r="B5062" s="451"/>
      <c r="C5062" s="451"/>
      <c r="D5062" s="451"/>
      <c r="E5062" s="468"/>
      <c r="F5062" s="468"/>
    </row>
    <row r="5063" spans="1:6" ht="12.75" x14ac:dyDescent="0.2">
      <c r="A5063" s="451"/>
      <c r="B5063" s="451"/>
      <c r="C5063" s="451"/>
      <c r="D5063" s="451"/>
      <c r="E5063" s="468"/>
      <c r="F5063" s="468"/>
    </row>
    <row r="5064" spans="1:6" ht="12.75" x14ac:dyDescent="0.2">
      <c r="A5064" s="451"/>
      <c r="B5064" s="451"/>
      <c r="C5064" s="451"/>
      <c r="D5064" s="451"/>
      <c r="E5064" s="468"/>
      <c r="F5064" s="468"/>
    </row>
    <row r="5065" spans="1:6" ht="12.75" x14ac:dyDescent="0.2">
      <c r="A5065" s="451"/>
      <c r="B5065" s="451"/>
      <c r="C5065" s="451"/>
      <c r="D5065" s="451"/>
      <c r="E5065" s="468"/>
      <c r="F5065" s="468"/>
    </row>
    <row r="5066" spans="1:6" ht="12.75" x14ac:dyDescent="0.2">
      <c r="A5066" s="451"/>
      <c r="B5066" s="451"/>
      <c r="C5066" s="451"/>
      <c r="D5066" s="451"/>
      <c r="E5066" s="468"/>
      <c r="F5066" s="468"/>
    </row>
    <row r="5067" spans="1:6" ht="12.75" x14ac:dyDescent="0.2">
      <c r="A5067" s="451"/>
      <c r="B5067" s="451"/>
      <c r="C5067" s="451"/>
      <c r="D5067" s="451"/>
      <c r="E5067" s="468"/>
      <c r="F5067" s="468"/>
    </row>
    <row r="5068" spans="1:6" ht="12.75" x14ac:dyDescent="0.2">
      <c r="A5068" s="451"/>
      <c r="B5068" s="451"/>
      <c r="C5068" s="451"/>
      <c r="D5068" s="451"/>
      <c r="E5068" s="468"/>
      <c r="F5068" s="468"/>
    </row>
    <row r="5069" spans="1:6" ht="12.75" x14ac:dyDescent="0.2">
      <c r="A5069" s="451"/>
      <c r="B5069" s="451"/>
      <c r="C5069" s="451"/>
      <c r="D5069" s="451"/>
      <c r="E5069" s="468"/>
      <c r="F5069" s="468"/>
    </row>
    <row r="5070" spans="1:6" ht="12.75" x14ac:dyDescent="0.2">
      <c r="A5070" s="451"/>
      <c r="B5070" s="451"/>
      <c r="C5070" s="451"/>
      <c r="D5070" s="451"/>
      <c r="E5070" s="468"/>
      <c r="F5070" s="468"/>
    </row>
    <row r="5071" spans="1:6" ht="12.75" x14ac:dyDescent="0.2">
      <c r="A5071" s="451"/>
      <c r="B5071" s="451"/>
      <c r="C5071" s="451"/>
      <c r="D5071" s="451"/>
      <c r="E5071" s="468"/>
      <c r="F5071" s="468"/>
    </row>
    <row r="5072" spans="1:6" ht="12.75" x14ac:dyDescent="0.2">
      <c r="A5072" s="451"/>
      <c r="B5072" s="451"/>
      <c r="C5072" s="451"/>
      <c r="D5072" s="451"/>
      <c r="E5072" s="468"/>
      <c r="F5072" s="468"/>
    </row>
    <row r="5073" spans="1:6" ht="12.75" x14ac:dyDescent="0.2">
      <c r="A5073" s="451"/>
      <c r="B5073" s="451"/>
      <c r="C5073" s="451"/>
      <c r="D5073" s="451"/>
      <c r="E5073" s="468"/>
      <c r="F5073" s="468"/>
    </row>
    <row r="5074" spans="1:6" ht="12.75" x14ac:dyDescent="0.2">
      <c r="A5074" s="451"/>
      <c r="B5074" s="451"/>
      <c r="C5074" s="451"/>
      <c r="D5074" s="451"/>
      <c r="E5074" s="468"/>
      <c r="F5074" s="468"/>
    </row>
    <row r="5075" spans="1:6" ht="12.75" x14ac:dyDescent="0.2">
      <c r="A5075" s="451"/>
      <c r="B5075" s="451"/>
      <c r="C5075" s="451"/>
      <c r="D5075" s="451"/>
      <c r="E5075" s="468"/>
      <c r="F5075" s="468"/>
    </row>
    <row r="5076" spans="1:6" ht="12.75" x14ac:dyDescent="0.2">
      <c r="A5076" s="451"/>
      <c r="B5076" s="451"/>
      <c r="C5076" s="451"/>
      <c r="D5076" s="451"/>
      <c r="E5076" s="468"/>
      <c r="F5076" s="468"/>
    </row>
    <row r="5077" spans="1:6" ht="12.75" x14ac:dyDescent="0.2">
      <c r="A5077" s="451"/>
      <c r="B5077" s="451"/>
      <c r="C5077" s="451"/>
      <c r="D5077" s="451"/>
      <c r="E5077" s="468"/>
      <c r="F5077" s="468"/>
    </row>
    <row r="5078" spans="1:6" ht="12.75" x14ac:dyDescent="0.2">
      <c r="A5078" s="451"/>
      <c r="B5078" s="451"/>
      <c r="C5078" s="451"/>
      <c r="D5078" s="451"/>
      <c r="E5078" s="468"/>
      <c r="F5078" s="468"/>
    </row>
    <row r="5079" spans="1:6" ht="12.75" x14ac:dyDescent="0.2">
      <c r="A5079" s="451"/>
      <c r="B5079" s="451"/>
      <c r="C5079" s="451"/>
      <c r="D5079" s="451"/>
      <c r="E5079" s="468"/>
      <c r="F5079" s="468"/>
    </row>
    <row r="5080" spans="1:6" ht="12.75" x14ac:dyDescent="0.2">
      <c r="A5080" s="451"/>
      <c r="B5080" s="451"/>
      <c r="C5080" s="451"/>
      <c r="D5080" s="451"/>
      <c r="E5080" s="468"/>
      <c r="F5080" s="468"/>
    </row>
    <row r="5081" spans="1:6" ht="12.75" x14ac:dyDescent="0.2">
      <c r="A5081" s="451"/>
      <c r="B5081" s="451"/>
      <c r="C5081" s="451"/>
      <c r="D5081" s="451"/>
      <c r="E5081" s="468"/>
      <c r="F5081" s="468"/>
    </row>
    <row r="5082" spans="1:6" ht="12.75" x14ac:dyDescent="0.2">
      <c r="A5082" s="451"/>
      <c r="B5082" s="451"/>
      <c r="C5082" s="451"/>
      <c r="D5082" s="451"/>
      <c r="E5082" s="468"/>
      <c r="F5082" s="468"/>
    </row>
    <row r="5083" spans="1:6" ht="12.75" x14ac:dyDescent="0.2">
      <c r="A5083" s="451"/>
      <c r="B5083" s="451"/>
      <c r="C5083" s="451"/>
      <c r="D5083" s="451"/>
      <c r="E5083" s="468"/>
      <c r="F5083" s="468"/>
    </row>
    <row r="5084" spans="1:6" ht="12.75" x14ac:dyDescent="0.2">
      <c r="A5084" s="451"/>
      <c r="B5084" s="451"/>
      <c r="C5084" s="451"/>
      <c r="D5084" s="451"/>
      <c r="E5084" s="468"/>
      <c r="F5084" s="468"/>
    </row>
    <row r="5085" spans="1:6" ht="12.75" x14ac:dyDescent="0.2">
      <c r="A5085" s="451"/>
      <c r="B5085" s="451"/>
      <c r="C5085" s="451"/>
      <c r="D5085" s="451"/>
      <c r="E5085" s="468"/>
      <c r="F5085" s="468"/>
    </row>
    <row r="5086" spans="1:6" ht="12.75" x14ac:dyDescent="0.2">
      <c r="A5086" s="451"/>
      <c r="B5086" s="451"/>
      <c r="C5086" s="451"/>
      <c r="D5086" s="451"/>
      <c r="E5086" s="468"/>
      <c r="F5086" s="468"/>
    </row>
    <row r="5087" spans="1:6" ht="12.75" x14ac:dyDescent="0.2">
      <c r="A5087" s="451"/>
      <c r="B5087" s="451"/>
      <c r="C5087" s="451"/>
      <c r="D5087" s="451"/>
      <c r="E5087" s="468"/>
      <c r="F5087" s="468"/>
    </row>
    <row r="5088" spans="1:6" ht="12.75" x14ac:dyDescent="0.2">
      <c r="A5088" s="451"/>
      <c r="B5088" s="451"/>
      <c r="C5088" s="451"/>
      <c r="D5088" s="451"/>
      <c r="E5088" s="468"/>
      <c r="F5088" s="468"/>
    </row>
    <row r="5089" spans="1:6" ht="12.75" x14ac:dyDescent="0.2">
      <c r="A5089" s="451"/>
      <c r="B5089" s="451"/>
      <c r="C5089" s="451"/>
      <c r="D5089" s="451"/>
      <c r="E5089" s="468"/>
      <c r="F5089" s="468"/>
    </row>
    <row r="5090" spans="1:6" ht="12.75" x14ac:dyDescent="0.2">
      <c r="A5090" s="451"/>
      <c r="B5090" s="451"/>
      <c r="C5090" s="451"/>
      <c r="D5090" s="451"/>
      <c r="E5090" s="468"/>
      <c r="F5090" s="468"/>
    </row>
    <row r="5091" spans="1:6" ht="12.75" x14ac:dyDescent="0.2">
      <c r="A5091" s="451"/>
      <c r="B5091" s="451"/>
      <c r="C5091" s="451"/>
      <c r="D5091" s="451"/>
      <c r="E5091" s="468"/>
      <c r="F5091" s="468"/>
    </row>
    <row r="5092" spans="1:6" ht="12.75" x14ac:dyDescent="0.2">
      <c r="A5092" s="451"/>
      <c r="B5092" s="451"/>
      <c r="C5092" s="451"/>
      <c r="D5092" s="451"/>
      <c r="E5092" s="468"/>
      <c r="F5092" s="468"/>
    </row>
    <row r="5093" spans="1:6" ht="12.75" x14ac:dyDescent="0.2">
      <c r="A5093" s="451"/>
      <c r="B5093" s="451"/>
      <c r="C5093" s="451"/>
      <c r="D5093" s="451"/>
      <c r="E5093" s="468"/>
      <c r="F5093" s="468"/>
    </row>
    <row r="5094" spans="1:6" ht="12.75" x14ac:dyDescent="0.2">
      <c r="A5094" s="451"/>
      <c r="B5094" s="451"/>
      <c r="C5094" s="451"/>
      <c r="D5094" s="451"/>
      <c r="E5094" s="468"/>
      <c r="F5094" s="468"/>
    </row>
    <row r="5095" spans="1:6" ht="12.75" x14ac:dyDescent="0.2">
      <c r="A5095" s="451"/>
      <c r="B5095" s="451"/>
      <c r="C5095" s="451"/>
      <c r="D5095" s="451"/>
      <c r="E5095" s="468"/>
      <c r="F5095" s="468"/>
    </row>
    <row r="5096" spans="1:6" ht="12.75" x14ac:dyDescent="0.2">
      <c r="A5096" s="451"/>
      <c r="B5096" s="451"/>
      <c r="C5096" s="451"/>
      <c r="D5096" s="451"/>
      <c r="E5096" s="468"/>
      <c r="F5096" s="468"/>
    </row>
    <row r="5097" spans="1:6" ht="12.75" x14ac:dyDescent="0.2">
      <c r="A5097" s="451"/>
      <c r="B5097" s="451"/>
      <c r="C5097" s="451"/>
      <c r="D5097" s="451"/>
      <c r="E5097" s="468"/>
      <c r="F5097" s="468"/>
    </row>
    <row r="5098" spans="1:6" ht="12.75" x14ac:dyDescent="0.2">
      <c r="A5098" s="451"/>
      <c r="B5098" s="451"/>
      <c r="C5098" s="451"/>
      <c r="D5098" s="451"/>
      <c r="E5098" s="468"/>
      <c r="F5098" s="468"/>
    </row>
    <row r="5099" spans="1:6" ht="12.75" x14ac:dyDescent="0.2">
      <c r="A5099" s="451"/>
      <c r="B5099" s="451"/>
      <c r="C5099" s="451"/>
      <c r="D5099" s="451"/>
      <c r="E5099" s="468"/>
      <c r="F5099" s="468"/>
    </row>
    <row r="5100" spans="1:6" ht="12.75" x14ac:dyDescent="0.2">
      <c r="A5100" s="451"/>
      <c r="B5100" s="451"/>
      <c r="C5100" s="451"/>
      <c r="D5100" s="451"/>
      <c r="E5100" s="468"/>
      <c r="F5100" s="468"/>
    </row>
    <row r="5101" spans="1:6" ht="12.75" x14ac:dyDescent="0.2">
      <c r="A5101" s="451"/>
      <c r="B5101" s="451"/>
      <c r="C5101" s="451"/>
      <c r="D5101" s="451"/>
      <c r="E5101" s="468"/>
      <c r="F5101" s="468"/>
    </row>
    <row r="5102" spans="1:6" ht="12.75" x14ac:dyDescent="0.2">
      <c r="A5102" s="451"/>
      <c r="B5102" s="451"/>
      <c r="C5102" s="451"/>
      <c r="D5102" s="451"/>
      <c r="E5102" s="468"/>
      <c r="F5102" s="468"/>
    </row>
    <row r="5103" spans="1:6" ht="12.75" x14ac:dyDescent="0.2">
      <c r="A5103" s="451"/>
      <c r="B5103" s="451"/>
      <c r="C5103" s="451"/>
      <c r="D5103" s="451"/>
      <c r="E5103" s="468"/>
      <c r="F5103" s="468"/>
    </row>
    <row r="5104" spans="1:6" ht="12.75" x14ac:dyDescent="0.2">
      <c r="A5104" s="451"/>
      <c r="B5104" s="451"/>
      <c r="C5104" s="451"/>
      <c r="D5104" s="451"/>
      <c r="E5104" s="468"/>
      <c r="F5104" s="468"/>
    </row>
    <row r="5105" spans="1:6" ht="12.75" x14ac:dyDescent="0.2">
      <c r="A5105" s="451"/>
      <c r="B5105" s="451"/>
      <c r="C5105" s="451"/>
      <c r="D5105" s="451"/>
      <c r="E5105" s="468"/>
      <c r="F5105" s="468"/>
    </row>
    <row r="5106" spans="1:6" ht="12.75" x14ac:dyDescent="0.2">
      <c r="A5106" s="451"/>
      <c r="B5106" s="451"/>
      <c r="C5106" s="451"/>
      <c r="D5106" s="451"/>
      <c r="E5106" s="468"/>
      <c r="F5106" s="468"/>
    </row>
    <row r="5107" spans="1:6" ht="12.75" x14ac:dyDescent="0.2">
      <c r="A5107" s="451"/>
      <c r="B5107" s="451"/>
      <c r="C5107" s="451"/>
      <c r="D5107" s="451"/>
      <c r="E5107" s="468"/>
      <c r="F5107" s="468"/>
    </row>
    <row r="5108" spans="1:6" ht="12.75" x14ac:dyDescent="0.2">
      <c r="A5108" s="451"/>
      <c r="B5108" s="451"/>
      <c r="C5108" s="451"/>
      <c r="D5108" s="451"/>
      <c r="E5108" s="468"/>
      <c r="F5108" s="468"/>
    </row>
    <row r="5109" spans="1:6" ht="12.75" x14ac:dyDescent="0.2">
      <c r="A5109" s="451"/>
      <c r="B5109" s="451"/>
      <c r="C5109" s="451"/>
      <c r="D5109" s="451"/>
      <c r="E5109" s="468"/>
      <c r="F5109" s="468"/>
    </row>
    <row r="5110" spans="1:6" ht="12.75" x14ac:dyDescent="0.2">
      <c r="A5110" s="451"/>
      <c r="B5110" s="451"/>
      <c r="C5110" s="451"/>
      <c r="D5110" s="451"/>
      <c r="E5110" s="468"/>
      <c r="F5110" s="468"/>
    </row>
    <row r="5111" spans="1:6" ht="12.75" x14ac:dyDescent="0.2">
      <c r="A5111" s="451"/>
      <c r="B5111" s="451"/>
      <c r="C5111" s="451"/>
      <c r="D5111" s="451"/>
      <c r="E5111" s="468"/>
      <c r="F5111" s="468"/>
    </row>
    <row r="5112" spans="1:6" ht="12.75" x14ac:dyDescent="0.2">
      <c r="A5112" s="451"/>
      <c r="B5112" s="451"/>
      <c r="C5112" s="451"/>
      <c r="D5112" s="451"/>
      <c r="E5112" s="468"/>
      <c r="F5112" s="468"/>
    </row>
    <row r="5113" spans="1:6" ht="12.75" x14ac:dyDescent="0.2">
      <c r="A5113" s="451"/>
      <c r="B5113" s="451"/>
      <c r="C5113" s="451"/>
      <c r="D5113" s="451"/>
      <c r="E5113" s="468"/>
      <c r="F5113" s="468"/>
    </row>
    <row r="5114" spans="1:6" ht="12.75" x14ac:dyDescent="0.2">
      <c r="A5114" s="451"/>
      <c r="B5114" s="451"/>
      <c r="C5114" s="451"/>
      <c r="D5114" s="451"/>
      <c r="E5114" s="468"/>
      <c r="F5114" s="468"/>
    </row>
    <row r="5115" spans="1:6" ht="12.75" x14ac:dyDescent="0.2">
      <c r="A5115" s="451"/>
      <c r="B5115" s="451"/>
      <c r="C5115" s="451"/>
      <c r="D5115" s="451"/>
      <c r="E5115" s="468"/>
      <c r="F5115" s="468"/>
    </row>
    <row r="5116" spans="1:6" ht="12.75" x14ac:dyDescent="0.2">
      <c r="A5116" s="451"/>
      <c r="B5116" s="451"/>
      <c r="C5116" s="451"/>
      <c r="D5116" s="451"/>
      <c r="E5116" s="468"/>
      <c r="F5116" s="468"/>
    </row>
    <row r="5117" spans="1:6" ht="12.75" x14ac:dyDescent="0.2">
      <c r="A5117" s="451"/>
      <c r="B5117" s="451"/>
      <c r="C5117" s="451"/>
      <c r="D5117" s="451"/>
      <c r="E5117" s="468"/>
      <c r="F5117" s="468"/>
    </row>
    <row r="5118" spans="1:6" ht="12.75" x14ac:dyDescent="0.2">
      <c r="A5118" s="451"/>
      <c r="B5118" s="451"/>
      <c r="C5118" s="451"/>
      <c r="D5118" s="451"/>
      <c r="E5118" s="468"/>
      <c r="F5118" s="468"/>
    </row>
    <row r="5119" spans="1:6" ht="12.75" x14ac:dyDescent="0.2">
      <c r="A5119" s="451"/>
      <c r="B5119" s="451"/>
      <c r="C5119" s="451"/>
      <c r="D5119" s="451"/>
      <c r="E5119" s="468"/>
      <c r="F5119" s="468"/>
    </row>
    <row r="5120" spans="1:6" ht="12.75" x14ac:dyDescent="0.2">
      <c r="A5120" s="451"/>
      <c r="B5120" s="451"/>
      <c r="C5120" s="451"/>
      <c r="D5120" s="451"/>
      <c r="E5120" s="468"/>
      <c r="F5120" s="468"/>
    </row>
    <row r="5121" spans="1:6" ht="12.75" x14ac:dyDescent="0.2">
      <c r="A5121" s="451"/>
      <c r="B5121" s="451"/>
      <c r="C5121" s="451"/>
      <c r="D5121" s="451"/>
      <c r="E5121" s="468"/>
      <c r="F5121" s="468"/>
    </row>
    <row r="5122" spans="1:6" ht="12.75" x14ac:dyDescent="0.2">
      <c r="A5122" s="451"/>
      <c r="B5122" s="451"/>
      <c r="C5122" s="451"/>
      <c r="D5122" s="451"/>
      <c r="E5122" s="468"/>
      <c r="F5122" s="468"/>
    </row>
    <row r="5123" spans="1:6" ht="12.75" x14ac:dyDescent="0.2">
      <c r="A5123" s="451"/>
      <c r="B5123" s="451"/>
      <c r="C5123" s="451"/>
      <c r="D5123" s="451"/>
      <c r="E5123" s="468"/>
      <c r="F5123" s="468"/>
    </row>
    <row r="5124" spans="1:6" ht="12.75" x14ac:dyDescent="0.2">
      <c r="A5124" s="451"/>
      <c r="B5124" s="451"/>
      <c r="C5124" s="451"/>
      <c r="D5124" s="451"/>
      <c r="E5124" s="468"/>
      <c r="F5124" s="468"/>
    </row>
    <row r="5125" spans="1:6" ht="12.75" x14ac:dyDescent="0.2">
      <c r="A5125" s="451"/>
      <c r="B5125" s="451"/>
      <c r="C5125" s="451"/>
      <c r="D5125" s="451"/>
      <c r="E5125" s="468"/>
      <c r="F5125" s="468"/>
    </row>
    <row r="5126" spans="1:6" ht="12.75" x14ac:dyDescent="0.2">
      <c r="A5126" s="451"/>
      <c r="B5126" s="451"/>
      <c r="C5126" s="451"/>
      <c r="D5126" s="451"/>
      <c r="E5126" s="468"/>
      <c r="F5126" s="468"/>
    </row>
    <row r="5127" spans="1:6" ht="12.75" x14ac:dyDescent="0.2">
      <c r="A5127" s="451"/>
      <c r="B5127" s="451"/>
      <c r="C5127" s="451"/>
      <c r="D5127" s="451"/>
      <c r="E5127" s="468"/>
      <c r="F5127" s="468"/>
    </row>
    <row r="5128" spans="1:6" ht="12.75" x14ac:dyDescent="0.2">
      <c r="A5128" s="451"/>
      <c r="B5128" s="451"/>
      <c r="C5128" s="451"/>
      <c r="D5128" s="451"/>
      <c r="E5128" s="468"/>
      <c r="F5128" s="468"/>
    </row>
    <row r="5129" spans="1:6" ht="12.75" x14ac:dyDescent="0.2">
      <c r="A5129" s="451"/>
      <c r="B5129" s="451"/>
      <c r="C5129" s="451"/>
      <c r="D5129" s="451"/>
      <c r="E5129" s="468"/>
      <c r="F5129" s="468"/>
    </row>
    <row r="5130" spans="1:6" ht="12.75" x14ac:dyDescent="0.2">
      <c r="A5130" s="451"/>
      <c r="B5130" s="451"/>
      <c r="C5130" s="451"/>
      <c r="D5130" s="451"/>
      <c r="E5130" s="468"/>
      <c r="F5130" s="468"/>
    </row>
    <row r="5131" spans="1:6" ht="12.75" x14ac:dyDescent="0.2">
      <c r="A5131" s="451"/>
      <c r="B5131" s="451"/>
      <c r="C5131" s="451"/>
      <c r="D5131" s="451"/>
      <c r="E5131" s="468"/>
      <c r="F5131" s="468"/>
    </row>
    <row r="5132" spans="1:6" ht="12.75" x14ac:dyDescent="0.2">
      <c r="A5132" s="451"/>
      <c r="B5132" s="451"/>
      <c r="C5132" s="451"/>
      <c r="D5132" s="451"/>
      <c r="E5132" s="468"/>
      <c r="F5132" s="468"/>
    </row>
    <row r="5133" spans="1:6" ht="12.75" x14ac:dyDescent="0.2">
      <c r="A5133" s="451"/>
      <c r="B5133" s="451"/>
      <c r="C5133" s="451"/>
      <c r="D5133" s="451"/>
      <c r="E5133" s="468"/>
      <c r="F5133" s="468"/>
    </row>
    <row r="5134" spans="1:6" ht="12.75" x14ac:dyDescent="0.2">
      <c r="A5134" s="451"/>
      <c r="B5134" s="451"/>
      <c r="C5134" s="451"/>
      <c r="D5134" s="451"/>
      <c r="E5134" s="468"/>
      <c r="F5134" s="468"/>
    </row>
    <row r="5135" spans="1:6" ht="12.75" x14ac:dyDescent="0.2">
      <c r="A5135" s="451"/>
      <c r="B5135" s="451"/>
      <c r="C5135" s="451"/>
      <c r="D5135" s="451"/>
      <c r="E5135" s="468"/>
      <c r="F5135" s="468"/>
    </row>
    <row r="5136" spans="1:6" ht="12.75" x14ac:dyDescent="0.2">
      <c r="A5136" s="451"/>
      <c r="B5136" s="451"/>
      <c r="C5136" s="451"/>
      <c r="D5136" s="451"/>
      <c r="E5136" s="468"/>
      <c r="F5136" s="468"/>
    </row>
    <row r="5137" spans="1:6" ht="12.75" x14ac:dyDescent="0.2">
      <c r="A5137" s="451"/>
      <c r="B5137" s="451"/>
      <c r="C5137" s="451"/>
      <c r="D5137" s="451"/>
      <c r="E5137" s="468"/>
      <c r="F5137" s="468"/>
    </row>
    <row r="5138" spans="1:6" ht="12.75" x14ac:dyDescent="0.2">
      <c r="A5138" s="451"/>
      <c r="B5138" s="451"/>
      <c r="C5138" s="451"/>
      <c r="D5138" s="451"/>
      <c r="E5138" s="468"/>
      <c r="F5138" s="468"/>
    </row>
    <row r="5139" spans="1:6" ht="12.75" x14ac:dyDescent="0.2">
      <c r="A5139" s="451"/>
      <c r="B5139" s="451"/>
      <c r="C5139" s="451"/>
      <c r="D5139" s="451"/>
      <c r="E5139" s="468"/>
      <c r="F5139" s="468"/>
    </row>
    <row r="5140" spans="1:6" ht="12.75" x14ac:dyDescent="0.2">
      <c r="A5140" s="451"/>
      <c r="B5140" s="451"/>
      <c r="C5140" s="451"/>
      <c r="D5140" s="451"/>
      <c r="E5140" s="468"/>
      <c r="F5140" s="468"/>
    </row>
    <row r="5141" spans="1:6" ht="12.75" x14ac:dyDescent="0.2">
      <c r="A5141" s="451"/>
      <c r="B5141" s="451"/>
      <c r="C5141" s="451"/>
      <c r="D5141" s="451"/>
      <c r="E5141" s="468"/>
      <c r="F5141" s="468"/>
    </row>
    <row r="5142" spans="1:6" ht="12.75" x14ac:dyDescent="0.2">
      <c r="A5142" s="451"/>
      <c r="B5142" s="451"/>
      <c r="C5142" s="451"/>
      <c r="D5142" s="451"/>
      <c r="E5142" s="468"/>
      <c r="F5142" s="468"/>
    </row>
    <row r="5143" spans="1:6" ht="12.75" x14ac:dyDescent="0.2">
      <c r="A5143" s="451"/>
      <c r="B5143" s="451"/>
      <c r="C5143" s="451"/>
      <c r="D5143" s="451"/>
      <c r="E5143" s="468"/>
      <c r="F5143" s="468"/>
    </row>
    <row r="5144" spans="1:6" ht="12.75" x14ac:dyDescent="0.2">
      <c r="A5144" s="451"/>
      <c r="B5144" s="451"/>
      <c r="C5144" s="451"/>
      <c r="D5144" s="451"/>
      <c r="E5144" s="468"/>
      <c r="F5144" s="468"/>
    </row>
    <row r="5145" spans="1:6" ht="12.75" x14ac:dyDescent="0.2">
      <c r="A5145" s="451"/>
      <c r="B5145" s="451"/>
      <c r="C5145" s="451"/>
      <c r="D5145" s="451"/>
      <c r="E5145" s="468"/>
      <c r="F5145" s="468"/>
    </row>
    <row r="5146" spans="1:6" ht="12.75" x14ac:dyDescent="0.2">
      <c r="A5146" s="451"/>
      <c r="B5146" s="451"/>
      <c r="C5146" s="451"/>
      <c r="D5146" s="451"/>
      <c r="E5146" s="468"/>
      <c r="F5146" s="468"/>
    </row>
    <row r="5147" spans="1:6" ht="12.75" x14ac:dyDescent="0.2">
      <c r="A5147" s="451"/>
      <c r="B5147" s="451"/>
      <c r="C5147" s="451"/>
      <c r="D5147" s="451"/>
      <c r="E5147" s="468"/>
      <c r="F5147" s="468"/>
    </row>
    <row r="5148" spans="1:6" ht="12.75" x14ac:dyDescent="0.2">
      <c r="A5148" s="451"/>
      <c r="B5148" s="451"/>
      <c r="C5148" s="451"/>
      <c r="D5148" s="451"/>
      <c r="E5148" s="468"/>
      <c r="F5148" s="468"/>
    </row>
    <row r="5149" spans="1:6" ht="12.75" x14ac:dyDescent="0.2">
      <c r="A5149" s="451"/>
      <c r="B5149" s="451"/>
      <c r="C5149" s="451"/>
      <c r="D5149" s="451"/>
      <c r="E5149" s="468"/>
      <c r="F5149" s="468"/>
    </row>
    <row r="5150" spans="1:6" ht="12.75" x14ac:dyDescent="0.2">
      <c r="A5150" s="451"/>
      <c r="B5150" s="451"/>
      <c r="C5150" s="451"/>
      <c r="D5150" s="451"/>
      <c r="E5150" s="468"/>
      <c r="F5150" s="468"/>
    </row>
    <row r="5151" spans="1:6" ht="12.75" x14ac:dyDescent="0.2">
      <c r="A5151" s="451"/>
      <c r="B5151" s="451"/>
      <c r="C5151" s="451"/>
      <c r="D5151" s="451"/>
      <c r="E5151" s="468"/>
      <c r="F5151" s="468"/>
    </row>
    <row r="5152" spans="1:6" ht="12.75" x14ac:dyDescent="0.2">
      <c r="A5152" s="451"/>
      <c r="B5152" s="451"/>
      <c r="C5152" s="451"/>
      <c r="D5152" s="451"/>
      <c r="E5152" s="468"/>
      <c r="F5152" s="468"/>
    </row>
    <row r="5153" spans="1:6" ht="12.75" x14ac:dyDescent="0.2">
      <c r="A5153" s="451"/>
      <c r="B5153" s="451"/>
      <c r="C5153" s="451"/>
      <c r="D5153" s="451"/>
      <c r="E5153" s="468"/>
      <c r="F5153" s="468"/>
    </row>
    <row r="5154" spans="1:6" ht="12.75" x14ac:dyDescent="0.2">
      <c r="A5154" s="451"/>
      <c r="B5154" s="451"/>
      <c r="C5154" s="451"/>
      <c r="D5154" s="451"/>
      <c r="E5154" s="468"/>
      <c r="F5154" s="468"/>
    </row>
    <row r="5155" spans="1:6" ht="12.75" x14ac:dyDescent="0.2">
      <c r="A5155" s="451"/>
      <c r="B5155" s="451"/>
      <c r="C5155" s="451"/>
      <c r="D5155" s="451"/>
      <c r="E5155" s="468"/>
      <c r="F5155" s="468"/>
    </row>
    <row r="5156" spans="1:6" ht="12.75" x14ac:dyDescent="0.2">
      <c r="A5156" s="451"/>
      <c r="B5156" s="451"/>
      <c r="C5156" s="451"/>
      <c r="D5156" s="451"/>
      <c r="E5156" s="468"/>
      <c r="F5156" s="468"/>
    </row>
    <row r="5157" spans="1:6" ht="12.75" x14ac:dyDescent="0.2">
      <c r="A5157" s="451"/>
      <c r="B5157" s="451"/>
      <c r="C5157" s="451"/>
      <c r="D5157" s="451"/>
      <c r="E5157" s="468"/>
      <c r="F5157" s="468"/>
    </row>
    <row r="5158" spans="1:6" ht="12.75" x14ac:dyDescent="0.2">
      <c r="A5158" s="451"/>
      <c r="B5158" s="451"/>
      <c r="C5158" s="451"/>
      <c r="D5158" s="451"/>
      <c r="E5158" s="468"/>
      <c r="F5158" s="468"/>
    </row>
    <row r="5159" spans="1:6" ht="12.75" x14ac:dyDescent="0.2">
      <c r="A5159" s="451"/>
      <c r="B5159" s="451"/>
      <c r="C5159" s="451"/>
      <c r="D5159" s="451"/>
      <c r="E5159" s="468"/>
      <c r="F5159" s="468"/>
    </row>
    <row r="5160" spans="1:6" ht="12.75" x14ac:dyDescent="0.2">
      <c r="A5160" s="451"/>
      <c r="B5160" s="451"/>
      <c r="C5160" s="451"/>
      <c r="D5160" s="451"/>
      <c r="E5160" s="468"/>
      <c r="F5160" s="468"/>
    </row>
    <row r="5161" spans="1:6" ht="12.75" x14ac:dyDescent="0.2">
      <c r="A5161" s="451"/>
      <c r="B5161" s="451"/>
      <c r="C5161" s="451"/>
      <c r="D5161" s="451"/>
      <c r="E5161" s="468"/>
      <c r="F5161" s="468"/>
    </row>
    <row r="5162" spans="1:6" ht="12.75" x14ac:dyDescent="0.2">
      <c r="A5162" s="451"/>
      <c r="B5162" s="451"/>
      <c r="C5162" s="451"/>
      <c r="D5162" s="451"/>
      <c r="E5162" s="468"/>
      <c r="F5162" s="468"/>
    </row>
    <row r="5163" spans="1:6" ht="12.75" x14ac:dyDescent="0.2">
      <c r="A5163" s="451"/>
      <c r="B5163" s="451"/>
      <c r="C5163" s="451"/>
      <c r="D5163" s="451"/>
      <c r="E5163" s="468"/>
      <c r="F5163" s="468"/>
    </row>
    <row r="5164" spans="1:6" ht="12.75" x14ac:dyDescent="0.2">
      <c r="A5164" s="451"/>
      <c r="B5164" s="451"/>
      <c r="C5164" s="451"/>
      <c r="D5164" s="451"/>
      <c r="E5164" s="468"/>
      <c r="F5164" s="468"/>
    </row>
    <row r="5165" spans="1:6" ht="12.75" x14ac:dyDescent="0.2">
      <c r="A5165" s="451"/>
      <c r="B5165" s="451"/>
      <c r="C5165" s="451"/>
      <c r="D5165" s="451"/>
      <c r="E5165" s="468"/>
      <c r="F5165" s="468"/>
    </row>
    <row r="5166" spans="1:6" ht="12.75" x14ac:dyDescent="0.2">
      <c r="A5166" s="451"/>
      <c r="B5166" s="451"/>
      <c r="C5166" s="451"/>
      <c r="D5166" s="451"/>
      <c r="E5166" s="468"/>
      <c r="F5166" s="468"/>
    </row>
    <row r="5167" spans="1:6" ht="12.75" x14ac:dyDescent="0.2">
      <c r="A5167" s="451"/>
      <c r="B5167" s="451"/>
      <c r="C5167" s="451"/>
      <c r="D5167" s="451"/>
      <c r="E5167" s="468"/>
      <c r="F5167" s="468"/>
    </row>
    <row r="5168" spans="1:6" ht="12.75" x14ac:dyDescent="0.2">
      <c r="A5168" s="451"/>
      <c r="B5168" s="451"/>
      <c r="C5168" s="451"/>
      <c r="D5168" s="451"/>
      <c r="E5168" s="468"/>
      <c r="F5168" s="468"/>
    </row>
    <row r="5169" spans="1:6" ht="12.75" x14ac:dyDescent="0.2">
      <c r="A5169" s="451"/>
      <c r="B5169" s="451"/>
      <c r="C5169" s="451"/>
      <c r="D5169" s="451"/>
      <c r="E5169" s="468"/>
      <c r="F5169" s="468"/>
    </row>
    <row r="5170" spans="1:6" ht="12.75" x14ac:dyDescent="0.2">
      <c r="A5170" s="451"/>
      <c r="B5170" s="451"/>
      <c r="C5170" s="451"/>
      <c r="D5170" s="451"/>
      <c r="E5170" s="468"/>
      <c r="F5170" s="468"/>
    </row>
    <row r="5171" spans="1:6" ht="12.75" x14ac:dyDescent="0.2">
      <c r="A5171" s="451"/>
      <c r="B5171" s="451"/>
      <c r="C5171" s="451"/>
      <c r="D5171" s="451"/>
      <c r="E5171" s="468"/>
      <c r="F5171" s="468"/>
    </row>
    <row r="5172" spans="1:6" ht="12.75" x14ac:dyDescent="0.2">
      <c r="A5172" s="451"/>
      <c r="B5172" s="451"/>
      <c r="C5172" s="451"/>
      <c r="D5172" s="451"/>
      <c r="E5172" s="468"/>
      <c r="F5172" s="468"/>
    </row>
    <row r="5173" spans="1:6" ht="12.75" x14ac:dyDescent="0.2">
      <c r="A5173" s="451"/>
      <c r="B5173" s="451"/>
      <c r="C5173" s="451"/>
      <c r="D5173" s="451"/>
      <c r="E5173" s="468"/>
      <c r="F5173" s="468"/>
    </row>
    <row r="5174" spans="1:6" ht="12.75" x14ac:dyDescent="0.2">
      <c r="A5174" s="451"/>
      <c r="B5174" s="451"/>
      <c r="C5174" s="451"/>
      <c r="D5174" s="451"/>
      <c r="E5174" s="468"/>
      <c r="F5174" s="468"/>
    </row>
    <row r="5175" spans="1:6" ht="12.75" x14ac:dyDescent="0.2">
      <c r="A5175" s="451"/>
      <c r="B5175" s="451"/>
      <c r="C5175" s="451"/>
      <c r="D5175" s="451"/>
      <c r="E5175" s="468"/>
      <c r="F5175" s="468"/>
    </row>
    <row r="5176" spans="1:6" ht="12.75" x14ac:dyDescent="0.2">
      <c r="A5176" s="451"/>
      <c r="B5176" s="451"/>
      <c r="C5176" s="451"/>
      <c r="D5176" s="451"/>
      <c r="E5176" s="468"/>
      <c r="F5176" s="468"/>
    </row>
    <row r="5177" spans="1:6" ht="12.75" x14ac:dyDescent="0.2">
      <c r="A5177" s="451"/>
      <c r="B5177" s="451"/>
      <c r="C5177" s="451"/>
      <c r="D5177" s="451"/>
      <c r="E5177" s="468"/>
      <c r="F5177" s="468"/>
    </row>
    <row r="5178" spans="1:6" ht="12.75" x14ac:dyDescent="0.2">
      <c r="A5178" s="451"/>
      <c r="B5178" s="451"/>
      <c r="C5178" s="451"/>
      <c r="D5178" s="451"/>
      <c r="E5178" s="468"/>
      <c r="F5178" s="468"/>
    </row>
    <row r="5179" spans="1:6" ht="12.75" x14ac:dyDescent="0.2">
      <c r="A5179" s="451"/>
      <c r="B5179" s="451"/>
      <c r="C5179" s="451"/>
      <c r="D5179" s="451"/>
      <c r="E5179" s="468"/>
      <c r="F5179" s="468"/>
    </row>
    <row r="5180" spans="1:6" ht="12.75" x14ac:dyDescent="0.2">
      <c r="A5180" s="451"/>
      <c r="B5180" s="451"/>
      <c r="C5180" s="451"/>
      <c r="D5180" s="451"/>
      <c r="E5180" s="468"/>
      <c r="F5180" s="468"/>
    </row>
    <row r="5181" spans="1:6" ht="12.75" x14ac:dyDescent="0.2">
      <c r="A5181" s="451"/>
      <c r="B5181" s="451"/>
      <c r="C5181" s="451"/>
      <c r="D5181" s="451"/>
      <c r="E5181" s="468"/>
      <c r="F5181" s="468"/>
    </row>
    <row r="5182" spans="1:6" ht="12.75" x14ac:dyDescent="0.2">
      <c r="A5182" s="451"/>
      <c r="B5182" s="451"/>
      <c r="C5182" s="451"/>
      <c r="D5182" s="451"/>
      <c r="E5182" s="468"/>
      <c r="F5182" s="468"/>
    </row>
    <row r="5183" spans="1:6" ht="12.75" x14ac:dyDescent="0.2">
      <c r="A5183" s="451"/>
      <c r="B5183" s="451"/>
      <c r="C5183" s="451"/>
      <c r="D5183" s="451"/>
      <c r="E5183" s="468"/>
      <c r="F5183" s="468"/>
    </row>
    <row r="5184" spans="1:6" ht="12.75" x14ac:dyDescent="0.2">
      <c r="A5184" s="451"/>
      <c r="B5184" s="451"/>
      <c r="C5184" s="451"/>
      <c r="D5184" s="451"/>
      <c r="E5184" s="468"/>
      <c r="F5184" s="468"/>
    </row>
    <row r="5185" spans="1:6" ht="12.75" x14ac:dyDescent="0.2">
      <c r="A5185" s="451"/>
      <c r="B5185" s="451"/>
      <c r="C5185" s="451"/>
      <c r="D5185" s="451"/>
      <c r="E5185" s="468"/>
      <c r="F5185" s="468"/>
    </row>
    <row r="5186" spans="1:6" ht="12.75" x14ac:dyDescent="0.2">
      <c r="A5186" s="451"/>
      <c r="B5186" s="451"/>
      <c r="C5186" s="451"/>
      <c r="D5186" s="451"/>
      <c r="E5186" s="468"/>
      <c r="F5186" s="468"/>
    </row>
    <row r="5187" spans="1:6" ht="12.75" x14ac:dyDescent="0.2">
      <c r="A5187" s="451"/>
      <c r="B5187" s="451"/>
      <c r="C5187" s="451"/>
      <c r="D5187" s="451"/>
      <c r="E5187" s="468"/>
      <c r="F5187" s="468"/>
    </row>
    <row r="5188" spans="1:6" ht="12.75" x14ac:dyDescent="0.2">
      <c r="A5188" s="451"/>
      <c r="B5188" s="451"/>
      <c r="C5188" s="451"/>
      <c r="D5188" s="451"/>
      <c r="E5188" s="468"/>
      <c r="F5188" s="468"/>
    </row>
    <row r="5189" spans="1:6" ht="12.75" x14ac:dyDescent="0.2">
      <c r="A5189" s="451"/>
      <c r="B5189" s="451"/>
      <c r="C5189" s="451"/>
      <c r="D5189" s="451"/>
      <c r="E5189" s="468"/>
      <c r="F5189" s="468"/>
    </row>
    <row r="5190" spans="1:6" ht="12.75" x14ac:dyDescent="0.2">
      <c r="A5190" s="451"/>
      <c r="B5190" s="451"/>
      <c r="C5190" s="451"/>
      <c r="D5190" s="451"/>
      <c r="E5190" s="468"/>
      <c r="F5190" s="468"/>
    </row>
    <row r="5191" spans="1:6" ht="12.75" x14ac:dyDescent="0.2">
      <c r="A5191" s="451"/>
      <c r="B5191" s="451"/>
      <c r="C5191" s="451"/>
      <c r="D5191" s="451"/>
      <c r="E5191" s="468"/>
      <c r="F5191" s="468"/>
    </row>
    <row r="5192" spans="1:6" ht="12.75" x14ac:dyDescent="0.2">
      <c r="A5192" s="451"/>
      <c r="B5192" s="451"/>
      <c r="C5192" s="451"/>
      <c r="D5192" s="451"/>
      <c r="E5192" s="468"/>
      <c r="F5192" s="468"/>
    </row>
    <row r="5193" spans="1:6" ht="12.75" x14ac:dyDescent="0.2">
      <c r="A5193" s="451"/>
      <c r="B5193" s="451"/>
      <c r="C5193" s="451"/>
      <c r="D5193" s="451"/>
      <c r="E5193" s="468"/>
      <c r="F5193" s="468"/>
    </row>
    <row r="5194" spans="1:6" ht="12.75" x14ac:dyDescent="0.2">
      <c r="A5194" s="451"/>
      <c r="B5194" s="451"/>
      <c r="C5194" s="451"/>
      <c r="D5194" s="451"/>
      <c r="E5194" s="468"/>
      <c r="F5194" s="468"/>
    </row>
    <row r="5195" spans="1:6" ht="12.75" x14ac:dyDescent="0.2">
      <c r="A5195" s="451"/>
      <c r="B5195" s="451"/>
      <c r="C5195" s="451"/>
      <c r="D5195" s="451"/>
      <c r="E5195" s="468"/>
      <c r="F5195" s="468"/>
    </row>
    <row r="5196" spans="1:6" ht="12.75" x14ac:dyDescent="0.2">
      <c r="A5196" s="451"/>
      <c r="B5196" s="451"/>
      <c r="C5196" s="451"/>
      <c r="D5196" s="451"/>
      <c r="E5196" s="468"/>
      <c r="F5196" s="468"/>
    </row>
    <row r="5197" spans="1:6" ht="12.75" x14ac:dyDescent="0.2">
      <c r="A5197" s="451"/>
      <c r="B5197" s="451"/>
      <c r="C5197" s="451"/>
      <c r="D5197" s="451"/>
      <c r="E5197" s="468"/>
      <c r="F5197" s="468"/>
    </row>
    <row r="5198" spans="1:6" ht="12.75" x14ac:dyDescent="0.2">
      <c r="A5198" s="451"/>
      <c r="B5198" s="451"/>
      <c r="C5198" s="451"/>
      <c r="D5198" s="451"/>
      <c r="E5198" s="468"/>
      <c r="F5198" s="468"/>
    </row>
    <row r="5199" spans="1:6" ht="12.75" x14ac:dyDescent="0.2">
      <c r="A5199" s="451"/>
      <c r="B5199" s="451"/>
      <c r="C5199" s="451"/>
      <c r="D5199" s="451"/>
      <c r="E5199" s="468"/>
      <c r="F5199" s="468"/>
    </row>
    <row r="5200" spans="1:6" ht="12.75" x14ac:dyDescent="0.2">
      <c r="A5200" s="451"/>
      <c r="B5200" s="451"/>
      <c r="C5200" s="451"/>
      <c r="D5200" s="451"/>
      <c r="E5200" s="468"/>
      <c r="F5200" s="468"/>
    </row>
    <row r="5201" spans="1:6" ht="12.75" x14ac:dyDescent="0.2">
      <c r="A5201" s="451"/>
      <c r="B5201" s="451"/>
      <c r="C5201" s="451"/>
      <c r="D5201" s="451"/>
      <c r="E5201" s="468"/>
      <c r="F5201" s="468"/>
    </row>
    <row r="5202" spans="1:6" ht="12.75" x14ac:dyDescent="0.2">
      <c r="A5202" s="451"/>
      <c r="B5202" s="451"/>
      <c r="C5202" s="451"/>
      <c r="D5202" s="451"/>
      <c r="E5202" s="468"/>
      <c r="F5202" s="468"/>
    </row>
    <row r="5203" spans="1:6" ht="12.75" x14ac:dyDescent="0.2">
      <c r="A5203" s="451"/>
      <c r="B5203" s="451"/>
      <c r="C5203" s="451"/>
      <c r="D5203" s="451"/>
      <c r="E5203" s="468"/>
      <c r="F5203" s="468"/>
    </row>
    <row r="5204" spans="1:6" ht="12.75" x14ac:dyDescent="0.2">
      <c r="A5204" s="451"/>
      <c r="B5204" s="451"/>
      <c r="C5204" s="451"/>
      <c r="D5204" s="451"/>
      <c r="E5204" s="468"/>
      <c r="F5204" s="468"/>
    </row>
    <row r="5205" spans="1:6" ht="12.75" x14ac:dyDescent="0.2">
      <c r="A5205" s="451"/>
      <c r="B5205" s="451"/>
      <c r="C5205" s="451"/>
      <c r="D5205" s="451"/>
      <c r="E5205" s="468"/>
      <c r="F5205" s="468"/>
    </row>
    <row r="5206" spans="1:6" ht="12.75" x14ac:dyDescent="0.2">
      <c r="A5206" s="451"/>
      <c r="B5206" s="451"/>
      <c r="C5206" s="451"/>
      <c r="D5206" s="451"/>
      <c r="E5206" s="468"/>
      <c r="F5206" s="468"/>
    </row>
    <row r="5207" spans="1:6" ht="12.75" x14ac:dyDescent="0.2">
      <c r="A5207" s="451"/>
      <c r="B5207" s="451"/>
      <c r="C5207" s="451"/>
      <c r="D5207" s="451"/>
      <c r="E5207" s="468"/>
      <c r="F5207" s="468"/>
    </row>
    <row r="5208" spans="1:6" ht="12.75" x14ac:dyDescent="0.2">
      <c r="A5208" s="451"/>
      <c r="B5208" s="451"/>
      <c r="C5208" s="451"/>
      <c r="D5208" s="451"/>
      <c r="E5208" s="468"/>
      <c r="F5208" s="468"/>
    </row>
    <row r="5209" spans="1:6" ht="12.75" x14ac:dyDescent="0.2">
      <c r="A5209" s="451"/>
      <c r="B5209" s="451"/>
      <c r="C5209" s="451"/>
      <c r="D5209" s="451"/>
      <c r="E5209" s="468"/>
      <c r="F5209" s="468"/>
    </row>
    <row r="5210" spans="1:6" ht="12.75" x14ac:dyDescent="0.2">
      <c r="A5210" s="451"/>
      <c r="B5210" s="451"/>
      <c r="C5210" s="451"/>
      <c r="D5210" s="451"/>
      <c r="E5210" s="468"/>
      <c r="F5210" s="468"/>
    </row>
    <row r="5211" spans="1:6" ht="12.75" x14ac:dyDescent="0.2">
      <c r="A5211" s="451"/>
      <c r="B5211" s="451"/>
      <c r="C5211" s="451"/>
      <c r="D5211" s="451"/>
      <c r="E5211" s="468"/>
      <c r="F5211" s="468"/>
    </row>
    <row r="5212" spans="1:6" ht="12.75" x14ac:dyDescent="0.2">
      <c r="A5212" s="451"/>
      <c r="B5212" s="451"/>
      <c r="C5212" s="451"/>
      <c r="D5212" s="451"/>
      <c r="E5212" s="468"/>
      <c r="F5212" s="468"/>
    </row>
    <row r="5213" spans="1:6" ht="12.75" x14ac:dyDescent="0.2">
      <c r="A5213" s="451"/>
      <c r="B5213" s="451"/>
      <c r="C5213" s="451"/>
      <c r="D5213" s="451"/>
      <c r="E5213" s="468"/>
      <c r="F5213" s="468"/>
    </row>
    <row r="5214" spans="1:6" ht="12.75" x14ac:dyDescent="0.2">
      <c r="A5214" s="451"/>
      <c r="B5214" s="451"/>
      <c r="C5214" s="451"/>
      <c r="D5214" s="451"/>
      <c r="E5214" s="468"/>
      <c r="F5214" s="468"/>
    </row>
    <row r="5215" spans="1:6" ht="12.75" x14ac:dyDescent="0.2">
      <c r="A5215" s="451"/>
      <c r="B5215" s="451"/>
      <c r="C5215" s="451"/>
      <c r="D5215" s="451"/>
      <c r="E5215" s="468"/>
      <c r="F5215" s="468"/>
    </row>
    <row r="5216" spans="1:6" ht="12.75" x14ac:dyDescent="0.2">
      <c r="A5216" s="451"/>
      <c r="B5216" s="451"/>
      <c r="C5216" s="451"/>
      <c r="D5216" s="451"/>
      <c r="E5216" s="468"/>
      <c r="F5216" s="468"/>
    </row>
    <row r="5217" spans="1:6" ht="12.75" x14ac:dyDescent="0.2">
      <c r="A5217" s="451"/>
      <c r="B5217" s="451"/>
      <c r="C5217" s="451"/>
      <c r="D5217" s="451"/>
      <c r="E5217" s="468"/>
      <c r="F5217" s="468"/>
    </row>
    <row r="5218" spans="1:6" ht="12.75" x14ac:dyDescent="0.2">
      <c r="A5218" s="451"/>
      <c r="B5218" s="451"/>
      <c r="C5218" s="451"/>
      <c r="D5218" s="451"/>
      <c r="E5218" s="468"/>
      <c r="F5218" s="468"/>
    </row>
    <row r="5219" spans="1:6" ht="12.75" x14ac:dyDescent="0.2">
      <c r="A5219" s="451"/>
      <c r="B5219" s="451"/>
      <c r="C5219" s="451"/>
      <c r="D5219" s="451"/>
      <c r="E5219" s="468"/>
      <c r="F5219" s="468"/>
    </row>
    <row r="5220" spans="1:6" ht="12.75" x14ac:dyDescent="0.2">
      <c r="A5220" s="451"/>
      <c r="B5220" s="451"/>
      <c r="C5220" s="451"/>
      <c r="D5220" s="451"/>
      <c r="E5220" s="468"/>
      <c r="F5220" s="468"/>
    </row>
    <row r="5221" spans="1:6" ht="12.75" x14ac:dyDescent="0.2">
      <c r="A5221" s="451"/>
      <c r="B5221" s="451"/>
      <c r="C5221" s="451"/>
      <c r="D5221" s="451"/>
      <c r="E5221" s="468"/>
      <c r="F5221" s="468"/>
    </row>
    <row r="5222" spans="1:6" ht="12.75" x14ac:dyDescent="0.2">
      <c r="A5222" s="451"/>
      <c r="B5222" s="451"/>
      <c r="C5222" s="451"/>
      <c r="D5222" s="451"/>
      <c r="E5222" s="468"/>
      <c r="F5222" s="468"/>
    </row>
    <row r="5223" spans="1:6" ht="12.75" x14ac:dyDescent="0.2">
      <c r="A5223" s="451"/>
      <c r="B5223" s="451"/>
      <c r="C5223" s="451"/>
      <c r="D5223" s="451"/>
      <c r="E5223" s="468"/>
      <c r="F5223" s="468"/>
    </row>
    <row r="5224" spans="1:6" ht="12.75" x14ac:dyDescent="0.2">
      <c r="A5224" s="451"/>
      <c r="B5224" s="451"/>
      <c r="C5224" s="451"/>
      <c r="D5224" s="451"/>
      <c r="E5224" s="468"/>
      <c r="F5224" s="468"/>
    </row>
    <row r="5225" spans="1:6" ht="12.75" x14ac:dyDescent="0.2">
      <c r="A5225" s="451"/>
      <c r="B5225" s="451"/>
      <c r="C5225" s="451"/>
      <c r="D5225" s="451"/>
      <c r="E5225" s="468"/>
      <c r="F5225" s="468"/>
    </row>
    <row r="5226" spans="1:6" ht="12.75" x14ac:dyDescent="0.2">
      <c r="A5226" s="451"/>
      <c r="B5226" s="451"/>
      <c r="C5226" s="451"/>
      <c r="D5226" s="451"/>
      <c r="E5226" s="468"/>
      <c r="F5226" s="468"/>
    </row>
    <row r="5227" spans="1:6" ht="12.75" x14ac:dyDescent="0.2">
      <c r="A5227" s="451"/>
      <c r="B5227" s="451"/>
      <c r="C5227" s="451"/>
      <c r="D5227" s="451"/>
      <c r="E5227" s="468"/>
      <c r="F5227" s="468"/>
    </row>
    <row r="5228" spans="1:6" ht="12.75" x14ac:dyDescent="0.2">
      <c r="A5228" s="451"/>
      <c r="B5228" s="451"/>
      <c r="C5228" s="451"/>
      <c r="D5228" s="451"/>
      <c r="E5228" s="468"/>
      <c r="F5228" s="468"/>
    </row>
    <row r="5229" spans="1:6" ht="12.75" x14ac:dyDescent="0.2">
      <c r="A5229" s="451"/>
      <c r="B5229" s="451"/>
      <c r="C5229" s="451"/>
      <c r="D5229" s="451"/>
      <c r="E5229" s="468"/>
      <c r="F5229" s="468"/>
    </row>
    <row r="5230" spans="1:6" ht="12.75" x14ac:dyDescent="0.2">
      <c r="A5230" s="451"/>
      <c r="B5230" s="451"/>
      <c r="C5230" s="451"/>
      <c r="D5230" s="451"/>
      <c r="E5230" s="468"/>
      <c r="F5230" s="468"/>
    </row>
    <row r="5231" spans="1:6" ht="12.75" x14ac:dyDescent="0.2">
      <c r="A5231" s="451"/>
      <c r="B5231" s="451"/>
      <c r="C5231" s="451"/>
      <c r="D5231" s="451"/>
      <c r="E5231" s="468"/>
      <c r="F5231" s="468"/>
    </row>
    <row r="5232" spans="1:6" ht="12.75" x14ac:dyDescent="0.2">
      <c r="A5232" s="451"/>
      <c r="B5232" s="451"/>
      <c r="C5232" s="451"/>
      <c r="D5232" s="451"/>
      <c r="E5232" s="468"/>
      <c r="F5232" s="468"/>
    </row>
    <row r="5233" spans="1:6" ht="12.75" x14ac:dyDescent="0.2">
      <c r="A5233" s="451"/>
      <c r="B5233" s="451"/>
      <c r="C5233" s="451"/>
      <c r="D5233" s="451"/>
      <c r="E5233" s="468"/>
      <c r="F5233" s="468"/>
    </row>
    <row r="5234" spans="1:6" ht="12.75" x14ac:dyDescent="0.2">
      <c r="A5234" s="451"/>
      <c r="B5234" s="451"/>
      <c r="C5234" s="451"/>
      <c r="D5234" s="451"/>
      <c r="E5234" s="468"/>
      <c r="F5234" s="468"/>
    </row>
    <row r="5235" spans="1:6" ht="12.75" x14ac:dyDescent="0.2">
      <c r="A5235" s="451"/>
      <c r="B5235" s="451"/>
      <c r="C5235" s="451"/>
      <c r="D5235" s="451"/>
      <c r="E5235" s="468"/>
      <c r="F5235" s="468"/>
    </row>
    <row r="5236" spans="1:6" ht="12.75" x14ac:dyDescent="0.2">
      <c r="A5236" s="451"/>
      <c r="B5236" s="451"/>
      <c r="C5236" s="451"/>
      <c r="D5236" s="451"/>
      <c r="E5236" s="468"/>
      <c r="F5236" s="468"/>
    </row>
    <row r="5237" spans="1:6" ht="12.75" x14ac:dyDescent="0.2">
      <c r="A5237" s="451"/>
      <c r="B5237" s="451"/>
      <c r="C5237" s="451"/>
      <c r="D5237" s="451"/>
      <c r="E5237" s="468"/>
      <c r="F5237" s="468"/>
    </row>
    <row r="5238" spans="1:6" ht="12.75" x14ac:dyDescent="0.2">
      <c r="A5238" s="451"/>
      <c r="B5238" s="451"/>
      <c r="C5238" s="451"/>
      <c r="D5238" s="451"/>
      <c r="E5238" s="468"/>
      <c r="F5238" s="468"/>
    </row>
    <row r="5239" spans="1:6" ht="12.75" x14ac:dyDescent="0.2">
      <c r="A5239" s="451"/>
      <c r="B5239" s="451"/>
      <c r="C5239" s="451"/>
      <c r="D5239" s="451"/>
      <c r="E5239" s="468"/>
      <c r="F5239" s="468"/>
    </row>
    <row r="5240" spans="1:6" ht="12.75" x14ac:dyDescent="0.2">
      <c r="A5240" s="451"/>
      <c r="B5240" s="451"/>
      <c r="C5240" s="451"/>
      <c r="D5240" s="451"/>
      <c r="E5240" s="468"/>
      <c r="F5240" s="468"/>
    </row>
    <row r="5241" spans="1:6" ht="12.75" x14ac:dyDescent="0.2">
      <c r="A5241" s="451"/>
      <c r="B5241" s="451"/>
      <c r="C5241" s="451"/>
      <c r="D5241" s="451"/>
      <c r="E5241" s="468"/>
      <c r="F5241" s="468"/>
    </row>
    <row r="5242" spans="1:6" ht="12.75" x14ac:dyDescent="0.2">
      <c r="A5242" s="451"/>
      <c r="B5242" s="451"/>
      <c r="C5242" s="451"/>
      <c r="D5242" s="451"/>
      <c r="E5242" s="468"/>
      <c r="F5242" s="468"/>
    </row>
    <row r="5243" spans="1:6" ht="12.75" x14ac:dyDescent="0.2">
      <c r="A5243" s="451"/>
      <c r="B5243" s="451"/>
      <c r="C5243" s="451"/>
      <c r="D5243" s="451"/>
      <c r="E5243" s="468"/>
      <c r="F5243" s="468"/>
    </row>
    <row r="5244" spans="1:6" ht="12.75" x14ac:dyDescent="0.2">
      <c r="A5244" s="451"/>
      <c r="B5244" s="451"/>
      <c r="C5244" s="451"/>
      <c r="D5244" s="451"/>
      <c r="E5244" s="468"/>
      <c r="F5244" s="468"/>
    </row>
    <row r="5245" spans="1:6" ht="12.75" x14ac:dyDescent="0.2">
      <c r="A5245" s="451"/>
      <c r="B5245" s="451"/>
      <c r="C5245" s="451"/>
      <c r="D5245" s="451"/>
      <c r="E5245" s="468"/>
      <c r="F5245" s="468"/>
    </row>
    <row r="5246" spans="1:6" ht="12.75" x14ac:dyDescent="0.2">
      <c r="A5246" s="451"/>
      <c r="B5246" s="451"/>
      <c r="C5246" s="451"/>
      <c r="D5246" s="451"/>
      <c r="E5246" s="468"/>
      <c r="F5246" s="468"/>
    </row>
    <row r="5247" spans="1:6" ht="12.75" x14ac:dyDescent="0.2">
      <c r="A5247" s="451"/>
      <c r="B5247" s="451"/>
      <c r="C5247" s="451"/>
      <c r="D5247" s="451"/>
      <c r="E5247" s="468"/>
      <c r="F5247" s="468"/>
    </row>
    <row r="5248" spans="1:6" ht="12.75" x14ac:dyDescent="0.2">
      <c r="A5248" s="451"/>
      <c r="B5248" s="451"/>
      <c r="C5248" s="451"/>
      <c r="D5248" s="451"/>
      <c r="E5248" s="468"/>
      <c r="F5248" s="468"/>
    </row>
    <row r="5249" spans="1:6" ht="12.75" x14ac:dyDescent="0.2">
      <c r="A5249" s="451"/>
      <c r="B5249" s="451"/>
      <c r="C5249" s="451"/>
      <c r="D5249" s="451"/>
      <c r="E5249" s="468"/>
      <c r="F5249" s="468"/>
    </row>
    <row r="5250" spans="1:6" ht="12.75" x14ac:dyDescent="0.2">
      <c r="A5250" s="451"/>
      <c r="B5250" s="451"/>
      <c r="C5250" s="451"/>
      <c r="D5250" s="451"/>
      <c r="E5250" s="468"/>
      <c r="F5250" s="468"/>
    </row>
    <row r="5251" spans="1:6" ht="12.75" x14ac:dyDescent="0.2">
      <c r="A5251" s="451"/>
      <c r="B5251" s="451"/>
      <c r="C5251" s="451"/>
      <c r="D5251" s="451"/>
      <c r="E5251" s="468"/>
      <c r="F5251" s="468"/>
    </row>
    <row r="5252" spans="1:6" ht="12.75" x14ac:dyDescent="0.2">
      <c r="A5252" s="451"/>
      <c r="B5252" s="451"/>
      <c r="C5252" s="451"/>
      <c r="D5252" s="451"/>
      <c r="E5252" s="468"/>
      <c r="F5252" s="468"/>
    </row>
    <row r="5253" spans="1:6" ht="12.75" x14ac:dyDescent="0.2">
      <c r="A5253" s="451"/>
      <c r="B5253" s="451"/>
      <c r="C5253" s="451"/>
      <c r="D5253" s="451"/>
      <c r="E5253" s="468"/>
      <c r="F5253" s="468"/>
    </row>
    <row r="5254" spans="1:6" ht="12.75" x14ac:dyDescent="0.2">
      <c r="A5254" s="451"/>
      <c r="B5254" s="451"/>
      <c r="C5254" s="451"/>
      <c r="D5254" s="451"/>
      <c r="E5254" s="468"/>
      <c r="F5254" s="468"/>
    </row>
    <row r="5255" spans="1:6" ht="12.75" x14ac:dyDescent="0.2">
      <c r="A5255" s="451"/>
      <c r="B5255" s="451"/>
      <c r="C5255" s="451"/>
      <c r="D5255" s="451"/>
      <c r="E5255" s="468"/>
      <c r="F5255" s="468"/>
    </row>
    <row r="5256" spans="1:6" ht="12.75" x14ac:dyDescent="0.2">
      <c r="A5256" s="451"/>
      <c r="B5256" s="451"/>
      <c r="C5256" s="451"/>
      <c r="D5256" s="451"/>
      <c r="E5256" s="468"/>
      <c r="F5256" s="468"/>
    </row>
    <row r="5257" spans="1:6" ht="12.75" x14ac:dyDescent="0.2">
      <c r="A5257" s="451"/>
      <c r="B5257" s="451"/>
      <c r="C5257" s="451"/>
      <c r="D5257" s="451"/>
      <c r="E5257" s="468"/>
      <c r="F5257" s="468"/>
    </row>
    <row r="5258" spans="1:6" ht="12.75" x14ac:dyDescent="0.2">
      <c r="A5258" s="451"/>
      <c r="B5258" s="451"/>
      <c r="C5258" s="451"/>
      <c r="D5258" s="451"/>
      <c r="E5258" s="468"/>
      <c r="F5258" s="468"/>
    </row>
    <row r="5259" spans="1:6" ht="12.75" x14ac:dyDescent="0.2">
      <c r="A5259" s="451"/>
      <c r="B5259" s="451"/>
      <c r="C5259" s="451"/>
      <c r="D5259" s="451"/>
      <c r="E5259" s="468"/>
      <c r="F5259" s="468"/>
    </row>
    <row r="5260" spans="1:6" ht="12.75" x14ac:dyDescent="0.2">
      <c r="A5260" s="451"/>
      <c r="B5260" s="451"/>
      <c r="C5260" s="451"/>
      <c r="D5260" s="451"/>
      <c r="E5260" s="468"/>
      <c r="F5260" s="468"/>
    </row>
    <row r="5261" spans="1:6" ht="12.75" x14ac:dyDescent="0.2">
      <c r="A5261" s="451"/>
      <c r="B5261" s="451"/>
      <c r="C5261" s="451"/>
      <c r="D5261" s="451"/>
      <c r="E5261" s="468"/>
      <c r="F5261" s="468"/>
    </row>
    <row r="5262" spans="1:6" ht="12.75" x14ac:dyDescent="0.2">
      <c r="A5262" s="451"/>
      <c r="B5262" s="451"/>
      <c r="C5262" s="451"/>
      <c r="D5262" s="451"/>
      <c r="E5262" s="468"/>
      <c r="F5262" s="468"/>
    </row>
    <row r="5263" spans="1:6" ht="12.75" x14ac:dyDescent="0.2">
      <c r="A5263" s="451"/>
      <c r="B5263" s="451"/>
      <c r="C5263" s="451"/>
      <c r="D5263" s="451"/>
      <c r="E5263" s="468"/>
      <c r="F5263" s="468"/>
    </row>
    <row r="5264" spans="1:6" ht="12.75" x14ac:dyDescent="0.2">
      <c r="A5264" s="451"/>
      <c r="B5264" s="451"/>
      <c r="C5264" s="451"/>
      <c r="D5264" s="451"/>
      <c r="E5264" s="468"/>
      <c r="F5264" s="468"/>
    </row>
    <row r="5265" spans="1:6" ht="12.75" x14ac:dyDescent="0.2">
      <c r="A5265" s="451"/>
      <c r="B5265" s="451"/>
      <c r="C5265" s="451"/>
      <c r="D5265" s="451"/>
      <c r="E5265" s="468"/>
      <c r="F5265" s="468"/>
    </row>
    <row r="5266" spans="1:6" ht="12.75" x14ac:dyDescent="0.2">
      <c r="A5266" s="451"/>
      <c r="B5266" s="451"/>
      <c r="C5266" s="451"/>
      <c r="D5266" s="451"/>
      <c r="E5266" s="468"/>
      <c r="F5266" s="468"/>
    </row>
    <row r="5267" spans="1:6" ht="12.75" x14ac:dyDescent="0.2">
      <c r="A5267" s="451"/>
      <c r="B5267" s="451"/>
      <c r="C5267" s="451"/>
      <c r="D5267" s="451"/>
      <c r="E5267" s="468"/>
      <c r="F5267" s="468"/>
    </row>
    <row r="5268" spans="1:6" ht="12.75" x14ac:dyDescent="0.2">
      <c r="A5268" s="451"/>
      <c r="B5268" s="451"/>
      <c r="C5268" s="451"/>
      <c r="D5268" s="451"/>
      <c r="E5268" s="468"/>
      <c r="F5268" s="468"/>
    </row>
    <row r="5269" spans="1:6" ht="12.75" x14ac:dyDescent="0.2">
      <c r="A5269" s="451"/>
      <c r="B5269" s="451"/>
      <c r="C5269" s="451"/>
      <c r="D5269" s="451"/>
      <c r="E5269" s="468"/>
      <c r="F5269" s="468"/>
    </row>
    <row r="5270" spans="1:6" ht="12.75" x14ac:dyDescent="0.2">
      <c r="A5270" s="451"/>
      <c r="B5270" s="451"/>
      <c r="C5270" s="451"/>
      <c r="D5270" s="451"/>
      <c r="E5270" s="468"/>
      <c r="F5270" s="468"/>
    </row>
    <row r="5271" spans="1:6" ht="12.75" x14ac:dyDescent="0.2">
      <c r="A5271" s="451"/>
      <c r="B5271" s="451"/>
      <c r="C5271" s="451"/>
      <c r="D5271" s="451"/>
      <c r="E5271" s="468"/>
      <c r="F5271" s="468"/>
    </row>
    <row r="5272" spans="1:6" ht="12.75" x14ac:dyDescent="0.2">
      <c r="A5272" s="451"/>
      <c r="B5272" s="451"/>
      <c r="C5272" s="451"/>
      <c r="D5272" s="451"/>
      <c r="E5272" s="468"/>
      <c r="F5272" s="468"/>
    </row>
    <row r="5273" spans="1:6" ht="12.75" x14ac:dyDescent="0.2">
      <c r="A5273" s="451"/>
      <c r="B5273" s="451"/>
      <c r="C5273" s="451"/>
      <c r="D5273" s="451"/>
      <c r="E5273" s="468"/>
      <c r="F5273" s="468"/>
    </row>
    <row r="5274" spans="1:6" ht="12.75" x14ac:dyDescent="0.2">
      <c r="A5274" s="451"/>
      <c r="B5274" s="451"/>
      <c r="C5274" s="451"/>
      <c r="D5274" s="451"/>
      <c r="E5274" s="468"/>
      <c r="F5274" s="468"/>
    </row>
    <row r="5275" spans="1:6" ht="12.75" x14ac:dyDescent="0.2">
      <c r="A5275" s="451"/>
      <c r="B5275" s="451"/>
      <c r="C5275" s="451"/>
      <c r="D5275" s="451"/>
      <c r="E5275" s="468"/>
      <c r="F5275" s="468"/>
    </row>
    <row r="5276" spans="1:6" ht="12.75" x14ac:dyDescent="0.2">
      <c r="A5276" s="451"/>
      <c r="B5276" s="451"/>
      <c r="C5276" s="451"/>
      <c r="D5276" s="451"/>
      <c r="E5276" s="468"/>
      <c r="F5276" s="468"/>
    </row>
    <row r="5277" spans="1:6" ht="12.75" x14ac:dyDescent="0.2">
      <c r="A5277" s="451"/>
      <c r="B5277" s="451"/>
      <c r="C5277" s="451"/>
      <c r="D5277" s="451"/>
      <c r="E5277" s="468"/>
      <c r="F5277" s="468"/>
    </row>
    <row r="5278" spans="1:6" ht="12.75" x14ac:dyDescent="0.2">
      <c r="A5278" s="451"/>
      <c r="B5278" s="451"/>
      <c r="C5278" s="451"/>
      <c r="D5278" s="451"/>
      <c r="E5278" s="468"/>
      <c r="F5278" s="468"/>
    </row>
    <row r="5279" spans="1:6" ht="12.75" x14ac:dyDescent="0.2">
      <c r="A5279" s="451"/>
      <c r="B5279" s="451"/>
      <c r="C5279" s="451"/>
      <c r="D5279" s="451"/>
      <c r="E5279" s="468"/>
      <c r="F5279" s="468"/>
    </row>
    <row r="5280" spans="1:6" ht="12.75" x14ac:dyDescent="0.2">
      <c r="A5280" s="451"/>
      <c r="B5280" s="451"/>
      <c r="C5280" s="451"/>
      <c r="D5280" s="451"/>
      <c r="E5280" s="468"/>
      <c r="F5280" s="468"/>
    </row>
    <row r="5281" spans="1:6" ht="12.75" x14ac:dyDescent="0.2">
      <c r="A5281" s="451"/>
      <c r="B5281" s="451"/>
      <c r="C5281" s="451"/>
      <c r="D5281" s="451"/>
      <c r="E5281" s="468"/>
      <c r="F5281" s="468"/>
    </row>
    <row r="5282" spans="1:6" ht="12.75" x14ac:dyDescent="0.2">
      <c r="A5282" s="451"/>
      <c r="B5282" s="451"/>
      <c r="C5282" s="451"/>
      <c r="D5282" s="451"/>
      <c r="E5282" s="468"/>
      <c r="F5282" s="468"/>
    </row>
    <row r="5283" spans="1:6" ht="12.75" x14ac:dyDescent="0.2">
      <c r="A5283" s="451"/>
      <c r="B5283" s="451"/>
      <c r="C5283" s="451"/>
      <c r="D5283" s="451"/>
      <c r="E5283" s="468"/>
      <c r="F5283" s="468"/>
    </row>
    <row r="5284" spans="1:6" ht="12.75" x14ac:dyDescent="0.2">
      <c r="A5284" s="451"/>
      <c r="B5284" s="451"/>
      <c r="C5284" s="451"/>
      <c r="D5284" s="451"/>
      <c r="E5284" s="468"/>
      <c r="F5284" s="468"/>
    </row>
    <row r="5285" spans="1:6" ht="12.75" x14ac:dyDescent="0.2">
      <c r="A5285" s="451"/>
      <c r="B5285" s="451"/>
      <c r="C5285" s="451"/>
      <c r="D5285" s="451"/>
      <c r="E5285" s="468"/>
      <c r="F5285" s="468"/>
    </row>
    <row r="5286" spans="1:6" ht="12.75" x14ac:dyDescent="0.2">
      <c r="A5286" s="451"/>
      <c r="B5286" s="451"/>
      <c r="C5286" s="451"/>
      <c r="D5286" s="451"/>
      <c r="E5286" s="468"/>
      <c r="F5286" s="468"/>
    </row>
    <row r="5287" spans="1:6" ht="12.75" x14ac:dyDescent="0.2">
      <c r="A5287" s="451"/>
      <c r="B5287" s="451"/>
      <c r="C5287" s="451"/>
      <c r="D5287" s="451"/>
      <c r="E5287" s="468"/>
      <c r="F5287" s="468"/>
    </row>
    <row r="5288" spans="1:6" ht="12.75" x14ac:dyDescent="0.2">
      <c r="A5288" s="451"/>
      <c r="B5288" s="451"/>
      <c r="C5288" s="451"/>
      <c r="D5288" s="451"/>
      <c r="E5288" s="468"/>
      <c r="F5288" s="468"/>
    </row>
    <row r="5289" spans="1:6" ht="12.75" x14ac:dyDescent="0.2">
      <c r="A5289" s="451"/>
      <c r="B5289" s="451"/>
      <c r="C5289" s="451"/>
      <c r="D5289" s="451"/>
      <c r="E5289" s="468"/>
      <c r="F5289" s="468"/>
    </row>
    <row r="5290" spans="1:6" ht="12.75" x14ac:dyDescent="0.2">
      <c r="A5290" s="451"/>
      <c r="B5290" s="451"/>
      <c r="C5290" s="451"/>
      <c r="D5290" s="451"/>
      <c r="E5290" s="468"/>
      <c r="F5290" s="468"/>
    </row>
    <row r="5291" spans="1:6" ht="12.75" x14ac:dyDescent="0.2">
      <c r="A5291" s="451"/>
      <c r="B5291" s="451"/>
      <c r="C5291" s="451"/>
      <c r="D5291" s="451"/>
      <c r="E5291" s="468"/>
      <c r="F5291" s="468"/>
    </row>
    <row r="5292" spans="1:6" ht="12.75" x14ac:dyDescent="0.2">
      <c r="A5292" s="451"/>
      <c r="B5292" s="451"/>
      <c r="C5292" s="451"/>
      <c r="D5292" s="451"/>
      <c r="E5292" s="468"/>
      <c r="F5292" s="468"/>
    </row>
    <row r="5293" spans="1:6" ht="12.75" x14ac:dyDescent="0.2">
      <c r="A5293" s="451"/>
      <c r="B5293" s="451"/>
      <c r="C5293" s="451"/>
      <c r="D5293" s="451"/>
      <c r="E5293" s="468"/>
      <c r="F5293" s="468"/>
    </row>
    <row r="5294" spans="1:6" ht="12.75" x14ac:dyDescent="0.2">
      <c r="A5294" s="451"/>
      <c r="B5294" s="451"/>
      <c r="C5294" s="451"/>
      <c r="D5294" s="451"/>
      <c r="E5294" s="468"/>
      <c r="F5294" s="468"/>
    </row>
    <row r="5295" spans="1:6" ht="12.75" x14ac:dyDescent="0.2">
      <c r="A5295" s="451"/>
      <c r="B5295" s="451"/>
      <c r="C5295" s="451"/>
      <c r="D5295" s="451"/>
      <c r="E5295" s="468"/>
      <c r="F5295" s="468"/>
    </row>
    <row r="5296" spans="1:6" ht="12.75" x14ac:dyDescent="0.2">
      <c r="A5296" s="451"/>
      <c r="B5296" s="451"/>
      <c r="C5296" s="451"/>
      <c r="D5296" s="451"/>
      <c r="E5296" s="468"/>
      <c r="F5296" s="468"/>
    </row>
    <row r="5297" spans="1:6" ht="12.75" x14ac:dyDescent="0.2">
      <c r="A5297" s="451"/>
      <c r="B5297" s="451"/>
      <c r="C5297" s="451"/>
      <c r="D5297" s="451"/>
      <c r="E5297" s="468"/>
      <c r="F5297" s="468"/>
    </row>
    <row r="5298" spans="1:6" ht="12.75" x14ac:dyDescent="0.2">
      <c r="A5298" s="451"/>
      <c r="B5298" s="451"/>
      <c r="C5298" s="451"/>
      <c r="D5298" s="451"/>
      <c r="E5298" s="468"/>
      <c r="F5298" s="468"/>
    </row>
    <row r="5299" spans="1:6" ht="12.75" x14ac:dyDescent="0.2">
      <c r="A5299" s="451"/>
      <c r="B5299" s="451"/>
      <c r="C5299" s="451"/>
      <c r="D5299" s="451"/>
      <c r="E5299" s="468"/>
      <c r="F5299" s="468"/>
    </row>
    <row r="5300" spans="1:6" ht="12.75" x14ac:dyDescent="0.2">
      <c r="A5300" s="451"/>
      <c r="B5300" s="451"/>
      <c r="C5300" s="451"/>
      <c r="D5300" s="451"/>
      <c r="E5300" s="468"/>
      <c r="F5300" s="468"/>
    </row>
    <row r="5301" spans="1:6" ht="12.75" x14ac:dyDescent="0.2">
      <c r="A5301" s="451"/>
      <c r="B5301" s="451"/>
      <c r="C5301" s="451"/>
      <c r="D5301" s="451"/>
      <c r="E5301" s="468"/>
      <c r="F5301" s="468"/>
    </row>
    <row r="5302" spans="1:6" ht="12.75" x14ac:dyDescent="0.2">
      <c r="A5302" s="451"/>
      <c r="B5302" s="451"/>
      <c r="C5302" s="451"/>
      <c r="D5302" s="451"/>
      <c r="E5302" s="468"/>
      <c r="F5302" s="468"/>
    </row>
    <row r="5303" spans="1:6" ht="12.75" x14ac:dyDescent="0.2">
      <c r="A5303" s="451"/>
      <c r="B5303" s="451"/>
      <c r="C5303" s="451"/>
      <c r="D5303" s="451"/>
      <c r="E5303" s="468"/>
      <c r="F5303" s="468"/>
    </row>
    <row r="5304" spans="1:6" ht="12.75" x14ac:dyDescent="0.2">
      <c r="A5304" s="451"/>
      <c r="B5304" s="451"/>
      <c r="C5304" s="451"/>
      <c r="D5304" s="451"/>
      <c r="E5304" s="468"/>
      <c r="F5304" s="468"/>
    </row>
    <row r="5305" spans="1:6" ht="12.75" x14ac:dyDescent="0.2">
      <c r="A5305" s="451"/>
      <c r="B5305" s="451"/>
      <c r="C5305" s="451"/>
      <c r="D5305" s="451"/>
      <c r="E5305" s="468"/>
      <c r="F5305" s="468"/>
    </row>
    <row r="5306" spans="1:6" ht="12.75" x14ac:dyDescent="0.2">
      <c r="A5306" s="451"/>
      <c r="B5306" s="451"/>
      <c r="C5306" s="451"/>
      <c r="D5306" s="451"/>
      <c r="E5306" s="468"/>
      <c r="F5306" s="468"/>
    </row>
    <row r="5307" spans="1:6" ht="12.75" x14ac:dyDescent="0.2">
      <c r="A5307" s="451"/>
      <c r="B5307" s="451"/>
      <c r="C5307" s="451"/>
      <c r="D5307" s="451"/>
      <c r="E5307" s="468"/>
      <c r="F5307" s="468"/>
    </row>
    <row r="5308" spans="1:6" ht="12.75" x14ac:dyDescent="0.2">
      <c r="A5308" s="451"/>
      <c r="B5308" s="451"/>
      <c r="C5308" s="451"/>
      <c r="D5308" s="451"/>
      <c r="E5308" s="468"/>
      <c r="F5308" s="468"/>
    </row>
    <row r="5309" spans="1:6" ht="12.75" x14ac:dyDescent="0.2">
      <c r="A5309" s="451"/>
      <c r="B5309" s="451"/>
      <c r="C5309" s="451"/>
      <c r="D5309" s="451"/>
      <c r="E5309" s="468"/>
      <c r="F5309" s="468"/>
    </row>
    <row r="5310" spans="1:6" ht="12.75" x14ac:dyDescent="0.2">
      <c r="A5310" s="451"/>
      <c r="B5310" s="451"/>
      <c r="C5310" s="451"/>
      <c r="D5310" s="451"/>
      <c r="E5310" s="468"/>
      <c r="F5310" s="468"/>
    </row>
    <row r="5311" spans="1:6" ht="12.75" x14ac:dyDescent="0.2">
      <c r="A5311" s="451"/>
      <c r="B5311" s="451"/>
      <c r="C5311" s="451"/>
      <c r="D5311" s="451"/>
      <c r="E5311" s="468"/>
      <c r="F5311" s="468"/>
    </row>
    <row r="5312" spans="1:6" ht="12.75" x14ac:dyDescent="0.2">
      <c r="A5312" s="451"/>
      <c r="B5312" s="451"/>
      <c r="C5312" s="451"/>
      <c r="D5312" s="451"/>
      <c r="E5312" s="468"/>
      <c r="F5312" s="468"/>
    </row>
    <row r="5313" spans="1:6" ht="12.75" x14ac:dyDescent="0.2">
      <c r="A5313" s="451"/>
      <c r="B5313" s="451"/>
      <c r="C5313" s="451"/>
      <c r="D5313" s="451"/>
      <c r="E5313" s="468"/>
      <c r="F5313" s="468"/>
    </row>
    <row r="5314" spans="1:6" ht="12.75" x14ac:dyDescent="0.2">
      <c r="A5314" s="451"/>
      <c r="B5314" s="451"/>
      <c r="C5314" s="451"/>
      <c r="D5314" s="451"/>
      <c r="E5314" s="468"/>
      <c r="F5314" s="468"/>
    </row>
    <row r="5315" spans="1:6" ht="12.75" x14ac:dyDescent="0.2">
      <c r="A5315" s="451"/>
      <c r="B5315" s="451"/>
      <c r="C5315" s="451"/>
      <c r="D5315" s="451"/>
      <c r="E5315" s="468"/>
      <c r="F5315" s="468"/>
    </row>
    <row r="5316" spans="1:6" ht="12.75" x14ac:dyDescent="0.2">
      <c r="A5316" s="451"/>
      <c r="B5316" s="451"/>
      <c r="C5316" s="451"/>
      <c r="D5316" s="451"/>
      <c r="E5316" s="468"/>
      <c r="F5316" s="468"/>
    </row>
    <row r="5317" spans="1:6" ht="12.75" x14ac:dyDescent="0.2">
      <c r="A5317" s="451"/>
      <c r="B5317" s="451"/>
      <c r="C5317" s="451"/>
      <c r="D5317" s="451"/>
      <c r="E5317" s="468"/>
      <c r="F5317" s="468"/>
    </row>
    <row r="5318" spans="1:6" ht="12.75" x14ac:dyDescent="0.2">
      <c r="A5318" s="451"/>
      <c r="B5318" s="451"/>
      <c r="C5318" s="451"/>
      <c r="D5318" s="451"/>
      <c r="E5318" s="468"/>
      <c r="F5318" s="468"/>
    </row>
    <row r="5319" spans="1:6" ht="12.75" x14ac:dyDescent="0.2">
      <c r="A5319" s="451"/>
      <c r="B5319" s="451"/>
      <c r="C5319" s="451"/>
      <c r="D5319" s="451"/>
      <c r="E5319" s="468"/>
      <c r="F5319" s="468"/>
    </row>
    <row r="5320" spans="1:6" ht="12.75" x14ac:dyDescent="0.2">
      <c r="A5320" s="451"/>
      <c r="B5320" s="451"/>
      <c r="C5320" s="451"/>
      <c r="D5320" s="451"/>
      <c r="E5320" s="468"/>
      <c r="F5320" s="468"/>
    </row>
    <row r="5321" spans="1:6" ht="12.75" x14ac:dyDescent="0.2">
      <c r="A5321" s="451"/>
      <c r="B5321" s="451"/>
      <c r="C5321" s="451"/>
      <c r="D5321" s="451"/>
      <c r="E5321" s="468"/>
      <c r="F5321" s="468"/>
    </row>
    <row r="5322" spans="1:6" ht="12.75" x14ac:dyDescent="0.2">
      <c r="A5322" s="451"/>
      <c r="B5322" s="451"/>
      <c r="C5322" s="451"/>
      <c r="D5322" s="451"/>
      <c r="E5322" s="468"/>
      <c r="F5322" s="468"/>
    </row>
    <row r="5323" spans="1:6" ht="12.75" x14ac:dyDescent="0.2">
      <c r="A5323" s="451"/>
      <c r="B5323" s="451"/>
      <c r="C5323" s="451"/>
      <c r="D5323" s="451"/>
      <c r="E5323" s="468"/>
      <c r="F5323" s="468"/>
    </row>
    <row r="5324" spans="1:6" ht="12.75" x14ac:dyDescent="0.2">
      <c r="A5324" s="451"/>
      <c r="B5324" s="451"/>
      <c r="C5324" s="451"/>
      <c r="D5324" s="451"/>
      <c r="E5324" s="468"/>
      <c r="F5324" s="468"/>
    </row>
    <row r="5325" spans="1:6" ht="12.75" x14ac:dyDescent="0.2">
      <c r="A5325" s="451"/>
      <c r="B5325" s="451"/>
      <c r="C5325" s="451"/>
      <c r="D5325" s="451"/>
      <c r="E5325" s="468"/>
      <c r="F5325" s="468"/>
    </row>
    <row r="5326" spans="1:6" ht="12.75" x14ac:dyDescent="0.2">
      <c r="A5326" s="451"/>
      <c r="B5326" s="451"/>
      <c r="C5326" s="451"/>
      <c r="D5326" s="451"/>
      <c r="E5326" s="468"/>
      <c r="F5326" s="468"/>
    </row>
    <row r="5327" spans="1:6" ht="12.75" x14ac:dyDescent="0.2">
      <c r="A5327" s="451"/>
      <c r="B5327" s="451"/>
      <c r="C5327" s="451"/>
      <c r="D5327" s="451"/>
      <c r="E5327" s="468"/>
      <c r="F5327" s="468"/>
    </row>
    <row r="5328" spans="1:6" ht="12.75" x14ac:dyDescent="0.2">
      <c r="A5328" s="451"/>
      <c r="B5328" s="451"/>
      <c r="C5328" s="451"/>
      <c r="D5328" s="451"/>
      <c r="E5328" s="468"/>
      <c r="F5328" s="468"/>
    </row>
    <row r="5329" spans="1:6" ht="12.75" x14ac:dyDescent="0.2">
      <c r="A5329" s="451"/>
      <c r="B5329" s="451"/>
      <c r="C5329" s="451"/>
      <c r="D5329" s="451"/>
      <c r="E5329" s="468"/>
      <c r="F5329" s="468"/>
    </row>
    <row r="5330" spans="1:6" ht="12.75" x14ac:dyDescent="0.2">
      <c r="A5330" s="451"/>
      <c r="B5330" s="451"/>
      <c r="C5330" s="451"/>
      <c r="D5330" s="451"/>
      <c r="E5330" s="468"/>
      <c r="F5330" s="468"/>
    </row>
    <row r="5331" spans="1:6" ht="12.75" x14ac:dyDescent="0.2">
      <c r="A5331" s="451"/>
      <c r="B5331" s="451"/>
      <c r="C5331" s="451"/>
      <c r="D5331" s="451"/>
      <c r="E5331" s="468"/>
      <c r="F5331" s="468"/>
    </row>
    <row r="5332" spans="1:6" ht="12.75" x14ac:dyDescent="0.2">
      <c r="A5332" s="451"/>
      <c r="B5332" s="451"/>
      <c r="C5332" s="451"/>
      <c r="D5332" s="451"/>
      <c r="E5332" s="468"/>
      <c r="F5332" s="468"/>
    </row>
    <row r="5333" spans="1:6" ht="12.75" x14ac:dyDescent="0.2">
      <c r="A5333" s="451"/>
      <c r="B5333" s="451"/>
      <c r="C5333" s="451"/>
      <c r="D5333" s="451"/>
      <c r="E5333" s="468"/>
      <c r="F5333" s="468"/>
    </row>
    <row r="5334" spans="1:6" ht="12.75" x14ac:dyDescent="0.2">
      <c r="A5334" s="451"/>
      <c r="B5334" s="451"/>
      <c r="C5334" s="451"/>
      <c r="D5334" s="451"/>
      <c r="E5334" s="468"/>
      <c r="F5334" s="468"/>
    </row>
    <row r="5335" spans="1:6" ht="12.75" x14ac:dyDescent="0.2">
      <c r="A5335" s="451"/>
      <c r="B5335" s="451"/>
      <c r="C5335" s="451"/>
      <c r="D5335" s="451"/>
      <c r="E5335" s="468"/>
      <c r="F5335" s="468"/>
    </row>
    <row r="5336" spans="1:6" ht="12.75" x14ac:dyDescent="0.2">
      <c r="A5336" s="451"/>
      <c r="B5336" s="451"/>
      <c r="C5336" s="451"/>
      <c r="D5336" s="451"/>
      <c r="E5336" s="468"/>
      <c r="F5336" s="468"/>
    </row>
    <row r="5337" spans="1:6" ht="12.75" x14ac:dyDescent="0.2">
      <c r="A5337" s="451"/>
      <c r="B5337" s="451"/>
      <c r="C5337" s="451"/>
      <c r="D5337" s="451"/>
      <c r="E5337" s="468"/>
      <c r="F5337" s="468"/>
    </row>
    <row r="5338" spans="1:6" ht="12.75" x14ac:dyDescent="0.2">
      <c r="A5338" s="451"/>
      <c r="B5338" s="451"/>
      <c r="C5338" s="451"/>
      <c r="D5338" s="451"/>
      <c r="E5338" s="468"/>
      <c r="F5338" s="468"/>
    </row>
    <row r="5339" spans="1:6" ht="12.75" x14ac:dyDescent="0.2">
      <c r="A5339" s="451"/>
      <c r="B5339" s="451"/>
      <c r="C5339" s="451"/>
      <c r="D5339" s="451"/>
      <c r="E5339" s="468"/>
      <c r="F5339" s="468"/>
    </row>
    <row r="5340" spans="1:6" ht="12.75" x14ac:dyDescent="0.2">
      <c r="A5340" s="451"/>
      <c r="B5340" s="451"/>
      <c r="C5340" s="451"/>
      <c r="D5340" s="451"/>
      <c r="E5340" s="468"/>
      <c r="F5340" s="468"/>
    </row>
    <row r="5341" spans="1:6" ht="12.75" x14ac:dyDescent="0.2">
      <c r="A5341" s="451"/>
      <c r="B5341" s="451"/>
      <c r="C5341" s="451"/>
      <c r="D5341" s="451"/>
      <c r="E5341" s="468"/>
      <c r="F5341" s="468"/>
    </row>
    <row r="5342" spans="1:6" ht="12.75" x14ac:dyDescent="0.2">
      <c r="A5342" s="451"/>
      <c r="B5342" s="451"/>
      <c r="C5342" s="451"/>
      <c r="D5342" s="451"/>
      <c r="E5342" s="468"/>
      <c r="F5342" s="468"/>
    </row>
    <row r="5343" spans="1:6" ht="12.75" x14ac:dyDescent="0.2">
      <c r="A5343" s="451"/>
      <c r="B5343" s="451"/>
      <c r="C5343" s="451"/>
      <c r="D5343" s="451"/>
      <c r="E5343" s="468"/>
      <c r="F5343" s="468"/>
    </row>
    <row r="5344" spans="1:6" ht="12.75" x14ac:dyDescent="0.2">
      <c r="A5344" s="451"/>
      <c r="B5344" s="451"/>
      <c r="C5344" s="451"/>
      <c r="D5344" s="451"/>
      <c r="E5344" s="468"/>
      <c r="F5344" s="468"/>
    </row>
    <row r="5345" spans="1:6" ht="12.75" x14ac:dyDescent="0.2">
      <c r="A5345" s="451"/>
      <c r="B5345" s="451"/>
      <c r="C5345" s="451"/>
      <c r="D5345" s="451"/>
      <c r="E5345" s="468"/>
      <c r="F5345" s="468"/>
    </row>
    <row r="5346" spans="1:6" ht="12.75" x14ac:dyDescent="0.2">
      <c r="A5346" s="451"/>
      <c r="B5346" s="451"/>
      <c r="C5346" s="451"/>
      <c r="D5346" s="451"/>
      <c r="E5346" s="468"/>
      <c r="F5346" s="468"/>
    </row>
    <row r="5347" spans="1:6" ht="12.75" x14ac:dyDescent="0.2">
      <c r="A5347" s="451"/>
      <c r="B5347" s="451"/>
      <c r="C5347" s="451"/>
      <c r="D5347" s="451"/>
      <c r="E5347" s="468"/>
      <c r="F5347" s="468"/>
    </row>
    <row r="5348" spans="1:6" ht="12.75" x14ac:dyDescent="0.2">
      <c r="A5348" s="451"/>
      <c r="B5348" s="451"/>
      <c r="C5348" s="451"/>
      <c r="D5348" s="451"/>
      <c r="E5348" s="468"/>
      <c r="F5348" s="468"/>
    </row>
    <row r="5349" spans="1:6" ht="12.75" x14ac:dyDescent="0.2">
      <c r="A5349" s="451"/>
      <c r="B5349" s="451"/>
      <c r="C5349" s="451"/>
      <c r="D5349" s="451"/>
      <c r="E5349" s="468"/>
      <c r="F5349" s="468"/>
    </row>
    <row r="5350" spans="1:6" ht="12.75" x14ac:dyDescent="0.2">
      <c r="A5350" s="451"/>
      <c r="B5350" s="451"/>
      <c r="C5350" s="451"/>
      <c r="D5350" s="451"/>
      <c r="E5350" s="468"/>
      <c r="F5350" s="468"/>
    </row>
    <row r="5351" spans="1:6" ht="12.75" x14ac:dyDescent="0.2">
      <c r="A5351" s="451"/>
      <c r="B5351" s="451"/>
      <c r="C5351" s="451"/>
      <c r="D5351" s="451"/>
      <c r="E5351" s="468"/>
      <c r="F5351" s="468"/>
    </row>
    <row r="5352" spans="1:6" ht="12.75" x14ac:dyDescent="0.2">
      <c r="A5352" s="451"/>
      <c r="B5352" s="451"/>
      <c r="C5352" s="451"/>
      <c r="D5352" s="451"/>
      <c r="E5352" s="468"/>
      <c r="F5352" s="468"/>
    </row>
    <row r="5353" spans="1:6" ht="12.75" x14ac:dyDescent="0.2">
      <c r="A5353" s="451"/>
      <c r="B5353" s="451"/>
      <c r="C5353" s="451"/>
      <c r="D5353" s="451"/>
      <c r="E5353" s="468"/>
      <c r="F5353" s="468"/>
    </row>
    <row r="5354" spans="1:6" ht="12.75" x14ac:dyDescent="0.2">
      <c r="A5354" s="451"/>
      <c r="B5354" s="451"/>
      <c r="C5354" s="451"/>
      <c r="D5354" s="451"/>
      <c r="E5354" s="468"/>
      <c r="F5354" s="468"/>
    </row>
    <row r="5355" spans="1:6" ht="12.75" x14ac:dyDescent="0.2">
      <c r="A5355" s="451"/>
      <c r="B5355" s="451"/>
      <c r="C5355" s="451"/>
      <c r="D5355" s="451"/>
      <c r="E5355" s="468"/>
      <c r="F5355" s="468"/>
    </row>
    <row r="5356" spans="1:6" ht="12.75" x14ac:dyDescent="0.2">
      <c r="A5356" s="451"/>
      <c r="B5356" s="451"/>
      <c r="C5356" s="451"/>
      <c r="D5356" s="451"/>
      <c r="E5356" s="468"/>
      <c r="F5356" s="468"/>
    </row>
    <row r="5357" spans="1:6" ht="12.75" x14ac:dyDescent="0.2">
      <c r="A5357" s="451"/>
      <c r="B5357" s="451"/>
      <c r="C5357" s="451"/>
      <c r="D5357" s="451"/>
      <c r="E5357" s="468"/>
      <c r="F5357" s="468"/>
    </row>
    <row r="5358" spans="1:6" ht="12.75" x14ac:dyDescent="0.2">
      <c r="A5358" s="451"/>
      <c r="B5358" s="451"/>
      <c r="C5358" s="451"/>
      <c r="D5358" s="451"/>
      <c r="E5358" s="468"/>
      <c r="F5358" s="468"/>
    </row>
    <row r="5359" spans="1:6" ht="12.75" x14ac:dyDescent="0.2">
      <c r="A5359" s="451"/>
      <c r="B5359" s="451"/>
      <c r="C5359" s="451"/>
      <c r="D5359" s="451"/>
      <c r="E5359" s="468"/>
      <c r="F5359" s="468"/>
    </row>
    <row r="5360" spans="1:6" ht="12.75" x14ac:dyDescent="0.2">
      <c r="A5360" s="451"/>
      <c r="B5360" s="451"/>
      <c r="C5360" s="451"/>
      <c r="D5360" s="451"/>
      <c r="E5360" s="468"/>
      <c r="F5360" s="468"/>
    </row>
    <row r="5361" spans="1:6" ht="12.75" x14ac:dyDescent="0.2">
      <c r="A5361" s="451"/>
      <c r="B5361" s="451"/>
      <c r="C5361" s="451"/>
      <c r="D5361" s="451"/>
      <c r="E5361" s="468"/>
      <c r="F5361" s="468"/>
    </row>
    <row r="5362" spans="1:6" ht="12.75" x14ac:dyDescent="0.2">
      <c r="A5362" s="451"/>
      <c r="B5362" s="451"/>
      <c r="C5362" s="451"/>
      <c r="D5362" s="451"/>
      <c r="E5362" s="468"/>
      <c r="F5362" s="468"/>
    </row>
    <row r="5363" spans="1:6" ht="12.75" x14ac:dyDescent="0.2">
      <c r="A5363" s="451"/>
      <c r="B5363" s="451"/>
      <c r="C5363" s="451"/>
      <c r="D5363" s="451"/>
      <c r="E5363" s="468"/>
      <c r="F5363" s="468"/>
    </row>
    <row r="5364" spans="1:6" ht="12.75" x14ac:dyDescent="0.2">
      <c r="A5364" s="451"/>
      <c r="B5364" s="451"/>
      <c r="C5364" s="451"/>
      <c r="D5364" s="451"/>
      <c r="E5364" s="468"/>
      <c r="F5364" s="468"/>
    </row>
    <row r="5365" spans="1:6" ht="12.75" x14ac:dyDescent="0.2">
      <c r="A5365" s="451"/>
      <c r="B5365" s="451"/>
      <c r="C5365" s="451"/>
      <c r="D5365" s="451"/>
      <c r="E5365" s="468"/>
      <c r="F5365" s="468"/>
    </row>
    <row r="5366" spans="1:6" ht="12.75" x14ac:dyDescent="0.2">
      <c r="A5366" s="451"/>
      <c r="B5366" s="451"/>
      <c r="C5366" s="451"/>
      <c r="D5366" s="451"/>
      <c r="E5366" s="468"/>
      <c r="F5366" s="468"/>
    </row>
    <row r="5367" spans="1:6" ht="12.75" x14ac:dyDescent="0.2">
      <c r="A5367" s="451"/>
      <c r="B5367" s="451"/>
      <c r="C5367" s="451"/>
      <c r="D5367" s="451"/>
      <c r="E5367" s="468"/>
      <c r="F5367" s="468"/>
    </row>
    <row r="5368" spans="1:6" ht="12.75" x14ac:dyDescent="0.2">
      <c r="A5368" s="451"/>
      <c r="B5368" s="451"/>
      <c r="C5368" s="451"/>
      <c r="D5368" s="451"/>
      <c r="E5368" s="468"/>
      <c r="F5368" s="468"/>
    </row>
    <row r="5369" spans="1:6" ht="12.75" x14ac:dyDescent="0.2">
      <c r="A5369" s="451"/>
      <c r="B5369" s="451"/>
      <c r="C5369" s="451"/>
      <c r="D5369" s="451"/>
      <c r="E5369" s="468"/>
      <c r="F5369" s="468"/>
    </row>
    <row r="5370" spans="1:6" ht="12.75" x14ac:dyDescent="0.2">
      <c r="A5370" s="451"/>
      <c r="B5370" s="451"/>
      <c r="C5370" s="451"/>
      <c r="D5370" s="451"/>
      <c r="E5370" s="468"/>
      <c r="F5370" s="468"/>
    </row>
    <row r="5371" spans="1:6" ht="12.75" x14ac:dyDescent="0.2">
      <c r="A5371" s="451"/>
      <c r="B5371" s="451"/>
      <c r="C5371" s="451"/>
      <c r="D5371" s="451"/>
      <c r="E5371" s="468"/>
      <c r="F5371" s="468"/>
    </row>
    <row r="5372" spans="1:6" ht="12.75" x14ac:dyDescent="0.2">
      <c r="A5372" s="451"/>
      <c r="B5372" s="451"/>
      <c r="C5372" s="451"/>
      <c r="D5372" s="451"/>
      <c r="E5372" s="468"/>
      <c r="F5372" s="468"/>
    </row>
    <row r="5373" spans="1:6" ht="12.75" x14ac:dyDescent="0.2">
      <c r="A5373" s="451"/>
      <c r="B5373" s="451"/>
      <c r="C5373" s="451"/>
      <c r="D5373" s="451"/>
      <c r="E5373" s="468"/>
      <c r="F5373" s="468"/>
    </row>
    <row r="5374" spans="1:6" ht="12.75" x14ac:dyDescent="0.2">
      <c r="A5374" s="451"/>
      <c r="B5374" s="451"/>
      <c r="C5374" s="451"/>
      <c r="D5374" s="451"/>
      <c r="E5374" s="468"/>
      <c r="F5374" s="468"/>
    </row>
    <row r="5375" spans="1:6" ht="12.75" x14ac:dyDescent="0.2">
      <c r="A5375" s="451"/>
      <c r="B5375" s="451"/>
      <c r="C5375" s="451"/>
      <c r="D5375" s="451"/>
      <c r="E5375" s="468"/>
      <c r="F5375" s="468"/>
    </row>
    <row r="5376" spans="1:6" ht="12.75" x14ac:dyDescent="0.2">
      <c r="A5376" s="451"/>
      <c r="B5376" s="451"/>
      <c r="C5376" s="451"/>
      <c r="D5376" s="451"/>
      <c r="E5376" s="468"/>
      <c r="F5376" s="468"/>
    </row>
    <row r="5377" spans="1:6" ht="12.75" x14ac:dyDescent="0.2">
      <c r="A5377" s="451"/>
      <c r="B5377" s="451"/>
      <c r="C5377" s="451"/>
      <c r="D5377" s="451"/>
      <c r="E5377" s="468"/>
      <c r="F5377" s="468"/>
    </row>
    <row r="5378" spans="1:6" ht="12.75" x14ac:dyDescent="0.2">
      <c r="A5378" s="451"/>
      <c r="B5378" s="451"/>
      <c r="C5378" s="451"/>
      <c r="D5378" s="451"/>
      <c r="E5378" s="468"/>
      <c r="F5378" s="468"/>
    </row>
    <row r="5379" spans="1:6" ht="12.75" x14ac:dyDescent="0.2">
      <c r="A5379" s="451"/>
      <c r="B5379" s="451"/>
      <c r="C5379" s="451"/>
      <c r="D5379" s="451"/>
      <c r="E5379" s="468"/>
      <c r="F5379" s="468"/>
    </row>
    <row r="5380" spans="1:6" ht="12.75" x14ac:dyDescent="0.2">
      <c r="A5380" s="451"/>
      <c r="B5380" s="451"/>
      <c r="C5380" s="451"/>
      <c r="D5380" s="451"/>
      <c r="E5380" s="468"/>
      <c r="F5380" s="468"/>
    </row>
    <row r="5381" spans="1:6" ht="12.75" x14ac:dyDescent="0.2">
      <c r="A5381" s="451"/>
      <c r="B5381" s="451"/>
      <c r="C5381" s="451"/>
      <c r="D5381" s="451"/>
      <c r="E5381" s="468"/>
      <c r="F5381" s="468"/>
    </row>
    <row r="5382" spans="1:6" ht="12.75" x14ac:dyDescent="0.2">
      <c r="A5382" s="451"/>
      <c r="B5382" s="451"/>
      <c r="C5382" s="451"/>
      <c r="D5382" s="451"/>
      <c r="E5382" s="468"/>
      <c r="F5382" s="468"/>
    </row>
    <row r="5383" spans="1:6" ht="12.75" x14ac:dyDescent="0.2">
      <c r="A5383" s="451"/>
      <c r="B5383" s="451"/>
      <c r="C5383" s="451"/>
      <c r="D5383" s="451"/>
      <c r="E5383" s="468"/>
      <c r="F5383" s="468"/>
    </row>
    <row r="5384" spans="1:6" ht="12.75" x14ac:dyDescent="0.2">
      <c r="A5384" s="451"/>
      <c r="B5384" s="451"/>
      <c r="C5384" s="451"/>
      <c r="D5384" s="451"/>
      <c r="E5384" s="468"/>
      <c r="F5384" s="468"/>
    </row>
    <row r="5385" spans="1:6" ht="12.75" x14ac:dyDescent="0.2">
      <c r="A5385" s="451"/>
      <c r="B5385" s="451"/>
      <c r="C5385" s="451"/>
      <c r="D5385" s="451"/>
      <c r="E5385" s="468"/>
      <c r="F5385" s="468"/>
    </row>
    <row r="5386" spans="1:6" ht="12.75" x14ac:dyDescent="0.2">
      <c r="A5386" s="451"/>
      <c r="B5386" s="451"/>
      <c r="C5386" s="451"/>
      <c r="D5386" s="451"/>
      <c r="E5386" s="468"/>
      <c r="F5386" s="468"/>
    </row>
    <row r="5387" spans="1:6" ht="12.75" x14ac:dyDescent="0.2">
      <c r="A5387" s="451"/>
      <c r="B5387" s="451"/>
      <c r="C5387" s="451"/>
      <c r="D5387" s="451"/>
      <c r="E5387" s="468"/>
      <c r="F5387" s="468"/>
    </row>
    <row r="5388" spans="1:6" ht="12.75" x14ac:dyDescent="0.2">
      <c r="A5388" s="451"/>
      <c r="B5388" s="451"/>
      <c r="C5388" s="451"/>
      <c r="D5388" s="451"/>
      <c r="E5388" s="468"/>
      <c r="F5388" s="468"/>
    </row>
    <row r="5389" spans="1:6" ht="12.75" x14ac:dyDescent="0.2">
      <c r="A5389" s="451"/>
      <c r="B5389" s="451"/>
      <c r="C5389" s="451"/>
      <c r="D5389" s="451"/>
      <c r="E5389" s="468"/>
      <c r="F5389" s="468"/>
    </row>
    <row r="5390" spans="1:6" ht="12.75" x14ac:dyDescent="0.2">
      <c r="A5390" s="451"/>
      <c r="B5390" s="451"/>
      <c r="C5390" s="451"/>
      <c r="D5390" s="451"/>
      <c r="E5390" s="468"/>
      <c r="F5390" s="468"/>
    </row>
    <row r="5391" spans="1:6" ht="12.75" x14ac:dyDescent="0.2">
      <c r="A5391" s="451"/>
      <c r="B5391" s="451"/>
      <c r="C5391" s="451"/>
      <c r="D5391" s="451"/>
      <c r="E5391" s="468"/>
      <c r="F5391" s="468"/>
    </row>
    <row r="5392" spans="1:6" ht="12.75" x14ac:dyDescent="0.2">
      <c r="A5392" s="451"/>
      <c r="B5392" s="451"/>
      <c r="C5392" s="451"/>
      <c r="D5392" s="451"/>
      <c r="E5392" s="468"/>
      <c r="F5392" s="468"/>
    </row>
    <row r="5393" spans="1:6" ht="12.75" x14ac:dyDescent="0.2">
      <c r="A5393" s="451"/>
      <c r="B5393" s="451"/>
      <c r="C5393" s="451"/>
      <c r="D5393" s="451"/>
      <c r="E5393" s="468"/>
      <c r="F5393" s="468"/>
    </row>
    <row r="5394" spans="1:6" ht="12.75" x14ac:dyDescent="0.2">
      <c r="A5394" s="451"/>
      <c r="B5394" s="451"/>
      <c r="C5394" s="451"/>
      <c r="D5394" s="451"/>
      <c r="E5394" s="468"/>
      <c r="F5394" s="468"/>
    </row>
    <row r="5395" spans="1:6" ht="12.75" x14ac:dyDescent="0.2">
      <c r="A5395" s="451"/>
      <c r="B5395" s="451"/>
      <c r="C5395" s="451"/>
      <c r="D5395" s="451"/>
      <c r="E5395" s="468"/>
      <c r="F5395" s="468"/>
    </row>
    <row r="5396" spans="1:6" ht="12.75" x14ac:dyDescent="0.2">
      <c r="A5396" s="451"/>
      <c r="B5396" s="451"/>
      <c r="C5396" s="451"/>
      <c r="D5396" s="451"/>
      <c r="E5396" s="468"/>
      <c r="F5396" s="468"/>
    </row>
    <row r="5397" spans="1:6" ht="12.75" x14ac:dyDescent="0.2">
      <c r="A5397" s="451"/>
      <c r="B5397" s="451"/>
      <c r="C5397" s="451"/>
      <c r="D5397" s="451"/>
      <c r="E5397" s="468"/>
      <c r="F5397" s="468"/>
    </row>
    <row r="5398" spans="1:6" ht="12.75" x14ac:dyDescent="0.2">
      <c r="A5398" s="451"/>
      <c r="B5398" s="451"/>
      <c r="C5398" s="451"/>
      <c r="D5398" s="451"/>
      <c r="E5398" s="468"/>
      <c r="F5398" s="468"/>
    </row>
    <row r="5399" spans="1:6" ht="12.75" x14ac:dyDescent="0.2">
      <c r="A5399" s="451"/>
      <c r="B5399" s="451"/>
      <c r="C5399" s="451"/>
      <c r="D5399" s="451"/>
      <c r="E5399" s="468"/>
      <c r="F5399" s="468"/>
    </row>
    <row r="5400" spans="1:6" ht="12.75" x14ac:dyDescent="0.2">
      <c r="A5400" s="451"/>
      <c r="B5400" s="451"/>
      <c r="C5400" s="451"/>
      <c r="D5400" s="451"/>
      <c r="E5400" s="468"/>
      <c r="F5400" s="468"/>
    </row>
    <row r="5401" spans="1:6" ht="12.75" x14ac:dyDescent="0.2">
      <c r="A5401" s="451"/>
      <c r="B5401" s="451"/>
      <c r="C5401" s="451"/>
      <c r="D5401" s="451"/>
      <c r="E5401" s="468"/>
      <c r="F5401" s="468"/>
    </row>
    <row r="5402" spans="1:6" ht="12.75" x14ac:dyDescent="0.2">
      <c r="A5402" s="451"/>
      <c r="B5402" s="451"/>
      <c r="C5402" s="451"/>
      <c r="D5402" s="451"/>
      <c r="E5402" s="468"/>
      <c r="F5402" s="468"/>
    </row>
    <row r="5403" spans="1:6" ht="12.75" x14ac:dyDescent="0.2">
      <c r="A5403" s="451"/>
      <c r="B5403" s="451"/>
      <c r="C5403" s="451"/>
      <c r="D5403" s="451"/>
      <c r="E5403" s="468"/>
      <c r="F5403" s="468"/>
    </row>
    <row r="5404" spans="1:6" ht="12.75" x14ac:dyDescent="0.2">
      <c r="A5404" s="451"/>
      <c r="B5404" s="451"/>
      <c r="C5404" s="451"/>
      <c r="D5404" s="451"/>
      <c r="E5404" s="468"/>
      <c r="F5404" s="468"/>
    </row>
    <row r="5405" spans="1:6" ht="12.75" x14ac:dyDescent="0.2">
      <c r="A5405" s="451"/>
      <c r="B5405" s="451"/>
      <c r="C5405" s="451"/>
      <c r="D5405" s="451"/>
      <c r="E5405" s="468"/>
      <c r="F5405" s="468"/>
    </row>
    <row r="5406" spans="1:6" ht="12.75" x14ac:dyDescent="0.2">
      <c r="A5406" s="451"/>
      <c r="B5406" s="451"/>
      <c r="C5406" s="451"/>
      <c r="D5406" s="451"/>
      <c r="E5406" s="468"/>
      <c r="F5406" s="468"/>
    </row>
    <row r="5407" spans="1:6" ht="12.75" x14ac:dyDescent="0.2">
      <c r="A5407" s="451"/>
      <c r="B5407" s="451"/>
      <c r="C5407" s="451"/>
      <c r="D5407" s="451"/>
      <c r="E5407" s="468"/>
      <c r="F5407" s="468"/>
    </row>
    <row r="5408" spans="1:6" ht="12.75" x14ac:dyDescent="0.2">
      <c r="A5408" s="451"/>
      <c r="B5408" s="451"/>
      <c r="C5408" s="451"/>
      <c r="D5408" s="451"/>
      <c r="E5408" s="468"/>
      <c r="F5408" s="468"/>
    </row>
    <row r="5409" spans="1:6" ht="12.75" x14ac:dyDescent="0.2">
      <c r="A5409" s="451"/>
      <c r="B5409" s="451"/>
      <c r="C5409" s="451"/>
      <c r="D5409" s="451"/>
      <c r="E5409" s="468"/>
      <c r="F5409" s="468"/>
    </row>
    <row r="5410" spans="1:6" ht="12.75" x14ac:dyDescent="0.2">
      <c r="A5410" s="451"/>
      <c r="B5410" s="451"/>
      <c r="C5410" s="451"/>
      <c r="D5410" s="451"/>
      <c r="E5410" s="468"/>
      <c r="F5410" s="468"/>
    </row>
    <row r="5411" spans="1:6" ht="12.75" x14ac:dyDescent="0.2">
      <c r="A5411" s="451"/>
      <c r="B5411" s="451"/>
      <c r="C5411" s="451"/>
      <c r="D5411" s="451"/>
      <c r="E5411" s="468"/>
      <c r="F5411" s="468"/>
    </row>
    <row r="5412" spans="1:6" ht="12.75" x14ac:dyDescent="0.2">
      <c r="A5412" s="451"/>
      <c r="B5412" s="451"/>
      <c r="C5412" s="451"/>
      <c r="D5412" s="451"/>
      <c r="E5412" s="468"/>
      <c r="F5412" s="468"/>
    </row>
    <row r="5413" spans="1:6" ht="12.75" x14ac:dyDescent="0.2">
      <c r="A5413" s="451"/>
      <c r="B5413" s="451"/>
      <c r="C5413" s="451"/>
      <c r="D5413" s="451"/>
      <c r="E5413" s="468"/>
      <c r="F5413" s="468"/>
    </row>
    <row r="5414" spans="1:6" ht="12.75" x14ac:dyDescent="0.2">
      <c r="A5414" s="451"/>
      <c r="B5414" s="451"/>
      <c r="C5414" s="451"/>
      <c r="D5414" s="451"/>
      <c r="E5414" s="468"/>
      <c r="F5414" s="468"/>
    </row>
    <row r="5415" spans="1:6" ht="12.75" x14ac:dyDescent="0.2">
      <c r="A5415" s="451"/>
      <c r="B5415" s="451"/>
      <c r="C5415" s="451"/>
      <c r="D5415" s="451"/>
      <c r="E5415" s="468"/>
      <c r="F5415" s="468"/>
    </row>
    <row r="5416" spans="1:6" ht="12.75" x14ac:dyDescent="0.2">
      <c r="A5416" s="451"/>
      <c r="B5416" s="451"/>
      <c r="C5416" s="451"/>
      <c r="D5416" s="451"/>
      <c r="E5416" s="468"/>
      <c r="F5416" s="468"/>
    </row>
    <row r="5417" spans="1:6" ht="12.75" x14ac:dyDescent="0.2">
      <c r="A5417" s="451"/>
      <c r="B5417" s="451"/>
      <c r="C5417" s="451"/>
      <c r="D5417" s="451"/>
      <c r="E5417" s="468"/>
      <c r="F5417" s="468"/>
    </row>
    <row r="5418" spans="1:6" ht="12.75" x14ac:dyDescent="0.2">
      <c r="A5418" s="451"/>
      <c r="B5418" s="451"/>
      <c r="C5418" s="451"/>
      <c r="D5418" s="451"/>
      <c r="E5418" s="468"/>
      <c r="F5418" s="468"/>
    </row>
    <row r="5419" spans="1:6" ht="12.75" x14ac:dyDescent="0.2">
      <c r="A5419" s="451"/>
      <c r="B5419" s="451"/>
      <c r="C5419" s="451"/>
      <c r="D5419" s="451"/>
      <c r="E5419" s="468"/>
      <c r="F5419" s="468"/>
    </row>
    <row r="5420" spans="1:6" ht="12.75" x14ac:dyDescent="0.2">
      <c r="A5420" s="451"/>
      <c r="B5420" s="451"/>
      <c r="C5420" s="451"/>
      <c r="D5420" s="451"/>
      <c r="E5420" s="468"/>
      <c r="F5420" s="468"/>
    </row>
    <row r="5421" spans="1:6" ht="12.75" x14ac:dyDescent="0.2">
      <c r="A5421" s="451"/>
      <c r="B5421" s="451"/>
      <c r="C5421" s="451"/>
      <c r="D5421" s="451"/>
      <c r="E5421" s="468"/>
      <c r="F5421" s="468"/>
    </row>
    <row r="5422" spans="1:6" ht="12.75" x14ac:dyDescent="0.2">
      <c r="A5422" s="451"/>
      <c r="B5422" s="451"/>
      <c r="C5422" s="451"/>
      <c r="D5422" s="451"/>
      <c r="E5422" s="468"/>
      <c r="F5422" s="468"/>
    </row>
    <row r="5423" spans="1:6" ht="12.75" x14ac:dyDescent="0.2">
      <c r="A5423" s="451"/>
      <c r="B5423" s="451"/>
      <c r="C5423" s="451"/>
      <c r="D5423" s="451"/>
      <c r="E5423" s="468"/>
      <c r="F5423" s="468"/>
    </row>
    <row r="5424" spans="1:6" ht="12.75" x14ac:dyDescent="0.2">
      <c r="A5424" s="451"/>
      <c r="B5424" s="451"/>
      <c r="C5424" s="451"/>
      <c r="D5424" s="451"/>
      <c r="E5424" s="468"/>
      <c r="F5424" s="468"/>
    </row>
    <row r="5425" spans="1:6" ht="12.75" x14ac:dyDescent="0.2">
      <c r="A5425" s="451"/>
      <c r="B5425" s="451"/>
      <c r="C5425" s="451"/>
      <c r="D5425" s="451"/>
      <c r="E5425" s="468"/>
      <c r="F5425" s="468"/>
    </row>
    <row r="5426" spans="1:6" ht="12.75" x14ac:dyDescent="0.2">
      <c r="A5426" s="451"/>
      <c r="B5426" s="451"/>
      <c r="C5426" s="451"/>
      <c r="D5426" s="451"/>
      <c r="E5426" s="468"/>
      <c r="F5426" s="468"/>
    </row>
    <row r="5427" spans="1:6" ht="12.75" x14ac:dyDescent="0.2">
      <c r="A5427" s="451"/>
      <c r="B5427" s="451"/>
      <c r="C5427" s="451"/>
      <c r="D5427" s="451"/>
      <c r="E5427" s="468"/>
      <c r="F5427" s="468"/>
    </row>
    <row r="5428" spans="1:6" ht="12.75" x14ac:dyDescent="0.2">
      <c r="A5428" s="451"/>
      <c r="B5428" s="451"/>
      <c r="C5428" s="451"/>
      <c r="D5428" s="451"/>
      <c r="E5428" s="468"/>
      <c r="F5428" s="468"/>
    </row>
    <row r="5429" spans="1:6" ht="12.75" x14ac:dyDescent="0.2">
      <c r="A5429" s="451"/>
      <c r="B5429" s="451"/>
      <c r="C5429" s="451"/>
      <c r="D5429" s="451"/>
      <c r="E5429" s="468"/>
      <c r="F5429" s="468"/>
    </row>
    <row r="5430" spans="1:6" ht="12.75" x14ac:dyDescent="0.2">
      <c r="A5430" s="451"/>
      <c r="B5430" s="451"/>
      <c r="C5430" s="451"/>
      <c r="D5430" s="451"/>
      <c r="E5430" s="468"/>
      <c r="F5430" s="468"/>
    </row>
    <row r="5431" spans="1:6" ht="12.75" x14ac:dyDescent="0.2">
      <c r="A5431" s="451"/>
      <c r="B5431" s="451"/>
      <c r="C5431" s="451"/>
      <c r="D5431" s="451"/>
      <c r="E5431" s="468"/>
      <c r="F5431" s="468"/>
    </row>
    <row r="5432" spans="1:6" ht="12.75" x14ac:dyDescent="0.2">
      <c r="A5432" s="451"/>
      <c r="B5432" s="451"/>
      <c r="C5432" s="451"/>
      <c r="D5432" s="451"/>
      <c r="E5432" s="468"/>
      <c r="F5432" s="468"/>
    </row>
    <row r="5433" spans="1:6" ht="12.75" x14ac:dyDescent="0.2">
      <c r="A5433" s="451"/>
      <c r="B5433" s="451"/>
      <c r="C5433" s="451"/>
      <c r="D5433" s="451"/>
      <c r="E5433" s="468"/>
      <c r="F5433" s="468"/>
    </row>
    <row r="5434" spans="1:6" ht="12.75" x14ac:dyDescent="0.2">
      <c r="A5434" s="451"/>
      <c r="B5434" s="451"/>
      <c r="C5434" s="451"/>
      <c r="D5434" s="451"/>
      <c r="E5434" s="468"/>
      <c r="F5434" s="468"/>
    </row>
    <row r="5435" spans="1:6" ht="12.75" x14ac:dyDescent="0.2">
      <c r="A5435" s="451"/>
      <c r="B5435" s="451"/>
      <c r="C5435" s="451"/>
      <c r="D5435" s="451"/>
      <c r="E5435" s="468"/>
      <c r="F5435" s="468"/>
    </row>
    <row r="5436" spans="1:6" ht="12.75" x14ac:dyDescent="0.2">
      <c r="A5436" s="451"/>
      <c r="B5436" s="451"/>
      <c r="C5436" s="451"/>
      <c r="D5436" s="451"/>
      <c r="E5436" s="468"/>
      <c r="F5436" s="468"/>
    </row>
    <row r="5437" spans="1:6" ht="12.75" x14ac:dyDescent="0.2">
      <c r="A5437" s="451"/>
      <c r="B5437" s="451"/>
      <c r="C5437" s="451"/>
      <c r="D5437" s="451"/>
      <c r="E5437" s="468"/>
      <c r="F5437" s="468"/>
    </row>
    <row r="5438" spans="1:6" ht="12.75" x14ac:dyDescent="0.2">
      <c r="A5438" s="451"/>
      <c r="B5438" s="451"/>
      <c r="C5438" s="451"/>
      <c r="D5438" s="451"/>
      <c r="E5438" s="468"/>
      <c r="F5438" s="468"/>
    </row>
    <row r="5439" spans="1:6" ht="12.75" x14ac:dyDescent="0.2">
      <c r="A5439" s="451"/>
      <c r="B5439" s="451"/>
      <c r="C5439" s="451"/>
      <c r="D5439" s="451"/>
      <c r="E5439" s="468"/>
      <c r="F5439" s="468"/>
    </row>
    <row r="5440" spans="1:6" ht="12.75" x14ac:dyDescent="0.2">
      <c r="A5440" s="451"/>
      <c r="B5440" s="451"/>
      <c r="C5440" s="451"/>
      <c r="D5440" s="451"/>
      <c r="E5440" s="468"/>
      <c r="F5440" s="468"/>
    </row>
    <row r="5441" spans="1:6" ht="12.75" x14ac:dyDescent="0.2">
      <c r="A5441" s="451"/>
      <c r="B5441" s="451"/>
      <c r="C5441" s="451"/>
      <c r="D5441" s="451"/>
      <c r="E5441" s="468"/>
      <c r="F5441" s="468"/>
    </row>
    <row r="5442" spans="1:6" ht="12.75" x14ac:dyDescent="0.2">
      <c r="A5442" s="451"/>
      <c r="B5442" s="451"/>
      <c r="C5442" s="451"/>
      <c r="D5442" s="451"/>
      <c r="E5442" s="468"/>
      <c r="F5442" s="468"/>
    </row>
    <row r="5443" spans="1:6" ht="12.75" x14ac:dyDescent="0.2">
      <c r="A5443" s="451"/>
      <c r="B5443" s="451"/>
      <c r="C5443" s="451"/>
      <c r="D5443" s="451"/>
      <c r="E5443" s="468"/>
      <c r="F5443" s="468"/>
    </row>
    <row r="5444" spans="1:6" ht="12.75" x14ac:dyDescent="0.2">
      <c r="A5444" s="451"/>
      <c r="B5444" s="451"/>
      <c r="C5444" s="451"/>
      <c r="D5444" s="451"/>
      <c r="E5444" s="468"/>
      <c r="F5444" s="468"/>
    </row>
    <row r="5445" spans="1:6" ht="12.75" x14ac:dyDescent="0.2">
      <c r="A5445" s="451"/>
      <c r="B5445" s="451"/>
      <c r="C5445" s="451"/>
      <c r="D5445" s="451"/>
      <c r="E5445" s="468"/>
      <c r="F5445" s="468"/>
    </row>
    <row r="5446" spans="1:6" ht="12.75" x14ac:dyDescent="0.2">
      <c r="A5446" s="451"/>
      <c r="B5446" s="451"/>
      <c r="C5446" s="451"/>
      <c r="D5446" s="451"/>
      <c r="E5446" s="468"/>
      <c r="F5446" s="468"/>
    </row>
    <row r="5447" spans="1:6" ht="12.75" x14ac:dyDescent="0.2">
      <c r="A5447" s="451"/>
      <c r="B5447" s="451"/>
      <c r="C5447" s="451"/>
      <c r="D5447" s="451"/>
      <c r="E5447" s="468"/>
      <c r="F5447" s="468"/>
    </row>
    <row r="5448" spans="1:6" ht="12.75" x14ac:dyDescent="0.2">
      <c r="A5448" s="451"/>
      <c r="B5448" s="451"/>
      <c r="C5448" s="451"/>
      <c r="D5448" s="451"/>
      <c r="E5448" s="468"/>
      <c r="F5448" s="468"/>
    </row>
    <row r="5449" spans="1:6" ht="12.75" x14ac:dyDescent="0.2">
      <c r="A5449" s="451"/>
      <c r="B5449" s="451"/>
      <c r="C5449" s="451"/>
      <c r="D5449" s="451"/>
      <c r="E5449" s="468"/>
      <c r="F5449" s="468"/>
    </row>
    <row r="5450" spans="1:6" ht="12.75" x14ac:dyDescent="0.2">
      <c r="A5450" s="451"/>
      <c r="B5450" s="451"/>
      <c r="C5450" s="451"/>
      <c r="D5450" s="451"/>
      <c r="E5450" s="468"/>
      <c r="F5450" s="468"/>
    </row>
    <row r="5451" spans="1:6" ht="12.75" x14ac:dyDescent="0.2">
      <c r="A5451" s="451"/>
      <c r="B5451" s="451"/>
      <c r="C5451" s="451"/>
      <c r="D5451" s="451"/>
      <c r="E5451" s="468"/>
      <c r="F5451" s="468"/>
    </row>
    <row r="5452" spans="1:6" ht="12.75" x14ac:dyDescent="0.2">
      <c r="A5452" s="451"/>
      <c r="B5452" s="451"/>
      <c r="C5452" s="451"/>
      <c r="D5452" s="451"/>
      <c r="E5452" s="468"/>
      <c r="F5452" s="468"/>
    </row>
    <row r="5453" spans="1:6" ht="12.75" x14ac:dyDescent="0.2">
      <c r="A5453" s="451"/>
      <c r="B5453" s="451"/>
      <c r="C5453" s="451"/>
      <c r="D5453" s="451"/>
      <c r="E5453" s="468"/>
      <c r="F5453" s="468"/>
    </row>
    <row r="5454" spans="1:6" ht="12.75" x14ac:dyDescent="0.2">
      <c r="A5454" s="451"/>
      <c r="B5454" s="451"/>
      <c r="C5454" s="451"/>
      <c r="D5454" s="451"/>
      <c r="E5454" s="468"/>
      <c r="F5454" s="468"/>
    </row>
    <row r="5455" spans="1:6" ht="12.75" x14ac:dyDescent="0.2">
      <c r="A5455" s="451"/>
      <c r="B5455" s="451"/>
      <c r="C5455" s="451"/>
      <c r="D5455" s="451"/>
      <c r="E5455" s="468"/>
      <c r="F5455" s="468"/>
    </row>
    <row r="5456" spans="1:6" ht="12.75" x14ac:dyDescent="0.2">
      <c r="A5456" s="451"/>
      <c r="B5456" s="451"/>
      <c r="C5456" s="451"/>
      <c r="D5456" s="451"/>
      <c r="E5456" s="468"/>
      <c r="F5456" s="468"/>
    </row>
    <row r="5457" spans="1:6" ht="12.75" x14ac:dyDescent="0.2">
      <c r="A5457" s="451"/>
      <c r="B5457" s="451"/>
      <c r="C5457" s="451"/>
      <c r="D5457" s="451"/>
      <c r="E5457" s="468"/>
      <c r="F5457" s="468"/>
    </row>
    <row r="5458" spans="1:6" ht="12.75" x14ac:dyDescent="0.2">
      <c r="A5458" s="451"/>
      <c r="B5458" s="451"/>
      <c r="C5458" s="451"/>
      <c r="D5458" s="451"/>
      <c r="E5458" s="468"/>
      <c r="F5458" s="468"/>
    </row>
    <row r="5459" spans="1:6" ht="12.75" x14ac:dyDescent="0.2">
      <c r="A5459" s="451"/>
      <c r="B5459" s="451"/>
      <c r="C5459" s="451"/>
      <c r="D5459" s="451"/>
      <c r="E5459" s="468"/>
      <c r="F5459" s="468"/>
    </row>
    <row r="5460" spans="1:6" ht="12.75" x14ac:dyDescent="0.2">
      <c r="A5460" s="451"/>
      <c r="B5460" s="451"/>
      <c r="C5460" s="451"/>
      <c r="D5460" s="451"/>
      <c r="E5460" s="468"/>
      <c r="F5460" s="468"/>
    </row>
    <row r="5461" spans="1:6" ht="12.75" x14ac:dyDescent="0.2">
      <c r="A5461" s="451"/>
      <c r="B5461" s="451"/>
      <c r="C5461" s="451"/>
      <c r="D5461" s="451"/>
      <c r="E5461" s="468"/>
      <c r="F5461" s="468"/>
    </row>
    <row r="5462" spans="1:6" ht="12.75" x14ac:dyDescent="0.2">
      <c r="A5462" s="451"/>
      <c r="B5462" s="451"/>
      <c r="C5462" s="451"/>
      <c r="D5462" s="451"/>
      <c r="E5462" s="468"/>
      <c r="F5462" s="468"/>
    </row>
    <row r="5463" spans="1:6" ht="12.75" x14ac:dyDescent="0.2">
      <c r="A5463" s="451"/>
      <c r="B5463" s="451"/>
      <c r="C5463" s="451"/>
      <c r="D5463" s="451"/>
      <c r="E5463" s="468"/>
      <c r="F5463" s="468"/>
    </row>
    <row r="5464" spans="1:6" ht="12.75" x14ac:dyDescent="0.2">
      <c r="A5464" s="451"/>
      <c r="B5464" s="451"/>
      <c r="C5464" s="451"/>
      <c r="D5464" s="451"/>
      <c r="E5464" s="468"/>
      <c r="F5464" s="468"/>
    </row>
    <row r="5465" spans="1:6" ht="12.75" x14ac:dyDescent="0.2">
      <c r="A5465" s="451"/>
      <c r="B5465" s="451"/>
      <c r="C5465" s="451"/>
      <c r="D5465" s="451"/>
      <c r="E5465" s="468"/>
      <c r="F5465" s="468"/>
    </row>
    <row r="5466" spans="1:6" ht="12.75" x14ac:dyDescent="0.2">
      <c r="A5466" s="451"/>
      <c r="B5466" s="451"/>
      <c r="C5466" s="451"/>
      <c r="D5466" s="451"/>
      <c r="E5466" s="468"/>
      <c r="F5466" s="468"/>
    </row>
    <row r="5467" spans="1:6" ht="12.75" x14ac:dyDescent="0.2">
      <c r="A5467" s="451"/>
      <c r="B5467" s="451"/>
      <c r="C5467" s="451"/>
      <c r="D5467" s="451"/>
      <c r="E5467" s="468"/>
      <c r="F5467" s="468"/>
    </row>
    <row r="5468" spans="1:6" ht="12.75" x14ac:dyDescent="0.2">
      <c r="A5468" s="451"/>
      <c r="B5468" s="451"/>
      <c r="C5468" s="451"/>
      <c r="D5468" s="451"/>
      <c r="E5468" s="468"/>
      <c r="F5468" s="468"/>
    </row>
    <row r="5469" spans="1:6" ht="12.75" x14ac:dyDescent="0.2">
      <c r="A5469" s="451"/>
      <c r="B5469" s="451"/>
      <c r="C5469" s="451"/>
      <c r="D5469" s="451"/>
      <c r="E5469" s="468"/>
      <c r="F5469" s="468"/>
    </row>
    <row r="5470" spans="1:6" ht="12.75" x14ac:dyDescent="0.2">
      <c r="A5470" s="451"/>
      <c r="B5470" s="451"/>
      <c r="C5470" s="451"/>
      <c r="D5470" s="451"/>
      <c r="E5470" s="468"/>
      <c r="F5470" s="468"/>
    </row>
    <row r="5471" spans="1:6" ht="12.75" x14ac:dyDescent="0.2">
      <c r="A5471" s="451"/>
      <c r="B5471" s="451"/>
      <c r="C5471" s="451"/>
      <c r="D5471" s="451"/>
      <c r="E5471" s="468"/>
      <c r="F5471" s="468"/>
    </row>
    <row r="5472" spans="1:6" ht="12.75" x14ac:dyDescent="0.2">
      <c r="A5472" s="451"/>
      <c r="B5472" s="451"/>
      <c r="C5472" s="451"/>
      <c r="D5472" s="451"/>
      <c r="E5472" s="468"/>
      <c r="F5472" s="468"/>
    </row>
    <row r="5473" spans="1:6" ht="12.75" x14ac:dyDescent="0.2">
      <c r="A5473" s="451"/>
      <c r="B5473" s="451"/>
      <c r="C5473" s="451"/>
      <c r="D5473" s="451"/>
      <c r="E5473" s="468"/>
      <c r="F5473" s="468"/>
    </row>
    <row r="5474" spans="1:6" ht="12.75" x14ac:dyDescent="0.2">
      <c r="A5474" s="451"/>
      <c r="B5474" s="451"/>
      <c r="C5474" s="451"/>
      <c r="D5474" s="451"/>
      <c r="E5474" s="468"/>
      <c r="F5474" s="468"/>
    </row>
    <row r="5475" spans="1:6" ht="12.75" x14ac:dyDescent="0.2">
      <c r="A5475" s="451"/>
      <c r="B5475" s="451"/>
      <c r="C5475" s="451"/>
      <c r="D5475" s="451"/>
      <c r="E5475" s="468"/>
      <c r="F5475" s="468"/>
    </row>
    <row r="5476" spans="1:6" ht="12.75" x14ac:dyDescent="0.2">
      <c r="A5476" s="451"/>
      <c r="B5476" s="451"/>
      <c r="C5476" s="451"/>
      <c r="D5476" s="451"/>
      <c r="E5476" s="468"/>
      <c r="F5476" s="468"/>
    </row>
    <row r="5477" spans="1:6" ht="12.75" x14ac:dyDescent="0.2">
      <c r="A5477" s="451"/>
      <c r="B5477" s="451"/>
      <c r="C5477" s="451"/>
      <c r="D5477" s="451"/>
      <c r="E5477" s="468"/>
      <c r="F5477" s="468"/>
    </row>
    <row r="5478" spans="1:6" ht="12.75" x14ac:dyDescent="0.2">
      <c r="A5478" s="451"/>
      <c r="B5478" s="451"/>
      <c r="C5478" s="451"/>
      <c r="D5478" s="451"/>
      <c r="E5478" s="468"/>
      <c r="F5478" s="468"/>
    </row>
    <row r="5479" spans="1:6" ht="12.75" x14ac:dyDescent="0.2">
      <c r="A5479" s="451"/>
      <c r="B5479" s="451"/>
      <c r="C5479" s="451"/>
      <c r="D5479" s="451"/>
      <c r="E5479" s="468"/>
      <c r="F5479" s="468"/>
    </row>
    <row r="5480" spans="1:6" ht="12.75" x14ac:dyDescent="0.2">
      <c r="A5480" s="451"/>
      <c r="B5480" s="451"/>
      <c r="C5480" s="451"/>
      <c r="D5480" s="451"/>
      <c r="E5480" s="468"/>
      <c r="F5480" s="468"/>
    </row>
    <row r="5481" spans="1:6" ht="12.75" x14ac:dyDescent="0.2">
      <c r="A5481" s="451"/>
      <c r="B5481" s="451"/>
      <c r="C5481" s="451"/>
      <c r="D5481" s="451"/>
      <c r="E5481" s="468"/>
      <c r="F5481" s="468"/>
    </row>
    <row r="5482" spans="1:6" ht="12.75" x14ac:dyDescent="0.2">
      <c r="A5482" s="451"/>
      <c r="B5482" s="451"/>
      <c r="C5482" s="451"/>
      <c r="D5482" s="451"/>
      <c r="E5482" s="468"/>
      <c r="F5482" s="468"/>
    </row>
    <row r="5483" spans="1:6" ht="12.75" x14ac:dyDescent="0.2">
      <c r="A5483" s="451"/>
      <c r="B5483" s="451"/>
      <c r="C5483" s="451"/>
      <c r="D5483" s="451"/>
      <c r="E5483" s="468"/>
      <c r="F5483" s="468"/>
    </row>
    <row r="5484" spans="1:6" ht="12.75" x14ac:dyDescent="0.2">
      <c r="A5484" s="451"/>
      <c r="B5484" s="451"/>
      <c r="C5484" s="451"/>
      <c r="D5484" s="451"/>
      <c r="E5484" s="468"/>
      <c r="F5484" s="468"/>
    </row>
    <row r="5485" spans="1:6" ht="12.75" x14ac:dyDescent="0.2">
      <c r="A5485" s="451"/>
      <c r="B5485" s="451"/>
      <c r="C5485" s="451"/>
      <c r="D5485" s="451"/>
      <c r="E5485" s="468"/>
      <c r="F5485" s="468"/>
    </row>
    <row r="5486" spans="1:6" ht="12.75" x14ac:dyDescent="0.2">
      <c r="A5486" s="451"/>
      <c r="B5486" s="451"/>
      <c r="C5486" s="451"/>
      <c r="D5486" s="451"/>
      <c r="E5486" s="468"/>
      <c r="F5486" s="468"/>
    </row>
    <row r="5487" spans="1:6" ht="12.75" x14ac:dyDescent="0.2">
      <c r="A5487" s="451"/>
      <c r="B5487" s="451"/>
      <c r="C5487" s="451"/>
      <c r="D5487" s="451"/>
      <c r="E5487" s="468"/>
      <c r="F5487" s="468"/>
    </row>
    <row r="5488" spans="1:6" ht="12.75" x14ac:dyDescent="0.2">
      <c r="A5488" s="451"/>
      <c r="B5488" s="451"/>
      <c r="C5488" s="451"/>
      <c r="D5488" s="451"/>
      <c r="E5488" s="468"/>
      <c r="F5488" s="468"/>
    </row>
    <row r="5489" spans="1:6" ht="12.75" x14ac:dyDescent="0.2">
      <c r="A5489" s="451"/>
      <c r="B5489" s="451"/>
      <c r="C5489" s="451"/>
      <c r="D5489" s="451"/>
      <c r="E5489" s="468"/>
      <c r="F5489" s="468"/>
    </row>
    <row r="5490" spans="1:6" ht="12.75" x14ac:dyDescent="0.2">
      <c r="A5490" s="451"/>
      <c r="B5490" s="451"/>
      <c r="C5490" s="451"/>
      <c r="D5490" s="451"/>
      <c r="E5490" s="468"/>
      <c r="F5490" s="468"/>
    </row>
    <row r="5491" spans="1:6" ht="12.75" x14ac:dyDescent="0.2">
      <c r="A5491" s="451"/>
      <c r="B5491" s="451"/>
      <c r="C5491" s="451"/>
      <c r="D5491" s="451"/>
      <c r="E5491" s="468"/>
      <c r="F5491" s="468"/>
    </row>
    <row r="5492" spans="1:6" ht="12.75" x14ac:dyDescent="0.2">
      <c r="A5492" s="451"/>
      <c r="B5492" s="451"/>
      <c r="C5492" s="451"/>
      <c r="D5492" s="451"/>
      <c r="E5492" s="468"/>
      <c r="F5492" s="468"/>
    </row>
    <row r="5493" spans="1:6" ht="12.75" x14ac:dyDescent="0.2">
      <c r="A5493" s="451"/>
      <c r="B5493" s="451"/>
      <c r="C5493" s="451"/>
      <c r="D5493" s="451"/>
      <c r="E5493" s="468"/>
      <c r="F5493" s="468"/>
    </row>
    <row r="5494" spans="1:6" ht="12.75" x14ac:dyDescent="0.2">
      <c r="A5494" s="451"/>
      <c r="B5494" s="451"/>
      <c r="C5494" s="451"/>
      <c r="D5494" s="451"/>
      <c r="E5494" s="468"/>
      <c r="F5494" s="468"/>
    </row>
    <row r="5495" spans="1:6" ht="12.75" x14ac:dyDescent="0.2">
      <c r="A5495" s="451"/>
      <c r="B5495" s="451"/>
      <c r="C5495" s="451"/>
      <c r="D5495" s="451"/>
      <c r="E5495" s="468"/>
      <c r="F5495" s="468"/>
    </row>
    <row r="5496" spans="1:6" ht="12.75" x14ac:dyDescent="0.2">
      <c r="A5496" s="451"/>
      <c r="B5496" s="451"/>
      <c r="C5496" s="451"/>
      <c r="D5496" s="451"/>
      <c r="E5496" s="468"/>
      <c r="F5496" s="468"/>
    </row>
    <row r="5497" spans="1:6" ht="12.75" x14ac:dyDescent="0.2">
      <c r="A5497" s="451"/>
      <c r="B5497" s="451"/>
      <c r="C5497" s="451"/>
      <c r="D5497" s="451"/>
      <c r="E5497" s="468"/>
      <c r="F5497" s="468"/>
    </row>
    <row r="5498" spans="1:6" ht="12.75" x14ac:dyDescent="0.2">
      <c r="A5498" s="451"/>
      <c r="B5498" s="451"/>
      <c r="C5498" s="451"/>
      <c r="D5498" s="451"/>
      <c r="E5498" s="468"/>
      <c r="F5498" s="468"/>
    </row>
    <row r="5499" spans="1:6" ht="12.75" x14ac:dyDescent="0.2">
      <c r="A5499" s="451"/>
      <c r="B5499" s="451"/>
      <c r="C5499" s="451"/>
      <c r="D5499" s="451"/>
      <c r="E5499" s="468"/>
      <c r="F5499" s="468"/>
    </row>
    <row r="5500" spans="1:6" ht="12.75" x14ac:dyDescent="0.2">
      <c r="A5500" s="451"/>
      <c r="B5500" s="451"/>
      <c r="C5500" s="451"/>
      <c r="D5500" s="451"/>
      <c r="E5500" s="468"/>
      <c r="F5500" s="468"/>
    </row>
    <row r="5501" spans="1:6" ht="12.75" x14ac:dyDescent="0.2">
      <c r="A5501" s="451"/>
      <c r="B5501" s="451"/>
      <c r="C5501" s="451"/>
      <c r="D5501" s="451"/>
      <c r="E5501" s="468"/>
      <c r="F5501" s="468"/>
    </row>
    <row r="5502" spans="1:6" ht="12.75" x14ac:dyDescent="0.2">
      <c r="A5502" s="451"/>
      <c r="B5502" s="451"/>
      <c r="C5502" s="451"/>
      <c r="D5502" s="451"/>
      <c r="E5502" s="468"/>
      <c r="F5502" s="468"/>
    </row>
    <row r="5503" spans="1:6" ht="12.75" x14ac:dyDescent="0.2">
      <c r="A5503" s="451"/>
      <c r="B5503" s="451"/>
      <c r="C5503" s="451"/>
      <c r="D5503" s="451"/>
      <c r="E5503" s="468"/>
      <c r="F5503" s="468"/>
    </row>
    <row r="5504" spans="1:6" ht="12.75" x14ac:dyDescent="0.2">
      <c r="A5504" s="451"/>
      <c r="B5504" s="451"/>
      <c r="C5504" s="451"/>
      <c r="D5504" s="451"/>
      <c r="E5504" s="468"/>
      <c r="F5504" s="468"/>
    </row>
    <row r="5505" spans="1:6" ht="12.75" x14ac:dyDescent="0.2">
      <c r="A5505" s="451"/>
      <c r="B5505" s="451"/>
      <c r="C5505" s="451"/>
      <c r="D5505" s="451"/>
      <c r="E5505" s="468"/>
      <c r="F5505" s="468"/>
    </row>
    <row r="5506" spans="1:6" ht="12.75" x14ac:dyDescent="0.2">
      <c r="A5506" s="451"/>
      <c r="B5506" s="451"/>
      <c r="C5506" s="451"/>
      <c r="D5506" s="451"/>
      <c r="E5506" s="468"/>
      <c r="F5506" s="468"/>
    </row>
    <row r="5507" spans="1:6" ht="12.75" x14ac:dyDescent="0.2">
      <c r="A5507" s="451"/>
      <c r="B5507" s="451"/>
      <c r="C5507" s="451"/>
      <c r="D5507" s="451"/>
      <c r="E5507" s="468"/>
      <c r="F5507" s="468"/>
    </row>
    <row r="5508" spans="1:6" ht="12.75" x14ac:dyDescent="0.2">
      <c r="A5508" s="451"/>
      <c r="B5508" s="451"/>
      <c r="C5508" s="451"/>
      <c r="D5508" s="451"/>
      <c r="E5508" s="468"/>
      <c r="F5508" s="468"/>
    </row>
    <row r="5509" spans="1:6" ht="12.75" x14ac:dyDescent="0.2">
      <c r="A5509" s="451"/>
      <c r="B5509" s="451"/>
      <c r="C5509" s="451"/>
      <c r="D5509" s="451"/>
      <c r="E5509" s="468"/>
      <c r="F5509" s="468"/>
    </row>
    <row r="5510" spans="1:6" ht="12.75" x14ac:dyDescent="0.2">
      <c r="A5510" s="451"/>
      <c r="B5510" s="451"/>
      <c r="C5510" s="451"/>
      <c r="D5510" s="451"/>
      <c r="E5510" s="468"/>
      <c r="F5510" s="468"/>
    </row>
    <row r="5511" spans="1:6" ht="12.75" x14ac:dyDescent="0.2">
      <c r="A5511" s="451"/>
      <c r="B5511" s="451"/>
      <c r="C5511" s="451"/>
      <c r="D5511" s="451"/>
      <c r="E5511" s="468"/>
      <c r="F5511" s="468"/>
    </row>
    <row r="5512" spans="1:6" ht="12.75" x14ac:dyDescent="0.2">
      <c r="A5512" s="451"/>
      <c r="B5512" s="451"/>
      <c r="C5512" s="451"/>
      <c r="D5512" s="451"/>
      <c r="E5512" s="468"/>
      <c r="F5512" s="468"/>
    </row>
    <row r="5513" spans="1:6" ht="12.75" x14ac:dyDescent="0.2">
      <c r="A5513" s="451"/>
      <c r="B5513" s="451"/>
      <c r="C5513" s="451"/>
      <c r="D5513" s="451"/>
      <c r="E5513" s="468"/>
      <c r="F5513" s="468"/>
    </row>
    <row r="5514" spans="1:6" ht="12.75" x14ac:dyDescent="0.2">
      <c r="A5514" s="451"/>
      <c r="B5514" s="451"/>
      <c r="C5514" s="451"/>
      <c r="D5514" s="451"/>
      <c r="E5514" s="468"/>
      <c r="F5514" s="468"/>
    </row>
    <row r="5515" spans="1:6" ht="12.75" x14ac:dyDescent="0.2">
      <c r="A5515" s="451"/>
      <c r="B5515" s="451"/>
      <c r="C5515" s="451"/>
      <c r="D5515" s="451"/>
      <c r="E5515" s="468"/>
      <c r="F5515" s="468"/>
    </row>
    <row r="5516" spans="1:6" ht="12.75" x14ac:dyDescent="0.2">
      <c r="A5516" s="451"/>
      <c r="B5516" s="451"/>
      <c r="C5516" s="451"/>
      <c r="D5516" s="451"/>
      <c r="E5516" s="468"/>
      <c r="F5516" s="468"/>
    </row>
    <row r="5517" spans="1:6" ht="12.75" x14ac:dyDescent="0.2">
      <c r="A5517" s="451"/>
      <c r="B5517" s="451"/>
      <c r="C5517" s="451"/>
      <c r="D5517" s="451"/>
      <c r="E5517" s="468"/>
      <c r="F5517" s="468"/>
    </row>
    <row r="5518" spans="1:6" ht="12.75" x14ac:dyDescent="0.2">
      <c r="A5518" s="451"/>
      <c r="B5518" s="451"/>
      <c r="C5518" s="451"/>
      <c r="D5518" s="451"/>
      <c r="E5518" s="468"/>
      <c r="F5518" s="468"/>
    </row>
    <row r="5519" spans="1:6" ht="12.75" x14ac:dyDescent="0.2">
      <c r="A5519" s="451"/>
      <c r="B5519" s="451"/>
      <c r="C5519" s="451"/>
      <c r="D5519" s="451"/>
      <c r="E5519" s="468"/>
      <c r="F5519" s="468"/>
    </row>
    <row r="5520" spans="1:6" ht="12.75" x14ac:dyDescent="0.2">
      <c r="A5520" s="451"/>
      <c r="B5520" s="451"/>
      <c r="C5520" s="451"/>
      <c r="D5520" s="451"/>
      <c r="E5520" s="468"/>
      <c r="F5520" s="468"/>
    </row>
    <row r="5521" spans="1:6" ht="12.75" x14ac:dyDescent="0.2">
      <c r="A5521" s="451"/>
      <c r="B5521" s="451"/>
      <c r="C5521" s="451"/>
      <c r="D5521" s="451"/>
      <c r="E5521" s="468"/>
      <c r="F5521" s="468"/>
    </row>
    <row r="5522" spans="1:6" ht="12.75" x14ac:dyDescent="0.2">
      <c r="A5522" s="451"/>
      <c r="B5522" s="451"/>
      <c r="C5522" s="451"/>
      <c r="D5522" s="451"/>
      <c r="E5522" s="468"/>
      <c r="F5522" s="468"/>
    </row>
    <row r="5523" spans="1:6" ht="12.75" x14ac:dyDescent="0.2">
      <c r="A5523" s="451"/>
      <c r="B5523" s="451"/>
      <c r="C5523" s="451"/>
      <c r="D5523" s="451"/>
      <c r="E5523" s="468"/>
      <c r="F5523" s="468"/>
    </row>
    <row r="5524" spans="1:6" ht="12.75" x14ac:dyDescent="0.2">
      <c r="A5524" s="451"/>
      <c r="B5524" s="451"/>
      <c r="C5524" s="451"/>
      <c r="D5524" s="451"/>
      <c r="E5524" s="468"/>
      <c r="F5524" s="468"/>
    </row>
    <row r="5525" spans="1:6" ht="12.75" x14ac:dyDescent="0.2">
      <c r="A5525" s="451"/>
      <c r="B5525" s="451"/>
      <c r="C5525" s="451"/>
      <c r="D5525" s="451"/>
      <c r="E5525" s="468"/>
      <c r="F5525" s="468"/>
    </row>
    <row r="5526" spans="1:6" ht="12.75" x14ac:dyDescent="0.2">
      <c r="A5526" s="451"/>
      <c r="B5526" s="451"/>
      <c r="C5526" s="451"/>
      <c r="D5526" s="451"/>
      <c r="E5526" s="468"/>
      <c r="F5526" s="468"/>
    </row>
    <row r="5527" spans="1:6" ht="12.75" x14ac:dyDescent="0.2">
      <c r="A5527" s="451"/>
      <c r="B5527" s="451"/>
      <c r="C5527" s="451"/>
      <c r="D5527" s="451"/>
      <c r="E5527" s="468"/>
      <c r="F5527" s="468"/>
    </row>
    <row r="5528" spans="1:6" ht="12.75" x14ac:dyDescent="0.2">
      <c r="A5528" s="451"/>
      <c r="B5528" s="451"/>
      <c r="C5528" s="451"/>
      <c r="D5528" s="451"/>
      <c r="E5528" s="468"/>
      <c r="F5528" s="468"/>
    </row>
    <row r="5529" spans="1:6" ht="12.75" x14ac:dyDescent="0.2">
      <c r="A5529" s="451"/>
      <c r="B5529" s="451"/>
      <c r="C5529" s="451"/>
      <c r="D5529" s="451"/>
      <c r="E5529" s="468"/>
      <c r="F5529" s="468"/>
    </row>
    <row r="5530" spans="1:6" ht="12.75" x14ac:dyDescent="0.2">
      <c r="A5530" s="451"/>
      <c r="B5530" s="451"/>
      <c r="C5530" s="451"/>
      <c r="D5530" s="451"/>
      <c r="E5530" s="468"/>
      <c r="F5530" s="468"/>
    </row>
    <row r="5531" spans="1:6" ht="12.75" x14ac:dyDescent="0.2">
      <c r="A5531" s="451"/>
      <c r="B5531" s="451"/>
      <c r="C5531" s="451"/>
      <c r="D5531" s="451"/>
      <c r="E5531" s="468"/>
      <c r="F5531" s="468"/>
    </row>
    <row r="5532" spans="1:6" ht="12.75" x14ac:dyDescent="0.2">
      <c r="A5532" s="451"/>
      <c r="B5532" s="451"/>
      <c r="C5532" s="451"/>
      <c r="D5532" s="451"/>
      <c r="E5532" s="468"/>
      <c r="F5532" s="468"/>
    </row>
    <row r="5533" spans="1:6" ht="12.75" x14ac:dyDescent="0.2">
      <c r="A5533" s="451"/>
      <c r="B5533" s="451"/>
      <c r="C5533" s="451"/>
      <c r="D5533" s="451"/>
      <c r="E5533" s="468"/>
      <c r="F5533" s="468"/>
    </row>
    <row r="5534" spans="1:6" ht="12.75" x14ac:dyDescent="0.2">
      <c r="A5534" s="451"/>
      <c r="B5534" s="451"/>
      <c r="C5534" s="451"/>
      <c r="D5534" s="451"/>
      <c r="E5534" s="468"/>
      <c r="F5534" s="468"/>
    </row>
    <row r="5535" spans="1:6" ht="12.75" x14ac:dyDescent="0.2">
      <c r="A5535" s="451"/>
      <c r="B5535" s="451"/>
      <c r="C5535" s="451"/>
      <c r="D5535" s="451"/>
      <c r="E5535" s="468"/>
      <c r="F5535" s="468"/>
    </row>
    <row r="5536" spans="1:6" ht="12.75" x14ac:dyDescent="0.2">
      <c r="A5536" s="451"/>
      <c r="B5536" s="451"/>
      <c r="C5536" s="451"/>
      <c r="D5536" s="451"/>
      <c r="E5536" s="468"/>
      <c r="F5536" s="468"/>
    </row>
    <row r="5537" spans="1:6" ht="12.75" x14ac:dyDescent="0.2">
      <c r="A5537" s="451"/>
      <c r="B5537" s="451"/>
      <c r="C5537" s="451"/>
      <c r="D5537" s="451"/>
      <c r="E5537" s="468"/>
      <c r="F5537" s="468"/>
    </row>
    <row r="5538" spans="1:6" ht="12.75" x14ac:dyDescent="0.2">
      <c r="A5538" s="451"/>
      <c r="B5538" s="451"/>
      <c r="C5538" s="451"/>
      <c r="D5538" s="451"/>
      <c r="E5538" s="468"/>
      <c r="F5538" s="468"/>
    </row>
    <row r="5539" spans="1:6" ht="12.75" x14ac:dyDescent="0.2">
      <c r="A5539" s="451"/>
      <c r="B5539" s="451"/>
      <c r="C5539" s="451"/>
      <c r="D5539" s="451"/>
      <c r="E5539" s="468"/>
      <c r="F5539" s="468"/>
    </row>
    <row r="5540" spans="1:6" ht="12.75" x14ac:dyDescent="0.2">
      <c r="A5540" s="451"/>
      <c r="B5540" s="451"/>
      <c r="C5540" s="451"/>
      <c r="D5540" s="451"/>
      <c r="E5540" s="468"/>
      <c r="F5540" s="468"/>
    </row>
    <row r="5541" spans="1:6" ht="12.75" x14ac:dyDescent="0.2">
      <c r="A5541" s="451"/>
      <c r="B5541" s="451"/>
      <c r="C5541" s="451"/>
      <c r="D5541" s="451"/>
      <c r="E5541" s="468"/>
      <c r="F5541" s="468"/>
    </row>
    <row r="5542" spans="1:6" ht="12.75" x14ac:dyDescent="0.2">
      <c r="A5542" s="451"/>
      <c r="B5542" s="451"/>
      <c r="C5542" s="451"/>
      <c r="D5542" s="451"/>
      <c r="E5542" s="468"/>
      <c r="F5542" s="468"/>
    </row>
    <row r="5543" spans="1:6" ht="12.75" x14ac:dyDescent="0.2">
      <c r="A5543" s="451"/>
      <c r="B5543" s="451"/>
      <c r="C5543" s="451"/>
      <c r="D5543" s="451"/>
      <c r="E5543" s="468"/>
      <c r="F5543" s="468"/>
    </row>
    <row r="5544" spans="1:6" ht="12.75" x14ac:dyDescent="0.2">
      <c r="A5544" s="451"/>
      <c r="B5544" s="451"/>
      <c r="C5544" s="451"/>
      <c r="D5544" s="451"/>
      <c r="E5544" s="468"/>
      <c r="F5544" s="468"/>
    </row>
    <row r="5545" spans="1:6" ht="12.75" x14ac:dyDescent="0.2">
      <c r="A5545" s="451"/>
      <c r="B5545" s="451"/>
      <c r="C5545" s="451"/>
      <c r="D5545" s="451"/>
      <c r="E5545" s="468"/>
      <c r="F5545" s="468"/>
    </row>
    <row r="5546" spans="1:6" ht="12.75" x14ac:dyDescent="0.2">
      <c r="A5546" s="451"/>
      <c r="B5546" s="451"/>
      <c r="C5546" s="451"/>
      <c r="D5546" s="451"/>
      <c r="E5546" s="468"/>
      <c r="F5546" s="468"/>
    </row>
    <row r="5547" spans="1:6" ht="12.75" x14ac:dyDescent="0.2">
      <c r="A5547" s="451"/>
      <c r="B5547" s="451"/>
      <c r="C5547" s="451"/>
      <c r="D5547" s="451"/>
      <c r="E5547" s="468"/>
      <c r="F5547" s="468"/>
    </row>
    <row r="5548" spans="1:6" ht="12.75" x14ac:dyDescent="0.2">
      <c r="A5548" s="451"/>
      <c r="B5548" s="451"/>
      <c r="C5548" s="451"/>
      <c r="D5548" s="451"/>
      <c r="E5548" s="468"/>
      <c r="F5548" s="468"/>
    </row>
    <row r="5549" spans="1:6" ht="12.75" x14ac:dyDescent="0.2">
      <c r="A5549" s="451"/>
      <c r="B5549" s="451"/>
      <c r="C5549" s="451"/>
      <c r="D5549" s="451"/>
      <c r="E5549" s="468"/>
      <c r="F5549" s="468"/>
    </row>
    <row r="5550" spans="1:6" ht="12.75" x14ac:dyDescent="0.2">
      <c r="A5550" s="451"/>
      <c r="B5550" s="451"/>
      <c r="C5550" s="451"/>
      <c r="D5550" s="451"/>
      <c r="E5550" s="468"/>
      <c r="F5550" s="468"/>
    </row>
    <row r="5551" spans="1:6" ht="12.75" x14ac:dyDescent="0.2">
      <c r="A5551" s="451"/>
      <c r="B5551" s="451"/>
      <c r="C5551" s="451"/>
      <c r="D5551" s="451"/>
      <c r="E5551" s="468"/>
      <c r="F5551" s="468"/>
    </row>
    <row r="5552" spans="1:6" ht="12.75" x14ac:dyDescent="0.2">
      <c r="A5552" s="451"/>
      <c r="B5552" s="451"/>
      <c r="C5552" s="451"/>
      <c r="D5552" s="451"/>
      <c r="E5552" s="468"/>
      <c r="F5552" s="468"/>
    </row>
    <row r="5553" spans="1:6" ht="12.75" x14ac:dyDescent="0.2">
      <c r="A5553" s="451"/>
      <c r="B5553" s="451"/>
      <c r="C5553" s="451"/>
      <c r="D5553" s="451"/>
      <c r="E5553" s="468"/>
      <c r="F5553" s="468"/>
    </row>
    <row r="5554" spans="1:6" ht="12.75" x14ac:dyDescent="0.2">
      <c r="A5554" s="451"/>
      <c r="B5554" s="451"/>
      <c r="C5554" s="451"/>
      <c r="D5554" s="451"/>
      <c r="E5554" s="468"/>
      <c r="F5554" s="468"/>
    </row>
    <row r="5555" spans="1:6" ht="12.75" x14ac:dyDescent="0.2">
      <c r="A5555" s="451"/>
      <c r="B5555" s="451"/>
      <c r="C5555" s="451"/>
      <c r="D5555" s="451"/>
      <c r="E5555" s="468"/>
      <c r="F5555" s="468"/>
    </row>
    <row r="5556" spans="1:6" ht="12.75" x14ac:dyDescent="0.2">
      <c r="A5556" s="451"/>
      <c r="B5556" s="451"/>
      <c r="C5556" s="451"/>
      <c r="D5556" s="451"/>
      <c r="E5556" s="468"/>
      <c r="F5556" s="468"/>
    </row>
    <row r="5557" spans="1:6" ht="12.75" x14ac:dyDescent="0.2">
      <c r="A5557" s="451"/>
      <c r="B5557" s="451"/>
      <c r="C5557" s="451"/>
      <c r="D5557" s="451"/>
      <c r="E5557" s="468"/>
      <c r="F5557" s="468"/>
    </row>
    <row r="5558" spans="1:6" ht="12.75" x14ac:dyDescent="0.2">
      <c r="A5558" s="451"/>
      <c r="B5558" s="451"/>
      <c r="C5558" s="451"/>
      <c r="D5558" s="451"/>
      <c r="E5558" s="468"/>
      <c r="F5558" s="468"/>
    </row>
    <row r="5559" spans="1:6" ht="12.75" x14ac:dyDescent="0.2">
      <c r="A5559" s="451"/>
      <c r="B5559" s="451"/>
      <c r="C5559" s="451"/>
      <c r="D5559" s="451"/>
      <c r="E5559" s="468"/>
      <c r="F5559" s="468"/>
    </row>
    <row r="5560" spans="1:6" ht="12.75" x14ac:dyDescent="0.2">
      <c r="A5560" s="451"/>
      <c r="B5560" s="451"/>
      <c r="C5560" s="451"/>
      <c r="D5560" s="451"/>
      <c r="E5560" s="468"/>
      <c r="F5560" s="468"/>
    </row>
    <row r="5561" spans="1:6" ht="12.75" x14ac:dyDescent="0.2">
      <c r="A5561" s="451"/>
      <c r="B5561" s="451"/>
      <c r="C5561" s="451"/>
      <c r="D5561" s="451"/>
      <c r="E5561" s="468"/>
      <c r="F5561" s="468"/>
    </row>
    <row r="5562" spans="1:6" ht="12.75" x14ac:dyDescent="0.2">
      <c r="A5562" s="451"/>
      <c r="B5562" s="451"/>
      <c r="C5562" s="451"/>
      <c r="D5562" s="451"/>
      <c r="E5562" s="468"/>
      <c r="F5562" s="468"/>
    </row>
    <row r="5563" spans="1:6" ht="12.75" x14ac:dyDescent="0.2">
      <c r="A5563" s="451"/>
      <c r="B5563" s="451"/>
      <c r="C5563" s="451"/>
      <c r="D5563" s="451"/>
      <c r="E5563" s="468"/>
      <c r="F5563" s="468"/>
    </row>
    <row r="5564" spans="1:6" ht="12.75" x14ac:dyDescent="0.2">
      <c r="A5564" s="451"/>
      <c r="B5564" s="451"/>
      <c r="C5564" s="451"/>
      <c r="D5564" s="451"/>
      <c r="E5564" s="468"/>
      <c r="F5564" s="468"/>
    </row>
    <row r="5565" spans="1:6" ht="12.75" x14ac:dyDescent="0.2">
      <c r="A5565" s="451"/>
      <c r="B5565" s="451"/>
      <c r="C5565" s="451"/>
      <c r="D5565" s="451"/>
      <c r="E5565" s="468"/>
      <c r="F5565" s="468"/>
    </row>
    <row r="5566" spans="1:6" ht="12.75" x14ac:dyDescent="0.2">
      <c r="A5566" s="451"/>
      <c r="B5566" s="451"/>
      <c r="C5566" s="451"/>
      <c r="D5566" s="451"/>
      <c r="E5566" s="468"/>
      <c r="F5566" s="468"/>
    </row>
    <row r="5567" spans="1:6" ht="12.75" x14ac:dyDescent="0.2">
      <c r="A5567" s="451"/>
      <c r="B5567" s="451"/>
      <c r="C5567" s="451"/>
      <c r="D5567" s="451"/>
      <c r="E5567" s="468"/>
      <c r="F5567" s="468"/>
    </row>
    <row r="5568" spans="1:6" ht="12.75" x14ac:dyDescent="0.2">
      <c r="A5568" s="451"/>
      <c r="B5568" s="451"/>
      <c r="C5568" s="451"/>
      <c r="D5568" s="451"/>
      <c r="E5568" s="468"/>
      <c r="F5568" s="468"/>
    </row>
    <row r="5569" spans="1:6" ht="12.75" x14ac:dyDescent="0.2">
      <c r="A5569" s="451"/>
      <c r="B5569" s="451"/>
      <c r="C5569" s="451"/>
      <c r="D5569" s="451"/>
      <c r="E5569" s="468"/>
      <c r="F5569" s="468"/>
    </row>
    <row r="5570" spans="1:6" ht="12.75" x14ac:dyDescent="0.2">
      <c r="A5570" s="451"/>
      <c r="B5570" s="451"/>
      <c r="C5570" s="451"/>
      <c r="D5570" s="451"/>
      <c r="E5570" s="468"/>
      <c r="F5570" s="468"/>
    </row>
    <row r="5571" spans="1:6" ht="12.75" x14ac:dyDescent="0.2">
      <c r="A5571" s="451"/>
      <c r="B5571" s="451"/>
      <c r="C5571" s="451"/>
      <c r="D5571" s="451"/>
      <c r="E5571" s="468"/>
      <c r="F5571" s="468"/>
    </row>
    <row r="5572" spans="1:6" ht="12.75" x14ac:dyDescent="0.2">
      <c r="A5572" s="451"/>
      <c r="B5572" s="451"/>
      <c r="C5572" s="451"/>
      <c r="D5572" s="451"/>
      <c r="E5572" s="468"/>
      <c r="F5572" s="468"/>
    </row>
    <row r="5573" spans="1:6" ht="12.75" x14ac:dyDescent="0.2">
      <c r="A5573" s="451"/>
      <c r="B5573" s="451"/>
      <c r="C5573" s="451"/>
      <c r="D5573" s="451"/>
      <c r="E5573" s="468"/>
      <c r="F5573" s="468"/>
    </row>
    <row r="5574" spans="1:6" ht="12.75" x14ac:dyDescent="0.2">
      <c r="A5574" s="451"/>
      <c r="B5574" s="451"/>
      <c r="C5574" s="451"/>
      <c r="D5574" s="451"/>
      <c r="E5574" s="468"/>
      <c r="F5574" s="468"/>
    </row>
    <row r="5575" spans="1:6" ht="12.75" x14ac:dyDescent="0.2">
      <c r="A5575" s="451"/>
      <c r="B5575" s="451"/>
      <c r="C5575" s="451"/>
      <c r="D5575" s="451"/>
      <c r="E5575" s="468"/>
      <c r="F5575" s="468"/>
    </row>
    <row r="5576" spans="1:6" ht="12.75" x14ac:dyDescent="0.2">
      <c r="A5576" s="451"/>
      <c r="B5576" s="451"/>
      <c r="C5576" s="451"/>
      <c r="D5576" s="451"/>
      <c r="E5576" s="468"/>
      <c r="F5576" s="468"/>
    </row>
    <row r="5577" spans="1:6" ht="12.75" x14ac:dyDescent="0.2">
      <c r="A5577" s="451"/>
      <c r="B5577" s="451"/>
      <c r="C5577" s="451"/>
      <c r="D5577" s="451"/>
      <c r="E5577" s="468"/>
      <c r="F5577" s="468"/>
    </row>
    <row r="5578" spans="1:6" ht="12.75" x14ac:dyDescent="0.2">
      <c r="A5578" s="451"/>
      <c r="B5578" s="451"/>
      <c r="C5578" s="451"/>
      <c r="D5578" s="451"/>
      <c r="E5578" s="468"/>
      <c r="F5578" s="468"/>
    </row>
    <row r="5579" spans="1:6" ht="12.75" x14ac:dyDescent="0.2">
      <c r="A5579" s="451"/>
      <c r="B5579" s="451"/>
      <c r="C5579" s="451"/>
      <c r="D5579" s="451"/>
      <c r="E5579" s="468"/>
      <c r="F5579" s="468"/>
    </row>
    <row r="5580" spans="1:6" ht="12.75" x14ac:dyDescent="0.2">
      <c r="A5580" s="451"/>
      <c r="B5580" s="451"/>
      <c r="C5580" s="451"/>
      <c r="D5580" s="451"/>
      <c r="E5580" s="468"/>
      <c r="F5580" s="468"/>
    </row>
    <row r="5581" spans="1:6" ht="12.75" x14ac:dyDescent="0.2">
      <c r="A5581" s="451"/>
      <c r="B5581" s="451"/>
      <c r="C5581" s="451"/>
      <c r="D5581" s="451"/>
      <c r="E5581" s="468"/>
      <c r="F5581" s="468"/>
    </row>
    <row r="5582" spans="1:6" ht="12.75" x14ac:dyDescent="0.2">
      <c r="A5582" s="451"/>
      <c r="B5582" s="451"/>
      <c r="C5582" s="451"/>
      <c r="D5582" s="451"/>
      <c r="E5582" s="468"/>
      <c r="F5582" s="468"/>
    </row>
    <row r="5583" spans="1:6" ht="12.75" x14ac:dyDescent="0.2">
      <c r="A5583" s="451"/>
      <c r="B5583" s="451"/>
      <c r="C5583" s="451"/>
      <c r="D5583" s="451"/>
      <c r="E5583" s="468"/>
      <c r="F5583" s="468"/>
    </row>
    <row r="5584" spans="1:6" ht="12.75" x14ac:dyDescent="0.2">
      <c r="A5584" s="451"/>
      <c r="B5584" s="451"/>
      <c r="C5584" s="451"/>
      <c r="D5584" s="451"/>
      <c r="E5584" s="468"/>
      <c r="F5584" s="468"/>
    </row>
    <row r="5585" spans="1:6" ht="12.75" x14ac:dyDescent="0.2">
      <c r="A5585" s="451"/>
      <c r="B5585" s="451"/>
      <c r="C5585" s="451"/>
      <c r="D5585" s="451"/>
      <c r="E5585" s="468"/>
      <c r="F5585" s="468"/>
    </row>
    <row r="5586" spans="1:6" ht="12.75" x14ac:dyDescent="0.2">
      <c r="A5586" s="451"/>
      <c r="B5586" s="451"/>
      <c r="C5586" s="451"/>
      <c r="D5586" s="451"/>
      <c r="E5586" s="468"/>
      <c r="F5586" s="468"/>
    </row>
    <row r="5587" spans="1:6" ht="12.75" x14ac:dyDescent="0.2">
      <c r="A5587" s="451"/>
      <c r="B5587" s="451"/>
      <c r="C5587" s="451"/>
      <c r="D5587" s="451"/>
      <c r="E5587" s="468"/>
      <c r="F5587" s="468"/>
    </row>
    <row r="5588" spans="1:6" ht="12.75" x14ac:dyDescent="0.2">
      <c r="A5588" s="451"/>
      <c r="B5588" s="451"/>
      <c r="C5588" s="451"/>
      <c r="D5588" s="451"/>
      <c r="E5588" s="468"/>
      <c r="F5588" s="468"/>
    </row>
    <row r="5589" spans="1:6" ht="12.75" x14ac:dyDescent="0.2">
      <c r="A5589" s="451"/>
      <c r="B5589" s="451"/>
      <c r="C5589" s="451"/>
      <c r="D5589" s="451"/>
      <c r="E5589" s="468"/>
      <c r="F5589" s="468"/>
    </row>
    <row r="5590" spans="1:6" ht="12.75" x14ac:dyDescent="0.2">
      <c r="A5590" s="451"/>
      <c r="B5590" s="451"/>
      <c r="C5590" s="451"/>
      <c r="D5590" s="451"/>
      <c r="E5590" s="468"/>
      <c r="F5590" s="468"/>
    </row>
    <row r="5591" spans="1:6" ht="12.75" x14ac:dyDescent="0.2">
      <c r="A5591" s="451"/>
      <c r="B5591" s="451"/>
      <c r="C5591" s="451"/>
      <c r="D5591" s="451"/>
      <c r="E5591" s="468"/>
      <c r="F5591" s="468"/>
    </row>
    <row r="5592" spans="1:6" ht="12.75" x14ac:dyDescent="0.2">
      <c r="A5592" s="451"/>
      <c r="B5592" s="451"/>
      <c r="C5592" s="451"/>
      <c r="D5592" s="451"/>
      <c r="E5592" s="468"/>
      <c r="F5592" s="468"/>
    </row>
    <row r="5593" spans="1:6" ht="12.75" x14ac:dyDescent="0.2">
      <c r="A5593" s="451"/>
      <c r="B5593" s="451"/>
      <c r="C5593" s="451"/>
      <c r="D5593" s="451"/>
      <c r="E5593" s="468"/>
      <c r="F5593" s="468"/>
    </row>
    <row r="5594" spans="1:6" ht="12.75" x14ac:dyDescent="0.2">
      <c r="A5594" s="451"/>
      <c r="B5594" s="451"/>
      <c r="C5594" s="451"/>
      <c r="D5594" s="451"/>
      <c r="E5594" s="468"/>
      <c r="F5594" s="468"/>
    </row>
    <row r="5595" spans="1:6" ht="12.75" x14ac:dyDescent="0.2">
      <c r="A5595" s="451"/>
      <c r="B5595" s="451"/>
      <c r="C5595" s="451"/>
      <c r="D5595" s="451"/>
      <c r="E5595" s="468"/>
      <c r="F5595" s="468"/>
    </row>
    <row r="5596" spans="1:6" ht="12.75" x14ac:dyDescent="0.2">
      <c r="A5596" s="451"/>
      <c r="B5596" s="451"/>
      <c r="C5596" s="451"/>
      <c r="D5596" s="451"/>
      <c r="E5596" s="468"/>
      <c r="F5596" s="468"/>
    </row>
    <row r="5597" spans="1:6" ht="12.75" x14ac:dyDescent="0.2">
      <c r="A5597" s="451"/>
      <c r="B5597" s="451"/>
      <c r="C5597" s="451"/>
      <c r="D5597" s="451"/>
      <c r="E5597" s="468"/>
      <c r="F5597" s="468"/>
    </row>
    <row r="5598" spans="1:6" ht="12.75" x14ac:dyDescent="0.2">
      <c r="A5598" s="451"/>
      <c r="B5598" s="451"/>
      <c r="C5598" s="451"/>
      <c r="D5598" s="451"/>
      <c r="E5598" s="468"/>
      <c r="F5598" s="468"/>
    </row>
    <row r="5599" spans="1:6" ht="12.75" x14ac:dyDescent="0.2">
      <c r="A5599" s="451"/>
      <c r="B5599" s="451"/>
      <c r="C5599" s="451"/>
      <c r="D5599" s="451"/>
      <c r="E5599" s="468"/>
      <c r="F5599" s="468"/>
    </row>
    <row r="5600" spans="1:6" ht="12.75" x14ac:dyDescent="0.2">
      <c r="A5600" s="451"/>
      <c r="B5600" s="451"/>
      <c r="C5600" s="451"/>
      <c r="D5600" s="451"/>
      <c r="E5600" s="468"/>
      <c r="F5600" s="468"/>
    </row>
    <row r="5601" spans="1:6" ht="12.75" x14ac:dyDescent="0.2">
      <c r="A5601" s="451"/>
      <c r="B5601" s="451"/>
      <c r="C5601" s="451"/>
      <c r="D5601" s="451"/>
      <c r="E5601" s="468"/>
      <c r="F5601" s="468"/>
    </row>
    <row r="5602" spans="1:6" ht="12.75" x14ac:dyDescent="0.2">
      <c r="A5602" s="451"/>
      <c r="B5602" s="451"/>
      <c r="C5602" s="451"/>
      <c r="D5602" s="451"/>
      <c r="E5602" s="468"/>
      <c r="F5602" s="468"/>
    </row>
    <row r="5603" spans="1:6" ht="12.75" x14ac:dyDescent="0.2">
      <c r="A5603" s="451"/>
      <c r="B5603" s="451"/>
      <c r="C5603" s="451"/>
      <c r="D5603" s="451"/>
      <c r="E5603" s="468"/>
      <c r="F5603" s="468"/>
    </row>
    <row r="5604" spans="1:6" ht="12.75" x14ac:dyDescent="0.2">
      <c r="A5604" s="451"/>
      <c r="B5604" s="451"/>
      <c r="C5604" s="451"/>
      <c r="D5604" s="451"/>
      <c r="E5604" s="468"/>
      <c r="F5604" s="468"/>
    </row>
    <row r="5605" spans="1:6" ht="12.75" x14ac:dyDescent="0.2">
      <c r="A5605" s="451"/>
      <c r="B5605" s="451"/>
      <c r="C5605" s="451"/>
      <c r="D5605" s="451"/>
      <c r="E5605" s="468"/>
      <c r="F5605" s="468"/>
    </row>
    <row r="5606" spans="1:6" ht="12.75" x14ac:dyDescent="0.2">
      <c r="A5606" s="451"/>
      <c r="B5606" s="451"/>
      <c r="C5606" s="451"/>
      <c r="D5606" s="451"/>
      <c r="E5606" s="468"/>
      <c r="F5606" s="468"/>
    </row>
    <row r="5607" spans="1:6" ht="12.75" x14ac:dyDescent="0.2">
      <c r="A5607" s="451"/>
      <c r="B5607" s="451"/>
      <c r="C5607" s="451"/>
      <c r="D5607" s="451"/>
      <c r="E5607" s="468"/>
      <c r="F5607" s="468"/>
    </row>
    <row r="5608" spans="1:6" ht="12.75" x14ac:dyDescent="0.2">
      <c r="A5608" s="451"/>
      <c r="B5608" s="451"/>
      <c r="C5608" s="451"/>
      <c r="D5608" s="451"/>
      <c r="E5608" s="468"/>
      <c r="F5608" s="468"/>
    </row>
    <row r="5609" spans="1:6" ht="12.75" x14ac:dyDescent="0.2">
      <c r="A5609" s="451"/>
      <c r="B5609" s="451"/>
      <c r="C5609" s="451"/>
      <c r="D5609" s="451"/>
      <c r="E5609" s="468"/>
      <c r="F5609" s="468"/>
    </row>
    <row r="5610" spans="1:6" ht="12.75" x14ac:dyDescent="0.2">
      <c r="A5610" s="451"/>
      <c r="B5610" s="451"/>
      <c r="C5610" s="451"/>
      <c r="D5610" s="451"/>
      <c r="E5610" s="468"/>
      <c r="F5610" s="468"/>
    </row>
    <row r="5611" spans="1:6" ht="12.75" x14ac:dyDescent="0.2">
      <c r="A5611" s="451"/>
      <c r="B5611" s="451"/>
      <c r="C5611" s="451"/>
      <c r="D5611" s="451"/>
      <c r="E5611" s="468"/>
      <c r="F5611" s="468"/>
    </row>
    <row r="5612" spans="1:6" ht="12.75" x14ac:dyDescent="0.2">
      <c r="A5612" s="451"/>
      <c r="B5612" s="451"/>
      <c r="C5612" s="451"/>
      <c r="D5612" s="451"/>
      <c r="E5612" s="468"/>
      <c r="F5612" s="468"/>
    </row>
    <row r="5613" spans="1:6" ht="12.75" x14ac:dyDescent="0.2">
      <c r="A5613" s="451"/>
      <c r="B5613" s="451"/>
      <c r="C5613" s="451"/>
      <c r="D5613" s="451"/>
      <c r="E5613" s="468"/>
      <c r="F5613" s="468"/>
    </row>
    <row r="5614" spans="1:6" ht="12.75" x14ac:dyDescent="0.2">
      <c r="A5614" s="451"/>
      <c r="B5614" s="451"/>
      <c r="C5614" s="451"/>
      <c r="D5614" s="451"/>
      <c r="E5614" s="468"/>
      <c r="F5614" s="468"/>
    </row>
    <row r="5615" spans="1:6" ht="12.75" x14ac:dyDescent="0.2">
      <c r="A5615" s="451"/>
      <c r="B5615" s="451"/>
      <c r="C5615" s="451"/>
      <c r="D5615" s="451"/>
      <c r="E5615" s="468"/>
      <c r="F5615" s="468"/>
    </row>
    <row r="5616" spans="1:6" ht="12.75" x14ac:dyDescent="0.2">
      <c r="A5616" s="451"/>
      <c r="B5616" s="451"/>
      <c r="C5616" s="451"/>
      <c r="D5616" s="451"/>
      <c r="E5616" s="468"/>
      <c r="F5616" s="468"/>
    </row>
    <row r="5617" spans="1:6" ht="12.75" x14ac:dyDescent="0.2">
      <c r="A5617" s="451"/>
      <c r="B5617" s="451"/>
      <c r="C5617" s="451"/>
      <c r="D5617" s="451"/>
      <c r="E5617" s="468"/>
      <c r="F5617" s="468"/>
    </row>
    <row r="5618" spans="1:6" ht="12.75" x14ac:dyDescent="0.2">
      <c r="A5618" s="451"/>
      <c r="B5618" s="451"/>
      <c r="C5618" s="451"/>
      <c r="D5618" s="451"/>
      <c r="E5618" s="468"/>
      <c r="F5618" s="468"/>
    </row>
    <row r="5619" spans="1:6" ht="12.75" x14ac:dyDescent="0.2">
      <c r="A5619" s="451"/>
      <c r="B5619" s="451"/>
      <c r="C5619" s="451"/>
      <c r="D5619" s="451"/>
      <c r="E5619" s="468"/>
      <c r="F5619" s="468"/>
    </row>
    <row r="5620" spans="1:6" ht="12.75" x14ac:dyDescent="0.2">
      <c r="A5620" s="451"/>
      <c r="B5620" s="451"/>
      <c r="C5620" s="451"/>
      <c r="D5620" s="451"/>
      <c r="E5620" s="468"/>
      <c r="F5620" s="468"/>
    </row>
    <row r="5621" spans="1:6" ht="12.75" x14ac:dyDescent="0.2">
      <c r="A5621" s="451"/>
      <c r="B5621" s="451"/>
      <c r="C5621" s="451"/>
      <c r="D5621" s="451"/>
      <c r="E5621" s="468"/>
      <c r="F5621" s="468"/>
    </row>
    <row r="5622" spans="1:6" ht="12.75" x14ac:dyDescent="0.2">
      <c r="A5622" s="451"/>
      <c r="B5622" s="451"/>
      <c r="C5622" s="451"/>
      <c r="D5622" s="451"/>
      <c r="E5622" s="468"/>
      <c r="F5622" s="468"/>
    </row>
    <row r="5623" spans="1:6" ht="12.75" x14ac:dyDescent="0.2">
      <c r="A5623" s="451"/>
      <c r="B5623" s="451"/>
      <c r="C5623" s="451"/>
      <c r="D5623" s="451"/>
      <c r="E5623" s="468"/>
      <c r="F5623" s="468"/>
    </row>
    <row r="5624" spans="1:6" ht="12.75" x14ac:dyDescent="0.2">
      <c r="A5624" s="451"/>
      <c r="B5624" s="451"/>
      <c r="C5624" s="451"/>
      <c r="D5624" s="451"/>
      <c r="E5624" s="468"/>
      <c r="F5624" s="468"/>
    </row>
    <row r="5625" spans="1:6" ht="12.75" x14ac:dyDescent="0.2">
      <c r="A5625" s="451"/>
      <c r="B5625" s="451"/>
      <c r="C5625" s="451"/>
      <c r="D5625" s="451"/>
      <c r="E5625" s="468"/>
      <c r="F5625" s="468"/>
    </row>
    <row r="5626" spans="1:6" ht="12.75" x14ac:dyDescent="0.2">
      <c r="A5626" s="451"/>
      <c r="B5626" s="451"/>
      <c r="C5626" s="451"/>
      <c r="D5626" s="451"/>
      <c r="E5626" s="468"/>
      <c r="F5626" s="468"/>
    </row>
    <row r="5627" spans="1:6" ht="12.75" x14ac:dyDescent="0.2">
      <c r="A5627" s="451"/>
      <c r="B5627" s="451"/>
      <c r="C5627" s="451"/>
      <c r="D5627" s="451"/>
      <c r="E5627" s="468"/>
      <c r="F5627" s="468"/>
    </row>
    <row r="5628" spans="1:6" ht="12.75" x14ac:dyDescent="0.2">
      <c r="A5628" s="451"/>
      <c r="B5628" s="451"/>
      <c r="C5628" s="451"/>
      <c r="D5628" s="451"/>
      <c r="E5628" s="468"/>
      <c r="F5628" s="468"/>
    </row>
    <row r="5629" spans="1:6" ht="12.75" x14ac:dyDescent="0.2">
      <c r="A5629" s="451"/>
      <c r="B5629" s="451"/>
      <c r="C5629" s="451"/>
      <c r="D5629" s="451"/>
      <c r="E5629" s="468"/>
      <c r="F5629" s="468"/>
    </row>
    <row r="5630" spans="1:6" ht="12.75" x14ac:dyDescent="0.2">
      <c r="A5630" s="451"/>
      <c r="B5630" s="451"/>
      <c r="C5630" s="451"/>
      <c r="D5630" s="451"/>
      <c r="E5630" s="468"/>
      <c r="F5630" s="468"/>
    </row>
    <row r="5631" spans="1:6" ht="12.75" x14ac:dyDescent="0.2">
      <c r="A5631" s="451"/>
      <c r="B5631" s="451"/>
      <c r="C5631" s="451"/>
      <c r="D5631" s="451"/>
      <c r="E5631" s="468"/>
      <c r="F5631" s="468"/>
    </row>
    <row r="5632" spans="1:6" ht="12.75" x14ac:dyDescent="0.2">
      <c r="A5632" s="451"/>
      <c r="B5632" s="451"/>
      <c r="C5632" s="451"/>
      <c r="D5632" s="451"/>
      <c r="E5632" s="468"/>
      <c r="F5632" s="468"/>
    </row>
    <row r="5633" spans="1:6" ht="12.75" x14ac:dyDescent="0.2">
      <c r="A5633" s="451"/>
      <c r="B5633" s="451"/>
      <c r="C5633" s="451"/>
      <c r="D5633" s="451"/>
      <c r="E5633" s="468"/>
      <c r="F5633" s="468"/>
    </row>
    <row r="5634" spans="1:6" ht="12.75" x14ac:dyDescent="0.2">
      <c r="A5634" s="451"/>
      <c r="B5634" s="451"/>
      <c r="C5634" s="451"/>
      <c r="D5634" s="451"/>
      <c r="E5634" s="468"/>
      <c r="F5634" s="468"/>
    </row>
    <row r="5635" spans="1:6" ht="12.75" x14ac:dyDescent="0.2">
      <c r="A5635" s="451"/>
      <c r="B5635" s="451"/>
      <c r="C5635" s="451"/>
      <c r="D5635" s="451"/>
      <c r="E5635" s="468"/>
      <c r="F5635" s="468"/>
    </row>
    <row r="5636" spans="1:6" ht="12.75" x14ac:dyDescent="0.2">
      <c r="A5636" s="451"/>
      <c r="B5636" s="451"/>
      <c r="C5636" s="451"/>
      <c r="D5636" s="451"/>
      <c r="E5636" s="468"/>
      <c r="F5636" s="468"/>
    </row>
    <row r="5637" spans="1:6" ht="12.75" x14ac:dyDescent="0.2">
      <c r="A5637" s="451"/>
      <c r="B5637" s="451"/>
      <c r="C5637" s="451"/>
      <c r="D5637" s="451"/>
      <c r="E5637" s="468"/>
      <c r="F5637" s="468"/>
    </row>
    <row r="5638" spans="1:6" ht="12.75" x14ac:dyDescent="0.2">
      <c r="A5638" s="451"/>
      <c r="B5638" s="451"/>
      <c r="C5638" s="451"/>
      <c r="D5638" s="451"/>
      <c r="E5638" s="468"/>
      <c r="F5638" s="468"/>
    </row>
    <row r="5639" spans="1:6" ht="12.75" x14ac:dyDescent="0.2">
      <c r="A5639" s="451"/>
      <c r="B5639" s="451"/>
      <c r="C5639" s="451"/>
      <c r="D5639" s="451"/>
      <c r="E5639" s="468"/>
      <c r="F5639" s="468"/>
    </row>
    <row r="5640" spans="1:6" ht="12.75" x14ac:dyDescent="0.2">
      <c r="A5640" s="451"/>
      <c r="B5640" s="451"/>
      <c r="C5640" s="451"/>
      <c r="D5640" s="451"/>
      <c r="E5640" s="468"/>
      <c r="F5640" s="468"/>
    </row>
    <row r="5641" spans="1:6" ht="12.75" x14ac:dyDescent="0.2">
      <c r="A5641" s="451"/>
      <c r="B5641" s="451"/>
      <c r="C5641" s="451"/>
      <c r="D5641" s="451"/>
      <c r="E5641" s="468"/>
      <c r="F5641" s="468"/>
    </row>
    <row r="5642" spans="1:6" ht="12.75" x14ac:dyDescent="0.2">
      <c r="A5642" s="451"/>
      <c r="B5642" s="451"/>
      <c r="C5642" s="451"/>
      <c r="D5642" s="451"/>
      <c r="E5642" s="468"/>
      <c r="F5642" s="468"/>
    </row>
    <row r="5643" spans="1:6" ht="12.75" x14ac:dyDescent="0.2">
      <c r="A5643" s="451"/>
      <c r="B5643" s="451"/>
      <c r="C5643" s="451"/>
      <c r="D5643" s="451"/>
      <c r="E5643" s="468"/>
      <c r="F5643" s="468"/>
    </row>
    <row r="5644" spans="1:6" ht="12.75" x14ac:dyDescent="0.2">
      <c r="A5644" s="451"/>
      <c r="B5644" s="451"/>
      <c r="C5644" s="451"/>
      <c r="D5644" s="451"/>
      <c r="E5644" s="468"/>
      <c r="F5644" s="468"/>
    </row>
    <row r="5645" spans="1:6" ht="12.75" x14ac:dyDescent="0.2">
      <c r="A5645" s="451"/>
      <c r="B5645" s="451"/>
      <c r="C5645" s="451"/>
      <c r="D5645" s="451"/>
      <c r="E5645" s="468"/>
      <c r="F5645" s="468"/>
    </row>
    <row r="5646" spans="1:6" ht="12.75" x14ac:dyDescent="0.2">
      <c r="A5646" s="451"/>
      <c r="B5646" s="451"/>
      <c r="C5646" s="451"/>
      <c r="D5646" s="451"/>
      <c r="E5646" s="468"/>
      <c r="F5646" s="468"/>
    </row>
    <row r="5647" spans="1:6" ht="12.75" x14ac:dyDescent="0.2">
      <c r="A5647" s="451"/>
      <c r="B5647" s="451"/>
      <c r="C5647" s="451"/>
      <c r="D5647" s="451"/>
      <c r="E5647" s="468"/>
      <c r="F5647" s="468"/>
    </row>
    <row r="5648" spans="1:6" ht="12.75" x14ac:dyDescent="0.2">
      <c r="A5648" s="451"/>
      <c r="B5648" s="451"/>
      <c r="C5648" s="451"/>
      <c r="D5648" s="451"/>
      <c r="E5648" s="468"/>
      <c r="F5648" s="468"/>
    </row>
    <row r="5649" spans="1:6" ht="12.75" x14ac:dyDescent="0.2">
      <c r="A5649" s="451"/>
      <c r="B5649" s="451"/>
      <c r="C5649" s="451"/>
      <c r="D5649" s="451"/>
      <c r="E5649" s="468"/>
      <c r="F5649" s="468"/>
    </row>
    <row r="5650" spans="1:6" ht="12.75" x14ac:dyDescent="0.2">
      <c r="A5650" s="451"/>
      <c r="B5650" s="451"/>
      <c r="C5650" s="451"/>
      <c r="D5650" s="451"/>
      <c r="E5650" s="468"/>
      <c r="F5650" s="468"/>
    </row>
    <row r="5651" spans="1:6" ht="12.75" x14ac:dyDescent="0.2">
      <c r="A5651" s="451"/>
      <c r="B5651" s="451"/>
      <c r="C5651" s="451"/>
      <c r="D5651" s="451"/>
      <c r="E5651" s="468"/>
      <c r="F5651" s="468"/>
    </row>
    <row r="5652" spans="1:6" ht="12.75" x14ac:dyDescent="0.2">
      <c r="A5652" s="451"/>
      <c r="B5652" s="451"/>
      <c r="C5652" s="451"/>
      <c r="D5652" s="451"/>
      <c r="E5652" s="468"/>
      <c r="F5652" s="468"/>
    </row>
    <row r="5653" spans="1:6" ht="12.75" x14ac:dyDescent="0.2">
      <c r="A5653" s="451"/>
      <c r="B5653" s="451"/>
      <c r="C5653" s="451"/>
      <c r="D5653" s="451"/>
      <c r="E5653" s="468"/>
      <c r="F5653" s="468"/>
    </row>
    <row r="5654" spans="1:6" ht="12.75" x14ac:dyDescent="0.2">
      <c r="A5654" s="451"/>
      <c r="B5654" s="451"/>
      <c r="C5654" s="451"/>
      <c r="D5654" s="451"/>
      <c r="E5654" s="468"/>
      <c r="F5654" s="468"/>
    </row>
    <row r="5655" spans="1:6" ht="12.75" x14ac:dyDescent="0.2">
      <c r="A5655" s="451"/>
      <c r="B5655" s="451"/>
      <c r="C5655" s="451"/>
      <c r="D5655" s="451"/>
      <c r="E5655" s="468"/>
      <c r="F5655" s="468"/>
    </row>
    <row r="5656" spans="1:6" ht="12.75" x14ac:dyDescent="0.2">
      <c r="A5656" s="451"/>
      <c r="B5656" s="451"/>
      <c r="C5656" s="451"/>
      <c r="D5656" s="451"/>
      <c r="E5656" s="468"/>
      <c r="F5656" s="468"/>
    </row>
    <row r="5657" spans="1:6" ht="12.75" x14ac:dyDescent="0.2">
      <c r="A5657" s="451"/>
      <c r="B5657" s="451"/>
      <c r="C5657" s="451"/>
      <c r="D5657" s="451"/>
      <c r="E5657" s="468"/>
      <c r="F5657" s="468"/>
    </row>
    <row r="5658" spans="1:6" ht="12.75" x14ac:dyDescent="0.2">
      <c r="A5658" s="451"/>
      <c r="B5658" s="451"/>
      <c r="C5658" s="451"/>
      <c r="D5658" s="451"/>
      <c r="E5658" s="468"/>
      <c r="F5658" s="468"/>
    </row>
    <row r="5659" spans="1:6" ht="12.75" x14ac:dyDescent="0.2">
      <c r="A5659" s="451"/>
      <c r="B5659" s="451"/>
      <c r="C5659" s="451"/>
      <c r="D5659" s="451"/>
      <c r="E5659" s="468"/>
      <c r="F5659" s="468"/>
    </row>
    <row r="5660" spans="1:6" ht="12.75" x14ac:dyDescent="0.2">
      <c r="A5660" s="451"/>
      <c r="B5660" s="451"/>
      <c r="C5660" s="451"/>
      <c r="D5660" s="451"/>
      <c r="E5660" s="468"/>
      <c r="F5660" s="468"/>
    </row>
    <row r="5661" spans="1:6" ht="12.75" x14ac:dyDescent="0.2">
      <c r="A5661" s="451"/>
      <c r="B5661" s="451"/>
      <c r="C5661" s="451"/>
      <c r="D5661" s="451"/>
      <c r="E5661" s="468"/>
      <c r="F5661" s="468"/>
    </row>
    <row r="5662" spans="1:6" ht="12.75" x14ac:dyDescent="0.2">
      <c r="A5662" s="451"/>
      <c r="B5662" s="451"/>
      <c r="C5662" s="451"/>
      <c r="D5662" s="451"/>
      <c r="E5662" s="468"/>
      <c r="F5662" s="468"/>
    </row>
    <row r="5663" spans="1:6" ht="12.75" x14ac:dyDescent="0.2">
      <c r="A5663" s="451"/>
      <c r="B5663" s="451"/>
      <c r="C5663" s="451"/>
      <c r="D5663" s="451"/>
      <c r="E5663" s="468"/>
      <c r="F5663" s="468"/>
    </row>
    <row r="5664" spans="1:6" ht="12.75" x14ac:dyDescent="0.2">
      <c r="A5664" s="451"/>
      <c r="B5664" s="451"/>
      <c r="C5664" s="451"/>
      <c r="D5664" s="451"/>
      <c r="E5664" s="468"/>
      <c r="F5664" s="468"/>
    </row>
    <row r="5665" spans="1:6" ht="12.75" x14ac:dyDescent="0.2">
      <c r="A5665" s="451"/>
      <c r="B5665" s="451"/>
      <c r="C5665" s="451"/>
      <c r="D5665" s="451"/>
      <c r="E5665" s="468"/>
      <c r="F5665" s="468"/>
    </row>
    <row r="5666" spans="1:6" ht="12.75" x14ac:dyDescent="0.2">
      <c r="A5666" s="451"/>
      <c r="B5666" s="451"/>
      <c r="C5666" s="451"/>
      <c r="D5666" s="451"/>
      <c r="E5666" s="468"/>
      <c r="F5666" s="468"/>
    </row>
    <row r="5667" spans="1:6" ht="12.75" x14ac:dyDescent="0.2">
      <c r="A5667" s="451"/>
      <c r="B5667" s="451"/>
      <c r="C5667" s="451"/>
      <c r="D5667" s="451"/>
      <c r="E5667" s="468"/>
      <c r="F5667" s="468"/>
    </row>
    <row r="5668" spans="1:6" ht="12.75" x14ac:dyDescent="0.2">
      <c r="A5668" s="451"/>
      <c r="B5668" s="451"/>
      <c r="C5668" s="451"/>
      <c r="D5668" s="451"/>
      <c r="E5668" s="468"/>
      <c r="F5668" s="468"/>
    </row>
    <row r="5669" spans="1:6" ht="12.75" x14ac:dyDescent="0.2">
      <c r="A5669" s="451"/>
      <c r="B5669" s="451"/>
      <c r="C5669" s="451"/>
      <c r="D5669" s="451"/>
      <c r="E5669" s="468"/>
      <c r="F5669" s="468"/>
    </row>
    <row r="5670" spans="1:6" ht="12.75" x14ac:dyDescent="0.2">
      <c r="A5670" s="451"/>
      <c r="B5670" s="451"/>
      <c r="C5670" s="451"/>
      <c r="D5670" s="451"/>
      <c r="E5670" s="468"/>
      <c r="F5670" s="468"/>
    </row>
    <row r="5671" spans="1:6" ht="12.75" x14ac:dyDescent="0.2">
      <c r="A5671" s="451"/>
      <c r="B5671" s="451"/>
      <c r="C5671" s="451"/>
      <c r="D5671" s="451"/>
      <c r="E5671" s="468"/>
      <c r="F5671" s="468"/>
    </row>
    <row r="5672" spans="1:6" ht="12.75" x14ac:dyDescent="0.2">
      <c r="A5672" s="451"/>
      <c r="B5672" s="451"/>
      <c r="C5672" s="451"/>
      <c r="D5672" s="451"/>
      <c r="E5672" s="468"/>
      <c r="F5672" s="468"/>
    </row>
    <row r="5673" spans="1:6" ht="12.75" x14ac:dyDescent="0.2">
      <c r="A5673" s="451"/>
      <c r="B5673" s="451"/>
      <c r="C5673" s="451"/>
      <c r="D5673" s="451"/>
      <c r="E5673" s="468"/>
      <c r="F5673" s="468"/>
    </row>
    <row r="5674" spans="1:6" ht="12.75" x14ac:dyDescent="0.2">
      <c r="A5674" s="451"/>
      <c r="B5674" s="451"/>
      <c r="C5674" s="451"/>
      <c r="D5674" s="451"/>
      <c r="E5674" s="468"/>
      <c r="F5674" s="468"/>
    </row>
    <row r="5675" spans="1:6" ht="12.75" x14ac:dyDescent="0.2">
      <c r="A5675" s="451"/>
      <c r="B5675" s="451"/>
      <c r="C5675" s="451"/>
      <c r="D5675" s="451"/>
      <c r="E5675" s="468"/>
      <c r="F5675" s="468"/>
    </row>
    <row r="5676" spans="1:6" ht="12.75" x14ac:dyDescent="0.2">
      <c r="A5676" s="451"/>
      <c r="B5676" s="451"/>
      <c r="C5676" s="451"/>
      <c r="D5676" s="451"/>
      <c r="E5676" s="468"/>
      <c r="F5676" s="468"/>
    </row>
    <row r="5677" spans="1:6" ht="12.75" x14ac:dyDescent="0.2">
      <c r="A5677" s="451"/>
      <c r="B5677" s="451"/>
      <c r="C5677" s="451"/>
      <c r="D5677" s="451"/>
      <c r="E5677" s="468"/>
      <c r="F5677" s="468"/>
    </row>
    <row r="5678" spans="1:6" ht="12.75" x14ac:dyDescent="0.2">
      <c r="A5678" s="451"/>
      <c r="B5678" s="451"/>
      <c r="C5678" s="451"/>
      <c r="D5678" s="451"/>
      <c r="E5678" s="468"/>
      <c r="F5678" s="468"/>
    </row>
    <row r="5679" spans="1:6" ht="12.75" x14ac:dyDescent="0.2">
      <c r="A5679" s="451"/>
      <c r="B5679" s="451"/>
      <c r="C5679" s="451"/>
      <c r="D5679" s="451"/>
      <c r="E5679" s="468"/>
      <c r="F5679" s="468"/>
    </row>
    <row r="5680" spans="1:6" ht="12.75" x14ac:dyDescent="0.2">
      <c r="A5680" s="451"/>
      <c r="B5680" s="451"/>
      <c r="C5680" s="451"/>
      <c r="D5680" s="451"/>
      <c r="E5680" s="468"/>
      <c r="F5680" s="468"/>
    </row>
    <row r="5681" spans="1:6" ht="12.75" x14ac:dyDescent="0.2">
      <c r="A5681" s="451"/>
      <c r="B5681" s="451"/>
      <c r="C5681" s="451"/>
      <c r="D5681" s="451"/>
      <c r="E5681" s="468"/>
      <c r="F5681" s="468"/>
    </row>
    <row r="5682" spans="1:6" ht="12.75" x14ac:dyDescent="0.2">
      <c r="A5682" s="451"/>
      <c r="B5682" s="451"/>
      <c r="C5682" s="451"/>
      <c r="D5682" s="451"/>
      <c r="E5682" s="468"/>
      <c r="F5682" s="468"/>
    </row>
    <row r="5683" spans="1:6" ht="12.75" x14ac:dyDescent="0.2">
      <c r="A5683" s="451"/>
      <c r="B5683" s="451"/>
      <c r="C5683" s="451"/>
      <c r="D5683" s="451"/>
      <c r="E5683" s="468"/>
      <c r="F5683" s="468"/>
    </row>
    <row r="5684" spans="1:6" ht="12.75" x14ac:dyDescent="0.2">
      <c r="A5684" s="451"/>
      <c r="B5684" s="451"/>
      <c r="C5684" s="451"/>
      <c r="D5684" s="451"/>
      <c r="E5684" s="468"/>
      <c r="F5684" s="468"/>
    </row>
    <row r="5685" spans="1:6" ht="12.75" x14ac:dyDescent="0.2">
      <c r="A5685" s="451"/>
      <c r="B5685" s="451"/>
      <c r="C5685" s="451"/>
      <c r="D5685" s="451"/>
      <c r="E5685" s="468"/>
      <c r="F5685" s="468"/>
    </row>
    <row r="5686" spans="1:6" ht="12.75" x14ac:dyDescent="0.2">
      <c r="A5686" s="451"/>
      <c r="B5686" s="451"/>
      <c r="C5686" s="451"/>
      <c r="D5686" s="451"/>
      <c r="E5686" s="468"/>
      <c r="F5686" s="468"/>
    </row>
    <row r="5687" spans="1:6" ht="12.75" x14ac:dyDescent="0.2">
      <c r="A5687" s="451"/>
      <c r="B5687" s="451"/>
      <c r="C5687" s="451"/>
      <c r="D5687" s="451"/>
      <c r="E5687" s="468"/>
      <c r="F5687" s="468"/>
    </row>
    <row r="5688" spans="1:6" ht="12.75" x14ac:dyDescent="0.2">
      <c r="A5688" s="451"/>
      <c r="B5688" s="451"/>
      <c r="C5688" s="451"/>
      <c r="D5688" s="451"/>
      <c r="E5688" s="468"/>
      <c r="F5688" s="468"/>
    </row>
    <row r="5689" spans="1:6" ht="12.75" x14ac:dyDescent="0.2">
      <c r="A5689" s="451"/>
      <c r="B5689" s="451"/>
      <c r="C5689" s="451"/>
      <c r="D5689" s="451"/>
      <c r="E5689" s="468"/>
      <c r="F5689" s="468"/>
    </row>
    <row r="5690" spans="1:6" ht="12.75" x14ac:dyDescent="0.2">
      <c r="A5690" s="451"/>
      <c r="B5690" s="451"/>
      <c r="C5690" s="451"/>
      <c r="D5690" s="451"/>
      <c r="E5690" s="468"/>
      <c r="F5690" s="468"/>
    </row>
    <row r="5691" spans="1:6" ht="12.75" x14ac:dyDescent="0.2">
      <c r="A5691" s="451"/>
      <c r="B5691" s="451"/>
      <c r="C5691" s="451"/>
      <c r="D5691" s="451"/>
      <c r="E5691" s="468"/>
      <c r="F5691" s="468"/>
    </row>
    <row r="5692" spans="1:6" ht="12.75" x14ac:dyDescent="0.2">
      <c r="A5692" s="451"/>
      <c r="B5692" s="451"/>
      <c r="C5692" s="451"/>
      <c r="D5692" s="451"/>
      <c r="E5692" s="468"/>
      <c r="F5692" s="468"/>
    </row>
    <row r="5693" spans="1:6" ht="12.75" x14ac:dyDescent="0.2">
      <c r="A5693" s="451"/>
      <c r="B5693" s="451"/>
      <c r="C5693" s="451"/>
      <c r="D5693" s="451"/>
      <c r="E5693" s="468"/>
      <c r="F5693" s="468"/>
    </row>
    <row r="5694" spans="1:6" ht="12.75" x14ac:dyDescent="0.2">
      <c r="A5694" s="451"/>
      <c r="B5694" s="451"/>
      <c r="C5694" s="451"/>
      <c r="D5694" s="451"/>
      <c r="E5694" s="468"/>
      <c r="F5694" s="468"/>
    </row>
    <row r="5695" spans="1:6" ht="12.75" x14ac:dyDescent="0.2">
      <c r="A5695" s="451"/>
      <c r="B5695" s="451"/>
      <c r="C5695" s="451"/>
      <c r="D5695" s="451"/>
      <c r="E5695" s="468"/>
      <c r="F5695" s="468"/>
    </row>
    <row r="5696" spans="1:6" ht="12.75" x14ac:dyDescent="0.2">
      <c r="A5696" s="451"/>
      <c r="B5696" s="451"/>
      <c r="C5696" s="451"/>
      <c r="D5696" s="451"/>
      <c r="E5696" s="468"/>
      <c r="F5696" s="468"/>
    </row>
    <row r="5697" spans="1:6" ht="12.75" x14ac:dyDescent="0.2">
      <c r="A5697" s="451"/>
      <c r="B5697" s="451"/>
      <c r="C5697" s="451"/>
      <c r="D5697" s="451"/>
      <c r="E5697" s="468"/>
      <c r="F5697" s="468"/>
    </row>
    <row r="5698" spans="1:6" ht="12.75" x14ac:dyDescent="0.2">
      <c r="A5698" s="451"/>
      <c r="B5698" s="451"/>
      <c r="C5698" s="451"/>
      <c r="D5698" s="451"/>
      <c r="E5698" s="468"/>
      <c r="F5698" s="468"/>
    </row>
    <row r="5699" spans="1:6" ht="12.75" x14ac:dyDescent="0.2">
      <c r="A5699" s="451"/>
      <c r="B5699" s="451"/>
      <c r="C5699" s="451"/>
      <c r="D5699" s="451"/>
      <c r="E5699" s="468"/>
      <c r="F5699" s="468"/>
    </row>
    <row r="5700" spans="1:6" ht="12.75" x14ac:dyDescent="0.2">
      <c r="A5700" s="451"/>
      <c r="B5700" s="451"/>
      <c r="C5700" s="451"/>
      <c r="D5700" s="451"/>
      <c r="E5700" s="468"/>
      <c r="F5700" s="468"/>
    </row>
    <row r="5701" spans="1:6" ht="12.75" x14ac:dyDescent="0.2">
      <c r="A5701" s="451"/>
      <c r="B5701" s="451"/>
      <c r="C5701" s="451"/>
      <c r="D5701" s="451"/>
      <c r="E5701" s="468"/>
      <c r="F5701" s="468"/>
    </row>
    <row r="5702" spans="1:6" ht="12.75" x14ac:dyDescent="0.2">
      <c r="A5702" s="451"/>
      <c r="B5702" s="451"/>
      <c r="C5702" s="451"/>
      <c r="D5702" s="451"/>
      <c r="E5702" s="468"/>
      <c r="F5702" s="468"/>
    </row>
    <row r="5703" spans="1:6" ht="12.75" x14ac:dyDescent="0.2">
      <c r="A5703" s="451"/>
      <c r="B5703" s="451"/>
      <c r="C5703" s="451"/>
      <c r="D5703" s="451"/>
      <c r="E5703" s="468"/>
      <c r="F5703" s="468"/>
    </row>
    <row r="5704" spans="1:6" ht="12.75" x14ac:dyDescent="0.2">
      <c r="A5704" s="451"/>
      <c r="B5704" s="451"/>
      <c r="C5704" s="451"/>
      <c r="D5704" s="451"/>
      <c r="E5704" s="468"/>
      <c r="F5704" s="468"/>
    </row>
    <row r="5705" spans="1:6" ht="12.75" x14ac:dyDescent="0.2">
      <c r="A5705" s="451"/>
      <c r="B5705" s="451"/>
      <c r="C5705" s="451"/>
      <c r="D5705" s="451"/>
      <c r="E5705" s="468"/>
      <c r="F5705" s="468"/>
    </row>
    <row r="5706" spans="1:6" ht="12.75" x14ac:dyDescent="0.2">
      <c r="A5706" s="451"/>
      <c r="B5706" s="451"/>
      <c r="C5706" s="451"/>
      <c r="D5706" s="451"/>
      <c r="E5706" s="468"/>
      <c r="F5706" s="468"/>
    </row>
    <row r="5707" spans="1:6" ht="12.75" x14ac:dyDescent="0.2">
      <c r="A5707" s="451"/>
      <c r="B5707" s="451"/>
      <c r="C5707" s="451"/>
      <c r="D5707" s="451"/>
      <c r="E5707" s="468"/>
      <c r="F5707" s="468"/>
    </row>
    <row r="5708" spans="1:6" ht="12.75" x14ac:dyDescent="0.2">
      <c r="A5708" s="451"/>
      <c r="B5708" s="451"/>
      <c r="C5708" s="451"/>
      <c r="D5708" s="451"/>
      <c r="E5708" s="468"/>
      <c r="F5708" s="468"/>
    </row>
    <row r="5709" spans="1:6" ht="12.75" x14ac:dyDescent="0.2">
      <c r="A5709" s="451"/>
      <c r="B5709" s="451"/>
      <c r="C5709" s="451"/>
      <c r="D5709" s="451"/>
      <c r="E5709" s="468"/>
      <c r="F5709" s="468"/>
    </row>
    <row r="5710" spans="1:6" ht="12.75" x14ac:dyDescent="0.2">
      <c r="A5710" s="451"/>
      <c r="B5710" s="451"/>
      <c r="C5710" s="451"/>
      <c r="D5710" s="451"/>
      <c r="E5710" s="468"/>
      <c r="F5710" s="468"/>
    </row>
    <row r="5711" spans="1:6" ht="12.75" x14ac:dyDescent="0.2">
      <c r="A5711" s="451"/>
      <c r="B5711" s="451"/>
      <c r="C5711" s="451"/>
      <c r="D5711" s="451"/>
      <c r="E5711" s="468"/>
      <c r="F5711" s="468"/>
    </row>
    <row r="5712" spans="1:6" ht="12.75" x14ac:dyDescent="0.2">
      <c r="A5712" s="451"/>
      <c r="B5712" s="451"/>
      <c r="C5712" s="451"/>
      <c r="D5712" s="451"/>
      <c r="E5712" s="468"/>
      <c r="F5712" s="468"/>
    </row>
    <row r="5713" spans="1:6" ht="12.75" x14ac:dyDescent="0.2">
      <c r="A5713" s="451"/>
      <c r="B5713" s="451"/>
      <c r="C5713" s="451"/>
      <c r="D5713" s="451"/>
      <c r="E5713" s="468"/>
      <c r="F5713" s="468"/>
    </row>
    <row r="5714" spans="1:6" ht="12.75" x14ac:dyDescent="0.2">
      <c r="A5714" s="451"/>
      <c r="B5714" s="451"/>
      <c r="C5714" s="451"/>
      <c r="D5714" s="451"/>
      <c r="E5714" s="468"/>
      <c r="F5714" s="468"/>
    </row>
    <row r="5715" spans="1:6" ht="12.75" x14ac:dyDescent="0.2">
      <c r="A5715" s="451"/>
      <c r="B5715" s="451"/>
      <c r="C5715" s="451"/>
      <c r="D5715" s="451"/>
      <c r="E5715" s="468"/>
      <c r="F5715" s="468"/>
    </row>
    <row r="5716" spans="1:6" ht="12.75" x14ac:dyDescent="0.2">
      <c r="A5716" s="451"/>
      <c r="B5716" s="451"/>
      <c r="C5716" s="451"/>
      <c r="D5716" s="451"/>
      <c r="E5716" s="468"/>
      <c r="F5716" s="468"/>
    </row>
    <row r="5717" spans="1:6" ht="12.75" x14ac:dyDescent="0.2">
      <c r="A5717" s="451"/>
      <c r="B5717" s="451"/>
      <c r="C5717" s="451"/>
      <c r="D5717" s="451"/>
      <c r="E5717" s="468"/>
      <c r="F5717" s="468"/>
    </row>
    <row r="5718" spans="1:6" ht="12.75" x14ac:dyDescent="0.2">
      <c r="A5718" s="451"/>
      <c r="B5718" s="451"/>
      <c r="C5718" s="451"/>
      <c r="D5718" s="451"/>
      <c r="E5718" s="468"/>
      <c r="F5718" s="468"/>
    </row>
    <row r="5719" spans="1:6" ht="12.75" x14ac:dyDescent="0.2">
      <c r="A5719" s="451"/>
      <c r="B5719" s="451"/>
      <c r="C5719" s="451"/>
      <c r="D5719" s="451"/>
      <c r="E5719" s="468"/>
      <c r="F5719" s="468"/>
    </row>
    <row r="5720" spans="1:6" ht="12.75" x14ac:dyDescent="0.2">
      <c r="A5720" s="451"/>
      <c r="B5720" s="451"/>
      <c r="C5720" s="451"/>
      <c r="D5720" s="451"/>
      <c r="E5720" s="468"/>
      <c r="F5720" s="468"/>
    </row>
    <row r="5721" spans="1:6" ht="12.75" x14ac:dyDescent="0.2">
      <c r="A5721" s="451"/>
      <c r="B5721" s="451"/>
      <c r="C5721" s="451"/>
      <c r="D5721" s="451"/>
      <c r="E5721" s="468"/>
      <c r="F5721" s="468"/>
    </row>
    <row r="5722" spans="1:6" ht="12.75" x14ac:dyDescent="0.2">
      <c r="A5722" s="451"/>
      <c r="B5722" s="451"/>
      <c r="C5722" s="451"/>
      <c r="D5722" s="451"/>
      <c r="E5722" s="468"/>
      <c r="F5722" s="468"/>
    </row>
    <row r="5723" spans="1:6" ht="12.75" x14ac:dyDescent="0.2">
      <c r="A5723" s="451"/>
      <c r="B5723" s="451"/>
      <c r="C5723" s="451"/>
      <c r="D5723" s="451"/>
      <c r="E5723" s="468"/>
      <c r="F5723" s="468"/>
    </row>
    <row r="5724" spans="1:6" ht="12.75" x14ac:dyDescent="0.2">
      <c r="A5724" s="451"/>
      <c r="B5724" s="451"/>
      <c r="C5724" s="451"/>
      <c r="D5724" s="451"/>
      <c r="E5724" s="468"/>
      <c r="F5724" s="468"/>
    </row>
    <row r="5725" spans="1:6" ht="12.75" x14ac:dyDescent="0.2">
      <c r="A5725" s="451"/>
      <c r="B5725" s="451"/>
      <c r="C5725" s="451"/>
      <c r="D5725" s="451"/>
      <c r="E5725" s="468"/>
      <c r="F5725" s="468"/>
    </row>
    <row r="5726" spans="1:6" ht="12.75" x14ac:dyDescent="0.2">
      <c r="A5726" s="451"/>
      <c r="B5726" s="451"/>
      <c r="C5726" s="451"/>
      <c r="D5726" s="451"/>
      <c r="E5726" s="468"/>
      <c r="F5726" s="468"/>
    </row>
    <row r="5727" spans="1:6" ht="12.75" x14ac:dyDescent="0.2">
      <c r="A5727" s="451"/>
      <c r="B5727" s="451"/>
      <c r="C5727" s="451"/>
      <c r="D5727" s="451"/>
      <c r="E5727" s="468"/>
      <c r="F5727" s="468"/>
    </row>
    <row r="5728" spans="1:6" ht="12.75" x14ac:dyDescent="0.2">
      <c r="A5728" s="451"/>
      <c r="B5728" s="451"/>
      <c r="C5728" s="451"/>
      <c r="D5728" s="451"/>
      <c r="E5728" s="468"/>
      <c r="F5728" s="468"/>
    </row>
    <row r="5729" spans="1:6" ht="12.75" x14ac:dyDescent="0.2">
      <c r="A5729" s="451"/>
      <c r="B5729" s="451"/>
      <c r="C5729" s="451"/>
      <c r="D5729" s="451"/>
      <c r="E5729" s="468"/>
      <c r="F5729" s="468"/>
    </row>
    <row r="5730" spans="1:6" ht="12.75" x14ac:dyDescent="0.2">
      <c r="A5730" s="451"/>
      <c r="B5730" s="451"/>
      <c r="C5730" s="451"/>
      <c r="D5730" s="451"/>
      <c r="E5730" s="468"/>
      <c r="F5730" s="468"/>
    </row>
    <row r="5731" spans="1:6" ht="12.75" x14ac:dyDescent="0.2">
      <c r="A5731" s="451"/>
      <c r="B5731" s="451"/>
      <c r="C5731" s="451"/>
      <c r="D5731" s="451"/>
      <c r="E5731" s="468"/>
      <c r="F5731" s="468"/>
    </row>
    <row r="5732" spans="1:6" ht="12.75" x14ac:dyDescent="0.2">
      <c r="A5732" s="451"/>
      <c r="B5732" s="451"/>
      <c r="C5732" s="451"/>
      <c r="D5732" s="451"/>
      <c r="E5732" s="468"/>
      <c r="F5732" s="468"/>
    </row>
    <row r="5733" spans="1:6" ht="12.75" x14ac:dyDescent="0.2">
      <c r="A5733" s="451"/>
      <c r="B5733" s="451"/>
      <c r="C5733" s="451"/>
      <c r="D5733" s="451"/>
      <c r="E5733" s="468"/>
      <c r="F5733" s="468"/>
    </row>
    <row r="5734" spans="1:6" ht="12.75" x14ac:dyDescent="0.2">
      <c r="A5734" s="451"/>
      <c r="B5734" s="451"/>
      <c r="C5734" s="451"/>
      <c r="D5734" s="451"/>
      <c r="E5734" s="468"/>
      <c r="F5734" s="468"/>
    </row>
    <row r="5735" spans="1:6" ht="12.75" x14ac:dyDescent="0.2">
      <c r="A5735" s="451"/>
      <c r="B5735" s="451"/>
      <c r="C5735" s="451"/>
      <c r="D5735" s="451"/>
      <c r="E5735" s="468"/>
      <c r="F5735" s="468"/>
    </row>
    <row r="5736" spans="1:6" ht="12.75" x14ac:dyDescent="0.2">
      <c r="A5736" s="451"/>
      <c r="B5736" s="451"/>
      <c r="C5736" s="451"/>
      <c r="D5736" s="451"/>
      <c r="E5736" s="468"/>
      <c r="F5736" s="468"/>
    </row>
    <row r="5737" spans="1:6" ht="12.75" x14ac:dyDescent="0.2">
      <c r="A5737" s="451"/>
      <c r="B5737" s="451"/>
      <c r="C5737" s="451"/>
      <c r="D5737" s="451"/>
      <c r="E5737" s="468"/>
      <c r="F5737" s="468"/>
    </row>
    <row r="5738" spans="1:6" ht="12.75" x14ac:dyDescent="0.2">
      <c r="A5738" s="451"/>
      <c r="B5738" s="451"/>
      <c r="C5738" s="451"/>
      <c r="D5738" s="451"/>
      <c r="E5738" s="468"/>
      <c r="F5738" s="468"/>
    </row>
    <row r="5739" spans="1:6" ht="12.75" x14ac:dyDescent="0.2">
      <c r="A5739" s="451"/>
      <c r="B5739" s="451"/>
      <c r="C5739" s="451"/>
      <c r="D5739" s="451"/>
      <c r="E5739" s="468"/>
      <c r="F5739" s="468"/>
    </row>
    <row r="5740" spans="1:6" ht="12.75" x14ac:dyDescent="0.2">
      <c r="A5740" s="451"/>
      <c r="B5740" s="451"/>
      <c r="C5740" s="451"/>
      <c r="D5740" s="451"/>
      <c r="E5740" s="468"/>
      <c r="F5740" s="468"/>
    </row>
    <row r="5741" spans="1:6" ht="12.75" x14ac:dyDescent="0.2">
      <c r="A5741" s="451"/>
      <c r="B5741" s="451"/>
      <c r="C5741" s="451"/>
      <c r="D5741" s="451"/>
      <c r="E5741" s="468"/>
      <c r="F5741" s="468"/>
    </row>
    <row r="5742" spans="1:6" ht="12.75" x14ac:dyDescent="0.2">
      <c r="A5742" s="451"/>
      <c r="B5742" s="451"/>
      <c r="C5742" s="451"/>
      <c r="D5742" s="451"/>
      <c r="E5742" s="468"/>
      <c r="F5742" s="468"/>
    </row>
    <row r="5743" spans="1:6" ht="12.75" x14ac:dyDescent="0.2">
      <c r="A5743" s="451"/>
      <c r="B5743" s="451"/>
      <c r="C5743" s="451"/>
      <c r="D5743" s="451"/>
      <c r="E5743" s="468"/>
      <c r="F5743" s="468"/>
    </row>
    <row r="5744" spans="1:6" ht="12.75" x14ac:dyDescent="0.2">
      <c r="A5744" s="451"/>
      <c r="B5744" s="451"/>
      <c r="C5744" s="451"/>
      <c r="D5744" s="451"/>
      <c r="E5744" s="468"/>
      <c r="F5744" s="468"/>
    </row>
    <row r="5745" spans="1:6" ht="12.75" x14ac:dyDescent="0.2">
      <c r="A5745" s="451"/>
      <c r="B5745" s="451"/>
      <c r="C5745" s="451"/>
      <c r="D5745" s="451"/>
      <c r="E5745" s="468"/>
      <c r="F5745" s="468"/>
    </row>
    <row r="5746" spans="1:6" ht="12.75" x14ac:dyDescent="0.2">
      <c r="A5746" s="451"/>
      <c r="B5746" s="451"/>
      <c r="C5746" s="451"/>
      <c r="D5746" s="451"/>
      <c r="E5746" s="468"/>
      <c r="F5746" s="468"/>
    </row>
    <row r="5747" spans="1:6" ht="12.75" x14ac:dyDescent="0.2">
      <c r="A5747" s="451"/>
      <c r="B5747" s="451"/>
      <c r="C5747" s="451"/>
      <c r="D5747" s="451"/>
      <c r="E5747" s="468"/>
      <c r="F5747" s="468"/>
    </row>
    <row r="5748" spans="1:6" ht="12.75" x14ac:dyDescent="0.2">
      <c r="A5748" s="451"/>
      <c r="B5748" s="451"/>
      <c r="C5748" s="451"/>
      <c r="D5748" s="451"/>
      <c r="E5748" s="468"/>
      <c r="F5748" s="468"/>
    </row>
    <row r="5749" spans="1:6" ht="12.75" x14ac:dyDescent="0.2">
      <c r="A5749" s="451"/>
      <c r="B5749" s="451"/>
      <c r="C5749" s="451"/>
      <c r="D5749" s="451"/>
      <c r="E5749" s="468"/>
      <c r="F5749" s="468"/>
    </row>
    <row r="5750" spans="1:6" ht="12.75" x14ac:dyDescent="0.2">
      <c r="A5750" s="451"/>
      <c r="B5750" s="451"/>
      <c r="C5750" s="451"/>
      <c r="D5750" s="451"/>
      <c r="E5750" s="468"/>
      <c r="F5750" s="468"/>
    </row>
    <row r="5751" spans="1:6" ht="12.75" x14ac:dyDescent="0.2">
      <c r="A5751" s="451"/>
      <c r="B5751" s="451"/>
      <c r="C5751" s="451"/>
      <c r="D5751" s="451"/>
      <c r="E5751" s="468"/>
      <c r="F5751" s="468"/>
    </row>
    <row r="5752" spans="1:6" ht="12.75" x14ac:dyDescent="0.2">
      <c r="A5752" s="451"/>
      <c r="B5752" s="451"/>
      <c r="C5752" s="451"/>
      <c r="D5752" s="451"/>
      <c r="E5752" s="468"/>
      <c r="F5752" s="468"/>
    </row>
    <row r="5753" spans="1:6" ht="12.75" x14ac:dyDescent="0.2">
      <c r="A5753" s="451"/>
      <c r="B5753" s="451"/>
      <c r="C5753" s="451"/>
      <c r="D5753" s="451"/>
      <c r="E5753" s="468"/>
      <c r="F5753" s="468"/>
    </row>
    <row r="5754" spans="1:6" ht="12.75" x14ac:dyDescent="0.2">
      <c r="A5754" s="451"/>
      <c r="B5754" s="451"/>
      <c r="C5754" s="451"/>
      <c r="D5754" s="451"/>
      <c r="E5754" s="468"/>
      <c r="F5754" s="468"/>
    </row>
    <row r="5755" spans="1:6" ht="12.75" x14ac:dyDescent="0.2">
      <c r="A5755" s="451"/>
      <c r="B5755" s="451"/>
      <c r="C5755" s="451"/>
      <c r="D5755" s="451"/>
      <c r="E5755" s="468"/>
      <c r="F5755" s="468"/>
    </row>
    <row r="5756" spans="1:6" ht="12.75" x14ac:dyDescent="0.2">
      <c r="A5756" s="451"/>
      <c r="B5756" s="451"/>
      <c r="C5756" s="451"/>
      <c r="D5756" s="451"/>
      <c r="E5756" s="468"/>
      <c r="F5756" s="468"/>
    </row>
    <row r="5757" spans="1:6" ht="12.75" x14ac:dyDescent="0.2">
      <c r="A5757" s="451"/>
      <c r="B5757" s="451"/>
      <c r="C5757" s="451"/>
      <c r="D5757" s="451"/>
      <c r="E5757" s="468"/>
      <c r="F5757" s="468"/>
    </row>
    <row r="5758" spans="1:6" ht="12.75" x14ac:dyDescent="0.2">
      <c r="A5758" s="451"/>
      <c r="B5758" s="451"/>
      <c r="C5758" s="451"/>
      <c r="D5758" s="451"/>
      <c r="E5758" s="468"/>
      <c r="F5758" s="468"/>
    </row>
    <row r="5759" spans="1:6" ht="12.75" x14ac:dyDescent="0.2">
      <c r="A5759" s="451"/>
      <c r="B5759" s="451"/>
      <c r="C5759" s="451"/>
      <c r="D5759" s="451"/>
      <c r="E5759" s="468"/>
      <c r="F5759" s="468"/>
    </row>
    <row r="5760" spans="1:6" ht="12.75" x14ac:dyDescent="0.2">
      <c r="A5760" s="451"/>
      <c r="B5760" s="451"/>
      <c r="C5760" s="451"/>
      <c r="D5760" s="451"/>
      <c r="E5760" s="468"/>
      <c r="F5760" s="468"/>
    </row>
    <row r="5761" spans="1:6" ht="12.75" x14ac:dyDescent="0.2">
      <c r="A5761" s="451"/>
      <c r="B5761" s="451"/>
      <c r="C5761" s="451"/>
      <c r="D5761" s="451"/>
      <c r="E5761" s="468"/>
      <c r="F5761" s="468"/>
    </row>
    <row r="5762" spans="1:6" ht="12.75" x14ac:dyDescent="0.2">
      <c r="A5762" s="451"/>
      <c r="B5762" s="451"/>
      <c r="C5762" s="451"/>
      <c r="D5762" s="451"/>
      <c r="E5762" s="468"/>
      <c r="F5762" s="468"/>
    </row>
    <row r="5763" spans="1:6" ht="12.75" x14ac:dyDescent="0.2">
      <c r="A5763" s="451"/>
      <c r="B5763" s="451"/>
      <c r="C5763" s="451"/>
      <c r="D5763" s="451"/>
      <c r="E5763" s="468"/>
      <c r="F5763" s="468"/>
    </row>
    <row r="5764" spans="1:6" ht="12.75" x14ac:dyDescent="0.2">
      <c r="A5764" s="451"/>
      <c r="B5764" s="451"/>
      <c r="C5764" s="451"/>
      <c r="D5764" s="451"/>
      <c r="E5764" s="468"/>
      <c r="F5764" s="468"/>
    </row>
    <row r="5765" spans="1:6" ht="12.75" x14ac:dyDescent="0.2">
      <c r="A5765" s="451"/>
      <c r="B5765" s="451"/>
      <c r="C5765" s="451"/>
      <c r="D5765" s="451"/>
      <c r="E5765" s="468"/>
      <c r="F5765" s="468"/>
    </row>
    <row r="5766" spans="1:6" ht="12.75" x14ac:dyDescent="0.2">
      <c r="A5766" s="451"/>
      <c r="B5766" s="451"/>
      <c r="C5766" s="451"/>
      <c r="D5766" s="451"/>
      <c r="E5766" s="468"/>
      <c r="F5766" s="468"/>
    </row>
    <row r="5767" spans="1:6" ht="12.75" x14ac:dyDescent="0.2">
      <c r="A5767" s="451"/>
      <c r="B5767" s="451"/>
      <c r="C5767" s="451"/>
      <c r="D5767" s="451"/>
      <c r="E5767" s="468"/>
      <c r="F5767" s="468"/>
    </row>
    <row r="5768" spans="1:6" ht="12.75" x14ac:dyDescent="0.2">
      <c r="A5768" s="451"/>
      <c r="B5768" s="451"/>
      <c r="C5768" s="451"/>
      <c r="D5768" s="451"/>
      <c r="E5768" s="468"/>
      <c r="F5768" s="468"/>
    </row>
    <row r="5769" spans="1:6" ht="12.75" x14ac:dyDescent="0.2">
      <c r="A5769" s="451"/>
      <c r="B5769" s="451"/>
      <c r="C5769" s="451"/>
      <c r="D5769" s="451"/>
      <c r="E5769" s="468"/>
      <c r="F5769" s="468"/>
    </row>
    <row r="5770" spans="1:6" ht="12.75" x14ac:dyDescent="0.2">
      <c r="A5770" s="451"/>
      <c r="B5770" s="451"/>
      <c r="C5770" s="451"/>
      <c r="D5770" s="451"/>
      <c r="E5770" s="468"/>
      <c r="F5770" s="468"/>
    </row>
    <row r="5771" spans="1:6" ht="12.75" x14ac:dyDescent="0.2">
      <c r="A5771" s="451"/>
      <c r="B5771" s="451"/>
      <c r="C5771" s="451"/>
      <c r="D5771" s="451"/>
      <c r="E5771" s="468"/>
      <c r="F5771" s="468"/>
    </row>
    <row r="5772" spans="1:6" ht="12.75" x14ac:dyDescent="0.2">
      <c r="A5772" s="451"/>
      <c r="B5772" s="451"/>
      <c r="C5772" s="451"/>
      <c r="D5772" s="451"/>
      <c r="E5772" s="468"/>
      <c r="F5772" s="468"/>
    </row>
    <row r="5773" spans="1:6" ht="12.75" x14ac:dyDescent="0.2">
      <c r="A5773" s="451"/>
      <c r="B5773" s="451"/>
      <c r="C5773" s="451"/>
      <c r="D5773" s="451"/>
      <c r="E5773" s="468"/>
      <c r="F5773" s="468"/>
    </row>
    <row r="5774" spans="1:6" ht="12.75" x14ac:dyDescent="0.2">
      <c r="A5774" s="451"/>
      <c r="B5774" s="451"/>
      <c r="C5774" s="451"/>
      <c r="D5774" s="451"/>
      <c r="E5774" s="468"/>
      <c r="F5774" s="468"/>
    </row>
    <row r="5775" spans="1:6" ht="12.75" x14ac:dyDescent="0.2">
      <c r="A5775" s="451"/>
      <c r="B5775" s="451"/>
      <c r="C5775" s="451"/>
      <c r="D5775" s="451"/>
      <c r="E5775" s="468"/>
      <c r="F5775" s="468"/>
    </row>
    <row r="5776" spans="1:6" ht="12.75" x14ac:dyDescent="0.2">
      <c r="A5776" s="451"/>
      <c r="B5776" s="451"/>
      <c r="C5776" s="451"/>
      <c r="D5776" s="451"/>
      <c r="E5776" s="468"/>
      <c r="F5776" s="468"/>
    </row>
    <row r="5777" spans="1:6" ht="12.75" x14ac:dyDescent="0.2">
      <c r="A5777" s="451"/>
      <c r="B5777" s="451"/>
      <c r="C5777" s="451"/>
      <c r="D5777" s="451"/>
      <c r="E5777" s="468"/>
      <c r="F5777" s="468"/>
    </row>
    <row r="5778" spans="1:6" ht="12.75" x14ac:dyDescent="0.2">
      <c r="A5778" s="451"/>
      <c r="B5778" s="451"/>
      <c r="C5778" s="451"/>
      <c r="D5778" s="451"/>
      <c r="E5778" s="468"/>
      <c r="F5778" s="468"/>
    </row>
    <row r="5779" spans="1:6" ht="12.75" x14ac:dyDescent="0.2">
      <c r="A5779" s="451"/>
      <c r="B5779" s="451"/>
      <c r="C5779" s="451"/>
      <c r="D5779" s="451"/>
      <c r="E5779" s="468"/>
      <c r="F5779" s="468"/>
    </row>
    <row r="5780" spans="1:6" ht="12.75" x14ac:dyDescent="0.2">
      <c r="A5780" s="451"/>
      <c r="B5780" s="451"/>
      <c r="C5780" s="451"/>
      <c r="D5780" s="451"/>
      <c r="E5780" s="468"/>
      <c r="F5780" s="468"/>
    </row>
    <row r="5781" spans="1:6" ht="12.75" x14ac:dyDescent="0.2">
      <c r="A5781" s="451"/>
      <c r="B5781" s="451"/>
      <c r="C5781" s="451"/>
      <c r="D5781" s="451"/>
      <c r="E5781" s="468"/>
      <c r="F5781" s="468"/>
    </row>
    <row r="5782" spans="1:6" ht="12.75" x14ac:dyDescent="0.2">
      <c r="A5782" s="451"/>
      <c r="B5782" s="451"/>
      <c r="C5782" s="451"/>
      <c r="D5782" s="451"/>
      <c r="E5782" s="468"/>
      <c r="F5782" s="468"/>
    </row>
    <row r="5783" spans="1:6" ht="12.75" x14ac:dyDescent="0.2">
      <c r="A5783" s="451"/>
      <c r="B5783" s="451"/>
      <c r="C5783" s="451"/>
      <c r="D5783" s="451"/>
      <c r="E5783" s="468"/>
      <c r="F5783" s="468"/>
    </row>
    <row r="5784" spans="1:6" ht="12.75" x14ac:dyDescent="0.2">
      <c r="A5784" s="451"/>
      <c r="B5784" s="451"/>
      <c r="C5784" s="451"/>
      <c r="D5784" s="451"/>
      <c r="E5784" s="468"/>
      <c r="F5784" s="468"/>
    </row>
    <row r="5785" spans="1:6" ht="12.75" x14ac:dyDescent="0.2">
      <c r="A5785" s="451"/>
      <c r="B5785" s="451"/>
      <c r="C5785" s="451"/>
      <c r="D5785" s="451"/>
      <c r="E5785" s="468"/>
      <c r="F5785" s="468"/>
    </row>
    <row r="5786" spans="1:6" ht="12.75" x14ac:dyDescent="0.2">
      <c r="A5786" s="451"/>
      <c r="B5786" s="451"/>
      <c r="C5786" s="451"/>
      <c r="D5786" s="451"/>
      <c r="E5786" s="468"/>
      <c r="F5786" s="468"/>
    </row>
    <row r="5787" spans="1:6" ht="12.75" x14ac:dyDescent="0.2">
      <c r="A5787" s="451"/>
      <c r="B5787" s="451"/>
      <c r="C5787" s="451"/>
      <c r="D5787" s="451"/>
      <c r="E5787" s="468"/>
      <c r="F5787" s="468"/>
    </row>
    <row r="5788" spans="1:6" ht="12.75" x14ac:dyDescent="0.2">
      <c r="A5788" s="451"/>
      <c r="B5788" s="451"/>
      <c r="C5788" s="451"/>
      <c r="D5788" s="451"/>
      <c r="E5788" s="468"/>
      <c r="F5788" s="468"/>
    </row>
    <row r="5789" spans="1:6" ht="12.75" x14ac:dyDescent="0.2">
      <c r="A5789" s="451"/>
      <c r="B5789" s="451"/>
      <c r="C5789" s="451"/>
      <c r="D5789" s="451"/>
      <c r="E5789" s="468"/>
      <c r="F5789" s="468"/>
    </row>
    <row r="5790" spans="1:6" ht="12.75" x14ac:dyDescent="0.2">
      <c r="A5790" s="451"/>
      <c r="B5790" s="451"/>
      <c r="C5790" s="451"/>
      <c r="D5790" s="451"/>
      <c r="E5790" s="468"/>
      <c r="F5790" s="468"/>
    </row>
    <row r="5791" spans="1:6" ht="12.75" x14ac:dyDescent="0.2">
      <c r="A5791" s="451"/>
      <c r="B5791" s="451"/>
      <c r="C5791" s="451"/>
      <c r="D5791" s="451"/>
      <c r="E5791" s="468"/>
      <c r="F5791" s="468"/>
    </row>
    <row r="5792" spans="1:6" ht="12.75" x14ac:dyDescent="0.2">
      <c r="A5792" s="451"/>
      <c r="B5792" s="451"/>
      <c r="C5792" s="451"/>
      <c r="D5792" s="451"/>
      <c r="E5792" s="468"/>
      <c r="F5792" s="468"/>
    </row>
    <row r="5793" spans="1:6" ht="12.75" x14ac:dyDescent="0.2">
      <c r="A5793" s="451"/>
      <c r="B5793" s="451"/>
      <c r="C5793" s="451"/>
      <c r="D5793" s="451"/>
      <c r="E5793" s="468"/>
      <c r="F5793" s="468"/>
    </row>
    <row r="5794" spans="1:6" ht="12.75" x14ac:dyDescent="0.2">
      <c r="A5794" s="451"/>
      <c r="B5794" s="451"/>
      <c r="C5794" s="451"/>
      <c r="D5794" s="451"/>
      <c r="E5794" s="468"/>
      <c r="F5794" s="468"/>
    </row>
    <row r="5795" spans="1:6" ht="12.75" x14ac:dyDescent="0.2">
      <c r="A5795" s="451"/>
      <c r="B5795" s="451"/>
      <c r="C5795" s="451"/>
      <c r="D5795" s="451"/>
      <c r="E5795" s="468"/>
      <c r="F5795" s="468"/>
    </row>
    <row r="5796" spans="1:6" ht="12.75" x14ac:dyDescent="0.2">
      <c r="A5796" s="451"/>
      <c r="B5796" s="451"/>
      <c r="C5796" s="451"/>
      <c r="D5796" s="451"/>
      <c r="E5796" s="468"/>
      <c r="F5796" s="468"/>
    </row>
    <row r="5797" spans="1:6" ht="12.75" x14ac:dyDescent="0.2">
      <c r="A5797" s="451"/>
      <c r="B5797" s="451"/>
      <c r="C5797" s="451"/>
      <c r="D5797" s="451"/>
      <c r="E5797" s="468"/>
      <c r="F5797" s="468"/>
    </row>
    <row r="5798" spans="1:6" ht="12.75" x14ac:dyDescent="0.2">
      <c r="A5798" s="451"/>
      <c r="B5798" s="451"/>
      <c r="C5798" s="451"/>
      <c r="D5798" s="451"/>
      <c r="E5798" s="468"/>
      <c r="F5798" s="468"/>
    </row>
    <row r="5799" spans="1:6" ht="12.75" x14ac:dyDescent="0.2">
      <c r="A5799" s="451"/>
      <c r="B5799" s="451"/>
      <c r="C5799" s="451"/>
      <c r="D5799" s="451"/>
      <c r="E5799" s="468"/>
      <c r="F5799" s="468"/>
    </row>
    <row r="5800" spans="1:6" ht="12.75" x14ac:dyDescent="0.2">
      <c r="A5800" s="451"/>
      <c r="B5800" s="451"/>
      <c r="C5800" s="451"/>
      <c r="D5800" s="451"/>
      <c r="E5800" s="468"/>
      <c r="F5800" s="468"/>
    </row>
    <row r="5801" spans="1:6" ht="12.75" x14ac:dyDescent="0.2">
      <c r="A5801" s="451"/>
      <c r="B5801" s="451"/>
      <c r="C5801" s="451"/>
      <c r="D5801" s="451"/>
      <c r="E5801" s="468"/>
      <c r="F5801" s="468"/>
    </row>
    <row r="5802" spans="1:6" ht="12.75" x14ac:dyDescent="0.2">
      <c r="A5802" s="451"/>
      <c r="B5802" s="451"/>
      <c r="C5802" s="451"/>
      <c r="D5802" s="451"/>
      <c r="E5802" s="468"/>
      <c r="F5802" s="468"/>
    </row>
    <row r="5803" spans="1:6" ht="12.75" x14ac:dyDescent="0.2">
      <c r="A5803" s="451"/>
      <c r="B5803" s="451"/>
      <c r="C5803" s="451"/>
      <c r="D5803" s="451"/>
      <c r="E5803" s="468"/>
      <c r="F5803" s="468"/>
    </row>
    <row r="5804" spans="1:6" ht="12.75" x14ac:dyDescent="0.2">
      <c r="A5804" s="451"/>
      <c r="B5804" s="451"/>
      <c r="C5804" s="451"/>
      <c r="D5804" s="451"/>
      <c r="E5804" s="468"/>
      <c r="F5804" s="468"/>
    </row>
    <row r="5805" spans="1:6" ht="12.75" x14ac:dyDescent="0.2">
      <c r="A5805" s="451"/>
      <c r="B5805" s="451"/>
      <c r="C5805" s="451"/>
      <c r="D5805" s="451"/>
      <c r="E5805" s="468"/>
      <c r="F5805" s="468"/>
    </row>
    <row r="5806" spans="1:6" ht="12.75" x14ac:dyDescent="0.2">
      <c r="A5806" s="451"/>
      <c r="B5806" s="451"/>
      <c r="C5806" s="451"/>
      <c r="D5806" s="451"/>
      <c r="E5806" s="468"/>
      <c r="F5806" s="468"/>
    </row>
    <row r="5807" spans="1:6" ht="12.75" x14ac:dyDescent="0.2">
      <c r="A5807" s="451"/>
      <c r="B5807" s="451"/>
      <c r="C5807" s="451"/>
      <c r="D5807" s="451"/>
      <c r="E5807" s="468"/>
      <c r="F5807" s="468"/>
    </row>
    <row r="5808" spans="1:6" ht="12.75" x14ac:dyDescent="0.2">
      <c r="A5808" s="451"/>
      <c r="B5808" s="451"/>
      <c r="C5808" s="451"/>
      <c r="D5808" s="451"/>
      <c r="E5808" s="468"/>
      <c r="F5808" s="468"/>
    </row>
    <row r="5809" spans="1:6" ht="12.75" x14ac:dyDescent="0.2">
      <c r="A5809" s="451"/>
      <c r="B5809" s="451"/>
      <c r="C5809" s="451"/>
      <c r="D5809" s="451"/>
      <c r="E5809" s="468"/>
      <c r="F5809" s="468"/>
    </row>
    <row r="5810" spans="1:6" ht="12.75" x14ac:dyDescent="0.2">
      <c r="A5810" s="451"/>
      <c r="B5810" s="451"/>
      <c r="C5810" s="451"/>
      <c r="D5810" s="451"/>
      <c r="E5810" s="468"/>
      <c r="F5810" s="468"/>
    </row>
    <row r="5811" spans="1:6" ht="12.75" x14ac:dyDescent="0.2">
      <c r="A5811" s="451"/>
      <c r="B5811" s="451"/>
      <c r="C5811" s="451"/>
      <c r="D5811" s="451"/>
      <c r="E5811" s="468"/>
      <c r="F5811" s="468"/>
    </row>
    <row r="5812" spans="1:6" ht="12.75" x14ac:dyDescent="0.2">
      <c r="A5812" s="451"/>
      <c r="B5812" s="451"/>
      <c r="C5812" s="451"/>
      <c r="D5812" s="451"/>
      <c r="E5812" s="468"/>
      <c r="F5812" s="468"/>
    </row>
    <row r="5813" spans="1:6" ht="12.75" x14ac:dyDescent="0.2">
      <c r="A5813" s="451"/>
      <c r="B5813" s="451"/>
      <c r="C5813" s="451"/>
      <c r="D5813" s="451"/>
      <c r="E5813" s="468"/>
      <c r="F5813" s="468"/>
    </row>
    <row r="5814" spans="1:6" ht="12.75" x14ac:dyDescent="0.2">
      <c r="A5814" s="451"/>
      <c r="B5814" s="451"/>
      <c r="C5814" s="451"/>
      <c r="D5814" s="451"/>
      <c r="E5814" s="468"/>
      <c r="F5814" s="468"/>
    </row>
    <row r="5815" spans="1:6" ht="12.75" x14ac:dyDescent="0.2">
      <c r="A5815" s="451"/>
      <c r="B5815" s="451"/>
      <c r="C5815" s="451"/>
      <c r="D5815" s="451"/>
      <c r="E5815" s="468"/>
      <c r="F5815" s="468"/>
    </row>
    <row r="5816" spans="1:6" ht="12.75" x14ac:dyDescent="0.2">
      <c r="A5816" s="451"/>
      <c r="B5816" s="451"/>
      <c r="C5816" s="451"/>
      <c r="D5816" s="451"/>
      <c r="E5816" s="468"/>
      <c r="F5816" s="468"/>
    </row>
    <row r="5817" spans="1:6" ht="12.75" x14ac:dyDescent="0.2">
      <c r="A5817" s="451"/>
      <c r="B5817" s="451"/>
      <c r="C5817" s="451"/>
      <c r="D5817" s="451"/>
      <c r="E5817" s="468"/>
      <c r="F5817" s="468"/>
    </row>
    <row r="5818" spans="1:6" ht="12.75" x14ac:dyDescent="0.2">
      <c r="A5818" s="451"/>
      <c r="B5818" s="451"/>
      <c r="C5818" s="451"/>
      <c r="D5818" s="451"/>
      <c r="E5818" s="468"/>
      <c r="F5818" s="468"/>
    </row>
    <row r="5819" spans="1:6" ht="12.75" x14ac:dyDescent="0.2">
      <c r="A5819" s="451"/>
      <c r="B5819" s="451"/>
      <c r="C5819" s="451"/>
      <c r="D5819" s="451"/>
      <c r="E5819" s="468"/>
      <c r="F5819" s="468"/>
    </row>
    <row r="5820" spans="1:6" ht="12.75" x14ac:dyDescent="0.2">
      <c r="A5820" s="451"/>
      <c r="B5820" s="451"/>
      <c r="C5820" s="451"/>
      <c r="D5820" s="451"/>
      <c r="E5820" s="468"/>
      <c r="F5820" s="468"/>
    </row>
    <row r="5821" spans="1:6" ht="12.75" x14ac:dyDescent="0.2">
      <c r="A5821" s="451"/>
      <c r="B5821" s="451"/>
      <c r="C5821" s="451"/>
      <c r="D5821" s="451"/>
      <c r="E5821" s="468"/>
      <c r="F5821" s="468"/>
    </row>
    <row r="5822" spans="1:6" ht="12.75" x14ac:dyDescent="0.2">
      <c r="A5822" s="451"/>
      <c r="B5822" s="451"/>
      <c r="C5822" s="451"/>
      <c r="D5822" s="451"/>
      <c r="E5822" s="468"/>
      <c r="F5822" s="468"/>
    </row>
    <row r="5823" spans="1:6" ht="12.75" x14ac:dyDescent="0.2">
      <c r="A5823" s="451"/>
      <c r="B5823" s="451"/>
      <c r="C5823" s="451"/>
      <c r="D5823" s="451"/>
      <c r="E5823" s="468"/>
      <c r="F5823" s="468"/>
    </row>
    <row r="5824" spans="1:6" ht="12.75" x14ac:dyDescent="0.2">
      <c r="A5824" s="451"/>
      <c r="B5824" s="451"/>
      <c r="C5824" s="451"/>
      <c r="D5824" s="451"/>
      <c r="E5824" s="468"/>
      <c r="F5824" s="468"/>
    </row>
    <row r="5825" spans="1:6" ht="12.75" x14ac:dyDescent="0.2">
      <c r="A5825" s="451"/>
      <c r="B5825" s="451"/>
      <c r="C5825" s="451"/>
      <c r="D5825" s="451"/>
      <c r="E5825" s="468"/>
      <c r="F5825" s="468"/>
    </row>
    <row r="5826" spans="1:6" ht="12.75" x14ac:dyDescent="0.2">
      <c r="A5826" s="451"/>
      <c r="B5826" s="451"/>
      <c r="C5826" s="451"/>
      <c r="D5826" s="451"/>
      <c r="E5826" s="468"/>
      <c r="F5826" s="468"/>
    </row>
    <row r="5827" spans="1:6" ht="12.75" x14ac:dyDescent="0.2">
      <c r="A5827" s="451"/>
      <c r="B5827" s="451"/>
      <c r="C5827" s="451"/>
      <c r="D5827" s="451"/>
      <c r="E5827" s="468"/>
      <c r="F5827" s="468"/>
    </row>
    <row r="5828" spans="1:6" ht="12.75" x14ac:dyDescent="0.2">
      <c r="A5828" s="451"/>
      <c r="B5828" s="451"/>
      <c r="C5828" s="451"/>
      <c r="D5828" s="451"/>
      <c r="E5828" s="468"/>
      <c r="F5828" s="468"/>
    </row>
    <row r="5829" spans="1:6" ht="12.75" x14ac:dyDescent="0.2">
      <c r="A5829" s="451"/>
      <c r="B5829" s="451"/>
      <c r="C5829" s="451"/>
      <c r="D5829" s="451"/>
      <c r="E5829" s="468"/>
      <c r="F5829" s="468"/>
    </row>
    <row r="5830" spans="1:6" ht="12.75" x14ac:dyDescent="0.2">
      <c r="A5830" s="451"/>
      <c r="B5830" s="451"/>
      <c r="C5830" s="451"/>
      <c r="D5830" s="451"/>
      <c r="E5830" s="468"/>
      <c r="F5830" s="468"/>
    </row>
    <row r="5831" spans="1:6" ht="12.75" x14ac:dyDescent="0.2">
      <c r="A5831" s="451"/>
      <c r="B5831" s="451"/>
      <c r="C5831" s="451"/>
      <c r="D5831" s="451"/>
      <c r="E5831" s="468"/>
      <c r="F5831" s="468"/>
    </row>
    <row r="5832" spans="1:6" ht="12.75" x14ac:dyDescent="0.2">
      <c r="A5832" s="451"/>
      <c r="B5832" s="451"/>
      <c r="C5832" s="451"/>
      <c r="D5832" s="451"/>
      <c r="E5832" s="468"/>
      <c r="F5832" s="468"/>
    </row>
    <row r="5833" spans="1:6" ht="12.75" x14ac:dyDescent="0.2">
      <c r="A5833" s="451"/>
      <c r="B5833" s="451"/>
      <c r="C5833" s="451"/>
      <c r="D5833" s="451"/>
      <c r="E5833" s="468"/>
      <c r="F5833" s="468"/>
    </row>
    <row r="5834" spans="1:6" ht="12.75" x14ac:dyDescent="0.2">
      <c r="A5834" s="451"/>
      <c r="B5834" s="451"/>
      <c r="C5834" s="451"/>
      <c r="D5834" s="451"/>
      <c r="E5834" s="468"/>
      <c r="F5834" s="468"/>
    </row>
    <row r="5835" spans="1:6" ht="12.75" x14ac:dyDescent="0.2">
      <c r="A5835" s="451"/>
      <c r="B5835" s="451"/>
      <c r="C5835" s="451"/>
      <c r="D5835" s="451"/>
      <c r="E5835" s="468"/>
      <c r="F5835" s="468"/>
    </row>
    <row r="5836" spans="1:6" ht="12.75" x14ac:dyDescent="0.2">
      <c r="A5836" s="451"/>
      <c r="B5836" s="451"/>
      <c r="C5836" s="451"/>
      <c r="D5836" s="451"/>
      <c r="E5836" s="468"/>
      <c r="F5836" s="468"/>
    </row>
    <row r="5837" spans="1:6" ht="12.75" x14ac:dyDescent="0.2">
      <c r="A5837" s="451"/>
      <c r="B5837" s="451"/>
      <c r="C5837" s="451"/>
      <c r="D5837" s="451"/>
      <c r="E5837" s="468"/>
      <c r="F5837" s="468"/>
    </row>
    <row r="5838" spans="1:6" ht="12.75" x14ac:dyDescent="0.2">
      <c r="A5838" s="451"/>
      <c r="B5838" s="451"/>
      <c r="C5838" s="451"/>
      <c r="D5838" s="451"/>
      <c r="E5838" s="468"/>
      <c r="F5838" s="468"/>
    </row>
    <row r="5839" spans="1:6" ht="12.75" x14ac:dyDescent="0.2">
      <c r="A5839" s="451"/>
      <c r="B5839" s="451"/>
      <c r="C5839" s="451"/>
      <c r="D5839" s="451"/>
      <c r="E5839" s="468"/>
      <c r="F5839" s="468"/>
    </row>
    <row r="5840" spans="1:6" ht="12.75" x14ac:dyDescent="0.2">
      <c r="A5840" s="451"/>
      <c r="B5840" s="451"/>
      <c r="C5840" s="451"/>
      <c r="D5840" s="451"/>
      <c r="E5840" s="468"/>
      <c r="F5840" s="468"/>
    </row>
    <row r="5841" spans="1:6" ht="12.75" x14ac:dyDescent="0.2">
      <c r="A5841" s="451"/>
      <c r="B5841" s="451"/>
      <c r="C5841" s="451"/>
      <c r="D5841" s="451"/>
      <c r="E5841" s="468"/>
      <c r="F5841" s="468"/>
    </row>
    <row r="5842" spans="1:6" ht="12.75" x14ac:dyDescent="0.2">
      <c r="A5842" s="451"/>
      <c r="B5842" s="451"/>
      <c r="C5842" s="451"/>
      <c r="D5842" s="451"/>
      <c r="E5842" s="468"/>
      <c r="F5842" s="468"/>
    </row>
    <row r="5843" spans="1:6" ht="12.75" x14ac:dyDescent="0.2">
      <c r="A5843" s="451"/>
      <c r="B5843" s="451"/>
      <c r="C5843" s="451"/>
      <c r="D5843" s="451"/>
      <c r="E5843" s="468"/>
      <c r="F5843" s="468"/>
    </row>
    <row r="5844" spans="1:6" ht="12.75" x14ac:dyDescent="0.2">
      <c r="A5844" s="451"/>
      <c r="B5844" s="451"/>
      <c r="C5844" s="451"/>
      <c r="D5844" s="451"/>
      <c r="E5844" s="468"/>
      <c r="F5844" s="468"/>
    </row>
    <row r="5845" spans="1:6" ht="12.75" x14ac:dyDescent="0.2">
      <c r="A5845" s="451"/>
      <c r="B5845" s="451"/>
      <c r="C5845" s="451"/>
      <c r="D5845" s="451"/>
      <c r="E5845" s="468"/>
      <c r="F5845" s="468"/>
    </row>
    <row r="5846" spans="1:6" ht="12.75" x14ac:dyDescent="0.2">
      <c r="A5846" s="451"/>
      <c r="B5846" s="451"/>
      <c r="C5846" s="451"/>
      <c r="D5846" s="451"/>
      <c r="E5846" s="468"/>
      <c r="F5846" s="468"/>
    </row>
    <row r="5847" spans="1:6" ht="12.75" x14ac:dyDescent="0.2">
      <c r="A5847" s="451"/>
      <c r="B5847" s="451"/>
      <c r="C5847" s="451"/>
      <c r="D5847" s="451"/>
      <c r="E5847" s="468"/>
      <c r="F5847" s="468"/>
    </row>
    <row r="5848" spans="1:6" ht="12.75" x14ac:dyDescent="0.2">
      <c r="A5848" s="451"/>
      <c r="B5848" s="451"/>
      <c r="C5848" s="451"/>
      <c r="D5848" s="451"/>
      <c r="E5848" s="468"/>
      <c r="F5848" s="468"/>
    </row>
    <row r="5849" spans="1:6" ht="12.75" x14ac:dyDescent="0.2">
      <c r="A5849" s="451"/>
      <c r="B5849" s="451"/>
      <c r="C5849" s="451"/>
      <c r="D5849" s="451"/>
      <c r="E5849" s="468"/>
      <c r="F5849" s="468"/>
    </row>
    <row r="5850" spans="1:6" ht="12.75" x14ac:dyDescent="0.2">
      <c r="A5850" s="451"/>
      <c r="B5850" s="451"/>
      <c r="C5850" s="451"/>
      <c r="D5850" s="451"/>
      <c r="E5850" s="468"/>
      <c r="F5850" s="468"/>
    </row>
    <row r="5851" spans="1:6" ht="12.75" x14ac:dyDescent="0.2">
      <c r="A5851" s="451"/>
      <c r="B5851" s="451"/>
      <c r="C5851" s="451"/>
      <c r="D5851" s="451"/>
      <c r="E5851" s="468"/>
      <c r="F5851" s="468"/>
    </row>
    <row r="5852" spans="1:6" ht="12.75" x14ac:dyDescent="0.2">
      <c r="A5852" s="451"/>
      <c r="B5852" s="451"/>
      <c r="C5852" s="451"/>
      <c r="D5852" s="451"/>
      <c r="E5852" s="468"/>
      <c r="F5852" s="468"/>
    </row>
    <row r="5853" spans="1:6" ht="12.75" x14ac:dyDescent="0.2">
      <c r="A5853" s="451"/>
      <c r="B5853" s="451"/>
      <c r="C5853" s="451"/>
      <c r="D5853" s="451"/>
      <c r="E5853" s="468"/>
      <c r="F5853" s="468"/>
    </row>
    <row r="5854" spans="1:6" ht="12.75" x14ac:dyDescent="0.2">
      <c r="A5854" s="451"/>
      <c r="B5854" s="451"/>
      <c r="C5854" s="451"/>
      <c r="D5854" s="451"/>
      <c r="E5854" s="468"/>
      <c r="F5854" s="468"/>
    </row>
    <row r="5855" spans="1:6" ht="12.75" x14ac:dyDescent="0.2">
      <c r="A5855" s="451"/>
      <c r="B5855" s="451"/>
      <c r="C5855" s="451"/>
      <c r="D5855" s="451"/>
      <c r="E5855" s="468"/>
      <c r="F5855" s="468"/>
    </row>
    <row r="5856" spans="1:6" ht="12.75" x14ac:dyDescent="0.2">
      <c r="A5856" s="451"/>
      <c r="B5856" s="451"/>
      <c r="C5856" s="451"/>
      <c r="D5856" s="451"/>
      <c r="E5856" s="468"/>
      <c r="F5856" s="468"/>
    </row>
    <row r="5857" spans="1:6" ht="12.75" x14ac:dyDescent="0.2">
      <c r="A5857" s="451"/>
      <c r="B5857" s="451"/>
      <c r="C5857" s="451"/>
      <c r="D5857" s="451"/>
      <c r="E5857" s="468"/>
      <c r="F5857" s="468"/>
    </row>
    <row r="5858" spans="1:6" ht="12.75" x14ac:dyDescent="0.2">
      <c r="A5858" s="451"/>
      <c r="B5858" s="451"/>
      <c r="C5858" s="451"/>
      <c r="D5858" s="451"/>
      <c r="E5858" s="468"/>
      <c r="F5858" s="468"/>
    </row>
    <row r="5859" spans="1:6" ht="12.75" x14ac:dyDescent="0.2">
      <c r="A5859" s="451"/>
      <c r="B5859" s="451"/>
      <c r="C5859" s="451"/>
      <c r="D5859" s="451"/>
      <c r="E5859" s="468"/>
      <c r="F5859" s="468"/>
    </row>
    <row r="5860" spans="1:6" ht="12.75" x14ac:dyDescent="0.2">
      <c r="A5860" s="451"/>
      <c r="B5860" s="451"/>
      <c r="C5860" s="451"/>
      <c r="D5860" s="451"/>
      <c r="E5860" s="468"/>
      <c r="F5860" s="468"/>
    </row>
    <row r="5861" spans="1:6" ht="12.75" x14ac:dyDescent="0.2">
      <c r="A5861" s="451"/>
      <c r="B5861" s="451"/>
      <c r="C5861" s="451"/>
      <c r="D5861" s="451"/>
      <c r="E5861" s="468"/>
      <c r="F5861" s="468"/>
    </row>
    <row r="5862" spans="1:6" ht="12.75" x14ac:dyDescent="0.2">
      <c r="A5862" s="451"/>
      <c r="B5862" s="451"/>
      <c r="C5862" s="451"/>
      <c r="D5862" s="451"/>
      <c r="E5862" s="468"/>
      <c r="F5862" s="468"/>
    </row>
    <row r="5863" spans="1:6" ht="12.75" x14ac:dyDescent="0.2">
      <c r="A5863" s="451"/>
      <c r="B5863" s="451"/>
      <c r="C5863" s="451"/>
      <c r="D5863" s="451"/>
      <c r="E5863" s="468"/>
      <c r="F5863" s="468"/>
    </row>
    <row r="5864" spans="1:6" ht="12.75" x14ac:dyDescent="0.2">
      <c r="A5864" s="451"/>
      <c r="B5864" s="451"/>
      <c r="C5864" s="451"/>
      <c r="D5864" s="451"/>
      <c r="E5864" s="468"/>
      <c r="F5864" s="468"/>
    </row>
    <row r="5865" spans="1:6" ht="12.75" x14ac:dyDescent="0.2">
      <c r="A5865" s="451"/>
      <c r="B5865" s="451"/>
      <c r="C5865" s="451"/>
      <c r="D5865" s="451"/>
      <c r="E5865" s="468"/>
      <c r="F5865" s="468"/>
    </row>
    <row r="5866" spans="1:6" ht="12.75" x14ac:dyDescent="0.2">
      <c r="A5866" s="451"/>
      <c r="B5866" s="451"/>
      <c r="C5866" s="451"/>
      <c r="D5866" s="451"/>
      <c r="E5866" s="468"/>
      <c r="F5866" s="468"/>
    </row>
    <row r="5867" spans="1:6" ht="12.75" x14ac:dyDescent="0.2">
      <c r="A5867" s="451"/>
      <c r="B5867" s="451"/>
      <c r="C5867" s="451"/>
      <c r="D5867" s="451"/>
      <c r="E5867" s="468"/>
      <c r="F5867" s="468"/>
    </row>
    <row r="5868" spans="1:6" ht="12.75" x14ac:dyDescent="0.2">
      <c r="A5868" s="451"/>
      <c r="B5868" s="451"/>
      <c r="C5868" s="451"/>
      <c r="D5868" s="451"/>
      <c r="E5868" s="468"/>
      <c r="F5868" s="468"/>
    </row>
    <row r="5869" spans="1:6" ht="12.75" x14ac:dyDescent="0.2">
      <c r="A5869" s="451"/>
      <c r="B5869" s="451"/>
      <c r="C5869" s="451"/>
      <c r="D5869" s="451"/>
      <c r="E5869" s="468"/>
      <c r="F5869" s="468"/>
    </row>
    <row r="5870" spans="1:6" ht="12.75" x14ac:dyDescent="0.2">
      <c r="A5870" s="451"/>
      <c r="B5870" s="451"/>
      <c r="C5870" s="451"/>
      <c r="D5870" s="451"/>
      <c r="E5870" s="468"/>
      <c r="F5870" s="468"/>
    </row>
    <row r="5871" spans="1:6" ht="12.75" x14ac:dyDescent="0.2">
      <c r="A5871" s="451"/>
      <c r="B5871" s="451"/>
      <c r="C5871" s="451"/>
      <c r="D5871" s="451"/>
      <c r="E5871" s="468"/>
      <c r="F5871" s="468"/>
    </row>
    <row r="5872" spans="1:6" ht="12.75" x14ac:dyDescent="0.2">
      <c r="A5872" s="451"/>
      <c r="B5872" s="451"/>
      <c r="C5872" s="451"/>
      <c r="D5872" s="451"/>
      <c r="E5872" s="468"/>
      <c r="F5872" s="468"/>
    </row>
    <row r="5873" spans="1:6" ht="12.75" x14ac:dyDescent="0.2">
      <c r="A5873" s="451"/>
      <c r="B5873" s="451"/>
      <c r="C5873" s="451"/>
      <c r="D5873" s="451"/>
      <c r="E5873" s="468"/>
      <c r="F5873" s="468"/>
    </row>
    <row r="5874" spans="1:6" ht="12.75" x14ac:dyDescent="0.2">
      <c r="A5874" s="451"/>
      <c r="B5874" s="451"/>
      <c r="C5874" s="451"/>
      <c r="D5874" s="451"/>
      <c r="E5874" s="468"/>
      <c r="F5874" s="468"/>
    </row>
    <row r="5875" spans="1:6" ht="12.75" x14ac:dyDescent="0.2">
      <c r="A5875" s="451"/>
      <c r="B5875" s="451"/>
      <c r="C5875" s="451"/>
      <c r="D5875" s="451"/>
      <c r="E5875" s="468"/>
      <c r="F5875" s="468"/>
    </row>
    <row r="5876" spans="1:6" ht="12.75" x14ac:dyDescent="0.2">
      <c r="A5876" s="451"/>
      <c r="B5876" s="451"/>
      <c r="C5876" s="451"/>
      <c r="D5876" s="451"/>
      <c r="E5876" s="468"/>
      <c r="F5876" s="468"/>
    </row>
    <row r="5877" spans="1:6" ht="12.75" x14ac:dyDescent="0.2">
      <c r="A5877" s="451"/>
      <c r="B5877" s="451"/>
      <c r="C5877" s="451"/>
      <c r="D5877" s="451"/>
      <c r="E5877" s="468"/>
      <c r="F5877" s="468"/>
    </row>
    <row r="5878" spans="1:6" ht="12.75" x14ac:dyDescent="0.2">
      <c r="A5878" s="451"/>
      <c r="B5878" s="451"/>
      <c r="C5878" s="451"/>
      <c r="D5878" s="451"/>
      <c r="E5878" s="468"/>
      <c r="F5878" s="468"/>
    </row>
    <row r="5879" spans="1:6" ht="12.75" x14ac:dyDescent="0.2">
      <c r="A5879" s="451"/>
      <c r="B5879" s="451"/>
      <c r="C5879" s="451"/>
      <c r="D5879" s="451"/>
      <c r="E5879" s="468"/>
      <c r="F5879" s="468"/>
    </row>
    <row r="5880" spans="1:6" ht="12.75" x14ac:dyDescent="0.2">
      <c r="A5880" s="451"/>
      <c r="B5880" s="451"/>
      <c r="C5880" s="451"/>
      <c r="D5880" s="451"/>
      <c r="E5880" s="468"/>
      <c r="F5880" s="468"/>
    </row>
    <row r="5881" spans="1:6" ht="12.75" x14ac:dyDescent="0.2">
      <c r="A5881" s="451"/>
      <c r="B5881" s="451"/>
      <c r="C5881" s="451"/>
      <c r="D5881" s="451"/>
      <c r="E5881" s="468"/>
      <c r="F5881" s="468"/>
    </row>
    <row r="5882" spans="1:6" ht="12.75" x14ac:dyDescent="0.2">
      <c r="A5882" s="451"/>
      <c r="B5882" s="451"/>
      <c r="C5882" s="451"/>
      <c r="D5882" s="451"/>
      <c r="E5882" s="468"/>
      <c r="F5882" s="468"/>
    </row>
    <row r="5883" spans="1:6" ht="12.75" x14ac:dyDescent="0.2">
      <c r="A5883" s="451"/>
      <c r="B5883" s="451"/>
      <c r="C5883" s="451"/>
      <c r="D5883" s="451"/>
      <c r="E5883" s="468"/>
      <c r="F5883" s="468"/>
    </row>
    <row r="5884" spans="1:6" ht="12.75" x14ac:dyDescent="0.2">
      <c r="A5884" s="451"/>
      <c r="B5884" s="451"/>
      <c r="C5884" s="451"/>
      <c r="D5884" s="451"/>
      <c r="E5884" s="468"/>
      <c r="F5884" s="468"/>
    </row>
    <row r="5885" spans="1:6" ht="12.75" x14ac:dyDescent="0.2">
      <c r="A5885" s="451"/>
      <c r="B5885" s="451"/>
      <c r="C5885" s="451"/>
      <c r="D5885" s="451"/>
      <c r="E5885" s="468"/>
      <c r="F5885" s="468"/>
    </row>
    <row r="5886" spans="1:6" ht="12.75" x14ac:dyDescent="0.2">
      <c r="A5886" s="451"/>
      <c r="B5886" s="451"/>
      <c r="C5886" s="451"/>
      <c r="D5886" s="451"/>
      <c r="E5886" s="468"/>
      <c r="F5886" s="468"/>
    </row>
    <row r="5887" spans="1:6" ht="12.75" x14ac:dyDescent="0.2">
      <c r="A5887" s="451"/>
      <c r="B5887" s="451"/>
      <c r="C5887" s="451"/>
      <c r="D5887" s="451"/>
      <c r="E5887" s="468"/>
      <c r="F5887" s="468"/>
    </row>
    <row r="5888" spans="1:6" ht="12.75" x14ac:dyDescent="0.2">
      <c r="A5888" s="451"/>
      <c r="B5888" s="451"/>
      <c r="C5888" s="451"/>
      <c r="D5888" s="451"/>
      <c r="E5888" s="468"/>
      <c r="F5888" s="468"/>
    </row>
    <row r="5889" spans="1:6" ht="12.75" x14ac:dyDescent="0.2">
      <c r="A5889" s="451"/>
      <c r="B5889" s="451"/>
      <c r="C5889" s="451"/>
      <c r="D5889" s="451"/>
      <c r="E5889" s="468"/>
      <c r="F5889" s="468"/>
    </row>
    <row r="5890" spans="1:6" ht="12.75" x14ac:dyDescent="0.2">
      <c r="A5890" s="451"/>
      <c r="B5890" s="451"/>
      <c r="C5890" s="451"/>
      <c r="D5890" s="451"/>
      <c r="E5890" s="468"/>
      <c r="F5890" s="468"/>
    </row>
    <row r="5891" spans="1:6" ht="12.75" x14ac:dyDescent="0.2">
      <c r="A5891" s="451"/>
      <c r="B5891" s="451"/>
      <c r="C5891" s="451"/>
      <c r="D5891" s="451"/>
      <c r="E5891" s="468"/>
      <c r="F5891" s="468"/>
    </row>
    <row r="5892" spans="1:6" ht="12.75" x14ac:dyDescent="0.2">
      <c r="A5892" s="451"/>
      <c r="B5892" s="451"/>
      <c r="C5892" s="451"/>
      <c r="D5892" s="451"/>
      <c r="E5892" s="468"/>
      <c r="F5892" s="468"/>
    </row>
    <row r="5893" spans="1:6" ht="12.75" x14ac:dyDescent="0.2">
      <c r="A5893" s="451"/>
      <c r="B5893" s="451"/>
      <c r="C5893" s="451"/>
      <c r="D5893" s="451"/>
      <c r="E5893" s="468"/>
      <c r="F5893" s="468"/>
    </row>
    <row r="5894" spans="1:6" ht="12.75" x14ac:dyDescent="0.2">
      <c r="A5894" s="451"/>
      <c r="B5894" s="451"/>
      <c r="C5894" s="451"/>
      <c r="D5894" s="451"/>
      <c r="E5894" s="468"/>
      <c r="F5894" s="468"/>
    </row>
    <row r="5895" spans="1:6" ht="12.75" x14ac:dyDescent="0.2">
      <c r="A5895" s="451"/>
      <c r="B5895" s="451"/>
      <c r="C5895" s="451"/>
      <c r="D5895" s="451"/>
      <c r="E5895" s="468"/>
      <c r="F5895" s="468"/>
    </row>
    <row r="5896" spans="1:6" ht="12.75" x14ac:dyDescent="0.2">
      <c r="A5896" s="451"/>
      <c r="B5896" s="451"/>
      <c r="C5896" s="451"/>
      <c r="D5896" s="451"/>
      <c r="E5896" s="468"/>
      <c r="F5896" s="468"/>
    </row>
    <row r="5897" spans="1:6" ht="12.75" x14ac:dyDescent="0.2">
      <c r="A5897" s="451"/>
      <c r="B5897" s="451"/>
      <c r="C5897" s="451"/>
      <c r="D5897" s="451"/>
      <c r="E5897" s="468"/>
      <c r="F5897" s="468"/>
    </row>
    <row r="5898" spans="1:6" ht="12.75" x14ac:dyDescent="0.2">
      <c r="A5898" s="451"/>
      <c r="B5898" s="451"/>
      <c r="C5898" s="451"/>
      <c r="D5898" s="451"/>
      <c r="E5898" s="468"/>
      <c r="F5898" s="468"/>
    </row>
    <row r="5899" spans="1:6" ht="12.75" x14ac:dyDescent="0.2">
      <c r="A5899" s="451"/>
      <c r="B5899" s="451"/>
      <c r="C5899" s="451"/>
      <c r="D5899" s="451"/>
      <c r="E5899" s="468"/>
      <c r="F5899" s="468"/>
    </row>
    <row r="5900" spans="1:6" ht="12.75" x14ac:dyDescent="0.2">
      <c r="A5900" s="451"/>
      <c r="B5900" s="451"/>
      <c r="C5900" s="451"/>
      <c r="D5900" s="451"/>
      <c r="E5900" s="468"/>
      <c r="F5900" s="468"/>
    </row>
    <row r="5901" spans="1:6" ht="12.75" x14ac:dyDescent="0.2">
      <c r="A5901" s="451"/>
      <c r="B5901" s="451"/>
      <c r="C5901" s="451"/>
      <c r="D5901" s="451"/>
      <c r="E5901" s="468"/>
      <c r="F5901" s="468"/>
    </row>
    <row r="5902" spans="1:6" ht="12.75" x14ac:dyDescent="0.2">
      <c r="A5902" s="451"/>
      <c r="B5902" s="451"/>
      <c r="C5902" s="451"/>
      <c r="D5902" s="451"/>
      <c r="E5902" s="468"/>
      <c r="F5902" s="468"/>
    </row>
    <row r="5903" spans="1:6" ht="12.75" x14ac:dyDescent="0.2">
      <c r="A5903" s="451"/>
      <c r="B5903" s="451"/>
      <c r="C5903" s="451"/>
      <c r="D5903" s="451"/>
      <c r="E5903" s="468"/>
      <c r="F5903" s="468"/>
    </row>
    <row r="5904" spans="1:6" ht="12.75" x14ac:dyDescent="0.2">
      <c r="A5904" s="451"/>
      <c r="B5904" s="451"/>
      <c r="C5904" s="451"/>
      <c r="D5904" s="451"/>
      <c r="E5904" s="468"/>
      <c r="F5904" s="468"/>
    </row>
    <row r="5905" spans="1:6" ht="12.75" x14ac:dyDescent="0.2">
      <c r="A5905" s="451"/>
      <c r="B5905" s="451"/>
      <c r="C5905" s="451"/>
      <c r="D5905" s="451"/>
      <c r="E5905" s="468"/>
      <c r="F5905" s="468"/>
    </row>
    <row r="5906" spans="1:6" ht="12.75" x14ac:dyDescent="0.2">
      <c r="A5906" s="451"/>
      <c r="B5906" s="451"/>
      <c r="C5906" s="451"/>
      <c r="D5906" s="451"/>
      <c r="E5906" s="468"/>
      <c r="F5906" s="468"/>
    </row>
    <row r="5907" spans="1:6" ht="12.75" x14ac:dyDescent="0.2">
      <c r="A5907" s="451"/>
      <c r="B5907" s="451"/>
      <c r="C5907" s="451"/>
      <c r="D5907" s="451"/>
      <c r="E5907" s="468"/>
      <c r="F5907" s="468"/>
    </row>
    <row r="5908" spans="1:6" ht="12.75" x14ac:dyDescent="0.2">
      <c r="A5908" s="451"/>
      <c r="B5908" s="451"/>
      <c r="C5908" s="451"/>
      <c r="D5908" s="451"/>
      <c r="E5908" s="468"/>
      <c r="F5908" s="468"/>
    </row>
    <row r="5909" spans="1:6" ht="12.75" x14ac:dyDescent="0.2">
      <c r="A5909" s="451"/>
      <c r="B5909" s="451"/>
      <c r="C5909" s="451"/>
      <c r="D5909" s="451"/>
      <c r="E5909" s="468"/>
      <c r="F5909" s="468"/>
    </row>
    <row r="5910" spans="1:6" ht="12.75" x14ac:dyDescent="0.2">
      <c r="A5910" s="451"/>
      <c r="B5910" s="451"/>
      <c r="C5910" s="451"/>
      <c r="D5910" s="451"/>
      <c r="E5910" s="468"/>
      <c r="F5910" s="468"/>
    </row>
    <row r="5911" spans="1:6" ht="12.75" x14ac:dyDescent="0.2">
      <c r="A5911" s="451"/>
      <c r="B5911" s="451"/>
      <c r="C5911" s="451"/>
      <c r="D5911" s="451"/>
      <c r="E5911" s="468"/>
      <c r="F5911" s="468"/>
    </row>
    <row r="5912" spans="1:6" ht="12.75" x14ac:dyDescent="0.2">
      <c r="A5912" s="451"/>
      <c r="B5912" s="451"/>
      <c r="C5912" s="451"/>
      <c r="D5912" s="451"/>
      <c r="E5912" s="468"/>
      <c r="F5912" s="468"/>
    </row>
    <row r="5913" spans="1:6" ht="12.75" x14ac:dyDescent="0.2">
      <c r="A5913" s="451"/>
      <c r="B5913" s="451"/>
      <c r="C5913" s="451"/>
      <c r="D5913" s="451"/>
      <c r="E5913" s="468"/>
      <c r="F5913" s="468"/>
    </row>
    <row r="5914" spans="1:6" ht="12.75" x14ac:dyDescent="0.2">
      <c r="A5914" s="451"/>
      <c r="B5914" s="451"/>
      <c r="C5914" s="451"/>
      <c r="D5914" s="451"/>
      <c r="E5914" s="468"/>
      <c r="F5914" s="468"/>
    </row>
    <row r="5915" spans="1:6" ht="12.75" x14ac:dyDescent="0.2">
      <c r="A5915" s="451"/>
      <c r="B5915" s="451"/>
      <c r="C5915" s="451"/>
      <c r="D5915" s="451"/>
      <c r="E5915" s="468"/>
      <c r="F5915" s="468"/>
    </row>
    <row r="5916" spans="1:6" ht="12.75" x14ac:dyDescent="0.2">
      <c r="A5916" s="451"/>
      <c r="B5916" s="451"/>
      <c r="C5916" s="451"/>
      <c r="D5916" s="451"/>
      <c r="E5916" s="468"/>
      <c r="F5916" s="468"/>
    </row>
    <row r="5917" spans="1:6" ht="12.75" x14ac:dyDescent="0.2">
      <c r="A5917" s="451"/>
      <c r="B5917" s="451"/>
      <c r="C5917" s="451"/>
      <c r="D5917" s="451"/>
      <c r="E5917" s="468"/>
      <c r="F5917" s="468"/>
    </row>
    <row r="5918" spans="1:6" ht="12.75" x14ac:dyDescent="0.2">
      <c r="A5918" s="451"/>
      <c r="B5918" s="451"/>
      <c r="C5918" s="451"/>
      <c r="D5918" s="451"/>
      <c r="E5918" s="468"/>
      <c r="F5918" s="468"/>
    </row>
    <row r="5919" spans="1:6" ht="12.75" x14ac:dyDescent="0.2">
      <c r="A5919" s="451"/>
      <c r="B5919" s="451"/>
      <c r="C5919" s="451"/>
      <c r="D5919" s="451"/>
      <c r="E5919" s="468"/>
      <c r="F5919" s="468"/>
    </row>
    <row r="5920" spans="1:6" ht="12.75" x14ac:dyDescent="0.2">
      <c r="A5920" s="451"/>
      <c r="B5920" s="451"/>
      <c r="C5920" s="451"/>
      <c r="D5920" s="451"/>
      <c r="E5920" s="468"/>
      <c r="F5920" s="468"/>
    </row>
    <row r="5921" spans="1:6" ht="12.75" x14ac:dyDescent="0.2">
      <c r="A5921" s="451"/>
      <c r="B5921" s="451"/>
      <c r="C5921" s="451"/>
      <c r="D5921" s="451"/>
      <c r="E5921" s="468"/>
      <c r="F5921" s="468"/>
    </row>
    <row r="5922" spans="1:6" ht="12.75" x14ac:dyDescent="0.2">
      <c r="A5922" s="451"/>
      <c r="B5922" s="451"/>
      <c r="C5922" s="451"/>
      <c r="D5922" s="451"/>
      <c r="E5922" s="468"/>
      <c r="F5922" s="468"/>
    </row>
    <row r="5923" spans="1:6" ht="12.75" x14ac:dyDescent="0.2">
      <c r="A5923" s="451"/>
      <c r="B5923" s="451"/>
      <c r="C5923" s="451"/>
      <c r="D5923" s="451"/>
      <c r="E5923" s="468"/>
      <c r="F5923" s="468"/>
    </row>
    <row r="5924" spans="1:6" ht="12.75" x14ac:dyDescent="0.2">
      <c r="A5924" s="451"/>
      <c r="B5924" s="451"/>
      <c r="C5924" s="451"/>
      <c r="D5924" s="451"/>
      <c r="E5924" s="468"/>
      <c r="F5924" s="468"/>
    </row>
    <row r="5925" spans="1:6" ht="12.75" x14ac:dyDescent="0.2">
      <c r="A5925" s="451"/>
      <c r="B5925" s="451"/>
      <c r="C5925" s="451"/>
      <c r="D5925" s="451"/>
      <c r="E5925" s="468"/>
      <c r="F5925" s="468"/>
    </row>
    <row r="5926" spans="1:6" ht="12.75" x14ac:dyDescent="0.2">
      <c r="A5926" s="451"/>
      <c r="B5926" s="451"/>
      <c r="C5926" s="451"/>
      <c r="D5926" s="451"/>
      <c r="E5926" s="468"/>
      <c r="F5926" s="468"/>
    </row>
    <row r="5927" spans="1:6" ht="12.75" x14ac:dyDescent="0.2">
      <c r="A5927" s="451"/>
      <c r="B5927" s="451"/>
      <c r="C5927" s="451"/>
      <c r="D5927" s="451"/>
      <c r="E5927" s="468"/>
      <c r="F5927" s="468"/>
    </row>
    <row r="5928" spans="1:6" ht="12.75" x14ac:dyDescent="0.2">
      <c r="A5928" s="451"/>
      <c r="B5928" s="451"/>
      <c r="C5928" s="451"/>
      <c r="D5928" s="451"/>
      <c r="E5928" s="468"/>
      <c r="F5928" s="468"/>
    </row>
    <row r="5929" spans="1:6" ht="12.75" x14ac:dyDescent="0.2">
      <c r="A5929" s="451"/>
      <c r="B5929" s="451"/>
      <c r="C5929" s="451"/>
      <c r="D5929" s="451"/>
      <c r="E5929" s="468"/>
      <c r="F5929" s="468"/>
    </row>
    <row r="5930" spans="1:6" ht="12.75" x14ac:dyDescent="0.2">
      <c r="A5930" s="451"/>
      <c r="B5930" s="451"/>
      <c r="C5930" s="451"/>
      <c r="D5930" s="451"/>
      <c r="E5930" s="468"/>
      <c r="F5930" s="468"/>
    </row>
    <row r="5931" spans="1:6" ht="12.75" x14ac:dyDescent="0.2">
      <c r="A5931" s="451"/>
      <c r="B5931" s="451"/>
      <c r="C5931" s="451"/>
      <c r="D5931" s="451"/>
      <c r="E5931" s="468"/>
      <c r="F5931" s="468"/>
    </row>
    <row r="5932" spans="1:6" ht="12.75" x14ac:dyDescent="0.2">
      <c r="A5932" s="451"/>
      <c r="B5932" s="451"/>
      <c r="C5932" s="451"/>
      <c r="D5932" s="451"/>
      <c r="E5932" s="468"/>
      <c r="F5932" s="468"/>
    </row>
    <row r="5933" spans="1:6" ht="12.75" x14ac:dyDescent="0.2">
      <c r="A5933" s="451"/>
      <c r="B5933" s="451"/>
      <c r="C5933" s="451"/>
      <c r="D5933" s="451"/>
      <c r="E5933" s="468"/>
      <c r="F5933" s="468"/>
    </row>
    <row r="5934" spans="1:6" ht="12.75" x14ac:dyDescent="0.2">
      <c r="A5934" s="451"/>
      <c r="B5934" s="451"/>
      <c r="C5934" s="451"/>
      <c r="D5934" s="451"/>
      <c r="E5934" s="468"/>
      <c r="F5934" s="468"/>
    </row>
    <row r="5935" spans="1:6" ht="12.75" x14ac:dyDescent="0.2">
      <c r="A5935" s="451"/>
      <c r="B5935" s="451"/>
      <c r="C5935" s="451"/>
      <c r="D5935" s="451"/>
      <c r="E5935" s="468"/>
      <c r="F5935" s="468"/>
    </row>
    <row r="5936" spans="1:6" ht="12.75" x14ac:dyDescent="0.2">
      <c r="A5936" s="451"/>
      <c r="B5936" s="451"/>
      <c r="C5936" s="451"/>
      <c r="D5936" s="451"/>
      <c r="E5936" s="468"/>
      <c r="F5936" s="468"/>
    </row>
    <row r="5937" spans="1:6" ht="12.75" x14ac:dyDescent="0.2">
      <c r="A5937" s="451"/>
      <c r="B5937" s="451"/>
      <c r="C5937" s="451"/>
      <c r="D5937" s="451"/>
      <c r="E5937" s="468"/>
      <c r="F5937" s="468"/>
    </row>
    <row r="5938" spans="1:6" ht="12.75" x14ac:dyDescent="0.2">
      <c r="A5938" s="451"/>
      <c r="B5938" s="451"/>
      <c r="C5938" s="451"/>
      <c r="D5938" s="451"/>
      <c r="E5938" s="468"/>
      <c r="F5938" s="468"/>
    </row>
    <row r="5939" spans="1:6" ht="12.75" x14ac:dyDescent="0.2">
      <c r="A5939" s="451"/>
      <c r="B5939" s="451"/>
      <c r="C5939" s="451"/>
      <c r="D5939" s="451"/>
      <c r="E5939" s="468"/>
      <c r="F5939" s="468"/>
    </row>
    <row r="5940" spans="1:6" ht="12.75" x14ac:dyDescent="0.2">
      <c r="A5940" s="451"/>
      <c r="B5940" s="451"/>
      <c r="C5940" s="451"/>
      <c r="D5940" s="451"/>
      <c r="E5940" s="468"/>
      <c r="F5940" s="468"/>
    </row>
    <row r="5941" spans="1:6" ht="12.75" x14ac:dyDescent="0.2">
      <c r="A5941" s="451"/>
      <c r="B5941" s="451"/>
      <c r="C5941" s="451"/>
      <c r="D5941" s="451"/>
      <c r="E5941" s="468"/>
      <c r="F5941" s="468"/>
    </row>
    <row r="5942" spans="1:6" ht="12.75" x14ac:dyDescent="0.2">
      <c r="A5942" s="451"/>
      <c r="B5942" s="451"/>
      <c r="C5942" s="451"/>
      <c r="D5942" s="451"/>
      <c r="E5942" s="468"/>
      <c r="F5942" s="468"/>
    </row>
    <row r="5943" spans="1:6" ht="12.75" x14ac:dyDescent="0.2">
      <c r="A5943" s="451"/>
      <c r="B5943" s="451"/>
      <c r="C5943" s="451"/>
      <c r="D5943" s="451"/>
      <c r="E5943" s="468"/>
      <c r="F5943" s="468"/>
    </row>
    <row r="5944" spans="1:6" ht="12.75" x14ac:dyDescent="0.2">
      <c r="A5944" s="451"/>
      <c r="B5944" s="451"/>
      <c r="C5944" s="451"/>
      <c r="D5944" s="451"/>
      <c r="E5944" s="468"/>
      <c r="F5944" s="468"/>
    </row>
    <row r="5945" spans="1:6" ht="12.75" x14ac:dyDescent="0.2">
      <c r="A5945" s="451"/>
      <c r="B5945" s="451"/>
      <c r="C5945" s="451"/>
      <c r="D5945" s="451"/>
      <c r="E5945" s="468"/>
      <c r="F5945" s="468"/>
    </row>
    <row r="5946" spans="1:6" ht="12.75" x14ac:dyDescent="0.2">
      <c r="A5946" s="451"/>
      <c r="B5946" s="451"/>
      <c r="C5946" s="451"/>
      <c r="D5946" s="451"/>
      <c r="E5946" s="468"/>
      <c r="F5946" s="468"/>
    </row>
    <row r="5947" spans="1:6" ht="12.75" x14ac:dyDescent="0.2">
      <c r="A5947" s="451"/>
      <c r="B5947" s="451"/>
      <c r="C5947" s="451"/>
      <c r="D5947" s="451"/>
      <c r="E5947" s="468"/>
      <c r="F5947" s="468"/>
    </row>
    <row r="5948" spans="1:6" ht="12.75" x14ac:dyDescent="0.2">
      <c r="A5948" s="451"/>
      <c r="B5948" s="451"/>
      <c r="C5948" s="451"/>
      <c r="D5948" s="451"/>
      <c r="E5948" s="468"/>
      <c r="F5948" s="468"/>
    </row>
    <row r="5949" spans="1:6" ht="12.75" x14ac:dyDescent="0.2">
      <c r="A5949" s="451"/>
      <c r="B5949" s="451"/>
      <c r="C5949" s="451"/>
      <c r="D5949" s="451"/>
      <c r="E5949" s="468"/>
      <c r="F5949" s="468"/>
    </row>
    <row r="5950" spans="1:6" ht="12.75" x14ac:dyDescent="0.2">
      <c r="A5950" s="451"/>
      <c r="B5950" s="451"/>
      <c r="C5950" s="451"/>
      <c r="D5950" s="451"/>
      <c r="E5950" s="468"/>
      <c r="F5950" s="468"/>
    </row>
    <row r="5951" spans="1:6" ht="12.75" x14ac:dyDescent="0.2">
      <c r="A5951" s="451"/>
      <c r="B5951" s="451"/>
      <c r="C5951" s="451"/>
      <c r="D5951" s="451"/>
      <c r="E5951" s="468"/>
      <c r="F5951" s="468"/>
    </row>
    <row r="5952" spans="1:6" ht="12.75" x14ac:dyDescent="0.2">
      <c r="A5952" s="451"/>
      <c r="B5952" s="451"/>
      <c r="C5952" s="451"/>
      <c r="D5952" s="451"/>
      <c r="E5952" s="468"/>
      <c r="F5952" s="468"/>
    </row>
    <row r="5953" spans="1:6" ht="12.75" x14ac:dyDescent="0.2">
      <c r="A5953" s="451"/>
      <c r="B5953" s="451"/>
      <c r="C5953" s="451"/>
      <c r="D5953" s="451"/>
      <c r="E5953" s="468"/>
      <c r="F5953" s="468"/>
    </row>
    <row r="5954" spans="1:6" ht="12.75" x14ac:dyDescent="0.2">
      <c r="A5954" s="451"/>
      <c r="B5954" s="451"/>
      <c r="C5954" s="451"/>
      <c r="D5954" s="451"/>
      <c r="E5954" s="468"/>
      <c r="F5954" s="468"/>
    </row>
    <row r="5955" spans="1:6" ht="12.75" x14ac:dyDescent="0.2">
      <c r="A5955" s="451"/>
      <c r="B5955" s="451"/>
      <c r="C5955" s="451"/>
      <c r="D5955" s="451"/>
      <c r="E5955" s="468"/>
      <c r="F5955" s="468"/>
    </row>
    <row r="5956" spans="1:6" ht="12.75" x14ac:dyDescent="0.2">
      <c r="A5956" s="451"/>
      <c r="B5956" s="451"/>
      <c r="C5956" s="451"/>
      <c r="D5956" s="451"/>
      <c r="E5956" s="468"/>
      <c r="F5956" s="468"/>
    </row>
    <row r="5957" spans="1:6" ht="12.75" x14ac:dyDescent="0.2">
      <c r="A5957" s="451"/>
      <c r="B5957" s="451"/>
      <c r="C5957" s="451"/>
      <c r="D5957" s="451"/>
      <c r="E5957" s="468"/>
      <c r="F5957" s="468"/>
    </row>
    <row r="5958" spans="1:6" ht="12.75" x14ac:dyDescent="0.2">
      <c r="A5958" s="451"/>
      <c r="B5958" s="451"/>
      <c r="C5958" s="451"/>
      <c r="D5958" s="451"/>
      <c r="E5958" s="468"/>
      <c r="F5958" s="468"/>
    </row>
    <row r="5959" spans="1:6" ht="12.75" x14ac:dyDescent="0.2">
      <c r="A5959" s="451"/>
      <c r="B5959" s="451"/>
      <c r="C5959" s="451"/>
      <c r="D5959" s="451"/>
      <c r="E5959" s="468"/>
      <c r="F5959" s="468"/>
    </row>
    <row r="5960" spans="1:6" ht="12.75" x14ac:dyDescent="0.2">
      <c r="A5960" s="451"/>
      <c r="B5960" s="451"/>
      <c r="C5960" s="451"/>
      <c r="D5960" s="451"/>
      <c r="E5960" s="468"/>
      <c r="F5960" s="468"/>
    </row>
    <row r="5961" spans="1:6" ht="12.75" x14ac:dyDescent="0.2">
      <c r="A5961" s="451"/>
      <c r="B5961" s="451"/>
      <c r="C5961" s="451"/>
      <c r="D5961" s="451"/>
      <c r="E5961" s="468"/>
      <c r="F5961" s="468"/>
    </row>
    <row r="5962" spans="1:6" ht="12.75" x14ac:dyDescent="0.2">
      <c r="A5962" s="451"/>
      <c r="B5962" s="451"/>
      <c r="C5962" s="451"/>
      <c r="D5962" s="451"/>
      <c r="E5962" s="468"/>
      <c r="F5962" s="468"/>
    </row>
    <row r="5963" spans="1:6" ht="12.75" x14ac:dyDescent="0.2">
      <c r="A5963" s="451"/>
      <c r="B5963" s="451"/>
      <c r="C5963" s="451"/>
      <c r="D5963" s="451"/>
      <c r="E5963" s="468"/>
      <c r="F5963" s="468"/>
    </row>
    <row r="5964" spans="1:6" ht="12.75" x14ac:dyDescent="0.2">
      <c r="A5964" s="451"/>
      <c r="B5964" s="451"/>
      <c r="C5964" s="451"/>
      <c r="D5964" s="451"/>
      <c r="E5964" s="468"/>
      <c r="F5964" s="468"/>
    </row>
    <row r="5965" spans="1:6" ht="12.75" x14ac:dyDescent="0.2">
      <c r="A5965" s="451"/>
      <c r="B5965" s="451"/>
      <c r="C5965" s="451"/>
      <c r="D5965" s="451"/>
      <c r="E5965" s="468"/>
      <c r="F5965" s="468"/>
    </row>
    <row r="5966" spans="1:6" ht="12.75" x14ac:dyDescent="0.2">
      <c r="A5966" s="451"/>
      <c r="B5966" s="451"/>
      <c r="C5966" s="451"/>
      <c r="D5966" s="451"/>
      <c r="E5966" s="468"/>
      <c r="F5966" s="468"/>
    </row>
    <row r="5967" spans="1:6" ht="12.75" x14ac:dyDescent="0.2">
      <c r="A5967" s="451"/>
      <c r="B5967" s="451"/>
      <c r="C5967" s="451"/>
      <c r="D5967" s="451"/>
      <c r="E5967" s="468"/>
      <c r="F5967" s="468"/>
    </row>
    <row r="5968" spans="1:6" ht="12.75" x14ac:dyDescent="0.2">
      <c r="A5968" s="451"/>
      <c r="B5968" s="451"/>
      <c r="C5968" s="451"/>
      <c r="D5968" s="451"/>
      <c r="E5968" s="468"/>
      <c r="F5968" s="468"/>
    </row>
    <row r="5969" spans="1:6" ht="12.75" x14ac:dyDescent="0.2">
      <c r="A5969" s="451"/>
      <c r="B5969" s="451"/>
      <c r="C5969" s="451"/>
      <c r="D5969" s="451"/>
      <c r="E5969" s="468"/>
      <c r="F5969" s="468"/>
    </row>
    <row r="5970" spans="1:6" ht="12.75" x14ac:dyDescent="0.2">
      <c r="A5970" s="451"/>
      <c r="B5970" s="451"/>
      <c r="C5970" s="451"/>
      <c r="D5970" s="451"/>
      <c r="E5970" s="468"/>
      <c r="F5970" s="468"/>
    </row>
    <row r="5971" spans="1:6" ht="12.75" x14ac:dyDescent="0.2">
      <c r="A5971" s="451"/>
      <c r="B5971" s="451"/>
      <c r="C5971" s="451"/>
      <c r="D5971" s="451"/>
      <c r="E5971" s="468"/>
      <c r="F5971" s="468"/>
    </row>
    <row r="5972" spans="1:6" ht="12.75" x14ac:dyDescent="0.2">
      <c r="A5972" s="451"/>
      <c r="B5972" s="451"/>
      <c r="C5972" s="451"/>
      <c r="D5972" s="451"/>
      <c r="E5972" s="468"/>
      <c r="F5972" s="468"/>
    </row>
    <row r="5973" spans="1:6" ht="12.75" x14ac:dyDescent="0.2">
      <c r="A5973" s="451"/>
      <c r="B5973" s="451"/>
      <c r="C5973" s="451"/>
      <c r="D5973" s="451"/>
      <c r="E5973" s="468"/>
      <c r="F5973" s="468"/>
    </row>
    <row r="5974" spans="1:6" ht="12.75" x14ac:dyDescent="0.2">
      <c r="A5974" s="451"/>
      <c r="B5974" s="451"/>
      <c r="C5974" s="451"/>
      <c r="D5974" s="451"/>
      <c r="E5974" s="468"/>
      <c r="F5974" s="468"/>
    </row>
    <row r="5975" spans="1:6" ht="12.75" x14ac:dyDescent="0.2">
      <c r="A5975" s="451"/>
      <c r="B5975" s="451"/>
      <c r="C5975" s="451"/>
      <c r="D5975" s="451"/>
      <c r="E5975" s="468"/>
      <c r="F5975" s="468"/>
    </row>
    <row r="5976" spans="1:6" ht="12.75" x14ac:dyDescent="0.2">
      <c r="A5976" s="451"/>
      <c r="B5976" s="451"/>
      <c r="C5976" s="451"/>
      <c r="D5976" s="451"/>
      <c r="E5976" s="468"/>
      <c r="F5976" s="468"/>
    </row>
    <row r="5977" spans="1:6" ht="12.75" x14ac:dyDescent="0.2">
      <c r="A5977" s="451"/>
      <c r="B5977" s="451"/>
      <c r="C5977" s="451"/>
      <c r="D5977" s="451"/>
      <c r="E5977" s="468"/>
      <c r="F5977" s="468"/>
    </row>
    <row r="5978" spans="1:6" ht="12.75" x14ac:dyDescent="0.2">
      <c r="A5978" s="451"/>
      <c r="B5978" s="451"/>
      <c r="C5978" s="451"/>
      <c r="D5978" s="451"/>
      <c r="E5978" s="468"/>
      <c r="F5978" s="468"/>
    </row>
    <row r="5979" spans="1:6" ht="12.75" x14ac:dyDescent="0.2">
      <c r="A5979" s="451"/>
      <c r="B5979" s="451"/>
      <c r="C5979" s="451"/>
      <c r="D5979" s="451"/>
      <c r="E5979" s="468"/>
      <c r="F5979" s="468"/>
    </row>
    <row r="5980" spans="1:6" ht="12.75" x14ac:dyDescent="0.2">
      <c r="A5980" s="451"/>
      <c r="B5980" s="451"/>
      <c r="C5980" s="451"/>
      <c r="D5980" s="451"/>
      <c r="E5980" s="468"/>
      <c r="F5980" s="468"/>
    </row>
    <row r="5981" spans="1:6" ht="12.75" x14ac:dyDescent="0.2">
      <c r="A5981" s="451"/>
      <c r="B5981" s="451"/>
      <c r="C5981" s="451"/>
      <c r="D5981" s="451"/>
      <c r="E5981" s="468"/>
      <c r="F5981" s="468"/>
    </row>
    <row r="5982" spans="1:6" ht="12.75" x14ac:dyDescent="0.2">
      <c r="A5982" s="451"/>
      <c r="B5982" s="451"/>
      <c r="C5982" s="451"/>
      <c r="D5982" s="451"/>
      <c r="E5982" s="468"/>
      <c r="F5982" s="468"/>
    </row>
    <row r="5983" spans="1:6" ht="12.75" x14ac:dyDescent="0.2">
      <c r="A5983" s="451"/>
      <c r="B5983" s="451"/>
      <c r="C5983" s="451"/>
      <c r="D5983" s="451"/>
      <c r="E5983" s="468"/>
      <c r="F5983" s="468"/>
    </row>
    <row r="5984" spans="1:6" ht="12.75" x14ac:dyDescent="0.2">
      <c r="A5984" s="451"/>
      <c r="B5984" s="451"/>
      <c r="C5984" s="451"/>
      <c r="D5984" s="451"/>
      <c r="E5984" s="468"/>
      <c r="F5984" s="468"/>
    </row>
    <row r="5985" spans="1:6" ht="12.75" x14ac:dyDescent="0.2">
      <c r="A5985" s="451"/>
      <c r="B5985" s="451"/>
      <c r="C5985" s="451"/>
      <c r="D5985" s="451"/>
      <c r="E5985" s="468"/>
      <c r="F5985" s="468"/>
    </row>
    <row r="5986" spans="1:6" ht="12.75" x14ac:dyDescent="0.2">
      <c r="A5986" s="451"/>
      <c r="B5986" s="451"/>
      <c r="C5986" s="451"/>
      <c r="D5986" s="451"/>
      <c r="E5986" s="468"/>
      <c r="F5986" s="468"/>
    </row>
    <row r="5987" spans="1:6" ht="12.75" x14ac:dyDescent="0.2">
      <c r="A5987" s="451"/>
      <c r="B5987" s="451"/>
      <c r="C5987" s="451"/>
      <c r="D5987" s="451"/>
      <c r="E5987" s="468"/>
      <c r="F5987" s="468"/>
    </row>
    <row r="5988" spans="1:6" ht="12.75" x14ac:dyDescent="0.2">
      <c r="A5988" s="451"/>
      <c r="B5988" s="451"/>
      <c r="C5988" s="451"/>
      <c r="D5988" s="451"/>
      <c r="E5988" s="468"/>
      <c r="F5988" s="468"/>
    </row>
    <row r="5989" spans="1:6" ht="12.75" x14ac:dyDescent="0.2">
      <c r="A5989" s="451"/>
      <c r="B5989" s="451"/>
      <c r="C5989" s="451"/>
      <c r="D5989" s="451"/>
      <c r="E5989" s="468"/>
      <c r="F5989" s="468"/>
    </row>
    <row r="5990" spans="1:6" ht="12.75" x14ac:dyDescent="0.2">
      <c r="A5990" s="451"/>
      <c r="B5990" s="451"/>
      <c r="C5990" s="451"/>
      <c r="D5990" s="451"/>
      <c r="E5990" s="468"/>
      <c r="F5990" s="468"/>
    </row>
    <row r="5991" spans="1:6" ht="12.75" x14ac:dyDescent="0.2">
      <c r="A5991" s="451"/>
      <c r="B5991" s="451"/>
      <c r="C5991" s="451"/>
      <c r="D5991" s="451"/>
      <c r="E5991" s="468"/>
      <c r="F5991" s="468"/>
    </row>
    <row r="5992" spans="1:6" ht="12.75" x14ac:dyDescent="0.2">
      <c r="A5992" s="451"/>
      <c r="B5992" s="451"/>
      <c r="C5992" s="451"/>
      <c r="D5992" s="451"/>
      <c r="E5992" s="468"/>
      <c r="F5992" s="468"/>
    </row>
    <row r="5993" spans="1:6" ht="12.75" x14ac:dyDescent="0.2">
      <c r="A5993" s="451"/>
      <c r="B5993" s="451"/>
      <c r="C5993" s="451"/>
      <c r="D5993" s="451"/>
      <c r="E5993" s="468"/>
      <c r="F5993" s="468"/>
    </row>
    <row r="5994" spans="1:6" ht="12.75" x14ac:dyDescent="0.2">
      <c r="A5994" s="451"/>
      <c r="B5994" s="451"/>
      <c r="C5994" s="451"/>
      <c r="D5994" s="451"/>
      <c r="E5994" s="468"/>
      <c r="F5994" s="468"/>
    </row>
    <row r="5995" spans="1:6" ht="12.75" x14ac:dyDescent="0.2">
      <c r="A5995" s="451"/>
      <c r="B5995" s="451"/>
      <c r="C5995" s="451"/>
      <c r="D5995" s="451"/>
      <c r="E5995" s="468"/>
      <c r="F5995" s="468"/>
    </row>
    <row r="5996" spans="1:6" ht="12.75" x14ac:dyDescent="0.2">
      <c r="A5996" s="451"/>
      <c r="B5996" s="451"/>
      <c r="C5996" s="451"/>
      <c r="D5996" s="451"/>
      <c r="E5996" s="468"/>
      <c r="F5996" s="468"/>
    </row>
    <row r="5997" spans="1:6" ht="12.75" x14ac:dyDescent="0.2">
      <c r="A5997" s="451"/>
      <c r="B5997" s="451"/>
      <c r="C5997" s="451"/>
      <c r="D5997" s="451"/>
      <c r="E5997" s="468"/>
      <c r="F5997" s="468"/>
    </row>
    <row r="5998" spans="1:6" ht="12.75" x14ac:dyDescent="0.2">
      <c r="A5998" s="451"/>
      <c r="B5998" s="451"/>
      <c r="C5998" s="451"/>
      <c r="D5998" s="451"/>
      <c r="E5998" s="468"/>
      <c r="F5998" s="468"/>
    </row>
    <row r="5999" spans="1:6" ht="12.75" x14ac:dyDescent="0.2">
      <c r="A5999" s="451"/>
      <c r="B5999" s="451"/>
      <c r="C5999" s="451"/>
      <c r="D5999" s="451"/>
      <c r="E5999" s="468"/>
      <c r="F5999" s="468"/>
    </row>
    <row r="6000" spans="1:6" ht="12.75" x14ac:dyDescent="0.2">
      <c r="A6000" s="451"/>
      <c r="B6000" s="451"/>
      <c r="C6000" s="451"/>
      <c r="D6000" s="451"/>
      <c r="E6000" s="468"/>
      <c r="F6000" s="468"/>
    </row>
    <row r="6001" spans="1:6" ht="12.75" x14ac:dyDescent="0.2">
      <c r="A6001" s="451"/>
      <c r="B6001" s="451"/>
      <c r="C6001" s="451"/>
      <c r="D6001" s="451"/>
      <c r="E6001" s="468"/>
      <c r="F6001" s="468"/>
    </row>
    <row r="6002" spans="1:6" ht="12.75" x14ac:dyDescent="0.2">
      <c r="A6002" s="451"/>
      <c r="B6002" s="451"/>
      <c r="C6002" s="451"/>
      <c r="D6002" s="451"/>
      <c r="E6002" s="468"/>
      <c r="F6002" s="468"/>
    </row>
    <row r="6003" spans="1:6" ht="12.75" x14ac:dyDescent="0.2">
      <c r="A6003" s="451"/>
      <c r="B6003" s="451"/>
      <c r="C6003" s="451"/>
      <c r="D6003" s="451"/>
      <c r="E6003" s="468"/>
      <c r="F6003" s="468"/>
    </row>
    <row r="6004" spans="1:6" ht="12.75" x14ac:dyDescent="0.2">
      <c r="A6004" s="451"/>
      <c r="B6004" s="451"/>
      <c r="C6004" s="451"/>
      <c r="D6004" s="451"/>
      <c r="E6004" s="468"/>
      <c r="F6004" s="468"/>
    </row>
    <row r="6005" spans="1:6" ht="12.75" x14ac:dyDescent="0.2">
      <c r="A6005" s="451"/>
      <c r="B6005" s="451"/>
      <c r="C6005" s="451"/>
      <c r="D6005" s="451"/>
      <c r="E6005" s="468"/>
      <c r="F6005" s="468"/>
    </row>
    <row r="6006" spans="1:6" ht="12.75" x14ac:dyDescent="0.2">
      <c r="A6006" s="451"/>
      <c r="B6006" s="451"/>
      <c r="C6006" s="451"/>
      <c r="D6006" s="451"/>
      <c r="E6006" s="468"/>
      <c r="F6006" s="468"/>
    </row>
    <row r="6007" spans="1:6" ht="12.75" x14ac:dyDescent="0.2">
      <c r="A6007" s="451"/>
      <c r="B6007" s="451"/>
      <c r="C6007" s="451"/>
      <c r="D6007" s="451"/>
      <c r="E6007" s="468"/>
      <c r="F6007" s="468"/>
    </row>
    <row r="6008" spans="1:6" ht="12.75" x14ac:dyDescent="0.2">
      <c r="A6008" s="451"/>
      <c r="B6008" s="451"/>
      <c r="C6008" s="451"/>
      <c r="D6008" s="451"/>
      <c r="E6008" s="468"/>
      <c r="F6008" s="468"/>
    </row>
    <row r="6009" spans="1:6" ht="12.75" x14ac:dyDescent="0.2">
      <c r="A6009" s="451"/>
      <c r="B6009" s="451"/>
      <c r="C6009" s="451"/>
      <c r="D6009" s="451"/>
      <c r="E6009" s="468"/>
      <c r="F6009" s="468"/>
    </row>
    <row r="6010" spans="1:6" ht="12.75" x14ac:dyDescent="0.2">
      <c r="A6010" s="451"/>
      <c r="B6010" s="451"/>
      <c r="C6010" s="451"/>
      <c r="D6010" s="451"/>
      <c r="E6010" s="468"/>
      <c r="F6010" s="468"/>
    </row>
    <row r="6011" spans="1:6" ht="12.75" x14ac:dyDescent="0.2">
      <c r="A6011" s="451"/>
      <c r="B6011" s="451"/>
      <c r="C6011" s="451"/>
      <c r="D6011" s="451"/>
      <c r="E6011" s="468"/>
      <c r="F6011" s="468"/>
    </row>
    <row r="6012" spans="1:6" ht="12.75" x14ac:dyDescent="0.2">
      <c r="A6012" s="451"/>
      <c r="B6012" s="451"/>
      <c r="C6012" s="451"/>
      <c r="D6012" s="451"/>
      <c r="E6012" s="468"/>
      <c r="F6012" s="468"/>
    </row>
    <row r="6013" spans="1:6" ht="12.75" x14ac:dyDescent="0.2">
      <c r="A6013" s="451"/>
      <c r="B6013" s="451"/>
      <c r="C6013" s="451"/>
      <c r="D6013" s="451"/>
      <c r="E6013" s="468"/>
      <c r="F6013" s="468"/>
    </row>
    <row r="6014" spans="1:6" ht="12.75" x14ac:dyDescent="0.2">
      <c r="A6014" s="451"/>
      <c r="B6014" s="451"/>
      <c r="C6014" s="451"/>
      <c r="D6014" s="451"/>
      <c r="E6014" s="468"/>
      <c r="F6014" s="468"/>
    </row>
    <row r="6015" spans="1:6" ht="12.75" x14ac:dyDescent="0.2">
      <c r="A6015" s="451"/>
      <c r="B6015" s="451"/>
      <c r="C6015" s="451"/>
      <c r="D6015" s="451"/>
      <c r="E6015" s="468"/>
      <c r="F6015" s="468"/>
    </row>
    <row r="6016" spans="1:6" ht="12.75" x14ac:dyDescent="0.2">
      <c r="A6016" s="451"/>
      <c r="B6016" s="451"/>
      <c r="C6016" s="451"/>
      <c r="D6016" s="451"/>
      <c r="E6016" s="468"/>
      <c r="F6016" s="468"/>
    </row>
    <row r="6017" spans="1:6" ht="12.75" x14ac:dyDescent="0.2">
      <c r="A6017" s="451"/>
      <c r="B6017" s="451"/>
      <c r="C6017" s="451"/>
      <c r="D6017" s="451"/>
      <c r="E6017" s="468"/>
      <c r="F6017" s="468"/>
    </row>
    <row r="6018" spans="1:6" ht="12.75" x14ac:dyDescent="0.2">
      <c r="A6018" s="451"/>
      <c r="B6018" s="451"/>
      <c r="C6018" s="451"/>
      <c r="D6018" s="451"/>
      <c r="E6018" s="468"/>
      <c r="F6018" s="468"/>
    </row>
    <row r="6019" spans="1:6" ht="12.75" x14ac:dyDescent="0.2">
      <c r="A6019" s="451"/>
      <c r="B6019" s="451"/>
      <c r="C6019" s="451"/>
      <c r="D6019" s="451"/>
      <c r="E6019" s="468"/>
      <c r="F6019" s="468"/>
    </row>
    <row r="6020" spans="1:6" ht="12.75" x14ac:dyDescent="0.2">
      <c r="A6020" s="451"/>
      <c r="B6020" s="451"/>
      <c r="C6020" s="451"/>
      <c r="D6020" s="451"/>
      <c r="E6020" s="468"/>
      <c r="F6020" s="468"/>
    </row>
    <row r="6021" spans="1:6" ht="12.75" x14ac:dyDescent="0.2">
      <c r="A6021" s="451"/>
      <c r="B6021" s="451"/>
      <c r="C6021" s="451"/>
      <c r="D6021" s="451"/>
      <c r="E6021" s="468"/>
      <c r="F6021" s="468"/>
    </row>
    <row r="6022" spans="1:6" ht="12.75" x14ac:dyDescent="0.2">
      <c r="A6022" s="451"/>
      <c r="B6022" s="451"/>
      <c r="C6022" s="451"/>
      <c r="D6022" s="451"/>
      <c r="E6022" s="468"/>
      <c r="F6022" s="468"/>
    </row>
    <row r="6023" spans="1:6" ht="12.75" x14ac:dyDescent="0.2">
      <c r="A6023" s="451"/>
      <c r="B6023" s="451"/>
      <c r="C6023" s="451"/>
      <c r="D6023" s="451"/>
      <c r="E6023" s="468"/>
      <c r="F6023" s="468"/>
    </row>
    <row r="6024" spans="1:6" ht="12.75" x14ac:dyDescent="0.2">
      <c r="A6024" s="451"/>
      <c r="B6024" s="451"/>
      <c r="C6024" s="451"/>
      <c r="D6024" s="451"/>
      <c r="E6024" s="468"/>
      <c r="F6024" s="468"/>
    </row>
    <row r="6025" spans="1:6" ht="12.75" x14ac:dyDescent="0.2">
      <c r="A6025" s="451"/>
      <c r="B6025" s="451"/>
      <c r="C6025" s="451"/>
      <c r="D6025" s="451"/>
      <c r="E6025" s="468"/>
      <c r="F6025" s="468"/>
    </row>
    <row r="6026" spans="1:6" ht="12.75" x14ac:dyDescent="0.2">
      <c r="A6026" s="451"/>
      <c r="B6026" s="451"/>
      <c r="C6026" s="451"/>
      <c r="D6026" s="451"/>
      <c r="E6026" s="468"/>
      <c r="F6026" s="468"/>
    </row>
    <row r="6027" spans="1:6" ht="12.75" x14ac:dyDescent="0.2">
      <c r="A6027" s="451"/>
      <c r="B6027" s="451"/>
      <c r="C6027" s="451"/>
      <c r="D6027" s="451"/>
      <c r="E6027" s="468"/>
      <c r="F6027" s="468"/>
    </row>
    <row r="6028" spans="1:6" ht="12.75" x14ac:dyDescent="0.2">
      <c r="A6028" s="451"/>
      <c r="B6028" s="451"/>
      <c r="C6028" s="451"/>
      <c r="D6028" s="451"/>
      <c r="E6028" s="468"/>
      <c r="F6028" s="468"/>
    </row>
    <row r="6029" spans="1:6" ht="12.75" x14ac:dyDescent="0.2">
      <c r="A6029" s="451"/>
      <c r="B6029" s="451"/>
      <c r="C6029" s="451"/>
      <c r="D6029" s="451"/>
      <c r="E6029" s="468"/>
      <c r="F6029" s="468"/>
    </row>
    <row r="6030" spans="1:6" ht="12.75" x14ac:dyDescent="0.2">
      <c r="A6030" s="451"/>
      <c r="B6030" s="451"/>
      <c r="C6030" s="451"/>
      <c r="D6030" s="451"/>
      <c r="E6030" s="468"/>
      <c r="F6030" s="468"/>
    </row>
    <row r="6031" spans="1:6" ht="12.75" x14ac:dyDescent="0.2">
      <c r="A6031" s="451"/>
      <c r="B6031" s="451"/>
      <c r="C6031" s="451"/>
      <c r="D6031" s="451"/>
      <c r="E6031" s="468"/>
      <c r="F6031" s="468"/>
    </row>
    <row r="6032" spans="1:6" ht="12.75" x14ac:dyDescent="0.2">
      <c r="A6032" s="451"/>
      <c r="B6032" s="451"/>
      <c r="C6032" s="451"/>
      <c r="D6032" s="451"/>
      <c r="E6032" s="468"/>
      <c r="F6032" s="468"/>
    </row>
    <row r="6033" spans="1:6" ht="12.75" x14ac:dyDescent="0.2">
      <c r="A6033" s="451"/>
      <c r="B6033" s="451"/>
      <c r="C6033" s="451"/>
      <c r="D6033" s="451"/>
      <c r="E6033" s="468"/>
      <c r="F6033" s="468"/>
    </row>
    <row r="6034" spans="1:6" ht="12.75" x14ac:dyDescent="0.2">
      <c r="A6034" s="451"/>
      <c r="B6034" s="451"/>
      <c r="C6034" s="451"/>
      <c r="D6034" s="451"/>
      <c r="E6034" s="468"/>
      <c r="F6034" s="468"/>
    </row>
    <row r="6035" spans="1:6" ht="12.75" x14ac:dyDescent="0.2">
      <c r="A6035" s="451"/>
      <c r="B6035" s="451"/>
      <c r="C6035" s="451"/>
      <c r="D6035" s="451"/>
      <c r="E6035" s="468"/>
      <c r="F6035" s="468"/>
    </row>
    <row r="6036" spans="1:6" ht="12.75" x14ac:dyDescent="0.2">
      <c r="A6036" s="451"/>
      <c r="B6036" s="451"/>
      <c r="C6036" s="451"/>
      <c r="D6036" s="451"/>
      <c r="E6036" s="468"/>
      <c r="F6036" s="468"/>
    </row>
    <row r="6037" spans="1:6" ht="12.75" x14ac:dyDescent="0.2">
      <c r="A6037" s="451"/>
      <c r="B6037" s="451"/>
      <c r="C6037" s="451"/>
      <c r="D6037" s="451"/>
      <c r="E6037" s="468"/>
      <c r="F6037" s="468"/>
    </row>
    <row r="6038" spans="1:6" ht="12.75" x14ac:dyDescent="0.2">
      <c r="A6038" s="451"/>
      <c r="B6038" s="451"/>
      <c r="C6038" s="451"/>
      <c r="D6038" s="451"/>
      <c r="E6038" s="468"/>
      <c r="F6038" s="468"/>
    </row>
    <row r="6039" spans="1:6" ht="12.75" x14ac:dyDescent="0.2">
      <c r="A6039" s="451"/>
      <c r="B6039" s="451"/>
      <c r="C6039" s="451"/>
      <c r="D6039" s="451"/>
      <c r="E6039" s="468"/>
      <c r="F6039" s="468"/>
    </row>
    <row r="6040" spans="1:6" ht="12.75" x14ac:dyDescent="0.2">
      <c r="A6040" s="451"/>
      <c r="B6040" s="451"/>
      <c r="C6040" s="451"/>
      <c r="D6040" s="451"/>
      <c r="E6040" s="468"/>
      <c r="F6040" s="468"/>
    </row>
    <row r="6041" spans="1:6" ht="12.75" x14ac:dyDescent="0.2">
      <c r="A6041" s="451"/>
      <c r="B6041" s="451"/>
      <c r="C6041" s="451"/>
      <c r="D6041" s="451"/>
      <c r="E6041" s="468"/>
      <c r="F6041" s="468"/>
    </row>
    <row r="6042" spans="1:6" ht="12.75" x14ac:dyDescent="0.2">
      <c r="A6042" s="451"/>
      <c r="B6042" s="451"/>
      <c r="C6042" s="451"/>
      <c r="D6042" s="451"/>
      <c r="E6042" s="468"/>
      <c r="F6042" s="468"/>
    </row>
    <row r="6043" spans="1:6" ht="12.75" x14ac:dyDescent="0.2">
      <c r="A6043" s="451"/>
      <c r="B6043" s="451"/>
      <c r="C6043" s="451"/>
      <c r="D6043" s="451"/>
      <c r="E6043" s="468"/>
      <c r="F6043" s="468"/>
    </row>
    <row r="6044" spans="1:6" ht="12.75" x14ac:dyDescent="0.2">
      <c r="A6044" s="451"/>
      <c r="B6044" s="451"/>
      <c r="C6044" s="451"/>
      <c r="D6044" s="451"/>
      <c r="E6044" s="468"/>
      <c r="F6044" s="468"/>
    </row>
    <row r="6045" spans="1:6" ht="12.75" x14ac:dyDescent="0.2">
      <c r="A6045" s="451"/>
      <c r="B6045" s="451"/>
      <c r="C6045" s="451"/>
      <c r="D6045" s="451"/>
      <c r="E6045" s="468"/>
      <c r="F6045" s="468"/>
    </row>
    <row r="6046" spans="1:6" ht="12.75" x14ac:dyDescent="0.2">
      <c r="A6046" s="451"/>
      <c r="B6046" s="451"/>
      <c r="C6046" s="451"/>
      <c r="D6046" s="451"/>
      <c r="E6046" s="468"/>
      <c r="F6046" s="468"/>
    </row>
    <row r="6047" spans="1:6" ht="12.75" x14ac:dyDescent="0.2">
      <c r="A6047" s="451"/>
      <c r="B6047" s="451"/>
      <c r="C6047" s="451"/>
      <c r="D6047" s="451"/>
      <c r="E6047" s="468"/>
      <c r="F6047" s="468"/>
    </row>
    <row r="6048" spans="1:6" ht="12.75" x14ac:dyDescent="0.2">
      <c r="A6048" s="451"/>
      <c r="B6048" s="451"/>
      <c r="C6048" s="451"/>
      <c r="D6048" s="451"/>
      <c r="E6048" s="468"/>
      <c r="F6048" s="468"/>
    </row>
    <row r="6049" spans="1:6" ht="12.75" x14ac:dyDescent="0.2">
      <c r="A6049" s="451"/>
      <c r="B6049" s="451"/>
      <c r="C6049" s="451"/>
      <c r="D6049" s="451"/>
      <c r="E6049" s="468"/>
      <c r="F6049" s="468"/>
    </row>
    <row r="6050" spans="1:6" ht="12.75" x14ac:dyDescent="0.2">
      <c r="A6050" s="451"/>
      <c r="B6050" s="451"/>
      <c r="C6050" s="451"/>
      <c r="D6050" s="451"/>
      <c r="E6050" s="468"/>
      <c r="F6050" s="468"/>
    </row>
    <row r="6051" spans="1:6" ht="12.75" x14ac:dyDescent="0.2">
      <c r="A6051" s="451"/>
      <c r="B6051" s="451"/>
      <c r="C6051" s="451"/>
      <c r="D6051" s="451"/>
      <c r="E6051" s="468"/>
      <c r="F6051" s="468"/>
    </row>
    <row r="6052" spans="1:6" ht="12.75" x14ac:dyDescent="0.2">
      <c r="A6052" s="451"/>
      <c r="B6052" s="451"/>
      <c r="C6052" s="451"/>
      <c r="D6052" s="451"/>
      <c r="E6052" s="468"/>
      <c r="F6052" s="468"/>
    </row>
    <row r="6053" spans="1:6" ht="12.75" x14ac:dyDescent="0.2">
      <c r="A6053" s="451"/>
      <c r="B6053" s="451"/>
      <c r="C6053" s="451"/>
      <c r="D6053" s="451"/>
      <c r="E6053" s="468"/>
      <c r="F6053" s="468"/>
    </row>
    <row r="6054" spans="1:6" ht="12.75" x14ac:dyDescent="0.2">
      <c r="A6054" s="451"/>
      <c r="B6054" s="451"/>
      <c r="C6054" s="451"/>
      <c r="D6054" s="451"/>
      <c r="E6054" s="468"/>
      <c r="F6054" s="468"/>
    </row>
    <row r="6055" spans="1:6" ht="12.75" x14ac:dyDescent="0.2">
      <c r="A6055" s="451"/>
      <c r="B6055" s="451"/>
      <c r="C6055" s="451"/>
      <c r="D6055" s="451"/>
      <c r="E6055" s="468"/>
      <c r="F6055" s="468"/>
    </row>
    <row r="6056" spans="1:6" ht="12.75" x14ac:dyDescent="0.2">
      <c r="A6056" s="451"/>
      <c r="B6056" s="451"/>
      <c r="C6056" s="451"/>
      <c r="D6056" s="451"/>
      <c r="E6056" s="468"/>
      <c r="F6056" s="468"/>
    </row>
    <row r="6057" spans="1:6" ht="12.75" x14ac:dyDescent="0.2">
      <c r="A6057" s="451"/>
      <c r="B6057" s="451"/>
      <c r="C6057" s="451"/>
      <c r="D6057" s="451"/>
      <c r="E6057" s="468"/>
      <c r="F6057" s="468"/>
    </row>
    <row r="6058" spans="1:6" ht="12.75" x14ac:dyDescent="0.2">
      <c r="A6058" s="451"/>
      <c r="B6058" s="451"/>
      <c r="C6058" s="451"/>
      <c r="D6058" s="451"/>
      <c r="E6058" s="468"/>
      <c r="F6058" s="468"/>
    </row>
    <row r="6059" spans="1:6" ht="12.75" x14ac:dyDescent="0.2">
      <c r="A6059" s="451"/>
      <c r="B6059" s="451"/>
      <c r="C6059" s="451"/>
      <c r="D6059" s="451"/>
      <c r="E6059" s="468"/>
      <c r="F6059" s="468"/>
    </row>
    <row r="6060" spans="1:6" ht="12.75" x14ac:dyDescent="0.2">
      <c r="A6060" s="451"/>
      <c r="B6060" s="451"/>
      <c r="C6060" s="451"/>
      <c r="D6060" s="451"/>
      <c r="E6060" s="468"/>
      <c r="F6060" s="468"/>
    </row>
    <row r="6061" spans="1:6" ht="12.75" x14ac:dyDescent="0.2">
      <c r="A6061" s="451"/>
      <c r="B6061" s="451"/>
      <c r="C6061" s="451"/>
      <c r="D6061" s="451"/>
      <c r="E6061" s="468"/>
      <c r="F6061" s="468"/>
    </row>
    <row r="6062" spans="1:6" ht="12.75" x14ac:dyDescent="0.2">
      <c r="A6062" s="451"/>
      <c r="B6062" s="451"/>
      <c r="C6062" s="451"/>
      <c r="D6062" s="451"/>
      <c r="E6062" s="468"/>
      <c r="F6062" s="468"/>
    </row>
    <row r="6063" spans="1:6" ht="12.75" x14ac:dyDescent="0.2">
      <c r="A6063" s="451"/>
      <c r="B6063" s="451"/>
      <c r="C6063" s="451"/>
      <c r="D6063" s="451"/>
      <c r="E6063" s="468"/>
      <c r="F6063" s="468"/>
    </row>
    <row r="6064" spans="1:6" ht="12.75" x14ac:dyDescent="0.2">
      <c r="A6064" s="451"/>
      <c r="B6064" s="451"/>
      <c r="C6064" s="451"/>
      <c r="D6064" s="451"/>
      <c r="E6064" s="468"/>
      <c r="F6064" s="468"/>
    </row>
    <row r="6065" spans="1:6" ht="12.75" x14ac:dyDescent="0.2">
      <c r="A6065" s="451"/>
      <c r="B6065" s="451"/>
      <c r="C6065" s="451"/>
      <c r="D6065" s="451"/>
      <c r="E6065" s="468"/>
      <c r="F6065" s="468"/>
    </row>
    <row r="6066" spans="1:6" ht="12.75" x14ac:dyDescent="0.2">
      <c r="A6066" s="451"/>
      <c r="B6066" s="451"/>
      <c r="C6066" s="451"/>
      <c r="D6066" s="451"/>
      <c r="E6066" s="468"/>
      <c r="F6066" s="468"/>
    </row>
    <row r="6067" spans="1:6" ht="12.75" x14ac:dyDescent="0.2">
      <c r="A6067" s="451"/>
      <c r="B6067" s="451"/>
      <c r="C6067" s="451"/>
      <c r="D6067" s="451"/>
      <c r="E6067" s="468"/>
      <c r="F6067" s="468"/>
    </row>
    <row r="6068" spans="1:6" ht="12.75" x14ac:dyDescent="0.2">
      <c r="A6068" s="451"/>
      <c r="B6068" s="451"/>
      <c r="C6068" s="451"/>
      <c r="D6068" s="451"/>
      <c r="E6068" s="468"/>
      <c r="F6068" s="468"/>
    </row>
    <row r="6069" spans="1:6" ht="12.75" x14ac:dyDescent="0.2">
      <c r="A6069" s="451"/>
      <c r="B6069" s="451"/>
      <c r="C6069" s="451"/>
      <c r="D6069" s="451"/>
      <c r="E6069" s="468"/>
      <c r="F6069" s="468"/>
    </row>
    <row r="6070" spans="1:6" ht="12.75" x14ac:dyDescent="0.2">
      <c r="A6070" s="451"/>
      <c r="B6070" s="451"/>
      <c r="C6070" s="451"/>
      <c r="D6070" s="451"/>
      <c r="E6070" s="468"/>
      <c r="F6070" s="468"/>
    </row>
    <row r="6071" spans="1:6" ht="12.75" x14ac:dyDescent="0.2">
      <c r="A6071" s="451"/>
      <c r="B6071" s="451"/>
      <c r="C6071" s="451"/>
      <c r="D6071" s="451"/>
      <c r="E6071" s="468"/>
      <c r="F6071" s="468"/>
    </row>
    <row r="6072" spans="1:6" ht="12.75" x14ac:dyDescent="0.2">
      <c r="A6072" s="451"/>
      <c r="B6072" s="451"/>
      <c r="C6072" s="451"/>
      <c r="D6072" s="451"/>
      <c r="E6072" s="468"/>
      <c r="F6072" s="468"/>
    </row>
    <row r="6073" spans="1:6" ht="12.75" x14ac:dyDescent="0.2">
      <c r="A6073" s="451"/>
      <c r="B6073" s="451"/>
      <c r="C6073" s="451"/>
      <c r="D6073" s="451"/>
      <c r="E6073" s="468"/>
      <c r="F6073" s="468"/>
    </row>
    <row r="6074" spans="1:6" ht="12.75" x14ac:dyDescent="0.2">
      <c r="A6074" s="451"/>
      <c r="B6074" s="451"/>
      <c r="C6074" s="451"/>
      <c r="D6074" s="451"/>
      <c r="E6074" s="468"/>
      <c r="F6074" s="468"/>
    </row>
    <row r="6075" spans="1:6" ht="12.75" x14ac:dyDescent="0.2">
      <c r="A6075" s="451"/>
      <c r="B6075" s="451"/>
      <c r="C6075" s="451"/>
      <c r="D6075" s="451"/>
      <c r="E6075" s="468"/>
      <c r="F6075" s="468"/>
    </row>
    <row r="6076" spans="1:6" ht="12.75" x14ac:dyDescent="0.2">
      <c r="A6076" s="451"/>
      <c r="B6076" s="451"/>
      <c r="C6076" s="451"/>
      <c r="D6076" s="451"/>
      <c r="E6076" s="468"/>
      <c r="F6076" s="468"/>
    </row>
    <row r="6077" spans="1:6" ht="12.75" x14ac:dyDescent="0.2">
      <c r="A6077" s="451"/>
      <c r="B6077" s="451"/>
      <c r="C6077" s="451"/>
      <c r="D6077" s="451"/>
      <c r="E6077" s="468"/>
      <c r="F6077" s="468"/>
    </row>
    <row r="6078" spans="1:6" ht="12.75" x14ac:dyDescent="0.2">
      <c r="A6078" s="451"/>
      <c r="B6078" s="451"/>
      <c r="C6078" s="451"/>
      <c r="D6078" s="451"/>
      <c r="E6078" s="468"/>
      <c r="F6078" s="468"/>
    </row>
    <row r="6079" spans="1:6" ht="12.75" x14ac:dyDescent="0.2">
      <c r="A6079" s="451"/>
      <c r="B6079" s="451"/>
      <c r="C6079" s="451"/>
      <c r="D6079" s="451"/>
      <c r="E6079" s="468"/>
      <c r="F6079" s="468"/>
    </row>
    <row r="6080" spans="1:6" ht="12.75" x14ac:dyDescent="0.2">
      <c r="A6080" s="451"/>
      <c r="B6080" s="451"/>
      <c r="C6080" s="451"/>
      <c r="D6080" s="451"/>
      <c r="E6080" s="468"/>
      <c r="F6080" s="468"/>
    </row>
    <row r="6081" spans="1:6" ht="12.75" x14ac:dyDescent="0.2">
      <c r="A6081" s="451"/>
      <c r="B6081" s="451"/>
      <c r="C6081" s="451"/>
      <c r="D6081" s="451"/>
      <c r="E6081" s="468"/>
      <c r="F6081" s="468"/>
    </row>
    <row r="6082" spans="1:6" ht="12.75" x14ac:dyDescent="0.2">
      <c r="A6082" s="451"/>
      <c r="B6082" s="451"/>
      <c r="C6082" s="451"/>
      <c r="D6082" s="451"/>
      <c r="E6082" s="468"/>
      <c r="F6082" s="468"/>
    </row>
    <row r="6083" spans="1:6" ht="12.75" x14ac:dyDescent="0.2">
      <c r="A6083" s="451"/>
      <c r="B6083" s="451"/>
      <c r="C6083" s="451"/>
      <c r="D6083" s="451"/>
      <c r="E6083" s="468"/>
      <c r="F6083" s="468"/>
    </row>
    <row r="6084" spans="1:6" ht="12.75" x14ac:dyDescent="0.2">
      <c r="A6084" s="451"/>
      <c r="B6084" s="451"/>
      <c r="C6084" s="451"/>
      <c r="D6084" s="451"/>
      <c r="E6084" s="468"/>
      <c r="F6084" s="468"/>
    </row>
    <row r="6085" spans="1:6" ht="12.75" x14ac:dyDescent="0.2">
      <c r="A6085" s="451"/>
      <c r="B6085" s="451"/>
      <c r="C6085" s="451"/>
      <c r="D6085" s="451"/>
      <c r="E6085" s="468"/>
      <c r="F6085" s="468"/>
    </row>
    <row r="6086" spans="1:6" ht="12.75" x14ac:dyDescent="0.2">
      <c r="A6086" s="451"/>
      <c r="B6086" s="451"/>
      <c r="C6086" s="451"/>
      <c r="D6086" s="451"/>
      <c r="E6086" s="468"/>
      <c r="F6086" s="468"/>
    </row>
    <row r="6087" spans="1:6" ht="12.75" x14ac:dyDescent="0.2">
      <c r="A6087" s="451"/>
      <c r="B6087" s="451"/>
      <c r="C6087" s="451"/>
      <c r="D6087" s="451"/>
      <c r="E6087" s="468"/>
      <c r="F6087" s="468"/>
    </row>
    <row r="6088" spans="1:6" ht="12.75" x14ac:dyDescent="0.2">
      <c r="A6088" s="451"/>
      <c r="B6088" s="451"/>
      <c r="C6088" s="451"/>
      <c r="D6088" s="451"/>
      <c r="E6088" s="468"/>
      <c r="F6088" s="468"/>
    </row>
    <row r="6089" spans="1:6" ht="12.75" x14ac:dyDescent="0.2">
      <c r="A6089" s="451"/>
      <c r="B6089" s="451"/>
      <c r="C6089" s="451"/>
      <c r="D6089" s="451"/>
      <c r="E6089" s="468"/>
      <c r="F6089" s="468"/>
    </row>
    <row r="6090" spans="1:6" ht="12.75" x14ac:dyDescent="0.2">
      <c r="A6090" s="451"/>
      <c r="B6090" s="451"/>
      <c r="C6090" s="451"/>
      <c r="D6090" s="451"/>
      <c r="E6090" s="468"/>
      <c r="F6090" s="468"/>
    </row>
    <row r="6091" spans="1:6" ht="12.75" x14ac:dyDescent="0.2">
      <c r="A6091" s="451"/>
      <c r="B6091" s="451"/>
      <c r="C6091" s="451"/>
      <c r="D6091" s="451"/>
      <c r="E6091" s="468"/>
      <c r="F6091" s="468"/>
    </row>
    <row r="6092" spans="1:6" ht="12.75" x14ac:dyDescent="0.2">
      <c r="A6092" s="451"/>
      <c r="B6092" s="451"/>
      <c r="C6092" s="451"/>
      <c r="D6092" s="451"/>
      <c r="E6092" s="468"/>
      <c r="F6092" s="468"/>
    </row>
    <row r="6093" spans="1:6" ht="12.75" x14ac:dyDescent="0.2">
      <c r="A6093" s="451"/>
      <c r="B6093" s="451"/>
      <c r="C6093" s="451"/>
      <c r="D6093" s="451"/>
      <c r="E6093" s="468"/>
      <c r="F6093" s="468"/>
    </row>
    <row r="6094" spans="1:6" ht="12.75" x14ac:dyDescent="0.2">
      <c r="A6094" s="451"/>
      <c r="B6094" s="451"/>
      <c r="C6094" s="451"/>
      <c r="D6094" s="451"/>
      <c r="E6094" s="468"/>
      <c r="F6094" s="468"/>
    </row>
    <row r="6095" spans="1:6" ht="12.75" x14ac:dyDescent="0.2">
      <c r="A6095" s="451"/>
      <c r="B6095" s="451"/>
      <c r="C6095" s="451"/>
      <c r="D6095" s="451"/>
      <c r="E6095" s="468"/>
      <c r="F6095" s="468"/>
    </row>
    <row r="6096" spans="1:6" ht="12.75" x14ac:dyDescent="0.2">
      <c r="A6096" s="451"/>
      <c r="B6096" s="451"/>
      <c r="C6096" s="451"/>
      <c r="D6096" s="451"/>
      <c r="E6096" s="468"/>
      <c r="F6096" s="468"/>
    </row>
    <row r="6097" spans="1:6" ht="12.75" x14ac:dyDescent="0.2">
      <c r="A6097" s="451"/>
      <c r="B6097" s="451"/>
      <c r="C6097" s="451"/>
      <c r="D6097" s="451"/>
      <c r="E6097" s="468"/>
      <c r="F6097" s="468"/>
    </row>
    <row r="6098" spans="1:6" ht="12.75" x14ac:dyDescent="0.2">
      <c r="A6098" s="451"/>
      <c r="B6098" s="451"/>
      <c r="C6098" s="451"/>
      <c r="D6098" s="451"/>
      <c r="E6098" s="468"/>
      <c r="F6098" s="468"/>
    </row>
    <row r="6099" spans="1:6" ht="12.75" x14ac:dyDescent="0.2">
      <c r="A6099" s="451"/>
      <c r="B6099" s="451"/>
      <c r="C6099" s="451"/>
      <c r="D6099" s="451"/>
      <c r="E6099" s="468"/>
      <c r="F6099" s="468"/>
    </row>
    <row r="6100" spans="1:6" ht="12.75" x14ac:dyDescent="0.2">
      <c r="A6100" s="451"/>
      <c r="B6100" s="451"/>
      <c r="C6100" s="451"/>
      <c r="D6100" s="451"/>
      <c r="E6100" s="468"/>
      <c r="F6100" s="468"/>
    </row>
    <row r="6101" spans="1:6" ht="12.75" x14ac:dyDescent="0.2">
      <c r="A6101" s="451"/>
      <c r="B6101" s="451"/>
      <c r="C6101" s="451"/>
      <c r="D6101" s="451"/>
      <c r="E6101" s="468"/>
      <c r="F6101" s="468"/>
    </row>
    <row r="6102" spans="1:6" ht="12.75" x14ac:dyDescent="0.2">
      <c r="A6102" s="451"/>
      <c r="B6102" s="451"/>
      <c r="C6102" s="451"/>
      <c r="D6102" s="451"/>
      <c r="E6102" s="468"/>
      <c r="F6102" s="468"/>
    </row>
    <row r="6103" spans="1:6" ht="12.75" x14ac:dyDescent="0.2">
      <c r="A6103" s="451"/>
      <c r="B6103" s="451"/>
      <c r="C6103" s="451"/>
      <c r="D6103" s="451"/>
      <c r="E6103" s="468"/>
      <c r="F6103" s="468"/>
    </row>
    <row r="6104" spans="1:6" ht="12.75" x14ac:dyDescent="0.2">
      <c r="A6104" s="451"/>
      <c r="B6104" s="451"/>
      <c r="C6104" s="451"/>
      <c r="D6104" s="451"/>
      <c r="E6104" s="468"/>
      <c r="F6104" s="468"/>
    </row>
    <row r="6105" spans="1:6" ht="12.75" x14ac:dyDescent="0.2">
      <c r="A6105" s="451"/>
      <c r="B6105" s="451"/>
      <c r="C6105" s="451"/>
      <c r="D6105" s="451"/>
      <c r="E6105" s="468"/>
      <c r="F6105" s="468"/>
    </row>
    <row r="6106" spans="1:6" ht="12.75" x14ac:dyDescent="0.2">
      <c r="A6106" s="451"/>
      <c r="B6106" s="451"/>
      <c r="C6106" s="451"/>
      <c r="D6106" s="451"/>
      <c r="E6106" s="468"/>
      <c r="F6106" s="468"/>
    </row>
    <row r="6107" spans="1:6" ht="12.75" x14ac:dyDescent="0.2">
      <c r="A6107" s="451"/>
      <c r="B6107" s="451"/>
      <c r="C6107" s="451"/>
      <c r="D6107" s="451"/>
      <c r="E6107" s="468"/>
      <c r="F6107" s="468"/>
    </row>
    <row r="6108" spans="1:6" ht="12.75" x14ac:dyDescent="0.2">
      <c r="A6108" s="451"/>
      <c r="B6108" s="451"/>
      <c r="C6108" s="451"/>
      <c r="D6108" s="451"/>
      <c r="E6108" s="468"/>
      <c r="F6108" s="468"/>
    </row>
    <row r="6109" spans="1:6" ht="12.75" x14ac:dyDescent="0.2">
      <c r="A6109" s="451"/>
      <c r="B6109" s="451"/>
      <c r="C6109" s="451"/>
      <c r="D6109" s="451"/>
      <c r="E6109" s="468"/>
      <c r="F6109" s="468"/>
    </row>
    <row r="6110" spans="1:6" ht="12.75" x14ac:dyDescent="0.2">
      <c r="A6110" s="451"/>
      <c r="B6110" s="451"/>
      <c r="C6110" s="451"/>
      <c r="D6110" s="451"/>
      <c r="E6110" s="468"/>
      <c r="F6110" s="468"/>
    </row>
    <row r="6111" spans="1:6" ht="12.75" x14ac:dyDescent="0.2">
      <c r="A6111" s="451"/>
      <c r="B6111" s="451"/>
      <c r="C6111" s="451"/>
      <c r="D6111" s="451"/>
      <c r="E6111" s="468"/>
      <c r="F6111" s="468"/>
    </row>
    <row r="6112" spans="1:6" ht="12.75" x14ac:dyDescent="0.2">
      <c r="A6112" s="451"/>
      <c r="B6112" s="451"/>
      <c r="C6112" s="451"/>
      <c r="D6112" s="451"/>
      <c r="E6112" s="468"/>
      <c r="F6112" s="468"/>
    </row>
    <row r="6113" spans="1:6" ht="12.75" x14ac:dyDescent="0.2">
      <c r="A6113" s="451"/>
      <c r="B6113" s="451"/>
      <c r="C6113" s="451"/>
      <c r="D6113" s="451"/>
      <c r="E6113" s="468"/>
      <c r="F6113" s="468"/>
    </row>
    <row r="6114" spans="1:6" ht="12.75" x14ac:dyDescent="0.2">
      <c r="A6114" s="451"/>
      <c r="B6114" s="451"/>
      <c r="C6114" s="451"/>
      <c r="D6114" s="451"/>
      <c r="E6114" s="468"/>
      <c r="F6114" s="468"/>
    </row>
    <row r="6115" spans="1:6" ht="12.75" x14ac:dyDescent="0.2">
      <c r="A6115" s="451"/>
      <c r="B6115" s="451"/>
      <c r="C6115" s="451"/>
      <c r="D6115" s="451"/>
      <c r="E6115" s="468"/>
      <c r="F6115" s="468"/>
    </row>
    <row r="6116" spans="1:6" ht="12.75" x14ac:dyDescent="0.2">
      <c r="A6116" s="451"/>
      <c r="B6116" s="451"/>
      <c r="C6116" s="451"/>
      <c r="D6116" s="451"/>
      <c r="E6116" s="468"/>
      <c r="F6116" s="468"/>
    </row>
    <row r="6117" spans="1:6" ht="12.75" x14ac:dyDescent="0.2">
      <c r="A6117" s="451"/>
      <c r="B6117" s="451"/>
      <c r="C6117" s="451"/>
      <c r="D6117" s="451"/>
      <c r="E6117" s="468"/>
      <c r="F6117" s="468"/>
    </row>
    <row r="6118" spans="1:6" ht="12.75" x14ac:dyDescent="0.2">
      <c r="A6118" s="451"/>
      <c r="B6118" s="451"/>
      <c r="C6118" s="451"/>
      <c r="D6118" s="451"/>
      <c r="E6118" s="468"/>
      <c r="F6118" s="468"/>
    </row>
    <row r="6119" spans="1:6" ht="12.75" x14ac:dyDescent="0.2">
      <c r="A6119" s="451"/>
      <c r="B6119" s="451"/>
      <c r="C6119" s="451"/>
      <c r="D6119" s="451"/>
      <c r="E6119" s="468"/>
      <c r="F6119" s="468"/>
    </row>
    <row r="6120" spans="1:6" ht="12.75" x14ac:dyDescent="0.2">
      <c r="A6120" s="451"/>
      <c r="B6120" s="451"/>
      <c r="C6120" s="451"/>
      <c r="D6120" s="451"/>
      <c r="E6120" s="468"/>
      <c r="F6120" s="468"/>
    </row>
    <row r="6121" spans="1:6" ht="12.75" x14ac:dyDescent="0.2">
      <c r="A6121" s="451"/>
      <c r="B6121" s="451"/>
      <c r="C6121" s="451"/>
      <c r="D6121" s="451"/>
      <c r="E6121" s="468"/>
      <c r="F6121" s="468"/>
    </row>
    <row r="6122" spans="1:6" ht="12.75" x14ac:dyDescent="0.2">
      <c r="A6122" s="451"/>
      <c r="B6122" s="451"/>
      <c r="C6122" s="451"/>
      <c r="D6122" s="451"/>
      <c r="E6122" s="468"/>
      <c r="F6122" s="468"/>
    </row>
    <row r="6123" spans="1:6" ht="12.75" x14ac:dyDescent="0.2">
      <c r="A6123" s="451"/>
      <c r="B6123" s="451"/>
      <c r="C6123" s="451"/>
      <c r="D6123" s="451"/>
      <c r="E6123" s="468"/>
      <c r="F6123" s="468"/>
    </row>
    <row r="6124" spans="1:6" ht="12.75" x14ac:dyDescent="0.2">
      <c r="A6124" s="451"/>
      <c r="B6124" s="451"/>
      <c r="C6124" s="451"/>
      <c r="D6124" s="451"/>
      <c r="E6124" s="468"/>
      <c r="F6124" s="468"/>
    </row>
    <row r="6125" spans="1:6" ht="12.75" x14ac:dyDescent="0.2">
      <c r="A6125" s="451"/>
      <c r="B6125" s="451"/>
      <c r="C6125" s="451"/>
      <c r="D6125" s="451"/>
      <c r="E6125" s="468"/>
      <c r="F6125" s="468"/>
    </row>
    <row r="6126" spans="1:6" ht="12.75" x14ac:dyDescent="0.2">
      <c r="A6126" s="451"/>
      <c r="B6126" s="451"/>
      <c r="C6126" s="451"/>
      <c r="D6126" s="451"/>
      <c r="E6126" s="468"/>
      <c r="F6126" s="468"/>
    </row>
    <row r="6127" spans="1:6" ht="12.75" x14ac:dyDescent="0.2">
      <c r="A6127" s="451"/>
      <c r="B6127" s="451"/>
      <c r="C6127" s="451"/>
      <c r="D6127" s="451"/>
      <c r="E6127" s="468"/>
      <c r="F6127" s="468"/>
    </row>
    <row r="6128" spans="1:6" ht="12.75" x14ac:dyDescent="0.2">
      <c r="A6128" s="451"/>
      <c r="B6128" s="451"/>
      <c r="C6128" s="451"/>
      <c r="D6128" s="451"/>
      <c r="E6128" s="468"/>
      <c r="F6128" s="468"/>
    </row>
    <row r="6129" spans="1:6" ht="12.75" x14ac:dyDescent="0.2">
      <c r="A6129" s="451"/>
      <c r="B6129" s="451"/>
      <c r="C6129" s="451"/>
      <c r="D6129" s="451"/>
      <c r="E6129" s="468"/>
      <c r="F6129" s="468"/>
    </row>
    <row r="6130" spans="1:6" ht="12.75" x14ac:dyDescent="0.2">
      <c r="A6130" s="451"/>
      <c r="B6130" s="451"/>
      <c r="C6130" s="451"/>
      <c r="D6130" s="451"/>
      <c r="E6130" s="468"/>
      <c r="F6130" s="468"/>
    </row>
    <row r="6131" spans="1:6" ht="12.75" x14ac:dyDescent="0.2">
      <c r="A6131" s="451"/>
      <c r="B6131" s="451"/>
      <c r="C6131" s="451"/>
      <c r="D6131" s="451"/>
      <c r="E6131" s="468"/>
      <c r="F6131" s="468"/>
    </row>
    <row r="6132" spans="1:6" ht="12.75" x14ac:dyDescent="0.2">
      <c r="A6132" s="451"/>
      <c r="B6132" s="451"/>
      <c r="C6132" s="451"/>
      <c r="D6132" s="451"/>
      <c r="E6132" s="468"/>
      <c r="F6132" s="468"/>
    </row>
    <row r="6133" spans="1:6" ht="12.75" x14ac:dyDescent="0.2">
      <c r="A6133" s="451"/>
      <c r="B6133" s="451"/>
      <c r="C6133" s="451"/>
      <c r="D6133" s="451"/>
      <c r="E6133" s="468"/>
      <c r="F6133" s="468"/>
    </row>
    <row r="6134" spans="1:6" ht="12.75" x14ac:dyDescent="0.2">
      <c r="A6134" s="451"/>
      <c r="B6134" s="451"/>
      <c r="C6134" s="451"/>
      <c r="D6134" s="451"/>
      <c r="E6134" s="468"/>
      <c r="F6134" s="468"/>
    </row>
    <row r="6135" spans="1:6" ht="12.75" x14ac:dyDescent="0.2">
      <c r="A6135" s="451"/>
      <c r="B6135" s="451"/>
      <c r="C6135" s="451"/>
      <c r="D6135" s="451"/>
      <c r="E6135" s="468"/>
      <c r="F6135" s="468"/>
    </row>
    <row r="6136" spans="1:6" ht="12.75" x14ac:dyDescent="0.2">
      <c r="A6136" s="451"/>
      <c r="B6136" s="451"/>
      <c r="C6136" s="451"/>
      <c r="D6136" s="451"/>
      <c r="E6136" s="468"/>
      <c r="F6136" s="468"/>
    </row>
    <row r="6137" spans="1:6" ht="12.75" x14ac:dyDescent="0.2">
      <c r="A6137" s="451"/>
      <c r="B6137" s="451"/>
      <c r="C6137" s="451"/>
      <c r="D6137" s="451"/>
      <c r="E6137" s="468"/>
      <c r="F6137" s="468"/>
    </row>
    <row r="6138" spans="1:6" ht="12.75" x14ac:dyDescent="0.2">
      <c r="A6138" s="451"/>
      <c r="B6138" s="451"/>
      <c r="C6138" s="451"/>
      <c r="D6138" s="451"/>
      <c r="E6138" s="468"/>
      <c r="F6138" s="468"/>
    </row>
    <row r="6139" spans="1:6" ht="12.75" x14ac:dyDescent="0.2">
      <c r="A6139" s="451"/>
      <c r="B6139" s="451"/>
      <c r="C6139" s="451"/>
      <c r="D6139" s="451"/>
      <c r="E6139" s="468"/>
      <c r="F6139" s="468"/>
    </row>
    <row r="6140" spans="1:6" ht="12.75" x14ac:dyDescent="0.2">
      <c r="A6140" s="451"/>
      <c r="B6140" s="451"/>
      <c r="C6140" s="451"/>
      <c r="D6140" s="451"/>
      <c r="E6140" s="468"/>
      <c r="F6140" s="468"/>
    </row>
    <row r="6141" spans="1:6" ht="12.75" x14ac:dyDescent="0.2">
      <c r="A6141" s="451"/>
      <c r="B6141" s="451"/>
      <c r="C6141" s="451"/>
      <c r="D6141" s="451"/>
      <c r="E6141" s="468"/>
      <c r="F6141" s="468"/>
    </row>
    <row r="6142" spans="1:6" ht="12.75" x14ac:dyDescent="0.2">
      <c r="A6142" s="451"/>
      <c r="B6142" s="451"/>
      <c r="C6142" s="451"/>
      <c r="D6142" s="451"/>
      <c r="E6142" s="468"/>
      <c r="F6142" s="468"/>
    </row>
    <row r="6143" spans="1:6" ht="12.75" x14ac:dyDescent="0.2">
      <c r="A6143" s="451"/>
      <c r="B6143" s="451"/>
      <c r="C6143" s="451"/>
      <c r="D6143" s="451"/>
      <c r="E6143" s="468"/>
      <c r="F6143" s="468"/>
    </row>
    <row r="6144" spans="1:6" ht="12.75" x14ac:dyDescent="0.2">
      <c r="A6144" s="451"/>
      <c r="B6144" s="451"/>
      <c r="C6144" s="451"/>
      <c r="D6144" s="451"/>
      <c r="E6144" s="468"/>
      <c r="F6144" s="468"/>
    </row>
    <row r="6145" spans="1:6" ht="12.75" x14ac:dyDescent="0.2">
      <c r="A6145" s="451"/>
      <c r="B6145" s="451"/>
      <c r="C6145" s="451"/>
      <c r="D6145" s="451"/>
      <c r="E6145" s="468"/>
      <c r="F6145" s="468"/>
    </row>
    <row r="6146" spans="1:6" ht="12.75" x14ac:dyDescent="0.2">
      <c r="A6146" s="451"/>
      <c r="B6146" s="451"/>
      <c r="C6146" s="451"/>
      <c r="D6146" s="451"/>
      <c r="E6146" s="468"/>
      <c r="F6146" s="468"/>
    </row>
    <row r="6147" spans="1:6" ht="12.75" x14ac:dyDescent="0.2">
      <c r="A6147" s="451"/>
      <c r="B6147" s="451"/>
      <c r="C6147" s="451"/>
      <c r="D6147" s="451"/>
      <c r="E6147" s="468"/>
      <c r="F6147" s="468"/>
    </row>
    <row r="6148" spans="1:6" ht="12.75" x14ac:dyDescent="0.2">
      <c r="A6148" s="451"/>
      <c r="B6148" s="451"/>
      <c r="C6148" s="451"/>
      <c r="D6148" s="451"/>
      <c r="E6148" s="468"/>
      <c r="F6148" s="468"/>
    </row>
    <row r="6149" spans="1:6" ht="12.75" x14ac:dyDescent="0.2">
      <c r="A6149" s="451"/>
      <c r="B6149" s="451"/>
      <c r="C6149" s="451"/>
      <c r="D6149" s="451"/>
      <c r="E6149" s="468"/>
      <c r="F6149" s="468"/>
    </row>
    <row r="6150" spans="1:6" ht="12.75" x14ac:dyDescent="0.2">
      <c r="A6150" s="451"/>
      <c r="B6150" s="451"/>
      <c r="C6150" s="451"/>
      <c r="D6150" s="451"/>
      <c r="E6150" s="468"/>
      <c r="F6150" s="468"/>
    </row>
    <row r="6151" spans="1:6" ht="12.75" x14ac:dyDescent="0.2">
      <c r="A6151" s="451"/>
      <c r="B6151" s="451"/>
      <c r="C6151" s="451"/>
      <c r="D6151" s="451"/>
      <c r="E6151" s="468"/>
      <c r="F6151" s="468"/>
    </row>
    <row r="6152" spans="1:6" ht="12.75" x14ac:dyDescent="0.2">
      <c r="A6152" s="451"/>
      <c r="B6152" s="451"/>
      <c r="C6152" s="451"/>
      <c r="D6152" s="451"/>
      <c r="E6152" s="468"/>
      <c r="F6152" s="468"/>
    </row>
    <row r="6153" spans="1:6" ht="12.75" x14ac:dyDescent="0.2">
      <c r="A6153" s="451"/>
      <c r="B6153" s="451"/>
      <c r="C6153" s="451"/>
      <c r="D6153" s="451"/>
      <c r="E6153" s="468"/>
      <c r="F6153" s="468"/>
    </row>
    <row r="6154" spans="1:6" ht="12.75" x14ac:dyDescent="0.2">
      <c r="A6154" s="451"/>
      <c r="B6154" s="451"/>
      <c r="C6154" s="451"/>
      <c r="D6154" s="451"/>
      <c r="E6154" s="468"/>
      <c r="F6154" s="468"/>
    </row>
    <row r="6155" spans="1:6" ht="12.75" x14ac:dyDescent="0.2">
      <c r="A6155" s="451"/>
      <c r="B6155" s="451"/>
      <c r="C6155" s="451"/>
      <c r="D6155" s="451"/>
      <c r="E6155" s="468"/>
      <c r="F6155" s="468"/>
    </row>
    <row r="6156" spans="1:6" ht="12.75" x14ac:dyDescent="0.2">
      <c r="A6156" s="451"/>
      <c r="B6156" s="451"/>
      <c r="C6156" s="451"/>
      <c r="D6156" s="451"/>
      <c r="E6156" s="468"/>
      <c r="F6156" s="468"/>
    </row>
    <row r="6157" spans="1:6" ht="12.75" x14ac:dyDescent="0.2">
      <c r="A6157" s="451"/>
      <c r="B6157" s="451"/>
      <c r="C6157" s="451"/>
      <c r="D6157" s="451"/>
      <c r="E6157" s="468"/>
      <c r="F6157" s="468"/>
    </row>
    <row r="6158" spans="1:6" ht="12.75" x14ac:dyDescent="0.2">
      <c r="A6158" s="451"/>
      <c r="B6158" s="451"/>
      <c r="C6158" s="451"/>
      <c r="D6158" s="451"/>
      <c r="E6158" s="468"/>
      <c r="F6158" s="468"/>
    </row>
    <row r="6159" spans="1:6" ht="12.75" x14ac:dyDescent="0.2">
      <c r="A6159" s="451"/>
      <c r="B6159" s="451"/>
      <c r="C6159" s="451"/>
      <c r="D6159" s="451"/>
      <c r="E6159" s="468"/>
      <c r="F6159" s="468"/>
    </row>
    <row r="6160" spans="1:6" ht="12.75" x14ac:dyDescent="0.2">
      <c r="A6160" s="451"/>
      <c r="B6160" s="451"/>
      <c r="C6160" s="451"/>
      <c r="D6160" s="451"/>
      <c r="E6160" s="468"/>
      <c r="F6160" s="468"/>
    </row>
    <row r="6161" spans="1:6" ht="12.75" x14ac:dyDescent="0.2">
      <c r="A6161" s="451"/>
      <c r="B6161" s="451"/>
      <c r="C6161" s="451"/>
      <c r="D6161" s="451"/>
      <c r="E6161" s="468"/>
      <c r="F6161" s="468"/>
    </row>
    <row r="6162" spans="1:6" ht="12.75" x14ac:dyDescent="0.2">
      <c r="A6162" s="451"/>
      <c r="B6162" s="451"/>
      <c r="C6162" s="451"/>
      <c r="D6162" s="451"/>
      <c r="E6162" s="468"/>
      <c r="F6162" s="468"/>
    </row>
    <row r="6163" spans="1:6" ht="12.75" x14ac:dyDescent="0.2">
      <c r="A6163" s="451"/>
      <c r="B6163" s="451"/>
      <c r="C6163" s="451"/>
      <c r="D6163" s="451"/>
      <c r="E6163" s="468"/>
      <c r="F6163" s="468"/>
    </row>
    <row r="6164" spans="1:6" ht="12.75" x14ac:dyDescent="0.2">
      <c r="A6164" s="451"/>
      <c r="B6164" s="451"/>
      <c r="C6164" s="451"/>
      <c r="D6164" s="451"/>
      <c r="E6164" s="468"/>
      <c r="F6164" s="468"/>
    </row>
    <row r="6165" spans="1:6" ht="12.75" x14ac:dyDescent="0.2">
      <c r="A6165" s="451"/>
      <c r="B6165" s="451"/>
      <c r="C6165" s="451"/>
      <c r="D6165" s="451"/>
      <c r="E6165" s="468"/>
      <c r="F6165" s="468"/>
    </row>
    <row r="6166" spans="1:6" ht="12.75" x14ac:dyDescent="0.2">
      <c r="A6166" s="451"/>
      <c r="B6166" s="451"/>
      <c r="C6166" s="451"/>
      <c r="D6166" s="451"/>
      <c r="E6166" s="468"/>
      <c r="F6166" s="468"/>
    </row>
    <row r="6167" spans="1:6" ht="12.75" x14ac:dyDescent="0.2">
      <c r="A6167" s="451"/>
      <c r="B6167" s="451"/>
      <c r="C6167" s="451"/>
      <c r="D6167" s="451"/>
      <c r="E6167" s="468"/>
      <c r="F6167" s="468"/>
    </row>
    <row r="6168" spans="1:6" ht="12.75" x14ac:dyDescent="0.2">
      <c r="A6168" s="451"/>
      <c r="B6168" s="451"/>
      <c r="C6168" s="451"/>
      <c r="D6168" s="451"/>
      <c r="E6168" s="468"/>
      <c r="F6168" s="468"/>
    </row>
    <row r="6169" spans="1:6" ht="12.75" x14ac:dyDescent="0.2">
      <c r="A6169" s="451"/>
      <c r="B6169" s="451"/>
      <c r="C6169" s="451"/>
      <c r="D6169" s="451"/>
      <c r="E6169" s="468"/>
      <c r="F6169" s="468"/>
    </row>
    <row r="6170" spans="1:6" ht="12.75" x14ac:dyDescent="0.2">
      <c r="A6170" s="451"/>
      <c r="B6170" s="451"/>
      <c r="C6170" s="451"/>
      <c r="D6170" s="451"/>
      <c r="E6170" s="468"/>
      <c r="F6170" s="468"/>
    </row>
    <row r="6171" spans="1:6" ht="12.75" x14ac:dyDescent="0.2">
      <c r="A6171" s="451"/>
      <c r="B6171" s="451"/>
      <c r="C6171" s="451"/>
      <c r="D6171" s="451"/>
      <c r="E6171" s="468"/>
      <c r="F6171" s="468"/>
    </row>
    <row r="6172" spans="1:6" ht="12.75" x14ac:dyDescent="0.2">
      <c r="A6172" s="451"/>
      <c r="B6172" s="451"/>
      <c r="C6172" s="451"/>
      <c r="D6172" s="451"/>
      <c r="E6172" s="468"/>
      <c r="F6172" s="468"/>
    </row>
    <row r="6173" spans="1:6" ht="12.75" x14ac:dyDescent="0.2">
      <c r="A6173" s="451"/>
      <c r="B6173" s="451"/>
      <c r="C6173" s="451"/>
      <c r="D6173" s="451"/>
      <c r="E6173" s="468"/>
      <c r="F6173" s="468"/>
    </row>
    <row r="6174" spans="1:6" ht="12.75" x14ac:dyDescent="0.2">
      <c r="A6174" s="451"/>
      <c r="B6174" s="451"/>
      <c r="C6174" s="451"/>
      <c r="D6174" s="451"/>
      <c r="E6174" s="468"/>
      <c r="F6174" s="468"/>
    </row>
    <row r="6175" spans="1:6" ht="12.75" x14ac:dyDescent="0.2">
      <c r="A6175" s="451"/>
      <c r="B6175" s="451"/>
      <c r="C6175" s="451"/>
      <c r="D6175" s="451"/>
      <c r="E6175" s="468"/>
      <c r="F6175" s="468"/>
    </row>
    <row r="6176" spans="1:6" ht="12.75" x14ac:dyDescent="0.2">
      <c r="A6176" s="451"/>
      <c r="B6176" s="451"/>
      <c r="C6176" s="451"/>
      <c r="D6176" s="451"/>
      <c r="E6176" s="468"/>
      <c r="F6176" s="468"/>
    </row>
    <row r="6177" spans="1:6" ht="12.75" x14ac:dyDescent="0.2">
      <c r="A6177" s="451"/>
      <c r="B6177" s="451"/>
      <c r="C6177" s="451"/>
      <c r="D6177" s="451"/>
      <c r="E6177" s="468"/>
      <c r="F6177" s="468"/>
    </row>
    <row r="6178" spans="1:6" ht="12.75" x14ac:dyDescent="0.2">
      <c r="A6178" s="451"/>
      <c r="B6178" s="451"/>
      <c r="C6178" s="451"/>
      <c r="D6178" s="451"/>
      <c r="E6178" s="468"/>
      <c r="F6178" s="468"/>
    </row>
    <row r="6179" spans="1:6" ht="12.75" x14ac:dyDescent="0.2">
      <c r="A6179" s="451"/>
      <c r="B6179" s="451"/>
      <c r="C6179" s="451"/>
      <c r="D6179" s="451"/>
      <c r="E6179" s="468"/>
      <c r="F6179" s="468"/>
    </row>
    <row r="6180" spans="1:6" ht="12.75" x14ac:dyDescent="0.2">
      <c r="A6180" s="451"/>
      <c r="B6180" s="451"/>
      <c r="C6180" s="451"/>
      <c r="D6180" s="451"/>
      <c r="E6180" s="468"/>
      <c r="F6180" s="468"/>
    </row>
    <row r="6181" spans="1:6" ht="12.75" x14ac:dyDescent="0.2">
      <c r="A6181" s="451"/>
      <c r="B6181" s="451"/>
      <c r="C6181" s="451"/>
      <c r="D6181" s="451"/>
      <c r="E6181" s="468"/>
      <c r="F6181" s="468"/>
    </row>
    <row r="6182" spans="1:6" ht="12.75" x14ac:dyDescent="0.2">
      <c r="A6182" s="451"/>
      <c r="B6182" s="451"/>
      <c r="C6182" s="451"/>
      <c r="D6182" s="451"/>
      <c r="E6182" s="468"/>
      <c r="F6182" s="468"/>
    </row>
    <row r="6183" spans="1:6" ht="12.75" x14ac:dyDescent="0.2">
      <c r="A6183" s="451"/>
      <c r="B6183" s="451"/>
      <c r="C6183" s="451"/>
      <c r="D6183" s="451"/>
      <c r="E6183" s="468"/>
      <c r="F6183" s="468"/>
    </row>
    <row r="6184" spans="1:6" ht="12.75" x14ac:dyDescent="0.2">
      <c r="A6184" s="451"/>
      <c r="B6184" s="451"/>
      <c r="C6184" s="451"/>
      <c r="D6184" s="451"/>
      <c r="E6184" s="468"/>
      <c r="F6184" s="468"/>
    </row>
    <row r="6185" spans="1:6" ht="12.75" x14ac:dyDescent="0.2">
      <c r="A6185" s="451"/>
      <c r="B6185" s="451"/>
      <c r="C6185" s="451"/>
      <c r="D6185" s="451"/>
      <c r="E6185" s="468"/>
      <c r="F6185" s="468"/>
    </row>
    <row r="6186" spans="1:6" ht="12.75" x14ac:dyDescent="0.2">
      <c r="A6186" s="451"/>
      <c r="B6186" s="451"/>
      <c r="C6186" s="451"/>
      <c r="D6186" s="451"/>
      <c r="E6186" s="468"/>
      <c r="F6186" s="468"/>
    </row>
    <row r="6187" spans="1:6" ht="12.75" x14ac:dyDescent="0.2">
      <c r="A6187" s="451"/>
      <c r="B6187" s="451"/>
      <c r="C6187" s="451"/>
      <c r="D6187" s="451"/>
      <c r="E6187" s="468"/>
      <c r="F6187" s="468"/>
    </row>
    <row r="6188" spans="1:6" ht="12.75" x14ac:dyDescent="0.2">
      <c r="A6188" s="451"/>
      <c r="B6188" s="451"/>
      <c r="C6188" s="451"/>
      <c r="D6188" s="451"/>
      <c r="E6188" s="468"/>
      <c r="F6188" s="468"/>
    </row>
    <row r="6189" spans="1:6" ht="12.75" x14ac:dyDescent="0.2">
      <c r="A6189" s="451"/>
      <c r="B6189" s="451"/>
      <c r="C6189" s="451"/>
      <c r="D6189" s="451"/>
      <c r="E6189" s="468"/>
      <c r="F6189" s="468"/>
    </row>
    <row r="6190" spans="1:6" ht="12.75" x14ac:dyDescent="0.2">
      <c r="A6190" s="451"/>
      <c r="B6190" s="451"/>
      <c r="C6190" s="451"/>
      <c r="D6190" s="451"/>
      <c r="E6190" s="468"/>
      <c r="F6190" s="468"/>
    </row>
    <row r="6191" spans="1:6" ht="12.75" x14ac:dyDescent="0.2">
      <c r="A6191" s="451"/>
      <c r="B6191" s="451"/>
      <c r="C6191" s="451"/>
      <c r="D6191" s="451"/>
      <c r="E6191" s="468"/>
      <c r="F6191" s="468"/>
    </row>
    <row r="6192" spans="1:6" ht="12.75" x14ac:dyDescent="0.2">
      <c r="A6192" s="451"/>
      <c r="B6192" s="451"/>
      <c r="C6192" s="451"/>
      <c r="D6192" s="451"/>
      <c r="E6192" s="468"/>
      <c r="F6192" s="468"/>
    </row>
    <row r="6193" spans="1:6" ht="12.75" x14ac:dyDescent="0.2">
      <c r="A6193" s="451"/>
      <c r="B6193" s="451"/>
      <c r="C6193" s="451"/>
      <c r="D6193" s="451"/>
      <c r="E6193" s="468"/>
      <c r="F6193" s="468"/>
    </row>
    <row r="6194" spans="1:6" ht="12.75" x14ac:dyDescent="0.2">
      <c r="A6194" s="451"/>
      <c r="B6194" s="451"/>
      <c r="C6194" s="451"/>
      <c r="D6194" s="451"/>
      <c r="E6194" s="468"/>
      <c r="F6194" s="468"/>
    </row>
    <row r="6195" spans="1:6" ht="12.75" x14ac:dyDescent="0.2">
      <c r="A6195" s="451"/>
      <c r="B6195" s="451"/>
      <c r="C6195" s="451"/>
      <c r="D6195" s="451"/>
      <c r="E6195" s="468"/>
      <c r="F6195" s="468"/>
    </row>
    <row r="6196" spans="1:6" ht="12.75" x14ac:dyDescent="0.2">
      <c r="A6196" s="451"/>
      <c r="B6196" s="451"/>
      <c r="C6196" s="451"/>
      <c r="D6196" s="451"/>
      <c r="E6196" s="468"/>
      <c r="F6196" s="468"/>
    </row>
    <row r="6197" spans="1:6" ht="12.75" x14ac:dyDescent="0.2">
      <c r="A6197" s="451"/>
      <c r="B6197" s="451"/>
      <c r="C6197" s="451"/>
      <c r="D6197" s="451"/>
      <c r="E6197" s="468"/>
      <c r="F6197" s="468"/>
    </row>
    <row r="6198" spans="1:6" ht="12.75" x14ac:dyDescent="0.2">
      <c r="A6198" s="451"/>
      <c r="B6198" s="451"/>
      <c r="C6198" s="451"/>
      <c r="D6198" s="451"/>
      <c r="E6198" s="468"/>
      <c r="F6198" s="468"/>
    </row>
    <row r="6199" spans="1:6" ht="12.75" x14ac:dyDescent="0.2">
      <c r="A6199" s="451"/>
      <c r="B6199" s="451"/>
      <c r="C6199" s="451"/>
      <c r="D6199" s="451"/>
      <c r="E6199" s="468"/>
      <c r="F6199" s="468"/>
    </row>
    <row r="6200" spans="1:6" ht="12.75" x14ac:dyDescent="0.2">
      <c r="A6200" s="451"/>
      <c r="B6200" s="451"/>
      <c r="C6200" s="451"/>
      <c r="D6200" s="451"/>
      <c r="E6200" s="468"/>
      <c r="F6200" s="468"/>
    </row>
    <row r="6201" spans="1:6" ht="12.75" x14ac:dyDescent="0.2">
      <c r="A6201" s="451"/>
      <c r="B6201" s="451"/>
      <c r="C6201" s="451"/>
      <c r="D6201" s="451"/>
      <c r="E6201" s="468"/>
      <c r="F6201" s="468"/>
    </row>
    <row r="6202" spans="1:6" ht="12.75" x14ac:dyDescent="0.2">
      <c r="A6202" s="451"/>
      <c r="B6202" s="451"/>
      <c r="C6202" s="451"/>
      <c r="D6202" s="451"/>
      <c r="E6202" s="468"/>
      <c r="F6202" s="468"/>
    </row>
    <row r="6203" spans="1:6" ht="12.75" x14ac:dyDescent="0.2">
      <c r="A6203" s="451"/>
      <c r="B6203" s="451"/>
      <c r="C6203" s="451"/>
      <c r="D6203" s="451"/>
      <c r="E6203" s="468"/>
      <c r="F6203" s="468"/>
    </row>
    <row r="6204" spans="1:6" ht="12.75" x14ac:dyDescent="0.2">
      <c r="A6204" s="451"/>
      <c r="B6204" s="451"/>
      <c r="C6204" s="451"/>
      <c r="D6204" s="451"/>
      <c r="E6204" s="468"/>
      <c r="F6204" s="468"/>
    </row>
    <row r="6205" spans="1:6" ht="12.75" x14ac:dyDescent="0.2">
      <c r="A6205" s="451"/>
      <c r="B6205" s="451"/>
      <c r="C6205" s="451"/>
      <c r="D6205" s="451"/>
      <c r="E6205" s="468"/>
      <c r="F6205" s="468"/>
    </row>
    <row r="6206" spans="1:6" ht="12.75" x14ac:dyDescent="0.2">
      <c r="A6206" s="451"/>
      <c r="B6206" s="451"/>
      <c r="C6206" s="451"/>
      <c r="D6206" s="451"/>
      <c r="E6206" s="468"/>
      <c r="F6206" s="468"/>
    </row>
    <row r="6207" spans="1:6" ht="12.75" x14ac:dyDescent="0.2">
      <c r="A6207" s="451"/>
      <c r="B6207" s="451"/>
      <c r="C6207" s="451"/>
      <c r="D6207" s="451"/>
      <c r="E6207" s="468"/>
      <c r="F6207" s="468"/>
    </row>
    <row r="6208" spans="1:6" ht="12.75" x14ac:dyDescent="0.2">
      <c r="A6208" s="451"/>
      <c r="B6208" s="451"/>
      <c r="C6208" s="451"/>
      <c r="D6208" s="451"/>
      <c r="E6208" s="468"/>
      <c r="F6208" s="468"/>
    </row>
    <row r="6209" spans="1:6" ht="12.75" x14ac:dyDescent="0.2">
      <c r="A6209" s="451"/>
      <c r="B6209" s="451"/>
      <c r="C6209" s="451"/>
      <c r="D6209" s="451"/>
      <c r="E6209" s="468"/>
      <c r="F6209" s="468"/>
    </row>
    <row r="6210" spans="1:6" ht="12.75" x14ac:dyDescent="0.2">
      <c r="A6210" s="451"/>
      <c r="B6210" s="451"/>
      <c r="C6210" s="451"/>
      <c r="D6210" s="451"/>
      <c r="E6210" s="468"/>
      <c r="F6210" s="468"/>
    </row>
    <row r="6211" spans="1:6" ht="12.75" x14ac:dyDescent="0.2">
      <c r="A6211" s="451"/>
      <c r="B6211" s="451"/>
      <c r="C6211" s="451"/>
      <c r="D6211" s="451"/>
      <c r="E6211" s="468"/>
      <c r="F6211" s="468"/>
    </row>
    <row r="6212" spans="1:6" ht="12.75" x14ac:dyDescent="0.2">
      <c r="A6212" s="451"/>
      <c r="B6212" s="451"/>
      <c r="C6212" s="451"/>
      <c r="D6212" s="451"/>
      <c r="E6212" s="468"/>
      <c r="F6212" s="468"/>
    </row>
    <row r="6213" spans="1:6" ht="12.75" x14ac:dyDescent="0.2">
      <c r="A6213" s="451"/>
      <c r="B6213" s="451"/>
      <c r="C6213" s="451"/>
      <c r="D6213" s="451"/>
      <c r="E6213" s="468"/>
      <c r="F6213" s="468"/>
    </row>
    <row r="6214" spans="1:6" ht="12.75" x14ac:dyDescent="0.2">
      <c r="A6214" s="451"/>
      <c r="B6214" s="451"/>
      <c r="C6214" s="451"/>
      <c r="D6214" s="451"/>
      <c r="E6214" s="468"/>
      <c r="F6214" s="468"/>
    </row>
    <row r="6215" spans="1:6" ht="12.75" x14ac:dyDescent="0.2">
      <c r="A6215" s="451"/>
      <c r="B6215" s="451"/>
      <c r="C6215" s="451"/>
      <c r="D6215" s="451"/>
      <c r="E6215" s="468"/>
      <c r="F6215" s="468"/>
    </row>
    <row r="6216" spans="1:6" ht="12.75" x14ac:dyDescent="0.2">
      <c r="A6216" s="451"/>
      <c r="B6216" s="451"/>
      <c r="C6216" s="451"/>
      <c r="D6216" s="451"/>
      <c r="E6216" s="468"/>
      <c r="F6216" s="468"/>
    </row>
    <row r="6217" spans="1:6" ht="12.75" x14ac:dyDescent="0.2">
      <c r="A6217" s="451"/>
      <c r="B6217" s="451"/>
      <c r="C6217" s="451"/>
      <c r="D6217" s="451"/>
      <c r="E6217" s="468"/>
      <c r="F6217" s="468"/>
    </row>
    <row r="6218" spans="1:6" ht="12.75" x14ac:dyDescent="0.2">
      <c r="A6218" s="451"/>
      <c r="B6218" s="451"/>
      <c r="C6218" s="451"/>
      <c r="D6218" s="451"/>
      <c r="E6218" s="468"/>
      <c r="F6218" s="468"/>
    </row>
    <row r="6219" spans="1:6" ht="12.75" x14ac:dyDescent="0.2">
      <c r="A6219" s="451"/>
      <c r="B6219" s="451"/>
      <c r="C6219" s="451"/>
      <c r="D6219" s="451"/>
      <c r="E6219" s="468"/>
      <c r="F6219" s="468"/>
    </row>
    <row r="6220" spans="1:6" ht="12.75" x14ac:dyDescent="0.2">
      <c r="A6220" s="451"/>
      <c r="B6220" s="451"/>
      <c r="C6220" s="451"/>
      <c r="D6220" s="451"/>
      <c r="E6220" s="468"/>
      <c r="F6220" s="468"/>
    </row>
    <row r="6221" spans="1:6" ht="12.75" x14ac:dyDescent="0.2">
      <c r="A6221" s="451"/>
      <c r="B6221" s="451"/>
      <c r="C6221" s="451"/>
      <c r="D6221" s="451"/>
      <c r="E6221" s="468"/>
      <c r="F6221" s="468"/>
    </row>
    <row r="6222" spans="1:6" ht="12.75" x14ac:dyDescent="0.2">
      <c r="A6222" s="451"/>
      <c r="B6222" s="451"/>
      <c r="C6222" s="451"/>
      <c r="D6222" s="451"/>
      <c r="E6222" s="468"/>
      <c r="F6222" s="468"/>
    </row>
    <row r="6223" spans="1:6" ht="12.75" x14ac:dyDescent="0.2">
      <c r="A6223" s="451"/>
      <c r="B6223" s="451"/>
      <c r="C6223" s="451"/>
      <c r="D6223" s="451"/>
      <c r="E6223" s="468"/>
      <c r="F6223" s="468"/>
    </row>
    <row r="6224" spans="1:6" ht="12.75" x14ac:dyDescent="0.2">
      <c r="A6224" s="451"/>
      <c r="B6224" s="451"/>
      <c r="C6224" s="451"/>
      <c r="D6224" s="451"/>
      <c r="E6224" s="468"/>
      <c r="F6224" s="468"/>
    </row>
    <row r="6225" spans="1:6" ht="12.75" x14ac:dyDescent="0.2">
      <c r="A6225" s="451"/>
      <c r="B6225" s="451"/>
      <c r="C6225" s="451"/>
      <c r="D6225" s="451"/>
      <c r="E6225" s="468"/>
      <c r="F6225" s="468"/>
    </row>
    <row r="6226" spans="1:6" ht="12.75" x14ac:dyDescent="0.2">
      <c r="A6226" s="451"/>
      <c r="B6226" s="451"/>
      <c r="C6226" s="451"/>
      <c r="D6226" s="451"/>
      <c r="E6226" s="468"/>
      <c r="F6226" s="468"/>
    </row>
    <row r="6227" spans="1:6" ht="12.75" x14ac:dyDescent="0.2">
      <c r="A6227" s="451"/>
      <c r="B6227" s="451"/>
      <c r="C6227" s="451"/>
      <c r="D6227" s="451"/>
      <c r="E6227" s="468"/>
      <c r="F6227" s="468"/>
    </row>
    <row r="6228" spans="1:6" ht="12.75" x14ac:dyDescent="0.2">
      <c r="A6228" s="451"/>
      <c r="B6228" s="451"/>
      <c r="C6228" s="451"/>
      <c r="D6228" s="451"/>
      <c r="E6228" s="468"/>
      <c r="F6228" s="468"/>
    </row>
    <row r="6229" spans="1:6" ht="12.75" x14ac:dyDescent="0.2">
      <c r="A6229" s="451"/>
      <c r="B6229" s="451"/>
      <c r="C6229" s="451"/>
      <c r="D6229" s="451"/>
      <c r="E6229" s="468"/>
      <c r="F6229" s="468"/>
    </row>
    <row r="6230" spans="1:6" ht="12.75" x14ac:dyDescent="0.2">
      <c r="A6230" s="451"/>
      <c r="B6230" s="451"/>
      <c r="C6230" s="451"/>
      <c r="D6230" s="451"/>
      <c r="E6230" s="468"/>
      <c r="F6230" s="468"/>
    </row>
    <row r="6231" spans="1:6" ht="12.75" x14ac:dyDescent="0.2">
      <c r="A6231" s="451"/>
      <c r="B6231" s="451"/>
      <c r="C6231" s="451"/>
      <c r="D6231" s="451"/>
      <c r="E6231" s="468"/>
      <c r="F6231" s="468"/>
    </row>
    <row r="6232" spans="1:6" ht="12.75" x14ac:dyDescent="0.2">
      <c r="A6232" s="451"/>
      <c r="B6232" s="451"/>
      <c r="C6232" s="451"/>
      <c r="D6232" s="451"/>
      <c r="E6232" s="468"/>
      <c r="F6232" s="468"/>
    </row>
    <row r="6233" spans="1:6" ht="12.75" x14ac:dyDescent="0.2">
      <c r="A6233" s="451"/>
      <c r="B6233" s="451"/>
      <c r="C6233" s="451"/>
      <c r="D6233" s="451"/>
      <c r="E6233" s="468"/>
      <c r="F6233" s="468"/>
    </row>
    <row r="6234" spans="1:6" ht="12.75" x14ac:dyDescent="0.2">
      <c r="A6234" s="451"/>
      <c r="B6234" s="451"/>
      <c r="C6234" s="451"/>
      <c r="D6234" s="451"/>
      <c r="E6234" s="468"/>
      <c r="F6234" s="468"/>
    </row>
    <row r="6235" spans="1:6" ht="12.75" x14ac:dyDescent="0.2">
      <c r="A6235" s="451"/>
      <c r="B6235" s="451"/>
      <c r="C6235" s="451"/>
      <c r="D6235" s="451"/>
      <c r="E6235" s="468"/>
      <c r="F6235" s="468"/>
    </row>
    <row r="6236" spans="1:6" ht="12.75" x14ac:dyDescent="0.2">
      <c r="A6236" s="451"/>
      <c r="B6236" s="451"/>
      <c r="C6236" s="451"/>
      <c r="D6236" s="451"/>
      <c r="E6236" s="468"/>
      <c r="F6236" s="468"/>
    </row>
    <row r="6237" spans="1:6" ht="12.75" x14ac:dyDescent="0.2">
      <c r="A6237" s="451"/>
      <c r="B6237" s="451"/>
      <c r="C6237" s="451"/>
      <c r="D6237" s="451"/>
      <c r="E6237" s="468"/>
      <c r="F6237" s="468"/>
    </row>
    <row r="6238" spans="1:6" ht="12.75" x14ac:dyDescent="0.2">
      <c r="A6238" s="451"/>
      <c r="B6238" s="451"/>
      <c r="C6238" s="451"/>
      <c r="D6238" s="451"/>
      <c r="E6238" s="468"/>
      <c r="F6238" s="468"/>
    </row>
    <row r="6239" spans="1:6" ht="12.75" x14ac:dyDescent="0.2">
      <c r="A6239" s="451"/>
      <c r="B6239" s="451"/>
      <c r="C6239" s="451"/>
      <c r="D6239" s="451"/>
      <c r="E6239" s="468"/>
      <c r="F6239" s="468"/>
    </row>
    <row r="6240" spans="1:6" ht="12.75" x14ac:dyDescent="0.2">
      <c r="A6240" s="451"/>
      <c r="B6240" s="451"/>
      <c r="C6240" s="451"/>
      <c r="D6240" s="451"/>
      <c r="E6240" s="468"/>
      <c r="F6240" s="468"/>
    </row>
    <row r="6241" spans="1:6" ht="12.75" x14ac:dyDescent="0.2">
      <c r="A6241" s="451"/>
      <c r="B6241" s="451"/>
      <c r="C6241" s="451"/>
      <c r="D6241" s="451"/>
      <c r="E6241" s="468"/>
      <c r="F6241" s="468"/>
    </row>
    <row r="6242" spans="1:6" ht="12.75" x14ac:dyDescent="0.2">
      <c r="A6242" s="451"/>
      <c r="B6242" s="451"/>
      <c r="C6242" s="451"/>
      <c r="D6242" s="451"/>
      <c r="E6242" s="468"/>
      <c r="F6242" s="468"/>
    </row>
    <row r="6243" spans="1:6" ht="12.75" x14ac:dyDescent="0.2">
      <c r="A6243" s="451"/>
      <c r="B6243" s="451"/>
      <c r="C6243" s="451"/>
      <c r="D6243" s="451"/>
      <c r="E6243" s="468"/>
      <c r="F6243" s="468"/>
    </row>
    <row r="6244" spans="1:6" ht="12.75" x14ac:dyDescent="0.2">
      <c r="A6244" s="451"/>
      <c r="B6244" s="451"/>
      <c r="C6244" s="451"/>
      <c r="D6244" s="451"/>
      <c r="E6244" s="468"/>
      <c r="F6244" s="468"/>
    </row>
    <row r="6245" spans="1:6" ht="12.75" x14ac:dyDescent="0.2">
      <c r="A6245" s="451"/>
      <c r="B6245" s="451"/>
      <c r="C6245" s="451"/>
      <c r="D6245" s="451"/>
      <c r="E6245" s="468"/>
      <c r="F6245" s="468"/>
    </row>
    <row r="6246" spans="1:6" ht="12.75" x14ac:dyDescent="0.2">
      <c r="A6246" s="451"/>
      <c r="B6246" s="451"/>
      <c r="C6246" s="451"/>
      <c r="D6246" s="451"/>
      <c r="E6246" s="468"/>
      <c r="F6246" s="468"/>
    </row>
    <row r="6247" spans="1:6" ht="12.75" x14ac:dyDescent="0.2">
      <c r="A6247" s="451"/>
      <c r="B6247" s="451"/>
      <c r="C6247" s="451"/>
      <c r="D6247" s="451"/>
      <c r="E6247" s="468"/>
      <c r="F6247" s="468"/>
    </row>
    <row r="6248" spans="1:6" ht="12.75" x14ac:dyDescent="0.2">
      <c r="A6248" s="451"/>
      <c r="B6248" s="451"/>
      <c r="C6248" s="451"/>
      <c r="D6248" s="451"/>
      <c r="E6248" s="468"/>
      <c r="F6248" s="468"/>
    </row>
    <row r="6249" spans="1:6" ht="12.75" x14ac:dyDescent="0.2">
      <c r="A6249" s="451"/>
      <c r="B6249" s="451"/>
      <c r="C6249" s="451"/>
      <c r="D6249" s="451"/>
      <c r="E6249" s="468"/>
      <c r="F6249" s="468"/>
    </row>
    <row r="6250" spans="1:6" ht="12.75" x14ac:dyDescent="0.2">
      <c r="A6250" s="451"/>
      <c r="B6250" s="451"/>
      <c r="C6250" s="451"/>
      <c r="D6250" s="451"/>
      <c r="E6250" s="468"/>
      <c r="F6250" s="468"/>
    </row>
    <row r="6251" spans="1:6" ht="12.75" x14ac:dyDescent="0.2">
      <c r="A6251" s="451"/>
      <c r="B6251" s="451"/>
      <c r="C6251" s="451"/>
      <c r="D6251" s="451"/>
      <c r="E6251" s="468"/>
      <c r="F6251" s="468"/>
    </row>
    <row r="6252" spans="1:6" ht="12.75" x14ac:dyDescent="0.2">
      <c r="A6252" s="451"/>
      <c r="B6252" s="451"/>
      <c r="C6252" s="451"/>
      <c r="D6252" s="451"/>
      <c r="E6252" s="468"/>
      <c r="F6252" s="468"/>
    </row>
    <row r="6253" spans="1:6" ht="12.75" x14ac:dyDescent="0.2">
      <c r="A6253" s="451"/>
      <c r="B6253" s="451"/>
      <c r="C6253" s="451"/>
      <c r="D6253" s="451"/>
      <c r="E6253" s="468"/>
      <c r="F6253" s="468"/>
    </row>
    <row r="6254" spans="1:6" ht="12.75" x14ac:dyDescent="0.2">
      <c r="A6254" s="451"/>
      <c r="B6254" s="451"/>
      <c r="C6254" s="451"/>
      <c r="D6254" s="451"/>
      <c r="E6254" s="468"/>
      <c r="F6254" s="468"/>
    </row>
    <row r="6255" spans="1:6" ht="12.75" x14ac:dyDescent="0.2">
      <c r="A6255" s="451"/>
      <c r="B6255" s="451"/>
      <c r="C6255" s="451"/>
      <c r="D6255" s="451"/>
      <c r="E6255" s="468"/>
      <c r="F6255" s="468"/>
    </row>
    <row r="6256" spans="1:6" ht="12.75" x14ac:dyDescent="0.2">
      <c r="A6256" s="451"/>
      <c r="B6256" s="451"/>
      <c r="C6256" s="451"/>
      <c r="D6256" s="451"/>
      <c r="E6256" s="468"/>
      <c r="F6256" s="468"/>
    </row>
    <row r="6257" spans="1:6" ht="12.75" x14ac:dyDescent="0.2">
      <c r="A6257" s="451"/>
      <c r="B6257" s="451"/>
      <c r="C6257" s="451"/>
      <c r="D6257" s="451"/>
      <c r="E6257" s="468"/>
      <c r="F6257" s="468"/>
    </row>
    <row r="6258" spans="1:6" ht="12.75" x14ac:dyDescent="0.2">
      <c r="A6258" s="451"/>
      <c r="B6258" s="451"/>
      <c r="C6258" s="451"/>
      <c r="D6258" s="451"/>
      <c r="E6258" s="468"/>
      <c r="F6258" s="468"/>
    </row>
    <row r="6259" spans="1:6" ht="12.75" x14ac:dyDescent="0.2">
      <c r="A6259" s="451"/>
      <c r="B6259" s="451"/>
      <c r="C6259" s="451"/>
      <c r="D6259" s="451"/>
      <c r="E6259" s="468"/>
      <c r="F6259" s="468"/>
    </row>
    <row r="6260" spans="1:6" ht="12.75" x14ac:dyDescent="0.2">
      <c r="A6260" s="451"/>
      <c r="B6260" s="451"/>
      <c r="C6260" s="451"/>
      <c r="D6260" s="451"/>
      <c r="E6260" s="468"/>
      <c r="F6260" s="468"/>
    </row>
    <row r="6261" spans="1:6" ht="12.75" x14ac:dyDescent="0.2">
      <c r="A6261" s="451"/>
      <c r="B6261" s="451"/>
      <c r="C6261" s="451"/>
      <c r="D6261" s="451"/>
      <c r="E6261" s="468"/>
      <c r="F6261" s="468"/>
    </row>
    <row r="6262" spans="1:6" ht="12.75" x14ac:dyDescent="0.2">
      <c r="A6262" s="451"/>
      <c r="B6262" s="451"/>
      <c r="C6262" s="451"/>
      <c r="D6262" s="451"/>
      <c r="E6262" s="468"/>
      <c r="F6262" s="468"/>
    </row>
    <row r="6263" spans="1:6" ht="12.75" x14ac:dyDescent="0.2">
      <c r="A6263" s="451"/>
      <c r="B6263" s="451"/>
      <c r="C6263" s="451"/>
      <c r="D6263" s="451"/>
      <c r="E6263" s="468"/>
      <c r="F6263" s="468"/>
    </row>
    <row r="6264" spans="1:6" ht="12.75" x14ac:dyDescent="0.2">
      <c r="A6264" s="451"/>
      <c r="B6264" s="451"/>
      <c r="C6264" s="451"/>
      <c r="D6264" s="451"/>
      <c r="E6264" s="468"/>
      <c r="F6264" s="468"/>
    </row>
    <row r="6265" spans="1:6" ht="12.75" x14ac:dyDescent="0.2">
      <c r="A6265" s="451"/>
      <c r="B6265" s="451"/>
      <c r="C6265" s="451"/>
      <c r="D6265" s="451"/>
      <c r="E6265" s="468"/>
      <c r="F6265" s="468"/>
    </row>
    <row r="6266" spans="1:6" ht="12.75" x14ac:dyDescent="0.2">
      <c r="A6266" s="451"/>
      <c r="B6266" s="451"/>
      <c r="C6266" s="451"/>
      <c r="D6266" s="451"/>
      <c r="E6266" s="468"/>
      <c r="F6266" s="468"/>
    </row>
    <row r="6267" spans="1:6" ht="12.75" x14ac:dyDescent="0.2">
      <c r="A6267" s="451"/>
      <c r="B6267" s="451"/>
      <c r="C6267" s="451"/>
      <c r="D6267" s="451"/>
      <c r="E6267" s="468"/>
      <c r="F6267" s="468"/>
    </row>
    <row r="6268" spans="1:6" ht="12.75" x14ac:dyDescent="0.2">
      <c r="A6268" s="451"/>
      <c r="B6268" s="451"/>
      <c r="C6268" s="451"/>
      <c r="D6268" s="451"/>
      <c r="E6268" s="468"/>
      <c r="F6268" s="468"/>
    </row>
    <row r="6269" spans="1:6" ht="12.75" x14ac:dyDescent="0.2">
      <c r="A6269" s="451"/>
      <c r="B6269" s="451"/>
      <c r="C6269" s="451"/>
      <c r="D6269" s="451"/>
      <c r="E6269" s="468"/>
      <c r="F6269" s="468"/>
    </row>
    <row r="6270" spans="1:6" ht="12.75" x14ac:dyDescent="0.2">
      <c r="A6270" s="451"/>
      <c r="B6270" s="451"/>
      <c r="C6270" s="451"/>
      <c r="D6270" s="451"/>
      <c r="E6270" s="468"/>
      <c r="F6270" s="468"/>
    </row>
    <row r="6271" spans="1:6" ht="12.75" x14ac:dyDescent="0.2">
      <c r="A6271" s="451"/>
      <c r="B6271" s="451"/>
      <c r="C6271" s="451"/>
      <c r="D6271" s="451"/>
      <c r="E6271" s="468"/>
      <c r="F6271" s="468"/>
    </row>
    <row r="6272" spans="1:6" ht="12.75" x14ac:dyDescent="0.2">
      <c r="A6272" s="451"/>
      <c r="B6272" s="451"/>
      <c r="C6272" s="451"/>
      <c r="D6272" s="451"/>
      <c r="E6272" s="468"/>
      <c r="F6272" s="468"/>
    </row>
    <row r="6273" spans="1:6" ht="12.75" x14ac:dyDescent="0.2">
      <c r="A6273" s="451"/>
      <c r="B6273" s="451"/>
      <c r="C6273" s="451"/>
      <c r="D6273" s="451"/>
      <c r="E6273" s="468"/>
      <c r="F6273" s="468"/>
    </row>
    <row r="6274" spans="1:6" ht="12.75" x14ac:dyDescent="0.2">
      <c r="A6274" s="451"/>
      <c r="B6274" s="451"/>
      <c r="C6274" s="451"/>
      <c r="D6274" s="451"/>
      <c r="E6274" s="468"/>
      <c r="F6274" s="468"/>
    </row>
    <row r="6275" spans="1:6" ht="12.75" x14ac:dyDescent="0.2">
      <c r="A6275" s="451"/>
      <c r="B6275" s="451"/>
      <c r="C6275" s="451"/>
      <c r="D6275" s="451"/>
      <c r="E6275" s="468"/>
      <c r="F6275" s="468"/>
    </row>
    <row r="6276" spans="1:6" ht="12.75" x14ac:dyDescent="0.2">
      <c r="A6276" s="451"/>
      <c r="B6276" s="451"/>
      <c r="C6276" s="451"/>
      <c r="D6276" s="451"/>
      <c r="E6276" s="468"/>
      <c r="F6276" s="468"/>
    </row>
    <row r="6277" spans="1:6" ht="12.75" x14ac:dyDescent="0.2">
      <c r="A6277" s="451"/>
      <c r="B6277" s="451"/>
      <c r="C6277" s="451"/>
      <c r="D6277" s="451"/>
      <c r="E6277" s="468"/>
      <c r="F6277" s="468"/>
    </row>
    <row r="6278" spans="1:6" ht="12.75" x14ac:dyDescent="0.2">
      <c r="A6278" s="451"/>
      <c r="B6278" s="451"/>
      <c r="C6278" s="451"/>
      <c r="D6278" s="451"/>
      <c r="E6278" s="468"/>
      <c r="F6278" s="468"/>
    </row>
    <row r="6279" spans="1:6" ht="12.75" x14ac:dyDescent="0.2">
      <c r="A6279" s="451"/>
      <c r="B6279" s="451"/>
      <c r="C6279" s="451"/>
      <c r="D6279" s="451"/>
      <c r="E6279" s="468"/>
      <c r="F6279" s="468"/>
    </row>
    <row r="6280" spans="1:6" ht="12.75" x14ac:dyDescent="0.2">
      <c r="A6280" s="451"/>
      <c r="B6280" s="451"/>
      <c r="C6280" s="451"/>
      <c r="D6280" s="451"/>
      <c r="E6280" s="468"/>
      <c r="F6280" s="468"/>
    </row>
    <row r="6281" spans="1:6" ht="12.75" x14ac:dyDescent="0.2">
      <c r="A6281" s="451"/>
      <c r="B6281" s="451"/>
      <c r="C6281" s="451"/>
      <c r="D6281" s="451"/>
      <c r="E6281" s="468"/>
      <c r="F6281" s="468"/>
    </row>
    <row r="6282" spans="1:6" ht="12.75" x14ac:dyDescent="0.2">
      <c r="A6282" s="451"/>
      <c r="B6282" s="451"/>
      <c r="C6282" s="451"/>
      <c r="D6282" s="451"/>
      <c r="E6282" s="468"/>
      <c r="F6282" s="468"/>
    </row>
    <row r="6283" spans="1:6" ht="12.75" x14ac:dyDescent="0.2">
      <c r="A6283" s="451"/>
      <c r="B6283" s="451"/>
      <c r="C6283" s="451"/>
      <c r="D6283" s="451"/>
      <c r="E6283" s="468"/>
      <c r="F6283" s="468"/>
    </row>
    <row r="6284" spans="1:6" ht="12.75" x14ac:dyDescent="0.2">
      <c r="A6284" s="451"/>
      <c r="B6284" s="451"/>
      <c r="C6284" s="451"/>
      <c r="D6284" s="451"/>
      <c r="E6284" s="468"/>
      <c r="F6284" s="468"/>
    </row>
    <row r="6285" spans="1:6" ht="12.75" x14ac:dyDescent="0.2">
      <c r="A6285" s="451"/>
      <c r="B6285" s="451"/>
      <c r="C6285" s="451"/>
      <c r="D6285" s="451"/>
      <c r="E6285" s="468"/>
      <c r="F6285" s="468"/>
    </row>
    <row r="6286" spans="1:6" ht="12.75" x14ac:dyDescent="0.2">
      <c r="A6286" s="451"/>
      <c r="B6286" s="451"/>
      <c r="C6286" s="451"/>
      <c r="D6286" s="451"/>
      <c r="E6286" s="468"/>
      <c r="F6286" s="468"/>
    </row>
    <row r="6287" spans="1:6" ht="12.75" x14ac:dyDescent="0.2">
      <c r="A6287" s="451"/>
      <c r="B6287" s="451"/>
      <c r="C6287" s="451"/>
      <c r="D6287" s="451"/>
      <c r="E6287" s="468"/>
      <c r="F6287" s="468"/>
    </row>
    <row r="6288" spans="1:6" ht="12.75" x14ac:dyDescent="0.2">
      <c r="A6288" s="451"/>
      <c r="B6288" s="451"/>
      <c r="C6288" s="451"/>
      <c r="D6288" s="451"/>
      <c r="E6288" s="468"/>
      <c r="F6288" s="468"/>
    </row>
    <row r="6289" spans="1:6" ht="12.75" x14ac:dyDescent="0.2">
      <c r="A6289" s="451"/>
      <c r="B6289" s="451"/>
      <c r="C6289" s="451"/>
      <c r="D6289" s="451"/>
      <c r="E6289" s="468"/>
      <c r="F6289" s="468"/>
    </row>
    <row r="6290" spans="1:6" ht="12.75" x14ac:dyDescent="0.2">
      <c r="A6290" s="451"/>
      <c r="B6290" s="451"/>
      <c r="C6290" s="451"/>
      <c r="D6290" s="451"/>
      <c r="E6290" s="468"/>
      <c r="F6290" s="468"/>
    </row>
    <row r="6291" spans="1:6" ht="12.75" x14ac:dyDescent="0.2">
      <c r="A6291" s="451"/>
      <c r="B6291" s="451"/>
      <c r="C6291" s="451"/>
      <c r="D6291" s="451"/>
      <c r="E6291" s="468"/>
      <c r="F6291" s="468"/>
    </row>
    <row r="6292" spans="1:6" ht="12.75" x14ac:dyDescent="0.2">
      <c r="A6292" s="451"/>
      <c r="B6292" s="451"/>
      <c r="C6292" s="451"/>
      <c r="D6292" s="451"/>
      <c r="E6292" s="468"/>
      <c r="F6292" s="468"/>
    </row>
    <row r="6293" spans="1:6" ht="12.75" x14ac:dyDescent="0.2">
      <c r="A6293" s="451"/>
      <c r="B6293" s="451"/>
      <c r="C6293" s="451"/>
      <c r="D6293" s="451"/>
      <c r="E6293" s="468"/>
      <c r="F6293" s="468"/>
    </row>
    <row r="6294" spans="1:6" ht="12.75" x14ac:dyDescent="0.2">
      <c r="A6294" s="451"/>
      <c r="B6294" s="451"/>
      <c r="C6294" s="451"/>
      <c r="D6294" s="451"/>
      <c r="E6294" s="468"/>
      <c r="F6294" s="468"/>
    </row>
    <row r="6295" spans="1:6" ht="12.75" x14ac:dyDescent="0.2">
      <c r="A6295" s="451"/>
      <c r="B6295" s="451"/>
      <c r="C6295" s="451"/>
      <c r="D6295" s="451"/>
      <c r="E6295" s="468"/>
      <c r="F6295" s="468"/>
    </row>
    <row r="6296" spans="1:6" ht="12.75" x14ac:dyDescent="0.2">
      <c r="A6296" s="451"/>
      <c r="B6296" s="451"/>
      <c r="C6296" s="451"/>
      <c r="D6296" s="451"/>
      <c r="E6296" s="468"/>
      <c r="F6296" s="468"/>
    </row>
    <row r="6297" spans="1:6" ht="12.75" x14ac:dyDescent="0.2">
      <c r="A6297" s="451"/>
      <c r="B6297" s="451"/>
      <c r="C6297" s="451"/>
      <c r="D6297" s="451"/>
      <c r="E6297" s="468"/>
      <c r="F6297" s="468"/>
    </row>
    <row r="6298" spans="1:6" ht="12.75" x14ac:dyDescent="0.2">
      <c r="A6298" s="451"/>
      <c r="B6298" s="451"/>
      <c r="C6298" s="451"/>
      <c r="D6298" s="451"/>
      <c r="E6298" s="468"/>
      <c r="F6298" s="468"/>
    </row>
    <row r="6299" spans="1:6" ht="12.75" x14ac:dyDescent="0.2">
      <c r="A6299" s="451"/>
      <c r="B6299" s="451"/>
      <c r="C6299" s="451"/>
      <c r="D6299" s="451"/>
      <c r="E6299" s="468"/>
      <c r="F6299" s="468"/>
    </row>
    <row r="6300" spans="1:6" ht="12.75" x14ac:dyDescent="0.2">
      <c r="A6300" s="451"/>
      <c r="B6300" s="451"/>
      <c r="C6300" s="451"/>
      <c r="D6300" s="451"/>
      <c r="E6300" s="468"/>
      <c r="F6300" s="468"/>
    </row>
    <row r="6301" spans="1:6" ht="12.75" x14ac:dyDescent="0.2">
      <c r="A6301" s="451"/>
      <c r="B6301" s="451"/>
      <c r="C6301" s="451"/>
      <c r="D6301" s="451"/>
      <c r="E6301" s="468"/>
      <c r="F6301" s="468"/>
    </row>
    <row r="6302" spans="1:6" ht="12.75" x14ac:dyDescent="0.2">
      <c r="A6302" s="451"/>
      <c r="B6302" s="451"/>
      <c r="C6302" s="451"/>
      <c r="D6302" s="451"/>
      <c r="E6302" s="468"/>
      <c r="F6302" s="468"/>
    </row>
    <row r="6303" spans="1:6" ht="12.75" x14ac:dyDescent="0.2">
      <c r="A6303" s="451"/>
      <c r="B6303" s="451"/>
      <c r="C6303" s="451"/>
      <c r="D6303" s="451"/>
      <c r="E6303" s="468"/>
      <c r="F6303" s="468"/>
    </row>
    <row r="6304" spans="1:6" ht="12.75" x14ac:dyDescent="0.2">
      <c r="A6304" s="451"/>
      <c r="B6304" s="451"/>
      <c r="C6304" s="451"/>
      <c r="D6304" s="451"/>
      <c r="E6304" s="468"/>
      <c r="F6304" s="468"/>
    </row>
    <row r="6305" spans="1:6" ht="12.75" x14ac:dyDescent="0.2">
      <c r="A6305" s="451"/>
      <c r="B6305" s="451"/>
      <c r="C6305" s="451"/>
      <c r="D6305" s="451"/>
      <c r="E6305" s="468"/>
      <c r="F6305" s="468"/>
    </row>
    <row r="6306" spans="1:6" ht="12.75" x14ac:dyDescent="0.2">
      <c r="A6306" s="451"/>
      <c r="B6306" s="451"/>
      <c r="C6306" s="451"/>
      <c r="D6306" s="451"/>
      <c r="E6306" s="468"/>
      <c r="F6306" s="468"/>
    </row>
    <row r="6307" spans="1:6" ht="12.75" x14ac:dyDescent="0.2">
      <c r="A6307" s="451"/>
      <c r="B6307" s="451"/>
      <c r="C6307" s="451"/>
      <c r="D6307" s="451"/>
      <c r="E6307" s="468"/>
      <c r="F6307" s="468"/>
    </row>
    <row r="6308" spans="1:6" ht="12.75" x14ac:dyDescent="0.2">
      <c r="A6308" s="451"/>
      <c r="B6308" s="451"/>
      <c r="C6308" s="451"/>
      <c r="D6308" s="451"/>
      <c r="E6308" s="468"/>
      <c r="F6308" s="468"/>
    </row>
    <row r="6309" spans="1:6" ht="12.75" x14ac:dyDescent="0.2">
      <c r="A6309" s="451"/>
      <c r="B6309" s="451"/>
      <c r="C6309" s="451"/>
      <c r="D6309" s="451"/>
      <c r="E6309" s="468"/>
      <c r="F6309" s="468"/>
    </row>
    <row r="6310" spans="1:6" ht="12.75" x14ac:dyDescent="0.2">
      <c r="A6310" s="451"/>
      <c r="B6310" s="451"/>
      <c r="C6310" s="451"/>
      <c r="D6310" s="451"/>
      <c r="E6310" s="468"/>
      <c r="F6310" s="468"/>
    </row>
    <row r="6311" spans="1:6" ht="12.75" x14ac:dyDescent="0.2">
      <c r="A6311" s="451"/>
      <c r="B6311" s="451"/>
      <c r="C6311" s="451"/>
      <c r="D6311" s="451"/>
      <c r="E6311" s="468"/>
      <c r="F6311" s="468"/>
    </row>
    <row r="6312" spans="1:6" ht="12.75" x14ac:dyDescent="0.2">
      <c r="A6312" s="451"/>
      <c r="B6312" s="451"/>
      <c r="C6312" s="451"/>
      <c r="D6312" s="451"/>
      <c r="E6312" s="468"/>
      <c r="F6312" s="468"/>
    </row>
    <row r="6313" spans="1:6" ht="12.75" x14ac:dyDescent="0.2">
      <c r="A6313" s="451"/>
      <c r="B6313" s="451"/>
      <c r="C6313" s="451"/>
      <c r="D6313" s="451"/>
      <c r="E6313" s="468"/>
      <c r="F6313" s="468"/>
    </row>
    <row r="6314" spans="1:6" ht="12.75" x14ac:dyDescent="0.2">
      <c r="A6314" s="451"/>
      <c r="B6314" s="451"/>
      <c r="C6314" s="451"/>
      <c r="D6314" s="451"/>
      <c r="E6314" s="468"/>
      <c r="F6314" s="468"/>
    </row>
    <row r="6315" spans="1:6" ht="12.75" x14ac:dyDescent="0.2">
      <c r="A6315" s="451"/>
      <c r="B6315" s="451"/>
      <c r="C6315" s="451"/>
      <c r="D6315" s="451"/>
      <c r="E6315" s="468"/>
      <c r="F6315" s="468"/>
    </row>
    <row r="6316" spans="1:6" ht="12.75" x14ac:dyDescent="0.2">
      <c r="A6316" s="451"/>
      <c r="B6316" s="451"/>
      <c r="C6316" s="451"/>
      <c r="D6316" s="451"/>
      <c r="E6316" s="468"/>
      <c r="F6316" s="468"/>
    </row>
    <row r="6317" spans="1:6" ht="12.75" x14ac:dyDescent="0.2">
      <c r="A6317" s="451"/>
      <c r="B6317" s="451"/>
      <c r="C6317" s="451"/>
      <c r="D6317" s="451"/>
      <c r="E6317" s="468"/>
      <c r="F6317" s="468"/>
    </row>
    <row r="6318" spans="1:6" ht="12.75" x14ac:dyDescent="0.2">
      <c r="A6318" s="451"/>
      <c r="B6318" s="451"/>
      <c r="C6318" s="451"/>
      <c r="D6318" s="451"/>
      <c r="E6318" s="468"/>
      <c r="F6318" s="468"/>
    </row>
    <row r="6319" spans="1:6" ht="12.75" x14ac:dyDescent="0.2">
      <c r="A6319" s="451"/>
      <c r="B6319" s="451"/>
      <c r="C6319" s="451"/>
      <c r="D6319" s="451"/>
      <c r="E6319" s="468"/>
      <c r="F6319" s="468"/>
    </row>
    <row r="6320" spans="1:6" ht="12.75" x14ac:dyDescent="0.2">
      <c r="A6320" s="451"/>
      <c r="B6320" s="451"/>
      <c r="C6320" s="451"/>
      <c r="D6320" s="451"/>
      <c r="E6320" s="468"/>
      <c r="F6320" s="468"/>
    </row>
    <row r="6321" spans="1:6" ht="12.75" x14ac:dyDescent="0.2">
      <c r="A6321" s="451"/>
      <c r="B6321" s="451"/>
      <c r="C6321" s="451"/>
      <c r="D6321" s="451"/>
      <c r="E6321" s="468"/>
      <c r="F6321" s="468"/>
    </row>
    <row r="6322" spans="1:6" ht="12.75" x14ac:dyDescent="0.2">
      <c r="A6322" s="451"/>
      <c r="B6322" s="451"/>
      <c r="C6322" s="451"/>
      <c r="D6322" s="451"/>
      <c r="E6322" s="468"/>
      <c r="F6322" s="468"/>
    </row>
    <row r="6323" spans="1:6" ht="12.75" x14ac:dyDescent="0.2">
      <c r="A6323" s="451"/>
      <c r="B6323" s="451"/>
      <c r="C6323" s="451"/>
      <c r="D6323" s="451"/>
      <c r="E6323" s="468"/>
      <c r="F6323" s="468"/>
    </row>
    <row r="6324" spans="1:6" ht="12.75" x14ac:dyDescent="0.2">
      <c r="A6324" s="451"/>
      <c r="B6324" s="451"/>
      <c r="C6324" s="451"/>
      <c r="D6324" s="451"/>
      <c r="E6324" s="468"/>
      <c r="F6324" s="468"/>
    </row>
    <row r="6325" spans="1:6" ht="12.75" x14ac:dyDescent="0.2">
      <c r="A6325" s="451"/>
      <c r="B6325" s="451"/>
      <c r="C6325" s="451"/>
      <c r="D6325" s="451"/>
      <c r="E6325" s="468"/>
      <c r="F6325" s="468"/>
    </row>
    <row r="6326" spans="1:6" ht="12.75" x14ac:dyDescent="0.2">
      <c r="A6326" s="451"/>
      <c r="B6326" s="451"/>
      <c r="C6326" s="451"/>
      <c r="D6326" s="451"/>
      <c r="E6326" s="468"/>
      <c r="F6326" s="468"/>
    </row>
    <row r="6327" spans="1:6" ht="12.75" x14ac:dyDescent="0.2">
      <c r="A6327" s="451"/>
      <c r="B6327" s="451"/>
      <c r="C6327" s="451"/>
      <c r="D6327" s="451"/>
      <c r="E6327" s="468"/>
      <c r="F6327" s="468"/>
    </row>
    <row r="6328" spans="1:6" ht="12.75" x14ac:dyDescent="0.2">
      <c r="A6328" s="451"/>
      <c r="B6328" s="451"/>
      <c r="C6328" s="451"/>
      <c r="D6328" s="451"/>
      <c r="E6328" s="468"/>
      <c r="F6328" s="468"/>
    </row>
    <row r="6329" spans="1:6" ht="12.75" x14ac:dyDescent="0.2">
      <c r="A6329" s="451"/>
      <c r="B6329" s="451"/>
      <c r="C6329" s="451"/>
      <c r="D6329" s="451"/>
      <c r="E6329" s="468"/>
      <c r="F6329" s="468"/>
    </row>
    <row r="6330" spans="1:6" ht="12.75" x14ac:dyDescent="0.2">
      <c r="A6330" s="451"/>
      <c r="B6330" s="451"/>
      <c r="C6330" s="451"/>
      <c r="D6330" s="451"/>
      <c r="E6330" s="468"/>
      <c r="F6330" s="468"/>
    </row>
    <row r="6331" spans="1:6" ht="12.75" x14ac:dyDescent="0.2">
      <c r="A6331" s="451"/>
      <c r="B6331" s="451"/>
      <c r="C6331" s="451"/>
      <c r="D6331" s="451"/>
      <c r="E6331" s="468"/>
      <c r="F6331" s="468"/>
    </row>
    <row r="6332" spans="1:6" ht="12.75" x14ac:dyDescent="0.2">
      <c r="A6332" s="451"/>
      <c r="B6332" s="451"/>
      <c r="C6332" s="451"/>
      <c r="D6332" s="451"/>
      <c r="E6332" s="468"/>
      <c r="F6332" s="468"/>
    </row>
    <row r="6333" spans="1:6" ht="12.75" x14ac:dyDescent="0.2">
      <c r="A6333" s="451"/>
      <c r="B6333" s="451"/>
      <c r="C6333" s="451"/>
      <c r="D6333" s="451"/>
      <c r="E6333" s="468"/>
      <c r="F6333" s="468"/>
    </row>
    <row r="6334" spans="1:6" ht="12.75" x14ac:dyDescent="0.2">
      <c r="A6334" s="451"/>
      <c r="B6334" s="451"/>
      <c r="C6334" s="451"/>
      <c r="D6334" s="451"/>
      <c r="E6334" s="468"/>
      <c r="F6334" s="468"/>
    </row>
    <row r="6335" spans="1:6" ht="12.75" x14ac:dyDescent="0.2">
      <c r="A6335" s="451"/>
      <c r="B6335" s="451"/>
      <c r="C6335" s="451"/>
      <c r="D6335" s="451"/>
      <c r="E6335" s="468"/>
      <c r="F6335" s="468"/>
    </row>
    <row r="6336" spans="1:6" ht="12.75" x14ac:dyDescent="0.2">
      <c r="A6336" s="451"/>
      <c r="B6336" s="451"/>
      <c r="C6336" s="451"/>
      <c r="D6336" s="451"/>
      <c r="E6336" s="468"/>
      <c r="F6336" s="468"/>
    </row>
    <row r="6337" spans="1:6" ht="12.75" x14ac:dyDescent="0.2">
      <c r="A6337" s="451"/>
      <c r="B6337" s="451"/>
      <c r="C6337" s="451"/>
      <c r="D6337" s="451"/>
      <c r="E6337" s="468"/>
      <c r="F6337" s="468"/>
    </row>
    <row r="6338" spans="1:6" ht="12.75" x14ac:dyDescent="0.2">
      <c r="A6338" s="451"/>
      <c r="B6338" s="451"/>
      <c r="C6338" s="451"/>
      <c r="D6338" s="451"/>
      <c r="E6338" s="468"/>
      <c r="F6338" s="468"/>
    </row>
    <row r="6339" spans="1:6" ht="12.75" x14ac:dyDescent="0.2">
      <c r="A6339" s="451"/>
      <c r="B6339" s="451"/>
      <c r="C6339" s="451"/>
      <c r="D6339" s="451"/>
      <c r="E6339" s="468"/>
      <c r="F6339" s="468"/>
    </row>
    <row r="6340" spans="1:6" ht="12.75" x14ac:dyDescent="0.2">
      <c r="A6340" s="451"/>
      <c r="B6340" s="451"/>
      <c r="C6340" s="451"/>
      <c r="D6340" s="451"/>
      <c r="E6340" s="468"/>
      <c r="F6340" s="468"/>
    </row>
    <row r="6341" spans="1:6" ht="12.75" x14ac:dyDescent="0.2">
      <c r="A6341" s="451"/>
      <c r="B6341" s="451"/>
      <c r="C6341" s="451"/>
      <c r="D6341" s="451"/>
      <c r="E6341" s="468"/>
      <c r="F6341" s="468"/>
    </row>
    <row r="6342" spans="1:6" ht="12.75" x14ac:dyDescent="0.2">
      <c r="A6342" s="451"/>
      <c r="B6342" s="451"/>
      <c r="C6342" s="451"/>
      <c r="D6342" s="451"/>
      <c r="E6342" s="468"/>
      <c r="F6342" s="468"/>
    </row>
    <row r="6343" spans="1:6" ht="12.75" x14ac:dyDescent="0.2">
      <c r="A6343" s="451"/>
      <c r="B6343" s="451"/>
      <c r="C6343" s="451"/>
      <c r="D6343" s="451"/>
      <c r="E6343" s="468"/>
      <c r="F6343" s="468"/>
    </row>
    <row r="6344" spans="1:6" ht="12.75" x14ac:dyDescent="0.2">
      <c r="A6344" s="451"/>
      <c r="B6344" s="451"/>
      <c r="C6344" s="451"/>
      <c r="D6344" s="451"/>
      <c r="E6344" s="468"/>
      <c r="F6344" s="468"/>
    </row>
    <row r="6345" spans="1:6" ht="12.75" x14ac:dyDescent="0.2">
      <c r="A6345" s="451"/>
      <c r="B6345" s="451"/>
      <c r="C6345" s="451"/>
      <c r="D6345" s="451"/>
      <c r="E6345" s="468"/>
      <c r="F6345" s="468"/>
    </row>
    <row r="6346" spans="1:6" ht="12.75" x14ac:dyDescent="0.2">
      <c r="A6346" s="451"/>
      <c r="B6346" s="451"/>
      <c r="C6346" s="451"/>
      <c r="D6346" s="451"/>
      <c r="E6346" s="468"/>
      <c r="F6346" s="468"/>
    </row>
    <row r="6347" spans="1:6" ht="12.75" x14ac:dyDescent="0.2">
      <c r="A6347" s="451"/>
      <c r="B6347" s="451"/>
      <c r="C6347" s="451"/>
      <c r="D6347" s="451"/>
      <c r="E6347" s="468"/>
      <c r="F6347" s="468"/>
    </row>
    <row r="6348" spans="1:6" ht="12.75" x14ac:dyDescent="0.2">
      <c r="A6348" s="451"/>
      <c r="B6348" s="451"/>
      <c r="C6348" s="451"/>
      <c r="D6348" s="451"/>
      <c r="E6348" s="468"/>
      <c r="F6348" s="468"/>
    </row>
    <row r="6349" spans="1:6" ht="12.75" x14ac:dyDescent="0.2">
      <c r="A6349" s="451"/>
      <c r="B6349" s="451"/>
      <c r="C6349" s="451"/>
      <c r="D6349" s="451"/>
      <c r="E6349" s="468"/>
      <c r="F6349" s="468"/>
    </row>
    <row r="6350" spans="1:6" ht="12.75" x14ac:dyDescent="0.2">
      <c r="A6350" s="451"/>
      <c r="B6350" s="451"/>
      <c r="C6350" s="451"/>
      <c r="D6350" s="451"/>
      <c r="E6350" s="468"/>
      <c r="F6350" s="468"/>
    </row>
    <row r="6351" spans="1:6" ht="12.75" x14ac:dyDescent="0.2">
      <c r="A6351" s="451"/>
      <c r="B6351" s="451"/>
      <c r="C6351" s="451"/>
      <c r="D6351" s="451"/>
      <c r="E6351" s="468"/>
      <c r="F6351" s="468"/>
    </row>
    <row r="6352" spans="1:6" ht="12.75" x14ac:dyDescent="0.2">
      <c r="A6352" s="451"/>
      <c r="B6352" s="451"/>
      <c r="C6352" s="451"/>
      <c r="D6352" s="451"/>
      <c r="E6352" s="468"/>
      <c r="F6352" s="468"/>
    </row>
    <row r="6353" spans="1:6" ht="12.75" x14ac:dyDescent="0.2">
      <c r="A6353" s="451"/>
      <c r="B6353" s="451"/>
      <c r="C6353" s="451"/>
      <c r="D6353" s="451"/>
      <c r="E6353" s="468"/>
      <c r="F6353" s="468"/>
    </row>
    <row r="6354" spans="1:6" ht="12.75" x14ac:dyDescent="0.2">
      <c r="A6354" s="451"/>
      <c r="B6354" s="451"/>
      <c r="C6354" s="451"/>
      <c r="D6354" s="451"/>
      <c r="E6354" s="468"/>
      <c r="F6354" s="468"/>
    </row>
    <row r="6355" spans="1:6" ht="12.75" x14ac:dyDescent="0.2">
      <c r="A6355" s="451"/>
      <c r="B6355" s="451"/>
      <c r="C6355" s="451"/>
      <c r="D6355" s="451"/>
      <c r="E6355" s="468"/>
      <c r="F6355" s="468"/>
    </row>
    <row r="6356" spans="1:6" ht="12.75" x14ac:dyDescent="0.2">
      <c r="A6356" s="451"/>
      <c r="B6356" s="451"/>
      <c r="C6356" s="451"/>
      <c r="D6356" s="451"/>
      <c r="E6356" s="468"/>
      <c r="F6356" s="468"/>
    </row>
    <row r="6357" spans="1:6" ht="12.75" x14ac:dyDescent="0.2">
      <c r="A6357" s="451"/>
      <c r="B6357" s="451"/>
      <c r="C6357" s="451"/>
      <c r="D6357" s="451"/>
      <c r="E6357" s="468"/>
      <c r="F6357" s="468"/>
    </row>
    <row r="6358" spans="1:6" ht="12.75" x14ac:dyDescent="0.2">
      <c r="A6358" s="451"/>
      <c r="B6358" s="451"/>
      <c r="C6358" s="451"/>
      <c r="D6358" s="451"/>
      <c r="E6358" s="468"/>
      <c r="F6358" s="468"/>
    </row>
    <row r="6359" spans="1:6" ht="12.75" x14ac:dyDescent="0.2">
      <c r="A6359" s="451"/>
      <c r="B6359" s="451"/>
      <c r="C6359" s="451"/>
      <c r="D6359" s="451"/>
      <c r="E6359" s="468"/>
      <c r="F6359" s="468"/>
    </row>
    <row r="6360" spans="1:6" ht="12.75" x14ac:dyDescent="0.2">
      <c r="A6360" s="451"/>
      <c r="B6360" s="451"/>
      <c r="C6360" s="451"/>
      <c r="D6360" s="451"/>
      <c r="E6360" s="468"/>
      <c r="F6360" s="468"/>
    </row>
    <row r="6361" spans="1:6" ht="12.75" x14ac:dyDescent="0.2">
      <c r="A6361" s="451"/>
      <c r="B6361" s="451"/>
      <c r="C6361" s="451"/>
      <c r="D6361" s="451"/>
      <c r="E6361" s="468"/>
      <c r="F6361" s="468"/>
    </row>
    <row r="6362" spans="1:6" ht="12.75" x14ac:dyDescent="0.2">
      <c r="A6362" s="451"/>
      <c r="B6362" s="451"/>
      <c r="C6362" s="451"/>
      <c r="D6362" s="451"/>
      <c r="E6362" s="468"/>
      <c r="F6362" s="468"/>
    </row>
    <row r="6363" spans="1:6" ht="12.75" x14ac:dyDescent="0.2">
      <c r="A6363" s="451"/>
      <c r="B6363" s="451"/>
      <c r="C6363" s="451"/>
      <c r="D6363" s="451"/>
      <c r="E6363" s="468"/>
      <c r="F6363" s="468"/>
    </row>
    <row r="6364" spans="1:6" ht="12.75" x14ac:dyDescent="0.2">
      <c r="A6364" s="451"/>
      <c r="B6364" s="451"/>
      <c r="C6364" s="451"/>
      <c r="D6364" s="451"/>
      <c r="E6364" s="468"/>
      <c r="F6364" s="468"/>
    </row>
    <row r="6365" spans="1:6" ht="12.75" x14ac:dyDescent="0.2">
      <c r="A6365" s="451"/>
      <c r="B6365" s="451"/>
      <c r="C6365" s="451"/>
      <c r="D6365" s="451"/>
      <c r="E6365" s="468"/>
      <c r="F6365" s="468"/>
    </row>
    <row r="6366" spans="1:6" ht="12.75" x14ac:dyDescent="0.2">
      <c r="A6366" s="451"/>
      <c r="B6366" s="451"/>
      <c r="C6366" s="451"/>
      <c r="D6366" s="451"/>
      <c r="E6366" s="468"/>
      <c r="F6366" s="468"/>
    </row>
    <row r="6367" spans="1:6" ht="12.75" x14ac:dyDescent="0.2">
      <c r="A6367" s="451"/>
      <c r="B6367" s="451"/>
      <c r="C6367" s="451"/>
      <c r="D6367" s="451"/>
      <c r="E6367" s="468"/>
      <c r="F6367" s="468"/>
    </row>
    <row r="6368" spans="1:6" ht="12.75" x14ac:dyDescent="0.2">
      <c r="A6368" s="451"/>
      <c r="B6368" s="451"/>
      <c r="C6368" s="451"/>
      <c r="D6368" s="451"/>
      <c r="E6368" s="468"/>
      <c r="F6368" s="468"/>
    </row>
    <row r="6369" spans="1:6" ht="12.75" x14ac:dyDescent="0.2">
      <c r="A6369" s="451"/>
      <c r="B6369" s="451"/>
      <c r="C6369" s="451"/>
      <c r="D6369" s="451"/>
      <c r="E6369" s="468"/>
      <c r="F6369" s="468"/>
    </row>
    <row r="6370" spans="1:6" ht="12.75" x14ac:dyDescent="0.2">
      <c r="A6370" s="451"/>
      <c r="B6370" s="451"/>
      <c r="C6370" s="451"/>
      <c r="D6370" s="451"/>
      <c r="E6370" s="468"/>
      <c r="F6370" s="468"/>
    </row>
    <row r="6371" spans="1:6" ht="12.75" x14ac:dyDescent="0.2">
      <c r="A6371" s="451"/>
      <c r="B6371" s="451"/>
      <c r="C6371" s="451"/>
      <c r="D6371" s="451"/>
      <c r="E6371" s="468"/>
      <c r="F6371" s="468"/>
    </row>
    <row r="6372" spans="1:6" ht="12.75" x14ac:dyDescent="0.2">
      <c r="A6372" s="451"/>
      <c r="B6372" s="451"/>
      <c r="C6372" s="451"/>
      <c r="D6372" s="451"/>
      <c r="E6372" s="468"/>
      <c r="F6372" s="468"/>
    </row>
    <row r="6373" spans="1:6" ht="12.75" x14ac:dyDescent="0.2">
      <c r="A6373" s="451"/>
      <c r="B6373" s="451"/>
      <c r="C6373" s="451"/>
      <c r="D6373" s="451"/>
      <c r="E6373" s="468"/>
      <c r="F6373" s="468"/>
    </row>
    <row r="6374" spans="1:6" ht="12.75" x14ac:dyDescent="0.2">
      <c r="A6374" s="451"/>
      <c r="B6374" s="451"/>
      <c r="C6374" s="451"/>
      <c r="D6374" s="451"/>
      <c r="E6374" s="468"/>
      <c r="F6374" s="468"/>
    </row>
    <row r="6375" spans="1:6" ht="12.75" x14ac:dyDescent="0.2">
      <c r="A6375" s="451"/>
      <c r="B6375" s="451"/>
      <c r="C6375" s="451"/>
      <c r="D6375" s="451"/>
      <c r="E6375" s="468"/>
      <c r="F6375" s="468"/>
    </row>
    <row r="6376" spans="1:6" ht="12.75" x14ac:dyDescent="0.2">
      <c r="A6376" s="451"/>
      <c r="B6376" s="451"/>
      <c r="C6376" s="451"/>
      <c r="D6376" s="451"/>
      <c r="E6376" s="468"/>
      <c r="F6376" s="468"/>
    </row>
    <row r="6377" spans="1:6" ht="12.75" x14ac:dyDescent="0.2">
      <c r="A6377" s="451"/>
      <c r="B6377" s="451"/>
      <c r="C6377" s="451"/>
      <c r="D6377" s="451"/>
      <c r="E6377" s="468"/>
      <c r="F6377" s="468"/>
    </row>
    <row r="6378" spans="1:6" ht="12.75" x14ac:dyDescent="0.2">
      <c r="A6378" s="451"/>
      <c r="B6378" s="451"/>
      <c r="C6378" s="451"/>
      <c r="D6378" s="451"/>
      <c r="E6378" s="468"/>
      <c r="F6378" s="468"/>
    </row>
    <row r="6379" spans="1:6" ht="12.75" x14ac:dyDescent="0.2">
      <c r="A6379" s="451"/>
      <c r="B6379" s="451"/>
      <c r="C6379" s="451"/>
      <c r="D6379" s="451"/>
      <c r="E6379" s="468"/>
      <c r="F6379" s="468"/>
    </row>
    <row r="6380" spans="1:6" ht="12.75" x14ac:dyDescent="0.2">
      <c r="A6380" s="451"/>
      <c r="B6380" s="451"/>
      <c r="C6380" s="451"/>
      <c r="D6380" s="451"/>
      <c r="E6380" s="468"/>
      <c r="F6380" s="468"/>
    </row>
    <row r="6381" spans="1:6" ht="12.75" x14ac:dyDescent="0.2">
      <c r="A6381" s="451"/>
      <c r="B6381" s="451"/>
      <c r="C6381" s="451"/>
      <c r="D6381" s="451"/>
      <c r="E6381" s="468"/>
      <c r="F6381" s="468"/>
    </row>
    <row r="6382" spans="1:6" ht="12.75" x14ac:dyDescent="0.2">
      <c r="A6382" s="451"/>
      <c r="B6382" s="451"/>
      <c r="C6382" s="451"/>
      <c r="D6382" s="451"/>
      <c r="E6382" s="468"/>
      <c r="F6382" s="468"/>
    </row>
    <row r="6383" spans="1:6" ht="12.75" x14ac:dyDescent="0.2">
      <c r="A6383" s="451"/>
      <c r="B6383" s="451"/>
      <c r="C6383" s="451"/>
      <c r="D6383" s="451"/>
      <c r="E6383" s="468"/>
      <c r="F6383" s="468"/>
    </row>
    <row r="6384" spans="1:6" ht="12.75" x14ac:dyDescent="0.2">
      <c r="A6384" s="451"/>
      <c r="B6384" s="451"/>
      <c r="C6384" s="451"/>
      <c r="D6384" s="451"/>
      <c r="E6384" s="468"/>
      <c r="F6384" s="468"/>
    </row>
    <row r="6385" spans="1:6" ht="12.75" x14ac:dyDescent="0.2">
      <c r="A6385" s="451"/>
      <c r="B6385" s="451"/>
      <c r="C6385" s="451"/>
      <c r="D6385" s="451"/>
      <c r="E6385" s="468"/>
      <c r="F6385" s="468"/>
    </row>
    <row r="6386" spans="1:6" ht="12.75" x14ac:dyDescent="0.2">
      <c r="A6386" s="451"/>
      <c r="B6386" s="451"/>
      <c r="C6386" s="451"/>
      <c r="D6386" s="451"/>
      <c r="E6386" s="468"/>
      <c r="F6386" s="468"/>
    </row>
    <row r="6387" spans="1:6" ht="12.75" x14ac:dyDescent="0.2">
      <c r="A6387" s="451"/>
      <c r="B6387" s="451"/>
      <c r="C6387" s="451"/>
      <c r="D6387" s="451"/>
      <c r="E6387" s="468"/>
      <c r="F6387" s="468"/>
    </row>
    <row r="6388" spans="1:6" ht="12.75" x14ac:dyDescent="0.2">
      <c r="A6388" s="451"/>
      <c r="B6388" s="451"/>
      <c r="C6388" s="451"/>
      <c r="D6388" s="451"/>
      <c r="E6388" s="468"/>
      <c r="F6388" s="468"/>
    </row>
    <row r="6389" spans="1:6" ht="12.75" x14ac:dyDescent="0.2">
      <c r="A6389" s="451"/>
      <c r="B6389" s="451"/>
      <c r="C6389" s="451"/>
      <c r="D6389" s="451"/>
      <c r="E6389" s="468"/>
      <c r="F6389" s="468"/>
    </row>
    <row r="6390" spans="1:6" ht="12.75" x14ac:dyDescent="0.2">
      <c r="A6390" s="451"/>
      <c r="B6390" s="451"/>
      <c r="C6390" s="451"/>
      <c r="D6390" s="451"/>
      <c r="E6390" s="468"/>
      <c r="F6390" s="468"/>
    </row>
    <row r="6391" spans="1:6" ht="12.75" x14ac:dyDescent="0.2">
      <c r="A6391" s="451"/>
      <c r="B6391" s="451"/>
      <c r="C6391" s="451"/>
      <c r="D6391" s="451"/>
      <c r="E6391" s="468"/>
      <c r="F6391" s="468"/>
    </row>
    <row r="6392" spans="1:6" ht="12.75" x14ac:dyDescent="0.2">
      <c r="A6392" s="451"/>
      <c r="B6392" s="451"/>
      <c r="C6392" s="451"/>
      <c r="D6392" s="451"/>
      <c r="E6392" s="468"/>
      <c r="F6392" s="468"/>
    </row>
    <row r="6393" spans="1:6" ht="12.75" x14ac:dyDescent="0.2">
      <c r="A6393" s="451"/>
      <c r="B6393" s="451"/>
      <c r="C6393" s="451"/>
      <c r="D6393" s="451"/>
      <c r="E6393" s="468"/>
      <c r="F6393" s="468"/>
    </row>
    <row r="6394" spans="1:6" ht="12.75" x14ac:dyDescent="0.2">
      <c r="A6394" s="451"/>
      <c r="B6394" s="451"/>
      <c r="C6394" s="451"/>
      <c r="D6394" s="451"/>
      <c r="E6394" s="468"/>
      <c r="F6394" s="468"/>
    </row>
    <row r="6395" spans="1:6" ht="12.75" x14ac:dyDescent="0.2">
      <c r="A6395" s="451"/>
      <c r="B6395" s="451"/>
      <c r="C6395" s="451"/>
      <c r="D6395" s="451"/>
      <c r="E6395" s="468"/>
      <c r="F6395" s="468"/>
    </row>
    <row r="6396" spans="1:6" ht="12.75" x14ac:dyDescent="0.2">
      <c r="A6396" s="451"/>
      <c r="B6396" s="451"/>
      <c r="C6396" s="451"/>
      <c r="D6396" s="451"/>
      <c r="E6396" s="468"/>
      <c r="F6396" s="468"/>
    </row>
    <row r="6397" spans="1:6" ht="12.75" x14ac:dyDescent="0.2">
      <c r="A6397" s="451"/>
      <c r="B6397" s="451"/>
      <c r="C6397" s="451"/>
      <c r="D6397" s="451"/>
      <c r="E6397" s="468"/>
      <c r="F6397" s="468"/>
    </row>
    <row r="6398" spans="1:6" ht="12.75" x14ac:dyDescent="0.2">
      <c r="A6398" s="451"/>
      <c r="B6398" s="451"/>
      <c r="C6398" s="451"/>
      <c r="D6398" s="451"/>
      <c r="E6398" s="468"/>
      <c r="F6398" s="468"/>
    </row>
    <row r="6399" spans="1:6" ht="12.75" x14ac:dyDescent="0.2">
      <c r="A6399" s="451"/>
      <c r="B6399" s="451"/>
      <c r="C6399" s="451"/>
      <c r="D6399" s="451"/>
      <c r="E6399" s="468"/>
      <c r="F6399" s="468"/>
    </row>
    <row r="6400" spans="1:6" ht="12.75" x14ac:dyDescent="0.2">
      <c r="A6400" s="451"/>
      <c r="B6400" s="451"/>
      <c r="C6400" s="451"/>
      <c r="D6400" s="451"/>
      <c r="E6400" s="468"/>
      <c r="F6400" s="468"/>
    </row>
    <row r="6401" spans="1:6" ht="12.75" x14ac:dyDescent="0.2">
      <c r="A6401" s="451"/>
      <c r="B6401" s="451"/>
      <c r="C6401" s="451"/>
      <c r="D6401" s="451"/>
      <c r="E6401" s="468"/>
      <c r="F6401" s="468"/>
    </row>
    <row r="6402" spans="1:6" ht="12.75" x14ac:dyDescent="0.2">
      <c r="A6402" s="451"/>
      <c r="B6402" s="451"/>
      <c r="C6402" s="451"/>
      <c r="D6402" s="451"/>
      <c r="E6402" s="468"/>
      <c r="F6402" s="468"/>
    </row>
    <row r="6403" spans="1:6" ht="12.75" x14ac:dyDescent="0.2">
      <c r="A6403" s="451"/>
      <c r="B6403" s="451"/>
      <c r="C6403" s="451"/>
      <c r="D6403" s="451"/>
      <c r="E6403" s="468"/>
      <c r="F6403" s="468"/>
    </row>
    <row r="6404" spans="1:6" ht="12.75" x14ac:dyDescent="0.2">
      <c r="A6404" s="451"/>
      <c r="B6404" s="451"/>
      <c r="C6404" s="451"/>
      <c r="D6404" s="451"/>
      <c r="E6404" s="468"/>
      <c r="F6404" s="468"/>
    </row>
    <row r="6405" spans="1:6" ht="12.75" x14ac:dyDescent="0.2">
      <c r="A6405" s="451"/>
      <c r="B6405" s="451"/>
      <c r="C6405" s="451"/>
      <c r="D6405" s="451"/>
      <c r="E6405" s="468"/>
      <c r="F6405" s="468"/>
    </row>
    <row r="6406" spans="1:6" ht="12.75" x14ac:dyDescent="0.2">
      <c r="A6406" s="451"/>
      <c r="B6406" s="451"/>
      <c r="C6406" s="451"/>
      <c r="D6406" s="451"/>
      <c r="E6406" s="468"/>
      <c r="F6406" s="468"/>
    </row>
    <row r="6407" spans="1:6" ht="12.75" x14ac:dyDescent="0.2">
      <c r="A6407" s="451"/>
      <c r="B6407" s="451"/>
      <c r="C6407" s="451"/>
      <c r="D6407" s="451"/>
      <c r="E6407" s="468"/>
      <c r="F6407" s="468"/>
    </row>
    <row r="6408" spans="1:6" ht="12.75" x14ac:dyDescent="0.2">
      <c r="A6408" s="451"/>
      <c r="B6408" s="451"/>
      <c r="C6408" s="451"/>
      <c r="D6408" s="451"/>
      <c r="E6408" s="468"/>
      <c r="F6408" s="468"/>
    </row>
    <row r="6409" spans="1:6" ht="12.75" x14ac:dyDescent="0.2">
      <c r="A6409" s="451"/>
      <c r="B6409" s="451"/>
      <c r="C6409" s="451"/>
      <c r="D6409" s="451"/>
      <c r="E6409" s="468"/>
      <c r="F6409" s="468"/>
    </row>
    <row r="6410" spans="1:6" ht="12.75" x14ac:dyDescent="0.2">
      <c r="A6410" s="451"/>
      <c r="B6410" s="451"/>
      <c r="C6410" s="451"/>
      <c r="D6410" s="451"/>
      <c r="E6410" s="468"/>
      <c r="F6410" s="468"/>
    </row>
    <row r="6411" spans="1:6" ht="12.75" x14ac:dyDescent="0.2">
      <c r="A6411" s="451"/>
      <c r="B6411" s="451"/>
      <c r="C6411" s="451"/>
      <c r="D6411" s="451"/>
      <c r="E6411" s="468"/>
      <c r="F6411" s="468"/>
    </row>
    <row r="6412" spans="1:6" ht="12.75" x14ac:dyDescent="0.2">
      <c r="A6412" s="451"/>
      <c r="B6412" s="451"/>
      <c r="C6412" s="451"/>
      <c r="D6412" s="451"/>
      <c r="E6412" s="468"/>
      <c r="F6412" s="468"/>
    </row>
    <row r="6413" spans="1:6" ht="12.75" x14ac:dyDescent="0.2">
      <c r="A6413" s="451"/>
      <c r="B6413" s="451"/>
      <c r="C6413" s="451"/>
      <c r="D6413" s="451"/>
      <c r="E6413" s="468"/>
      <c r="F6413" s="468"/>
    </row>
    <row r="6414" spans="1:6" ht="12.75" x14ac:dyDescent="0.2">
      <c r="A6414" s="451"/>
      <c r="B6414" s="451"/>
      <c r="C6414" s="451"/>
      <c r="D6414" s="451"/>
      <c r="E6414" s="468"/>
      <c r="F6414" s="468"/>
    </row>
    <row r="6415" spans="1:6" ht="12.75" x14ac:dyDescent="0.2">
      <c r="A6415" s="451"/>
      <c r="B6415" s="451"/>
      <c r="C6415" s="451"/>
      <c r="D6415" s="451"/>
      <c r="E6415" s="468"/>
      <c r="F6415" s="468"/>
    </row>
    <row r="6416" spans="1:6" ht="12.75" x14ac:dyDescent="0.2">
      <c r="A6416" s="451"/>
      <c r="B6416" s="451"/>
      <c r="C6416" s="451"/>
      <c r="D6416" s="451"/>
      <c r="E6416" s="468"/>
      <c r="F6416" s="468"/>
    </row>
    <row r="6417" spans="1:6" ht="12.75" x14ac:dyDescent="0.2">
      <c r="A6417" s="451"/>
      <c r="B6417" s="451"/>
      <c r="C6417" s="451"/>
      <c r="D6417" s="451"/>
      <c r="E6417" s="468"/>
      <c r="F6417" s="468"/>
    </row>
    <row r="6418" spans="1:6" ht="12.75" x14ac:dyDescent="0.2">
      <c r="A6418" s="451"/>
      <c r="B6418" s="451"/>
      <c r="C6418" s="451"/>
      <c r="D6418" s="451"/>
      <c r="E6418" s="468"/>
      <c r="F6418" s="468"/>
    </row>
    <row r="6419" spans="1:6" ht="12.75" x14ac:dyDescent="0.2">
      <c r="A6419" s="451"/>
      <c r="B6419" s="451"/>
      <c r="C6419" s="451"/>
      <c r="D6419" s="451"/>
      <c r="E6419" s="468"/>
      <c r="F6419" s="468"/>
    </row>
    <row r="6420" spans="1:6" ht="12.75" x14ac:dyDescent="0.2">
      <c r="A6420" s="451"/>
      <c r="B6420" s="451"/>
      <c r="C6420" s="451"/>
      <c r="D6420" s="451"/>
      <c r="E6420" s="468"/>
      <c r="F6420" s="468"/>
    </row>
    <row r="6421" spans="1:6" ht="12.75" x14ac:dyDescent="0.2">
      <c r="A6421" s="451"/>
      <c r="B6421" s="451"/>
      <c r="C6421" s="451"/>
      <c r="D6421" s="451"/>
      <c r="E6421" s="468"/>
      <c r="F6421" s="468"/>
    </row>
    <row r="6422" spans="1:6" ht="12.75" x14ac:dyDescent="0.2">
      <c r="A6422" s="451"/>
      <c r="B6422" s="451"/>
      <c r="C6422" s="451"/>
      <c r="D6422" s="451"/>
      <c r="E6422" s="468"/>
      <c r="F6422" s="468"/>
    </row>
    <row r="6423" spans="1:6" ht="12.75" x14ac:dyDescent="0.2">
      <c r="A6423" s="451"/>
      <c r="B6423" s="451"/>
      <c r="C6423" s="451"/>
      <c r="D6423" s="451"/>
      <c r="E6423" s="468"/>
      <c r="F6423" s="468"/>
    </row>
    <row r="6424" spans="1:6" ht="12.75" x14ac:dyDescent="0.2">
      <c r="A6424" s="451"/>
      <c r="B6424" s="451"/>
      <c r="C6424" s="451"/>
      <c r="D6424" s="451"/>
      <c r="E6424" s="468"/>
      <c r="F6424" s="468"/>
    </row>
    <row r="6425" spans="1:6" ht="12.75" x14ac:dyDescent="0.2">
      <c r="A6425" s="451"/>
      <c r="B6425" s="451"/>
      <c r="C6425" s="451"/>
      <c r="D6425" s="451"/>
      <c r="E6425" s="468"/>
      <c r="F6425" s="468"/>
    </row>
    <row r="6426" spans="1:6" ht="12.75" x14ac:dyDescent="0.2">
      <c r="A6426" s="451"/>
      <c r="B6426" s="451"/>
      <c r="C6426" s="451"/>
      <c r="D6426" s="451"/>
      <c r="E6426" s="468"/>
      <c r="F6426" s="468"/>
    </row>
    <row r="6427" spans="1:6" ht="12.75" x14ac:dyDescent="0.2">
      <c r="A6427" s="451"/>
      <c r="B6427" s="451"/>
      <c r="C6427" s="451"/>
      <c r="D6427" s="451"/>
      <c r="E6427" s="468"/>
      <c r="F6427" s="468"/>
    </row>
    <row r="6428" spans="1:6" ht="12.75" x14ac:dyDescent="0.2">
      <c r="A6428" s="451"/>
      <c r="B6428" s="451"/>
      <c r="C6428" s="451"/>
      <c r="D6428" s="451"/>
      <c r="E6428" s="468"/>
      <c r="F6428" s="468"/>
    </row>
    <row r="6429" spans="1:6" ht="12.75" x14ac:dyDescent="0.2">
      <c r="A6429" s="451"/>
      <c r="B6429" s="451"/>
      <c r="C6429" s="451"/>
      <c r="D6429" s="451"/>
      <c r="E6429" s="468"/>
      <c r="F6429" s="468"/>
    </row>
    <row r="6430" spans="1:6" ht="12.75" x14ac:dyDescent="0.2">
      <c r="A6430" s="451"/>
      <c r="B6430" s="451"/>
      <c r="C6430" s="451"/>
      <c r="D6430" s="451"/>
      <c r="E6430" s="468"/>
      <c r="F6430" s="468"/>
    </row>
    <row r="6431" spans="1:6" ht="12.75" x14ac:dyDescent="0.2">
      <c r="A6431" s="451"/>
      <c r="B6431" s="451"/>
      <c r="C6431" s="451"/>
      <c r="D6431" s="451"/>
      <c r="E6431" s="468"/>
      <c r="F6431" s="468"/>
    </row>
    <row r="6432" spans="1:6" ht="12.75" x14ac:dyDescent="0.2">
      <c r="A6432" s="451"/>
      <c r="B6432" s="451"/>
      <c r="C6432" s="451"/>
      <c r="D6432" s="451"/>
      <c r="E6432" s="468"/>
      <c r="F6432" s="468"/>
    </row>
    <row r="6433" spans="1:6" ht="12.75" x14ac:dyDescent="0.2">
      <c r="A6433" s="451"/>
      <c r="B6433" s="451"/>
      <c r="C6433" s="451"/>
      <c r="D6433" s="451"/>
      <c r="E6433" s="468"/>
      <c r="F6433" s="468"/>
    </row>
    <row r="6434" spans="1:6" ht="12.75" x14ac:dyDescent="0.2">
      <c r="A6434" s="451"/>
      <c r="B6434" s="451"/>
      <c r="C6434" s="451"/>
      <c r="D6434" s="451"/>
      <c r="E6434" s="468"/>
      <c r="F6434" s="468"/>
    </row>
    <row r="6435" spans="1:6" ht="12.75" x14ac:dyDescent="0.2">
      <c r="A6435" s="451"/>
      <c r="B6435" s="451"/>
      <c r="C6435" s="451"/>
      <c r="D6435" s="451"/>
      <c r="E6435" s="468"/>
      <c r="F6435" s="468"/>
    </row>
    <row r="6436" spans="1:6" ht="12.75" x14ac:dyDescent="0.2">
      <c r="A6436" s="451"/>
      <c r="B6436" s="451"/>
      <c r="C6436" s="451"/>
      <c r="D6436" s="451"/>
      <c r="E6436" s="468"/>
      <c r="F6436" s="468"/>
    </row>
    <row r="6437" spans="1:6" ht="12.75" x14ac:dyDescent="0.2">
      <c r="A6437" s="451"/>
      <c r="B6437" s="451"/>
      <c r="C6437" s="451"/>
      <c r="D6437" s="451"/>
      <c r="E6437" s="468"/>
      <c r="F6437" s="468"/>
    </row>
    <row r="6438" spans="1:6" ht="12.75" x14ac:dyDescent="0.2">
      <c r="A6438" s="451"/>
      <c r="B6438" s="451"/>
      <c r="C6438" s="451"/>
      <c r="D6438" s="451"/>
      <c r="E6438" s="468"/>
      <c r="F6438" s="468"/>
    </row>
    <row r="6439" spans="1:6" ht="12.75" x14ac:dyDescent="0.2">
      <c r="A6439" s="451"/>
      <c r="B6439" s="451"/>
      <c r="C6439" s="451"/>
      <c r="D6439" s="451"/>
      <c r="E6439" s="468"/>
      <c r="F6439" s="468"/>
    </row>
    <row r="6440" spans="1:6" ht="12.75" x14ac:dyDescent="0.2">
      <c r="A6440" s="451"/>
      <c r="B6440" s="451"/>
      <c r="C6440" s="451"/>
      <c r="D6440" s="451"/>
      <c r="E6440" s="468"/>
      <c r="F6440" s="468"/>
    </row>
    <row r="6441" spans="1:6" ht="12.75" x14ac:dyDescent="0.2">
      <c r="A6441" s="451"/>
      <c r="B6441" s="451"/>
      <c r="C6441" s="451"/>
      <c r="D6441" s="451"/>
      <c r="E6441" s="468"/>
      <c r="F6441" s="468"/>
    </row>
    <row r="6442" spans="1:6" ht="12.75" x14ac:dyDescent="0.2">
      <c r="A6442" s="451"/>
      <c r="B6442" s="451"/>
      <c r="C6442" s="451"/>
      <c r="D6442" s="451"/>
      <c r="E6442" s="468"/>
      <c r="F6442" s="468"/>
    </row>
    <row r="6443" spans="1:6" ht="12.75" x14ac:dyDescent="0.2">
      <c r="A6443" s="451"/>
      <c r="B6443" s="451"/>
      <c r="C6443" s="451"/>
      <c r="D6443" s="451"/>
      <c r="E6443" s="468"/>
      <c r="F6443" s="468"/>
    </row>
    <row r="6444" spans="1:6" ht="12.75" x14ac:dyDescent="0.2">
      <c r="A6444" s="451"/>
      <c r="B6444" s="451"/>
      <c r="C6444" s="451"/>
      <c r="D6444" s="451"/>
      <c r="E6444" s="468"/>
      <c r="F6444" s="468"/>
    </row>
    <row r="6445" spans="1:6" ht="12.75" x14ac:dyDescent="0.2">
      <c r="A6445" s="451"/>
      <c r="B6445" s="451"/>
      <c r="C6445" s="451"/>
      <c r="D6445" s="451"/>
      <c r="E6445" s="468"/>
      <c r="F6445" s="468"/>
    </row>
    <row r="6446" spans="1:6" ht="12.75" x14ac:dyDescent="0.2">
      <c r="A6446" s="451"/>
      <c r="B6446" s="451"/>
      <c r="C6446" s="451"/>
      <c r="D6446" s="451"/>
      <c r="E6446" s="468"/>
      <c r="F6446" s="468"/>
    </row>
    <row r="6447" spans="1:6" ht="12.75" x14ac:dyDescent="0.2">
      <c r="A6447" s="451"/>
      <c r="B6447" s="451"/>
      <c r="C6447" s="451"/>
      <c r="D6447" s="451"/>
      <c r="E6447" s="468"/>
      <c r="F6447" s="468"/>
    </row>
    <row r="6448" spans="1:6" ht="12.75" x14ac:dyDescent="0.2">
      <c r="A6448" s="451"/>
      <c r="B6448" s="451"/>
      <c r="C6448" s="451"/>
      <c r="D6448" s="451"/>
      <c r="E6448" s="468"/>
      <c r="F6448" s="468"/>
    </row>
    <row r="6449" spans="1:6" ht="12.75" x14ac:dyDescent="0.2">
      <c r="A6449" s="451"/>
      <c r="B6449" s="451"/>
      <c r="C6449" s="451"/>
      <c r="D6449" s="451"/>
      <c r="E6449" s="468"/>
      <c r="F6449" s="468"/>
    </row>
    <row r="6450" spans="1:6" ht="12.75" x14ac:dyDescent="0.2">
      <c r="A6450" s="451"/>
      <c r="B6450" s="451"/>
      <c r="C6450" s="451"/>
      <c r="D6450" s="451"/>
      <c r="E6450" s="468"/>
      <c r="F6450" s="468"/>
    </row>
    <row r="6451" spans="1:6" ht="12.75" x14ac:dyDescent="0.2">
      <c r="A6451" s="451"/>
      <c r="B6451" s="451"/>
      <c r="C6451" s="451"/>
      <c r="D6451" s="451"/>
      <c r="E6451" s="468"/>
      <c r="F6451" s="468"/>
    </row>
    <row r="6452" spans="1:6" ht="12.75" x14ac:dyDescent="0.2">
      <c r="A6452" s="451"/>
      <c r="B6452" s="451"/>
      <c r="C6452" s="451"/>
      <c r="D6452" s="451"/>
      <c r="E6452" s="468"/>
      <c r="F6452" s="468"/>
    </row>
    <row r="6453" spans="1:6" ht="12.75" x14ac:dyDescent="0.2">
      <c r="A6453" s="451"/>
      <c r="B6453" s="451"/>
      <c r="C6453" s="451"/>
      <c r="D6453" s="451"/>
      <c r="E6453" s="468"/>
      <c r="F6453" s="468"/>
    </row>
    <row r="6454" spans="1:6" ht="12.75" x14ac:dyDescent="0.2">
      <c r="A6454" s="451"/>
      <c r="B6454" s="451"/>
      <c r="C6454" s="451"/>
      <c r="D6454" s="451"/>
      <c r="E6454" s="468"/>
      <c r="F6454" s="468"/>
    </row>
    <row r="6455" spans="1:6" ht="12.75" x14ac:dyDescent="0.2">
      <c r="A6455" s="451"/>
      <c r="B6455" s="451"/>
      <c r="C6455" s="451"/>
      <c r="D6455" s="451"/>
      <c r="E6455" s="468"/>
      <c r="F6455" s="468"/>
    </row>
    <row r="6456" spans="1:6" ht="12.75" x14ac:dyDescent="0.2">
      <c r="A6456" s="451"/>
      <c r="B6456" s="451"/>
      <c r="C6456" s="451"/>
      <c r="D6456" s="451"/>
      <c r="E6456" s="468"/>
      <c r="F6456" s="468"/>
    </row>
    <row r="6457" spans="1:6" ht="12.75" x14ac:dyDescent="0.2">
      <c r="A6457" s="451"/>
      <c r="B6457" s="451"/>
      <c r="C6457" s="451"/>
      <c r="D6457" s="451"/>
      <c r="E6457" s="468"/>
      <c r="F6457" s="468"/>
    </row>
    <row r="6458" spans="1:6" ht="12.75" x14ac:dyDescent="0.2">
      <c r="A6458" s="451"/>
      <c r="B6458" s="451"/>
      <c r="C6458" s="451"/>
      <c r="D6458" s="451"/>
      <c r="E6458" s="468"/>
      <c r="F6458" s="468"/>
    </row>
    <row r="6459" spans="1:6" ht="12.75" x14ac:dyDescent="0.2">
      <c r="A6459" s="451"/>
      <c r="B6459" s="451"/>
      <c r="C6459" s="451"/>
      <c r="D6459" s="451"/>
      <c r="E6459" s="468"/>
      <c r="F6459" s="468"/>
    </row>
    <row r="6460" spans="1:6" ht="12.75" x14ac:dyDescent="0.2">
      <c r="A6460" s="451"/>
      <c r="B6460" s="451"/>
      <c r="C6460" s="451"/>
      <c r="D6460" s="451"/>
      <c r="E6460" s="468"/>
      <c r="F6460" s="468"/>
    </row>
    <row r="6461" spans="1:6" ht="12.75" x14ac:dyDescent="0.2">
      <c r="A6461" s="451"/>
      <c r="B6461" s="451"/>
      <c r="C6461" s="451"/>
      <c r="D6461" s="451"/>
      <c r="E6461" s="468"/>
      <c r="F6461" s="468"/>
    </row>
    <row r="6462" spans="1:6" ht="12.75" x14ac:dyDescent="0.2">
      <c r="A6462" s="451"/>
      <c r="B6462" s="451"/>
      <c r="C6462" s="451"/>
      <c r="D6462" s="451"/>
      <c r="E6462" s="468"/>
      <c r="F6462" s="468"/>
    </row>
    <row r="6463" spans="1:6" ht="12.75" x14ac:dyDescent="0.2">
      <c r="A6463" s="451"/>
      <c r="B6463" s="451"/>
      <c r="C6463" s="451"/>
      <c r="D6463" s="451"/>
      <c r="E6463" s="468"/>
      <c r="F6463" s="468"/>
    </row>
    <row r="6464" spans="1:6" ht="12.75" x14ac:dyDescent="0.2">
      <c r="A6464" s="451"/>
      <c r="B6464" s="451"/>
      <c r="C6464" s="451"/>
      <c r="D6464" s="451"/>
      <c r="E6464" s="468"/>
      <c r="F6464" s="468"/>
    </row>
    <row r="6465" spans="1:6" ht="12.75" x14ac:dyDescent="0.2">
      <c r="A6465" s="451"/>
      <c r="B6465" s="451"/>
      <c r="C6465" s="451"/>
      <c r="D6465" s="451"/>
      <c r="E6465" s="468"/>
      <c r="F6465" s="468"/>
    </row>
    <row r="6466" spans="1:6" ht="12.75" x14ac:dyDescent="0.2">
      <c r="A6466" s="451"/>
      <c r="B6466" s="451"/>
      <c r="C6466" s="451"/>
      <c r="D6466" s="451"/>
      <c r="E6466" s="468"/>
      <c r="F6466" s="468"/>
    </row>
    <row r="6467" spans="1:6" ht="12.75" x14ac:dyDescent="0.2">
      <c r="A6467" s="451"/>
      <c r="B6467" s="451"/>
      <c r="C6467" s="451"/>
      <c r="D6467" s="451"/>
      <c r="E6467" s="468"/>
      <c r="F6467" s="468"/>
    </row>
    <row r="6468" spans="1:6" ht="12.75" x14ac:dyDescent="0.2">
      <c r="A6468" s="451"/>
      <c r="B6468" s="451"/>
      <c r="C6468" s="451"/>
      <c r="D6468" s="451"/>
      <c r="E6468" s="468"/>
      <c r="F6468" s="468"/>
    </row>
    <row r="6469" spans="1:6" ht="12.75" x14ac:dyDescent="0.2">
      <c r="A6469" s="451"/>
      <c r="B6469" s="451"/>
      <c r="C6469" s="451"/>
      <c r="D6469" s="451"/>
      <c r="E6469" s="468"/>
      <c r="F6469" s="468"/>
    </row>
    <row r="6470" spans="1:6" ht="12.75" x14ac:dyDescent="0.2">
      <c r="A6470" s="451"/>
      <c r="B6470" s="451"/>
      <c r="C6470" s="451"/>
      <c r="D6470" s="451"/>
      <c r="E6470" s="468"/>
      <c r="F6470" s="468"/>
    </row>
    <row r="6471" spans="1:6" ht="12.75" x14ac:dyDescent="0.2">
      <c r="A6471" s="451"/>
      <c r="B6471" s="451"/>
      <c r="C6471" s="451"/>
      <c r="D6471" s="451"/>
      <c r="E6471" s="468"/>
      <c r="F6471" s="468"/>
    </row>
    <row r="6472" spans="1:6" ht="12.75" x14ac:dyDescent="0.2">
      <c r="A6472" s="451"/>
      <c r="B6472" s="451"/>
      <c r="C6472" s="451"/>
      <c r="D6472" s="451"/>
      <c r="E6472" s="468"/>
      <c r="F6472" s="468"/>
    </row>
    <row r="6473" spans="1:6" ht="12.75" x14ac:dyDescent="0.2">
      <c r="A6473" s="451"/>
      <c r="B6473" s="451"/>
      <c r="C6473" s="451"/>
      <c r="D6473" s="451"/>
      <c r="E6473" s="468"/>
      <c r="F6473" s="468"/>
    </row>
    <row r="6474" spans="1:6" ht="12.75" x14ac:dyDescent="0.2">
      <c r="A6474" s="451"/>
      <c r="B6474" s="451"/>
      <c r="C6474" s="451"/>
      <c r="D6474" s="451"/>
      <c r="E6474" s="468"/>
      <c r="F6474" s="468"/>
    </row>
    <row r="6475" spans="1:6" ht="12.75" x14ac:dyDescent="0.2">
      <c r="A6475" s="451"/>
      <c r="B6475" s="451"/>
      <c r="C6475" s="451"/>
      <c r="D6475" s="451"/>
      <c r="E6475" s="468"/>
      <c r="F6475" s="468"/>
    </row>
    <row r="6476" spans="1:6" ht="12.75" x14ac:dyDescent="0.2">
      <c r="A6476" s="451"/>
      <c r="B6476" s="451"/>
      <c r="C6476" s="451"/>
      <c r="D6476" s="451"/>
      <c r="E6476" s="468"/>
      <c r="F6476" s="468"/>
    </row>
    <row r="6477" spans="1:6" ht="12.75" x14ac:dyDescent="0.2">
      <c r="A6477" s="451"/>
      <c r="B6477" s="451"/>
      <c r="C6477" s="451"/>
      <c r="D6477" s="451"/>
      <c r="E6477" s="468"/>
      <c r="F6477" s="468"/>
    </row>
    <row r="6478" spans="1:6" ht="12.75" x14ac:dyDescent="0.2">
      <c r="A6478" s="451"/>
      <c r="B6478" s="451"/>
      <c r="C6478" s="451"/>
      <c r="D6478" s="451"/>
      <c r="E6478" s="468"/>
      <c r="F6478" s="468"/>
    </row>
    <row r="6479" spans="1:6" ht="12.75" x14ac:dyDescent="0.2">
      <c r="A6479" s="451"/>
      <c r="B6479" s="451"/>
      <c r="C6479" s="451"/>
      <c r="D6479" s="451"/>
      <c r="E6479" s="468"/>
      <c r="F6479" s="468"/>
    </row>
    <row r="6480" spans="1:6" ht="12.75" x14ac:dyDescent="0.2">
      <c r="A6480" s="451"/>
      <c r="B6480" s="451"/>
      <c r="C6480" s="451"/>
      <c r="D6480" s="451"/>
      <c r="E6480" s="468"/>
      <c r="F6480" s="468"/>
    </row>
    <row r="6481" spans="1:6" ht="12.75" x14ac:dyDescent="0.2">
      <c r="A6481" s="451"/>
      <c r="B6481" s="451"/>
      <c r="C6481" s="451"/>
      <c r="D6481" s="451"/>
      <c r="E6481" s="468"/>
      <c r="F6481" s="468"/>
    </row>
    <row r="6482" spans="1:6" ht="12.75" x14ac:dyDescent="0.2">
      <c r="A6482" s="451"/>
      <c r="B6482" s="451"/>
      <c r="C6482" s="451"/>
      <c r="D6482" s="451"/>
      <c r="E6482" s="468"/>
      <c r="F6482" s="468"/>
    </row>
    <row r="6483" spans="1:6" ht="12.75" x14ac:dyDescent="0.2">
      <c r="A6483" s="451"/>
      <c r="B6483" s="451"/>
      <c r="C6483" s="451"/>
      <c r="D6483" s="451"/>
      <c r="E6483" s="468"/>
      <c r="F6483" s="468"/>
    </row>
    <row r="6484" spans="1:6" ht="12.75" x14ac:dyDescent="0.2">
      <c r="A6484" s="451"/>
      <c r="B6484" s="451"/>
      <c r="C6484" s="451"/>
      <c r="D6484" s="451"/>
      <c r="E6484" s="468"/>
      <c r="F6484" s="468"/>
    </row>
    <row r="6485" spans="1:6" ht="12.75" x14ac:dyDescent="0.2">
      <c r="A6485" s="451"/>
      <c r="B6485" s="451"/>
      <c r="C6485" s="451"/>
      <c r="D6485" s="451"/>
      <c r="E6485" s="468"/>
      <c r="F6485" s="468"/>
    </row>
    <row r="6486" spans="1:6" ht="12.75" x14ac:dyDescent="0.2">
      <c r="A6486" s="451"/>
      <c r="B6486" s="451"/>
      <c r="C6486" s="451"/>
      <c r="D6486" s="451"/>
      <c r="E6486" s="468"/>
      <c r="F6486" s="468"/>
    </row>
    <row r="6487" spans="1:6" ht="12.75" x14ac:dyDescent="0.2">
      <c r="A6487" s="451"/>
      <c r="B6487" s="451"/>
      <c r="C6487" s="451"/>
      <c r="D6487" s="451"/>
      <c r="E6487" s="468"/>
      <c r="F6487" s="468"/>
    </row>
    <row r="6488" spans="1:6" ht="12.75" x14ac:dyDescent="0.2">
      <c r="A6488" s="451"/>
      <c r="B6488" s="451"/>
      <c r="C6488" s="451"/>
      <c r="D6488" s="451"/>
      <c r="E6488" s="468"/>
      <c r="F6488" s="468"/>
    </row>
    <row r="6489" spans="1:6" ht="12.75" x14ac:dyDescent="0.2">
      <c r="A6489" s="451"/>
      <c r="B6489" s="451"/>
      <c r="C6489" s="451"/>
      <c r="D6489" s="451"/>
      <c r="E6489" s="468"/>
      <c r="F6489" s="468"/>
    </row>
    <row r="6490" spans="1:6" ht="12.75" x14ac:dyDescent="0.2">
      <c r="A6490" s="451"/>
      <c r="B6490" s="451"/>
      <c r="C6490" s="451"/>
      <c r="D6490" s="451"/>
      <c r="E6490" s="468"/>
      <c r="F6490" s="468"/>
    </row>
    <row r="6491" spans="1:6" ht="12.75" x14ac:dyDescent="0.2">
      <c r="A6491" s="451"/>
      <c r="B6491" s="451"/>
      <c r="C6491" s="451"/>
      <c r="D6491" s="451"/>
      <c r="E6491" s="468"/>
      <c r="F6491" s="468"/>
    </row>
    <row r="6492" spans="1:6" ht="12.75" x14ac:dyDescent="0.2">
      <c r="A6492" s="451"/>
      <c r="B6492" s="451"/>
      <c r="C6492" s="451"/>
      <c r="D6492" s="451"/>
      <c r="E6492" s="468"/>
      <c r="F6492" s="468"/>
    </row>
    <row r="6493" spans="1:6" ht="12.75" x14ac:dyDescent="0.2">
      <c r="A6493" s="451"/>
      <c r="B6493" s="451"/>
      <c r="C6493" s="451"/>
      <c r="D6493" s="451"/>
      <c r="E6493" s="468"/>
      <c r="F6493" s="468"/>
    </row>
    <row r="6494" spans="1:6" ht="12.75" x14ac:dyDescent="0.2">
      <c r="A6494" s="451"/>
      <c r="B6494" s="451"/>
      <c r="C6494" s="451"/>
      <c r="D6494" s="451"/>
      <c r="E6494" s="468"/>
      <c r="F6494" s="468"/>
    </row>
    <row r="6495" spans="1:6" ht="12.75" x14ac:dyDescent="0.2">
      <c r="A6495" s="451"/>
      <c r="B6495" s="451"/>
      <c r="C6495" s="451"/>
      <c r="D6495" s="451"/>
      <c r="E6495" s="468"/>
      <c r="F6495" s="468"/>
    </row>
    <row r="6496" spans="1:6" ht="12.75" x14ac:dyDescent="0.2">
      <c r="A6496" s="451"/>
      <c r="B6496" s="451"/>
      <c r="C6496" s="451"/>
      <c r="D6496" s="451"/>
      <c r="E6496" s="468"/>
      <c r="F6496" s="468"/>
    </row>
    <row r="6497" spans="1:6" ht="12.75" x14ac:dyDescent="0.2">
      <c r="A6497" s="451"/>
      <c r="B6497" s="451"/>
      <c r="C6497" s="451"/>
      <c r="D6497" s="451"/>
      <c r="E6497" s="468"/>
      <c r="F6497" s="468"/>
    </row>
    <row r="6498" spans="1:6" ht="12.75" x14ac:dyDescent="0.2">
      <c r="A6498" s="451"/>
      <c r="B6498" s="451"/>
      <c r="C6498" s="451"/>
      <c r="D6498" s="451"/>
      <c r="E6498" s="468"/>
      <c r="F6498" s="468"/>
    </row>
    <row r="6499" spans="1:6" ht="12.75" x14ac:dyDescent="0.2">
      <c r="A6499" s="451"/>
      <c r="B6499" s="451"/>
      <c r="C6499" s="451"/>
      <c r="D6499" s="451"/>
      <c r="E6499" s="468"/>
      <c r="F6499" s="468"/>
    </row>
    <row r="6500" spans="1:6" ht="12.75" x14ac:dyDescent="0.2">
      <c r="A6500" s="451"/>
      <c r="B6500" s="451"/>
      <c r="C6500" s="451"/>
      <c r="D6500" s="451"/>
      <c r="E6500" s="468"/>
      <c r="F6500" s="468"/>
    </row>
    <row r="6501" spans="1:6" ht="12.75" x14ac:dyDescent="0.2">
      <c r="A6501" s="451"/>
      <c r="B6501" s="451"/>
      <c r="C6501" s="451"/>
      <c r="D6501" s="451"/>
      <c r="E6501" s="468"/>
      <c r="F6501" s="468"/>
    </row>
    <row r="6502" spans="1:6" ht="12.75" x14ac:dyDescent="0.2">
      <c r="A6502" s="451"/>
      <c r="B6502" s="451"/>
      <c r="C6502" s="451"/>
      <c r="D6502" s="451"/>
      <c r="E6502" s="468"/>
      <c r="F6502" s="468"/>
    </row>
    <row r="6503" spans="1:6" ht="12.75" x14ac:dyDescent="0.2">
      <c r="A6503" s="451"/>
      <c r="B6503" s="451"/>
      <c r="C6503" s="451"/>
      <c r="D6503" s="451"/>
      <c r="E6503" s="468"/>
      <c r="F6503" s="468"/>
    </row>
    <row r="6504" spans="1:6" ht="12.75" x14ac:dyDescent="0.2">
      <c r="A6504" s="451"/>
      <c r="B6504" s="451"/>
      <c r="C6504" s="451"/>
      <c r="D6504" s="451"/>
      <c r="E6504" s="468"/>
      <c r="F6504" s="468"/>
    </row>
    <row r="6505" spans="1:6" ht="12.75" x14ac:dyDescent="0.2">
      <c r="A6505" s="451"/>
      <c r="B6505" s="451"/>
      <c r="C6505" s="451"/>
      <c r="D6505" s="451"/>
      <c r="E6505" s="468"/>
      <c r="F6505" s="468"/>
    </row>
    <row r="6506" spans="1:6" ht="12.75" x14ac:dyDescent="0.2">
      <c r="A6506" s="451"/>
      <c r="B6506" s="451"/>
      <c r="C6506" s="451"/>
      <c r="D6506" s="451"/>
      <c r="E6506" s="468"/>
      <c r="F6506" s="468"/>
    </row>
    <row r="6507" spans="1:6" ht="12.75" x14ac:dyDescent="0.2">
      <c r="A6507" s="451"/>
      <c r="B6507" s="451"/>
      <c r="C6507" s="451"/>
      <c r="D6507" s="451"/>
      <c r="E6507" s="468"/>
      <c r="F6507" s="468"/>
    </row>
    <row r="6508" spans="1:6" ht="12.75" x14ac:dyDescent="0.2">
      <c r="A6508" s="451"/>
      <c r="B6508" s="451"/>
      <c r="C6508" s="451"/>
      <c r="D6508" s="451"/>
      <c r="E6508" s="468"/>
      <c r="F6508" s="468"/>
    </row>
    <row r="6509" spans="1:6" ht="12.75" x14ac:dyDescent="0.2">
      <c r="A6509" s="451"/>
      <c r="B6509" s="451"/>
      <c r="C6509" s="451"/>
      <c r="D6509" s="451"/>
      <c r="E6509" s="468"/>
      <c r="F6509" s="468"/>
    </row>
    <row r="6510" spans="1:6" ht="12.75" x14ac:dyDescent="0.2">
      <c r="A6510" s="451"/>
      <c r="B6510" s="451"/>
      <c r="C6510" s="451"/>
      <c r="D6510" s="451"/>
      <c r="E6510" s="468"/>
      <c r="F6510" s="468"/>
    </row>
    <row r="6511" spans="1:6" ht="12.75" x14ac:dyDescent="0.2">
      <c r="A6511" s="451"/>
      <c r="B6511" s="451"/>
      <c r="C6511" s="451"/>
      <c r="D6511" s="451"/>
      <c r="E6511" s="468"/>
      <c r="F6511" s="468"/>
    </row>
    <row r="6512" spans="1:6" ht="12.75" x14ac:dyDescent="0.2">
      <c r="A6512" s="451"/>
      <c r="B6512" s="451"/>
      <c r="C6512" s="451"/>
      <c r="D6512" s="451"/>
      <c r="E6512" s="468"/>
      <c r="F6512" s="468"/>
    </row>
    <row r="6513" spans="1:6" ht="12.75" x14ac:dyDescent="0.2">
      <c r="A6513" s="451"/>
      <c r="B6513" s="451"/>
      <c r="C6513" s="451"/>
      <c r="D6513" s="451"/>
      <c r="E6513" s="468"/>
      <c r="F6513" s="468"/>
    </row>
    <row r="6514" spans="1:6" ht="12.75" x14ac:dyDescent="0.2">
      <c r="A6514" s="451"/>
      <c r="B6514" s="451"/>
      <c r="C6514" s="451"/>
      <c r="D6514" s="451"/>
      <c r="E6514" s="468"/>
      <c r="F6514" s="468"/>
    </row>
    <row r="6515" spans="1:6" ht="12.75" x14ac:dyDescent="0.2">
      <c r="A6515" s="451"/>
      <c r="B6515" s="451"/>
      <c r="C6515" s="451"/>
      <c r="D6515" s="451"/>
      <c r="E6515" s="468"/>
      <c r="F6515" s="468"/>
    </row>
    <row r="6516" spans="1:6" ht="12.75" x14ac:dyDescent="0.2">
      <c r="A6516" s="451"/>
      <c r="B6516" s="451"/>
      <c r="C6516" s="451"/>
      <c r="D6516" s="451"/>
      <c r="E6516" s="468"/>
      <c r="F6516" s="468"/>
    </row>
    <row r="6517" spans="1:6" ht="12.75" x14ac:dyDescent="0.2">
      <c r="A6517" s="451"/>
      <c r="B6517" s="451"/>
      <c r="C6517" s="451"/>
      <c r="D6517" s="451"/>
      <c r="E6517" s="468"/>
      <c r="F6517" s="468"/>
    </row>
    <row r="6518" spans="1:6" ht="12.75" x14ac:dyDescent="0.2">
      <c r="A6518" s="451"/>
      <c r="B6518" s="451"/>
      <c r="C6518" s="451"/>
      <c r="D6518" s="451"/>
      <c r="E6518" s="468"/>
      <c r="F6518" s="468"/>
    </row>
    <row r="6519" spans="1:6" ht="12.75" x14ac:dyDescent="0.2">
      <c r="A6519" s="451"/>
      <c r="B6519" s="451"/>
      <c r="C6519" s="451"/>
      <c r="D6519" s="451"/>
      <c r="E6519" s="468"/>
      <c r="F6519" s="468"/>
    </row>
    <row r="6520" spans="1:6" ht="12.75" x14ac:dyDescent="0.2">
      <c r="A6520" s="451"/>
      <c r="B6520" s="451"/>
      <c r="C6520" s="451"/>
      <c r="D6520" s="451"/>
      <c r="E6520" s="468"/>
      <c r="F6520" s="468"/>
    </row>
    <row r="6521" spans="1:6" ht="12.75" x14ac:dyDescent="0.2">
      <c r="A6521" s="451"/>
      <c r="B6521" s="451"/>
      <c r="C6521" s="451"/>
      <c r="D6521" s="451"/>
      <c r="E6521" s="468"/>
      <c r="F6521" s="468"/>
    </row>
    <row r="6522" spans="1:6" ht="12.75" x14ac:dyDescent="0.2">
      <c r="A6522" s="451"/>
      <c r="B6522" s="451"/>
      <c r="C6522" s="451"/>
      <c r="D6522" s="451"/>
      <c r="E6522" s="468"/>
      <c r="F6522" s="468"/>
    </row>
    <row r="6523" spans="1:6" ht="12.75" x14ac:dyDescent="0.2">
      <c r="A6523" s="451"/>
      <c r="B6523" s="451"/>
      <c r="C6523" s="451"/>
      <c r="D6523" s="451"/>
      <c r="E6523" s="468"/>
      <c r="F6523" s="468"/>
    </row>
    <row r="6524" spans="1:6" ht="12.75" x14ac:dyDescent="0.2">
      <c r="A6524" s="451"/>
      <c r="B6524" s="451"/>
      <c r="C6524" s="451"/>
      <c r="D6524" s="451"/>
      <c r="E6524" s="468"/>
      <c r="F6524" s="468"/>
    </row>
    <row r="6525" spans="1:6" ht="12.75" x14ac:dyDescent="0.2">
      <c r="A6525" s="451"/>
      <c r="B6525" s="451"/>
      <c r="C6525" s="451"/>
      <c r="D6525" s="451"/>
      <c r="E6525" s="468"/>
      <c r="F6525" s="468"/>
    </row>
    <row r="6526" spans="1:6" ht="12.75" x14ac:dyDescent="0.2">
      <c r="A6526" s="451"/>
      <c r="B6526" s="451"/>
      <c r="C6526" s="451"/>
      <c r="D6526" s="451"/>
      <c r="E6526" s="468"/>
      <c r="F6526" s="468"/>
    </row>
    <row r="6527" spans="1:6" ht="12.75" x14ac:dyDescent="0.2">
      <c r="A6527" s="451"/>
      <c r="B6527" s="451"/>
      <c r="C6527" s="451"/>
      <c r="D6527" s="451"/>
      <c r="E6527" s="468"/>
      <c r="F6527" s="468"/>
    </row>
    <row r="6528" spans="1:6" ht="12.75" x14ac:dyDescent="0.2">
      <c r="A6528" s="451"/>
      <c r="B6528" s="451"/>
      <c r="C6528" s="451"/>
      <c r="D6528" s="451"/>
      <c r="E6528" s="468"/>
      <c r="F6528" s="468"/>
    </row>
    <row r="6529" spans="1:6" ht="12.75" x14ac:dyDescent="0.2">
      <c r="A6529" s="451"/>
      <c r="B6529" s="451"/>
      <c r="C6529" s="451"/>
      <c r="D6529" s="451"/>
      <c r="E6529" s="468"/>
      <c r="F6529" s="468"/>
    </row>
    <row r="6530" spans="1:6" ht="12.75" x14ac:dyDescent="0.2">
      <c r="A6530" s="451"/>
      <c r="B6530" s="451"/>
      <c r="C6530" s="451"/>
      <c r="D6530" s="451"/>
      <c r="E6530" s="468"/>
      <c r="F6530" s="468"/>
    </row>
    <row r="6531" spans="1:6" ht="12.75" x14ac:dyDescent="0.2">
      <c r="A6531" s="451"/>
      <c r="B6531" s="451"/>
      <c r="C6531" s="451"/>
      <c r="D6531" s="451"/>
      <c r="E6531" s="468"/>
      <c r="F6531" s="468"/>
    </row>
    <row r="6532" spans="1:6" ht="12.75" x14ac:dyDescent="0.2">
      <c r="A6532" s="451"/>
      <c r="B6532" s="451"/>
      <c r="C6532" s="451"/>
      <c r="D6532" s="451"/>
      <c r="E6532" s="468"/>
      <c r="F6532" s="468"/>
    </row>
    <row r="6533" spans="1:6" ht="12.75" x14ac:dyDescent="0.2">
      <c r="A6533" s="451"/>
      <c r="B6533" s="451"/>
      <c r="C6533" s="451"/>
      <c r="D6533" s="451"/>
      <c r="E6533" s="468"/>
      <c r="F6533" s="468"/>
    </row>
    <row r="6534" spans="1:6" ht="12.75" x14ac:dyDescent="0.2">
      <c r="A6534" s="451"/>
      <c r="B6534" s="451"/>
      <c r="C6534" s="451"/>
      <c r="D6534" s="451"/>
      <c r="E6534" s="468"/>
      <c r="F6534" s="468"/>
    </row>
    <row r="6535" spans="1:6" ht="12.75" x14ac:dyDescent="0.2">
      <c r="A6535" s="451"/>
      <c r="B6535" s="451"/>
      <c r="C6535" s="451"/>
      <c r="D6535" s="451"/>
      <c r="E6535" s="468"/>
      <c r="F6535" s="468"/>
    </row>
    <row r="6536" spans="1:6" ht="12.75" x14ac:dyDescent="0.2">
      <c r="A6536" s="451"/>
      <c r="B6536" s="451"/>
      <c r="C6536" s="451"/>
      <c r="D6536" s="451"/>
      <c r="E6536" s="468"/>
      <c r="F6536" s="468"/>
    </row>
    <row r="6537" spans="1:6" ht="12.75" x14ac:dyDescent="0.2">
      <c r="A6537" s="451"/>
      <c r="B6537" s="451"/>
      <c r="C6537" s="451"/>
      <c r="D6537" s="451"/>
      <c r="E6537" s="468"/>
      <c r="F6537" s="468"/>
    </row>
    <row r="6538" spans="1:6" ht="12.75" x14ac:dyDescent="0.2">
      <c r="A6538" s="451"/>
      <c r="B6538" s="451"/>
      <c r="C6538" s="451"/>
      <c r="D6538" s="451"/>
      <c r="E6538" s="468"/>
      <c r="F6538" s="468"/>
    </row>
    <row r="6539" spans="1:6" ht="12.75" x14ac:dyDescent="0.2">
      <c r="A6539" s="451"/>
      <c r="B6539" s="451"/>
      <c r="C6539" s="451"/>
      <c r="D6539" s="451"/>
      <c r="E6539" s="468"/>
      <c r="F6539" s="468"/>
    </row>
    <row r="6540" spans="1:6" ht="12.75" x14ac:dyDescent="0.2">
      <c r="A6540" s="451"/>
      <c r="B6540" s="451"/>
      <c r="C6540" s="451"/>
      <c r="D6540" s="451"/>
      <c r="E6540" s="468"/>
      <c r="F6540" s="468"/>
    </row>
    <row r="6541" spans="1:6" ht="12.75" x14ac:dyDescent="0.2">
      <c r="A6541" s="451"/>
      <c r="B6541" s="451"/>
      <c r="C6541" s="451"/>
      <c r="D6541" s="451"/>
      <c r="E6541" s="468"/>
      <c r="F6541" s="468"/>
    </row>
    <row r="6542" spans="1:6" ht="12.75" x14ac:dyDescent="0.2">
      <c r="A6542" s="451"/>
      <c r="B6542" s="451"/>
      <c r="C6542" s="451"/>
      <c r="D6542" s="451"/>
      <c r="E6542" s="468"/>
      <c r="F6542" s="468"/>
    </row>
    <row r="6543" spans="1:6" ht="12.75" x14ac:dyDescent="0.2">
      <c r="A6543" s="451"/>
      <c r="B6543" s="451"/>
      <c r="C6543" s="451"/>
      <c r="D6543" s="451"/>
      <c r="E6543" s="468"/>
      <c r="F6543" s="468"/>
    </row>
    <row r="6544" spans="1:6" ht="12.75" x14ac:dyDescent="0.2">
      <c r="A6544" s="451"/>
      <c r="B6544" s="451"/>
      <c r="C6544" s="451"/>
      <c r="D6544" s="451"/>
      <c r="E6544" s="468"/>
      <c r="F6544" s="468"/>
    </row>
    <row r="6545" spans="1:6" ht="12.75" x14ac:dyDescent="0.2">
      <c r="A6545" s="451"/>
      <c r="B6545" s="451"/>
      <c r="C6545" s="451"/>
      <c r="D6545" s="451"/>
      <c r="E6545" s="468"/>
      <c r="F6545" s="468"/>
    </row>
    <row r="6546" spans="1:6" ht="12.75" x14ac:dyDescent="0.2">
      <c r="A6546" s="451"/>
      <c r="B6546" s="451"/>
      <c r="C6546" s="451"/>
      <c r="D6546" s="451"/>
      <c r="E6546" s="468"/>
      <c r="F6546" s="468"/>
    </row>
    <row r="6547" spans="1:6" ht="12.75" x14ac:dyDescent="0.2">
      <c r="A6547" s="451"/>
      <c r="B6547" s="451"/>
      <c r="C6547" s="451"/>
      <c r="D6547" s="451"/>
      <c r="E6547" s="468"/>
      <c r="F6547" s="468"/>
    </row>
    <row r="6548" spans="1:6" ht="12.75" x14ac:dyDescent="0.2">
      <c r="A6548" s="451"/>
      <c r="B6548" s="451"/>
      <c r="C6548" s="451"/>
      <c r="D6548" s="451"/>
      <c r="E6548" s="468"/>
      <c r="F6548" s="468"/>
    </row>
    <row r="6549" spans="1:6" ht="12.75" x14ac:dyDescent="0.2">
      <c r="A6549" s="451"/>
      <c r="B6549" s="451"/>
      <c r="C6549" s="451"/>
      <c r="D6549" s="451"/>
      <c r="E6549" s="468"/>
      <c r="F6549" s="468"/>
    </row>
    <row r="6550" spans="1:6" ht="12.75" x14ac:dyDescent="0.2">
      <c r="A6550" s="451"/>
      <c r="B6550" s="451"/>
      <c r="C6550" s="451"/>
      <c r="D6550" s="451"/>
      <c r="E6550" s="468"/>
      <c r="F6550" s="468"/>
    </row>
    <row r="6551" spans="1:6" ht="12.75" x14ac:dyDescent="0.2">
      <c r="A6551" s="451"/>
      <c r="B6551" s="451"/>
      <c r="C6551" s="451"/>
      <c r="D6551" s="451"/>
      <c r="E6551" s="468"/>
      <c r="F6551" s="468"/>
    </row>
    <row r="6552" spans="1:6" ht="12.75" x14ac:dyDescent="0.2">
      <c r="A6552" s="451"/>
      <c r="B6552" s="451"/>
      <c r="C6552" s="451"/>
      <c r="D6552" s="451"/>
      <c r="E6552" s="468"/>
      <c r="F6552" s="468"/>
    </row>
    <row r="6553" spans="1:6" ht="12.75" x14ac:dyDescent="0.2">
      <c r="A6553" s="451"/>
      <c r="B6553" s="451"/>
      <c r="C6553" s="451"/>
      <c r="D6553" s="451"/>
      <c r="E6553" s="468"/>
      <c r="F6553" s="468"/>
    </row>
    <row r="6554" spans="1:6" ht="12.75" x14ac:dyDescent="0.2">
      <c r="A6554" s="451"/>
      <c r="B6554" s="451"/>
      <c r="C6554" s="451"/>
      <c r="D6554" s="451"/>
      <c r="E6554" s="468"/>
      <c r="F6554" s="468"/>
    </row>
    <row r="6555" spans="1:6" ht="12.75" x14ac:dyDescent="0.2">
      <c r="A6555" s="451"/>
      <c r="B6555" s="451"/>
      <c r="C6555" s="451"/>
      <c r="D6555" s="451"/>
      <c r="E6555" s="468"/>
      <c r="F6555" s="468"/>
    </row>
    <row r="6556" spans="1:6" ht="12.75" x14ac:dyDescent="0.2">
      <c r="A6556" s="451"/>
      <c r="B6556" s="451"/>
      <c r="C6556" s="451"/>
      <c r="D6556" s="451"/>
      <c r="E6556" s="468"/>
      <c r="F6556" s="468"/>
    </row>
    <row r="6557" spans="1:6" ht="12.75" x14ac:dyDescent="0.2">
      <c r="A6557" s="451"/>
      <c r="B6557" s="451"/>
      <c r="C6557" s="451"/>
      <c r="D6557" s="451"/>
      <c r="E6557" s="468"/>
      <c r="F6557" s="468"/>
    </row>
    <row r="6558" spans="1:6" ht="12.75" x14ac:dyDescent="0.2">
      <c r="A6558" s="451"/>
      <c r="B6558" s="451"/>
      <c r="C6558" s="451"/>
      <c r="D6558" s="451"/>
      <c r="E6558" s="468"/>
      <c r="F6558" s="468"/>
    </row>
    <row r="6559" spans="1:6" ht="12.75" x14ac:dyDescent="0.2">
      <c r="A6559" s="451"/>
      <c r="B6559" s="451"/>
      <c r="C6559" s="451"/>
      <c r="D6559" s="451"/>
      <c r="E6559" s="468"/>
      <c r="F6559" s="468"/>
    </row>
    <row r="6560" spans="1:6" ht="12.75" x14ac:dyDescent="0.2">
      <c r="A6560" s="451"/>
      <c r="B6560" s="451"/>
      <c r="C6560" s="451"/>
      <c r="D6560" s="451"/>
      <c r="E6560" s="468"/>
      <c r="F6560" s="468"/>
    </row>
    <row r="6561" spans="1:6" ht="12.75" x14ac:dyDescent="0.2">
      <c r="A6561" s="451"/>
      <c r="B6561" s="451"/>
      <c r="C6561" s="451"/>
      <c r="D6561" s="451"/>
      <c r="E6561" s="468"/>
      <c r="F6561" s="468"/>
    </row>
    <row r="6562" spans="1:6" ht="12.75" x14ac:dyDescent="0.2">
      <c r="A6562" s="451"/>
      <c r="B6562" s="451"/>
      <c r="C6562" s="451"/>
      <c r="D6562" s="451"/>
      <c r="E6562" s="468"/>
      <c r="F6562" s="468"/>
    </row>
    <row r="6563" spans="1:6" ht="12.75" x14ac:dyDescent="0.2">
      <c r="A6563" s="451"/>
      <c r="B6563" s="451"/>
      <c r="C6563" s="451"/>
      <c r="D6563" s="451"/>
      <c r="E6563" s="468"/>
      <c r="F6563" s="468"/>
    </row>
    <row r="6564" spans="1:6" ht="12.75" x14ac:dyDescent="0.2">
      <c r="A6564" s="451"/>
      <c r="B6564" s="451"/>
      <c r="C6564" s="451"/>
      <c r="D6564" s="451"/>
      <c r="E6564" s="468"/>
      <c r="F6564" s="468"/>
    </row>
    <row r="6565" spans="1:6" ht="12.75" x14ac:dyDescent="0.2">
      <c r="A6565" s="451"/>
      <c r="B6565" s="451"/>
      <c r="C6565" s="451"/>
      <c r="D6565" s="451"/>
      <c r="E6565" s="468"/>
      <c r="F6565" s="468"/>
    </row>
    <row r="6566" spans="1:6" ht="12.75" x14ac:dyDescent="0.2">
      <c r="A6566" s="451"/>
      <c r="B6566" s="451"/>
      <c r="C6566" s="451"/>
      <c r="D6566" s="451"/>
      <c r="E6566" s="468"/>
      <c r="F6566" s="468"/>
    </row>
    <row r="6567" spans="1:6" ht="12.75" x14ac:dyDescent="0.2">
      <c r="A6567" s="451"/>
      <c r="B6567" s="451"/>
      <c r="C6567" s="451"/>
      <c r="D6567" s="451"/>
      <c r="E6567" s="468"/>
      <c r="F6567" s="468"/>
    </row>
    <row r="6568" spans="1:6" ht="12.75" x14ac:dyDescent="0.2">
      <c r="A6568" s="451"/>
      <c r="B6568" s="451"/>
      <c r="C6568" s="451"/>
      <c r="D6568" s="451"/>
      <c r="E6568" s="468"/>
      <c r="F6568" s="468"/>
    </row>
    <row r="6569" spans="1:6" ht="12.75" x14ac:dyDescent="0.2">
      <c r="A6569" s="451"/>
      <c r="B6569" s="451"/>
      <c r="C6569" s="451"/>
      <c r="D6569" s="451"/>
      <c r="E6569" s="468"/>
      <c r="F6569" s="468"/>
    </row>
    <row r="6570" spans="1:6" ht="12.75" x14ac:dyDescent="0.2">
      <c r="A6570" s="451"/>
      <c r="B6570" s="451"/>
      <c r="C6570" s="451"/>
      <c r="D6570" s="451"/>
      <c r="E6570" s="468"/>
      <c r="F6570" s="468"/>
    </row>
    <row r="6571" spans="1:6" ht="12.75" x14ac:dyDescent="0.2">
      <c r="A6571" s="451"/>
      <c r="B6571" s="451"/>
      <c r="C6571" s="451"/>
      <c r="D6571" s="451"/>
      <c r="E6571" s="468"/>
      <c r="F6571" s="468"/>
    </row>
    <row r="6572" spans="1:6" ht="12.75" x14ac:dyDescent="0.2">
      <c r="A6572" s="451"/>
      <c r="B6572" s="451"/>
      <c r="C6572" s="451"/>
      <c r="D6572" s="451"/>
      <c r="E6572" s="468"/>
      <c r="F6572" s="468"/>
    </row>
    <row r="6573" spans="1:6" ht="12.75" x14ac:dyDescent="0.2">
      <c r="A6573" s="451"/>
      <c r="B6573" s="451"/>
      <c r="C6573" s="451"/>
      <c r="D6573" s="451"/>
      <c r="E6573" s="468"/>
      <c r="F6573" s="468"/>
    </row>
    <row r="6574" spans="1:6" ht="12.75" x14ac:dyDescent="0.2">
      <c r="A6574" s="451"/>
      <c r="B6574" s="451"/>
      <c r="C6574" s="451"/>
      <c r="D6574" s="451"/>
      <c r="E6574" s="468"/>
      <c r="F6574" s="468"/>
    </row>
    <row r="6575" spans="1:6" ht="12.75" x14ac:dyDescent="0.2">
      <c r="A6575" s="451"/>
      <c r="B6575" s="451"/>
      <c r="C6575" s="451"/>
      <c r="D6575" s="451"/>
      <c r="E6575" s="468"/>
      <c r="F6575" s="468"/>
    </row>
    <row r="6576" spans="1:6" ht="12.75" x14ac:dyDescent="0.2">
      <c r="A6576" s="451"/>
      <c r="B6576" s="451"/>
      <c r="C6576" s="451"/>
      <c r="D6576" s="451"/>
      <c r="E6576" s="468"/>
      <c r="F6576" s="468"/>
    </row>
    <row r="6577" spans="1:6" ht="12.75" x14ac:dyDescent="0.2">
      <c r="A6577" s="451"/>
      <c r="B6577" s="451"/>
      <c r="C6577" s="451"/>
      <c r="D6577" s="451"/>
      <c r="E6577" s="468"/>
      <c r="F6577" s="468"/>
    </row>
    <row r="6578" spans="1:6" ht="12.75" x14ac:dyDescent="0.2">
      <c r="A6578" s="451"/>
      <c r="B6578" s="451"/>
      <c r="C6578" s="451"/>
      <c r="D6578" s="451"/>
      <c r="E6578" s="468"/>
      <c r="F6578" s="468"/>
    </row>
    <row r="6579" spans="1:6" ht="12.75" x14ac:dyDescent="0.2">
      <c r="A6579" s="451"/>
      <c r="B6579" s="451"/>
      <c r="C6579" s="451"/>
      <c r="D6579" s="451"/>
      <c r="E6579" s="468"/>
      <c r="F6579" s="468"/>
    </row>
    <row r="6580" spans="1:6" ht="12.75" x14ac:dyDescent="0.2">
      <c r="A6580" s="451"/>
      <c r="B6580" s="451"/>
      <c r="C6580" s="451"/>
      <c r="D6580" s="451"/>
      <c r="E6580" s="468"/>
      <c r="F6580" s="468"/>
    </row>
    <row r="6581" spans="1:6" ht="12.75" x14ac:dyDescent="0.2">
      <c r="A6581" s="451"/>
      <c r="B6581" s="451"/>
      <c r="C6581" s="451"/>
      <c r="D6581" s="451"/>
      <c r="E6581" s="468"/>
      <c r="F6581" s="468"/>
    </row>
    <row r="6582" spans="1:6" ht="12.75" x14ac:dyDescent="0.2">
      <c r="A6582" s="451"/>
      <c r="B6582" s="451"/>
      <c r="C6582" s="451"/>
      <c r="D6582" s="451"/>
      <c r="E6582" s="468"/>
      <c r="F6582" s="468"/>
    </row>
    <row r="6583" spans="1:6" ht="12.75" x14ac:dyDescent="0.2">
      <c r="A6583" s="451"/>
      <c r="B6583" s="451"/>
      <c r="C6583" s="451"/>
      <c r="D6583" s="451"/>
      <c r="E6583" s="468"/>
      <c r="F6583" s="468"/>
    </row>
    <row r="6584" spans="1:6" ht="12.75" x14ac:dyDescent="0.2">
      <c r="A6584" s="451"/>
      <c r="B6584" s="451"/>
      <c r="C6584" s="451"/>
      <c r="D6584" s="451"/>
      <c r="E6584" s="468"/>
      <c r="F6584" s="468"/>
    </row>
    <row r="6585" spans="1:6" ht="12.75" x14ac:dyDescent="0.2">
      <c r="A6585" s="451"/>
      <c r="B6585" s="451"/>
      <c r="C6585" s="451"/>
      <c r="D6585" s="451"/>
      <c r="E6585" s="468"/>
      <c r="F6585" s="468"/>
    </row>
    <row r="6586" spans="1:6" ht="12.75" x14ac:dyDescent="0.2">
      <c r="A6586" s="451"/>
      <c r="B6586" s="451"/>
      <c r="C6586" s="451"/>
      <c r="D6586" s="451"/>
      <c r="E6586" s="468"/>
      <c r="F6586" s="468"/>
    </row>
    <row r="6587" spans="1:6" ht="12.75" x14ac:dyDescent="0.2">
      <c r="A6587" s="451"/>
      <c r="B6587" s="451"/>
      <c r="C6587" s="451"/>
      <c r="D6587" s="451"/>
      <c r="E6587" s="468"/>
      <c r="F6587" s="468"/>
    </row>
    <row r="6588" spans="1:6" ht="12.75" x14ac:dyDescent="0.2">
      <c r="A6588" s="451"/>
      <c r="B6588" s="451"/>
      <c r="C6588" s="451"/>
      <c r="D6588" s="451"/>
      <c r="E6588" s="468"/>
      <c r="F6588" s="468"/>
    </row>
    <row r="6589" spans="1:6" ht="12.75" x14ac:dyDescent="0.2">
      <c r="A6589" s="451"/>
      <c r="B6589" s="451"/>
      <c r="C6589" s="451"/>
      <c r="D6589" s="451"/>
      <c r="E6589" s="468"/>
      <c r="F6589" s="468"/>
    </row>
    <row r="6590" spans="1:6" ht="12.75" x14ac:dyDescent="0.2">
      <c r="A6590" s="451"/>
      <c r="B6590" s="451"/>
      <c r="C6590" s="451"/>
      <c r="D6590" s="451"/>
      <c r="E6590" s="468"/>
      <c r="F6590" s="468"/>
    </row>
    <row r="6591" spans="1:6" ht="12.75" x14ac:dyDescent="0.2">
      <c r="A6591" s="451"/>
      <c r="B6591" s="451"/>
      <c r="C6591" s="451"/>
      <c r="D6591" s="451"/>
      <c r="E6591" s="468"/>
      <c r="F6591" s="468"/>
    </row>
    <row r="6592" spans="1:6" ht="12.75" x14ac:dyDescent="0.2">
      <c r="A6592" s="451"/>
      <c r="B6592" s="451"/>
      <c r="C6592" s="451"/>
      <c r="D6592" s="451"/>
      <c r="E6592" s="468"/>
      <c r="F6592" s="468"/>
    </row>
    <row r="6593" spans="1:6" ht="12.75" x14ac:dyDescent="0.2">
      <c r="A6593" s="451"/>
      <c r="B6593" s="451"/>
      <c r="C6593" s="451"/>
      <c r="D6593" s="451"/>
      <c r="E6593" s="468"/>
      <c r="F6593" s="468"/>
    </row>
    <row r="6594" spans="1:6" ht="12.75" x14ac:dyDescent="0.2">
      <c r="A6594" s="451"/>
      <c r="B6594" s="451"/>
      <c r="C6594" s="451"/>
      <c r="D6594" s="451"/>
      <c r="E6594" s="468"/>
      <c r="F6594" s="468"/>
    </row>
    <row r="6595" spans="1:6" ht="12.75" x14ac:dyDescent="0.2">
      <c r="A6595" s="451"/>
      <c r="B6595" s="451"/>
      <c r="C6595" s="451"/>
      <c r="D6595" s="451"/>
      <c r="E6595" s="468"/>
      <c r="F6595" s="468"/>
    </row>
    <row r="6596" spans="1:6" ht="12.75" x14ac:dyDescent="0.2">
      <c r="A6596" s="451"/>
      <c r="B6596" s="451"/>
      <c r="C6596" s="451"/>
      <c r="D6596" s="451"/>
      <c r="E6596" s="468"/>
      <c r="F6596" s="468"/>
    </row>
    <row r="6597" spans="1:6" ht="12.75" x14ac:dyDescent="0.2">
      <c r="A6597" s="451"/>
      <c r="B6597" s="451"/>
      <c r="C6597" s="451"/>
      <c r="D6597" s="451"/>
      <c r="E6597" s="468"/>
      <c r="F6597" s="468"/>
    </row>
    <row r="6598" spans="1:6" ht="12.75" x14ac:dyDescent="0.2">
      <c r="A6598" s="451"/>
      <c r="B6598" s="451"/>
      <c r="C6598" s="451"/>
      <c r="D6598" s="451"/>
      <c r="E6598" s="468"/>
      <c r="F6598" s="468"/>
    </row>
    <row r="6599" spans="1:6" ht="12.75" x14ac:dyDescent="0.2">
      <c r="A6599" s="451"/>
      <c r="B6599" s="451"/>
      <c r="C6599" s="451"/>
      <c r="D6599" s="451"/>
      <c r="E6599" s="468"/>
      <c r="F6599" s="468"/>
    </row>
    <row r="6600" spans="1:6" ht="12.75" x14ac:dyDescent="0.2">
      <c r="A6600" s="451"/>
      <c r="B6600" s="451"/>
      <c r="C6600" s="451"/>
      <c r="D6600" s="451"/>
      <c r="E6600" s="468"/>
      <c r="F6600" s="468"/>
    </row>
    <row r="6601" spans="1:6" ht="12.75" x14ac:dyDescent="0.2">
      <c r="A6601" s="451"/>
      <c r="B6601" s="451"/>
      <c r="C6601" s="451"/>
      <c r="D6601" s="451"/>
      <c r="E6601" s="468"/>
      <c r="F6601" s="468"/>
    </row>
    <row r="6602" spans="1:6" ht="12.75" x14ac:dyDescent="0.2">
      <c r="A6602" s="451"/>
      <c r="B6602" s="451"/>
      <c r="C6602" s="451"/>
      <c r="D6602" s="451"/>
      <c r="E6602" s="468"/>
      <c r="F6602" s="468"/>
    </row>
    <row r="6603" spans="1:6" ht="12.75" x14ac:dyDescent="0.2">
      <c r="A6603" s="451"/>
      <c r="B6603" s="451"/>
      <c r="C6603" s="451"/>
      <c r="D6603" s="451"/>
      <c r="E6603" s="468"/>
      <c r="F6603" s="468"/>
    </row>
    <row r="6604" spans="1:6" ht="12.75" x14ac:dyDescent="0.2">
      <c r="A6604" s="451"/>
      <c r="B6604" s="451"/>
      <c r="C6604" s="451"/>
      <c r="D6604" s="451"/>
      <c r="E6604" s="468"/>
      <c r="F6604" s="468"/>
    </row>
    <row r="6605" spans="1:6" ht="12.75" x14ac:dyDescent="0.2">
      <c r="A6605" s="451"/>
      <c r="B6605" s="451"/>
      <c r="C6605" s="451"/>
      <c r="D6605" s="451"/>
      <c r="E6605" s="468"/>
      <c r="F6605" s="468"/>
    </row>
    <row r="6606" spans="1:6" ht="12.75" x14ac:dyDescent="0.2">
      <c r="A6606" s="451"/>
      <c r="B6606" s="451"/>
      <c r="C6606" s="451"/>
      <c r="D6606" s="451"/>
      <c r="E6606" s="468"/>
      <c r="F6606" s="468"/>
    </row>
    <row r="6607" spans="1:6" ht="12.75" x14ac:dyDescent="0.2">
      <c r="A6607" s="451"/>
      <c r="B6607" s="451"/>
      <c r="C6607" s="451"/>
      <c r="D6607" s="451"/>
      <c r="E6607" s="468"/>
      <c r="F6607" s="468"/>
    </row>
    <row r="6608" spans="1:6" ht="12.75" x14ac:dyDescent="0.2">
      <c r="A6608" s="451"/>
      <c r="B6608" s="451"/>
      <c r="C6608" s="451"/>
      <c r="D6608" s="451"/>
      <c r="E6608" s="468"/>
      <c r="F6608" s="468"/>
    </row>
    <row r="6609" spans="1:6" ht="12.75" x14ac:dyDescent="0.2">
      <c r="A6609" s="451"/>
      <c r="B6609" s="451"/>
      <c r="C6609" s="451"/>
      <c r="D6609" s="451"/>
      <c r="E6609" s="468"/>
      <c r="F6609" s="468"/>
    </row>
    <row r="6610" spans="1:6" ht="12.75" x14ac:dyDescent="0.2">
      <c r="A6610" s="451"/>
      <c r="B6610" s="451"/>
      <c r="C6610" s="451"/>
      <c r="D6610" s="451"/>
      <c r="E6610" s="468"/>
      <c r="F6610" s="468"/>
    </row>
    <row r="6611" spans="1:6" ht="12.75" x14ac:dyDescent="0.2">
      <c r="A6611" s="451"/>
      <c r="B6611" s="451"/>
      <c r="C6611" s="451"/>
      <c r="D6611" s="451"/>
      <c r="E6611" s="468"/>
      <c r="F6611" s="468"/>
    </row>
    <row r="6612" spans="1:6" ht="12.75" x14ac:dyDescent="0.2">
      <c r="A6612" s="451"/>
      <c r="B6612" s="451"/>
      <c r="C6612" s="451"/>
      <c r="D6612" s="451"/>
      <c r="E6612" s="468"/>
      <c r="F6612" s="468"/>
    </row>
    <row r="6613" spans="1:6" ht="12.75" x14ac:dyDescent="0.2">
      <c r="A6613" s="451"/>
      <c r="B6613" s="451"/>
      <c r="C6613" s="451"/>
      <c r="D6613" s="451"/>
      <c r="E6613" s="468"/>
      <c r="F6613" s="468"/>
    </row>
    <row r="6614" spans="1:6" ht="12.75" x14ac:dyDescent="0.2">
      <c r="A6614" s="451"/>
      <c r="B6614" s="451"/>
      <c r="C6614" s="451"/>
      <c r="D6614" s="451"/>
      <c r="E6614" s="468"/>
      <c r="F6614" s="468"/>
    </row>
    <row r="6615" spans="1:6" ht="12.75" x14ac:dyDescent="0.2">
      <c r="A6615" s="451"/>
      <c r="B6615" s="451"/>
      <c r="C6615" s="451"/>
      <c r="D6615" s="451"/>
      <c r="E6615" s="468"/>
      <c r="F6615" s="468"/>
    </row>
    <row r="6616" spans="1:6" ht="12.75" x14ac:dyDescent="0.2">
      <c r="A6616" s="451"/>
      <c r="B6616" s="451"/>
      <c r="C6616" s="451"/>
      <c r="D6616" s="451"/>
      <c r="E6616" s="468"/>
      <c r="F6616" s="468"/>
    </row>
    <row r="6617" spans="1:6" ht="12.75" x14ac:dyDescent="0.2">
      <c r="A6617" s="451"/>
      <c r="B6617" s="451"/>
      <c r="C6617" s="451"/>
      <c r="D6617" s="451"/>
      <c r="E6617" s="468"/>
      <c r="F6617" s="468"/>
    </row>
    <row r="6618" spans="1:6" ht="12.75" x14ac:dyDescent="0.2">
      <c r="A6618" s="451"/>
      <c r="B6618" s="451"/>
      <c r="C6618" s="451"/>
      <c r="D6618" s="451"/>
      <c r="E6618" s="468"/>
      <c r="F6618" s="468"/>
    </row>
    <row r="6619" spans="1:6" ht="12.75" x14ac:dyDescent="0.2">
      <c r="A6619" s="451"/>
      <c r="B6619" s="451"/>
      <c r="C6619" s="451"/>
      <c r="D6619" s="451"/>
      <c r="E6619" s="468"/>
      <c r="F6619" s="468"/>
    </row>
    <row r="6620" spans="1:6" ht="12.75" x14ac:dyDescent="0.2">
      <c r="A6620" s="451"/>
      <c r="B6620" s="451"/>
      <c r="C6620" s="451"/>
      <c r="D6620" s="451"/>
      <c r="E6620" s="468"/>
      <c r="F6620" s="468"/>
    </row>
    <row r="6621" spans="1:6" ht="12.75" x14ac:dyDescent="0.2">
      <c r="A6621" s="451"/>
      <c r="B6621" s="451"/>
      <c r="C6621" s="451"/>
      <c r="D6621" s="451"/>
      <c r="E6621" s="468"/>
      <c r="F6621" s="468"/>
    </row>
    <row r="6622" spans="1:6" ht="12.75" x14ac:dyDescent="0.2">
      <c r="A6622" s="451"/>
      <c r="B6622" s="451"/>
      <c r="C6622" s="451"/>
      <c r="D6622" s="451"/>
      <c r="E6622" s="468"/>
      <c r="F6622" s="468"/>
    </row>
    <row r="6623" spans="1:6" ht="12.75" x14ac:dyDescent="0.2">
      <c r="A6623" s="451"/>
      <c r="B6623" s="451"/>
      <c r="C6623" s="451"/>
      <c r="D6623" s="451"/>
      <c r="E6623" s="468"/>
      <c r="F6623" s="468"/>
    </row>
    <row r="6624" spans="1:6" ht="12.75" x14ac:dyDescent="0.2">
      <c r="A6624" s="451"/>
      <c r="B6624" s="451"/>
      <c r="C6624" s="451"/>
      <c r="D6624" s="451"/>
      <c r="E6624" s="468"/>
      <c r="F6624" s="468"/>
    </row>
    <row r="6625" spans="1:6" ht="12.75" x14ac:dyDescent="0.2">
      <c r="A6625" s="451"/>
      <c r="B6625" s="451"/>
      <c r="C6625" s="451"/>
      <c r="D6625" s="451"/>
      <c r="E6625" s="468"/>
      <c r="F6625" s="468"/>
    </row>
    <row r="6626" spans="1:6" ht="12.75" x14ac:dyDescent="0.2">
      <c r="A6626" s="451"/>
      <c r="B6626" s="451"/>
      <c r="C6626" s="451"/>
      <c r="D6626" s="451"/>
      <c r="E6626" s="468"/>
      <c r="F6626" s="468"/>
    </row>
    <row r="6627" spans="1:6" ht="12.75" x14ac:dyDescent="0.2">
      <c r="A6627" s="451"/>
      <c r="B6627" s="451"/>
      <c r="C6627" s="451"/>
      <c r="D6627" s="451"/>
      <c r="E6627" s="468"/>
      <c r="F6627" s="468"/>
    </row>
    <row r="6628" spans="1:6" ht="12.75" x14ac:dyDescent="0.2">
      <c r="A6628" s="451"/>
      <c r="B6628" s="451"/>
      <c r="C6628" s="451"/>
      <c r="D6628" s="451"/>
      <c r="E6628" s="468"/>
      <c r="F6628" s="468"/>
    </row>
    <row r="6629" spans="1:6" ht="12.75" x14ac:dyDescent="0.2">
      <c r="A6629" s="451"/>
      <c r="B6629" s="451"/>
      <c r="C6629" s="451"/>
      <c r="D6629" s="451"/>
      <c r="E6629" s="468"/>
      <c r="F6629" s="468"/>
    </row>
    <row r="6630" spans="1:6" ht="12.75" x14ac:dyDescent="0.2">
      <c r="A6630" s="451"/>
      <c r="B6630" s="451"/>
      <c r="C6630" s="451"/>
      <c r="D6630" s="451"/>
      <c r="E6630" s="468"/>
      <c r="F6630" s="468"/>
    </row>
    <row r="6631" spans="1:6" ht="12.75" x14ac:dyDescent="0.2">
      <c r="A6631" s="451"/>
      <c r="B6631" s="451"/>
      <c r="C6631" s="451"/>
      <c r="D6631" s="451"/>
      <c r="E6631" s="468"/>
      <c r="F6631" s="468"/>
    </row>
    <row r="6632" spans="1:6" ht="12.75" x14ac:dyDescent="0.2">
      <c r="A6632" s="451"/>
      <c r="B6632" s="451"/>
      <c r="C6632" s="451"/>
      <c r="D6632" s="451"/>
      <c r="E6632" s="468"/>
      <c r="F6632" s="468"/>
    </row>
    <row r="6633" spans="1:6" ht="12.75" x14ac:dyDescent="0.2">
      <c r="A6633" s="451"/>
      <c r="B6633" s="451"/>
      <c r="C6633" s="451"/>
      <c r="D6633" s="451"/>
      <c r="E6633" s="468"/>
      <c r="F6633" s="468"/>
    </row>
    <row r="6634" spans="1:6" ht="12.75" x14ac:dyDescent="0.2">
      <c r="A6634" s="451"/>
      <c r="B6634" s="451"/>
      <c r="C6634" s="451"/>
      <c r="D6634" s="451"/>
      <c r="E6634" s="468"/>
      <c r="F6634" s="468"/>
    </row>
    <row r="6635" spans="1:6" ht="12.75" x14ac:dyDescent="0.2">
      <c r="A6635" s="451"/>
      <c r="B6635" s="451"/>
      <c r="C6635" s="451"/>
      <c r="D6635" s="451"/>
      <c r="E6635" s="468"/>
      <c r="F6635" s="468"/>
    </row>
    <row r="6636" spans="1:6" ht="12.75" x14ac:dyDescent="0.2">
      <c r="A6636" s="451"/>
      <c r="B6636" s="451"/>
      <c r="C6636" s="451"/>
      <c r="D6636" s="451"/>
      <c r="E6636" s="468"/>
      <c r="F6636" s="468"/>
    </row>
    <row r="6637" spans="1:6" ht="12.75" x14ac:dyDescent="0.2">
      <c r="A6637" s="451"/>
      <c r="B6637" s="451"/>
      <c r="C6637" s="451"/>
      <c r="D6637" s="451"/>
      <c r="E6637" s="468"/>
      <c r="F6637" s="468"/>
    </row>
    <row r="6638" spans="1:6" ht="12.75" x14ac:dyDescent="0.2">
      <c r="A6638" s="451"/>
      <c r="B6638" s="451"/>
      <c r="C6638" s="451"/>
      <c r="D6638" s="451"/>
      <c r="E6638" s="468"/>
      <c r="F6638" s="468"/>
    </row>
    <row r="6639" spans="1:6" ht="12.75" x14ac:dyDescent="0.2">
      <c r="A6639" s="451"/>
      <c r="B6639" s="451"/>
      <c r="C6639" s="451"/>
      <c r="D6639" s="451"/>
      <c r="E6639" s="468"/>
      <c r="F6639" s="468"/>
    </row>
    <row r="6640" spans="1:6" ht="12.75" x14ac:dyDescent="0.2">
      <c r="A6640" s="451"/>
      <c r="B6640" s="451"/>
      <c r="C6640" s="451"/>
      <c r="D6640" s="451"/>
      <c r="E6640" s="468"/>
      <c r="F6640" s="468"/>
    </row>
    <row r="6641" spans="1:6" ht="12.75" x14ac:dyDescent="0.2">
      <c r="A6641" s="451"/>
      <c r="B6641" s="451"/>
      <c r="C6641" s="451"/>
      <c r="D6641" s="451"/>
      <c r="E6641" s="468"/>
      <c r="F6641" s="468"/>
    </row>
    <row r="6642" spans="1:6" ht="12.75" x14ac:dyDescent="0.2">
      <c r="A6642" s="451"/>
      <c r="B6642" s="451"/>
      <c r="C6642" s="451"/>
      <c r="D6642" s="451"/>
      <c r="E6642" s="468"/>
      <c r="F6642" s="468"/>
    </row>
    <row r="6643" spans="1:6" ht="12.75" x14ac:dyDescent="0.2">
      <c r="A6643" s="451"/>
      <c r="B6643" s="451"/>
      <c r="C6643" s="451"/>
      <c r="D6643" s="451"/>
      <c r="E6643" s="468"/>
      <c r="F6643" s="468"/>
    </row>
    <row r="6644" spans="1:6" ht="12.75" x14ac:dyDescent="0.2">
      <c r="A6644" s="451"/>
      <c r="B6644" s="451"/>
      <c r="C6644" s="451"/>
      <c r="D6644" s="451"/>
      <c r="E6644" s="468"/>
      <c r="F6644" s="468"/>
    </row>
    <row r="6645" spans="1:6" ht="12.75" x14ac:dyDescent="0.2">
      <c r="A6645" s="451"/>
      <c r="B6645" s="451"/>
      <c r="C6645" s="451"/>
      <c r="D6645" s="451"/>
      <c r="E6645" s="468"/>
      <c r="F6645" s="468"/>
    </row>
    <row r="6646" spans="1:6" ht="12.75" x14ac:dyDescent="0.2">
      <c r="A6646" s="451"/>
      <c r="B6646" s="451"/>
      <c r="C6646" s="451"/>
      <c r="D6646" s="451"/>
      <c r="E6646" s="468"/>
      <c r="F6646" s="468"/>
    </row>
    <row r="6647" spans="1:6" ht="12.75" x14ac:dyDescent="0.2">
      <c r="A6647" s="451"/>
      <c r="B6647" s="451"/>
      <c r="C6647" s="451"/>
      <c r="D6647" s="451"/>
      <c r="E6647" s="468"/>
      <c r="F6647" s="468"/>
    </row>
    <row r="6648" spans="1:6" ht="12.75" x14ac:dyDescent="0.2">
      <c r="A6648" s="451"/>
      <c r="B6648" s="451"/>
      <c r="C6648" s="451"/>
      <c r="D6648" s="451"/>
      <c r="E6648" s="468"/>
      <c r="F6648" s="468"/>
    </row>
    <row r="6649" spans="1:6" ht="12.75" x14ac:dyDescent="0.2">
      <c r="A6649" s="451"/>
      <c r="B6649" s="451"/>
      <c r="C6649" s="451"/>
      <c r="D6649" s="451"/>
      <c r="E6649" s="468"/>
      <c r="F6649" s="468"/>
    </row>
    <row r="6650" spans="1:6" ht="12.75" x14ac:dyDescent="0.2">
      <c r="A6650" s="451"/>
      <c r="B6650" s="451"/>
      <c r="C6650" s="451"/>
      <c r="D6650" s="451"/>
      <c r="E6650" s="468"/>
      <c r="F6650" s="468"/>
    </row>
    <row r="6651" spans="1:6" ht="12.75" x14ac:dyDescent="0.2">
      <c r="A6651" s="451"/>
      <c r="B6651" s="451"/>
      <c r="C6651" s="451"/>
      <c r="D6651" s="451"/>
      <c r="E6651" s="468"/>
      <c r="F6651" s="468"/>
    </row>
    <row r="6652" spans="1:6" ht="12.75" x14ac:dyDescent="0.2">
      <c r="A6652" s="451"/>
      <c r="B6652" s="451"/>
      <c r="C6652" s="451"/>
      <c r="D6652" s="451"/>
      <c r="E6652" s="468"/>
      <c r="F6652" s="468"/>
    </row>
    <row r="6653" spans="1:6" ht="12.75" x14ac:dyDescent="0.2">
      <c r="A6653" s="451"/>
      <c r="B6653" s="451"/>
      <c r="C6653" s="451"/>
      <c r="D6653" s="451"/>
      <c r="E6653" s="468"/>
      <c r="F6653" s="468"/>
    </row>
    <row r="6654" spans="1:6" ht="12.75" x14ac:dyDescent="0.2">
      <c r="A6654" s="451"/>
      <c r="B6654" s="451"/>
      <c r="C6654" s="451"/>
      <c r="D6654" s="451"/>
      <c r="E6654" s="468"/>
      <c r="F6654" s="468"/>
    </row>
    <row r="6655" spans="1:6" ht="12.75" x14ac:dyDescent="0.2">
      <c r="A6655" s="451"/>
      <c r="B6655" s="451"/>
      <c r="C6655" s="451"/>
      <c r="D6655" s="451"/>
      <c r="E6655" s="468"/>
      <c r="F6655" s="468"/>
    </row>
    <row r="6656" spans="1:6" ht="12.75" x14ac:dyDescent="0.2">
      <c r="A6656" s="451"/>
      <c r="B6656" s="451"/>
      <c r="C6656" s="451"/>
      <c r="D6656" s="451"/>
      <c r="E6656" s="468"/>
      <c r="F6656" s="468"/>
    </row>
    <row r="6657" spans="1:6" ht="12.75" x14ac:dyDescent="0.2">
      <c r="A6657" s="451"/>
      <c r="B6657" s="451"/>
      <c r="C6657" s="451"/>
      <c r="D6657" s="451"/>
      <c r="E6657" s="468"/>
      <c r="F6657" s="468"/>
    </row>
    <row r="6658" spans="1:6" ht="12.75" x14ac:dyDescent="0.2">
      <c r="A6658" s="451"/>
      <c r="B6658" s="451"/>
      <c r="C6658" s="451"/>
      <c r="D6658" s="451"/>
      <c r="E6658" s="468"/>
      <c r="F6658" s="468"/>
    </row>
    <row r="6659" spans="1:6" ht="12.75" x14ac:dyDescent="0.2">
      <c r="A6659" s="451"/>
      <c r="B6659" s="451"/>
      <c r="C6659" s="451"/>
      <c r="D6659" s="451"/>
      <c r="E6659" s="468"/>
      <c r="F6659" s="468"/>
    </row>
    <row r="6660" spans="1:6" ht="12.75" x14ac:dyDescent="0.2">
      <c r="A6660" s="451"/>
      <c r="B6660" s="451"/>
      <c r="C6660" s="451"/>
      <c r="D6660" s="451"/>
      <c r="E6660" s="468"/>
      <c r="F6660" s="468"/>
    </row>
    <row r="6661" spans="1:6" ht="12.75" x14ac:dyDescent="0.2">
      <c r="A6661" s="451"/>
      <c r="B6661" s="451"/>
      <c r="C6661" s="451"/>
      <c r="D6661" s="451"/>
      <c r="E6661" s="468"/>
      <c r="F6661" s="468"/>
    </row>
    <row r="6662" spans="1:6" ht="12.75" x14ac:dyDescent="0.2">
      <c r="A6662" s="451"/>
      <c r="B6662" s="451"/>
      <c r="C6662" s="451"/>
      <c r="D6662" s="451"/>
      <c r="E6662" s="468"/>
      <c r="F6662" s="468"/>
    </row>
    <row r="6663" spans="1:6" ht="12.75" x14ac:dyDescent="0.2">
      <c r="A6663" s="451"/>
      <c r="B6663" s="451"/>
      <c r="C6663" s="451"/>
      <c r="D6663" s="451"/>
      <c r="E6663" s="468"/>
      <c r="F6663" s="468"/>
    </row>
    <row r="6664" spans="1:6" ht="12.75" x14ac:dyDescent="0.2">
      <c r="A6664" s="451"/>
      <c r="B6664" s="451"/>
      <c r="C6664" s="451"/>
      <c r="D6664" s="451"/>
      <c r="E6664" s="468"/>
      <c r="F6664" s="468"/>
    </row>
    <row r="6665" spans="1:6" ht="12.75" x14ac:dyDescent="0.2">
      <c r="A6665" s="451"/>
      <c r="B6665" s="451"/>
      <c r="C6665" s="451"/>
      <c r="D6665" s="451"/>
      <c r="E6665" s="468"/>
      <c r="F6665" s="468"/>
    </row>
    <row r="6666" spans="1:6" ht="12.75" x14ac:dyDescent="0.2">
      <c r="A6666" s="451"/>
      <c r="B6666" s="451"/>
      <c r="C6666" s="451"/>
      <c r="D6666" s="451"/>
      <c r="E6666" s="468"/>
      <c r="F6666" s="468"/>
    </row>
    <row r="6667" spans="1:6" ht="12.75" x14ac:dyDescent="0.2">
      <c r="A6667" s="451"/>
      <c r="B6667" s="451"/>
      <c r="C6667" s="451"/>
      <c r="D6667" s="451"/>
      <c r="E6667" s="468"/>
      <c r="F6667" s="468"/>
    </row>
    <row r="6668" spans="1:6" ht="12.75" x14ac:dyDescent="0.2">
      <c r="A6668" s="451"/>
      <c r="B6668" s="451"/>
      <c r="C6668" s="451"/>
      <c r="D6668" s="451"/>
      <c r="E6668" s="468"/>
      <c r="F6668" s="468"/>
    </row>
    <row r="6669" spans="1:6" ht="12.75" x14ac:dyDescent="0.2">
      <c r="A6669" s="451"/>
      <c r="B6669" s="451"/>
      <c r="C6669" s="451"/>
      <c r="D6669" s="451"/>
      <c r="E6669" s="468"/>
      <c r="F6669" s="468"/>
    </row>
    <row r="6670" spans="1:6" ht="12.75" x14ac:dyDescent="0.2">
      <c r="A6670" s="451"/>
      <c r="B6670" s="451"/>
      <c r="C6670" s="451"/>
      <c r="D6670" s="451"/>
      <c r="E6670" s="468"/>
      <c r="F6670" s="468"/>
    </row>
    <row r="6671" spans="1:6" ht="12.75" x14ac:dyDescent="0.2">
      <c r="A6671" s="451"/>
      <c r="B6671" s="451"/>
      <c r="C6671" s="451"/>
      <c r="D6671" s="451"/>
      <c r="E6671" s="468"/>
      <c r="F6671" s="468"/>
    </row>
    <row r="6672" spans="1:6" ht="12.75" x14ac:dyDescent="0.2">
      <c r="A6672" s="451"/>
      <c r="B6672" s="451"/>
      <c r="C6672" s="451"/>
      <c r="D6672" s="451"/>
      <c r="E6672" s="468"/>
      <c r="F6672" s="468"/>
    </row>
    <row r="6673" spans="1:6" ht="12.75" x14ac:dyDescent="0.2">
      <c r="A6673" s="451"/>
      <c r="B6673" s="451"/>
      <c r="C6673" s="451"/>
      <c r="D6673" s="451"/>
      <c r="E6673" s="468"/>
      <c r="F6673" s="468"/>
    </row>
    <row r="6674" spans="1:6" ht="12.75" x14ac:dyDescent="0.2">
      <c r="A6674" s="451"/>
      <c r="B6674" s="451"/>
      <c r="C6674" s="451"/>
      <c r="D6674" s="451"/>
      <c r="E6674" s="468"/>
      <c r="F6674" s="468"/>
    </row>
    <row r="6675" spans="1:6" ht="12.75" x14ac:dyDescent="0.2">
      <c r="A6675" s="451"/>
      <c r="B6675" s="451"/>
      <c r="C6675" s="451"/>
      <c r="D6675" s="451"/>
      <c r="E6675" s="468"/>
      <c r="F6675" s="468"/>
    </row>
    <row r="6676" spans="1:6" ht="12.75" x14ac:dyDescent="0.2">
      <c r="A6676" s="451"/>
      <c r="B6676" s="451"/>
      <c r="C6676" s="451"/>
      <c r="D6676" s="451"/>
      <c r="E6676" s="468"/>
      <c r="F6676" s="468"/>
    </row>
    <row r="6677" spans="1:6" ht="12.75" x14ac:dyDescent="0.2">
      <c r="A6677" s="451"/>
      <c r="B6677" s="451"/>
      <c r="C6677" s="451"/>
      <c r="D6677" s="451"/>
      <c r="E6677" s="468"/>
      <c r="F6677" s="468"/>
    </row>
    <row r="6678" spans="1:6" ht="12.75" x14ac:dyDescent="0.2">
      <c r="A6678" s="451"/>
      <c r="B6678" s="451"/>
      <c r="C6678" s="451"/>
      <c r="D6678" s="451"/>
      <c r="E6678" s="468"/>
      <c r="F6678" s="468"/>
    </row>
    <row r="6679" spans="1:6" ht="12.75" x14ac:dyDescent="0.2">
      <c r="A6679" s="451"/>
      <c r="B6679" s="451"/>
      <c r="C6679" s="451"/>
      <c r="D6679" s="451"/>
      <c r="E6679" s="468"/>
      <c r="F6679" s="468"/>
    </row>
    <row r="6680" spans="1:6" ht="12.75" x14ac:dyDescent="0.2">
      <c r="A6680" s="451"/>
      <c r="B6680" s="451"/>
      <c r="C6680" s="451"/>
      <c r="D6680" s="451"/>
      <c r="E6680" s="468"/>
      <c r="F6680" s="468"/>
    </row>
    <row r="6681" spans="1:6" ht="12.75" x14ac:dyDescent="0.2">
      <c r="A6681" s="451"/>
      <c r="B6681" s="451"/>
      <c r="C6681" s="451"/>
      <c r="D6681" s="451"/>
      <c r="E6681" s="468"/>
      <c r="F6681" s="468"/>
    </row>
    <row r="6682" spans="1:6" ht="12.75" x14ac:dyDescent="0.2">
      <c r="A6682" s="451"/>
      <c r="B6682" s="451"/>
      <c r="C6682" s="451"/>
      <c r="D6682" s="451"/>
      <c r="E6682" s="468"/>
      <c r="F6682" s="468"/>
    </row>
    <row r="6683" spans="1:6" ht="12.75" x14ac:dyDescent="0.2">
      <c r="A6683" s="451"/>
      <c r="B6683" s="451"/>
      <c r="C6683" s="451"/>
      <c r="D6683" s="451"/>
      <c r="E6683" s="468"/>
      <c r="F6683" s="468"/>
    </row>
    <row r="6684" spans="1:6" ht="12.75" x14ac:dyDescent="0.2">
      <c r="A6684" s="451"/>
      <c r="B6684" s="451"/>
      <c r="C6684" s="451"/>
      <c r="D6684" s="451"/>
      <c r="E6684" s="468"/>
      <c r="F6684" s="468"/>
    </row>
    <row r="6685" spans="1:6" ht="12.75" x14ac:dyDescent="0.2">
      <c r="A6685" s="451"/>
      <c r="B6685" s="451"/>
      <c r="C6685" s="451"/>
      <c r="D6685" s="451"/>
      <c r="E6685" s="468"/>
      <c r="F6685" s="468"/>
    </row>
    <row r="6686" spans="1:6" ht="12.75" x14ac:dyDescent="0.2">
      <c r="A6686" s="451"/>
      <c r="B6686" s="451"/>
      <c r="C6686" s="451"/>
      <c r="D6686" s="451"/>
      <c r="E6686" s="468"/>
      <c r="F6686" s="468"/>
    </row>
    <row r="6687" spans="1:6" ht="12.75" x14ac:dyDescent="0.2">
      <c r="A6687" s="451"/>
      <c r="B6687" s="451"/>
      <c r="C6687" s="451"/>
      <c r="D6687" s="451"/>
      <c r="E6687" s="468"/>
      <c r="F6687" s="468"/>
    </row>
    <row r="6688" spans="1:6" ht="12.75" x14ac:dyDescent="0.2">
      <c r="A6688" s="451"/>
      <c r="B6688" s="451"/>
      <c r="C6688" s="451"/>
      <c r="D6688" s="451"/>
      <c r="E6688" s="468"/>
      <c r="F6688" s="468"/>
    </row>
    <row r="6689" spans="1:6" ht="12.75" x14ac:dyDescent="0.2">
      <c r="A6689" s="451"/>
      <c r="B6689" s="451"/>
      <c r="C6689" s="451"/>
      <c r="D6689" s="451"/>
      <c r="E6689" s="468"/>
      <c r="F6689" s="468"/>
    </row>
    <row r="6690" spans="1:6" ht="12.75" x14ac:dyDescent="0.2">
      <c r="A6690" s="451"/>
      <c r="B6690" s="451"/>
      <c r="C6690" s="451"/>
      <c r="D6690" s="451"/>
      <c r="E6690" s="468"/>
      <c r="F6690" s="468"/>
    </row>
    <row r="6691" spans="1:6" ht="12.75" x14ac:dyDescent="0.2">
      <c r="A6691" s="451"/>
      <c r="B6691" s="451"/>
      <c r="C6691" s="451"/>
      <c r="D6691" s="451"/>
      <c r="E6691" s="468"/>
      <c r="F6691" s="468"/>
    </row>
    <row r="6692" spans="1:6" ht="12.75" x14ac:dyDescent="0.2">
      <c r="A6692" s="451"/>
      <c r="B6692" s="451"/>
      <c r="C6692" s="451"/>
      <c r="D6692" s="451"/>
      <c r="E6692" s="468"/>
      <c r="F6692" s="468"/>
    </row>
    <row r="6693" spans="1:6" ht="12.75" x14ac:dyDescent="0.2">
      <c r="A6693" s="451"/>
      <c r="B6693" s="451"/>
      <c r="C6693" s="451"/>
      <c r="D6693" s="451"/>
      <c r="E6693" s="468"/>
      <c r="F6693" s="468"/>
    </row>
    <row r="6694" spans="1:6" ht="12.75" x14ac:dyDescent="0.2">
      <c r="A6694" s="451"/>
      <c r="B6694" s="451"/>
      <c r="C6694" s="451"/>
      <c r="D6694" s="451"/>
      <c r="E6694" s="468"/>
      <c r="F6694" s="468"/>
    </row>
    <row r="6695" spans="1:6" ht="12.75" x14ac:dyDescent="0.2">
      <c r="A6695" s="451"/>
      <c r="B6695" s="451"/>
      <c r="C6695" s="451"/>
      <c r="D6695" s="451"/>
      <c r="E6695" s="468"/>
      <c r="F6695" s="468"/>
    </row>
    <row r="6696" spans="1:6" ht="12.75" x14ac:dyDescent="0.2">
      <c r="A6696" s="451"/>
      <c r="B6696" s="451"/>
      <c r="C6696" s="451"/>
      <c r="D6696" s="451"/>
      <c r="E6696" s="468"/>
      <c r="F6696" s="468"/>
    </row>
    <row r="6697" spans="1:6" ht="12.75" x14ac:dyDescent="0.2">
      <c r="A6697" s="451"/>
      <c r="B6697" s="451"/>
      <c r="C6697" s="451"/>
      <c r="D6697" s="451"/>
      <c r="E6697" s="468"/>
      <c r="F6697" s="468"/>
    </row>
    <row r="6698" spans="1:6" ht="12.75" x14ac:dyDescent="0.2">
      <c r="A6698" s="451"/>
      <c r="B6698" s="451"/>
      <c r="C6698" s="451"/>
      <c r="D6698" s="451"/>
      <c r="E6698" s="468"/>
      <c r="F6698" s="468"/>
    </row>
    <row r="6699" spans="1:6" ht="12.75" x14ac:dyDescent="0.2">
      <c r="A6699" s="451"/>
      <c r="B6699" s="451"/>
      <c r="C6699" s="451"/>
      <c r="D6699" s="451"/>
      <c r="E6699" s="468"/>
      <c r="F6699" s="468"/>
    </row>
    <row r="6700" spans="1:6" ht="12.75" x14ac:dyDescent="0.2">
      <c r="A6700" s="451"/>
      <c r="B6700" s="451"/>
      <c r="C6700" s="451"/>
      <c r="D6700" s="451"/>
      <c r="E6700" s="468"/>
      <c r="F6700" s="468"/>
    </row>
    <row r="6701" spans="1:6" ht="12.75" x14ac:dyDescent="0.2">
      <c r="A6701" s="451"/>
      <c r="B6701" s="451"/>
      <c r="C6701" s="451"/>
      <c r="D6701" s="451"/>
      <c r="E6701" s="468"/>
      <c r="F6701" s="468"/>
    </row>
    <row r="6702" spans="1:6" ht="12.75" x14ac:dyDescent="0.2">
      <c r="A6702" s="451"/>
      <c r="B6702" s="451"/>
      <c r="C6702" s="451"/>
      <c r="D6702" s="451"/>
      <c r="E6702" s="468"/>
      <c r="F6702" s="468"/>
    </row>
    <row r="6703" spans="1:6" ht="12.75" x14ac:dyDescent="0.2">
      <c r="A6703" s="451"/>
      <c r="B6703" s="451"/>
      <c r="C6703" s="451"/>
      <c r="D6703" s="451"/>
      <c r="E6703" s="468"/>
      <c r="F6703" s="468"/>
    </row>
    <row r="6704" spans="1:6" ht="12.75" x14ac:dyDescent="0.2">
      <c r="A6704" s="451"/>
      <c r="B6704" s="451"/>
      <c r="C6704" s="451"/>
      <c r="D6704" s="451"/>
      <c r="E6704" s="468"/>
      <c r="F6704" s="468"/>
    </row>
    <row r="6705" spans="1:6" ht="12.75" x14ac:dyDescent="0.2">
      <c r="A6705" s="451"/>
      <c r="B6705" s="451"/>
      <c r="C6705" s="451"/>
      <c r="D6705" s="451"/>
      <c r="E6705" s="468"/>
      <c r="F6705" s="468"/>
    </row>
    <row r="6706" spans="1:6" ht="12.75" x14ac:dyDescent="0.2">
      <c r="A6706" s="451"/>
      <c r="B6706" s="451"/>
      <c r="C6706" s="451"/>
      <c r="D6706" s="451"/>
      <c r="E6706" s="468"/>
      <c r="F6706" s="468"/>
    </row>
    <row r="6707" spans="1:6" ht="12.75" x14ac:dyDescent="0.2">
      <c r="A6707" s="451"/>
      <c r="B6707" s="451"/>
      <c r="C6707" s="451"/>
      <c r="D6707" s="451"/>
      <c r="E6707" s="468"/>
      <c r="F6707" s="468"/>
    </row>
    <row r="6708" spans="1:6" ht="12.75" x14ac:dyDescent="0.2">
      <c r="A6708" s="451"/>
      <c r="B6708" s="451"/>
      <c r="C6708" s="451"/>
      <c r="D6708" s="451"/>
      <c r="E6708" s="468"/>
      <c r="F6708" s="468"/>
    </row>
    <row r="6709" spans="1:6" ht="12.75" x14ac:dyDescent="0.2">
      <c r="A6709" s="451"/>
      <c r="B6709" s="451"/>
      <c r="C6709" s="451"/>
      <c r="D6709" s="451"/>
      <c r="E6709" s="468"/>
      <c r="F6709" s="468"/>
    </row>
    <row r="6710" spans="1:6" ht="12.75" x14ac:dyDescent="0.2">
      <c r="A6710" s="451"/>
      <c r="B6710" s="451"/>
      <c r="C6710" s="451"/>
      <c r="D6710" s="451"/>
      <c r="E6710" s="468"/>
      <c r="F6710" s="468"/>
    </row>
    <row r="6711" spans="1:6" ht="12.75" x14ac:dyDescent="0.2">
      <c r="A6711" s="451"/>
      <c r="B6711" s="451"/>
      <c r="C6711" s="451"/>
      <c r="D6711" s="451"/>
      <c r="E6711" s="468"/>
      <c r="F6711" s="468"/>
    </row>
    <row r="6712" spans="1:6" ht="12.75" x14ac:dyDescent="0.2">
      <c r="A6712" s="451"/>
      <c r="B6712" s="451"/>
      <c r="C6712" s="451"/>
      <c r="D6712" s="451"/>
      <c r="E6712" s="468"/>
      <c r="F6712" s="468"/>
    </row>
    <row r="6713" spans="1:6" ht="12.75" x14ac:dyDescent="0.2">
      <c r="A6713" s="451"/>
      <c r="B6713" s="451"/>
      <c r="C6713" s="451"/>
      <c r="D6713" s="451"/>
      <c r="E6713" s="468"/>
      <c r="F6713" s="468"/>
    </row>
    <row r="6714" spans="1:6" ht="12.75" x14ac:dyDescent="0.2">
      <c r="A6714" s="451"/>
      <c r="B6714" s="451"/>
      <c r="C6714" s="451"/>
      <c r="D6714" s="451"/>
      <c r="E6714" s="468"/>
      <c r="F6714" s="468"/>
    </row>
    <row r="6715" spans="1:6" ht="12.75" x14ac:dyDescent="0.2">
      <c r="A6715" s="451"/>
      <c r="B6715" s="451"/>
      <c r="C6715" s="451"/>
      <c r="D6715" s="451"/>
      <c r="E6715" s="468"/>
      <c r="F6715" s="468"/>
    </row>
    <row r="6716" spans="1:6" ht="12.75" x14ac:dyDescent="0.2">
      <c r="A6716" s="451"/>
      <c r="B6716" s="451"/>
      <c r="C6716" s="451"/>
      <c r="D6716" s="451"/>
      <c r="E6716" s="468"/>
      <c r="F6716" s="468"/>
    </row>
    <row r="6717" spans="1:6" ht="12.75" x14ac:dyDescent="0.2">
      <c r="A6717" s="451"/>
      <c r="B6717" s="451"/>
      <c r="C6717" s="451"/>
      <c r="D6717" s="451"/>
      <c r="E6717" s="468"/>
      <c r="F6717" s="468"/>
    </row>
    <row r="6718" spans="1:6" ht="12.75" x14ac:dyDescent="0.2">
      <c r="A6718" s="451"/>
      <c r="B6718" s="451"/>
      <c r="C6718" s="451"/>
      <c r="D6718" s="451"/>
      <c r="E6718" s="468"/>
      <c r="F6718" s="468"/>
    </row>
    <row r="6719" spans="1:6" ht="12.75" x14ac:dyDescent="0.2">
      <c r="A6719" s="451"/>
      <c r="B6719" s="451"/>
      <c r="C6719" s="451"/>
      <c r="D6719" s="451"/>
      <c r="E6719" s="468"/>
      <c r="F6719" s="468"/>
    </row>
    <row r="6720" spans="1:6" ht="12.75" x14ac:dyDescent="0.2">
      <c r="A6720" s="451"/>
      <c r="B6720" s="451"/>
      <c r="C6720" s="451"/>
      <c r="D6720" s="451"/>
      <c r="E6720" s="468"/>
      <c r="F6720" s="468"/>
    </row>
    <row r="6721" spans="1:6" ht="12.75" x14ac:dyDescent="0.2">
      <c r="A6721" s="451"/>
      <c r="B6721" s="451"/>
      <c r="C6721" s="451"/>
      <c r="D6721" s="451"/>
      <c r="E6721" s="468"/>
      <c r="F6721" s="468"/>
    </row>
    <row r="6722" spans="1:6" ht="12.75" x14ac:dyDescent="0.2">
      <c r="A6722" s="451"/>
      <c r="B6722" s="451"/>
      <c r="C6722" s="451"/>
      <c r="D6722" s="451"/>
      <c r="E6722" s="468"/>
      <c r="F6722" s="468"/>
    </row>
    <row r="6723" spans="1:6" ht="12.75" x14ac:dyDescent="0.2">
      <c r="A6723" s="451"/>
      <c r="B6723" s="451"/>
      <c r="C6723" s="451"/>
      <c r="D6723" s="451"/>
      <c r="E6723" s="468"/>
      <c r="F6723" s="468"/>
    </row>
    <row r="6724" spans="1:6" ht="12.75" x14ac:dyDescent="0.2">
      <c r="A6724" s="451"/>
      <c r="B6724" s="451"/>
      <c r="C6724" s="451"/>
      <c r="D6724" s="451"/>
      <c r="E6724" s="468"/>
      <c r="F6724" s="468"/>
    </row>
    <row r="6725" spans="1:6" ht="12.75" x14ac:dyDescent="0.2">
      <c r="A6725" s="451"/>
      <c r="B6725" s="451"/>
      <c r="C6725" s="451"/>
      <c r="D6725" s="451"/>
      <c r="E6725" s="468"/>
      <c r="F6725" s="468"/>
    </row>
    <row r="6726" spans="1:6" ht="12.75" x14ac:dyDescent="0.2">
      <c r="A6726" s="451"/>
      <c r="B6726" s="451"/>
      <c r="C6726" s="451"/>
      <c r="D6726" s="451"/>
      <c r="E6726" s="468"/>
      <c r="F6726" s="468"/>
    </row>
    <row r="6727" spans="1:6" ht="12.75" x14ac:dyDescent="0.2">
      <c r="A6727" s="451"/>
      <c r="B6727" s="451"/>
      <c r="C6727" s="451"/>
      <c r="D6727" s="451"/>
      <c r="E6727" s="468"/>
      <c r="F6727" s="468"/>
    </row>
    <row r="6728" spans="1:6" ht="12.75" x14ac:dyDescent="0.2">
      <c r="A6728" s="451"/>
      <c r="B6728" s="451"/>
      <c r="C6728" s="451"/>
      <c r="D6728" s="451"/>
      <c r="E6728" s="468"/>
      <c r="F6728" s="468"/>
    </row>
    <row r="6729" spans="1:6" ht="12.75" x14ac:dyDescent="0.2">
      <c r="A6729" s="451"/>
      <c r="B6729" s="451"/>
      <c r="C6729" s="451"/>
      <c r="D6729" s="451"/>
      <c r="E6729" s="468"/>
      <c r="F6729" s="468"/>
    </row>
    <row r="6730" spans="1:6" ht="12.75" x14ac:dyDescent="0.2">
      <c r="A6730" s="451"/>
      <c r="B6730" s="451"/>
      <c r="C6730" s="451"/>
      <c r="D6730" s="451"/>
      <c r="E6730" s="468"/>
      <c r="F6730" s="468"/>
    </row>
    <row r="6731" spans="1:6" ht="12.75" x14ac:dyDescent="0.2">
      <c r="A6731" s="451"/>
      <c r="B6731" s="451"/>
      <c r="C6731" s="451"/>
      <c r="D6731" s="451"/>
      <c r="E6731" s="468"/>
      <c r="F6731" s="468"/>
    </row>
    <row r="6732" spans="1:6" ht="12.75" x14ac:dyDescent="0.2">
      <c r="A6732" s="451"/>
      <c r="B6732" s="451"/>
      <c r="C6732" s="451"/>
      <c r="D6732" s="451"/>
      <c r="E6732" s="468"/>
      <c r="F6732" s="468"/>
    </row>
    <row r="6733" spans="1:6" ht="12.75" x14ac:dyDescent="0.2">
      <c r="A6733" s="451"/>
      <c r="B6733" s="451"/>
      <c r="C6733" s="451"/>
      <c r="D6733" s="451"/>
      <c r="E6733" s="468"/>
      <c r="F6733" s="468"/>
    </row>
    <row r="6734" spans="1:6" ht="12.75" x14ac:dyDescent="0.2">
      <c r="A6734" s="451"/>
      <c r="B6734" s="451"/>
      <c r="C6734" s="451"/>
      <c r="D6734" s="451"/>
      <c r="E6734" s="468"/>
      <c r="F6734" s="468"/>
    </row>
    <row r="6735" spans="1:6" ht="12.75" x14ac:dyDescent="0.2">
      <c r="A6735" s="451"/>
      <c r="B6735" s="451"/>
      <c r="C6735" s="451"/>
      <c r="D6735" s="451"/>
      <c r="E6735" s="468"/>
      <c r="F6735" s="468"/>
    </row>
    <row r="6736" spans="1:6" ht="12.75" x14ac:dyDescent="0.2">
      <c r="A6736" s="451"/>
      <c r="B6736" s="451"/>
      <c r="C6736" s="451"/>
      <c r="D6736" s="451"/>
      <c r="E6736" s="468"/>
      <c r="F6736" s="468"/>
    </row>
    <row r="6737" spans="1:6" ht="12.75" x14ac:dyDescent="0.2">
      <c r="A6737" s="451"/>
      <c r="B6737" s="451"/>
      <c r="C6737" s="451"/>
      <c r="D6737" s="451"/>
      <c r="E6737" s="468"/>
      <c r="F6737" s="468"/>
    </row>
    <row r="6738" spans="1:6" ht="12.75" x14ac:dyDescent="0.2">
      <c r="A6738" s="451"/>
      <c r="B6738" s="451"/>
      <c r="C6738" s="451"/>
      <c r="D6738" s="451"/>
      <c r="E6738" s="468"/>
      <c r="F6738" s="468"/>
    </row>
    <row r="6739" spans="1:6" ht="12.75" x14ac:dyDescent="0.2">
      <c r="A6739" s="451"/>
      <c r="B6739" s="451"/>
      <c r="C6739" s="451"/>
      <c r="D6739" s="451"/>
      <c r="E6739" s="468"/>
      <c r="F6739" s="468"/>
    </row>
    <row r="6740" spans="1:6" ht="12.75" x14ac:dyDescent="0.2">
      <c r="A6740" s="451"/>
      <c r="B6740" s="451"/>
      <c r="C6740" s="451"/>
      <c r="D6740" s="451"/>
      <c r="E6740" s="468"/>
      <c r="F6740" s="468"/>
    </row>
    <row r="6741" spans="1:6" ht="12.75" x14ac:dyDescent="0.2">
      <c r="A6741" s="451"/>
      <c r="B6741" s="451"/>
      <c r="C6741" s="451"/>
      <c r="D6741" s="451"/>
      <c r="E6741" s="468"/>
      <c r="F6741" s="468"/>
    </row>
    <row r="6742" spans="1:6" ht="12.75" x14ac:dyDescent="0.2">
      <c r="A6742" s="451"/>
      <c r="B6742" s="451"/>
      <c r="C6742" s="451"/>
      <c r="D6742" s="451"/>
      <c r="E6742" s="468"/>
      <c r="F6742" s="468"/>
    </row>
    <row r="6743" spans="1:6" ht="12.75" x14ac:dyDescent="0.2">
      <c r="A6743" s="451"/>
      <c r="B6743" s="451"/>
      <c r="C6743" s="451"/>
      <c r="D6743" s="451"/>
      <c r="E6743" s="468"/>
      <c r="F6743" s="468"/>
    </row>
    <row r="6744" spans="1:6" ht="12.75" x14ac:dyDescent="0.2">
      <c r="A6744" s="451"/>
      <c r="B6744" s="451"/>
      <c r="C6744" s="451"/>
      <c r="D6744" s="451"/>
      <c r="E6744" s="468"/>
      <c r="F6744" s="468"/>
    </row>
    <row r="6745" spans="1:6" ht="12.75" x14ac:dyDescent="0.2">
      <c r="A6745" s="451"/>
      <c r="B6745" s="451"/>
      <c r="C6745" s="451"/>
      <c r="D6745" s="451"/>
      <c r="E6745" s="468"/>
      <c r="F6745" s="468"/>
    </row>
    <row r="6746" spans="1:6" ht="12.75" x14ac:dyDescent="0.2">
      <c r="A6746" s="451"/>
      <c r="B6746" s="451"/>
      <c r="C6746" s="451"/>
      <c r="D6746" s="451"/>
      <c r="E6746" s="468"/>
      <c r="F6746" s="468"/>
    </row>
    <row r="6747" spans="1:6" ht="12.75" x14ac:dyDescent="0.2">
      <c r="A6747" s="451"/>
      <c r="B6747" s="451"/>
      <c r="C6747" s="451"/>
      <c r="D6747" s="451"/>
      <c r="E6747" s="468"/>
      <c r="F6747" s="468"/>
    </row>
    <row r="6748" spans="1:6" ht="12.75" x14ac:dyDescent="0.2">
      <c r="A6748" s="451"/>
      <c r="B6748" s="451"/>
      <c r="C6748" s="451"/>
      <c r="D6748" s="451"/>
      <c r="E6748" s="468"/>
      <c r="F6748" s="468"/>
    </row>
    <row r="6749" spans="1:6" ht="12.75" x14ac:dyDescent="0.2">
      <c r="A6749" s="451"/>
      <c r="B6749" s="451"/>
      <c r="C6749" s="451"/>
      <c r="D6749" s="451"/>
      <c r="E6749" s="468"/>
      <c r="F6749" s="468"/>
    </row>
    <row r="6750" spans="1:6" ht="12.75" x14ac:dyDescent="0.2">
      <c r="A6750" s="451"/>
      <c r="B6750" s="451"/>
      <c r="C6750" s="451"/>
      <c r="D6750" s="451"/>
      <c r="E6750" s="468"/>
      <c r="F6750" s="468"/>
    </row>
    <row r="6751" spans="1:6" ht="12.75" x14ac:dyDescent="0.2">
      <c r="A6751" s="451"/>
      <c r="B6751" s="451"/>
      <c r="C6751" s="451"/>
      <c r="D6751" s="451"/>
      <c r="E6751" s="468"/>
      <c r="F6751" s="468"/>
    </row>
    <row r="6752" spans="1:6" ht="12.75" x14ac:dyDescent="0.2">
      <c r="A6752" s="451"/>
      <c r="B6752" s="451"/>
      <c r="C6752" s="451"/>
      <c r="D6752" s="451"/>
      <c r="E6752" s="468"/>
      <c r="F6752" s="468"/>
    </row>
    <row r="6753" spans="1:6" ht="12.75" x14ac:dyDescent="0.2">
      <c r="A6753" s="451"/>
      <c r="B6753" s="451"/>
      <c r="C6753" s="451"/>
      <c r="D6753" s="451"/>
      <c r="E6753" s="468"/>
      <c r="F6753" s="468"/>
    </row>
    <row r="6754" spans="1:6" ht="12.75" x14ac:dyDescent="0.2">
      <c r="A6754" s="451"/>
      <c r="B6754" s="451"/>
      <c r="C6754" s="451"/>
      <c r="D6754" s="451"/>
      <c r="E6754" s="468"/>
      <c r="F6754" s="468"/>
    </row>
    <row r="6755" spans="1:6" ht="12.75" x14ac:dyDescent="0.2">
      <c r="A6755" s="451"/>
      <c r="B6755" s="451"/>
      <c r="C6755" s="451"/>
      <c r="D6755" s="451"/>
      <c r="E6755" s="468"/>
      <c r="F6755" s="468"/>
    </row>
    <row r="6756" spans="1:6" ht="12.75" x14ac:dyDescent="0.2">
      <c r="A6756" s="451"/>
      <c r="B6756" s="451"/>
      <c r="C6756" s="451"/>
      <c r="D6756" s="451"/>
      <c r="E6756" s="468"/>
      <c r="F6756" s="468"/>
    </row>
    <row r="6757" spans="1:6" ht="12.75" x14ac:dyDescent="0.2">
      <c r="A6757" s="451"/>
      <c r="B6757" s="451"/>
      <c r="C6757" s="451"/>
      <c r="D6757" s="451"/>
      <c r="E6757" s="468"/>
      <c r="F6757" s="468"/>
    </row>
    <row r="6758" spans="1:6" ht="12.75" x14ac:dyDescent="0.2">
      <c r="A6758" s="451"/>
      <c r="B6758" s="451"/>
      <c r="C6758" s="451"/>
      <c r="D6758" s="451"/>
      <c r="E6758" s="468"/>
      <c r="F6758" s="468"/>
    </row>
    <row r="6759" spans="1:6" ht="12.75" x14ac:dyDescent="0.2">
      <c r="A6759" s="451"/>
      <c r="B6759" s="451"/>
      <c r="C6759" s="451"/>
      <c r="D6759" s="451"/>
      <c r="E6759" s="468"/>
      <c r="F6759" s="468"/>
    </row>
    <row r="6760" spans="1:6" ht="12.75" x14ac:dyDescent="0.2">
      <c r="A6760" s="451"/>
      <c r="B6760" s="451"/>
      <c r="C6760" s="451"/>
      <c r="D6760" s="451"/>
      <c r="E6760" s="468"/>
      <c r="F6760" s="468"/>
    </row>
    <row r="6761" spans="1:6" ht="12.75" x14ac:dyDescent="0.2">
      <c r="A6761" s="451"/>
      <c r="B6761" s="451"/>
      <c r="C6761" s="451"/>
      <c r="D6761" s="451"/>
      <c r="E6761" s="468"/>
      <c r="F6761" s="468"/>
    </row>
    <row r="6762" spans="1:6" ht="12.75" x14ac:dyDescent="0.2">
      <c r="A6762" s="451"/>
      <c r="B6762" s="451"/>
      <c r="C6762" s="451"/>
      <c r="D6762" s="451"/>
      <c r="E6762" s="468"/>
      <c r="F6762" s="468"/>
    </row>
    <row r="6763" spans="1:6" ht="12.75" x14ac:dyDescent="0.2">
      <c r="A6763" s="451"/>
      <c r="B6763" s="451"/>
      <c r="C6763" s="451"/>
      <c r="D6763" s="451"/>
      <c r="E6763" s="468"/>
      <c r="F6763" s="468"/>
    </row>
    <row r="6764" spans="1:6" ht="12.75" x14ac:dyDescent="0.2">
      <c r="A6764" s="451"/>
      <c r="B6764" s="451"/>
      <c r="C6764" s="451"/>
      <c r="D6764" s="451"/>
      <c r="E6764" s="468"/>
      <c r="F6764" s="468"/>
    </row>
    <row r="6765" spans="1:6" ht="12.75" x14ac:dyDescent="0.2">
      <c r="A6765" s="451"/>
      <c r="B6765" s="451"/>
      <c r="C6765" s="451"/>
      <c r="D6765" s="451"/>
      <c r="E6765" s="468"/>
      <c r="F6765" s="468"/>
    </row>
    <row r="6766" spans="1:6" ht="12.75" x14ac:dyDescent="0.2">
      <c r="A6766" s="451"/>
      <c r="B6766" s="451"/>
      <c r="C6766" s="451"/>
      <c r="D6766" s="451"/>
      <c r="E6766" s="468"/>
      <c r="F6766" s="468"/>
    </row>
    <row r="6767" spans="1:6" ht="12.75" x14ac:dyDescent="0.2">
      <c r="A6767" s="451"/>
      <c r="B6767" s="451"/>
      <c r="C6767" s="451"/>
      <c r="D6767" s="451"/>
      <c r="E6767" s="468"/>
      <c r="F6767" s="468"/>
    </row>
    <row r="6768" spans="1:6" ht="12.75" x14ac:dyDescent="0.2">
      <c r="A6768" s="451"/>
      <c r="B6768" s="451"/>
      <c r="C6768" s="451"/>
      <c r="D6768" s="451"/>
      <c r="E6768" s="468"/>
      <c r="F6768" s="468"/>
    </row>
    <row r="6769" spans="1:6" ht="12.75" x14ac:dyDescent="0.2">
      <c r="A6769" s="451"/>
      <c r="B6769" s="451"/>
      <c r="C6769" s="451"/>
      <c r="D6769" s="451"/>
      <c r="E6769" s="468"/>
      <c r="F6769" s="468"/>
    </row>
    <row r="6770" spans="1:6" ht="12.75" x14ac:dyDescent="0.2">
      <c r="A6770" s="451"/>
      <c r="B6770" s="451"/>
      <c r="C6770" s="451"/>
      <c r="D6770" s="451"/>
      <c r="E6770" s="468"/>
      <c r="F6770" s="468"/>
    </row>
    <row r="6771" spans="1:6" ht="12.75" x14ac:dyDescent="0.2">
      <c r="A6771" s="451"/>
      <c r="B6771" s="451"/>
      <c r="C6771" s="451"/>
      <c r="D6771" s="451"/>
      <c r="E6771" s="468"/>
      <c r="F6771" s="468"/>
    </row>
    <row r="6772" spans="1:6" ht="12.75" x14ac:dyDescent="0.2">
      <c r="A6772" s="451"/>
      <c r="B6772" s="451"/>
      <c r="C6772" s="451"/>
      <c r="D6772" s="451"/>
      <c r="E6772" s="468"/>
      <c r="F6772" s="468"/>
    </row>
    <row r="6773" spans="1:6" ht="12.75" x14ac:dyDescent="0.2">
      <c r="A6773" s="451"/>
      <c r="B6773" s="451"/>
      <c r="C6773" s="451"/>
      <c r="D6773" s="451"/>
      <c r="E6773" s="468"/>
      <c r="F6773" s="468"/>
    </row>
    <row r="6774" spans="1:6" ht="12.75" x14ac:dyDescent="0.2">
      <c r="A6774" s="451"/>
      <c r="B6774" s="451"/>
      <c r="C6774" s="451"/>
      <c r="D6774" s="451"/>
      <c r="E6774" s="468"/>
      <c r="F6774" s="468"/>
    </row>
    <row r="6775" spans="1:6" ht="12.75" x14ac:dyDescent="0.2">
      <c r="A6775" s="451"/>
      <c r="B6775" s="451"/>
      <c r="C6775" s="451"/>
      <c r="D6775" s="451"/>
      <c r="E6775" s="468"/>
      <c r="F6775" s="468"/>
    </row>
    <row r="6776" spans="1:6" ht="12.75" x14ac:dyDescent="0.2">
      <c r="A6776" s="451"/>
      <c r="B6776" s="451"/>
      <c r="C6776" s="451"/>
      <c r="D6776" s="451"/>
      <c r="E6776" s="468"/>
      <c r="F6776" s="468"/>
    </row>
    <row r="6777" spans="1:6" ht="12.75" x14ac:dyDescent="0.2">
      <c r="A6777" s="451"/>
      <c r="B6777" s="451"/>
      <c r="C6777" s="451"/>
      <c r="D6777" s="451"/>
      <c r="E6777" s="468"/>
      <c r="F6777" s="468"/>
    </row>
    <row r="6778" spans="1:6" ht="12.75" x14ac:dyDescent="0.2">
      <c r="A6778" s="451"/>
      <c r="B6778" s="451"/>
      <c r="C6778" s="451"/>
      <c r="D6778" s="451"/>
      <c r="E6778" s="468"/>
      <c r="F6778" s="468"/>
    </row>
    <row r="6779" spans="1:6" ht="12.75" x14ac:dyDescent="0.2">
      <c r="A6779" s="451"/>
      <c r="B6779" s="451"/>
      <c r="C6779" s="451"/>
      <c r="D6779" s="451"/>
      <c r="E6779" s="468"/>
      <c r="F6779" s="468"/>
    </row>
    <row r="6780" spans="1:6" ht="12.75" x14ac:dyDescent="0.2">
      <c r="A6780" s="451"/>
      <c r="B6780" s="451"/>
      <c r="C6780" s="451"/>
      <c r="D6780" s="451"/>
      <c r="E6780" s="468"/>
      <c r="F6780" s="468"/>
    </row>
    <row r="6781" spans="1:6" ht="12.75" x14ac:dyDescent="0.2">
      <c r="A6781" s="451"/>
      <c r="B6781" s="451"/>
      <c r="C6781" s="451"/>
      <c r="D6781" s="451"/>
      <c r="E6781" s="468"/>
      <c r="F6781" s="468"/>
    </row>
    <row r="6782" spans="1:6" ht="12.75" x14ac:dyDescent="0.2">
      <c r="A6782" s="451"/>
      <c r="B6782" s="451"/>
      <c r="C6782" s="451"/>
      <c r="D6782" s="451"/>
      <c r="E6782" s="468"/>
      <c r="F6782" s="468"/>
    </row>
    <row r="6783" spans="1:6" ht="12.75" x14ac:dyDescent="0.2">
      <c r="A6783" s="451"/>
      <c r="B6783" s="451"/>
      <c r="C6783" s="451"/>
      <c r="D6783" s="451"/>
      <c r="E6783" s="468"/>
      <c r="F6783" s="468"/>
    </row>
    <row r="6784" spans="1:6" ht="12.75" x14ac:dyDescent="0.2">
      <c r="A6784" s="451"/>
      <c r="B6784" s="451"/>
      <c r="C6784" s="451"/>
      <c r="D6784" s="451"/>
      <c r="E6784" s="468"/>
      <c r="F6784" s="468"/>
    </row>
    <row r="6785" spans="1:6" ht="12.75" x14ac:dyDescent="0.2">
      <c r="A6785" s="451"/>
      <c r="B6785" s="451"/>
      <c r="C6785" s="451"/>
      <c r="D6785" s="451"/>
      <c r="E6785" s="468"/>
      <c r="F6785" s="468"/>
    </row>
    <row r="6786" spans="1:6" ht="12.75" x14ac:dyDescent="0.2">
      <c r="A6786" s="451"/>
      <c r="B6786" s="451"/>
      <c r="C6786" s="451"/>
      <c r="D6786" s="451"/>
      <c r="E6786" s="468"/>
      <c r="F6786" s="468"/>
    </row>
    <row r="6787" spans="1:6" ht="12.75" x14ac:dyDescent="0.2">
      <c r="A6787" s="451"/>
      <c r="B6787" s="451"/>
      <c r="C6787" s="451"/>
      <c r="D6787" s="451"/>
      <c r="E6787" s="468"/>
      <c r="F6787" s="468"/>
    </row>
    <row r="6788" spans="1:6" ht="12.75" x14ac:dyDescent="0.2">
      <c r="A6788" s="451"/>
      <c r="B6788" s="451"/>
      <c r="C6788" s="451"/>
      <c r="D6788" s="451"/>
      <c r="E6788" s="468"/>
      <c r="F6788" s="468"/>
    </row>
    <row r="6789" spans="1:6" ht="12.75" x14ac:dyDescent="0.2">
      <c r="A6789" s="451"/>
      <c r="B6789" s="451"/>
      <c r="C6789" s="451"/>
      <c r="D6789" s="451"/>
      <c r="E6789" s="468"/>
      <c r="F6789" s="468"/>
    </row>
    <row r="6790" spans="1:6" ht="12.75" x14ac:dyDescent="0.2">
      <c r="A6790" s="451"/>
      <c r="B6790" s="451"/>
      <c r="C6790" s="451"/>
      <c r="D6790" s="451"/>
      <c r="E6790" s="468"/>
      <c r="F6790" s="468"/>
    </row>
    <row r="6791" spans="1:6" ht="12.75" x14ac:dyDescent="0.2">
      <c r="A6791" s="451"/>
      <c r="B6791" s="451"/>
      <c r="C6791" s="451"/>
      <c r="D6791" s="451"/>
      <c r="E6791" s="468"/>
      <c r="F6791" s="468"/>
    </row>
    <row r="6792" spans="1:6" ht="12.75" x14ac:dyDescent="0.2">
      <c r="A6792" s="451"/>
      <c r="B6792" s="451"/>
      <c r="C6792" s="451"/>
      <c r="D6792" s="451"/>
      <c r="E6792" s="468"/>
      <c r="F6792" s="468"/>
    </row>
    <row r="6793" spans="1:6" ht="12.75" x14ac:dyDescent="0.2">
      <c r="A6793" s="451"/>
      <c r="B6793" s="451"/>
      <c r="C6793" s="451"/>
      <c r="D6793" s="451"/>
      <c r="E6793" s="468"/>
      <c r="F6793" s="468"/>
    </row>
    <row r="6794" spans="1:6" ht="12.75" x14ac:dyDescent="0.2">
      <c r="A6794" s="451"/>
      <c r="B6794" s="451"/>
      <c r="C6794" s="451"/>
      <c r="D6794" s="451"/>
      <c r="E6794" s="468"/>
      <c r="F6794" s="468"/>
    </row>
    <row r="6795" spans="1:6" ht="12.75" x14ac:dyDescent="0.2">
      <c r="A6795" s="451"/>
      <c r="B6795" s="451"/>
      <c r="C6795" s="451"/>
      <c r="D6795" s="451"/>
      <c r="E6795" s="468"/>
      <c r="F6795" s="468"/>
    </row>
    <row r="6796" spans="1:6" ht="12.75" x14ac:dyDescent="0.2">
      <c r="A6796" s="451"/>
      <c r="B6796" s="451"/>
      <c r="C6796" s="451"/>
      <c r="D6796" s="451"/>
      <c r="E6796" s="468"/>
      <c r="F6796" s="468"/>
    </row>
    <row r="6797" spans="1:6" ht="12.75" x14ac:dyDescent="0.2">
      <c r="A6797" s="451"/>
      <c r="B6797" s="451"/>
      <c r="C6797" s="451"/>
      <c r="D6797" s="451"/>
      <c r="E6797" s="468"/>
      <c r="F6797" s="468"/>
    </row>
    <row r="6798" spans="1:6" ht="12.75" x14ac:dyDescent="0.2">
      <c r="A6798" s="451"/>
      <c r="B6798" s="451"/>
      <c r="C6798" s="451"/>
      <c r="D6798" s="451"/>
      <c r="E6798" s="468"/>
      <c r="F6798" s="468"/>
    </row>
    <row r="6799" spans="1:6" ht="12.75" x14ac:dyDescent="0.2">
      <c r="A6799" s="451"/>
      <c r="B6799" s="451"/>
      <c r="C6799" s="451"/>
      <c r="D6799" s="451"/>
      <c r="E6799" s="468"/>
      <c r="F6799" s="468"/>
    </row>
    <row r="6800" spans="1:6" ht="12.75" x14ac:dyDescent="0.2">
      <c r="A6800" s="451"/>
      <c r="B6800" s="451"/>
      <c r="C6800" s="451"/>
      <c r="D6800" s="451"/>
      <c r="E6800" s="468"/>
      <c r="F6800" s="468"/>
    </row>
    <row r="6801" spans="1:6" ht="12.75" x14ac:dyDescent="0.2">
      <c r="A6801" s="451"/>
      <c r="B6801" s="451"/>
      <c r="C6801" s="451"/>
      <c r="D6801" s="451"/>
      <c r="E6801" s="468"/>
      <c r="F6801" s="468"/>
    </row>
    <row r="6802" spans="1:6" ht="12.75" x14ac:dyDescent="0.2">
      <c r="A6802" s="451"/>
      <c r="B6802" s="451"/>
      <c r="C6802" s="451"/>
      <c r="D6802" s="451"/>
      <c r="E6802" s="468"/>
      <c r="F6802" s="468"/>
    </row>
    <row r="6803" spans="1:6" ht="12.75" x14ac:dyDescent="0.2">
      <c r="A6803" s="451"/>
      <c r="B6803" s="451"/>
      <c r="C6803" s="451"/>
      <c r="D6803" s="451"/>
      <c r="E6803" s="468"/>
      <c r="F6803" s="468"/>
    </row>
    <row r="6804" spans="1:6" ht="12.75" x14ac:dyDescent="0.2">
      <c r="A6804" s="451"/>
      <c r="B6804" s="451"/>
      <c r="C6804" s="451"/>
      <c r="D6804" s="451"/>
      <c r="E6804" s="468"/>
      <c r="F6804" s="468"/>
    </row>
    <row r="6805" spans="1:6" ht="12.75" x14ac:dyDescent="0.2">
      <c r="A6805" s="451"/>
      <c r="B6805" s="451"/>
      <c r="C6805" s="451"/>
      <c r="D6805" s="451"/>
      <c r="E6805" s="468"/>
      <c r="F6805" s="468"/>
    </row>
    <row r="6806" spans="1:6" ht="12.75" x14ac:dyDescent="0.2">
      <c r="A6806" s="451"/>
      <c r="B6806" s="451"/>
      <c r="C6806" s="451"/>
      <c r="D6806" s="451"/>
      <c r="E6806" s="468"/>
      <c r="F6806" s="468"/>
    </row>
    <row r="6807" spans="1:6" ht="12.75" x14ac:dyDescent="0.2">
      <c r="A6807" s="451"/>
      <c r="B6807" s="451"/>
      <c r="C6807" s="451"/>
      <c r="D6807" s="451"/>
      <c r="E6807" s="468"/>
      <c r="F6807" s="468"/>
    </row>
    <row r="6808" spans="1:6" ht="12.75" x14ac:dyDescent="0.2">
      <c r="A6808" s="451"/>
      <c r="B6808" s="451"/>
      <c r="C6808" s="451"/>
      <c r="D6808" s="451"/>
      <c r="E6808" s="468"/>
      <c r="F6808" s="468"/>
    </row>
    <row r="6809" spans="1:6" ht="12.75" x14ac:dyDescent="0.2">
      <c r="A6809" s="451"/>
      <c r="B6809" s="451"/>
      <c r="C6809" s="451"/>
      <c r="D6809" s="451"/>
      <c r="E6809" s="468"/>
      <c r="F6809" s="468"/>
    </row>
    <row r="6810" spans="1:6" ht="12.75" x14ac:dyDescent="0.2">
      <c r="A6810" s="451"/>
      <c r="B6810" s="451"/>
      <c r="C6810" s="451"/>
      <c r="D6810" s="451"/>
      <c r="E6810" s="468"/>
      <c r="F6810" s="468"/>
    </row>
    <row r="6811" spans="1:6" ht="12.75" x14ac:dyDescent="0.2">
      <c r="A6811" s="451"/>
      <c r="B6811" s="451"/>
      <c r="C6811" s="451"/>
      <c r="D6811" s="451"/>
      <c r="E6811" s="468"/>
      <c r="F6811" s="468"/>
    </row>
    <row r="6812" spans="1:6" ht="12.75" x14ac:dyDescent="0.2">
      <c r="A6812" s="451"/>
      <c r="B6812" s="451"/>
      <c r="C6812" s="451"/>
      <c r="D6812" s="451"/>
      <c r="E6812" s="468"/>
      <c r="F6812" s="468"/>
    </row>
    <row r="6813" spans="1:6" ht="12.75" x14ac:dyDescent="0.2">
      <c r="A6813" s="451"/>
      <c r="B6813" s="451"/>
      <c r="C6813" s="451"/>
      <c r="D6813" s="451"/>
      <c r="E6813" s="468"/>
      <c r="F6813" s="468"/>
    </row>
    <row r="6814" spans="1:6" ht="12.75" x14ac:dyDescent="0.2">
      <c r="A6814" s="451"/>
      <c r="B6814" s="451"/>
      <c r="C6814" s="451"/>
      <c r="D6814" s="451"/>
      <c r="E6814" s="468"/>
      <c r="F6814" s="468"/>
    </row>
    <row r="6815" spans="1:6" ht="12.75" x14ac:dyDescent="0.2">
      <c r="A6815" s="451"/>
      <c r="B6815" s="451"/>
      <c r="C6815" s="451"/>
      <c r="D6815" s="451"/>
      <c r="E6815" s="468"/>
      <c r="F6815" s="468"/>
    </row>
    <row r="6816" spans="1:6" ht="12.75" x14ac:dyDescent="0.2">
      <c r="A6816" s="451"/>
      <c r="B6816" s="451"/>
      <c r="C6816" s="451"/>
      <c r="D6816" s="451"/>
      <c r="E6816" s="468"/>
      <c r="F6816" s="468"/>
    </row>
    <row r="6817" spans="1:6" ht="12.75" x14ac:dyDescent="0.2">
      <c r="A6817" s="451"/>
      <c r="B6817" s="451"/>
      <c r="C6817" s="451"/>
      <c r="D6817" s="451"/>
      <c r="E6817" s="468"/>
      <c r="F6817" s="468"/>
    </row>
    <row r="6818" spans="1:6" ht="12.75" x14ac:dyDescent="0.2">
      <c r="A6818" s="451"/>
      <c r="B6818" s="451"/>
      <c r="C6818" s="451"/>
      <c r="D6818" s="451"/>
      <c r="E6818" s="468"/>
      <c r="F6818" s="468"/>
    </row>
    <row r="6819" spans="1:6" ht="12.75" x14ac:dyDescent="0.2">
      <c r="A6819" s="451"/>
      <c r="B6819" s="451"/>
      <c r="C6819" s="451"/>
      <c r="D6819" s="451"/>
      <c r="E6819" s="468"/>
      <c r="F6819" s="468"/>
    </row>
    <row r="6820" spans="1:6" ht="12.75" x14ac:dyDescent="0.2">
      <c r="A6820" s="451"/>
      <c r="B6820" s="451"/>
      <c r="C6820" s="451"/>
      <c r="D6820" s="451"/>
      <c r="E6820" s="468"/>
      <c r="F6820" s="468"/>
    </row>
    <row r="6821" spans="1:6" ht="12.75" x14ac:dyDescent="0.2">
      <c r="A6821" s="451"/>
      <c r="B6821" s="451"/>
      <c r="C6821" s="451"/>
      <c r="D6821" s="451"/>
      <c r="E6821" s="468"/>
      <c r="F6821" s="468"/>
    </row>
    <row r="6822" spans="1:6" ht="12.75" x14ac:dyDescent="0.2">
      <c r="A6822" s="451"/>
      <c r="B6822" s="451"/>
      <c r="C6822" s="451"/>
      <c r="D6822" s="451"/>
      <c r="E6822" s="468"/>
      <c r="F6822" s="468"/>
    </row>
    <row r="6823" spans="1:6" ht="12.75" x14ac:dyDescent="0.2">
      <c r="A6823" s="451"/>
      <c r="B6823" s="451"/>
      <c r="C6823" s="451"/>
      <c r="D6823" s="451"/>
      <c r="E6823" s="468"/>
      <c r="F6823" s="468"/>
    </row>
    <row r="6824" spans="1:6" ht="12.75" x14ac:dyDescent="0.2">
      <c r="A6824" s="451"/>
      <c r="B6824" s="451"/>
      <c r="C6824" s="451"/>
      <c r="D6824" s="451"/>
      <c r="E6824" s="468"/>
      <c r="F6824" s="468"/>
    </row>
    <row r="6825" spans="1:6" ht="12.75" x14ac:dyDescent="0.2">
      <c r="A6825" s="451"/>
      <c r="B6825" s="451"/>
      <c r="C6825" s="451"/>
      <c r="D6825" s="451"/>
      <c r="E6825" s="468"/>
      <c r="F6825" s="468"/>
    </row>
    <row r="6826" spans="1:6" ht="12.75" x14ac:dyDescent="0.2">
      <c r="A6826" s="451"/>
      <c r="B6826" s="451"/>
      <c r="C6826" s="451"/>
      <c r="D6826" s="451"/>
      <c r="E6826" s="468"/>
      <c r="F6826" s="468"/>
    </row>
    <row r="6827" spans="1:6" ht="12.75" x14ac:dyDescent="0.2">
      <c r="A6827" s="451"/>
      <c r="B6827" s="451"/>
      <c r="C6827" s="451"/>
      <c r="D6827" s="451"/>
      <c r="E6827" s="468"/>
      <c r="F6827" s="468"/>
    </row>
    <row r="6828" spans="1:6" ht="12.75" x14ac:dyDescent="0.2">
      <c r="A6828" s="451"/>
      <c r="B6828" s="451"/>
      <c r="C6828" s="451"/>
      <c r="D6828" s="451"/>
      <c r="E6828" s="468"/>
      <c r="F6828" s="468"/>
    </row>
    <row r="6829" spans="1:6" ht="12.75" x14ac:dyDescent="0.2">
      <c r="A6829" s="451"/>
      <c r="B6829" s="451"/>
      <c r="C6829" s="451"/>
      <c r="D6829" s="451"/>
      <c r="E6829" s="468"/>
      <c r="F6829" s="468"/>
    </row>
    <row r="6830" spans="1:6" ht="12.75" x14ac:dyDescent="0.2">
      <c r="A6830" s="451"/>
      <c r="B6830" s="451"/>
      <c r="C6830" s="451"/>
      <c r="D6830" s="451"/>
      <c r="E6830" s="468"/>
      <c r="F6830" s="468"/>
    </row>
    <row r="6831" spans="1:6" ht="12.75" x14ac:dyDescent="0.2">
      <c r="A6831" s="451"/>
      <c r="B6831" s="451"/>
      <c r="C6831" s="451"/>
      <c r="D6831" s="451"/>
      <c r="E6831" s="468"/>
      <c r="F6831" s="468"/>
    </row>
    <row r="6832" spans="1:6" ht="12.75" x14ac:dyDescent="0.2">
      <c r="A6832" s="451"/>
      <c r="B6832" s="451"/>
      <c r="C6832" s="451"/>
      <c r="D6832" s="451"/>
      <c r="E6832" s="468"/>
      <c r="F6832" s="468"/>
    </row>
    <row r="6833" spans="1:6" ht="12.75" x14ac:dyDescent="0.2">
      <c r="A6833" s="451"/>
      <c r="B6833" s="451"/>
      <c r="C6833" s="451"/>
      <c r="D6833" s="451"/>
      <c r="E6833" s="468"/>
      <c r="F6833" s="468"/>
    </row>
    <row r="6834" spans="1:6" ht="12.75" x14ac:dyDescent="0.2">
      <c r="A6834" s="451"/>
      <c r="B6834" s="451"/>
      <c r="C6834" s="451"/>
      <c r="D6834" s="451"/>
      <c r="E6834" s="468"/>
      <c r="F6834" s="468"/>
    </row>
    <row r="6835" spans="1:6" ht="12.75" x14ac:dyDescent="0.2">
      <c r="A6835" s="451"/>
      <c r="B6835" s="451"/>
      <c r="C6835" s="451"/>
      <c r="D6835" s="451"/>
      <c r="E6835" s="468"/>
      <c r="F6835" s="468"/>
    </row>
    <row r="6836" spans="1:6" ht="12.75" x14ac:dyDescent="0.2">
      <c r="A6836" s="451"/>
      <c r="B6836" s="451"/>
      <c r="C6836" s="451"/>
      <c r="D6836" s="451"/>
      <c r="E6836" s="468"/>
      <c r="F6836" s="468"/>
    </row>
    <row r="6837" spans="1:6" ht="12.75" x14ac:dyDescent="0.2">
      <c r="A6837" s="451"/>
      <c r="B6837" s="451"/>
      <c r="C6837" s="451"/>
      <c r="D6837" s="451"/>
      <c r="E6837" s="468"/>
      <c r="F6837" s="468"/>
    </row>
    <row r="6838" spans="1:6" ht="12.75" x14ac:dyDescent="0.2">
      <c r="A6838" s="451"/>
      <c r="B6838" s="451"/>
      <c r="C6838" s="451"/>
      <c r="D6838" s="451"/>
      <c r="E6838" s="468"/>
      <c r="F6838" s="468"/>
    </row>
    <row r="6839" spans="1:6" ht="12.75" x14ac:dyDescent="0.2">
      <c r="A6839" s="451"/>
      <c r="B6839" s="451"/>
      <c r="C6839" s="451"/>
      <c r="D6839" s="451"/>
      <c r="E6839" s="468"/>
      <c r="F6839" s="468"/>
    </row>
    <row r="6840" spans="1:6" ht="12.75" x14ac:dyDescent="0.2">
      <c r="A6840" s="451"/>
      <c r="B6840" s="451"/>
      <c r="C6840" s="451"/>
      <c r="D6840" s="451"/>
      <c r="E6840" s="468"/>
      <c r="F6840" s="468"/>
    </row>
    <row r="6841" spans="1:6" ht="12.75" x14ac:dyDescent="0.2">
      <c r="A6841" s="451"/>
      <c r="B6841" s="451"/>
      <c r="C6841" s="451"/>
      <c r="D6841" s="451"/>
      <c r="E6841" s="468"/>
      <c r="F6841" s="468"/>
    </row>
    <row r="6842" spans="1:6" ht="12.75" x14ac:dyDescent="0.2">
      <c r="A6842" s="451"/>
      <c r="B6842" s="451"/>
      <c r="C6842" s="451"/>
      <c r="D6842" s="451"/>
      <c r="E6842" s="468"/>
      <c r="F6842" s="468"/>
    </row>
    <row r="6843" spans="1:6" ht="12.75" x14ac:dyDescent="0.2">
      <c r="A6843" s="451"/>
      <c r="B6843" s="451"/>
      <c r="C6843" s="451"/>
      <c r="D6843" s="451"/>
      <c r="E6843" s="468"/>
      <c r="F6843" s="468"/>
    </row>
    <row r="6844" spans="1:6" ht="12.75" x14ac:dyDescent="0.2">
      <c r="A6844" s="451"/>
      <c r="B6844" s="451"/>
      <c r="C6844" s="451"/>
      <c r="D6844" s="451"/>
      <c r="E6844" s="468"/>
      <c r="F6844" s="468"/>
    </row>
    <row r="6845" spans="1:6" ht="12.75" x14ac:dyDescent="0.2">
      <c r="A6845" s="451"/>
      <c r="B6845" s="451"/>
      <c r="C6845" s="451"/>
      <c r="D6845" s="451"/>
      <c r="E6845" s="468"/>
      <c r="F6845" s="468"/>
    </row>
    <row r="6846" spans="1:6" ht="12.75" x14ac:dyDescent="0.2">
      <c r="A6846" s="451"/>
      <c r="B6846" s="451"/>
      <c r="C6846" s="451"/>
      <c r="D6846" s="451"/>
      <c r="E6846" s="468"/>
      <c r="F6846" s="468"/>
    </row>
    <row r="6847" spans="1:6" ht="12.75" x14ac:dyDescent="0.2">
      <c r="A6847" s="451"/>
      <c r="B6847" s="451"/>
      <c r="C6847" s="451"/>
      <c r="D6847" s="451"/>
      <c r="E6847" s="468"/>
      <c r="F6847" s="468"/>
    </row>
    <row r="6848" spans="1:6" ht="12.75" x14ac:dyDescent="0.2">
      <c r="A6848" s="451"/>
      <c r="B6848" s="451"/>
      <c r="C6848" s="451"/>
      <c r="D6848" s="451"/>
      <c r="E6848" s="468"/>
      <c r="F6848" s="468"/>
    </row>
    <row r="6849" spans="1:6" ht="12.75" x14ac:dyDescent="0.2">
      <c r="A6849" s="451"/>
      <c r="B6849" s="451"/>
      <c r="C6849" s="451"/>
      <c r="D6849" s="451"/>
      <c r="E6849" s="468"/>
      <c r="F6849" s="468"/>
    </row>
    <row r="6850" spans="1:6" ht="12.75" x14ac:dyDescent="0.2">
      <c r="A6850" s="451"/>
      <c r="B6850" s="451"/>
      <c r="C6850" s="451"/>
      <c r="D6850" s="451"/>
      <c r="E6850" s="468"/>
      <c r="F6850" s="468"/>
    </row>
    <row r="6851" spans="1:6" ht="12.75" x14ac:dyDescent="0.2">
      <c r="A6851" s="451"/>
      <c r="B6851" s="451"/>
      <c r="C6851" s="451"/>
      <c r="D6851" s="451"/>
      <c r="E6851" s="468"/>
      <c r="F6851" s="468"/>
    </row>
    <row r="6852" spans="1:6" ht="12.75" x14ac:dyDescent="0.2">
      <c r="A6852" s="451"/>
      <c r="B6852" s="451"/>
      <c r="C6852" s="451"/>
      <c r="D6852" s="451"/>
      <c r="E6852" s="468"/>
      <c r="F6852" s="468"/>
    </row>
    <row r="6853" spans="1:6" ht="12.75" x14ac:dyDescent="0.2">
      <c r="A6853" s="451"/>
      <c r="B6853" s="451"/>
      <c r="C6853" s="451"/>
      <c r="D6853" s="451"/>
      <c r="E6853" s="468"/>
      <c r="F6853" s="468"/>
    </row>
    <row r="6854" spans="1:6" ht="12.75" x14ac:dyDescent="0.2">
      <c r="A6854" s="451"/>
      <c r="B6854" s="451"/>
      <c r="C6854" s="451"/>
      <c r="D6854" s="451"/>
      <c r="E6854" s="468"/>
      <c r="F6854" s="468"/>
    </row>
    <row r="6855" spans="1:6" ht="12.75" x14ac:dyDescent="0.2">
      <c r="A6855" s="451"/>
      <c r="B6855" s="451"/>
      <c r="C6855" s="451"/>
      <c r="D6855" s="451"/>
      <c r="E6855" s="468"/>
      <c r="F6855" s="468"/>
    </row>
    <row r="6856" spans="1:6" ht="12.75" x14ac:dyDescent="0.2">
      <c r="A6856" s="451"/>
      <c r="B6856" s="451"/>
      <c r="C6856" s="451"/>
      <c r="D6856" s="451"/>
      <c r="E6856" s="468"/>
      <c r="F6856" s="468"/>
    </row>
    <row r="6857" spans="1:6" ht="12.75" x14ac:dyDescent="0.2">
      <c r="A6857" s="451"/>
      <c r="B6857" s="451"/>
      <c r="C6857" s="451"/>
      <c r="D6857" s="451"/>
      <c r="E6857" s="468"/>
      <c r="F6857" s="468"/>
    </row>
    <row r="6858" spans="1:6" ht="12.75" x14ac:dyDescent="0.2">
      <c r="A6858" s="451"/>
      <c r="B6858" s="451"/>
      <c r="C6858" s="451"/>
      <c r="D6858" s="451"/>
      <c r="E6858" s="468"/>
      <c r="F6858" s="468"/>
    </row>
    <row r="6859" spans="1:6" ht="12.75" x14ac:dyDescent="0.2">
      <c r="A6859" s="451"/>
      <c r="B6859" s="451"/>
      <c r="C6859" s="451"/>
      <c r="D6859" s="451"/>
      <c r="E6859" s="468"/>
      <c r="F6859" s="468"/>
    </row>
    <row r="6860" spans="1:6" ht="12.75" x14ac:dyDescent="0.2">
      <c r="A6860" s="451"/>
      <c r="B6860" s="451"/>
      <c r="C6860" s="451"/>
      <c r="D6860" s="451"/>
      <c r="E6860" s="468"/>
      <c r="F6860" s="468"/>
    </row>
    <row r="6861" spans="1:6" ht="12.75" x14ac:dyDescent="0.2">
      <c r="A6861" s="451"/>
      <c r="B6861" s="451"/>
      <c r="C6861" s="451"/>
      <c r="D6861" s="451"/>
      <c r="E6861" s="468"/>
      <c r="F6861" s="468"/>
    </row>
    <row r="6862" spans="1:6" ht="12.75" x14ac:dyDescent="0.2">
      <c r="A6862" s="451"/>
      <c r="B6862" s="451"/>
      <c r="C6862" s="451"/>
      <c r="D6862" s="451"/>
      <c r="E6862" s="468"/>
      <c r="F6862" s="468"/>
    </row>
    <row r="6863" spans="1:6" ht="12.75" x14ac:dyDescent="0.2">
      <c r="A6863" s="451"/>
      <c r="B6863" s="451"/>
      <c r="C6863" s="451"/>
      <c r="D6863" s="451"/>
      <c r="E6863" s="468"/>
      <c r="F6863" s="468"/>
    </row>
    <row r="6864" spans="1:6" ht="12.75" x14ac:dyDescent="0.2">
      <c r="A6864" s="451"/>
      <c r="B6864" s="451"/>
      <c r="C6864" s="451"/>
      <c r="D6864" s="451"/>
      <c r="E6864" s="468"/>
      <c r="F6864" s="468"/>
    </row>
    <row r="6865" spans="1:6" ht="12.75" x14ac:dyDescent="0.2">
      <c r="A6865" s="451"/>
      <c r="B6865" s="451"/>
      <c r="C6865" s="451"/>
      <c r="D6865" s="451"/>
      <c r="E6865" s="468"/>
      <c r="F6865" s="468"/>
    </row>
    <row r="6866" spans="1:6" ht="12.75" x14ac:dyDescent="0.2">
      <c r="A6866" s="451"/>
      <c r="B6866" s="451"/>
      <c r="C6866" s="451"/>
      <c r="D6866" s="451"/>
      <c r="E6866" s="468"/>
      <c r="F6866" s="468"/>
    </row>
    <row r="6867" spans="1:6" ht="12.75" x14ac:dyDescent="0.2">
      <c r="A6867" s="451"/>
      <c r="B6867" s="451"/>
      <c r="C6867" s="451"/>
      <c r="D6867" s="451"/>
      <c r="E6867" s="468"/>
      <c r="F6867" s="468"/>
    </row>
    <row r="6868" spans="1:6" ht="12.75" x14ac:dyDescent="0.2">
      <c r="A6868" s="451"/>
      <c r="B6868" s="451"/>
      <c r="C6868" s="451"/>
      <c r="D6868" s="451"/>
      <c r="E6868" s="468"/>
      <c r="F6868" s="468"/>
    </row>
    <row r="6869" spans="1:6" ht="12.75" x14ac:dyDescent="0.2">
      <c r="A6869" s="451"/>
      <c r="B6869" s="451"/>
      <c r="C6869" s="451"/>
      <c r="D6869" s="451"/>
      <c r="E6869" s="468"/>
      <c r="F6869" s="468"/>
    </row>
    <row r="6870" spans="1:6" ht="12.75" x14ac:dyDescent="0.2">
      <c r="A6870" s="451"/>
      <c r="B6870" s="451"/>
      <c r="C6870" s="451"/>
      <c r="D6870" s="451"/>
      <c r="E6870" s="468"/>
      <c r="F6870" s="468"/>
    </row>
    <row r="6871" spans="1:6" ht="12.75" x14ac:dyDescent="0.2">
      <c r="A6871" s="451"/>
      <c r="B6871" s="451"/>
      <c r="C6871" s="451"/>
      <c r="D6871" s="451"/>
      <c r="E6871" s="468"/>
      <c r="F6871" s="468"/>
    </row>
    <row r="6872" spans="1:6" ht="12.75" x14ac:dyDescent="0.2">
      <c r="A6872" s="451"/>
      <c r="B6872" s="451"/>
      <c r="C6872" s="451"/>
      <c r="D6872" s="451"/>
      <c r="E6872" s="468"/>
      <c r="F6872" s="468"/>
    </row>
    <row r="6873" spans="1:6" ht="12.75" x14ac:dyDescent="0.2">
      <c r="A6873" s="451"/>
      <c r="B6873" s="451"/>
      <c r="C6873" s="451"/>
      <c r="D6873" s="451"/>
      <c r="E6873" s="468"/>
      <c r="F6873" s="468"/>
    </row>
    <row r="6874" spans="1:6" ht="12.75" x14ac:dyDescent="0.2">
      <c r="A6874" s="451"/>
      <c r="B6874" s="451"/>
      <c r="C6874" s="451"/>
      <c r="D6874" s="451"/>
      <c r="E6874" s="468"/>
      <c r="F6874" s="468"/>
    </row>
    <row r="6875" spans="1:6" ht="12.75" x14ac:dyDescent="0.2">
      <c r="A6875" s="451"/>
      <c r="B6875" s="451"/>
      <c r="C6875" s="451"/>
      <c r="D6875" s="451"/>
      <c r="E6875" s="468"/>
      <c r="F6875" s="468"/>
    </row>
    <row r="6876" spans="1:6" ht="12.75" x14ac:dyDescent="0.2">
      <c r="A6876" s="451"/>
      <c r="B6876" s="451"/>
      <c r="C6876" s="451"/>
      <c r="D6876" s="451"/>
      <c r="E6876" s="468"/>
      <c r="F6876" s="468"/>
    </row>
    <row r="6877" spans="1:6" ht="12.75" x14ac:dyDescent="0.2">
      <c r="A6877" s="451"/>
      <c r="B6877" s="451"/>
      <c r="C6877" s="451"/>
      <c r="D6877" s="451"/>
      <c r="E6877" s="468"/>
      <c r="F6877" s="468"/>
    </row>
    <row r="6878" spans="1:6" ht="12.75" x14ac:dyDescent="0.2">
      <c r="A6878" s="451"/>
      <c r="B6878" s="451"/>
      <c r="C6878" s="451"/>
      <c r="D6878" s="451"/>
      <c r="E6878" s="468"/>
      <c r="F6878" s="468"/>
    </row>
    <row r="6879" spans="1:6" ht="12.75" x14ac:dyDescent="0.2">
      <c r="A6879" s="451"/>
      <c r="B6879" s="451"/>
      <c r="C6879" s="451"/>
      <c r="D6879" s="451"/>
      <c r="E6879" s="468"/>
      <c r="F6879" s="468"/>
    </row>
    <row r="6880" spans="1:6" ht="12.75" x14ac:dyDescent="0.2">
      <c r="A6880" s="451"/>
      <c r="B6880" s="451"/>
      <c r="C6880" s="451"/>
      <c r="D6880" s="451"/>
      <c r="E6880" s="468"/>
      <c r="F6880" s="468"/>
    </row>
    <row r="6881" spans="1:6" ht="12.75" x14ac:dyDescent="0.2">
      <c r="A6881" s="451"/>
      <c r="B6881" s="451"/>
      <c r="C6881" s="451"/>
      <c r="D6881" s="451"/>
      <c r="E6881" s="468"/>
      <c r="F6881" s="468"/>
    </row>
    <row r="6882" spans="1:6" ht="12.75" x14ac:dyDescent="0.2">
      <c r="A6882" s="451"/>
      <c r="B6882" s="451"/>
      <c r="C6882" s="451"/>
      <c r="D6882" s="451"/>
      <c r="E6882" s="468"/>
      <c r="F6882" s="468"/>
    </row>
    <row r="6883" spans="1:6" ht="12.75" x14ac:dyDescent="0.2">
      <c r="A6883" s="451"/>
      <c r="B6883" s="451"/>
      <c r="C6883" s="451"/>
      <c r="D6883" s="451"/>
      <c r="E6883" s="468"/>
      <c r="F6883" s="468"/>
    </row>
    <row r="6884" spans="1:6" ht="12.75" x14ac:dyDescent="0.2">
      <c r="A6884" s="451"/>
      <c r="B6884" s="451"/>
      <c r="C6884" s="451"/>
      <c r="D6884" s="451"/>
      <c r="E6884" s="468"/>
      <c r="F6884" s="468"/>
    </row>
    <row r="6885" spans="1:6" ht="12.75" x14ac:dyDescent="0.2">
      <c r="A6885" s="451"/>
      <c r="B6885" s="451"/>
      <c r="C6885" s="451"/>
      <c r="D6885" s="451"/>
      <c r="E6885" s="468"/>
      <c r="F6885" s="468"/>
    </row>
    <row r="6886" spans="1:6" ht="12.75" x14ac:dyDescent="0.2">
      <c r="A6886" s="451"/>
      <c r="B6886" s="451"/>
      <c r="C6886" s="451"/>
      <c r="D6886" s="451"/>
      <c r="E6886" s="468"/>
      <c r="F6886" s="468"/>
    </row>
    <row r="6887" spans="1:6" ht="12.75" x14ac:dyDescent="0.2">
      <c r="A6887" s="451"/>
      <c r="B6887" s="451"/>
      <c r="C6887" s="451"/>
      <c r="D6887" s="451"/>
      <c r="E6887" s="468"/>
      <c r="F6887" s="468"/>
    </row>
    <row r="6888" spans="1:6" ht="12.75" x14ac:dyDescent="0.2">
      <c r="A6888" s="451"/>
      <c r="B6888" s="451"/>
      <c r="C6888" s="451"/>
      <c r="D6888" s="451"/>
      <c r="E6888" s="468"/>
      <c r="F6888" s="468"/>
    </row>
    <row r="6889" spans="1:6" ht="12.75" x14ac:dyDescent="0.2">
      <c r="A6889" s="451"/>
      <c r="B6889" s="451"/>
      <c r="C6889" s="451"/>
      <c r="D6889" s="451"/>
      <c r="E6889" s="468"/>
      <c r="F6889" s="468"/>
    </row>
    <row r="6890" spans="1:6" ht="12.75" x14ac:dyDescent="0.2">
      <c r="A6890" s="451"/>
      <c r="B6890" s="451"/>
      <c r="C6890" s="451"/>
      <c r="D6890" s="451"/>
      <c r="E6890" s="468"/>
      <c r="F6890" s="468"/>
    </row>
    <row r="6891" spans="1:6" ht="12.75" x14ac:dyDescent="0.2">
      <c r="A6891" s="451"/>
      <c r="B6891" s="451"/>
      <c r="C6891" s="451"/>
      <c r="D6891" s="451"/>
      <c r="E6891" s="468"/>
      <c r="F6891" s="468"/>
    </row>
    <row r="6892" spans="1:6" ht="12.75" x14ac:dyDescent="0.2">
      <c r="A6892" s="451"/>
      <c r="B6892" s="451"/>
      <c r="C6892" s="451"/>
      <c r="D6892" s="451"/>
      <c r="E6892" s="468"/>
      <c r="F6892" s="468"/>
    </row>
    <row r="6893" spans="1:6" ht="12.75" x14ac:dyDescent="0.2">
      <c r="A6893" s="451"/>
      <c r="B6893" s="451"/>
      <c r="C6893" s="451"/>
      <c r="D6893" s="451"/>
      <c r="E6893" s="468"/>
      <c r="F6893" s="468"/>
    </row>
    <row r="6894" spans="1:6" ht="12.75" x14ac:dyDescent="0.2">
      <c r="A6894" s="451"/>
      <c r="B6894" s="451"/>
      <c r="C6894" s="451"/>
      <c r="D6894" s="451"/>
      <c r="E6894" s="468"/>
      <c r="F6894" s="468"/>
    </row>
    <row r="6895" spans="1:6" ht="12.75" x14ac:dyDescent="0.2">
      <c r="A6895" s="451"/>
      <c r="B6895" s="451"/>
      <c r="C6895" s="451"/>
      <c r="D6895" s="451"/>
      <c r="E6895" s="468"/>
      <c r="F6895" s="468"/>
    </row>
    <row r="6896" spans="1:6" ht="12.75" x14ac:dyDescent="0.2">
      <c r="A6896" s="451"/>
      <c r="B6896" s="451"/>
      <c r="C6896" s="451"/>
      <c r="D6896" s="451"/>
      <c r="E6896" s="468"/>
      <c r="F6896" s="468"/>
    </row>
    <row r="6897" spans="1:6" ht="12.75" x14ac:dyDescent="0.2">
      <c r="A6897" s="451"/>
      <c r="B6897" s="451"/>
      <c r="C6897" s="451"/>
      <c r="D6897" s="451"/>
      <c r="E6897" s="468"/>
      <c r="F6897" s="468"/>
    </row>
    <row r="6898" spans="1:6" ht="12.75" x14ac:dyDescent="0.2">
      <c r="A6898" s="451"/>
      <c r="B6898" s="451"/>
      <c r="C6898" s="451"/>
      <c r="D6898" s="451"/>
      <c r="E6898" s="468"/>
      <c r="F6898" s="468"/>
    </row>
    <row r="6899" spans="1:6" ht="12.75" x14ac:dyDescent="0.2">
      <c r="A6899" s="451"/>
      <c r="B6899" s="451"/>
      <c r="C6899" s="451"/>
      <c r="D6899" s="451"/>
      <c r="E6899" s="468"/>
      <c r="F6899" s="468"/>
    </row>
    <row r="6900" spans="1:6" ht="12.75" x14ac:dyDescent="0.2">
      <c r="A6900" s="451"/>
      <c r="B6900" s="451"/>
      <c r="C6900" s="451"/>
      <c r="D6900" s="451"/>
      <c r="E6900" s="468"/>
      <c r="F6900" s="468"/>
    </row>
    <row r="6901" spans="1:6" ht="12.75" x14ac:dyDescent="0.2">
      <c r="A6901" s="451"/>
      <c r="B6901" s="451"/>
      <c r="C6901" s="451"/>
      <c r="D6901" s="451"/>
      <c r="E6901" s="468"/>
      <c r="F6901" s="468"/>
    </row>
    <row r="6902" spans="1:6" ht="12.75" x14ac:dyDescent="0.2">
      <c r="A6902" s="451"/>
      <c r="B6902" s="451"/>
      <c r="C6902" s="451"/>
      <c r="D6902" s="451"/>
      <c r="E6902" s="468"/>
      <c r="F6902" s="468"/>
    </row>
    <row r="6903" spans="1:6" ht="12.75" x14ac:dyDescent="0.2">
      <c r="A6903" s="451"/>
      <c r="B6903" s="451"/>
      <c r="C6903" s="451"/>
      <c r="D6903" s="451"/>
      <c r="E6903" s="468"/>
      <c r="F6903" s="468"/>
    </row>
    <row r="6904" spans="1:6" ht="12.75" x14ac:dyDescent="0.2">
      <c r="A6904" s="451"/>
      <c r="B6904" s="451"/>
      <c r="C6904" s="451"/>
      <c r="D6904" s="451"/>
      <c r="E6904" s="468"/>
      <c r="F6904" s="468"/>
    </row>
    <row r="6905" spans="1:6" ht="12.75" x14ac:dyDescent="0.2">
      <c r="A6905" s="451"/>
      <c r="B6905" s="451"/>
      <c r="C6905" s="451"/>
      <c r="D6905" s="451"/>
      <c r="E6905" s="468"/>
      <c r="F6905" s="468"/>
    </row>
    <row r="6906" spans="1:6" ht="12.75" x14ac:dyDescent="0.2">
      <c r="A6906" s="451"/>
      <c r="B6906" s="451"/>
      <c r="C6906" s="451"/>
      <c r="D6906" s="451"/>
      <c r="E6906" s="468"/>
      <c r="F6906" s="468"/>
    </row>
    <row r="6907" spans="1:6" ht="12.75" x14ac:dyDescent="0.2">
      <c r="A6907" s="451"/>
      <c r="B6907" s="451"/>
      <c r="C6907" s="451"/>
      <c r="D6907" s="451"/>
      <c r="E6907" s="468"/>
      <c r="F6907" s="468"/>
    </row>
    <row r="6908" spans="1:6" ht="12.75" x14ac:dyDescent="0.2">
      <c r="A6908" s="451"/>
      <c r="B6908" s="451"/>
      <c r="C6908" s="451"/>
      <c r="D6908" s="451"/>
      <c r="E6908" s="468"/>
      <c r="F6908" s="468"/>
    </row>
    <row r="6909" spans="1:6" ht="12.75" x14ac:dyDescent="0.2">
      <c r="A6909" s="451"/>
      <c r="B6909" s="451"/>
      <c r="C6909" s="451"/>
      <c r="D6909" s="451"/>
      <c r="E6909" s="468"/>
      <c r="F6909" s="468"/>
    </row>
    <row r="6910" spans="1:6" ht="12.75" x14ac:dyDescent="0.2">
      <c r="A6910" s="451"/>
      <c r="B6910" s="451"/>
      <c r="C6910" s="451"/>
      <c r="D6910" s="451"/>
      <c r="E6910" s="468"/>
      <c r="F6910" s="468"/>
    </row>
    <row r="6911" spans="1:6" ht="12.75" x14ac:dyDescent="0.2">
      <c r="A6911" s="451"/>
      <c r="B6911" s="451"/>
      <c r="C6911" s="451"/>
      <c r="D6911" s="451"/>
      <c r="E6911" s="468"/>
      <c r="F6911" s="468"/>
    </row>
    <row r="6912" spans="1:6" ht="12.75" x14ac:dyDescent="0.2">
      <c r="A6912" s="451"/>
      <c r="B6912" s="451"/>
      <c r="C6912" s="451"/>
      <c r="D6912" s="451"/>
      <c r="E6912" s="468"/>
      <c r="F6912" s="468"/>
    </row>
    <row r="6913" spans="1:6" ht="12.75" x14ac:dyDescent="0.2">
      <c r="A6913" s="451"/>
      <c r="B6913" s="451"/>
      <c r="C6913" s="451"/>
      <c r="D6913" s="451"/>
      <c r="E6913" s="468"/>
      <c r="F6913" s="468"/>
    </row>
    <row r="6914" spans="1:6" ht="12.75" x14ac:dyDescent="0.2">
      <c r="A6914" s="451"/>
      <c r="B6914" s="451"/>
      <c r="C6914" s="451"/>
      <c r="D6914" s="451"/>
      <c r="E6914" s="468"/>
      <c r="F6914" s="468"/>
    </row>
    <row r="6915" spans="1:6" ht="12.75" x14ac:dyDescent="0.2">
      <c r="A6915" s="451"/>
      <c r="B6915" s="451"/>
      <c r="C6915" s="451"/>
      <c r="D6915" s="451"/>
      <c r="E6915" s="468"/>
      <c r="F6915" s="468"/>
    </row>
    <row r="6916" spans="1:6" ht="12.75" x14ac:dyDescent="0.2">
      <c r="A6916" s="451"/>
      <c r="B6916" s="451"/>
      <c r="C6916" s="451"/>
      <c r="D6916" s="451"/>
      <c r="E6916" s="468"/>
      <c r="F6916" s="468"/>
    </row>
    <row r="6917" spans="1:6" ht="12.75" x14ac:dyDescent="0.2">
      <c r="A6917" s="451"/>
      <c r="B6917" s="451"/>
      <c r="C6917" s="451"/>
      <c r="D6917" s="451"/>
      <c r="E6917" s="468"/>
      <c r="F6917" s="468"/>
    </row>
    <row r="6918" spans="1:6" ht="12.75" x14ac:dyDescent="0.2">
      <c r="A6918" s="451"/>
      <c r="B6918" s="451"/>
      <c r="C6918" s="451"/>
      <c r="D6918" s="451"/>
      <c r="E6918" s="468"/>
      <c r="F6918" s="468"/>
    </row>
    <row r="6919" spans="1:6" ht="12.75" x14ac:dyDescent="0.2">
      <c r="A6919" s="451"/>
      <c r="B6919" s="451"/>
      <c r="C6919" s="451"/>
      <c r="D6919" s="451"/>
      <c r="E6919" s="468"/>
      <c r="F6919" s="468"/>
    </row>
    <row r="6920" spans="1:6" ht="12.75" x14ac:dyDescent="0.2">
      <c r="A6920" s="451"/>
      <c r="B6920" s="451"/>
      <c r="C6920" s="451"/>
      <c r="D6920" s="451"/>
      <c r="E6920" s="468"/>
      <c r="F6920" s="468"/>
    </row>
    <row r="6921" spans="1:6" ht="12.75" x14ac:dyDescent="0.2">
      <c r="A6921" s="451"/>
      <c r="B6921" s="451"/>
      <c r="C6921" s="451"/>
      <c r="D6921" s="451"/>
      <c r="E6921" s="468"/>
      <c r="F6921" s="468"/>
    </row>
    <row r="6922" spans="1:6" ht="12.75" x14ac:dyDescent="0.2">
      <c r="A6922" s="451"/>
      <c r="B6922" s="451"/>
      <c r="C6922" s="451"/>
      <c r="D6922" s="451"/>
      <c r="E6922" s="468"/>
      <c r="F6922" s="468"/>
    </row>
    <row r="6923" spans="1:6" ht="12.75" x14ac:dyDescent="0.2">
      <c r="A6923" s="451"/>
      <c r="B6923" s="451"/>
      <c r="C6923" s="451"/>
      <c r="D6923" s="451"/>
      <c r="E6923" s="468"/>
      <c r="F6923" s="468"/>
    </row>
    <row r="6924" spans="1:6" ht="12.75" x14ac:dyDescent="0.2">
      <c r="A6924" s="451"/>
      <c r="B6924" s="451"/>
      <c r="C6924" s="451"/>
      <c r="D6924" s="451"/>
      <c r="E6924" s="468"/>
      <c r="F6924" s="468"/>
    </row>
    <row r="6925" spans="1:6" ht="12.75" x14ac:dyDescent="0.2">
      <c r="A6925" s="451"/>
      <c r="B6925" s="451"/>
      <c r="C6925" s="451"/>
      <c r="D6925" s="451"/>
      <c r="E6925" s="468"/>
      <c r="F6925" s="468"/>
    </row>
    <row r="6926" spans="1:6" ht="12.75" x14ac:dyDescent="0.2">
      <c r="A6926" s="451"/>
      <c r="B6926" s="451"/>
      <c r="C6926" s="451"/>
      <c r="D6926" s="451"/>
      <c r="E6926" s="468"/>
      <c r="F6926" s="468"/>
    </row>
    <row r="6927" spans="1:6" ht="12.75" x14ac:dyDescent="0.2">
      <c r="A6927" s="451"/>
      <c r="B6927" s="451"/>
      <c r="C6927" s="451"/>
      <c r="D6927" s="451"/>
      <c r="E6927" s="468"/>
      <c r="F6927" s="468"/>
    </row>
    <row r="6928" spans="1:6" ht="12.75" x14ac:dyDescent="0.2">
      <c r="A6928" s="451"/>
      <c r="B6928" s="451"/>
      <c r="C6928" s="451"/>
      <c r="D6928" s="451"/>
      <c r="E6928" s="468"/>
      <c r="F6928" s="468"/>
    </row>
    <row r="6929" spans="1:6" ht="12.75" x14ac:dyDescent="0.2">
      <c r="A6929" s="451"/>
      <c r="B6929" s="451"/>
      <c r="C6929" s="451"/>
      <c r="D6929" s="451"/>
      <c r="E6929" s="468"/>
      <c r="F6929" s="468"/>
    </row>
    <row r="6930" spans="1:6" ht="12.75" x14ac:dyDescent="0.2">
      <c r="A6930" s="451"/>
      <c r="B6930" s="451"/>
      <c r="C6930" s="451"/>
      <c r="D6930" s="451"/>
      <c r="E6930" s="468"/>
      <c r="F6930" s="468"/>
    </row>
    <row r="6931" spans="1:6" ht="12.75" x14ac:dyDescent="0.2">
      <c r="A6931" s="451"/>
      <c r="B6931" s="451"/>
      <c r="C6931" s="451"/>
      <c r="D6931" s="451"/>
      <c r="E6931" s="468"/>
      <c r="F6931" s="468"/>
    </row>
    <row r="6932" spans="1:6" ht="12.75" x14ac:dyDescent="0.2">
      <c r="A6932" s="451"/>
      <c r="B6932" s="451"/>
      <c r="C6932" s="451"/>
      <c r="D6932" s="451"/>
      <c r="E6932" s="468"/>
      <c r="F6932" s="468"/>
    </row>
    <row r="6933" spans="1:6" ht="12.75" x14ac:dyDescent="0.2">
      <c r="A6933" s="451"/>
      <c r="B6933" s="451"/>
      <c r="C6933" s="451"/>
      <c r="D6933" s="451"/>
      <c r="E6933" s="468"/>
      <c r="F6933" s="468"/>
    </row>
    <row r="6934" spans="1:6" ht="12.75" x14ac:dyDescent="0.2">
      <c r="A6934" s="451"/>
      <c r="B6934" s="451"/>
      <c r="C6934" s="451"/>
      <c r="D6934" s="451"/>
      <c r="E6934" s="468"/>
      <c r="F6934" s="468"/>
    </row>
    <row r="6935" spans="1:6" ht="12.75" x14ac:dyDescent="0.2">
      <c r="A6935" s="451"/>
      <c r="B6935" s="451"/>
      <c r="C6935" s="451"/>
      <c r="D6935" s="451"/>
      <c r="E6935" s="468"/>
      <c r="F6935" s="468"/>
    </row>
    <row r="6936" spans="1:6" ht="12.75" x14ac:dyDescent="0.2">
      <c r="A6936" s="451"/>
      <c r="B6936" s="451"/>
      <c r="C6936" s="451"/>
      <c r="D6936" s="451"/>
      <c r="E6936" s="468"/>
      <c r="F6936" s="468"/>
    </row>
    <row r="6937" spans="1:6" ht="12.75" x14ac:dyDescent="0.2">
      <c r="A6937" s="451"/>
      <c r="B6937" s="451"/>
      <c r="C6937" s="451"/>
      <c r="D6937" s="451"/>
      <c r="E6937" s="468"/>
      <c r="F6937" s="468"/>
    </row>
    <row r="6938" spans="1:6" ht="12.75" x14ac:dyDescent="0.2">
      <c r="A6938" s="451"/>
      <c r="B6938" s="451"/>
      <c r="C6938" s="451"/>
      <c r="D6938" s="451"/>
      <c r="E6938" s="468"/>
      <c r="F6938" s="468"/>
    </row>
    <row r="6939" spans="1:6" ht="12.75" x14ac:dyDescent="0.2">
      <c r="A6939" s="451"/>
      <c r="B6939" s="451"/>
      <c r="C6939" s="451"/>
      <c r="D6939" s="451"/>
      <c r="E6939" s="468"/>
      <c r="F6939" s="468"/>
    </row>
    <row r="6940" spans="1:6" ht="12.75" x14ac:dyDescent="0.2">
      <c r="A6940" s="451"/>
      <c r="B6940" s="451"/>
      <c r="C6940" s="451"/>
      <c r="D6940" s="451"/>
      <c r="E6940" s="468"/>
      <c r="F6940" s="468"/>
    </row>
    <row r="6941" spans="1:6" ht="12.75" x14ac:dyDescent="0.2">
      <c r="A6941" s="451"/>
      <c r="B6941" s="451"/>
      <c r="C6941" s="451"/>
      <c r="D6941" s="451"/>
      <c r="E6941" s="468"/>
      <c r="F6941" s="468"/>
    </row>
    <row r="6942" spans="1:6" ht="12.75" x14ac:dyDescent="0.2">
      <c r="A6942" s="451"/>
      <c r="B6942" s="451"/>
      <c r="C6942" s="451"/>
      <c r="D6942" s="451"/>
      <c r="E6942" s="468"/>
      <c r="F6942" s="468"/>
    </row>
    <row r="6943" spans="1:6" ht="12.75" x14ac:dyDescent="0.2">
      <c r="A6943" s="451"/>
      <c r="B6943" s="451"/>
      <c r="C6943" s="451"/>
      <c r="D6943" s="451"/>
      <c r="E6943" s="468"/>
      <c r="F6943" s="468"/>
    </row>
    <row r="6944" spans="1:6" ht="12.75" x14ac:dyDescent="0.2">
      <c r="A6944" s="451"/>
      <c r="B6944" s="451"/>
      <c r="C6944" s="451"/>
      <c r="D6944" s="451"/>
      <c r="E6944" s="468"/>
      <c r="F6944" s="468"/>
    </row>
    <row r="6945" spans="1:6" ht="12.75" x14ac:dyDescent="0.2">
      <c r="A6945" s="451"/>
      <c r="B6945" s="451"/>
      <c r="C6945" s="451"/>
      <c r="D6945" s="451"/>
      <c r="E6945" s="468"/>
      <c r="F6945" s="468"/>
    </row>
    <row r="6946" spans="1:6" ht="12.75" x14ac:dyDescent="0.2">
      <c r="A6946" s="451"/>
      <c r="B6946" s="451"/>
      <c r="C6946" s="451"/>
      <c r="D6946" s="451"/>
      <c r="E6946" s="468"/>
      <c r="F6946" s="468"/>
    </row>
    <row r="6947" spans="1:6" ht="12.75" x14ac:dyDescent="0.2">
      <c r="A6947" s="451"/>
      <c r="B6947" s="451"/>
      <c r="C6947" s="451"/>
      <c r="D6947" s="451"/>
      <c r="E6947" s="468"/>
      <c r="F6947" s="468"/>
    </row>
    <row r="6948" spans="1:6" ht="12.75" x14ac:dyDescent="0.2">
      <c r="A6948" s="451"/>
      <c r="B6948" s="451"/>
      <c r="C6948" s="451"/>
      <c r="D6948" s="451"/>
      <c r="E6948" s="468"/>
      <c r="F6948" s="468"/>
    </row>
    <row r="6949" spans="1:6" ht="12.75" x14ac:dyDescent="0.2">
      <c r="A6949" s="451"/>
      <c r="B6949" s="451"/>
      <c r="C6949" s="451"/>
      <c r="D6949" s="451"/>
      <c r="E6949" s="468"/>
      <c r="F6949" s="468"/>
    </row>
    <row r="6950" spans="1:6" ht="12.75" x14ac:dyDescent="0.2">
      <c r="A6950" s="451"/>
      <c r="B6950" s="451"/>
      <c r="C6950" s="451"/>
      <c r="D6950" s="451"/>
      <c r="E6950" s="468"/>
      <c r="F6950" s="468"/>
    </row>
    <row r="6951" spans="1:6" ht="12.75" x14ac:dyDescent="0.2">
      <c r="A6951" s="451"/>
      <c r="B6951" s="451"/>
      <c r="C6951" s="451"/>
      <c r="D6951" s="451"/>
      <c r="E6951" s="468"/>
      <c r="F6951" s="468"/>
    </row>
    <row r="6952" spans="1:6" ht="12.75" x14ac:dyDescent="0.2">
      <c r="A6952" s="451"/>
      <c r="B6952" s="451"/>
      <c r="C6952" s="451"/>
      <c r="D6952" s="451"/>
      <c r="E6952" s="468"/>
      <c r="F6952" s="468"/>
    </row>
    <row r="6953" spans="1:6" ht="12.75" x14ac:dyDescent="0.2">
      <c r="A6953" s="451"/>
      <c r="B6953" s="451"/>
      <c r="C6953" s="451"/>
      <c r="D6953" s="451"/>
      <c r="E6953" s="468"/>
      <c r="F6953" s="468"/>
    </row>
    <row r="6954" spans="1:6" ht="12.75" x14ac:dyDescent="0.2">
      <c r="A6954" s="451"/>
      <c r="B6954" s="451"/>
      <c r="C6954" s="451"/>
      <c r="D6954" s="451"/>
      <c r="E6954" s="468"/>
      <c r="F6954" s="468"/>
    </row>
    <row r="6955" spans="1:6" ht="12.75" x14ac:dyDescent="0.2">
      <c r="A6955" s="451"/>
      <c r="B6955" s="451"/>
      <c r="C6955" s="451"/>
      <c r="D6955" s="451"/>
      <c r="E6955" s="468"/>
      <c r="F6955" s="468"/>
    </row>
    <row r="6956" spans="1:6" ht="12.75" x14ac:dyDescent="0.2">
      <c r="A6956" s="451"/>
      <c r="B6956" s="451"/>
      <c r="C6956" s="451"/>
      <c r="D6956" s="451"/>
      <c r="E6956" s="468"/>
      <c r="F6956" s="468"/>
    </row>
    <row r="6957" spans="1:6" ht="12.75" x14ac:dyDescent="0.2">
      <c r="A6957" s="451"/>
      <c r="B6957" s="451"/>
      <c r="C6957" s="451"/>
      <c r="D6957" s="451"/>
      <c r="E6957" s="468"/>
      <c r="F6957" s="468"/>
    </row>
    <row r="6958" spans="1:6" ht="12.75" x14ac:dyDescent="0.2">
      <c r="A6958" s="451"/>
      <c r="B6958" s="451"/>
      <c r="C6958" s="451"/>
      <c r="D6958" s="451"/>
      <c r="E6958" s="468"/>
      <c r="F6958" s="468"/>
    </row>
    <row r="6959" spans="1:6" ht="12.75" x14ac:dyDescent="0.2">
      <c r="A6959" s="451"/>
      <c r="B6959" s="451"/>
      <c r="C6959" s="451"/>
      <c r="D6959" s="451"/>
      <c r="E6959" s="468"/>
      <c r="F6959" s="468"/>
    </row>
    <row r="6960" spans="1:6" ht="12.75" x14ac:dyDescent="0.2">
      <c r="A6960" s="451"/>
      <c r="B6960" s="451"/>
      <c r="C6960" s="451"/>
      <c r="D6960" s="451"/>
      <c r="E6960" s="468"/>
      <c r="F6960" s="468"/>
    </row>
    <row r="6961" spans="1:6" ht="12.75" x14ac:dyDescent="0.2">
      <c r="A6961" s="451"/>
      <c r="B6961" s="451"/>
      <c r="C6961" s="451"/>
      <c r="D6961" s="451"/>
      <c r="E6961" s="468"/>
      <c r="F6961" s="468"/>
    </row>
    <row r="6962" spans="1:6" ht="12.75" x14ac:dyDescent="0.2">
      <c r="A6962" s="451"/>
      <c r="B6962" s="451"/>
      <c r="C6962" s="451"/>
      <c r="D6962" s="451"/>
      <c r="E6962" s="468"/>
      <c r="F6962" s="468"/>
    </row>
    <row r="6963" spans="1:6" ht="12.75" x14ac:dyDescent="0.2">
      <c r="A6963" s="451"/>
      <c r="B6963" s="451"/>
      <c r="C6963" s="451"/>
      <c r="D6963" s="451"/>
      <c r="E6963" s="468"/>
      <c r="F6963" s="468"/>
    </row>
    <row r="6964" spans="1:6" ht="12.75" x14ac:dyDescent="0.2">
      <c r="A6964" s="451"/>
      <c r="B6964" s="451"/>
      <c r="C6964" s="451"/>
      <c r="D6964" s="451"/>
      <c r="E6964" s="468"/>
      <c r="F6964" s="468"/>
    </row>
    <row r="6965" spans="1:6" ht="12.75" x14ac:dyDescent="0.2">
      <c r="A6965" s="451"/>
      <c r="B6965" s="451"/>
      <c r="C6965" s="451"/>
      <c r="D6965" s="451"/>
      <c r="E6965" s="468"/>
      <c r="F6965" s="468"/>
    </row>
    <row r="6966" spans="1:6" ht="12.75" x14ac:dyDescent="0.2">
      <c r="A6966" s="451"/>
      <c r="B6966" s="451"/>
      <c r="C6966" s="451"/>
      <c r="D6966" s="451"/>
      <c r="E6966" s="468"/>
      <c r="F6966" s="468"/>
    </row>
    <row r="6967" spans="1:6" ht="12.75" x14ac:dyDescent="0.2">
      <c r="A6967" s="451"/>
      <c r="B6967" s="451"/>
      <c r="C6967" s="451"/>
      <c r="D6967" s="451"/>
      <c r="E6967" s="468"/>
      <c r="F6967" s="468"/>
    </row>
    <row r="6968" spans="1:6" ht="12.75" x14ac:dyDescent="0.2">
      <c r="A6968" s="451"/>
      <c r="B6968" s="451"/>
      <c r="C6968" s="451"/>
      <c r="D6968" s="451"/>
      <c r="E6968" s="468"/>
      <c r="F6968" s="468"/>
    </row>
    <row r="6969" spans="1:6" ht="12.75" x14ac:dyDescent="0.2">
      <c r="A6969" s="451"/>
      <c r="B6969" s="451"/>
      <c r="C6969" s="451"/>
      <c r="D6969" s="451"/>
      <c r="E6969" s="468"/>
      <c r="F6969" s="468"/>
    </row>
    <row r="6970" spans="1:6" ht="12.75" x14ac:dyDescent="0.2">
      <c r="A6970" s="451"/>
      <c r="B6970" s="451"/>
      <c r="C6970" s="451"/>
      <c r="D6970" s="451"/>
      <c r="E6970" s="468"/>
      <c r="F6970" s="468"/>
    </row>
    <row r="6971" spans="1:6" ht="12.75" x14ac:dyDescent="0.2">
      <c r="A6971" s="451"/>
      <c r="B6971" s="451"/>
      <c r="C6971" s="451"/>
      <c r="D6971" s="451"/>
      <c r="E6971" s="468"/>
      <c r="F6971" s="468"/>
    </row>
    <row r="6972" spans="1:6" ht="12.75" x14ac:dyDescent="0.2">
      <c r="A6972" s="451"/>
      <c r="B6972" s="451"/>
      <c r="C6972" s="451"/>
      <c r="D6972" s="451"/>
      <c r="E6972" s="468"/>
      <c r="F6972" s="468"/>
    </row>
    <row r="6973" spans="1:6" ht="12.75" x14ac:dyDescent="0.2">
      <c r="A6973" s="451"/>
      <c r="B6973" s="451"/>
      <c r="C6973" s="451"/>
      <c r="D6973" s="451"/>
      <c r="E6973" s="468"/>
      <c r="F6973" s="468"/>
    </row>
    <row r="6974" spans="1:6" ht="12.75" x14ac:dyDescent="0.2">
      <c r="A6974" s="451"/>
      <c r="B6974" s="451"/>
      <c r="C6974" s="451"/>
      <c r="D6974" s="451"/>
      <c r="E6974" s="468"/>
      <c r="F6974" s="468"/>
    </row>
    <row r="6975" spans="1:6" ht="12.75" x14ac:dyDescent="0.2">
      <c r="A6975" s="451"/>
      <c r="B6975" s="451"/>
      <c r="C6975" s="451"/>
      <c r="D6975" s="451"/>
      <c r="E6975" s="468"/>
      <c r="F6975" s="468"/>
    </row>
    <row r="6976" spans="1:6" ht="12.75" x14ac:dyDescent="0.2">
      <c r="A6976" s="451"/>
      <c r="B6976" s="451"/>
      <c r="C6976" s="451"/>
      <c r="D6976" s="451"/>
      <c r="E6976" s="468"/>
      <c r="F6976" s="468"/>
    </row>
    <row r="6977" spans="1:6" ht="12.75" x14ac:dyDescent="0.2">
      <c r="A6977" s="451"/>
      <c r="B6977" s="451"/>
      <c r="C6977" s="451"/>
      <c r="D6977" s="451"/>
      <c r="E6977" s="468"/>
      <c r="F6977" s="468"/>
    </row>
    <row r="6978" spans="1:6" ht="12.75" x14ac:dyDescent="0.2">
      <c r="A6978" s="451"/>
      <c r="B6978" s="451"/>
      <c r="C6978" s="451"/>
      <c r="D6978" s="451"/>
      <c r="E6978" s="468"/>
      <c r="F6978" s="468"/>
    </row>
    <row r="6979" spans="1:6" ht="12.75" x14ac:dyDescent="0.2">
      <c r="A6979" s="451"/>
      <c r="B6979" s="451"/>
      <c r="C6979" s="451"/>
      <c r="D6979" s="451"/>
      <c r="E6979" s="468"/>
      <c r="F6979" s="468"/>
    </row>
    <row r="6980" spans="1:6" ht="12.75" x14ac:dyDescent="0.2">
      <c r="A6980" s="451"/>
      <c r="B6980" s="451"/>
      <c r="C6980" s="451"/>
      <c r="D6980" s="451"/>
      <c r="E6980" s="468"/>
      <c r="F6980" s="468"/>
    </row>
    <row r="6981" spans="1:6" ht="12.75" x14ac:dyDescent="0.2">
      <c r="A6981" s="451"/>
      <c r="B6981" s="451"/>
      <c r="C6981" s="451"/>
      <c r="D6981" s="451"/>
      <c r="E6981" s="468"/>
      <c r="F6981" s="468"/>
    </row>
    <row r="6982" spans="1:6" ht="12.75" x14ac:dyDescent="0.2">
      <c r="A6982" s="451"/>
      <c r="B6982" s="451"/>
      <c r="C6982" s="451"/>
      <c r="D6982" s="451"/>
      <c r="E6982" s="468"/>
      <c r="F6982" s="468"/>
    </row>
    <row r="6983" spans="1:6" ht="12.75" x14ac:dyDescent="0.2">
      <c r="A6983" s="451"/>
      <c r="B6983" s="451"/>
      <c r="C6983" s="451"/>
      <c r="D6983" s="451"/>
      <c r="E6983" s="468"/>
      <c r="F6983" s="468"/>
    </row>
    <row r="6984" spans="1:6" ht="12.75" x14ac:dyDescent="0.2">
      <c r="A6984" s="451"/>
      <c r="B6984" s="451"/>
      <c r="C6984" s="451"/>
      <c r="D6984" s="451"/>
      <c r="E6984" s="468"/>
      <c r="F6984" s="468"/>
    </row>
    <row r="6985" spans="1:6" ht="12.75" x14ac:dyDescent="0.2">
      <c r="A6985" s="451"/>
      <c r="B6985" s="451"/>
      <c r="C6985" s="451"/>
      <c r="D6985" s="451"/>
      <c r="E6985" s="468"/>
      <c r="F6985" s="468"/>
    </row>
    <row r="6986" spans="1:6" ht="12.75" x14ac:dyDescent="0.2">
      <c r="A6986" s="451"/>
      <c r="B6986" s="451"/>
      <c r="C6986" s="451"/>
      <c r="D6986" s="451"/>
      <c r="E6986" s="468"/>
      <c r="F6986" s="468"/>
    </row>
    <row r="6987" spans="1:6" ht="12.75" x14ac:dyDescent="0.2">
      <c r="A6987" s="451"/>
      <c r="B6987" s="451"/>
      <c r="C6987" s="451"/>
      <c r="D6987" s="451"/>
      <c r="E6987" s="468"/>
      <c r="F6987" s="468"/>
    </row>
    <row r="6988" spans="1:6" ht="12.75" x14ac:dyDescent="0.2">
      <c r="A6988" s="451"/>
      <c r="B6988" s="451"/>
      <c r="C6988" s="451"/>
      <c r="D6988" s="451"/>
      <c r="E6988" s="468"/>
      <c r="F6988" s="468"/>
    </row>
    <row r="6989" spans="1:6" ht="12.75" x14ac:dyDescent="0.2">
      <c r="A6989" s="451"/>
      <c r="B6989" s="451"/>
      <c r="C6989" s="451"/>
      <c r="D6989" s="451"/>
      <c r="E6989" s="468"/>
      <c r="F6989" s="468"/>
    </row>
    <row r="6990" spans="1:6" ht="12.75" x14ac:dyDescent="0.2">
      <c r="A6990" s="451"/>
      <c r="B6990" s="451"/>
      <c r="C6990" s="451"/>
      <c r="D6990" s="451"/>
      <c r="E6990" s="468"/>
      <c r="F6990" s="468"/>
    </row>
    <row r="6991" spans="1:6" ht="12.75" x14ac:dyDescent="0.2">
      <c r="A6991" s="451"/>
      <c r="B6991" s="451"/>
      <c r="C6991" s="451"/>
      <c r="D6991" s="451"/>
      <c r="E6991" s="468"/>
      <c r="F6991" s="468"/>
    </row>
    <row r="6992" spans="1:6" ht="12.75" x14ac:dyDescent="0.2">
      <c r="A6992" s="451"/>
      <c r="B6992" s="451"/>
      <c r="C6992" s="451"/>
      <c r="D6992" s="451"/>
      <c r="E6992" s="468"/>
      <c r="F6992" s="468"/>
    </row>
    <row r="6993" spans="1:6" ht="12.75" x14ac:dyDescent="0.2">
      <c r="A6993" s="451"/>
      <c r="B6993" s="451"/>
      <c r="C6993" s="451"/>
      <c r="D6993" s="451"/>
      <c r="E6993" s="468"/>
      <c r="F6993" s="468"/>
    </row>
    <row r="6994" spans="1:6" ht="12.75" x14ac:dyDescent="0.2">
      <c r="A6994" s="451"/>
      <c r="B6994" s="451"/>
      <c r="C6994" s="451"/>
      <c r="D6994" s="451"/>
      <c r="E6994" s="468"/>
      <c r="F6994" s="468"/>
    </row>
    <row r="6995" spans="1:6" ht="12.75" x14ac:dyDescent="0.2">
      <c r="A6995" s="451"/>
      <c r="B6995" s="451"/>
      <c r="C6995" s="451"/>
      <c r="D6995" s="451"/>
      <c r="E6995" s="468"/>
      <c r="F6995" s="468"/>
    </row>
    <row r="6996" spans="1:6" ht="12.75" x14ac:dyDescent="0.2">
      <c r="A6996" s="451"/>
      <c r="B6996" s="451"/>
      <c r="C6996" s="451"/>
      <c r="D6996" s="451"/>
      <c r="E6996" s="468"/>
      <c r="F6996" s="468"/>
    </row>
    <row r="6997" spans="1:6" ht="12.75" x14ac:dyDescent="0.2">
      <c r="A6997" s="451"/>
      <c r="B6997" s="451"/>
      <c r="C6997" s="451"/>
      <c r="D6997" s="451"/>
      <c r="E6997" s="468"/>
      <c r="F6997" s="468"/>
    </row>
    <row r="6998" spans="1:6" ht="12.75" x14ac:dyDescent="0.2">
      <c r="A6998" s="451"/>
      <c r="B6998" s="451"/>
      <c r="C6998" s="451"/>
      <c r="D6998" s="451"/>
      <c r="E6998" s="468"/>
      <c r="F6998" s="468"/>
    </row>
    <row r="6999" spans="1:6" ht="12.75" x14ac:dyDescent="0.2">
      <c r="A6999" s="451"/>
      <c r="B6999" s="451"/>
      <c r="C6999" s="451"/>
      <c r="D6999" s="451"/>
      <c r="E6999" s="468"/>
      <c r="F6999" s="468"/>
    </row>
    <row r="7000" spans="1:6" ht="12.75" x14ac:dyDescent="0.2">
      <c r="A7000" s="451"/>
      <c r="B7000" s="451"/>
      <c r="C7000" s="451"/>
      <c r="D7000" s="451"/>
      <c r="E7000" s="468"/>
      <c r="F7000" s="468"/>
    </row>
    <row r="7001" spans="1:6" ht="12.75" x14ac:dyDescent="0.2">
      <c r="A7001" s="451"/>
      <c r="B7001" s="451"/>
      <c r="C7001" s="451"/>
      <c r="D7001" s="451"/>
      <c r="E7001" s="468"/>
      <c r="F7001" s="468"/>
    </row>
    <row r="7002" spans="1:6" ht="12.75" x14ac:dyDescent="0.2">
      <c r="A7002" s="451"/>
      <c r="B7002" s="451"/>
      <c r="C7002" s="451"/>
      <c r="D7002" s="451"/>
      <c r="E7002" s="468"/>
      <c r="F7002" s="468"/>
    </row>
    <row r="7003" spans="1:6" ht="12.75" x14ac:dyDescent="0.2">
      <c r="A7003" s="451"/>
      <c r="B7003" s="451"/>
      <c r="C7003" s="451"/>
      <c r="D7003" s="451"/>
      <c r="E7003" s="468"/>
      <c r="F7003" s="468"/>
    </row>
    <row r="7004" spans="1:6" ht="12.75" x14ac:dyDescent="0.2">
      <c r="A7004" s="451"/>
      <c r="B7004" s="451"/>
      <c r="C7004" s="451"/>
      <c r="D7004" s="451"/>
      <c r="E7004" s="468"/>
      <c r="F7004" s="468"/>
    </row>
    <row r="7005" spans="1:6" ht="12.75" x14ac:dyDescent="0.2">
      <c r="A7005" s="451"/>
      <c r="B7005" s="451"/>
      <c r="C7005" s="451"/>
      <c r="D7005" s="451"/>
      <c r="E7005" s="468"/>
      <c r="F7005" s="468"/>
    </row>
    <row r="7006" spans="1:6" ht="12.75" x14ac:dyDescent="0.2">
      <c r="A7006" s="451"/>
      <c r="B7006" s="451"/>
      <c r="C7006" s="451"/>
      <c r="D7006" s="451"/>
      <c r="E7006" s="468"/>
      <c r="F7006" s="468"/>
    </row>
    <row r="7007" spans="1:6" ht="12.75" x14ac:dyDescent="0.2">
      <c r="A7007" s="451"/>
      <c r="B7007" s="451"/>
      <c r="C7007" s="451"/>
      <c r="D7007" s="451"/>
      <c r="E7007" s="468"/>
      <c r="F7007" s="468"/>
    </row>
    <row r="7008" spans="1:6" ht="12.75" x14ac:dyDescent="0.2">
      <c r="A7008" s="451"/>
      <c r="B7008" s="451"/>
      <c r="C7008" s="451"/>
      <c r="D7008" s="451"/>
      <c r="E7008" s="468"/>
      <c r="F7008" s="468"/>
    </row>
    <row r="7009" spans="1:6" ht="12.75" x14ac:dyDescent="0.2">
      <c r="A7009" s="451"/>
      <c r="B7009" s="451"/>
      <c r="C7009" s="451"/>
      <c r="D7009" s="451"/>
      <c r="E7009" s="468"/>
      <c r="F7009" s="468"/>
    </row>
    <row r="7010" spans="1:6" ht="12.75" x14ac:dyDescent="0.2">
      <c r="A7010" s="451"/>
      <c r="B7010" s="451"/>
      <c r="C7010" s="451"/>
      <c r="D7010" s="451"/>
      <c r="E7010" s="468"/>
      <c r="F7010" s="468"/>
    </row>
    <row r="7011" spans="1:6" ht="12.75" x14ac:dyDescent="0.2">
      <c r="A7011" s="451"/>
      <c r="B7011" s="451"/>
      <c r="C7011" s="451"/>
      <c r="D7011" s="451"/>
      <c r="E7011" s="468"/>
      <c r="F7011" s="468"/>
    </row>
    <row r="7012" spans="1:6" ht="12.75" x14ac:dyDescent="0.2">
      <c r="A7012" s="451"/>
      <c r="B7012" s="451"/>
      <c r="C7012" s="451"/>
      <c r="D7012" s="451"/>
      <c r="E7012" s="468"/>
      <c r="F7012" s="468"/>
    </row>
    <row r="7013" spans="1:6" ht="12.75" x14ac:dyDescent="0.2">
      <c r="A7013" s="451"/>
      <c r="B7013" s="451"/>
      <c r="C7013" s="451"/>
      <c r="D7013" s="451"/>
      <c r="E7013" s="468"/>
      <c r="F7013" s="468"/>
    </row>
    <row r="7014" spans="1:6" ht="12.75" x14ac:dyDescent="0.2">
      <c r="A7014" s="451"/>
      <c r="B7014" s="451"/>
      <c r="C7014" s="451"/>
      <c r="D7014" s="451"/>
      <c r="E7014" s="468"/>
      <c r="F7014" s="468"/>
    </row>
    <row r="7015" spans="1:6" ht="12.75" x14ac:dyDescent="0.2">
      <c r="A7015" s="451"/>
      <c r="B7015" s="451"/>
      <c r="C7015" s="451"/>
      <c r="D7015" s="451"/>
      <c r="E7015" s="468"/>
      <c r="F7015" s="468"/>
    </row>
    <row r="7016" spans="1:6" ht="12.75" x14ac:dyDescent="0.2">
      <c r="A7016" s="451"/>
      <c r="B7016" s="451"/>
      <c r="C7016" s="451"/>
      <c r="D7016" s="451"/>
      <c r="E7016" s="468"/>
      <c r="F7016" s="468"/>
    </row>
    <row r="7017" spans="1:6" ht="12.75" x14ac:dyDescent="0.2">
      <c r="A7017" s="451"/>
      <c r="B7017" s="451"/>
      <c r="C7017" s="451"/>
      <c r="D7017" s="451"/>
      <c r="E7017" s="468"/>
      <c r="F7017" s="468"/>
    </row>
    <row r="7018" spans="1:6" ht="12.75" x14ac:dyDescent="0.2">
      <c r="A7018" s="451"/>
      <c r="B7018" s="451"/>
      <c r="C7018" s="451"/>
      <c r="D7018" s="451"/>
      <c r="E7018" s="468"/>
      <c r="F7018" s="468"/>
    </row>
    <row r="7019" spans="1:6" ht="12.75" x14ac:dyDescent="0.2">
      <c r="A7019" s="451"/>
      <c r="B7019" s="451"/>
      <c r="C7019" s="451"/>
      <c r="D7019" s="451"/>
      <c r="E7019" s="468"/>
      <c r="F7019" s="468"/>
    </row>
    <row r="7020" spans="1:6" ht="12.75" x14ac:dyDescent="0.2">
      <c r="A7020" s="451"/>
      <c r="B7020" s="451"/>
      <c r="C7020" s="451"/>
      <c r="D7020" s="451"/>
      <c r="E7020" s="468"/>
      <c r="F7020" s="468"/>
    </row>
    <row r="7021" spans="1:6" ht="12.75" x14ac:dyDescent="0.2">
      <c r="A7021" s="451"/>
      <c r="B7021" s="451"/>
      <c r="C7021" s="451"/>
      <c r="D7021" s="451"/>
      <c r="E7021" s="468"/>
      <c r="F7021" s="468"/>
    </row>
    <row r="7022" spans="1:6" ht="12.75" x14ac:dyDescent="0.2">
      <c r="A7022" s="451"/>
      <c r="B7022" s="451"/>
      <c r="C7022" s="451"/>
      <c r="D7022" s="451"/>
      <c r="E7022" s="468"/>
      <c r="F7022" s="468"/>
    </row>
    <row r="7023" spans="1:6" ht="12.75" x14ac:dyDescent="0.2">
      <c r="A7023" s="451"/>
      <c r="B7023" s="451"/>
      <c r="C7023" s="451"/>
      <c r="D7023" s="451"/>
      <c r="E7023" s="468"/>
      <c r="F7023" s="468"/>
    </row>
    <row r="7024" spans="1:6" ht="12.75" x14ac:dyDescent="0.2">
      <c r="A7024" s="451"/>
      <c r="B7024" s="451"/>
      <c r="C7024" s="451"/>
      <c r="D7024" s="451"/>
      <c r="E7024" s="468"/>
      <c r="F7024" s="468"/>
    </row>
    <row r="7025" spans="1:6" ht="12.75" x14ac:dyDescent="0.2">
      <c r="A7025" s="451"/>
      <c r="B7025" s="451"/>
      <c r="C7025" s="451"/>
      <c r="D7025" s="451"/>
      <c r="E7025" s="468"/>
      <c r="F7025" s="468"/>
    </row>
    <row r="7026" spans="1:6" ht="12.75" x14ac:dyDescent="0.2">
      <c r="A7026" s="451"/>
      <c r="B7026" s="451"/>
      <c r="C7026" s="451"/>
      <c r="D7026" s="451"/>
      <c r="E7026" s="468"/>
      <c r="F7026" s="468"/>
    </row>
    <row r="7027" spans="1:6" ht="12.75" x14ac:dyDescent="0.2">
      <c r="A7027" s="451"/>
      <c r="B7027" s="451"/>
      <c r="C7027" s="451"/>
      <c r="D7027" s="451"/>
      <c r="E7027" s="468"/>
      <c r="F7027" s="468"/>
    </row>
    <row r="7028" spans="1:6" ht="12.75" x14ac:dyDescent="0.2">
      <c r="A7028" s="451"/>
      <c r="B7028" s="451"/>
      <c r="C7028" s="451"/>
      <c r="D7028" s="451"/>
      <c r="E7028" s="468"/>
      <c r="F7028" s="468"/>
    </row>
    <row r="7029" spans="1:6" ht="12.75" x14ac:dyDescent="0.2">
      <c r="A7029" s="451"/>
      <c r="B7029" s="451"/>
      <c r="C7029" s="451"/>
      <c r="D7029" s="451"/>
      <c r="E7029" s="468"/>
      <c r="F7029" s="468"/>
    </row>
    <row r="7030" spans="1:6" ht="12.75" x14ac:dyDescent="0.2">
      <c r="A7030" s="451"/>
      <c r="B7030" s="451"/>
      <c r="C7030" s="451"/>
      <c r="D7030" s="451"/>
      <c r="E7030" s="468"/>
      <c r="F7030" s="468"/>
    </row>
    <row r="7031" spans="1:6" ht="12.75" x14ac:dyDescent="0.2">
      <c r="A7031" s="451"/>
      <c r="B7031" s="451"/>
      <c r="C7031" s="451"/>
      <c r="D7031" s="451"/>
      <c r="E7031" s="468"/>
      <c r="F7031" s="468"/>
    </row>
    <row r="7032" spans="1:6" ht="12.75" x14ac:dyDescent="0.2">
      <c r="A7032" s="451"/>
      <c r="B7032" s="451"/>
      <c r="C7032" s="451"/>
      <c r="D7032" s="451"/>
      <c r="E7032" s="468"/>
      <c r="F7032" s="468"/>
    </row>
    <row r="7033" spans="1:6" ht="12.75" x14ac:dyDescent="0.2">
      <c r="A7033" s="451"/>
      <c r="B7033" s="451"/>
      <c r="C7033" s="451"/>
      <c r="D7033" s="451"/>
      <c r="E7033" s="468"/>
      <c r="F7033" s="468"/>
    </row>
    <row r="7034" spans="1:6" ht="12.75" x14ac:dyDescent="0.2">
      <c r="A7034" s="451"/>
      <c r="B7034" s="451"/>
      <c r="C7034" s="451"/>
      <c r="D7034" s="451"/>
      <c r="E7034" s="468"/>
      <c r="F7034" s="468"/>
    </row>
    <row r="7035" spans="1:6" ht="12.75" x14ac:dyDescent="0.2">
      <c r="A7035" s="451"/>
      <c r="B7035" s="451"/>
      <c r="C7035" s="451"/>
      <c r="D7035" s="451"/>
      <c r="E7035" s="468"/>
      <c r="F7035" s="468"/>
    </row>
    <row r="7036" spans="1:6" ht="12.75" x14ac:dyDescent="0.2">
      <c r="A7036" s="451"/>
      <c r="B7036" s="451"/>
      <c r="C7036" s="451"/>
      <c r="D7036" s="451"/>
      <c r="E7036" s="468"/>
      <c r="F7036" s="468"/>
    </row>
    <row r="7037" spans="1:6" ht="12.75" x14ac:dyDescent="0.2">
      <c r="A7037" s="451"/>
      <c r="B7037" s="451"/>
      <c r="C7037" s="451"/>
      <c r="D7037" s="451"/>
      <c r="E7037" s="468"/>
      <c r="F7037" s="468"/>
    </row>
    <row r="7038" spans="1:6" ht="12.75" x14ac:dyDescent="0.2">
      <c r="A7038" s="451"/>
      <c r="B7038" s="451"/>
      <c r="C7038" s="451"/>
      <c r="D7038" s="451"/>
      <c r="E7038" s="468"/>
      <c r="F7038" s="468"/>
    </row>
    <row r="7039" spans="1:6" ht="12.75" x14ac:dyDescent="0.2">
      <c r="A7039" s="451"/>
      <c r="B7039" s="451"/>
      <c r="C7039" s="451"/>
      <c r="D7039" s="451"/>
      <c r="E7039" s="468"/>
      <c r="F7039" s="468"/>
    </row>
    <row r="7040" spans="1:6" ht="12.75" x14ac:dyDescent="0.2">
      <c r="A7040" s="451"/>
      <c r="B7040" s="451"/>
      <c r="C7040" s="451"/>
      <c r="D7040" s="451"/>
      <c r="E7040" s="468"/>
      <c r="F7040" s="468"/>
    </row>
    <row r="7041" spans="1:6" ht="12.75" x14ac:dyDescent="0.2">
      <c r="A7041" s="451"/>
      <c r="B7041" s="451"/>
      <c r="C7041" s="451"/>
      <c r="D7041" s="451"/>
      <c r="E7041" s="468"/>
      <c r="F7041" s="468"/>
    </row>
    <row r="7042" spans="1:6" ht="12.75" x14ac:dyDescent="0.2">
      <c r="A7042" s="451"/>
      <c r="B7042" s="451"/>
      <c r="C7042" s="451"/>
      <c r="D7042" s="451"/>
      <c r="E7042" s="468"/>
      <c r="F7042" s="468"/>
    </row>
    <row r="7043" spans="1:6" ht="12.75" x14ac:dyDescent="0.2">
      <c r="A7043" s="451"/>
      <c r="B7043" s="451"/>
      <c r="C7043" s="451"/>
      <c r="D7043" s="451"/>
      <c r="E7043" s="468"/>
      <c r="F7043" s="468"/>
    </row>
    <row r="7044" spans="1:6" ht="12.75" x14ac:dyDescent="0.2">
      <c r="A7044" s="451"/>
      <c r="B7044" s="451"/>
      <c r="C7044" s="451"/>
      <c r="D7044" s="451"/>
      <c r="E7044" s="468"/>
      <c r="F7044" s="468"/>
    </row>
    <row r="7045" spans="1:6" ht="12.75" x14ac:dyDescent="0.2">
      <c r="A7045" s="451"/>
      <c r="B7045" s="451"/>
      <c r="C7045" s="451"/>
      <c r="D7045" s="451"/>
      <c r="E7045" s="468"/>
      <c r="F7045" s="468"/>
    </row>
    <row r="7046" spans="1:6" ht="12.75" x14ac:dyDescent="0.2">
      <c r="A7046" s="451"/>
      <c r="B7046" s="451"/>
      <c r="C7046" s="451"/>
      <c r="D7046" s="451"/>
      <c r="E7046" s="468"/>
      <c r="F7046" s="468"/>
    </row>
    <row r="7047" spans="1:6" ht="12.75" x14ac:dyDescent="0.2">
      <c r="A7047" s="451"/>
      <c r="B7047" s="451"/>
      <c r="C7047" s="451"/>
      <c r="D7047" s="451"/>
      <c r="E7047" s="468"/>
      <c r="F7047" s="468"/>
    </row>
    <row r="7048" spans="1:6" ht="12.75" x14ac:dyDescent="0.2">
      <c r="A7048" s="451"/>
      <c r="B7048" s="451"/>
      <c r="C7048" s="451"/>
      <c r="D7048" s="451"/>
      <c r="E7048" s="468"/>
      <c r="F7048" s="468"/>
    </row>
    <row r="7049" spans="1:6" ht="12.75" x14ac:dyDescent="0.2">
      <c r="A7049" s="451"/>
      <c r="B7049" s="451"/>
      <c r="C7049" s="451"/>
      <c r="D7049" s="451"/>
      <c r="E7049" s="468"/>
      <c r="F7049" s="468"/>
    </row>
    <row r="7050" spans="1:6" ht="12.75" x14ac:dyDescent="0.2">
      <c r="A7050" s="451"/>
      <c r="B7050" s="451"/>
      <c r="C7050" s="451"/>
      <c r="D7050" s="451"/>
      <c r="E7050" s="468"/>
      <c r="F7050" s="468"/>
    </row>
    <row r="7051" spans="1:6" ht="12.75" x14ac:dyDescent="0.2">
      <c r="A7051" s="451"/>
      <c r="B7051" s="451"/>
      <c r="C7051" s="451"/>
      <c r="D7051" s="451"/>
      <c r="E7051" s="468"/>
      <c r="F7051" s="468"/>
    </row>
    <row r="7052" spans="1:6" ht="12.75" x14ac:dyDescent="0.2">
      <c r="A7052" s="451"/>
      <c r="B7052" s="451"/>
      <c r="C7052" s="451"/>
      <c r="D7052" s="451"/>
      <c r="E7052" s="468"/>
      <c r="F7052" s="468"/>
    </row>
    <row r="7053" spans="1:6" ht="12.75" x14ac:dyDescent="0.2">
      <c r="A7053" s="451"/>
      <c r="B7053" s="451"/>
      <c r="C7053" s="451"/>
      <c r="D7053" s="451"/>
      <c r="E7053" s="468"/>
      <c r="F7053" s="468"/>
    </row>
    <row r="7054" spans="1:6" ht="12.75" x14ac:dyDescent="0.2">
      <c r="A7054" s="451"/>
      <c r="B7054" s="451"/>
      <c r="C7054" s="451"/>
      <c r="D7054" s="451"/>
      <c r="E7054" s="468"/>
      <c r="F7054" s="468"/>
    </row>
    <row r="7055" spans="1:6" ht="12.75" x14ac:dyDescent="0.2">
      <c r="A7055" s="451"/>
      <c r="B7055" s="451"/>
      <c r="C7055" s="451"/>
      <c r="D7055" s="451"/>
      <c r="E7055" s="468"/>
      <c r="F7055" s="468"/>
    </row>
    <row r="7056" spans="1:6" ht="12.75" x14ac:dyDescent="0.2">
      <c r="A7056" s="451"/>
      <c r="B7056" s="451"/>
      <c r="C7056" s="451"/>
      <c r="D7056" s="451"/>
      <c r="E7056" s="468"/>
      <c r="F7056" s="468"/>
    </row>
    <row r="7057" spans="1:6" ht="12.75" x14ac:dyDescent="0.2">
      <c r="A7057" s="451"/>
      <c r="B7057" s="451"/>
      <c r="C7057" s="451"/>
      <c r="D7057" s="451"/>
      <c r="E7057" s="468"/>
      <c r="F7057" s="468"/>
    </row>
    <row r="7058" spans="1:6" ht="12.75" x14ac:dyDescent="0.2">
      <c r="A7058" s="451"/>
      <c r="B7058" s="451"/>
      <c r="C7058" s="451"/>
      <c r="D7058" s="451"/>
      <c r="E7058" s="468"/>
      <c r="F7058" s="468"/>
    </row>
    <row r="7059" spans="1:6" ht="12.75" x14ac:dyDescent="0.2">
      <c r="A7059" s="451"/>
      <c r="B7059" s="451"/>
      <c r="C7059" s="451"/>
      <c r="D7059" s="451"/>
      <c r="E7059" s="468"/>
      <c r="F7059" s="468"/>
    </row>
    <row r="7060" spans="1:6" ht="12.75" x14ac:dyDescent="0.2">
      <c r="A7060" s="451"/>
      <c r="B7060" s="451"/>
      <c r="C7060" s="451"/>
      <c r="D7060" s="451"/>
      <c r="E7060" s="468"/>
      <c r="F7060" s="468"/>
    </row>
    <row r="7061" spans="1:6" ht="12.75" x14ac:dyDescent="0.2">
      <c r="A7061" s="451"/>
      <c r="B7061" s="451"/>
      <c r="C7061" s="451"/>
      <c r="D7061" s="451"/>
      <c r="E7061" s="468"/>
      <c r="F7061" s="468"/>
    </row>
    <row r="7062" spans="1:6" ht="12.75" x14ac:dyDescent="0.2">
      <c r="A7062" s="451"/>
      <c r="B7062" s="451"/>
      <c r="C7062" s="451"/>
      <c r="D7062" s="451"/>
      <c r="E7062" s="468"/>
      <c r="F7062" s="468"/>
    </row>
    <row r="7063" spans="1:6" ht="12.75" x14ac:dyDescent="0.2">
      <c r="A7063" s="451"/>
      <c r="B7063" s="451"/>
      <c r="C7063" s="451"/>
      <c r="D7063" s="451"/>
      <c r="E7063" s="468"/>
      <c r="F7063" s="468"/>
    </row>
    <row r="7064" spans="1:6" ht="12.75" x14ac:dyDescent="0.2">
      <c r="A7064" s="451"/>
      <c r="B7064" s="451"/>
      <c r="C7064" s="451"/>
      <c r="D7064" s="451"/>
      <c r="E7064" s="468"/>
      <c r="F7064" s="468"/>
    </row>
    <row r="7065" spans="1:6" ht="12.75" x14ac:dyDescent="0.2">
      <c r="A7065" s="451"/>
      <c r="B7065" s="451"/>
      <c r="C7065" s="451"/>
      <c r="D7065" s="451"/>
      <c r="E7065" s="468"/>
      <c r="F7065" s="468"/>
    </row>
    <row r="7066" spans="1:6" ht="12.75" x14ac:dyDescent="0.2">
      <c r="A7066" s="451"/>
      <c r="B7066" s="451"/>
      <c r="C7066" s="451"/>
      <c r="D7066" s="451"/>
      <c r="E7066" s="468"/>
      <c r="F7066" s="468"/>
    </row>
    <row r="7067" spans="1:6" ht="12.75" x14ac:dyDescent="0.2">
      <c r="A7067" s="451"/>
      <c r="B7067" s="451"/>
      <c r="C7067" s="451"/>
      <c r="D7067" s="451"/>
      <c r="E7067" s="468"/>
      <c r="F7067" s="468"/>
    </row>
    <row r="7068" spans="1:6" ht="12.75" x14ac:dyDescent="0.2">
      <c r="A7068" s="451"/>
      <c r="B7068" s="451"/>
      <c r="C7068" s="451"/>
      <c r="D7068" s="451"/>
      <c r="E7068" s="468"/>
      <c r="F7068" s="468"/>
    </row>
    <row r="7069" spans="1:6" ht="12.75" x14ac:dyDescent="0.2">
      <c r="A7069" s="451"/>
      <c r="B7069" s="451"/>
      <c r="C7069" s="451"/>
      <c r="D7069" s="451"/>
      <c r="E7069" s="468"/>
      <c r="F7069" s="468"/>
    </row>
    <row r="7070" spans="1:6" ht="12.75" x14ac:dyDescent="0.2">
      <c r="A7070" s="451"/>
      <c r="B7070" s="451"/>
      <c r="C7070" s="451"/>
      <c r="D7070" s="451"/>
      <c r="E7070" s="468"/>
      <c r="F7070" s="468"/>
    </row>
    <row r="7071" spans="1:6" ht="12.75" x14ac:dyDescent="0.2">
      <c r="A7071" s="451"/>
      <c r="B7071" s="451"/>
      <c r="C7071" s="451"/>
      <c r="D7071" s="451"/>
      <c r="E7071" s="468"/>
      <c r="F7071" s="468"/>
    </row>
    <row r="7072" spans="1:6" ht="12.75" x14ac:dyDescent="0.2">
      <c r="A7072" s="451"/>
      <c r="B7072" s="451"/>
      <c r="C7072" s="451"/>
      <c r="D7072" s="451"/>
      <c r="E7072" s="468"/>
      <c r="F7072" s="468"/>
    </row>
    <row r="7073" spans="1:6" ht="12.75" x14ac:dyDescent="0.2">
      <c r="A7073" s="451"/>
      <c r="B7073" s="451"/>
      <c r="C7073" s="451"/>
      <c r="D7073" s="451"/>
      <c r="E7073" s="468"/>
      <c r="F7073" s="468"/>
    </row>
    <row r="7074" spans="1:6" ht="12.75" x14ac:dyDescent="0.2">
      <c r="A7074" s="451"/>
      <c r="B7074" s="451"/>
      <c r="C7074" s="451"/>
      <c r="D7074" s="451"/>
      <c r="E7074" s="468"/>
      <c r="F7074" s="468"/>
    </row>
    <row r="7075" spans="1:6" ht="12.75" x14ac:dyDescent="0.2">
      <c r="A7075" s="451"/>
      <c r="B7075" s="451"/>
      <c r="C7075" s="451"/>
      <c r="D7075" s="451"/>
      <c r="E7075" s="468"/>
      <c r="F7075" s="468"/>
    </row>
    <row r="7076" spans="1:6" ht="12.75" x14ac:dyDescent="0.2">
      <c r="A7076" s="451"/>
      <c r="B7076" s="451"/>
      <c r="C7076" s="451"/>
      <c r="D7076" s="451"/>
      <c r="E7076" s="468"/>
      <c r="F7076" s="468"/>
    </row>
    <row r="7077" spans="1:6" ht="12.75" x14ac:dyDescent="0.2">
      <c r="A7077" s="451"/>
      <c r="B7077" s="451"/>
      <c r="C7077" s="451"/>
      <c r="D7077" s="451"/>
      <c r="E7077" s="468"/>
      <c r="F7077" s="468"/>
    </row>
    <row r="7078" spans="1:6" ht="12.75" x14ac:dyDescent="0.2">
      <c r="A7078" s="451"/>
      <c r="B7078" s="451"/>
      <c r="C7078" s="451"/>
      <c r="D7078" s="451"/>
      <c r="E7078" s="468"/>
      <c r="F7078" s="468"/>
    </row>
    <row r="7079" spans="1:6" ht="12.75" x14ac:dyDescent="0.2">
      <c r="A7079" s="451"/>
      <c r="B7079" s="451"/>
      <c r="C7079" s="451"/>
      <c r="D7079" s="451"/>
      <c r="E7079" s="468"/>
      <c r="F7079" s="468"/>
    </row>
    <row r="7080" spans="1:6" ht="12.75" x14ac:dyDescent="0.2">
      <c r="A7080" s="451"/>
      <c r="B7080" s="451"/>
      <c r="C7080" s="451"/>
      <c r="D7080" s="451"/>
      <c r="E7080" s="468"/>
      <c r="F7080" s="468"/>
    </row>
    <row r="7081" spans="1:6" ht="12.75" x14ac:dyDescent="0.2">
      <c r="A7081" s="451"/>
      <c r="B7081" s="451"/>
      <c r="C7081" s="451"/>
      <c r="D7081" s="451"/>
      <c r="E7081" s="468"/>
      <c r="F7081" s="468"/>
    </row>
    <row r="7082" spans="1:6" ht="12.75" x14ac:dyDescent="0.2">
      <c r="A7082" s="451"/>
      <c r="B7082" s="451"/>
      <c r="C7082" s="451"/>
      <c r="D7082" s="451"/>
      <c r="E7082" s="468"/>
      <c r="F7082" s="468"/>
    </row>
    <row r="7083" spans="1:6" ht="12.75" x14ac:dyDescent="0.2">
      <c r="A7083" s="451"/>
      <c r="B7083" s="451"/>
      <c r="C7083" s="451"/>
      <c r="D7083" s="451"/>
      <c r="E7083" s="468"/>
      <c r="F7083" s="468"/>
    </row>
    <row r="7084" spans="1:6" ht="12.75" x14ac:dyDescent="0.2">
      <c r="A7084" s="451"/>
      <c r="B7084" s="451"/>
      <c r="C7084" s="451"/>
      <c r="D7084" s="451"/>
      <c r="E7084" s="468"/>
      <c r="F7084" s="468"/>
    </row>
    <row r="7085" spans="1:6" ht="12.75" x14ac:dyDescent="0.2">
      <c r="A7085" s="451"/>
      <c r="B7085" s="451"/>
      <c r="C7085" s="451"/>
      <c r="D7085" s="451"/>
      <c r="E7085" s="468"/>
      <c r="F7085" s="468"/>
    </row>
    <row r="7086" spans="1:6" ht="12.75" x14ac:dyDescent="0.2">
      <c r="A7086" s="451"/>
      <c r="B7086" s="451"/>
      <c r="C7086" s="451"/>
      <c r="D7086" s="451"/>
      <c r="E7086" s="468"/>
      <c r="F7086" s="468"/>
    </row>
    <row r="7087" spans="1:6" ht="12.75" x14ac:dyDescent="0.2">
      <c r="A7087" s="451"/>
      <c r="B7087" s="451"/>
      <c r="C7087" s="451"/>
      <c r="D7087" s="451"/>
      <c r="E7087" s="468"/>
      <c r="F7087" s="468"/>
    </row>
    <row r="7088" spans="1:6" ht="12.75" x14ac:dyDescent="0.2">
      <c r="A7088" s="451"/>
      <c r="B7088" s="451"/>
      <c r="C7088" s="451"/>
      <c r="D7088" s="451"/>
      <c r="E7088" s="468"/>
      <c r="F7088" s="468"/>
    </row>
    <row r="7089" spans="1:6" ht="12.75" x14ac:dyDescent="0.2">
      <c r="A7089" s="451"/>
      <c r="B7089" s="451"/>
      <c r="C7089" s="451"/>
      <c r="D7089" s="451"/>
      <c r="E7089" s="468"/>
      <c r="F7089" s="468"/>
    </row>
    <row r="7090" spans="1:6" ht="12.75" x14ac:dyDescent="0.2">
      <c r="A7090" s="451"/>
      <c r="B7090" s="451"/>
      <c r="C7090" s="451"/>
      <c r="D7090" s="451"/>
      <c r="E7090" s="468"/>
      <c r="F7090" s="468"/>
    </row>
    <row r="7091" spans="1:6" ht="12.75" x14ac:dyDescent="0.2">
      <c r="A7091" s="451"/>
      <c r="B7091" s="451"/>
      <c r="C7091" s="451"/>
      <c r="D7091" s="451"/>
      <c r="E7091" s="468"/>
      <c r="F7091" s="468"/>
    </row>
    <row r="7092" spans="1:6" ht="12.75" x14ac:dyDescent="0.2">
      <c r="A7092" s="451"/>
      <c r="B7092" s="451"/>
      <c r="C7092" s="451"/>
      <c r="D7092" s="451"/>
      <c r="E7092" s="468"/>
      <c r="F7092" s="468"/>
    </row>
    <row r="7093" spans="1:6" ht="12.75" x14ac:dyDescent="0.2">
      <c r="A7093" s="451"/>
      <c r="B7093" s="451"/>
      <c r="C7093" s="451"/>
      <c r="D7093" s="451"/>
      <c r="E7093" s="468"/>
      <c r="F7093" s="468"/>
    </row>
    <row r="7094" spans="1:6" ht="12.75" x14ac:dyDescent="0.2">
      <c r="A7094" s="451"/>
      <c r="B7094" s="451"/>
      <c r="C7094" s="451"/>
      <c r="D7094" s="451"/>
      <c r="E7094" s="468"/>
      <c r="F7094" s="468"/>
    </row>
    <row r="7095" spans="1:6" ht="12.75" x14ac:dyDescent="0.2">
      <c r="A7095" s="451"/>
      <c r="B7095" s="451"/>
      <c r="C7095" s="451"/>
      <c r="D7095" s="451"/>
      <c r="E7095" s="468"/>
      <c r="F7095" s="468"/>
    </row>
    <row r="7096" spans="1:6" ht="12.75" x14ac:dyDescent="0.2">
      <c r="A7096" s="451"/>
      <c r="B7096" s="451"/>
      <c r="C7096" s="451"/>
      <c r="D7096" s="451"/>
      <c r="E7096" s="468"/>
      <c r="F7096" s="468"/>
    </row>
    <row r="7097" spans="1:6" ht="12.75" x14ac:dyDescent="0.2">
      <c r="A7097" s="451"/>
      <c r="B7097" s="451"/>
      <c r="C7097" s="451"/>
      <c r="D7097" s="451"/>
      <c r="E7097" s="468"/>
      <c r="F7097" s="468"/>
    </row>
    <row r="7098" spans="1:6" ht="12.75" x14ac:dyDescent="0.2">
      <c r="A7098" s="451"/>
      <c r="B7098" s="451"/>
      <c r="C7098" s="451"/>
      <c r="D7098" s="451"/>
      <c r="E7098" s="468"/>
      <c r="F7098" s="468"/>
    </row>
    <row r="7099" spans="1:6" ht="12.75" x14ac:dyDescent="0.2">
      <c r="A7099" s="451"/>
      <c r="B7099" s="451"/>
      <c r="C7099" s="451"/>
      <c r="D7099" s="451"/>
      <c r="E7099" s="468"/>
      <c r="F7099" s="468"/>
    </row>
    <row r="7100" spans="1:6" ht="12.75" x14ac:dyDescent="0.2">
      <c r="A7100" s="451"/>
      <c r="B7100" s="451"/>
      <c r="C7100" s="451"/>
      <c r="D7100" s="451"/>
      <c r="E7100" s="468"/>
      <c r="F7100" s="468"/>
    </row>
    <row r="7101" spans="1:6" ht="12.75" x14ac:dyDescent="0.2">
      <c r="A7101" s="451"/>
      <c r="B7101" s="451"/>
      <c r="C7101" s="451"/>
      <c r="D7101" s="451"/>
      <c r="E7101" s="468"/>
      <c r="F7101" s="468"/>
    </row>
    <row r="7102" spans="1:6" ht="12.75" x14ac:dyDescent="0.2">
      <c r="A7102" s="451"/>
      <c r="B7102" s="451"/>
      <c r="C7102" s="451"/>
      <c r="D7102" s="451"/>
      <c r="E7102" s="468"/>
      <c r="F7102" s="468"/>
    </row>
    <row r="7103" spans="1:6" ht="12.75" x14ac:dyDescent="0.2">
      <c r="A7103" s="451"/>
      <c r="B7103" s="451"/>
      <c r="C7103" s="451"/>
      <c r="D7103" s="451"/>
      <c r="E7103" s="468"/>
      <c r="F7103" s="468"/>
    </row>
    <row r="7104" spans="1:6" ht="12.75" x14ac:dyDescent="0.2">
      <c r="A7104" s="451"/>
      <c r="B7104" s="451"/>
      <c r="C7104" s="451"/>
      <c r="D7104" s="451"/>
      <c r="E7104" s="468"/>
      <c r="F7104" s="468"/>
    </row>
    <row r="7105" spans="1:6" ht="12.75" x14ac:dyDescent="0.2">
      <c r="A7105" s="451"/>
      <c r="B7105" s="451"/>
      <c r="C7105" s="451"/>
      <c r="D7105" s="451"/>
      <c r="E7105" s="468"/>
      <c r="F7105" s="468"/>
    </row>
    <row r="7106" spans="1:6" ht="12.75" x14ac:dyDescent="0.2">
      <c r="A7106" s="451"/>
      <c r="B7106" s="451"/>
      <c r="C7106" s="451"/>
      <c r="D7106" s="451"/>
      <c r="E7106" s="468"/>
      <c r="F7106" s="468"/>
    </row>
    <row r="7107" spans="1:6" ht="12.75" x14ac:dyDescent="0.2">
      <c r="A7107" s="451"/>
      <c r="B7107" s="451"/>
      <c r="C7107" s="451"/>
      <c r="D7107" s="451"/>
      <c r="E7107" s="468"/>
      <c r="F7107" s="468"/>
    </row>
    <row r="7108" spans="1:6" ht="12.75" x14ac:dyDescent="0.2">
      <c r="A7108" s="451"/>
      <c r="B7108" s="451"/>
      <c r="C7108" s="451"/>
      <c r="D7108" s="451"/>
      <c r="E7108" s="468"/>
      <c r="F7108" s="468"/>
    </row>
    <row r="7109" spans="1:6" ht="12.75" x14ac:dyDescent="0.2">
      <c r="A7109" s="451"/>
      <c r="B7109" s="451"/>
      <c r="C7109" s="451"/>
      <c r="D7109" s="451"/>
      <c r="E7109" s="468"/>
      <c r="F7109" s="468"/>
    </row>
    <row r="7110" spans="1:6" ht="12.75" x14ac:dyDescent="0.2">
      <c r="A7110" s="451"/>
      <c r="B7110" s="451"/>
      <c r="C7110" s="451"/>
      <c r="D7110" s="451"/>
      <c r="E7110" s="468"/>
      <c r="F7110" s="468"/>
    </row>
    <row r="7111" spans="1:6" ht="12.75" x14ac:dyDescent="0.2">
      <c r="A7111" s="451"/>
      <c r="B7111" s="451"/>
      <c r="C7111" s="451"/>
      <c r="D7111" s="451"/>
      <c r="E7111" s="468"/>
      <c r="F7111" s="468"/>
    </row>
    <row r="7112" spans="1:6" ht="12.75" x14ac:dyDescent="0.2">
      <c r="A7112" s="451"/>
      <c r="B7112" s="451"/>
      <c r="C7112" s="451"/>
      <c r="D7112" s="451"/>
      <c r="E7112" s="468"/>
      <c r="F7112" s="468"/>
    </row>
    <row r="7113" spans="1:6" ht="12.75" x14ac:dyDescent="0.2">
      <c r="A7113" s="451"/>
      <c r="B7113" s="451"/>
      <c r="C7113" s="451"/>
      <c r="D7113" s="451"/>
      <c r="E7113" s="468"/>
      <c r="F7113" s="468"/>
    </row>
    <row r="7114" spans="1:6" ht="12.75" x14ac:dyDescent="0.2">
      <c r="A7114" s="451"/>
      <c r="B7114" s="451"/>
      <c r="C7114" s="451"/>
      <c r="D7114" s="451"/>
      <c r="E7114" s="468"/>
      <c r="F7114" s="468"/>
    </row>
    <row r="7115" spans="1:6" ht="12.75" x14ac:dyDescent="0.2">
      <c r="A7115" s="451"/>
      <c r="B7115" s="451"/>
      <c r="C7115" s="451"/>
      <c r="D7115" s="451"/>
      <c r="E7115" s="468"/>
      <c r="F7115" s="468"/>
    </row>
    <row r="7116" spans="1:6" ht="12.75" x14ac:dyDescent="0.2">
      <c r="A7116" s="451"/>
      <c r="B7116" s="451"/>
      <c r="C7116" s="451"/>
      <c r="D7116" s="451"/>
      <c r="E7116" s="468"/>
      <c r="F7116" s="468"/>
    </row>
    <row r="7117" spans="1:6" ht="12.75" x14ac:dyDescent="0.2">
      <c r="A7117" s="451"/>
      <c r="B7117" s="451"/>
      <c r="C7117" s="451"/>
      <c r="D7117" s="451"/>
      <c r="E7117" s="468"/>
      <c r="F7117" s="468"/>
    </row>
    <row r="7118" spans="1:6" ht="12.75" x14ac:dyDescent="0.2">
      <c r="A7118" s="451"/>
      <c r="B7118" s="451"/>
      <c r="C7118" s="451"/>
      <c r="D7118" s="451"/>
      <c r="E7118" s="468"/>
      <c r="F7118" s="468"/>
    </row>
    <row r="7119" spans="1:6" ht="12.75" x14ac:dyDescent="0.2">
      <c r="A7119" s="451"/>
      <c r="B7119" s="451"/>
      <c r="C7119" s="451"/>
      <c r="D7119" s="451"/>
      <c r="E7119" s="468"/>
      <c r="F7119" s="468"/>
    </row>
    <row r="7120" spans="1:6" ht="12.75" x14ac:dyDescent="0.2">
      <c r="A7120" s="451"/>
      <c r="B7120" s="451"/>
      <c r="C7120" s="451"/>
      <c r="D7120" s="451"/>
      <c r="E7120" s="468"/>
      <c r="F7120" s="468"/>
    </row>
    <row r="7121" spans="1:6" ht="12.75" x14ac:dyDescent="0.2">
      <c r="A7121" s="451"/>
      <c r="B7121" s="451"/>
      <c r="C7121" s="451"/>
      <c r="D7121" s="451"/>
      <c r="E7121" s="468"/>
      <c r="F7121" s="468"/>
    </row>
    <row r="7122" spans="1:6" ht="12.75" x14ac:dyDescent="0.2">
      <c r="A7122" s="451"/>
      <c r="B7122" s="451"/>
      <c r="C7122" s="451"/>
      <c r="D7122" s="451"/>
      <c r="E7122" s="468"/>
      <c r="F7122" s="468"/>
    </row>
    <row r="7123" spans="1:6" ht="12.75" x14ac:dyDescent="0.2">
      <c r="A7123" s="451"/>
      <c r="B7123" s="451"/>
      <c r="C7123" s="451"/>
      <c r="D7123" s="451"/>
      <c r="E7123" s="468"/>
      <c r="F7123" s="468"/>
    </row>
    <row r="7124" spans="1:6" ht="12.75" x14ac:dyDescent="0.2">
      <c r="A7124" s="451"/>
      <c r="B7124" s="451"/>
      <c r="C7124" s="451"/>
      <c r="D7124" s="451"/>
      <c r="E7124" s="468"/>
      <c r="F7124" s="468"/>
    </row>
    <row r="7125" spans="1:6" ht="12.75" x14ac:dyDescent="0.2">
      <c r="A7125" s="451"/>
      <c r="B7125" s="451"/>
      <c r="C7125" s="451"/>
      <c r="D7125" s="451"/>
      <c r="E7125" s="468"/>
      <c r="F7125" s="468"/>
    </row>
    <row r="7126" spans="1:6" ht="12.75" x14ac:dyDescent="0.2">
      <c r="A7126" s="451"/>
      <c r="B7126" s="451"/>
      <c r="C7126" s="451"/>
      <c r="D7126" s="451"/>
      <c r="E7126" s="468"/>
      <c r="F7126" s="468"/>
    </row>
    <row r="7127" spans="1:6" ht="12.75" x14ac:dyDescent="0.2">
      <c r="A7127" s="451"/>
      <c r="B7127" s="451"/>
      <c r="C7127" s="451"/>
      <c r="D7127" s="451"/>
      <c r="E7127" s="468"/>
      <c r="F7127" s="468"/>
    </row>
    <row r="7128" spans="1:6" ht="12.75" x14ac:dyDescent="0.2">
      <c r="A7128" s="451"/>
      <c r="B7128" s="451"/>
      <c r="C7128" s="451"/>
      <c r="D7128" s="451"/>
      <c r="E7128" s="468"/>
      <c r="F7128" s="468"/>
    </row>
    <row r="7129" spans="1:6" ht="12.75" x14ac:dyDescent="0.2">
      <c r="A7129" s="451"/>
      <c r="B7129" s="451"/>
      <c r="C7129" s="451"/>
      <c r="D7129" s="451"/>
      <c r="E7129" s="468"/>
      <c r="F7129" s="468"/>
    </row>
    <row r="7130" spans="1:6" ht="12.75" x14ac:dyDescent="0.2">
      <c r="A7130" s="451"/>
      <c r="B7130" s="451"/>
      <c r="C7130" s="451"/>
      <c r="D7130" s="451"/>
      <c r="E7130" s="468"/>
      <c r="F7130" s="468"/>
    </row>
    <row r="7131" spans="1:6" ht="12.75" x14ac:dyDescent="0.2">
      <c r="A7131" s="451"/>
      <c r="B7131" s="451"/>
      <c r="C7131" s="451"/>
      <c r="D7131" s="451"/>
      <c r="E7131" s="468"/>
      <c r="F7131" s="468"/>
    </row>
    <row r="7132" spans="1:6" ht="12.75" x14ac:dyDescent="0.2">
      <c r="A7132" s="451"/>
      <c r="B7132" s="451"/>
      <c r="C7132" s="451"/>
      <c r="D7132" s="451"/>
      <c r="E7132" s="468"/>
      <c r="F7132" s="468"/>
    </row>
    <row r="7133" spans="1:6" ht="12.75" x14ac:dyDescent="0.2">
      <c r="A7133" s="451"/>
      <c r="B7133" s="451"/>
      <c r="C7133" s="451"/>
      <c r="D7133" s="451"/>
      <c r="E7133" s="468"/>
      <c r="F7133" s="468"/>
    </row>
    <row r="7134" spans="1:6" ht="12.75" x14ac:dyDescent="0.2">
      <c r="A7134" s="451"/>
      <c r="B7134" s="451"/>
      <c r="C7134" s="451"/>
      <c r="D7134" s="451"/>
      <c r="E7134" s="468"/>
      <c r="F7134" s="468"/>
    </row>
    <row r="7135" spans="1:6" ht="12.75" x14ac:dyDescent="0.2">
      <c r="A7135" s="451"/>
      <c r="B7135" s="451"/>
      <c r="C7135" s="451"/>
      <c r="D7135" s="451"/>
      <c r="E7135" s="468"/>
      <c r="F7135" s="468"/>
    </row>
    <row r="7136" spans="1:6" ht="12.75" x14ac:dyDescent="0.2">
      <c r="A7136" s="451"/>
      <c r="B7136" s="451"/>
      <c r="C7136" s="451"/>
      <c r="D7136" s="451"/>
      <c r="E7136" s="468"/>
      <c r="F7136" s="468"/>
    </row>
    <row r="7137" spans="1:6" ht="12.75" x14ac:dyDescent="0.2">
      <c r="A7137" s="451"/>
      <c r="B7137" s="451"/>
      <c r="C7137" s="451"/>
      <c r="D7137" s="451"/>
      <c r="E7137" s="468"/>
      <c r="F7137" s="468"/>
    </row>
    <row r="7138" spans="1:6" ht="12.75" x14ac:dyDescent="0.2">
      <c r="A7138" s="451"/>
      <c r="B7138" s="451"/>
      <c r="C7138" s="451"/>
      <c r="D7138" s="451"/>
      <c r="E7138" s="468"/>
      <c r="F7138" s="468"/>
    </row>
    <row r="7139" spans="1:6" ht="12.75" x14ac:dyDescent="0.2">
      <c r="A7139" s="451"/>
      <c r="B7139" s="451"/>
      <c r="C7139" s="451"/>
      <c r="D7139" s="451"/>
      <c r="E7139" s="468"/>
      <c r="F7139" s="468"/>
    </row>
    <row r="7140" spans="1:6" ht="12.75" x14ac:dyDescent="0.2">
      <c r="A7140" s="451"/>
      <c r="B7140" s="451"/>
      <c r="C7140" s="451"/>
      <c r="D7140" s="451"/>
      <c r="E7140" s="468"/>
      <c r="F7140" s="468"/>
    </row>
    <row r="7141" spans="1:6" ht="12.75" x14ac:dyDescent="0.2">
      <c r="A7141" s="451"/>
      <c r="B7141" s="451"/>
      <c r="C7141" s="451"/>
      <c r="D7141" s="451"/>
      <c r="E7141" s="468"/>
      <c r="F7141" s="468"/>
    </row>
    <row r="7142" spans="1:6" ht="12.75" x14ac:dyDescent="0.2">
      <c r="A7142" s="451"/>
      <c r="B7142" s="451"/>
      <c r="C7142" s="451"/>
      <c r="D7142" s="451"/>
      <c r="E7142" s="468"/>
      <c r="F7142" s="468"/>
    </row>
    <row r="7143" spans="1:6" ht="12.75" x14ac:dyDescent="0.2">
      <c r="A7143" s="451"/>
      <c r="B7143" s="451"/>
      <c r="C7143" s="451"/>
      <c r="D7143" s="451"/>
      <c r="E7143" s="468"/>
      <c r="F7143" s="468"/>
    </row>
    <row r="7144" spans="1:6" ht="12.75" x14ac:dyDescent="0.2">
      <c r="A7144" s="451"/>
      <c r="B7144" s="451"/>
      <c r="C7144" s="451"/>
      <c r="D7144" s="451"/>
      <c r="E7144" s="468"/>
      <c r="F7144" s="468"/>
    </row>
    <row r="7145" spans="1:6" ht="12.75" x14ac:dyDescent="0.2">
      <c r="A7145" s="451"/>
      <c r="B7145" s="451"/>
      <c r="C7145" s="451"/>
      <c r="D7145" s="451"/>
      <c r="E7145" s="468"/>
      <c r="F7145" s="468"/>
    </row>
    <row r="7146" spans="1:6" ht="12.75" x14ac:dyDescent="0.2">
      <c r="A7146" s="451"/>
      <c r="B7146" s="451"/>
      <c r="C7146" s="451"/>
      <c r="D7146" s="451"/>
      <c r="E7146" s="468"/>
      <c r="F7146" s="468"/>
    </row>
    <row r="7147" spans="1:6" ht="12.75" x14ac:dyDescent="0.2">
      <c r="A7147" s="451"/>
      <c r="B7147" s="451"/>
      <c r="C7147" s="451"/>
      <c r="D7147" s="451"/>
      <c r="E7147" s="468"/>
      <c r="F7147" s="468"/>
    </row>
    <row r="7148" spans="1:6" ht="12.75" x14ac:dyDescent="0.2">
      <c r="A7148" s="451"/>
      <c r="B7148" s="451"/>
      <c r="C7148" s="451"/>
      <c r="D7148" s="451"/>
      <c r="E7148" s="468"/>
      <c r="F7148" s="468"/>
    </row>
    <row r="7149" spans="1:6" ht="12.75" x14ac:dyDescent="0.2">
      <c r="A7149" s="451"/>
      <c r="B7149" s="451"/>
      <c r="C7149" s="451"/>
      <c r="D7149" s="451"/>
      <c r="E7149" s="468"/>
      <c r="F7149" s="468"/>
    </row>
    <row r="7150" spans="1:6" ht="12.75" x14ac:dyDescent="0.2">
      <c r="A7150" s="451"/>
      <c r="B7150" s="451"/>
      <c r="C7150" s="451"/>
      <c r="D7150" s="451"/>
      <c r="E7150" s="468"/>
      <c r="F7150" s="468"/>
    </row>
    <row r="7151" spans="1:6" ht="12.75" x14ac:dyDescent="0.2">
      <c r="A7151" s="451"/>
      <c r="B7151" s="451"/>
      <c r="C7151" s="451"/>
      <c r="D7151" s="451"/>
      <c r="E7151" s="468"/>
      <c r="F7151" s="468"/>
    </row>
    <row r="7152" spans="1:6" ht="12.75" x14ac:dyDescent="0.2">
      <c r="A7152" s="451"/>
      <c r="B7152" s="451"/>
      <c r="C7152" s="451"/>
      <c r="D7152" s="451"/>
      <c r="E7152" s="468"/>
      <c r="F7152" s="468"/>
    </row>
    <row r="7153" spans="1:6" ht="12.75" x14ac:dyDescent="0.2">
      <c r="A7153" s="451"/>
      <c r="B7153" s="451"/>
      <c r="C7153" s="451"/>
      <c r="D7153" s="451"/>
      <c r="E7153" s="468"/>
      <c r="F7153" s="468"/>
    </row>
    <row r="7154" spans="1:6" ht="12.75" x14ac:dyDescent="0.2">
      <c r="A7154" s="451"/>
      <c r="B7154" s="451"/>
      <c r="C7154" s="451"/>
      <c r="D7154" s="451"/>
      <c r="E7154" s="468"/>
      <c r="F7154" s="468"/>
    </row>
    <row r="7155" spans="1:6" ht="12.75" x14ac:dyDescent="0.2">
      <c r="A7155" s="451"/>
      <c r="B7155" s="451"/>
      <c r="C7155" s="451"/>
      <c r="D7155" s="451"/>
      <c r="E7155" s="468"/>
      <c r="F7155" s="468"/>
    </row>
    <row r="7156" spans="1:6" ht="12.75" x14ac:dyDescent="0.2">
      <c r="A7156" s="451"/>
      <c r="B7156" s="451"/>
      <c r="C7156" s="451"/>
      <c r="D7156" s="451"/>
      <c r="E7156" s="468"/>
      <c r="F7156" s="468"/>
    </row>
    <row r="7157" spans="1:6" ht="12.75" x14ac:dyDescent="0.2">
      <c r="A7157" s="451"/>
      <c r="B7157" s="451"/>
      <c r="C7157" s="451"/>
      <c r="D7157" s="451"/>
      <c r="E7157" s="468"/>
      <c r="F7157" s="468"/>
    </row>
    <row r="7158" spans="1:6" ht="12.75" x14ac:dyDescent="0.2">
      <c r="A7158" s="451"/>
      <c r="B7158" s="451"/>
      <c r="C7158" s="451"/>
      <c r="D7158" s="451"/>
      <c r="E7158" s="468"/>
      <c r="F7158" s="468"/>
    </row>
    <row r="7159" spans="1:6" ht="12.75" x14ac:dyDescent="0.2">
      <c r="A7159" s="451"/>
      <c r="B7159" s="451"/>
      <c r="C7159" s="451"/>
      <c r="D7159" s="451"/>
      <c r="E7159" s="468"/>
      <c r="F7159" s="468"/>
    </row>
    <row r="7160" spans="1:6" ht="12.75" x14ac:dyDescent="0.2">
      <c r="A7160" s="451"/>
      <c r="B7160" s="451"/>
      <c r="C7160" s="451"/>
      <c r="D7160" s="451"/>
      <c r="E7160" s="468"/>
      <c r="F7160" s="468"/>
    </row>
    <row r="7161" spans="1:6" ht="12.75" x14ac:dyDescent="0.2">
      <c r="A7161" s="451"/>
      <c r="B7161" s="451"/>
      <c r="C7161" s="451"/>
      <c r="D7161" s="451"/>
      <c r="E7161" s="468"/>
      <c r="F7161" s="468"/>
    </row>
    <row r="7162" spans="1:6" ht="12.75" x14ac:dyDescent="0.2">
      <c r="A7162" s="451"/>
      <c r="B7162" s="451"/>
      <c r="C7162" s="451"/>
      <c r="D7162" s="451"/>
      <c r="E7162" s="468"/>
      <c r="F7162" s="468"/>
    </row>
    <row r="7163" spans="1:6" ht="12.75" x14ac:dyDescent="0.2">
      <c r="A7163" s="451"/>
      <c r="B7163" s="451"/>
      <c r="C7163" s="451"/>
      <c r="D7163" s="451"/>
      <c r="E7163" s="468"/>
      <c r="F7163" s="468"/>
    </row>
    <row r="7164" spans="1:6" ht="12.75" x14ac:dyDescent="0.2">
      <c r="A7164" s="451"/>
      <c r="B7164" s="451"/>
      <c r="C7164" s="451"/>
      <c r="D7164" s="451"/>
      <c r="E7164" s="468"/>
      <c r="F7164" s="468"/>
    </row>
    <row r="7165" spans="1:6" ht="12.75" x14ac:dyDescent="0.2">
      <c r="A7165" s="451"/>
      <c r="B7165" s="451"/>
      <c r="C7165" s="451"/>
      <c r="D7165" s="451"/>
      <c r="E7165" s="468"/>
      <c r="F7165" s="468"/>
    </row>
    <row r="7166" spans="1:6" ht="12.75" x14ac:dyDescent="0.2">
      <c r="A7166" s="451"/>
      <c r="B7166" s="451"/>
      <c r="C7166" s="451"/>
      <c r="D7166" s="451"/>
      <c r="E7166" s="468"/>
      <c r="F7166" s="468"/>
    </row>
    <row r="7167" spans="1:6" ht="12.75" x14ac:dyDescent="0.2">
      <c r="A7167" s="451"/>
      <c r="B7167" s="451"/>
      <c r="C7167" s="451"/>
      <c r="D7167" s="451"/>
      <c r="E7167" s="468"/>
      <c r="F7167" s="468"/>
    </row>
    <row r="7168" spans="1:6" ht="12.75" x14ac:dyDescent="0.2">
      <c r="A7168" s="451"/>
      <c r="B7168" s="451"/>
      <c r="C7168" s="451"/>
      <c r="D7168" s="451"/>
      <c r="E7168" s="468"/>
      <c r="F7168" s="468"/>
    </row>
    <row r="7169" spans="1:6" ht="12.75" x14ac:dyDescent="0.2">
      <c r="A7169" s="451"/>
      <c r="B7169" s="451"/>
      <c r="C7169" s="451"/>
      <c r="D7169" s="451"/>
      <c r="E7169" s="468"/>
      <c r="F7169" s="468"/>
    </row>
    <row r="7170" spans="1:6" ht="12.75" x14ac:dyDescent="0.2">
      <c r="A7170" s="451"/>
      <c r="B7170" s="451"/>
      <c r="C7170" s="451"/>
      <c r="D7170" s="451"/>
      <c r="E7170" s="468"/>
      <c r="F7170" s="468"/>
    </row>
    <row r="7171" spans="1:6" ht="12.75" x14ac:dyDescent="0.2">
      <c r="A7171" s="451"/>
      <c r="B7171" s="451"/>
      <c r="C7171" s="451"/>
      <c r="D7171" s="451"/>
      <c r="E7171" s="468"/>
      <c r="F7171" s="468"/>
    </row>
    <row r="7172" spans="1:6" ht="12.75" x14ac:dyDescent="0.2">
      <c r="A7172" s="451"/>
      <c r="B7172" s="451"/>
      <c r="C7172" s="451"/>
      <c r="D7172" s="451"/>
      <c r="E7172" s="468"/>
      <c r="F7172" s="468"/>
    </row>
    <row r="7173" spans="1:6" ht="12.75" x14ac:dyDescent="0.2">
      <c r="A7173" s="451"/>
      <c r="B7173" s="451"/>
      <c r="C7173" s="451"/>
      <c r="D7173" s="451"/>
      <c r="E7173" s="468"/>
      <c r="F7173" s="468"/>
    </row>
    <row r="7174" spans="1:6" ht="12.75" x14ac:dyDescent="0.2">
      <c r="A7174" s="451"/>
      <c r="B7174" s="451"/>
      <c r="C7174" s="451"/>
      <c r="D7174" s="451"/>
      <c r="E7174" s="468"/>
      <c r="F7174" s="468"/>
    </row>
    <row r="7175" spans="1:6" ht="12.75" x14ac:dyDescent="0.2">
      <c r="A7175" s="451"/>
      <c r="B7175" s="451"/>
      <c r="C7175" s="451"/>
      <c r="D7175" s="451"/>
      <c r="E7175" s="468"/>
      <c r="F7175" s="468"/>
    </row>
    <row r="7176" spans="1:6" ht="12.75" x14ac:dyDescent="0.2">
      <c r="A7176" s="451"/>
      <c r="B7176" s="451"/>
      <c r="C7176" s="451"/>
      <c r="D7176" s="451"/>
      <c r="E7176" s="468"/>
      <c r="F7176" s="468"/>
    </row>
    <row r="7177" spans="1:6" ht="12.75" x14ac:dyDescent="0.2">
      <c r="A7177" s="451"/>
      <c r="B7177" s="451"/>
      <c r="C7177" s="451"/>
      <c r="D7177" s="451"/>
      <c r="E7177" s="468"/>
      <c r="F7177" s="468"/>
    </row>
    <row r="7178" spans="1:6" ht="12.75" x14ac:dyDescent="0.2">
      <c r="A7178" s="451"/>
      <c r="B7178" s="451"/>
      <c r="C7178" s="451"/>
      <c r="D7178" s="451"/>
      <c r="E7178" s="468"/>
      <c r="F7178" s="468"/>
    </row>
    <row r="7179" spans="1:6" ht="12.75" x14ac:dyDescent="0.2">
      <c r="A7179" s="451"/>
      <c r="B7179" s="451"/>
      <c r="C7179" s="451"/>
      <c r="D7179" s="451"/>
      <c r="E7179" s="468"/>
      <c r="F7179" s="468"/>
    </row>
    <row r="7180" spans="1:6" ht="12.75" x14ac:dyDescent="0.2">
      <c r="A7180" s="451"/>
      <c r="B7180" s="451"/>
      <c r="C7180" s="451"/>
      <c r="D7180" s="451"/>
      <c r="E7180" s="468"/>
      <c r="F7180" s="468"/>
    </row>
    <row r="7181" spans="1:6" ht="12.75" x14ac:dyDescent="0.2">
      <c r="A7181" s="451"/>
      <c r="B7181" s="451"/>
      <c r="C7181" s="451"/>
      <c r="D7181" s="451"/>
      <c r="E7181" s="468"/>
      <c r="F7181" s="468"/>
    </row>
    <row r="7182" spans="1:6" ht="12.75" x14ac:dyDescent="0.2">
      <c r="A7182" s="451"/>
      <c r="B7182" s="451"/>
      <c r="C7182" s="451"/>
      <c r="D7182" s="451"/>
      <c r="E7182" s="468"/>
      <c r="F7182" s="468"/>
    </row>
    <row r="7183" spans="1:6" ht="12.75" x14ac:dyDescent="0.2">
      <c r="A7183" s="451"/>
      <c r="B7183" s="451"/>
      <c r="C7183" s="451"/>
      <c r="D7183" s="451"/>
      <c r="E7183" s="468"/>
      <c r="F7183" s="468"/>
    </row>
    <row r="7184" spans="1:6" ht="12.75" x14ac:dyDescent="0.2">
      <c r="A7184" s="451"/>
      <c r="B7184" s="451"/>
      <c r="C7184" s="451"/>
      <c r="D7184" s="451"/>
      <c r="E7184" s="468"/>
      <c r="F7184" s="468"/>
    </row>
    <row r="7185" spans="1:6" ht="12.75" x14ac:dyDescent="0.2">
      <c r="A7185" s="451"/>
      <c r="B7185" s="451"/>
      <c r="C7185" s="451"/>
      <c r="D7185" s="451"/>
      <c r="E7185" s="468"/>
      <c r="F7185" s="468"/>
    </row>
    <row r="7186" spans="1:6" ht="12.75" x14ac:dyDescent="0.2">
      <c r="A7186" s="451"/>
      <c r="B7186" s="451"/>
      <c r="C7186" s="451"/>
      <c r="D7186" s="451"/>
      <c r="E7186" s="468"/>
      <c r="F7186" s="468"/>
    </row>
    <row r="7187" spans="1:6" ht="12.75" x14ac:dyDescent="0.2">
      <c r="A7187" s="451"/>
      <c r="B7187" s="451"/>
      <c r="C7187" s="451"/>
      <c r="D7187" s="451"/>
      <c r="E7187" s="468"/>
      <c r="F7187" s="468"/>
    </row>
    <row r="7188" spans="1:6" ht="12.75" x14ac:dyDescent="0.2">
      <c r="A7188" s="451"/>
      <c r="B7188" s="451"/>
      <c r="C7188" s="451"/>
      <c r="D7188" s="451"/>
      <c r="E7188" s="468"/>
      <c r="F7188" s="468"/>
    </row>
    <row r="7189" spans="1:6" ht="12.75" x14ac:dyDescent="0.2">
      <c r="A7189" s="451"/>
      <c r="B7189" s="451"/>
      <c r="C7189" s="451"/>
      <c r="D7189" s="451"/>
      <c r="E7189" s="468"/>
      <c r="F7189" s="468"/>
    </row>
    <row r="7190" spans="1:6" ht="12.75" x14ac:dyDescent="0.2">
      <c r="A7190" s="451"/>
      <c r="B7190" s="451"/>
      <c r="C7190" s="451"/>
      <c r="D7190" s="451"/>
      <c r="E7190" s="468"/>
      <c r="F7190" s="468"/>
    </row>
    <row r="7191" spans="1:6" ht="12.75" x14ac:dyDescent="0.2">
      <c r="A7191" s="451"/>
      <c r="B7191" s="451"/>
      <c r="C7191" s="451"/>
      <c r="D7191" s="451"/>
      <c r="E7191" s="468"/>
      <c r="F7191" s="468"/>
    </row>
    <row r="7192" spans="1:6" ht="12.75" x14ac:dyDescent="0.2">
      <c r="A7192" s="451"/>
      <c r="B7192" s="451"/>
      <c r="C7192" s="451"/>
      <c r="D7192" s="451"/>
      <c r="E7192" s="468"/>
      <c r="F7192" s="468"/>
    </row>
    <row r="7193" spans="1:6" ht="12.75" x14ac:dyDescent="0.2">
      <c r="A7193" s="451"/>
      <c r="B7193" s="451"/>
      <c r="C7193" s="451"/>
      <c r="D7193" s="451"/>
      <c r="E7193" s="468"/>
      <c r="F7193" s="468"/>
    </row>
    <row r="7194" spans="1:6" ht="12.75" x14ac:dyDescent="0.2">
      <c r="A7194" s="451"/>
      <c r="B7194" s="451"/>
      <c r="C7194" s="451"/>
      <c r="D7194" s="451"/>
      <c r="E7194" s="468"/>
      <c r="F7194" s="468"/>
    </row>
    <row r="7195" spans="1:6" ht="12.75" x14ac:dyDescent="0.2">
      <c r="A7195" s="451"/>
      <c r="B7195" s="451"/>
      <c r="C7195" s="451"/>
      <c r="D7195" s="451"/>
      <c r="E7195" s="468"/>
      <c r="F7195" s="468"/>
    </row>
    <row r="7196" spans="1:6" ht="12.75" x14ac:dyDescent="0.2">
      <c r="A7196" s="451"/>
      <c r="B7196" s="451"/>
      <c r="C7196" s="451"/>
      <c r="D7196" s="451"/>
      <c r="E7196" s="468"/>
      <c r="F7196" s="468"/>
    </row>
    <row r="7197" spans="1:6" ht="12.75" x14ac:dyDescent="0.2">
      <c r="A7197" s="451"/>
      <c r="B7197" s="451"/>
      <c r="C7197" s="451"/>
      <c r="D7197" s="451"/>
      <c r="E7197" s="468"/>
      <c r="F7197" s="468"/>
    </row>
    <row r="7198" spans="1:6" ht="12.75" x14ac:dyDescent="0.2">
      <c r="A7198" s="451"/>
      <c r="B7198" s="451"/>
      <c r="C7198" s="451"/>
      <c r="D7198" s="451"/>
      <c r="E7198" s="468"/>
      <c r="F7198" s="468"/>
    </row>
    <row r="7199" spans="1:6" ht="12.75" x14ac:dyDescent="0.2">
      <c r="A7199" s="451"/>
      <c r="B7199" s="451"/>
      <c r="C7199" s="451"/>
      <c r="D7199" s="451"/>
      <c r="E7199" s="468"/>
      <c r="F7199" s="468"/>
    </row>
    <row r="7200" spans="1:6" ht="12.75" x14ac:dyDescent="0.2">
      <c r="A7200" s="451"/>
      <c r="B7200" s="451"/>
      <c r="C7200" s="451"/>
      <c r="D7200" s="451"/>
      <c r="E7200" s="468"/>
      <c r="F7200" s="468"/>
    </row>
    <row r="7201" spans="1:6" ht="12.75" x14ac:dyDescent="0.2">
      <c r="A7201" s="451"/>
      <c r="B7201" s="451"/>
      <c r="C7201" s="451"/>
      <c r="D7201" s="451"/>
      <c r="E7201" s="468"/>
      <c r="F7201" s="468"/>
    </row>
    <row r="7202" spans="1:6" ht="12.75" x14ac:dyDescent="0.2">
      <c r="A7202" s="451"/>
      <c r="B7202" s="451"/>
      <c r="C7202" s="451"/>
      <c r="D7202" s="451"/>
      <c r="E7202" s="468"/>
      <c r="F7202" s="468"/>
    </row>
    <row r="7203" spans="1:6" ht="12.75" x14ac:dyDescent="0.2">
      <c r="A7203" s="451"/>
      <c r="B7203" s="451"/>
      <c r="C7203" s="451"/>
      <c r="D7203" s="451"/>
      <c r="E7203" s="468"/>
      <c r="F7203" s="468"/>
    </row>
    <row r="7204" spans="1:6" ht="12.75" x14ac:dyDescent="0.2">
      <c r="A7204" s="451"/>
      <c r="B7204" s="451"/>
      <c r="C7204" s="451"/>
      <c r="D7204" s="451"/>
      <c r="E7204" s="468"/>
      <c r="F7204" s="468"/>
    </row>
    <row r="7205" spans="1:6" ht="12.75" x14ac:dyDescent="0.2">
      <c r="A7205" s="451"/>
      <c r="B7205" s="451"/>
      <c r="C7205" s="451"/>
      <c r="D7205" s="451"/>
      <c r="E7205" s="468"/>
      <c r="F7205" s="468"/>
    </row>
    <row r="7206" spans="1:6" ht="12.75" x14ac:dyDescent="0.2">
      <c r="A7206" s="451"/>
      <c r="B7206" s="451"/>
      <c r="C7206" s="451"/>
      <c r="D7206" s="451"/>
      <c r="E7206" s="468"/>
      <c r="F7206" s="468"/>
    </row>
    <row r="7207" spans="1:6" ht="12.75" x14ac:dyDescent="0.2">
      <c r="A7207" s="451"/>
      <c r="B7207" s="451"/>
      <c r="C7207" s="451"/>
      <c r="D7207" s="451"/>
      <c r="E7207" s="468"/>
      <c r="F7207" s="468"/>
    </row>
    <row r="7208" spans="1:6" ht="12.75" x14ac:dyDescent="0.2">
      <c r="A7208" s="451"/>
      <c r="B7208" s="451"/>
      <c r="C7208" s="451"/>
      <c r="D7208" s="451"/>
      <c r="E7208" s="468"/>
      <c r="F7208" s="468"/>
    </row>
    <row r="7209" spans="1:6" ht="12.75" x14ac:dyDescent="0.2">
      <c r="A7209" s="451"/>
      <c r="B7209" s="451"/>
      <c r="C7209" s="451"/>
      <c r="D7209" s="451"/>
      <c r="E7209" s="468"/>
      <c r="F7209" s="468"/>
    </row>
    <row r="7210" spans="1:6" ht="12.75" x14ac:dyDescent="0.2">
      <c r="A7210" s="451"/>
      <c r="B7210" s="451"/>
      <c r="C7210" s="451"/>
      <c r="D7210" s="451"/>
      <c r="E7210" s="468"/>
      <c r="F7210" s="468"/>
    </row>
    <row r="7211" spans="1:6" ht="12.75" x14ac:dyDescent="0.2">
      <c r="A7211" s="451"/>
      <c r="B7211" s="451"/>
      <c r="C7211" s="451"/>
      <c r="D7211" s="451"/>
      <c r="E7211" s="468"/>
      <c r="F7211" s="468"/>
    </row>
    <row r="7212" spans="1:6" ht="12.75" x14ac:dyDescent="0.2">
      <c r="A7212" s="451"/>
      <c r="B7212" s="451"/>
      <c r="C7212" s="451"/>
      <c r="D7212" s="451"/>
      <c r="E7212" s="468"/>
      <c r="F7212" s="468"/>
    </row>
    <row r="7213" spans="1:6" ht="12.75" x14ac:dyDescent="0.2">
      <c r="A7213" s="451"/>
      <c r="B7213" s="451"/>
      <c r="C7213" s="451"/>
      <c r="D7213" s="451"/>
      <c r="E7213" s="468"/>
      <c r="F7213" s="468"/>
    </row>
    <row r="7214" spans="1:6" ht="12.75" x14ac:dyDescent="0.2">
      <c r="A7214" s="451"/>
      <c r="B7214" s="451"/>
      <c r="C7214" s="451"/>
      <c r="D7214" s="451"/>
      <c r="E7214" s="468"/>
      <c r="F7214" s="468"/>
    </row>
    <row r="7215" spans="1:6" ht="12.75" x14ac:dyDescent="0.2">
      <c r="A7215" s="451"/>
      <c r="B7215" s="451"/>
      <c r="C7215" s="451"/>
      <c r="D7215" s="451"/>
      <c r="E7215" s="468"/>
      <c r="F7215" s="468"/>
    </row>
    <row r="7216" spans="1:6" ht="12.75" x14ac:dyDescent="0.2">
      <c r="A7216" s="451"/>
      <c r="B7216" s="451"/>
      <c r="C7216" s="451"/>
      <c r="D7216" s="451"/>
      <c r="E7216" s="468"/>
      <c r="F7216" s="468"/>
    </row>
    <row r="7217" spans="1:6" ht="12.75" x14ac:dyDescent="0.2">
      <c r="A7217" s="451"/>
      <c r="B7217" s="451"/>
      <c r="C7217" s="451"/>
      <c r="D7217" s="451"/>
      <c r="E7217" s="468"/>
      <c r="F7217" s="468"/>
    </row>
    <row r="7218" spans="1:6" ht="12.75" x14ac:dyDescent="0.2">
      <c r="A7218" s="451"/>
      <c r="B7218" s="451"/>
      <c r="C7218" s="451"/>
      <c r="D7218" s="451"/>
      <c r="E7218" s="468"/>
      <c r="F7218" s="468"/>
    </row>
    <row r="7219" spans="1:6" ht="12.75" x14ac:dyDescent="0.2">
      <c r="A7219" s="451"/>
      <c r="B7219" s="451"/>
      <c r="C7219" s="451"/>
      <c r="D7219" s="451"/>
      <c r="E7219" s="468"/>
      <c r="F7219" s="468"/>
    </row>
    <row r="7220" spans="1:6" ht="12.75" x14ac:dyDescent="0.2">
      <c r="A7220" s="451"/>
      <c r="B7220" s="451"/>
      <c r="C7220" s="451"/>
      <c r="D7220" s="451"/>
      <c r="E7220" s="468"/>
      <c r="F7220" s="468"/>
    </row>
    <row r="7221" spans="1:6" ht="12.75" x14ac:dyDescent="0.2">
      <c r="A7221" s="451"/>
      <c r="B7221" s="451"/>
      <c r="C7221" s="451"/>
      <c r="D7221" s="451"/>
      <c r="E7221" s="468"/>
      <c r="F7221" s="468"/>
    </row>
    <row r="7222" spans="1:6" ht="12.75" x14ac:dyDescent="0.2">
      <c r="A7222" s="451"/>
      <c r="B7222" s="451"/>
      <c r="C7222" s="451"/>
      <c r="D7222" s="451"/>
      <c r="E7222" s="468"/>
      <c r="F7222" s="468"/>
    </row>
    <row r="7223" spans="1:6" ht="12.75" x14ac:dyDescent="0.2">
      <c r="A7223" s="451"/>
      <c r="B7223" s="451"/>
      <c r="C7223" s="451"/>
      <c r="D7223" s="451"/>
      <c r="E7223" s="468"/>
      <c r="F7223" s="468"/>
    </row>
    <row r="7224" spans="1:6" ht="12.75" x14ac:dyDescent="0.2">
      <c r="A7224" s="451"/>
      <c r="B7224" s="451"/>
      <c r="C7224" s="451"/>
      <c r="D7224" s="451"/>
      <c r="E7224" s="468"/>
      <c r="F7224" s="468"/>
    </row>
    <row r="7225" spans="1:6" ht="12.75" x14ac:dyDescent="0.2">
      <c r="A7225" s="451"/>
      <c r="B7225" s="451"/>
      <c r="C7225" s="451"/>
      <c r="D7225" s="451"/>
      <c r="E7225" s="468"/>
      <c r="F7225" s="468"/>
    </row>
    <row r="7226" spans="1:6" ht="12.75" x14ac:dyDescent="0.2">
      <c r="A7226" s="451"/>
      <c r="B7226" s="451"/>
      <c r="C7226" s="451"/>
      <c r="D7226" s="451"/>
      <c r="E7226" s="468"/>
      <c r="F7226" s="468"/>
    </row>
    <row r="7227" spans="1:6" ht="12.75" x14ac:dyDescent="0.2">
      <c r="A7227" s="451"/>
      <c r="B7227" s="451"/>
      <c r="C7227" s="451"/>
      <c r="D7227" s="451"/>
      <c r="E7227" s="468"/>
      <c r="F7227" s="468"/>
    </row>
    <row r="7228" spans="1:6" ht="12.75" x14ac:dyDescent="0.2">
      <c r="A7228" s="451"/>
      <c r="B7228" s="451"/>
      <c r="C7228" s="451"/>
      <c r="D7228" s="451"/>
      <c r="E7228" s="468"/>
      <c r="F7228" s="468"/>
    </row>
    <row r="7229" spans="1:6" ht="12.75" x14ac:dyDescent="0.2">
      <c r="A7229" s="451"/>
      <c r="B7229" s="451"/>
      <c r="C7229" s="451"/>
      <c r="D7229" s="451"/>
      <c r="E7229" s="468"/>
      <c r="F7229" s="468"/>
    </row>
    <row r="7230" spans="1:6" ht="12.75" x14ac:dyDescent="0.2">
      <c r="A7230" s="451"/>
      <c r="B7230" s="451"/>
      <c r="C7230" s="451"/>
      <c r="D7230" s="451"/>
      <c r="E7230" s="468"/>
      <c r="F7230" s="468"/>
    </row>
    <row r="7231" spans="1:6" ht="12.75" x14ac:dyDescent="0.2">
      <c r="A7231" s="451"/>
      <c r="B7231" s="451"/>
      <c r="C7231" s="451"/>
      <c r="D7231" s="451"/>
      <c r="E7231" s="468"/>
      <c r="F7231" s="468"/>
    </row>
    <row r="7232" spans="1:6" ht="12.75" x14ac:dyDescent="0.2">
      <c r="A7232" s="451"/>
      <c r="B7232" s="451"/>
      <c r="C7232" s="451"/>
      <c r="D7232" s="451"/>
      <c r="E7232" s="468"/>
      <c r="F7232" s="468"/>
    </row>
    <row r="7233" spans="1:6" ht="12.75" x14ac:dyDescent="0.2">
      <c r="A7233" s="451"/>
      <c r="B7233" s="451"/>
      <c r="C7233" s="451"/>
      <c r="D7233" s="451"/>
      <c r="E7233" s="468"/>
      <c r="F7233" s="468"/>
    </row>
    <row r="7234" spans="1:6" ht="12.75" x14ac:dyDescent="0.2">
      <c r="A7234" s="451"/>
      <c r="B7234" s="451"/>
      <c r="C7234" s="451"/>
      <c r="D7234" s="451"/>
      <c r="E7234" s="468"/>
      <c r="F7234" s="468"/>
    </row>
    <row r="7235" spans="1:6" ht="12.75" x14ac:dyDescent="0.2">
      <c r="A7235" s="451"/>
      <c r="B7235" s="451"/>
      <c r="C7235" s="451"/>
      <c r="D7235" s="451"/>
      <c r="E7235" s="468"/>
      <c r="F7235" s="468"/>
    </row>
    <row r="7236" spans="1:6" ht="12.75" x14ac:dyDescent="0.2">
      <c r="A7236" s="451"/>
      <c r="B7236" s="451"/>
      <c r="C7236" s="451"/>
      <c r="D7236" s="451"/>
      <c r="E7236" s="468"/>
      <c r="F7236" s="468"/>
    </row>
    <row r="7237" spans="1:6" ht="12.75" x14ac:dyDescent="0.2">
      <c r="A7237" s="451"/>
      <c r="B7237" s="451"/>
      <c r="C7237" s="451"/>
      <c r="D7237" s="451"/>
      <c r="E7237" s="468"/>
      <c r="F7237" s="468"/>
    </row>
    <row r="7238" spans="1:6" ht="12.75" x14ac:dyDescent="0.2">
      <c r="A7238" s="451"/>
      <c r="B7238" s="451"/>
      <c r="C7238" s="451"/>
      <c r="D7238" s="451"/>
      <c r="E7238" s="468"/>
      <c r="F7238" s="468"/>
    </row>
    <row r="7239" spans="1:6" ht="12.75" x14ac:dyDescent="0.2">
      <c r="A7239" s="451"/>
      <c r="B7239" s="451"/>
      <c r="C7239" s="451"/>
      <c r="D7239" s="451"/>
      <c r="E7239" s="468"/>
      <c r="F7239" s="468"/>
    </row>
    <row r="7240" spans="1:6" ht="12.75" x14ac:dyDescent="0.2">
      <c r="A7240" s="451"/>
      <c r="B7240" s="451"/>
      <c r="C7240" s="451"/>
      <c r="D7240" s="451"/>
      <c r="E7240" s="468"/>
      <c r="F7240" s="468"/>
    </row>
    <row r="7241" spans="1:6" ht="12.75" x14ac:dyDescent="0.2">
      <c r="A7241" s="451"/>
      <c r="B7241" s="451"/>
      <c r="C7241" s="451"/>
      <c r="D7241" s="451"/>
      <c r="E7241" s="468"/>
      <c r="F7241" s="468"/>
    </row>
    <row r="7242" spans="1:6" ht="12.75" x14ac:dyDescent="0.2">
      <c r="A7242" s="451"/>
      <c r="B7242" s="451"/>
      <c r="C7242" s="451"/>
      <c r="D7242" s="451"/>
      <c r="E7242" s="468"/>
      <c r="F7242" s="468"/>
    </row>
    <row r="7243" spans="1:6" ht="12.75" x14ac:dyDescent="0.2">
      <c r="A7243" s="451"/>
      <c r="B7243" s="451"/>
      <c r="C7243" s="451"/>
      <c r="D7243" s="451"/>
      <c r="E7243" s="468"/>
      <c r="F7243" s="468"/>
    </row>
    <row r="7244" spans="1:6" ht="12.75" x14ac:dyDescent="0.2">
      <c r="A7244" s="451"/>
      <c r="B7244" s="451"/>
      <c r="C7244" s="451"/>
      <c r="D7244" s="451"/>
      <c r="E7244" s="468"/>
      <c r="F7244" s="468"/>
    </row>
    <row r="7245" spans="1:6" ht="12.75" x14ac:dyDescent="0.2">
      <c r="A7245" s="451"/>
      <c r="B7245" s="451"/>
      <c r="C7245" s="451"/>
      <c r="D7245" s="451"/>
      <c r="E7245" s="468"/>
      <c r="F7245" s="468"/>
    </row>
    <row r="7246" spans="1:6" ht="12.75" x14ac:dyDescent="0.2">
      <c r="A7246" s="451"/>
      <c r="B7246" s="451"/>
      <c r="C7246" s="451"/>
      <c r="D7246" s="451"/>
      <c r="E7246" s="468"/>
      <c r="F7246" s="468"/>
    </row>
    <row r="7247" spans="1:6" ht="12.75" x14ac:dyDescent="0.2">
      <c r="A7247" s="451"/>
      <c r="B7247" s="451"/>
      <c r="C7247" s="451"/>
      <c r="D7247" s="451"/>
      <c r="E7247" s="468"/>
      <c r="F7247" s="468"/>
    </row>
    <row r="7248" spans="1:6" ht="12.75" x14ac:dyDescent="0.2">
      <c r="A7248" s="451"/>
      <c r="B7248" s="451"/>
      <c r="C7248" s="451"/>
      <c r="D7248" s="451"/>
      <c r="E7248" s="468"/>
      <c r="F7248" s="468"/>
    </row>
    <row r="7249" spans="1:6" ht="12.75" x14ac:dyDescent="0.2">
      <c r="A7249" s="451"/>
      <c r="B7249" s="451"/>
      <c r="C7249" s="451"/>
      <c r="D7249" s="451"/>
      <c r="E7249" s="468"/>
      <c r="F7249" s="468"/>
    </row>
    <row r="7250" spans="1:6" ht="12.75" x14ac:dyDescent="0.2">
      <c r="A7250" s="451"/>
      <c r="B7250" s="451"/>
      <c r="C7250" s="451"/>
      <c r="D7250" s="451"/>
      <c r="E7250" s="468"/>
      <c r="F7250" s="468"/>
    </row>
    <row r="7251" spans="1:6" ht="12.75" x14ac:dyDescent="0.2">
      <c r="A7251" s="451"/>
      <c r="B7251" s="451"/>
      <c r="C7251" s="451"/>
      <c r="D7251" s="451"/>
      <c r="E7251" s="468"/>
      <c r="F7251" s="468"/>
    </row>
    <row r="7252" spans="1:6" ht="12.75" x14ac:dyDescent="0.2">
      <c r="A7252" s="451"/>
      <c r="B7252" s="451"/>
      <c r="C7252" s="451"/>
      <c r="D7252" s="451"/>
      <c r="E7252" s="468"/>
      <c r="F7252" s="468"/>
    </row>
    <row r="7253" spans="1:6" ht="12.75" x14ac:dyDescent="0.2">
      <c r="A7253" s="451"/>
      <c r="B7253" s="451"/>
      <c r="C7253" s="451"/>
      <c r="D7253" s="451"/>
      <c r="E7253" s="468"/>
      <c r="F7253" s="468"/>
    </row>
    <row r="7254" spans="1:6" ht="12.75" x14ac:dyDescent="0.2">
      <c r="A7254" s="451"/>
      <c r="B7254" s="451"/>
      <c r="C7254" s="451"/>
      <c r="D7254" s="451"/>
      <c r="E7254" s="468"/>
      <c r="F7254" s="468"/>
    </row>
    <row r="7255" spans="1:6" ht="12.75" x14ac:dyDescent="0.2">
      <c r="A7255" s="451"/>
      <c r="B7255" s="451"/>
      <c r="C7255" s="451"/>
      <c r="D7255" s="451"/>
      <c r="E7255" s="468"/>
      <c r="F7255" s="468"/>
    </row>
    <row r="7256" spans="1:6" ht="12.75" x14ac:dyDescent="0.2">
      <c r="A7256" s="451"/>
      <c r="B7256" s="451"/>
      <c r="C7256" s="451"/>
      <c r="D7256" s="451"/>
      <c r="E7256" s="468"/>
      <c r="F7256" s="468"/>
    </row>
    <row r="7257" spans="1:6" ht="12.75" x14ac:dyDescent="0.2">
      <c r="A7257" s="451"/>
      <c r="B7257" s="451"/>
      <c r="C7257" s="451"/>
      <c r="D7257" s="451"/>
      <c r="E7257" s="468"/>
      <c r="F7257" s="468"/>
    </row>
    <row r="7258" spans="1:6" ht="12.75" x14ac:dyDescent="0.2">
      <c r="A7258" s="451"/>
      <c r="B7258" s="451"/>
      <c r="C7258" s="451"/>
      <c r="D7258" s="451"/>
      <c r="E7258" s="468"/>
      <c r="F7258" s="468"/>
    </row>
    <row r="7259" spans="1:6" ht="12.75" x14ac:dyDescent="0.2">
      <c r="A7259" s="451"/>
      <c r="B7259" s="451"/>
      <c r="C7259" s="451"/>
      <c r="D7259" s="451"/>
      <c r="E7259" s="468"/>
      <c r="F7259" s="468"/>
    </row>
    <row r="7260" spans="1:6" ht="12.75" x14ac:dyDescent="0.2">
      <c r="A7260" s="451"/>
      <c r="B7260" s="451"/>
      <c r="C7260" s="451"/>
      <c r="D7260" s="451"/>
      <c r="E7260" s="468"/>
      <c r="F7260" s="468"/>
    </row>
    <row r="7261" spans="1:6" ht="12.75" x14ac:dyDescent="0.2">
      <c r="A7261" s="451"/>
      <c r="B7261" s="451"/>
      <c r="C7261" s="451"/>
      <c r="D7261" s="451"/>
      <c r="E7261" s="468"/>
      <c r="F7261" s="468"/>
    </row>
    <row r="7262" spans="1:6" ht="12.75" x14ac:dyDescent="0.2">
      <c r="A7262" s="451"/>
      <c r="B7262" s="451"/>
      <c r="C7262" s="451"/>
      <c r="D7262" s="451"/>
      <c r="E7262" s="468"/>
      <c r="F7262" s="468"/>
    </row>
    <row r="7263" spans="1:6" ht="12.75" x14ac:dyDescent="0.2">
      <c r="A7263" s="451"/>
      <c r="B7263" s="451"/>
      <c r="C7263" s="451"/>
      <c r="D7263" s="451"/>
      <c r="E7263" s="468"/>
      <c r="F7263" s="468"/>
    </row>
    <row r="7264" spans="1:6" ht="12.75" x14ac:dyDescent="0.2">
      <c r="A7264" s="451"/>
      <c r="B7264" s="451"/>
      <c r="C7264" s="451"/>
      <c r="D7264" s="451"/>
      <c r="E7264" s="468"/>
      <c r="F7264" s="468"/>
    </row>
    <row r="7265" spans="1:6" ht="12.75" x14ac:dyDescent="0.2">
      <c r="A7265" s="451"/>
      <c r="B7265" s="451"/>
      <c r="C7265" s="451"/>
      <c r="D7265" s="451"/>
      <c r="E7265" s="468"/>
      <c r="F7265" s="468"/>
    </row>
    <row r="7266" spans="1:6" ht="12.75" x14ac:dyDescent="0.2">
      <c r="A7266" s="451"/>
      <c r="B7266" s="451"/>
      <c r="C7266" s="451"/>
      <c r="D7266" s="451"/>
      <c r="E7266" s="468"/>
      <c r="F7266" s="468"/>
    </row>
    <row r="7267" spans="1:6" ht="12.75" x14ac:dyDescent="0.2">
      <c r="A7267" s="451"/>
      <c r="B7267" s="451"/>
      <c r="C7267" s="451"/>
      <c r="D7267" s="451"/>
      <c r="E7267" s="468"/>
      <c r="F7267" s="468"/>
    </row>
    <row r="7268" spans="1:6" ht="12.75" x14ac:dyDescent="0.2">
      <c r="A7268" s="451"/>
      <c r="B7268" s="451"/>
      <c r="C7268" s="451"/>
      <c r="D7268" s="451"/>
      <c r="E7268" s="468"/>
      <c r="F7268" s="468"/>
    </row>
    <row r="7269" spans="1:6" ht="12.75" x14ac:dyDescent="0.2">
      <c r="A7269" s="451"/>
      <c r="B7269" s="451"/>
      <c r="C7269" s="451"/>
      <c r="D7269" s="451"/>
      <c r="E7269" s="468"/>
      <c r="F7269" s="468"/>
    </row>
    <row r="7270" spans="1:6" ht="12.75" x14ac:dyDescent="0.2">
      <c r="A7270" s="451"/>
      <c r="B7270" s="451"/>
      <c r="C7270" s="451"/>
      <c r="D7270" s="451"/>
      <c r="E7270" s="468"/>
      <c r="F7270" s="468"/>
    </row>
    <row r="7271" spans="1:6" ht="12.75" x14ac:dyDescent="0.2">
      <c r="A7271" s="451"/>
      <c r="B7271" s="451"/>
      <c r="C7271" s="451"/>
      <c r="D7271" s="451"/>
      <c r="E7271" s="468"/>
      <c r="F7271" s="468"/>
    </row>
    <row r="7272" spans="1:6" ht="12.75" x14ac:dyDescent="0.2">
      <c r="A7272" s="451"/>
      <c r="B7272" s="451"/>
      <c r="C7272" s="451"/>
      <c r="D7272" s="451"/>
      <c r="E7272" s="468"/>
      <c r="F7272" s="468"/>
    </row>
    <row r="7273" spans="1:6" ht="12.75" x14ac:dyDescent="0.2">
      <c r="A7273" s="451"/>
      <c r="B7273" s="451"/>
      <c r="C7273" s="451"/>
      <c r="D7273" s="451"/>
      <c r="E7273" s="468"/>
      <c r="F7273" s="468"/>
    </row>
    <row r="7274" spans="1:6" ht="12.75" x14ac:dyDescent="0.2">
      <c r="A7274" s="451"/>
      <c r="B7274" s="451"/>
      <c r="C7274" s="451"/>
      <c r="D7274" s="451"/>
      <c r="E7274" s="468"/>
      <c r="F7274" s="468"/>
    </row>
    <row r="7275" spans="1:6" ht="12.75" x14ac:dyDescent="0.2">
      <c r="A7275" s="451"/>
      <c r="B7275" s="451"/>
      <c r="C7275" s="451"/>
      <c r="D7275" s="451"/>
      <c r="E7275" s="468"/>
      <c r="F7275" s="468"/>
    </row>
    <row r="7276" spans="1:6" ht="12.75" x14ac:dyDescent="0.2">
      <c r="A7276" s="451"/>
      <c r="B7276" s="451"/>
      <c r="C7276" s="451"/>
      <c r="D7276" s="451"/>
      <c r="E7276" s="468"/>
      <c r="F7276" s="468"/>
    </row>
    <row r="7277" spans="1:6" ht="12.75" x14ac:dyDescent="0.2">
      <c r="A7277" s="451"/>
      <c r="B7277" s="451"/>
      <c r="C7277" s="451"/>
      <c r="D7277" s="451"/>
      <c r="E7277" s="468"/>
      <c r="F7277" s="468"/>
    </row>
    <row r="7278" spans="1:6" ht="12.75" x14ac:dyDescent="0.2">
      <c r="A7278" s="451"/>
      <c r="B7278" s="451"/>
      <c r="C7278" s="451"/>
      <c r="D7278" s="451"/>
      <c r="E7278" s="468"/>
      <c r="F7278" s="468"/>
    </row>
    <row r="7279" spans="1:6" ht="12.75" x14ac:dyDescent="0.2">
      <c r="A7279" s="451"/>
      <c r="B7279" s="451"/>
      <c r="C7279" s="451"/>
      <c r="D7279" s="451"/>
      <c r="E7279" s="468"/>
      <c r="F7279" s="468"/>
    </row>
    <row r="7280" spans="1:6" ht="12.75" x14ac:dyDescent="0.2">
      <c r="A7280" s="451"/>
      <c r="B7280" s="451"/>
      <c r="C7280" s="451"/>
      <c r="D7280" s="451"/>
      <c r="E7280" s="468"/>
      <c r="F7280" s="468"/>
    </row>
    <row r="7281" spans="1:6" ht="12.75" x14ac:dyDescent="0.2">
      <c r="A7281" s="451"/>
      <c r="B7281" s="451"/>
      <c r="C7281" s="451"/>
      <c r="D7281" s="451"/>
      <c r="E7281" s="468"/>
      <c r="F7281" s="468"/>
    </row>
    <row r="7282" spans="1:6" ht="12.75" x14ac:dyDescent="0.2">
      <c r="A7282" s="451"/>
      <c r="B7282" s="451"/>
      <c r="C7282" s="451"/>
      <c r="D7282" s="451"/>
      <c r="E7282" s="468"/>
      <c r="F7282" s="468"/>
    </row>
    <row r="7283" spans="1:6" ht="12.75" x14ac:dyDescent="0.2">
      <c r="A7283" s="451"/>
      <c r="B7283" s="451"/>
      <c r="C7283" s="451"/>
      <c r="D7283" s="451"/>
      <c r="E7283" s="468"/>
      <c r="F7283" s="468"/>
    </row>
    <row r="7284" spans="1:6" ht="12.75" x14ac:dyDescent="0.2">
      <c r="A7284" s="451"/>
      <c r="B7284" s="451"/>
      <c r="C7284" s="451"/>
      <c r="D7284" s="451"/>
      <c r="E7284" s="468"/>
      <c r="F7284" s="468"/>
    </row>
    <row r="7285" spans="1:6" ht="12.75" x14ac:dyDescent="0.2">
      <c r="A7285" s="451"/>
      <c r="B7285" s="451"/>
      <c r="C7285" s="451"/>
      <c r="D7285" s="451"/>
      <c r="E7285" s="468"/>
      <c r="F7285" s="468"/>
    </row>
    <row r="7286" spans="1:6" ht="12.75" x14ac:dyDescent="0.2">
      <c r="A7286" s="451"/>
      <c r="B7286" s="451"/>
      <c r="C7286" s="451"/>
      <c r="D7286" s="451"/>
      <c r="E7286" s="468"/>
      <c r="F7286" s="468"/>
    </row>
    <row r="7287" spans="1:6" ht="12.75" x14ac:dyDescent="0.2">
      <c r="A7287" s="451"/>
      <c r="B7287" s="451"/>
      <c r="C7287" s="451"/>
      <c r="D7287" s="451"/>
      <c r="E7287" s="468"/>
      <c r="F7287" s="468"/>
    </row>
    <row r="7288" spans="1:6" ht="12.75" x14ac:dyDescent="0.2">
      <c r="A7288" s="451"/>
      <c r="B7288" s="451"/>
      <c r="C7288" s="451"/>
      <c r="D7288" s="451"/>
      <c r="E7288" s="468"/>
      <c r="F7288" s="468"/>
    </row>
    <row r="7289" spans="1:6" ht="12.75" x14ac:dyDescent="0.2">
      <c r="A7289" s="451"/>
      <c r="B7289" s="451"/>
      <c r="C7289" s="451"/>
      <c r="D7289" s="451"/>
      <c r="E7289" s="468"/>
      <c r="F7289" s="468"/>
    </row>
    <row r="7290" spans="1:6" ht="12.75" x14ac:dyDescent="0.2">
      <c r="A7290" s="451"/>
      <c r="B7290" s="451"/>
      <c r="C7290" s="451"/>
      <c r="D7290" s="451"/>
      <c r="E7290" s="468"/>
      <c r="F7290" s="468"/>
    </row>
    <row r="7291" spans="1:6" ht="12.75" x14ac:dyDescent="0.2">
      <c r="A7291" s="451"/>
      <c r="B7291" s="451"/>
      <c r="C7291" s="451"/>
      <c r="D7291" s="451"/>
      <c r="E7291" s="468"/>
      <c r="F7291" s="468"/>
    </row>
    <row r="7292" spans="1:6" ht="12.75" x14ac:dyDescent="0.2">
      <c r="A7292" s="451"/>
      <c r="B7292" s="451"/>
      <c r="C7292" s="451"/>
      <c r="D7292" s="451"/>
      <c r="E7292" s="468"/>
      <c r="F7292" s="468"/>
    </row>
    <row r="7293" spans="1:6" ht="12.75" x14ac:dyDescent="0.2">
      <c r="A7293" s="451"/>
      <c r="B7293" s="451"/>
      <c r="C7293" s="451"/>
      <c r="D7293" s="451"/>
      <c r="E7293" s="468"/>
      <c r="F7293" s="468"/>
    </row>
    <row r="7294" spans="1:6" ht="12.75" x14ac:dyDescent="0.2">
      <c r="A7294" s="451"/>
      <c r="B7294" s="451"/>
      <c r="C7294" s="451"/>
      <c r="D7294" s="451"/>
      <c r="E7294" s="468"/>
      <c r="F7294" s="468"/>
    </row>
    <row r="7295" spans="1:6" ht="12.75" x14ac:dyDescent="0.2">
      <c r="A7295" s="451"/>
      <c r="B7295" s="451"/>
      <c r="C7295" s="451"/>
      <c r="D7295" s="451"/>
      <c r="E7295" s="468"/>
      <c r="F7295" s="468"/>
    </row>
    <row r="7296" spans="1:6" ht="12.75" x14ac:dyDescent="0.2">
      <c r="A7296" s="451"/>
      <c r="B7296" s="451"/>
      <c r="C7296" s="451"/>
      <c r="D7296" s="451"/>
      <c r="E7296" s="468"/>
      <c r="F7296" s="468"/>
    </row>
    <row r="7297" spans="1:6" ht="12.75" x14ac:dyDescent="0.2">
      <c r="A7297" s="451"/>
      <c r="B7297" s="451"/>
      <c r="C7297" s="451"/>
      <c r="D7297" s="451"/>
      <c r="E7297" s="468"/>
      <c r="F7297" s="468"/>
    </row>
    <row r="7298" spans="1:6" ht="12.75" x14ac:dyDescent="0.2">
      <c r="A7298" s="451"/>
      <c r="B7298" s="451"/>
      <c r="C7298" s="451"/>
      <c r="D7298" s="451"/>
      <c r="E7298" s="468"/>
      <c r="F7298" s="468"/>
    </row>
    <row r="7299" spans="1:6" ht="12.75" x14ac:dyDescent="0.2">
      <c r="A7299" s="451"/>
      <c r="B7299" s="451"/>
      <c r="C7299" s="451"/>
      <c r="D7299" s="451"/>
      <c r="E7299" s="468"/>
      <c r="F7299" s="468"/>
    </row>
    <row r="7300" spans="1:6" ht="12.75" x14ac:dyDescent="0.2">
      <c r="A7300" s="451"/>
      <c r="B7300" s="451"/>
      <c r="C7300" s="451"/>
      <c r="D7300" s="451"/>
      <c r="E7300" s="468"/>
      <c r="F7300" s="468"/>
    </row>
    <row r="7301" spans="1:6" ht="12.75" x14ac:dyDescent="0.2">
      <c r="A7301" s="451"/>
      <c r="B7301" s="451"/>
      <c r="C7301" s="451"/>
      <c r="D7301" s="451"/>
      <c r="E7301" s="468"/>
      <c r="F7301" s="468"/>
    </row>
    <row r="7302" spans="1:6" ht="12.75" x14ac:dyDescent="0.2">
      <c r="A7302" s="451"/>
      <c r="B7302" s="451"/>
      <c r="C7302" s="451"/>
      <c r="D7302" s="451"/>
      <c r="E7302" s="468"/>
      <c r="F7302" s="468"/>
    </row>
    <row r="7303" spans="1:6" ht="12.75" x14ac:dyDescent="0.2">
      <c r="A7303" s="451"/>
      <c r="B7303" s="451"/>
      <c r="C7303" s="451"/>
      <c r="D7303" s="451"/>
      <c r="E7303" s="468"/>
      <c r="F7303" s="468"/>
    </row>
    <row r="7304" spans="1:6" ht="12.75" x14ac:dyDescent="0.2">
      <c r="A7304" s="451"/>
      <c r="B7304" s="451"/>
      <c r="C7304" s="451"/>
      <c r="D7304" s="451"/>
      <c r="E7304" s="468"/>
      <c r="F7304" s="468"/>
    </row>
    <row r="7305" spans="1:6" ht="12.75" x14ac:dyDescent="0.2">
      <c r="A7305" s="451"/>
      <c r="B7305" s="451"/>
      <c r="C7305" s="451"/>
      <c r="D7305" s="451"/>
      <c r="E7305" s="468"/>
      <c r="F7305" s="468"/>
    </row>
    <row r="7306" spans="1:6" ht="12.75" x14ac:dyDescent="0.2">
      <c r="A7306" s="451"/>
      <c r="B7306" s="451"/>
      <c r="C7306" s="451"/>
      <c r="D7306" s="451"/>
      <c r="E7306" s="468"/>
      <c r="F7306" s="468"/>
    </row>
    <row r="7307" spans="1:6" ht="12.75" x14ac:dyDescent="0.2">
      <c r="A7307" s="451"/>
      <c r="B7307" s="451"/>
      <c r="C7307" s="451"/>
      <c r="D7307" s="451"/>
      <c r="E7307" s="468"/>
      <c r="F7307" s="468"/>
    </row>
    <row r="7308" spans="1:6" ht="12.75" x14ac:dyDescent="0.2">
      <c r="A7308" s="451"/>
      <c r="B7308" s="451"/>
      <c r="C7308" s="451"/>
      <c r="D7308" s="451"/>
      <c r="E7308" s="468"/>
      <c r="F7308" s="468"/>
    </row>
    <row r="7309" spans="1:6" ht="12.75" x14ac:dyDescent="0.2">
      <c r="A7309" s="451"/>
      <c r="B7309" s="451"/>
      <c r="C7309" s="451"/>
      <c r="D7309" s="451"/>
      <c r="E7309" s="468"/>
      <c r="F7309" s="468"/>
    </row>
    <row r="7310" spans="1:6" ht="12.75" x14ac:dyDescent="0.2">
      <c r="A7310" s="451"/>
      <c r="B7310" s="451"/>
      <c r="C7310" s="451"/>
      <c r="D7310" s="451"/>
      <c r="E7310" s="468"/>
      <c r="F7310" s="468"/>
    </row>
    <row r="7311" spans="1:6" ht="12.75" x14ac:dyDescent="0.2">
      <c r="A7311" s="451"/>
      <c r="B7311" s="451"/>
      <c r="C7311" s="451"/>
      <c r="D7311" s="451"/>
      <c r="E7311" s="468"/>
      <c r="F7311" s="468"/>
    </row>
    <row r="7312" spans="1:6" ht="12.75" x14ac:dyDescent="0.2">
      <c r="A7312" s="451"/>
      <c r="B7312" s="451"/>
      <c r="C7312" s="451"/>
      <c r="D7312" s="451"/>
      <c r="E7312" s="468"/>
      <c r="F7312" s="468"/>
    </row>
    <row r="7313" spans="1:6" ht="12.75" x14ac:dyDescent="0.2">
      <c r="A7313" s="451"/>
      <c r="B7313" s="451"/>
      <c r="C7313" s="451"/>
      <c r="D7313" s="451"/>
      <c r="E7313" s="468"/>
      <c r="F7313" s="468"/>
    </row>
    <row r="7314" spans="1:6" ht="12.75" x14ac:dyDescent="0.2">
      <c r="A7314" s="451"/>
      <c r="B7314" s="451"/>
      <c r="C7314" s="451"/>
      <c r="D7314" s="451"/>
      <c r="E7314" s="468"/>
      <c r="F7314" s="468"/>
    </row>
    <row r="7315" spans="1:6" ht="12.75" x14ac:dyDescent="0.2">
      <c r="A7315" s="451"/>
      <c r="B7315" s="451"/>
      <c r="C7315" s="451"/>
      <c r="D7315" s="451"/>
      <c r="E7315" s="468"/>
      <c r="F7315" s="468"/>
    </row>
    <row r="7316" spans="1:6" ht="12.75" x14ac:dyDescent="0.2">
      <c r="A7316" s="451"/>
      <c r="B7316" s="451"/>
      <c r="C7316" s="451"/>
      <c r="D7316" s="451"/>
      <c r="E7316" s="468"/>
      <c r="F7316" s="468"/>
    </row>
    <row r="7317" spans="1:6" ht="12.75" x14ac:dyDescent="0.2">
      <c r="A7317" s="451"/>
      <c r="B7317" s="451"/>
      <c r="C7317" s="451"/>
      <c r="D7317" s="451"/>
      <c r="E7317" s="468"/>
      <c r="F7317" s="468"/>
    </row>
    <row r="7318" spans="1:6" ht="12.75" x14ac:dyDescent="0.2">
      <c r="A7318" s="451"/>
      <c r="B7318" s="451"/>
      <c r="C7318" s="451"/>
      <c r="D7318" s="451"/>
      <c r="E7318" s="468"/>
      <c r="F7318" s="468"/>
    </row>
    <row r="7319" spans="1:6" ht="12.75" x14ac:dyDescent="0.2">
      <c r="A7319" s="451"/>
      <c r="B7319" s="451"/>
      <c r="C7319" s="451"/>
      <c r="D7319" s="451"/>
      <c r="E7319" s="468"/>
      <c r="F7319" s="468"/>
    </row>
    <row r="7320" spans="1:6" ht="12.75" x14ac:dyDescent="0.2">
      <c r="A7320" s="451"/>
      <c r="B7320" s="451"/>
      <c r="C7320" s="451"/>
      <c r="D7320" s="451"/>
      <c r="E7320" s="468"/>
      <c r="F7320" s="468"/>
    </row>
    <row r="7321" spans="1:6" ht="12.75" x14ac:dyDescent="0.2">
      <c r="A7321" s="451"/>
      <c r="B7321" s="451"/>
      <c r="C7321" s="451"/>
      <c r="D7321" s="451"/>
      <c r="E7321" s="468"/>
      <c r="F7321" s="468"/>
    </row>
    <row r="7322" spans="1:6" ht="12.75" x14ac:dyDescent="0.2">
      <c r="A7322" s="451"/>
      <c r="B7322" s="451"/>
      <c r="C7322" s="451"/>
      <c r="D7322" s="451"/>
      <c r="E7322" s="468"/>
      <c r="F7322" s="468"/>
    </row>
    <row r="7323" spans="1:6" ht="12.75" x14ac:dyDescent="0.2">
      <c r="A7323" s="451"/>
      <c r="B7323" s="451"/>
      <c r="C7323" s="451"/>
      <c r="D7323" s="451"/>
      <c r="E7323" s="468"/>
      <c r="F7323" s="468"/>
    </row>
    <row r="7324" spans="1:6" ht="12.75" x14ac:dyDescent="0.2">
      <c r="A7324" s="451"/>
      <c r="B7324" s="451"/>
      <c r="C7324" s="451"/>
      <c r="D7324" s="451"/>
      <c r="E7324" s="468"/>
      <c r="F7324" s="468"/>
    </row>
    <row r="7325" spans="1:6" ht="12.75" x14ac:dyDescent="0.2">
      <c r="A7325" s="451"/>
      <c r="B7325" s="451"/>
      <c r="C7325" s="451"/>
      <c r="D7325" s="451"/>
      <c r="E7325" s="468"/>
      <c r="F7325" s="468"/>
    </row>
    <row r="7326" spans="1:6" ht="12.75" x14ac:dyDescent="0.2">
      <c r="A7326" s="451"/>
      <c r="B7326" s="451"/>
      <c r="C7326" s="451"/>
      <c r="D7326" s="451"/>
      <c r="E7326" s="468"/>
      <c r="F7326" s="468"/>
    </row>
    <row r="7327" spans="1:6" ht="12.75" x14ac:dyDescent="0.2">
      <c r="A7327" s="451"/>
      <c r="B7327" s="451"/>
      <c r="C7327" s="451"/>
      <c r="D7327" s="451"/>
      <c r="E7327" s="468"/>
      <c r="F7327" s="468"/>
    </row>
    <row r="7328" spans="1:6" ht="12.75" x14ac:dyDescent="0.2">
      <c r="A7328" s="451"/>
      <c r="B7328" s="451"/>
      <c r="C7328" s="451"/>
      <c r="D7328" s="451"/>
      <c r="E7328" s="468"/>
      <c r="F7328" s="468"/>
    </row>
    <row r="7329" spans="1:6" ht="12.75" x14ac:dyDescent="0.2">
      <c r="A7329" s="451"/>
      <c r="B7329" s="451"/>
      <c r="C7329" s="451"/>
      <c r="D7329" s="451"/>
      <c r="E7329" s="468"/>
      <c r="F7329" s="468"/>
    </row>
    <row r="7330" spans="1:6" ht="12.75" x14ac:dyDescent="0.2">
      <c r="A7330" s="451"/>
      <c r="B7330" s="451"/>
      <c r="C7330" s="451"/>
      <c r="D7330" s="451"/>
      <c r="E7330" s="468"/>
      <c r="F7330" s="468"/>
    </row>
    <row r="7331" spans="1:6" ht="12.75" x14ac:dyDescent="0.2">
      <c r="A7331" s="451"/>
      <c r="B7331" s="451"/>
      <c r="C7331" s="451"/>
      <c r="D7331" s="451"/>
      <c r="E7331" s="468"/>
      <c r="F7331" s="468"/>
    </row>
    <row r="7332" spans="1:6" ht="12.75" x14ac:dyDescent="0.2">
      <c r="A7332" s="451"/>
      <c r="B7332" s="451"/>
      <c r="C7332" s="451"/>
      <c r="D7332" s="451"/>
      <c r="E7332" s="468"/>
      <c r="F7332" s="468"/>
    </row>
    <row r="7333" spans="1:6" ht="12.75" x14ac:dyDescent="0.2">
      <c r="A7333" s="451"/>
      <c r="B7333" s="451"/>
      <c r="C7333" s="451"/>
      <c r="D7333" s="451"/>
      <c r="E7333" s="468"/>
      <c r="F7333" s="468"/>
    </row>
    <row r="7334" spans="1:6" ht="12.75" x14ac:dyDescent="0.2">
      <c r="A7334" s="451"/>
      <c r="B7334" s="451"/>
      <c r="C7334" s="451"/>
      <c r="D7334" s="451"/>
      <c r="E7334" s="468"/>
      <c r="F7334" s="468"/>
    </row>
    <row r="7335" spans="1:6" ht="12.75" x14ac:dyDescent="0.2">
      <c r="A7335" s="451"/>
      <c r="B7335" s="451"/>
      <c r="C7335" s="451"/>
      <c r="D7335" s="451"/>
      <c r="E7335" s="468"/>
      <c r="F7335" s="468"/>
    </row>
    <row r="7336" spans="1:6" ht="12.75" x14ac:dyDescent="0.2">
      <c r="A7336" s="451"/>
      <c r="B7336" s="451"/>
      <c r="C7336" s="451"/>
      <c r="D7336" s="451"/>
      <c r="E7336" s="468"/>
      <c r="F7336" s="468"/>
    </row>
    <row r="7337" spans="1:6" ht="12.75" x14ac:dyDescent="0.2">
      <c r="A7337" s="451"/>
      <c r="B7337" s="451"/>
      <c r="C7337" s="451"/>
      <c r="D7337" s="451"/>
      <c r="E7337" s="468"/>
      <c r="F7337" s="468"/>
    </row>
    <row r="7338" spans="1:6" ht="12.75" x14ac:dyDescent="0.2">
      <c r="A7338" s="451"/>
      <c r="B7338" s="451"/>
      <c r="C7338" s="451"/>
      <c r="D7338" s="451"/>
      <c r="E7338" s="468"/>
      <c r="F7338" s="468"/>
    </row>
    <row r="7339" spans="1:6" ht="12.75" x14ac:dyDescent="0.2">
      <c r="A7339" s="451"/>
      <c r="B7339" s="451"/>
      <c r="C7339" s="451"/>
      <c r="D7339" s="451"/>
      <c r="E7339" s="468"/>
      <c r="F7339" s="468"/>
    </row>
    <row r="7340" spans="1:6" ht="12.75" x14ac:dyDescent="0.2">
      <c r="A7340" s="451"/>
      <c r="B7340" s="451"/>
      <c r="C7340" s="451"/>
      <c r="D7340" s="451"/>
      <c r="E7340" s="468"/>
      <c r="F7340" s="468"/>
    </row>
    <row r="7341" spans="1:6" ht="12.75" x14ac:dyDescent="0.2">
      <c r="A7341" s="451"/>
      <c r="B7341" s="451"/>
      <c r="C7341" s="451"/>
      <c r="D7341" s="451"/>
      <c r="E7341" s="468"/>
      <c r="F7341" s="468"/>
    </row>
    <row r="7342" spans="1:6" ht="12.75" x14ac:dyDescent="0.2">
      <c r="A7342" s="451"/>
      <c r="B7342" s="451"/>
      <c r="C7342" s="451"/>
      <c r="D7342" s="451"/>
      <c r="E7342" s="468"/>
      <c r="F7342" s="468"/>
    </row>
    <row r="7343" spans="1:6" ht="12.75" x14ac:dyDescent="0.2">
      <c r="A7343" s="451"/>
      <c r="B7343" s="451"/>
      <c r="C7343" s="451"/>
      <c r="D7343" s="451"/>
      <c r="E7343" s="468"/>
      <c r="F7343" s="468"/>
    </row>
    <row r="7344" spans="1:6" ht="12.75" x14ac:dyDescent="0.2">
      <c r="A7344" s="451"/>
      <c r="B7344" s="451"/>
      <c r="C7344" s="451"/>
      <c r="D7344" s="451"/>
      <c r="E7344" s="468"/>
      <c r="F7344" s="468"/>
    </row>
    <row r="7345" spans="1:6" ht="12.75" x14ac:dyDescent="0.2">
      <c r="A7345" s="451"/>
      <c r="B7345" s="451"/>
      <c r="C7345" s="451"/>
      <c r="D7345" s="451"/>
      <c r="E7345" s="468"/>
      <c r="F7345" s="468"/>
    </row>
    <row r="7346" spans="1:6" ht="12.75" x14ac:dyDescent="0.2">
      <c r="A7346" s="451"/>
      <c r="B7346" s="451"/>
      <c r="C7346" s="451"/>
      <c r="D7346" s="451"/>
      <c r="E7346" s="468"/>
      <c r="F7346" s="468"/>
    </row>
    <row r="7347" spans="1:6" ht="12.75" x14ac:dyDescent="0.2">
      <c r="A7347" s="451"/>
      <c r="B7347" s="451"/>
      <c r="C7347" s="451"/>
      <c r="D7347" s="451"/>
      <c r="E7347" s="468"/>
      <c r="F7347" s="468"/>
    </row>
    <row r="7348" spans="1:6" ht="12.75" x14ac:dyDescent="0.2">
      <c r="A7348" s="451"/>
      <c r="B7348" s="451"/>
      <c r="C7348" s="451"/>
      <c r="D7348" s="451"/>
      <c r="E7348" s="468"/>
      <c r="F7348" s="468"/>
    </row>
    <row r="7349" spans="1:6" ht="12.75" x14ac:dyDescent="0.2">
      <c r="A7349" s="451"/>
      <c r="B7349" s="451"/>
      <c r="C7349" s="451"/>
      <c r="D7349" s="451"/>
      <c r="E7349" s="468"/>
      <c r="F7349" s="468"/>
    </row>
    <row r="7350" spans="1:6" ht="12.75" x14ac:dyDescent="0.2">
      <c r="A7350" s="451"/>
      <c r="B7350" s="451"/>
      <c r="C7350" s="451"/>
      <c r="D7350" s="451"/>
      <c r="E7350" s="468"/>
      <c r="F7350" s="468"/>
    </row>
    <row r="7351" spans="1:6" ht="12.75" x14ac:dyDescent="0.2">
      <c r="A7351" s="451"/>
      <c r="B7351" s="451"/>
      <c r="C7351" s="451"/>
      <c r="D7351" s="451"/>
      <c r="E7351" s="468"/>
      <c r="F7351" s="468"/>
    </row>
    <row r="7352" spans="1:6" ht="12.75" x14ac:dyDescent="0.2">
      <c r="A7352" s="451"/>
      <c r="B7352" s="451"/>
      <c r="C7352" s="451"/>
      <c r="D7352" s="451"/>
      <c r="E7352" s="468"/>
      <c r="F7352" s="468"/>
    </row>
    <row r="7353" spans="1:6" ht="12.75" x14ac:dyDescent="0.2">
      <c r="A7353" s="451"/>
      <c r="B7353" s="451"/>
      <c r="C7353" s="451"/>
      <c r="D7353" s="451"/>
      <c r="E7353" s="468"/>
      <c r="F7353" s="468"/>
    </row>
    <row r="7354" spans="1:6" ht="12.75" x14ac:dyDescent="0.2">
      <c r="A7354" s="451"/>
      <c r="B7354" s="451"/>
      <c r="C7354" s="451"/>
      <c r="D7354" s="451"/>
      <c r="E7354" s="468"/>
      <c r="F7354" s="468"/>
    </row>
    <row r="7355" spans="1:6" ht="12.75" x14ac:dyDescent="0.2">
      <c r="A7355" s="451"/>
      <c r="B7355" s="451"/>
      <c r="C7355" s="451"/>
      <c r="D7355" s="451"/>
      <c r="E7355" s="468"/>
      <c r="F7355" s="468"/>
    </row>
    <row r="7356" spans="1:6" ht="12.75" x14ac:dyDescent="0.2">
      <c r="A7356" s="451"/>
      <c r="B7356" s="451"/>
      <c r="C7356" s="451"/>
      <c r="D7356" s="451"/>
      <c r="E7356" s="468"/>
      <c r="F7356" s="468"/>
    </row>
    <row r="7357" spans="1:6" ht="12.75" x14ac:dyDescent="0.2">
      <c r="A7357" s="451"/>
      <c r="B7357" s="451"/>
      <c r="C7357" s="451"/>
      <c r="D7357" s="451"/>
      <c r="E7357" s="468"/>
      <c r="F7357" s="468"/>
    </row>
    <row r="7358" spans="1:6" ht="12.75" x14ac:dyDescent="0.2">
      <c r="A7358" s="451"/>
      <c r="B7358" s="451"/>
      <c r="C7358" s="451"/>
      <c r="D7358" s="451"/>
      <c r="E7358" s="468"/>
      <c r="F7358" s="468"/>
    </row>
    <row r="7359" spans="1:6" ht="12.75" x14ac:dyDescent="0.2">
      <c r="A7359" s="451"/>
      <c r="B7359" s="451"/>
      <c r="C7359" s="451"/>
      <c r="D7359" s="451"/>
      <c r="E7359" s="468"/>
      <c r="F7359" s="468"/>
    </row>
    <row r="7360" spans="1:6" ht="12.75" x14ac:dyDescent="0.2">
      <c r="A7360" s="451"/>
      <c r="B7360" s="451"/>
      <c r="C7360" s="451"/>
      <c r="D7360" s="451"/>
      <c r="E7360" s="468"/>
      <c r="F7360" s="468"/>
    </row>
    <row r="7361" spans="1:6" ht="12.75" x14ac:dyDescent="0.2">
      <c r="A7361" s="451"/>
      <c r="B7361" s="451"/>
      <c r="C7361" s="451"/>
      <c r="D7361" s="451"/>
      <c r="E7361" s="468"/>
      <c r="F7361" s="468"/>
    </row>
    <row r="7362" spans="1:6" ht="12.75" x14ac:dyDescent="0.2">
      <c r="A7362" s="451"/>
      <c r="B7362" s="451"/>
      <c r="C7362" s="451"/>
      <c r="D7362" s="451"/>
      <c r="E7362" s="468"/>
      <c r="F7362" s="468"/>
    </row>
    <row r="7363" spans="1:6" ht="12.75" x14ac:dyDescent="0.2">
      <c r="A7363" s="451"/>
      <c r="B7363" s="451"/>
      <c r="C7363" s="451"/>
      <c r="D7363" s="451"/>
      <c r="E7363" s="468"/>
      <c r="F7363" s="468"/>
    </row>
    <row r="7364" spans="1:6" ht="12.75" x14ac:dyDescent="0.2">
      <c r="A7364" s="451"/>
      <c r="B7364" s="451"/>
      <c r="C7364" s="451"/>
      <c r="D7364" s="451"/>
      <c r="E7364" s="468"/>
      <c r="F7364" s="468"/>
    </row>
    <row r="7365" spans="1:6" ht="12.75" x14ac:dyDescent="0.2">
      <c r="A7365" s="451"/>
      <c r="B7365" s="451"/>
      <c r="C7365" s="451"/>
      <c r="D7365" s="451"/>
      <c r="E7365" s="468"/>
      <c r="F7365" s="468"/>
    </row>
    <row r="7366" spans="1:6" ht="12.75" x14ac:dyDescent="0.2">
      <c r="A7366" s="451"/>
      <c r="B7366" s="451"/>
      <c r="C7366" s="451"/>
      <c r="D7366" s="451"/>
      <c r="E7366" s="468"/>
      <c r="F7366" s="468"/>
    </row>
    <row r="7367" spans="1:6" ht="12.75" x14ac:dyDescent="0.2">
      <c r="A7367" s="451"/>
      <c r="B7367" s="451"/>
      <c r="C7367" s="451"/>
      <c r="D7367" s="451"/>
      <c r="E7367" s="468"/>
      <c r="F7367" s="468"/>
    </row>
    <row r="7368" spans="1:6" ht="12.75" x14ac:dyDescent="0.2">
      <c r="A7368" s="451"/>
      <c r="B7368" s="451"/>
      <c r="C7368" s="451"/>
      <c r="D7368" s="451"/>
      <c r="E7368" s="468"/>
      <c r="F7368" s="468"/>
    </row>
    <row r="7369" spans="1:6" ht="12.75" x14ac:dyDescent="0.2">
      <c r="A7369" s="451"/>
      <c r="B7369" s="451"/>
      <c r="C7369" s="451"/>
      <c r="D7369" s="451"/>
      <c r="E7369" s="468"/>
      <c r="F7369" s="468"/>
    </row>
    <row r="7370" spans="1:6" ht="12.75" x14ac:dyDescent="0.2">
      <c r="A7370" s="451"/>
      <c r="B7370" s="451"/>
      <c r="C7370" s="451"/>
      <c r="D7370" s="451"/>
      <c r="E7370" s="468"/>
      <c r="F7370" s="468"/>
    </row>
    <row r="7371" spans="1:6" ht="12.75" x14ac:dyDescent="0.2">
      <c r="A7371" s="451"/>
      <c r="B7371" s="451"/>
      <c r="C7371" s="451"/>
      <c r="D7371" s="451"/>
      <c r="E7371" s="468"/>
      <c r="F7371" s="468"/>
    </row>
    <row r="7372" spans="1:6" ht="12.75" x14ac:dyDescent="0.2">
      <c r="A7372" s="451"/>
      <c r="B7372" s="451"/>
      <c r="C7372" s="451"/>
      <c r="D7372" s="451"/>
      <c r="E7372" s="468"/>
      <c r="F7372" s="468"/>
    </row>
    <row r="7373" spans="1:6" ht="12.75" x14ac:dyDescent="0.2">
      <c r="A7373" s="451"/>
      <c r="B7373" s="451"/>
      <c r="C7373" s="451"/>
      <c r="D7373" s="451"/>
      <c r="E7373" s="468"/>
      <c r="F7373" s="468"/>
    </row>
    <row r="7374" spans="1:6" ht="12.75" x14ac:dyDescent="0.2">
      <c r="A7374" s="451"/>
      <c r="B7374" s="451"/>
      <c r="C7374" s="451"/>
      <c r="D7374" s="451"/>
      <c r="E7374" s="468"/>
      <c r="F7374" s="468"/>
    </row>
    <row r="7375" spans="1:6" ht="12.75" x14ac:dyDescent="0.2">
      <c r="A7375" s="451"/>
      <c r="B7375" s="451"/>
      <c r="C7375" s="451"/>
      <c r="D7375" s="451"/>
      <c r="E7375" s="468"/>
      <c r="F7375" s="468"/>
    </row>
    <row r="7376" spans="1:6" ht="12.75" x14ac:dyDescent="0.2">
      <c r="A7376" s="451"/>
      <c r="B7376" s="451"/>
      <c r="C7376" s="451"/>
      <c r="D7376" s="451"/>
      <c r="E7376" s="468"/>
      <c r="F7376" s="468"/>
    </row>
    <row r="7377" spans="1:6" ht="12.75" x14ac:dyDescent="0.2">
      <c r="A7377" s="451"/>
      <c r="B7377" s="451"/>
      <c r="C7377" s="451"/>
      <c r="D7377" s="451"/>
      <c r="E7377" s="468"/>
      <c r="F7377" s="468"/>
    </row>
    <row r="7378" spans="1:6" ht="12.75" x14ac:dyDescent="0.2">
      <c r="A7378" s="451"/>
      <c r="B7378" s="451"/>
      <c r="C7378" s="451"/>
      <c r="D7378" s="451"/>
      <c r="E7378" s="468"/>
      <c r="F7378" s="468"/>
    </row>
    <row r="7379" spans="1:6" ht="12.75" x14ac:dyDescent="0.2">
      <c r="A7379" s="451"/>
      <c r="B7379" s="451"/>
      <c r="C7379" s="451"/>
      <c r="D7379" s="451"/>
      <c r="E7379" s="468"/>
      <c r="F7379" s="468"/>
    </row>
    <row r="7380" spans="1:6" ht="12.75" x14ac:dyDescent="0.2">
      <c r="A7380" s="451"/>
      <c r="B7380" s="451"/>
      <c r="C7380" s="451"/>
      <c r="D7380" s="451"/>
      <c r="E7380" s="468"/>
      <c r="F7380" s="468"/>
    </row>
    <row r="7381" spans="1:6" ht="12.75" x14ac:dyDescent="0.2">
      <c r="A7381" s="451"/>
      <c r="B7381" s="451"/>
      <c r="C7381" s="451"/>
      <c r="D7381" s="451"/>
      <c r="E7381" s="468"/>
      <c r="F7381" s="468"/>
    </row>
    <row r="7382" spans="1:6" ht="12.75" x14ac:dyDescent="0.2">
      <c r="A7382" s="451"/>
      <c r="B7382" s="451"/>
      <c r="C7382" s="451"/>
      <c r="D7382" s="451"/>
      <c r="E7382" s="468"/>
      <c r="F7382" s="468"/>
    </row>
    <row r="7383" spans="1:6" ht="12.75" x14ac:dyDescent="0.2">
      <c r="A7383" s="451"/>
      <c r="B7383" s="451"/>
      <c r="C7383" s="451"/>
      <c r="D7383" s="451"/>
      <c r="E7383" s="468"/>
      <c r="F7383" s="468"/>
    </row>
    <row r="7384" spans="1:6" ht="12.75" x14ac:dyDescent="0.2">
      <c r="A7384" s="451"/>
      <c r="B7384" s="451"/>
      <c r="C7384" s="451"/>
      <c r="D7384" s="451"/>
      <c r="E7384" s="468"/>
      <c r="F7384" s="468"/>
    </row>
    <row r="7385" spans="1:6" ht="12.75" x14ac:dyDescent="0.2">
      <c r="A7385" s="451"/>
      <c r="B7385" s="451"/>
      <c r="C7385" s="451"/>
      <c r="D7385" s="451"/>
      <c r="E7385" s="468"/>
      <c r="F7385" s="468"/>
    </row>
    <row r="7386" spans="1:6" ht="12.75" x14ac:dyDescent="0.2">
      <c r="A7386" s="451"/>
      <c r="B7386" s="451"/>
      <c r="C7386" s="451"/>
      <c r="D7386" s="451"/>
      <c r="E7386" s="468"/>
      <c r="F7386" s="468"/>
    </row>
    <row r="7387" spans="1:6" ht="12.75" x14ac:dyDescent="0.2">
      <c r="A7387" s="451"/>
      <c r="B7387" s="451"/>
      <c r="C7387" s="451"/>
      <c r="D7387" s="451"/>
      <c r="E7387" s="468"/>
      <c r="F7387" s="468"/>
    </row>
    <row r="7388" spans="1:6" ht="12.75" x14ac:dyDescent="0.2">
      <c r="A7388" s="451"/>
      <c r="B7388" s="451"/>
      <c r="C7388" s="451"/>
      <c r="D7388" s="451"/>
      <c r="E7388" s="468"/>
      <c r="F7388" s="468"/>
    </row>
    <row r="7389" spans="1:6" ht="12.75" x14ac:dyDescent="0.2">
      <c r="A7389" s="451"/>
      <c r="B7389" s="451"/>
      <c r="C7389" s="451"/>
      <c r="D7389" s="451"/>
      <c r="E7389" s="468"/>
      <c r="F7389" s="468"/>
    </row>
    <row r="7390" spans="1:6" ht="12.75" x14ac:dyDescent="0.2">
      <c r="A7390" s="451"/>
      <c r="B7390" s="451"/>
      <c r="C7390" s="451"/>
      <c r="D7390" s="451"/>
      <c r="E7390" s="468"/>
      <c r="F7390" s="468"/>
    </row>
    <row r="7391" spans="1:6" ht="12.75" x14ac:dyDescent="0.2">
      <c r="A7391" s="451"/>
      <c r="B7391" s="451"/>
      <c r="C7391" s="451"/>
      <c r="D7391" s="451"/>
      <c r="E7391" s="468"/>
      <c r="F7391" s="468"/>
    </row>
    <row r="7392" spans="1:6" ht="12.75" x14ac:dyDescent="0.2">
      <c r="A7392" s="451"/>
      <c r="B7392" s="451"/>
      <c r="C7392" s="451"/>
      <c r="D7392" s="451"/>
      <c r="E7392" s="468"/>
      <c r="F7392" s="468"/>
    </row>
    <row r="7393" spans="1:6" ht="12.75" x14ac:dyDescent="0.2">
      <c r="A7393" s="451"/>
      <c r="B7393" s="451"/>
      <c r="C7393" s="451"/>
      <c r="D7393" s="451"/>
      <c r="E7393" s="468"/>
      <c r="F7393" s="468"/>
    </row>
    <row r="7394" spans="1:6" ht="12.75" x14ac:dyDescent="0.2">
      <c r="A7394" s="451"/>
      <c r="B7394" s="451"/>
      <c r="C7394" s="451"/>
      <c r="D7394" s="451"/>
      <c r="E7394" s="468"/>
      <c r="F7394" s="468"/>
    </row>
    <row r="7395" spans="1:6" ht="12.75" x14ac:dyDescent="0.2">
      <c r="A7395" s="451"/>
      <c r="B7395" s="451"/>
      <c r="C7395" s="451"/>
      <c r="D7395" s="451"/>
      <c r="E7395" s="468"/>
      <c r="F7395" s="468"/>
    </row>
    <row r="7396" spans="1:6" ht="12.75" x14ac:dyDescent="0.2">
      <c r="A7396" s="451"/>
      <c r="B7396" s="451"/>
      <c r="C7396" s="451"/>
      <c r="D7396" s="451"/>
      <c r="E7396" s="468"/>
      <c r="F7396" s="468"/>
    </row>
    <row r="7397" spans="1:6" ht="12.75" x14ac:dyDescent="0.2">
      <c r="A7397" s="451"/>
      <c r="B7397" s="451"/>
      <c r="C7397" s="451"/>
      <c r="D7397" s="451"/>
      <c r="E7397" s="468"/>
      <c r="F7397" s="468"/>
    </row>
    <row r="7398" spans="1:6" ht="12.75" x14ac:dyDescent="0.2">
      <c r="A7398" s="451"/>
      <c r="B7398" s="451"/>
      <c r="C7398" s="451"/>
      <c r="D7398" s="451"/>
      <c r="E7398" s="468"/>
      <c r="F7398" s="468"/>
    </row>
    <row r="7399" spans="1:6" ht="12.75" x14ac:dyDescent="0.2">
      <c r="A7399" s="451"/>
      <c r="B7399" s="451"/>
      <c r="C7399" s="451"/>
      <c r="D7399" s="451"/>
      <c r="E7399" s="468"/>
      <c r="F7399" s="468"/>
    </row>
    <row r="7400" spans="1:6" ht="12.75" x14ac:dyDescent="0.2">
      <c r="A7400" s="451"/>
      <c r="B7400" s="451"/>
      <c r="C7400" s="451"/>
      <c r="D7400" s="451"/>
      <c r="E7400" s="468"/>
      <c r="F7400" s="468"/>
    </row>
    <row r="7401" spans="1:6" ht="12.75" x14ac:dyDescent="0.2">
      <c r="A7401" s="451"/>
      <c r="B7401" s="451"/>
      <c r="C7401" s="451"/>
      <c r="D7401" s="451"/>
      <c r="E7401" s="468"/>
      <c r="F7401" s="468"/>
    </row>
    <row r="7402" spans="1:6" ht="12.75" x14ac:dyDescent="0.2">
      <c r="A7402" s="451"/>
      <c r="B7402" s="451"/>
      <c r="C7402" s="451"/>
      <c r="D7402" s="451"/>
      <c r="E7402" s="468"/>
      <c r="F7402" s="468"/>
    </row>
    <row r="7403" spans="1:6" ht="12.75" x14ac:dyDescent="0.2">
      <c r="A7403" s="451"/>
      <c r="B7403" s="451"/>
      <c r="C7403" s="451"/>
      <c r="D7403" s="451"/>
      <c r="E7403" s="468"/>
      <c r="F7403" s="468"/>
    </row>
    <row r="7404" spans="1:6" ht="12.75" x14ac:dyDescent="0.2">
      <c r="A7404" s="451"/>
      <c r="B7404" s="451"/>
      <c r="C7404" s="451"/>
      <c r="D7404" s="451"/>
      <c r="E7404" s="468"/>
      <c r="F7404" s="468"/>
    </row>
    <row r="7405" spans="1:6" ht="12.75" x14ac:dyDescent="0.2">
      <c r="A7405" s="451"/>
      <c r="B7405" s="451"/>
      <c r="C7405" s="451"/>
      <c r="D7405" s="451"/>
      <c r="E7405" s="468"/>
      <c r="F7405" s="468"/>
    </row>
    <row r="7406" spans="1:6" ht="12.75" x14ac:dyDescent="0.2">
      <c r="A7406" s="451"/>
      <c r="B7406" s="451"/>
      <c r="C7406" s="451"/>
      <c r="D7406" s="451"/>
      <c r="E7406" s="468"/>
      <c r="F7406" s="468"/>
    </row>
    <row r="7407" spans="1:6" ht="12.75" x14ac:dyDescent="0.2">
      <c r="A7407" s="451"/>
      <c r="B7407" s="451"/>
      <c r="C7407" s="451"/>
      <c r="D7407" s="451"/>
      <c r="E7407" s="468"/>
      <c r="F7407" s="468"/>
    </row>
    <row r="7408" spans="1:6" ht="12.75" x14ac:dyDescent="0.2">
      <c r="A7408" s="451"/>
      <c r="B7408" s="451"/>
      <c r="C7408" s="451"/>
      <c r="D7408" s="451"/>
      <c r="E7408" s="468"/>
      <c r="F7408" s="468"/>
    </row>
    <row r="7409" spans="1:6" ht="12.75" x14ac:dyDescent="0.2">
      <c r="A7409" s="451"/>
      <c r="B7409" s="451"/>
      <c r="C7409" s="451"/>
      <c r="D7409" s="451"/>
      <c r="E7409" s="468"/>
      <c r="F7409" s="468"/>
    </row>
    <row r="7410" spans="1:6" ht="12.75" x14ac:dyDescent="0.2">
      <c r="A7410" s="451"/>
      <c r="B7410" s="451"/>
      <c r="C7410" s="451"/>
      <c r="D7410" s="451"/>
      <c r="E7410" s="468"/>
      <c r="F7410" s="468"/>
    </row>
    <row r="7411" spans="1:6" ht="12.75" x14ac:dyDescent="0.2">
      <c r="A7411" s="451"/>
      <c r="B7411" s="451"/>
      <c r="C7411" s="451"/>
      <c r="D7411" s="451"/>
      <c r="E7411" s="468"/>
      <c r="F7411" s="468"/>
    </row>
    <row r="7412" spans="1:6" ht="12.75" x14ac:dyDescent="0.2">
      <c r="A7412" s="451"/>
      <c r="B7412" s="451"/>
      <c r="C7412" s="451"/>
      <c r="D7412" s="451"/>
      <c r="E7412" s="468"/>
      <c r="F7412" s="468"/>
    </row>
    <row r="7413" spans="1:6" ht="12.75" x14ac:dyDescent="0.2">
      <c r="A7413" s="451"/>
      <c r="B7413" s="451"/>
      <c r="C7413" s="451"/>
      <c r="D7413" s="451"/>
      <c r="E7413" s="468"/>
      <c r="F7413" s="468"/>
    </row>
    <row r="7414" spans="1:6" ht="12.75" x14ac:dyDescent="0.2">
      <c r="A7414" s="451"/>
      <c r="B7414" s="451"/>
      <c r="C7414" s="451"/>
      <c r="D7414" s="451"/>
      <c r="E7414" s="468"/>
      <c r="F7414" s="468"/>
    </row>
    <row r="7415" spans="1:6" ht="12.75" x14ac:dyDescent="0.2">
      <c r="A7415" s="451"/>
      <c r="B7415" s="451"/>
      <c r="C7415" s="451"/>
      <c r="D7415" s="451"/>
      <c r="E7415" s="468"/>
      <c r="F7415" s="468"/>
    </row>
    <row r="7416" spans="1:6" ht="12.75" x14ac:dyDescent="0.2">
      <c r="A7416" s="451"/>
      <c r="B7416" s="451"/>
      <c r="C7416" s="451"/>
      <c r="D7416" s="451"/>
      <c r="E7416" s="468"/>
      <c r="F7416" s="468"/>
    </row>
    <row r="7417" spans="1:6" ht="12.75" x14ac:dyDescent="0.2">
      <c r="A7417" s="451"/>
      <c r="B7417" s="451"/>
      <c r="C7417" s="451"/>
      <c r="D7417" s="451"/>
      <c r="E7417" s="468"/>
      <c r="F7417" s="468"/>
    </row>
    <row r="7418" spans="1:6" ht="12.75" x14ac:dyDescent="0.2">
      <c r="A7418" s="451"/>
      <c r="B7418" s="451"/>
      <c r="C7418" s="451"/>
      <c r="D7418" s="451"/>
      <c r="E7418" s="468"/>
      <c r="F7418" s="468"/>
    </row>
    <row r="7419" spans="1:6" ht="12.75" x14ac:dyDescent="0.2">
      <c r="A7419" s="451"/>
      <c r="B7419" s="451"/>
      <c r="C7419" s="451"/>
      <c r="D7419" s="451"/>
      <c r="E7419" s="468"/>
      <c r="F7419" s="468"/>
    </row>
    <row r="7420" spans="1:6" ht="12.75" x14ac:dyDescent="0.2">
      <c r="A7420" s="451"/>
      <c r="B7420" s="451"/>
      <c r="C7420" s="451"/>
      <c r="D7420" s="451"/>
      <c r="E7420" s="468"/>
      <c r="F7420" s="468"/>
    </row>
    <row r="7421" spans="1:6" ht="12.75" x14ac:dyDescent="0.2">
      <c r="A7421" s="451"/>
      <c r="B7421" s="451"/>
      <c r="C7421" s="451"/>
      <c r="D7421" s="451"/>
      <c r="E7421" s="468"/>
      <c r="F7421" s="468"/>
    </row>
    <row r="7422" spans="1:6" ht="12.75" x14ac:dyDescent="0.2">
      <c r="A7422" s="451"/>
      <c r="B7422" s="451"/>
      <c r="C7422" s="451"/>
      <c r="D7422" s="451"/>
      <c r="E7422" s="468"/>
      <c r="F7422" s="468"/>
    </row>
    <row r="7423" spans="1:6" ht="12.75" x14ac:dyDescent="0.2">
      <c r="A7423" s="451"/>
      <c r="B7423" s="451"/>
      <c r="C7423" s="451"/>
      <c r="D7423" s="451"/>
      <c r="E7423" s="468"/>
      <c r="F7423" s="468"/>
    </row>
    <row r="7424" spans="1:6" ht="12.75" x14ac:dyDescent="0.2">
      <c r="A7424" s="451"/>
      <c r="B7424" s="451"/>
      <c r="C7424" s="451"/>
      <c r="D7424" s="451"/>
      <c r="E7424" s="468"/>
      <c r="F7424" s="468"/>
    </row>
    <row r="7425" spans="1:6" ht="12.75" x14ac:dyDescent="0.2">
      <c r="A7425" s="451"/>
      <c r="B7425" s="451"/>
      <c r="C7425" s="451"/>
      <c r="D7425" s="451"/>
      <c r="E7425" s="468"/>
      <c r="F7425" s="468"/>
    </row>
    <row r="7426" spans="1:6" ht="12.75" x14ac:dyDescent="0.2">
      <c r="A7426" s="451"/>
      <c r="B7426" s="451"/>
      <c r="C7426" s="451"/>
      <c r="D7426" s="451"/>
      <c r="E7426" s="468"/>
      <c r="F7426" s="468"/>
    </row>
    <row r="7427" spans="1:6" ht="12.75" x14ac:dyDescent="0.2">
      <c r="A7427" s="451"/>
      <c r="B7427" s="451"/>
      <c r="C7427" s="451"/>
      <c r="D7427" s="451"/>
      <c r="E7427" s="468"/>
      <c r="F7427" s="468"/>
    </row>
    <row r="7428" spans="1:6" ht="12.75" x14ac:dyDescent="0.2">
      <c r="A7428" s="451"/>
      <c r="B7428" s="451"/>
      <c r="C7428" s="451"/>
      <c r="D7428" s="451"/>
      <c r="E7428" s="468"/>
      <c r="F7428" s="468"/>
    </row>
    <row r="7429" spans="1:6" ht="12.75" x14ac:dyDescent="0.2">
      <c r="A7429" s="451"/>
      <c r="B7429" s="451"/>
      <c r="C7429" s="451"/>
      <c r="D7429" s="451"/>
      <c r="E7429" s="468"/>
      <c r="F7429" s="468"/>
    </row>
    <row r="7430" spans="1:6" ht="12.75" x14ac:dyDescent="0.2">
      <c r="A7430" s="451"/>
      <c r="B7430" s="451"/>
      <c r="C7430" s="451"/>
      <c r="D7430" s="451"/>
      <c r="E7430" s="468"/>
      <c r="F7430" s="468"/>
    </row>
    <row r="7431" spans="1:6" ht="12.75" x14ac:dyDescent="0.2">
      <c r="A7431" s="451"/>
      <c r="B7431" s="451"/>
      <c r="C7431" s="451"/>
      <c r="D7431" s="451"/>
      <c r="E7431" s="468"/>
      <c r="F7431" s="468"/>
    </row>
    <row r="7432" spans="1:6" ht="12.75" x14ac:dyDescent="0.2">
      <c r="A7432" s="451"/>
      <c r="B7432" s="451"/>
      <c r="C7432" s="451"/>
      <c r="D7432" s="451"/>
      <c r="E7432" s="468"/>
      <c r="F7432" s="468"/>
    </row>
    <row r="7433" spans="1:6" ht="12.75" x14ac:dyDescent="0.2">
      <c r="A7433" s="451"/>
      <c r="B7433" s="451"/>
      <c r="C7433" s="451"/>
      <c r="D7433" s="451"/>
      <c r="E7433" s="468"/>
      <c r="F7433" s="468"/>
    </row>
    <row r="7434" spans="1:6" ht="12.75" x14ac:dyDescent="0.2">
      <c r="A7434" s="451"/>
      <c r="B7434" s="451"/>
      <c r="C7434" s="451"/>
      <c r="D7434" s="451"/>
      <c r="E7434" s="468"/>
      <c r="F7434" s="468"/>
    </row>
    <row r="7435" spans="1:6" ht="12.75" x14ac:dyDescent="0.2">
      <c r="A7435" s="451"/>
      <c r="B7435" s="451"/>
      <c r="C7435" s="451"/>
      <c r="D7435" s="451"/>
      <c r="E7435" s="468"/>
      <c r="F7435" s="468"/>
    </row>
    <row r="7436" spans="1:6" ht="12.75" x14ac:dyDescent="0.2">
      <c r="A7436" s="451"/>
      <c r="B7436" s="451"/>
      <c r="C7436" s="451"/>
      <c r="D7436" s="451"/>
      <c r="E7436" s="468"/>
      <c r="F7436" s="468"/>
    </row>
    <row r="7437" spans="1:6" ht="12.75" x14ac:dyDescent="0.2">
      <c r="A7437" s="451"/>
      <c r="B7437" s="451"/>
      <c r="C7437" s="451"/>
      <c r="D7437" s="451"/>
      <c r="E7437" s="468"/>
      <c r="F7437" s="468"/>
    </row>
    <row r="7438" spans="1:6" ht="12.75" x14ac:dyDescent="0.2">
      <c r="A7438" s="451"/>
      <c r="B7438" s="451"/>
      <c r="C7438" s="451"/>
      <c r="D7438" s="451"/>
      <c r="E7438" s="468"/>
      <c r="F7438" s="468"/>
    </row>
    <row r="7439" spans="1:6" ht="12.75" x14ac:dyDescent="0.2">
      <c r="A7439" s="451"/>
      <c r="B7439" s="451"/>
      <c r="C7439" s="451"/>
      <c r="D7439" s="451"/>
      <c r="E7439" s="468"/>
      <c r="F7439" s="468"/>
    </row>
    <row r="7440" spans="1:6" ht="12.75" x14ac:dyDescent="0.2">
      <c r="A7440" s="451"/>
      <c r="B7440" s="451"/>
      <c r="C7440" s="451"/>
      <c r="D7440" s="451"/>
      <c r="E7440" s="468"/>
      <c r="F7440" s="468"/>
    </row>
    <row r="7441" spans="1:6" ht="12.75" x14ac:dyDescent="0.2">
      <c r="A7441" s="451"/>
      <c r="B7441" s="451"/>
      <c r="C7441" s="451"/>
      <c r="D7441" s="451"/>
      <c r="E7441" s="468"/>
      <c r="F7441" s="468"/>
    </row>
    <row r="7442" spans="1:6" ht="12.75" x14ac:dyDescent="0.2">
      <c r="A7442" s="451"/>
      <c r="B7442" s="451"/>
      <c r="C7442" s="451"/>
      <c r="D7442" s="451"/>
      <c r="E7442" s="468"/>
      <c r="F7442" s="468"/>
    </row>
    <row r="7443" spans="1:6" ht="12.75" x14ac:dyDescent="0.2">
      <c r="A7443" s="451"/>
      <c r="B7443" s="451"/>
      <c r="C7443" s="451"/>
      <c r="D7443" s="451"/>
      <c r="E7443" s="468"/>
      <c r="F7443" s="468"/>
    </row>
    <row r="7444" spans="1:6" ht="12.75" x14ac:dyDescent="0.2">
      <c r="A7444" s="451"/>
      <c r="B7444" s="451"/>
      <c r="C7444" s="451"/>
      <c r="D7444" s="451"/>
      <c r="E7444" s="468"/>
      <c r="F7444" s="468"/>
    </row>
    <row r="7445" spans="1:6" ht="12.75" x14ac:dyDescent="0.2">
      <c r="A7445" s="451"/>
      <c r="B7445" s="451"/>
      <c r="C7445" s="451"/>
      <c r="D7445" s="451"/>
      <c r="E7445" s="468"/>
      <c r="F7445" s="468"/>
    </row>
    <row r="7446" spans="1:6" ht="12.75" x14ac:dyDescent="0.2">
      <c r="A7446" s="451"/>
      <c r="B7446" s="451"/>
      <c r="C7446" s="451"/>
      <c r="D7446" s="451"/>
      <c r="E7446" s="468"/>
      <c r="F7446" s="468"/>
    </row>
    <row r="7447" spans="1:6" ht="12.75" x14ac:dyDescent="0.2">
      <c r="A7447" s="451"/>
      <c r="B7447" s="451"/>
      <c r="C7447" s="451"/>
      <c r="D7447" s="451"/>
      <c r="E7447" s="468"/>
      <c r="F7447" s="468"/>
    </row>
    <row r="7448" spans="1:6" ht="12.75" x14ac:dyDescent="0.2">
      <c r="A7448" s="451"/>
      <c r="B7448" s="451"/>
      <c r="C7448" s="451"/>
      <c r="D7448" s="451"/>
      <c r="E7448" s="468"/>
      <c r="F7448" s="468"/>
    </row>
    <row r="7449" spans="1:6" ht="12.75" x14ac:dyDescent="0.2">
      <c r="A7449" s="451"/>
      <c r="B7449" s="451"/>
      <c r="C7449" s="451"/>
      <c r="D7449" s="451"/>
      <c r="E7449" s="468"/>
      <c r="F7449" s="468"/>
    </row>
    <row r="7450" spans="1:6" ht="12.75" x14ac:dyDescent="0.2">
      <c r="A7450" s="451"/>
      <c r="B7450" s="451"/>
      <c r="C7450" s="451"/>
      <c r="D7450" s="451"/>
      <c r="E7450" s="468"/>
      <c r="F7450" s="468"/>
    </row>
    <row r="7451" spans="1:6" ht="12.75" x14ac:dyDescent="0.2">
      <c r="A7451" s="451"/>
      <c r="B7451" s="451"/>
      <c r="C7451" s="451"/>
      <c r="D7451" s="451"/>
      <c r="E7451" s="468"/>
      <c r="F7451" s="468"/>
    </row>
    <row r="7452" spans="1:6" ht="12.75" x14ac:dyDescent="0.2">
      <c r="A7452" s="451"/>
      <c r="B7452" s="451"/>
      <c r="C7452" s="451"/>
      <c r="D7452" s="451"/>
      <c r="E7452" s="468"/>
      <c r="F7452" s="468"/>
    </row>
    <row r="7453" spans="1:6" ht="12.75" x14ac:dyDescent="0.2">
      <c r="A7453" s="451"/>
      <c r="B7453" s="451"/>
      <c r="C7453" s="451"/>
      <c r="D7453" s="451"/>
      <c r="E7453" s="468"/>
      <c r="F7453" s="468"/>
    </row>
    <row r="7454" spans="1:6" ht="12.75" x14ac:dyDescent="0.2">
      <c r="A7454" s="451"/>
      <c r="B7454" s="451"/>
      <c r="C7454" s="451"/>
      <c r="D7454" s="451"/>
      <c r="E7454" s="468"/>
      <c r="F7454" s="468"/>
    </row>
    <row r="7455" spans="1:6" ht="12.75" x14ac:dyDescent="0.2">
      <c r="A7455" s="451"/>
      <c r="B7455" s="451"/>
      <c r="C7455" s="451"/>
      <c r="D7455" s="451"/>
      <c r="E7455" s="468"/>
      <c r="F7455" s="468"/>
    </row>
    <row r="7456" spans="1:6" ht="12.75" x14ac:dyDescent="0.2">
      <c r="A7456" s="451"/>
      <c r="B7456" s="451"/>
      <c r="C7456" s="451"/>
      <c r="D7456" s="451"/>
      <c r="E7456" s="468"/>
      <c r="F7456" s="468"/>
    </row>
    <row r="7457" spans="1:6" ht="12.75" x14ac:dyDescent="0.2">
      <c r="A7457" s="451"/>
      <c r="B7457" s="451"/>
      <c r="C7457" s="451"/>
      <c r="D7457" s="451"/>
      <c r="E7457" s="468"/>
      <c r="F7457" s="468"/>
    </row>
    <row r="7458" spans="1:6" ht="12.75" x14ac:dyDescent="0.2">
      <c r="A7458" s="451"/>
      <c r="B7458" s="451"/>
      <c r="C7458" s="451"/>
      <c r="D7458" s="451"/>
      <c r="E7458" s="468"/>
      <c r="F7458" s="468"/>
    </row>
    <row r="7459" spans="1:6" ht="12.75" x14ac:dyDescent="0.2">
      <c r="A7459" s="451"/>
      <c r="B7459" s="451"/>
      <c r="C7459" s="451"/>
      <c r="D7459" s="451"/>
      <c r="E7459" s="468"/>
      <c r="F7459" s="468"/>
    </row>
    <row r="7460" spans="1:6" ht="12.75" x14ac:dyDescent="0.2">
      <c r="A7460" s="451"/>
      <c r="B7460" s="451"/>
      <c r="C7460" s="451"/>
      <c r="D7460" s="451"/>
      <c r="E7460" s="468"/>
      <c r="F7460" s="468"/>
    </row>
    <row r="7461" spans="1:6" ht="12.75" x14ac:dyDescent="0.2">
      <c r="A7461" s="451"/>
      <c r="B7461" s="451"/>
      <c r="C7461" s="451"/>
      <c r="D7461" s="451"/>
      <c r="E7461" s="468"/>
      <c r="F7461" s="468"/>
    </row>
    <row r="7462" spans="1:6" ht="12.75" x14ac:dyDescent="0.2">
      <c r="A7462" s="451"/>
      <c r="B7462" s="451"/>
      <c r="C7462" s="451"/>
      <c r="D7462" s="451"/>
      <c r="E7462" s="468"/>
      <c r="F7462" s="468"/>
    </row>
    <row r="7463" spans="1:6" ht="12.75" x14ac:dyDescent="0.2">
      <c r="A7463" s="451"/>
      <c r="B7463" s="451"/>
      <c r="C7463" s="451"/>
      <c r="D7463" s="451"/>
      <c r="E7463" s="468"/>
      <c r="F7463" s="468"/>
    </row>
    <row r="7464" spans="1:6" ht="12.75" x14ac:dyDescent="0.2">
      <c r="A7464" s="451"/>
      <c r="B7464" s="451"/>
      <c r="C7464" s="451"/>
      <c r="D7464" s="451"/>
      <c r="E7464" s="468"/>
      <c r="F7464" s="468"/>
    </row>
    <row r="7465" spans="1:6" ht="12.75" x14ac:dyDescent="0.2">
      <c r="A7465" s="451"/>
      <c r="B7465" s="451"/>
      <c r="C7465" s="451"/>
      <c r="D7465" s="451"/>
      <c r="E7465" s="468"/>
      <c r="F7465" s="468"/>
    </row>
    <row r="7466" spans="1:6" ht="12.75" x14ac:dyDescent="0.2">
      <c r="A7466" s="451"/>
      <c r="B7466" s="451"/>
      <c r="C7466" s="451"/>
      <c r="D7466" s="451"/>
      <c r="E7466" s="468"/>
      <c r="F7466" s="468"/>
    </row>
    <row r="7467" spans="1:6" ht="12.75" x14ac:dyDescent="0.2">
      <c r="A7467" s="451"/>
      <c r="B7467" s="451"/>
      <c r="C7467" s="451"/>
      <c r="D7467" s="451"/>
      <c r="E7467" s="468"/>
      <c r="F7467" s="468"/>
    </row>
    <row r="7468" spans="1:6" ht="12.75" x14ac:dyDescent="0.2">
      <c r="A7468" s="451"/>
      <c r="B7468" s="451"/>
      <c r="C7468" s="451"/>
      <c r="D7468" s="451"/>
      <c r="E7468" s="468"/>
      <c r="F7468" s="468"/>
    </row>
    <row r="7469" spans="1:6" ht="12.75" x14ac:dyDescent="0.2">
      <c r="A7469" s="451"/>
      <c r="B7469" s="451"/>
      <c r="C7469" s="451"/>
      <c r="D7469" s="451"/>
      <c r="E7469" s="468"/>
      <c r="F7469" s="468"/>
    </row>
    <row r="7470" spans="1:6" ht="12.75" x14ac:dyDescent="0.2">
      <c r="A7470" s="451"/>
      <c r="B7470" s="451"/>
      <c r="C7470" s="451"/>
      <c r="D7470" s="451"/>
      <c r="E7470" s="468"/>
      <c r="F7470" s="468"/>
    </row>
    <row r="7471" spans="1:6" ht="12.75" x14ac:dyDescent="0.2">
      <c r="A7471" s="451"/>
      <c r="B7471" s="451"/>
      <c r="C7471" s="451"/>
      <c r="D7471" s="451"/>
      <c r="E7471" s="468"/>
      <c r="F7471" s="468"/>
    </row>
    <row r="7472" spans="1:6" ht="12.75" x14ac:dyDescent="0.2">
      <c r="A7472" s="451"/>
      <c r="B7472" s="451"/>
      <c r="C7472" s="451"/>
      <c r="D7472" s="451"/>
      <c r="E7472" s="468"/>
      <c r="F7472" s="468"/>
    </row>
    <row r="7473" spans="1:6" ht="12.75" x14ac:dyDescent="0.2">
      <c r="A7473" s="451"/>
      <c r="B7473" s="451"/>
      <c r="C7473" s="451"/>
      <c r="D7473" s="451"/>
      <c r="E7473" s="468"/>
      <c r="F7473" s="468"/>
    </row>
    <row r="7474" spans="1:6" ht="12.75" x14ac:dyDescent="0.2">
      <c r="A7474" s="451"/>
      <c r="B7474" s="451"/>
      <c r="C7474" s="451"/>
      <c r="D7474" s="451"/>
      <c r="E7474" s="468"/>
      <c r="F7474" s="468"/>
    </row>
    <row r="7475" spans="1:6" ht="12.75" x14ac:dyDescent="0.2">
      <c r="A7475" s="451"/>
      <c r="B7475" s="451"/>
      <c r="C7475" s="451"/>
      <c r="D7475" s="451"/>
      <c r="E7475" s="468"/>
      <c r="F7475" s="468"/>
    </row>
    <row r="7476" spans="1:6" ht="12.75" x14ac:dyDescent="0.2">
      <c r="A7476" s="451"/>
      <c r="B7476" s="451"/>
      <c r="C7476" s="451"/>
      <c r="D7476" s="451"/>
      <c r="E7476" s="468"/>
      <c r="F7476" s="468"/>
    </row>
    <row r="7477" spans="1:6" ht="12.75" x14ac:dyDescent="0.2">
      <c r="A7477" s="451"/>
      <c r="B7477" s="451"/>
      <c r="C7477" s="451"/>
      <c r="D7477" s="451"/>
      <c r="E7477" s="468"/>
      <c r="F7477" s="468"/>
    </row>
    <row r="7478" spans="1:6" ht="12.75" x14ac:dyDescent="0.2">
      <c r="A7478" s="451"/>
      <c r="B7478" s="451"/>
      <c r="C7478" s="451"/>
      <c r="D7478" s="451"/>
      <c r="E7478" s="468"/>
      <c r="F7478" s="468"/>
    </row>
    <row r="7479" spans="1:6" ht="12.75" x14ac:dyDescent="0.2">
      <c r="A7479" s="451"/>
      <c r="B7479" s="451"/>
      <c r="C7479" s="451"/>
      <c r="D7479" s="451"/>
      <c r="E7479" s="468"/>
      <c r="F7479" s="468"/>
    </row>
    <row r="7480" spans="1:6" ht="12.75" x14ac:dyDescent="0.2">
      <c r="A7480" s="451"/>
      <c r="B7480" s="451"/>
      <c r="C7480" s="451"/>
      <c r="D7480" s="451"/>
      <c r="E7480" s="468"/>
      <c r="F7480" s="468"/>
    </row>
    <row r="7481" spans="1:6" ht="12.75" x14ac:dyDescent="0.2">
      <c r="A7481" s="451"/>
      <c r="B7481" s="451"/>
      <c r="C7481" s="451"/>
      <c r="D7481" s="451"/>
      <c r="E7481" s="468"/>
      <c r="F7481" s="468"/>
    </row>
    <row r="7482" spans="1:6" ht="12.75" x14ac:dyDescent="0.2">
      <c r="A7482" s="451"/>
      <c r="B7482" s="451"/>
      <c r="C7482" s="451"/>
      <c r="D7482" s="451"/>
      <c r="E7482" s="468"/>
      <c r="F7482" s="468"/>
    </row>
    <row r="7483" spans="1:6" ht="12.75" x14ac:dyDescent="0.2">
      <c r="A7483" s="451"/>
      <c r="B7483" s="451"/>
      <c r="C7483" s="451"/>
      <c r="D7483" s="451"/>
      <c r="E7483" s="468"/>
      <c r="F7483" s="468"/>
    </row>
    <row r="7484" spans="1:6" ht="12.75" x14ac:dyDescent="0.2">
      <c r="A7484" s="451"/>
      <c r="B7484" s="451"/>
      <c r="C7484" s="451"/>
      <c r="D7484" s="451"/>
      <c r="E7484" s="468"/>
      <c r="F7484" s="468"/>
    </row>
    <row r="7485" spans="1:6" ht="12.75" x14ac:dyDescent="0.2">
      <c r="A7485" s="451"/>
      <c r="B7485" s="451"/>
      <c r="C7485" s="451"/>
      <c r="D7485" s="451"/>
      <c r="E7485" s="468"/>
      <c r="F7485" s="468"/>
    </row>
    <row r="7486" spans="1:6" ht="12.75" x14ac:dyDescent="0.2">
      <c r="A7486" s="451"/>
      <c r="B7486" s="451"/>
      <c r="C7486" s="451"/>
      <c r="D7486" s="451"/>
      <c r="E7486" s="468"/>
      <c r="F7486" s="468"/>
    </row>
    <row r="7487" spans="1:6" ht="12.75" x14ac:dyDescent="0.2">
      <c r="A7487" s="451"/>
      <c r="B7487" s="451"/>
      <c r="C7487" s="451"/>
      <c r="D7487" s="451"/>
      <c r="E7487" s="468"/>
      <c r="F7487" s="468"/>
    </row>
    <row r="7488" spans="1:6" ht="12.75" x14ac:dyDescent="0.2">
      <c r="A7488" s="451"/>
      <c r="B7488" s="451"/>
      <c r="C7488" s="451"/>
      <c r="D7488" s="451"/>
      <c r="E7488" s="468"/>
      <c r="F7488" s="468"/>
    </row>
    <row r="7489" spans="1:6" ht="12.75" x14ac:dyDescent="0.2">
      <c r="A7489" s="451"/>
      <c r="B7489" s="451"/>
      <c r="C7489" s="451"/>
      <c r="D7489" s="451"/>
      <c r="E7489" s="468"/>
      <c r="F7489" s="468"/>
    </row>
    <row r="7490" spans="1:6" ht="12.75" x14ac:dyDescent="0.2">
      <c r="A7490" s="451"/>
      <c r="B7490" s="451"/>
      <c r="C7490" s="451"/>
      <c r="D7490" s="451"/>
      <c r="E7490" s="468"/>
      <c r="F7490" s="468"/>
    </row>
    <row r="7491" spans="1:6" ht="12.75" x14ac:dyDescent="0.2">
      <c r="A7491" s="451"/>
      <c r="B7491" s="451"/>
      <c r="C7491" s="451"/>
      <c r="D7491" s="451"/>
      <c r="E7491" s="468"/>
      <c r="F7491" s="468"/>
    </row>
    <row r="7492" spans="1:6" ht="12.75" x14ac:dyDescent="0.2">
      <c r="A7492" s="451"/>
      <c r="B7492" s="451"/>
      <c r="C7492" s="451"/>
      <c r="D7492" s="451"/>
      <c r="E7492" s="468"/>
      <c r="F7492" s="468"/>
    </row>
    <row r="7493" spans="1:6" ht="12.75" x14ac:dyDescent="0.2">
      <c r="A7493" s="451"/>
      <c r="B7493" s="451"/>
      <c r="C7493" s="451"/>
      <c r="D7493" s="451"/>
      <c r="E7493" s="468"/>
      <c r="F7493" s="468"/>
    </row>
    <row r="7494" spans="1:6" ht="12.75" x14ac:dyDescent="0.2">
      <c r="A7494" s="451"/>
      <c r="B7494" s="451"/>
      <c r="C7494" s="451"/>
      <c r="D7494" s="451"/>
      <c r="E7494" s="468"/>
      <c r="F7494" s="468"/>
    </row>
    <row r="7495" spans="1:6" ht="12.75" x14ac:dyDescent="0.2">
      <c r="A7495" s="451"/>
      <c r="B7495" s="451"/>
      <c r="C7495" s="451"/>
      <c r="D7495" s="451"/>
      <c r="E7495" s="468"/>
      <c r="F7495" s="468"/>
    </row>
    <row r="7496" spans="1:6" ht="12.75" x14ac:dyDescent="0.2">
      <c r="A7496" s="451"/>
      <c r="B7496" s="451"/>
      <c r="C7496" s="451"/>
      <c r="D7496" s="451"/>
      <c r="E7496" s="468"/>
      <c r="F7496" s="468"/>
    </row>
    <row r="7497" spans="1:6" ht="12.75" x14ac:dyDescent="0.2">
      <c r="A7497" s="451"/>
      <c r="B7497" s="451"/>
      <c r="C7497" s="451"/>
      <c r="D7497" s="451"/>
      <c r="E7497" s="468"/>
      <c r="F7497" s="468"/>
    </row>
    <row r="7498" spans="1:6" ht="12.75" x14ac:dyDescent="0.2">
      <c r="A7498" s="451"/>
      <c r="B7498" s="451"/>
      <c r="C7498" s="451"/>
      <c r="D7498" s="451"/>
      <c r="E7498" s="468"/>
      <c r="F7498" s="468"/>
    </row>
    <row r="7499" spans="1:6" ht="12.75" x14ac:dyDescent="0.2">
      <c r="A7499" s="451"/>
      <c r="B7499" s="451"/>
      <c r="C7499" s="451"/>
      <c r="D7499" s="451"/>
      <c r="E7499" s="468"/>
      <c r="F7499" s="468"/>
    </row>
    <row r="7500" spans="1:6" ht="12.75" x14ac:dyDescent="0.2">
      <c r="A7500" s="451"/>
      <c r="B7500" s="451"/>
      <c r="C7500" s="451"/>
      <c r="D7500" s="451"/>
      <c r="E7500" s="468"/>
      <c r="F7500" s="468"/>
    </row>
    <row r="7501" spans="1:6" ht="12.75" x14ac:dyDescent="0.2">
      <c r="A7501" s="451"/>
      <c r="B7501" s="451"/>
      <c r="C7501" s="451"/>
      <c r="D7501" s="451"/>
      <c r="E7501" s="468"/>
      <c r="F7501" s="468"/>
    </row>
    <row r="7502" spans="1:6" ht="12.75" x14ac:dyDescent="0.2">
      <c r="A7502" s="451"/>
      <c r="B7502" s="451"/>
      <c r="C7502" s="451"/>
      <c r="D7502" s="451"/>
      <c r="E7502" s="468"/>
      <c r="F7502" s="468"/>
    </row>
    <row r="7503" spans="1:6" ht="12.75" x14ac:dyDescent="0.2">
      <c r="A7503" s="451"/>
      <c r="B7503" s="451"/>
      <c r="C7503" s="451"/>
      <c r="D7503" s="451"/>
      <c r="E7503" s="468"/>
      <c r="F7503" s="468"/>
    </row>
    <row r="7504" spans="1:6" ht="12.75" x14ac:dyDescent="0.2">
      <c r="A7504" s="451"/>
      <c r="B7504" s="451"/>
      <c r="C7504" s="451"/>
      <c r="D7504" s="451"/>
      <c r="E7504" s="468"/>
      <c r="F7504" s="468"/>
    </row>
    <row r="7505" spans="1:6" ht="12.75" x14ac:dyDescent="0.2">
      <c r="A7505" s="451"/>
      <c r="B7505" s="451"/>
      <c r="C7505" s="451"/>
      <c r="D7505" s="451"/>
      <c r="E7505" s="468"/>
      <c r="F7505" s="468"/>
    </row>
    <row r="7506" spans="1:6" ht="12.75" x14ac:dyDescent="0.2">
      <c r="A7506" s="451"/>
      <c r="B7506" s="451"/>
      <c r="C7506" s="451"/>
      <c r="D7506" s="451"/>
      <c r="E7506" s="468"/>
      <c r="F7506" s="468"/>
    </row>
    <row r="7507" spans="1:6" ht="12.75" x14ac:dyDescent="0.2">
      <c r="A7507" s="451"/>
      <c r="B7507" s="451"/>
      <c r="C7507" s="451"/>
      <c r="D7507" s="451"/>
      <c r="E7507" s="468"/>
      <c r="F7507" s="468"/>
    </row>
    <row r="7508" spans="1:6" ht="12.75" x14ac:dyDescent="0.2">
      <c r="A7508" s="451"/>
      <c r="B7508" s="451"/>
      <c r="C7508" s="451"/>
      <c r="D7508" s="451"/>
      <c r="E7508" s="468"/>
      <c r="F7508" s="468"/>
    </row>
    <row r="7509" spans="1:6" ht="12.75" x14ac:dyDescent="0.2">
      <c r="A7509" s="451"/>
      <c r="B7509" s="451"/>
      <c r="C7509" s="451"/>
      <c r="D7509" s="451"/>
      <c r="E7509" s="468"/>
      <c r="F7509" s="468"/>
    </row>
    <row r="7510" spans="1:6" ht="12.75" x14ac:dyDescent="0.2">
      <c r="A7510" s="451"/>
      <c r="B7510" s="451"/>
      <c r="C7510" s="451"/>
      <c r="D7510" s="451"/>
      <c r="E7510" s="468"/>
      <c r="F7510" s="468"/>
    </row>
    <row r="7511" spans="1:6" ht="12.75" x14ac:dyDescent="0.2">
      <c r="A7511" s="451"/>
      <c r="B7511" s="451"/>
      <c r="C7511" s="451"/>
      <c r="D7511" s="451"/>
      <c r="E7511" s="468"/>
      <c r="F7511" s="468"/>
    </row>
    <row r="7512" spans="1:6" ht="12.75" x14ac:dyDescent="0.2">
      <c r="A7512" s="451"/>
      <c r="B7512" s="451"/>
      <c r="C7512" s="451"/>
      <c r="D7512" s="451"/>
      <c r="E7512" s="468"/>
      <c r="F7512" s="468"/>
    </row>
    <row r="7513" spans="1:6" ht="12.75" x14ac:dyDescent="0.2">
      <c r="A7513" s="451"/>
      <c r="B7513" s="451"/>
      <c r="C7513" s="451"/>
      <c r="D7513" s="451"/>
      <c r="E7513" s="468"/>
      <c r="F7513" s="468"/>
    </row>
    <row r="7514" spans="1:6" ht="12.75" x14ac:dyDescent="0.2">
      <c r="A7514" s="451"/>
      <c r="B7514" s="451"/>
      <c r="C7514" s="451"/>
      <c r="D7514" s="451"/>
      <c r="E7514" s="468"/>
      <c r="F7514" s="468"/>
    </row>
    <row r="7515" spans="1:6" ht="12.75" x14ac:dyDescent="0.2">
      <c r="A7515" s="451"/>
      <c r="B7515" s="451"/>
      <c r="C7515" s="451"/>
      <c r="D7515" s="451"/>
      <c r="E7515" s="468"/>
      <c r="F7515" s="468"/>
    </row>
    <row r="7516" spans="1:6" ht="12.75" x14ac:dyDescent="0.2">
      <c r="A7516" s="451"/>
      <c r="B7516" s="451"/>
      <c r="C7516" s="451"/>
      <c r="D7516" s="451"/>
      <c r="E7516" s="468"/>
      <c r="F7516" s="468"/>
    </row>
    <row r="7517" spans="1:6" ht="12.75" x14ac:dyDescent="0.2">
      <c r="A7517" s="451"/>
      <c r="B7517" s="451"/>
      <c r="C7517" s="451"/>
      <c r="D7517" s="451"/>
      <c r="E7517" s="468"/>
      <c r="F7517" s="468"/>
    </row>
    <row r="7518" spans="1:6" ht="12.75" x14ac:dyDescent="0.2">
      <c r="A7518" s="451"/>
      <c r="B7518" s="451"/>
      <c r="C7518" s="451"/>
      <c r="D7518" s="451"/>
      <c r="E7518" s="468"/>
      <c r="F7518" s="468"/>
    </row>
    <row r="7519" spans="1:6" ht="12.75" x14ac:dyDescent="0.2">
      <c r="A7519" s="451"/>
      <c r="B7519" s="451"/>
      <c r="C7519" s="451"/>
      <c r="D7519" s="451"/>
      <c r="E7519" s="468"/>
      <c r="F7519" s="468"/>
    </row>
    <row r="7520" spans="1:6" ht="12.75" x14ac:dyDescent="0.2">
      <c r="A7520" s="451"/>
      <c r="B7520" s="451"/>
      <c r="C7520" s="451"/>
      <c r="D7520" s="451"/>
      <c r="E7520" s="468"/>
      <c r="F7520" s="468"/>
    </row>
    <row r="7521" spans="1:6" ht="12.75" x14ac:dyDescent="0.2">
      <c r="A7521" s="451"/>
      <c r="B7521" s="451"/>
      <c r="C7521" s="451"/>
      <c r="D7521" s="451"/>
      <c r="E7521" s="468"/>
      <c r="F7521" s="468"/>
    </row>
    <row r="7522" spans="1:6" ht="12.75" x14ac:dyDescent="0.2">
      <c r="A7522" s="451"/>
      <c r="B7522" s="451"/>
      <c r="C7522" s="451"/>
      <c r="D7522" s="451"/>
      <c r="E7522" s="468"/>
      <c r="F7522" s="468"/>
    </row>
    <row r="7523" spans="1:6" ht="12.75" x14ac:dyDescent="0.2">
      <c r="A7523" s="451"/>
      <c r="B7523" s="451"/>
      <c r="C7523" s="451"/>
      <c r="D7523" s="451"/>
      <c r="E7523" s="468"/>
      <c r="F7523" s="468"/>
    </row>
    <row r="7524" spans="1:6" ht="12.75" x14ac:dyDescent="0.2">
      <c r="A7524" s="451"/>
      <c r="B7524" s="451"/>
      <c r="C7524" s="451"/>
      <c r="D7524" s="451"/>
      <c r="E7524" s="468"/>
      <c r="F7524" s="468"/>
    </row>
    <row r="7525" spans="1:6" ht="12.75" x14ac:dyDescent="0.2">
      <c r="A7525" s="451"/>
      <c r="B7525" s="451"/>
      <c r="C7525" s="451"/>
      <c r="D7525" s="451"/>
      <c r="E7525" s="468"/>
      <c r="F7525" s="468"/>
    </row>
    <row r="7526" spans="1:6" ht="12.75" x14ac:dyDescent="0.2">
      <c r="A7526" s="451"/>
      <c r="B7526" s="451"/>
      <c r="C7526" s="451"/>
      <c r="D7526" s="451"/>
      <c r="E7526" s="468"/>
      <c r="F7526" s="468"/>
    </row>
    <row r="7527" spans="1:6" ht="12.75" x14ac:dyDescent="0.2">
      <c r="A7527" s="451"/>
      <c r="B7527" s="451"/>
      <c r="C7527" s="451"/>
      <c r="D7527" s="451"/>
      <c r="E7527" s="468"/>
      <c r="F7527" s="468"/>
    </row>
    <row r="7528" spans="1:6" ht="12.75" x14ac:dyDescent="0.2">
      <c r="A7528" s="451"/>
      <c r="B7528" s="451"/>
      <c r="C7528" s="451"/>
      <c r="D7528" s="451"/>
      <c r="E7528" s="468"/>
      <c r="F7528" s="468"/>
    </row>
    <row r="7529" spans="1:6" ht="12.75" x14ac:dyDescent="0.2">
      <c r="A7529" s="451"/>
      <c r="B7529" s="451"/>
      <c r="C7529" s="451"/>
      <c r="D7529" s="451"/>
      <c r="E7529" s="468"/>
      <c r="F7529" s="468"/>
    </row>
    <row r="7530" spans="1:6" ht="12.75" x14ac:dyDescent="0.2">
      <c r="A7530" s="451"/>
      <c r="B7530" s="451"/>
      <c r="C7530" s="451"/>
      <c r="D7530" s="451"/>
      <c r="E7530" s="468"/>
      <c r="F7530" s="468"/>
    </row>
    <row r="7531" spans="1:6" ht="12.75" x14ac:dyDescent="0.2">
      <c r="A7531" s="451"/>
      <c r="B7531" s="451"/>
      <c r="C7531" s="451"/>
      <c r="D7531" s="451"/>
      <c r="E7531" s="468"/>
      <c r="F7531" s="468"/>
    </row>
    <row r="7532" spans="1:6" ht="12.75" x14ac:dyDescent="0.2">
      <c r="A7532" s="451"/>
      <c r="B7532" s="451"/>
      <c r="C7532" s="451"/>
      <c r="D7532" s="451"/>
      <c r="E7532" s="468"/>
      <c r="F7532" s="468"/>
    </row>
    <row r="7533" spans="1:6" ht="12.75" x14ac:dyDescent="0.2">
      <c r="A7533" s="451"/>
      <c r="B7533" s="451"/>
      <c r="C7533" s="451"/>
      <c r="D7533" s="451"/>
      <c r="E7533" s="468"/>
      <c r="F7533" s="468"/>
    </row>
    <row r="7534" spans="1:6" ht="12.75" x14ac:dyDescent="0.2">
      <c r="A7534" s="451"/>
      <c r="B7534" s="451"/>
      <c r="C7534" s="451"/>
      <c r="D7534" s="451"/>
      <c r="E7534" s="468"/>
      <c r="F7534" s="468"/>
    </row>
    <row r="7535" spans="1:6" ht="12.75" x14ac:dyDescent="0.2">
      <c r="A7535" s="451"/>
      <c r="B7535" s="451"/>
      <c r="C7535" s="451"/>
      <c r="D7535" s="451"/>
      <c r="E7535" s="468"/>
      <c r="F7535" s="468"/>
    </row>
    <row r="7536" spans="1:6" ht="12.75" x14ac:dyDescent="0.2">
      <c r="A7536" s="451"/>
      <c r="B7536" s="451"/>
      <c r="C7536" s="451"/>
      <c r="D7536" s="451"/>
      <c r="E7536" s="468"/>
      <c r="F7536" s="468"/>
    </row>
    <row r="7537" spans="1:6" ht="12.75" x14ac:dyDescent="0.2">
      <c r="A7537" s="451"/>
      <c r="B7537" s="451"/>
      <c r="C7537" s="451"/>
      <c r="D7537" s="451"/>
      <c r="E7537" s="468"/>
      <c r="F7537" s="468"/>
    </row>
    <row r="7538" spans="1:6" ht="12.75" x14ac:dyDescent="0.2">
      <c r="A7538" s="451"/>
      <c r="B7538" s="451"/>
      <c r="C7538" s="451"/>
      <c r="D7538" s="451"/>
      <c r="E7538" s="468"/>
      <c r="F7538" s="468"/>
    </row>
    <row r="7539" spans="1:6" ht="12.75" x14ac:dyDescent="0.2">
      <c r="A7539" s="451"/>
      <c r="B7539" s="451"/>
      <c r="C7539" s="451"/>
      <c r="D7539" s="451"/>
      <c r="E7539" s="468"/>
      <c r="F7539" s="468"/>
    </row>
    <row r="7540" spans="1:6" ht="12.75" x14ac:dyDescent="0.2">
      <c r="A7540" s="451"/>
      <c r="B7540" s="451"/>
      <c r="C7540" s="451"/>
      <c r="D7540" s="451"/>
      <c r="E7540" s="468"/>
      <c r="F7540" s="468"/>
    </row>
    <row r="7541" spans="1:6" ht="12.75" x14ac:dyDescent="0.2">
      <c r="A7541" s="451"/>
      <c r="B7541" s="451"/>
      <c r="C7541" s="451"/>
      <c r="D7541" s="451"/>
      <c r="E7541" s="468"/>
      <c r="F7541" s="468"/>
    </row>
    <row r="7542" spans="1:6" ht="12.75" x14ac:dyDescent="0.2">
      <c r="A7542" s="451"/>
      <c r="B7542" s="451"/>
      <c r="C7542" s="451"/>
      <c r="D7542" s="451"/>
      <c r="E7542" s="468"/>
      <c r="F7542" s="468"/>
    </row>
    <row r="7543" spans="1:6" ht="12.75" x14ac:dyDescent="0.2">
      <c r="A7543" s="451"/>
      <c r="B7543" s="451"/>
      <c r="C7543" s="451"/>
      <c r="D7543" s="451"/>
      <c r="E7543" s="468"/>
      <c r="F7543" s="468"/>
    </row>
    <row r="7544" spans="1:6" ht="12.75" x14ac:dyDescent="0.2">
      <c r="A7544" s="451"/>
      <c r="B7544" s="451"/>
      <c r="C7544" s="451"/>
      <c r="D7544" s="451"/>
      <c r="E7544" s="468"/>
      <c r="F7544" s="468"/>
    </row>
    <row r="7545" spans="1:6" ht="12.75" x14ac:dyDescent="0.2">
      <c r="A7545" s="451"/>
      <c r="B7545" s="451"/>
      <c r="C7545" s="451"/>
      <c r="D7545" s="451"/>
      <c r="E7545" s="468"/>
      <c r="F7545" s="468"/>
    </row>
    <row r="7546" spans="1:6" ht="12.75" x14ac:dyDescent="0.2">
      <c r="A7546" s="451"/>
      <c r="B7546" s="451"/>
      <c r="C7546" s="451"/>
      <c r="D7546" s="451"/>
      <c r="E7546" s="468"/>
      <c r="F7546" s="468"/>
    </row>
    <row r="7547" spans="1:6" ht="12.75" x14ac:dyDescent="0.2">
      <c r="A7547" s="451"/>
      <c r="B7547" s="451"/>
      <c r="C7547" s="451"/>
      <c r="D7547" s="451"/>
      <c r="E7547" s="468"/>
      <c r="F7547" s="468"/>
    </row>
    <row r="7548" spans="1:6" ht="12.75" x14ac:dyDescent="0.2">
      <c r="A7548" s="451"/>
      <c r="B7548" s="451"/>
      <c r="C7548" s="451"/>
      <c r="D7548" s="451"/>
      <c r="E7548" s="468"/>
      <c r="F7548" s="468"/>
    </row>
    <row r="7549" spans="1:6" ht="12.75" x14ac:dyDescent="0.2">
      <c r="A7549" s="451"/>
      <c r="B7549" s="451"/>
      <c r="C7549" s="451"/>
      <c r="D7549" s="451"/>
      <c r="E7549" s="468"/>
      <c r="F7549" s="468"/>
    </row>
    <row r="7550" spans="1:6" ht="12.75" x14ac:dyDescent="0.2">
      <c r="A7550" s="451"/>
      <c r="B7550" s="451"/>
      <c r="C7550" s="451"/>
      <c r="D7550" s="451"/>
      <c r="E7550" s="468"/>
      <c r="F7550" s="468"/>
    </row>
    <row r="7551" spans="1:6" ht="12.75" x14ac:dyDescent="0.2">
      <c r="A7551" s="451"/>
      <c r="B7551" s="451"/>
      <c r="C7551" s="451"/>
      <c r="D7551" s="451"/>
      <c r="E7551" s="468"/>
      <c r="F7551" s="468"/>
    </row>
    <row r="7552" spans="1:6" ht="12.75" x14ac:dyDescent="0.2">
      <c r="A7552" s="451"/>
      <c r="B7552" s="451"/>
      <c r="C7552" s="451"/>
      <c r="D7552" s="451"/>
      <c r="E7552" s="468"/>
      <c r="F7552" s="468"/>
    </row>
    <row r="7553" spans="1:6" ht="12.75" x14ac:dyDescent="0.2">
      <c r="A7553" s="451"/>
      <c r="B7553" s="451"/>
      <c r="C7553" s="451"/>
      <c r="D7553" s="451"/>
      <c r="E7553" s="468"/>
      <c r="F7553" s="468"/>
    </row>
    <row r="7554" spans="1:6" ht="12.75" x14ac:dyDescent="0.2">
      <c r="A7554" s="451"/>
      <c r="B7554" s="451"/>
      <c r="C7554" s="451"/>
      <c r="D7554" s="451"/>
      <c r="E7554" s="468"/>
      <c r="F7554" s="468"/>
    </row>
    <row r="7555" spans="1:6" ht="12.75" x14ac:dyDescent="0.2">
      <c r="A7555" s="451"/>
      <c r="B7555" s="451"/>
      <c r="C7555" s="451"/>
      <c r="D7555" s="451"/>
      <c r="E7555" s="468"/>
      <c r="F7555" s="468"/>
    </row>
    <row r="7556" spans="1:6" ht="12.75" x14ac:dyDescent="0.2">
      <c r="A7556" s="451"/>
      <c r="B7556" s="451"/>
      <c r="C7556" s="451"/>
      <c r="D7556" s="451"/>
      <c r="E7556" s="468"/>
      <c r="F7556" s="468"/>
    </row>
    <row r="7557" spans="1:6" ht="12.75" x14ac:dyDescent="0.2">
      <c r="A7557" s="451"/>
      <c r="B7557" s="451"/>
      <c r="C7557" s="451"/>
      <c r="D7557" s="451"/>
      <c r="E7557" s="468"/>
      <c r="F7557" s="468"/>
    </row>
    <row r="7558" spans="1:6" ht="12.75" x14ac:dyDescent="0.2">
      <c r="A7558" s="451"/>
      <c r="B7558" s="451"/>
      <c r="C7558" s="451"/>
      <c r="D7558" s="451"/>
      <c r="E7558" s="468"/>
      <c r="F7558" s="468"/>
    </row>
    <row r="7559" spans="1:6" ht="12.75" x14ac:dyDescent="0.2">
      <c r="A7559" s="451"/>
      <c r="B7559" s="451"/>
      <c r="C7559" s="451"/>
      <c r="D7559" s="451"/>
      <c r="E7559" s="468"/>
      <c r="F7559" s="468"/>
    </row>
    <row r="7560" spans="1:6" ht="12.75" x14ac:dyDescent="0.2">
      <c r="A7560" s="451"/>
      <c r="B7560" s="451"/>
      <c r="C7560" s="451"/>
      <c r="D7560" s="451"/>
      <c r="E7560" s="468"/>
      <c r="F7560" s="468"/>
    </row>
    <row r="7561" spans="1:6" ht="12.75" x14ac:dyDescent="0.2">
      <c r="A7561" s="451"/>
      <c r="B7561" s="451"/>
      <c r="C7561" s="451"/>
      <c r="D7561" s="451"/>
      <c r="E7561" s="468"/>
      <c r="F7561" s="468"/>
    </row>
    <row r="7562" spans="1:6" ht="12.75" x14ac:dyDescent="0.2">
      <c r="A7562" s="451"/>
      <c r="B7562" s="451"/>
      <c r="C7562" s="451"/>
      <c r="D7562" s="451"/>
      <c r="E7562" s="468"/>
      <c r="F7562" s="468"/>
    </row>
    <row r="7563" spans="1:6" ht="12.75" x14ac:dyDescent="0.2">
      <c r="A7563" s="451"/>
      <c r="B7563" s="451"/>
      <c r="C7563" s="451"/>
      <c r="D7563" s="451"/>
      <c r="E7563" s="468"/>
      <c r="F7563" s="468"/>
    </row>
    <row r="7564" spans="1:6" ht="12.75" x14ac:dyDescent="0.2">
      <c r="A7564" s="451"/>
      <c r="B7564" s="451"/>
      <c r="C7564" s="451"/>
      <c r="D7564" s="451"/>
      <c r="E7564" s="468"/>
      <c r="F7564" s="468"/>
    </row>
    <row r="7565" spans="1:6" ht="12.75" x14ac:dyDescent="0.2">
      <c r="A7565" s="451"/>
      <c r="B7565" s="451"/>
      <c r="C7565" s="451"/>
      <c r="D7565" s="451"/>
      <c r="E7565" s="468"/>
      <c r="F7565" s="468"/>
    </row>
    <row r="7566" spans="1:6" ht="12.75" x14ac:dyDescent="0.2">
      <c r="A7566" s="451"/>
      <c r="B7566" s="451"/>
      <c r="C7566" s="451"/>
      <c r="D7566" s="451"/>
      <c r="E7566" s="468"/>
      <c r="F7566" s="468"/>
    </row>
    <row r="7567" spans="1:6" ht="12.75" x14ac:dyDescent="0.2">
      <c r="A7567" s="451"/>
      <c r="B7567" s="451"/>
      <c r="C7567" s="451"/>
      <c r="D7567" s="451"/>
      <c r="E7567" s="468"/>
      <c r="F7567" s="468"/>
    </row>
    <row r="7568" spans="1:6" ht="12.75" x14ac:dyDescent="0.2">
      <c r="A7568" s="451"/>
      <c r="B7568" s="451"/>
      <c r="C7568" s="451"/>
      <c r="D7568" s="451"/>
      <c r="E7568" s="468"/>
      <c r="F7568" s="468"/>
    </row>
    <row r="7569" spans="1:6" ht="12.75" x14ac:dyDescent="0.2">
      <c r="A7569" s="451"/>
      <c r="B7569" s="451"/>
      <c r="C7569" s="451"/>
      <c r="D7569" s="451"/>
      <c r="E7569" s="468"/>
      <c r="F7569" s="468"/>
    </row>
    <row r="7570" spans="1:6" ht="12.75" x14ac:dyDescent="0.2">
      <c r="A7570" s="451"/>
      <c r="B7570" s="451"/>
      <c r="C7570" s="451"/>
      <c r="D7570" s="451"/>
      <c r="E7570" s="468"/>
      <c r="F7570" s="468"/>
    </row>
    <row r="7571" spans="1:6" ht="12.75" x14ac:dyDescent="0.2">
      <c r="A7571" s="451"/>
      <c r="B7571" s="451"/>
      <c r="C7571" s="451"/>
      <c r="D7571" s="451"/>
      <c r="E7571" s="468"/>
      <c r="F7571" s="468"/>
    </row>
    <row r="7572" spans="1:6" ht="12.75" x14ac:dyDescent="0.2">
      <c r="A7572" s="451"/>
      <c r="B7572" s="451"/>
      <c r="C7572" s="451"/>
      <c r="D7572" s="451"/>
      <c r="E7572" s="468"/>
      <c r="F7572" s="468"/>
    </row>
    <row r="7573" spans="1:6" ht="12.75" x14ac:dyDescent="0.2">
      <c r="A7573" s="451"/>
      <c r="B7573" s="451"/>
      <c r="C7573" s="451"/>
      <c r="D7573" s="451"/>
      <c r="E7573" s="468"/>
      <c r="F7573" s="468"/>
    </row>
    <row r="7574" spans="1:6" ht="12.75" x14ac:dyDescent="0.2">
      <c r="A7574" s="451"/>
      <c r="B7574" s="451"/>
      <c r="C7574" s="451"/>
      <c r="D7574" s="451"/>
      <c r="E7574" s="468"/>
      <c r="F7574" s="468"/>
    </row>
    <row r="7575" spans="1:6" ht="12.75" x14ac:dyDescent="0.2">
      <c r="A7575" s="451"/>
      <c r="B7575" s="451"/>
      <c r="C7575" s="451"/>
      <c r="D7575" s="451"/>
      <c r="E7575" s="468"/>
      <c r="F7575" s="468"/>
    </row>
    <row r="7576" spans="1:6" ht="12.75" x14ac:dyDescent="0.2">
      <c r="A7576" s="451"/>
      <c r="B7576" s="451"/>
      <c r="C7576" s="451"/>
      <c r="D7576" s="451"/>
      <c r="E7576" s="468"/>
      <c r="F7576" s="468"/>
    </row>
    <row r="7577" spans="1:6" ht="12.75" x14ac:dyDescent="0.2">
      <c r="A7577" s="451"/>
      <c r="B7577" s="451"/>
      <c r="C7577" s="451"/>
      <c r="D7577" s="451"/>
      <c r="E7577" s="468"/>
      <c r="F7577" s="468"/>
    </row>
    <row r="7578" spans="1:6" ht="12.75" x14ac:dyDescent="0.2">
      <c r="A7578" s="451"/>
      <c r="B7578" s="451"/>
      <c r="C7578" s="451"/>
      <c r="D7578" s="451"/>
      <c r="E7578" s="468"/>
      <c r="F7578" s="468"/>
    </row>
    <row r="7579" spans="1:6" ht="12.75" x14ac:dyDescent="0.2">
      <c r="A7579" s="451"/>
      <c r="B7579" s="451"/>
      <c r="C7579" s="451"/>
      <c r="D7579" s="451"/>
      <c r="E7579" s="468"/>
      <c r="F7579" s="468"/>
    </row>
    <row r="7580" spans="1:6" ht="12.75" x14ac:dyDescent="0.2">
      <c r="A7580" s="451"/>
      <c r="B7580" s="451"/>
      <c r="C7580" s="451"/>
      <c r="D7580" s="451"/>
      <c r="E7580" s="468"/>
      <c r="F7580" s="468"/>
    </row>
    <row r="7581" spans="1:6" ht="12.75" x14ac:dyDescent="0.2">
      <c r="A7581" s="451"/>
      <c r="B7581" s="451"/>
      <c r="C7581" s="451"/>
      <c r="D7581" s="451"/>
      <c r="E7581" s="468"/>
      <c r="F7581" s="468"/>
    </row>
    <row r="7582" spans="1:6" ht="12.75" x14ac:dyDescent="0.2">
      <c r="A7582" s="451"/>
      <c r="B7582" s="451"/>
      <c r="C7582" s="451"/>
      <c r="D7582" s="451"/>
      <c r="E7582" s="468"/>
      <c r="F7582" s="468"/>
    </row>
    <row r="7583" spans="1:6" ht="12.75" x14ac:dyDescent="0.2">
      <c r="A7583" s="451"/>
      <c r="B7583" s="451"/>
      <c r="C7583" s="451"/>
      <c r="D7583" s="451"/>
      <c r="E7583" s="468"/>
      <c r="F7583" s="468"/>
    </row>
    <row r="7584" spans="1:6" ht="12.75" x14ac:dyDescent="0.2">
      <c r="A7584" s="451"/>
      <c r="B7584" s="451"/>
      <c r="C7584" s="451"/>
      <c r="D7584" s="451"/>
      <c r="E7584" s="468"/>
      <c r="F7584" s="468"/>
    </row>
    <row r="7585" spans="1:6" ht="12.75" x14ac:dyDescent="0.2">
      <c r="A7585" s="451"/>
      <c r="B7585" s="451"/>
      <c r="C7585" s="451"/>
      <c r="D7585" s="451"/>
      <c r="E7585" s="468"/>
      <c r="F7585" s="468"/>
    </row>
    <row r="7586" spans="1:6" ht="12.75" x14ac:dyDescent="0.2">
      <c r="A7586" s="451"/>
      <c r="B7586" s="451"/>
      <c r="C7586" s="451"/>
      <c r="D7586" s="451"/>
      <c r="E7586" s="468"/>
      <c r="F7586" s="468"/>
    </row>
    <row r="7587" spans="1:6" ht="12.75" x14ac:dyDescent="0.2">
      <c r="A7587" s="451"/>
      <c r="B7587" s="451"/>
      <c r="C7587" s="451"/>
      <c r="D7587" s="451"/>
      <c r="E7587" s="468"/>
      <c r="F7587" s="468"/>
    </row>
    <row r="7588" spans="1:6" ht="12.75" x14ac:dyDescent="0.2">
      <c r="A7588" s="451"/>
      <c r="B7588" s="451"/>
      <c r="C7588" s="451"/>
      <c r="D7588" s="451"/>
      <c r="E7588" s="468"/>
      <c r="F7588" s="468"/>
    </row>
    <row r="7589" spans="1:6" ht="12.75" x14ac:dyDescent="0.2">
      <c r="A7589" s="451"/>
      <c r="B7589" s="451"/>
      <c r="C7589" s="451"/>
      <c r="D7589" s="451"/>
      <c r="E7589" s="468"/>
      <c r="F7589" s="468"/>
    </row>
    <row r="7590" spans="1:6" ht="12.75" x14ac:dyDescent="0.2">
      <c r="A7590" s="451"/>
      <c r="B7590" s="451"/>
      <c r="C7590" s="451"/>
      <c r="D7590" s="451"/>
      <c r="E7590" s="468"/>
      <c r="F7590" s="468"/>
    </row>
    <row r="7591" spans="1:6" ht="12.75" x14ac:dyDescent="0.2">
      <c r="A7591" s="451"/>
      <c r="B7591" s="451"/>
      <c r="C7591" s="451"/>
      <c r="D7591" s="451"/>
      <c r="E7591" s="468"/>
      <c r="F7591" s="468"/>
    </row>
    <row r="7592" spans="1:6" ht="12.75" x14ac:dyDescent="0.2">
      <c r="A7592" s="451"/>
      <c r="B7592" s="451"/>
      <c r="C7592" s="451"/>
      <c r="D7592" s="451"/>
      <c r="E7592" s="468"/>
      <c r="F7592" s="468"/>
    </row>
    <row r="7593" spans="1:6" ht="12.75" x14ac:dyDescent="0.2">
      <c r="A7593" s="451"/>
      <c r="B7593" s="451"/>
      <c r="C7593" s="451"/>
      <c r="D7593" s="451"/>
      <c r="E7593" s="468"/>
      <c r="F7593" s="468"/>
    </row>
    <row r="7594" spans="1:6" ht="12.75" x14ac:dyDescent="0.2">
      <c r="A7594" s="451"/>
      <c r="B7594" s="451"/>
      <c r="C7594" s="451"/>
      <c r="D7594" s="451"/>
      <c r="E7594" s="468"/>
      <c r="F7594" s="468"/>
    </row>
    <row r="7595" spans="1:6" ht="12.75" x14ac:dyDescent="0.2">
      <c r="A7595" s="451"/>
      <c r="B7595" s="451"/>
      <c r="C7595" s="451"/>
      <c r="D7595" s="451"/>
      <c r="E7595" s="468"/>
      <c r="F7595" s="468"/>
    </row>
    <row r="7596" spans="1:6" ht="12.75" x14ac:dyDescent="0.2">
      <c r="A7596" s="451"/>
      <c r="B7596" s="451"/>
      <c r="C7596" s="451"/>
      <c r="D7596" s="451"/>
      <c r="E7596" s="468"/>
      <c r="F7596" s="468"/>
    </row>
    <row r="7597" spans="1:6" ht="12.75" x14ac:dyDescent="0.2">
      <c r="A7597" s="451"/>
      <c r="B7597" s="451"/>
      <c r="C7597" s="451"/>
      <c r="D7597" s="451"/>
      <c r="E7597" s="468"/>
      <c r="F7597" s="468"/>
    </row>
    <row r="7598" spans="1:6" ht="12.75" x14ac:dyDescent="0.2">
      <c r="A7598" s="451"/>
      <c r="B7598" s="451"/>
      <c r="C7598" s="451"/>
      <c r="D7598" s="451"/>
      <c r="E7598" s="468"/>
      <c r="F7598" s="468"/>
    </row>
    <row r="7599" spans="1:6" ht="12.75" x14ac:dyDescent="0.2">
      <c r="A7599" s="451"/>
      <c r="B7599" s="451"/>
      <c r="C7599" s="451"/>
      <c r="D7599" s="451"/>
      <c r="E7599" s="468"/>
      <c r="F7599" s="468"/>
    </row>
    <row r="7600" spans="1:6" ht="12.75" x14ac:dyDescent="0.2">
      <c r="A7600" s="451"/>
      <c r="B7600" s="451"/>
      <c r="C7600" s="451"/>
      <c r="D7600" s="451"/>
      <c r="E7600" s="468"/>
      <c r="F7600" s="468"/>
    </row>
    <row r="7601" spans="1:6" ht="12.75" x14ac:dyDescent="0.2">
      <c r="A7601" s="451"/>
      <c r="B7601" s="451"/>
      <c r="C7601" s="451"/>
      <c r="D7601" s="451"/>
      <c r="E7601" s="468"/>
      <c r="F7601" s="468"/>
    </row>
    <row r="7602" spans="1:6" ht="12.75" x14ac:dyDescent="0.2">
      <c r="A7602" s="451"/>
      <c r="B7602" s="451"/>
      <c r="C7602" s="451"/>
      <c r="D7602" s="451"/>
      <c r="E7602" s="468"/>
      <c r="F7602" s="468"/>
    </row>
    <row r="7603" spans="1:6" ht="12.75" x14ac:dyDescent="0.2">
      <c r="A7603" s="451"/>
      <c r="B7603" s="451"/>
      <c r="C7603" s="451"/>
      <c r="D7603" s="451"/>
      <c r="E7603" s="468"/>
      <c r="F7603" s="468"/>
    </row>
    <row r="7604" spans="1:6" ht="12.75" x14ac:dyDescent="0.2">
      <c r="A7604" s="451"/>
      <c r="B7604" s="451"/>
      <c r="C7604" s="451"/>
      <c r="D7604" s="451"/>
      <c r="E7604" s="468"/>
      <c r="F7604" s="468"/>
    </row>
    <row r="7605" spans="1:6" ht="12.75" x14ac:dyDescent="0.2">
      <c r="A7605" s="451"/>
      <c r="B7605" s="451"/>
      <c r="C7605" s="451"/>
      <c r="D7605" s="451"/>
      <c r="E7605" s="468"/>
      <c r="F7605" s="468"/>
    </row>
    <row r="7606" spans="1:6" ht="12.75" x14ac:dyDescent="0.2">
      <c r="A7606" s="451"/>
      <c r="B7606" s="451"/>
      <c r="C7606" s="451"/>
      <c r="D7606" s="451"/>
      <c r="E7606" s="468"/>
      <c r="F7606" s="468"/>
    </row>
    <row r="7607" spans="1:6" ht="12.75" x14ac:dyDescent="0.2">
      <c r="A7607" s="451"/>
      <c r="B7607" s="451"/>
      <c r="C7607" s="451"/>
      <c r="D7607" s="451"/>
      <c r="E7607" s="468"/>
      <c r="F7607" s="468"/>
    </row>
    <row r="7608" spans="1:6" ht="12.75" x14ac:dyDescent="0.2">
      <c r="A7608" s="451"/>
      <c r="B7608" s="451"/>
      <c r="C7608" s="451"/>
      <c r="D7608" s="451"/>
      <c r="E7608" s="468"/>
      <c r="F7608" s="468"/>
    </row>
    <row r="7609" spans="1:6" ht="12.75" x14ac:dyDescent="0.2">
      <c r="A7609" s="451"/>
      <c r="B7609" s="451"/>
      <c r="C7609" s="451"/>
      <c r="D7609" s="451"/>
      <c r="E7609" s="468"/>
      <c r="F7609" s="468"/>
    </row>
    <row r="7610" spans="1:6" ht="12.75" x14ac:dyDescent="0.2">
      <c r="A7610" s="451"/>
      <c r="B7610" s="451"/>
      <c r="C7610" s="451"/>
      <c r="D7610" s="451"/>
      <c r="E7610" s="468"/>
      <c r="F7610" s="468"/>
    </row>
    <row r="7611" spans="1:6" ht="12.75" x14ac:dyDescent="0.2">
      <c r="A7611" s="451"/>
      <c r="B7611" s="451"/>
      <c r="C7611" s="451"/>
      <c r="D7611" s="451"/>
      <c r="E7611" s="468"/>
      <c r="F7611" s="468"/>
    </row>
    <row r="7612" spans="1:6" ht="12.75" x14ac:dyDescent="0.2">
      <c r="A7612" s="451"/>
      <c r="B7612" s="451"/>
      <c r="C7612" s="451"/>
      <c r="D7612" s="451"/>
      <c r="E7612" s="468"/>
      <c r="F7612" s="468"/>
    </row>
    <row r="7613" spans="1:6" ht="12.75" x14ac:dyDescent="0.2">
      <c r="A7613" s="451"/>
      <c r="B7613" s="451"/>
      <c r="C7613" s="451"/>
      <c r="D7613" s="451"/>
      <c r="E7613" s="468"/>
      <c r="F7613" s="468"/>
    </row>
    <row r="7614" spans="1:6" ht="12.75" x14ac:dyDescent="0.2">
      <c r="A7614" s="451"/>
      <c r="B7614" s="451"/>
      <c r="C7614" s="451"/>
      <c r="D7614" s="451"/>
      <c r="E7614" s="468"/>
      <c r="F7614" s="468"/>
    </row>
    <row r="7615" spans="1:6" ht="12.75" x14ac:dyDescent="0.2">
      <c r="A7615" s="451"/>
      <c r="B7615" s="451"/>
      <c r="C7615" s="451"/>
      <c r="D7615" s="451"/>
      <c r="E7615" s="468"/>
      <c r="F7615" s="468"/>
    </row>
    <row r="7616" spans="1:6" ht="12.75" x14ac:dyDescent="0.2">
      <c r="A7616" s="451"/>
      <c r="B7616" s="451"/>
      <c r="C7616" s="451"/>
      <c r="D7616" s="451"/>
      <c r="E7616" s="468"/>
      <c r="F7616" s="468"/>
    </row>
    <row r="7617" spans="1:6" ht="12.75" x14ac:dyDescent="0.2">
      <c r="A7617" s="451"/>
      <c r="B7617" s="451"/>
      <c r="C7617" s="451"/>
      <c r="D7617" s="451"/>
      <c r="E7617" s="468"/>
      <c r="F7617" s="468"/>
    </row>
    <row r="7618" spans="1:6" ht="12.75" x14ac:dyDescent="0.2">
      <c r="A7618" s="451"/>
      <c r="B7618" s="451"/>
      <c r="C7618" s="451"/>
      <c r="D7618" s="451"/>
      <c r="E7618" s="468"/>
      <c r="F7618" s="468"/>
    </row>
    <row r="7619" spans="1:6" ht="12.75" x14ac:dyDescent="0.2">
      <c r="A7619" s="451"/>
      <c r="B7619" s="451"/>
      <c r="C7619" s="451"/>
      <c r="D7619" s="451"/>
      <c r="E7619" s="468"/>
      <c r="F7619" s="468"/>
    </row>
    <row r="7620" spans="1:6" ht="12.75" x14ac:dyDescent="0.2">
      <c r="A7620" s="451"/>
      <c r="B7620" s="451"/>
      <c r="C7620" s="451"/>
      <c r="D7620" s="451"/>
      <c r="E7620" s="468"/>
      <c r="F7620" s="468"/>
    </row>
    <row r="7621" spans="1:6" ht="12.75" x14ac:dyDescent="0.2">
      <c r="A7621" s="451"/>
      <c r="B7621" s="451"/>
      <c r="C7621" s="451"/>
      <c r="D7621" s="451"/>
      <c r="E7621" s="468"/>
      <c r="F7621" s="468"/>
    </row>
    <row r="7622" spans="1:6" ht="12.75" x14ac:dyDescent="0.2">
      <c r="A7622" s="451"/>
      <c r="B7622" s="451"/>
      <c r="C7622" s="451"/>
      <c r="D7622" s="451"/>
      <c r="E7622" s="468"/>
      <c r="F7622" s="468"/>
    </row>
    <row r="7623" spans="1:6" ht="12.75" x14ac:dyDescent="0.2">
      <c r="A7623" s="451"/>
      <c r="B7623" s="451"/>
      <c r="C7623" s="451"/>
      <c r="D7623" s="451"/>
      <c r="E7623" s="468"/>
      <c r="F7623" s="468"/>
    </row>
    <row r="7624" spans="1:6" ht="12.75" x14ac:dyDescent="0.2">
      <c r="A7624" s="451"/>
      <c r="B7624" s="451"/>
      <c r="C7624" s="451"/>
      <c r="D7624" s="451"/>
      <c r="E7624" s="468"/>
      <c r="F7624" s="468"/>
    </row>
    <row r="7625" spans="1:6" ht="12.75" x14ac:dyDescent="0.2">
      <c r="A7625" s="451"/>
      <c r="B7625" s="451"/>
      <c r="C7625" s="451"/>
      <c r="D7625" s="451"/>
      <c r="E7625" s="468"/>
      <c r="F7625" s="468"/>
    </row>
    <row r="7626" spans="1:6" ht="12.75" x14ac:dyDescent="0.2">
      <c r="A7626" s="451"/>
      <c r="B7626" s="451"/>
      <c r="C7626" s="451"/>
      <c r="D7626" s="451"/>
      <c r="E7626" s="468"/>
      <c r="F7626" s="468"/>
    </row>
    <row r="7627" spans="1:6" ht="12.75" x14ac:dyDescent="0.2">
      <c r="A7627" s="451"/>
      <c r="B7627" s="451"/>
      <c r="C7627" s="451"/>
      <c r="D7627" s="451"/>
      <c r="E7627" s="468"/>
      <c r="F7627" s="468"/>
    </row>
    <row r="7628" spans="1:6" ht="12.75" x14ac:dyDescent="0.2">
      <c r="A7628" s="451"/>
      <c r="B7628" s="451"/>
      <c r="C7628" s="451"/>
      <c r="D7628" s="451"/>
      <c r="E7628" s="468"/>
      <c r="F7628" s="468"/>
    </row>
    <row r="7629" spans="1:6" ht="12.75" x14ac:dyDescent="0.2">
      <c r="A7629" s="451"/>
      <c r="B7629" s="451"/>
      <c r="C7629" s="451"/>
      <c r="D7629" s="451"/>
      <c r="E7629" s="468"/>
      <c r="F7629" s="468"/>
    </row>
    <row r="7630" spans="1:6" ht="12.75" x14ac:dyDescent="0.2">
      <c r="A7630" s="451"/>
      <c r="B7630" s="451"/>
      <c r="C7630" s="451"/>
      <c r="D7630" s="451"/>
      <c r="E7630" s="468"/>
      <c r="F7630" s="468"/>
    </row>
    <row r="7631" spans="1:6" ht="12.75" x14ac:dyDescent="0.2">
      <c r="A7631" s="451"/>
      <c r="B7631" s="451"/>
      <c r="C7631" s="451"/>
      <c r="D7631" s="451"/>
      <c r="E7631" s="468"/>
      <c r="F7631" s="468"/>
    </row>
    <row r="7632" spans="1:6" ht="12.75" x14ac:dyDescent="0.2">
      <c r="A7632" s="451"/>
      <c r="B7632" s="451"/>
      <c r="C7632" s="451"/>
      <c r="D7632" s="451"/>
      <c r="E7632" s="468"/>
      <c r="F7632" s="468"/>
    </row>
    <row r="7633" spans="1:6" ht="12.75" x14ac:dyDescent="0.2">
      <c r="A7633" s="451"/>
      <c r="B7633" s="451"/>
      <c r="C7633" s="451"/>
      <c r="D7633" s="451"/>
      <c r="E7633" s="468"/>
      <c r="F7633" s="468"/>
    </row>
    <row r="7634" spans="1:6" ht="12.75" x14ac:dyDescent="0.2">
      <c r="A7634" s="451"/>
      <c r="B7634" s="451"/>
      <c r="C7634" s="451"/>
      <c r="D7634" s="451"/>
      <c r="E7634" s="468"/>
      <c r="F7634" s="468"/>
    </row>
    <row r="7635" spans="1:6" ht="12.75" x14ac:dyDescent="0.2">
      <c r="A7635" s="451"/>
      <c r="B7635" s="451"/>
      <c r="C7635" s="451"/>
      <c r="D7635" s="451"/>
      <c r="E7635" s="468"/>
      <c r="F7635" s="468"/>
    </row>
    <row r="7636" spans="1:6" ht="12.75" x14ac:dyDescent="0.2">
      <c r="A7636" s="451"/>
      <c r="B7636" s="451"/>
      <c r="C7636" s="451"/>
      <c r="D7636" s="451"/>
      <c r="E7636" s="468"/>
      <c r="F7636" s="468"/>
    </row>
    <row r="7637" spans="1:6" ht="12.75" x14ac:dyDescent="0.2">
      <c r="A7637" s="451"/>
      <c r="B7637" s="451"/>
      <c r="C7637" s="451"/>
      <c r="D7637" s="451"/>
      <c r="E7637" s="468"/>
      <c r="F7637" s="468"/>
    </row>
    <row r="7638" spans="1:6" ht="12.75" x14ac:dyDescent="0.2">
      <c r="A7638" s="451"/>
      <c r="B7638" s="451"/>
      <c r="C7638" s="451"/>
      <c r="D7638" s="451"/>
      <c r="E7638" s="468"/>
      <c r="F7638" s="468"/>
    </row>
    <row r="7639" spans="1:6" ht="12.75" x14ac:dyDescent="0.2">
      <c r="A7639" s="451"/>
      <c r="B7639" s="451"/>
      <c r="C7639" s="451"/>
      <c r="D7639" s="451"/>
      <c r="E7639" s="468"/>
      <c r="F7639" s="468"/>
    </row>
    <row r="7640" spans="1:6" ht="12.75" x14ac:dyDescent="0.2">
      <c r="A7640" s="451"/>
      <c r="B7640" s="451"/>
      <c r="C7640" s="451"/>
      <c r="D7640" s="451"/>
      <c r="E7640" s="468"/>
      <c r="F7640" s="468"/>
    </row>
    <row r="7641" spans="1:6" ht="12.75" x14ac:dyDescent="0.2">
      <c r="A7641" s="451"/>
      <c r="B7641" s="451"/>
      <c r="C7641" s="451"/>
      <c r="D7641" s="451"/>
      <c r="E7641" s="468"/>
      <c r="F7641" s="468"/>
    </row>
    <row r="7642" spans="1:6" ht="12.75" x14ac:dyDescent="0.2">
      <c r="A7642" s="451"/>
      <c r="B7642" s="451"/>
      <c r="C7642" s="451"/>
      <c r="D7642" s="451"/>
      <c r="E7642" s="468"/>
      <c r="F7642" s="468"/>
    </row>
    <row r="7643" spans="1:6" ht="12.75" x14ac:dyDescent="0.2">
      <c r="A7643" s="451"/>
      <c r="B7643" s="451"/>
      <c r="C7643" s="451"/>
      <c r="D7643" s="451"/>
      <c r="E7643" s="468"/>
      <c r="F7643" s="468"/>
    </row>
    <row r="7644" spans="1:6" ht="12.75" x14ac:dyDescent="0.2">
      <c r="A7644" s="451"/>
      <c r="B7644" s="451"/>
      <c r="C7644" s="451"/>
      <c r="D7644" s="451"/>
      <c r="E7644" s="468"/>
      <c r="F7644" s="468"/>
    </row>
    <row r="7645" spans="1:6" ht="12.75" x14ac:dyDescent="0.2">
      <c r="A7645" s="451"/>
      <c r="B7645" s="451"/>
      <c r="C7645" s="451"/>
      <c r="D7645" s="451"/>
      <c r="E7645" s="468"/>
      <c r="F7645" s="468"/>
    </row>
    <row r="7646" spans="1:6" ht="12.75" x14ac:dyDescent="0.2">
      <c r="A7646" s="451"/>
      <c r="B7646" s="451"/>
      <c r="C7646" s="451"/>
      <c r="D7646" s="451"/>
      <c r="E7646" s="468"/>
      <c r="F7646" s="468"/>
    </row>
    <row r="7647" spans="1:6" ht="12.75" x14ac:dyDescent="0.2">
      <c r="A7647" s="451"/>
      <c r="B7647" s="451"/>
      <c r="C7647" s="451"/>
      <c r="D7647" s="451"/>
      <c r="E7647" s="468"/>
      <c r="F7647" s="468"/>
    </row>
    <row r="7648" spans="1:6" ht="12.75" x14ac:dyDescent="0.2">
      <c r="A7648" s="451"/>
      <c r="B7648" s="451"/>
      <c r="C7648" s="451"/>
      <c r="D7648" s="451"/>
      <c r="E7648" s="468"/>
      <c r="F7648" s="468"/>
    </row>
    <row r="7649" spans="1:6" ht="12.75" x14ac:dyDescent="0.2">
      <c r="A7649" s="451"/>
      <c r="B7649" s="451"/>
      <c r="C7649" s="451"/>
      <c r="D7649" s="451"/>
      <c r="E7649" s="468"/>
      <c r="F7649" s="468"/>
    </row>
    <row r="7650" spans="1:6" ht="12.75" x14ac:dyDescent="0.2">
      <c r="A7650" s="451"/>
      <c r="B7650" s="451"/>
      <c r="C7650" s="451"/>
      <c r="D7650" s="451"/>
      <c r="E7650" s="468"/>
      <c r="F7650" s="468"/>
    </row>
    <row r="7651" spans="1:6" ht="12.75" x14ac:dyDescent="0.2">
      <c r="A7651" s="451"/>
      <c r="B7651" s="451"/>
      <c r="C7651" s="451"/>
      <c r="D7651" s="451"/>
      <c r="E7651" s="468"/>
      <c r="F7651" s="468"/>
    </row>
    <row r="7652" spans="1:6" ht="12.75" x14ac:dyDescent="0.2">
      <c r="A7652" s="451"/>
      <c r="B7652" s="451"/>
      <c r="C7652" s="451"/>
      <c r="D7652" s="451"/>
      <c r="E7652" s="468"/>
      <c r="F7652" s="468"/>
    </row>
    <row r="7653" spans="1:6" ht="12.75" x14ac:dyDescent="0.2">
      <c r="A7653" s="451"/>
      <c r="B7653" s="451"/>
      <c r="C7653" s="451"/>
      <c r="D7653" s="451"/>
      <c r="E7653" s="468"/>
      <c r="F7653" s="468"/>
    </row>
    <row r="7654" spans="1:6" ht="12.75" x14ac:dyDescent="0.2">
      <c r="A7654" s="451"/>
      <c r="B7654" s="451"/>
      <c r="C7654" s="451"/>
      <c r="D7654" s="451"/>
      <c r="E7654" s="468"/>
      <c r="F7654" s="468"/>
    </row>
    <row r="7655" spans="1:6" ht="12.75" x14ac:dyDescent="0.2">
      <c r="A7655" s="451"/>
      <c r="B7655" s="451"/>
      <c r="C7655" s="451"/>
      <c r="D7655" s="451"/>
      <c r="E7655" s="468"/>
      <c r="F7655" s="468"/>
    </row>
    <row r="7656" spans="1:6" ht="12.75" x14ac:dyDescent="0.2">
      <c r="A7656" s="451"/>
      <c r="B7656" s="451"/>
      <c r="C7656" s="451"/>
      <c r="D7656" s="451"/>
      <c r="E7656" s="468"/>
      <c r="F7656" s="468"/>
    </row>
    <row r="7657" spans="1:6" ht="12.75" x14ac:dyDescent="0.2">
      <c r="A7657" s="451"/>
      <c r="B7657" s="451"/>
      <c r="C7657" s="451"/>
      <c r="D7657" s="451"/>
      <c r="E7657" s="468"/>
      <c r="F7657" s="468"/>
    </row>
    <row r="7658" spans="1:6" ht="12.75" x14ac:dyDescent="0.2">
      <c r="A7658" s="451"/>
      <c r="B7658" s="451"/>
      <c r="C7658" s="451"/>
      <c r="D7658" s="451"/>
      <c r="E7658" s="468"/>
      <c r="F7658" s="468"/>
    </row>
    <row r="7659" spans="1:6" ht="12.75" x14ac:dyDescent="0.2">
      <c r="A7659" s="451"/>
      <c r="B7659" s="451"/>
      <c r="C7659" s="451"/>
      <c r="D7659" s="451"/>
      <c r="E7659" s="468"/>
      <c r="F7659" s="468"/>
    </row>
    <row r="7660" spans="1:6" ht="12.75" x14ac:dyDescent="0.2">
      <c r="A7660" s="451"/>
      <c r="B7660" s="451"/>
      <c r="C7660" s="451"/>
      <c r="D7660" s="451"/>
      <c r="E7660" s="468"/>
      <c r="F7660" s="468"/>
    </row>
    <row r="7661" spans="1:6" ht="12.75" x14ac:dyDescent="0.2">
      <c r="A7661" s="451"/>
      <c r="B7661" s="451"/>
      <c r="C7661" s="451"/>
      <c r="D7661" s="451"/>
      <c r="E7661" s="468"/>
      <c r="F7661" s="468"/>
    </row>
    <row r="7662" spans="1:6" ht="12.75" x14ac:dyDescent="0.2">
      <c r="A7662" s="451"/>
      <c r="B7662" s="451"/>
      <c r="C7662" s="451"/>
      <c r="D7662" s="451"/>
      <c r="E7662" s="468"/>
      <c r="F7662" s="468"/>
    </row>
    <row r="7663" spans="1:6" ht="12.75" x14ac:dyDescent="0.2">
      <c r="A7663" s="451"/>
      <c r="B7663" s="451"/>
      <c r="C7663" s="451"/>
      <c r="D7663" s="451"/>
      <c r="E7663" s="468"/>
      <c r="F7663" s="468"/>
    </row>
    <row r="7664" spans="1:6" ht="12.75" x14ac:dyDescent="0.2">
      <c r="A7664" s="451"/>
      <c r="B7664" s="451"/>
      <c r="C7664" s="451"/>
      <c r="D7664" s="451"/>
      <c r="E7664" s="468"/>
      <c r="F7664" s="468"/>
    </row>
    <row r="7665" spans="1:6" ht="12.75" x14ac:dyDescent="0.2">
      <c r="A7665" s="451"/>
      <c r="B7665" s="451"/>
      <c r="C7665" s="451"/>
      <c r="D7665" s="451"/>
      <c r="E7665" s="468"/>
      <c r="F7665" s="468"/>
    </row>
    <row r="7666" spans="1:6" ht="12.75" x14ac:dyDescent="0.2">
      <c r="A7666" s="451"/>
      <c r="B7666" s="451"/>
      <c r="C7666" s="451"/>
      <c r="D7666" s="451"/>
      <c r="E7666" s="468"/>
      <c r="F7666" s="468"/>
    </row>
    <row r="7667" spans="1:6" ht="12.75" x14ac:dyDescent="0.2">
      <c r="A7667" s="451"/>
      <c r="B7667" s="451"/>
      <c r="C7667" s="451"/>
      <c r="D7667" s="451"/>
      <c r="E7667" s="468"/>
      <c r="F7667" s="468"/>
    </row>
    <row r="7668" spans="1:6" ht="12.75" x14ac:dyDescent="0.2">
      <c r="A7668" s="451"/>
      <c r="B7668" s="451"/>
      <c r="C7668" s="451"/>
      <c r="D7668" s="451"/>
      <c r="E7668" s="468"/>
      <c r="F7668" s="468"/>
    </row>
    <row r="7669" spans="1:6" ht="12.75" x14ac:dyDescent="0.2">
      <c r="A7669" s="451"/>
      <c r="B7669" s="451"/>
      <c r="C7669" s="451"/>
      <c r="D7669" s="451"/>
      <c r="E7669" s="468"/>
      <c r="F7669" s="468"/>
    </row>
    <row r="7670" spans="1:6" ht="12.75" x14ac:dyDescent="0.2">
      <c r="A7670" s="451"/>
      <c r="B7670" s="451"/>
      <c r="C7670" s="451"/>
      <c r="D7670" s="451"/>
      <c r="E7670" s="468"/>
      <c r="F7670" s="468"/>
    </row>
    <row r="7671" spans="1:6" ht="12.75" x14ac:dyDescent="0.2">
      <c r="A7671" s="451"/>
      <c r="B7671" s="451"/>
      <c r="C7671" s="451"/>
      <c r="D7671" s="451"/>
      <c r="E7671" s="468"/>
      <c r="F7671" s="468"/>
    </row>
    <row r="7672" spans="1:6" ht="12.75" x14ac:dyDescent="0.2">
      <c r="A7672" s="451"/>
      <c r="B7672" s="451"/>
      <c r="C7672" s="451"/>
      <c r="D7672" s="451"/>
      <c r="E7672" s="468"/>
      <c r="F7672" s="468"/>
    </row>
    <row r="7673" spans="1:6" ht="12.75" x14ac:dyDescent="0.2">
      <c r="A7673" s="451"/>
      <c r="B7673" s="451"/>
      <c r="C7673" s="451"/>
      <c r="D7673" s="451"/>
      <c r="E7673" s="468"/>
      <c r="F7673" s="468"/>
    </row>
    <row r="7674" spans="1:6" ht="12.75" x14ac:dyDescent="0.2">
      <c r="A7674" s="451"/>
      <c r="B7674" s="451"/>
      <c r="C7674" s="451"/>
      <c r="D7674" s="451"/>
      <c r="E7674" s="468"/>
      <c r="F7674" s="468"/>
    </row>
    <row r="7675" spans="1:6" ht="12.75" x14ac:dyDescent="0.2">
      <c r="A7675" s="451"/>
      <c r="B7675" s="451"/>
      <c r="C7675" s="451"/>
      <c r="D7675" s="451"/>
      <c r="E7675" s="468"/>
      <c r="F7675" s="468"/>
    </row>
    <row r="7676" spans="1:6" ht="12.75" x14ac:dyDescent="0.2">
      <c r="A7676" s="451"/>
      <c r="B7676" s="451"/>
      <c r="C7676" s="451"/>
      <c r="D7676" s="451"/>
      <c r="E7676" s="468"/>
      <c r="F7676" s="468"/>
    </row>
    <row r="7677" spans="1:6" ht="12.75" x14ac:dyDescent="0.2">
      <c r="A7677" s="451"/>
      <c r="B7677" s="451"/>
      <c r="C7677" s="451"/>
      <c r="D7677" s="451"/>
      <c r="E7677" s="468"/>
      <c r="F7677" s="468"/>
    </row>
    <row r="7678" spans="1:6" ht="12.75" x14ac:dyDescent="0.2">
      <c r="A7678" s="451"/>
      <c r="B7678" s="451"/>
      <c r="C7678" s="451"/>
      <c r="D7678" s="451"/>
      <c r="E7678" s="468"/>
      <c r="F7678" s="468"/>
    </row>
    <row r="7679" spans="1:6" ht="12.75" x14ac:dyDescent="0.2">
      <c r="A7679" s="451"/>
      <c r="B7679" s="451"/>
      <c r="C7679" s="451"/>
      <c r="D7679" s="451"/>
      <c r="E7679" s="468"/>
      <c r="F7679" s="468"/>
    </row>
    <row r="7680" spans="1:6" ht="12.75" x14ac:dyDescent="0.2">
      <c r="A7680" s="451"/>
      <c r="B7680" s="451"/>
      <c r="C7680" s="451"/>
      <c r="D7680" s="451"/>
      <c r="E7680" s="468"/>
      <c r="F7680" s="468"/>
    </row>
    <row r="7681" spans="1:6" ht="12.75" x14ac:dyDescent="0.2">
      <c r="A7681" s="451"/>
      <c r="B7681" s="451"/>
      <c r="C7681" s="451"/>
      <c r="D7681" s="451"/>
      <c r="E7681" s="468"/>
      <c r="F7681" s="468"/>
    </row>
    <row r="7682" spans="1:6" ht="12.75" x14ac:dyDescent="0.2">
      <c r="A7682" s="451"/>
      <c r="B7682" s="451"/>
      <c r="C7682" s="451"/>
      <c r="D7682" s="451"/>
      <c r="E7682" s="468"/>
      <c r="F7682" s="468"/>
    </row>
    <row r="7683" spans="1:6" ht="12.75" x14ac:dyDescent="0.2">
      <c r="A7683" s="451"/>
      <c r="B7683" s="451"/>
      <c r="C7683" s="451"/>
      <c r="D7683" s="451"/>
      <c r="E7683" s="468"/>
      <c r="F7683" s="468"/>
    </row>
    <row r="7684" spans="1:6" ht="12.75" x14ac:dyDescent="0.2">
      <c r="A7684" s="451"/>
      <c r="B7684" s="451"/>
      <c r="C7684" s="451"/>
      <c r="D7684" s="451"/>
      <c r="E7684" s="468"/>
      <c r="F7684" s="468"/>
    </row>
    <row r="7685" spans="1:6" ht="12.75" x14ac:dyDescent="0.2">
      <c r="A7685" s="451"/>
      <c r="B7685" s="451"/>
      <c r="C7685" s="451"/>
      <c r="D7685" s="451"/>
      <c r="E7685" s="468"/>
      <c r="F7685" s="468"/>
    </row>
    <row r="7686" spans="1:6" ht="12.75" x14ac:dyDescent="0.2">
      <c r="A7686" s="451"/>
      <c r="B7686" s="451"/>
      <c r="C7686" s="451"/>
      <c r="D7686" s="451"/>
      <c r="E7686" s="468"/>
      <c r="F7686" s="468"/>
    </row>
    <row r="7687" spans="1:6" ht="12.75" x14ac:dyDescent="0.2">
      <c r="A7687" s="451"/>
      <c r="B7687" s="451"/>
      <c r="C7687" s="451"/>
      <c r="D7687" s="451"/>
      <c r="E7687" s="468"/>
      <c r="F7687" s="468"/>
    </row>
    <row r="7688" spans="1:6" ht="12.75" x14ac:dyDescent="0.2">
      <c r="A7688" s="451"/>
      <c r="B7688" s="451"/>
      <c r="C7688" s="451"/>
      <c r="D7688" s="451"/>
      <c r="E7688" s="468"/>
      <c r="F7688" s="468"/>
    </row>
    <row r="7689" spans="1:6" ht="12.75" x14ac:dyDescent="0.2">
      <c r="A7689" s="451"/>
      <c r="B7689" s="451"/>
      <c r="C7689" s="451"/>
      <c r="D7689" s="451"/>
      <c r="E7689" s="468"/>
      <c r="F7689" s="468"/>
    </row>
    <row r="7690" spans="1:6" ht="12.75" x14ac:dyDescent="0.2">
      <c r="A7690" s="451"/>
      <c r="B7690" s="451"/>
      <c r="C7690" s="451"/>
      <c r="D7690" s="451"/>
      <c r="E7690" s="468"/>
      <c r="F7690" s="468"/>
    </row>
    <row r="7691" spans="1:6" ht="12.75" x14ac:dyDescent="0.2">
      <c r="A7691" s="451"/>
      <c r="B7691" s="451"/>
      <c r="C7691" s="451"/>
      <c r="D7691" s="451"/>
      <c r="E7691" s="468"/>
      <c r="F7691" s="468"/>
    </row>
    <row r="7692" spans="1:6" ht="12.75" x14ac:dyDescent="0.2">
      <c r="A7692" s="451"/>
      <c r="B7692" s="451"/>
      <c r="C7692" s="451"/>
      <c r="D7692" s="451"/>
      <c r="E7692" s="468"/>
      <c r="F7692" s="468"/>
    </row>
    <row r="7693" spans="1:6" ht="12.75" x14ac:dyDescent="0.2">
      <c r="A7693" s="451"/>
      <c r="B7693" s="451"/>
      <c r="C7693" s="451"/>
      <c r="D7693" s="451"/>
      <c r="E7693" s="468"/>
      <c r="F7693" s="468"/>
    </row>
    <row r="7694" spans="1:6" ht="12.75" x14ac:dyDescent="0.2">
      <c r="A7694" s="451"/>
      <c r="B7694" s="451"/>
      <c r="C7694" s="451"/>
      <c r="D7694" s="451"/>
      <c r="E7694" s="468"/>
      <c r="F7694" s="468"/>
    </row>
    <row r="7695" spans="1:6" ht="12.75" x14ac:dyDescent="0.2">
      <c r="A7695" s="451"/>
      <c r="B7695" s="451"/>
      <c r="C7695" s="451"/>
      <c r="D7695" s="451"/>
      <c r="E7695" s="468"/>
      <c r="F7695" s="468"/>
    </row>
    <row r="7696" spans="1:6" ht="12.75" x14ac:dyDescent="0.2">
      <c r="A7696" s="451"/>
      <c r="B7696" s="451"/>
      <c r="C7696" s="451"/>
      <c r="D7696" s="451"/>
      <c r="E7696" s="468"/>
      <c r="F7696" s="468"/>
    </row>
    <row r="7697" spans="1:6" ht="12.75" x14ac:dyDescent="0.2">
      <c r="A7697" s="451"/>
      <c r="B7697" s="451"/>
      <c r="C7697" s="451"/>
      <c r="D7697" s="451"/>
      <c r="E7697" s="468"/>
      <c r="F7697" s="468"/>
    </row>
    <row r="7698" spans="1:6" ht="12.75" x14ac:dyDescent="0.2">
      <c r="A7698" s="451"/>
      <c r="B7698" s="451"/>
      <c r="C7698" s="451"/>
      <c r="D7698" s="451"/>
      <c r="E7698" s="468"/>
      <c r="F7698" s="468"/>
    </row>
    <row r="7699" spans="1:6" ht="12.75" x14ac:dyDescent="0.2">
      <c r="A7699" s="451"/>
      <c r="B7699" s="451"/>
      <c r="C7699" s="451"/>
      <c r="D7699" s="451"/>
      <c r="E7699" s="468"/>
      <c r="F7699" s="468"/>
    </row>
    <row r="7700" spans="1:6" ht="12.75" x14ac:dyDescent="0.2">
      <c r="A7700" s="451"/>
      <c r="B7700" s="451"/>
      <c r="C7700" s="451"/>
      <c r="D7700" s="451"/>
      <c r="E7700" s="468"/>
      <c r="F7700" s="468"/>
    </row>
    <row r="7701" spans="1:6" ht="12.75" x14ac:dyDescent="0.2">
      <c r="A7701" s="451"/>
      <c r="B7701" s="451"/>
      <c r="C7701" s="451"/>
      <c r="D7701" s="451"/>
      <c r="E7701" s="468"/>
      <c r="F7701" s="468"/>
    </row>
    <row r="7702" spans="1:6" ht="12.75" x14ac:dyDescent="0.2">
      <c r="A7702" s="451"/>
      <c r="B7702" s="451"/>
      <c r="C7702" s="451"/>
      <c r="D7702" s="451"/>
      <c r="E7702" s="468"/>
      <c r="F7702" s="468"/>
    </row>
    <row r="7703" spans="1:6" ht="12.75" x14ac:dyDescent="0.2">
      <c r="A7703" s="451"/>
      <c r="B7703" s="451"/>
      <c r="C7703" s="451"/>
      <c r="D7703" s="451"/>
      <c r="E7703" s="468"/>
      <c r="F7703" s="468"/>
    </row>
    <row r="7704" spans="1:6" ht="12.75" x14ac:dyDescent="0.2">
      <c r="A7704" s="451"/>
      <c r="B7704" s="451"/>
      <c r="C7704" s="451"/>
      <c r="D7704" s="451"/>
      <c r="E7704" s="468"/>
      <c r="F7704" s="468"/>
    </row>
    <row r="7705" spans="1:6" ht="12.75" x14ac:dyDescent="0.2">
      <c r="A7705" s="451"/>
      <c r="B7705" s="451"/>
      <c r="C7705" s="451"/>
      <c r="D7705" s="451"/>
      <c r="E7705" s="468"/>
      <c r="F7705" s="468"/>
    </row>
    <row r="7706" spans="1:6" ht="12.75" x14ac:dyDescent="0.2">
      <c r="A7706" s="451"/>
      <c r="B7706" s="451"/>
      <c r="C7706" s="451"/>
      <c r="D7706" s="451"/>
      <c r="E7706" s="468"/>
      <c r="F7706" s="468"/>
    </row>
    <row r="7707" spans="1:6" ht="12.75" x14ac:dyDescent="0.2">
      <c r="A7707" s="451"/>
      <c r="B7707" s="451"/>
      <c r="C7707" s="451"/>
      <c r="D7707" s="451"/>
      <c r="E7707" s="468"/>
      <c r="F7707" s="468"/>
    </row>
    <row r="7708" spans="1:6" ht="12.75" x14ac:dyDescent="0.2">
      <c r="A7708" s="451"/>
      <c r="B7708" s="451"/>
      <c r="C7708" s="451"/>
      <c r="D7708" s="451"/>
      <c r="E7708" s="468"/>
      <c r="F7708" s="468"/>
    </row>
    <row r="7709" spans="1:6" ht="12.75" x14ac:dyDescent="0.2">
      <c r="A7709" s="451"/>
      <c r="B7709" s="451"/>
      <c r="C7709" s="451"/>
      <c r="D7709" s="451"/>
      <c r="E7709" s="468"/>
      <c r="F7709" s="468"/>
    </row>
    <row r="7710" spans="1:6" ht="12.75" x14ac:dyDescent="0.2">
      <c r="A7710" s="451"/>
      <c r="B7710" s="451"/>
      <c r="C7710" s="451"/>
      <c r="D7710" s="451"/>
      <c r="E7710" s="468"/>
      <c r="F7710" s="468"/>
    </row>
    <row r="7711" spans="1:6" ht="12.75" x14ac:dyDescent="0.2">
      <c r="A7711" s="451"/>
      <c r="B7711" s="451"/>
      <c r="C7711" s="451"/>
      <c r="D7711" s="451"/>
      <c r="E7711" s="468"/>
      <c r="F7711" s="468"/>
    </row>
    <row r="7712" spans="1:6" ht="12.75" x14ac:dyDescent="0.2">
      <c r="A7712" s="451"/>
      <c r="B7712" s="451"/>
      <c r="C7712" s="451"/>
      <c r="D7712" s="451"/>
      <c r="E7712" s="468"/>
      <c r="F7712" s="468"/>
    </row>
    <row r="7713" spans="1:6" ht="12.75" x14ac:dyDescent="0.2">
      <c r="A7713" s="451"/>
      <c r="B7713" s="451"/>
      <c r="C7713" s="451"/>
      <c r="D7713" s="451"/>
      <c r="E7713" s="468"/>
      <c r="F7713" s="468"/>
    </row>
    <row r="7714" spans="1:6" ht="12.75" x14ac:dyDescent="0.2">
      <c r="A7714" s="451"/>
      <c r="B7714" s="451"/>
      <c r="C7714" s="451"/>
      <c r="D7714" s="451"/>
      <c r="E7714" s="468"/>
      <c r="F7714" s="468"/>
    </row>
    <row r="7715" spans="1:6" ht="12.75" x14ac:dyDescent="0.2">
      <c r="A7715" s="451"/>
      <c r="B7715" s="451"/>
      <c r="C7715" s="451"/>
      <c r="D7715" s="451"/>
      <c r="E7715" s="468"/>
      <c r="F7715" s="468"/>
    </row>
    <row r="7716" spans="1:6" ht="12.75" x14ac:dyDescent="0.2">
      <c r="A7716" s="451"/>
      <c r="B7716" s="451"/>
      <c r="C7716" s="451"/>
      <c r="D7716" s="451"/>
      <c r="E7716" s="468"/>
      <c r="F7716" s="468"/>
    </row>
    <row r="7717" spans="1:6" ht="12.75" x14ac:dyDescent="0.2">
      <c r="A7717" s="451"/>
      <c r="B7717" s="451"/>
      <c r="C7717" s="451"/>
      <c r="D7717" s="451"/>
      <c r="E7717" s="468"/>
      <c r="F7717" s="468"/>
    </row>
    <row r="7718" spans="1:6" ht="12.75" x14ac:dyDescent="0.2">
      <c r="A7718" s="451"/>
      <c r="B7718" s="451"/>
      <c r="C7718" s="451"/>
      <c r="D7718" s="451"/>
      <c r="E7718" s="468"/>
      <c r="F7718" s="468"/>
    </row>
    <row r="7719" spans="1:6" ht="12.75" x14ac:dyDescent="0.2">
      <c r="A7719" s="451"/>
      <c r="B7719" s="451"/>
      <c r="C7719" s="451"/>
      <c r="D7719" s="451"/>
      <c r="E7719" s="468"/>
      <c r="F7719" s="468"/>
    </row>
    <row r="7720" spans="1:6" ht="12.75" x14ac:dyDescent="0.2">
      <c r="A7720" s="451"/>
      <c r="B7720" s="451"/>
      <c r="C7720" s="451"/>
      <c r="D7720" s="451"/>
      <c r="E7720" s="468"/>
      <c r="F7720" s="468"/>
    </row>
    <row r="7721" spans="1:6" ht="12.75" x14ac:dyDescent="0.2">
      <c r="A7721" s="451"/>
      <c r="B7721" s="451"/>
      <c r="C7721" s="451"/>
      <c r="D7721" s="451"/>
      <c r="E7721" s="468"/>
      <c r="F7721" s="468"/>
    </row>
    <row r="7722" spans="1:6" ht="12.75" x14ac:dyDescent="0.2">
      <c r="A7722" s="451"/>
      <c r="B7722" s="451"/>
      <c r="C7722" s="451"/>
      <c r="D7722" s="451"/>
      <c r="E7722" s="468"/>
      <c r="F7722" s="468"/>
    </row>
    <row r="7723" spans="1:6" ht="12.75" x14ac:dyDescent="0.2">
      <c r="A7723" s="451"/>
      <c r="B7723" s="451"/>
      <c r="C7723" s="451"/>
      <c r="D7723" s="451"/>
      <c r="E7723" s="468"/>
      <c r="F7723" s="468"/>
    </row>
    <row r="7724" spans="1:6" ht="12.75" x14ac:dyDescent="0.2">
      <c r="A7724" s="451"/>
      <c r="B7724" s="451"/>
      <c r="C7724" s="451"/>
      <c r="D7724" s="451"/>
      <c r="E7724" s="468"/>
      <c r="F7724" s="468"/>
    </row>
    <row r="7725" spans="1:6" ht="12.75" x14ac:dyDescent="0.2">
      <c r="A7725" s="451"/>
      <c r="B7725" s="451"/>
      <c r="C7725" s="451"/>
      <c r="D7725" s="451"/>
      <c r="E7725" s="468"/>
      <c r="F7725" s="468"/>
    </row>
    <row r="7726" spans="1:6" ht="12.75" x14ac:dyDescent="0.2">
      <c r="A7726" s="451"/>
      <c r="B7726" s="451"/>
      <c r="C7726" s="451"/>
      <c r="D7726" s="451"/>
      <c r="E7726" s="468"/>
      <c r="F7726" s="468"/>
    </row>
    <row r="7727" spans="1:6" ht="12.75" x14ac:dyDescent="0.2">
      <c r="A7727" s="451"/>
      <c r="B7727" s="451"/>
      <c r="C7727" s="451"/>
      <c r="D7727" s="451"/>
      <c r="E7727" s="468"/>
      <c r="F7727" s="468"/>
    </row>
    <row r="7728" spans="1:6" ht="12.75" x14ac:dyDescent="0.2">
      <c r="A7728" s="451"/>
      <c r="B7728" s="451"/>
      <c r="C7728" s="451"/>
      <c r="D7728" s="451"/>
      <c r="E7728" s="468"/>
      <c r="F7728" s="468"/>
    </row>
    <row r="7729" spans="1:6" ht="12.75" x14ac:dyDescent="0.2">
      <c r="A7729" s="451"/>
      <c r="B7729" s="451"/>
      <c r="C7729" s="451"/>
      <c r="D7729" s="451"/>
      <c r="E7729" s="468"/>
      <c r="F7729" s="468"/>
    </row>
    <row r="7730" spans="1:6" ht="12.75" x14ac:dyDescent="0.2">
      <c r="A7730" s="451"/>
      <c r="B7730" s="451"/>
      <c r="C7730" s="451"/>
      <c r="D7730" s="451"/>
      <c r="E7730" s="468"/>
      <c r="F7730" s="468"/>
    </row>
    <row r="7731" spans="1:6" ht="12.75" x14ac:dyDescent="0.2">
      <c r="A7731" s="451"/>
      <c r="B7731" s="451"/>
      <c r="C7731" s="451"/>
      <c r="D7731" s="451"/>
      <c r="E7731" s="468"/>
      <c r="F7731" s="468"/>
    </row>
    <row r="7732" spans="1:6" ht="12.75" x14ac:dyDescent="0.2">
      <c r="A7732" s="451"/>
      <c r="B7732" s="451"/>
      <c r="C7732" s="451"/>
      <c r="D7732" s="451"/>
      <c r="E7732" s="468"/>
      <c r="F7732" s="468"/>
    </row>
    <row r="7733" spans="1:6" ht="12.75" x14ac:dyDescent="0.2">
      <c r="A7733" s="451"/>
      <c r="B7733" s="451"/>
      <c r="C7733" s="451"/>
      <c r="D7733" s="451"/>
      <c r="E7733" s="468"/>
      <c r="F7733" s="468"/>
    </row>
    <row r="7734" spans="1:6" ht="12.75" x14ac:dyDescent="0.2">
      <c r="A7734" s="451"/>
      <c r="B7734" s="451"/>
      <c r="C7734" s="451"/>
      <c r="D7734" s="451"/>
      <c r="E7734" s="468"/>
      <c r="F7734" s="468"/>
    </row>
    <row r="7735" spans="1:6" ht="12.75" x14ac:dyDescent="0.2">
      <c r="A7735" s="451"/>
      <c r="B7735" s="451"/>
      <c r="C7735" s="451"/>
      <c r="D7735" s="451"/>
      <c r="E7735" s="468"/>
      <c r="F7735" s="468"/>
    </row>
    <row r="7736" spans="1:6" ht="12.75" x14ac:dyDescent="0.2">
      <c r="A7736" s="451"/>
      <c r="B7736" s="451"/>
      <c r="C7736" s="451"/>
      <c r="D7736" s="451"/>
      <c r="E7736" s="468"/>
      <c r="F7736" s="468"/>
    </row>
    <row r="7737" spans="1:6" ht="12.75" x14ac:dyDescent="0.2">
      <c r="A7737" s="451"/>
      <c r="B7737" s="451"/>
      <c r="C7737" s="451"/>
      <c r="D7737" s="451"/>
      <c r="E7737" s="468"/>
      <c r="F7737" s="468"/>
    </row>
    <row r="7738" spans="1:6" ht="12.75" x14ac:dyDescent="0.2">
      <c r="A7738" s="451"/>
      <c r="B7738" s="451"/>
      <c r="C7738" s="451"/>
      <c r="D7738" s="451"/>
      <c r="E7738" s="468"/>
      <c r="F7738" s="468"/>
    </row>
    <row r="7739" spans="1:6" ht="12.75" x14ac:dyDescent="0.2">
      <c r="A7739" s="451"/>
      <c r="B7739" s="451"/>
      <c r="C7739" s="451"/>
      <c r="D7739" s="451"/>
      <c r="E7739" s="468"/>
      <c r="F7739" s="468"/>
    </row>
    <row r="7740" spans="1:6" ht="12.75" x14ac:dyDescent="0.2">
      <c r="A7740" s="451"/>
      <c r="B7740" s="451"/>
      <c r="C7740" s="451"/>
      <c r="D7740" s="451"/>
      <c r="E7740" s="468"/>
      <c r="F7740" s="468"/>
    </row>
    <row r="7741" spans="1:6" ht="12.75" x14ac:dyDescent="0.2">
      <c r="A7741" s="451"/>
      <c r="B7741" s="451"/>
      <c r="C7741" s="451"/>
      <c r="D7741" s="451"/>
      <c r="E7741" s="468"/>
      <c r="F7741" s="468"/>
    </row>
    <row r="7742" spans="1:6" ht="12.75" x14ac:dyDescent="0.2">
      <c r="A7742" s="451"/>
      <c r="B7742" s="451"/>
      <c r="C7742" s="451"/>
      <c r="D7742" s="451"/>
      <c r="E7742" s="468"/>
      <c r="F7742" s="468"/>
    </row>
    <row r="7743" spans="1:6" ht="12.75" x14ac:dyDescent="0.2">
      <c r="A7743" s="451"/>
      <c r="B7743" s="451"/>
      <c r="C7743" s="451"/>
      <c r="D7743" s="451"/>
      <c r="E7743" s="468"/>
      <c r="F7743" s="468"/>
    </row>
    <row r="7744" spans="1:6" ht="12.75" x14ac:dyDescent="0.2">
      <c r="A7744" s="451"/>
      <c r="B7744" s="451"/>
      <c r="C7744" s="451"/>
      <c r="D7744" s="451"/>
      <c r="E7744" s="468"/>
      <c r="F7744" s="468"/>
    </row>
    <row r="7745" spans="1:6" ht="12.75" x14ac:dyDescent="0.2">
      <c r="A7745" s="451"/>
      <c r="B7745" s="451"/>
      <c r="C7745" s="451"/>
      <c r="D7745" s="451"/>
      <c r="E7745" s="468"/>
      <c r="F7745" s="468"/>
    </row>
    <row r="7746" spans="1:6" ht="12.75" x14ac:dyDescent="0.2">
      <c r="A7746" s="451"/>
      <c r="B7746" s="451"/>
      <c r="C7746" s="451"/>
      <c r="D7746" s="451"/>
      <c r="E7746" s="468"/>
      <c r="F7746" s="468"/>
    </row>
    <row r="7747" spans="1:6" ht="12.75" x14ac:dyDescent="0.2">
      <c r="A7747" s="451"/>
      <c r="B7747" s="451"/>
      <c r="C7747" s="451"/>
      <c r="D7747" s="451"/>
      <c r="E7747" s="468"/>
      <c r="F7747" s="468"/>
    </row>
    <row r="7748" spans="1:6" ht="12.75" x14ac:dyDescent="0.2">
      <c r="A7748" s="451"/>
      <c r="B7748" s="451"/>
      <c r="C7748" s="451"/>
      <c r="D7748" s="451"/>
      <c r="E7748" s="468"/>
      <c r="F7748" s="468"/>
    </row>
    <row r="7749" spans="1:6" ht="12.75" x14ac:dyDescent="0.2">
      <c r="A7749" s="451"/>
      <c r="B7749" s="451"/>
      <c r="C7749" s="451"/>
      <c r="D7749" s="451"/>
      <c r="E7749" s="468"/>
      <c r="F7749" s="468"/>
    </row>
    <row r="7750" spans="1:6" ht="12.75" x14ac:dyDescent="0.2">
      <c r="A7750" s="451"/>
      <c r="B7750" s="451"/>
      <c r="C7750" s="451"/>
      <c r="D7750" s="451"/>
      <c r="E7750" s="468"/>
      <c r="F7750" s="468"/>
    </row>
    <row r="7751" spans="1:6" ht="12.75" x14ac:dyDescent="0.2">
      <c r="A7751" s="451"/>
      <c r="B7751" s="451"/>
      <c r="C7751" s="451"/>
      <c r="D7751" s="451"/>
      <c r="E7751" s="468"/>
      <c r="F7751" s="468"/>
    </row>
    <row r="7752" spans="1:6" ht="12.75" x14ac:dyDescent="0.2">
      <c r="A7752" s="451"/>
      <c r="B7752" s="451"/>
      <c r="C7752" s="451"/>
      <c r="D7752" s="451"/>
      <c r="E7752" s="468"/>
      <c r="F7752" s="468"/>
    </row>
    <row r="7753" spans="1:6" ht="12.75" x14ac:dyDescent="0.2">
      <c r="A7753" s="451"/>
      <c r="B7753" s="451"/>
      <c r="C7753" s="451"/>
      <c r="D7753" s="451"/>
      <c r="E7753" s="468"/>
      <c r="F7753" s="468"/>
    </row>
    <row r="7754" spans="1:6" ht="12.75" x14ac:dyDescent="0.2">
      <c r="A7754" s="451"/>
      <c r="B7754" s="451"/>
      <c r="C7754" s="451"/>
      <c r="D7754" s="451"/>
      <c r="E7754" s="468"/>
      <c r="F7754" s="468"/>
    </row>
    <row r="7755" spans="1:6" ht="12.75" x14ac:dyDescent="0.2">
      <c r="A7755" s="451"/>
      <c r="B7755" s="451"/>
      <c r="C7755" s="451"/>
      <c r="D7755" s="451"/>
      <c r="E7755" s="468"/>
      <c r="F7755" s="468"/>
    </row>
    <row r="7756" spans="1:6" ht="12.75" x14ac:dyDescent="0.2">
      <c r="A7756" s="451"/>
      <c r="B7756" s="451"/>
      <c r="C7756" s="451"/>
      <c r="D7756" s="451"/>
      <c r="E7756" s="468"/>
      <c r="F7756" s="468"/>
    </row>
    <row r="7757" spans="1:6" ht="12.75" x14ac:dyDescent="0.2">
      <c r="A7757" s="451"/>
      <c r="B7757" s="451"/>
      <c r="C7757" s="451"/>
      <c r="D7757" s="451"/>
      <c r="E7757" s="468"/>
      <c r="F7757" s="468"/>
    </row>
    <row r="7758" spans="1:6" ht="12.75" x14ac:dyDescent="0.2">
      <c r="A7758" s="451"/>
      <c r="B7758" s="451"/>
      <c r="C7758" s="451"/>
      <c r="D7758" s="451"/>
      <c r="E7758" s="468"/>
      <c r="F7758" s="468"/>
    </row>
    <row r="7759" spans="1:6" ht="12.75" x14ac:dyDescent="0.2">
      <c r="A7759" s="451"/>
      <c r="B7759" s="451"/>
      <c r="C7759" s="451"/>
      <c r="D7759" s="451"/>
      <c r="E7759" s="468"/>
      <c r="F7759" s="468"/>
    </row>
    <row r="7760" spans="1:6" ht="12.75" x14ac:dyDescent="0.2">
      <c r="A7760" s="451"/>
      <c r="B7760" s="451"/>
      <c r="C7760" s="451"/>
      <c r="D7760" s="451"/>
      <c r="E7760" s="468"/>
      <c r="F7760" s="468"/>
    </row>
    <row r="7761" spans="1:6" ht="12.75" x14ac:dyDescent="0.2">
      <c r="A7761" s="451"/>
      <c r="B7761" s="451"/>
      <c r="C7761" s="451"/>
      <c r="D7761" s="451"/>
      <c r="E7761" s="468"/>
      <c r="F7761" s="468"/>
    </row>
    <row r="7762" spans="1:6" ht="12.75" x14ac:dyDescent="0.2">
      <c r="A7762" s="451"/>
      <c r="B7762" s="451"/>
      <c r="C7762" s="451"/>
      <c r="D7762" s="451"/>
      <c r="E7762" s="468"/>
      <c r="F7762" s="468"/>
    </row>
    <row r="7763" spans="1:6" ht="12.75" x14ac:dyDescent="0.2">
      <c r="A7763" s="451"/>
      <c r="B7763" s="451"/>
      <c r="C7763" s="451"/>
      <c r="D7763" s="451"/>
      <c r="E7763" s="468"/>
      <c r="F7763" s="468"/>
    </row>
    <row r="7764" spans="1:6" ht="12.75" x14ac:dyDescent="0.2">
      <c r="A7764" s="451"/>
      <c r="B7764" s="451"/>
      <c r="C7764" s="451"/>
      <c r="D7764" s="451"/>
      <c r="E7764" s="468"/>
      <c r="F7764" s="468"/>
    </row>
    <row r="7765" spans="1:6" ht="12.75" x14ac:dyDescent="0.2">
      <c r="A7765" s="451"/>
      <c r="B7765" s="451"/>
      <c r="C7765" s="451"/>
      <c r="D7765" s="451"/>
      <c r="E7765" s="468"/>
      <c r="F7765" s="468"/>
    </row>
    <row r="7766" spans="1:6" ht="12.75" x14ac:dyDescent="0.2">
      <c r="A7766" s="451"/>
      <c r="B7766" s="451"/>
      <c r="C7766" s="451"/>
      <c r="D7766" s="451"/>
      <c r="E7766" s="468"/>
      <c r="F7766" s="468"/>
    </row>
    <row r="7767" spans="1:6" ht="12.75" x14ac:dyDescent="0.2">
      <c r="A7767" s="451"/>
      <c r="B7767" s="451"/>
      <c r="C7767" s="451"/>
      <c r="D7767" s="451"/>
      <c r="E7767" s="468"/>
      <c r="F7767" s="468"/>
    </row>
    <row r="7768" spans="1:6" ht="12.75" x14ac:dyDescent="0.2">
      <c r="A7768" s="451"/>
      <c r="B7768" s="451"/>
      <c r="C7768" s="451"/>
      <c r="D7768" s="451"/>
      <c r="E7768" s="468"/>
      <c r="F7768" s="468"/>
    </row>
    <row r="7769" spans="1:6" ht="12.75" x14ac:dyDescent="0.2">
      <c r="A7769" s="451"/>
      <c r="B7769" s="451"/>
      <c r="C7769" s="451"/>
      <c r="D7769" s="451"/>
      <c r="E7769" s="468"/>
      <c r="F7769" s="468"/>
    </row>
    <row r="7770" spans="1:6" ht="12.75" x14ac:dyDescent="0.2">
      <c r="A7770" s="451"/>
      <c r="B7770" s="451"/>
      <c r="C7770" s="451"/>
      <c r="D7770" s="451"/>
      <c r="E7770" s="468"/>
      <c r="F7770" s="468"/>
    </row>
    <row r="7771" spans="1:6" ht="12.75" x14ac:dyDescent="0.2">
      <c r="A7771" s="451"/>
      <c r="B7771" s="451"/>
      <c r="C7771" s="451"/>
      <c r="D7771" s="451"/>
      <c r="E7771" s="468"/>
      <c r="F7771" s="468"/>
    </row>
    <row r="7772" spans="1:6" ht="12.75" x14ac:dyDescent="0.2">
      <c r="A7772" s="451"/>
      <c r="B7772" s="451"/>
      <c r="C7772" s="451"/>
      <c r="D7772" s="451"/>
      <c r="E7772" s="468"/>
      <c r="F7772" s="468"/>
    </row>
    <row r="7773" spans="1:6" ht="12.75" x14ac:dyDescent="0.2">
      <c r="A7773" s="451"/>
      <c r="B7773" s="451"/>
      <c r="C7773" s="451"/>
      <c r="D7773" s="451"/>
      <c r="E7773" s="468"/>
      <c r="F7773" s="468"/>
    </row>
    <row r="7774" spans="1:6" ht="12.75" x14ac:dyDescent="0.2">
      <c r="A7774" s="451"/>
      <c r="B7774" s="451"/>
      <c r="C7774" s="451"/>
      <c r="D7774" s="451"/>
      <c r="E7774" s="468"/>
      <c r="F7774" s="468"/>
    </row>
    <row r="7775" spans="1:6" ht="12.75" x14ac:dyDescent="0.2">
      <c r="A7775" s="451"/>
      <c r="B7775" s="451"/>
      <c r="C7775" s="451"/>
      <c r="D7775" s="451"/>
      <c r="E7775" s="468"/>
      <c r="F7775" s="468"/>
    </row>
    <row r="7776" spans="1:6" ht="12.75" x14ac:dyDescent="0.2">
      <c r="A7776" s="451"/>
      <c r="B7776" s="451"/>
      <c r="C7776" s="451"/>
      <c r="D7776" s="451"/>
      <c r="E7776" s="468"/>
      <c r="F7776" s="468"/>
    </row>
    <row r="7777" spans="1:6" ht="12.75" x14ac:dyDescent="0.2">
      <c r="A7777" s="451"/>
      <c r="B7777" s="451"/>
      <c r="C7777" s="451"/>
      <c r="D7777" s="451"/>
      <c r="E7777" s="468"/>
      <c r="F7777" s="468"/>
    </row>
    <row r="7778" spans="1:6" ht="12.75" x14ac:dyDescent="0.2">
      <c r="A7778" s="451"/>
      <c r="B7778" s="451"/>
      <c r="C7778" s="451"/>
      <c r="D7778" s="451"/>
      <c r="E7778" s="468"/>
      <c r="F7778" s="468"/>
    </row>
    <row r="7779" spans="1:6" ht="12.75" x14ac:dyDescent="0.2">
      <c r="A7779" s="451"/>
      <c r="B7779" s="451"/>
      <c r="C7779" s="451"/>
      <c r="D7779" s="451"/>
      <c r="E7779" s="468"/>
      <c r="F7779" s="468"/>
    </row>
    <row r="7780" spans="1:6" ht="12.75" x14ac:dyDescent="0.2">
      <c r="A7780" s="451"/>
      <c r="B7780" s="451"/>
      <c r="C7780" s="451"/>
      <c r="D7780" s="451"/>
      <c r="E7780" s="468"/>
      <c r="F7780" s="468"/>
    </row>
    <row r="7781" spans="1:6" ht="12.75" x14ac:dyDescent="0.2">
      <c r="A7781" s="451"/>
      <c r="B7781" s="451"/>
      <c r="C7781" s="451"/>
      <c r="D7781" s="451"/>
      <c r="E7781" s="468"/>
      <c r="F7781" s="468"/>
    </row>
    <row r="7782" spans="1:6" ht="12.75" x14ac:dyDescent="0.2">
      <c r="A7782" s="451"/>
      <c r="B7782" s="451"/>
      <c r="C7782" s="451"/>
      <c r="D7782" s="451"/>
      <c r="E7782" s="468"/>
      <c r="F7782" s="468"/>
    </row>
    <row r="7783" spans="1:6" ht="12.75" x14ac:dyDescent="0.2">
      <c r="A7783" s="451"/>
      <c r="B7783" s="451"/>
      <c r="C7783" s="451"/>
      <c r="D7783" s="451"/>
      <c r="E7783" s="468"/>
      <c r="F7783" s="468"/>
    </row>
    <row r="7784" spans="1:6" ht="12.75" x14ac:dyDescent="0.2">
      <c r="A7784" s="451"/>
      <c r="B7784" s="451"/>
      <c r="C7784" s="451"/>
      <c r="D7784" s="451"/>
      <c r="E7784" s="468"/>
      <c r="F7784" s="468"/>
    </row>
    <row r="7785" spans="1:6" ht="12.75" x14ac:dyDescent="0.2">
      <c r="A7785" s="451"/>
      <c r="B7785" s="451"/>
      <c r="C7785" s="451"/>
      <c r="D7785" s="451"/>
      <c r="E7785" s="468"/>
      <c r="F7785" s="468"/>
    </row>
    <row r="7786" spans="1:6" ht="12.75" x14ac:dyDescent="0.2">
      <c r="A7786" s="451"/>
      <c r="B7786" s="451"/>
      <c r="C7786" s="451"/>
      <c r="D7786" s="451"/>
      <c r="E7786" s="468"/>
      <c r="F7786" s="468"/>
    </row>
    <row r="7787" spans="1:6" ht="12.75" x14ac:dyDescent="0.2">
      <c r="A7787" s="451"/>
      <c r="B7787" s="451"/>
      <c r="C7787" s="451"/>
      <c r="D7787" s="451"/>
      <c r="E7787" s="468"/>
      <c r="F7787" s="468"/>
    </row>
    <row r="7788" spans="1:6" ht="12.75" x14ac:dyDescent="0.2">
      <c r="A7788" s="451"/>
      <c r="B7788" s="451"/>
      <c r="C7788" s="451"/>
      <c r="D7788" s="451"/>
      <c r="E7788" s="468"/>
      <c r="F7788" s="468"/>
    </row>
    <row r="7789" spans="1:6" ht="12.75" x14ac:dyDescent="0.2">
      <c r="A7789" s="451"/>
      <c r="B7789" s="451"/>
      <c r="C7789" s="451"/>
      <c r="D7789" s="451"/>
      <c r="E7789" s="468"/>
      <c r="F7789" s="468"/>
    </row>
    <row r="7790" spans="1:6" ht="12.75" x14ac:dyDescent="0.2">
      <c r="A7790" s="451"/>
      <c r="B7790" s="451"/>
      <c r="C7790" s="451"/>
      <c r="D7790" s="451"/>
      <c r="E7790" s="468"/>
      <c r="F7790" s="468"/>
    </row>
    <row r="7791" spans="1:6" ht="12.75" x14ac:dyDescent="0.2">
      <c r="A7791" s="451"/>
      <c r="B7791" s="451"/>
      <c r="C7791" s="451"/>
      <c r="D7791" s="451"/>
      <c r="E7791" s="468"/>
      <c r="F7791" s="468"/>
    </row>
    <row r="7792" spans="1:6" ht="12.75" x14ac:dyDescent="0.2">
      <c r="A7792" s="451"/>
      <c r="B7792" s="451"/>
      <c r="C7792" s="451"/>
      <c r="D7792" s="451"/>
      <c r="E7792" s="468"/>
      <c r="F7792" s="468"/>
    </row>
    <row r="7793" spans="1:6" ht="12.75" x14ac:dyDescent="0.2">
      <c r="A7793" s="451"/>
      <c r="B7793" s="451"/>
      <c r="C7793" s="451"/>
      <c r="D7793" s="451"/>
      <c r="E7793" s="468"/>
      <c r="F7793" s="468"/>
    </row>
    <row r="7794" spans="1:6" ht="12.75" x14ac:dyDescent="0.2">
      <c r="A7794" s="451"/>
      <c r="B7794" s="451"/>
      <c r="C7794" s="451"/>
      <c r="D7794" s="451"/>
      <c r="E7794" s="468"/>
      <c r="F7794" s="468"/>
    </row>
    <row r="7795" spans="1:6" ht="12.75" x14ac:dyDescent="0.2">
      <c r="A7795" s="451"/>
      <c r="B7795" s="451"/>
      <c r="C7795" s="451"/>
      <c r="D7795" s="451"/>
      <c r="E7795" s="468"/>
      <c r="F7795" s="468"/>
    </row>
    <row r="7796" spans="1:6" ht="12.75" x14ac:dyDescent="0.2">
      <c r="A7796" s="451"/>
      <c r="B7796" s="451"/>
      <c r="C7796" s="451"/>
      <c r="D7796" s="451"/>
      <c r="E7796" s="468"/>
      <c r="F7796" s="468"/>
    </row>
    <row r="7797" spans="1:6" ht="12.75" x14ac:dyDescent="0.2">
      <c r="A7797" s="451"/>
      <c r="B7797" s="451"/>
      <c r="C7797" s="451"/>
      <c r="D7797" s="451"/>
      <c r="E7797" s="468"/>
      <c r="F7797" s="468"/>
    </row>
    <row r="7798" spans="1:6" ht="12.75" x14ac:dyDescent="0.2">
      <c r="A7798" s="451"/>
      <c r="B7798" s="451"/>
      <c r="C7798" s="451"/>
      <c r="D7798" s="451"/>
      <c r="E7798" s="468"/>
      <c r="F7798" s="468"/>
    </row>
    <row r="7799" spans="1:6" ht="12.75" x14ac:dyDescent="0.2">
      <c r="A7799" s="451"/>
      <c r="B7799" s="451"/>
      <c r="C7799" s="451"/>
      <c r="D7799" s="451"/>
      <c r="E7799" s="468"/>
      <c r="F7799" s="468"/>
    </row>
    <row r="7800" spans="1:6" ht="12.75" x14ac:dyDescent="0.2">
      <c r="A7800" s="451"/>
      <c r="B7800" s="451"/>
      <c r="C7800" s="451"/>
      <c r="D7800" s="451"/>
      <c r="E7800" s="468"/>
      <c r="F7800" s="468"/>
    </row>
    <row r="7801" spans="1:6" ht="12.75" x14ac:dyDescent="0.2">
      <c r="A7801" s="451"/>
      <c r="B7801" s="451"/>
      <c r="C7801" s="451"/>
      <c r="D7801" s="451"/>
      <c r="E7801" s="468"/>
      <c r="F7801" s="468"/>
    </row>
    <row r="7802" spans="1:6" ht="12.75" x14ac:dyDescent="0.2">
      <c r="A7802" s="451"/>
      <c r="B7802" s="451"/>
      <c r="C7802" s="451"/>
      <c r="D7802" s="451"/>
      <c r="E7802" s="468"/>
      <c r="F7802" s="468"/>
    </row>
    <row r="7803" spans="1:6" ht="12.75" x14ac:dyDescent="0.2">
      <c r="A7803" s="451"/>
      <c r="B7803" s="451"/>
      <c r="C7803" s="451"/>
      <c r="D7803" s="451"/>
      <c r="E7803" s="468"/>
      <c r="F7803" s="468"/>
    </row>
    <row r="7804" spans="1:6" ht="12.75" x14ac:dyDescent="0.2">
      <c r="A7804" s="451"/>
      <c r="B7804" s="451"/>
      <c r="C7804" s="451"/>
      <c r="D7804" s="451"/>
      <c r="E7804" s="468"/>
      <c r="F7804" s="468"/>
    </row>
    <row r="7805" spans="1:6" ht="12.75" x14ac:dyDescent="0.2">
      <c r="A7805" s="451"/>
      <c r="B7805" s="451"/>
      <c r="C7805" s="451"/>
      <c r="D7805" s="451"/>
      <c r="E7805" s="468"/>
      <c r="F7805" s="468"/>
    </row>
    <row r="7806" spans="1:6" ht="12.75" x14ac:dyDescent="0.2">
      <c r="A7806" s="451"/>
      <c r="B7806" s="451"/>
      <c r="C7806" s="451"/>
      <c r="D7806" s="451"/>
      <c r="E7806" s="468"/>
      <c r="F7806" s="468"/>
    </row>
    <row r="7807" spans="1:6" ht="12.75" x14ac:dyDescent="0.2">
      <c r="A7807" s="451"/>
      <c r="B7807" s="451"/>
      <c r="C7807" s="451"/>
      <c r="D7807" s="451"/>
      <c r="E7807" s="468"/>
      <c r="F7807" s="468"/>
    </row>
    <row r="7808" spans="1:6" ht="12.75" x14ac:dyDescent="0.2">
      <c r="A7808" s="451"/>
      <c r="B7808" s="451"/>
      <c r="C7808" s="451"/>
      <c r="D7808" s="451"/>
      <c r="E7808" s="468"/>
      <c r="F7808" s="468"/>
    </row>
    <row r="7809" spans="1:6" ht="12.75" x14ac:dyDescent="0.2">
      <c r="A7809" s="451"/>
      <c r="B7809" s="451"/>
      <c r="C7809" s="451"/>
      <c r="D7809" s="451"/>
      <c r="E7809" s="468"/>
      <c r="F7809" s="468"/>
    </row>
    <row r="7810" spans="1:6" ht="12.75" x14ac:dyDescent="0.2">
      <c r="A7810" s="451"/>
      <c r="B7810" s="451"/>
      <c r="C7810" s="451"/>
      <c r="D7810" s="451"/>
      <c r="E7810" s="468"/>
      <c r="F7810" s="468"/>
    </row>
    <row r="7811" spans="1:6" ht="12.75" x14ac:dyDescent="0.2">
      <c r="A7811" s="451"/>
      <c r="B7811" s="451"/>
      <c r="C7811" s="451"/>
      <c r="D7811" s="451"/>
      <c r="E7811" s="468"/>
      <c r="F7811" s="468"/>
    </row>
    <row r="7812" spans="1:6" ht="12.75" x14ac:dyDescent="0.2">
      <c r="A7812" s="451"/>
      <c r="B7812" s="451"/>
      <c r="C7812" s="451"/>
      <c r="D7812" s="451"/>
      <c r="E7812" s="468"/>
      <c r="F7812" s="468"/>
    </row>
    <row r="7813" spans="1:6" ht="12.75" x14ac:dyDescent="0.2">
      <c r="A7813" s="451"/>
      <c r="B7813" s="451"/>
      <c r="C7813" s="451"/>
      <c r="D7813" s="451"/>
      <c r="E7813" s="468"/>
      <c r="F7813" s="468"/>
    </row>
    <row r="7814" spans="1:6" ht="12.75" x14ac:dyDescent="0.2">
      <c r="A7814" s="451"/>
      <c r="B7814" s="451"/>
      <c r="C7814" s="451"/>
      <c r="D7814" s="451"/>
      <c r="E7814" s="468"/>
      <c r="F7814" s="468"/>
    </row>
    <row r="7815" spans="1:6" ht="12.75" x14ac:dyDescent="0.2">
      <c r="A7815" s="451"/>
      <c r="B7815" s="451"/>
      <c r="C7815" s="451"/>
      <c r="D7815" s="451"/>
      <c r="E7815" s="468"/>
      <c r="F7815" s="468"/>
    </row>
  </sheetData>
  <pageMargins left="0.35" right="0.27" top="0.55118110236220474" bottom="0.51181102362204722" header="0.31496062992125984" footer="0.23622047244094491"/>
  <pageSetup paperSize="9" scale="70" orientation="portrait" r:id="rId2"/>
  <headerFooter alignWithMargins="0">
    <oddHeader>&amp;L&amp;"Arial,Gras"&amp;12Rendement des impôts communaux et taxes&amp;R&amp;"Arial,Gras"&amp;20 2004</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J341"/>
  <sheetViews>
    <sheetView zoomScaleNormal="100" workbookViewId="0">
      <selection activeCell="D14" sqref="D14"/>
    </sheetView>
  </sheetViews>
  <sheetFormatPr baseColWidth="10" defaultColWidth="9" defaultRowHeight="12.75" customHeight="1" x14ac:dyDescent="0.2"/>
  <cols>
    <col min="1" max="1" width="5.375" style="498" customWidth="1"/>
    <col min="2" max="2" width="7.25" style="497" customWidth="1"/>
    <col min="3" max="3" width="24.75" style="496" customWidth="1"/>
    <col min="4" max="4" width="16.125" style="495" customWidth="1"/>
    <col min="5" max="16384" width="9" style="494"/>
  </cols>
  <sheetData>
    <row r="1" spans="1:10" ht="12.75" customHeight="1" x14ac:dyDescent="0.2">
      <c r="A1" s="500"/>
      <c r="C1" s="516"/>
    </row>
    <row r="2" spans="1:10" ht="12.75" customHeight="1" x14ac:dyDescent="0.2">
      <c r="A2" s="497" t="s">
        <v>625</v>
      </c>
      <c r="C2" s="516"/>
    </row>
    <row r="3" spans="1:10" ht="12.75" customHeight="1" x14ac:dyDescent="0.2">
      <c r="A3" s="497" t="s">
        <v>624</v>
      </c>
      <c r="C3" s="516"/>
    </row>
    <row r="4" spans="1:10" ht="12.75" customHeight="1" x14ac:dyDescent="0.2">
      <c r="A4" s="497"/>
      <c r="C4" s="516"/>
    </row>
    <row r="5" spans="1:10" ht="12.75" customHeight="1" x14ac:dyDescent="0.2">
      <c r="A5" s="500" t="s">
        <v>623</v>
      </c>
      <c r="B5" s="500"/>
      <c r="C5" s="518"/>
    </row>
    <row r="6" spans="1:10" ht="12.75" customHeight="1" x14ac:dyDescent="0.2">
      <c r="A6" s="500" t="s">
        <v>622</v>
      </c>
      <c r="C6" s="516"/>
    </row>
    <row r="7" spans="1:10" ht="12.75" customHeight="1" x14ac:dyDescent="0.2">
      <c r="A7" s="500"/>
      <c r="C7" s="516"/>
    </row>
    <row r="8" spans="1:10" ht="12.75" customHeight="1" x14ac:dyDescent="0.2">
      <c r="A8" s="497" t="s">
        <v>621</v>
      </c>
      <c r="B8" s="517"/>
      <c r="C8" s="516"/>
    </row>
    <row r="9" spans="1:10" ht="12.75" customHeight="1" x14ac:dyDescent="0.2">
      <c r="A9" s="497" t="s">
        <v>620</v>
      </c>
      <c r="B9" s="517"/>
      <c r="C9" s="516"/>
    </row>
    <row r="10" spans="1:10" ht="12.75" customHeight="1" x14ac:dyDescent="0.2">
      <c r="A10" s="500"/>
      <c r="B10" s="517"/>
      <c r="C10" s="516"/>
    </row>
    <row r="11" spans="1:10" ht="12.75" customHeight="1" x14ac:dyDescent="0.2">
      <c r="A11" s="515"/>
      <c r="B11" s="514"/>
      <c r="C11" s="513"/>
    </row>
    <row r="12" spans="1:10" ht="12.75" customHeight="1" x14ac:dyDescent="0.2">
      <c r="A12" s="512"/>
      <c r="B12" s="512"/>
      <c r="C12" s="512"/>
      <c r="D12" s="511" t="s">
        <v>619</v>
      </c>
    </row>
    <row r="13" spans="1:10" ht="12.75" customHeight="1" x14ac:dyDescent="0.2">
      <c r="A13" s="510"/>
      <c r="B13" s="510"/>
      <c r="C13" s="510"/>
      <c r="D13" s="509"/>
    </row>
    <row r="14" spans="1:10" ht="12.75" customHeight="1" x14ac:dyDescent="0.2">
      <c r="A14" s="508" t="s">
        <v>618</v>
      </c>
      <c r="B14" s="508"/>
      <c r="C14" s="508"/>
      <c r="D14" s="507">
        <v>815300</v>
      </c>
    </row>
    <row r="15" spans="1:10" ht="12.75" customHeight="1" x14ac:dyDescent="0.2">
      <c r="A15" s="502"/>
      <c r="B15" s="502"/>
      <c r="C15" s="502"/>
    </row>
    <row r="16" spans="1:10" s="506" customFormat="1" ht="12.75" customHeight="1" x14ac:dyDescent="0.2">
      <c r="A16" s="505" t="s">
        <v>261</v>
      </c>
      <c r="B16" s="505" t="s">
        <v>617</v>
      </c>
      <c r="C16" s="505"/>
      <c r="D16" s="504">
        <v>46316</v>
      </c>
      <c r="G16" s="494"/>
      <c r="H16" s="494"/>
      <c r="I16" s="494"/>
      <c r="J16" s="503"/>
    </row>
    <row r="17" spans="1:10" ht="12.75" customHeight="1" x14ac:dyDescent="0.2">
      <c r="A17" s="502"/>
      <c r="B17" s="502">
        <v>5401</v>
      </c>
      <c r="C17" s="502" t="s">
        <v>261</v>
      </c>
      <c r="D17" s="495">
        <v>10518</v>
      </c>
      <c r="G17" s="506"/>
      <c r="H17" s="506"/>
      <c r="I17" s="506"/>
      <c r="J17" s="503"/>
    </row>
    <row r="18" spans="1:10" ht="12.75" customHeight="1" x14ac:dyDescent="0.2">
      <c r="A18" s="502"/>
      <c r="B18" s="502">
        <v>5402</v>
      </c>
      <c r="C18" s="502" t="s">
        <v>262</v>
      </c>
      <c r="D18" s="495">
        <v>7828</v>
      </c>
      <c r="J18" s="503"/>
    </row>
    <row r="19" spans="1:10" ht="12.75" customHeight="1" x14ac:dyDescent="0.2">
      <c r="A19" s="502"/>
      <c r="B19" s="502">
        <v>5403</v>
      </c>
      <c r="C19" s="502" t="s">
        <v>112</v>
      </c>
      <c r="D19" s="495">
        <v>444</v>
      </c>
      <c r="J19" s="503"/>
    </row>
    <row r="20" spans="1:10" ht="12.75" customHeight="1" x14ac:dyDescent="0.2">
      <c r="A20" s="502"/>
      <c r="B20" s="502">
        <v>5404</v>
      </c>
      <c r="C20" s="502" t="s">
        <v>113</v>
      </c>
      <c r="D20" s="495">
        <v>445</v>
      </c>
      <c r="J20" s="503"/>
    </row>
    <row r="21" spans="1:10" ht="12.75" customHeight="1" x14ac:dyDescent="0.2">
      <c r="A21" s="502"/>
      <c r="B21" s="502">
        <v>5405</v>
      </c>
      <c r="C21" s="502" t="s">
        <v>114</v>
      </c>
      <c r="D21" s="495">
        <v>1378</v>
      </c>
      <c r="J21" s="503"/>
    </row>
    <row r="22" spans="1:10" ht="12.75" customHeight="1" x14ac:dyDescent="0.2">
      <c r="A22" s="502"/>
      <c r="B22" s="502">
        <v>5406</v>
      </c>
      <c r="C22" s="502" t="s">
        <v>115</v>
      </c>
      <c r="D22" s="495">
        <v>944</v>
      </c>
      <c r="J22" s="503"/>
    </row>
    <row r="23" spans="1:10" ht="12.75" customHeight="1" x14ac:dyDescent="0.2">
      <c r="A23" s="502"/>
      <c r="B23" s="502">
        <v>5407</v>
      </c>
      <c r="C23" s="502" t="s">
        <v>116</v>
      </c>
      <c r="D23" s="495">
        <v>3645</v>
      </c>
      <c r="J23" s="503"/>
    </row>
    <row r="24" spans="1:10" ht="12.75" customHeight="1" x14ac:dyDescent="0.2">
      <c r="A24" s="502"/>
      <c r="B24" s="502">
        <v>5408</v>
      </c>
      <c r="C24" s="502" t="s">
        <v>117</v>
      </c>
      <c r="D24" s="495">
        <v>1170</v>
      </c>
      <c r="J24" s="503"/>
    </row>
    <row r="25" spans="1:10" ht="12.75" customHeight="1" x14ac:dyDescent="0.2">
      <c r="A25" s="502"/>
      <c r="B25" s="502">
        <v>5409</v>
      </c>
      <c r="C25" s="502" t="s">
        <v>118</v>
      </c>
      <c r="D25" s="495">
        <v>7634</v>
      </c>
      <c r="J25" s="503"/>
    </row>
    <row r="26" spans="1:10" ht="12.75" customHeight="1" x14ac:dyDescent="0.2">
      <c r="A26" s="502"/>
      <c r="B26" s="502">
        <v>5410</v>
      </c>
      <c r="C26" s="502" t="s">
        <v>130</v>
      </c>
      <c r="D26" s="495">
        <v>1180</v>
      </c>
      <c r="J26" s="503"/>
    </row>
    <row r="27" spans="1:10" ht="12.75" customHeight="1" x14ac:dyDescent="0.2">
      <c r="A27" s="502"/>
      <c r="B27" s="502">
        <v>5411</v>
      </c>
      <c r="C27" s="502" t="s">
        <v>131</v>
      </c>
      <c r="D27" s="495">
        <v>1466</v>
      </c>
      <c r="J27" s="503"/>
    </row>
    <row r="28" spans="1:10" ht="12.75" customHeight="1" x14ac:dyDescent="0.2">
      <c r="A28" s="502"/>
      <c r="B28" s="502">
        <v>5412</v>
      </c>
      <c r="C28" s="502" t="s">
        <v>132</v>
      </c>
      <c r="D28" s="495">
        <v>889</v>
      </c>
      <c r="J28" s="503"/>
    </row>
    <row r="29" spans="1:10" ht="12.75" customHeight="1" x14ac:dyDescent="0.2">
      <c r="A29" s="502"/>
      <c r="B29" s="502">
        <v>5413</v>
      </c>
      <c r="C29" s="502" t="s">
        <v>133</v>
      </c>
      <c r="D29" s="495">
        <v>1868</v>
      </c>
      <c r="J29" s="503"/>
    </row>
    <row r="30" spans="1:10" ht="12.75" customHeight="1" x14ac:dyDescent="0.2">
      <c r="A30" s="502"/>
      <c r="B30" s="502">
        <v>5414</v>
      </c>
      <c r="C30" s="502" t="s">
        <v>134</v>
      </c>
      <c r="D30" s="495">
        <v>5837</v>
      </c>
      <c r="J30" s="503"/>
    </row>
    <row r="31" spans="1:10" ht="12.75" customHeight="1" x14ac:dyDescent="0.2">
      <c r="A31" s="502"/>
      <c r="B31" s="502">
        <v>5415</v>
      </c>
      <c r="C31" s="502" t="s">
        <v>72</v>
      </c>
      <c r="D31" s="495">
        <v>1070</v>
      </c>
      <c r="J31" s="503"/>
    </row>
    <row r="32" spans="1:10" s="506" customFormat="1" ht="12.75" customHeight="1" x14ac:dyDescent="0.2">
      <c r="A32" s="505" t="s">
        <v>616</v>
      </c>
      <c r="B32" s="505"/>
      <c r="C32" s="505"/>
      <c r="D32" s="504">
        <v>44642</v>
      </c>
      <c r="G32" s="494"/>
      <c r="H32" s="494"/>
      <c r="I32" s="494"/>
      <c r="J32" s="503"/>
    </row>
    <row r="33" spans="1:10" ht="12.75" customHeight="1" x14ac:dyDescent="0.2">
      <c r="A33" s="502"/>
      <c r="B33" s="502">
        <v>5451</v>
      </c>
      <c r="C33" s="502" t="s">
        <v>347</v>
      </c>
      <c r="D33" s="495">
        <v>4482</v>
      </c>
      <c r="G33" s="506"/>
      <c r="H33" s="506"/>
      <c r="I33" s="506"/>
      <c r="J33" s="503"/>
    </row>
    <row r="34" spans="1:10" ht="12.75" customHeight="1" x14ac:dyDescent="0.2">
      <c r="A34" s="502"/>
      <c r="B34" s="502">
        <v>5663</v>
      </c>
      <c r="C34" s="502" t="s">
        <v>203</v>
      </c>
      <c r="D34" s="495">
        <v>219</v>
      </c>
      <c r="J34" s="503"/>
    </row>
    <row r="35" spans="1:10" ht="12.75" customHeight="1" x14ac:dyDescent="0.2">
      <c r="A35" s="502"/>
      <c r="B35" s="502">
        <v>5812</v>
      </c>
      <c r="C35" s="502" t="s">
        <v>387</v>
      </c>
      <c r="D35" s="495">
        <v>144</v>
      </c>
      <c r="J35" s="503"/>
    </row>
    <row r="36" spans="1:10" ht="12.75" customHeight="1" x14ac:dyDescent="0.2">
      <c r="A36" s="502"/>
      <c r="B36" s="502">
        <v>5665</v>
      </c>
      <c r="C36" s="502" t="s">
        <v>97</v>
      </c>
      <c r="D36" s="495">
        <v>223</v>
      </c>
      <c r="J36" s="503"/>
    </row>
    <row r="37" spans="1:10" ht="12.75" customHeight="1" x14ac:dyDescent="0.2">
      <c r="A37" s="502"/>
      <c r="B37" s="502">
        <v>5813</v>
      </c>
      <c r="C37" s="502" t="s">
        <v>388</v>
      </c>
      <c r="D37" s="495">
        <v>495</v>
      </c>
      <c r="J37" s="503"/>
    </row>
    <row r="38" spans="1:10" ht="12.75" customHeight="1" x14ac:dyDescent="0.2">
      <c r="A38" s="502"/>
      <c r="B38" s="502">
        <v>5785</v>
      </c>
      <c r="C38" s="502" t="s">
        <v>279</v>
      </c>
      <c r="D38" s="495">
        <v>451</v>
      </c>
      <c r="J38" s="503"/>
    </row>
    <row r="39" spans="1:10" ht="12.75" customHeight="1" x14ac:dyDescent="0.2">
      <c r="A39" s="502"/>
      <c r="B39" s="502">
        <v>5816</v>
      </c>
      <c r="C39" s="502" t="s">
        <v>6</v>
      </c>
      <c r="D39" s="495">
        <v>2681</v>
      </c>
      <c r="J39" s="503"/>
    </row>
    <row r="40" spans="1:10" ht="12.75" customHeight="1" x14ac:dyDescent="0.2">
      <c r="A40" s="502"/>
      <c r="B40" s="502">
        <v>5456</v>
      </c>
      <c r="C40" s="502" t="s">
        <v>348</v>
      </c>
      <c r="D40" s="495">
        <v>1780</v>
      </c>
      <c r="J40" s="503"/>
    </row>
    <row r="41" spans="1:10" ht="12.75" customHeight="1" x14ac:dyDescent="0.2">
      <c r="A41" s="502"/>
      <c r="B41" s="502">
        <v>5669</v>
      </c>
      <c r="C41" s="502" t="s">
        <v>98</v>
      </c>
      <c r="D41" s="495">
        <v>301</v>
      </c>
      <c r="J41" s="503"/>
    </row>
    <row r="42" spans="1:10" ht="12.75" customHeight="1" x14ac:dyDescent="0.2">
      <c r="A42" s="502"/>
      <c r="B42" s="502">
        <v>5671</v>
      </c>
      <c r="C42" s="502" t="s">
        <v>99</v>
      </c>
      <c r="D42" s="495">
        <v>245</v>
      </c>
      <c r="J42" s="503"/>
    </row>
    <row r="43" spans="1:10" ht="12.75" customHeight="1" x14ac:dyDescent="0.2">
      <c r="A43" s="502"/>
      <c r="B43" s="502">
        <v>5458</v>
      </c>
      <c r="C43" s="502" t="s">
        <v>349</v>
      </c>
      <c r="D43" s="495">
        <v>881</v>
      </c>
      <c r="J43" s="503"/>
    </row>
    <row r="44" spans="1:10" ht="12.75" customHeight="1" x14ac:dyDescent="0.2">
      <c r="A44" s="502"/>
      <c r="B44" s="502">
        <v>5817</v>
      </c>
      <c r="C44" s="502" t="s">
        <v>7</v>
      </c>
      <c r="D44" s="495">
        <v>967</v>
      </c>
      <c r="J44" s="503"/>
    </row>
    <row r="45" spans="1:10" ht="12.75" customHeight="1" x14ac:dyDescent="0.2">
      <c r="A45" s="502"/>
      <c r="B45" s="502">
        <v>5819</v>
      </c>
      <c r="C45" s="502" t="s">
        <v>8</v>
      </c>
      <c r="D45" s="495">
        <v>396</v>
      </c>
      <c r="J45" s="503"/>
    </row>
    <row r="46" spans="1:10" ht="12.75" customHeight="1" x14ac:dyDescent="0.2">
      <c r="A46" s="502"/>
      <c r="B46" s="502">
        <v>5673</v>
      </c>
      <c r="C46" s="502" t="s">
        <v>100</v>
      </c>
      <c r="D46" s="495">
        <v>384</v>
      </c>
      <c r="J46" s="503"/>
    </row>
    <row r="47" spans="1:10" ht="12.75" customHeight="1" x14ac:dyDescent="0.2">
      <c r="A47" s="502"/>
      <c r="B47" s="502">
        <v>5674</v>
      </c>
      <c r="C47" s="502" t="s">
        <v>101</v>
      </c>
      <c r="D47" s="495">
        <v>142</v>
      </c>
      <c r="J47" s="503"/>
    </row>
    <row r="48" spans="1:10" ht="12.75" customHeight="1" x14ac:dyDescent="0.2">
      <c r="A48" s="502"/>
      <c r="B48" s="502">
        <v>5675</v>
      </c>
      <c r="C48" s="502" t="s">
        <v>102</v>
      </c>
      <c r="D48" s="495">
        <v>4309</v>
      </c>
      <c r="J48" s="503"/>
    </row>
    <row r="49" spans="1:10" ht="12.75" customHeight="1" x14ac:dyDescent="0.2">
      <c r="A49" s="502"/>
      <c r="B49" s="502">
        <v>5821</v>
      </c>
      <c r="C49" s="502" t="s">
        <v>9</v>
      </c>
      <c r="D49" s="495">
        <v>368</v>
      </c>
      <c r="J49" s="503"/>
    </row>
    <row r="50" spans="1:10" ht="12.75" customHeight="1" x14ac:dyDescent="0.2">
      <c r="A50" s="502"/>
      <c r="B50" s="502">
        <v>5678</v>
      </c>
      <c r="C50" s="502" t="s">
        <v>103</v>
      </c>
      <c r="D50" s="495">
        <v>6109</v>
      </c>
      <c r="J50" s="503"/>
    </row>
    <row r="51" spans="1:10" ht="12.75" customHeight="1" x14ac:dyDescent="0.2">
      <c r="A51" s="502"/>
      <c r="B51" s="502">
        <v>5822</v>
      </c>
      <c r="C51" s="502" t="s">
        <v>10</v>
      </c>
      <c r="D51" s="495">
        <v>10108</v>
      </c>
      <c r="J51" s="503"/>
    </row>
    <row r="52" spans="1:10" ht="12.75" customHeight="1" x14ac:dyDescent="0.2">
      <c r="A52" s="502"/>
      <c r="B52" s="502">
        <v>5683</v>
      </c>
      <c r="C52" s="502" t="s">
        <v>105</v>
      </c>
      <c r="D52" s="495">
        <v>202</v>
      </c>
      <c r="J52" s="503"/>
    </row>
    <row r="53" spans="1:10" ht="12.75" customHeight="1" x14ac:dyDescent="0.2">
      <c r="A53" s="502"/>
      <c r="B53" s="502">
        <v>5798</v>
      </c>
      <c r="C53" s="502" t="s">
        <v>283</v>
      </c>
      <c r="D53" s="495">
        <v>528</v>
      </c>
      <c r="J53" s="503"/>
    </row>
    <row r="54" spans="1:10" ht="12.75" customHeight="1" x14ac:dyDescent="0.2">
      <c r="A54" s="502"/>
      <c r="B54" s="502">
        <v>5684</v>
      </c>
      <c r="C54" s="502" t="s">
        <v>106</v>
      </c>
      <c r="D54" s="495">
        <v>84</v>
      </c>
      <c r="J54" s="503"/>
    </row>
    <row r="55" spans="1:10" ht="12.75" customHeight="1" x14ac:dyDescent="0.2">
      <c r="A55" s="502"/>
      <c r="B55" s="502">
        <v>5688</v>
      </c>
      <c r="C55" s="502" t="s">
        <v>107</v>
      </c>
      <c r="D55" s="495">
        <v>156</v>
      </c>
      <c r="J55" s="503"/>
    </row>
    <row r="56" spans="1:10" ht="12.75" customHeight="1" x14ac:dyDescent="0.2">
      <c r="A56" s="502"/>
      <c r="B56" s="502">
        <v>5827</v>
      </c>
      <c r="C56" s="502" t="s">
        <v>11</v>
      </c>
      <c r="D56" s="495">
        <v>302</v>
      </c>
      <c r="J56" s="503"/>
    </row>
    <row r="57" spans="1:10" ht="12.75" customHeight="1" x14ac:dyDescent="0.2">
      <c r="A57" s="502"/>
      <c r="B57" s="502">
        <v>5828</v>
      </c>
      <c r="C57" s="502" t="s">
        <v>615</v>
      </c>
      <c r="D57" s="495">
        <v>114</v>
      </c>
      <c r="J57" s="503"/>
    </row>
    <row r="58" spans="1:10" ht="12.75" customHeight="1" x14ac:dyDescent="0.2">
      <c r="A58" s="502"/>
      <c r="B58" s="502">
        <v>5831</v>
      </c>
      <c r="C58" s="502" t="s">
        <v>434</v>
      </c>
      <c r="D58" s="495">
        <v>3373</v>
      </c>
      <c r="J58" s="503"/>
    </row>
    <row r="59" spans="1:10" ht="12.75" customHeight="1" x14ac:dyDescent="0.2">
      <c r="A59" s="502"/>
      <c r="B59" s="502">
        <v>5690</v>
      </c>
      <c r="C59" s="502" t="s">
        <v>108</v>
      </c>
      <c r="D59" s="495">
        <v>120</v>
      </c>
      <c r="J59" s="503"/>
    </row>
    <row r="60" spans="1:10" ht="12.75" customHeight="1" x14ac:dyDescent="0.2">
      <c r="A60" s="502"/>
      <c r="B60" s="502">
        <v>5830</v>
      </c>
      <c r="C60" s="502" t="s">
        <v>12</v>
      </c>
      <c r="D60" s="495">
        <v>477</v>
      </c>
      <c r="J60" s="503"/>
    </row>
    <row r="61" spans="1:10" ht="12.75" customHeight="1" x14ac:dyDescent="0.2">
      <c r="A61" s="502"/>
      <c r="B61" s="502">
        <v>5692</v>
      </c>
      <c r="C61" s="502" t="s">
        <v>109</v>
      </c>
      <c r="D61" s="495">
        <v>617</v>
      </c>
      <c r="J61" s="503"/>
    </row>
    <row r="62" spans="1:10" ht="12.75" customHeight="1" x14ac:dyDescent="0.2">
      <c r="A62" s="502"/>
      <c r="B62" s="502">
        <v>5803</v>
      </c>
      <c r="C62" s="502" t="s">
        <v>386</v>
      </c>
      <c r="D62" s="495">
        <v>624</v>
      </c>
      <c r="J62" s="503"/>
    </row>
    <row r="63" spans="1:10" ht="12.75" customHeight="1" x14ac:dyDescent="0.2">
      <c r="A63" s="502"/>
      <c r="B63" s="502">
        <v>5464</v>
      </c>
      <c r="C63" s="502" t="s">
        <v>430</v>
      </c>
      <c r="D63" s="495">
        <v>3360</v>
      </c>
      <c r="J63" s="503"/>
    </row>
    <row r="64" spans="1:10" ht="12.75" customHeight="1" x14ac:dyDescent="0.2">
      <c r="A64" s="505" t="s">
        <v>614</v>
      </c>
      <c r="B64" s="505"/>
      <c r="C64" s="505"/>
      <c r="D64" s="504">
        <v>46413</v>
      </c>
      <c r="J64" s="503"/>
    </row>
    <row r="65" spans="1:10" ht="12.75" customHeight="1" x14ac:dyDescent="0.2">
      <c r="A65" s="502"/>
      <c r="B65" s="502">
        <v>5511</v>
      </c>
      <c r="C65" s="502" t="s">
        <v>176</v>
      </c>
      <c r="D65" s="495">
        <v>1141</v>
      </c>
      <c r="J65" s="503"/>
    </row>
    <row r="66" spans="1:10" ht="12.75" customHeight="1" x14ac:dyDescent="0.2">
      <c r="A66" s="502"/>
      <c r="B66" s="502">
        <v>5512</v>
      </c>
      <c r="C66" s="502" t="s">
        <v>177</v>
      </c>
      <c r="D66" s="495">
        <v>1323</v>
      </c>
      <c r="J66" s="503"/>
    </row>
    <row r="67" spans="1:10" ht="12.75" customHeight="1" x14ac:dyDescent="0.2">
      <c r="A67" s="502"/>
      <c r="B67" s="502">
        <v>5471</v>
      </c>
      <c r="C67" s="502" t="s">
        <v>350</v>
      </c>
      <c r="D67" s="495">
        <v>636</v>
      </c>
      <c r="J67" s="503"/>
    </row>
    <row r="68" spans="1:10" ht="12.75" customHeight="1" x14ac:dyDescent="0.2">
      <c r="A68" s="502"/>
      <c r="B68" s="502">
        <v>5513</v>
      </c>
      <c r="C68" s="502" t="s">
        <v>178</v>
      </c>
      <c r="D68" s="495">
        <v>525</v>
      </c>
      <c r="J68" s="503"/>
    </row>
    <row r="69" spans="1:10" ht="12.75" customHeight="1" x14ac:dyDescent="0.2">
      <c r="A69" s="502"/>
      <c r="B69" s="502">
        <v>5514</v>
      </c>
      <c r="C69" s="502" t="s">
        <v>179</v>
      </c>
      <c r="D69" s="495">
        <v>1330</v>
      </c>
      <c r="J69" s="503"/>
    </row>
    <row r="70" spans="1:10" s="506" customFormat="1" ht="12.75" customHeight="1" x14ac:dyDescent="0.2">
      <c r="A70" s="502"/>
      <c r="B70" s="502">
        <v>5661</v>
      </c>
      <c r="C70" s="502" t="s">
        <v>202</v>
      </c>
      <c r="D70" s="495">
        <v>369</v>
      </c>
      <c r="G70" s="494"/>
      <c r="H70" s="494"/>
      <c r="I70" s="494"/>
      <c r="J70" s="503"/>
    </row>
    <row r="71" spans="1:10" ht="12.75" customHeight="1" x14ac:dyDescent="0.2">
      <c r="A71" s="502"/>
      <c r="B71" s="502">
        <v>5472</v>
      </c>
      <c r="C71" s="502" t="s">
        <v>351</v>
      </c>
      <c r="D71" s="495">
        <v>490</v>
      </c>
      <c r="G71" s="506"/>
      <c r="H71" s="506"/>
      <c r="I71" s="506"/>
      <c r="J71" s="503"/>
    </row>
    <row r="72" spans="1:10" ht="12.75" customHeight="1" x14ac:dyDescent="0.2">
      <c r="A72" s="502"/>
      <c r="B72" s="502">
        <v>5473</v>
      </c>
      <c r="C72" s="502" t="s">
        <v>209</v>
      </c>
      <c r="D72" s="495">
        <v>999</v>
      </c>
      <c r="J72" s="503"/>
    </row>
    <row r="73" spans="1:10" ht="12.75" customHeight="1" x14ac:dyDescent="0.2">
      <c r="A73" s="502"/>
      <c r="B73" s="502">
        <v>5515</v>
      </c>
      <c r="C73" s="502" t="s">
        <v>180</v>
      </c>
      <c r="D73" s="495">
        <v>859</v>
      </c>
      <c r="J73" s="503"/>
    </row>
    <row r="74" spans="1:10" ht="12.75" customHeight="1" x14ac:dyDescent="0.2">
      <c r="A74" s="502"/>
      <c r="B74" s="502">
        <v>5516</v>
      </c>
      <c r="C74" s="502" t="s">
        <v>181</v>
      </c>
      <c r="D74" s="495">
        <v>2760</v>
      </c>
      <c r="J74" s="503"/>
    </row>
    <row r="75" spans="1:10" ht="12.75" customHeight="1" x14ac:dyDescent="0.2">
      <c r="A75" s="502"/>
      <c r="B75" s="502">
        <v>5480</v>
      </c>
      <c r="C75" s="502" t="s">
        <v>243</v>
      </c>
      <c r="D75" s="495">
        <v>1048</v>
      </c>
      <c r="J75" s="503"/>
    </row>
    <row r="76" spans="1:10" ht="12.75" customHeight="1" x14ac:dyDescent="0.2">
      <c r="A76" s="502"/>
      <c r="B76" s="502">
        <v>5518</v>
      </c>
      <c r="C76" s="502" t="s">
        <v>182</v>
      </c>
      <c r="D76" s="495">
        <v>5731</v>
      </c>
      <c r="J76" s="503"/>
    </row>
    <row r="77" spans="1:10" ht="12.75" customHeight="1" x14ac:dyDescent="0.2">
      <c r="A77" s="502"/>
      <c r="B77" s="502">
        <v>5520</v>
      </c>
      <c r="C77" s="502" t="s">
        <v>183</v>
      </c>
      <c r="D77" s="495">
        <v>1036</v>
      </c>
      <c r="J77" s="503"/>
    </row>
    <row r="78" spans="1:10" ht="12.75" customHeight="1" x14ac:dyDescent="0.2">
      <c r="A78" s="502"/>
      <c r="B78" s="502">
        <v>5521</v>
      </c>
      <c r="C78" s="502" t="s">
        <v>184</v>
      </c>
      <c r="D78" s="495">
        <v>1148</v>
      </c>
      <c r="J78" s="503"/>
    </row>
    <row r="79" spans="1:10" ht="12.75" customHeight="1" x14ac:dyDescent="0.2">
      <c r="A79" s="502"/>
      <c r="B79" s="502">
        <v>5522</v>
      </c>
      <c r="C79" s="502" t="s">
        <v>185</v>
      </c>
      <c r="D79" s="495">
        <v>749</v>
      </c>
      <c r="J79" s="503"/>
    </row>
    <row r="80" spans="1:10" ht="12.75" customHeight="1" x14ac:dyDescent="0.2">
      <c r="A80" s="502"/>
      <c r="B80" s="502">
        <v>5523</v>
      </c>
      <c r="C80" s="502" t="s">
        <v>186</v>
      </c>
      <c r="D80" s="495">
        <v>2694</v>
      </c>
      <c r="J80" s="503"/>
    </row>
    <row r="81" spans="1:10" ht="12.75" customHeight="1" x14ac:dyDescent="0.2">
      <c r="A81" s="502"/>
      <c r="B81" s="502">
        <v>5541</v>
      </c>
      <c r="C81" s="502" t="s">
        <v>431</v>
      </c>
      <c r="D81" s="495">
        <v>1153</v>
      </c>
      <c r="J81" s="503"/>
    </row>
    <row r="82" spans="1:10" ht="12.75" customHeight="1" x14ac:dyDescent="0.2">
      <c r="A82" s="502"/>
      <c r="B82" s="502">
        <v>5804</v>
      </c>
      <c r="C82" s="502" t="s">
        <v>433</v>
      </c>
      <c r="D82" s="495">
        <v>1602</v>
      </c>
      <c r="J82" s="503"/>
    </row>
    <row r="83" spans="1:10" ht="12.75" customHeight="1" x14ac:dyDescent="0.2">
      <c r="A83" s="502"/>
      <c r="B83" s="502">
        <v>5487</v>
      </c>
      <c r="C83" s="502" t="s">
        <v>2</v>
      </c>
      <c r="D83" s="495">
        <v>459</v>
      </c>
      <c r="J83" s="503"/>
    </row>
    <row r="84" spans="1:10" ht="12.75" customHeight="1" x14ac:dyDescent="0.2">
      <c r="A84" s="502"/>
      <c r="B84" s="502">
        <v>5489</v>
      </c>
      <c r="C84" s="502" t="s">
        <v>4</v>
      </c>
      <c r="D84" s="495">
        <v>791</v>
      </c>
      <c r="J84" s="503"/>
    </row>
    <row r="85" spans="1:10" ht="12.75" customHeight="1" x14ac:dyDescent="0.2">
      <c r="A85" s="502"/>
      <c r="B85" s="502">
        <v>5693</v>
      </c>
      <c r="C85" s="502" t="s">
        <v>443</v>
      </c>
      <c r="D85" s="495">
        <v>2782</v>
      </c>
      <c r="J85" s="503"/>
    </row>
    <row r="86" spans="1:10" ht="12.75" customHeight="1" x14ac:dyDescent="0.2">
      <c r="A86" s="502"/>
      <c r="B86" s="502">
        <v>5540</v>
      </c>
      <c r="C86" s="502" t="s">
        <v>432</v>
      </c>
      <c r="D86" s="495">
        <v>1857</v>
      </c>
      <c r="J86" s="503"/>
    </row>
    <row r="87" spans="1:10" ht="12.75" customHeight="1" x14ac:dyDescent="0.2">
      <c r="A87" s="502"/>
      <c r="B87" s="502">
        <v>5527</v>
      </c>
      <c r="C87" s="502" t="s">
        <v>187</v>
      </c>
      <c r="D87" s="495">
        <v>1153</v>
      </c>
      <c r="J87" s="503"/>
    </row>
    <row r="88" spans="1:10" ht="12.75" customHeight="1" x14ac:dyDescent="0.2">
      <c r="A88" s="502"/>
      <c r="B88" s="502">
        <v>5680</v>
      </c>
      <c r="C88" s="502" t="s">
        <v>104</v>
      </c>
      <c r="D88" s="495">
        <v>301</v>
      </c>
      <c r="J88" s="503"/>
    </row>
    <row r="89" spans="1:10" ht="12.75" customHeight="1" x14ac:dyDescent="0.2">
      <c r="A89" s="502"/>
      <c r="B89" s="502">
        <v>5923</v>
      </c>
      <c r="C89" s="502" t="s">
        <v>274</v>
      </c>
      <c r="D89" s="495">
        <v>201</v>
      </c>
      <c r="J89" s="503"/>
    </row>
    <row r="90" spans="1:10" ht="12.75" customHeight="1" x14ac:dyDescent="0.2">
      <c r="A90" s="502"/>
      <c r="B90" s="502">
        <v>5529</v>
      </c>
      <c r="C90" s="502" t="s">
        <v>188</v>
      </c>
      <c r="D90" s="495">
        <v>618</v>
      </c>
      <c r="J90" s="503"/>
    </row>
    <row r="91" spans="1:10" ht="12.75" customHeight="1" x14ac:dyDescent="0.2">
      <c r="A91" s="502"/>
      <c r="B91" s="502">
        <v>5530</v>
      </c>
      <c r="C91" s="502" t="s">
        <v>189</v>
      </c>
      <c r="D91" s="495">
        <v>567</v>
      </c>
      <c r="J91" s="503"/>
    </row>
    <row r="92" spans="1:10" ht="12.75" customHeight="1" x14ac:dyDescent="0.2">
      <c r="A92" s="502"/>
      <c r="B92" s="502">
        <v>5495</v>
      </c>
      <c r="C92" s="502" t="s">
        <v>168</v>
      </c>
      <c r="D92" s="495">
        <v>3207</v>
      </c>
      <c r="J92" s="503"/>
    </row>
    <row r="93" spans="1:10" ht="12.75" customHeight="1" x14ac:dyDescent="0.2">
      <c r="A93" s="502"/>
      <c r="B93" s="502">
        <v>5496</v>
      </c>
      <c r="C93" s="502" t="s">
        <v>169</v>
      </c>
      <c r="D93" s="495">
        <v>1855</v>
      </c>
      <c r="J93" s="503"/>
    </row>
    <row r="94" spans="1:10" ht="12.75" customHeight="1" x14ac:dyDescent="0.2">
      <c r="A94" s="502"/>
      <c r="B94" s="502">
        <v>5531</v>
      </c>
      <c r="C94" s="502" t="s">
        <v>190</v>
      </c>
      <c r="D94" s="495">
        <v>419</v>
      </c>
      <c r="J94" s="503"/>
    </row>
    <row r="95" spans="1:10" ht="12.75" customHeight="1" x14ac:dyDescent="0.2">
      <c r="A95" s="502"/>
      <c r="B95" s="502">
        <v>5533</v>
      </c>
      <c r="C95" s="502" t="s">
        <v>191</v>
      </c>
      <c r="D95" s="495">
        <v>829</v>
      </c>
      <c r="J95" s="503"/>
    </row>
    <row r="96" spans="1:10" ht="12.75" customHeight="1" x14ac:dyDescent="0.2">
      <c r="A96" s="502"/>
      <c r="B96" s="502">
        <v>5534</v>
      </c>
      <c r="C96" s="502" t="s">
        <v>192</v>
      </c>
      <c r="D96" s="495">
        <v>266</v>
      </c>
      <c r="J96" s="503"/>
    </row>
    <row r="97" spans="1:10" ht="12.75" customHeight="1" x14ac:dyDescent="0.2">
      <c r="A97" s="502"/>
      <c r="B97" s="502">
        <v>5535</v>
      </c>
      <c r="C97" s="502" t="s">
        <v>30</v>
      </c>
      <c r="D97" s="495">
        <v>784</v>
      </c>
      <c r="J97" s="503"/>
    </row>
    <row r="98" spans="1:10" ht="12.75" customHeight="1" x14ac:dyDescent="0.2">
      <c r="A98" s="502"/>
      <c r="B98" s="502">
        <v>5501</v>
      </c>
      <c r="C98" s="502" t="s">
        <v>174</v>
      </c>
      <c r="D98" s="495">
        <v>1041</v>
      </c>
      <c r="J98" s="503"/>
    </row>
    <row r="99" spans="1:10" ht="12.75" customHeight="1" x14ac:dyDescent="0.2">
      <c r="A99" s="502"/>
      <c r="B99" s="502">
        <v>5537</v>
      </c>
      <c r="C99" s="502" t="s">
        <v>31</v>
      </c>
      <c r="D99" s="495">
        <v>1281</v>
      </c>
      <c r="J99" s="503"/>
    </row>
    <row r="100" spans="1:10" ht="12.75" customHeight="1" x14ac:dyDescent="0.2">
      <c r="A100" s="502"/>
      <c r="B100" s="502">
        <v>5539</v>
      </c>
      <c r="C100" s="502" t="s">
        <v>32</v>
      </c>
      <c r="D100" s="495">
        <v>1060</v>
      </c>
      <c r="J100" s="503"/>
    </row>
    <row r="101" spans="1:10" ht="12.75" customHeight="1" x14ac:dyDescent="0.2">
      <c r="A101" s="502"/>
      <c r="B101" s="502">
        <v>5503</v>
      </c>
      <c r="C101" s="502" t="s">
        <v>175</v>
      </c>
      <c r="D101" s="495">
        <v>1349</v>
      </c>
      <c r="J101" s="503"/>
    </row>
    <row r="102" spans="1:10" ht="12.75" customHeight="1" x14ac:dyDescent="0.2">
      <c r="A102" s="505" t="s">
        <v>613</v>
      </c>
      <c r="B102" s="505"/>
      <c r="C102" s="505"/>
      <c r="D102" s="504">
        <v>93162</v>
      </c>
      <c r="J102" s="503"/>
    </row>
    <row r="103" spans="1:10" ht="12.75" customHeight="1" x14ac:dyDescent="0.2">
      <c r="A103" s="502"/>
      <c r="B103" s="502">
        <v>5871</v>
      </c>
      <c r="C103" s="502" t="s">
        <v>29</v>
      </c>
      <c r="D103" s="495">
        <v>1473</v>
      </c>
      <c r="J103" s="503"/>
    </row>
    <row r="104" spans="1:10" ht="12.75" customHeight="1" x14ac:dyDescent="0.2">
      <c r="A104" s="502"/>
      <c r="B104" s="502">
        <v>5741</v>
      </c>
      <c r="C104" s="502" t="s">
        <v>326</v>
      </c>
      <c r="D104" s="495">
        <v>256</v>
      </c>
      <c r="J104" s="503"/>
    </row>
    <row r="105" spans="1:10" ht="12.75" customHeight="1" x14ac:dyDescent="0.2">
      <c r="A105" s="502"/>
      <c r="B105" s="502">
        <v>5742</v>
      </c>
      <c r="C105" s="502" t="s">
        <v>327</v>
      </c>
      <c r="D105" s="495">
        <v>377</v>
      </c>
      <c r="J105" s="503"/>
    </row>
    <row r="106" spans="1:10" ht="12.75" customHeight="1" x14ac:dyDescent="0.2">
      <c r="A106" s="502"/>
      <c r="B106" s="502">
        <v>5743</v>
      </c>
      <c r="C106" s="502" t="s">
        <v>265</v>
      </c>
      <c r="D106" s="495">
        <v>637</v>
      </c>
      <c r="J106" s="503"/>
    </row>
    <row r="107" spans="1:10" ht="12.75" customHeight="1" x14ac:dyDescent="0.2">
      <c r="A107" s="502"/>
      <c r="B107" s="502">
        <v>5744</v>
      </c>
      <c r="C107" s="502" t="s">
        <v>266</v>
      </c>
      <c r="D107" s="495">
        <v>1143</v>
      </c>
      <c r="J107" s="503"/>
    </row>
    <row r="108" spans="1:10" ht="12.75" customHeight="1" x14ac:dyDescent="0.2">
      <c r="A108" s="502"/>
      <c r="B108" s="502">
        <v>5745</v>
      </c>
      <c r="C108" s="502" t="s">
        <v>267</v>
      </c>
      <c r="D108" s="495">
        <v>1074</v>
      </c>
      <c r="J108" s="503"/>
    </row>
    <row r="109" spans="1:10" ht="12.75" customHeight="1" x14ac:dyDescent="0.2">
      <c r="A109" s="502"/>
      <c r="B109" s="502">
        <v>5746</v>
      </c>
      <c r="C109" s="502" t="s">
        <v>268</v>
      </c>
      <c r="D109" s="495">
        <v>994</v>
      </c>
      <c r="J109" s="503"/>
    </row>
    <row r="110" spans="1:10" ht="12.75" customHeight="1" x14ac:dyDescent="0.2">
      <c r="A110" s="502"/>
      <c r="B110" s="502">
        <v>5902</v>
      </c>
      <c r="C110" s="502" t="s">
        <v>55</v>
      </c>
      <c r="D110" s="495">
        <v>396</v>
      </c>
      <c r="J110" s="503"/>
    </row>
    <row r="111" spans="1:10" ht="12.75" customHeight="1" x14ac:dyDescent="0.2">
      <c r="A111" s="502"/>
      <c r="B111" s="502">
        <v>5903</v>
      </c>
      <c r="C111" s="502" t="s">
        <v>56</v>
      </c>
      <c r="D111" s="495">
        <v>230</v>
      </c>
      <c r="J111" s="503"/>
    </row>
    <row r="112" spans="1:10" ht="12.75" customHeight="1" x14ac:dyDescent="0.2">
      <c r="A112" s="502"/>
      <c r="B112" s="502">
        <v>5747</v>
      </c>
      <c r="C112" s="502" t="s">
        <v>269</v>
      </c>
      <c r="D112" s="495">
        <v>206</v>
      </c>
      <c r="J112" s="503"/>
    </row>
    <row r="113" spans="1:10" ht="12.75" customHeight="1" x14ac:dyDescent="0.2">
      <c r="A113" s="502"/>
      <c r="B113" s="502">
        <v>5551</v>
      </c>
      <c r="C113" s="502" t="s">
        <v>33</v>
      </c>
      <c r="D113" s="495">
        <v>489</v>
      </c>
      <c r="J113" s="503"/>
    </row>
    <row r="114" spans="1:10" ht="12.75" customHeight="1" x14ac:dyDescent="0.2">
      <c r="A114" s="502"/>
      <c r="B114" s="502">
        <v>5748</v>
      </c>
      <c r="C114" s="502" t="s">
        <v>270</v>
      </c>
      <c r="D114" s="495">
        <v>268</v>
      </c>
      <c r="J114" s="503"/>
    </row>
    <row r="115" spans="1:10" ht="12.75" customHeight="1" x14ac:dyDescent="0.2">
      <c r="A115" s="502"/>
      <c r="B115" s="502">
        <v>5552</v>
      </c>
      <c r="C115" s="502" t="s">
        <v>34</v>
      </c>
      <c r="D115" s="495">
        <v>657</v>
      </c>
      <c r="J115" s="503"/>
    </row>
    <row r="116" spans="1:10" ht="12.75" customHeight="1" x14ac:dyDescent="0.2">
      <c r="A116" s="502"/>
      <c r="B116" s="502">
        <v>5904</v>
      </c>
      <c r="C116" s="502" t="s">
        <v>57</v>
      </c>
      <c r="D116" s="495">
        <v>559</v>
      </c>
      <c r="J116" s="503"/>
    </row>
    <row r="117" spans="1:10" ht="12.75" customHeight="1" x14ac:dyDescent="0.2">
      <c r="A117" s="502"/>
      <c r="B117" s="502">
        <v>5553</v>
      </c>
      <c r="C117" s="502" t="s">
        <v>35</v>
      </c>
      <c r="D117" s="495">
        <v>1061</v>
      </c>
      <c r="J117" s="503"/>
    </row>
    <row r="118" spans="1:10" ht="12.75" customHeight="1" x14ac:dyDescent="0.2">
      <c r="A118" s="502"/>
      <c r="B118" s="502">
        <v>5905</v>
      </c>
      <c r="C118" s="502" t="s">
        <v>58</v>
      </c>
      <c r="D118" s="495">
        <v>696</v>
      </c>
      <c r="J118" s="503"/>
    </row>
    <row r="119" spans="1:10" ht="12.75" customHeight="1" x14ac:dyDescent="0.2">
      <c r="A119" s="502"/>
      <c r="B119" s="502">
        <v>5907</v>
      </c>
      <c r="C119" s="502" t="s">
        <v>59</v>
      </c>
      <c r="D119" s="495">
        <v>324</v>
      </c>
      <c r="J119" s="503"/>
    </row>
    <row r="120" spans="1:10" ht="12.75" customHeight="1" x14ac:dyDescent="0.2">
      <c r="A120" s="502"/>
      <c r="B120" s="502">
        <v>5749</v>
      </c>
      <c r="C120" s="502" t="s">
        <v>271</v>
      </c>
      <c r="D120" s="495">
        <v>5227</v>
      </c>
      <c r="J120" s="503"/>
    </row>
    <row r="121" spans="1:10" ht="12.75" customHeight="1" x14ac:dyDescent="0.2">
      <c r="A121" s="502"/>
      <c r="B121" s="502">
        <v>5908</v>
      </c>
      <c r="C121" s="502" t="s">
        <v>60</v>
      </c>
      <c r="D121" s="495">
        <v>144</v>
      </c>
      <c r="J121" s="503"/>
    </row>
    <row r="122" spans="1:10" ht="12.75" customHeight="1" x14ac:dyDescent="0.2">
      <c r="A122" s="502"/>
      <c r="B122" s="502">
        <v>5872</v>
      </c>
      <c r="C122" s="502" t="s">
        <v>204</v>
      </c>
      <c r="D122" s="495">
        <v>4600</v>
      </c>
      <c r="J122" s="503"/>
    </row>
    <row r="123" spans="1:10" ht="12.75" customHeight="1" x14ac:dyDescent="0.2">
      <c r="A123" s="502"/>
      <c r="B123" s="502">
        <v>5909</v>
      </c>
      <c r="C123" s="502" t="s">
        <v>61</v>
      </c>
      <c r="D123" s="495">
        <v>741</v>
      </c>
      <c r="J123" s="503"/>
    </row>
    <row r="124" spans="1:10" ht="12.75" customHeight="1" x14ac:dyDescent="0.2">
      <c r="A124" s="502"/>
      <c r="B124" s="502">
        <v>5750</v>
      </c>
      <c r="C124" s="502" t="s">
        <v>272</v>
      </c>
      <c r="D124" s="495">
        <v>187</v>
      </c>
      <c r="J124" s="503"/>
    </row>
    <row r="125" spans="1:10" ht="12.75" customHeight="1" x14ac:dyDescent="0.2">
      <c r="A125" s="502"/>
      <c r="B125" s="502">
        <v>5554</v>
      </c>
      <c r="C125" s="502" t="s">
        <v>36</v>
      </c>
      <c r="D125" s="495">
        <v>1001</v>
      </c>
      <c r="J125" s="503"/>
    </row>
    <row r="126" spans="1:10" ht="12.75" customHeight="1" x14ac:dyDescent="0.2">
      <c r="A126" s="502"/>
      <c r="B126" s="502">
        <v>5555</v>
      </c>
      <c r="C126" s="502" t="s">
        <v>37</v>
      </c>
      <c r="D126" s="495">
        <v>419</v>
      </c>
      <c r="J126" s="503"/>
    </row>
    <row r="127" spans="1:10" ht="12.75" customHeight="1" x14ac:dyDescent="0.2">
      <c r="A127" s="502"/>
      <c r="B127" s="502">
        <v>5910</v>
      </c>
      <c r="C127" s="502" t="s">
        <v>62</v>
      </c>
      <c r="D127" s="495">
        <v>393</v>
      </c>
      <c r="J127" s="503"/>
    </row>
    <row r="128" spans="1:10" ht="12.75" customHeight="1" x14ac:dyDescent="0.2">
      <c r="A128" s="502"/>
      <c r="B128" s="502">
        <v>5752</v>
      </c>
      <c r="C128" s="502" t="s">
        <v>332</v>
      </c>
      <c r="D128" s="495">
        <v>397</v>
      </c>
      <c r="J128" s="503"/>
    </row>
    <row r="129" spans="1:10" ht="12.75" customHeight="1" x14ac:dyDescent="0.2">
      <c r="A129" s="502"/>
      <c r="B129" s="502">
        <v>5911</v>
      </c>
      <c r="C129" s="502" t="s">
        <v>63</v>
      </c>
      <c r="D129" s="495">
        <v>234</v>
      </c>
      <c r="J129" s="503"/>
    </row>
    <row r="130" spans="1:10" ht="12.75" customHeight="1" x14ac:dyDescent="0.2">
      <c r="A130" s="502"/>
      <c r="B130" s="502">
        <v>5912</v>
      </c>
      <c r="C130" s="502" t="s">
        <v>64</v>
      </c>
      <c r="D130" s="495">
        <v>158</v>
      </c>
      <c r="J130" s="503"/>
    </row>
    <row r="131" spans="1:10" ht="12.75" customHeight="1" x14ac:dyDescent="0.2">
      <c r="A131" s="502"/>
      <c r="B131" s="502">
        <v>5913</v>
      </c>
      <c r="C131" s="502" t="s">
        <v>65</v>
      </c>
      <c r="D131" s="495">
        <v>829</v>
      </c>
      <c r="J131" s="503"/>
    </row>
    <row r="132" spans="1:10" ht="12.75" customHeight="1" x14ac:dyDescent="0.2">
      <c r="A132" s="502"/>
      <c r="B132" s="502">
        <v>5914</v>
      </c>
      <c r="C132" s="502" t="s">
        <v>66</v>
      </c>
      <c r="D132" s="495">
        <v>388</v>
      </c>
      <c r="J132" s="503"/>
    </row>
    <row r="133" spans="1:10" ht="12.75" customHeight="1" x14ac:dyDescent="0.2">
      <c r="A133" s="502"/>
      <c r="B133" s="502">
        <v>5556</v>
      </c>
      <c r="C133" s="502" t="s">
        <v>38</v>
      </c>
      <c r="D133" s="495">
        <v>451</v>
      </c>
      <c r="J133" s="503"/>
    </row>
    <row r="134" spans="1:10" ht="12.75" customHeight="1" x14ac:dyDescent="0.2">
      <c r="A134" s="502"/>
      <c r="B134" s="502">
        <v>5557</v>
      </c>
      <c r="C134" s="502" t="s">
        <v>39</v>
      </c>
      <c r="D134" s="495">
        <v>219</v>
      </c>
      <c r="J134" s="503"/>
    </row>
    <row r="135" spans="1:10" ht="12.75" customHeight="1" x14ac:dyDescent="0.2">
      <c r="A135" s="502"/>
      <c r="B135" s="502">
        <v>5559</v>
      </c>
      <c r="C135" s="502" t="s">
        <v>40</v>
      </c>
      <c r="D135" s="495">
        <v>414</v>
      </c>
      <c r="J135" s="503"/>
    </row>
    <row r="136" spans="1:10" ht="12.75" customHeight="1" x14ac:dyDescent="0.2">
      <c r="A136" s="502"/>
      <c r="B136" s="502">
        <v>5560</v>
      </c>
      <c r="C136" s="502" t="s">
        <v>41</v>
      </c>
      <c r="D136" s="495">
        <v>226</v>
      </c>
      <c r="J136" s="503"/>
    </row>
    <row r="137" spans="1:10" ht="12.75" customHeight="1" x14ac:dyDescent="0.2">
      <c r="A137" s="502"/>
      <c r="B137" s="502">
        <v>5561</v>
      </c>
      <c r="C137" s="502" t="s">
        <v>42</v>
      </c>
      <c r="D137" s="495">
        <v>3356</v>
      </c>
      <c r="J137" s="503"/>
    </row>
    <row r="138" spans="1:10" ht="12.75" customHeight="1" x14ac:dyDescent="0.2">
      <c r="A138" s="502"/>
      <c r="B138" s="502">
        <v>5754</v>
      </c>
      <c r="C138" s="502" t="s">
        <v>333</v>
      </c>
      <c r="D138" s="495">
        <v>336</v>
      </c>
      <c r="J138" s="503"/>
    </row>
    <row r="139" spans="1:10" ht="12.75" customHeight="1" x14ac:dyDescent="0.2">
      <c r="A139" s="502"/>
      <c r="B139" s="502">
        <v>5873</v>
      </c>
      <c r="C139" s="502" t="s">
        <v>205</v>
      </c>
      <c r="D139" s="495">
        <v>888</v>
      </c>
      <c r="J139" s="503"/>
    </row>
    <row r="140" spans="1:10" ht="12.75" customHeight="1" x14ac:dyDescent="0.2">
      <c r="A140" s="502"/>
      <c r="B140" s="502">
        <v>5755</v>
      </c>
      <c r="C140" s="502" t="s">
        <v>334</v>
      </c>
      <c r="D140" s="495">
        <v>435</v>
      </c>
      <c r="J140" s="503"/>
    </row>
    <row r="141" spans="1:10" ht="12.75" customHeight="1" x14ac:dyDescent="0.2">
      <c r="A141" s="502"/>
      <c r="B141" s="502">
        <v>5919</v>
      </c>
      <c r="C141" s="502" t="s">
        <v>394</v>
      </c>
      <c r="D141" s="495">
        <v>651</v>
      </c>
      <c r="J141" s="503"/>
    </row>
    <row r="142" spans="1:10" ht="12.75" customHeight="1" x14ac:dyDescent="0.2">
      <c r="A142" s="502"/>
      <c r="B142" s="502">
        <v>5562</v>
      </c>
      <c r="C142" s="502" t="s">
        <v>43</v>
      </c>
      <c r="D142" s="495">
        <v>128</v>
      </c>
      <c r="J142" s="503"/>
    </row>
    <row r="143" spans="1:10" ht="12.75" customHeight="1" x14ac:dyDescent="0.2">
      <c r="A143" s="502"/>
      <c r="B143" s="502">
        <v>5921</v>
      </c>
      <c r="C143" s="502" t="s">
        <v>395</v>
      </c>
      <c r="D143" s="495">
        <v>252</v>
      </c>
      <c r="J143" s="503"/>
    </row>
    <row r="144" spans="1:10" ht="12.75" customHeight="1" x14ac:dyDescent="0.2">
      <c r="A144" s="502"/>
      <c r="B144" s="502">
        <v>5922</v>
      </c>
      <c r="C144" s="502" t="s">
        <v>273</v>
      </c>
      <c r="D144" s="495">
        <v>737</v>
      </c>
      <c r="J144" s="503"/>
    </row>
    <row r="145" spans="1:10" ht="12.75" customHeight="1" x14ac:dyDescent="0.2">
      <c r="A145" s="502"/>
      <c r="B145" s="502">
        <v>5756</v>
      </c>
      <c r="C145" s="502" t="s">
        <v>335</v>
      </c>
      <c r="D145" s="495">
        <v>506</v>
      </c>
      <c r="J145" s="503"/>
    </row>
    <row r="146" spans="1:10" ht="12.75" customHeight="1" x14ac:dyDescent="0.2">
      <c r="A146" s="502"/>
      <c r="B146" s="502">
        <v>5563</v>
      </c>
      <c r="C146" s="502" t="s">
        <v>285</v>
      </c>
      <c r="D146" s="495">
        <v>149</v>
      </c>
      <c r="J146" s="503"/>
    </row>
    <row r="147" spans="1:10" ht="12.75" customHeight="1" x14ac:dyDescent="0.2">
      <c r="A147" s="502"/>
      <c r="B147" s="502">
        <v>5564</v>
      </c>
      <c r="C147" s="502" t="s">
        <v>286</v>
      </c>
      <c r="D147" s="495">
        <v>99</v>
      </c>
      <c r="J147" s="503"/>
    </row>
    <row r="148" spans="1:10" ht="12.75" customHeight="1" x14ac:dyDescent="0.2">
      <c r="A148" s="502"/>
      <c r="B148" s="502">
        <v>5565</v>
      </c>
      <c r="C148" s="502" t="s">
        <v>287</v>
      </c>
      <c r="D148" s="495">
        <v>505</v>
      </c>
      <c r="J148" s="503"/>
    </row>
    <row r="149" spans="1:10" ht="12.75" customHeight="1" x14ac:dyDescent="0.2">
      <c r="A149" s="502"/>
      <c r="B149" s="502">
        <v>5757</v>
      </c>
      <c r="C149" s="502" t="s">
        <v>336</v>
      </c>
      <c r="D149" s="495">
        <v>7124</v>
      </c>
      <c r="J149" s="503"/>
    </row>
    <row r="150" spans="1:10" ht="12.75" customHeight="1" x14ac:dyDescent="0.2">
      <c r="A150" s="502"/>
      <c r="B150" s="502">
        <v>5924</v>
      </c>
      <c r="C150" s="502" t="s">
        <v>275</v>
      </c>
      <c r="D150" s="495">
        <v>343</v>
      </c>
      <c r="J150" s="503"/>
    </row>
    <row r="151" spans="1:10" ht="12.75" customHeight="1" x14ac:dyDescent="0.2">
      <c r="A151" s="502"/>
      <c r="B151" s="502">
        <v>5925</v>
      </c>
      <c r="C151" s="502" t="s">
        <v>399</v>
      </c>
      <c r="D151" s="495">
        <v>201</v>
      </c>
      <c r="J151" s="503"/>
    </row>
    <row r="152" spans="1:10" ht="12.75" customHeight="1" x14ac:dyDescent="0.2">
      <c r="A152" s="502"/>
      <c r="B152" s="502">
        <v>5926</v>
      </c>
      <c r="C152" s="502" t="s">
        <v>400</v>
      </c>
      <c r="D152" s="495">
        <v>803</v>
      </c>
      <c r="J152" s="503"/>
    </row>
    <row r="153" spans="1:10" ht="12.75" customHeight="1" x14ac:dyDescent="0.2">
      <c r="A153" s="502"/>
      <c r="B153" s="502">
        <v>5758</v>
      </c>
      <c r="C153" s="502" t="s">
        <v>217</v>
      </c>
      <c r="D153" s="495">
        <v>175</v>
      </c>
      <c r="J153" s="503"/>
    </row>
    <row r="154" spans="1:10" ht="12.75" customHeight="1" x14ac:dyDescent="0.2">
      <c r="A154" s="502"/>
      <c r="B154" s="502">
        <v>5759</v>
      </c>
      <c r="C154" s="502" t="s">
        <v>218</v>
      </c>
      <c r="D154" s="495">
        <v>218</v>
      </c>
      <c r="J154" s="503"/>
    </row>
    <row r="155" spans="1:10" ht="12.75" customHeight="1" x14ac:dyDescent="0.2">
      <c r="A155" s="502"/>
      <c r="B155" s="502">
        <v>5566</v>
      </c>
      <c r="C155" s="502" t="s">
        <v>288</v>
      </c>
      <c r="D155" s="495">
        <v>392</v>
      </c>
      <c r="J155" s="503"/>
    </row>
    <row r="156" spans="1:10" ht="12.75" customHeight="1" x14ac:dyDescent="0.2">
      <c r="A156" s="502"/>
      <c r="B156" s="502">
        <v>5760</v>
      </c>
      <c r="C156" s="502" t="s">
        <v>219</v>
      </c>
      <c r="D156" s="495">
        <v>513</v>
      </c>
      <c r="J156" s="503"/>
    </row>
    <row r="157" spans="1:10" ht="12.75" customHeight="1" x14ac:dyDescent="0.2">
      <c r="A157" s="502"/>
      <c r="B157" s="502">
        <v>5761</v>
      </c>
      <c r="C157" s="502" t="s">
        <v>135</v>
      </c>
      <c r="D157" s="495">
        <v>525</v>
      </c>
      <c r="J157" s="503"/>
    </row>
    <row r="158" spans="1:10" ht="12.75" customHeight="1" x14ac:dyDescent="0.2">
      <c r="A158" s="502"/>
      <c r="B158" s="502">
        <v>5928</v>
      </c>
      <c r="C158" s="502" t="s">
        <v>401</v>
      </c>
      <c r="D158" s="495">
        <v>204</v>
      </c>
      <c r="J158" s="503"/>
    </row>
    <row r="159" spans="1:10" ht="12.75" customHeight="1" x14ac:dyDescent="0.2">
      <c r="A159" s="502"/>
      <c r="B159" s="502">
        <v>5568</v>
      </c>
      <c r="C159" s="502" t="s">
        <v>119</v>
      </c>
      <c r="D159" s="495">
        <v>4917</v>
      </c>
      <c r="J159" s="503"/>
    </row>
    <row r="160" spans="1:10" ht="12.75" customHeight="1" x14ac:dyDescent="0.2">
      <c r="A160" s="502"/>
      <c r="B160" s="502">
        <v>5762</v>
      </c>
      <c r="C160" s="502" t="s">
        <v>136</v>
      </c>
      <c r="D160" s="495">
        <v>145</v>
      </c>
      <c r="J160" s="503"/>
    </row>
    <row r="161" spans="1:10" ht="12.75" customHeight="1" x14ac:dyDescent="0.2">
      <c r="A161" s="502"/>
      <c r="B161" s="502">
        <v>5929</v>
      </c>
      <c r="C161" s="502" t="s">
        <v>402</v>
      </c>
      <c r="D161" s="495">
        <v>656</v>
      </c>
      <c r="J161" s="503"/>
    </row>
    <row r="162" spans="1:10" ht="12.75" customHeight="1" x14ac:dyDescent="0.2">
      <c r="A162" s="502"/>
      <c r="B162" s="502">
        <v>5930</v>
      </c>
      <c r="C162" s="502" t="s">
        <v>403</v>
      </c>
      <c r="D162" s="495">
        <v>204</v>
      </c>
      <c r="J162" s="503"/>
    </row>
    <row r="163" spans="1:10" ht="12.75" customHeight="1" x14ac:dyDescent="0.2">
      <c r="A163" s="502"/>
      <c r="B163" s="502">
        <v>5571</v>
      </c>
      <c r="C163" s="502" t="s">
        <v>429</v>
      </c>
      <c r="D163" s="495">
        <v>894</v>
      </c>
      <c r="J163" s="503"/>
    </row>
    <row r="164" spans="1:10" ht="12.75" customHeight="1" x14ac:dyDescent="0.2">
      <c r="A164" s="502"/>
      <c r="B164" s="502">
        <v>5931</v>
      </c>
      <c r="C164" s="502" t="s">
        <v>404</v>
      </c>
      <c r="D164" s="495">
        <v>485</v>
      </c>
      <c r="J164" s="503"/>
    </row>
    <row r="165" spans="1:10" ht="12.75" customHeight="1" x14ac:dyDescent="0.2">
      <c r="A165" s="502"/>
      <c r="B165" s="502">
        <v>5932</v>
      </c>
      <c r="C165" s="502" t="s">
        <v>276</v>
      </c>
      <c r="D165" s="495">
        <v>238</v>
      </c>
      <c r="J165" s="503"/>
    </row>
    <row r="166" spans="1:10" ht="12.75" customHeight="1" x14ac:dyDescent="0.2">
      <c r="A166" s="502"/>
      <c r="B166" s="502">
        <v>5933</v>
      </c>
      <c r="C166" s="502" t="s">
        <v>397</v>
      </c>
      <c r="D166" s="495">
        <v>714</v>
      </c>
      <c r="J166" s="503"/>
    </row>
    <row r="167" spans="1:10" ht="12.75" customHeight="1" x14ac:dyDescent="0.2">
      <c r="A167" s="502"/>
      <c r="B167" s="502">
        <v>5763</v>
      </c>
      <c r="C167" s="502" t="s">
        <v>137</v>
      </c>
      <c r="D167" s="495">
        <v>609</v>
      </c>
      <c r="J167" s="503"/>
    </row>
    <row r="168" spans="1:10" ht="12.75" customHeight="1" x14ac:dyDescent="0.2">
      <c r="A168" s="502"/>
      <c r="B168" s="502">
        <v>5934</v>
      </c>
      <c r="C168" s="502" t="s">
        <v>398</v>
      </c>
      <c r="D168" s="495">
        <v>241</v>
      </c>
      <c r="J168" s="503"/>
    </row>
    <row r="169" spans="1:10" ht="12.75" customHeight="1" x14ac:dyDescent="0.2">
      <c r="A169" s="502"/>
      <c r="B169" s="502">
        <v>5764</v>
      </c>
      <c r="C169" s="502" t="s">
        <v>337</v>
      </c>
      <c r="D169" s="495">
        <v>3874</v>
      </c>
      <c r="J169" s="503"/>
    </row>
    <row r="170" spans="1:10" ht="12.75" customHeight="1" x14ac:dyDescent="0.2">
      <c r="A170" s="502"/>
      <c r="B170" s="502">
        <v>5765</v>
      </c>
      <c r="C170" s="502" t="s">
        <v>338</v>
      </c>
      <c r="D170" s="495">
        <v>506</v>
      </c>
      <c r="J170" s="503"/>
    </row>
    <row r="171" spans="1:10" ht="12.75" customHeight="1" x14ac:dyDescent="0.2">
      <c r="A171" s="502"/>
      <c r="B171" s="502">
        <v>5935</v>
      </c>
      <c r="C171" s="502" t="s">
        <v>299</v>
      </c>
      <c r="D171" s="495">
        <v>101</v>
      </c>
      <c r="J171" s="503"/>
    </row>
    <row r="172" spans="1:10" ht="12.75" customHeight="1" x14ac:dyDescent="0.2">
      <c r="A172" s="502"/>
      <c r="B172" s="502">
        <v>5937</v>
      </c>
      <c r="C172" s="502" t="s">
        <v>277</v>
      </c>
      <c r="D172" s="495">
        <v>138</v>
      </c>
      <c r="J172" s="503"/>
    </row>
    <row r="173" spans="1:10" ht="12.75" customHeight="1" x14ac:dyDescent="0.2">
      <c r="A173" s="502"/>
      <c r="B173" s="502">
        <v>5766</v>
      </c>
      <c r="C173" s="502" t="s">
        <v>339</v>
      </c>
      <c r="D173" s="495">
        <v>584</v>
      </c>
      <c r="J173" s="503"/>
    </row>
    <row r="174" spans="1:10" ht="12.75" customHeight="1" x14ac:dyDescent="0.2">
      <c r="A174" s="502"/>
      <c r="B174" s="502">
        <v>5938</v>
      </c>
      <c r="C174" s="502" t="s">
        <v>150</v>
      </c>
      <c r="D174" s="495">
        <v>29981</v>
      </c>
      <c r="J174" s="503"/>
    </row>
    <row r="175" spans="1:10" ht="12.75" customHeight="1" x14ac:dyDescent="0.2">
      <c r="A175" s="502"/>
      <c r="B175" s="502">
        <v>5939</v>
      </c>
      <c r="C175" s="502" t="s">
        <v>149</v>
      </c>
      <c r="D175" s="495">
        <v>3467</v>
      </c>
      <c r="J175" s="503"/>
    </row>
    <row r="176" spans="1:10" ht="12.75" customHeight="1" x14ac:dyDescent="0.2">
      <c r="A176" s="505" t="s">
        <v>120</v>
      </c>
      <c r="B176" s="505"/>
      <c r="C176" s="505"/>
      <c r="D176" s="504">
        <v>168346</v>
      </c>
      <c r="J176" s="503"/>
    </row>
    <row r="177" spans="1:10" ht="12.75" customHeight="1" x14ac:dyDescent="0.2">
      <c r="A177" s="502"/>
      <c r="B177" s="502">
        <v>5582</v>
      </c>
      <c r="C177" s="502" t="s">
        <v>390</v>
      </c>
      <c r="D177" s="495">
        <v>4367</v>
      </c>
      <c r="J177" s="503"/>
    </row>
    <row r="178" spans="1:10" ht="12.75" customHeight="1" x14ac:dyDescent="0.2">
      <c r="A178" s="502"/>
      <c r="B178" s="502">
        <v>5584</v>
      </c>
      <c r="C178" s="502" t="s">
        <v>392</v>
      </c>
      <c r="D178" s="495">
        <v>9755</v>
      </c>
      <c r="J178" s="503"/>
    </row>
    <row r="179" spans="1:10" ht="12.75" customHeight="1" x14ac:dyDescent="0.2">
      <c r="A179" s="502"/>
      <c r="B179" s="502">
        <v>5585</v>
      </c>
      <c r="C179" s="502" t="s">
        <v>393</v>
      </c>
      <c r="D179" s="495">
        <v>1411</v>
      </c>
      <c r="J179" s="503"/>
    </row>
    <row r="180" spans="1:10" ht="12.75" customHeight="1" x14ac:dyDescent="0.2">
      <c r="A180" s="502"/>
      <c r="B180" s="502">
        <v>5586</v>
      </c>
      <c r="C180" s="502" t="s">
        <v>120</v>
      </c>
      <c r="D180" s="495">
        <v>140430</v>
      </c>
      <c r="J180" s="503"/>
    </row>
    <row r="181" spans="1:10" ht="12.75" customHeight="1" x14ac:dyDescent="0.2">
      <c r="A181" s="502"/>
      <c r="B181" s="502">
        <v>5587</v>
      </c>
      <c r="C181" s="502" t="s">
        <v>121</v>
      </c>
      <c r="D181" s="495">
        <v>9136</v>
      </c>
      <c r="J181" s="503"/>
    </row>
    <row r="182" spans="1:10" ht="12.75" customHeight="1" x14ac:dyDescent="0.2">
      <c r="A182" s="502"/>
      <c r="B182" s="502">
        <v>5592</v>
      </c>
      <c r="C182" s="502" t="s">
        <v>216</v>
      </c>
      <c r="D182" s="495">
        <v>3247</v>
      </c>
      <c r="J182" s="503"/>
    </row>
    <row r="183" spans="1:10" ht="12.75" customHeight="1" x14ac:dyDescent="0.2">
      <c r="A183" s="505" t="s">
        <v>612</v>
      </c>
      <c r="B183" s="505"/>
      <c r="C183" s="505"/>
      <c r="D183" s="504">
        <v>63434</v>
      </c>
      <c r="J183" s="503"/>
    </row>
    <row r="184" spans="1:10" ht="12.75" customHeight="1" x14ac:dyDescent="0.2">
      <c r="A184" s="502"/>
      <c r="B184" s="502">
        <v>5581</v>
      </c>
      <c r="C184" s="502" t="s">
        <v>389</v>
      </c>
      <c r="D184" s="495">
        <v>3756</v>
      </c>
      <c r="J184" s="503"/>
    </row>
    <row r="185" spans="1:10" ht="12.75" customHeight="1" x14ac:dyDescent="0.2">
      <c r="A185" s="502"/>
      <c r="B185" s="502">
        <v>5613</v>
      </c>
      <c r="C185" s="502" t="s">
        <v>428</v>
      </c>
      <c r="D185" s="495">
        <v>5389</v>
      </c>
      <c r="J185" s="503"/>
    </row>
    <row r="186" spans="1:10" ht="12.75" customHeight="1" x14ac:dyDescent="0.2">
      <c r="A186" s="502"/>
      <c r="B186" s="502">
        <v>5601</v>
      </c>
      <c r="C186" s="502" t="s">
        <v>298</v>
      </c>
      <c r="D186" s="495">
        <v>2251</v>
      </c>
      <c r="J186" s="503"/>
    </row>
    <row r="187" spans="1:10" ht="12.75" customHeight="1" x14ac:dyDescent="0.2">
      <c r="A187" s="502"/>
      <c r="B187" s="502">
        <v>5788</v>
      </c>
      <c r="C187" s="502" t="s">
        <v>280</v>
      </c>
      <c r="D187" s="495">
        <v>389</v>
      </c>
      <c r="J187" s="503"/>
    </row>
    <row r="188" spans="1:10" ht="12.75" customHeight="1" x14ac:dyDescent="0.2">
      <c r="A188" s="502"/>
      <c r="B188" s="502">
        <v>5604</v>
      </c>
      <c r="C188" s="502" t="s">
        <v>143</v>
      </c>
      <c r="D188" s="495">
        <v>2105</v>
      </c>
      <c r="J188" s="503"/>
    </row>
    <row r="189" spans="1:10" ht="12.75" customHeight="1" x14ac:dyDescent="0.2">
      <c r="A189" s="502"/>
      <c r="B189" s="502">
        <v>5806</v>
      </c>
      <c r="C189" s="502" t="s">
        <v>524</v>
      </c>
      <c r="D189" s="495">
        <v>2966</v>
      </c>
      <c r="J189" s="503"/>
    </row>
    <row r="190" spans="1:10" ht="12.75" customHeight="1" x14ac:dyDescent="0.2">
      <c r="A190" s="502"/>
      <c r="B190" s="502">
        <v>5606</v>
      </c>
      <c r="C190" s="502" t="s">
        <v>144</v>
      </c>
      <c r="D190" s="495">
        <v>10455</v>
      </c>
      <c r="J190" s="503"/>
    </row>
    <row r="191" spans="1:10" ht="12.75" customHeight="1" x14ac:dyDescent="0.2">
      <c r="A191" s="502"/>
      <c r="B191" s="502">
        <v>5790</v>
      </c>
      <c r="C191" s="502" t="s">
        <v>281</v>
      </c>
      <c r="D191" s="495">
        <v>538</v>
      </c>
      <c r="J191" s="503"/>
    </row>
    <row r="192" spans="1:10" ht="12.75" customHeight="1" x14ac:dyDescent="0.2">
      <c r="A192" s="502"/>
      <c r="B192" s="502">
        <v>5792</v>
      </c>
      <c r="C192" s="502" t="s">
        <v>282</v>
      </c>
      <c r="D192" s="495">
        <v>653</v>
      </c>
      <c r="J192" s="503"/>
    </row>
    <row r="193" spans="1:10" ht="12.75" customHeight="1" x14ac:dyDescent="0.2">
      <c r="A193" s="502"/>
      <c r="B193" s="502">
        <v>5805</v>
      </c>
      <c r="C193" s="502" t="s">
        <v>435</v>
      </c>
      <c r="D193" s="495">
        <v>5663</v>
      </c>
      <c r="J193" s="503"/>
    </row>
    <row r="194" spans="1:10" ht="12.75" customHeight="1" x14ac:dyDescent="0.2">
      <c r="A194" s="502"/>
      <c r="B194" s="502">
        <v>5588</v>
      </c>
      <c r="C194" s="502" t="s">
        <v>122</v>
      </c>
      <c r="D194" s="495">
        <v>1538</v>
      </c>
      <c r="J194" s="503"/>
    </row>
    <row r="195" spans="1:10" ht="12.75" customHeight="1" x14ac:dyDescent="0.2">
      <c r="A195" s="502"/>
      <c r="B195" s="502">
        <v>5607</v>
      </c>
      <c r="C195" s="502" t="s">
        <v>300</v>
      </c>
      <c r="D195" s="495">
        <v>2894</v>
      </c>
      <c r="J195" s="503"/>
    </row>
    <row r="196" spans="1:10" ht="12.75" customHeight="1" x14ac:dyDescent="0.2">
      <c r="A196" s="502"/>
      <c r="B196" s="502">
        <v>5590</v>
      </c>
      <c r="C196" s="502" t="s">
        <v>124</v>
      </c>
      <c r="D196" s="495">
        <v>18688</v>
      </c>
      <c r="J196" s="503"/>
    </row>
    <row r="197" spans="1:10" ht="12.75" customHeight="1" x14ac:dyDescent="0.2">
      <c r="A197" s="502"/>
      <c r="B197" s="502">
        <v>5609</v>
      </c>
      <c r="C197" s="502" t="s">
        <v>128</v>
      </c>
      <c r="D197" s="495">
        <v>337</v>
      </c>
      <c r="J197" s="503"/>
    </row>
    <row r="198" spans="1:10" ht="12.75" customHeight="1" x14ac:dyDescent="0.2">
      <c r="A198" s="502"/>
      <c r="B198" s="502">
        <v>5610</v>
      </c>
      <c r="C198" s="502" t="s">
        <v>129</v>
      </c>
      <c r="D198" s="495">
        <v>388</v>
      </c>
      <c r="J198" s="503"/>
    </row>
    <row r="199" spans="1:10" ht="12.75" customHeight="1" x14ac:dyDescent="0.2">
      <c r="A199" s="502"/>
      <c r="B199" s="502">
        <v>5611</v>
      </c>
      <c r="C199" s="502" t="s">
        <v>297</v>
      </c>
      <c r="D199" s="495">
        <v>3348</v>
      </c>
      <c r="J199" s="503"/>
    </row>
    <row r="200" spans="1:10" ht="12.75" customHeight="1" x14ac:dyDescent="0.2">
      <c r="A200" s="502"/>
      <c r="B200" s="502">
        <v>5799</v>
      </c>
      <c r="C200" s="502" t="s">
        <v>284</v>
      </c>
      <c r="D200" s="495">
        <v>2076</v>
      </c>
      <c r="J200" s="503"/>
    </row>
    <row r="201" spans="1:10" ht="12.75" customHeight="1" x14ac:dyDescent="0.2">
      <c r="A201" s="505" t="s">
        <v>162</v>
      </c>
      <c r="B201" s="505"/>
      <c r="C201" s="505"/>
      <c r="D201" s="504">
        <v>84561</v>
      </c>
      <c r="J201" s="503"/>
    </row>
    <row r="202" spans="1:10" ht="12.75" customHeight="1" x14ac:dyDescent="0.2">
      <c r="A202" s="502"/>
      <c r="B202" s="502">
        <v>5621</v>
      </c>
      <c r="C202" s="502" t="s">
        <v>405</v>
      </c>
      <c r="D202" s="495">
        <v>528</v>
      </c>
      <c r="J202" s="503"/>
    </row>
    <row r="203" spans="1:10" ht="12.75" customHeight="1" x14ac:dyDescent="0.2">
      <c r="A203" s="502"/>
      <c r="B203" s="502">
        <v>5851</v>
      </c>
      <c r="C203" s="502" t="s">
        <v>16</v>
      </c>
      <c r="D203" s="495">
        <v>443</v>
      </c>
      <c r="J203" s="503"/>
    </row>
    <row r="204" spans="1:10" ht="12.75" customHeight="1" x14ac:dyDescent="0.2">
      <c r="A204" s="502"/>
      <c r="B204" s="502">
        <v>5421</v>
      </c>
      <c r="C204" s="502" t="s">
        <v>73</v>
      </c>
      <c r="D204" s="495">
        <v>1457</v>
      </c>
      <c r="J204" s="503"/>
    </row>
    <row r="205" spans="1:10" ht="12.75" customHeight="1" x14ac:dyDescent="0.2">
      <c r="A205" s="502"/>
      <c r="B205" s="502">
        <v>5422</v>
      </c>
      <c r="C205" s="502" t="s">
        <v>74</v>
      </c>
      <c r="D205" s="495">
        <v>3241</v>
      </c>
      <c r="J205" s="503"/>
    </row>
    <row r="206" spans="1:10" ht="12.75" customHeight="1" x14ac:dyDescent="0.2">
      <c r="A206" s="502"/>
      <c r="B206" s="502">
        <v>5423</v>
      </c>
      <c r="C206" s="502" t="s">
        <v>75</v>
      </c>
      <c r="D206" s="495">
        <v>562</v>
      </c>
      <c r="J206" s="503"/>
    </row>
    <row r="207" spans="1:10" ht="12.75" customHeight="1" x14ac:dyDescent="0.2">
      <c r="A207" s="502"/>
      <c r="B207" s="502">
        <v>5424</v>
      </c>
      <c r="C207" s="502" t="s">
        <v>76</v>
      </c>
      <c r="D207" s="495">
        <v>313</v>
      </c>
      <c r="J207" s="503"/>
    </row>
    <row r="208" spans="1:10" ht="12.75" customHeight="1" x14ac:dyDescent="0.2">
      <c r="A208" s="502"/>
      <c r="B208" s="502">
        <v>5425</v>
      </c>
      <c r="C208" s="502" t="s">
        <v>77</v>
      </c>
      <c r="D208" s="495">
        <v>1627</v>
      </c>
      <c r="J208" s="503"/>
    </row>
    <row r="209" spans="1:10" ht="12.75" customHeight="1" x14ac:dyDescent="0.2">
      <c r="A209" s="502"/>
      <c r="B209" s="502">
        <v>5426</v>
      </c>
      <c r="C209" s="502" t="s">
        <v>71</v>
      </c>
      <c r="D209" s="495">
        <v>477</v>
      </c>
      <c r="J209" s="503"/>
    </row>
    <row r="210" spans="1:10" ht="12.75" customHeight="1" x14ac:dyDescent="0.2">
      <c r="A210" s="502"/>
      <c r="B210" s="502">
        <v>5622</v>
      </c>
      <c r="C210" s="502" t="s">
        <v>147</v>
      </c>
      <c r="D210" s="495">
        <v>583</v>
      </c>
      <c r="J210" s="503"/>
    </row>
    <row r="211" spans="1:10" ht="12.75" customHeight="1" x14ac:dyDescent="0.2">
      <c r="A211" s="502"/>
      <c r="B211" s="502">
        <v>5623</v>
      </c>
      <c r="C211" s="502" t="s">
        <v>148</v>
      </c>
      <c r="D211" s="495">
        <v>686</v>
      </c>
      <c r="J211" s="503"/>
    </row>
    <row r="212" spans="1:10" ht="12.75" customHeight="1" x14ac:dyDescent="0.2">
      <c r="A212" s="502"/>
      <c r="B212" s="502">
        <v>5625</v>
      </c>
      <c r="C212" s="502" t="s">
        <v>301</v>
      </c>
      <c r="D212" s="495">
        <v>404</v>
      </c>
      <c r="J212" s="503"/>
    </row>
    <row r="213" spans="1:10" ht="12.75" customHeight="1" x14ac:dyDescent="0.2">
      <c r="A213" s="502"/>
      <c r="B213" s="502">
        <v>5474</v>
      </c>
      <c r="C213" s="502" t="s">
        <v>210</v>
      </c>
      <c r="D213" s="495">
        <v>391</v>
      </c>
      <c r="J213" s="503"/>
    </row>
    <row r="214" spans="1:10" ht="12.75" customHeight="1" x14ac:dyDescent="0.2">
      <c r="A214" s="502"/>
      <c r="B214" s="502">
        <v>5475</v>
      </c>
      <c r="C214" s="502" t="s">
        <v>373</v>
      </c>
      <c r="D214" s="495">
        <v>152</v>
      </c>
      <c r="J214" s="503"/>
    </row>
    <row r="215" spans="1:10" ht="12.75" customHeight="1" x14ac:dyDescent="0.2">
      <c r="A215" s="502"/>
      <c r="B215" s="502">
        <v>5476</v>
      </c>
      <c r="C215" s="502" t="s">
        <v>374</v>
      </c>
      <c r="D215" s="495">
        <v>317</v>
      </c>
      <c r="J215" s="503"/>
    </row>
    <row r="216" spans="1:10" ht="12.75" customHeight="1" x14ac:dyDescent="0.2">
      <c r="A216" s="502"/>
      <c r="B216" s="502">
        <v>5628</v>
      </c>
      <c r="C216" s="502" t="s">
        <v>256</v>
      </c>
      <c r="D216" s="495">
        <v>396</v>
      </c>
      <c r="J216" s="503"/>
    </row>
    <row r="217" spans="1:10" ht="12.75" customHeight="1" x14ac:dyDescent="0.2">
      <c r="A217" s="502"/>
      <c r="B217" s="502">
        <v>5629</v>
      </c>
      <c r="C217" s="502" t="s">
        <v>151</v>
      </c>
      <c r="D217" s="495">
        <v>201</v>
      </c>
      <c r="J217" s="503"/>
    </row>
    <row r="218" spans="1:10" ht="12.75" customHeight="1" x14ac:dyDescent="0.2">
      <c r="A218" s="502"/>
      <c r="B218" s="502">
        <v>5477</v>
      </c>
      <c r="C218" s="502" t="s">
        <v>375</v>
      </c>
      <c r="D218" s="495">
        <v>4222</v>
      </c>
      <c r="J218" s="503"/>
    </row>
    <row r="219" spans="1:10" ht="12.75" customHeight="1" x14ac:dyDescent="0.2">
      <c r="A219" s="502"/>
      <c r="B219" s="502">
        <v>5478</v>
      </c>
      <c r="C219" s="502" t="s">
        <v>241</v>
      </c>
      <c r="D219" s="495">
        <v>491</v>
      </c>
      <c r="J219" s="503"/>
    </row>
    <row r="220" spans="1:10" ht="12.75" customHeight="1" x14ac:dyDescent="0.2">
      <c r="A220" s="502"/>
      <c r="B220" s="502">
        <v>5479</v>
      </c>
      <c r="C220" s="502" t="s">
        <v>242</v>
      </c>
      <c r="D220" s="495">
        <v>527</v>
      </c>
      <c r="J220" s="503"/>
    </row>
    <row r="221" spans="1:10" ht="12.75" customHeight="1" x14ac:dyDescent="0.2">
      <c r="A221" s="502"/>
      <c r="B221" s="502">
        <v>5631</v>
      </c>
      <c r="C221" s="502" t="s">
        <v>152</v>
      </c>
      <c r="D221" s="495">
        <v>742</v>
      </c>
      <c r="J221" s="503"/>
    </row>
    <row r="222" spans="1:10" ht="12.75" customHeight="1" x14ac:dyDescent="0.2">
      <c r="A222" s="502"/>
      <c r="B222" s="502">
        <v>5632</v>
      </c>
      <c r="C222" s="502" t="s">
        <v>153</v>
      </c>
      <c r="D222" s="495">
        <v>1730</v>
      </c>
      <c r="J222" s="503"/>
    </row>
    <row r="223" spans="1:10" ht="12.75" customHeight="1" x14ac:dyDescent="0.2">
      <c r="A223" s="502"/>
      <c r="B223" s="502">
        <v>5481</v>
      </c>
      <c r="C223" s="502" t="s">
        <v>244</v>
      </c>
      <c r="D223" s="495">
        <v>224</v>
      </c>
      <c r="J223" s="503"/>
    </row>
    <row r="224" spans="1:10" ht="12.75" customHeight="1" x14ac:dyDescent="0.2">
      <c r="A224" s="502"/>
      <c r="B224" s="502">
        <v>5633</v>
      </c>
      <c r="C224" s="502" t="s">
        <v>154</v>
      </c>
      <c r="D224" s="495">
        <v>2743</v>
      </c>
      <c r="J224" s="503"/>
    </row>
    <row r="225" spans="1:10" ht="12.75" customHeight="1" x14ac:dyDescent="0.2">
      <c r="A225" s="502"/>
      <c r="B225" s="502">
        <v>5634</v>
      </c>
      <c r="C225" s="502" t="s">
        <v>155</v>
      </c>
      <c r="D225" s="495">
        <v>3127</v>
      </c>
      <c r="J225" s="503"/>
    </row>
    <row r="226" spans="1:10" ht="12.75" customHeight="1" x14ac:dyDescent="0.2">
      <c r="A226" s="502"/>
      <c r="B226" s="502">
        <v>5482</v>
      </c>
      <c r="C226" s="502" t="s">
        <v>245</v>
      </c>
      <c r="D226" s="495">
        <v>1220</v>
      </c>
      <c r="J226" s="503"/>
    </row>
    <row r="227" spans="1:10" ht="12.75" customHeight="1" x14ac:dyDescent="0.2">
      <c r="A227" s="502"/>
      <c r="B227" s="502">
        <v>5636</v>
      </c>
      <c r="C227" s="502" t="s">
        <v>157</v>
      </c>
      <c r="D227" s="495">
        <v>2909</v>
      </c>
      <c r="J227" s="503"/>
    </row>
    <row r="228" spans="1:10" ht="12.75" customHeight="1" x14ac:dyDescent="0.2">
      <c r="A228" s="502"/>
      <c r="B228" s="502">
        <v>5427</v>
      </c>
      <c r="C228" s="502" t="s">
        <v>342</v>
      </c>
      <c r="D228" s="495">
        <v>869</v>
      </c>
      <c r="J228" s="503"/>
    </row>
    <row r="229" spans="1:10" ht="12.75" customHeight="1" x14ac:dyDescent="0.2">
      <c r="A229" s="502"/>
      <c r="B229" s="502">
        <v>5483</v>
      </c>
      <c r="C229" s="502" t="s">
        <v>140</v>
      </c>
      <c r="D229" s="495">
        <v>319</v>
      </c>
      <c r="J229" s="503"/>
    </row>
    <row r="230" spans="1:10" ht="12.75" customHeight="1" x14ac:dyDescent="0.2">
      <c r="A230" s="502"/>
      <c r="B230" s="502">
        <v>5428</v>
      </c>
      <c r="C230" s="502" t="s">
        <v>343</v>
      </c>
      <c r="D230" s="495">
        <v>2307</v>
      </c>
      <c r="J230" s="503"/>
    </row>
    <row r="231" spans="1:10" ht="12.75" customHeight="1" x14ac:dyDescent="0.2">
      <c r="A231" s="502"/>
      <c r="B231" s="502">
        <v>5484</v>
      </c>
      <c r="C231" s="502" t="s">
        <v>141</v>
      </c>
      <c r="D231" s="495">
        <v>996</v>
      </c>
      <c r="J231" s="503"/>
    </row>
    <row r="232" spans="1:10" ht="12.75" customHeight="1" x14ac:dyDescent="0.2">
      <c r="A232" s="502"/>
      <c r="B232" s="502">
        <v>5485</v>
      </c>
      <c r="C232" s="502" t="s">
        <v>142</v>
      </c>
      <c r="D232" s="495">
        <v>406</v>
      </c>
      <c r="J232" s="503"/>
    </row>
    <row r="233" spans="1:10" ht="12.75" customHeight="1" x14ac:dyDescent="0.2">
      <c r="A233" s="502"/>
      <c r="B233" s="502">
        <v>5486</v>
      </c>
      <c r="C233" s="502" t="s">
        <v>1</v>
      </c>
      <c r="D233" s="495">
        <v>1065</v>
      </c>
      <c r="J233" s="503"/>
    </row>
    <row r="234" spans="1:10" ht="12.75" customHeight="1" x14ac:dyDescent="0.2">
      <c r="A234" s="502"/>
      <c r="B234" s="502">
        <v>5637</v>
      </c>
      <c r="C234" s="502" t="s">
        <v>158</v>
      </c>
      <c r="D234" s="495">
        <v>1008</v>
      </c>
      <c r="J234" s="503"/>
    </row>
    <row r="235" spans="1:10" ht="12.75" customHeight="1" x14ac:dyDescent="0.2">
      <c r="A235" s="502"/>
      <c r="B235" s="502">
        <v>5638</v>
      </c>
      <c r="C235" s="502" t="s">
        <v>159</v>
      </c>
      <c r="D235" s="495">
        <v>2679</v>
      </c>
      <c r="J235" s="503"/>
    </row>
    <row r="236" spans="1:10" ht="12.75" customHeight="1" x14ac:dyDescent="0.2">
      <c r="A236" s="502"/>
      <c r="B236" s="502">
        <v>5639</v>
      </c>
      <c r="C236" s="502" t="s">
        <v>160</v>
      </c>
      <c r="D236" s="495">
        <v>825</v>
      </c>
      <c r="J236" s="503"/>
    </row>
    <row r="237" spans="1:10" ht="12.75" customHeight="1" x14ac:dyDescent="0.2">
      <c r="A237" s="502"/>
      <c r="B237" s="502">
        <v>5640</v>
      </c>
      <c r="C237" s="502" t="s">
        <v>161</v>
      </c>
      <c r="D237" s="495">
        <v>722</v>
      </c>
      <c r="J237" s="503"/>
    </row>
    <row r="238" spans="1:10" ht="12.75" customHeight="1" x14ac:dyDescent="0.2">
      <c r="A238" s="502"/>
      <c r="B238" s="502">
        <v>5488</v>
      </c>
      <c r="C238" s="502" t="s">
        <v>3</v>
      </c>
      <c r="D238" s="495">
        <v>58</v>
      </c>
      <c r="J238" s="503"/>
    </row>
    <row r="239" spans="1:10" ht="12.75" customHeight="1" x14ac:dyDescent="0.2">
      <c r="A239" s="502"/>
      <c r="B239" s="502">
        <v>5490</v>
      </c>
      <c r="C239" s="502" t="s">
        <v>5</v>
      </c>
      <c r="D239" s="495">
        <v>311</v>
      </c>
      <c r="J239" s="503"/>
    </row>
    <row r="240" spans="1:10" ht="12.75" customHeight="1" x14ac:dyDescent="0.2">
      <c r="A240" s="502"/>
      <c r="B240" s="502">
        <v>5431</v>
      </c>
      <c r="C240" s="502" t="s">
        <v>365</v>
      </c>
      <c r="D240" s="495">
        <v>330</v>
      </c>
      <c r="J240" s="503"/>
    </row>
    <row r="241" spans="1:10" ht="12.75" customHeight="1" x14ac:dyDescent="0.2">
      <c r="A241" s="502"/>
      <c r="B241" s="502">
        <v>5432</v>
      </c>
      <c r="C241" s="502" t="s">
        <v>366</v>
      </c>
      <c r="D241" s="495">
        <v>523</v>
      </c>
      <c r="J241" s="503"/>
    </row>
    <row r="242" spans="1:10" ht="12.75" customHeight="1" x14ac:dyDescent="0.2">
      <c r="A242" s="502"/>
      <c r="B242" s="502">
        <v>5491</v>
      </c>
      <c r="C242" s="502" t="s">
        <v>164</v>
      </c>
      <c r="D242" s="495">
        <v>490</v>
      </c>
      <c r="J242" s="503"/>
    </row>
    <row r="243" spans="1:10" ht="12.75" customHeight="1" x14ac:dyDescent="0.2">
      <c r="A243" s="502"/>
      <c r="B243" s="502">
        <v>5492</v>
      </c>
      <c r="C243" s="502" t="s">
        <v>165</v>
      </c>
      <c r="D243" s="495">
        <v>964</v>
      </c>
      <c r="J243" s="503"/>
    </row>
    <row r="244" spans="1:10" ht="12.75" customHeight="1" x14ac:dyDescent="0.2">
      <c r="A244" s="502"/>
      <c r="B244" s="502">
        <v>5642</v>
      </c>
      <c r="C244" s="502" t="s">
        <v>162</v>
      </c>
      <c r="D244" s="495">
        <v>16095</v>
      </c>
      <c r="J244" s="503"/>
    </row>
    <row r="245" spans="1:10" ht="12.75" customHeight="1" x14ac:dyDescent="0.2">
      <c r="A245" s="502"/>
      <c r="B245" s="502">
        <v>5493</v>
      </c>
      <c r="C245" s="502" t="s">
        <v>166</v>
      </c>
      <c r="D245" s="495">
        <v>462</v>
      </c>
      <c r="J245" s="503"/>
    </row>
    <row r="246" spans="1:10" ht="12.75" customHeight="1" x14ac:dyDescent="0.2">
      <c r="A246" s="502"/>
      <c r="B246" s="502">
        <v>5494</v>
      </c>
      <c r="C246" s="502" t="s">
        <v>167</v>
      </c>
      <c r="D246" s="495">
        <v>1128</v>
      </c>
      <c r="J246" s="503"/>
    </row>
    <row r="247" spans="1:10" ht="12.75" customHeight="1" x14ac:dyDescent="0.2">
      <c r="A247" s="502"/>
      <c r="B247" s="502">
        <v>5497</v>
      </c>
      <c r="C247" s="502" t="s">
        <v>170</v>
      </c>
      <c r="D247" s="495">
        <v>847</v>
      </c>
      <c r="J247" s="503"/>
    </row>
    <row r="248" spans="1:10" ht="12.75" customHeight="1" x14ac:dyDescent="0.2">
      <c r="A248" s="502"/>
      <c r="B248" s="502">
        <v>5643</v>
      </c>
      <c r="C248" s="502" t="s">
        <v>163</v>
      </c>
      <c r="D248" s="495">
        <v>5241</v>
      </c>
      <c r="J248" s="503"/>
    </row>
    <row r="249" spans="1:10" ht="12.75" customHeight="1" x14ac:dyDescent="0.2">
      <c r="A249" s="502"/>
      <c r="B249" s="502">
        <v>5644</v>
      </c>
      <c r="C249" s="502" t="s">
        <v>312</v>
      </c>
      <c r="D249" s="495">
        <v>407</v>
      </c>
      <c r="J249" s="503"/>
    </row>
    <row r="250" spans="1:10" ht="12.75" customHeight="1" x14ac:dyDescent="0.2">
      <c r="A250" s="502"/>
      <c r="B250" s="502">
        <v>5645</v>
      </c>
      <c r="C250" s="502" t="s">
        <v>313</v>
      </c>
      <c r="D250" s="495">
        <v>466</v>
      </c>
      <c r="J250" s="503"/>
    </row>
    <row r="251" spans="1:10" ht="12.75" customHeight="1" x14ac:dyDescent="0.2">
      <c r="A251" s="502"/>
      <c r="B251" s="502">
        <v>5435</v>
      </c>
      <c r="C251" s="502" t="s">
        <v>344</v>
      </c>
      <c r="D251" s="495">
        <v>683</v>
      </c>
      <c r="J251" s="503"/>
    </row>
    <row r="252" spans="1:10" ht="12.75" customHeight="1" x14ac:dyDescent="0.2">
      <c r="A252" s="502"/>
      <c r="B252" s="502">
        <v>5436</v>
      </c>
      <c r="C252" s="502" t="s">
        <v>345</v>
      </c>
      <c r="D252" s="495">
        <v>461</v>
      </c>
      <c r="J252" s="503"/>
    </row>
    <row r="253" spans="1:10" ht="12.75" customHeight="1" x14ac:dyDescent="0.2">
      <c r="A253" s="502"/>
      <c r="B253" s="502">
        <v>5646</v>
      </c>
      <c r="C253" s="502" t="s">
        <v>314</v>
      </c>
      <c r="D253" s="495">
        <v>5865</v>
      </c>
      <c r="J253" s="503"/>
    </row>
    <row r="254" spans="1:10" ht="12.75" customHeight="1" x14ac:dyDescent="0.2">
      <c r="A254" s="502"/>
      <c r="B254" s="502">
        <v>5498</v>
      </c>
      <c r="C254" s="502" t="s">
        <v>171</v>
      </c>
      <c r="D254" s="495">
        <v>2598</v>
      </c>
      <c r="J254" s="503"/>
    </row>
    <row r="255" spans="1:10" ht="12.75" customHeight="1" x14ac:dyDescent="0.2">
      <c r="A255" s="502"/>
      <c r="B255" s="502">
        <v>5437</v>
      </c>
      <c r="C255" s="502" t="s">
        <v>346</v>
      </c>
      <c r="D255" s="495">
        <v>423</v>
      </c>
      <c r="J255" s="503"/>
    </row>
    <row r="256" spans="1:10" ht="12.75" customHeight="1" x14ac:dyDescent="0.2">
      <c r="A256" s="502"/>
      <c r="B256" s="502">
        <v>5499</v>
      </c>
      <c r="C256" s="502" t="s">
        <v>172</v>
      </c>
      <c r="D256" s="495">
        <v>496</v>
      </c>
      <c r="J256" s="503"/>
    </row>
    <row r="257" spans="1:10" ht="12.75" customHeight="1" x14ac:dyDescent="0.2">
      <c r="A257" s="502"/>
      <c r="B257" s="502">
        <v>5500</v>
      </c>
      <c r="C257" s="502" t="s">
        <v>173</v>
      </c>
      <c r="D257" s="495">
        <v>214</v>
      </c>
      <c r="J257" s="503"/>
    </row>
    <row r="258" spans="1:10" ht="12.75" customHeight="1" x14ac:dyDescent="0.2">
      <c r="A258" s="502"/>
      <c r="B258" s="502">
        <v>5649</v>
      </c>
      <c r="C258" s="502" t="s">
        <v>316</v>
      </c>
      <c r="D258" s="495">
        <v>1889</v>
      </c>
      <c r="J258" s="503"/>
    </row>
    <row r="259" spans="1:10" ht="12.75" customHeight="1" x14ac:dyDescent="0.2">
      <c r="A259" s="502"/>
      <c r="B259" s="502">
        <v>5650</v>
      </c>
      <c r="C259" s="502" t="s">
        <v>317</v>
      </c>
      <c r="D259" s="495">
        <v>194</v>
      </c>
      <c r="J259" s="503"/>
    </row>
    <row r="260" spans="1:10" ht="12.75" customHeight="1" x14ac:dyDescent="0.2">
      <c r="A260" s="502"/>
      <c r="B260" s="502">
        <v>5652</v>
      </c>
      <c r="C260" s="502" t="s">
        <v>198</v>
      </c>
      <c r="D260" s="495">
        <v>615</v>
      </c>
      <c r="J260" s="503"/>
    </row>
    <row r="261" spans="1:10" ht="12.75" customHeight="1" x14ac:dyDescent="0.2">
      <c r="A261" s="502"/>
      <c r="B261" s="502">
        <v>5653</v>
      </c>
      <c r="C261" s="502" t="s">
        <v>199</v>
      </c>
      <c r="D261" s="495">
        <v>870</v>
      </c>
      <c r="J261" s="503"/>
    </row>
    <row r="262" spans="1:10" ht="12.75" customHeight="1" x14ac:dyDescent="0.2">
      <c r="A262" s="502"/>
      <c r="B262" s="502">
        <v>5654</v>
      </c>
      <c r="C262" s="502" t="s">
        <v>200</v>
      </c>
      <c r="D262" s="495">
        <v>542</v>
      </c>
      <c r="J262" s="503"/>
    </row>
    <row r="263" spans="1:10" ht="12.75" customHeight="1" x14ac:dyDescent="0.2">
      <c r="A263" s="502"/>
      <c r="B263" s="502">
        <v>5655</v>
      </c>
      <c r="C263" s="502" t="s">
        <v>201</v>
      </c>
      <c r="D263" s="495">
        <v>1480</v>
      </c>
      <c r="J263" s="503"/>
    </row>
    <row r="264" spans="1:10" ht="12.75" customHeight="1" x14ac:dyDescent="0.2">
      <c r="A264" s="505" t="s">
        <v>69</v>
      </c>
      <c r="B264" s="505"/>
      <c r="C264" s="505"/>
      <c r="D264" s="504">
        <v>103219</v>
      </c>
      <c r="J264" s="503"/>
    </row>
    <row r="265" spans="1:10" ht="12.75" customHeight="1" x14ac:dyDescent="0.2">
      <c r="A265" s="502"/>
      <c r="B265" s="502">
        <v>5701</v>
      </c>
      <c r="C265" s="502" t="s">
        <v>110</v>
      </c>
      <c r="D265" s="495">
        <v>240</v>
      </c>
      <c r="J265" s="503"/>
    </row>
    <row r="266" spans="1:10" ht="12.75" customHeight="1" x14ac:dyDescent="0.2">
      <c r="A266" s="502"/>
      <c r="B266" s="502">
        <v>5702</v>
      </c>
      <c r="C266" s="502" t="s">
        <v>442</v>
      </c>
      <c r="D266" s="495">
        <v>2912</v>
      </c>
      <c r="J266" s="503"/>
    </row>
    <row r="267" spans="1:10" ht="12.75" customHeight="1" x14ac:dyDescent="0.2">
      <c r="A267" s="502"/>
      <c r="B267" s="502">
        <v>5703</v>
      </c>
      <c r="C267" s="502" t="s">
        <v>111</v>
      </c>
      <c r="D267" s="495">
        <v>1475</v>
      </c>
      <c r="J267" s="503"/>
    </row>
    <row r="268" spans="1:10" ht="12.75" customHeight="1" x14ac:dyDescent="0.2">
      <c r="A268" s="502"/>
      <c r="B268" s="502">
        <v>5704</v>
      </c>
      <c r="C268" s="502" t="s">
        <v>221</v>
      </c>
      <c r="D268" s="495">
        <v>1928</v>
      </c>
      <c r="J268" s="503"/>
    </row>
    <row r="269" spans="1:10" ht="12.75" customHeight="1" x14ac:dyDescent="0.2">
      <c r="A269" s="502"/>
      <c r="B269" s="502">
        <v>5705</v>
      </c>
      <c r="C269" s="502" t="s">
        <v>222</v>
      </c>
      <c r="D269" s="495">
        <v>835</v>
      </c>
      <c r="J269" s="503"/>
    </row>
    <row r="270" spans="1:10" ht="12.75" customHeight="1" x14ac:dyDescent="0.2">
      <c r="A270" s="502"/>
      <c r="B270" s="502">
        <v>5706</v>
      </c>
      <c r="C270" s="502" t="s">
        <v>223</v>
      </c>
      <c r="D270" s="495">
        <v>1157</v>
      </c>
      <c r="J270" s="503"/>
    </row>
    <row r="271" spans="1:10" ht="12.75" customHeight="1" x14ac:dyDescent="0.2">
      <c r="A271" s="502"/>
      <c r="B271" s="502">
        <v>5852</v>
      </c>
      <c r="C271" s="502" t="s">
        <v>17</v>
      </c>
      <c r="D271" s="495">
        <v>491</v>
      </c>
      <c r="J271" s="503"/>
    </row>
    <row r="272" spans="1:10" ht="12.75" customHeight="1" x14ac:dyDescent="0.2">
      <c r="A272" s="502"/>
      <c r="B272" s="502">
        <v>5853</v>
      </c>
      <c r="C272" s="502" t="s">
        <v>18</v>
      </c>
      <c r="D272" s="495">
        <v>773</v>
      </c>
      <c r="J272" s="503"/>
    </row>
    <row r="273" spans="1:10" ht="12.75" customHeight="1" x14ac:dyDescent="0.2">
      <c r="A273" s="502"/>
      <c r="B273" s="502">
        <v>5854</v>
      </c>
      <c r="C273" s="502" t="s">
        <v>19</v>
      </c>
      <c r="D273" s="495">
        <v>404</v>
      </c>
      <c r="J273" s="503"/>
    </row>
    <row r="274" spans="1:10" ht="12.75" customHeight="1" x14ac:dyDescent="0.2">
      <c r="A274" s="502"/>
      <c r="B274" s="502">
        <v>5707</v>
      </c>
      <c r="C274" s="502" t="s">
        <v>224</v>
      </c>
      <c r="D274" s="495">
        <v>1329</v>
      </c>
      <c r="J274" s="503"/>
    </row>
    <row r="275" spans="1:10" ht="12.75" customHeight="1" x14ac:dyDescent="0.2">
      <c r="A275" s="502"/>
      <c r="B275" s="502">
        <v>5708</v>
      </c>
      <c r="C275" s="502" t="s">
        <v>225</v>
      </c>
      <c r="D275" s="495">
        <v>1013</v>
      </c>
      <c r="J275" s="503"/>
    </row>
    <row r="276" spans="1:10" ht="12.75" customHeight="1" x14ac:dyDescent="0.2">
      <c r="A276" s="502"/>
      <c r="B276" s="502">
        <v>5709</v>
      </c>
      <c r="C276" s="502" t="s">
        <v>226</v>
      </c>
      <c r="D276" s="495">
        <v>1248</v>
      </c>
      <c r="J276" s="503"/>
    </row>
    <row r="277" spans="1:10" ht="12.75" customHeight="1" x14ac:dyDescent="0.2">
      <c r="A277" s="502"/>
      <c r="B277" s="502">
        <v>5710</v>
      </c>
      <c r="C277" s="502" t="s">
        <v>227</v>
      </c>
      <c r="D277" s="495">
        <v>509</v>
      </c>
      <c r="J277" s="503"/>
    </row>
    <row r="278" spans="1:10" ht="12.75" customHeight="1" x14ac:dyDescent="0.2">
      <c r="A278" s="502"/>
      <c r="B278" s="502">
        <v>5711</v>
      </c>
      <c r="C278" s="502" t="s">
        <v>228</v>
      </c>
      <c r="D278" s="495">
        <v>2997</v>
      </c>
      <c r="J278" s="503"/>
    </row>
    <row r="279" spans="1:10" ht="12.75" customHeight="1" x14ac:dyDescent="0.2">
      <c r="A279" s="502"/>
      <c r="B279" s="502">
        <v>5712</v>
      </c>
      <c r="C279" s="502" t="s">
        <v>229</v>
      </c>
      <c r="D279" s="495">
        <v>3247</v>
      </c>
      <c r="J279" s="503"/>
    </row>
    <row r="280" spans="1:10" ht="12.75" customHeight="1" x14ac:dyDescent="0.2">
      <c r="A280" s="502"/>
      <c r="B280" s="502">
        <v>5713</v>
      </c>
      <c r="C280" s="502" t="s">
        <v>611</v>
      </c>
      <c r="D280" s="495">
        <v>2340</v>
      </c>
      <c r="J280" s="503"/>
    </row>
    <row r="281" spans="1:10" ht="12.75" customHeight="1" x14ac:dyDescent="0.2">
      <c r="A281" s="502"/>
      <c r="B281" s="502">
        <v>5714</v>
      </c>
      <c r="C281" s="502" t="s">
        <v>231</v>
      </c>
      <c r="D281" s="495">
        <v>1174</v>
      </c>
      <c r="J281" s="503"/>
    </row>
    <row r="282" spans="1:10" ht="12.75" customHeight="1" x14ac:dyDescent="0.2">
      <c r="A282" s="502"/>
      <c r="B282" s="502">
        <v>5715</v>
      </c>
      <c r="C282" s="502" t="s">
        <v>232</v>
      </c>
      <c r="D282" s="495">
        <v>1128</v>
      </c>
      <c r="J282" s="503"/>
    </row>
    <row r="283" spans="1:10" ht="12.75" customHeight="1" x14ac:dyDescent="0.2">
      <c r="A283" s="502"/>
      <c r="B283" s="502">
        <v>5855</v>
      </c>
      <c r="C283" s="502" t="s">
        <v>20</v>
      </c>
      <c r="D283" s="495">
        <v>628</v>
      </c>
      <c r="J283" s="503"/>
    </row>
    <row r="284" spans="1:10" ht="12.75" customHeight="1" x14ac:dyDescent="0.2">
      <c r="A284" s="502"/>
      <c r="B284" s="502">
        <v>5856</v>
      </c>
      <c r="C284" s="502" t="s">
        <v>21</v>
      </c>
      <c r="D284" s="495">
        <v>740</v>
      </c>
      <c r="J284" s="503"/>
    </row>
    <row r="285" spans="1:10" ht="12.75" customHeight="1" x14ac:dyDescent="0.2">
      <c r="A285" s="502"/>
      <c r="B285" s="502">
        <v>5716</v>
      </c>
      <c r="C285" s="502" t="s">
        <v>233</v>
      </c>
      <c r="D285" s="495">
        <v>1740</v>
      </c>
      <c r="J285" s="503"/>
    </row>
    <row r="286" spans="1:10" ht="12.75" customHeight="1" x14ac:dyDescent="0.2">
      <c r="A286" s="502"/>
      <c r="B286" s="502">
        <v>5717</v>
      </c>
      <c r="C286" s="502" t="s">
        <v>234</v>
      </c>
      <c r="D286" s="495">
        <v>3834</v>
      </c>
      <c r="J286" s="503"/>
    </row>
    <row r="287" spans="1:10" ht="12.75" customHeight="1" x14ac:dyDescent="0.2">
      <c r="A287" s="502"/>
      <c r="B287" s="502">
        <v>5718</v>
      </c>
      <c r="C287" s="502" t="s">
        <v>235</v>
      </c>
      <c r="D287" s="495">
        <v>1996</v>
      </c>
      <c r="J287" s="503"/>
    </row>
    <row r="288" spans="1:10" ht="12.75" customHeight="1" x14ac:dyDescent="0.2">
      <c r="A288" s="502"/>
      <c r="B288" s="502">
        <v>5857</v>
      </c>
      <c r="C288" s="502" t="s">
        <v>22</v>
      </c>
      <c r="D288" s="495">
        <v>1428</v>
      </c>
      <c r="J288" s="503"/>
    </row>
    <row r="289" spans="1:10" ht="12.75" customHeight="1" x14ac:dyDescent="0.2">
      <c r="A289" s="502"/>
      <c r="B289" s="502">
        <v>5719</v>
      </c>
      <c r="C289" s="502" t="s">
        <v>236</v>
      </c>
      <c r="D289" s="495">
        <v>1257</v>
      </c>
      <c r="J289" s="503"/>
    </row>
    <row r="290" spans="1:10" ht="12.75" customHeight="1" x14ac:dyDescent="0.2">
      <c r="A290" s="502"/>
      <c r="B290" s="502">
        <v>5720</v>
      </c>
      <c r="C290" s="502" t="s">
        <v>237</v>
      </c>
      <c r="D290" s="495">
        <v>1031</v>
      </c>
      <c r="J290" s="503"/>
    </row>
    <row r="291" spans="1:10" ht="12.75" customHeight="1" x14ac:dyDescent="0.2">
      <c r="A291" s="502"/>
      <c r="B291" s="502">
        <v>5721</v>
      </c>
      <c r="C291" s="502" t="s">
        <v>238</v>
      </c>
      <c r="D291" s="495">
        <v>13243</v>
      </c>
      <c r="J291" s="503"/>
    </row>
    <row r="292" spans="1:10" ht="12.75" customHeight="1" x14ac:dyDescent="0.2">
      <c r="A292" s="502"/>
      <c r="B292" s="502">
        <v>5722</v>
      </c>
      <c r="C292" s="502" t="s">
        <v>239</v>
      </c>
      <c r="D292" s="495">
        <v>405</v>
      </c>
      <c r="J292" s="503"/>
    </row>
    <row r="293" spans="1:10" ht="12.75" customHeight="1" x14ac:dyDescent="0.2">
      <c r="A293" s="502"/>
      <c r="B293" s="502">
        <v>5429</v>
      </c>
      <c r="C293" s="502" t="s">
        <v>363</v>
      </c>
      <c r="D293" s="495">
        <v>494</v>
      </c>
      <c r="J293" s="503"/>
    </row>
    <row r="294" spans="1:10" ht="12.75" customHeight="1" x14ac:dyDescent="0.2">
      <c r="A294" s="502"/>
      <c r="B294" s="502">
        <v>5858</v>
      </c>
      <c r="C294" s="502" t="s">
        <v>23</v>
      </c>
      <c r="D294" s="495">
        <v>619</v>
      </c>
      <c r="J294" s="503"/>
    </row>
    <row r="295" spans="1:10" ht="12.75" customHeight="1" x14ac:dyDescent="0.2">
      <c r="A295" s="502"/>
      <c r="B295" s="502">
        <v>5430</v>
      </c>
      <c r="C295" s="502" t="s">
        <v>364</v>
      </c>
      <c r="D295" s="495">
        <v>481</v>
      </c>
      <c r="J295" s="503"/>
    </row>
    <row r="296" spans="1:10" ht="12.75" customHeight="1" x14ac:dyDescent="0.2">
      <c r="A296" s="502"/>
      <c r="B296" s="502">
        <v>5723</v>
      </c>
      <c r="C296" s="502" t="s">
        <v>240</v>
      </c>
      <c r="D296" s="495">
        <v>2172</v>
      </c>
      <c r="J296" s="503"/>
    </row>
    <row r="297" spans="1:10" ht="12.75" customHeight="1" x14ac:dyDescent="0.2">
      <c r="A297" s="502"/>
      <c r="B297" s="502">
        <v>5859</v>
      </c>
      <c r="C297" s="502" t="s">
        <v>24</v>
      </c>
      <c r="D297" s="495">
        <v>2646</v>
      </c>
      <c r="J297" s="503"/>
    </row>
    <row r="298" spans="1:10" ht="12.75" customHeight="1" x14ac:dyDescent="0.2">
      <c r="A298" s="502"/>
      <c r="B298" s="502">
        <v>5724</v>
      </c>
      <c r="C298" s="502" t="s">
        <v>69</v>
      </c>
      <c r="D298" s="495">
        <v>21743</v>
      </c>
      <c r="J298" s="503"/>
    </row>
    <row r="299" spans="1:10" ht="12.75" customHeight="1" x14ac:dyDescent="0.2">
      <c r="A299" s="502"/>
      <c r="B299" s="502">
        <v>5860</v>
      </c>
      <c r="C299" s="502" t="s">
        <v>25</v>
      </c>
      <c r="D299" s="495">
        <v>1518</v>
      </c>
      <c r="J299" s="503"/>
    </row>
    <row r="300" spans="1:10" ht="12.75" customHeight="1" x14ac:dyDescent="0.2">
      <c r="A300" s="502"/>
      <c r="B300" s="502">
        <v>5725</v>
      </c>
      <c r="C300" s="502" t="s">
        <v>70</v>
      </c>
      <c r="D300" s="495">
        <v>4101</v>
      </c>
      <c r="J300" s="503"/>
    </row>
    <row r="301" spans="1:10" ht="12.75" customHeight="1" x14ac:dyDescent="0.2">
      <c r="A301" s="502"/>
      <c r="B301" s="502">
        <v>5726</v>
      </c>
      <c r="C301" s="502" t="s">
        <v>319</v>
      </c>
      <c r="D301" s="495">
        <v>1131</v>
      </c>
      <c r="J301" s="503"/>
    </row>
    <row r="302" spans="1:10" ht="12.75" customHeight="1" x14ac:dyDescent="0.2">
      <c r="A302" s="502"/>
      <c r="B302" s="502">
        <v>5861</v>
      </c>
      <c r="C302" s="502" t="s">
        <v>26</v>
      </c>
      <c r="D302" s="495">
        <v>6259</v>
      </c>
      <c r="J302" s="503"/>
    </row>
    <row r="303" spans="1:10" ht="12.75" customHeight="1" x14ac:dyDescent="0.2">
      <c r="A303" s="502"/>
      <c r="B303" s="502">
        <v>5727</v>
      </c>
      <c r="C303" s="502" t="s">
        <v>320</v>
      </c>
      <c r="D303" s="495">
        <v>2674</v>
      </c>
      <c r="J303" s="503"/>
    </row>
    <row r="304" spans="1:10" ht="12.75" customHeight="1" x14ac:dyDescent="0.2">
      <c r="A304" s="502"/>
      <c r="B304" s="502">
        <v>5434</v>
      </c>
      <c r="C304" s="502" t="s">
        <v>367</v>
      </c>
      <c r="D304" s="495">
        <v>1074</v>
      </c>
      <c r="J304" s="503"/>
    </row>
    <row r="305" spans="1:10" ht="12.75" customHeight="1" x14ac:dyDescent="0.2">
      <c r="A305" s="502"/>
      <c r="B305" s="502">
        <v>5728</v>
      </c>
      <c r="C305" s="502" t="s">
        <v>321</v>
      </c>
      <c r="D305" s="495">
        <v>581</v>
      </c>
      <c r="J305" s="503"/>
    </row>
    <row r="306" spans="1:10" ht="12.75" customHeight="1" x14ac:dyDescent="0.2">
      <c r="A306" s="502"/>
      <c r="B306" s="502">
        <v>5729</v>
      </c>
      <c r="C306" s="502" t="s">
        <v>322</v>
      </c>
      <c r="D306" s="495">
        <v>1636</v>
      </c>
      <c r="J306" s="503"/>
    </row>
    <row r="307" spans="1:10" ht="12.75" customHeight="1" x14ac:dyDescent="0.2">
      <c r="A307" s="502"/>
      <c r="B307" s="502">
        <v>5862</v>
      </c>
      <c r="C307" s="502" t="s">
        <v>27</v>
      </c>
      <c r="D307" s="495">
        <v>236</v>
      </c>
      <c r="J307" s="503"/>
    </row>
    <row r="308" spans="1:10" ht="12.75" customHeight="1" x14ac:dyDescent="0.2">
      <c r="A308" s="502"/>
      <c r="B308" s="502">
        <v>5730</v>
      </c>
      <c r="C308" s="502" t="s">
        <v>323</v>
      </c>
      <c r="D308" s="495">
        <v>1445</v>
      </c>
      <c r="J308" s="503"/>
    </row>
    <row r="309" spans="1:10" ht="12.75" customHeight="1" x14ac:dyDescent="0.2">
      <c r="A309" s="502"/>
      <c r="B309" s="502">
        <v>5731</v>
      </c>
      <c r="C309" s="502" t="s">
        <v>324</v>
      </c>
      <c r="D309" s="495">
        <v>1366</v>
      </c>
      <c r="J309" s="503"/>
    </row>
    <row r="310" spans="1:10" ht="12.75" customHeight="1" x14ac:dyDescent="0.2">
      <c r="A310" s="502"/>
      <c r="B310" s="502">
        <v>5732</v>
      </c>
      <c r="C310" s="502" t="s">
        <v>325</v>
      </c>
      <c r="D310" s="495">
        <v>1156</v>
      </c>
      <c r="J310" s="503"/>
    </row>
    <row r="311" spans="1:10" ht="12.75" customHeight="1" x14ac:dyDescent="0.2">
      <c r="A311" s="502"/>
      <c r="B311" s="502">
        <v>5863</v>
      </c>
      <c r="C311" s="502" t="s">
        <v>28</v>
      </c>
      <c r="D311" s="495">
        <v>385</v>
      </c>
      <c r="J311" s="503"/>
    </row>
    <row r="312" spans="1:10" ht="12.75" customHeight="1" x14ac:dyDescent="0.2">
      <c r="A312" s="505" t="s">
        <v>610</v>
      </c>
      <c r="B312" s="505"/>
      <c r="C312" s="505"/>
      <c r="D312" s="504">
        <v>79078</v>
      </c>
      <c r="J312" s="503"/>
    </row>
    <row r="313" spans="1:10" ht="12.75" customHeight="1" x14ac:dyDescent="0.2">
      <c r="A313" s="502"/>
      <c r="B313" s="502">
        <v>5624</v>
      </c>
      <c r="C313" s="502" t="s">
        <v>441</v>
      </c>
      <c r="D313" s="495">
        <v>9614</v>
      </c>
      <c r="J313" s="503"/>
    </row>
    <row r="314" spans="1:10" ht="12.75" customHeight="1" x14ac:dyDescent="0.2">
      <c r="A314" s="502"/>
      <c r="B314" s="502">
        <v>5627</v>
      </c>
      <c r="C314" s="502" t="s">
        <v>255</v>
      </c>
      <c r="D314" s="495">
        <v>8487</v>
      </c>
      <c r="J314" s="503"/>
    </row>
    <row r="315" spans="1:10" ht="12.75" customHeight="1" x14ac:dyDescent="0.2">
      <c r="A315" s="502"/>
      <c r="B315" s="502">
        <v>5583</v>
      </c>
      <c r="C315" s="502" t="s">
        <v>391</v>
      </c>
      <c r="D315" s="495">
        <v>8700</v>
      </c>
      <c r="J315" s="503"/>
    </row>
    <row r="316" spans="1:10" ht="12.75" customHeight="1" x14ac:dyDescent="0.2">
      <c r="A316" s="502"/>
      <c r="B316" s="502">
        <v>5635</v>
      </c>
      <c r="C316" s="502" t="s">
        <v>156</v>
      </c>
      <c r="D316" s="495">
        <v>13164</v>
      </c>
      <c r="J316" s="503"/>
    </row>
    <row r="317" spans="1:10" ht="12.75" customHeight="1" x14ac:dyDescent="0.2">
      <c r="A317" s="502"/>
      <c r="B317" s="502">
        <v>5589</v>
      </c>
      <c r="C317" s="502" t="s">
        <v>123</v>
      </c>
      <c r="D317" s="495">
        <v>12383</v>
      </c>
      <c r="J317" s="503"/>
    </row>
    <row r="318" spans="1:10" ht="12.75" customHeight="1" x14ac:dyDescent="0.2">
      <c r="A318" s="502"/>
      <c r="B318" s="502">
        <v>5591</v>
      </c>
      <c r="C318" s="502" t="s">
        <v>396</v>
      </c>
      <c r="D318" s="495">
        <v>20863</v>
      </c>
      <c r="J318" s="503"/>
    </row>
    <row r="319" spans="1:10" ht="12.75" customHeight="1" x14ac:dyDescent="0.2">
      <c r="A319" s="502"/>
      <c r="B319" s="502">
        <v>5648</v>
      </c>
      <c r="C319" s="502" t="s">
        <v>315</v>
      </c>
      <c r="D319" s="495">
        <v>4909</v>
      </c>
      <c r="J319" s="503"/>
    </row>
    <row r="320" spans="1:10" ht="12.75" customHeight="1" x14ac:dyDescent="0.2">
      <c r="A320" s="502"/>
      <c r="B320" s="502">
        <v>5651</v>
      </c>
      <c r="C320" s="502" t="s">
        <v>318</v>
      </c>
      <c r="D320" s="495">
        <v>958</v>
      </c>
      <c r="J320" s="503"/>
    </row>
    <row r="321" spans="1:10" ht="12.75" customHeight="1" x14ac:dyDescent="0.2">
      <c r="A321" s="505" t="s">
        <v>609</v>
      </c>
      <c r="B321" s="505"/>
      <c r="C321" s="505"/>
      <c r="D321" s="504">
        <v>86129</v>
      </c>
      <c r="J321" s="503"/>
    </row>
    <row r="322" spans="1:10" ht="12.75" customHeight="1" x14ac:dyDescent="0.2">
      <c r="A322" s="502"/>
      <c r="B322" s="502">
        <v>5881</v>
      </c>
      <c r="C322" s="502" t="s">
        <v>206</v>
      </c>
      <c r="D322" s="495">
        <v>6215</v>
      </c>
      <c r="J322" s="503"/>
    </row>
    <row r="323" spans="1:10" ht="12.75" customHeight="1" x14ac:dyDescent="0.2">
      <c r="A323" s="502"/>
      <c r="B323" s="502">
        <v>5882</v>
      </c>
      <c r="C323" s="502" t="s">
        <v>207</v>
      </c>
      <c r="D323" s="495">
        <v>3093</v>
      </c>
      <c r="J323" s="503"/>
    </row>
    <row r="324" spans="1:10" ht="12.75" customHeight="1" x14ac:dyDescent="0.2">
      <c r="A324" s="502"/>
      <c r="B324" s="502">
        <v>5841</v>
      </c>
      <c r="C324" s="502" t="s">
        <v>13</v>
      </c>
      <c r="D324" s="495">
        <v>3494</v>
      </c>
      <c r="J324" s="503"/>
    </row>
    <row r="325" spans="1:10" ht="12.75" customHeight="1" x14ac:dyDescent="0.2">
      <c r="A325" s="502"/>
      <c r="B325" s="502">
        <v>5883</v>
      </c>
      <c r="C325" s="502" t="s">
        <v>208</v>
      </c>
      <c r="D325" s="495">
        <v>2311</v>
      </c>
      <c r="J325" s="503"/>
    </row>
    <row r="326" spans="1:10" ht="12.75" customHeight="1" x14ac:dyDescent="0.2">
      <c r="A326" s="502"/>
      <c r="B326" s="502">
        <v>5884</v>
      </c>
      <c r="C326" s="502" t="s">
        <v>49</v>
      </c>
      <c r="D326" s="495">
        <v>3420</v>
      </c>
      <c r="J326" s="503"/>
    </row>
    <row r="327" spans="1:10" ht="12.75" customHeight="1" x14ac:dyDescent="0.2">
      <c r="A327" s="502"/>
      <c r="B327" s="502">
        <v>5885</v>
      </c>
      <c r="C327" s="502" t="s">
        <v>50</v>
      </c>
      <c r="D327" s="495">
        <v>1670</v>
      </c>
      <c r="J327" s="503"/>
    </row>
    <row r="328" spans="1:10" ht="12.75" customHeight="1" x14ac:dyDescent="0.2">
      <c r="A328" s="502"/>
      <c r="B328" s="502">
        <v>5886</v>
      </c>
      <c r="C328" s="502" t="s">
        <v>51</v>
      </c>
      <c r="D328" s="495">
        <v>26180</v>
      </c>
      <c r="J328" s="503"/>
    </row>
    <row r="329" spans="1:10" ht="12.75" customHeight="1" x14ac:dyDescent="0.2">
      <c r="A329" s="502"/>
      <c r="B329" s="502">
        <v>5842</v>
      </c>
      <c r="C329" s="502" t="s">
        <v>14</v>
      </c>
      <c r="D329" s="495">
        <v>537</v>
      </c>
      <c r="J329" s="503"/>
    </row>
    <row r="330" spans="1:10" ht="12.75" customHeight="1" x14ac:dyDescent="0.2">
      <c r="A330" s="502"/>
      <c r="B330" s="502">
        <v>5843</v>
      </c>
      <c r="C330" s="502" t="s">
        <v>15</v>
      </c>
      <c r="D330" s="495">
        <v>863</v>
      </c>
      <c r="J330" s="503"/>
    </row>
    <row r="331" spans="1:10" ht="12.75" customHeight="1" x14ac:dyDescent="0.2">
      <c r="A331" s="502"/>
      <c r="B331" s="502">
        <v>5888</v>
      </c>
      <c r="C331" s="502" t="s">
        <v>608</v>
      </c>
      <c r="D331" s="495">
        <v>5522</v>
      </c>
      <c r="J331" s="503"/>
    </row>
    <row r="332" spans="1:10" ht="12.75" customHeight="1" x14ac:dyDescent="0.2">
      <c r="A332" s="502"/>
      <c r="B332" s="502">
        <v>5889</v>
      </c>
      <c r="C332" s="502" t="s">
        <v>52</v>
      </c>
      <c r="D332" s="495">
        <v>12088</v>
      </c>
      <c r="J332" s="503"/>
    </row>
    <row r="333" spans="1:10" ht="12.75" customHeight="1" x14ac:dyDescent="0.2">
      <c r="A333" s="502"/>
      <c r="B333" s="502">
        <v>5890</v>
      </c>
      <c r="C333" s="502" t="s">
        <v>53</v>
      </c>
      <c r="D333" s="495">
        <v>19780</v>
      </c>
      <c r="J333" s="503"/>
    </row>
    <row r="334" spans="1:10" ht="12.75" customHeight="1" x14ac:dyDescent="0.2">
      <c r="A334" s="502"/>
      <c r="B334" s="502">
        <v>5891</v>
      </c>
      <c r="C334" s="502" t="s">
        <v>54</v>
      </c>
      <c r="D334" s="495">
        <v>956</v>
      </c>
      <c r="J334" s="503"/>
    </row>
    <row r="335" spans="1:10" ht="12.75" customHeight="1" x14ac:dyDescent="0.2">
      <c r="A335" s="502"/>
      <c r="B335" s="502"/>
      <c r="C335" s="502"/>
    </row>
    <row r="336" spans="1:10" ht="12.75" customHeight="1" x14ac:dyDescent="0.2">
      <c r="A336" s="502" t="s">
        <v>607</v>
      </c>
      <c r="B336" s="502"/>
      <c r="C336" s="502"/>
    </row>
    <row r="337" spans="1:3" ht="12.75" customHeight="1" x14ac:dyDescent="0.2">
      <c r="A337" s="498" t="s">
        <v>606</v>
      </c>
    </row>
    <row r="338" spans="1:3" ht="12.75" customHeight="1" x14ac:dyDescent="0.2">
      <c r="A338" s="498" t="s">
        <v>605</v>
      </c>
    </row>
    <row r="339" spans="1:3" ht="12.75" customHeight="1" x14ac:dyDescent="0.2">
      <c r="A339" s="498" t="s">
        <v>604</v>
      </c>
    </row>
    <row r="340" spans="1:3" ht="12.75" customHeight="1" x14ac:dyDescent="0.2">
      <c r="A340" s="498" t="s">
        <v>603</v>
      </c>
    </row>
    <row r="341" spans="1:3" ht="12.75" customHeight="1" x14ac:dyDescent="0.2">
      <c r="A341" s="501" t="s">
        <v>602</v>
      </c>
      <c r="B341" s="500"/>
      <c r="C341" s="499"/>
    </row>
  </sheetData>
  <conditionalFormatting sqref="G2:H9">
    <cfRule type="containsText" dxfId="1" priority="2" operator="containsText" text="faux">
      <formula>NOT(ISERROR(SEARCH("faux",G2)))</formula>
    </cfRule>
  </conditionalFormatting>
  <conditionalFormatting sqref="G336:H341">
    <cfRule type="containsText" dxfId="0" priority="1" operator="containsText" text="faux">
      <formula>NOT(ISERROR(SEARCH("faux",G336)))</formula>
    </cfRule>
  </conditionalFormatting>
  <pageMargins left="0.78740157480314965" right="0.78740157480314965" top="0.98425196850393704" bottom="0.98425196850393704" header="0.51181102362204722" footer="0.51181102362204722"/>
  <pageSetup paperSize="9" scale="49" fitToHeight="5"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5">
    <tabColor rgb="FF00B050"/>
  </sheetPr>
  <dimension ref="A1:AA325"/>
  <sheetViews>
    <sheetView zoomScaleNormal="100" workbookViewId="0">
      <pane ySplit="6" topLeftCell="A203" activePane="bottomLeft" state="frozen"/>
      <selection pane="bottomLeft" activeCell="G207" sqref="G207"/>
    </sheetView>
  </sheetViews>
  <sheetFormatPr baseColWidth="10" defaultColWidth="8.625" defaultRowHeight="15" x14ac:dyDescent="0.25"/>
  <cols>
    <col min="1" max="1" width="7.625" style="4" customWidth="1"/>
    <col min="2" max="2" width="20.375" style="13" bestFit="1" customWidth="1"/>
    <col min="3" max="3" width="15.875" style="13" bestFit="1" customWidth="1"/>
    <col min="4" max="4" width="12.125" style="6" bestFit="1" customWidth="1"/>
    <col min="5" max="5" width="9.125" style="13" bestFit="1" customWidth="1"/>
    <col min="6" max="6" width="13.375" style="6" bestFit="1" customWidth="1"/>
    <col min="7" max="7" width="18.375" style="13" bestFit="1" customWidth="1"/>
    <col min="8" max="8" width="10" style="6" bestFit="1" customWidth="1"/>
    <col min="9" max="9" width="10.125" style="13" bestFit="1" customWidth="1"/>
    <col min="10" max="10" width="16" style="13" bestFit="1" customWidth="1"/>
    <col min="11" max="12" width="12.25" style="13" bestFit="1" customWidth="1"/>
    <col min="13" max="13" width="13.375" style="13" bestFit="1" customWidth="1"/>
    <col min="14" max="14" width="15.875" style="13" bestFit="1" customWidth="1"/>
    <col min="15" max="15" width="13" style="13" bestFit="1" customWidth="1"/>
    <col min="16" max="16" width="13.125" style="13" bestFit="1" customWidth="1"/>
    <col min="17" max="17" width="8.625" style="13" customWidth="1"/>
    <col min="18" max="18" width="14.375" style="13" bestFit="1" customWidth="1"/>
    <col min="19" max="19" width="12.125" style="15" bestFit="1" customWidth="1"/>
    <col min="20" max="20" width="14.375" style="15" bestFit="1" customWidth="1"/>
    <col min="21" max="21" width="12.125" style="13" customWidth="1"/>
    <col min="22" max="22" width="13.5" style="13" bestFit="1" customWidth="1"/>
    <col min="23" max="24" width="12.25" style="13" bestFit="1" customWidth="1"/>
    <col min="25" max="25" width="15.5" style="13" customWidth="1"/>
    <col min="26" max="26" width="12.5" style="13" bestFit="1" customWidth="1"/>
    <col min="27" max="27" width="8.625" style="13" customWidth="1"/>
    <col min="28" max="16384" width="8.625" style="13"/>
  </cols>
  <sheetData>
    <row r="1" spans="1:27" ht="21" x14ac:dyDescent="0.35">
      <c r="A1" s="25" t="s">
        <v>450</v>
      </c>
      <c r="B1" s="26"/>
      <c r="C1" s="26"/>
      <c r="E1" s="28"/>
      <c r="G1" s="4"/>
      <c r="H1" s="5"/>
      <c r="I1" s="4"/>
      <c r="J1" s="4"/>
      <c r="K1" s="4"/>
      <c r="L1" s="4"/>
    </row>
    <row r="2" spans="1:27" ht="21" x14ac:dyDescent="0.35">
      <c r="A2" s="25" t="str">
        <f>Paramètres!B5</f>
        <v>Décompte provisoire 2020</v>
      </c>
      <c r="C2" s="25"/>
      <c r="E2" s="28"/>
      <c r="G2" s="29"/>
      <c r="H2" s="5"/>
      <c r="I2" s="4"/>
      <c r="J2" s="4"/>
      <c r="K2" s="4"/>
      <c r="L2" s="4"/>
    </row>
    <row r="3" spans="1:27" x14ac:dyDescent="0.25">
      <c r="A3" s="3"/>
      <c r="B3" s="4"/>
      <c r="C3" s="4"/>
      <c r="E3" s="28"/>
      <c r="G3" s="4"/>
      <c r="H3" s="5"/>
      <c r="I3" s="4"/>
      <c r="J3" s="4"/>
      <c r="K3" s="4"/>
      <c r="L3" s="4"/>
      <c r="O3" s="27"/>
    </row>
    <row r="4" spans="1:27" s="16" customFormat="1" ht="38.1" customHeight="1" x14ac:dyDescent="0.2">
      <c r="A4" s="588" t="s">
        <v>46</v>
      </c>
      <c r="B4" s="591" t="s">
        <v>96</v>
      </c>
      <c r="C4" s="579" t="s">
        <v>251</v>
      </c>
      <c r="D4" s="594" t="s">
        <v>246</v>
      </c>
      <c r="E4" s="576" t="s">
        <v>247</v>
      </c>
      <c r="F4" s="594" t="s">
        <v>248</v>
      </c>
      <c r="G4" s="579" t="s">
        <v>249</v>
      </c>
      <c r="H4" s="594" t="s">
        <v>258</v>
      </c>
      <c r="I4" s="579" t="s">
        <v>259</v>
      </c>
      <c r="J4" s="579" t="s">
        <v>260</v>
      </c>
      <c r="K4" s="579" t="s">
        <v>382</v>
      </c>
      <c r="L4" s="579" t="s">
        <v>383</v>
      </c>
      <c r="M4" s="579" t="s">
        <v>384</v>
      </c>
      <c r="N4" s="594" t="s">
        <v>416</v>
      </c>
      <c r="O4" s="579" t="s">
        <v>48</v>
      </c>
      <c r="P4" s="579" t="s">
        <v>385</v>
      </c>
      <c r="Q4" s="576" t="s">
        <v>499</v>
      </c>
      <c r="R4" s="582" t="s">
        <v>472</v>
      </c>
      <c r="S4" s="554" t="s">
        <v>78</v>
      </c>
      <c r="T4" s="582" t="s">
        <v>341</v>
      </c>
      <c r="U4" s="582" t="s">
        <v>452</v>
      </c>
      <c r="V4" s="579" t="s">
        <v>195</v>
      </c>
      <c r="W4" s="579" t="s">
        <v>196</v>
      </c>
      <c r="X4" s="579" t="s">
        <v>197</v>
      </c>
      <c r="Y4" s="585" t="s">
        <v>425</v>
      </c>
      <c r="Z4" s="579" t="s">
        <v>194</v>
      </c>
      <c r="AA4" s="579" t="s">
        <v>304</v>
      </c>
    </row>
    <row r="5" spans="1:27" s="16" customFormat="1" ht="41.25" customHeight="1" x14ac:dyDescent="0.2">
      <c r="A5" s="589"/>
      <c r="B5" s="592"/>
      <c r="C5" s="581"/>
      <c r="D5" s="595"/>
      <c r="E5" s="577"/>
      <c r="F5" s="595"/>
      <c r="G5" s="581"/>
      <c r="H5" s="596"/>
      <c r="I5" s="581"/>
      <c r="J5" s="581"/>
      <c r="K5" s="581"/>
      <c r="L5" s="581"/>
      <c r="M5" s="581"/>
      <c r="N5" s="595"/>
      <c r="O5" s="580"/>
      <c r="P5" s="581"/>
      <c r="Q5" s="577"/>
      <c r="R5" s="584"/>
      <c r="S5" s="555"/>
      <c r="T5" s="584"/>
      <c r="U5" s="583"/>
      <c r="V5" s="581"/>
      <c r="W5" s="581"/>
      <c r="X5" s="581"/>
      <c r="Y5" s="586"/>
      <c r="Z5" s="581"/>
      <c r="AA5" s="581"/>
    </row>
    <row r="6" spans="1:27" ht="14.25" customHeight="1" x14ac:dyDescent="0.25">
      <c r="A6" s="590"/>
      <c r="B6" s="593"/>
      <c r="C6" s="39" t="s">
        <v>252</v>
      </c>
      <c r="D6" s="596"/>
      <c r="E6" s="578"/>
      <c r="F6" s="596"/>
      <c r="G6" s="39" t="s">
        <v>250</v>
      </c>
      <c r="H6" s="20" t="s">
        <v>79</v>
      </c>
      <c r="I6" s="21" t="s">
        <v>80</v>
      </c>
      <c r="J6" s="21" t="s">
        <v>81</v>
      </c>
      <c r="K6" s="39" t="s">
        <v>82</v>
      </c>
      <c r="L6" s="21" t="s">
        <v>83</v>
      </c>
      <c r="M6" s="21" t="s">
        <v>84</v>
      </c>
      <c r="N6" s="596"/>
      <c r="O6" s="581"/>
      <c r="P6" s="21" t="s">
        <v>85</v>
      </c>
      <c r="Q6" s="578"/>
      <c r="R6" s="583"/>
      <c r="S6" s="40">
        <f>Paramètres!B8</f>
        <v>2020</v>
      </c>
      <c r="T6" s="583"/>
      <c r="U6" s="200" t="str">
        <f>Paramètres!B5</f>
        <v>Décompte provisoire 2020</v>
      </c>
      <c r="V6" s="21" t="s">
        <v>88</v>
      </c>
      <c r="W6" s="21" t="s">
        <v>89</v>
      </c>
      <c r="X6" s="21" t="s">
        <v>90</v>
      </c>
      <c r="Y6" s="587"/>
      <c r="Z6" s="39" t="s">
        <v>87</v>
      </c>
      <c r="AA6" s="23">
        <f>Paramètres!B7</f>
        <v>42734</v>
      </c>
    </row>
    <row r="7" spans="1:27" x14ac:dyDescent="0.25">
      <c r="A7" s="8">
        <f>'A) Base RI'!A7</f>
        <v>5401</v>
      </c>
      <c r="B7" s="32" t="str">
        <f>'A) Base RI'!B7</f>
        <v>Aigle</v>
      </c>
      <c r="C7" s="10">
        <f>'A) Base RI'!C7+'A) Base RI'!D7</f>
        <v>13855535.66</v>
      </c>
      <c r="D7" s="10">
        <f>'A) Base RI'!AP7</f>
        <v>-326033.98</v>
      </c>
      <c r="E7" s="31">
        <f>'A) Base RI'!AQ7</f>
        <v>0</v>
      </c>
      <c r="F7" s="31">
        <f>'A) Base RI'!AR7</f>
        <v>-20400.3</v>
      </c>
      <c r="G7" s="2">
        <f>SUM(C7:F7)</f>
        <v>13509101.379999999</v>
      </c>
      <c r="H7" s="10">
        <f>+'A) Base RI'!E7</f>
        <v>0</v>
      </c>
      <c r="I7" s="10">
        <f>+'A) Base RI'!F7</f>
        <v>0</v>
      </c>
      <c r="J7" s="10">
        <f>+'A) Base RI'!G7+'A) Base RI'!H7+'A) Base RI'!X7</f>
        <v>2593553.73</v>
      </c>
      <c r="K7" s="10">
        <f>+'A) Base RI'!I7</f>
        <v>11522.44</v>
      </c>
      <c r="L7" s="10">
        <f>+'A) Base RI'!J7</f>
        <v>604742.80000000005</v>
      </c>
      <c r="M7" s="10">
        <f>+'A) Base RI'!K7</f>
        <v>183083.15</v>
      </c>
      <c r="N7" s="10">
        <f>+'A) Base RI'!Q7</f>
        <v>100742.68</v>
      </c>
      <c r="O7" s="10">
        <f>(P7/Q7)*1</f>
        <v>1789024.7500000002</v>
      </c>
      <c r="P7" s="10">
        <f>+'A) Base RI'!L7</f>
        <v>2146829.7000000002</v>
      </c>
      <c r="Q7" s="34">
        <f>'A) Base RI'!AS7</f>
        <v>1.2</v>
      </c>
      <c r="R7" s="2">
        <f>SUM(G7:O7)</f>
        <v>18791770.93</v>
      </c>
      <c r="S7" s="33">
        <f>+'A) Base RI'!AN7</f>
        <v>66</v>
      </c>
      <c r="T7" s="2">
        <f>(G7+H7+J7+K7+L7+N7)</f>
        <v>16819663.030000001</v>
      </c>
      <c r="U7" s="2">
        <f>R7/S7</f>
        <v>284723.80196969694</v>
      </c>
      <c r="V7" s="10">
        <f>+'A) Base RI'!O7</f>
        <v>239381</v>
      </c>
      <c r="W7" s="10">
        <f>+'A) Base RI'!P7</f>
        <v>765608.15</v>
      </c>
      <c r="X7" s="10">
        <f>+'A) Base RI'!R7</f>
        <v>415357.65</v>
      </c>
      <c r="Y7" s="2">
        <f>SUM(V7:X7)</f>
        <v>1420346.8</v>
      </c>
      <c r="Z7" s="10">
        <f>+'A) Base RI'!N7</f>
        <v>1288148.8</v>
      </c>
      <c r="AA7" s="10">
        <f>'A) Base RI'!AO7</f>
        <v>10518</v>
      </c>
    </row>
    <row r="8" spans="1:27" x14ac:dyDescent="0.25">
      <c r="A8" s="8">
        <f>'A) Base RI'!A8</f>
        <v>5402</v>
      </c>
      <c r="B8" s="32" t="str">
        <f>'A) Base RI'!B8</f>
        <v>Bex</v>
      </c>
      <c r="C8" s="10">
        <f>'A) Base RI'!C8+'A) Base RI'!D8</f>
        <v>10039648.689999999</v>
      </c>
      <c r="D8" s="10">
        <f>'A) Base RI'!AP8</f>
        <v>-208361.81</v>
      </c>
      <c r="E8" s="402">
        <f>'A) Base RI'!AQ8</f>
        <v>0</v>
      </c>
      <c r="F8" s="402">
        <f>'A) Base RI'!AR8</f>
        <v>-2713.5</v>
      </c>
      <c r="G8" s="408">
        <f t="shared" ref="G8:G71" si="0">SUM(C8:F8)</f>
        <v>9828573.379999999</v>
      </c>
      <c r="H8" s="10">
        <f>+'A) Base RI'!E8</f>
        <v>0</v>
      </c>
      <c r="I8" s="10">
        <f>+'A) Base RI'!F8</f>
        <v>0</v>
      </c>
      <c r="J8" s="10">
        <f>+'A) Base RI'!G8+'A) Base RI'!H8+'A) Base RI'!X8</f>
        <v>1153393.71</v>
      </c>
      <c r="K8" s="10">
        <f>+'A) Base RI'!I8</f>
        <v>-55670.9</v>
      </c>
      <c r="L8" s="10">
        <f>+'A) Base RI'!J8</f>
        <v>311153.5</v>
      </c>
      <c r="M8" s="10">
        <f>+'A) Base RI'!K8</f>
        <v>124770.15</v>
      </c>
      <c r="N8" s="10">
        <f>+'A) Base RI'!Q8</f>
        <v>51767</v>
      </c>
      <c r="O8" s="10">
        <f t="shared" ref="O8:O71" si="1">(P8/Q8)*1</f>
        <v>1313416.6000000001</v>
      </c>
      <c r="P8" s="10">
        <f>+'A) Base RI'!L8</f>
        <v>1641770.75</v>
      </c>
      <c r="Q8" s="416">
        <f>'A) Base RI'!AS8</f>
        <v>1.25</v>
      </c>
      <c r="R8" s="408">
        <f t="shared" ref="R8:R71" si="2">SUM(G8:O8)</f>
        <v>12727403.439999999</v>
      </c>
      <c r="S8" s="482">
        <f>+'A) Base RI'!AN8</f>
        <v>71</v>
      </c>
      <c r="T8" s="408">
        <f t="shared" ref="T8:T71" si="3">(G8+H8+J8+K8+L8+N8)</f>
        <v>11289216.689999999</v>
      </c>
      <c r="U8" s="408">
        <f t="shared" ref="U8:U71" si="4">R8/S8</f>
        <v>179259.20338028169</v>
      </c>
      <c r="V8" s="10">
        <f>+'A) Base RI'!O8</f>
        <v>119032.9</v>
      </c>
      <c r="W8" s="10">
        <f>+'A) Base RI'!P8</f>
        <v>624842.19999999995</v>
      </c>
      <c r="X8" s="10">
        <f>+'A) Base RI'!R8</f>
        <v>329056.45</v>
      </c>
      <c r="Y8" s="408">
        <f t="shared" ref="Y8:Y71" si="5">SUM(V8:X8)</f>
        <v>1072931.55</v>
      </c>
      <c r="Z8" s="10">
        <f>+'A) Base RI'!N8</f>
        <v>273206.65000000002</v>
      </c>
      <c r="AA8" s="10">
        <f>'A) Base RI'!AO8</f>
        <v>7828</v>
      </c>
    </row>
    <row r="9" spans="1:27" x14ac:dyDescent="0.25">
      <c r="A9" s="8">
        <f>'A) Base RI'!A9</f>
        <v>5403</v>
      </c>
      <c r="B9" s="32" t="str">
        <f>'A) Base RI'!B9</f>
        <v>Chessel</v>
      </c>
      <c r="C9" s="10">
        <f>'A) Base RI'!C9+'A) Base RI'!D9</f>
        <v>722038.76</v>
      </c>
      <c r="D9" s="10">
        <f>'A) Base RI'!AP9</f>
        <v>-40025.58</v>
      </c>
      <c r="E9" s="402">
        <f>'A) Base RI'!AQ9</f>
        <v>0</v>
      </c>
      <c r="F9" s="402">
        <f>'A) Base RI'!AR9</f>
        <v>0</v>
      </c>
      <c r="G9" s="408">
        <f t="shared" si="0"/>
        <v>682013.18</v>
      </c>
      <c r="H9" s="10">
        <f>+'A) Base RI'!E9</f>
        <v>0</v>
      </c>
      <c r="I9" s="10">
        <f>+'A) Base RI'!F9</f>
        <v>0</v>
      </c>
      <c r="J9" s="10">
        <f>+'A) Base RI'!G9+'A) Base RI'!H9+'A) Base RI'!X9</f>
        <v>5668.16</v>
      </c>
      <c r="K9" s="10">
        <f>+'A) Base RI'!I9</f>
        <v>0</v>
      </c>
      <c r="L9" s="10">
        <f>+'A) Base RI'!J9</f>
        <v>21554.639999999999</v>
      </c>
      <c r="M9" s="10">
        <f>+'A) Base RI'!K9</f>
        <v>8424.7999999999993</v>
      </c>
      <c r="N9" s="10">
        <f>+'A) Base RI'!Q9</f>
        <v>0</v>
      </c>
      <c r="O9" s="10">
        <f t="shared" si="1"/>
        <v>81372</v>
      </c>
      <c r="P9" s="10">
        <f>+'A) Base RI'!L9</f>
        <v>81372</v>
      </c>
      <c r="Q9" s="416">
        <f>'A) Base RI'!AS9</f>
        <v>1</v>
      </c>
      <c r="R9" s="408">
        <f t="shared" si="2"/>
        <v>799032.78000000014</v>
      </c>
      <c r="S9" s="482">
        <f>+'A) Base RI'!AN9</f>
        <v>74</v>
      </c>
      <c r="T9" s="408">
        <f t="shared" si="3"/>
        <v>709235.9800000001</v>
      </c>
      <c r="U9" s="408">
        <f t="shared" si="4"/>
        <v>10797.740270270273</v>
      </c>
      <c r="V9" s="10">
        <f>+'A) Base RI'!O9</f>
        <v>0</v>
      </c>
      <c r="W9" s="10">
        <f>+'A) Base RI'!P9</f>
        <v>82687.350000000006</v>
      </c>
      <c r="X9" s="10">
        <f>+'A) Base RI'!R9</f>
        <v>29709.7</v>
      </c>
      <c r="Y9" s="408">
        <f t="shared" si="5"/>
        <v>112397.05</v>
      </c>
      <c r="Z9" s="10">
        <f>+'A) Base RI'!N9</f>
        <v>8460.15</v>
      </c>
      <c r="AA9" s="10">
        <f>'A) Base RI'!AO9</f>
        <v>444</v>
      </c>
    </row>
    <row r="10" spans="1:27" x14ac:dyDescent="0.25">
      <c r="A10" s="8">
        <f>'A) Base RI'!A10</f>
        <v>5404</v>
      </c>
      <c r="B10" s="32" t="str">
        <f>'A) Base RI'!B10</f>
        <v>Corbeyrier</v>
      </c>
      <c r="C10" s="10">
        <f>'A) Base RI'!C10+'A) Base RI'!D10</f>
        <v>737876.21000000008</v>
      </c>
      <c r="D10" s="10">
        <f>'A) Base RI'!AP10</f>
        <v>-1959.06</v>
      </c>
      <c r="E10" s="402">
        <f>'A) Base RI'!AQ10</f>
        <v>0</v>
      </c>
      <c r="F10" s="402">
        <f>'A) Base RI'!AR10</f>
        <v>-183.3</v>
      </c>
      <c r="G10" s="408">
        <f t="shared" si="0"/>
        <v>735733.85</v>
      </c>
      <c r="H10" s="10">
        <f>+'A) Base RI'!E10</f>
        <v>0</v>
      </c>
      <c r="I10" s="10">
        <f>+'A) Base RI'!F10</f>
        <v>0</v>
      </c>
      <c r="J10" s="10">
        <f>+'A) Base RI'!G10+'A) Base RI'!H10+'A) Base RI'!X10</f>
        <v>5401.22</v>
      </c>
      <c r="K10" s="10">
        <f>+'A) Base RI'!I10</f>
        <v>0</v>
      </c>
      <c r="L10" s="10">
        <f>+'A) Base RI'!J10</f>
        <v>1197.28</v>
      </c>
      <c r="M10" s="10">
        <f>+'A) Base RI'!K10</f>
        <v>5412.05</v>
      </c>
      <c r="N10" s="10">
        <f>+'A) Base RI'!Q10</f>
        <v>0</v>
      </c>
      <c r="O10" s="10">
        <f t="shared" si="1"/>
        <v>86078</v>
      </c>
      <c r="P10" s="10">
        <f>+'A) Base RI'!L10</f>
        <v>129117</v>
      </c>
      <c r="Q10" s="416">
        <f>'A) Base RI'!AS10</f>
        <v>1.5</v>
      </c>
      <c r="R10" s="408">
        <f t="shared" si="2"/>
        <v>833822.4</v>
      </c>
      <c r="S10" s="482">
        <f>+'A) Base RI'!AN10</f>
        <v>74</v>
      </c>
      <c r="T10" s="408">
        <f t="shared" si="3"/>
        <v>742332.35</v>
      </c>
      <c r="U10" s="408">
        <f t="shared" si="4"/>
        <v>11267.87027027027</v>
      </c>
      <c r="V10" s="10">
        <f>+'A) Base RI'!O10</f>
        <v>34998.699999999997</v>
      </c>
      <c r="W10" s="10">
        <f>+'A) Base RI'!P10</f>
        <v>33854.400000000001</v>
      </c>
      <c r="X10" s="10">
        <f>+'A) Base RI'!R10</f>
        <v>42010.2</v>
      </c>
      <c r="Y10" s="408">
        <f t="shared" si="5"/>
        <v>110863.3</v>
      </c>
      <c r="Z10" s="10">
        <f>+'A) Base RI'!N10</f>
        <v>16587</v>
      </c>
      <c r="AA10" s="10">
        <f>'A) Base RI'!AO10</f>
        <v>445</v>
      </c>
    </row>
    <row r="11" spans="1:27" x14ac:dyDescent="0.25">
      <c r="A11" s="8">
        <f>'A) Base RI'!A11</f>
        <v>5405</v>
      </c>
      <c r="B11" s="32" t="str">
        <f>'A) Base RI'!B11</f>
        <v>Gryon</v>
      </c>
      <c r="C11" s="10">
        <f>'A) Base RI'!C11+'A) Base RI'!D11</f>
        <v>4005892.2300000004</v>
      </c>
      <c r="D11" s="10">
        <f>'A) Base RI'!AP11</f>
        <v>-28222.07</v>
      </c>
      <c r="E11" s="402">
        <f>'A) Base RI'!AQ11</f>
        <v>0</v>
      </c>
      <c r="F11" s="402">
        <f>'A) Base RI'!AR11</f>
        <v>-1860.82</v>
      </c>
      <c r="G11" s="408">
        <f t="shared" si="0"/>
        <v>3975809.3400000008</v>
      </c>
      <c r="H11" s="10">
        <f>+'A) Base RI'!E11</f>
        <v>0</v>
      </c>
      <c r="I11" s="10">
        <f>+'A) Base RI'!F11</f>
        <v>0</v>
      </c>
      <c r="J11" s="10">
        <f>+'A) Base RI'!G11+'A) Base RI'!H11+'A) Base RI'!X11</f>
        <v>36542.410000000003</v>
      </c>
      <c r="K11" s="10">
        <f>+'A) Base RI'!I11</f>
        <v>319555.25</v>
      </c>
      <c r="L11" s="10">
        <f>+'A) Base RI'!J11</f>
        <v>138909.26999999999</v>
      </c>
      <c r="M11" s="10">
        <f>+'A) Base RI'!K11</f>
        <v>13374.65</v>
      </c>
      <c r="N11" s="10">
        <f>+'A) Base RI'!Q11</f>
        <v>3626.44</v>
      </c>
      <c r="O11" s="10">
        <f t="shared" si="1"/>
        <v>523838.5</v>
      </c>
      <c r="P11" s="10">
        <f>+'A) Base RI'!L11</f>
        <v>785757.75</v>
      </c>
      <c r="Q11" s="416">
        <f>'A) Base RI'!AS11</f>
        <v>1.5</v>
      </c>
      <c r="R11" s="408">
        <f t="shared" si="2"/>
        <v>5011655.8600000013</v>
      </c>
      <c r="S11" s="482">
        <f>+'A) Base RI'!AN11</f>
        <v>73.5</v>
      </c>
      <c r="T11" s="408">
        <f t="shared" si="3"/>
        <v>4474442.7100000009</v>
      </c>
      <c r="U11" s="408">
        <f t="shared" si="4"/>
        <v>68185.794013605453</v>
      </c>
      <c r="V11" s="10">
        <f>+'A) Base RI'!O11</f>
        <v>150845</v>
      </c>
      <c r="W11" s="10">
        <f>+'A) Base RI'!P11</f>
        <v>408678.5</v>
      </c>
      <c r="X11" s="10">
        <f>+'A) Base RI'!R11</f>
        <v>285741.75</v>
      </c>
      <c r="Y11" s="408">
        <f t="shared" si="5"/>
        <v>845265.25</v>
      </c>
      <c r="Z11" s="10">
        <f>+'A) Base RI'!N11</f>
        <v>463.15</v>
      </c>
      <c r="AA11" s="10">
        <f>'A) Base RI'!AO11</f>
        <v>1378</v>
      </c>
    </row>
    <row r="12" spans="1:27" x14ac:dyDescent="0.25">
      <c r="A12" s="8">
        <f>'A) Base RI'!A12</f>
        <v>5406</v>
      </c>
      <c r="B12" s="32" t="str">
        <f>'A) Base RI'!B12</f>
        <v>Lavey-Morcles</v>
      </c>
      <c r="C12" s="10">
        <f>'A) Base RI'!C12+'A) Base RI'!D12</f>
        <v>1303168.8500000001</v>
      </c>
      <c r="D12" s="10">
        <f>'A) Base RI'!AP12</f>
        <v>-15500.27</v>
      </c>
      <c r="E12" s="402">
        <f>'A) Base RI'!AQ12</f>
        <v>0</v>
      </c>
      <c r="F12" s="402">
        <f>'A) Base RI'!AR12</f>
        <v>-592.92999999999995</v>
      </c>
      <c r="G12" s="408">
        <f t="shared" si="0"/>
        <v>1287075.6500000001</v>
      </c>
      <c r="H12" s="10">
        <f>+'A) Base RI'!E12</f>
        <v>0</v>
      </c>
      <c r="I12" s="10">
        <f>+'A) Base RI'!F12</f>
        <v>0</v>
      </c>
      <c r="J12" s="10">
        <f>+'A) Base RI'!G12+'A) Base RI'!H12+'A) Base RI'!X12</f>
        <v>65101.95</v>
      </c>
      <c r="K12" s="10">
        <f>+'A) Base RI'!I12</f>
        <v>0</v>
      </c>
      <c r="L12" s="10">
        <f>+'A) Base RI'!J12</f>
        <v>48632.09</v>
      </c>
      <c r="M12" s="10">
        <f>+'A) Base RI'!K12</f>
        <v>9389.5499999999993</v>
      </c>
      <c r="N12" s="10">
        <f>+'A) Base RI'!Q12</f>
        <v>796.54</v>
      </c>
      <c r="O12" s="10">
        <f t="shared" si="1"/>
        <v>150746.19230769228</v>
      </c>
      <c r="P12" s="10">
        <f>+'A) Base RI'!L12</f>
        <v>195970.05</v>
      </c>
      <c r="Q12" s="416">
        <f>'A) Base RI'!AS12</f>
        <v>1.3</v>
      </c>
      <c r="R12" s="408">
        <f t="shared" si="2"/>
        <v>1561741.9723076925</v>
      </c>
      <c r="S12" s="482">
        <f>+'A) Base RI'!AN12</f>
        <v>71.5</v>
      </c>
      <c r="T12" s="408">
        <f t="shared" si="3"/>
        <v>1401606.2300000002</v>
      </c>
      <c r="U12" s="408">
        <f t="shared" si="4"/>
        <v>21842.545067240455</v>
      </c>
      <c r="V12" s="10">
        <f>+'A) Base RI'!O12</f>
        <v>73255.8</v>
      </c>
      <c r="W12" s="10">
        <f>+'A) Base RI'!P12</f>
        <v>75697.350000000006</v>
      </c>
      <c r="X12" s="10">
        <f>+'A) Base RI'!R12</f>
        <v>60384.6</v>
      </c>
      <c r="Y12" s="408">
        <f t="shared" si="5"/>
        <v>209337.75000000003</v>
      </c>
      <c r="Z12" s="10">
        <f>+'A) Base RI'!N12</f>
        <v>1891.95</v>
      </c>
      <c r="AA12" s="10">
        <f>'A) Base RI'!AO12</f>
        <v>944</v>
      </c>
    </row>
    <row r="13" spans="1:27" x14ac:dyDescent="0.25">
      <c r="A13" s="8">
        <f>'A) Base RI'!A13</f>
        <v>5407</v>
      </c>
      <c r="B13" s="32" t="str">
        <f>'A) Base RI'!B13</f>
        <v>Leysin</v>
      </c>
      <c r="C13" s="10">
        <f>'A) Base RI'!C13+'A) Base RI'!D13</f>
        <v>5298334.91</v>
      </c>
      <c r="D13" s="10">
        <f>'A) Base RI'!AP13</f>
        <v>-71820.56</v>
      </c>
      <c r="E13" s="402">
        <f>'A) Base RI'!AQ13</f>
        <v>0</v>
      </c>
      <c r="F13" s="402">
        <f>'A) Base RI'!AR13</f>
        <v>-6701.08</v>
      </c>
      <c r="G13" s="408">
        <f t="shared" si="0"/>
        <v>5219813.2700000005</v>
      </c>
      <c r="H13" s="10">
        <f>+'A) Base RI'!E13</f>
        <v>0</v>
      </c>
      <c r="I13" s="10">
        <f>+'A) Base RI'!F13</f>
        <v>0</v>
      </c>
      <c r="J13" s="10">
        <f>+'A) Base RI'!G13+'A) Base RI'!H13+'A) Base RI'!X13</f>
        <v>296370.7</v>
      </c>
      <c r="K13" s="10">
        <f>+'A) Base RI'!I13</f>
        <v>155949.29999999999</v>
      </c>
      <c r="L13" s="10">
        <f>+'A) Base RI'!J13</f>
        <v>445408.01</v>
      </c>
      <c r="M13" s="10">
        <f>+'A) Base RI'!K13</f>
        <v>63329.7</v>
      </c>
      <c r="N13" s="10">
        <f>+'A) Base RI'!Q13</f>
        <v>39319.53</v>
      </c>
      <c r="O13" s="10">
        <f t="shared" si="1"/>
        <v>831604.46666666667</v>
      </c>
      <c r="P13" s="10">
        <f>+'A) Base RI'!L13</f>
        <v>1247406.7</v>
      </c>
      <c r="Q13" s="416">
        <f>'A) Base RI'!AS13</f>
        <v>1.5</v>
      </c>
      <c r="R13" s="408">
        <f t="shared" si="2"/>
        <v>7051794.9766666675</v>
      </c>
      <c r="S13" s="482">
        <f>+'A) Base RI'!AN13</f>
        <v>78</v>
      </c>
      <c r="T13" s="408">
        <f t="shared" si="3"/>
        <v>6156860.8100000005</v>
      </c>
      <c r="U13" s="408">
        <f t="shared" si="4"/>
        <v>90407.62790598291</v>
      </c>
      <c r="V13" s="10">
        <f>+'A) Base RI'!O13</f>
        <v>157815.9</v>
      </c>
      <c r="W13" s="10">
        <f>+'A) Base RI'!P13</f>
        <v>404776.3</v>
      </c>
      <c r="X13" s="10">
        <f>+'A) Base RI'!R13</f>
        <v>187357.15</v>
      </c>
      <c r="Y13" s="408">
        <f t="shared" si="5"/>
        <v>749949.35</v>
      </c>
      <c r="Z13" s="10">
        <f>+'A) Base RI'!N13</f>
        <v>64008.35</v>
      </c>
      <c r="AA13" s="10">
        <f>'A) Base RI'!AO13</f>
        <v>3645</v>
      </c>
    </row>
    <row r="14" spans="1:27" x14ac:dyDescent="0.25">
      <c r="A14" s="8">
        <f>'A) Base RI'!A14</f>
        <v>5408</v>
      </c>
      <c r="B14" s="32" t="str">
        <f>'A) Base RI'!B14</f>
        <v>Noville</v>
      </c>
      <c r="C14" s="10">
        <f>'A) Base RI'!C14+'A) Base RI'!D14</f>
        <v>2313726.5299999998</v>
      </c>
      <c r="D14" s="10">
        <f>'A) Base RI'!AP14</f>
        <v>-11840.69</v>
      </c>
      <c r="E14" s="402">
        <f>'A) Base RI'!AQ14</f>
        <v>0</v>
      </c>
      <c r="F14" s="402">
        <f>'A) Base RI'!AR14</f>
        <v>-384.63</v>
      </c>
      <c r="G14" s="408">
        <f t="shared" si="0"/>
        <v>2301501.21</v>
      </c>
      <c r="H14" s="10">
        <f>+'A) Base RI'!E14</f>
        <v>0</v>
      </c>
      <c r="I14" s="10">
        <f>+'A) Base RI'!F14</f>
        <v>0</v>
      </c>
      <c r="J14" s="10">
        <f>+'A) Base RI'!G14+'A) Base RI'!H14+'A) Base RI'!X14</f>
        <v>698108.36</v>
      </c>
      <c r="K14" s="10">
        <f>+'A) Base RI'!I14</f>
        <v>0</v>
      </c>
      <c r="L14" s="10">
        <f>+'A) Base RI'!J14</f>
        <v>60551.19</v>
      </c>
      <c r="M14" s="10">
        <f>+'A) Base RI'!K14</f>
        <v>39431.800000000003</v>
      </c>
      <c r="N14" s="10">
        <f>+'A) Base RI'!Q14</f>
        <v>11987.28</v>
      </c>
      <c r="O14" s="10">
        <f t="shared" si="1"/>
        <v>329863.73333333334</v>
      </c>
      <c r="P14" s="10">
        <f>+'A) Base RI'!L14</f>
        <v>494795.6</v>
      </c>
      <c r="Q14" s="416">
        <f>'A) Base RI'!AS14</f>
        <v>1.5</v>
      </c>
      <c r="R14" s="408">
        <f t="shared" si="2"/>
        <v>3441443.5733333328</v>
      </c>
      <c r="S14" s="482">
        <f>+'A) Base RI'!AN14</f>
        <v>78.5</v>
      </c>
      <c r="T14" s="408">
        <f t="shared" si="3"/>
        <v>3072148.0399999996</v>
      </c>
      <c r="U14" s="408">
        <f t="shared" si="4"/>
        <v>43840.045520169842</v>
      </c>
      <c r="V14" s="10">
        <f>+'A) Base RI'!O14</f>
        <v>0</v>
      </c>
      <c r="W14" s="10">
        <f>+'A) Base RI'!P14</f>
        <v>123908.95</v>
      </c>
      <c r="X14" s="10">
        <f>+'A) Base RI'!R14</f>
        <v>61146.95</v>
      </c>
      <c r="Y14" s="408">
        <f t="shared" si="5"/>
        <v>185055.9</v>
      </c>
      <c r="Z14" s="10">
        <f>+'A) Base RI'!N14</f>
        <v>204831.45</v>
      </c>
      <c r="AA14" s="10">
        <f>'A) Base RI'!AO14</f>
        <v>1170</v>
      </c>
    </row>
    <row r="15" spans="1:27" x14ac:dyDescent="0.25">
      <c r="A15" s="8">
        <f>'A) Base RI'!A15</f>
        <v>5409</v>
      </c>
      <c r="B15" s="32" t="str">
        <f>'A) Base RI'!B15</f>
        <v>Ollon</v>
      </c>
      <c r="C15" s="10">
        <f>'A) Base RI'!C15+'A) Base RI'!D15</f>
        <v>19392542.399999999</v>
      </c>
      <c r="D15" s="10">
        <f>'A) Base RI'!AP15</f>
        <v>-120552.78</v>
      </c>
      <c r="E15" s="402">
        <f>'A) Base RI'!AQ15</f>
        <v>0</v>
      </c>
      <c r="F15" s="402">
        <f>'A) Base RI'!AR15</f>
        <v>-50041.19</v>
      </c>
      <c r="G15" s="408">
        <f t="shared" si="0"/>
        <v>19221948.429999996</v>
      </c>
      <c r="H15" s="10">
        <f>+'A) Base RI'!E15</f>
        <v>0</v>
      </c>
      <c r="I15" s="10">
        <f>+'A) Base RI'!F15</f>
        <v>0</v>
      </c>
      <c r="J15" s="10">
        <f>+'A) Base RI'!G15+'A) Base RI'!H15+'A) Base RI'!X15</f>
        <v>698413.88</v>
      </c>
      <c r="K15" s="10">
        <f>+'A) Base RI'!I15</f>
        <v>2558500.9900000002</v>
      </c>
      <c r="L15" s="10">
        <f>+'A) Base RI'!J15</f>
        <v>687004.7</v>
      </c>
      <c r="M15" s="10">
        <f>+'A) Base RI'!K15</f>
        <v>134495.5</v>
      </c>
      <c r="N15" s="10">
        <f>+'A) Base RI'!Q15</f>
        <v>15596.56</v>
      </c>
      <c r="O15" s="10">
        <f t="shared" si="1"/>
        <v>3148741.6538461535</v>
      </c>
      <c r="P15" s="10">
        <f>+'A) Base RI'!L15</f>
        <v>4093364.15</v>
      </c>
      <c r="Q15" s="416">
        <f>'A) Base RI'!AS15</f>
        <v>1.3</v>
      </c>
      <c r="R15" s="408">
        <f t="shared" si="2"/>
        <v>26464701.713846147</v>
      </c>
      <c r="S15" s="482">
        <f>+'A) Base RI'!AN15</f>
        <v>68</v>
      </c>
      <c r="T15" s="408">
        <f t="shared" si="3"/>
        <v>23181464.559999995</v>
      </c>
      <c r="U15" s="408">
        <f t="shared" si="4"/>
        <v>389186.78990950214</v>
      </c>
      <c r="V15" s="10">
        <f>+'A) Base RI'!O15</f>
        <v>688910.65</v>
      </c>
      <c r="W15" s="10">
        <f>+'A) Base RI'!P15</f>
        <v>1596824.45</v>
      </c>
      <c r="X15" s="10">
        <f>+'A) Base RI'!R15</f>
        <v>1165765.7</v>
      </c>
      <c r="Y15" s="408">
        <f t="shared" si="5"/>
        <v>3451500.8</v>
      </c>
      <c r="Z15" s="10">
        <f>+'A) Base RI'!N15</f>
        <v>75640.75</v>
      </c>
      <c r="AA15" s="10">
        <f>'A) Base RI'!AO15</f>
        <v>7634</v>
      </c>
    </row>
    <row r="16" spans="1:27" x14ac:dyDescent="0.25">
      <c r="A16" s="8">
        <f>'A) Base RI'!A16</f>
        <v>5410</v>
      </c>
      <c r="B16" s="32" t="str">
        <f>'A) Base RI'!B16</f>
        <v>Ormont-Dessous</v>
      </c>
      <c r="C16" s="10">
        <f>'A) Base RI'!C16+'A) Base RI'!D16</f>
        <v>2574854.6100000003</v>
      </c>
      <c r="D16" s="10">
        <f>'A) Base RI'!AP16</f>
        <v>-46117.599999999999</v>
      </c>
      <c r="E16" s="402">
        <f>'A) Base RI'!AQ16</f>
        <v>0</v>
      </c>
      <c r="F16" s="402">
        <f>'A) Base RI'!AR16</f>
        <v>-397.44</v>
      </c>
      <c r="G16" s="408">
        <f t="shared" si="0"/>
        <v>2528339.5700000003</v>
      </c>
      <c r="H16" s="10">
        <f>+'A) Base RI'!E16</f>
        <v>0</v>
      </c>
      <c r="I16" s="10">
        <f>+'A) Base RI'!F16</f>
        <v>0</v>
      </c>
      <c r="J16" s="10">
        <f>+'A) Base RI'!G16+'A) Base RI'!H16+'A) Base RI'!X16</f>
        <v>25267.010000000002</v>
      </c>
      <c r="K16" s="10">
        <f>+'A) Base RI'!I16</f>
        <v>0</v>
      </c>
      <c r="L16" s="10">
        <f>+'A) Base RI'!J16</f>
        <v>90778.81</v>
      </c>
      <c r="M16" s="10">
        <f>+'A) Base RI'!K16</f>
        <v>11095.15</v>
      </c>
      <c r="N16" s="10">
        <f>+'A) Base RI'!Q16</f>
        <v>4965.3</v>
      </c>
      <c r="O16" s="10">
        <f t="shared" si="1"/>
        <v>382790.1333333333</v>
      </c>
      <c r="P16" s="10">
        <f>+'A) Base RI'!L16</f>
        <v>574185.19999999995</v>
      </c>
      <c r="Q16" s="416">
        <f>'A) Base RI'!AS16</f>
        <v>1.5</v>
      </c>
      <c r="R16" s="408">
        <f t="shared" si="2"/>
        <v>3043235.9733333332</v>
      </c>
      <c r="S16" s="482">
        <f>+'A) Base RI'!AN16</f>
        <v>77</v>
      </c>
      <c r="T16" s="408">
        <f t="shared" si="3"/>
        <v>2649350.69</v>
      </c>
      <c r="U16" s="408">
        <f t="shared" si="4"/>
        <v>39522.545108225109</v>
      </c>
      <c r="V16" s="10">
        <f>+'A) Base RI'!O16</f>
        <v>223995</v>
      </c>
      <c r="W16" s="10">
        <f>+'A) Base RI'!P16</f>
        <v>117342.75</v>
      </c>
      <c r="X16" s="10">
        <f>+'A) Base RI'!R16</f>
        <v>93741.4</v>
      </c>
      <c r="Y16" s="408">
        <f t="shared" si="5"/>
        <v>435079.15</v>
      </c>
      <c r="Z16" s="10">
        <f>+'A) Base RI'!N16</f>
        <v>6858.4</v>
      </c>
      <c r="AA16" s="10">
        <f>'A) Base RI'!AO16</f>
        <v>1180</v>
      </c>
    </row>
    <row r="17" spans="1:27" x14ac:dyDescent="0.25">
      <c r="A17" s="8">
        <f>'A) Base RI'!A17</f>
        <v>5411</v>
      </c>
      <c r="B17" s="32" t="str">
        <f>'A) Base RI'!B17</f>
        <v>Ormont-Dessus</v>
      </c>
      <c r="C17" s="10">
        <f>'A) Base RI'!C17+'A) Base RI'!D17</f>
        <v>3957165.8</v>
      </c>
      <c r="D17" s="10">
        <f>'A) Base RI'!AP17</f>
        <v>-29780.3</v>
      </c>
      <c r="E17" s="402">
        <f>'A) Base RI'!AQ17</f>
        <v>0</v>
      </c>
      <c r="F17" s="402">
        <f>'A) Base RI'!AR17</f>
        <v>-2357.0100000000002</v>
      </c>
      <c r="G17" s="408">
        <f t="shared" si="0"/>
        <v>3925028.49</v>
      </c>
      <c r="H17" s="10">
        <f>+'A) Base RI'!E17</f>
        <v>0</v>
      </c>
      <c r="I17" s="10">
        <f>+'A) Base RI'!F17</f>
        <v>0</v>
      </c>
      <c r="J17" s="10">
        <f>+'A) Base RI'!G17+'A) Base RI'!H17+'A) Base RI'!X17</f>
        <v>112327.41999999998</v>
      </c>
      <c r="K17" s="10">
        <f>+'A) Base RI'!I17</f>
        <v>115498.45</v>
      </c>
      <c r="L17" s="10">
        <f>+'A) Base RI'!J17</f>
        <v>172898.25</v>
      </c>
      <c r="M17" s="10">
        <f>+'A) Base RI'!K17</f>
        <v>22562.15</v>
      </c>
      <c r="N17" s="10">
        <f>+'A) Base RI'!Q17</f>
        <v>11983.24</v>
      </c>
      <c r="O17" s="10">
        <f t="shared" si="1"/>
        <v>811455.29999999993</v>
      </c>
      <c r="P17" s="10">
        <f>+'A) Base RI'!L17</f>
        <v>1217182.95</v>
      </c>
      <c r="Q17" s="416">
        <f>'A) Base RI'!AS17</f>
        <v>1.5</v>
      </c>
      <c r="R17" s="408">
        <f t="shared" si="2"/>
        <v>5171753.3000000007</v>
      </c>
      <c r="S17" s="482">
        <f>+'A) Base RI'!AN17</f>
        <v>76</v>
      </c>
      <c r="T17" s="408">
        <f t="shared" si="3"/>
        <v>4337735.8500000006</v>
      </c>
      <c r="U17" s="408">
        <f t="shared" si="4"/>
        <v>68049.385526315804</v>
      </c>
      <c r="V17" s="10">
        <f>+'A) Base RI'!O17</f>
        <v>191122.9</v>
      </c>
      <c r="W17" s="10">
        <f>+'A) Base RI'!P17</f>
        <v>436124.45</v>
      </c>
      <c r="X17" s="10">
        <f>+'A) Base RI'!R17</f>
        <v>285985.05</v>
      </c>
      <c r="Y17" s="408">
        <f t="shared" si="5"/>
        <v>913232.39999999991</v>
      </c>
      <c r="Z17" s="10">
        <f>+'A) Base RI'!N17</f>
        <v>22248.05</v>
      </c>
      <c r="AA17" s="10">
        <f>'A) Base RI'!AO17</f>
        <v>1466</v>
      </c>
    </row>
    <row r="18" spans="1:27" x14ac:dyDescent="0.25">
      <c r="A18" s="8">
        <f>'A) Base RI'!A18</f>
        <v>5412</v>
      </c>
      <c r="B18" s="32" t="str">
        <f>'A) Base RI'!B18</f>
        <v>Rennaz</v>
      </c>
      <c r="C18" s="10">
        <f>'A) Base RI'!C18+'A) Base RI'!D18</f>
        <v>1229781.99</v>
      </c>
      <c r="D18" s="10">
        <f>'A) Base RI'!AP18</f>
        <v>-24854.75</v>
      </c>
      <c r="E18" s="402">
        <f>'A) Base RI'!AQ18</f>
        <v>0</v>
      </c>
      <c r="F18" s="402">
        <f>'A) Base RI'!AR18</f>
        <v>-120.95</v>
      </c>
      <c r="G18" s="408">
        <f t="shared" si="0"/>
        <v>1204806.29</v>
      </c>
      <c r="H18" s="10">
        <f>+'A) Base RI'!E18</f>
        <v>0</v>
      </c>
      <c r="I18" s="10">
        <f>+'A) Base RI'!F18</f>
        <v>0</v>
      </c>
      <c r="J18" s="10">
        <f>+'A) Base RI'!G18+'A) Base RI'!H18+'A) Base RI'!X18</f>
        <v>76303.490000000005</v>
      </c>
      <c r="K18" s="10">
        <f>+'A) Base RI'!I18</f>
        <v>0</v>
      </c>
      <c r="L18" s="10">
        <f>+'A) Base RI'!J18</f>
        <v>124988.42</v>
      </c>
      <c r="M18" s="10">
        <f>+'A) Base RI'!K18</f>
        <v>37931.25</v>
      </c>
      <c r="N18" s="10">
        <f>+'A) Base RI'!Q18</f>
        <v>10379.57</v>
      </c>
      <c r="O18" s="10">
        <f t="shared" si="1"/>
        <v>220066.4</v>
      </c>
      <c r="P18" s="10">
        <f>+'A) Base RI'!L18</f>
        <v>220066.4</v>
      </c>
      <c r="Q18" s="416">
        <f>'A) Base RI'!AS18</f>
        <v>1</v>
      </c>
      <c r="R18" s="408">
        <f t="shared" si="2"/>
        <v>1674475.42</v>
      </c>
      <c r="S18" s="482">
        <f>+'A) Base RI'!AN18</f>
        <v>69</v>
      </c>
      <c r="T18" s="408">
        <f t="shared" si="3"/>
        <v>1416477.77</v>
      </c>
      <c r="U18" s="408">
        <f t="shared" si="4"/>
        <v>24267.759710144928</v>
      </c>
      <c r="V18" s="10">
        <f>+'A) Base RI'!O18</f>
        <v>0</v>
      </c>
      <c r="W18" s="10">
        <f>+'A) Base RI'!P18</f>
        <v>390203</v>
      </c>
      <c r="X18" s="10">
        <f>+'A) Base RI'!R18</f>
        <v>61549.05</v>
      </c>
      <c r="Y18" s="408">
        <f t="shared" si="5"/>
        <v>451752.05</v>
      </c>
      <c r="Z18" s="10">
        <f>+'A) Base RI'!N18</f>
        <v>257000.25</v>
      </c>
      <c r="AA18" s="10">
        <f>'A) Base RI'!AO18</f>
        <v>889</v>
      </c>
    </row>
    <row r="19" spans="1:27" x14ac:dyDescent="0.25">
      <c r="A19" s="8">
        <f>'A) Base RI'!A19</f>
        <v>5413</v>
      </c>
      <c r="B19" s="32" t="str">
        <f>'A) Base RI'!B19</f>
        <v>Roche</v>
      </c>
      <c r="C19" s="10">
        <f>'A) Base RI'!C19+'A) Base RI'!D19</f>
        <v>2751726.2600000002</v>
      </c>
      <c r="D19" s="10">
        <f>'A) Base RI'!AP19</f>
        <v>-119303.93</v>
      </c>
      <c r="E19" s="402">
        <f>'A) Base RI'!AQ19</f>
        <v>0</v>
      </c>
      <c r="F19" s="402">
        <f>'A) Base RI'!AR19</f>
        <v>-322.97000000000003</v>
      </c>
      <c r="G19" s="408">
        <f t="shared" si="0"/>
        <v>2632099.36</v>
      </c>
      <c r="H19" s="10">
        <f>+'A) Base RI'!E19</f>
        <v>0</v>
      </c>
      <c r="I19" s="10">
        <f>+'A) Base RI'!F19</f>
        <v>0</v>
      </c>
      <c r="J19" s="10">
        <f>+'A) Base RI'!G19+'A) Base RI'!H19+'A) Base RI'!X19</f>
        <v>194739.05</v>
      </c>
      <c r="K19" s="10">
        <f>+'A) Base RI'!I19</f>
        <v>0</v>
      </c>
      <c r="L19" s="10">
        <f>+'A) Base RI'!J19</f>
        <v>69128.09</v>
      </c>
      <c r="M19" s="10">
        <f>+'A) Base RI'!K19</f>
        <v>33987.300000000003</v>
      </c>
      <c r="N19" s="10">
        <f>+'A) Base RI'!Q19</f>
        <v>35230.839999999997</v>
      </c>
      <c r="O19" s="10">
        <f t="shared" si="1"/>
        <v>299323.20833333331</v>
      </c>
      <c r="P19" s="10">
        <f>+'A) Base RI'!L19</f>
        <v>359187.85</v>
      </c>
      <c r="Q19" s="416">
        <f>'A) Base RI'!AS19</f>
        <v>1.2</v>
      </c>
      <c r="R19" s="408">
        <f t="shared" si="2"/>
        <v>3264507.8483333327</v>
      </c>
      <c r="S19" s="482">
        <f>+'A) Base RI'!AN19</f>
        <v>68</v>
      </c>
      <c r="T19" s="408">
        <f t="shared" si="3"/>
        <v>2931197.3399999994</v>
      </c>
      <c r="U19" s="408">
        <f t="shared" si="4"/>
        <v>48007.468357843129</v>
      </c>
      <c r="V19" s="10">
        <f>+'A) Base RI'!O19</f>
        <v>5414</v>
      </c>
      <c r="W19" s="10">
        <f>+'A) Base RI'!P19</f>
        <v>40660.800000000003</v>
      </c>
      <c r="X19" s="10">
        <f>+'A) Base RI'!R19</f>
        <v>234295.95</v>
      </c>
      <c r="Y19" s="408">
        <f t="shared" si="5"/>
        <v>280370.75</v>
      </c>
      <c r="Z19" s="10">
        <f>+'A) Base RI'!N19</f>
        <v>275376.59999999998</v>
      </c>
      <c r="AA19" s="10">
        <f>'A) Base RI'!AO19</f>
        <v>1868</v>
      </c>
    </row>
    <row r="20" spans="1:27" x14ac:dyDescent="0.25">
      <c r="A20" s="8">
        <f>'A) Base RI'!A20</f>
        <v>5414</v>
      </c>
      <c r="B20" s="32" t="str">
        <f>'A) Base RI'!B20</f>
        <v>Villeneuve</v>
      </c>
      <c r="C20" s="10">
        <f>'A) Base RI'!C20+'A) Base RI'!D20</f>
        <v>8786931.6699999999</v>
      </c>
      <c r="D20" s="10">
        <f>'A) Base RI'!AP20</f>
        <v>-525365.79</v>
      </c>
      <c r="E20" s="402">
        <f>'A) Base RI'!AQ20</f>
        <v>0</v>
      </c>
      <c r="F20" s="402">
        <f>'A) Base RI'!AR20</f>
        <v>-5477.89</v>
      </c>
      <c r="G20" s="408">
        <f t="shared" si="0"/>
        <v>8256087.9900000002</v>
      </c>
      <c r="H20" s="10">
        <f>+'A) Base RI'!E20</f>
        <v>0</v>
      </c>
      <c r="I20" s="10">
        <f>+'A) Base RI'!F20</f>
        <v>0</v>
      </c>
      <c r="J20" s="10">
        <f>+'A) Base RI'!G20+'A) Base RI'!H20+'A) Base RI'!X20</f>
        <v>551570.19999999995</v>
      </c>
      <c r="K20" s="10">
        <f>+'A) Base RI'!I20</f>
        <v>60504.7</v>
      </c>
      <c r="L20" s="10">
        <f>+'A) Base RI'!J20</f>
        <v>377905.1</v>
      </c>
      <c r="M20" s="10">
        <f>+'A) Base RI'!K20</f>
        <v>170265.60000000001</v>
      </c>
      <c r="N20" s="10">
        <f>+'A) Base RI'!Q20</f>
        <v>114730.6</v>
      </c>
      <c r="O20" s="10">
        <f t="shared" si="1"/>
        <v>1233070.3</v>
      </c>
      <c r="P20" s="10">
        <f>+'A) Base RI'!L20</f>
        <v>1233070.3</v>
      </c>
      <c r="Q20" s="416">
        <f>'A) Base RI'!AS20</f>
        <v>1</v>
      </c>
      <c r="R20" s="408">
        <f t="shared" si="2"/>
        <v>10764134.489999998</v>
      </c>
      <c r="S20" s="482">
        <f>+'A) Base RI'!AN20</f>
        <v>67.5</v>
      </c>
      <c r="T20" s="408">
        <f t="shared" si="3"/>
        <v>9360798.589999998</v>
      </c>
      <c r="U20" s="408">
        <f t="shared" si="4"/>
        <v>159468.65911111108</v>
      </c>
      <c r="V20" s="10">
        <f>+'A) Base RI'!O20</f>
        <v>125495</v>
      </c>
      <c r="W20" s="10">
        <f>+'A) Base RI'!P20</f>
        <v>395929.45</v>
      </c>
      <c r="X20" s="10">
        <f>+'A) Base RI'!R20</f>
        <v>291274.25</v>
      </c>
      <c r="Y20" s="408">
        <f t="shared" si="5"/>
        <v>812698.7</v>
      </c>
      <c r="Z20" s="10">
        <f>+'A) Base RI'!N20</f>
        <v>1579016.8</v>
      </c>
      <c r="AA20" s="10">
        <f>'A) Base RI'!AO20</f>
        <v>5837</v>
      </c>
    </row>
    <row r="21" spans="1:27" x14ac:dyDescent="0.25">
      <c r="A21" s="8">
        <f>'A) Base RI'!A21</f>
        <v>5415</v>
      </c>
      <c r="B21" s="32" t="str">
        <f>'A) Base RI'!B21</f>
        <v>Yvorne</v>
      </c>
      <c r="C21" s="10">
        <f>'A) Base RI'!C21+'A) Base RI'!D21</f>
        <v>2406489.94</v>
      </c>
      <c r="D21" s="10">
        <f>'A) Base RI'!AP21</f>
        <v>-33484.75</v>
      </c>
      <c r="E21" s="402">
        <f>'A) Base RI'!AQ21</f>
        <v>0</v>
      </c>
      <c r="F21" s="402">
        <f>'A) Base RI'!AR21</f>
        <v>-798.47</v>
      </c>
      <c r="G21" s="408">
        <f t="shared" si="0"/>
        <v>2372206.7199999997</v>
      </c>
      <c r="H21" s="10">
        <f>+'A) Base RI'!E21</f>
        <v>0</v>
      </c>
      <c r="I21" s="10">
        <f>+'A) Base RI'!F21</f>
        <v>0</v>
      </c>
      <c r="J21" s="10">
        <f>+'A) Base RI'!G21+'A) Base RI'!H21+'A) Base RI'!X21</f>
        <v>51074.34</v>
      </c>
      <c r="K21" s="10">
        <f>+'A) Base RI'!I21</f>
        <v>-1112.8</v>
      </c>
      <c r="L21" s="10">
        <f>+'A) Base RI'!J21</f>
        <v>50941.15</v>
      </c>
      <c r="M21" s="10">
        <f>+'A) Base RI'!K21</f>
        <v>8446.2000000000007</v>
      </c>
      <c r="N21" s="10">
        <f>+'A) Base RI'!Q21</f>
        <v>3993.56</v>
      </c>
      <c r="O21" s="10">
        <f t="shared" si="1"/>
        <v>242534.76666666669</v>
      </c>
      <c r="P21" s="10">
        <f>+'A) Base RI'!L21</f>
        <v>363802.15</v>
      </c>
      <c r="Q21" s="416">
        <f>'A) Base RI'!AS21</f>
        <v>1.5</v>
      </c>
      <c r="R21" s="408">
        <f t="shared" si="2"/>
        <v>2728083.9366666665</v>
      </c>
      <c r="S21" s="482">
        <f>+'A) Base RI'!AN21</f>
        <v>71.5</v>
      </c>
      <c r="T21" s="408">
        <f t="shared" si="3"/>
        <v>2477102.9699999997</v>
      </c>
      <c r="U21" s="408">
        <f t="shared" si="4"/>
        <v>38155.020093240091</v>
      </c>
      <c r="V21" s="10">
        <f>+'A) Base RI'!O21</f>
        <v>301698.3</v>
      </c>
      <c r="W21" s="10">
        <f>+'A) Base RI'!P21</f>
        <v>36502.699999999997</v>
      </c>
      <c r="X21" s="10">
        <f>+'A) Base RI'!R21</f>
        <v>4057.75</v>
      </c>
      <c r="Y21" s="408">
        <f t="shared" si="5"/>
        <v>342258.75</v>
      </c>
      <c r="Z21" s="10">
        <f>+'A) Base RI'!N21</f>
        <v>40570.300000000003</v>
      </c>
      <c r="AA21" s="10">
        <f>'A) Base RI'!AO21</f>
        <v>1070</v>
      </c>
    </row>
    <row r="22" spans="1:27" x14ac:dyDescent="0.25">
      <c r="A22" s="8">
        <f>'A) Base RI'!A22</f>
        <v>5421</v>
      </c>
      <c r="B22" s="32" t="str">
        <f>'A) Base RI'!B22</f>
        <v>Apples</v>
      </c>
      <c r="C22" s="10">
        <f>'A) Base RI'!C22+'A) Base RI'!D22</f>
        <v>4201889.32</v>
      </c>
      <c r="D22" s="10">
        <f>'A) Base RI'!AP22</f>
        <v>-36044.699999999997</v>
      </c>
      <c r="E22" s="402">
        <f>'A) Base RI'!AQ22</f>
        <v>0</v>
      </c>
      <c r="F22" s="402">
        <f>'A) Base RI'!AR22</f>
        <v>-5260.21</v>
      </c>
      <c r="G22" s="408">
        <f t="shared" si="0"/>
        <v>4160584.41</v>
      </c>
      <c r="H22" s="10">
        <f>+'A) Base RI'!E22</f>
        <v>0</v>
      </c>
      <c r="I22" s="10">
        <f>+'A) Base RI'!F22</f>
        <v>0</v>
      </c>
      <c r="J22" s="10">
        <f>+'A) Base RI'!G22+'A) Base RI'!H22+'A) Base RI'!X22</f>
        <v>70216.19</v>
      </c>
      <c r="K22" s="10">
        <f>+'A) Base RI'!I22</f>
        <v>67515.199999999997</v>
      </c>
      <c r="L22" s="10">
        <f>+'A) Base RI'!J22</f>
        <v>292311.67999999999</v>
      </c>
      <c r="M22" s="10">
        <f>+'A) Base RI'!K22</f>
        <v>12858.9</v>
      </c>
      <c r="N22" s="10">
        <f>+'A) Base RI'!Q22</f>
        <v>2464.04</v>
      </c>
      <c r="O22" s="10">
        <f t="shared" si="1"/>
        <v>301256.09999999998</v>
      </c>
      <c r="P22" s="10">
        <f>+'A) Base RI'!L22</f>
        <v>301256.09999999998</v>
      </c>
      <c r="Q22" s="416">
        <f>'A) Base RI'!AS22</f>
        <v>1</v>
      </c>
      <c r="R22" s="408">
        <f t="shared" si="2"/>
        <v>4907206.5200000005</v>
      </c>
      <c r="S22" s="482">
        <f>+'A) Base RI'!AN22</f>
        <v>74</v>
      </c>
      <c r="T22" s="408">
        <f t="shared" si="3"/>
        <v>4593091.5200000005</v>
      </c>
      <c r="U22" s="408">
        <f t="shared" si="4"/>
        <v>66313.601621621623</v>
      </c>
      <c r="V22" s="10">
        <f>+'A) Base RI'!O22</f>
        <v>44006.400000000001</v>
      </c>
      <c r="W22" s="10">
        <f>+'A) Base RI'!P22</f>
        <v>77387.399999999994</v>
      </c>
      <c r="X22" s="10">
        <f>+'A) Base RI'!R22</f>
        <v>60347.75</v>
      </c>
      <c r="Y22" s="408">
        <f t="shared" si="5"/>
        <v>181741.55</v>
      </c>
      <c r="Z22" s="10">
        <f>+'A) Base RI'!N22</f>
        <v>37966.6</v>
      </c>
      <c r="AA22" s="10">
        <f>'A) Base RI'!AO22</f>
        <v>1457</v>
      </c>
    </row>
    <row r="23" spans="1:27" x14ac:dyDescent="0.25">
      <c r="A23" s="8">
        <f>'A) Base RI'!A23</f>
        <v>5422</v>
      </c>
      <c r="B23" s="32" t="str">
        <f>'A) Base RI'!B23</f>
        <v>Aubonne</v>
      </c>
      <c r="C23" s="10">
        <f>'A) Base RI'!C23+'A) Base RI'!D23</f>
        <v>8795677.6799999997</v>
      </c>
      <c r="D23" s="10">
        <f>'A) Base RI'!AP23</f>
        <v>-91855.75</v>
      </c>
      <c r="E23" s="402">
        <f>'A) Base RI'!AQ23</f>
        <v>0</v>
      </c>
      <c r="F23" s="402">
        <f>'A) Base RI'!AR23</f>
        <v>-6465.77</v>
      </c>
      <c r="G23" s="408">
        <f t="shared" si="0"/>
        <v>8697356.1600000001</v>
      </c>
      <c r="H23" s="10">
        <f>+'A) Base RI'!E23</f>
        <v>0</v>
      </c>
      <c r="I23" s="10">
        <f>+'A) Base RI'!F23</f>
        <v>0</v>
      </c>
      <c r="J23" s="10">
        <f>+'A) Base RI'!G23+'A) Base RI'!H23+'A) Base RI'!X23</f>
        <v>5830027.0300000003</v>
      </c>
      <c r="K23" s="10">
        <f>+'A) Base RI'!I23</f>
        <v>319908</v>
      </c>
      <c r="L23" s="10">
        <f>+'A) Base RI'!J23</f>
        <v>541853.35</v>
      </c>
      <c r="M23" s="10">
        <f>+'A) Base RI'!K23</f>
        <v>182483.5</v>
      </c>
      <c r="N23" s="10">
        <f>+'A) Base RI'!Q23</f>
        <v>37116.94</v>
      </c>
      <c r="O23" s="10">
        <f t="shared" si="1"/>
        <v>994846.68</v>
      </c>
      <c r="P23" s="10">
        <f>+'A) Base RI'!L23</f>
        <v>994846.68</v>
      </c>
      <c r="Q23" s="416">
        <f>'A) Base RI'!AS23</f>
        <v>1</v>
      </c>
      <c r="R23" s="408">
        <f t="shared" si="2"/>
        <v>16603591.66</v>
      </c>
      <c r="S23" s="482">
        <f>+'A) Base RI'!AN23</f>
        <v>68.5</v>
      </c>
      <c r="T23" s="408">
        <f t="shared" si="3"/>
        <v>15426261.48</v>
      </c>
      <c r="U23" s="408">
        <f t="shared" si="4"/>
        <v>242388.1994160584</v>
      </c>
      <c r="V23" s="10">
        <f>+'A) Base RI'!O23</f>
        <v>132137.9</v>
      </c>
      <c r="W23" s="10">
        <f>+'A) Base RI'!P23</f>
        <v>447632.6</v>
      </c>
      <c r="X23" s="10">
        <f>+'A) Base RI'!R23</f>
        <v>440850.9</v>
      </c>
      <c r="Y23" s="408">
        <f t="shared" si="5"/>
        <v>1020621.4</v>
      </c>
      <c r="Z23" s="10">
        <f>+'A) Base RI'!N23</f>
        <v>1045403.05</v>
      </c>
      <c r="AA23" s="10">
        <f>'A) Base RI'!AO23</f>
        <v>3241</v>
      </c>
    </row>
    <row r="24" spans="1:27" x14ac:dyDescent="0.25">
      <c r="A24" s="8">
        <f>'A) Base RI'!A24</f>
        <v>5423</v>
      </c>
      <c r="B24" s="32" t="str">
        <f>'A) Base RI'!B24</f>
        <v>Ballens</v>
      </c>
      <c r="C24" s="10">
        <f>'A) Base RI'!C24+'A) Base RI'!D24</f>
        <v>1159584.51</v>
      </c>
      <c r="D24" s="10">
        <f>'A) Base RI'!AP24</f>
        <v>-22543.01</v>
      </c>
      <c r="E24" s="402">
        <f>'A) Base RI'!AQ24</f>
        <v>0</v>
      </c>
      <c r="F24" s="402">
        <f>'A) Base RI'!AR24</f>
        <v>-28.57</v>
      </c>
      <c r="G24" s="408">
        <f t="shared" si="0"/>
        <v>1137012.93</v>
      </c>
      <c r="H24" s="10">
        <f>+'A) Base RI'!E24</f>
        <v>0</v>
      </c>
      <c r="I24" s="10">
        <f>+'A) Base RI'!F24</f>
        <v>2900</v>
      </c>
      <c r="J24" s="10">
        <f>+'A) Base RI'!G24+'A) Base RI'!H24+'A) Base RI'!X24</f>
        <v>4405.1400000000003</v>
      </c>
      <c r="K24" s="10">
        <f>+'A) Base RI'!I24</f>
        <v>0</v>
      </c>
      <c r="L24" s="10">
        <f>+'A) Base RI'!J24</f>
        <v>22628</v>
      </c>
      <c r="M24" s="10">
        <f>+'A) Base RI'!K24</f>
        <v>2520.85</v>
      </c>
      <c r="N24" s="10">
        <f>+'A) Base RI'!Q24</f>
        <v>0</v>
      </c>
      <c r="O24" s="10">
        <f t="shared" si="1"/>
        <v>79909.5</v>
      </c>
      <c r="P24" s="10">
        <f>+'A) Base RI'!L24</f>
        <v>39954.75</v>
      </c>
      <c r="Q24" s="416">
        <f>'A) Base RI'!AS24</f>
        <v>0.5</v>
      </c>
      <c r="R24" s="408">
        <f t="shared" si="2"/>
        <v>1249376.42</v>
      </c>
      <c r="S24" s="482">
        <f>+'A) Base RI'!AN24</f>
        <v>73</v>
      </c>
      <c r="T24" s="408">
        <f t="shared" si="3"/>
        <v>1164046.0699999998</v>
      </c>
      <c r="U24" s="408">
        <f t="shared" si="4"/>
        <v>17114.745479452053</v>
      </c>
      <c r="V24" s="10">
        <f>+'A) Base RI'!O24</f>
        <v>0</v>
      </c>
      <c r="W24" s="10">
        <f>+'A) Base RI'!P24</f>
        <v>42278.65</v>
      </c>
      <c r="X24" s="10">
        <f>+'A) Base RI'!R24</f>
        <v>21474</v>
      </c>
      <c r="Y24" s="408">
        <f t="shared" si="5"/>
        <v>63752.65</v>
      </c>
      <c r="Z24" s="10">
        <f>+'A) Base RI'!N24</f>
        <v>23095.75</v>
      </c>
      <c r="AA24" s="10">
        <f>'A) Base RI'!AO24</f>
        <v>562</v>
      </c>
    </row>
    <row r="25" spans="1:27" x14ac:dyDescent="0.25">
      <c r="A25" s="8">
        <f>'A) Base RI'!A25</f>
        <v>5424</v>
      </c>
      <c r="B25" s="32" t="str">
        <f>'A) Base RI'!B25</f>
        <v>Berolle</v>
      </c>
      <c r="C25" s="10">
        <f>'A) Base RI'!C25+'A) Base RI'!D25</f>
        <v>609490.22</v>
      </c>
      <c r="D25" s="10">
        <f>'A) Base RI'!AP25</f>
        <v>-17136.48</v>
      </c>
      <c r="E25" s="402">
        <f>'A) Base RI'!AQ25</f>
        <v>0</v>
      </c>
      <c r="F25" s="402">
        <f>'A) Base RI'!AR25</f>
        <v>0</v>
      </c>
      <c r="G25" s="408">
        <f t="shared" si="0"/>
        <v>592353.74</v>
      </c>
      <c r="H25" s="10">
        <f>+'A) Base RI'!E25</f>
        <v>0</v>
      </c>
      <c r="I25" s="10">
        <f>+'A) Base RI'!F25</f>
        <v>0</v>
      </c>
      <c r="J25" s="10">
        <f>+'A) Base RI'!G25+'A) Base RI'!H25+'A) Base RI'!X25</f>
        <v>1255.3500000000001</v>
      </c>
      <c r="K25" s="10">
        <f>+'A) Base RI'!I25</f>
        <v>38612.949999999997</v>
      </c>
      <c r="L25" s="10">
        <f>+'A) Base RI'!J25</f>
        <v>4367.42</v>
      </c>
      <c r="M25" s="10">
        <f>+'A) Base RI'!K25</f>
        <v>766</v>
      </c>
      <c r="N25" s="10">
        <f>+'A) Base RI'!Q25</f>
        <v>401.9</v>
      </c>
      <c r="O25" s="10">
        <f t="shared" si="1"/>
        <v>50423.4</v>
      </c>
      <c r="P25" s="10">
        <f>+'A) Base RI'!L25</f>
        <v>50423.4</v>
      </c>
      <c r="Q25" s="416">
        <f>'A) Base RI'!AS25</f>
        <v>1</v>
      </c>
      <c r="R25" s="408">
        <f t="shared" si="2"/>
        <v>688180.76</v>
      </c>
      <c r="S25" s="482">
        <f>+'A) Base RI'!AN25</f>
        <v>75.5</v>
      </c>
      <c r="T25" s="408">
        <f t="shared" si="3"/>
        <v>636991.36</v>
      </c>
      <c r="U25" s="408">
        <f t="shared" si="4"/>
        <v>9114.9769536423846</v>
      </c>
      <c r="V25" s="10">
        <f>+'A) Base RI'!O25</f>
        <v>0</v>
      </c>
      <c r="W25" s="10">
        <f>+'A) Base RI'!P25</f>
        <v>14315.85</v>
      </c>
      <c r="X25" s="10">
        <f>+'A) Base RI'!R25</f>
        <v>29602.85</v>
      </c>
      <c r="Y25" s="408">
        <f t="shared" si="5"/>
        <v>43918.7</v>
      </c>
      <c r="Z25" s="10">
        <f>+'A) Base RI'!N25</f>
        <v>0</v>
      </c>
      <c r="AA25" s="10">
        <f>'A) Base RI'!AO25</f>
        <v>313</v>
      </c>
    </row>
    <row r="26" spans="1:27" x14ac:dyDescent="0.25">
      <c r="A26" s="8">
        <f>'A) Base RI'!A26</f>
        <v>5425</v>
      </c>
      <c r="B26" s="32" t="str">
        <f>'A) Base RI'!B26</f>
        <v>Bière</v>
      </c>
      <c r="C26" s="10">
        <f>'A) Base RI'!C26+'A) Base RI'!D26</f>
        <v>2267219.7000000002</v>
      </c>
      <c r="D26" s="10">
        <f>'A) Base RI'!AP26</f>
        <v>-94131.28</v>
      </c>
      <c r="E26" s="402">
        <f>'A) Base RI'!AQ26</f>
        <v>0</v>
      </c>
      <c r="F26" s="402">
        <f>'A) Base RI'!AR26</f>
        <v>-27.35</v>
      </c>
      <c r="G26" s="408">
        <f t="shared" si="0"/>
        <v>2173061.0700000003</v>
      </c>
      <c r="H26" s="10">
        <f>+'A) Base RI'!E26</f>
        <v>0</v>
      </c>
      <c r="I26" s="10">
        <f>+'A) Base RI'!F26</f>
        <v>0</v>
      </c>
      <c r="J26" s="10">
        <f>+'A) Base RI'!G26+'A) Base RI'!H26+'A) Base RI'!X26</f>
        <v>218813.93</v>
      </c>
      <c r="K26" s="10">
        <f>+'A) Base RI'!I26</f>
        <v>0</v>
      </c>
      <c r="L26" s="10">
        <f>+'A) Base RI'!J26</f>
        <v>142233.89000000001</v>
      </c>
      <c r="M26" s="10">
        <f>+'A) Base RI'!K26</f>
        <v>-12948.1</v>
      </c>
      <c r="N26" s="10">
        <f>+'A) Base RI'!Q26</f>
        <v>44838.27</v>
      </c>
      <c r="O26" s="10">
        <f t="shared" si="1"/>
        <v>208626.81034482759</v>
      </c>
      <c r="P26" s="10">
        <f>+'A) Base RI'!L26</f>
        <v>121003.55</v>
      </c>
      <c r="Q26" s="416">
        <f>'A) Base RI'!AS26</f>
        <v>0.57999999999999996</v>
      </c>
      <c r="R26" s="408">
        <f t="shared" si="2"/>
        <v>2774625.8703448279</v>
      </c>
      <c r="S26" s="482">
        <f>+'A) Base RI'!AN26</f>
        <v>69</v>
      </c>
      <c r="T26" s="408">
        <f t="shared" si="3"/>
        <v>2578947.1600000006</v>
      </c>
      <c r="U26" s="408">
        <f t="shared" si="4"/>
        <v>40211.969135432286</v>
      </c>
      <c r="V26" s="10">
        <f>+'A) Base RI'!O26</f>
        <v>53054.7</v>
      </c>
      <c r="W26" s="10">
        <f>+'A) Base RI'!P26</f>
        <v>102111.85</v>
      </c>
      <c r="X26" s="10">
        <f>+'A) Base RI'!R26</f>
        <v>95170.1</v>
      </c>
      <c r="Y26" s="408">
        <f t="shared" si="5"/>
        <v>250336.65</v>
      </c>
      <c r="Z26" s="10">
        <f>+'A) Base RI'!N26</f>
        <v>61405.1</v>
      </c>
      <c r="AA26" s="10">
        <f>'A) Base RI'!AO26</f>
        <v>1627</v>
      </c>
    </row>
    <row r="27" spans="1:27" x14ac:dyDescent="0.25">
      <c r="A27" s="8">
        <f>'A) Base RI'!A27</f>
        <v>5426</v>
      </c>
      <c r="B27" s="32" t="str">
        <f>'A) Base RI'!B27</f>
        <v>Bougy-Villars</v>
      </c>
      <c r="C27" s="10">
        <f>'A) Base RI'!C27+'A) Base RI'!D27</f>
        <v>2709774.88</v>
      </c>
      <c r="D27" s="10">
        <f>'A) Base RI'!AP27</f>
        <v>-12412.44</v>
      </c>
      <c r="E27" s="402">
        <f>'A) Base RI'!AQ27</f>
        <v>0</v>
      </c>
      <c r="F27" s="402">
        <f>'A) Base RI'!AR27</f>
        <v>-4586.82</v>
      </c>
      <c r="G27" s="408">
        <f t="shared" si="0"/>
        <v>2692775.62</v>
      </c>
      <c r="H27" s="10">
        <f>+'A) Base RI'!E27</f>
        <v>0</v>
      </c>
      <c r="I27" s="10">
        <f>+'A) Base RI'!F27</f>
        <v>0</v>
      </c>
      <c r="J27" s="10">
        <f>+'A) Base RI'!G27+'A) Base RI'!H27+'A) Base RI'!X27</f>
        <v>1912.48</v>
      </c>
      <c r="K27" s="10">
        <f>+'A) Base RI'!I27</f>
        <v>619980.80000000005</v>
      </c>
      <c r="L27" s="10">
        <f>+'A) Base RI'!J27</f>
        <v>31633.53</v>
      </c>
      <c r="M27" s="10">
        <f>+'A) Base RI'!K27</f>
        <v>-1742.2</v>
      </c>
      <c r="N27" s="10">
        <f>+'A) Base RI'!Q27</f>
        <v>0</v>
      </c>
      <c r="O27" s="10">
        <f t="shared" si="1"/>
        <v>244259.20833333334</v>
      </c>
      <c r="P27" s="10">
        <f>+'A) Base RI'!L27</f>
        <v>293111.05</v>
      </c>
      <c r="Q27" s="416">
        <f>'A) Base RI'!AS27</f>
        <v>1.2</v>
      </c>
      <c r="R27" s="408">
        <f t="shared" si="2"/>
        <v>3588819.4383333335</v>
      </c>
      <c r="S27" s="482">
        <f>+'A) Base RI'!AN27</f>
        <v>64.5</v>
      </c>
      <c r="T27" s="408">
        <f t="shared" si="3"/>
        <v>3346302.43</v>
      </c>
      <c r="U27" s="408">
        <f t="shared" si="4"/>
        <v>55640.611447028423</v>
      </c>
      <c r="V27" s="10">
        <f>+'A) Base RI'!O27</f>
        <v>10073.6</v>
      </c>
      <c r="W27" s="10">
        <f>+'A) Base RI'!P27</f>
        <v>180712.4</v>
      </c>
      <c r="X27" s="10">
        <f>+'A) Base RI'!R27</f>
        <v>90087.7</v>
      </c>
      <c r="Y27" s="408">
        <f t="shared" si="5"/>
        <v>280873.7</v>
      </c>
      <c r="Z27" s="10">
        <f>+'A) Base RI'!N27</f>
        <v>12909.65</v>
      </c>
      <c r="AA27" s="10">
        <f>'A) Base RI'!AO27</f>
        <v>477</v>
      </c>
    </row>
    <row r="28" spans="1:27" x14ac:dyDescent="0.25">
      <c r="A28" s="8">
        <f>'A) Base RI'!A28</f>
        <v>5427</v>
      </c>
      <c r="B28" s="32" t="str">
        <f>'A) Base RI'!B28</f>
        <v>Féchy</v>
      </c>
      <c r="C28" s="10">
        <f>'A) Base RI'!C28+'A) Base RI'!D28</f>
        <v>4055588.71</v>
      </c>
      <c r="D28" s="10">
        <f>'A) Base RI'!AP28</f>
        <v>-97265.64</v>
      </c>
      <c r="E28" s="402">
        <f>'A) Base RI'!AQ28</f>
        <v>0</v>
      </c>
      <c r="F28" s="402">
        <f>'A) Base RI'!AR28</f>
        <v>0</v>
      </c>
      <c r="G28" s="408">
        <f t="shared" si="0"/>
        <v>3958323.07</v>
      </c>
      <c r="H28" s="10">
        <f>+'A) Base RI'!E28</f>
        <v>0</v>
      </c>
      <c r="I28" s="10">
        <f>+'A) Base RI'!F28</f>
        <v>0</v>
      </c>
      <c r="J28" s="10">
        <f>+'A) Base RI'!G28+'A) Base RI'!H28+'A) Base RI'!X28</f>
        <v>47678.039999999994</v>
      </c>
      <c r="K28" s="10">
        <f>+'A) Base RI'!I28</f>
        <v>504282.15</v>
      </c>
      <c r="L28" s="10">
        <f>+'A) Base RI'!J28</f>
        <v>51538.01</v>
      </c>
      <c r="M28" s="10">
        <f>+'A) Base RI'!K28</f>
        <v>-319.75</v>
      </c>
      <c r="N28" s="10">
        <f>+'A) Base RI'!Q28</f>
        <v>6191.36</v>
      </c>
      <c r="O28" s="10">
        <f t="shared" si="1"/>
        <v>361614.23076923075</v>
      </c>
      <c r="P28" s="10">
        <f>+'A) Base RI'!L28</f>
        <v>470098.5</v>
      </c>
      <c r="Q28" s="416">
        <f>'A) Base RI'!AS28</f>
        <v>1.3</v>
      </c>
      <c r="R28" s="408">
        <f t="shared" si="2"/>
        <v>4929307.1107692309</v>
      </c>
      <c r="S28" s="482">
        <f>+'A) Base RI'!AN28</f>
        <v>64</v>
      </c>
      <c r="T28" s="408">
        <f t="shared" si="3"/>
        <v>4568012.63</v>
      </c>
      <c r="U28" s="408">
        <f t="shared" si="4"/>
        <v>77020.423605769232</v>
      </c>
      <c r="V28" s="10">
        <f>+'A) Base RI'!O28</f>
        <v>0</v>
      </c>
      <c r="W28" s="10">
        <f>+'A) Base RI'!P28</f>
        <v>119520.9</v>
      </c>
      <c r="X28" s="10">
        <f>+'A) Base RI'!R28</f>
        <v>78166.850000000006</v>
      </c>
      <c r="Y28" s="408">
        <f t="shared" si="5"/>
        <v>197687.75</v>
      </c>
      <c r="Z28" s="10">
        <f>+'A) Base RI'!N28</f>
        <v>11820.25</v>
      </c>
      <c r="AA28" s="10">
        <f>'A) Base RI'!AO28</f>
        <v>869</v>
      </c>
    </row>
    <row r="29" spans="1:27" x14ac:dyDescent="0.25">
      <c r="A29" s="8">
        <f>'A) Base RI'!A29</f>
        <v>5428</v>
      </c>
      <c r="B29" s="32" t="str">
        <f>'A) Base RI'!B29</f>
        <v>Gimel</v>
      </c>
      <c r="C29" s="10">
        <f>'A) Base RI'!C29+'A) Base RI'!D29</f>
        <v>4556018.04</v>
      </c>
      <c r="D29" s="10">
        <f>'A) Base RI'!AP29</f>
        <v>-58057.22</v>
      </c>
      <c r="E29" s="402">
        <f>'A) Base RI'!AQ29</f>
        <v>0</v>
      </c>
      <c r="F29" s="402">
        <f>'A) Base RI'!AR29</f>
        <v>-212.36</v>
      </c>
      <c r="G29" s="408">
        <f t="shared" si="0"/>
        <v>4497748.46</v>
      </c>
      <c r="H29" s="10">
        <f>+'A) Base RI'!E29</f>
        <v>0</v>
      </c>
      <c r="I29" s="10">
        <f>+'A) Base RI'!F29</f>
        <v>0</v>
      </c>
      <c r="J29" s="10">
        <f>+'A) Base RI'!G29+'A) Base RI'!H29+'A) Base RI'!X29</f>
        <v>126869.65000000001</v>
      </c>
      <c r="K29" s="10">
        <f>+'A) Base RI'!I29</f>
        <v>0</v>
      </c>
      <c r="L29" s="10">
        <f>+'A) Base RI'!J29</f>
        <v>204065.92000000001</v>
      </c>
      <c r="M29" s="10">
        <f>+'A) Base RI'!K29</f>
        <v>16220.5</v>
      </c>
      <c r="N29" s="10">
        <f>+'A) Base RI'!Q29</f>
        <v>3726.29</v>
      </c>
      <c r="O29" s="10">
        <f t="shared" si="1"/>
        <v>380764.29166666669</v>
      </c>
      <c r="P29" s="10">
        <f>+'A) Base RI'!L29</f>
        <v>456917.15</v>
      </c>
      <c r="Q29" s="416">
        <f>'A) Base RI'!AS29</f>
        <v>1.2</v>
      </c>
      <c r="R29" s="408">
        <f t="shared" si="2"/>
        <v>5229395.1116666673</v>
      </c>
      <c r="S29" s="482">
        <f>+'A) Base RI'!AN29</f>
        <v>74.5</v>
      </c>
      <c r="T29" s="408">
        <f t="shared" si="3"/>
        <v>4832410.32</v>
      </c>
      <c r="U29" s="408">
        <f t="shared" si="4"/>
        <v>70193.222975391502</v>
      </c>
      <c r="V29" s="10">
        <f>+'A) Base RI'!O29</f>
        <v>539194.1</v>
      </c>
      <c r="W29" s="10">
        <f>+'A) Base RI'!P29</f>
        <v>228165.85</v>
      </c>
      <c r="X29" s="10">
        <f>+'A) Base RI'!R29</f>
        <v>68445.399999999994</v>
      </c>
      <c r="Y29" s="408">
        <f t="shared" si="5"/>
        <v>835805.35</v>
      </c>
      <c r="Z29" s="10">
        <f>+'A) Base RI'!N29</f>
        <v>249456.7</v>
      </c>
      <c r="AA29" s="10">
        <f>'A) Base RI'!AO29</f>
        <v>2307</v>
      </c>
    </row>
    <row r="30" spans="1:27" x14ac:dyDescent="0.25">
      <c r="A30" s="8">
        <f>'A) Base RI'!A30</f>
        <v>5429</v>
      </c>
      <c r="B30" s="32" t="str">
        <f>'A) Base RI'!B30</f>
        <v>Longirod</v>
      </c>
      <c r="C30" s="10">
        <f>'A) Base RI'!C30+'A) Base RI'!D30</f>
        <v>1136780.5999999999</v>
      </c>
      <c r="D30" s="10">
        <f>'A) Base RI'!AP30</f>
        <v>-19217.95</v>
      </c>
      <c r="E30" s="402">
        <f>'A) Base RI'!AQ30</f>
        <v>0</v>
      </c>
      <c r="F30" s="402">
        <f>'A) Base RI'!AR30</f>
        <v>-38.01</v>
      </c>
      <c r="G30" s="408">
        <f t="shared" si="0"/>
        <v>1117524.6399999999</v>
      </c>
      <c r="H30" s="10">
        <f>+'A) Base RI'!E30</f>
        <v>0</v>
      </c>
      <c r="I30" s="10">
        <f>+'A) Base RI'!F30</f>
        <v>0</v>
      </c>
      <c r="J30" s="10">
        <f>+'A) Base RI'!G30+'A) Base RI'!H30+'A) Base RI'!X30</f>
        <v>18585.349999999999</v>
      </c>
      <c r="K30" s="10">
        <f>+'A) Base RI'!I30</f>
        <v>0</v>
      </c>
      <c r="L30" s="10">
        <f>+'A) Base RI'!J30</f>
        <v>9020.59</v>
      </c>
      <c r="M30" s="10">
        <f>+'A) Base RI'!K30</f>
        <v>3793.9</v>
      </c>
      <c r="N30" s="10">
        <f>+'A) Base RI'!Q30</f>
        <v>104.2</v>
      </c>
      <c r="O30" s="10">
        <f t="shared" si="1"/>
        <v>101881.3</v>
      </c>
      <c r="P30" s="10">
        <f>+'A) Base RI'!L30</f>
        <v>101881.3</v>
      </c>
      <c r="Q30" s="416">
        <f>'A) Base RI'!AS30</f>
        <v>1</v>
      </c>
      <c r="R30" s="408">
        <f t="shared" si="2"/>
        <v>1250909.98</v>
      </c>
      <c r="S30" s="482">
        <f>+'A) Base RI'!AN30</f>
        <v>77.5</v>
      </c>
      <c r="T30" s="408">
        <f t="shared" si="3"/>
        <v>1145234.78</v>
      </c>
      <c r="U30" s="408">
        <f t="shared" si="4"/>
        <v>16140.77393548387</v>
      </c>
      <c r="V30" s="10">
        <f>+'A) Base RI'!O30</f>
        <v>0</v>
      </c>
      <c r="W30" s="10">
        <f>+'A) Base RI'!P30</f>
        <v>85378.4</v>
      </c>
      <c r="X30" s="10">
        <f>+'A) Base RI'!R30</f>
        <v>7985.1</v>
      </c>
      <c r="Y30" s="408">
        <f t="shared" si="5"/>
        <v>93363.5</v>
      </c>
      <c r="Z30" s="10">
        <f>+'A) Base RI'!N30</f>
        <v>0</v>
      </c>
      <c r="AA30" s="10">
        <f>'A) Base RI'!AO30</f>
        <v>494</v>
      </c>
    </row>
    <row r="31" spans="1:27" x14ac:dyDescent="0.25">
      <c r="A31" s="8">
        <f>'A) Base RI'!A31</f>
        <v>5430</v>
      </c>
      <c r="B31" s="32" t="str">
        <f>'A) Base RI'!B31</f>
        <v>Marchissy</v>
      </c>
      <c r="C31" s="10">
        <f>'A) Base RI'!C31+'A) Base RI'!D31</f>
        <v>1058347.04</v>
      </c>
      <c r="D31" s="10">
        <f>'A) Base RI'!AP31</f>
        <v>-25464.82</v>
      </c>
      <c r="E31" s="402">
        <f>'A) Base RI'!AQ31</f>
        <v>0</v>
      </c>
      <c r="F31" s="402">
        <f>'A) Base RI'!AR31</f>
        <v>-108.97</v>
      </c>
      <c r="G31" s="408">
        <f t="shared" si="0"/>
        <v>1032773.2500000001</v>
      </c>
      <c r="H31" s="10">
        <f>+'A) Base RI'!E31</f>
        <v>0</v>
      </c>
      <c r="I31" s="10">
        <f>+'A) Base RI'!F31</f>
        <v>0</v>
      </c>
      <c r="J31" s="10">
        <f>+'A) Base RI'!G31+'A) Base RI'!H31+'A) Base RI'!X31</f>
        <v>-120.17000000000019</v>
      </c>
      <c r="K31" s="10">
        <f>+'A) Base RI'!I31</f>
        <v>0</v>
      </c>
      <c r="L31" s="10">
        <f>+'A) Base RI'!J31</f>
        <v>23189.25</v>
      </c>
      <c r="M31" s="10">
        <f>+'A) Base RI'!K31</f>
        <v>756.8</v>
      </c>
      <c r="N31" s="10">
        <f>+'A) Base RI'!Q31</f>
        <v>0</v>
      </c>
      <c r="O31" s="10">
        <f t="shared" si="1"/>
        <v>94155.8</v>
      </c>
      <c r="P31" s="10">
        <f>+'A) Base RI'!L31</f>
        <v>94155.8</v>
      </c>
      <c r="Q31" s="416">
        <f>'A) Base RI'!AS31</f>
        <v>1</v>
      </c>
      <c r="R31" s="408">
        <f t="shared" si="2"/>
        <v>1150754.9300000002</v>
      </c>
      <c r="S31" s="482">
        <f>+'A) Base RI'!AN31</f>
        <v>77.5</v>
      </c>
      <c r="T31" s="408">
        <f t="shared" si="3"/>
        <v>1055842.33</v>
      </c>
      <c r="U31" s="408">
        <f t="shared" si="4"/>
        <v>14848.450709677421</v>
      </c>
      <c r="V31" s="10">
        <f>+'A) Base RI'!O31</f>
        <v>0</v>
      </c>
      <c r="W31" s="10">
        <f>+'A) Base RI'!P31</f>
        <v>61825.5</v>
      </c>
      <c r="X31" s="10">
        <f>+'A) Base RI'!R31</f>
        <v>21966.95</v>
      </c>
      <c r="Y31" s="408">
        <f t="shared" si="5"/>
        <v>83792.45</v>
      </c>
      <c r="Z31" s="10">
        <f>+'A) Base RI'!N31</f>
        <v>6870.3</v>
      </c>
      <c r="AA31" s="10">
        <f>'A) Base RI'!AO31</f>
        <v>481</v>
      </c>
    </row>
    <row r="32" spans="1:27" x14ac:dyDescent="0.25">
      <c r="A32" s="8">
        <f>'A) Base RI'!A32</f>
        <v>5431</v>
      </c>
      <c r="B32" s="32" t="str">
        <f>'A) Base RI'!B32</f>
        <v>Mollens</v>
      </c>
      <c r="C32" s="10">
        <f>'A) Base RI'!C32+'A) Base RI'!D32</f>
        <v>614644.35000000009</v>
      </c>
      <c r="D32" s="10">
        <f>'A) Base RI'!AP32</f>
        <v>-790.65</v>
      </c>
      <c r="E32" s="402">
        <f>'A) Base RI'!AQ32</f>
        <v>0</v>
      </c>
      <c r="F32" s="402">
        <f>'A) Base RI'!AR32</f>
        <v>-2388.17</v>
      </c>
      <c r="G32" s="408">
        <f t="shared" si="0"/>
        <v>611465.53</v>
      </c>
      <c r="H32" s="10">
        <f>+'A) Base RI'!E32</f>
        <v>0</v>
      </c>
      <c r="I32" s="10">
        <f>+'A) Base RI'!F32</f>
        <v>0</v>
      </c>
      <c r="J32" s="10">
        <f>+'A) Base RI'!G32+'A) Base RI'!H32+'A) Base RI'!X32</f>
        <v>1236.93</v>
      </c>
      <c r="K32" s="10">
        <f>+'A) Base RI'!I32</f>
        <v>0</v>
      </c>
      <c r="L32" s="10">
        <f>+'A) Base RI'!J32</f>
        <v>25776.17</v>
      </c>
      <c r="M32" s="10">
        <f>+'A) Base RI'!K32</f>
        <v>283.85000000000002</v>
      </c>
      <c r="N32" s="10">
        <f>+'A) Base RI'!Q32</f>
        <v>77.349999999999994</v>
      </c>
      <c r="O32" s="10">
        <f t="shared" si="1"/>
        <v>51837.3</v>
      </c>
      <c r="P32" s="10">
        <f>+'A) Base RI'!L32</f>
        <v>51837.3</v>
      </c>
      <c r="Q32" s="416">
        <f>'A) Base RI'!AS32</f>
        <v>1</v>
      </c>
      <c r="R32" s="408">
        <f t="shared" si="2"/>
        <v>690677.13000000012</v>
      </c>
      <c r="S32" s="482">
        <f>+'A) Base RI'!AN32</f>
        <v>74</v>
      </c>
      <c r="T32" s="408">
        <f t="shared" si="3"/>
        <v>638555.9800000001</v>
      </c>
      <c r="U32" s="408">
        <f t="shared" si="4"/>
        <v>9333.4747297297308</v>
      </c>
      <c r="V32" s="10">
        <f>+'A) Base RI'!O32</f>
        <v>66740.100000000006</v>
      </c>
      <c r="W32" s="10">
        <f>+'A) Base RI'!P32</f>
        <v>38146.949999999997</v>
      </c>
      <c r="X32" s="10">
        <f>+'A) Base RI'!R32</f>
        <v>68319.649999999994</v>
      </c>
      <c r="Y32" s="408">
        <f t="shared" si="5"/>
        <v>173206.7</v>
      </c>
      <c r="Z32" s="10">
        <f>+'A) Base RI'!N32</f>
        <v>178.1</v>
      </c>
      <c r="AA32" s="10">
        <f>'A) Base RI'!AO32</f>
        <v>330</v>
      </c>
    </row>
    <row r="33" spans="1:27" x14ac:dyDescent="0.25">
      <c r="A33" s="8">
        <f>'A) Base RI'!A33</f>
        <v>5432</v>
      </c>
      <c r="B33" s="32" t="str">
        <f>'A) Base RI'!B33</f>
        <v>Montherod</v>
      </c>
      <c r="C33" s="10">
        <f>'A) Base RI'!C33+'A) Base RI'!D33</f>
        <v>1119624.79</v>
      </c>
      <c r="D33" s="10">
        <f>'A) Base RI'!AP33</f>
        <v>-31192.400000000001</v>
      </c>
      <c r="E33" s="402">
        <f>'A) Base RI'!AQ33</f>
        <v>0</v>
      </c>
      <c r="F33" s="402">
        <f>'A) Base RI'!AR33</f>
        <v>0</v>
      </c>
      <c r="G33" s="408">
        <f t="shared" si="0"/>
        <v>1088432.3900000001</v>
      </c>
      <c r="H33" s="10">
        <f>+'A) Base RI'!E33</f>
        <v>0</v>
      </c>
      <c r="I33" s="10">
        <f>+'A) Base RI'!F33</f>
        <v>0</v>
      </c>
      <c r="J33" s="10">
        <f>+'A) Base RI'!G33+'A) Base RI'!H33+'A) Base RI'!X33</f>
        <v>3254.4</v>
      </c>
      <c r="K33" s="10">
        <f>+'A) Base RI'!I33</f>
        <v>0</v>
      </c>
      <c r="L33" s="10">
        <f>+'A) Base RI'!J33</f>
        <v>39753.660000000003</v>
      </c>
      <c r="M33" s="10">
        <f>+'A) Base RI'!K33</f>
        <v>5497.3</v>
      </c>
      <c r="N33" s="10">
        <f>+'A) Base RI'!Q33</f>
        <v>0</v>
      </c>
      <c r="O33" s="10">
        <f t="shared" si="1"/>
        <v>95275.5</v>
      </c>
      <c r="P33" s="10">
        <f>+'A) Base RI'!L33</f>
        <v>95275.5</v>
      </c>
      <c r="Q33" s="416">
        <f>'A) Base RI'!AS33</f>
        <v>1</v>
      </c>
      <c r="R33" s="408">
        <f t="shared" si="2"/>
        <v>1232213.25</v>
      </c>
      <c r="S33" s="482">
        <f>+'A) Base RI'!AN33</f>
        <v>75</v>
      </c>
      <c r="T33" s="408">
        <f t="shared" si="3"/>
        <v>1131440.45</v>
      </c>
      <c r="U33" s="408">
        <f t="shared" si="4"/>
        <v>16429.509999999998</v>
      </c>
      <c r="V33" s="10">
        <f>+'A) Base RI'!O33</f>
        <v>13433.1</v>
      </c>
      <c r="W33" s="10">
        <f>+'A) Base RI'!P33</f>
        <v>43749.4</v>
      </c>
      <c r="X33" s="10">
        <f>+'A) Base RI'!R33</f>
        <v>53098.65</v>
      </c>
      <c r="Y33" s="408">
        <f t="shared" si="5"/>
        <v>110281.15</v>
      </c>
      <c r="Z33" s="10">
        <f>+'A) Base RI'!N33</f>
        <v>17115.900000000001</v>
      </c>
      <c r="AA33" s="10">
        <f>'A) Base RI'!AO33</f>
        <v>523</v>
      </c>
    </row>
    <row r="34" spans="1:27" x14ac:dyDescent="0.25">
      <c r="A34" s="8">
        <f>'A) Base RI'!A34</f>
        <v>5434</v>
      </c>
      <c r="B34" s="32" t="str">
        <f>'A) Base RI'!B34</f>
        <v>Saint-George</v>
      </c>
      <c r="C34" s="10">
        <f>'A) Base RI'!C34+'A) Base RI'!D34</f>
        <v>2601347.3199999998</v>
      </c>
      <c r="D34" s="10">
        <f>'A) Base RI'!AP34</f>
        <v>-8473.3799999999992</v>
      </c>
      <c r="E34" s="402">
        <f>'A) Base RI'!AQ34</f>
        <v>0</v>
      </c>
      <c r="F34" s="402">
        <f>'A) Base RI'!AR34</f>
        <v>0</v>
      </c>
      <c r="G34" s="408">
        <f t="shared" si="0"/>
        <v>2592873.94</v>
      </c>
      <c r="H34" s="10">
        <f>+'A) Base RI'!E34</f>
        <v>0</v>
      </c>
      <c r="I34" s="10">
        <f>+'A) Base RI'!F34</f>
        <v>0</v>
      </c>
      <c r="J34" s="10">
        <f>+'A) Base RI'!G34+'A) Base RI'!H34+'A) Base RI'!X34</f>
        <v>18742.419999999998</v>
      </c>
      <c r="K34" s="10">
        <f>+'A) Base RI'!I34</f>
        <v>0</v>
      </c>
      <c r="L34" s="10">
        <f>+'A) Base RI'!J34</f>
        <v>30028.28</v>
      </c>
      <c r="M34" s="10">
        <f>+'A) Base RI'!K34</f>
        <v>2850.7</v>
      </c>
      <c r="N34" s="10">
        <f>+'A) Base RI'!Q34</f>
        <v>601.76</v>
      </c>
      <c r="O34" s="10">
        <f t="shared" si="1"/>
        <v>234582.20833333337</v>
      </c>
      <c r="P34" s="10">
        <f>+'A) Base RI'!L34</f>
        <v>281498.65000000002</v>
      </c>
      <c r="Q34" s="416">
        <f>'A) Base RI'!AS34</f>
        <v>1.2</v>
      </c>
      <c r="R34" s="408">
        <f t="shared" si="2"/>
        <v>2879679.3083333331</v>
      </c>
      <c r="S34" s="482">
        <f>+'A) Base RI'!AN34</f>
        <v>69.5</v>
      </c>
      <c r="T34" s="408">
        <f t="shared" si="3"/>
        <v>2642246.3999999994</v>
      </c>
      <c r="U34" s="408">
        <f t="shared" si="4"/>
        <v>41434.234652278174</v>
      </c>
      <c r="V34" s="10">
        <f>+'A) Base RI'!O34</f>
        <v>16832.8</v>
      </c>
      <c r="W34" s="10">
        <f>+'A) Base RI'!P34</f>
        <v>94465.05</v>
      </c>
      <c r="X34" s="10">
        <f>+'A) Base RI'!R34</f>
        <v>102197.45</v>
      </c>
      <c r="Y34" s="408">
        <f t="shared" si="5"/>
        <v>213495.3</v>
      </c>
      <c r="Z34" s="10">
        <f>+'A) Base RI'!N34</f>
        <v>27638.1</v>
      </c>
      <c r="AA34" s="10">
        <f>'A) Base RI'!AO34</f>
        <v>1074</v>
      </c>
    </row>
    <row r="35" spans="1:27" x14ac:dyDescent="0.25">
      <c r="A35" s="8">
        <f>'A) Base RI'!A35</f>
        <v>5435</v>
      </c>
      <c r="B35" s="32" t="str">
        <f>'A) Base RI'!B35</f>
        <v>Saint-Livres</v>
      </c>
      <c r="C35" s="10">
        <f>'A) Base RI'!C35+'A) Base RI'!D35</f>
        <v>1701169.97</v>
      </c>
      <c r="D35" s="10">
        <f>'A) Base RI'!AP35</f>
        <v>-33132.080000000002</v>
      </c>
      <c r="E35" s="402">
        <f>'A) Base RI'!AQ35</f>
        <v>0</v>
      </c>
      <c r="F35" s="402">
        <f>'A) Base RI'!AR35</f>
        <v>-280.23</v>
      </c>
      <c r="G35" s="408">
        <f t="shared" si="0"/>
        <v>1667757.66</v>
      </c>
      <c r="H35" s="10">
        <f>+'A) Base RI'!E35</f>
        <v>0</v>
      </c>
      <c r="I35" s="10">
        <f>+'A) Base RI'!F35</f>
        <v>0</v>
      </c>
      <c r="J35" s="10">
        <f>+'A) Base RI'!G35+'A) Base RI'!H35+'A) Base RI'!X35</f>
        <v>30165.940000000002</v>
      </c>
      <c r="K35" s="10">
        <f>+'A) Base RI'!I35</f>
        <v>0</v>
      </c>
      <c r="L35" s="10">
        <f>+'A) Base RI'!J35</f>
        <v>-8020.53</v>
      </c>
      <c r="M35" s="10">
        <f>+'A) Base RI'!K35</f>
        <v>0</v>
      </c>
      <c r="N35" s="10">
        <f>+'A) Base RI'!Q35</f>
        <v>2137.23</v>
      </c>
      <c r="O35" s="10">
        <f t="shared" si="1"/>
        <v>125868.9</v>
      </c>
      <c r="P35" s="10">
        <f>+'A) Base RI'!L35</f>
        <v>125868.9</v>
      </c>
      <c r="Q35" s="416">
        <f>'A) Base RI'!AS35</f>
        <v>1</v>
      </c>
      <c r="R35" s="408">
        <f t="shared" si="2"/>
        <v>1817909.1999999997</v>
      </c>
      <c r="S35" s="482">
        <f>+'A) Base RI'!AN35</f>
        <v>69</v>
      </c>
      <c r="T35" s="408">
        <f t="shared" si="3"/>
        <v>1692040.2999999998</v>
      </c>
      <c r="U35" s="408">
        <f t="shared" si="4"/>
        <v>26346.510144927532</v>
      </c>
      <c r="V35" s="10">
        <f>+'A) Base RI'!O35</f>
        <v>0</v>
      </c>
      <c r="W35" s="10">
        <f>+'A) Base RI'!P35</f>
        <v>87831.55</v>
      </c>
      <c r="X35" s="10">
        <f>+'A) Base RI'!R35</f>
        <v>40476.35</v>
      </c>
      <c r="Y35" s="408">
        <f t="shared" si="5"/>
        <v>128307.9</v>
      </c>
      <c r="Z35" s="10">
        <f>+'A) Base RI'!N35</f>
        <v>18525.05</v>
      </c>
      <c r="AA35" s="10">
        <f>'A) Base RI'!AO35</f>
        <v>683</v>
      </c>
    </row>
    <row r="36" spans="1:27" x14ac:dyDescent="0.25">
      <c r="A36" s="8">
        <f>'A) Base RI'!A36</f>
        <v>5436</v>
      </c>
      <c r="B36" s="32" t="str">
        <f>'A) Base RI'!B36</f>
        <v>Saint-Oyens</v>
      </c>
      <c r="C36" s="10">
        <f>'A) Base RI'!C36+'A) Base RI'!D36</f>
        <v>1259679.74</v>
      </c>
      <c r="D36" s="10">
        <f>'A) Base RI'!AP36</f>
        <v>5914.13</v>
      </c>
      <c r="E36" s="402">
        <f>'A) Base RI'!AQ36</f>
        <v>0</v>
      </c>
      <c r="F36" s="402">
        <f>'A) Base RI'!AR36</f>
        <v>-758.29</v>
      </c>
      <c r="G36" s="408">
        <f t="shared" si="0"/>
        <v>1264835.5799999998</v>
      </c>
      <c r="H36" s="10">
        <f>+'A) Base RI'!E36</f>
        <v>0</v>
      </c>
      <c r="I36" s="10">
        <f>+'A) Base RI'!F36</f>
        <v>0</v>
      </c>
      <c r="J36" s="10">
        <f>+'A) Base RI'!G36+'A) Base RI'!H36+'A) Base RI'!X36</f>
        <v>8108.98</v>
      </c>
      <c r="K36" s="10">
        <f>+'A) Base RI'!I36</f>
        <v>0</v>
      </c>
      <c r="L36" s="10">
        <f>+'A) Base RI'!J36</f>
        <v>-2382.0300000000002</v>
      </c>
      <c r="M36" s="10">
        <f>+'A) Base RI'!K36</f>
        <v>0</v>
      </c>
      <c r="N36" s="10">
        <f>+'A) Base RI'!Q36</f>
        <v>0</v>
      </c>
      <c r="O36" s="10">
        <f t="shared" si="1"/>
        <v>87346.187499999985</v>
      </c>
      <c r="P36" s="10">
        <f>+'A) Base RI'!L36</f>
        <v>69876.95</v>
      </c>
      <c r="Q36" s="416">
        <f>'A) Base RI'!AS36</f>
        <v>0.8</v>
      </c>
      <c r="R36" s="408">
        <f t="shared" si="2"/>
        <v>1357908.7174999998</v>
      </c>
      <c r="S36" s="482">
        <f>+'A) Base RI'!AN36</f>
        <v>81</v>
      </c>
      <c r="T36" s="408">
        <f t="shared" si="3"/>
        <v>1270562.5299999998</v>
      </c>
      <c r="U36" s="408">
        <f t="shared" si="4"/>
        <v>16764.305154320984</v>
      </c>
      <c r="V36" s="10">
        <f>+'A) Base RI'!O36</f>
        <v>8820.4</v>
      </c>
      <c r="W36" s="10">
        <f>+'A) Base RI'!P36</f>
        <v>51717.1</v>
      </c>
      <c r="X36" s="10">
        <f>+'A) Base RI'!R36</f>
        <v>1182.3</v>
      </c>
      <c r="Y36" s="408">
        <f t="shared" si="5"/>
        <v>61719.8</v>
      </c>
      <c r="Z36" s="10">
        <f>+'A) Base RI'!N36</f>
        <v>171.1</v>
      </c>
      <c r="AA36" s="10">
        <f>'A) Base RI'!AO36</f>
        <v>461</v>
      </c>
    </row>
    <row r="37" spans="1:27" x14ac:dyDescent="0.25">
      <c r="A37" s="8">
        <f>'A) Base RI'!A37</f>
        <v>5437</v>
      </c>
      <c r="B37" s="32" t="str">
        <f>'A) Base RI'!B37</f>
        <v>Saubraz</v>
      </c>
      <c r="C37" s="10">
        <f>'A) Base RI'!C37+'A) Base RI'!D37</f>
        <v>1022667</v>
      </c>
      <c r="D37" s="10">
        <f>'A) Base RI'!AP37</f>
        <v>-12796.07</v>
      </c>
      <c r="E37" s="402">
        <f>'A) Base RI'!AQ37</f>
        <v>0</v>
      </c>
      <c r="F37" s="402">
        <f>'A) Base RI'!AR37</f>
        <v>-411.53</v>
      </c>
      <c r="G37" s="408">
        <f t="shared" si="0"/>
        <v>1009459.4</v>
      </c>
      <c r="H37" s="10">
        <f>+'A) Base RI'!E37</f>
        <v>0</v>
      </c>
      <c r="I37" s="10">
        <f>+'A) Base RI'!F37</f>
        <v>0</v>
      </c>
      <c r="J37" s="10">
        <f>+'A) Base RI'!G37+'A) Base RI'!H37+'A) Base RI'!X37</f>
        <v>55301.75</v>
      </c>
      <c r="K37" s="10">
        <f>+'A) Base RI'!I37</f>
        <v>0</v>
      </c>
      <c r="L37" s="10">
        <f>+'A) Base RI'!J37</f>
        <v>-63166.080000000002</v>
      </c>
      <c r="M37" s="10">
        <f>+'A) Base RI'!K37</f>
        <v>746.35</v>
      </c>
      <c r="N37" s="10">
        <f>+'A) Base RI'!Q37</f>
        <v>0</v>
      </c>
      <c r="O37" s="10">
        <f t="shared" si="1"/>
        <v>69011.05</v>
      </c>
      <c r="P37" s="10">
        <f>+'A) Base RI'!L37</f>
        <v>69011.05</v>
      </c>
      <c r="Q37" s="416">
        <f>'A) Base RI'!AS37</f>
        <v>1</v>
      </c>
      <c r="R37" s="408">
        <f t="shared" si="2"/>
        <v>1071352.47</v>
      </c>
      <c r="S37" s="482">
        <f>+'A) Base RI'!AN37</f>
        <v>80</v>
      </c>
      <c r="T37" s="408">
        <f t="shared" si="3"/>
        <v>1001595.07</v>
      </c>
      <c r="U37" s="408">
        <f t="shared" si="4"/>
        <v>13391.905875</v>
      </c>
      <c r="V37" s="10">
        <f>+'A) Base RI'!O37</f>
        <v>0</v>
      </c>
      <c r="W37" s="10">
        <f>+'A) Base RI'!P37</f>
        <v>65452.7</v>
      </c>
      <c r="X37" s="10">
        <f>+'A) Base RI'!R37</f>
        <v>42105.9</v>
      </c>
      <c r="Y37" s="408">
        <f t="shared" si="5"/>
        <v>107558.6</v>
      </c>
      <c r="Z37" s="10">
        <f>+'A) Base RI'!N37</f>
        <v>0</v>
      </c>
      <c r="AA37" s="10">
        <f>'A) Base RI'!AO37</f>
        <v>423</v>
      </c>
    </row>
    <row r="38" spans="1:27" x14ac:dyDescent="0.25">
      <c r="A38" s="8">
        <f>'A) Base RI'!A38</f>
        <v>5451</v>
      </c>
      <c r="B38" s="32" t="str">
        <f>'A) Base RI'!B38</f>
        <v>Avenches</v>
      </c>
      <c r="C38" s="10">
        <f>'A) Base RI'!C38+'A) Base RI'!D38</f>
        <v>5563456.2299999995</v>
      </c>
      <c r="D38" s="10">
        <f>'A) Base RI'!AP38</f>
        <v>-312503.08</v>
      </c>
      <c r="E38" s="402">
        <f>'A) Base RI'!AQ38</f>
        <v>0</v>
      </c>
      <c r="F38" s="402">
        <f>'A) Base RI'!AR38</f>
        <v>-1157.72</v>
      </c>
      <c r="G38" s="408">
        <f t="shared" si="0"/>
        <v>5249795.43</v>
      </c>
      <c r="H38" s="10">
        <f>+'A) Base RI'!E38</f>
        <v>0</v>
      </c>
      <c r="I38" s="10">
        <f>+'A) Base RI'!F38</f>
        <v>0</v>
      </c>
      <c r="J38" s="10">
        <f>+'A) Base RI'!G38+'A) Base RI'!H38+'A) Base RI'!X38</f>
        <v>1734986.66</v>
      </c>
      <c r="K38" s="10">
        <f>+'A) Base RI'!I38</f>
        <v>0</v>
      </c>
      <c r="L38" s="10">
        <f>+'A) Base RI'!J38</f>
        <v>376921.76</v>
      </c>
      <c r="M38" s="10">
        <f>+'A) Base RI'!K38</f>
        <v>171098.05</v>
      </c>
      <c r="N38" s="10">
        <f>+'A) Base RI'!Q38</f>
        <v>101555.19</v>
      </c>
      <c r="O38" s="10">
        <f t="shared" si="1"/>
        <v>977446.9</v>
      </c>
      <c r="P38" s="10">
        <f>+'A) Base RI'!L38</f>
        <v>1466170.35</v>
      </c>
      <c r="Q38" s="416">
        <f>'A) Base RI'!AS38</f>
        <v>1.5</v>
      </c>
      <c r="R38" s="408">
        <f t="shared" si="2"/>
        <v>8611803.9900000002</v>
      </c>
      <c r="S38" s="482">
        <f>+'A) Base RI'!AN38</f>
        <v>66.5</v>
      </c>
      <c r="T38" s="408">
        <f t="shared" si="3"/>
        <v>7463259.04</v>
      </c>
      <c r="U38" s="408">
        <f t="shared" si="4"/>
        <v>129500.81187969925</v>
      </c>
      <c r="V38" s="10">
        <f>+'A) Base RI'!O38</f>
        <v>107992.3</v>
      </c>
      <c r="W38" s="10">
        <f>+'A) Base RI'!P38</f>
        <v>379904.45</v>
      </c>
      <c r="X38" s="10">
        <f>+'A) Base RI'!R38</f>
        <v>134929.70000000001</v>
      </c>
      <c r="Y38" s="408">
        <f t="shared" si="5"/>
        <v>622826.44999999995</v>
      </c>
      <c r="Z38" s="10">
        <f>+'A) Base RI'!N38</f>
        <v>537089.1</v>
      </c>
      <c r="AA38" s="10">
        <f>'A) Base RI'!AO38</f>
        <v>4482</v>
      </c>
    </row>
    <row r="39" spans="1:27" x14ac:dyDescent="0.25">
      <c r="A39" s="8">
        <f>'A) Base RI'!A39</f>
        <v>5456</v>
      </c>
      <c r="B39" s="32" t="str">
        <f>'A) Base RI'!B39</f>
        <v>Cudrefin</v>
      </c>
      <c r="C39" s="10">
        <f>'A) Base RI'!C39+'A) Base RI'!D39</f>
        <v>3399900.98</v>
      </c>
      <c r="D39" s="10">
        <f>'A) Base RI'!AP39</f>
        <v>-22900.59</v>
      </c>
      <c r="E39" s="402">
        <f>'A) Base RI'!AQ39</f>
        <v>0</v>
      </c>
      <c r="F39" s="402">
        <f>'A) Base RI'!AR39</f>
        <v>-409.07</v>
      </c>
      <c r="G39" s="408">
        <f t="shared" si="0"/>
        <v>3376591.3200000003</v>
      </c>
      <c r="H39" s="10">
        <f>+'A) Base RI'!E39</f>
        <v>0</v>
      </c>
      <c r="I39" s="10">
        <f>+'A) Base RI'!F39</f>
        <v>0</v>
      </c>
      <c r="J39" s="10">
        <f>+'A) Base RI'!G39+'A) Base RI'!H39+'A) Base RI'!X39</f>
        <v>44240.7</v>
      </c>
      <c r="K39" s="10">
        <f>+'A) Base RI'!I39</f>
        <v>0</v>
      </c>
      <c r="L39" s="10">
        <f>+'A) Base RI'!J39</f>
        <v>34218.730000000003</v>
      </c>
      <c r="M39" s="10">
        <f>+'A) Base RI'!K39</f>
        <v>-7000.35</v>
      </c>
      <c r="N39" s="10">
        <f>+'A) Base RI'!Q39</f>
        <v>42.93</v>
      </c>
      <c r="O39" s="10">
        <f t="shared" si="1"/>
        <v>341295.73333333334</v>
      </c>
      <c r="P39" s="10">
        <f>+'A) Base RI'!L39</f>
        <v>511943.6</v>
      </c>
      <c r="Q39" s="416">
        <f>'A) Base RI'!AS39</f>
        <v>1.5</v>
      </c>
      <c r="R39" s="408">
        <f t="shared" si="2"/>
        <v>3789389.0633333339</v>
      </c>
      <c r="S39" s="482">
        <f>+'A) Base RI'!AN39</f>
        <v>59</v>
      </c>
      <c r="T39" s="408">
        <f t="shared" si="3"/>
        <v>3455093.6800000006</v>
      </c>
      <c r="U39" s="408">
        <f t="shared" si="4"/>
        <v>64226.933276836171</v>
      </c>
      <c r="V39" s="10">
        <f>+'A) Base RI'!O39</f>
        <v>34794.400000000001</v>
      </c>
      <c r="W39" s="10">
        <f>+'A) Base RI'!P39</f>
        <v>234467.75</v>
      </c>
      <c r="X39" s="10">
        <f>+'A) Base RI'!R39</f>
        <v>92485.75</v>
      </c>
      <c r="Y39" s="408">
        <f t="shared" si="5"/>
        <v>361747.9</v>
      </c>
      <c r="Z39" s="10">
        <f>+'A) Base RI'!N39</f>
        <v>5787.35</v>
      </c>
      <c r="AA39" s="10">
        <f>'A) Base RI'!AO39</f>
        <v>1780</v>
      </c>
    </row>
    <row r="40" spans="1:27" x14ac:dyDescent="0.25">
      <c r="A40" s="8">
        <f>'A) Base RI'!A40</f>
        <v>5458</v>
      </c>
      <c r="B40" s="32" t="str">
        <f>'A) Base RI'!B40</f>
        <v>Faoug</v>
      </c>
      <c r="C40" s="10">
        <f>'A) Base RI'!C40+'A) Base RI'!D40</f>
        <v>1860969.38</v>
      </c>
      <c r="D40" s="10">
        <f>'A) Base RI'!AP40</f>
        <v>-57688.77</v>
      </c>
      <c r="E40" s="402">
        <f>'A) Base RI'!AQ40</f>
        <v>0</v>
      </c>
      <c r="F40" s="402">
        <f>'A) Base RI'!AR40</f>
        <v>-535</v>
      </c>
      <c r="G40" s="408">
        <f t="shared" si="0"/>
        <v>1802745.6099999999</v>
      </c>
      <c r="H40" s="10">
        <f>+'A) Base RI'!E40</f>
        <v>0</v>
      </c>
      <c r="I40" s="10">
        <f>+'A) Base RI'!F40</f>
        <v>0</v>
      </c>
      <c r="J40" s="10">
        <f>+'A) Base RI'!G40+'A) Base RI'!H40+'A) Base RI'!X40</f>
        <v>16348.029999999999</v>
      </c>
      <c r="K40" s="10">
        <f>+'A) Base RI'!I40</f>
        <v>0</v>
      </c>
      <c r="L40" s="10">
        <f>+'A) Base RI'!J40</f>
        <v>49454.2</v>
      </c>
      <c r="M40" s="10">
        <f>+'A) Base RI'!K40</f>
        <v>22318.75</v>
      </c>
      <c r="N40" s="10">
        <f>+'A) Base RI'!Q40</f>
        <v>30227.78</v>
      </c>
      <c r="O40" s="10">
        <f t="shared" si="1"/>
        <v>204000.30000000002</v>
      </c>
      <c r="P40" s="10">
        <f>+'A) Base RI'!L40</f>
        <v>306000.45</v>
      </c>
      <c r="Q40" s="416">
        <f>'A) Base RI'!AS40</f>
        <v>1.5</v>
      </c>
      <c r="R40" s="408">
        <f t="shared" si="2"/>
        <v>2125094.67</v>
      </c>
      <c r="S40" s="482">
        <f>+'A) Base RI'!AN40</f>
        <v>66</v>
      </c>
      <c r="T40" s="408">
        <f t="shared" si="3"/>
        <v>1898775.6199999999</v>
      </c>
      <c r="U40" s="408">
        <f t="shared" si="4"/>
        <v>32198.404090909091</v>
      </c>
      <c r="V40" s="10">
        <f>+'A) Base RI'!O40</f>
        <v>12968.6</v>
      </c>
      <c r="W40" s="10">
        <f>+'A) Base RI'!P40</f>
        <v>89368.4</v>
      </c>
      <c r="X40" s="10">
        <f>+'A) Base RI'!R40</f>
        <v>60517.3</v>
      </c>
      <c r="Y40" s="408">
        <f t="shared" si="5"/>
        <v>162854.29999999999</v>
      </c>
      <c r="Z40" s="10">
        <f>+'A) Base RI'!N40</f>
        <v>3878.8</v>
      </c>
      <c r="AA40" s="10">
        <f>'A) Base RI'!AO40</f>
        <v>881</v>
      </c>
    </row>
    <row r="41" spans="1:27" x14ac:dyDescent="0.25">
      <c r="A41" s="8">
        <f>'A) Base RI'!A41</f>
        <v>5464</v>
      </c>
      <c r="B41" s="32" t="str">
        <f>'A) Base RI'!B41</f>
        <v>Vully-les-Lacs</v>
      </c>
      <c r="C41" s="10">
        <f>'A) Base RI'!C41+'A) Base RI'!D41</f>
        <v>6725612.1900000004</v>
      </c>
      <c r="D41" s="10">
        <f>'A) Base RI'!AP41</f>
        <v>-75302.34</v>
      </c>
      <c r="E41" s="402">
        <f>'A) Base RI'!AQ41</f>
        <v>0</v>
      </c>
      <c r="F41" s="402">
        <f>'A) Base RI'!AR41</f>
        <v>-2639.33</v>
      </c>
      <c r="G41" s="408">
        <f t="shared" si="0"/>
        <v>6647670.5200000005</v>
      </c>
      <c r="H41" s="10">
        <f>+'A) Base RI'!E41</f>
        <v>0</v>
      </c>
      <c r="I41" s="10">
        <f>+'A) Base RI'!F41</f>
        <v>0</v>
      </c>
      <c r="J41" s="10">
        <f>+'A) Base RI'!G41+'A) Base RI'!H41+'A) Base RI'!X41</f>
        <v>50872.92</v>
      </c>
      <c r="K41" s="10">
        <f>+'A) Base RI'!I41</f>
        <v>0</v>
      </c>
      <c r="L41" s="10">
        <f>+'A) Base RI'!J41</f>
        <v>71492.95</v>
      </c>
      <c r="M41" s="10">
        <f>+'A) Base RI'!K41</f>
        <v>14232.3</v>
      </c>
      <c r="N41" s="10">
        <f>+'A) Base RI'!Q41</f>
        <v>9482.2800000000007</v>
      </c>
      <c r="O41" s="10">
        <f t="shared" si="1"/>
        <v>683269.4</v>
      </c>
      <c r="P41" s="10">
        <f>+'A) Base RI'!L41</f>
        <v>1024904.1</v>
      </c>
      <c r="Q41" s="416">
        <f>'A) Base RI'!AS41</f>
        <v>1.5</v>
      </c>
      <c r="R41" s="408">
        <f t="shared" si="2"/>
        <v>7477020.370000001</v>
      </c>
      <c r="S41" s="482">
        <f>+'A) Base RI'!AN41</f>
        <v>67</v>
      </c>
      <c r="T41" s="408">
        <f t="shared" si="3"/>
        <v>6779518.6700000009</v>
      </c>
      <c r="U41" s="408">
        <f t="shared" si="4"/>
        <v>111597.31895522389</v>
      </c>
      <c r="V41" s="10">
        <f>+'A) Base RI'!O41</f>
        <v>31224.799999999999</v>
      </c>
      <c r="W41" s="10">
        <f>+'A) Base RI'!P41</f>
        <v>305626.15000000002</v>
      </c>
      <c r="X41" s="10">
        <f>+'A) Base RI'!R41</f>
        <v>127042.1</v>
      </c>
      <c r="Y41" s="408">
        <f t="shared" si="5"/>
        <v>463893.05000000005</v>
      </c>
      <c r="Z41" s="10">
        <f>+'A) Base RI'!N41</f>
        <v>1564.15</v>
      </c>
      <c r="AA41" s="10">
        <f>'A) Base RI'!AO41</f>
        <v>3360</v>
      </c>
    </row>
    <row r="42" spans="1:27" x14ac:dyDescent="0.25">
      <c r="A42" s="8">
        <f>'A) Base RI'!A42</f>
        <v>5471</v>
      </c>
      <c r="B42" s="32" t="str">
        <f>'A) Base RI'!B42</f>
        <v>Bettens</v>
      </c>
      <c r="C42" s="10">
        <f>'A) Base RI'!C42+'A) Base RI'!D42</f>
        <v>1238553</v>
      </c>
      <c r="D42" s="10">
        <f>'A) Base RI'!AP42</f>
        <v>-14777.53</v>
      </c>
      <c r="E42" s="402">
        <f>'A) Base RI'!AQ42</f>
        <v>0</v>
      </c>
      <c r="F42" s="402">
        <f>'A) Base RI'!AR42</f>
        <v>-435.55</v>
      </c>
      <c r="G42" s="408">
        <f t="shared" si="0"/>
        <v>1223339.92</v>
      </c>
      <c r="H42" s="10">
        <f>+'A) Base RI'!E42</f>
        <v>0</v>
      </c>
      <c r="I42" s="10">
        <f>+'A) Base RI'!F42</f>
        <v>0</v>
      </c>
      <c r="J42" s="10">
        <f>+'A) Base RI'!G42+'A) Base RI'!H42+'A) Base RI'!X42</f>
        <v>18343.11</v>
      </c>
      <c r="K42" s="10">
        <f>+'A) Base RI'!I42</f>
        <v>0</v>
      </c>
      <c r="L42" s="10">
        <f>+'A) Base RI'!J42</f>
        <v>49518.400000000001</v>
      </c>
      <c r="M42" s="10">
        <f>+'A) Base RI'!K42</f>
        <v>4158.25</v>
      </c>
      <c r="N42" s="10">
        <f>+'A) Base RI'!Q42</f>
        <v>0</v>
      </c>
      <c r="O42" s="10">
        <f t="shared" si="1"/>
        <v>131610.11111111112</v>
      </c>
      <c r="P42" s="10">
        <f>+'A) Base RI'!L42</f>
        <v>118449.1</v>
      </c>
      <c r="Q42" s="416">
        <f>'A) Base RI'!AS42</f>
        <v>0.9</v>
      </c>
      <c r="R42" s="408">
        <f t="shared" si="2"/>
        <v>1426969.7911111112</v>
      </c>
      <c r="S42" s="482">
        <f>+'A) Base RI'!AN42</f>
        <v>70</v>
      </c>
      <c r="T42" s="408">
        <f t="shared" si="3"/>
        <v>1291201.43</v>
      </c>
      <c r="U42" s="408">
        <f t="shared" si="4"/>
        <v>20385.282730158731</v>
      </c>
      <c r="V42" s="10">
        <f>+'A) Base RI'!O42</f>
        <v>5068.6000000000004</v>
      </c>
      <c r="W42" s="10">
        <f>+'A) Base RI'!P42</f>
        <v>46619.8</v>
      </c>
      <c r="X42" s="10">
        <f>+'A) Base RI'!R42</f>
        <v>4257.8500000000004</v>
      </c>
      <c r="Y42" s="408">
        <f t="shared" si="5"/>
        <v>55946.25</v>
      </c>
      <c r="Z42" s="10">
        <f>+'A) Base RI'!N42</f>
        <v>24383.75</v>
      </c>
      <c r="AA42" s="10">
        <f>'A) Base RI'!AO42</f>
        <v>636</v>
      </c>
    </row>
    <row r="43" spans="1:27" x14ac:dyDescent="0.25">
      <c r="A43" s="8">
        <f>'A) Base RI'!A43</f>
        <v>5472</v>
      </c>
      <c r="B43" s="32" t="str">
        <f>'A) Base RI'!B43</f>
        <v>Bournens</v>
      </c>
      <c r="C43" s="10">
        <f>'A) Base RI'!C43+'A) Base RI'!D43</f>
        <v>1345996.75</v>
      </c>
      <c r="D43" s="10">
        <f>'A) Base RI'!AP43</f>
        <v>-38254.06</v>
      </c>
      <c r="E43" s="402">
        <f>'A) Base RI'!AQ43</f>
        <v>0</v>
      </c>
      <c r="F43" s="402">
        <f>'A) Base RI'!AR43</f>
        <v>-2314.36</v>
      </c>
      <c r="G43" s="408">
        <f t="shared" si="0"/>
        <v>1305428.3299999998</v>
      </c>
      <c r="H43" s="10">
        <f>+'A) Base RI'!E43</f>
        <v>0</v>
      </c>
      <c r="I43" s="10">
        <f>+'A) Base RI'!F43</f>
        <v>0</v>
      </c>
      <c r="J43" s="10">
        <f>+'A) Base RI'!G43+'A) Base RI'!H43+'A) Base RI'!X43</f>
        <v>16161.73</v>
      </c>
      <c r="K43" s="10">
        <f>+'A) Base RI'!I43</f>
        <v>0</v>
      </c>
      <c r="L43" s="10">
        <f>+'A) Base RI'!J43</f>
        <v>25542.11</v>
      </c>
      <c r="M43" s="10">
        <f>+'A) Base RI'!K43</f>
        <v>640.25</v>
      </c>
      <c r="N43" s="10">
        <f>+'A) Base RI'!Q43</f>
        <v>10497.55</v>
      </c>
      <c r="O43" s="10">
        <f t="shared" si="1"/>
        <v>92037.65</v>
      </c>
      <c r="P43" s="10">
        <f>+'A) Base RI'!L43</f>
        <v>92037.65</v>
      </c>
      <c r="Q43" s="416">
        <f>'A) Base RI'!AS43</f>
        <v>1</v>
      </c>
      <c r="R43" s="408">
        <f t="shared" si="2"/>
        <v>1450307.6199999999</v>
      </c>
      <c r="S43" s="482">
        <f>+'A) Base RI'!AN43</f>
        <v>72</v>
      </c>
      <c r="T43" s="408">
        <f t="shared" si="3"/>
        <v>1357629.72</v>
      </c>
      <c r="U43" s="408">
        <f t="shared" si="4"/>
        <v>20143.161388888886</v>
      </c>
      <c r="V43" s="10">
        <f>+'A) Base RI'!O43</f>
        <v>0</v>
      </c>
      <c r="W43" s="10">
        <f>+'A) Base RI'!P43</f>
        <v>112701.35</v>
      </c>
      <c r="X43" s="10">
        <f>+'A) Base RI'!R43</f>
        <v>61656.800000000003</v>
      </c>
      <c r="Y43" s="408">
        <f t="shared" si="5"/>
        <v>174358.15000000002</v>
      </c>
      <c r="Z43" s="10">
        <f>+'A) Base RI'!N43</f>
        <v>0</v>
      </c>
      <c r="AA43" s="10">
        <f>'A) Base RI'!AO43</f>
        <v>490</v>
      </c>
    </row>
    <row r="44" spans="1:27" x14ac:dyDescent="0.25">
      <c r="A44" s="8">
        <f>'A) Base RI'!A44</f>
        <v>5473</v>
      </c>
      <c r="B44" s="32" t="str">
        <f>'A) Base RI'!B44</f>
        <v>Boussens</v>
      </c>
      <c r="C44" s="10">
        <f>'A) Base RI'!C44+'A) Base RI'!D44</f>
        <v>2339688.4500000002</v>
      </c>
      <c r="D44" s="10">
        <f>'A) Base RI'!AP44</f>
        <v>-35099.97</v>
      </c>
      <c r="E44" s="402">
        <f>'A) Base RI'!AQ44</f>
        <v>0</v>
      </c>
      <c r="F44" s="402">
        <f>'A) Base RI'!AR44</f>
        <v>-291.43</v>
      </c>
      <c r="G44" s="408">
        <f t="shared" si="0"/>
        <v>2304297.0499999998</v>
      </c>
      <c r="H44" s="10">
        <f>+'A) Base RI'!E44</f>
        <v>0</v>
      </c>
      <c r="I44" s="10">
        <f>+'A) Base RI'!F44</f>
        <v>0</v>
      </c>
      <c r="J44" s="10">
        <f>+'A) Base RI'!G44+'A) Base RI'!H44+'A) Base RI'!X44</f>
        <v>29572.420000000002</v>
      </c>
      <c r="K44" s="10">
        <f>+'A) Base RI'!I44</f>
        <v>0</v>
      </c>
      <c r="L44" s="10">
        <f>+'A) Base RI'!J44</f>
        <v>15808.71</v>
      </c>
      <c r="M44" s="10">
        <f>+'A) Base RI'!K44</f>
        <v>6176.2</v>
      </c>
      <c r="N44" s="10">
        <f>+'A) Base RI'!Q44</f>
        <v>7627.71</v>
      </c>
      <c r="O44" s="10">
        <f t="shared" si="1"/>
        <v>186339.9</v>
      </c>
      <c r="P44" s="10">
        <f>+'A) Base RI'!L44</f>
        <v>186339.9</v>
      </c>
      <c r="Q44" s="416">
        <f>'A) Base RI'!AS44</f>
        <v>1</v>
      </c>
      <c r="R44" s="408">
        <f t="shared" si="2"/>
        <v>2549821.9899999998</v>
      </c>
      <c r="S44" s="482">
        <f>+'A) Base RI'!AN44</f>
        <v>67.5</v>
      </c>
      <c r="T44" s="408">
        <f t="shared" si="3"/>
        <v>2357305.8899999997</v>
      </c>
      <c r="U44" s="408">
        <f t="shared" si="4"/>
        <v>37775.140592592586</v>
      </c>
      <c r="V44" s="10">
        <f>+'A) Base RI'!O44</f>
        <v>0</v>
      </c>
      <c r="W44" s="10">
        <f>+'A) Base RI'!P44</f>
        <v>36017.35</v>
      </c>
      <c r="X44" s="10">
        <f>+'A) Base RI'!R44</f>
        <v>57547.95</v>
      </c>
      <c r="Y44" s="408">
        <f t="shared" si="5"/>
        <v>93565.299999999988</v>
      </c>
      <c r="Z44" s="10">
        <f>+'A) Base RI'!N44</f>
        <v>5808.45</v>
      </c>
      <c r="AA44" s="10">
        <f>'A) Base RI'!AO44</f>
        <v>999</v>
      </c>
    </row>
    <row r="45" spans="1:27" x14ac:dyDescent="0.25">
      <c r="A45" s="8">
        <f>'A) Base RI'!A45</f>
        <v>5474</v>
      </c>
      <c r="B45" s="32" t="str">
        <f>'A) Base RI'!B45</f>
        <v>La Chaux (Cossonay)</v>
      </c>
      <c r="C45" s="10">
        <f>'A) Base RI'!C45+'A) Base RI'!D45</f>
        <v>901629.54999999993</v>
      </c>
      <c r="D45" s="10">
        <f>'A) Base RI'!AP45</f>
        <v>-3161.84</v>
      </c>
      <c r="E45" s="402">
        <f>'A) Base RI'!AQ45</f>
        <v>0</v>
      </c>
      <c r="F45" s="402">
        <f>'A) Base RI'!AR45</f>
        <v>-63.88</v>
      </c>
      <c r="G45" s="408">
        <f t="shared" si="0"/>
        <v>898403.83</v>
      </c>
      <c r="H45" s="10">
        <f>+'A) Base RI'!E45</f>
        <v>0</v>
      </c>
      <c r="I45" s="10">
        <f>+'A) Base RI'!F45</f>
        <v>0</v>
      </c>
      <c r="J45" s="10">
        <f>+'A) Base RI'!G45+'A) Base RI'!H45+'A) Base RI'!X45</f>
        <v>3427.21</v>
      </c>
      <c r="K45" s="10">
        <f>+'A) Base RI'!I45</f>
        <v>37654</v>
      </c>
      <c r="L45" s="10">
        <f>+'A) Base RI'!J45</f>
        <v>3514.83</v>
      </c>
      <c r="M45" s="10">
        <f>+'A) Base RI'!K45</f>
        <v>665</v>
      </c>
      <c r="N45" s="10">
        <f>+'A) Base RI'!Q45</f>
        <v>0</v>
      </c>
      <c r="O45" s="10">
        <f t="shared" si="1"/>
        <v>71389.291666666672</v>
      </c>
      <c r="P45" s="10">
        <f>+'A) Base RI'!L45</f>
        <v>85667.15</v>
      </c>
      <c r="Q45" s="416">
        <f>'A) Base RI'!AS45</f>
        <v>1.2</v>
      </c>
      <c r="R45" s="408">
        <f t="shared" si="2"/>
        <v>1015054.1616666665</v>
      </c>
      <c r="S45" s="482">
        <f>+'A) Base RI'!AN45</f>
        <v>77</v>
      </c>
      <c r="T45" s="408">
        <f t="shared" si="3"/>
        <v>942999.86999999988</v>
      </c>
      <c r="U45" s="408">
        <f t="shared" si="4"/>
        <v>13182.521580086577</v>
      </c>
      <c r="V45" s="10">
        <f>+'A) Base RI'!O45</f>
        <v>1548.3</v>
      </c>
      <c r="W45" s="10">
        <f>+'A) Base RI'!P45</f>
        <v>30913.15</v>
      </c>
      <c r="X45" s="10">
        <f>+'A) Base RI'!R45</f>
        <v>74635.199999999997</v>
      </c>
      <c r="Y45" s="408">
        <f t="shared" si="5"/>
        <v>107096.65</v>
      </c>
      <c r="Z45" s="10">
        <f>+'A) Base RI'!N45</f>
        <v>2422.9499999999998</v>
      </c>
      <c r="AA45" s="10">
        <f>'A) Base RI'!AO45</f>
        <v>391</v>
      </c>
    </row>
    <row r="46" spans="1:27" x14ac:dyDescent="0.25">
      <c r="A46" s="8">
        <f>'A) Base RI'!A46</f>
        <v>5475</v>
      </c>
      <c r="B46" s="32" t="str">
        <f>'A) Base RI'!B46</f>
        <v>Chavannes-le-Veyron</v>
      </c>
      <c r="C46" s="10">
        <f>'A) Base RI'!C46+'A) Base RI'!D46</f>
        <v>281457.48</v>
      </c>
      <c r="D46" s="10">
        <f>'A) Base RI'!AP46</f>
        <v>-10215.799999999999</v>
      </c>
      <c r="E46" s="402">
        <f>'A) Base RI'!AQ46</f>
        <v>0</v>
      </c>
      <c r="F46" s="402">
        <f>'A) Base RI'!AR46</f>
        <v>0</v>
      </c>
      <c r="G46" s="408">
        <f t="shared" si="0"/>
        <v>271241.68</v>
      </c>
      <c r="H46" s="10">
        <f>+'A) Base RI'!E46</f>
        <v>0</v>
      </c>
      <c r="I46" s="10">
        <f>+'A) Base RI'!F46</f>
        <v>0</v>
      </c>
      <c r="J46" s="10">
        <f>+'A) Base RI'!G46+'A) Base RI'!H46+'A) Base RI'!X46</f>
        <v>480.51</v>
      </c>
      <c r="K46" s="10">
        <f>+'A) Base RI'!I46</f>
        <v>0</v>
      </c>
      <c r="L46" s="10">
        <f>+'A) Base RI'!J46</f>
        <v>3838.68</v>
      </c>
      <c r="M46" s="10">
        <f>+'A) Base RI'!K46</f>
        <v>0</v>
      </c>
      <c r="N46" s="10">
        <f>+'A) Base RI'!Q46</f>
        <v>0</v>
      </c>
      <c r="O46" s="10">
        <f t="shared" si="1"/>
        <v>22788.3</v>
      </c>
      <c r="P46" s="10">
        <f>+'A) Base RI'!L46</f>
        <v>22788.3</v>
      </c>
      <c r="Q46" s="416">
        <f>'A) Base RI'!AS46</f>
        <v>1</v>
      </c>
      <c r="R46" s="408">
        <f t="shared" si="2"/>
        <v>298349.17</v>
      </c>
      <c r="S46" s="482">
        <f>+'A) Base RI'!AN46</f>
        <v>77</v>
      </c>
      <c r="T46" s="408">
        <f t="shared" si="3"/>
        <v>275560.87</v>
      </c>
      <c r="U46" s="408">
        <f t="shared" si="4"/>
        <v>3874.6645454545451</v>
      </c>
      <c r="V46" s="10">
        <f>+'A) Base RI'!O46</f>
        <v>0</v>
      </c>
      <c r="W46" s="10">
        <f>+'A) Base RI'!P46</f>
        <v>22431.05</v>
      </c>
      <c r="X46" s="10">
        <f>+'A) Base RI'!R46</f>
        <v>1096.75</v>
      </c>
      <c r="Y46" s="408">
        <f t="shared" si="5"/>
        <v>23527.8</v>
      </c>
      <c r="Z46" s="10">
        <f>+'A) Base RI'!N46</f>
        <v>0</v>
      </c>
      <c r="AA46" s="10">
        <f>'A) Base RI'!AO46</f>
        <v>152</v>
      </c>
    </row>
    <row r="47" spans="1:27" x14ac:dyDescent="0.25">
      <c r="A47" s="8">
        <f>'A) Base RI'!A47</f>
        <v>5476</v>
      </c>
      <c r="B47" s="32" t="str">
        <f>'A) Base RI'!B47</f>
        <v>Chevilly</v>
      </c>
      <c r="C47" s="10">
        <f>'A) Base RI'!C47+'A) Base RI'!D47</f>
        <v>821486.68</v>
      </c>
      <c r="D47" s="10">
        <f>'A) Base RI'!AP47</f>
        <v>-17755.439999999999</v>
      </c>
      <c r="E47" s="402">
        <f>'A) Base RI'!AQ47</f>
        <v>0</v>
      </c>
      <c r="F47" s="402">
        <f>'A) Base RI'!AR47</f>
        <v>-1180.55</v>
      </c>
      <c r="G47" s="408">
        <f t="shared" si="0"/>
        <v>802550.69000000006</v>
      </c>
      <c r="H47" s="10">
        <f>+'A) Base RI'!E47</f>
        <v>0</v>
      </c>
      <c r="I47" s="10">
        <f>+'A) Base RI'!F47</f>
        <v>0</v>
      </c>
      <c r="J47" s="10">
        <f>+'A) Base RI'!G47+'A) Base RI'!H47+'A) Base RI'!X47</f>
        <v>-1696.0500000000002</v>
      </c>
      <c r="K47" s="10">
        <f>+'A) Base RI'!I47</f>
        <v>0</v>
      </c>
      <c r="L47" s="10">
        <f>+'A) Base RI'!J47</f>
        <v>-1416.62</v>
      </c>
      <c r="M47" s="10">
        <f>+'A) Base RI'!K47</f>
        <v>0</v>
      </c>
      <c r="N47" s="10">
        <f>+'A) Base RI'!Q47</f>
        <v>15596.19</v>
      </c>
      <c r="O47" s="10">
        <f t="shared" si="1"/>
        <v>61081.15</v>
      </c>
      <c r="P47" s="10">
        <f>+'A) Base RI'!L47</f>
        <v>61081.15</v>
      </c>
      <c r="Q47" s="416">
        <f>'A) Base RI'!AS47</f>
        <v>1</v>
      </c>
      <c r="R47" s="408">
        <f t="shared" si="2"/>
        <v>876115.36</v>
      </c>
      <c r="S47" s="482">
        <f>+'A) Base RI'!AN47</f>
        <v>74</v>
      </c>
      <c r="T47" s="408">
        <f t="shared" si="3"/>
        <v>815034.21</v>
      </c>
      <c r="U47" s="408">
        <f t="shared" si="4"/>
        <v>11839.396756756756</v>
      </c>
      <c r="V47" s="10">
        <f>+'A) Base RI'!O47</f>
        <v>5367.6</v>
      </c>
      <c r="W47" s="10">
        <f>+'A) Base RI'!P47</f>
        <v>7150</v>
      </c>
      <c r="X47" s="10">
        <f>+'A) Base RI'!R47</f>
        <v>713.5</v>
      </c>
      <c r="Y47" s="408">
        <f t="shared" si="5"/>
        <v>13231.1</v>
      </c>
      <c r="Z47" s="10">
        <f>+'A) Base RI'!N47</f>
        <v>0</v>
      </c>
      <c r="AA47" s="10">
        <f>'A) Base RI'!AO47</f>
        <v>317</v>
      </c>
    </row>
    <row r="48" spans="1:27" x14ac:dyDescent="0.25">
      <c r="A48" s="8">
        <f>'A) Base RI'!A48</f>
        <v>5477</v>
      </c>
      <c r="B48" s="32" t="str">
        <f>'A) Base RI'!B48</f>
        <v>Cossonay</v>
      </c>
      <c r="C48" s="10">
        <f>'A) Base RI'!C48+'A) Base RI'!D48</f>
        <v>8632539.3900000006</v>
      </c>
      <c r="D48" s="10">
        <f>'A) Base RI'!AP48</f>
        <v>-1816304.42</v>
      </c>
      <c r="E48" s="402">
        <f>'A) Base RI'!AQ48</f>
        <v>0</v>
      </c>
      <c r="F48" s="402">
        <f>'A) Base RI'!AR48</f>
        <v>-3034.85</v>
      </c>
      <c r="G48" s="408">
        <f t="shared" si="0"/>
        <v>6813200.120000001</v>
      </c>
      <c r="H48" s="10">
        <f>+'A) Base RI'!E48</f>
        <v>0</v>
      </c>
      <c r="I48" s="10">
        <f>+'A) Base RI'!F48</f>
        <v>0</v>
      </c>
      <c r="J48" s="10">
        <f>+'A) Base RI'!G48+'A) Base RI'!H48+'A) Base RI'!X48</f>
        <v>390842.65</v>
      </c>
      <c r="K48" s="10">
        <f>+'A) Base RI'!I48</f>
        <v>0</v>
      </c>
      <c r="L48" s="10">
        <f>+'A) Base RI'!J48</f>
        <v>225196.08</v>
      </c>
      <c r="M48" s="10">
        <f>+'A) Base RI'!K48</f>
        <v>42523.75</v>
      </c>
      <c r="N48" s="10">
        <f>+'A) Base RI'!Q48</f>
        <v>84909.06</v>
      </c>
      <c r="O48" s="10">
        <f t="shared" si="1"/>
        <v>724533.6</v>
      </c>
      <c r="P48" s="10">
        <f>+'A) Base RI'!L48</f>
        <v>724533.6</v>
      </c>
      <c r="Q48" s="416">
        <f>'A) Base RI'!AS48</f>
        <v>1</v>
      </c>
      <c r="R48" s="408">
        <f t="shared" si="2"/>
        <v>8281205.2600000007</v>
      </c>
      <c r="S48" s="482">
        <f>+'A) Base RI'!AN48</f>
        <v>69.5</v>
      </c>
      <c r="T48" s="408">
        <f t="shared" si="3"/>
        <v>7514147.9100000011</v>
      </c>
      <c r="U48" s="408">
        <f t="shared" si="4"/>
        <v>119154.03251798562</v>
      </c>
      <c r="V48" s="10">
        <f>+'A) Base RI'!O48</f>
        <v>48641.4</v>
      </c>
      <c r="W48" s="10">
        <f>+'A) Base RI'!P48</f>
        <v>1133035.8999999999</v>
      </c>
      <c r="X48" s="10">
        <f>+'A) Base RI'!R48</f>
        <v>234708.25</v>
      </c>
      <c r="Y48" s="408">
        <f t="shared" si="5"/>
        <v>1416385.5499999998</v>
      </c>
      <c r="Z48" s="10">
        <f>+'A) Base RI'!N48</f>
        <v>78423.75</v>
      </c>
      <c r="AA48" s="10">
        <f>'A) Base RI'!AO48</f>
        <v>4222</v>
      </c>
    </row>
    <row r="49" spans="1:27" x14ac:dyDescent="0.25">
      <c r="A49" s="8">
        <f>'A) Base RI'!A49</f>
        <v>5478</v>
      </c>
      <c r="B49" s="32" t="str">
        <f>'A) Base RI'!B49</f>
        <v>Cottens</v>
      </c>
      <c r="C49" s="10">
        <f>'A) Base RI'!C49+'A) Base RI'!D49</f>
        <v>1114412.44</v>
      </c>
      <c r="D49" s="10">
        <f>'A) Base RI'!AP49</f>
        <v>-16720.62</v>
      </c>
      <c r="E49" s="402">
        <f>'A) Base RI'!AQ49</f>
        <v>0</v>
      </c>
      <c r="F49" s="402">
        <f>'A) Base RI'!AR49</f>
        <v>-1.49</v>
      </c>
      <c r="G49" s="408">
        <f t="shared" si="0"/>
        <v>1097690.3299999998</v>
      </c>
      <c r="H49" s="10">
        <f>+'A) Base RI'!E49</f>
        <v>0</v>
      </c>
      <c r="I49" s="10">
        <f>+'A) Base RI'!F49</f>
        <v>0</v>
      </c>
      <c r="J49" s="10">
        <f>+'A) Base RI'!G49+'A) Base RI'!H49+'A) Base RI'!X49</f>
        <v>-14277.589999999998</v>
      </c>
      <c r="K49" s="10">
        <f>+'A) Base RI'!I49</f>
        <v>0</v>
      </c>
      <c r="L49" s="10">
        <f>+'A) Base RI'!J49</f>
        <v>35788.699999999997</v>
      </c>
      <c r="M49" s="10">
        <f>+'A) Base RI'!K49</f>
        <v>250</v>
      </c>
      <c r="N49" s="10">
        <f>+'A) Base RI'!Q49</f>
        <v>5569.15</v>
      </c>
      <c r="O49" s="10">
        <f t="shared" si="1"/>
        <v>80550.25</v>
      </c>
      <c r="P49" s="10">
        <f>+'A) Base RI'!L49</f>
        <v>80550.25</v>
      </c>
      <c r="Q49" s="416">
        <f>'A) Base RI'!AS49</f>
        <v>1</v>
      </c>
      <c r="R49" s="408">
        <f t="shared" si="2"/>
        <v>1205570.8399999996</v>
      </c>
      <c r="S49" s="482">
        <f>+'A) Base RI'!AN49</f>
        <v>74</v>
      </c>
      <c r="T49" s="408">
        <f t="shared" si="3"/>
        <v>1124770.5899999996</v>
      </c>
      <c r="U49" s="408">
        <f t="shared" si="4"/>
        <v>16291.497837837833</v>
      </c>
      <c r="V49" s="10">
        <f>+'A) Base RI'!O49</f>
        <v>0</v>
      </c>
      <c r="W49" s="10">
        <f>+'A) Base RI'!P49</f>
        <v>0</v>
      </c>
      <c r="X49" s="10">
        <f>+'A) Base RI'!R49</f>
        <v>9277.4500000000007</v>
      </c>
      <c r="Y49" s="408">
        <f t="shared" si="5"/>
        <v>9277.4500000000007</v>
      </c>
      <c r="Z49" s="10">
        <f>+'A) Base RI'!N49</f>
        <v>0</v>
      </c>
      <c r="AA49" s="10">
        <f>'A) Base RI'!AO49</f>
        <v>491</v>
      </c>
    </row>
    <row r="50" spans="1:27" x14ac:dyDescent="0.25">
      <c r="A50" s="8">
        <f>'A) Base RI'!A50</f>
        <v>5479</v>
      </c>
      <c r="B50" s="32" t="str">
        <f>'A) Base RI'!B50</f>
        <v>Cuarnens</v>
      </c>
      <c r="C50" s="10">
        <f>'A) Base RI'!C50+'A) Base RI'!D50</f>
        <v>1141845.5599999998</v>
      </c>
      <c r="D50" s="10">
        <f>'A) Base RI'!AP50</f>
        <v>-4126.4399999999996</v>
      </c>
      <c r="E50" s="402">
        <f>'A) Base RI'!AQ50</f>
        <v>0</v>
      </c>
      <c r="F50" s="402">
        <f>'A) Base RI'!AR50</f>
        <v>0</v>
      </c>
      <c r="G50" s="408">
        <f t="shared" si="0"/>
        <v>1137719.1199999999</v>
      </c>
      <c r="H50" s="10">
        <f>+'A) Base RI'!E50</f>
        <v>0</v>
      </c>
      <c r="I50" s="10">
        <f>+'A) Base RI'!F50</f>
        <v>0</v>
      </c>
      <c r="J50" s="10">
        <f>+'A) Base RI'!G50+'A) Base RI'!H50+'A) Base RI'!X50</f>
        <v>17365.22</v>
      </c>
      <c r="K50" s="10">
        <f>+'A) Base RI'!I50</f>
        <v>136813.5</v>
      </c>
      <c r="L50" s="10">
        <f>+'A) Base RI'!J50</f>
        <v>11675.49</v>
      </c>
      <c r="M50" s="10">
        <f>+'A) Base RI'!K50</f>
        <v>1973.25</v>
      </c>
      <c r="N50" s="10">
        <f>+'A) Base RI'!Q50</f>
        <v>0</v>
      </c>
      <c r="O50" s="10">
        <f t="shared" si="1"/>
        <v>85764.75</v>
      </c>
      <c r="P50" s="10">
        <f>+'A) Base RI'!L50</f>
        <v>85764.75</v>
      </c>
      <c r="Q50" s="416">
        <f>'A) Base RI'!AS50</f>
        <v>1</v>
      </c>
      <c r="R50" s="408">
        <f t="shared" si="2"/>
        <v>1391311.3299999998</v>
      </c>
      <c r="S50" s="482">
        <f>+'A) Base RI'!AN50</f>
        <v>77</v>
      </c>
      <c r="T50" s="408">
        <f t="shared" si="3"/>
        <v>1303573.3299999998</v>
      </c>
      <c r="U50" s="408">
        <f t="shared" si="4"/>
        <v>18068.978311688308</v>
      </c>
      <c r="V50" s="10">
        <f>+'A) Base RI'!O50</f>
        <v>0</v>
      </c>
      <c r="W50" s="10">
        <f>+'A) Base RI'!P50</f>
        <v>88973.3</v>
      </c>
      <c r="X50" s="10">
        <f>+'A) Base RI'!R50</f>
        <v>73291</v>
      </c>
      <c r="Y50" s="408">
        <f t="shared" si="5"/>
        <v>162264.29999999999</v>
      </c>
      <c r="Z50" s="10">
        <f>+'A) Base RI'!N50</f>
        <v>8570.9500000000007</v>
      </c>
      <c r="AA50" s="10">
        <f>'A) Base RI'!AO50</f>
        <v>527</v>
      </c>
    </row>
    <row r="51" spans="1:27" x14ac:dyDescent="0.25">
      <c r="A51" s="8">
        <f>'A) Base RI'!A51</f>
        <v>5480</v>
      </c>
      <c r="B51" s="32" t="str">
        <f>'A) Base RI'!B51</f>
        <v>Daillens</v>
      </c>
      <c r="C51" s="10">
        <f>'A) Base RI'!C51+'A) Base RI'!D51</f>
        <v>2354337.7600000002</v>
      </c>
      <c r="D51" s="10">
        <f>'A) Base RI'!AP51</f>
        <v>-33354.28</v>
      </c>
      <c r="E51" s="402">
        <f>'A) Base RI'!AQ51</f>
        <v>0</v>
      </c>
      <c r="F51" s="402">
        <f>'A) Base RI'!AR51</f>
        <v>-758.12</v>
      </c>
      <c r="G51" s="408">
        <f t="shared" si="0"/>
        <v>2320225.3600000003</v>
      </c>
      <c r="H51" s="10">
        <f>+'A) Base RI'!E51</f>
        <v>0</v>
      </c>
      <c r="I51" s="10">
        <f>+'A) Base RI'!F51</f>
        <v>0</v>
      </c>
      <c r="J51" s="10">
        <f>+'A) Base RI'!G51+'A) Base RI'!H51+'A) Base RI'!X51</f>
        <v>32849.949999999997</v>
      </c>
      <c r="K51" s="10">
        <f>+'A) Base RI'!I51</f>
        <v>0</v>
      </c>
      <c r="L51" s="10">
        <f>+'A) Base RI'!J51</f>
        <v>21681</v>
      </c>
      <c r="M51" s="10">
        <f>+'A) Base RI'!K51</f>
        <v>11300.15</v>
      </c>
      <c r="N51" s="10">
        <f>+'A) Base RI'!Q51</f>
        <v>11525.4</v>
      </c>
      <c r="O51" s="10">
        <f t="shared" si="1"/>
        <v>306929.25</v>
      </c>
      <c r="P51" s="10">
        <f>+'A) Base RI'!L51</f>
        <v>368315.1</v>
      </c>
      <c r="Q51" s="416">
        <f>'A) Base RI'!AS51</f>
        <v>1.2</v>
      </c>
      <c r="R51" s="408">
        <f t="shared" si="2"/>
        <v>2704511.1100000003</v>
      </c>
      <c r="S51" s="482">
        <f>+'A) Base RI'!AN51</f>
        <v>66</v>
      </c>
      <c r="T51" s="408">
        <f t="shared" si="3"/>
        <v>2386281.7100000004</v>
      </c>
      <c r="U51" s="408">
        <f t="shared" si="4"/>
        <v>40977.441060606063</v>
      </c>
      <c r="V51" s="10">
        <f>+'A) Base RI'!O51</f>
        <v>0</v>
      </c>
      <c r="W51" s="10">
        <f>+'A) Base RI'!P51</f>
        <v>155782</v>
      </c>
      <c r="X51" s="10">
        <f>+'A) Base RI'!R51</f>
        <v>54282.8</v>
      </c>
      <c r="Y51" s="408">
        <f t="shared" si="5"/>
        <v>210064.8</v>
      </c>
      <c r="Z51" s="10">
        <f>+'A) Base RI'!N51</f>
        <v>204900.85</v>
      </c>
      <c r="AA51" s="10">
        <f>'A) Base RI'!AO51</f>
        <v>1048</v>
      </c>
    </row>
    <row r="52" spans="1:27" x14ac:dyDescent="0.25">
      <c r="A52" s="8">
        <f>'A) Base RI'!A52</f>
        <v>5481</v>
      </c>
      <c r="B52" s="32" t="str">
        <f>'A) Base RI'!B52</f>
        <v>Dizy</v>
      </c>
      <c r="C52" s="10">
        <f>'A) Base RI'!C52+'A) Base RI'!D52</f>
        <v>495699.39</v>
      </c>
      <c r="D52" s="10">
        <f>'A) Base RI'!AP52</f>
        <v>-1618.39</v>
      </c>
      <c r="E52" s="402">
        <f>'A) Base RI'!AQ52</f>
        <v>0</v>
      </c>
      <c r="F52" s="402">
        <f>'A) Base RI'!AR52</f>
        <v>0</v>
      </c>
      <c r="G52" s="408">
        <f t="shared" si="0"/>
        <v>494081</v>
      </c>
      <c r="H52" s="10">
        <f>+'A) Base RI'!E52</f>
        <v>0</v>
      </c>
      <c r="I52" s="10">
        <f>+'A) Base RI'!F52</f>
        <v>0</v>
      </c>
      <c r="J52" s="10">
        <f>+'A) Base RI'!G52+'A) Base RI'!H52+'A) Base RI'!X52</f>
        <v>67834.509999999995</v>
      </c>
      <c r="K52" s="10">
        <f>+'A) Base RI'!I52</f>
        <v>0</v>
      </c>
      <c r="L52" s="10">
        <f>+'A) Base RI'!J52</f>
        <v>4904.03</v>
      </c>
      <c r="M52" s="10">
        <f>+'A) Base RI'!K52</f>
        <v>0</v>
      </c>
      <c r="N52" s="10">
        <f>+'A) Base RI'!Q52</f>
        <v>3326.95</v>
      </c>
      <c r="O52" s="10">
        <f t="shared" si="1"/>
        <v>39166.050000000003</v>
      </c>
      <c r="P52" s="10">
        <f>+'A) Base RI'!L52</f>
        <v>39166.050000000003</v>
      </c>
      <c r="Q52" s="416">
        <f>'A) Base RI'!AS52</f>
        <v>1</v>
      </c>
      <c r="R52" s="408">
        <f t="shared" si="2"/>
        <v>609312.54</v>
      </c>
      <c r="S52" s="482">
        <f>+'A) Base RI'!AN52</f>
        <v>75</v>
      </c>
      <c r="T52" s="408">
        <f t="shared" si="3"/>
        <v>570146.49</v>
      </c>
      <c r="U52" s="408">
        <f t="shared" si="4"/>
        <v>8124.1672000000008</v>
      </c>
      <c r="V52" s="10">
        <f>+'A) Base RI'!O52</f>
        <v>0</v>
      </c>
      <c r="W52" s="10">
        <f>+'A) Base RI'!P52</f>
        <v>6491.55</v>
      </c>
      <c r="X52" s="10">
        <f>+'A) Base RI'!R52</f>
        <v>1182</v>
      </c>
      <c r="Y52" s="408">
        <f t="shared" si="5"/>
        <v>7673.55</v>
      </c>
      <c r="Z52" s="10">
        <f>+'A) Base RI'!N52</f>
        <v>0</v>
      </c>
      <c r="AA52" s="10">
        <f>'A) Base RI'!AO52</f>
        <v>224</v>
      </c>
    </row>
    <row r="53" spans="1:27" x14ac:dyDescent="0.25">
      <c r="A53" s="8">
        <f>'A) Base RI'!A53</f>
        <v>5482</v>
      </c>
      <c r="B53" s="32" t="str">
        <f>'A) Base RI'!B53</f>
        <v>Eclépens</v>
      </c>
      <c r="C53" s="10">
        <f>'A) Base RI'!C53+'A) Base RI'!D53</f>
        <v>1623951.9100000001</v>
      </c>
      <c r="D53" s="10">
        <f>'A) Base RI'!AP53</f>
        <v>-33996.83</v>
      </c>
      <c r="E53" s="402">
        <f>'A) Base RI'!AQ53</f>
        <v>0</v>
      </c>
      <c r="F53" s="402">
        <f>'A) Base RI'!AR53</f>
        <v>-652.01</v>
      </c>
      <c r="G53" s="408">
        <f t="shared" si="0"/>
        <v>1589303.07</v>
      </c>
      <c r="H53" s="10">
        <f>+'A) Base RI'!E53</f>
        <v>0</v>
      </c>
      <c r="I53" s="10">
        <f>+'A) Base RI'!F53</f>
        <v>0</v>
      </c>
      <c r="J53" s="10">
        <f>+'A) Base RI'!G53+'A) Base RI'!H53+'A) Base RI'!X53</f>
        <v>1124095.5</v>
      </c>
      <c r="K53" s="10">
        <f>+'A) Base RI'!I53</f>
        <v>0</v>
      </c>
      <c r="L53" s="10">
        <f>+'A) Base RI'!J53</f>
        <v>74027.98</v>
      </c>
      <c r="M53" s="10">
        <f>+'A) Base RI'!K53</f>
        <v>41453.800000000003</v>
      </c>
      <c r="N53" s="10">
        <f>+'A) Base RI'!Q53</f>
        <v>6323.09</v>
      </c>
      <c r="O53" s="10">
        <f t="shared" si="1"/>
        <v>426745.35</v>
      </c>
      <c r="P53" s="10">
        <f>+'A) Base RI'!L53</f>
        <v>426745.35</v>
      </c>
      <c r="Q53" s="416">
        <f>'A) Base RI'!AS53</f>
        <v>1</v>
      </c>
      <c r="R53" s="408">
        <f t="shared" si="2"/>
        <v>3261948.79</v>
      </c>
      <c r="S53" s="482">
        <f>+'A) Base RI'!AN53</f>
        <v>46</v>
      </c>
      <c r="T53" s="408">
        <f t="shared" si="3"/>
        <v>2793749.64</v>
      </c>
      <c r="U53" s="408">
        <f t="shared" si="4"/>
        <v>70911.930217391302</v>
      </c>
      <c r="V53" s="10">
        <f>+'A) Base RI'!O53</f>
        <v>11323.9</v>
      </c>
      <c r="W53" s="10">
        <f>+'A) Base RI'!P53</f>
        <v>57954.25</v>
      </c>
      <c r="X53" s="10">
        <f>+'A) Base RI'!R53</f>
        <v>35836.949999999997</v>
      </c>
      <c r="Y53" s="408">
        <f t="shared" si="5"/>
        <v>105115.09999999999</v>
      </c>
      <c r="Z53" s="10">
        <f>+'A) Base RI'!N53</f>
        <v>338711.25</v>
      </c>
      <c r="AA53" s="10">
        <f>'A) Base RI'!AO53</f>
        <v>1220</v>
      </c>
    </row>
    <row r="54" spans="1:27" x14ac:dyDescent="0.25">
      <c r="A54" s="8">
        <f>'A) Base RI'!A54</f>
        <v>5483</v>
      </c>
      <c r="B54" s="32" t="str">
        <f>'A) Base RI'!B54</f>
        <v>Ferreyres</v>
      </c>
      <c r="C54" s="10">
        <f>'A) Base RI'!C54+'A) Base RI'!D54</f>
        <v>754691.22</v>
      </c>
      <c r="D54" s="10">
        <f>'A) Base RI'!AP54</f>
        <v>-247.76</v>
      </c>
      <c r="E54" s="402">
        <f>'A) Base RI'!AQ54</f>
        <v>0</v>
      </c>
      <c r="F54" s="402">
        <f>'A) Base RI'!AR54</f>
        <v>-1695.75</v>
      </c>
      <c r="G54" s="408">
        <f t="shared" si="0"/>
        <v>752747.71</v>
      </c>
      <c r="H54" s="10">
        <f>+'A) Base RI'!E54</f>
        <v>0</v>
      </c>
      <c r="I54" s="10">
        <f>+'A) Base RI'!F54</f>
        <v>0</v>
      </c>
      <c r="J54" s="10">
        <f>+'A) Base RI'!G54+'A) Base RI'!H54+'A) Base RI'!X54</f>
        <v>10277.529999999999</v>
      </c>
      <c r="K54" s="10">
        <f>+'A) Base RI'!I54</f>
        <v>0</v>
      </c>
      <c r="L54" s="10">
        <f>+'A) Base RI'!J54</f>
        <v>1743.05</v>
      </c>
      <c r="M54" s="10">
        <f>+'A) Base RI'!K54</f>
        <v>702</v>
      </c>
      <c r="N54" s="10">
        <f>+'A) Base RI'!Q54</f>
        <v>0</v>
      </c>
      <c r="O54" s="10">
        <f t="shared" si="1"/>
        <v>56873.65</v>
      </c>
      <c r="P54" s="10">
        <f>+'A) Base RI'!L54</f>
        <v>56873.65</v>
      </c>
      <c r="Q54" s="416">
        <f>'A) Base RI'!AS54</f>
        <v>1</v>
      </c>
      <c r="R54" s="408">
        <f t="shared" si="2"/>
        <v>822343.94000000006</v>
      </c>
      <c r="S54" s="482">
        <f>+'A) Base RI'!AN54</f>
        <v>76</v>
      </c>
      <c r="T54" s="408">
        <f t="shared" si="3"/>
        <v>764768.29</v>
      </c>
      <c r="U54" s="408">
        <f t="shared" si="4"/>
        <v>10820.315000000001</v>
      </c>
      <c r="V54" s="10">
        <f>+'A) Base RI'!O54</f>
        <v>0</v>
      </c>
      <c r="W54" s="10">
        <f>+'A) Base RI'!P54</f>
        <v>16280</v>
      </c>
      <c r="X54" s="10">
        <f>+'A) Base RI'!R54</f>
        <v>2916.7</v>
      </c>
      <c r="Y54" s="408">
        <f t="shared" si="5"/>
        <v>19196.7</v>
      </c>
      <c r="Z54" s="10">
        <f>+'A) Base RI'!N54</f>
        <v>0</v>
      </c>
      <c r="AA54" s="10">
        <f>'A) Base RI'!AO54</f>
        <v>319</v>
      </c>
    </row>
    <row r="55" spans="1:27" x14ac:dyDescent="0.25">
      <c r="A55" s="8">
        <f>'A) Base RI'!A55</f>
        <v>5484</v>
      </c>
      <c r="B55" s="32" t="str">
        <f>'A) Base RI'!B55</f>
        <v>Gollion</v>
      </c>
      <c r="C55" s="10">
        <f>'A) Base RI'!C55+'A) Base RI'!D55</f>
        <v>2244594.5499999998</v>
      </c>
      <c r="D55" s="10">
        <f>'A) Base RI'!AP55</f>
        <v>-11351.64</v>
      </c>
      <c r="E55" s="402">
        <f>'A) Base RI'!AQ55</f>
        <v>0</v>
      </c>
      <c r="F55" s="402">
        <f>'A) Base RI'!AR55</f>
        <v>-257.26</v>
      </c>
      <c r="G55" s="408">
        <f t="shared" si="0"/>
        <v>2232985.65</v>
      </c>
      <c r="H55" s="10">
        <f>+'A) Base RI'!E55</f>
        <v>0</v>
      </c>
      <c r="I55" s="10">
        <f>+'A) Base RI'!F55</f>
        <v>0</v>
      </c>
      <c r="J55" s="10">
        <f>+'A) Base RI'!G55+'A) Base RI'!H55+'A) Base RI'!X55</f>
        <v>107768.40000000001</v>
      </c>
      <c r="K55" s="10">
        <f>+'A) Base RI'!I55</f>
        <v>0</v>
      </c>
      <c r="L55" s="10">
        <f>+'A) Base RI'!J55</f>
        <v>55357.64</v>
      </c>
      <c r="M55" s="10">
        <f>+'A) Base RI'!K55</f>
        <v>7066.75</v>
      </c>
      <c r="N55" s="10">
        <f>+'A) Base RI'!Q55</f>
        <v>2417.2399999999998</v>
      </c>
      <c r="O55" s="10">
        <f t="shared" si="1"/>
        <v>184181.25</v>
      </c>
      <c r="P55" s="10">
        <f>+'A) Base RI'!L55</f>
        <v>184181.25</v>
      </c>
      <c r="Q55" s="416">
        <f>'A) Base RI'!AS55</f>
        <v>1</v>
      </c>
      <c r="R55" s="408">
        <f t="shared" si="2"/>
        <v>2589776.9300000002</v>
      </c>
      <c r="S55" s="482">
        <f>+'A) Base RI'!AN55</f>
        <v>74</v>
      </c>
      <c r="T55" s="408">
        <f t="shared" si="3"/>
        <v>2398528.9300000002</v>
      </c>
      <c r="U55" s="408">
        <f t="shared" si="4"/>
        <v>34996.98554054054</v>
      </c>
      <c r="V55" s="10">
        <f>+'A) Base RI'!O55</f>
        <v>60233</v>
      </c>
      <c r="W55" s="10">
        <f>+'A) Base RI'!P55</f>
        <v>119899.25</v>
      </c>
      <c r="X55" s="10">
        <f>+'A) Base RI'!R55</f>
        <v>29382.85</v>
      </c>
      <c r="Y55" s="408">
        <f t="shared" si="5"/>
        <v>209515.1</v>
      </c>
      <c r="Z55" s="10">
        <f>+'A) Base RI'!N55</f>
        <v>25418.75</v>
      </c>
      <c r="AA55" s="10">
        <f>'A) Base RI'!AO55</f>
        <v>996</v>
      </c>
    </row>
    <row r="56" spans="1:27" x14ac:dyDescent="0.25">
      <c r="A56" s="8">
        <f>'A) Base RI'!A56</f>
        <v>5485</v>
      </c>
      <c r="B56" s="32" t="str">
        <f>'A) Base RI'!B56</f>
        <v>Grancy</v>
      </c>
      <c r="C56" s="10">
        <f>'A) Base RI'!C56+'A) Base RI'!D56</f>
        <v>919383.6100000001</v>
      </c>
      <c r="D56" s="10">
        <f>'A) Base RI'!AP56</f>
        <v>-37256.61</v>
      </c>
      <c r="E56" s="402">
        <f>'A) Base RI'!AQ56</f>
        <v>0</v>
      </c>
      <c r="F56" s="402">
        <f>'A) Base RI'!AR56</f>
        <v>-241.55</v>
      </c>
      <c r="G56" s="408">
        <f t="shared" si="0"/>
        <v>881885.45000000007</v>
      </c>
      <c r="H56" s="10">
        <f>+'A) Base RI'!E56</f>
        <v>0</v>
      </c>
      <c r="I56" s="10">
        <f>+'A) Base RI'!F56</f>
        <v>0</v>
      </c>
      <c r="J56" s="10">
        <f>+'A) Base RI'!G56+'A) Base RI'!H56+'A) Base RI'!X56</f>
        <v>14380.730000000001</v>
      </c>
      <c r="K56" s="10">
        <f>+'A) Base RI'!I56</f>
        <v>0</v>
      </c>
      <c r="L56" s="10">
        <f>+'A) Base RI'!J56</f>
        <v>24736.73</v>
      </c>
      <c r="M56" s="10">
        <f>+'A) Base RI'!K56</f>
        <v>319</v>
      </c>
      <c r="N56" s="10">
        <f>+'A) Base RI'!Q56</f>
        <v>20445.93</v>
      </c>
      <c r="O56" s="10">
        <f t="shared" si="1"/>
        <v>76196.850000000006</v>
      </c>
      <c r="P56" s="10">
        <f>+'A) Base RI'!L56</f>
        <v>76196.850000000006</v>
      </c>
      <c r="Q56" s="416">
        <f>'A) Base RI'!AS56</f>
        <v>1</v>
      </c>
      <c r="R56" s="408">
        <f t="shared" si="2"/>
        <v>1017964.6900000001</v>
      </c>
      <c r="S56" s="482">
        <f>+'A) Base RI'!AN56</f>
        <v>70</v>
      </c>
      <c r="T56" s="408">
        <f t="shared" si="3"/>
        <v>941448.84000000008</v>
      </c>
      <c r="U56" s="408">
        <f t="shared" si="4"/>
        <v>14542.352714285715</v>
      </c>
      <c r="V56" s="10">
        <f>+'A) Base RI'!O56</f>
        <v>2707.8</v>
      </c>
      <c r="W56" s="10">
        <f>+'A) Base RI'!P56</f>
        <v>99344.4</v>
      </c>
      <c r="X56" s="10">
        <f>+'A) Base RI'!R56</f>
        <v>52274.400000000001</v>
      </c>
      <c r="Y56" s="408">
        <f t="shared" si="5"/>
        <v>154326.6</v>
      </c>
      <c r="Z56" s="10">
        <f>+'A) Base RI'!N56</f>
        <v>13845.05</v>
      </c>
      <c r="AA56" s="10">
        <f>'A) Base RI'!AO56</f>
        <v>406</v>
      </c>
    </row>
    <row r="57" spans="1:27" x14ac:dyDescent="0.25">
      <c r="A57" s="8">
        <f>'A) Base RI'!A57</f>
        <v>5486</v>
      </c>
      <c r="B57" s="32" t="str">
        <f>'A) Base RI'!B57</f>
        <v>L'Isle</v>
      </c>
      <c r="C57" s="10">
        <f>'A) Base RI'!C57+'A) Base RI'!D57</f>
        <v>2524564.65</v>
      </c>
      <c r="D57" s="10">
        <f>'A) Base RI'!AP57</f>
        <v>-26862.79</v>
      </c>
      <c r="E57" s="402">
        <f>'A) Base RI'!AQ57</f>
        <v>0</v>
      </c>
      <c r="F57" s="402">
        <f>'A) Base RI'!AR57</f>
        <v>-0.52</v>
      </c>
      <c r="G57" s="408">
        <f t="shared" si="0"/>
        <v>2497701.34</v>
      </c>
      <c r="H57" s="10">
        <f>+'A) Base RI'!E57</f>
        <v>0</v>
      </c>
      <c r="I57" s="10">
        <f>+'A) Base RI'!F57</f>
        <v>0</v>
      </c>
      <c r="J57" s="10">
        <f>+'A) Base RI'!G57+'A) Base RI'!H57+'A) Base RI'!X57</f>
        <v>22179.65</v>
      </c>
      <c r="K57" s="10">
        <f>+'A) Base RI'!I57</f>
        <v>35256</v>
      </c>
      <c r="L57" s="10">
        <f>+'A) Base RI'!J57</f>
        <v>46072.47</v>
      </c>
      <c r="M57" s="10">
        <f>+'A) Base RI'!K57</f>
        <v>9098.7999999999993</v>
      </c>
      <c r="N57" s="10">
        <f>+'A) Base RI'!Q57</f>
        <v>5606.47</v>
      </c>
      <c r="O57" s="10">
        <f t="shared" si="1"/>
        <v>193552.3</v>
      </c>
      <c r="P57" s="10">
        <f>+'A) Base RI'!L57</f>
        <v>193552.3</v>
      </c>
      <c r="Q57" s="416">
        <f>'A) Base RI'!AS57</f>
        <v>1</v>
      </c>
      <c r="R57" s="408">
        <f t="shared" si="2"/>
        <v>2809467.03</v>
      </c>
      <c r="S57" s="482">
        <f>+'A) Base RI'!AN57</f>
        <v>75</v>
      </c>
      <c r="T57" s="408">
        <f t="shared" si="3"/>
        <v>2606815.9300000002</v>
      </c>
      <c r="U57" s="408">
        <f t="shared" si="4"/>
        <v>37459.560399999995</v>
      </c>
      <c r="V57" s="10">
        <f>+'A) Base RI'!O57</f>
        <v>18816.5</v>
      </c>
      <c r="W57" s="10">
        <f>+'A) Base RI'!P57</f>
        <v>42994.75</v>
      </c>
      <c r="X57" s="10">
        <f>+'A) Base RI'!R57</f>
        <v>49697.45</v>
      </c>
      <c r="Y57" s="408">
        <f t="shared" si="5"/>
        <v>111508.7</v>
      </c>
      <c r="Z57" s="10">
        <f>+'A) Base RI'!N57</f>
        <v>54932.45</v>
      </c>
      <c r="AA57" s="10">
        <f>'A) Base RI'!AO57</f>
        <v>1065</v>
      </c>
    </row>
    <row r="58" spans="1:27" x14ac:dyDescent="0.25">
      <c r="A58" s="8">
        <f>'A) Base RI'!A58</f>
        <v>5487</v>
      </c>
      <c r="B58" s="32" t="str">
        <f>'A) Base RI'!B58</f>
        <v>Lussery-Villars</v>
      </c>
      <c r="C58" s="10">
        <f>'A) Base RI'!C58+'A) Base RI'!D58</f>
        <v>889439.77</v>
      </c>
      <c r="D58" s="10">
        <f>'A) Base RI'!AP58</f>
        <v>-6686.12</v>
      </c>
      <c r="E58" s="402">
        <f>'A) Base RI'!AQ58</f>
        <v>0</v>
      </c>
      <c r="F58" s="402">
        <f>'A) Base RI'!AR58</f>
        <v>-332.3</v>
      </c>
      <c r="G58" s="408">
        <f t="shared" si="0"/>
        <v>882421.35</v>
      </c>
      <c r="H58" s="10">
        <f>+'A) Base RI'!E58</f>
        <v>0</v>
      </c>
      <c r="I58" s="10">
        <f>+'A) Base RI'!F58</f>
        <v>0</v>
      </c>
      <c r="J58" s="10">
        <f>+'A) Base RI'!G58+'A) Base RI'!H58+'A) Base RI'!X58</f>
        <v>-464.66999999999996</v>
      </c>
      <c r="K58" s="10">
        <f>+'A) Base RI'!I58</f>
        <v>0</v>
      </c>
      <c r="L58" s="10">
        <f>+'A) Base RI'!J58</f>
        <v>4392.13</v>
      </c>
      <c r="M58" s="10">
        <f>+'A) Base RI'!K58</f>
        <v>994</v>
      </c>
      <c r="N58" s="10">
        <f>+'A) Base RI'!Q58</f>
        <v>384.3</v>
      </c>
      <c r="O58" s="10">
        <f t="shared" si="1"/>
        <v>79012.800000000003</v>
      </c>
      <c r="P58" s="10">
        <f>+'A) Base RI'!L58</f>
        <v>79012.800000000003</v>
      </c>
      <c r="Q58" s="416">
        <f>'A) Base RI'!AS58</f>
        <v>1</v>
      </c>
      <c r="R58" s="408">
        <f t="shared" si="2"/>
        <v>966739.91</v>
      </c>
      <c r="S58" s="482">
        <f>+'A) Base RI'!AN58</f>
        <v>75</v>
      </c>
      <c r="T58" s="408">
        <f t="shared" si="3"/>
        <v>886733.11</v>
      </c>
      <c r="U58" s="408">
        <f t="shared" si="4"/>
        <v>12889.865466666668</v>
      </c>
      <c r="V58" s="10">
        <f>+'A) Base RI'!O58</f>
        <v>282.5</v>
      </c>
      <c r="W58" s="10">
        <f>+'A) Base RI'!P58</f>
        <v>29510.55</v>
      </c>
      <c r="X58" s="10">
        <f>+'A) Base RI'!R58</f>
        <v>1238.05</v>
      </c>
      <c r="Y58" s="408">
        <f t="shared" si="5"/>
        <v>31031.1</v>
      </c>
      <c r="Z58" s="10">
        <f>+'A) Base RI'!N58</f>
        <v>0</v>
      </c>
      <c r="AA58" s="10">
        <f>'A) Base RI'!AO58</f>
        <v>459</v>
      </c>
    </row>
    <row r="59" spans="1:27" x14ac:dyDescent="0.25">
      <c r="A59" s="8">
        <f>'A) Base RI'!A59</f>
        <v>5488</v>
      </c>
      <c r="B59" s="32" t="str">
        <f>'A) Base RI'!B59</f>
        <v>Mauraz</v>
      </c>
      <c r="C59" s="10">
        <f>'A) Base RI'!C59+'A) Base RI'!D59</f>
        <v>114146.48000000001</v>
      </c>
      <c r="D59" s="10">
        <f>'A) Base RI'!AP59</f>
        <v>-15.48</v>
      </c>
      <c r="E59" s="402">
        <f>'A) Base RI'!AQ59</f>
        <v>0</v>
      </c>
      <c r="F59" s="402">
        <f>'A) Base RI'!AR59</f>
        <v>-16.309999999999999</v>
      </c>
      <c r="G59" s="408">
        <f t="shared" si="0"/>
        <v>114114.69000000002</v>
      </c>
      <c r="H59" s="10">
        <f>+'A) Base RI'!E59</f>
        <v>0</v>
      </c>
      <c r="I59" s="10">
        <f>+'A) Base RI'!F59</f>
        <v>0</v>
      </c>
      <c r="J59" s="10">
        <f>+'A) Base RI'!G59+'A) Base RI'!H59+'A) Base RI'!X59</f>
        <v>1026.82</v>
      </c>
      <c r="K59" s="10">
        <f>+'A) Base RI'!I59</f>
        <v>0</v>
      </c>
      <c r="L59" s="10">
        <f>+'A) Base RI'!J59</f>
        <v>2109.0500000000002</v>
      </c>
      <c r="M59" s="10">
        <f>+'A) Base RI'!K59</f>
        <v>0</v>
      </c>
      <c r="N59" s="10">
        <f>+'A) Base RI'!Q59</f>
        <v>0</v>
      </c>
      <c r="O59" s="10">
        <f t="shared" si="1"/>
        <v>8426</v>
      </c>
      <c r="P59" s="10">
        <f>+'A) Base RI'!L59</f>
        <v>8426</v>
      </c>
      <c r="Q59" s="416">
        <f>'A) Base RI'!AS59</f>
        <v>1</v>
      </c>
      <c r="R59" s="408">
        <f t="shared" si="2"/>
        <v>125676.56000000003</v>
      </c>
      <c r="S59" s="482">
        <f>+'A) Base RI'!AN59</f>
        <v>77</v>
      </c>
      <c r="T59" s="408">
        <f t="shared" si="3"/>
        <v>117250.56000000003</v>
      </c>
      <c r="U59" s="408">
        <f t="shared" si="4"/>
        <v>1632.1631168831173</v>
      </c>
      <c r="V59" s="10">
        <f>+'A) Base RI'!O59</f>
        <v>0</v>
      </c>
      <c r="W59" s="10">
        <f>+'A) Base RI'!P59</f>
        <v>0</v>
      </c>
      <c r="X59" s="10">
        <f>+'A) Base RI'!R59</f>
        <v>0</v>
      </c>
      <c r="Y59" s="408">
        <f t="shared" si="5"/>
        <v>0</v>
      </c>
      <c r="Z59" s="10">
        <f>+'A) Base RI'!N59</f>
        <v>0</v>
      </c>
      <c r="AA59" s="10">
        <f>'A) Base RI'!AO59</f>
        <v>58</v>
      </c>
    </row>
    <row r="60" spans="1:27" x14ac:dyDescent="0.25">
      <c r="A60" s="8">
        <f>'A) Base RI'!A60</f>
        <v>5489</v>
      </c>
      <c r="B60" s="32" t="str">
        <f>'A) Base RI'!B60</f>
        <v>Mex</v>
      </c>
      <c r="C60" s="10">
        <f>'A) Base RI'!C60+'A) Base RI'!D60</f>
        <v>2546362.77</v>
      </c>
      <c r="D60" s="10">
        <f>'A) Base RI'!AP60</f>
        <v>-49065.04</v>
      </c>
      <c r="E60" s="402">
        <f>'A) Base RI'!AQ60</f>
        <v>0</v>
      </c>
      <c r="F60" s="402">
        <f>'A) Base RI'!AR60</f>
        <v>-846.97</v>
      </c>
      <c r="G60" s="408">
        <f t="shared" si="0"/>
        <v>2496450.7599999998</v>
      </c>
      <c r="H60" s="10">
        <f>+'A) Base RI'!E60</f>
        <v>0</v>
      </c>
      <c r="I60" s="10">
        <f>+'A) Base RI'!F60</f>
        <v>0</v>
      </c>
      <c r="J60" s="10">
        <f>+'A) Base RI'!G60+'A) Base RI'!H60+'A) Base RI'!X60</f>
        <v>585991.1399999999</v>
      </c>
      <c r="K60" s="10">
        <f>+'A) Base RI'!I60</f>
        <v>0</v>
      </c>
      <c r="L60" s="10">
        <f>+'A) Base RI'!J60</f>
        <v>37440.42</v>
      </c>
      <c r="M60" s="10">
        <f>+'A) Base RI'!K60</f>
        <v>6591.5</v>
      </c>
      <c r="N60" s="10">
        <f>+'A) Base RI'!Q60</f>
        <v>1202.4000000000001</v>
      </c>
      <c r="O60" s="10">
        <f t="shared" si="1"/>
        <v>293345.55</v>
      </c>
      <c r="P60" s="10">
        <f>+'A) Base RI'!L60</f>
        <v>293345.55</v>
      </c>
      <c r="Q60" s="416">
        <f>'A) Base RI'!AS60</f>
        <v>1</v>
      </c>
      <c r="R60" s="408">
        <f t="shared" si="2"/>
        <v>3421021.7699999991</v>
      </c>
      <c r="S60" s="482">
        <f>+'A) Base RI'!AN60</f>
        <v>59.5</v>
      </c>
      <c r="T60" s="408">
        <f t="shared" si="3"/>
        <v>3121084.7199999993</v>
      </c>
      <c r="U60" s="408">
        <f t="shared" si="4"/>
        <v>57496.164201680658</v>
      </c>
      <c r="V60" s="10">
        <f>+'A) Base RI'!O60</f>
        <v>458.7</v>
      </c>
      <c r="W60" s="10">
        <f>+'A) Base RI'!P60</f>
        <v>245386</v>
      </c>
      <c r="X60" s="10">
        <f>+'A) Base RI'!R60</f>
        <v>276699.8</v>
      </c>
      <c r="Y60" s="408">
        <f t="shared" si="5"/>
        <v>522544.5</v>
      </c>
      <c r="Z60" s="10">
        <f>+'A) Base RI'!N60</f>
        <v>150502.45000000001</v>
      </c>
      <c r="AA60" s="10">
        <f>'A) Base RI'!AO60</f>
        <v>791</v>
      </c>
    </row>
    <row r="61" spans="1:27" x14ac:dyDescent="0.25">
      <c r="A61" s="8">
        <f>'A) Base RI'!A61</f>
        <v>5490</v>
      </c>
      <c r="B61" s="32" t="str">
        <f>'A) Base RI'!B61</f>
        <v>Moiry</v>
      </c>
      <c r="C61" s="10">
        <f>'A) Base RI'!C61+'A) Base RI'!D61</f>
        <v>642374.35</v>
      </c>
      <c r="D61" s="10">
        <f>'A) Base RI'!AP61</f>
        <v>-17085.490000000002</v>
      </c>
      <c r="E61" s="402">
        <f>'A) Base RI'!AQ61</f>
        <v>0</v>
      </c>
      <c r="F61" s="402">
        <f>'A) Base RI'!AR61</f>
        <v>-718.97</v>
      </c>
      <c r="G61" s="408">
        <f t="shared" si="0"/>
        <v>624569.89</v>
      </c>
      <c r="H61" s="10">
        <f>+'A) Base RI'!E61</f>
        <v>0</v>
      </c>
      <c r="I61" s="10">
        <f>+'A) Base RI'!F61</f>
        <v>0</v>
      </c>
      <c r="J61" s="10">
        <f>+'A) Base RI'!G61+'A) Base RI'!H61+'A) Base RI'!X61</f>
        <v>846.12</v>
      </c>
      <c r="K61" s="10">
        <f>+'A) Base RI'!I61</f>
        <v>0</v>
      </c>
      <c r="L61" s="10">
        <f>+'A) Base RI'!J61</f>
        <v>-683.29</v>
      </c>
      <c r="M61" s="10">
        <f>+'A) Base RI'!K61</f>
        <v>0</v>
      </c>
      <c r="N61" s="10">
        <f>+'A) Base RI'!Q61</f>
        <v>0</v>
      </c>
      <c r="O61" s="10">
        <f t="shared" si="1"/>
        <v>46100.25</v>
      </c>
      <c r="P61" s="10">
        <f>+'A) Base RI'!L61</f>
        <v>46100.25</v>
      </c>
      <c r="Q61" s="416">
        <f>'A) Base RI'!AS61</f>
        <v>1</v>
      </c>
      <c r="R61" s="408">
        <f t="shared" si="2"/>
        <v>670832.97</v>
      </c>
      <c r="S61" s="482">
        <f>+'A) Base RI'!AN61</f>
        <v>77.5</v>
      </c>
      <c r="T61" s="408">
        <f t="shared" si="3"/>
        <v>624732.72</v>
      </c>
      <c r="U61" s="408">
        <f t="shared" si="4"/>
        <v>8655.909290322581</v>
      </c>
      <c r="V61" s="10">
        <f>+'A) Base RI'!O61</f>
        <v>15576.4</v>
      </c>
      <c r="W61" s="10">
        <f>+'A) Base RI'!P61</f>
        <v>23760.95</v>
      </c>
      <c r="X61" s="10">
        <f>+'A) Base RI'!R61</f>
        <v>315</v>
      </c>
      <c r="Y61" s="408">
        <f t="shared" si="5"/>
        <v>39652.35</v>
      </c>
      <c r="Z61" s="10">
        <f>+'A) Base RI'!N61</f>
        <v>0</v>
      </c>
      <c r="AA61" s="10">
        <f>'A) Base RI'!AO61</f>
        <v>311</v>
      </c>
    </row>
    <row r="62" spans="1:27" x14ac:dyDescent="0.25">
      <c r="A62" s="8">
        <f>'A) Base RI'!A62</f>
        <v>5491</v>
      </c>
      <c r="B62" s="32" t="str">
        <f>'A) Base RI'!B62</f>
        <v>Mont-la-Ville</v>
      </c>
      <c r="C62" s="10">
        <f>'A) Base RI'!C62+'A) Base RI'!D62</f>
        <v>982975.96</v>
      </c>
      <c r="D62" s="10">
        <f>'A) Base RI'!AP62</f>
        <v>-15167.75</v>
      </c>
      <c r="E62" s="402">
        <f>'A) Base RI'!AQ62</f>
        <v>0</v>
      </c>
      <c r="F62" s="402">
        <f>'A) Base RI'!AR62</f>
        <v>0</v>
      </c>
      <c r="G62" s="408">
        <f t="shared" si="0"/>
        <v>967808.21</v>
      </c>
      <c r="H62" s="10">
        <f>+'A) Base RI'!E62</f>
        <v>0</v>
      </c>
      <c r="I62" s="10">
        <f>+'A) Base RI'!F62</f>
        <v>2590</v>
      </c>
      <c r="J62" s="10">
        <f>+'A) Base RI'!G62+'A) Base RI'!H62+'A) Base RI'!X62</f>
        <v>18259.780000000002</v>
      </c>
      <c r="K62" s="10">
        <f>+'A) Base RI'!I62</f>
        <v>0</v>
      </c>
      <c r="L62" s="10">
        <f>+'A) Base RI'!J62</f>
        <v>8918.35</v>
      </c>
      <c r="M62" s="10">
        <f>+'A) Base RI'!K62</f>
        <v>1245.75</v>
      </c>
      <c r="N62" s="10">
        <f>+'A) Base RI'!Q62</f>
        <v>705.45</v>
      </c>
      <c r="O62" s="10">
        <f t="shared" si="1"/>
        <v>89042.1</v>
      </c>
      <c r="P62" s="10">
        <f>+'A) Base RI'!L62</f>
        <v>89042.1</v>
      </c>
      <c r="Q62" s="416">
        <f>'A) Base RI'!AS62</f>
        <v>1</v>
      </c>
      <c r="R62" s="408">
        <f t="shared" si="2"/>
        <v>1088569.6399999999</v>
      </c>
      <c r="S62" s="482">
        <f>+'A) Base RI'!AN62</f>
        <v>76</v>
      </c>
      <c r="T62" s="408">
        <f t="shared" si="3"/>
        <v>995691.78999999992</v>
      </c>
      <c r="U62" s="408">
        <f t="shared" si="4"/>
        <v>14323.284736842104</v>
      </c>
      <c r="V62" s="10">
        <f>+'A) Base RI'!O62</f>
        <v>0</v>
      </c>
      <c r="W62" s="10">
        <f>+'A) Base RI'!P62</f>
        <v>68902.649999999994</v>
      </c>
      <c r="X62" s="10">
        <f>+'A) Base RI'!R62</f>
        <v>24058.55</v>
      </c>
      <c r="Y62" s="408">
        <f t="shared" si="5"/>
        <v>92961.2</v>
      </c>
      <c r="Z62" s="10">
        <f>+'A) Base RI'!N62</f>
        <v>1976.15</v>
      </c>
      <c r="AA62" s="10">
        <f>'A) Base RI'!AO62</f>
        <v>490</v>
      </c>
    </row>
    <row r="63" spans="1:27" x14ac:dyDescent="0.25">
      <c r="A63" s="8">
        <f>'A) Base RI'!A63</f>
        <v>5492</v>
      </c>
      <c r="B63" s="32" t="str">
        <f>'A) Base RI'!B63</f>
        <v>Montricher</v>
      </c>
      <c r="C63" s="10">
        <f>'A) Base RI'!C63+'A) Base RI'!D63</f>
        <v>9727930.3499999996</v>
      </c>
      <c r="D63" s="10">
        <f>'A) Base RI'!AP63</f>
        <v>-62889.32</v>
      </c>
      <c r="E63" s="402">
        <f>'A) Base RI'!AQ63</f>
        <v>0</v>
      </c>
      <c r="F63" s="402">
        <f>'A) Base RI'!AR63</f>
        <v>-6306.83</v>
      </c>
      <c r="G63" s="408">
        <f t="shared" si="0"/>
        <v>9658734.1999999993</v>
      </c>
      <c r="H63" s="10">
        <f>+'A) Base RI'!E63</f>
        <v>0</v>
      </c>
      <c r="I63" s="10">
        <f>+'A) Base RI'!F63</f>
        <v>0</v>
      </c>
      <c r="J63" s="10">
        <f>+'A) Base RI'!G63+'A) Base RI'!H63+'A) Base RI'!X63</f>
        <v>42051.21</v>
      </c>
      <c r="K63" s="10">
        <f>+'A) Base RI'!I63</f>
        <v>0</v>
      </c>
      <c r="L63" s="10">
        <f>+'A) Base RI'!J63</f>
        <v>101215.21</v>
      </c>
      <c r="M63" s="10">
        <f>+'A) Base RI'!K63</f>
        <v>4245.45</v>
      </c>
      <c r="N63" s="10">
        <f>+'A) Base RI'!Q63</f>
        <v>6716.98</v>
      </c>
      <c r="O63" s="10">
        <f t="shared" si="1"/>
        <v>244954.83333333334</v>
      </c>
      <c r="P63" s="10">
        <f>+'A) Base RI'!L63</f>
        <v>73486.45</v>
      </c>
      <c r="Q63" s="416">
        <f>'A) Base RI'!AS63</f>
        <v>0.3</v>
      </c>
      <c r="R63" s="408">
        <f t="shared" si="2"/>
        <v>10057917.883333335</v>
      </c>
      <c r="S63" s="482">
        <f>+'A) Base RI'!AN63</f>
        <v>64</v>
      </c>
      <c r="T63" s="408">
        <f t="shared" si="3"/>
        <v>9808717.6000000015</v>
      </c>
      <c r="U63" s="408">
        <f t="shared" si="4"/>
        <v>157154.96692708335</v>
      </c>
      <c r="V63" s="10">
        <f>+'A) Base RI'!O63</f>
        <v>138790.79999999999</v>
      </c>
      <c r="W63" s="10">
        <f>+'A) Base RI'!P63</f>
        <v>111883.75</v>
      </c>
      <c r="X63" s="10">
        <f>+'A) Base RI'!R63</f>
        <v>69404.100000000006</v>
      </c>
      <c r="Y63" s="408">
        <f t="shared" si="5"/>
        <v>320078.65000000002</v>
      </c>
      <c r="Z63" s="10">
        <f>+'A) Base RI'!N63</f>
        <v>6535.1</v>
      </c>
      <c r="AA63" s="10">
        <f>'A) Base RI'!AO63</f>
        <v>964</v>
      </c>
    </row>
    <row r="64" spans="1:27" x14ac:dyDescent="0.25">
      <c r="A64" s="8">
        <f>'A) Base RI'!A64</f>
        <v>5493</v>
      </c>
      <c r="B64" s="32" t="str">
        <f>'A) Base RI'!B64</f>
        <v>Orny</v>
      </c>
      <c r="C64" s="10">
        <f>'A) Base RI'!C64+'A) Base RI'!D64</f>
        <v>836173.05999999994</v>
      </c>
      <c r="D64" s="10">
        <f>'A) Base RI'!AP64</f>
        <v>-33436.629999999997</v>
      </c>
      <c r="E64" s="402">
        <f>'A) Base RI'!AQ64</f>
        <v>0</v>
      </c>
      <c r="F64" s="402">
        <f>'A) Base RI'!AR64</f>
        <v>-12.43</v>
      </c>
      <c r="G64" s="408">
        <f t="shared" si="0"/>
        <v>802723.99999999988</v>
      </c>
      <c r="H64" s="10">
        <f>+'A) Base RI'!E64</f>
        <v>0</v>
      </c>
      <c r="I64" s="10">
        <f>+'A) Base RI'!F64</f>
        <v>0</v>
      </c>
      <c r="J64" s="10">
        <f>+'A) Base RI'!G64+'A) Base RI'!H64+'A) Base RI'!X64</f>
        <v>30563.85</v>
      </c>
      <c r="K64" s="10">
        <f>+'A) Base RI'!I64</f>
        <v>0</v>
      </c>
      <c r="L64" s="10">
        <f>+'A) Base RI'!J64</f>
        <v>36469.08</v>
      </c>
      <c r="M64" s="10">
        <f>+'A) Base RI'!K64</f>
        <v>455.85</v>
      </c>
      <c r="N64" s="10">
        <f>+'A) Base RI'!Q64</f>
        <v>9903.36</v>
      </c>
      <c r="O64" s="10">
        <f t="shared" si="1"/>
        <v>60490.153846153844</v>
      </c>
      <c r="P64" s="10">
        <f>+'A) Base RI'!L64</f>
        <v>39318.6</v>
      </c>
      <c r="Q64" s="416">
        <f>'A) Base RI'!AS64</f>
        <v>0.65</v>
      </c>
      <c r="R64" s="408">
        <f t="shared" si="2"/>
        <v>940606.29384615365</v>
      </c>
      <c r="S64" s="482">
        <f>+'A) Base RI'!AN64</f>
        <v>73</v>
      </c>
      <c r="T64" s="408">
        <f t="shared" si="3"/>
        <v>879660.2899999998</v>
      </c>
      <c r="U64" s="408">
        <f t="shared" si="4"/>
        <v>12885.017723919913</v>
      </c>
      <c r="V64" s="10">
        <f>+'A) Base RI'!O64</f>
        <v>26175.5</v>
      </c>
      <c r="W64" s="10">
        <f>+'A) Base RI'!P64</f>
        <v>73882.3</v>
      </c>
      <c r="X64" s="10">
        <f>+'A) Base RI'!R64</f>
        <v>23013.200000000001</v>
      </c>
      <c r="Y64" s="408">
        <f t="shared" si="5"/>
        <v>123071</v>
      </c>
      <c r="Z64" s="10">
        <f>+'A) Base RI'!N64</f>
        <v>72407.399999999994</v>
      </c>
      <c r="AA64" s="10">
        <f>'A) Base RI'!AO64</f>
        <v>462</v>
      </c>
    </row>
    <row r="65" spans="1:27" x14ac:dyDescent="0.25">
      <c r="A65" s="8">
        <f>'A) Base RI'!A65</f>
        <v>5494</v>
      </c>
      <c r="B65" s="32" t="str">
        <f>'A) Base RI'!B65</f>
        <v>Pampigny</v>
      </c>
      <c r="C65" s="10">
        <f>'A) Base RI'!C65+'A) Base RI'!D65</f>
        <v>2484653.02</v>
      </c>
      <c r="D65" s="10">
        <f>'A) Base RI'!AP65</f>
        <v>-107033.01</v>
      </c>
      <c r="E65" s="402">
        <f>'A) Base RI'!AQ65</f>
        <v>0</v>
      </c>
      <c r="F65" s="402">
        <f>'A) Base RI'!AR65</f>
        <v>-386.89</v>
      </c>
      <c r="G65" s="408">
        <f t="shared" si="0"/>
        <v>2377233.12</v>
      </c>
      <c r="H65" s="10">
        <f>+'A) Base RI'!E65</f>
        <v>0</v>
      </c>
      <c r="I65" s="10">
        <f>+'A) Base RI'!F65</f>
        <v>0</v>
      </c>
      <c r="J65" s="10">
        <f>+'A) Base RI'!G65+'A) Base RI'!H65+'A) Base RI'!X65</f>
        <v>4772.99</v>
      </c>
      <c r="K65" s="10">
        <f>+'A) Base RI'!I65</f>
        <v>0</v>
      </c>
      <c r="L65" s="10">
        <f>+'A) Base RI'!J65</f>
        <v>35288.769999999997</v>
      </c>
      <c r="M65" s="10">
        <f>+'A) Base RI'!K65</f>
        <v>2805.45</v>
      </c>
      <c r="N65" s="10">
        <f>+'A) Base RI'!Q65</f>
        <v>32797.43</v>
      </c>
      <c r="O65" s="10">
        <f t="shared" si="1"/>
        <v>219477</v>
      </c>
      <c r="P65" s="10">
        <f>+'A) Base RI'!L65</f>
        <v>230450.85</v>
      </c>
      <c r="Q65" s="416">
        <f>'A) Base RI'!AS65</f>
        <v>1.05</v>
      </c>
      <c r="R65" s="408">
        <f t="shared" si="2"/>
        <v>2672374.7600000007</v>
      </c>
      <c r="S65" s="482">
        <f>+'A) Base RI'!AN65</f>
        <v>73</v>
      </c>
      <c r="T65" s="408">
        <f t="shared" si="3"/>
        <v>2450092.3100000005</v>
      </c>
      <c r="U65" s="408">
        <f t="shared" si="4"/>
        <v>36607.87342465754</v>
      </c>
      <c r="V65" s="10">
        <f>+'A) Base RI'!O65</f>
        <v>0</v>
      </c>
      <c r="W65" s="10">
        <f>+'A) Base RI'!P65</f>
        <v>157347.6</v>
      </c>
      <c r="X65" s="10">
        <f>+'A) Base RI'!R65</f>
        <v>37034.5</v>
      </c>
      <c r="Y65" s="408">
        <f t="shared" si="5"/>
        <v>194382.1</v>
      </c>
      <c r="Z65" s="10">
        <f>+'A) Base RI'!N65</f>
        <v>25200.400000000001</v>
      </c>
      <c r="AA65" s="10">
        <f>'A) Base RI'!AO65</f>
        <v>1128</v>
      </c>
    </row>
    <row r="66" spans="1:27" x14ac:dyDescent="0.25">
      <c r="A66" s="8">
        <f>'A) Base RI'!A66</f>
        <v>5495</v>
      </c>
      <c r="B66" s="32" t="str">
        <f>'A) Base RI'!B66</f>
        <v>Penthalaz</v>
      </c>
      <c r="C66" s="10">
        <f>'A) Base RI'!C66+'A) Base RI'!D66</f>
        <v>6158844.7199999997</v>
      </c>
      <c r="D66" s="10">
        <f>'A) Base RI'!AP66</f>
        <v>-145970.59</v>
      </c>
      <c r="E66" s="402">
        <f>'A) Base RI'!AQ66</f>
        <v>0</v>
      </c>
      <c r="F66" s="402">
        <f>'A) Base RI'!AR66</f>
        <v>-2432.35</v>
      </c>
      <c r="G66" s="408">
        <f t="shared" si="0"/>
        <v>6010441.7800000003</v>
      </c>
      <c r="H66" s="10">
        <f>+'A) Base RI'!E66</f>
        <v>0</v>
      </c>
      <c r="I66" s="10">
        <f>+'A) Base RI'!F66</f>
        <v>0</v>
      </c>
      <c r="J66" s="10">
        <f>+'A) Base RI'!G66+'A) Base RI'!H66+'A) Base RI'!X66</f>
        <v>69925.679999999993</v>
      </c>
      <c r="K66" s="10">
        <f>+'A) Base RI'!I66</f>
        <v>78730.81</v>
      </c>
      <c r="L66" s="10">
        <f>+'A) Base RI'!J66</f>
        <v>190029.21</v>
      </c>
      <c r="M66" s="10">
        <f>+'A) Base RI'!K66</f>
        <v>67979.850000000006</v>
      </c>
      <c r="N66" s="10">
        <f>+'A) Base RI'!Q66</f>
        <v>7944.7</v>
      </c>
      <c r="O66" s="10">
        <f t="shared" si="1"/>
        <v>483696.95</v>
      </c>
      <c r="P66" s="10">
        <f>+'A) Base RI'!L66</f>
        <v>483696.95</v>
      </c>
      <c r="Q66" s="416">
        <f>'A) Base RI'!AS66</f>
        <v>1</v>
      </c>
      <c r="R66" s="408">
        <f t="shared" si="2"/>
        <v>6908748.9799999995</v>
      </c>
      <c r="S66" s="482">
        <f>+'A) Base RI'!AN66</f>
        <v>74</v>
      </c>
      <c r="T66" s="408">
        <f t="shared" si="3"/>
        <v>6357072.1799999997</v>
      </c>
      <c r="U66" s="408">
        <f t="shared" si="4"/>
        <v>93361.472702702697</v>
      </c>
      <c r="V66" s="10">
        <f>+'A) Base RI'!O66</f>
        <v>39110</v>
      </c>
      <c r="W66" s="10">
        <f>+'A) Base RI'!P66</f>
        <v>270017.09999999998</v>
      </c>
      <c r="X66" s="10">
        <f>+'A) Base RI'!R66</f>
        <v>116011.65</v>
      </c>
      <c r="Y66" s="408">
        <f t="shared" si="5"/>
        <v>425138.75</v>
      </c>
      <c r="Z66" s="10">
        <f>+'A) Base RI'!N66</f>
        <v>253218.8</v>
      </c>
      <c r="AA66" s="10">
        <f>'A) Base RI'!AO66</f>
        <v>3207</v>
      </c>
    </row>
    <row r="67" spans="1:27" x14ac:dyDescent="0.25">
      <c r="A67" s="8">
        <f>'A) Base RI'!A67</f>
        <v>5496</v>
      </c>
      <c r="B67" s="32" t="str">
        <f>'A) Base RI'!B67</f>
        <v>Penthaz</v>
      </c>
      <c r="C67" s="10">
        <f>'A) Base RI'!C67+'A) Base RI'!D67</f>
        <v>3734638.86</v>
      </c>
      <c r="D67" s="10">
        <f>'A) Base RI'!AP67</f>
        <v>-80202.8</v>
      </c>
      <c r="E67" s="402">
        <f>'A) Base RI'!AQ67</f>
        <v>0</v>
      </c>
      <c r="F67" s="402">
        <f>'A) Base RI'!AR67</f>
        <v>-239.67</v>
      </c>
      <c r="G67" s="408">
        <f t="shared" si="0"/>
        <v>3654196.39</v>
      </c>
      <c r="H67" s="10">
        <f>+'A) Base RI'!E67</f>
        <v>0</v>
      </c>
      <c r="I67" s="10">
        <f>+'A) Base RI'!F67</f>
        <v>0</v>
      </c>
      <c r="J67" s="10">
        <f>+'A) Base RI'!G67+'A) Base RI'!H67+'A) Base RI'!X67</f>
        <v>69677.5</v>
      </c>
      <c r="K67" s="10">
        <f>+'A) Base RI'!I67</f>
        <v>0</v>
      </c>
      <c r="L67" s="10">
        <f>+'A) Base RI'!J67</f>
        <v>88669.98</v>
      </c>
      <c r="M67" s="10">
        <f>+'A) Base RI'!K67</f>
        <v>20912.599999999999</v>
      </c>
      <c r="N67" s="10">
        <f>+'A) Base RI'!Q67</f>
        <v>8458.61</v>
      </c>
      <c r="O67" s="10">
        <f t="shared" si="1"/>
        <v>337197.7</v>
      </c>
      <c r="P67" s="10">
        <f>+'A) Base RI'!L67</f>
        <v>337197.7</v>
      </c>
      <c r="Q67" s="416">
        <f>'A) Base RI'!AS67</f>
        <v>1</v>
      </c>
      <c r="R67" s="408">
        <f t="shared" si="2"/>
        <v>4179112.7800000003</v>
      </c>
      <c r="S67" s="482">
        <f>+'A) Base RI'!AN67</f>
        <v>69.5</v>
      </c>
      <c r="T67" s="408">
        <f t="shared" si="3"/>
        <v>3821002.48</v>
      </c>
      <c r="U67" s="408">
        <f t="shared" si="4"/>
        <v>60131.11913669065</v>
      </c>
      <c r="V67" s="10">
        <f>+'A) Base RI'!O67</f>
        <v>37736.6</v>
      </c>
      <c r="W67" s="10">
        <f>+'A) Base RI'!P67</f>
        <v>206027.45</v>
      </c>
      <c r="X67" s="10">
        <f>+'A) Base RI'!R67</f>
        <v>65521.2</v>
      </c>
      <c r="Y67" s="408">
        <f t="shared" si="5"/>
        <v>309285.25</v>
      </c>
      <c r="Z67" s="10">
        <f>+'A) Base RI'!N67</f>
        <v>84746.65</v>
      </c>
      <c r="AA67" s="10">
        <f>'A) Base RI'!AO67</f>
        <v>1855</v>
      </c>
    </row>
    <row r="68" spans="1:27" x14ac:dyDescent="0.25">
      <c r="A68" s="8">
        <f>'A) Base RI'!A68</f>
        <v>5497</v>
      </c>
      <c r="B68" s="32" t="str">
        <f>'A) Base RI'!B68</f>
        <v>Pompaples</v>
      </c>
      <c r="C68" s="10">
        <f>'A) Base RI'!C68+'A) Base RI'!D68</f>
        <v>1189143.2899999998</v>
      </c>
      <c r="D68" s="10">
        <f>'A) Base RI'!AP68</f>
        <v>-22727.43</v>
      </c>
      <c r="E68" s="402">
        <f>'A) Base RI'!AQ68</f>
        <v>0</v>
      </c>
      <c r="F68" s="402">
        <f>'A) Base RI'!AR68</f>
        <v>-141.41</v>
      </c>
      <c r="G68" s="408">
        <f t="shared" si="0"/>
        <v>1166274.45</v>
      </c>
      <c r="H68" s="10">
        <f>+'A) Base RI'!E68</f>
        <v>0</v>
      </c>
      <c r="I68" s="10">
        <f>+'A) Base RI'!F68</f>
        <v>0</v>
      </c>
      <c r="J68" s="10">
        <f>+'A) Base RI'!G68+'A) Base RI'!H68+'A) Base RI'!X68</f>
        <v>-11320.59</v>
      </c>
      <c r="K68" s="10">
        <f>+'A) Base RI'!I68</f>
        <v>0</v>
      </c>
      <c r="L68" s="10">
        <f>+'A) Base RI'!J68</f>
        <v>39390.080000000002</v>
      </c>
      <c r="M68" s="10">
        <f>+'A) Base RI'!K68</f>
        <v>3864.6</v>
      </c>
      <c r="N68" s="10">
        <f>+'A) Base RI'!Q68</f>
        <v>150.94</v>
      </c>
      <c r="O68" s="10">
        <f t="shared" si="1"/>
        <v>147841.60000000001</v>
      </c>
      <c r="P68" s="10">
        <f>+'A) Base RI'!L68</f>
        <v>147841.60000000001</v>
      </c>
      <c r="Q68" s="416">
        <f>'A) Base RI'!AS68</f>
        <v>1</v>
      </c>
      <c r="R68" s="408">
        <f t="shared" si="2"/>
        <v>1346201.08</v>
      </c>
      <c r="S68" s="482">
        <f>+'A) Base RI'!AN68</f>
        <v>66</v>
      </c>
      <c r="T68" s="408">
        <f t="shared" si="3"/>
        <v>1194494.8799999999</v>
      </c>
      <c r="U68" s="408">
        <f t="shared" si="4"/>
        <v>20396.986060606061</v>
      </c>
      <c r="V68" s="10">
        <f>+'A) Base RI'!O68</f>
        <v>5039.8</v>
      </c>
      <c r="W68" s="10">
        <f>+'A) Base RI'!P68</f>
        <v>15180.5</v>
      </c>
      <c r="X68" s="10">
        <f>+'A) Base RI'!R68</f>
        <v>12418.2</v>
      </c>
      <c r="Y68" s="408">
        <f t="shared" si="5"/>
        <v>32638.5</v>
      </c>
      <c r="Z68" s="10">
        <f>+'A) Base RI'!N68</f>
        <v>213258.85</v>
      </c>
      <c r="AA68" s="10">
        <f>'A) Base RI'!AO68</f>
        <v>847</v>
      </c>
    </row>
    <row r="69" spans="1:27" x14ac:dyDescent="0.25">
      <c r="A69" s="8">
        <f>'A) Base RI'!A69</f>
        <v>5498</v>
      </c>
      <c r="B69" s="32" t="str">
        <f>'A) Base RI'!B69</f>
        <v>La Sarraz</v>
      </c>
      <c r="C69" s="10">
        <f>'A) Base RI'!C69+'A) Base RI'!D69</f>
        <v>4604047.83</v>
      </c>
      <c r="D69" s="10">
        <f>'A) Base RI'!AP69</f>
        <v>-92376.85</v>
      </c>
      <c r="E69" s="402">
        <f>'A) Base RI'!AQ69</f>
        <v>0</v>
      </c>
      <c r="F69" s="402">
        <f>'A) Base RI'!AR69</f>
        <v>-356.31</v>
      </c>
      <c r="G69" s="408">
        <f t="shared" si="0"/>
        <v>4511314.6700000009</v>
      </c>
      <c r="H69" s="10">
        <f>+'A) Base RI'!E69</f>
        <v>0</v>
      </c>
      <c r="I69" s="10">
        <f>+'A) Base RI'!F69</f>
        <v>0</v>
      </c>
      <c r="J69" s="10">
        <f>+'A) Base RI'!G69+'A) Base RI'!H69+'A) Base RI'!X69</f>
        <v>62612.479999999996</v>
      </c>
      <c r="K69" s="10">
        <f>+'A) Base RI'!I69</f>
        <v>0</v>
      </c>
      <c r="L69" s="10">
        <f>+'A) Base RI'!J69</f>
        <v>122651.8</v>
      </c>
      <c r="M69" s="10">
        <f>+'A) Base RI'!K69</f>
        <v>15544.65</v>
      </c>
      <c r="N69" s="10">
        <f>+'A) Base RI'!Q69</f>
        <v>-1517.98</v>
      </c>
      <c r="O69" s="10">
        <f t="shared" si="1"/>
        <v>404938.35</v>
      </c>
      <c r="P69" s="10">
        <f>+'A) Base RI'!L69</f>
        <v>404938.35</v>
      </c>
      <c r="Q69" s="416">
        <f>'A) Base RI'!AS69</f>
        <v>1</v>
      </c>
      <c r="R69" s="408">
        <f t="shared" si="2"/>
        <v>5115543.9700000007</v>
      </c>
      <c r="S69" s="482">
        <f>+'A) Base RI'!AN69</f>
        <v>66</v>
      </c>
      <c r="T69" s="408">
        <f t="shared" si="3"/>
        <v>4695060.9700000007</v>
      </c>
      <c r="U69" s="408">
        <f t="shared" si="4"/>
        <v>77508.241969696974</v>
      </c>
      <c r="V69" s="10">
        <f>+'A) Base RI'!O69</f>
        <v>3821.3</v>
      </c>
      <c r="W69" s="10">
        <f>+'A) Base RI'!P69</f>
        <v>186689.9</v>
      </c>
      <c r="X69" s="10">
        <f>+'A) Base RI'!R69</f>
        <v>102073.4</v>
      </c>
      <c r="Y69" s="408">
        <f t="shared" si="5"/>
        <v>292584.59999999998</v>
      </c>
      <c r="Z69" s="10">
        <f>+'A) Base RI'!N69</f>
        <v>80908.7</v>
      </c>
      <c r="AA69" s="10">
        <f>'A) Base RI'!AO69</f>
        <v>2598</v>
      </c>
    </row>
    <row r="70" spans="1:27" x14ac:dyDescent="0.25">
      <c r="A70" s="8">
        <f>'A) Base RI'!A70</f>
        <v>5499</v>
      </c>
      <c r="B70" s="32" t="str">
        <f>'A) Base RI'!B70</f>
        <v>Senarclens</v>
      </c>
      <c r="C70" s="10">
        <f>'A) Base RI'!C70+'A) Base RI'!D70</f>
        <v>1201766.43</v>
      </c>
      <c r="D70" s="10">
        <f>'A) Base RI'!AP70</f>
        <v>-255.22</v>
      </c>
      <c r="E70" s="402">
        <f>'A) Base RI'!AQ70</f>
        <v>0</v>
      </c>
      <c r="F70" s="402">
        <f>'A) Base RI'!AR70</f>
        <v>-328.18</v>
      </c>
      <c r="G70" s="408">
        <f t="shared" si="0"/>
        <v>1201183.03</v>
      </c>
      <c r="H70" s="10">
        <f>+'A) Base RI'!E70</f>
        <v>0</v>
      </c>
      <c r="I70" s="10">
        <f>+'A) Base RI'!F70</f>
        <v>0</v>
      </c>
      <c r="J70" s="10">
        <f>+'A) Base RI'!G70+'A) Base RI'!H70+'A) Base RI'!X70</f>
        <v>32767.239999999998</v>
      </c>
      <c r="K70" s="10">
        <f>+'A) Base RI'!I70</f>
        <v>0</v>
      </c>
      <c r="L70" s="10">
        <f>+'A) Base RI'!J70</f>
        <v>13064.58</v>
      </c>
      <c r="M70" s="10">
        <f>+'A) Base RI'!K70</f>
        <v>0</v>
      </c>
      <c r="N70" s="10">
        <f>+'A) Base RI'!Q70</f>
        <v>0</v>
      </c>
      <c r="O70" s="10">
        <f t="shared" si="1"/>
        <v>99314.8</v>
      </c>
      <c r="P70" s="10">
        <f>+'A) Base RI'!L70</f>
        <v>99314.8</v>
      </c>
      <c r="Q70" s="416">
        <f>'A) Base RI'!AS70</f>
        <v>1</v>
      </c>
      <c r="R70" s="408">
        <f t="shared" si="2"/>
        <v>1346329.6500000001</v>
      </c>
      <c r="S70" s="482">
        <f>+'A) Base RI'!AN70</f>
        <v>68.5</v>
      </c>
      <c r="T70" s="408">
        <f t="shared" si="3"/>
        <v>1247014.8500000001</v>
      </c>
      <c r="U70" s="408">
        <f t="shared" si="4"/>
        <v>19654.447445255475</v>
      </c>
      <c r="V70" s="10">
        <f>+'A) Base RI'!O70</f>
        <v>101975.7</v>
      </c>
      <c r="W70" s="10">
        <f>+'A) Base RI'!P70</f>
        <v>75413.8</v>
      </c>
      <c r="X70" s="10">
        <f>+'A) Base RI'!R70</f>
        <v>64569</v>
      </c>
      <c r="Y70" s="408">
        <f t="shared" si="5"/>
        <v>241958.5</v>
      </c>
      <c r="Z70" s="10">
        <f>+'A) Base RI'!N70</f>
        <v>15029.85</v>
      </c>
      <c r="AA70" s="10">
        <f>'A) Base RI'!AO70</f>
        <v>496</v>
      </c>
    </row>
    <row r="71" spans="1:27" x14ac:dyDescent="0.25">
      <c r="A71" s="8">
        <f>'A) Base RI'!A71</f>
        <v>5500</v>
      </c>
      <c r="B71" s="32" t="str">
        <f>'A) Base RI'!B71</f>
        <v>Sévery</v>
      </c>
      <c r="C71" s="10">
        <f>'A) Base RI'!C71+'A) Base RI'!D71</f>
        <v>527007.78</v>
      </c>
      <c r="D71" s="10">
        <f>'A) Base RI'!AP71</f>
        <v>-33172.57</v>
      </c>
      <c r="E71" s="402">
        <f>'A) Base RI'!AQ71</f>
        <v>0</v>
      </c>
      <c r="F71" s="402">
        <f>'A) Base RI'!AR71</f>
        <v>-24.95</v>
      </c>
      <c r="G71" s="408">
        <f t="shared" si="0"/>
        <v>493810.26</v>
      </c>
      <c r="H71" s="10">
        <f>+'A) Base RI'!E71</f>
        <v>0</v>
      </c>
      <c r="I71" s="10">
        <f>+'A) Base RI'!F71</f>
        <v>0</v>
      </c>
      <c r="J71" s="10">
        <f>+'A) Base RI'!G71+'A) Base RI'!H71+'A) Base RI'!X71</f>
        <v>7067.7</v>
      </c>
      <c r="K71" s="10">
        <f>+'A) Base RI'!I71</f>
        <v>0</v>
      </c>
      <c r="L71" s="10">
        <f>+'A) Base RI'!J71</f>
        <v>2401.0700000000002</v>
      </c>
      <c r="M71" s="10">
        <f>+'A) Base RI'!K71</f>
        <v>469.95</v>
      </c>
      <c r="N71" s="10">
        <f>+'A) Base RI'!Q71</f>
        <v>2012.25</v>
      </c>
      <c r="O71" s="10">
        <f t="shared" si="1"/>
        <v>42917</v>
      </c>
      <c r="P71" s="10">
        <f>+'A) Base RI'!L71</f>
        <v>51500.4</v>
      </c>
      <c r="Q71" s="416">
        <f>'A) Base RI'!AS71</f>
        <v>1.2</v>
      </c>
      <c r="R71" s="408">
        <f t="shared" si="2"/>
        <v>548678.23</v>
      </c>
      <c r="S71" s="482">
        <f>+'A) Base RI'!AN71</f>
        <v>73</v>
      </c>
      <c r="T71" s="408">
        <f t="shared" si="3"/>
        <v>505291.28</v>
      </c>
      <c r="U71" s="408">
        <f t="shared" si="4"/>
        <v>7516.1401369863015</v>
      </c>
      <c r="V71" s="10">
        <f>+'A) Base RI'!O71</f>
        <v>0</v>
      </c>
      <c r="W71" s="10">
        <f>+'A) Base RI'!P71</f>
        <v>14527.45</v>
      </c>
      <c r="X71" s="10">
        <f>+'A) Base RI'!R71</f>
        <v>13159.1</v>
      </c>
      <c r="Y71" s="408">
        <f t="shared" si="5"/>
        <v>27686.550000000003</v>
      </c>
      <c r="Z71" s="10">
        <f>+'A) Base RI'!N71</f>
        <v>0</v>
      </c>
      <c r="AA71" s="10">
        <f>'A) Base RI'!AO71</f>
        <v>214</v>
      </c>
    </row>
    <row r="72" spans="1:27" x14ac:dyDescent="0.25">
      <c r="A72" s="8">
        <f>'A) Base RI'!A72</f>
        <v>5501</v>
      </c>
      <c r="B72" s="32" t="str">
        <f>'A) Base RI'!B72</f>
        <v>Sullens</v>
      </c>
      <c r="C72" s="10">
        <f>'A) Base RI'!C72+'A) Base RI'!D72</f>
        <v>2643383.8000000003</v>
      </c>
      <c r="D72" s="10">
        <f>'A) Base RI'!AP72</f>
        <v>-21505.52</v>
      </c>
      <c r="E72" s="402">
        <f>'A) Base RI'!AQ72</f>
        <v>0</v>
      </c>
      <c r="F72" s="402">
        <f>'A) Base RI'!AR72</f>
        <v>-851.87</v>
      </c>
      <c r="G72" s="408">
        <f t="shared" ref="G72:G135" si="6">SUM(C72:F72)</f>
        <v>2621026.41</v>
      </c>
      <c r="H72" s="10">
        <f>+'A) Base RI'!E72</f>
        <v>0</v>
      </c>
      <c r="I72" s="10">
        <f>+'A) Base RI'!F72</f>
        <v>0</v>
      </c>
      <c r="J72" s="10">
        <f>+'A) Base RI'!G72+'A) Base RI'!H72+'A) Base RI'!X72</f>
        <v>40010.660000000003</v>
      </c>
      <c r="K72" s="10">
        <f>+'A) Base RI'!I72</f>
        <v>-76949.3</v>
      </c>
      <c r="L72" s="10">
        <f>+'A) Base RI'!J72</f>
        <v>45296.28</v>
      </c>
      <c r="M72" s="10">
        <f>+'A) Base RI'!K72</f>
        <v>-78.400000000000006</v>
      </c>
      <c r="N72" s="10">
        <f>+'A) Base RI'!Q72</f>
        <v>15405.19</v>
      </c>
      <c r="O72" s="10">
        <f t="shared" ref="O72:O135" si="7">(P72/Q72)*1</f>
        <v>226887.35</v>
      </c>
      <c r="P72" s="10">
        <f>+'A) Base RI'!L72</f>
        <v>226887.35</v>
      </c>
      <c r="Q72" s="416">
        <f>'A) Base RI'!AS72</f>
        <v>1</v>
      </c>
      <c r="R72" s="408">
        <f t="shared" ref="R72:R135" si="8">SUM(G72:O72)</f>
        <v>2871598.1900000004</v>
      </c>
      <c r="S72" s="482">
        <f>+'A) Base RI'!AN72</f>
        <v>68.5</v>
      </c>
      <c r="T72" s="408">
        <f t="shared" ref="T72:T135" si="9">(G72+H72+J72+K72+L72+N72)</f>
        <v>2644789.2400000002</v>
      </c>
      <c r="U72" s="408">
        <f t="shared" ref="U72:U135" si="10">R72/S72</f>
        <v>41921.141459854021</v>
      </c>
      <c r="V72" s="10">
        <f>+'A) Base RI'!O72</f>
        <v>5956374</v>
      </c>
      <c r="W72" s="10">
        <f>+'A) Base RI'!P72</f>
        <v>200417.65</v>
      </c>
      <c r="X72" s="10">
        <f>+'A) Base RI'!R72</f>
        <v>215513.60000000001</v>
      </c>
      <c r="Y72" s="408">
        <f t="shared" ref="Y72:Y135" si="11">SUM(V72:X72)</f>
        <v>6372305.25</v>
      </c>
      <c r="Z72" s="10">
        <f>+'A) Base RI'!N72</f>
        <v>6179.4</v>
      </c>
      <c r="AA72" s="10">
        <f>'A) Base RI'!AO72</f>
        <v>1041</v>
      </c>
    </row>
    <row r="73" spans="1:27" x14ac:dyDescent="0.25">
      <c r="A73" s="8">
        <f>'A) Base RI'!A73</f>
        <v>5503</v>
      </c>
      <c r="B73" s="32" t="str">
        <f>'A) Base RI'!B73</f>
        <v>Vufflens-la-Ville</v>
      </c>
      <c r="C73" s="10">
        <f>'A) Base RI'!C73+'A) Base RI'!D73</f>
        <v>3469601.1</v>
      </c>
      <c r="D73" s="10">
        <f>'A) Base RI'!AP73</f>
        <v>-48348.13</v>
      </c>
      <c r="E73" s="402">
        <f>'A) Base RI'!AQ73</f>
        <v>0</v>
      </c>
      <c r="F73" s="402">
        <f>'A) Base RI'!AR73</f>
        <v>-1085.33</v>
      </c>
      <c r="G73" s="408">
        <f t="shared" si="6"/>
        <v>3420167.64</v>
      </c>
      <c r="H73" s="10">
        <f>+'A) Base RI'!E73</f>
        <v>0</v>
      </c>
      <c r="I73" s="10">
        <f>+'A) Base RI'!F73</f>
        <v>0</v>
      </c>
      <c r="J73" s="10">
        <f>+'A) Base RI'!G73+'A) Base RI'!H73+'A) Base RI'!X73</f>
        <v>646834.12</v>
      </c>
      <c r="K73" s="10">
        <f>+'A) Base RI'!I73</f>
        <v>0</v>
      </c>
      <c r="L73" s="10">
        <f>+'A) Base RI'!J73</f>
        <v>75571.78</v>
      </c>
      <c r="M73" s="10">
        <f>+'A) Base RI'!K73</f>
        <v>34894.550000000003</v>
      </c>
      <c r="N73" s="10">
        <f>+'A) Base RI'!Q73</f>
        <v>1599.13</v>
      </c>
      <c r="O73" s="10">
        <f t="shared" si="7"/>
        <v>370970.16666666669</v>
      </c>
      <c r="P73" s="10">
        <f>+'A) Base RI'!L73</f>
        <v>445164.2</v>
      </c>
      <c r="Q73" s="416">
        <f>'A) Base RI'!AS73</f>
        <v>1.2</v>
      </c>
      <c r="R73" s="408">
        <f t="shared" si="8"/>
        <v>4550037.3866666667</v>
      </c>
      <c r="S73" s="482">
        <f>+'A) Base RI'!AN73</f>
        <v>67</v>
      </c>
      <c r="T73" s="408">
        <f t="shared" si="9"/>
        <v>4144172.67</v>
      </c>
      <c r="U73" s="408">
        <f t="shared" si="10"/>
        <v>67911.005771144279</v>
      </c>
      <c r="V73" s="10">
        <f>+'A) Base RI'!O73</f>
        <v>157734.20000000001</v>
      </c>
      <c r="W73" s="10">
        <f>+'A) Base RI'!P73</f>
        <v>52834.7</v>
      </c>
      <c r="X73" s="10">
        <f>+'A) Base RI'!R73</f>
        <v>28902.25</v>
      </c>
      <c r="Y73" s="408">
        <f t="shared" si="11"/>
        <v>239471.15000000002</v>
      </c>
      <c r="Z73" s="10">
        <f>+'A) Base RI'!N73</f>
        <v>90208.95</v>
      </c>
      <c r="AA73" s="10">
        <f>'A) Base RI'!AO73</f>
        <v>1349</v>
      </c>
    </row>
    <row r="74" spans="1:27" x14ac:dyDescent="0.25">
      <c r="A74" s="8">
        <f>'A) Base RI'!A74</f>
        <v>5511</v>
      </c>
      <c r="B74" s="32" t="str">
        <f>'A) Base RI'!B74</f>
        <v>Assens</v>
      </c>
      <c r="C74" s="10">
        <f>'A) Base RI'!C74+'A) Base RI'!D74</f>
        <v>2603002.7999999998</v>
      </c>
      <c r="D74" s="10">
        <f>'A) Base RI'!AP74</f>
        <v>-23428.68</v>
      </c>
      <c r="E74" s="402">
        <f>'A) Base RI'!AQ74</f>
        <v>0</v>
      </c>
      <c r="F74" s="402">
        <f>'A) Base RI'!AR74</f>
        <v>-333.34</v>
      </c>
      <c r="G74" s="408">
        <f t="shared" si="6"/>
        <v>2579240.7799999998</v>
      </c>
      <c r="H74" s="10">
        <f>+'A) Base RI'!E74</f>
        <v>0</v>
      </c>
      <c r="I74" s="10">
        <f>+'A) Base RI'!F74</f>
        <v>0</v>
      </c>
      <c r="J74" s="10">
        <f>+'A) Base RI'!G74+'A) Base RI'!H74+'A) Base RI'!X74</f>
        <v>217360.41</v>
      </c>
      <c r="K74" s="10">
        <f>+'A) Base RI'!I74</f>
        <v>0</v>
      </c>
      <c r="L74" s="10">
        <f>+'A) Base RI'!J74</f>
        <v>35956.800000000003</v>
      </c>
      <c r="M74" s="10">
        <f>+'A) Base RI'!K74</f>
        <v>6306.55</v>
      </c>
      <c r="N74" s="10">
        <f>+'A) Base RI'!Q74</f>
        <v>22377.64</v>
      </c>
      <c r="O74" s="10">
        <f t="shared" si="7"/>
        <v>251989.8</v>
      </c>
      <c r="P74" s="10">
        <f>+'A) Base RI'!L74</f>
        <v>251989.8</v>
      </c>
      <c r="Q74" s="416">
        <f>'A) Base RI'!AS74</f>
        <v>1</v>
      </c>
      <c r="R74" s="408">
        <f t="shared" si="8"/>
        <v>3113231.9799999995</v>
      </c>
      <c r="S74" s="482">
        <f>+'A) Base RI'!AN74</f>
        <v>70</v>
      </c>
      <c r="T74" s="408">
        <f t="shared" si="9"/>
        <v>2854935.63</v>
      </c>
      <c r="U74" s="408">
        <f t="shared" si="10"/>
        <v>44474.742571428564</v>
      </c>
      <c r="V74" s="10">
        <f>+'A) Base RI'!O74</f>
        <v>0</v>
      </c>
      <c r="W74" s="10">
        <f>+'A) Base RI'!P74</f>
        <v>63532.7</v>
      </c>
      <c r="X74" s="10">
        <f>+'A) Base RI'!R74</f>
        <v>53718.5</v>
      </c>
      <c r="Y74" s="408">
        <f t="shared" si="11"/>
        <v>117251.2</v>
      </c>
      <c r="Z74" s="10">
        <f>+'A) Base RI'!N74</f>
        <v>19141.8</v>
      </c>
      <c r="AA74" s="10">
        <f>'A) Base RI'!AO74</f>
        <v>1141</v>
      </c>
    </row>
    <row r="75" spans="1:27" x14ac:dyDescent="0.25">
      <c r="A75" s="8">
        <f>'A) Base RI'!A75</f>
        <v>5512</v>
      </c>
      <c r="B75" s="32" t="str">
        <f>'A) Base RI'!B75</f>
        <v>Bercher</v>
      </c>
      <c r="C75" s="10">
        <f>'A) Base RI'!C75+'A) Base RI'!D75</f>
        <v>2846766.88</v>
      </c>
      <c r="D75" s="10">
        <f>'A) Base RI'!AP75</f>
        <v>-35372.620000000003</v>
      </c>
      <c r="E75" s="402">
        <f>'A) Base RI'!AQ75</f>
        <v>0</v>
      </c>
      <c r="F75" s="402">
        <f>'A) Base RI'!AR75</f>
        <v>-1623.65</v>
      </c>
      <c r="G75" s="408">
        <f t="shared" si="6"/>
        <v>2809770.61</v>
      </c>
      <c r="H75" s="10">
        <f>+'A) Base RI'!E75</f>
        <v>0</v>
      </c>
      <c r="I75" s="10">
        <f>+'A) Base RI'!F75</f>
        <v>0</v>
      </c>
      <c r="J75" s="10">
        <f>+'A) Base RI'!G75+'A) Base RI'!H75+'A) Base RI'!X75</f>
        <v>39527.459999999992</v>
      </c>
      <c r="K75" s="10">
        <f>+'A) Base RI'!I75</f>
        <v>0</v>
      </c>
      <c r="L75" s="10">
        <f>+'A) Base RI'!J75</f>
        <v>62370.33</v>
      </c>
      <c r="M75" s="10">
        <f>+'A) Base RI'!K75</f>
        <v>9941.1</v>
      </c>
      <c r="N75" s="10">
        <f>+'A) Base RI'!Q75</f>
        <v>2543.9899999999998</v>
      </c>
      <c r="O75" s="10">
        <f t="shared" si="7"/>
        <v>260611.65</v>
      </c>
      <c r="P75" s="10">
        <f>+'A) Base RI'!L75</f>
        <v>260611.65</v>
      </c>
      <c r="Q75" s="416">
        <f>'A) Base RI'!AS75</f>
        <v>1</v>
      </c>
      <c r="R75" s="408">
        <f t="shared" si="8"/>
        <v>3184765.14</v>
      </c>
      <c r="S75" s="482">
        <f>+'A) Base RI'!AN75</f>
        <v>79</v>
      </c>
      <c r="T75" s="408">
        <f t="shared" si="9"/>
        <v>2914212.39</v>
      </c>
      <c r="U75" s="408">
        <f t="shared" si="10"/>
        <v>40313.482784810127</v>
      </c>
      <c r="V75" s="10">
        <f>+'A) Base RI'!O75</f>
        <v>27240.400000000001</v>
      </c>
      <c r="W75" s="10">
        <f>+'A) Base RI'!P75</f>
        <v>56322.75</v>
      </c>
      <c r="X75" s="10">
        <f>+'A) Base RI'!R75</f>
        <v>44301.1</v>
      </c>
      <c r="Y75" s="408">
        <f t="shared" si="11"/>
        <v>127864.25</v>
      </c>
      <c r="Z75" s="10">
        <f>+'A) Base RI'!N75</f>
        <v>67506.7</v>
      </c>
      <c r="AA75" s="10">
        <f>'A) Base RI'!AO75</f>
        <v>1323</v>
      </c>
    </row>
    <row r="76" spans="1:27" x14ac:dyDescent="0.25">
      <c r="A76" s="8">
        <f>'A) Base RI'!A76</f>
        <v>5513</v>
      </c>
      <c r="B76" s="32" t="str">
        <f>'A) Base RI'!B76</f>
        <v>Bioley-Orjulaz</v>
      </c>
      <c r="C76" s="10">
        <f>'A) Base RI'!C76+'A) Base RI'!D76</f>
        <v>1065256.05</v>
      </c>
      <c r="D76" s="10">
        <f>'A) Base RI'!AP76</f>
        <v>-10493.57</v>
      </c>
      <c r="E76" s="402">
        <f>'A) Base RI'!AQ76</f>
        <v>0</v>
      </c>
      <c r="F76" s="402">
        <f>'A) Base RI'!AR76</f>
        <v>0</v>
      </c>
      <c r="G76" s="408">
        <f t="shared" si="6"/>
        <v>1054762.48</v>
      </c>
      <c r="H76" s="10">
        <f>+'A) Base RI'!E76</f>
        <v>0</v>
      </c>
      <c r="I76" s="10">
        <f>+'A) Base RI'!F76</f>
        <v>0</v>
      </c>
      <c r="J76" s="10">
        <f>+'A) Base RI'!G76+'A) Base RI'!H76+'A) Base RI'!X76</f>
        <v>325247.46999999997</v>
      </c>
      <c r="K76" s="10">
        <f>+'A) Base RI'!I76</f>
        <v>0</v>
      </c>
      <c r="L76" s="10">
        <f>+'A) Base RI'!J76</f>
        <v>29805.64</v>
      </c>
      <c r="M76" s="10">
        <f>+'A) Base RI'!K76</f>
        <v>10077.25</v>
      </c>
      <c r="N76" s="10">
        <f>+'A) Base RI'!Q76</f>
        <v>0</v>
      </c>
      <c r="O76" s="10">
        <f t="shared" si="7"/>
        <v>119964.6</v>
      </c>
      <c r="P76" s="10">
        <f>+'A) Base RI'!L76</f>
        <v>59982.3</v>
      </c>
      <c r="Q76" s="416">
        <f>'A) Base RI'!AS76</f>
        <v>0.5</v>
      </c>
      <c r="R76" s="408">
        <f t="shared" si="8"/>
        <v>1539857.44</v>
      </c>
      <c r="S76" s="482">
        <f>+'A) Base RI'!AN76</f>
        <v>68</v>
      </c>
      <c r="T76" s="408">
        <f t="shared" si="9"/>
        <v>1409815.5899999999</v>
      </c>
      <c r="U76" s="408">
        <f t="shared" si="10"/>
        <v>22644.962352941177</v>
      </c>
      <c r="V76" s="10">
        <f>+'A) Base RI'!O76</f>
        <v>2932.9</v>
      </c>
      <c r="W76" s="10">
        <f>+'A) Base RI'!P76</f>
        <v>31592</v>
      </c>
      <c r="X76" s="10">
        <f>+'A) Base RI'!R76</f>
        <v>35181.300000000003</v>
      </c>
      <c r="Y76" s="408">
        <f t="shared" si="11"/>
        <v>69706.200000000012</v>
      </c>
      <c r="Z76" s="10">
        <f>+'A) Base RI'!N76</f>
        <v>308830.75</v>
      </c>
      <c r="AA76" s="10">
        <f>'A) Base RI'!AO76</f>
        <v>525</v>
      </c>
    </row>
    <row r="77" spans="1:27" x14ac:dyDescent="0.25">
      <c r="A77" s="8">
        <f>'A) Base RI'!A77</f>
        <v>5514</v>
      </c>
      <c r="B77" s="32" t="str">
        <f>'A) Base RI'!B77</f>
        <v>Bottens</v>
      </c>
      <c r="C77" s="10">
        <f>'A) Base RI'!C77+'A) Base RI'!D77</f>
        <v>2927622.6</v>
      </c>
      <c r="D77" s="10">
        <f>'A) Base RI'!AP77</f>
        <v>-66722.64</v>
      </c>
      <c r="E77" s="402">
        <f>'A) Base RI'!AQ77</f>
        <v>0</v>
      </c>
      <c r="F77" s="402">
        <f>'A) Base RI'!AR77</f>
        <v>-217.11</v>
      </c>
      <c r="G77" s="408">
        <f t="shared" si="6"/>
        <v>2860682.85</v>
      </c>
      <c r="H77" s="10">
        <f>+'A) Base RI'!E77</f>
        <v>0</v>
      </c>
      <c r="I77" s="10">
        <f>+'A) Base RI'!F77</f>
        <v>0</v>
      </c>
      <c r="J77" s="10">
        <f>+'A) Base RI'!G77+'A) Base RI'!H77+'A) Base RI'!X77</f>
        <v>6846.3499999999985</v>
      </c>
      <c r="K77" s="10">
        <f>+'A) Base RI'!I77</f>
        <v>38369.15</v>
      </c>
      <c r="L77" s="10">
        <f>+'A) Base RI'!J77</f>
        <v>38757.56</v>
      </c>
      <c r="M77" s="10">
        <f>+'A) Base RI'!K77</f>
        <v>9768</v>
      </c>
      <c r="N77" s="10">
        <f>+'A) Base RI'!Q77</f>
        <v>13227.83</v>
      </c>
      <c r="O77" s="10">
        <f t="shared" si="7"/>
        <v>236150</v>
      </c>
      <c r="P77" s="10">
        <f>+'A) Base RI'!L77</f>
        <v>236150</v>
      </c>
      <c r="Q77" s="416">
        <f>'A) Base RI'!AS77</f>
        <v>1</v>
      </c>
      <c r="R77" s="408">
        <f t="shared" si="8"/>
        <v>3203801.74</v>
      </c>
      <c r="S77" s="482">
        <f>+'A) Base RI'!AN77</f>
        <v>72.5</v>
      </c>
      <c r="T77" s="408">
        <f t="shared" si="9"/>
        <v>2957883.74</v>
      </c>
      <c r="U77" s="408">
        <f t="shared" si="10"/>
        <v>44190.368827586208</v>
      </c>
      <c r="V77" s="10">
        <f>+'A) Base RI'!O77</f>
        <v>5398.7</v>
      </c>
      <c r="W77" s="10">
        <f>+'A) Base RI'!P77</f>
        <v>117069.5</v>
      </c>
      <c r="X77" s="10">
        <f>+'A) Base RI'!R77</f>
        <v>58693.599999999999</v>
      </c>
      <c r="Y77" s="408">
        <f t="shared" si="11"/>
        <v>181161.8</v>
      </c>
      <c r="Z77" s="10">
        <f>+'A) Base RI'!N77</f>
        <v>8976.5499999999993</v>
      </c>
      <c r="AA77" s="10">
        <f>'A) Base RI'!AO77</f>
        <v>1330</v>
      </c>
    </row>
    <row r="78" spans="1:27" x14ac:dyDescent="0.25">
      <c r="A78" s="8">
        <f>'A) Base RI'!A78</f>
        <v>5515</v>
      </c>
      <c r="B78" s="32" t="str">
        <f>'A) Base RI'!B78</f>
        <v>Bretigny-sur-Morrens</v>
      </c>
      <c r="C78" s="10">
        <f>'A) Base RI'!C78+'A) Base RI'!D78</f>
        <v>2280752.9500000002</v>
      </c>
      <c r="D78" s="10">
        <f>'A) Base RI'!AP78</f>
        <v>-91679.65</v>
      </c>
      <c r="E78" s="402">
        <f>'A) Base RI'!AQ78</f>
        <v>0</v>
      </c>
      <c r="F78" s="402">
        <f>'A) Base RI'!AR78</f>
        <v>-101.26</v>
      </c>
      <c r="G78" s="408">
        <f t="shared" si="6"/>
        <v>2188972.0400000005</v>
      </c>
      <c r="H78" s="10">
        <f>+'A) Base RI'!E78</f>
        <v>0</v>
      </c>
      <c r="I78" s="10">
        <f>+'A) Base RI'!F78</f>
        <v>0</v>
      </c>
      <c r="J78" s="10">
        <f>+'A) Base RI'!G78+'A) Base RI'!H78+'A) Base RI'!X78</f>
        <v>21493.910000000003</v>
      </c>
      <c r="K78" s="10">
        <f>+'A) Base RI'!I78</f>
        <v>0</v>
      </c>
      <c r="L78" s="10">
        <f>+'A) Base RI'!J78</f>
        <v>3763.97</v>
      </c>
      <c r="M78" s="10">
        <f>+'A) Base RI'!K78</f>
        <v>7251.05</v>
      </c>
      <c r="N78" s="10">
        <f>+'A) Base RI'!Q78</f>
        <v>4012.21</v>
      </c>
      <c r="O78" s="10">
        <f t="shared" si="7"/>
        <v>171011.95</v>
      </c>
      <c r="P78" s="10">
        <f>+'A) Base RI'!L78</f>
        <v>171011.95</v>
      </c>
      <c r="Q78" s="416">
        <f>'A) Base RI'!AS78</f>
        <v>1</v>
      </c>
      <c r="R78" s="408">
        <f t="shared" si="8"/>
        <v>2396505.1300000008</v>
      </c>
      <c r="S78" s="482">
        <f>+'A) Base RI'!AN78</f>
        <v>81</v>
      </c>
      <c r="T78" s="408">
        <f t="shared" si="9"/>
        <v>2218242.1300000008</v>
      </c>
      <c r="U78" s="408">
        <f t="shared" si="10"/>
        <v>29586.483086419765</v>
      </c>
      <c r="V78" s="10">
        <f>+'A) Base RI'!O78</f>
        <v>31652.9</v>
      </c>
      <c r="W78" s="10">
        <f>+'A) Base RI'!P78</f>
        <v>135711.4</v>
      </c>
      <c r="X78" s="10">
        <f>+'A) Base RI'!R78</f>
        <v>67994.25</v>
      </c>
      <c r="Y78" s="408">
        <f t="shared" si="11"/>
        <v>235358.55</v>
      </c>
      <c r="Z78" s="10">
        <f>+'A) Base RI'!N78</f>
        <v>3757.1</v>
      </c>
      <c r="AA78" s="10">
        <f>'A) Base RI'!AO78</f>
        <v>859</v>
      </c>
    </row>
    <row r="79" spans="1:27" x14ac:dyDescent="0.25">
      <c r="A79" s="8">
        <f>'A) Base RI'!A79</f>
        <v>5516</v>
      </c>
      <c r="B79" s="32" t="str">
        <f>'A) Base RI'!B79</f>
        <v>Cugy</v>
      </c>
      <c r="C79" s="10">
        <f>'A) Base RI'!C79+'A) Base RI'!D79</f>
        <v>7485566.1400000006</v>
      </c>
      <c r="D79" s="10">
        <f>'A) Base RI'!AP79</f>
        <v>-170665.98</v>
      </c>
      <c r="E79" s="402">
        <f>'A) Base RI'!AQ79</f>
        <v>0</v>
      </c>
      <c r="F79" s="402">
        <f>'A) Base RI'!AR79</f>
        <v>-3540.71</v>
      </c>
      <c r="G79" s="408">
        <f t="shared" si="6"/>
        <v>7311359.4500000002</v>
      </c>
      <c r="H79" s="10">
        <f>+'A) Base RI'!E79</f>
        <v>0</v>
      </c>
      <c r="I79" s="10">
        <f>+'A) Base RI'!F79</f>
        <v>0</v>
      </c>
      <c r="J79" s="10">
        <f>+'A) Base RI'!G79+'A) Base RI'!H79+'A) Base RI'!X79</f>
        <v>176383.74</v>
      </c>
      <c r="K79" s="10">
        <f>+'A) Base RI'!I79</f>
        <v>0</v>
      </c>
      <c r="L79" s="10">
        <f>+'A) Base RI'!J79</f>
        <v>128686.25</v>
      </c>
      <c r="M79" s="10">
        <f>+'A) Base RI'!K79</f>
        <v>47147.6</v>
      </c>
      <c r="N79" s="10">
        <f>+'A) Base RI'!Q79</f>
        <v>108801.53</v>
      </c>
      <c r="O79" s="10">
        <f t="shared" si="7"/>
        <v>578477.95833333337</v>
      </c>
      <c r="P79" s="10">
        <f>+'A) Base RI'!L79</f>
        <v>694173.55</v>
      </c>
      <c r="Q79" s="416">
        <f>'A) Base RI'!AS79</f>
        <v>1.2</v>
      </c>
      <c r="R79" s="408">
        <f t="shared" si="8"/>
        <v>8350856.5283333333</v>
      </c>
      <c r="S79" s="482">
        <f>+'A) Base RI'!AN79</f>
        <v>78</v>
      </c>
      <c r="T79" s="408">
        <f t="shared" si="9"/>
        <v>7725230.9700000007</v>
      </c>
      <c r="U79" s="408">
        <f t="shared" si="10"/>
        <v>107062.26318376069</v>
      </c>
      <c r="V79" s="10">
        <f>+'A) Base RI'!O79</f>
        <v>103666.8</v>
      </c>
      <c r="W79" s="10">
        <f>+'A) Base RI'!P79</f>
        <v>359177.05</v>
      </c>
      <c r="X79" s="10">
        <f>+'A) Base RI'!R79</f>
        <v>251205.65</v>
      </c>
      <c r="Y79" s="408">
        <f t="shared" si="11"/>
        <v>714049.5</v>
      </c>
      <c r="Z79" s="10">
        <f>+'A) Base RI'!N79</f>
        <v>99596.35</v>
      </c>
      <c r="AA79" s="10">
        <f>'A) Base RI'!AO79</f>
        <v>2760</v>
      </c>
    </row>
    <row r="80" spans="1:27" x14ac:dyDescent="0.25">
      <c r="A80" s="8">
        <f>'A) Base RI'!A80</f>
        <v>5518</v>
      </c>
      <c r="B80" s="32" t="str">
        <f>'A) Base RI'!B80</f>
        <v>Echallens</v>
      </c>
      <c r="C80" s="10">
        <f>'A) Base RI'!C80+'A) Base RI'!D80</f>
        <v>11279720.060000001</v>
      </c>
      <c r="D80" s="10">
        <f>'A) Base RI'!AP80</f>
        <v>-277762.42</v>
      </c>
      <c r="E80" s="402">
        <f>'A) Base RI'!AQ80</f>
        <v>0</v>
      </c>
      <c r="F80" s="402">
        <f>'A) Base RI'!AR80</f>
        <v>-4213.5200000000004</v>
      </c>
      <c r="G80" s="408">
        <f t="shared" si="6"/>
        <v>10997744.120000001</v>
      </c>
      <c r="H80" s="10">
        <f>+'A) Base RI'!E80</f>
        <v>0</v>
      </c>
      <c r="I80" s="10">
        <f>+'A) Base RI'!F80</f>
        <v>0</v>
      </c>
      <c r="J80" s="10">
        <f>+'A) Base RI'!G80+'A) Base RI'!H80+'A) Base RI'!X80</f>
        <v>577090.43000000005</v>
      </c>
      <c r="K80" s="10">
        <f>+'A) Base RI'!I80</f>
        <v>0</v>
      </c>
      <c r="L80" s="10">
        <f>+'A) Base RI'!J80</f>
        <v>170429.47</v>
      </c>
      <c r="M80" s="10">
        <f>+'A) Base RI'!K80</f>
        <v>40923.449999999997</v>
      </c>
      <c r="N80" s="10">
        <f>+'A) Base RI'!Q80</f>
        <v>84559.98</v>
      </c>
      <c r="O80" s="10">
        <f t="shared" si="7"/>
        <v>1089067.8500000001</v>
      </c>
      <c r="P80" s="10">
        <f>+'A) Base RI'!L80</f>
        <v>1089067.8500000001</v>
      </c>
      <c r="Q80" s="416">
        <f>'A) Base RI'!AS80</f>
        <v>1</v>
      </c>
      <c r="R80" s="408">
        <f t="shared" si="8"/>
        <v>12959815.300000001</v>
      </c>
      <c r="S80" s="482">
        <f>+'A) Base RI'!AN80</f>
        <v>72.5</v>
      </c>
      <c r="T80" s="408">
        <f t="shared" si="9"/>
        <v>11829824.000000002</v>
      </c>
      <c r="U80" s="408">
        <f t="shared" si="10"/>
        <v>178756.07310344829</v>
      </c>
      <c r="V80" s="10">
        <f>+'A) Base RI'!O80</f>
        <v>407956.4</v>
      </c>
      <c r="W80" s="10">
        <f>+'A) Base RI'!P80</f>
        <v>366859.35</v>
      </c>
      <c r="X80" s="10">
        <f>+'A) Base RI'!R80</f>
        <v>347212</v>
      </c>
      <c r="Y80" s="408">
        <f t="shared" si="11"/>
        <v>1122027.75</v>
      </c>
      <c r="Z80" s="10">
        <f>+'A) Base RI'!N80</f>
        <v>164060.75</v>
      </c>
      <c r="AA80" s="10">
        <f>'A) Base RI'!AO80</f>
        <v>5731</v>
      </c>
    </row>
    <row r="81" spans="1:27" x14ac:dyDescent="0.25">
      <c r="A81" s="8">
        <f>'A) Base RI'!A81</f>
        <v>5520</v>
      </c>
      <c r="B81" s="32" t="str">
        <f>'A) Base RI'!B81</f>
        <v>Essertines-sur-Yverdon</v>
      </c>
      <c r="C81" s="10">
        <f>'A) Base RI'!C81+'A) Base RI'!D81</f>
        <v>1930802.9100000001</v>
      </c>
      <c r="D81" s="10">
        <f>'A) Base RI'!AP81</f>
        <v>-54423.63</v>
      </c>
      <c r="E81" s="402">
        <f>'A) Base RI'!AQ81</f>
        <v>0</v>
      </c>
      <c r="F81" s="402">
        <f>'A) Base RI'!AR81</f>
        <v>-470.39</v>
      </c>
      <c r="G81" s="408">
        <f t="shared" si="6"/>
        <v>1875908.8900000004</v>
      </c>
      <c r="H81" s="10">
        <f>+'A) Base RI'!E81</f>
        <v>0</v>
      </c>
      <c r="I81" s="10">
        <f>+'A) Base RI'!F81</f>
        <v>0</v>
      </c>
      <c r="J81" s="10">
        <f>+'A) Base RI'!G81+'A) Base RI'!H81+'A) Base RI'!X81</f>
        <v>60894.820000000007</v>
      </c>
      <c r="K81" s="10">
        <f>+'A) Base RI'!I81</f>
        <v>0</v>
      </c>
      <c r="L81" s="10">
        <f>+'A) Base RI'!J81</f>
        <v>35273.17</v>
      </c>
      <c r="M81" s="10">
        <f>+'A) Base RI'!K81</f>
        <v>-1251.3499999999999</v>
      </c>
      <c r="N81" s="10">
        <f>+'A) Base RI'!Q81</f>
        <v>4373.26</v>
      </c>
      <c r="O81" s="10">
        <f t="shared" si="7"/>
        <v>195369.1</v>
      </c>
      <c r="P81" s="10">
        <f>+'A) Base RI'!L81</f>
        <v>195369.1</v>
      </c>
      <c r="Q81" s="416">
        <f>'A) Base RI'!AS81</f>
        <v>1</v>
      </c>
      <c r="R81" s="408">
        <f t="shared" si="8"/>
        <v>2170567.89</v>
      </c>
      <c r="S81" s="482">
        <f>+'A) Base RI'!AN81</f>
        <v>73</v>
      </c>
      <c r="T81" s="408">
        <f t="shared" si="9"/>
        <v>1976450.1400000004</v>
      </c>
      <c r="U81" s="408">
        <f t="shared" si="10"/>
        <v>29733.806712328769</v>
      </c>
      <c r="V81" s="10">
        <f>+'A) Base RI'!O81</f>
        <v>3292.4</v>
      </c>
      <c r="W81" s="10">
        <f>+'A) Base RI'!P81</f>
        <v>140042.95000000001</v>
      </c>
      <c r="X81" s="10">
        <f>+'A) Base RI'!R81</f>
        <v>117468.55</v>
      </c>
      <c r="Y81" s="408">
        <f t="shared" si="11"/>
        <v>260803.90000000002</v>
      </c>
      <c r="Z81" s="10">
        <f>+'A) Base RI'!N81</f>
        <v>5690.95</v>
      </c>
      <c r="AA81" s="10">
        <f>'A) Base RI'!AO81</f>
        <v>1036</v>
      </c>
    </row>
    <row r="82" spans="1:27" x14ac:dyDescent="0.25">
      <c r="A82" s="8">
        <f>'A) Base RI'!A82</f>
        <v>5521</v>
      </c>
      <c r="B82" s="32" t="str">
        <f>'A) Base RI'!B82</f>
        <v>Etagnières</v>
      </c>
      <c r="C82" s="10">
        <f>'A) Base RI'!C82+'A) Base RI'!D82</f>
        <v>2859037.3899999997</v>
      </c>
      <c r="D82" s="10">
        <f>'A) Base RI'!AP82</f>
        <v>-44244.07</v>
      </c>
      <c r="E82" s="402">
        <f>'A) Base RI'!AQ82</f>
        <v>0</v>
      </c>
      <c r="F82" s="402">
        <f>'A) Base RI'!AR82</f>
        <v>-1055.0899999999999</v>
      </c>
      <c r="G82" s="408">
        <f t="shared" si="6"/>
        <v>2813738.23</v>
      </c>
      <c r="H82" s="10">
        <f>+'A) Base RI'!E82</f>
        <v>0</v>
      </c>
      <c r="I82" s="10">
        <f>+'A) Base RI'!F82</f>
        <v>0</v>
      </c>
      <c r="J82" s="10">
        <f>+'A) Base RI'!G82+'A) Base RI'!H82+'A) Base RI'!X82</f>
        <v>256938.55</v>
      </c>
      <c r="K82" s="10">
        <f>+'A) Base RI'!I82</f>
        <v>0</v>
      </c>
      <c r="L82" s="10">
        <f>+'A) Base RI'!J82</f>
        <v>60459.64</v>
      </c>
      <c r="M82" s="10">
        <f>+'A) Base RI'!K82</f>
        <v>18552.5</v>
      </c>
      <c r="N82" s="10">
        <f>+'A) Base RI'!Q82</f>
        <v>4949.3500000000004</v>
      </c>
      <c r="O82" s="10">
        <f t="shared" si="7"/>
        <v>261565.7</v>
      </c>
      <c r="P82" s="10">
        <f>+'A) Base RI'!L82</f>
        <v>261565.7</v>
      </c>
      <c r="Q82" s="416">
        <f>'A) Base RI'!AS82</f>
        <v>1</v>
      </c>
      <c r="R82" s="408">
        <f t="shared" si="8"/>
        <v>3416203.97</v>
      </c>
      <c r="S82" s="482">
        <f>+'A) Base RI'!AN82</f>
        <v>73</v>
      </c>
      <c r="T82" s="408">
        <f t="shared" si="9"/>
        <v>3136085.77</v>
      </c>
      <c r="U82" s="408">
        <f t="shared" si="10"/>
        <v>46797.314657534247</v>
      </c>
      <c r="V82" s="10">
        <f>+'A) Base RI'!O82</f>
        <v>0</v>
      </c>
      <c r="W82" s="10">
        <f>+'A) Base RI'!P82</f>
        <v>105834.45</v>
      </c>
      <c r="X82" s="10">
        <f>+'A) Base RI'!R82</f>
        <v>67499.75</v>
      </c>
      <c r="Y82" s="408">
        <f t="shared" si="11"/>
        <v>173334.2</v>
      </c>
      <c r="Z82" s="10">
        <f>+'A) Base RI'!N82</f>
        <v>27188</v>
      </c>
      <c r="AA82" s="10">
        <f>'A) Base RI'!AO82</f>
        <v>1148</v>
      </c>
    </row>
    <row r="83" spans="1:27" x14ac:dyDescent="0.25">
      <c r="A83" s="8">
        <f>'A) Base RI'!A83</f>
        <v>5522</v>
      </c>
      <c r="B83" s="32" t="str">
        <f>'A) Base RI'!B83</f>
        <v>Fey</v>
      </c>
      <c r="C83" s="10">
        <f>'A) Base RI'!C83+'A) Base RI'!D83</f>
        <v>1616885.14</v>
      </c>
      <c r="D83" s="10">
        <f>'A) Base RI'!AP83</f>
        <v>-4594.8</v>
      </c>
      <c r="E83" s="402">
        <f>'A) Base RI'!AQ83</f>
        <v>0</v>
      </c>
      <c r="F83" s="402">
        <f>'A) Base RI'!AR83</f>
        <v>-99.51</v>
      </c>
      <c r="G83" s="408">
        <f t="shared" si="6"/>
        <v>1612190.8299999998</v>
      </c>
      <c r="H83" s="10">
        <f>+'A) Base RI'!E83</f>
        <v>0</v>
      </c>
      <c r="I83" s="10">
        <f>+'A) Base RI'!F83</f>
        <v>0</v>
      </c>
      <c r="J83" s="10">
        <f>+'A) Base RI'!G83+'A) Base RI'!H83+'A) Base RI'!X83</f>
        <v>5362.59</v>
      </c>
      <c r="K83" s="10">
        <f>+'A) Base RI'!I83</f>
        <v>0</v>
      </c>
      <c r="L83" s="10">
        <f>+'A) Base RI'!J83</f>
        <v>13099.29</v>
      </c>
      <c r="M83" s="10">
        <f>+'A) Base RI'!K83</f>
        <v>2912.9</v>
      </c>
      <c r="N83" s="10">
        <f>+'A) Base RI'!Q83</f>
        <v>7370.48</v>
      </c>
      <c r="O83" s="10">
        <f t="shared" si="7"/>
        <v>138584.48000000001</v>
      </c>
      <c r="P83" s="10">
        <f>+'A) Base RI'!L83</f>
        <v>138584.48000000001</v>
      </c>
      <c r="Q83" s="416">
        <f>'A) Base RI'!AS83</f>
        <v>1</v>
      </c>
      <c r="R83" s="408">
        <f t="shared" si="8"/>
        <v>1779520.5699999998</v>
      </c>
      <c r="S83" s="482">
        <f>+'A) Base RI'!AN83</f>
        <v>75</v>
      </c>
      <c r="T83" s="408">
        <f t="shared" si="9"/>
        <v>1638023.19</v>
      </c>
      <c r="U83" s="408">
        <f t="shared" si="10"/>
        <v>23726.940933333331</v>
      </c>
      <c r="V83" s="10">
        <f>+'A) Base RI'!O83</f>
        <v>0</v>
      </c>
      <c r="W83" s="10">
        <f>+'A) Base RI'!P83</f>
        <v>41181.75</v>
      </c>
      <c r="X83" s="10">
        <f>+'A) Base RI'!R83</f>
        <v>5523.45</v>
      </c>
      <c r="Y83" s="408">
        <f t="shared" si="11"/>
        <v>46705.2</v>
      </c>
      <c r="Z83" s="10">
        <f>+'A) Base RI'!N83</f>
        <v>15179</v>
      </c>
      <c r="AA83" s="10">
        <f>'A) Base RI'!AO83</f>
        <v>749</v>
      </c>
    </row>
    <row r="84" spans="1:27" x14ac:dyDescent="0.25">
      <c r="A84" s="8">
        <f>'A) Base RI'!A84</f>
        <v>5523</v>
      </c>
      <c r="B84" s="32" t="str">
        <f>'A) Base RI'!B84</f>
        <v>Froideville</v>
      </c>
      <c r="C84" s="10">
        <f>'A) Base RI'!C84+'A) Base RI'!D84</f>
        <v>5611757.4500000002</v>
      </c>
      <c r="D84" s="10">
        <f>'A) Base RI'!AP84</f>
        <v>-69486.94</v>
      </c>
      <c r="E84" s="402">
        <f>'A) Base RI'!AQ84</f>
        <v>0</v>
      </c>
      <c r="F84" s="402">
        <f>'A) Base RI'!AR84</f>
        <v>-970.39</v>
      </c>
      <c r="G84" s="408">
        <f t="shared" si="6"/>
        <v>5541300.1200000001</v>
      </c>
      <c r="H84" s="10">
        <f>+'A) Base RI'!E84</f>
        <v>0</v>
      </c>
      <c r="I84" s="10">
        <f>+'A) Base RI'!F84</f>
        <v>15230</v>
      </c>
      <c r="J84" s="10">
        <f>+'A) Base RI'!G84+'A) Base RI'!H84+'A) Base RI'!X84</f>
        <v>40745.009999999995</v>
      </c>
      <c r="K84" s="10">
        <f>+'A) Base RI'!I84</f>
        <v>-54197.1</v>
      </c>
      <c r="L84" s="10">
        <f>+'A) Base RI'!J84</f>
        <v>97209.85</v>
      </c>
      <c r="M84" s="10">
        <f>+'A) Base RI'!K84</f>
        <v>16486.45</v>
      </c>
      <c r="N84" s="10">
        <f>+'A) Base RI'!Q84</f>
        <v>16967.64</v>
      </c>
      <c r="O84" s="10">
        <f t="shared" si="7"/>
        <v>508815</v>
      </c>
      <c r="P84" s="10">
        <f>+'A) Base RI'!L84</f>
        <v>636018.75</v>
      </c>
      <c r="Q84" s="416">
        <f>'A) Base RI'!AS84</f>
        <v>1.25</v>
      </c>
      <c r="R84" s="408">
        <f t="shared" si="8"/>
        <v>6182556.9699999997</v>
      </c>
      <c r="S84" s="482">
        <f>+'A) Base RI'!AN84</f>
        <v>72</v>
      </c>
      <c r="T84" s="408">
        <f t="shared" si="9"/>
        <v>5642025.5199999996</v>
      </c>
      <c r="U84" s="408">
        <f t="shared" si="10"/>
        <v>85868.846805555557</v>
      </c>
      <c r="V84" s="10">
        <f>+'A) Base RI'!O84</f>
        <v>0</v>
      </c>
      <c r="W84" s="10">
        <f>+'A) Base RI'!P84</f>
        <v>157526.39999999999</v>
      </c>
      <c r="X84" s="10">
        <f>+'A) Base RI'!R84</f>
        <v>119698.55</v>
      </c>
      <c r="Y84" s="408">
        <f t="shared" si="11"/>
        <v>277224.95</v>
      </c>
      <c r="Z84" s="10">
        <f>+'A) Base RI'!N84</f>
        <v>10619.3</v>
      </c>
      <c r="AA84" s="10">
        <f>'A) Base RI'!AO84</f>
        <v>2694</v>
      </c>
    </row>
    <row r="85" spans="1:27" x14ac:dyDescent="0.25">
      <c r="A85" s="8">
        <f>'A) Base RI'!A85</f>
        <v>5527</v>
      </c>
      <c r="B85" s="32" t="str">
        <f>'A) Base RI'!B85</f>
        <v>Morrens</v>
      </c>
      <c r="C85" s="10">
        <f>'A) Base RI'!C85+'A) Base RI'!D85</f>
        <v>2736679.51</v>
      </c>
      <c r="D85" s="10">
        <f>'A) Base RI'!AP85</f>
        <v>-30067.71</v>
      </c>
      <c r="E85" s="402">
        <f>'A) Base RI'!AQ85</f>
        <v>0</v>
      </c>
      <c r="F85" s="402">
        <f>'A) Base RI'!AR85</f>
        <v>-82.51</v>
      </c>
      <c r="G85" s="408">
        <f t="shared" si="6"/>
        <v>2706529.29</v>
      </c>
      <c r="H85" s="10">
        <f>+'A) Base RI'!E85</f>
        <v>0</v>
      </c>
      <c r="I85" s="10">
        <f>+'A) Base RI'!F85</f>
        <v>0</v>
      </c>
      <c r="J85" s="10">
        <f>+'A) Base RI'!G85+'A) Base RI'!H85+'A) Base RI'!X85</f>
        <v>7689.39</v>
      </c>
      <c r="K85" s="10">
        <f>+'A) Base RI'!I85</f>
        <v>0</v>
      </c>
      <c r="L85" s="10">
        <f>+'A) Base RI'!J85</f>
        <v>36272.03</v>
      </c>
      <c r="M85" s="10">
        <f>+'A) Base RI'!K85</f>
        <v>202.75</v>
      </c>
      <c r="N85" s="10">
        <f>+'A) Base RI'!Q85</f>
        <v>10734.48</v>
      </c>
      <c r="O85" s="10">
        <f t="shared" si="7"/>
        <v>240323.20000000001</v>
      </c>
      <c r="P85" s="10">
        <f>+'A) Base RI'!L85</f>
        <v>240323.20000000001</v>
      </c>
      <c r="Q85" s="416">
        <f>'A) Base RI'!AS85</f>
        <v>1</v>
      </c>
      <c r="R85" s="408">
        <f t="shared" si="8"/>
        <v>3001751.14</v>
      </c>
      <c r="S85" s="482">
        <f>+'A) Base RI'!AN85</f>
        <v>74</v>
      </c>
      <c r="T85" s="408">
        <f t="shared" si="9"/>
        <v>2761225.19</v>
      </c>
      <c r="U85" s="408">
        <f t="shared" si="10"/>
        <v>40564.204594594594</v>
      </c>
      <c r="V85" s="10">
        <f>+'A) Base RI'!O85</f>
        <v>0</v>
      </c>
      <c r="W85" s="10">
        <f>+'A) Base RI'!P85</f>
        <v>104802.4</v>
      </c>
      <c r="X85" s="10">
        <f>+'A) Base RI'!R85</f>
        <v>52459.55</v>
      </c>
      <c r="Y85" s="408">
        <f t="shared" si="11"/>
        <v>157261.95000000001</v>
      </c>
      <c r="Z85" s="10">
        <f>+'A) Base RI'!N85</f>
        <v>9803.75</v>
      </c>
      <c r="AA85" s="10">
        <f>'A) Base RI'!AO85</f>
        <v>1153</v>
      </c>
    </row>
    <row r="86" spans="1:27" x14ac:dyDescent="0.25">
      <c r="A86" s="8">
        <f>'A) Base RI'!A86</f>
        <v>5529</v>
      </c>
      <c r="B86" s="32" t="str">
        <f>'A) Base RI'!B86</f>
        <v>Oulens-sous-Echallens</v>
      </c>
      <c r="C86" s="10">
        <f>'A) Base RI'!C86+'A) Base RI'!D86</f>
        <v>1276187.27</v>
      </c>
      <c r="D86" s="10">
        <f>'A) Base RI'!AP86</f>
        <v>-16246.58</v>
      </c>
      <c r="E86" s="402">
        <f>'A) Base RI'!AQ86</f>
        <v>0</v>
      </c>
      <c r="F86" s="402">
        <f>'A) Base RI'!AR86</f>
        <v>-150.33000000000001</v>
      </c>
      <c r="G86" s="408">
        <f t="shared" si="6"/>
        <v>1259790.3599999999</v>
      </c>
      <c r="H86" s="10">
        <f>+'A) Base RI'!E86</f>
        <v>0</v>
      </c>
      <c r="I86" s="10">
        <f>+'A) Base RI'!F86</f>
        <v>0</v>
      </c>
      <c r="J86" s="10">
        <f>+'A) Base RI'!G86+'A) Base RI'!H86+'A) Base RI'!X86</f>
        <v>13514.68</v>
      </c>
      <c r="K86" s="10">
        <f>+'A) Base RI'!I86</f>
        <v>0</v>
      </c>
      <c r="L86" s="10">
        <f>+'A) Base RI'!J86</f>
        <v>17460.79</v>
      </c>
      <c r="M86" s="10">
        <f>+'A) Base RI'!K86</f>
        <v>2922.75</v>
      </c>
      <c r="N86" s="10">
        <f>+'A) Base RI'!Q86</f>
        <v>0</v>
      </c>
      <c r="O86" s="10">
        <f t="shared" si="7"/>
        <v>120398.6</v>
      </c>
      <c r="P86" s="10">
        <f>+'A) Base RI'!L86</f>
        <v>120398.6</v>
      </c>
      <c r="Q86" s="416">
        <f>'A) Base RI'!AS86</f>
        <v>1</v>
      </c>
      <c r="R86" s="408">
        <f t="shared" si="8"/>
        <v>1414087.18</v>
      </c>
      <c r="S86" s="482">
        <f>+'A) Base RI'!AN86</f>
        <v>70</v>
      </c>
      <c r="T86" s="408">
        <f t="shared" si="9"/>
        <v>1290765.8299999998</v>
      </c>
      <c r="U86" s="408">
        <f t="shared" si="10"/>
        <v>20201.245428571427</v>
      </c>
      <c r="V86" s="10">
        <f>+'A) Base RI'!O86</f>
        <v>0</v>
      </c>
      <c r="W86" s="10">
        <f>+'A) Base RI'!P86</f>
        <v>38299.4</v>
      </c>
      <c r="X86" s="10">
        <f>+'A) Base RI'!R86</f>
        <v>4689.6000000000004</v>
      </c>
      <c r="Y86" s="408">
        <f t="shared" si="11"/>
        <v>42989</v>
      </c>
      <c r="Z86" s="10">
        <f>+'A) Base RI'!N86</f>
        <v>1847.9</v>
      </c>
      <c r="AA86" s="10">
        <f>'A) Base RI'!AO86</f>
        <v>618</v>
      </c>
    </row>
    <row r="87" spans="1:27" x14ac:dyDescent="0.25">
      <c r="A87" s="8">
        <f>'A) Base RI'!A87</f>
        <v>5530</v>
      </c>
      <c r="B87" s="32" t="str">
        <f>'A) Base RI'!B87</f>
        <v>Pailly</v>
      </c>
      <c r="C87" s="10">
        <f>'A) Base RI'!C87+'A) Base RI'!D87</f>
        <v>1255364.8599999999</v>
      </c>
      <c r="D87" s="10">
        <f>'A) Base RI'!AP87</f>
        <v>-3293.75</v>
      </c>
      <c r="E87" s="402">
        <f>'A) Base RI'!AQ87</f>
        <v>0</v>
      </c>
      <c r="F87" s="402">
        <f>'A) Base RI'!AR87</f>
        <v>-3.85</v>
      </c>
      <c r="G87" s="408">
        <f t="shared" si="6"/>
        <v>1252067.2599999998</v>
      </c>
      <c r="H87" s="10">
        <f>+'A) Base RI'!E87</f>
        <v>0</v>
      </c>
      <c r="I87" s="10">
        <f>+'A) Base RI'!F87</f>
        <v>0</v>
      </c>
      <c r="J87" s="10">
        <f>+'A) Base RI'!G87+'A) Base RI'!H87+'A) Base RI'!X87</f>
        <v>32058.7</v>
      </c>
      <c r="K87" s="10">
        <f>+'A) Base RI'!I87</f>
        <v>0</v>
      </c>
      <c r="L87" s="10">
        <f>+'A) Base RI'!J87</f>
        <v>808.22</v>
      </c>
      <c r="M87" s="10">
        <f>+'A) Base RI'!K87</f>
        <v>674.5</v>
      </c>
      <c r="N87" s="10">
        <f>+'A) Base RI'!Q87</f>
        <v>0</v>
      </c>
      <c r="O87" s="10">
        <f t="shared" si="7"/>
        <v>105344.04166666667</v>
      </c>
      <c r="P87" s="10">
        <f>+'A) Base RI'!L87</f>
        <v>126412.85</v>
      </c>
      <c r="Q87" s="416">
        <f>'A) Base RI'!AS87</f>
        <v>1.2</v>
      </c>
      <c r="R87" s="408">
        <f t="shared" si="8"/>
        <v>1390952.7216666664</v>
      </c>
      <c r="S87" s="482">
        <f>+'A) Base RI'!AN87</f>
        <v>76</v>
      </c>
      <c r="T87" s="408">
        <f t="shared" si="9"/>
        <v>1284934.1799999997</v>
      </c>
      <c r="U87" s="408">
        <f t="shared" si="10"/>
        <v>18302.009495614031</v>
      </c>
      <c r="V87" s="10">
        <f>+'A) Base RI'!O87</f>
        <v>708.4</v>
      </c>
      <c r="W87" s="10">
        <f>+'A) Base RI'!P87</f>
        <v>13194.15</v>
      </c>
      <c r="X87" s="10">
        <f>+'A) Base RI'!R87</f>
        <v>0</v>
      </c>
      <c r="Y87" s="408">
        <f t="shared" si="11"/>
        <v>13902.55</v>
      </c>
      <c r="Z87" s="10">
        <f>+'A) Base RI'!N87</f>
        <v>18495.150000000001</v>
      </c>
      <c r="AA87" s="10">
        <f>'A) Base RI'!AO87</f>
        <v>567</v>
      </c>
    </row>
    <row r="88" spans="1:27" x14ac:dyDescent="0.25">
      <c r="A88" s="8">
        <f>'A) Base RI'!A88</f>
        <v>5531</v>
      </c>
      <c r="B88" s="32" t="str">
        <f>'A) Base RI'!B88</f>
        <v>Penthéréaz</v>
      </c>
      <c r="C88" s="10">
        <f>'A) Base RI'!C88+'A) Base RI'!D88</f>
        <v>925973.82000000007</v>
      </c>
      <c r="D88" s="10">
        <f>'A) Base RI'!AP88</f>
        <v>-2440.64</v>
      </c>
      <c r="E88" s="402">
        <f>'A) Base RI'!AQ88</f>
        <v>0</v>
      </c>
      <c r="F88" s="402">
        <f>'A) Base RI'!AR88</f>
        <v>-107.79</v>
      </c>
      <c r="G88" s="408">
        <f t="shared" si="6"/>
        <v>923425.39</v>
      </c>
      <c r="H88" s="10">
        <f>+'A) Base RI'!E88</f>
        <v>0</v>
      </c>
      <c r="I88" s="10">
        <f>+'A) Base RI'!F88</f>
        <v>0</v>
      </c>
      <c r="J88" s="10">
        <f>+'A) Base RI'!G88+'A) Base RI'!H88+'A) Base RI'!X88</f>
        <v>10322.77</v>
      </c>
      <c r="K88" s="10">
        <f>+'A) Base RI'!I88</f>
        <v>0</v>
      </c>
      <c r="L88" s="10">
        <f>+'A) Base RI'!J88</f>
        <v>10707.29</v>
      </c>
      <c r="M88" s="10">
        <f>+'A) Base RI'!K88</f>
        <v>-352.25</v>
      </c>
      <c r="N88" s="10">
        <f>+'A) Base RI'!Q88</f>
        <v>2180.14</v>
      </c>
      <c r="O88" s="10">
        <f t="shared" si="7"/>
        <v>78103.3</v>
      </c>
      <c r="P88" s="10">
        <f>+'A) Base RI'!L88</f>
        <v>78103.3</v>
      </c>
      <c r="Q88" s="416">
        <f>'A) Base RI'!AS88</f>
        <v>1</v>
      </c>
      <c r="R88" s="408">
        <f t="shared" si="8"/>
        <v>1024386.6400000001</v>
      </c>
      <c r="S88" s="482">
        <f>+'A) Base RI'!AN88</f>
        <v>74</v>
      </c>
      <c r="T88" s="408">
        <f t="shared" si="9"/>
        <v>946635.59000000008</v>
      </c>
      <c r="U88" s="408">
        <f t="shared" si="10"/>
        <v>13843.062702702704</v>
      </c>
      <c r="V88" s="10">
        <f>+'A) Base RI'!O88</f>
        <v>0</v>
      </c>
      <c r="W88" s="10">
        <f>+'A) Base RI'!P88</f>
        <v>22086.05</v>
      </c>
      <c r="X88" s="10">
        <f>+'A) Base RI'!R88</f>
        <v>22071.25</v>
      </c>
      <c r="Y88" s="408">
        <f t="shared" si="11"/>
        <v>44157.3</v>
      </c>
      <c r="Z88" s="10">
        <f>+'A) Base RI'!N88</f>
        <v>19757.3</v>
      </c>
      <c r="AA88" s="10">
        <f>'A) Base RI'!AO88</f>
        <v>419</v>
      </c>
    </row>
    <row r="89" spans="1:27" x14ac:dyDescent="0.25">
      <c r="A89" s="8">
        <f>'A) Base RI'!A89</f>
        <v>5533</v>
      </c>
      <c r="B89" s="32" t="str">
        <f>'A) Base RI'!B89</f>
        <v>Poliez-Pittet</v>
      </c>
      <c r="C89" s="10">
        <f>'A) Base RI'!C89+'A) Base RI'!D89</f>
        <v>1702220.44</v>
      </c>
      <c r="D89" s="10">
        <f>'A) Base RI'!AP89</f>
        <v>-17655.150000000001</v>
      </c>
      <c r="E89" s="402">
        <f>'A) Base RI'!AQ89</f>
        <v>0</v>
      </c>
      <c r="F89" s="402">
        <f>'A) Base RI'!AR89</f>
        <v>-199.23</v>
      </c>
      <c r="G89" s="408">
        <f t="shared" si="6"/>
        <v>1684366.06</v>
      </c>
      <c r="H89" s="10">
        <f>+'A) Base RI'!E89</f>
        <v>0</v>
      </c>
      <c r="I89" s="10">
        <f>+'A) Base RI'!F89</f>
        <v>0</v>
      </c>
      <c r="J89" s="10">
        <f>+'A) Base RI'!G89+'A) Base RI'!H89+'A) Base RI'!X89</f>
        <v>69061.97</v>
      </c>
      <c r="K89" s="10">
        <f>+'A) Base RI'!I89</f>
        <v>47228.4</v>
      </c>
      <c r="L89" s="10">
        <f>+'A) Base RI'!J89</f>
        <v>30627.98</v>
      </c>
      <c r="M89" s="10">
        <f>+'A) Base RI'!K89</f>
        <v>9054.9</v>
      </c>
      <c r="N89" s="10">
        <f>+'A) Base RI'!Q89</f>
        <v>55.75</v>
      </c>
      <c r="O89" s="10">
        <f t="shared" si="7"/>
        <v>144487.20000000001</v>
      </c>
      <c r="P89" s="10">
        <f>+'A) Base RI'!L89</f>
        <v>144487.20000000001</v>
      </c>
      <c r="Q89" s="416">
        <f>'A) Base RI'!AS89</f>
        <v>1</v>
      </c>
      <c r="R89" s="408">
        <f t="shared" si="8"/>
        <v>1984882.2599999998</v>
      </c>
      <c r="S89" s="482">
        <f>+'A) Base RI'!AN89</f>
        <v>73</v>
      </c>
      <c r="T89" s="408">
        <f t="shared" si="9"/>
        <v>1831340.16</v>
      </c>
      <c r="U89" s="408">
        <f t="shared" si="10"/>
        <v>27190.167945205478</v>
      </c>
      <c r="V89" s="10">
        <f>+'A) Base RI'!O89</f>
        <v>0</v>
      </c>
      <c r="W89" s="10">
        <f>+'A) Base RI'!P89</f>
        <v>51951.35</v>
      </c>
      <c r="X89" s="10">
        <f>+'A) Base RI'!R89</f>
        <v>288547.34999999998</v>
      </c>
      <c r="Y89" s="408">
        <f t="shared" si="11"/>
        <v>340498.69999999995</v>
      </c>
      <c r="Z89" s="10">
        <f>+'A) Base RI'!N89</f>
        <v>752.3</v>
      </c>
      <c r="AA89" s="10">
        <f>'A) Base RI'!AO89</f>
        <v>829</v>
      </c>
    </row>
    <row r="90" spans="1:27" x14ac:dyDescent="0.25">
      <c r="A90" s="8">
        <f>'A) Base RI'!A90</f>
        <v>5534</v>
      </c>
      <c r="B90" s="32" t="str">
        <f>'A) Base RI'!B90</f>
        <v>Rueyres</v>
      </c>
      <c r="C90" s="10">
        <f>'A) Base RI'!C90+'A) Base RI'!D90</f>
        <v>562542.9</v>
      </c>
      <c r="D90" s="10">
        <f>'A) Base RI'!AP90</f>
        <v>-65.14</v>
      </c>
      <c r="E90" s="402">
        <f>'A) Base RI'!AQ90</f>
        <v>0</v>
      </c>
      <c r="F90" s="402">
        <f>'A) Base RI'!AR90</f>
        <v>0</v>
      </c>
      <c r="G90" s="408">
        <f t="shared" si="6"/>
        <v>562477.76</v>
      </c>
      <c r="H90" s="10">
        <f>+'A) Base RI'!E90</f>
        <v>0</v>
      </c>
      <c r="I90" s="10">
        <f>+'A) Base RI'!F90</f>
        <v>0</v>
      </c>
      <c r="J90" s="10">
        <f>+'A) Base RI'!G90+'A) Base RI'!H90+'A) Base RI'!X90</f>
        <v>52730.960000000006</v>
      </c>
      <c r="K90" s="10">
        <f>+'A) Base RI'!I90</f>
        <v>0</v>
      </c>
      <c r="L90" s="10">
        <f>+'A) Base RI'!J90</f>
        <v>17090.21</v>
      </c>
      <c r="M90" s="10">
        <f>+'A) Base RI'!K90</f>
        <v>861</v>
      </c>
      <c r="N90" s="10">
        <f>+'A) Base RI'!Q90</f>
        <v>0</v>
      </c>
      <c r="O90" s="10">
        <f t="shared" si="7"/>
        <v>78980.708333333343</v>
      </c>
      <c r="P90" s="10">
        <f>+'A) Base RI'!L90</f>
        <v>94776.85</v>
      </c>
      <c r="Q90" s="416">
        <f>'A) Base RI'!AS90</f>
        <v>1.2</v>
      </c>
      <c r="R90" s="408">
        <f t="shared" si="8"/>
        <v>712140.63833333331</v>
      </c>
      <c r="S90" s="482">
        <f>+'A) Base RI'!AN90</f>
        <v>73</v>
      </c>
      <c r="T90" s="408">
        <f t="shared" si="9"/>
        <v>632298.92999999993</v>
      </c>
      <c r="U90" s="408">
        <f t="shared" si="10"/>
        <v>9755.351210045661</v>
      </c>
      <c r="V90" s="10">
        <f>+'A) Base RI'!O90</f>
        <v>0</v>
      </c>
      <c r="W90" s="10">
        <f>+'A) Base RI'!P90</f>
        <v>20741.5</v>
      </c>
      <c r="X90" s="10">
        <f>+'A) Base RI'!R90</f>
        <v>13270.8</v>
      </c>
      <c r="Y90" s="408">
        <f t="shared" si="11"/>
        <v>34012.300000000003</v>
      </c>
      <c r="Z90" s="10">
        <f>+'A) Base RI'!N90</f>
        <v>27496.9</v>
      </c>
      <c r="AA90" s="10">
        <f>'A) Base RI'!AO90</f>
        <v>266</v>
      </c>
    </row>
    <row r="91" spans="1:27" x14ac:dyDescent="0.25">
      <c r="A91" s="8">
        <f>'A) Base RI'!A91</f>
        <v>5535</v>
      </c>
      <c r="B91" s="32" t="str">
        <f>'A) Base RI'!B91</f>
        <v>Saint-Barthélemy</v>
      </c>
      <c r="C91" s="10">
        <f>'A) Base RI'!C91+'A) Base RI'!D91</f>
        <v>1572451.91</v>
      </c>
      <c r="D91" s="10">
        <f>'A) Base RI'!AP91</f>
        <v>-31282.47</v>
      </c>
      <c r="E91" s="402">
        <f>'A) Base RI'!AQ91</f>
        <v>0</v>
      </c>
      <c r="F91" s="402">
        <f>'A) Base RI'!AR91</f>
        <v>-59.19</v>
      </c>
      <c r="G91" s="408">
        <f t="shared" si="6"/>
        <v>1541110.25</v>
      </c>
      <c r="H91" s="10">
        <f>+'A) Base RI'!E91</f>
        <v>0</v>
      </c>
      <c r="I91" s="10">
        <f>+'A) Base RI'!F91</f>
        <v>0</v>
      </c>
      <c r="J91" s="10">
        <f>+'A) Base RI'!G91+'A) Base RI'!H91+'A) Base RI'!X91</f>
        <v>-6869.92</v>
      </c>
      <c r="K91" s="10">
        <f>+'A) Base RI'!I91</f>
        <v>0</v>
      </c>
      <c r="L91" s="10">
        <f>+'A) Base RI'!J91</f>
        <v>6266.37</v>
      </c>
      <c r="M91" s="10">
        <f>+'A) Base RI'!K91</f>
        <v>1379.3</v>
      </c>
      <c r="N91" s="10">
        <f>+'A) Base RI'!Q91</f>
        <v>410.86</v>
      </c>
      <c r="O91" s="10">
        <f t="shared" si="7"/>
        <v>144966.9</v>
      </c>
      <c r="P91" s="10">
        <f>+'A) Base RI'!L91</f>
        <v>144966.9</v>
      </c>
      <c r="Q91" s="416">
        <f>'A) Base RI'!AS91</f>
        <v>1</v>
      </c>
      <c r="R91" s="408">
        <f t="shared" si="8"/>
        <v>1687263.7600000002</v>
      </c>
      <c r="S91" s="482">
        <f>+'A) Base RI'!AN91</f>
        <v>75</v>
      </c>
      <c r="T91" s="408">
        <f t="shared" si="9"/>
        <v>1540917.5600000003</v>
      </c>
      <c r="U91" s="408">
        <f t="shared" si="10"/>
        <v>22496.850133333337</v>
      </c>
      <c r="V91" s="10">
        <f>+'A) Base RI'!O91</f>
        <v>0</v>
      </c>
      <c r="W91" s="10">
        <f>+'A) Base RI'!P91</f>
        <v>35709.599999999999</v>
      </c>
      <c r="X91" s="10">
        <f>+'A) Base RI'!R91</f>
        <v>-518.95000000000005</v>
      </c>
      <c r="Y91" s="408">
        <f t="shared" si="11"/>
        <v>35190.65</v>
      </c>
      <c r="Z91" s="10">
        <f>+'A) Base RI'!N91</f>
        <v>44895</v>
      </c>
      <c r="AA91" s="10">
        <f>'A) Base RI'!AO91</f>
        <v>784</v>
      </c>
    </row>
    <row r="92" spans="1:27" x14ac:dyDescent="0.25">
      <c r="A92" s="8">
        <f>'A) Base RI'!A92</f>
        <v>5537</v>
      </c>
      <c r="B92" s="32" t="str">
        <f>'A) Base RI'!B92</f>
        <v>Villars-le-Terroir</v>
      </c>
      <c r="C92" s="10">
        <f>'A) Base RI'!C92+'A) Base RI'!D92</f>
        <v>2535770.9299999997</v>
      </c>
      <c r="D92" s="10">
        <f>'A) Base RI'!AP92</f>
        <v>-31621.53</v>
      </c>
      <c r="E92" s="402">
        <f>'A) Base RI'!AQ92</f>
        <v>0</v>
      </c>
      <c r="F92" s="402">
        <f>'A) Base RI'!AR92</f>
        <v>-158.81</v>
      </c>
      <c r="G92" s="408">
        <f t="shared" si="6"/>
        <v>2503990.59</v>
      </c>
      <c r="H92" s="10">
        <f>+'A) Base RI'!E92</f>
        <v>0</v>
      </c>
      <c r="I92" s="10">
        <f>+'A) Base RI'!F92</f>
        <v>7030</v>
      </c>
      <c r="J92" s="10">
        <f>+'A) Base RI'!G92+'A) Base RI'!H92+'A) Base RI'!X92</f>
        <v>19924.359999999997</v>
      </c>
      <c r="K92" s="10">
        <f>+'A) Base RI'!I92</f>
        <v>0</v>
      </c>
      <c r="L92" s="10">
        <f>+'A) Base RI'!J92</f>
        <v>4792.95</v>
      </c>
      <c r="M92" s="10">
        <f>+'A) Base RI'!K92</f>
        <v>833</v>
      </c>
      <c r="N92" s="10">
        <f>+'A) Base RI'!Q92</f>
        <v>6633.16</v>
      </c>
      <c r="O92" s="10">
        <f t="shared" si="7"/>
        <v>228114.65</v>
      </c>
      <c r="P92" s="10">
        <f>+'A) Base RI'!L92</f>
        <v>228114.65</v>
      </c>
      <c r="Q92" s="416">
        <f>'A) Base RI'!AS92</f>
        <v>1</v>
      </c>
      <c r="R92" s="408">
        <f t="shared" si="8"/>
        <v>2771318.71</v>
      </c>
      <c r="S92" s="482">
        <f>+'A) Base RI'!AN92</f>
        <v>73</v>
      </c>
      <c r="T92" s="408">
        <f t="shared" si="9"/>
        <v>2535341.06</v>
      </c>
      <c r="U92" s="408">
        <f t="shared" si="10"/>
        <v>37963.269999999997</v>
      </c>
      <c r="V92" s="10">
        <f>+'A) Base RI'!O92</f>
        <v>859.2</v>
      </c>
      <c r="W92" s="10">
        <f>+'A) Base RI'!P92</f>
        <v>103590.85</v>
      </c>
      <c r="X92" s="10">
        <f>+'A) Base RI'!R92</f>
        <v>90389.5</v>
      </c>
      <c r="Y92" s="408">
        <f t="shared" si="11"/>
        <v>194839.55</v>
      </c>
      <c r="Z92" s="10">
        <f>+'A) Base RI'!N92</f>
        <v>0</v>
      </c>
      <c r="AA92" s="10">
        <f>'A) Base RI'!AO92</f>
        <v>1281</v>
      </c>
    </row>
    <row r="93" spans="1:27" x14ac:dyDescent="0.25">
      <c r="A93" s="8">
        <f>'A) Base RI'!A93</f>
        <v>5539</v>
      </c>
      <c r="B93" s="32" t="str">
        <f>'A) Base RI'!B93</f>
        <v>Vuarrens</v>
      </c>
      <c r="C93" s="10">
        <f>'A) Base RI'!C93+'A) Base RI'!D93</f>
        <v>2413539.92</v>
      </c>
      <c r="D93" s="10">
        <f>'A) Base RI'!AP93</f>
        <v>-22282.17</v>
      </c>
      <c r="E93" s="402">
        <f>'A) Base RI'!AQ93</f>
        <v>0</v>
      </c>
      <c r="F93" s="402">
        <f>'A) Base RI'!AR93</f>
        <v>-212.45</v>
      </c>
      <c r="G93" s="408">
        <f t="shared" si="6"/>
        <v>2391045.2999999998</v>
      </c>
      <c r="H93" s="10">
        <f>+'A) Base RI'!E93</f>
        <v>0</v>
      </c>
      <c r="I93" s="10">
        <f>+'A) Base RI'!F93</f>
        <v>0</v>
      </c>
      <c r="J93" s="10">
        <f>+'A) Base RI'!G93+'A) Base RI'!H93+'A) Base RI'!X93</f>
        <v>24772.11</v>
      </c>
      <c r="K93" s="10">
        <f>+'A) Base RI'!I93</f>
        <v>0</v>
      </c>
      <c r="L93" s="10">
        <f>+'A) Base RI'!J93</f>
        <v>10580.62</v>
      </c>
      <c r="M93" s="10">
        <f>+'A) Base RI'!K93</f>
        <v>5823.4</v>
      </c>
      <c r="N93" s="10">
        <f>+'A) Base RI'!Q93</f>
        <v>24565.61</v>
      </c>
      <c r="O93" s="10">
        <f t="shared" si="7"/>
        <v>186391.6875</v>
      </c>
      <c r="P93" s="10">
        <f>+'A) Base RI'!L93</f>
        <v>149113.35</v>
      </c>
      <c r="Q93" s="416">
        <f>'A) Base RI'!AS93</f>
        <v>0.8</v>
      </c>
      <c r="R93" s="408">
        <f t="shared" si="8"/>
        <v>2643178.7274999996</v>
      </c>
      <c r="S93" s="482">
        <f>+'A) Base RI'!AN93</f>
        <v>73.5</v>
      </c>
      <c r="T93" s="408">
        <f t="shared" si="9"/>
        <v>2450963.6399999997</v>
      </c>
      <c r="U93" s="408">
        <f t="shared" si="10"/>
        <v>35961.61534013605</v>
      </c>
      <c r="V93" s="10">
        <f>+'A) Base RI'!O93</f>
        <v>129594.6</v>
      </c>
      <c r="W93" s="10">
        <f>+'A) Base RI'!P93</f>
        <v>139946.29999999999</v>
      </c>
      <c r="X93" s="10">
        <f>+'A) Base RI'!R93</f>
        <v>51038.65</v>
      </c>
      <c r="Y93" s="408">
        <f t="shared" si="11"/>
        <v>320579.55000000005</v>
      </c>
      <c r="Z93" s="10">
        <f>+'A) Base RI'!N93</f>
        <v>19878.05</v>
      </c>
      <c r="AA93" s="10">
        <f>'A) Base RI'!AO93</f>
        <v>1060</v>
      </c>
    </row>
    <row r="94" spans="1:27" x14ac:dyDescent="0.25">
      <c r="A94" s="8">
        <f>'A) Base RI'!A94</f>
        <v>5540</v>
      </c>
      <c r="B94" s="32" t="str">
        <f>'A) Base RI'!B94</f>
        <v>Montilliez</v>
      </c>
      <c r="C94" s="10">
        <f>'A) Base RI'!C94+'A) Base RI'!D94</f>
        <v>4300142.17</v>
      </c>
      <c r="D94" s="10">
        <f>'A) Base RI'!AP94</f>
        <v>-69478.42</v>
      </c>
      <c r="E94" s="402">
        <f>'A) Base RI'!AQ94</f>
        <v>0</v>
      </c>
      <c r="F94" s="402">
        <f>'A) Base RI'!AR94</f>
        <v>-751.17</v>
      </c>
      <c r="G94" s="408">
        <f t="shared" si="6"/>
        <v>4229912.58</v>
      </c>
      <c r="H94" s="10">
        <f>+'A) Base RI'!E94</f>
        <v>0</v>
      </c>
      <c r="I94" s="10">
        <f>+'A) Base RI'!F94</f>
        <v>0</v>
      </c>
      <c r="J94" s="10">
        <f>+'A) Base RI'!G94+'A) Base RI'!H94+'A) Base RI'!X94</f>
        <v>149408.07999999999</v>
      </c>
      <c r="K94" s="10">
        <f>+'A) Base RI'!I94</f>
        <v>0</v>
      </c>
      <c r="L94" s="10">
        <f>+'A) Base RI'!J94</f>
        <v>50648.1</v>
      </c>
      <c r="M94" s="10">
        <f>+'A) Base RI'!K94</f>
        <v>13109.85</v>
      </c>
      <c r="N94" s="10">
        <f>+'A) Base RI'!Q94</f>
        <v>9509.91</v>
      </c>
      <c r="O94" s="10">
        <f t="shared" si="7"/>
        <v>351011.25</v>
      </c>
      <c r="P94" s="10">
        <f>+'A) Base RI'!L94</f>
        <v>280809</v>
      </c>
      <c r="Q94" s="416">
        <f>'A) Base RI'!AS94</f>
        <v>0.8</v>
      </c>
      <c r="R94" s="408">
        <f t="shared" si="8"/>
        <v>4803599.7699999996</v>
      </c>
      <c r="S94" s="482">
        <f>+'A) Base RI'!AN94</f>
        <v>72.5</v>
      </c>
      <c r="T94" s="408">
        <f t="shared" si="9"/>
        <v>4439478.67</v>
      </c>
      <c r="U94" s="408">
        <f t="shared" si="10"/>
        <v>66256.548551724132</v>
      </c>
      <c r="V94" s="10">
        <f>+'A) Base RI'!O94</f>
        <v>1159.9000000000001</v>
      </c>
      <c r="W94" s="10">
        <f>+'A) Base RI'!P94</f>
        <v>111431.35</v>
      </c>
      <c r="X94" s="10">
        <f>+'A) Base RI'!R94</f>
        <v>83871.649999999994</v>
      </c>
      <c r="Y94" s="408">
        <f t="shared" si="11"/>
        <v>196462.9</v>
      </c>
      <c r="Z94" s="10">
        <f>+'A) Base RI'!N94</f>
        <v>1260.8499999999999</v>
      </c>
      <c r="AA94" s="10">
        <f>'A) Base RI'!AO94</f>
        <v>1857</v>
      </c>
    </row>
    <row r="95" spans="1:27" x14ac:dyDescent="0.25">
      <c r="A95" s="8">
        <f>'A) Base RI'!A95</f>
        <v>5541</v>
      </c>
      <c r="B95" s="32" t="str">
        <f>'A) Base RI'!B95</f>
        <v>Goumoëns</v>
      </c>
      <c r="C95" s="10">
        <f>'A) Base RI'!C95+'A) Base RI'!D95</f>
        <v>2541351.1</v>
      </c>
      <c r="D95" s="10">
        <f>'A) Base RI'!AP95</f>
        <v>-62440.43</v>
      </c>
      <c r="E95" s="402">
        <f>'A) Base RI'!AQ95</f>
        <v>0</v>
      </c>
      <c r="F95" s="402">
        <f>'A) Base RI'!AR95</f>
        <v>-27.51</v>
      </c>
      <c r="G95" s="408">
        <f t="shared" si="6"/>
        <v>2478883.16</v>
      </c>
      <c r="H95" s="10">
        <f>+'A) Base RI'!E95</f>
        <v>0</v>
      </c>
      <c r="I95" s="10">
        <f>+'A) Base RI'!F95</f>
        <v>0</v>
      </c>
      <c r="J95" s="10">
        <f>+'A) Base RI'!G95+'A) Base RI'!H95+'A) Base RI'!X95</f>
        <v>92018.76</v>
      </c>
      <c r="K95" s="10">
        <f>+'A) Base RI'!I95</f>
        <v>0</v>
      </c>
      <c r="L95" s="10">
        <f>+'A) Base RI'!J95</f>
        <v>11363.73</v>
      </c>
      <c r="M95" s="10">
        <f>+'A) Base RI'!K95</f>
        <v>1456.65</v>
      </c>
      <c r="N95" s="10">
        <f>+'A) Base RI'!Q95</f>
        <v>0</v>
      </c>
      <c r="O95" s="10">
        <f t="shared" si="7"/>
        <v>209672.85</v>
      </c>
      <c r="P95" s="10">
        <f>+'A) Base RI'!L95</f>
        <v>209672.85</v>
      </c>
      <c r="Q95" s="416">
        <f>'A) Base RI'!AS95</f>
        <v>1</v>
      </c>
      <c r="R95" s="408">
        <f t="shared" si="8"/>
        <v>2793395.15</v>
      </c>
      <c r="S95" s="482">
        <f>+'A) Base RI'!AN95</f>
        <v>75.5</v>
      </c>
      <c r="T95" s="408">
        <f t="shared" si="9"/>
        <v>2582265.65</v>
      </c>
      <c r="U95" s="408">
        <f t="shared" si="10"/>
        <v>36998.611258278142</v>
      </c>
      <c r="V95" s="10">
        <f>+'A) Base RI'!O95</f>
        <v>109740.5</v>
      </c>
      <c r="W95" s="10">
        <f>+'A) Base RI'!P95</f>
        <v>98100.45</v>
      </c>
      <c r="X95" s="10">
        <f>+'A) Base RI'!R95</f>
        <v>46579.8</v>
      </c>
      <c r="Y95" s="408">
        <f t="shared" si="11"/>
        <v>254420.75</v>
      </c>
      <c r="Z95" s="10">
        <f>+'A) Base RI'!N95</f>
        <v>9196.2999999999993</v>
      </c>
      <c r="AA95" s="10">
        <f>'A) Base RI'!AO95</f>
        <v>1153</v>
      </c>
    </row>
    <row r="96" spans="1:27" x14ac:dyDescent="0.25">
      <c r="A96" s="8">
        <f>'A) Base RI'!A96</f>
        <v>5551</v>
      </c>
      <c r="B96" s="32" t="str">
        <f>'A) Base RI'!B96</f>
        <v>Bonvillars</v>
      </c>
      <c r="C96" s="10">
        <f>'A) Base RI'!C96+'A) Base RI'!D96</f>
        <v>920815.72</v>
      </c>
      <c r="D96" s="10">
        <f>'A) Base RI'!AP96</f>
        <v>-5687.44</v>
      </c>
      <c r="E96" s="402">
        <f>'A) Base RI'!AQ96</f>
        <v>0</v>
      </c>
      <c r="F96" s="402">
        <f>'A) Base RI'!AR96</f>
        <v>-1849.91</v>
      </c>
      <c r="G96" s="408">
        <f t="shared" si="6"/>
        <v>913278.37</v>
      </c>
      <c r="H96" s="10">
        <f>+'A) Base RI'!E96</f>
        <v>0</v>
      </c>
      <c r="I96" s="10">
        <f>+'A) Base RI'!F96</f>
        <v>0</v>
      </c>
      <c r="J96" s="10">
        <f>+'A) Base RI'!G96+'A) Base RI'!H96+'A) Base RI'!X96</f>
        <v>12258.830000000002</v>
      </c>
      <c r="K96" s="10">
        <f>+'A) Base RI'!I96</f>
        <v>0</v>
      </c>
      <c r="L96" s="10">
        <f>+'A) Base RI'!J96</f>
        <v>-2026.29</v>
      </c>
      <c r="M96" s="10">
        <f>+'A) Base RI'!K96</f>
        <v>16988.400000000001</v>
      </c>
      <c r="N96" s="10">
        <f>+'A) Base RI'!Q96</f>
        <v>0</v>
      </c>
      <c r="O96" s="10">
        <f t="shared" si="7"/>
        <v>113115.6</v>
      </c>
      <c r="P96" s="10">
        <f>+'A) Base RI'!L96</f>
        <v>113115.6</v>
      </c>
      <c r="Q96" s="416">
        <f>'A) Base RI'!AS96</f>
        <v>1</v>
      </c>
      <c r="R96" s="408">
        <f t="shared" si="8"/>
        <v>1053614.9099999999</v>
      </c>
      <c r="S96" s="482">
        <f>+'A) Base RI'!AN96</f>
        <v>55</v>
      </c>
      <c r="T96" s="408">
        <f t="shared" si="9"/>
        <v>923510.90999999992</v>
      </c>
      <c r="U96" s="408">
        <f t="shared" si="10"/>
        <v>19156.634727272725</v>
      </c>
      <c r="V96" s="10">
        <f>+'A) Base RI'!O96</f>
        <v>120.5</v>
      </c>
      <c r="W96" s="10">
        <f>+'A) Base RI'!P96</f>
        <v>15785</v>
      </c>
      <c r="X96" s="10">
        <f>+'A) Base RI'!R96</f>
        <v>15577.45</v>
      </c>
      <c r="Y96" s="408">
        <f t="shared" si="11"/>
        <v>31482.95</v>
      </c>
      <c r="Z96" s="10">
        <f>+'A) Base RI'!N96</f>
        <v>30909.3</v>
      </c>
      <c r="AA96" s="10">
        <f>'A) Base RI'!AO96</f>
        <v>489</v>
      </c>
    </row>
    <row r="97" spans="1:27" x14ac:dyDescent="0.25">
      <c r="A97" s="8">
        <f>'A) Base RI'!A97</f>
        <v>5552</v>
      </c>
      <c r="B97" s="32" t="str">
        <f>'A) Base RI'!B97</f>
        <v>Bullet</v>
      </c>
      <c r="C97" s="10">
        <f>'A) Base RI'!C97+'A) Base RI'!D97</f>
        <v>1127340.1499999999</v>
      </c>
      <c r="D97" s="10">
        <f>'A) Base RI'!AP97</f>
        <v>-6720.92</v>
      </c>
      <c r="E97" s="402">
        <f>'A) Base RI'!AQ97</f>
        <v>0</v>
      </c>
      <c r="F97" s="402">
        <f>'A) Base RI'!AR97</f>
        <v>-365.96</v>
      </c>
      <c r="G97" s="408">
        <f t="shared" si="6"/>
        <v>1120253.27</v>
      </c>
      <c r="H97" s="10">
        <f>+'A) Base RI'!E97</f>
        <v>0</v>
      </c>
      <c r="I97" s="10">
        <f>+'A) Base RI'!F97</f>
        <v>0</v>
      </c>
      <c r="J97" s="10">
        <f>+'A) Base RI'!G97+'A) Base RI'!H97+'A) Base RI'!X97</f>
        <v>-4029.1799999999994</v>
      </c>
      <c r="K97" s="10">
        <f>+'A) Base RI'!I97</f>
        <v>0</v>
      </c>
      <c r="L97" s="10">
        <f>+'A) Base RI'!J97</f>
        <v>15639.79</v>
      </c>
      <c r="M97" s="10">
        <f>+'A) Base RI'!K97</f>
        <v>-502.9</v>
      </c>
      <c r="N97" s="10">
        <f>+'A) Base RI'!Q97</f>
        <v>1394.42</v>
      </c>
      <c r="O97" s="10">
        <f t="shared" si="7"/>
        <v>122528.45</v>
      </c>
      <c r="P97" s="10">
        <f>+'A) Base RI'!L97</f>
        <v>122528.45</v>
      </c>
      <c r="Q97" s="416">
        <f>'A) Base RI'!AS97</f>
        <v>1</v>
      </c>
      <c r="R97" s="408">
        <f t="shared" si="8"/>
        <v>1255283.8500000001</v>
      </c>
      <c r="S97" s="482">
        <f>+'A) Base RI'!AN97</f>
        <v>71.5</v>
      </c>
      <c r="T97" s="408">
        <f t="shared" si="9"/>
        <v>1133258.3</v>
      </c>
      <c r="U97" s="408">
        <f t="shared" si="10"/>
        <v>17556.417482517485</v>
      </c>
      <c r="V97" s="10">
        <f>+'A) Base RI'!O97</f>
        <v>3247.6</v>
      </c>
      <c r="W97" s="10">
        <f>+'A) Base RI'!P97</f>
        <v>49797</v>
      </c>
      <c r="X97" s="10">
        <f>+'A) Base RI'!R97</f>
        <v>51954.95</v>
      </c>
      <c r="Y97" s="408">
        <f t="shared" si="11"/>
        <v>104999.54999999999</v>
      </c>
      <c r="Z97" s="10">
        <f>+'A) Base RI'!N97</f>
        <v>65482.45</v>
      </c>
      <c r="AA97" s="10">
        <f>'A) Base RI'!AO97</f>
        <v>657</v>
      </c>
    </row>
    <row r="98" spans="1:27" x14ac:dyDescent="0.25">
      <c r="A98" s="8">
        <f>'A) Base RI'!A98</f>
        <v>5553</v>
      </c>
      <c r="B98" s="32" t="str">
        <f>'A) Base RI'!B98</f>
        <v>Champagne</v>
      </c>
      <c r="C98" s="10">
        <f>'A) Base RI'!C98+'A) Base RI'!D98</f>
        <v>1989145.14</v>
      </c>
      <c r="D98" s="10">
        <f>'A) Base RI'!AP98</f>
        <v>-9025.49</v>
      </c>
      <c r="E98" s="402">
        <f>'A) Base RI'!AQ98</f>
        <v>0</v>
      </c>
      <c r="F98" s="402">
        <f>'A) Base RI'!AR98</f>
        <v>-569.12</v>
      </c>
      <c r="G98" s="408">
        <f t="shared" si="6"/>
        <v>1979550.5299999998</v>
      </c>
      <c r="H98" s="10">
        <f>+'A) Base RI'!E98</f>
        <v>0</v>
      </c>
      <c r="I98" s="10">
        <f>+'A) Base RI'!F98</f>
        <v>0</v>
      </c>
      <c r="J98" s="10">
        <f>+'A) Base RI'!G98+'A) Base RI'!H98+'A) Base RI'!X98</f>
        <v>198138.09000000003</v>
      </c>
      <c r="K98" s="10">
        <f>+'A) Base RI'!I98</f>
        <v>0</v>
      </c>
      <c r="L98" s="10">
        <f>+'A) Base RI'!J98</f>
        <v>75757.75</v>
      </c>
      <c r="M98" s="10">
        <f>+'A) Base RI'!K98</f>
        <v>27799.65</v>
      </c>
      <c r="N98" s="10">
        <f>+'A) Base RI'!Q98</f>
        <v>1474.94</v>
      </c>
      <c r="O98" s="10">
        <f t="shared" si="7"/>
        <v>231568.6</v>
      </c>
      <c r="P98" s="10">
        <f>+'A) Base RI'!L98</f>
        <v>231568.6</v>
      </c>
      <c r="Q98" s="416">
        <f>'A) Base RI'!AS98</f>
        <v>1</v>
      </c>
      <c r="R98" s="408">
        <f t="shared" si="8"/>
        <v>2514289.5599999996</v>
      </c>
      <c r="S98" s="482">
        <f>+'A) Base RI'!AN98</f>
        <v>65</v>
      </c>
      <c r="T98" s="408">
        <f t="shared" si="9"/>
        <v>2254921.3099999996</v>
      </c>
      <c r="U98" s="408">
        <f t="shared" si="10"/>
        <v>38681.377846153839</v>
      </c>
      <c r="V98" s="10">
        <f>+'A) Base RI'!O98</f>
        <v>157011.4</v>
      </c>
      <c r="W98" s="10">
        <f>+'A) Base RI'!P98</f>
        <v>34246.300000000003</v>
      </c>
      <c r="X98" s="10">
        <f>+'A) Base RI'!R98</f>
        <v>19029.7</v>
      </c>
      <c r="Y98" s="408">
        <f t="shared" si="11"/>
        <v>210287.40000000002</v>
      </c>
      <c r="Z98" s="10">
        <f>+'A) Base RI'!N98</f>
        <v>172905.8</v>
      </c>
      <c r="AA98" s="10">
        <f>'A) Base RI'!AO98</f>
        <v>1061</v>
      </c>
    </row>
    <row r="99" spans="1:27" x14ac:dyDescent="0.25">
      <c r="A99" s="8">
        <f>'A) Base RI'!A99</f>
        <v>5554</v>
      </c>
      <c r="B99" s="32" t="str">
        <f>'A) Base RI'!B99</f>
        <v>Concise</v>
      </c>
      <c r="C99" s="10">
        <f>'A) Base RI'!C99+'A) Base RI'!D99</f>
        <v>2216050.67</v>
      </c>
      <c r="D99" s="10">
        <f>'A) Base RI'!AP99</f>
        <v>-27154.080000000002</v>
      </c>
      <c r="E99" s="402">
        <f>'A) Base RI'!AQ99</f>
        <v>0</v>
      </c>
      <c r="F99" s="402">
        <f>'A) Base RI'!AR99</f>
        <v>-5552</v>
      </c>
      <c r="G99" s="408">
        <f t="shared" si="6"/>
        <v>2183344.59</v>
      </c>
      <c r="H99" s="10">
        <f>+'A) Base RI'!E99</f>
        <v>0</v>
      </c>
      <c r="I99" s="10">
        <f>+'A) Base RI'!F99</f>
        <v>0</v>
      </c>
      <c r="J99" s="10">
        <f>+'A) Base RI'!G99+'A) Base RI'!H99+'A) Base RI'!X99</f>
        <v>25627.58</v>
      </c>
      <c r="K99" s="10">
        <f>+'A) Base RI'!I99</f>
        <v>0</v>
      </c>
      <c r="L99" s="10">
        <f>+'A) Base RI'!J99</f>
        <v>36519.08</v>
      </c>
      <c r="M99" s="10">
        <f>+'A) Base RI'!K99</f>
        <v>-11415.05</v>
      </c>
      <c r="N99" s="10">
        <f>+'A) Base RI'!Q99</f>
        <v>8111.93</v>
      </c>
      <c r="O99" s="10">
        <f t="shared" si="7"/>
        <v>182402.2</v>
      </c>
      <c r="P99" s="10">
        <f>+'A) Base RI'!L99</f>
        <v>182402.2</v>
      </c>
      <c r="Q99" s="416">
        <f>'A) Base RI'!AS99</f>
        <v>1</v>
      </c>
      <c r="R99" s="408">
        <f t="shared" si="8"/>
        <v>2424590.3300000005</v>
      </c>
      <c r="S99" s="482">
        <f>+'A) Base RI'!AN99</f>
        <v>75</v>
      </c>
      <c r="T99" s="408">
        <f t="shared" si="9"/>
        <v>2253603.1800000002</v>
      </c>
      <c r="U99" s="408">
        <f t="shared" si="10"/>
        <v>32327.871066666674</v>
      </c>
      <c r="V99" s="10">
        <f>+'A) Base RI'!O99</f>
        <v>106619.5</v>
      </c>
      <c r="W99" s="10">
        <f>+'A) Base RI'!P99</f>
        <v>86010.05</v>
      </c>
      <c r="X99" s="10">
        <f>+'A) Base RI'!R99</f>
        <v>55126.95</v>
      </c>
      <c r="Y99" s="408">
        <f t="shared" si="11"/>
        <v>247756.5</v>
      </c>
      <c r="Z99" s="10">
        <f>+'A) Base RI'!N99</f>
        <v>2598.0500000000002</v>
      </c>
      <c r="AA99" s="10">
        <f>'A) Base RI'!AO99</f>
        <v>1001</v>
      </c>
    </row>
    <row r="100" spans="1:27" x14ac:dyDescent="0.25">
      <c r="A100" s="8">
        <f>'A) Base RI'!A100</f>
        <v>5555</v>
      </c>
      <c r="B100" s="32" t="str">
        <f>'A) Base RI'!B100</f>
        <v>Corcelles-près-Concise</v>
      </c>
      <c r="C100" s="10">
        <f>'A) Base RI'!C100+'A) Base RI'!D100</f>
        <v>800075.37000000011</v>
      </c>
      <c r="D100" s="10">
        <f>'A) Base RI'!AP100</f>
        <v>-3578.72</v>
      </c>
      <c r="E100" s="402">
        <f>'A) Base RI'!AQ100</f>
        <v>0</v>
      </c>
      <c r="F100" s="402">
        <f>'A) Base RI'!AR100</f>
        <v>-252.22</v>
      </c>
      <c r="G100" s="408">
        <f t="shared" si="6"/>
        <v>796244.43000000017</v>
      </c>
      <c r="H100" s="10">
        <f>+'A) Base RI'!E100</f>
        <v>0</v>
      </c>
      <c r="I100" s="10">
        <f>+'A) Base RI'!F100</f>
        <v>0</v>
      </c>
      <c r="J100" s="10">
        <f>+'A) Base RI'!G100+'A) Base RI'!H100+'A) Base RI'!X100</f>
        <v>30245.059999999998</v>
      </c>
      <c r="K100" s="10">
        <f>+'A) Base RI'!I100</f>
        <v>0</v>
      </c>
      <c r="L100" s="10">
        <f>+'A) Base RI'!J100</f>
        <v>17711.75</v>
      </c>
      <c r="M100" s="10">
        <f>+'A) Base RI'!K100</f>
        <v>2094.9</v>
      </c>
      <c r="N100" s="10">
        <f>+'A) Base RI'!Q100</f>
        <v>0</v>
      </c>
      <c r="O100" s="10">
        <f t="shared" si="7"/>
        <v>90071.4</v>
      </c>
      <c r="P100" s="10">
        <f>+'A) Base RI'!L100</f>
        <v>90071.4</v>
      </c>
      <c r="Q100" s="416">
        <f>'A) Base RI'!AS100</f>
        <v>1</v>
      </c>
      <c r="R100" s="408">
        <f t="shared" si="8"/>
        <v>936367.54000000027</v>
      </c>
      <c r="S100" s="482">
        <f>+'A) Base RI'!AN100</f>
        <v>69</v>
      </c>
      <c r="T100" s="408">
        <f t="shared" si="9"/>
        <v>844201.24000000022</v>
      </c>
      <c r="U100" s="408">
        <f t="shared" si="10"/>
        <v>13570.544057971018</v>
      </c>
      <c r="V100" s="10">
        <f>+'A) Base RI'!O100</f>
        <v>100965</v>
      </c>
      <c r="W100" s="10">
        <f>+'A) Base RI'!P100</f>
        <v>46866.6</v>
      </c>
      <c r="X100" s="10">
        <f>+'A) Base RI'!R100</f>
        <v>29391.599999999999</v>
      </c>
      <c r="Y100" s="408">
        <f t="shared" si="11"/>
        <v>177223.2</v>
      </c>
      <c r="Z100" s="10">
        <f>+'A) Base RI'!N100</f>
        <v>8366.85</v>
      </c>
      <c r="AA100" s="10">
        <f>'A) Base RI'!AO100</f>
        <v>419</v>
      </c>
    </row>
    <row r="101" spans="1:27" x14ac:dyDescent="0.25">
      <c r="A101" s="8">
        <f>'A) Base RI'!A101</f>
        <v>5556</v>
      </c>
      <c r="B101" s="32" t="str">
        <f>'A) Base RI'!B101</f>
        <v>Fiez</v>
      </c>
      <c r="C101" s="10">
        <f>'A) Base RI'!C101+'A) Base RI'!D101</f>
        <v>884640.02999999991</v>
      </c>
      <c r="D101" s="10">
        <f>'A) Base RI'!AP101</f>
        <v>-40554.980000000003</v>
      </c>
      <c r="E101" s="402">
        <f>'A) Base RI'!AQ101</f>
        <v>0</v>
      </c>
      <c r="F101" s="402">
        <f>'A) Base RI'!AR101</f>
        <v>0</v>
      </c>
      <c r="G101" s="408">
        <f t="shared" si="6"/>
        <v>844085.04999999993</v>
      </c>
      <c r="H101" s="10">
        <f>+'A) Base RI'!E101</f>
        <v>0</v>
      </c>
      <c r="I101" s="10">
        <f>+'A) Base RI'!F101</f>
        <v>2420</v>
      </c>
      <c r="J101" s="10">
        <f>+'A) Base RI'!G101+'A) Base RI'!H101+'A) Base RI'!X101</f>
        <v>17894.62</v>
      </c>
      <c r="K101" s="10">
        <f>+'A) Base RI'!I101</f>
        <v>0</v>
      </c>
      <c r="L101" s="10">
        <f>+'A) Base RI'!J101</f>
        <v>14914.82</v>
      </c>
      <c r="M101" s="10">
        <f>+'A) Base RI'!K101</f>
        <v>1271.6500000000001</v>
      </c>
      <c r="N101" s="10">
        <f>+'A) Base RI'!Q101</f>
        <v>0</v>
      </c>
      <c r="O101" s="10">
        <f t="shared" si="7"/>
        <v>72747.375000000015</v>
      </c>
      <c r="P101" s="10">
        <f>+'A) Base RI'!L101</f>
        <v>87296.85</v>
      </c>
      <c r="Q101" s="416">
        <f>'A) Base RI'!AS101</f>
        <v>1.2</v>
      </c>
      <c r="R101" s="408">
        <f t="shared" si="8"/>
        <v>953333.5149999999</v>
      </c>
      <c r="S101" s="482">
        <f>+'A) Base RI'!AN101</f>
        <v>69</v>
      </c>
      <c r="T101" s="408">
        <f t="shared" si="9"/>
        <v>876894.48999999987</v>
      </c>
      <c r="U101" s="408">
        <f t="shared" si="10"/>
        <v>13816.427753623188</v>
      </c>
      <c r="V101" s="10">
        <f>+'A) Base RI'!O101</f>
        <v>0</v>
      </c>
      <c r="W101" s="10">
        <f>+'A) Base RI'!P101</f>
        <v>58162.5</v>
      </c>
      <c r="X101" s="10">
        <f>+'A) Base RI'!R101</f>
        <v>32570.45</v>
      </c>
      <c r="Y101" s="408">
        <f t="shared" si="11"/>
        <v>90732.95</v>
      </c>
      <c r="Z101" s="10">
        <f>+'A) Base RI'!N101</f>
        <v>0</v>
      </c>
      <c r="AA101" s="10">
        <f>'A) Base RI'!AO101</f>
        <v>451</v>
      </c>
    </row>
    <row r="102" spans="1:27" x14ac:dyDescent="0.25">
      <c r="A102" s="8">
        <f>'A) Base RI'!A102</f>
        <v>5557</v>
      </c>
      <c r="B102" s="32" t="str">
        <f>'A) Base RI'!B102</f>
        <v>Fontaines-sur-Grandson</v>
      </c>
      <c r="C102" s="10">
        <f>'A) Base RI'!C102+'A) Base RI'!D102</f>
        <v>382500.77999999997</v>
      </c>
      <c r="D102" s="10">
        <f>'A) Base RI'!AP102</f>
        <v>-7520.21</v>
      </c>
      <c r="E102" s="402">
        <f>'A) Base RI'!AQ102</f>
        <v>0</v>
      </c>
      <c r="F102" s="402">
        <f>'A) Base RI'!AR102</f>
        <v>-0.03</v>
      </c>
      <c r="G102" s="408">
        <f t="shared" si="6"/>
        <v>374980.53999999992</v>
      </c>
      <c r="H102" s="10">
        <f>+'A) Base RI'!E102</f>
        <v>0</v>
      </c>
      <c r="I102" s="10">
        <f>+'A) Base RI'!F102</f>
        <v>1040</v>
      </c>
      <c r="J102" s="10">
        <f>+'A) Base RI'!G102+'A) Base RI'!H102+'A) Base RI'!X102</f>
        <v>-11673.71</v>
      </c>
      <c r="K102" s="10">
        <f>+'A) Base RI'!I102</f>
        <v>0</v>
      </c>
      <c r="L102" s="10">
        <f>+'A) Base RI'!J102</f>
        <v>229.55</v>
      </c>
      <c r="M102" s="10">
        <f>+'A) Base RI'!K102</f>
        <v>1136.45</v>
      </c>
      <c r="N102" s="10">
        <f>+'A) Base RI'!Q102</f>
        <v>3338.97</v>
      </c>
      <c r="O102" s="10">
        <f t="shared" si="7"/>
        <v>36690.800000000003</v>
      </c>
      <c r="P102" s="10">
        <f>+'A) Base RI'!L102</f>
        <v>36690.800000000003</v>
      </c>
      <c r="Q102" s="416">
        <f>'A) Base RI'!AS102</f>
        <v>1</v>
      </c>
      <c r="R102" s="408">
        <f t="shared" si="8"/>
        <v>405742.59999999986</v>
      </c>
      <c r="S102" s="482">
        <f>+'A) Base RI'!AN102</f>
        <v>69</v>
      </c>
      <c r="T102" s="408">
        <f t="shared" si="9"/>
        <v>366875.34999999986</v>
      </c>
      <c r="U102" s="408">
        <f t="shared" si="10"/>
        <v>5880.3275362318818</v>
      </c>
      <c r="V102" s="10">
        <f>+'A) Base RI'!O102</f>
        <v>58410</v>
      </c>
      <c r="W102" s="10">
        <f>+'A) Base RI'!P102</f>
        <v>6329.6</v>
      </c>
      <c r="X102" s="10">
        <f>+'A) Base RI'!R102</f>
        <v>170.15</v>
      </c>
      <c r="Y102" s="408">
        <f t="shared" si="11"/>
        <v>64909.75</v>
      </c>
      <c r="Z102" s="10">
        <f>+'A) Base RI'!N102</f>
        <v>0</v>
      </c>
      <c r="AA102" s="10">
        <f>'A) Base RI'!AO102</f>
        <v>219</v>
      </c>
    </row>
    <row r="103" spans="1:27" x14ac:dyDescent="0.25">
      <c r="A103" s="8">
        <f>'A) Base RI'!A103</f>
        <v>5559</v>
      </c>
      <c r="B103" s="32" t="str">
        <f>'A) Base RI'!B103</f>
        <v>Giez</v>
      </c>
      <c r="C103" s="10">
        <f>'A) Base RI'!C103+'A) Base RI'!D103</f>
        <v>1138426.3600000001</v>
      </c>
      <c r="D103" s="10">
        <f>'A) Base RI'!AP103</f>
        <v>-10216.77</v>
      </c>
      <c r="E103" s="402">
        <f>'A) Base RI'!AQ103</f>
        <v>0</v>
      </c>
      <c r="F103" s="402">
        <f>'A) Base RI'!AR103</f>
        <v>-197.15</v>
      </c>
      <c r="G103" s="408">
        <f t="shared" si="6"/>
        <v>1128012.4400000002</v>
      </c>
      <c r="H103" s="10">
        <f>+'A) Base RI'!E103</f>
        <v>0</v>
      </c>
      <c r="I103" s="10">
        <f>+'A) Base RI'!F103</f>
        <v>0</v>
      </c>
      <c r="J103" s="10">
        <f>+'A) Base RI'!G103+'A) Base RI'!H103+'A) Base RI'!X103</f>
        <v>-129917.48</v>
      </c>
      <c r="K103" s="10">
        <f>+'A) Base RI'!I103</f>
        <v>0</v>
      </c>
      <c r="L103" s="10">
        <f>+'A) Base RI'!J103</f>
        <v>21462.39</v>
      </c>
      <c r="M103" s="10">
        <f>+'A) Base RI'!K103</f>
        <v>4011.5</v>
      </c>
      <c r="N103" s="10">
        <f>+'A) Base RI'!Q103</f>
        <v>2580.88</v>
      </c>
      <c r="O103" s="10">
        <f t="shared" si="7"/>
        <v>89093.1</v>
      </c>
      <c r="P103" s="10">
        <f>+'A) Base RI'!L103</f>
        <v>89093.1</v>
      </c>
      <c r="Q103" s="416">
        <f>'A) Base RI'!AS103</f>
        <v>1</v>
      </c>
      <c r="R103" s="408">
        <f t="shared" si="8"/>
        <v>1115242.8300000003</v>
      </c>
      <c r="S103" s="482">
        <f>+'A) Base RI'!AN103</f>
        <v>66</v>
      </c>
      <c r="T103" s="408">
        <f t="shared" si="9"/>
        <v>1022138.2300000002</v>
      </c>
      <c r="U103" s="408">
        <f t="shared" si="10"/>
        <v>16897.618636363641</v>
      </c>
      <c r="V103" s="10">
        <f>+'A) Base RI'!O103</f>
        <v>1179.0999999999999</v>
      </c>
      <c r="W103" s="10">
        <f>+'A) Base RI'!P103</f>
        <v>60948.3</v>
      </c>
      <c r="X103" s="10">
        <f>+'A) Base RI'!R103</f>
        <v>48456.75</v>
      </c>
      <c r="Y103" s="408">
        <f t="shared" si="11"/>
        <v>110584.15</v>
      </c>
      <c r="Z103" s="10">
        <f>+'A) Base RI'!N103</f>
        <v>15752.1</v>
      </c>
      <c r="AA103" s="10">
        <f>'A) Base RI'!AO103</f>
        <v>414</v>
      </c>
    </row>
    <row r="104" spans="1:27" x14ac:dyDescent="0.25">
      <c r="A104" s="8">
        <f>'A) Base RI'!A104</f>
        <v>5560</v>
      </c>
      <c r="B104" s="32" t="str">
        <f>'A) Base RI'!B104</f>
        <v>Grandevent</v>
      </c>
      <c r="C104" s="10">
        <f>'A) Base RI'!C104+'A) Base RI'!D104</f>
        <v>370813.2</v>
      </c>
      <c r="D104" s="10">
        <f>'A) Base RI'!AP104</f>
        <v>-61.04</v>
      </c>
      <c r="E104" s="402">
        <f>'A) Base RI'!AQ104</f>
        <v>0</v>
      </c>
      <c r="F104" s="402">
        <f>'A) Base RI'!AR104</f>
        <v>0</v>
      </c>
      <c r="G104" s="408">
        <f t="shared" si="6"/>
        <v>370752.16000000003</v>
      </c>
      <c r="H104" s="10">
        <f>+'A) Base RI'!E104</f>
        <v>0</v>
      </c>
      <c r="I104" s="10">
        <f>+'A) Base RI'!F104</f>
        <v>0</v>
      </c>
      <c r="J104" s="10">
        <f>+'A) Base RI'!G104+'A) Base RI'!H104+'A) Base RI'!X104</f>
        <v>1256.3</v>
      </c>
      <c r="K104" s="10">
        <f>+'A) Base RI'!I104</f>
        <v>0</v>
      </c>
      <c r="L104" s="10">
        <f>+'A) Base RI'!J104</f>
        <v>4056.5</v>
      </c>
      <c r="M104" s="10">
        <f>+'A) Base RI'!K104</f>
        <v>624.20000000000005</v>
      </c>
      <c r="N104" s="10">
        <f>+'A) Base RI'!Q104</f>
        <v>0</v>
      </c>
      <c r="O104" s="10">
        <f t="shared" si="7"/>
        <v>42727.75</v>
      </c>
      <c r="P104" s="10">
        <f>+'A) Base RI'!L104</f>
        <v>42727.75</v>
      </c>
      <c r="Q104" s="416">
        <f>'A) Base RI'!AS104</f>
        <v>1</v>
      </c>
      <c r="R104" s="408">
        <f t="shared" si="8"/>
        <v>419416.91000000003</v>
      </c>
      <c r="S104" s="482">
        <f>+'A) Base RI'!AN104</f>
        <v>68</v>
      </c>
      <c r="T104" s="408">
        <f t="shared" si="9"/>
        <v>376064.96</v>
      </c>
      <c r="U104" s="408">
        <f t="shared" si="10"/>
        <v>6167.8957352941179</v>
      </c>
      <c r="V104" s="10">
        <f>+'A) Base RI'!O104</f>
        <v>0</v>
      </c>
      <c r="W104" s="10">
        <f>+'A) Base RI'!P104</f>
        <v>15838.9</v>
      </c>
      <c r="X104" s="10">
        <f>+'A) Base RI'!R104</f>
        <v>12286.6</v>
      </c>
      <c r="Y104" s="408">
        <f t="shared" si="11"/>
        <v>28125.5</v>
      </c>
      <c r="Z104" s="10">
        <f>+'A) Base RI'!N104</f>
        <v>0</v>
      </c>
      <c r="AA104" s="10">
        <f>'A) Base RI'!AO104</f>
        <v>226</v>
      </c>
    </row>
    <row r="105" spans="1:27" x14ac:dyDescent="0.25">
      <c r="A105" s="8">
        <f>'A) Base RI'!A105</f>
        <v>5561</v>
      </c>
      <c r="B105" s="32" t="str">
        <f>'A) Base RI'!B105</f>
        <v>Grandson</v>
      </c>
      <c r="C105" s="10">
        <f>'A) Base RI'!C105+'A) Base RI'!D105</f>
        <v>7048711.3799999999</v>
      </c>
      <c r="D105" s="10">
        <f>'A) Base RI'!AP105</f>
        <v>-92039.66</v>
      </c>
      <c r="E105" s="402">
        <f>'A) Base RI'!AQ105</f>
        <v>0</v>
      </c>
      <c r="F105" s="402">
        <f>'A) Base RI'!AR105</f>
        <v>-2215.56</v>
      </c>
      <c r="G105" s="408">
        <f t="shared" si="6"/>
        <v>6954456.1600000001</v>
      </c>
      <c r="H105" s="10">
        <f>+'A) Base RI'!E105</f>
        <v>0</v>
      </c>
      <c r="I105" s="10">
        <f>+'A) Base RI'!F105</f>
        <v>0</v>
      </c>
      <c r="J105" s="10">
        <f>+'A) Base RI'!G105+'A) Base RI'!H105+'A) Base RI'!X105</f>
        <v>192182.89</v>
      </c>
      <c r="K105" s="10">
        <f>+'A) Base RI'!I105</f>
        <v>0</v>
      </c>
      <c r="L105" s="10">
        <f>+'A) Base RI'!J105</f>
        <v>98024.05</v>
      </c>
      <c r="M105" s="10">
        <f>+'A) Base RI'!K105</f>
        <v>39938</v>
      </c>
      <c r="N105" s="10">
        <f>+'A) Base RI'!Q105</f>
        <v>24183.27</v>
      </c>
      <c r="O105" s="10">
        <f t="shared" si="7"/>
        <v>625231.19999999995</v>
      </c>
      <c r="P105" s="10">
        <f>+'A) Base RI'!L105</f>
        <v>625231.19999999995</v>
      </c>
      <c r="Q105" s="416">
        <f>'A) Base RI'!AS105</f>
        <v>1</v>
      </c>
      <c r="R105" s="408">
        <f t="shared" si="8"/>
        <v>7934015.5699999994</v>
      </c>
      <c r="S105" s="482">
        <f>+'A) Base RI'!AN105</f>
        <v>69</v>
      </c>
      <c r="T105" s="408">
        <f t="shared" si="9"/>
        <v>7268846.3699999992</v>
      </c>
      <c r="U105" s="408">
        <f t="shared" si="10"/>
        <v>114985.73289855072</v>
      </c>
      <c r="V105" s="10">
        <f>+'A) Base RI'!O105</f>
        <v>33786.199999999997</v>
      </c>
      <c r="W105" s="10">
        <f>+'A) Base RI'!P105</f>
        <v>302638.40000000002</v>
      </c>
      <c r="X105" s="10">
        <f>+'A) Base RI'!R105</f>
        <v>332812.2</v>
      </c>
      <c r="Y105" s="408">
        <f t="shared" si="11"/>
        <v>669236.80000000005</v>
      </c>
      <c r="Z105" s="10">
        <f>+'A) Base RI'!N105</f>
        <v>401465.1</v>
      </c>
      <c r="AA105" s="10">
        <f>'A) Base RI'!AO105</f>
        <v>3356</v>
      </c>
    </row>
    <row r="106" spans="1:27" x14ac:dyDescent="0.25">
      <c r="A106" s="8">
        <f>'A) Base RI'!A106</f>
        <v>5562</v>
      </c>
      <c r="B106" s="32" t="str">
        <f>'A) Base RI'!B106</f>
        <v>Mauborget</v>
      </c>
      <c r="C106" s="10">
        <f>'A) Base RI'!C106+'A) Base RI'!D106</f>
        <v>387330.91000000003</v>
      </c>
      <c r="D106" s="10">
        <f>'A) Base RI'!AP106</f>
        <v>-6905.78</v>
      </c>
      <c r="E106" s="402">
        <f>'A) Base RI'!AQ106</f>
        <v>0</v>
      </c>
      <c r="F106" s="402">
        <f>'A) Base RI'!AR106</f>
        <v>-13.26</v>
      </c>
      <c r="G106" s="408">
        <f t="shared" si="6"/>
        <v>380411.87</v>
      </c>
      <c r="H106" s="10">
        <f>+'A) Base RI'!E106</f>
        <v>0</v>
      </c>
      <c r="I106" s="10">
        <f>+'A) Base RI'!F106</f>
        <v>870</v>
      </c>
      <c r="J106" s="10">
        <f>+'A) Base RI'!G106+'A) Base RI'!H106+'A) Base RI'!X106</f>
        <v>2556</v>
      </c>
      <c r="K106" s="10">
        <f>+'A) Base RI'!I106</f>
        <v>0</v>
      </c>
      <c r="L106" s="10">
        <f>+'A) Base RI'!J106</f>
        <v>6319.65</v>
      </c>
      <c r="M106" s="10">
        <f>+'A) Base RI'!K106</f>
        <v>1974.5</v>
      </c>
      <c r="N106" s="10">
        <f>+'A) Base RI'!Q106</f>
        <v>0</v>
      </c>
      <c r="O106" s="10">
        <f t="shared" si="7"/>
        <v>30469.000000000004</v>
      </c>
      <c r="P106" s="10">
        <f>+'A) Base RI'!L106</f>
        <v>36562.800000000003</v>
      </c>
      <c r="Q106" s="416">
        <f>'A) Base RI'!AS106</f>
        <v>1.2</v>
      </c>
      <c r="R106" s="408">
        <f t="shared" si="8"/>
        <v>422601.02</v>
      </c>
      <c r="S106" s="482">
        <f>+'A) Base RI'!AN106</f>
        <v>70</v>
      </c>
      <c r="T106" s="408">
        <f t="shared" si="9"/>
        <v>389287.52</v>
      </c>
      <c r="U106" s="408">
        <f t="shared" si="10"/>
        <v>6037.1574285714287</v>
      </c>
      <c r="V106" s="10">
        <f>+'A) Base RI'!O106</f>
        <v>7790.6</v>
      </c>
      <c r="W106" s="10">
        <f>+'A) Base RI'!P106</f>
        <v>5830</v>
      </c>
      <c r="X106" s="10">
        <f>+'A) Base RI'!R106</f>
        <v>11765.3</v>
      </c>
      <c r="Y106" s="408">
        <f t="shared" si="11"/>
        <v>25385.9</v>
      </c>
      <c r="Z106" s="10">
        <f>+'A) Base RI'!N106</f>
        <v>0</v>
      </c>
      <c r="AA106" s="10">
        <f>'A) Base RI'!AO106</f>
        <v>128</v>
      </c>
    </row>
    <row r="107" spans="1:27" x14ac:dyDescent="0.25">
      <c r="A107" s="8">
        <f>'A) Base RI'!A107</f>
        <v>5563</v>
      </c>
      <c r="B107" s="32" t="str">
        <f>'A) Base RI'!B107</f>
        <v>Mutrux</v>
      </c>
      <c r="C107" s="10">
        <f>'A) Base RI'!C107+'A) Base RI'!D107</f>
        <v>307519.5</v>
      </c>
      <c r="D107" s="10">
        <f>'A) Base RI'!AP107</f>
        <v>-4499.96</v>
      </c>
      <c r="E107" s="402">
        <f>'A) Base RI'!AQ107</f>
        <v>0</v>
      </c>
      <c r="F107" s="402">
        <f>'A) Base RI'!AR107</f>
        <v>-0.95</v>
      </c>
      <c r="G107" s="408">
        <f t="shared" si="6"/>
        <v>303018.58999999997</v>
      </c>
      <c r="H107" s="10">
        <f>+'A) Base RI'!E107</f>
        <v>0</v>
      </c>
      <c r="I107" s="10">
        <f>+'A) Base RI'!F107</f>
        <v>546</v>
      </c>
      <c r="J107" s="10">
        <f>+'A) Base RI'!G107+'A) Base RI'!H107+'A) Base RI'!X107</f>
        <v>509.46000000000004</v>
      </c>
      <c r="K107" s="10">
        <f>+'A) Base RI'!I107</f>
        <v>0</v>
      </c>
      <c r="L107" s="10">
        <f>+'A) Base RI'!J107</f>
        <v>0</v>
      </c>
      <c r="M107" s="10">
        <f>+'A) Base RI'!K107</f>
        <v>0</v>
      </c>
      <c r="N107" s="10">
        <f>+'A) Base RI'!Q107</f>
        <v>0</v>
      </c>
      <c r="O107" s="10">
        <f t="shared" si="7"/>
        <v>21812.55</v>
      </c>
      <c r="P107" s="10">
        <f>+'A) Base RI'!L107</f>
        <v>21812.55</v>
      </c>
      <c r="Q107" s="416">
        <f>'A) Base RI'!AS107</f>
        <v>1</v>
      </c>
      <c r="R107" s="408">
        <f t="shared" si="8"/>
        <v>325886.59999999998</v>
      </c>
      <c r="S107" s="482">
        <f>+'A) Base RI'!AN107</f>
        <v>80</v>
      </c>
      <c r="T107" s="408">
        <f t="shared" si="9"/>
        <v>303528.05</v>
      </c>
      <c r="U107" s="408">
        <f t="shared" si="10"/>
        <v>4073.5824999999995</v>
      </c>
      <c r="V107" s="10">
        <f>+'A) Base RI'!O107</f>
        <v>3229.2</v>
      </c>
      <c r="W107" s="10">
        <f>+'A) Base RI'!P107</f>
        <v>19949.599999999999</v>
      </c>
      <c r="X107" s="10">
        <f>+'A) Base RI'!R107</f>
        <v>449.15</v>
      </c>
      <c r="Y107" s="408">
        <f t="shared" si="11"/>
        <v>23627.95</v>
      </c>
      <c r="Z107" s="10">
        <f>+'A) Base RI'!N107</f>
        <v>0</v>
      </c>
      <c r="AA107" s="10">
        <f>'A) Base RI'!AO107</f>
        <v>149</v>
      </c>
    </row>
    <row r="108" spans="1:27" x14ac:dyDescent="0.25">
      <c r="A108" s="8">
        <f>'A) Base RI'!A108</f>
        <v>5564</v>
      </c>
      <c r="B108" s="32" t="str">
        <f>'A) Base RI'!B108</f>
        <v>Novalles</v>
      </c>
      <c r="C108" s="10">
        <f>'A) Base RI'!C108+'A) Base RI'!D108</f>
        <v>145477.26999999999</v>
      </c>
      <c r="D108" s="10">
        <f>'A) Base RI'!AP108</f>
        <v>-188.79</v>
      </c>
      <c r="E108" s="402">
        <f>'A) Base RI'!AQ108</f>
        <v>0</v>
      </c>
      <c r="F108" s="402">
        <f>'A) Base RI'!AR108</f>
        <v>0</v>
      </c>
      <c r="G108" s="408">
        <f t="shared" si="6"/>
        <v>145288.47999999998</v>
      </c>
      <c r="H108" s="10">
        <f>+'A) Base RI'!E108</f>
        <v>0</v>
      </c>
      <c r="I108" s="10">
        <f>+'A) Base RI'!F108</f>
        <v>0</v>
      </c>
      <c r="J108" s="10">
        <f>+'A) Base RI'!G108+'A) Base RI'!H108+'A) Base RI'!X108</f>
        <v>-16.579999999999998</v>
      </c>
      <c r="K108" s="10">
        <f>+'A) Base RI'!I108</f>
        <v>0</v>
      </c>
      <c r="L108" s="10">
        <f>+'A) Base RI'!J108</f>
        <v>0</v>
      </c>
      <c r="M108" s="10">
        <f>+'A) Base RI'!K108</f>
        <v>0</v>
      </c>
      <c r="N108" s="10">
        <f>+'A) Base RI'!Q108</f>
        <v>0</v>
      </c>
      <c r="O108" s="10">
        <f t="shared" si="7"/>
        <v>13682.4375</v>
      </c>
      <c r="P108" s="10">
        <f>+'A) Base RI'!L108</f>
        <v>10945.95</v>
      </c>
      <c r="Q108" s="416">
        <f>'A) Base RI'!AS108</f>
        <v>0.8</v>
      </c>
      <c r="R108" s="408">
        <f t="shared" si="8"/>
        <v>158954.33749999999</v>
      </c>
      <c r="S108" s="482">
        <f>+'A) Base RI'!AN108</f>
        <v>76</v>
      </c>
      <c r="T108" s="408">
        <f t="shared" si="9"/>
        <v>145271.9</v>
      </c>
      <c r="U108" s="408">
        <f t="shared" si="10"/>
        <v>2091.5044407894734</v>
      </c>
      <c r="V108" s="10">
        <f>+'A) Base RI'!O108</f>
        <v>0</v>
      </c>
      <c r="W108" s="10">
        <f>+'A) Base RI'!P108</f>
        <v>13948</v>
      </c>
      <c r="X108" s="10">
        <f>+'A) Base RI'!R108</f>
        <v>12895.3</v>
      </c>
      <c r="Y108" s="408">
        <f t="shared" si="11"/>
        <v>26843.3</v>
      </c>
      <c r="Z108" s="10">
        <f>+'A) Base RI'!N108</f>
        <v>0</v>
      </c>
      <c r="AA108" s="10">
        <f>'A) Base RI'!AO108</f>
        <v>99</v>
      </c>
    </row>
    <row r="109" spans="1:27" x14ac:dyDescent="0.25">
      <c r="A109" s="8">
        <f>'A) Base RI'!A109</f>
        <v>5565</v>
      </c>
      <c r="B109" s="32" t="str">
        <f>'A) Base RI'!B109</f>
        <v>Onnens</v>
      </c>
      <c r="C109" s="10">
        <f>'A) Base RI'!C109+'A) Base RI'!D109</f>
        <v>865486.51</v>
      </c>
      <c r="D109" s="10">
        <f>'A) Base RI'!AP109</f>
        <v>-27776.720000000001</v>
      </c>
      <c r="E109" s="402">
        <f>'A) Base RI'!AQ109</f>
        <v>0</v>
      </c>
      <c r="F109" s="402">
        <f>'A) Base RI'!AR109</f>
        <v>-11.29</v>
      </c>
      <c r="G109" s="408">
        <f t="shared" si="6"/>
        <v>837698.5</v>
      </c>
      <c r="H109" s="10">
        <f>+'A) Base RI'!E109</f>
        <v>0</v>
      </c>
      <c r="I109" s="10">
        <f>+'A) Base RI'!F109</f>
        <v>0</v>
      </c>
      <c r="J109" s="10">
        <f>+'A) Base RI'!G109+'A) Base RI'!H109+'A) Base RI'!X109</f>
        <v>246865.08000000002</v>
      </c>
      <c r="K109" s="10">
        <f>+'A) Base RI'!I109</f>
        <v>0</v>
      </c>
      <c r="L109" s="10">
        <f>+'A) Base RI'!J109</f>
        <v>7621.6</v>
      </c>
      <c r="M109" s="10">
        <f>+'A) Base RI'!K109</f>
        <v>26852.5</v>
      </c>
      <c r="N109" s="10">
        <f>+'A) Base RI'!Q109</f>
        <v>1733.33</v>
      </c>
      <c r="O109" s="10">
        <f t="shared" si="7"/>
        <v>129580.95</v>
      </c>
      <c r="P109" s="10">
        <f>+'A) Base RI'!L109</f>
        <v>129580.95</v>
      </c>
      <c r="Q109" s="416">
        <f>'A) Base RI'!AS109</f>
        <v>1</v>
      </c>
      <c r="R109" s="408">
        <f t="shared" si="8"/>
        <v>1250351.9600000002</v>
      </c>
      <c r="S109" s="482">
        <f>+'A) Base RI'!AN109</f>
        <v>63.5</v>
      </c>
      <c r="T109" s="408">
        <f t="shared" si="9"/>
        <v>1093918.5100000002</v>
      </c>
      <c r="U109" s="408">
        <f t="shared" si="10"/>
        <v>19690.582047244097</v>
      </c>
      <c r="V109" s="10">
        <f>+'A) Base RI'!O109</f>
        <v>0</v>
      </c>
      <c r="W109" s="10">
        <f>+'A) Base RI'!P109</f>
        <v>23569.200000000001</v>
      </c>
      <c r="X109" s="10">
        <f>+'A) Base RI'!R109</f>
        <v>17554.599999999999</v>
      </c>
      <c r="Y109" s="408">
        <f t="shared" si="11"/>
        <v>41123.800000000003</v>
      </c>
      <c r="Z109" s="10">
        <f>+'A) Base RI'!N109</f>
        <v>40728.550000000003</v>
      </c>
      <c r="AA109" s="10">
        <f>'A) Base RI'!AO109</f>
        <v>505</v>
      </c>
    </row>
    <row r="110" spans="1:27" x14ac:dyDescent="0.25">
      <c r="A110" s="8">
        <f>'A) Base RI'!A110</f>
        <v>5566</v>
      </c>
      <c r="B110" s="32" t="str">
        <f>'A) Base RI'!B110</f>
        <v>Provence</v>
      </c>
      <c r="C110" s="10">
        <f>'A) Base RI'!C110+'A) Base RI'!D110</f>
        <v>550431.46</v>
      </c>
      <c r="D110" s="10">
        <f>'A) Base RI'!AP110</f>
        <v>-16973.87</v>
      </c>
      <c r="E110" s="402">
        <f>'A) Base RI'!AQ110</f>
        <v>0</v>
      </c>
      <c r="F110" s="402">
        <f>'A) Base RI'!AR110</f>
        <v>0</v>
      </c>
      <c r="G110" s="408">
        <f t="shared" si="6"/>
        <v>533457.59</v>
      </c>
      <c r="H110" s="10">
        <f>+'A) Base RI'!E110</f>
        <v>0</v>
      </c>
      <c r="I110" s="10">
        <f>+'A) Base RI'!F110</f>
        <v>2560</v>
      </c>
      <c r="J110" s="10">
        <f>+'A) Base RI'!G110+'A) Base RI'!H110+'A) Base RI'!X110</f>
        <v>26528.46</v>
      </c>
      <c r="K110" s="10">
        <f>+'A) Base RI'!I110</f>
        <v>0</v>
      </c>
      <c r="L110" s="10">
        <f>+'A) Base RI'!J110</f>
        <v>-2241.41</v>
      </c>
      <c r="M110" s="10">
        <f>+'A) Base RI'!K110</f>
        <v>2992.35</v>
      </c>
      <c r="N110" s="10">
        <f>+'A) Base RI'!Q110</f>
        <v>695.42</v>
      </c>
      <c r="O110" s="10">
        <f t="shared" si="7"/>
        <v>51505.133333333331</v>
      </c>
      <c r="P110" s="10">
        <f>+'A) Base RI'!L110</f>
        <v>77257.7</v>
      </c>
      <c r="Q110" s="416">
        <f>'A) Base RI'!AS110</f>
        <v>1.5</v>
      </c>
      <c r="R110" s="408">
        <f t="shared" si="8"/>
        <v>615497.54333333322</v>
      </c>
      <c r="S110" s="482">
        <f>+'A) Base RI'!AN110</f>
        <v>81</v>
      </c>
      <c r="T110" s="408">
        <f t="shared" si="9"/>
        <v>558440.05999999994</v>
      </c>
      <c r="U110" s="408">
        <f t="shared" si="10"/>
        <v>7598.735102880657</v>
      </c>
      <c r="V110" s="10">
        <f>+'A) Base RI'!O110</f>
        <v>89681.5</v>
      </c>
      <c r="W110" s="10">
        <f>+'A) Base RI'!P110</f>
        <v>39065.35</v>
      </c>
      <c r="X110" s="10">
        <f>+'A) Base RI'!R110</f>
        <v>9511.7999999999993</v>
      </c>
      <c r="Y110" s="408">
        <f t="shared" si="11"/>
        <v>138258.65</v>
      </c>
      <c r="Z110" s="10">
        <f>+'A) Base RI'!N110</f>
        <v>28034.799999999999</v>
      </c>
      <c r="AA110" s="10">
        <f>'A) Base RI'!AO110</f>
        <v>392</v>
      </c>
    </row>
    <row r="111" spans="1:27" x14ac:dyDescent="0.25">
      <c r="A111" s="8">
        <f>'A) Base RI'!A111</f>
        <v>5568</v>
      </c>
      <c r="B111" s="32" t="str">
        <f>'A) Base RI'!B111</f>
        <v>Sainte-Croix</v>
      </c>
      <c r="C111" s="10">
        <f>'A) Base RI'!C111+'A) Base RI'!D111</f>
        <v>6441318.8799999999</v>
      </c>
      <c r="D111" s="10">
        <f>'A) Base RI'!AP111</f>
        <v>-276995.33</v>
      </c>
      <c r="E111" s="402">
        <f>'A) Base RI'!AQ111</f>
        <v>0</v>
      </c>
      <c r="F111" s="402">
        <f>'A) Base RI'!AR111</f>
        <v>-7531.87</v>
      </c>
      <c r="G111" s="408">
        <f t="shared" si="6"/>
        <v>6156791.6799999997</v>
      </c>
      <c r="H111" s="10">
        <f>+'A) Base RI'!E111</f>
        <v>0</v>
      </c>
      <c r="I111" s="10">
        <f>+'A) Base RI'!F111</f>
        <v>0</v>
      </c>
      <c r="J111" s="10">
        <f>+'A) Base RI'!G111+'A) Base RI'!H111+'A) Base RI'!X111</f>
        <v>385587.74</v>
      </c>
      <c r="K111" s="10">
        <f>+'A) Base RI'!I111</f>
        <v>34735.050000000003</v>
      </c>
      <c r="L111" s="10">
        <f>+'A) Base RI'!J111</f>
        <v>124726.16</v>
      </c>
      <c r="M111" s="10">
        <f>+'A) Base RI'!K111</f>
        <v>42009.7</v>
      </c>
      <c r="N111" s="10">
        <f>+'A) Base RI'!Q111</f>
        <v>73754.06</v>
      </c>
      <c r="O111" s="10">
        <f t="shared" si="7"/>
        <v>638478.94999999995</v>
      </c>
      <c r="P111" s="10">
        <f>+'A) Base RI'!L111</f>
        <v>638478.94999999995</v>
      </c>
      <c r="Q111" s="416">
        <f>'A) Base RI'!AS111</f>
        <v>1</v>
      </c>
      <c r="R111" s="408">
        <f t="shared" si="8"/>
        <v>7456083.3399999999</v>
      </c>
      <c r="S111" s="482">
        <f>+'A) Base RI'!AN111</f>
        <v>70</v>
      </c>
      <c r="T111" s="408">
        <f t="shared" si="9"/>
        <v>6775594.6899999995</v>
      </c>
      <c r="U111" s="408">
        <f t="shared" si="10"/>
        <v>106515.47628571428</v>
      </c>
      <c r="V111" s="10">
        <f>+'A) Base RI'!O111</f>
        <v>397671.2</v>
      </c>
      <c r="W111" s="10">
        <f>+'A) Base RI'!P111</f>
        <v>272858.75</v>
      </c>
      <c r="X111" s="10">
        <f>+'A) Base RI'!R111</f>
        <v>275736.40000000002</v>
      </c>
      <c r="Y111" s="408">
        <f t="shared" si="11"/>
        <v>946266.35</v>
      </c>
      <c r="Z111" s="10">
        <f>+'A) Base RI'!N111</f>
        <v>1941083.25</v>
      </c>
      <c r="AA111" s="10">
        <f>'A) Base RI'!AO111</f>
        <v>4917</v>
      </c>
    </row>
    <row r="112" spans="1:27" x14ac:dyDescent="0.25">
      <c r="A112" s="8">
        <f>'A) Base RI'!A112</f>
        <v>5571</v>
      </c>
      <c r="B112" s="32" t="str">
        <f>'A) Base RI'!B112</f>
        <v>Tévenon</v>
      </c>
      <c r="C112" s="10">
        <f>'A) Base RI'!C112+'A) Base RI'!D112</f>
        <v>1350031.3900000001</v>
      </c>
      <c r="D112" s="10">
        <f>'A) Base RI'!AP112</f>
        <v>-25560.43</v>
      </c>
      <c r="E112" s="402">
        <f>'A) Base RI'!AQ112</f>
        <v>0</v>
      </c>
      <c r="F112" s="402">
        <f>'A) Base RI'!AR112</f>
        <v>-0.11</v>
      </c>
      <c r="G112" s="408">
        <f t="shared" si="6"/>
        <v>1324470.8500000001</v>
      </c>
      <c r="H112" s="10">
        <f>+'A) Base RI'!E112</f>
        <v>0</v>
      </c>
      <c r="I112" s="10">
        <f>+'A) Base RI'!F112</f>
        <v>0</v>
      </c>
      <c r="J112" s="10">
        <f>+'A) Base RI'!G112+'A) Base RI'!H112+'A) Base RI'!X112</f>
        <v>16458.009999999998</v>
      </c>
      <c r="K112" s="10">
        <f>+'A) Base RI'!I112</f>
        <v>0</v>
      </c>
      <c r="L112" s="10">
        <f>+'A) Base RI'!J112</f>
        <v>12529.03</v>
      </c>
      <c r="M112" s="10">
        <f>+'A) Base RI'!K112</f>
        <v>8767.2000000000007</v>
      </c>
      <c r="N112" s="10">
        <f>+'A) Base RI'!Q112</f>
        <v>-21.02</v>
      </c>
      <c r="O112" s="10">
        <f t="shared" si="7"/>
        <v>166472.16666666669</v>
      </c>
      <c r="P112" s="10">
        <f>+'A) Base RI'!L112</f>
        <v>199766.6</v>
      </c>
      <c r="Q112" s="416">
        <f>'A) Base RI'!AS112</f>
        <v>1.2</v>
      </c>
      <c r="R112" s="408">
        <f t="shared" si="8"/>
        <v>1528676.2366666668</v>
      </c>
      <c r="S112" s="482">
        <f>+'A) Base RI'!AN112</f>
        <v>71.5</v>
      </c>
      <c r="T112" s="408">
        <f t="shared" si="9"/>
        <v>1353436.87</v>
      </c>
      <c r="U112" s="408">
        <f t="shared" si="10"/>
        <v>21380.087226107229</v>
      </c>
      <c r="V112" s="10">
        <f>+'A) Base RI'!O112</f>
        <v>21402.799999999999</v>
      </c>
      <c r="W112" s="10">
        <f>+'A) Base RI'!P112</f>
        <v>70205.5</v>
      </c>
      <c r="X112" s="10">
        <f>+'A) Base RI'!R112</f>
        <v>32604.15</v>
      </c>
      <c r="Y112" s="408">
        <f t="shared" si="11"/>
        <v>124212.45000000001</v>
      </c>
      <c r="Z112" s="10">
        <f>+'A) Base RI'!N112</f>
        <v>43934.400000000001</v>
      </c>
      <c r="AA112" s="10">
        <f>'A) Base RI'!AO112</f>
        <v>894</v>
      </c>
    </row>
    <row r="113" spans="1:27" x14ac:dyDescent="0.25">
      <c r="A113" s="8">
        <f>'A) Base RI'!A113</f>
        <v>5581</v>
      </c>
      <c r="B113" s="32" t="str">
        <f>'A) Base RI'!B113</f>
        <v>Belmont-sur-Lausanne</v>
      </c>
      <c r="C113" s="10">
        <f>'A) Base RI'!C113+'A) Base RI'!D113</f>
        <v>13950950.27</v>
      </c>
      <c r="D113" s="10">
        <f>'A) Base RI'!AP113</f>
        <v>-119092.76</v>
      </c>
      <c r="E113" s="402">
        <f>'A) Base RI'!AQ113</f>
        <v>0</v>
      </c>
      <c r="F113" s="402">
        <f>'A) Base RI'!AR113</f>
        <v>-13459.88</v>
      </c>
      <c r="G113" s="408">
        <f t="shared" si="6"/>
        <v>13818397.629999999</v>
      </c>
      <c r="H113" s="10">
        <f>+'A) Base RI'!E113</f>
        <v>0</v>
      </c>
      <c r="I113" s="10">
        <f>+'A) Base RI'!F113</f>
        <v>0</v>
      </c>
      <c r="J113" s="10">
        <f>+'A) Base RI'!G113+'A) Base RI'!H113+'A) Base RI'!X113</f>
        <v>172186.74</v>
      </c>
      <c r="K113" s="10">
        <f>+'A) Base RI'!I113</f>
        <v>131942.20000000001</v>
      </c>
      <c r="L113" s="10">
        <f>+'A) Base RI'!J113</f>
        <v>188125.99</v>
      </c>
      <c r="M113" s="10">
        <f>+'A) Base RI'!K113</f>
        <v>46451.95</v>
      </c>
      <c r="N113" s="10">
        <f>+'A) Base RI'!Q113</f>
        <v>2457.84</v>
      </c>
      <c r="O113" s="10">
        <f t="shared" si="7"/>
        <v>936524.5</v>
      </c>
      <c r="P113" s="10">
        <f>+'A) Base RI'!L113</f>
        <v>1404786.75</v>
      </c>
      <c r="Q113" s="416">
        <f>'A) Base RI'!AS113</f>
        <v>1.5</v>
      </c>
      <c r="R113" s="408">
        <f t="shared" si="8"/>
        <v>15296086.849999998</v>
      </c>
      <c r="S113" s="482">
        <f>+'A) Base RI'!AN113</f>
        <v>72</v>
      </c>
      <c r="T113" s="408">
        <f t="shared" si="9"/>
        <v>14313110.399999999</v>
      </c>
      <c r="U113" s="408">
        <f t="shared" si="10"/>
        <v>212445.65069444443</v>
      </c>
      <c r="V113" s="10">
        <f>+'A) Base RI'!O113</f>
        <v>403696.7</v>
      </c>
      <c r="W113" s="10">
        <f>+'A) Base RI'!P113</f>
        <v>817770.75</v>
      </c>
      <c r="X113" s="10">
        <f>+'A) Base RI'!R113</f>
        <v>404928.55</v>
      </c>
      <c r="Y113" s="408">
        <f t="shared" si="11"/>
        <v>1626396</v>
      </c>
      <c r="Z113" s="10">
        <f>+'A) Base RI'!N113</f>
        <v>6504.65</v>
      </c>
      <c r="AA113" s="10">
        <f>'A) Base RI'!AO113</f>
        <v>3756</v>
      </c>
    </row>
    <row r="114" spans="1:27" x14ac:dyDescent="0.25">
      <c r="A114" s="8">
        <f>'A) Base RI'!A114</f>
        <v>5582</v>
      </c>
      <c r="B114" s="32" t="str">
        <f>'A) Base RI'!B114</f>
        <v>Cheseaux-sur-Lausanne</v>
      </c>
      <c r="C114" s="10">
        <f>'A) Base RI'!C114+'A) Base RI'!D114</f>
        <v>10187405.949999999</v>
      </c>
      <c r="D114" s="10">
        <f>'A) Base RI'!AP114</f>
        <v>-110947.42</v>
      </c>
      <c r="E114" s="402">
        <f>'A) Base RI'!AQ114</f>
        <v>0</v>
      </c>
      <c r="F114" s="402">
        <f>'A) Base RI'!AR114</f>
        <v>-2152.39</v>
      </c>
      <c r="G114" s="408">
        <f t="shared" si="6"/>
        <v>10074306.139999999</v>
      </c>
      <c r="H114" s="10">
        <f>+'A) Base RI'!E114</f>
        <v>0</v>
      </c>
      <c r="I114" s="10">
        <f>+'A) Base RI'!F114</f>
        <v>0</v>
      </c>
      <c r="J114" s="10">
        <f>+'A) Base RI'!G114+'A) Base RI'!H114+'A) Base RI'!X114</f>
        <v>443564.71</v>
      </c>
      <c r="K114" s="10">
        <f>+'A) Base RI'!I114</f>
        <v>69493.399999999994</v>
      </c>
      <c r="L114" s="10">
        <f>+'A) Base RI'!J114</f>
        <v>325747.37</v>
      </c>
      <c r="M114" s="10">
        <f>+'A) Base RI'!K114</f>
        <v>81995.5</v>
      </c>
      <c r="N114" s="10">
        <f>+'A) Base RI'!Q114</f>
        <v>39706.730000000003</v>
      </c>
      <c r="O114" s="10">
        <f t="shared" si="7"/>
        <v>921147.6</v>
      </c>
      <c r="P114" s="10">
        <f>+'A) Base RI'!L114</f>
        <v>921147.6</v>
      </c>
      <c r="Q114" s="416">
        <f>'A) Base RI'!AS114</f>
        <v>1</v>
      </c>
      <c r="R114" s="408">
        <f t="shared" si="8"/>
        <v>11955961.449999999</v>
      </c>
      <c r="S114" s="482">
        <f>+'A) Base RI'!AN114</f>
        <v>73</v>
      </c>
      <c r="T114" s="408">
        <f t="shared" si="9"/>
        <v>10952818.35</v>
      </c>
      <c r="U114" s="408">
        <f t="shared" si="10"/>
        <v>163780.29383561644</v>
      </c>
      <c r="V114" s="10">
        <f>+'A) Base RI'!O114</f>
        <v>121067</v>
      </c>
      <c r="W114" s="10">
        <f>+'A) Base RI'!P114</f>
        <v>279093.84999999998</v>
      </c>
      <c r="X114" s="10">
        <f>+'A) Base RI'!R114</f>
        <v>197899.8</v>
      </c>
      <c r="Y114" s="408">
        <f t="shared" si="11"/>
        <v>598060.64999999991</v>
      </c>
      <c r="Z114" s="10">
        <f>+'A) Base RI'!N114</f>
        <v>472098.15</v>
      </c>
      <c r="AA114" s="10">
        <f>'A) Base RI'!AO114</f>
        <v>4367</v>
      </c>
    </row>
    <row r="115" spans="1:27" x14ac:dyDescent="0.25">
      <c r="A115" s="8">
        <f>'A) Base RI'!A115</f>
        <v>5583</v>
      </c>
      <c r="B115" s="32" t="str">
        <f>'A) Base RI'!B115</f>
        <v>Crissier</v>
      </c>
      <c r="C115" s="10">
        <f>'A) Base RI'!C115+'A) Base RI'!D115</f>
        <v>14394064.869999999</v>
      </c>
      <c r="D115" s="10">
        <f>'A) Base RI'!AP115</f>
        <v>-331383.8</v>
      </c>
      <c r="E115" s="402">
        <f>'A) Base RI'!AQ115</f>
        <v>0</v>
      </c>
      <c r="F115" s="402">
        <f>'A) Base RI'!AR115</f>
        <v>-4299.21</v>
      </c>
      <c r="G115" s="408">
        <f t="shared" si="6"/>
        <v>14058381.859999998</v>
      </c>
      <c r="H115" s="10">
        <f>+'A) Base RI'!E115</f>
        <v>0</v>
      </c>
      <c r="I115" s="10">
        <f>+'A) Base RI'!F115</f>
        <v>0</v>
      </c>
      <c r="J115" s="10">
        <f>+'A) Base RI'!G115+'A) Base RI'!H115+'A) Base RI'!X115</f>
        <v>5392739.0600000005</v>
      </c>
      <c r="K115" s="10">
        <f>+'A) Base RI'!I115</f>
        <v>0</v>
      </c>
      <c r="L115" s="10">
        <f>+'A) Base RI'!J115</f>
        <v>1042296.27</v>
      </c>
      <c r="M115" s="10">
        <f>+'A) Base RI'!K115</f>
        <v>354891.75</v>
      </c>
      <c r="N115" s="10">
        <f>+'A) Base RI'!Q115</f>
        <v>49453.58</v>
      </c>
      <c r="O115" s="10">
        <f t="shared" si="7"/>
        <v>2476289.65</v>
      </c>
      <c r="P115" s="10">
        <f>+'A) Base RI'!L115</f>
        <v>2476289.65</v>
      </c>
      <c r="Q115" s="416">
        <f>'A) Base RI'!AS115</f>
        <v>1</v>
      </c>
      <c r="R115" s="408">
        <f t="shared" si="8"/>
        <v>23374052.169999994</v>
      </c>
      <c r="S115" s="482">
        <f>+'A) Base RI'!AN115</f>
        <v>63.5</v>
      </c>
      <c r="T115" s="408">
        <f t="shared" si="9"/>
        <v>20542870.769999996</v>
      </c>
      <c r="U115" s="408">
        <f t="shared" si="10"/>
        <v>368095.30976377946</v>
      </c>
      <c r="V115" s="10">
        <f>+'A) Base RI'!O115</f>
        <v>134944.04999999999</v>
      </c>
      <c r="W115" s="10">
        <f>+'A) Base RI'!P115</f>
        <v>967869.6</v>
      </c>
      <c r="X115" s="10">
        <f>+'A) Base RI'!R115</f>
        <v>407895.5</v>
      </c>
      <c r="Y115" s="408">
        <f t="shared" si="11"/>
        <v>1510709.15</v>
      </c>
      <c r="Z115" s="10">
        <f>+'A) Base RI'!N115</f>
        <v>2295455.25</v>
      </c>
      <c r="AA115" s="10">
        <f>'A) Base RI'!AO115</f>
        <v>8700</v>
      </c>
    </row>
    <row r="116" spans="1:27" x14ac:dyDescent="0.25">
      <c r="A116" s="8">
        <f>'A) Base RI'!A116</f>
        <v>5584</v>
      </c>
      <c r="B116" s="32" t="str">
        <f>'A) Base RI'!B116</f>
        <v>Epalinges</v>
      </c>
      <c r="C116" s="10">
        <f>'A) Base RI'!C116+'A) Base RI'!D116</f>
        <v>27173103.280000001</v>
      </c>
      <c r="D116" s="10">
        <f>'A) Base RI'!AP116</f>
        <v>-297070.43</v>
      </c>
      <c r="E116" s="402">
        <f>'A) Base RI'!AQ116</f>
        <v>0</v>
      </c>
      <c r="F116" s="402">
        <f>'A) Base RI'!AR116</f>
        <v>-81514.34</v>
      </c>
      <c r="G116" s="408">
        <f t="shared" si="6"/>
        <v>26794518.510000002</v>
      </c>
      <c r="H116" s="10">
        <f>+'A) Base RI'!E116</f>
        <v>0</v>
      </c>
      <c r="I116" s="10">
        <f>+'A) Base RI'!F116</f>
        <v>0</v>
      </c>
      <c r="J116" s="10">
        <f>+'A) Base RI'!G116+'A) Base RI'!H116+'A) Base RI'!X116</f>
        <v>952219.05</v>
      </c>
      <c r="K116" s="10">
        <f>+'A) Base RI'!I116</f>
        <v>285041.2</v>
      </c>
      <c r="L116" s="10">
        <f>+'A) Base RI'!J116</f>
        <v>398882.56</v>
      </c>
      <c r="M116" s="10">
        <f>+'A) Base RI'!K116</f>
        <v>272356.65000000002</v>
      </c>
      <c r="N116" s="10">
        <f>+'A) Base RI'!Q116</f>
        <v>93414.96</v>
      </c>
      <c r="O116" s="10">
        <f t="shared" si="7"/>
        <v>2300043.75</v>
      </c>
      <c r="P116" s="10">
        <f>+'A) Base RI'!L116</f>
        <v>2300043.75</v>
      </c>
      <c r="Q116" s="416">
        <f>'A) Base RI'!AS116</f>
        <v>1</v>
      </c>
      <c r="R116" s="408">
        <f t="shared" si="8"/>
        <v>31096476.68</v>
      </c>
      <c r="S116" s="482">
        <f>+'A) Base RI'!AN116</f>
        <v>64.5</v>
      </c>
      <c r="T116" s="408">
        <f t="shared" si="9"/>
        <v>28524076.280000001</v>
      </c>
      <c r="U116" s="408">
        <f t="shared" si="10"/>
        <v>482115.91751937981</v>
      </c>
      <c r="V116" s="10">
        <f>+'A) Base RI'!O116</f>
        <v>801108.5</v>
      </c>
      <c r="W116" s="10">
        <f>+'A) Base RI'!P116</f>
        <v>1422716.85</v>
      </c>
      <c r="X116" s="10">
        <f>+'A) Base RI'!R116</f>
        <v>1316494.45</v>
      </c>
      <c r="Y116" s="408">
        <f t="shared" si="11"/>
        <v>3540319.8</v>
      </c>
      <c r="Z116" s="10">
        <f>+'A) Base RI'!N116</f>
        <v>308569.90000000002</v>
      </c>
      <c r="AA116" s="10">
        <f>'A) Base RI'!AO116</f>
        <v>9755</v>
      </c>
    </row>
    <row r="117" spans="1:27" x14ac:dyDescent="0.25">
      <c r="A117" s="8">
        <f>'A) Base RI'!A117</f>
        <v>5585</v>
      </c>
      <c r="B117" s="32" t="str">
        <f>'A) Base RI'!B117</f>
        <v>Jouxtens-Mézery</v>
      </c>
      <c r="C117" s="10">
        <f>'A) Base RI'!C117+'A) Base RI'!D117</f>
        <v>10956117.23</v>
      </c>
      <c r="D117" s="10">
        <f>'A) Base RI'!AP117</f>
        <v>-10146.69</v>
      </c>
      <c r="E117" s="402">
        <f>'A) Base RI'!AQ117</f>
        <v>0</v>
      </c>
      <c r="F117" s="402">
        <f>'A) Base RI'!AR117</f>
        <v>-15778.42</v>
      </c>
      <c r="G117" s="408">
        <f t="shared" si="6"/>
        <v>10930192.120000001</v>
      </c>
      <c r="H117" s="10">
        <f>+'A) Base RI'!E117</f>
        <v>0</v>
      </c>
      <c r="I117" s="10">
        <f>+'A) Base RI'!F117</f>
        <v>0</v>
      </c>
      <c r="J117" s="10">
        <f>+'A) Base RI'!G117+'A) Base RI'!H117+'A) Base RI'!X117</f>
        <v>94283.01</v>
      </c>
      <c r="K117" s="10">
        <f>+'A) Base RI'!I117</f>
        <v>296758.96000000002</v>
      </c>
      <c r="L117" s="10">
        <f>+'A) Base RI'!J117</f>
        <v>48157.27</v>
      </c>
      <c r="M117" s="10">
        <f>+'A) Base RI'!K117</f>
        <v>8097.1</v>
      </c>
      <c r="N117" s="10">
        <f>+'A) Base RI'!Q117</f>
        <v>0</v>
      </c>
      <c r="O117" s="10">
        <f t="shared" si="7"/>
        <v>569301.85</v>
      </c>
      <c r="P117" s="10">
        <f>+'A) Base RI'!L117</f>
        <v>569301.85</v>
      </c>
      <c r="Q117" s="416">
        <f>'A) Base RI'!AS117</f>
        <v>1</v>
      </c>
      <c r="R117" s="408">
        <f t="shared" si="8"/>
        <v>11946790.310000001</v>
      </c>
      <c r="S117" s="482">
        <f>+'A) Base RI'!AN117</f>
        <v>59</v>
      </c>
      <c r="T117" s="408">
        <f t="shared" si="9"/>
        <v>11369391.360000001</v>
      </c>
      <c r="U117" s="408">
        <f t="shared" si="10"/>
        <v>202487.97135593221</v>
      </c>
      <c r="V117" s="10">
        <f>+'A) Base RI'!O117</f>
        <v>435141.9</v>
      </c>
      <c r="W117" s="10">
        <f>+'A) Base RI'!P117</f>
        <v>291775.95</v>
      </c>
      <c r="X117" s="10">
        <f>+'A) Base RI'!R117</f>
        <v>369624.65</v>
      </c>
      <c r="Y117" s="408">
        <f t="shared" si="11"/>
        <v>1096542.5</v>
      </c>
      <c r="Z117" s="10">
        <f>+'A) Base RI'!N117</f>
        <v>1302.3</v>
      </c>
      <c r="AA117" s="10">
        <f>'A) Base RI'!AO117</f>
        <v>1411</v>
      </c>
    </row>
    <row r="118" spans="1:27" x14ac:dyDescent="0.25">
      <c r="A118" s="8">
        <f>'A) Base RI'!A118</f>
        <v>5586</v>
      </c>
      <c r="B118" s="32" t="str">
        <f>'A) Base RI'!B118</f>
        <v>Lausanne</v>
      </c>
      <c r="C118" s="10">
        <f>'A) Base RI'!C118+'A) Base RI'!D118</f>
        <v>342038140.25</v>
      </c>
      <c r="D118" s="10">
        <f>'A) Base RI'!AP118</f>
        <v>-6854187.4400000004</v>
      </c>
      <c r="E118" s="402">
        <f>'A) Base RI'!AQ118</f>
        <v>0</v>
      </c>
      <c r="F118" s="402">
        <f>'A) Base RI'!AR118</f>
        <v>-740552.9</v>
      </c>
      <c r="G118" s="408">
        <f t="shared" si="6"/>
        <v>334443399.91000003</v>
      </c>
      <c r="H118" s="10">
        <f>+'A) Base RI'!E118</f>
        <v>0</v>
      </c>
      <c r="I118" s="10">
        <f>+'A) Base RI'!F118</f>
        <v>0</v>
      </c>
      <c r="J118" s="10">
        <f>+'A) Base RI'!G118+'A) Base RI'!H118+'A) Base RI'!X118</f>
        <v>90933629.170000002</v>
      </c>
      <c r="K118" s="10">
        <f>+'A) Base RI'!I118</f>
        <v>5562328.7800000003</v>
      </c>
      <c r="L118" s="10">
        <f>+'A) Base RI'!J118</f>
        <v>24474697.559999999</v>
      </c>
      <c r="M118" s="10">
        <f>+'A) Base RI'!K118</f>
        <v>6699861.25</v>
      </c>
      <c r="N118" s="10">
        <f>+'A) Base RI'!Q118</f>
        <v>1648272.55</v>
      </c>
      <c r="O118" s="10">
        <f t="shared" si="7"/>
        <v>28618406.766666666</v>
      </c>
      <c r="P118" s="10">
        <f>+'A) Base RI'!L118</f>
        <v>42927610.149999999</v>
      </c>
      <c r="Q118" s="416">
        <f>'A) Base RI'!AS118</f>
        <v>1.5</v>
      </c>
      <c r="R118" s="408">
        <f t="shared" si="8"/>
        <v>492380595.98666668</v>
      </c>
      <c r="S118" s="482">
        <f>+'A) Base RI'!AN118</f>
        <v>78.5</v>
      </c>
      <c r="T118" s="408">
        <f t="shared" si="9"/>
        <v>457062327.97000003</v>
      </c>
      <c r="U118" s="408">
        <f t="shared" si="10"/>
        <v>6272364.2800849257</v>
      </c>
      <c r="V118" s="10">
        <f>+'A) Base RI'!O118</f>
        <v>12289230.4</v>
      </c>
      <c r="W118" s="10">
        <f>+'A) Base RI'!P118</f>
        <v>11894547.550000001</v>
      </c>
      <c r="X118" s="10">
        <f>+'A) Base RI'!R118</f>
        <v>12773118.1</v>
      </c>
      <c r="Y118" s="408">
        <f t="shared" si="11"/>
        <v>36956896.050000004</v>
      </c>
      <c r="Z118" s="10">
        <f>+'A) Base RI'!N118</f>
        <v>13812872.5</v>
      </c>
      <c r="AA118" s="10">
        <f>'A) Base RI'!AO118</f>
        <v>140430</v>
      </c>
    </row>
    <row r="119" spans="1:27" x14ac:dyDescent="0.25">
      <c r="A119" s="8">
        <f>'A) Base RI'!A119</f>
        <v>5587</v>
      </c>
      <c r="B119" s="32" t="str">
        <f>'A) Base RI'!B119</f>
        <v>Le Mont-sur-Lausanne</v>
      </c>
      <c r="C119" s="10">
        <f>'A) Base RI'!C119+'A) Base RI'!D119</f>
        <v>28351500.41</v>
      </c>
      <c r="D119" s="10">
        <f>'A) Base RI'!AP119</f>
        <v>-1660558.52</v>
      </c>
      <c r="E119" s="402">
        <f>'A) Base RI'!AQ119</f>
        <v>0</v>
      </c>
      <c r="F119" s="402">
        <f>'A) Base RI'!AR119</f>
        <v>-42495.95</v>
      </c>
      <c r="G119" s="408">
        <f t="shared" si="6"/>
        <v>26648445.940000001</v>
      </c>
      <c r="H119" s="10">
        <f>+'A) Base RI'!E119</f>
        <v>0</v>
      </c>
      <c r="I119" s="10">
        <f>+'A) Base RI'!F119</f>
        <v>0</v>
      </c>
      <c r="J119" s="10">
        <f>+'A) Base RI'!G119+'A) Base RI'!H119+'A) Base RI'!X119</f>
        <v>2175787.39</v>
      </c>
      <c r="K119" s="10">
        <f>+'A) Base RI'!I119</f>
        <v>303939.15000000002</v>
      </c>
      <c r="L119" s="10">
        <f>+'A) Base RI'!J119</f>
        <v>487004.75</v>
      </c>
      <c r="M119" s="10">
        <f>+'A) Base RI'!K119</f>
        <v>327992.5</v>
      </c>
      <c r="N119" s="10">
        <f>+'A) Base RI'!Q119</f>
        <v>57226.67</v>
      </c>
      <c r="O119" s="10">
        <f t="shared" si="7"/>
        <v>2549868</v>
      </c>
      <c r="P119" s="10">
        <f>+'A) Base RI'!L119</f>
        <v>3059841.6</v>
      </c>
      <c r="Q119" s="416">
        <f>'A) Base RI'!AS119</f>
        <v>1.2</v>
      </c>
      <c r="R119" s="408">
        <f t="shared" si="8"/>
        <v>32550264.400000002</v>
      </c>
      <c r="S119" s="482">
        <f>+'A) Base RI'!AN119</f>
        <v>73.5</v>
      </c>
      <c r="T119" s="408">
        <f t="shared" si="9"/>
        <v>29672403.900000002</v>
      </c>
      <c r="U119" s="408">
        <f t="shared" si="10"/>
        <v>442860.74013605446</v>
      </c>
      <c r="V119" s="10">
        <f>+'A) Base RI'!O119</f>
        <v>1395734.6</v>
      </c>
      <c r="W119" s="10">
        <f>+'A) Base RI'!P119</f>
        <v>1269317.8</v>
      </c>
      <c r="X119" s="10">
        <f>+'A) Base RI'!R119</f>
        <v>506246</v>
      </c>
      <c r="Y119" s="408">
        <f t="shared" si="11"/>
        <v>3171298.4000000004</v>
      </c>
      <c r="Z119" s="10">
        <f>+'A) Base RI'!N119</f>
        <v>522589.6</v>
      </c>
      <c r="AA119" s="10">
        <f>'A) Base RI'!AO119</f>
        <v>9136</v>
      </c>
    </row>
    <row r="120" spans="1:27" x14ac:dyDescent="0.25">
      <c r="A120" s="8">
        <f>'A) Base RI'!A120</f>
        <v>5588</v>
      </c>
      <c r="B120" s="32" t="str">
        <f>'A) Base RI'!B120</f>
        <v>Paudex</v>
      </c>
      <c r="C120" s="10">
        <f>'A) Base RI'!C120+'A) Base RI'!D120</f>
        <v>5948318.2999999998</v>
      </c>
      <c r="D120" s="10">
        <f>'A) Base RI'!AP120</f>
        <v>-21713.48</v>
      </c>
      <c r="E120" s="402">
        <f>'A) Base RI'!AQ120</f>
        <v>0</v>
      </c>
      <c r="F120" s="402">
        <f>'A) Base RI'!AR120</f>
        <v>-53249.09</v>
      </c>
      <c r="G120" s="408">
        <f t="shared" si="6"/>
        <v>5873355.7299999995</v>
      </c>
      <c r="H120" s="10">
        <f>+'A) Base RI'!E120</f>
        <v>0</v>
      </c>
      <c r="I120" s="10">
        <f>+'A) Base RI'!F120</f>
        <v>0</v>
      </c>
      <c r="J120" s="10">
        <f>+'A) Base RI'!G120+'A) Base RI'!H120+'A) Base RI'!X120</f>
        <v>420067.20999999996</v>
      </c>
      <c r="K120" s="10">
        <f>+'A) Base RI'!I120</f>
        <v>1773887.12</v>
      </c>
      <c r="L120" s="10">
        <f>+'A) Base RI'!J120</f>
        <v>312946.12</v>
      </c>
      <c r="M120" s="10">
        <f>+'A) Base RI'!K120</f>
        <v>53488.55</v>
      </c>
      <c r="N120" s="10">
        <f>+'A) Base RI'!Q120</f>
        <v>4490.5600000000004</v>
      </c>
      <c r="O120" s="10">
        <f t="shared" si="7"/>
        <v>569095.78571428568</v>
      </c>
      <c r="P120" s="10">
        <f>+'A) Base RI'!L120</f>
        <v>398367.05</v>
      </c>
      <c r="Q120" s="416">
        <f>'A) Base RI'!AS120</f>
        <v>0.7</v>
      </c>
      <c r="R120" s="408">
        <f t="shared" si="8"/>
        <v>9007331.0757142864</v>
      </c>
      <c r="S120" s="482">
        <f>+'A) Base RI'!AN120</f>
        <v>66.5</v>
      </c>
      <c r="T120" s="408">
        <f t="shared" si="9"/>
        <v>8384746.7399999993</v>
      </c>
      <c r="U120" s="408">
        <f t="shared" si="10"/>
        <v>135448.58760472611</v>
      </c>
      <c r="V120" s="10">
        <f>+'A) Base RI'!O120</f>
        <v>0</v>
      </c>
      <c r="W120" s="10">
        <f>+'A) Base RI'!P120</f>
        <v>324217.90000000002</v>
      </c>
      <c r="X120" s="10">
        <f>+'A) Base RI'!R120</f>
        <v>210737.25</v>
      </c>
      <c r="Y120" s="408">
        <f t="shared" si="11"/>
        <v>534955.15</v>
      </c>
      <c r="Z120" s="10">
        <f>+'A) Base RI'!N120</f>
        <v>18272.150000000001</v>
      </c>
      <c r="AA120" s="10">
        <f>'A) Base RI'!AO120</f>
        <v>1538</v>
      </c>
    </row>
    <row r="121" spans="1:27" x14ac:dyDescent="0.25">
      <c r="A121" s="8">
        <f>'A) Base RI'!A121</f>
        <v>5589</v>
      </c>
      <c r="B121" s="32" t="str">
        <f>'A) Base RI'!B121</f>
        <v>Prilly</v>
      </c>
      <c r="C121" s="10">
        <f>'A) Base RI'!C121+'A) Base RI'!D121</f>
        <v>21807574.990000002</v>
      </c>
      <c r="D121" s="10">
        <f>'A) Base RI'!AP121</f>
        <v>-335813.23</v>
      </c>
      <c r="E121" s="402">
        <f>'A) Base RI'!AQ121</f>
        <v>0</v>
      </c>
      <c r="F121" s="402">
        <f>'A) Base RI'!AR121</f>
        <v>-18843.54</v>
      </c>
      <c r="G121" s="408">
        <f t="shared" si="6"/>
        <v>21452918.220000003</v>
      </c>
      <c r="H121" s="10">
        <f>+'A) Base RI'!E121</f>
        <v>0</v>
      </c>
      <c r="I121" s="10">
        <f>+'A) Base RI'!F121</f>
        <v>0</v>
      </c>
      <c r="J121" s="10">
        <f>+'A) Base RI'!G121+'A) Base RI'!H121+'A) Base RI'!X121</f>
        <v>6907454.5700000003</v>
      </c>
      <c r="K121" s="10">
        <f>+'A) Base RI'!I121</f>
        <v>194742.55</v>
      </c>
      <c r="L121" s="10">
        <f>+'A) Base RI'!J121</f>
        <v>1577734.95</v>
      </c>
      <c r="M121" s="10">
        <f>+'A) Base RI'!K121</f>
        <v>476420.1</v>
      </c>
      <c r="N121" s="10">
        <f>+'A) Base RI'!Q121</f>
        <v>64448.13</v>
      </c>
      <c r="O121" s="10">
        <f t="shared" si="7"/>
        <v>2315030.269230769</v>
      </c>
      <c r="P121" s="10">
        <f>+'A) Base RI'!L121</f>
        <v>3009539.35</v>
      </c>
      <c r="Q121" s="416">
        <f>'A) Base RI'!AS121</f>
        <v>1.3</v>
      </c>
      <c r="R121" s="408">
        <f t="shared" si="8"/>
        <v>32988748.789230771</v>
      </c>
      <c r="S121" s="482">
        <f>+'A) Base RI'!AN121</f>
        <v>72.5</v>
      </c>
      <c r="T121" s="408">
        <f t="shared" si="9"/>
        <v>30197298.420000002</v>
      </c>
      <c r="U121" s="408">
        <f t="shared" si="10"/>
        <v>455017.22467904515</v>
      </c>
      <c r="V121" s="10">
        <f>+'A) Base RI'!O121</f>
        <v>710258.8</v>
      </c>
      <c r="W121" s="10">
        <f>+'A) Base RI'!P121</f>
        <v>666016.44999999995</v>
      </c>
      <c r="X121" s="10">
        <f>+'A) Base RI'!R121</f>
        <v>566627.85</v>
      </c>
      <c r="Y121" s="408">
        <f t="shared" si="11"/>
        <v>1942903.1</v>
      </c>
      <c r="Z121" s="10">
        <f>+'A) Base RI'!N121</f>
        <v>1167452.6499999999</v>
      </c>
      <c r="AA121" s="10">
        <f>'A) Base RI'!AO121</f>
        <v>12383</v>
      </c>
    </row>
    <row r="122" spans="1:27" x14ac:dyDescent="0.25">
      <c r="A122" s="8">
        <f>'A) Base RI'!A122</f>
        <v>5590</v>
      </c>
      <c r="B122" s="32" t="str">
        <f>'A) Base RI'!B122</f>
        <v>Pully</v>
      </c>
      <c r="C122" s="10">
        <f>'A) Base RI'!C122+'A) Base RI'!D122</f>
        <v>72947899.200000003</v>
      </c>
      <c r="D122" s="10">
        <f>'A) Base RI'!AP122</f>
        <v>-425355.01</v>
      </c>
      <c r="E122" s="402">
        <f>'A) Base RI'!AQ122</f>
        <v>0</v>
      </c>
      <c r="F122" s="402">
        <f>'A) Base RI'!AR122</f>
        <v>-766422.94</v>
      </c>
      <c r="G122" s="408">
        <f t="shared" si="6"/>
        <v>71756121.25</v>
      </c>
      <c r="H122" s="10">
        <f>+'A) Base RI'!E122</f>
        <v>0</v>
      </c>
      <c r="I122" s="10">
        <f>+'A) Base RI'!F122</f>
        <v>0</v>
      </c>
      <c r="J122" s="10">
        <f>+'A) Base RI'!G122+'A) Base RI'!H122+'A) Base RI'!X122</f>
        <v>8594876.0199999996</v>
      </c>
      <c r="K122" s="10">
        <f>+'A) Base RI'!I122</f>
        <v>2885824.78</v>
      </c>
      <c r="L122" s="10">
        <f>+'A) Base RI'!J122</f>
        <v>1229871.8899999999</v>
      </c>
      <c r="M122" s="10">
        <f>+'A) Base RI'!K122</f>
        <v>372675.2</v>
      </c>
      <c r="N122" s="10">
        <f>+'A) Base RI'!Q122</f>
        <v>97237.75</v>
      </c>
      <c r="O122" s="10">
        <f t="shared" si="7"/>
        <v>5281147.7857142864</v>
      </c>
      <c r="P122" s="10">
        <f>+'A) Base RI'!L122</f>
        <v>3696803.45</v>
      </c>
      <c r="Q122" s="416">
        <f>'A) Base RI'!AS122</f>
        <v>0.7</v>
      </c>
      <c r="R122" s="408">
        <f t="shared" si="8"/>
        <v>90217754.675714284</v>
      </c>
      <c r="S122" s="482">
        <f>+'A) Base RI'!AN122</f>
        <v>61</v>
      </c>
      <c r="T122" s="408">
        <f t="shared" si="9"/>
        <v>84563931.689999998</v>
      </c>
      <c r="U122" s="408">
        <f t="shared" si="10"/>
        <v>1478979.5848477751</v>
      </c>
      <c r="V122" s="10">
        <f>+'A) Base RI'!O122</f>
        <v>1762846</v>
      </c>
      <c r="W122" s="10">
        <f>+'A) Base RI'!P122</f>
        <v>4021807.65</v>
      </c>
      <c r="X122" s="10">
        <f>+'A) Base RI'!R122</f>
        <v>3175239.05</v>
      </c>
      <c r="Y122" s="408">
        <f t="shared" si="11"/>
        <v>8959892.6999999993</v>
      </c>
      <c r="Z122" s="10">
        <f>+'A) Base RI'!N122</f>
        <v>153086.15</v>
      </c>
      <c r="AA122" s="10">
        <f>'A) Base RI'!AO122</f>
        <v>18688</v>
      </c>
    </row>
    <row r="123" spans="1:27" x14ac:dyDescent="0.25">
      <c r="A123" s="8">
        <f>'A) Base RI'!A123</f>
        <v>5591</v>
      </c>
      <c r="B123" s="32" t="str">
        <f>'A) Base RI'!B123</f>
        <v>Renens</v>
      </c>
      <c r="C123" s="10">
        <f>'A) Base RI'!C123+'A) Base RI'!D123</f>
        <v>32775631.699999999</v>
      </c>
      <c r="D123" s="10">
        <f>'A) Base RI'!AP123</f>
        <v>-1308350.45</v>
      </c>
      <c r="E123" s="402">
        <f>'A) Base RI'!AQ123</f>
        <v>0</v>
      </c>
      <c r="F123" s="402">
        <f>'A) Base RI'!AR123</f>
        <v>-8754.91</v>
      </c>
      <c r="G123" s="408">
        <f t="shared" si="6"/>
        <v>31458526.34</v>
      </c>
      <c r="H123" s="10">
        <f>+'A) Base RI'!E123</f>
        <v>0</v>
      </c>
      <c r="I123" s="10">
        <f>+'A) Base RI'!F123</f>
        <v>0</v>
      </c>
      <c r="J123" s="10">
        <f>+'A) Base RI'!G123+'A) Base RI'!H123+'A) Base RI'!X123</f>
        <v>7386408.2000000002</v>
      </c>
      <c r="K123" s="10">
        <f>+'A) Base RI'!I123</f>
        <v>0</v>
      </c>
      <c r="L123" s="10">
        <f>+'A) Base RI'!J123</f>
        <v>2464233.13</v>
      </c>
      <c r="M123" s="10">
        <f>+'A) Base RI'!K123</f>
        <v>728905.4</v>
      </c>
      <c r="N123" s="10">
        <f>+'A) Base RI'!Q123</f>
        <v>329854.67</v>
      </c>
      <c r="O123" s="10">
        <f t="shared" si="7"/>
        <v>3581714.6785714286</v>
      </c>
      <c r="P123" s="10">
        <f>+'A) Base RI'!L123</f>
        <v>5014400.55</v>
      </c>
      <c r="Q123" s="416">
        <f>'A) Base RI'!AS123</f>
        <v>1.4</v>
      </c>
      <c r="R123" s="408">
        <f t="shared" si="8"/>
        <v>45949642.418571427</v>
      </c>
      <c r="S123" s="482">
        <f>+'A) Base RI'!AN123</f>
        <v>77</v>
      </c>
      <c r="T123" s="408">
        <f t="shared" si="9"/>
        <v>41639022.340000004</v>
      </c>
      <c r="U123" s="408">
        <f t="shared" si="10"/>
        <v>596748.60283858993</v>
      </c>
      <c r="V123" s="10">
        <f>+'A) Base RI'!O123</f>
        <v>1102475.1000000001</v>
      </c>
      <c r="W123" s="10">
        <f>+'A) Base RI'!P123</f>
        <v>2169137.5</v>
      </c>
      <c r="X123" s="10">
        <f>+'A) Base RI'!R123</f>
        <v>1117007.05</v>
      </c>
      <c r="Y123" s="408">
        <f t="shared" si="11"/>
        <v>4388619.6500000004</v>
      </c>
      <c r="Z123" s="10">
        <f>+'A) Base RI'!N123</f>
        <v>2364789</v>
      </c>
      <c r="AA123" s="10">
        <f>'A) Base RI'!AO123</f>
        <v>20863</v>
      </c>
    </row>
    <row r="124" spans="1:27" x14ac:dyDescent="0.25">
      <c r="A124" s="8">
        <f>'A) Base RI'!A124</f>
        <v>5592</v>
      </c>
      <c r="B124" s="32" t="str">
        <f>'A) Base RI'!B124</f>
        <v>Romanel-sur-Lausanne</v>
      </c>
      <c r="C124" s="10">
        <f>'A) Base RI'!C124+'A) Base RI'!D124</f>
        <v>6871404.5299999993</v>
      </c>
      <c r="D124" s="10">
        <f>'A) Base RI'!AP124</f>
        <v>-117204.62</v>
      </c>
      <c r="E124" s="402">
        <f>'A) Base RI'!AQ124</f>
        <v>0</v>
      </c>
      <c r="F124" s="402">
        <f>'A) Base RI'!AR124</f>
        <v>-12135.29</v>
      </c>
      <c r="G124" s="408">
        <f t="shared" si="6"/>
        <v>6742064.6199999992</v>
      </c>
      <c r="H124" s="10">
        <f>+'A) Base RI'!E124</f>
        <v>0</v>
      </c>
      <c r="I124" s="10">
        <f>+'A) Base RI'!F124</f>
        <v>0</v>
      </c>
      <c r="J124" s="10">
        <f>+'A) Base RI'!G124+'A) Base RI'!H124+'A) Base RI'!X124</f>
        <v>707451.35</v>
      </c>
      <c r="K124" s="10">
        <f>+'A) Base RI'!I124</f>
        <v>45581.35</v>
      </c>
      <c r="L124" s="10">
        <f>+'A) Base RI'!J124</f>
        <v>186916.63</v>
      </c>
      <c r="M124" s="10">
        <f>+'A) Base RI'!K124</f>
        <v>141567.75</v>
      </c>
      <c r="N124" s="10">
        <f>+'A) Base RI'!Q124</f>
        <v>50808.95</v>
      </c>
      <c r="O124" s="10">
        <f t="shared" si="7"/>
        <v>676712.76</v>
      </c>
      <c r="P124" s="10">
        <f>+'A) Base RI'!L124</f>
        <v>845890.95</v>
      </c>
      <c r="Q124" s="416">
        <f>'A) Base RI'!AS124</f>
        <v>1.25</v>
      </c>
      <c r="R124" s="408">
        <f t="shared" si="8"/>
        <v>8551103.4099999983</v>
      </c>
      <c r="S124" s="482">
        <f>+'A) Base RI'!AN124</f>
        <v>70.5</v>
      </c>
      <c r="T124" s="408">
        <f t="shared" si="9"/>
        <v>7732822.8999999985</v>
      </c>
      <c r="U124" s="408">
        <f t="shared" si="10"/>
        <v>121292.24695035459</v>
      </c>
      <c r="V124" s="10">
        <f>+'A) Base RI'!O124</f>
        <v>83.5</v>
      </c>
      <c r="W124" s="10">
        <f>+'A) Base RI'!P124</f>
        <v>301143.25</v>
      </c>
      <c r="X124" s="10">
        <f>+'A) Base RI'!R124</f>
        <v>112571.65</v>
      </c>
      <c r="Y124" s="408">
        <f t="shared" si="11"/>
        <v>413798.40000000002</v>
      </c>
      <c r="Z124" s="10">
        <f>+'A) Base RI'!N124</f>
        <v>220475.4</v>
      </c>
      <c r="AA124" s="10">
        <f>'A) Base RI'!AO124</f>
        <v>3247</v>
      </c>
    </row>
    <row r="125" spans="1:27" x14ac:dyDescent="0.25">
      <c r="A125" s="8">
        <f>'A) Base RI'!A125</f>
        <v>5601</v>
      </c>
      <c r="B125" s="32" t="str">
        <f>'A) Base RI'!B125</f>
        <v>Chexbres</v>
      </c>
      <c r="C125" s="10">
        <f>'A) Base RI'!C125+'A) Base RI'!D125</f>
        <v>5939369.3099999996</v>
      </c>
      <c r="D125" s="10">
        <f>'A) Base RI'!AP125</f>
        <v>-12673.96</v>
      </c>
      <c r="E125" s="402">
        <f>'A) Base RI'!AQ125</f>
        <v>0</v>
      </c>
      <c r="F125" s="402">
        <f>'A) Base RI'!AR125</f>
        <v>-7708.02</v>
      </c>
      <c r="G125" s="408">
        <f t="shared" si="6"/>
        <v>5918987.3300000001</v>
      </c>
      <c r="H125" s="10">
        <f>+'A) Base RI'!E125</f>
        <v>0</v>
      </c>
      <c r="I125" s="10">
        <f>+'A) Base RI'!F125</f>
        <v>0</v>
      </c>
      <c r="J125" s="10">
        <f>+'A) Base RI'!G125+'A) Base RI'!H125+'A) Base RI'!X125</f>
        <v>67122.17</v>
      </c>
      <c r="K125" s="10">
        <f>+'A) Base RI'!I125</f>
        <v>13068.55</v>
      </c>
      <c r="L125" s="10">
        <f>+'A) Base RI'!J125</f>
        <v>121037.52</v>
      </c>
      <c r="M125" s="10">
        <f>+'A) Base RI'!K125</f>
        <v>7556.7</v>
      </c>
      <c r="N125" s="10">
        <f>+'A) Base RI'!Q125</f>
        <v>1536.82</v>
      </c>
      <c r="O125" s="10">
        <f t="shared" si="7"/>
        <v>490552.9</v>
      </c>
      <c r="P125" s="10">
        <f>+'A) Base RI'!L125</f>
        <v>490552.9</v>
      </c>
      <c r="Q125" s="416">
        <f>'A) Base RI'!AS125</f>
        <v>1</v>
      </c>
      <c r="R125" s="408">
        <f t="shared" si="8"/>
        <v>6619861.9900000002</v>
      </c>
      <c r="S125" s="482">
        <f>+'A) Base RI'!AN125</f>
        <v>67.5</v>
      </c>
      <c r="T125" s="408">
        <f t="shared" si="9"/>
        <v>6121752.3899999997</v>
      </c>
      <c r="U125" s="408">
        <f t="shared" si="10"/>
        <v>98072.029481481484</v>
      </c>
      <c r="V125" s="10">
        <f>+'A) Base RI'!O125</f>
        <v>310583.40000000002</v>
      </c>
      <c r="W125" s="10">
        <f>+'A) Base RI'!P125</f>
        <v>590638.19999999995</v>
      </c>
      <c r="X125" s="10">
        <f>+'A) Base RI'!R125</f>
        <v>763633.75</v>
      </c>
      <c r="Y125" s="408">
        <f t="shared" si="11"/>
        <v>1664855.35</v>
      </c>
      <c r="Z125" s="10">
        <f>+'A) Base RI'!N125</f>
        <v>47732.35</v>
      </c>
      <c r="AA125" s="10">
        <f>'A) Base RI'!AO125</f>
        <v>2251</v>
      </c>
    </row>
    <row r="126" spans="1:27" x14ac:dyDescent="0.25">
      <c r="A126" s="8">
        <f>'A) Base RI'!A126</f>
        <v>5604</v>
      </c>
      <c r="B126" s="32" t="str">
        <f>'A) Base RI'!B126</f>
        <v>Forel (Lavaux)</v>
      </c>
      <c r="C126" s="10">
        <f>'A) Base RI'!C126+'A) Base RI'!D126</f>
        <v>4281467.7799999993</v>
      </c>
      <c r="D126" s="10">
        <f>'A) Base RI'!AP126</f>
        <v>-43233.91</v>
      </c>
      <c r="E126" s="402">
        <f>'A) Base RI'!AQ126</f>
        <v>0</v>
      </c>
      <c r="F126" s="402">
        <f>'A) Base RI'!AR126</f>
        <v>-1455.11</v>
      </c>
      <c r="G126" s="408">
        <f t="shared" si="6"/>
        <v>4236778.7599999988</v>
      </c>
      <c r="H126" s="10">
        <f>+'A) Base RI'!E126</f>
        <v>0</v>
      </c>
      <c r="I126" s="10">
        <f>+'A) Base RI'!F126</f>
        <v>0</v>
      </c>
      <c r="J126" s="10">
        <f>+'A) Base RI'!G126+'A) Base RI'!H126+'A) Base RI'!X126</f>
        <v>154797.71</v>
      </c>
      <c r="K126" s="10">
        <f>+'A) Base RI'!I126</f>
        <v>0</v>
      </c>
      <c r="L126" s="10">
        <f>+'A) Base RI'!J126</f>
        <v>86748.479999999996</v>
      </c>
      <c r="M126" s="10">
        <f>+'A) Base RI'!K126</f>
        <v>20348.599999999999</v>
      </c>
      <c r="N126" s="10">
        <f>+'A) Base RI'!Q126</f>
        <v>16420.169999999998</v>
      </c>
      <c r="O126" s="10">
        <f t="shared" si="7"/>
        <v>405290.4</v>
      </c>
      <c r="P126" s="10">
        <f>+'A) Base RI'!L126</f>
        <v>405290.4</v>
      </c>
      <c r="Q126" s="416">
        <f>'A) Base RI'!AS126</f>
        <v>1</v>
      </c>
      <c r="R126" s="408">
        <f t="shared" si="8"/>
        <v>4920384.1199999992</v>
      </c>
      <c r="S126" s="482">
        <f>+'A) Base RI'!AN126</f>
        <v>69</v>
      </c>
      <c r="T126" s="408">
        <f t="shared" si="9"/>
        <v>4494745.1199999992</v>
      </c>
      <c r="U126" s="408">
        <f t="shared" si="10"/>
        <v>71309.914782608685</v>
      </c>
      <c r="V126" s="10">
        <f>+'A) Base RI'!O126</f>
        <v>-54.75</v>
      </c>
      <c r="W126" s="10">
        <f>+'A) Base RI'!P126</f>
        <v>210749.5</v>
      </c>
      <c r="X126" s="10">
        <f>+'A) Base RI'!R126</f>
        <v>103810.7</v>
      </c>
      <c r="Y126" s="408">
        <f t="shared" si="11"/>
        <v>314505.45</v>
      </c>
      <c r="Z126" s="10">
        <f>+'A) Base RI'!N126</f>
        <v>105948.3</v>
      </c>
      <c r="AA126" s="10">
        <f>'A) Base RI'!AO126</f>
        <v>2105</v>
      </c>
    </row>
    <row r="127" spans="1:27" x14ac:dyDescent="0.25">
      <c r="A127" s="8">
        <f>'A) Base RI'!A127</f>
        <v>5606</v>
      </c>
      <c r="B127" s="32" t="str">
        <f>'A) Base RI'!B127</f>
        <v>Lutry</v>
      </c>
      <c r="C127" s="10">
        <f>'A) Base RI'!C127+'A) Base RI'!D127</f>
        <v>39751059.530000001</v>
      </c>
      <c r="D127" s="10">
        <f>'A) Base RI'!AP127</f>
        <v>-128103.74</v>
      </c>
      <c r="E127" s="402">
        <f>'A) Base RI'!AQ127</f>
        <v>0</v>
      </c>
      <c r="F127" s="402">
        <f>'A) Base RI'!AR127</f>
        <v>-111574.46</v>
      </c>
      <c r="G127" s="408">
        <f t="shared" si="6"/>
        <v>39511381.329999998</v>
      </c>
      <c r="H127" s="10">
        <f>+'A) Base RI'!E127</f>
        <v>0</v>
      </c>
      <c r="I127" s="10">
        <f>+'A) Base RI'!F127</f>
        <v>0</v>
      </c>
      <c r="J127" s="10">
        <f>+'A) Base RI'!G127+'A) Base RI'!H127+'A) Base RI'!X127</f>
        <v>2873275.42</v>
      </c>
      <c r="K127" s="10">
        <f>+'A) Base RI'!I127</f>
        <v>1361832.33</v>
      </c>
      <c r="L127" s="10">
        <f>+'A) Base RI'!J127</f>
        <v>271196.74</v>
      </c>
      <c r="M127" s="10">
        <f>+'A) Base RI'!K127</f>
        <v>139267.6</v>
      </c>
      <c r="N127" s="10">
        <f>+'A) Base RI'!Q127</f>
        <v>-90098.94</v>
      </c>
      <c r="O127" s="10">
        <f t="shared" si="7"/>
        <v>3195585.6428571432</v>
      </c>
      <c r="P127" s="10">
        <f>+'A) Base RI'!L127</f>
        <v>2236909.9500000002</v>
      </c>
      <c r="Q127" s="416">
        <f>'A) Base RI'!AS127</f>
        <v>0.7</v>
      </c>
      <c r="R127" s="408">
        <f t="shared" si="8"/>
        <v>47262440.122857146</v>
      </c>
      <c r="S127" s="482">
        <f>+'A) Base RI'!AN127</f>
        <v>54</v>
      </c>
      <c r="T127" s="408">
        <f t="shared" si="9"/>
        <v>43927586.880000003</v>
      </c>
      <c r="U127" s="408">
        <f t="shared" si="10"/>
        <v>875230.37264550268</v>
      </c>
      <c r="V127" s="10">
        <f>+'A) Base RI'!O127</f>
        <v>1698280.7</v>
      </c>
      <c r="W127" s="10">
        <f>+'A) Base RI'!P127</f>
        <v>2307429.0499999998</v>
      </c>
      <c r="X127" s="10">
        <f>+'A) Base RI'!R127</f>
        <v>1525779.6</v>
      </c>
      <c r="Y127" s="408">
        <f t="shared" si="11"/>
        <v>5531489.3499999996</v>
      </c>
      <c r="Z127" s="10">
        <f>+'A) Base RI'!N127</f>
        <v>149368.25</v>
      </c>
      <c r="AA127" s="10">
        <f>'A) Base RI'!AO127</f>
        <v>10455</v>
      </c>
    </row>
    <row r="128" spans="1:27" x14ac:dyDescent="0.25">
      <c r="A128" s="8">
        <f>'A) Base RI'!A128</f>
        <v>5607</v>
      </c>
      <c r="B128" s="32" t="str">
        <f>'A) Base RI'!B128</f>
        <v>Puidoux</v>
      </c>
      <c r="C128" s="10">
        <f>'A) Base RI'!C128+'A) Base RI'!D128</f>
        <v>5438473.3399999999</v>
      </c>
      <c r="D128" s="10">
        <f>'A) Base RI'!AP128</f>
        <v>-109442.74</v>
      </c>
      <c r="E128" s="402">
        <f>'A) Base RI'!AQ128</f>
        <v>0</v>
      </c>
      <c r="F128" s="402">
        <f>'A) Base RI'!AR128</f>
        <v>-3269.53</v>
      </c>
      <c r="G128" s="408">
        <f t="shared" si="6"/>
        <v>5325761.0699999994</v>
      </c>
      <c r="H128" s="10">
        <f>+'A) Base RI'!E128</f>
        <v>0</v>
      </c>
      <c r="I128" s="10">
        <f>+'A) Base RI'!F128</f>
        <v>0</v>
      </c>
      <c r="J128" s="10">
        <f>+'A) Base RI'!G128+'A) Base RI'!H128+'A) Base RI'!X128</f>
        <v>690999.33</v>
      </c>
      <c r="K128" s="10">
        <f>+'A) Base RI'!I128</f>
        <v>-135.85</v>
      </c>
      <c r="L128" s="10">
        <f>+'A) Base RI'!J128</f>
        <v>211359.3</v>
      </c>
      <c r="M128" s="10">
        <f>+'A) Base RI'!K128</f>
        <v>119887.6</v>
      </c>
      <c r="N128" s="10">
        <f>+'A) Base RI'!Q128</f>
        <v>-2283.14</v>
      </c>
      <c r="O128" s="10">
        <f t="shared" si="7"/>
        <v>706142.47826086963</v>
      </c>
      <c r="P128" s="10">
        <f>+'A) Base RI'!L128</f>
        <v>812063.85</v>
      </c>
      <c r="Q128" s="416">
        <f>'A) Base RI'!AS128</f>
        <v>1.1499999999999999</v>
      </c>
      <c r="R128" s="408">
        <f t="shared" si="8"/>
        <v>7051730.7882608697</v>
      </c>
      <c r="S128" s="482">
        <f>+'A) Base RI'!AN128</f>
        <v>68.5</v>
      </c>
      <c r="T128" s="408">
        <f t="shared" si="9"/>
        <v>6225700.71</v>
      </c>
      <c r="U128" s="408">
        <f t="shared" si="10"/>
        <v>102944.97501110758</v>
      </c>
      <c r="V128" s="10">
        <f>+'A) Base RI'!O128</f>
        <v>22786.7</v>
      </c>
      <c r="W128" s="10">
        <f>+'A) Base RI'!P128</f>
        <v>644550.9</v>
      </c>
      <c r="X128" s="10">
        <f>+'A) Base RI'!R128</f>
        <v>478937.4</v>
      </c>
      <c r="Y128" s="408">
        <f t="shared" si="11"/>
        <v>1146275</v>
      </c>
      <c r="Z128" s="10">
        <f>+'A) Base RI'!N128</f>
        <v>241469.15</v>
      </c>
      <c r="AA128" s="10">
        <f>'A) Base RI'!AO128</f>
        <v>2894</v>
      </c>
    </row>
    <row r="129" spans="1:27" x14ac:dyDescent="0.25">
      <c r="A129" s="8">
        <f>'A) Base RI'!A129</f>
        <v>5609</v>
      </c>
      <c r="B129" s="32" t="str">
        <f>'A) Base RI'!B129</f>
        <v>Rivaz</v>
      </c>
      <c r="C129" s="10">
        <f>'A) Base RI'!C129+'A) Base RI'!D129</f>
        <v>871687.7699999999</v>
      </c>
      <c r="D129" s="10">
        <f>'A) Base RI'!AP129</f>
        <v>-6552.11</v>
      </c>
      <c r="E129" s="402">
        <f>'A) Base RI'!AQ129</f>
        <v>0</v>
      </c>
      <c r="F129" s="402">
        <f>'A) Base RI'!AR129</f>
        <v>-460.48</v>
      </c>
      <c r="G129" s="408">
        <f t="shared" si="6"/>
        <v>864675.17999999993</v>
      </c>
      <c r="H129" s="10">
        <f>+'A) Base RI'!E129</f>
        <v>0</v>
      </c>
      <c r="I129" s="10">
        <f>+'A) Base RI'!F129</f>
        <v>0</v>
      </c>
      <c r="J129" s="10">
        <f>+'A) Base RI'!G129+'A) Base RI'!H129+'A) Base RI'!X129</f>
        <v>10048.049999999999</v>
      </c>
      <c r="K129" s="10">
        <f>+'A) Base RI'!I129</f>
        <v>0</v>
      </c>
      <c r="L129" s="10">
        <f>+'A) Base RI'!J129</f>
        <v>59004.01</v>
      </c>
      <c r="M129" s="10">
        <f>+'A) Base RI'!K129</f>
        <v>185.9</v>
      </c>
      <c r="N129" s="10">
        <f>+'A) Base RI'!Q129</f>
        <v>2003.79</v>
      </c>
      <c r="O129" s="10">
        <f t="shared" si="7"/>
        <v>59111.8</v>
      </c>
      <c r="P129" s="10">
        <f>+'A) Base RI'!L129</f>
        <v>59111.8</v>
      </c>
      <c r="Q129" s="416">
        <f>'A) Base RI'!AS129</f>
        <v>1</v>
      </c>
      <c r="R129" s="408">
        <f t="shared" si="8"/>
        <v>995028.7300000001</v>
      </c>
      <c r="S129" s="482">
        <f>+'A) Base RI'!AN129</f>
        <v>62</v>
      </c>
      <c r="T129" s="408">
        <f t="shared" si="9"/>
        <v>935731.03</v>
      </c>
      <c r="U129" s="408">
        <f t="shared" si="10"/>
        <v>16048.850483870969</v>
      </c>
      <c r="V129" s="10">
        <f>+'A) Base RI'!O129</f>
        <v>0</v>
      </c>
      <c r="W129" s="10">
        <f>+'A) Base RI'!P129</f>
        <v>22715</v>
      </c>
      <c r="X129" s="10">
        <f>+'A) Base RI'!R129</f>
        <v>42729.15</v>
      </c>
      <c r="Y129" s="408">
        <f t="shared" si="11"/>
        <v>65444.15</v>
      </c>
      <c r="Z129" s="10">
        <f>+'A) Base RI'!N129</f>
        <v>0</v>
      </c>
      <c r="AA129" s="10">
        <f>'A) Base RI'!AO129</f>
        <v>337</v>
      </c>
    </row>
    <row r="130" spans="1:27" x14ac:dyDescent="0.25">
      <c r="A130" s="8">
        <f>'A) Base RI'!A130</f>
        <v>5610</v>
      </c>
      <c r="B130" s="32" t="str">
        <f>'A) Base RI'!B130</f>
        <v>St-Saphorin (Lavaux)</v>
      </c>
      <c r="C130" s="10">
        <f>'A) Base RI'!C130+'A) Base RI'!D130</f>
        <v>1225623.1099999999</v>
      </c>
      <c r="D130" s="10">
        <f>'A) Base RI'!AP130</f>
        <v>-6131.57</v>
      </c>
      <c r="E130" s="402">
        <f>'A) Base RI'!AQ130</f>
        <v>0</v>
      </c>
      <c r="F130" s="402">
        <f>'A) Base RI'!AR130</f>
        <v>-5216.2700000000004</v>
      </c>
      <c r="G130" s="408">
        <f t="shared" si="6"/>
        <v>1214275.2699999998</v>
      </c>
      <c r="H130" s="10">
        <f>+'A) Base RI'!E130</f>
        <v>0</v>
      </c>
      <c r="I130" s="10">
        <f>+'A) Base RI'!F130</f>
        <v>0</v>
      </c>
      <c r="J130" s="10">
        <f>+'A) Base RI'!G130+'A) Base RI'!H130+'A) Base RI'!X130</f>
        <v>6119.67</v>
      </c>
      <c r="K130" s="10">
        <f>+'A) Base RI'!I130</f>
        <v>42593.15</v>
      </c>
      <c r="L130" s="10">
        <f>+'A) Base RI'!J130</f>
        <v>26916.85</v>
      </c>
      <c r="M130" s="10">
        <f>+'A) Base RI'!K130</f>
        <v>6697.85</v>
      </c>
      <c r="N130" s="10">
        <f>+'A) Base RI'!Q130</f>
        <v>-13472.35</v>
      </c>
      <c r="O130" s="10">
        <f t="shared" si="7"/>
        <v>100257.66666666667</v>
      </c>
      <c r="P130" s="10">
        <f>+'A) Base RI'!L130</f>
        <v>120309.2</v>
      </c>
      <c r="Q130" s="416">
        <f>'A) Base RI'!AS130</f>
        <v>1.2</v>
      </c>
      <c r="R130" s="408">
        <f t="shared" si="8"/>
        <v>1383388.1066666665</v>
      </c>
      <c r="S130" s="482">
        <f>+'A) Base RI'!AN130</f>
        <v>72</v>
      </c>
      <c r="T130" s="408">
        <f t="shared" si="9"/>
        <v>1276432.5899999996</v>
      </c>
      <c r="U130" s="408">
        <f t="shared" si="10"/>
        <v>19213.723703703701</v>
      </c>
      <c r="V130" s="10">
        <f>+'A) Base RI'!O130</f>
        <v>5785.2</v>
      </c>
      <c r="W130" s="10">
        <f>+'A) Base RI'!P130</f>
        <v>55309.1</v>
      </c>
      <c r="X130" s="10">
        <f>+'A) Base RI'!R130</f>
        <v>65663</v>
      </c>
      <c r="Y130" s="408">
        <f t="shared" si="11"/>
        <v>126757.29999999999</v>
      </c>
      <c r="Z130" s="10">
        <f>+'A) Base RI'!N130</f>
        <v>1817.85</v>
      </c>
      <c r="AA130" s="10">
        <f>'A) Base RI'!AO130</f>
        <v>388</v>
      </c>
    </row>
    <row r="131" spans="1:27" x14ac:dyDescent="0.25">
      <c r="A131" s="8">
        <f>'A) Base RI'!A131</f>
        <v>5611</v>
      </c>
      <c r="B131" s="32" t="str">
        <f>'A) Base RI'!B131</f>
        <v>Savigny</v>
      </c>
      <c r="C131" s="10">
        <f>'A) Base RI'!C131+'A) Base RI'!D131</f>
        <v>8179834.54</v>
      </c>
      <c r="D131" s="10">
        <f>'A) Base RI'!AP131</f>
        <v>-49490.14</v>
      </c>
      <c r="E131" s="402">
        <f>'A) Base RI'!AQ131</f>
        <v>0</v>
      </c>
      <c r="F131" s="402">
        <f>'A) Base RI'!AR131</f>
        <v>-6573</v>
      </c>
      <c r="G131" s="408">
        <f t="shared" si="6"/>
        <v>8123771.4000000004</v>
      </c>
      <c r="H131" s="10">
        <f>+'A) Base RI'!E131</f>
        <v>0</v>
      </c>
      <c r="I131" s="10">
        <f>+'A) Base RI'!F131</f>
        <v>0</v>
      </c>
      <c r="J131" s="10">
        <f>+'A) Base RI'!G131+'A) Base RI'!H131+'A) Base RI'!X131</f>
        <v>403904.80999999994</v>
      </c>
      <c r="K131" s="10">
        <f>+'A) Base RI'!I131</f>
        <v>90726.6</v>
      </c>
      <c r="L131" s="10">
        <f>+'A) Base RI'!J131</f>
        <v>106210.31</v>
      </c>
      <c r="M131" s="10">
        <f>+'A) Base RI'!K131</f>
        <v>18582.650000000001</v>
      </c>
      <c r="N131" s="10">
        <f>+'A) Base RI'!Q131</f>
        <v>21308.07</v>
      </c>
      <c r="O131" s="10">
        <f t="shared" si="7"/>
        <v>668854.54166666663</v>
      </c>
      <c r="P131" s="10">
        <f>+'A) Base RI'!L131</f>
        <v>802625.45</v>
      </c>
      <c r="Q131" s="416">
        <f>'A) Base RI'!AS131</f>
        <v>1.2</v>
      </c>
      <c r="R131" s="408">
        <f t="shared" si="8"/>
        <v>9433358.3816666678</v>
      </c>
      <c r="S131" s="482">
        <f>+'A) Base RI'!AN131</f>
        <v>69</v>
      </c>
      <c r="T131" s="408">
        <f t="shared" si="9"/>
        <v>8745921.1900000013</v>
      </c>
      <c r="U131" s="408">
        <f t="shared" si="10"/>
        <v>136715.33886473431</v>
      </c>
      <c r="V131" s="10">
        <f>+'A) Base RI'!O131</f>
        <v>360273.6</v>
      </c>
      <c r="W131" s="10">
        <f>+'A) Base RI'!P131</f>
        <v>433066.7</v>
      </c>
      <c r="X131" s="10">
        <f>+'A) Base RI'!R131</f>
        <v>195452.3</v>
      </c>
      <c r="Y131" s="408">
        <f t="shared" si="11"/>
        <v>988792.60000000009</v>
      </c>
      <c r="Z131" s="10">
        <f>+'A) Base RI'!N131</f>
        <v>108590.3</v>
      </c>
      <c r="AA131" s="10">
        <f>'A) Base RI'!AO131</f>
        <v>3348</v>
      </c>
    </row>
    <row r="132" spans="1:27" x14ac:dyDescent="0.25">
      <c r="A132" s="8">
        <f>'A) Base RI'!A132</f>
        <v>5613</v>
      </c>
      <c r="B132" s="32" t="str">
        <f>'A) Base RI'!B132</f>
        <v>Bourg-en-Lavaux</v>
      </c>
      <c r="C132" s="10">
        <f>'A) Base RI'!C132+'A) Base RI'!D132</f>
        <v>18943640.329999998</v>
      </c>
      <c r="D132" s="10">
        <f>'A) Base RI'!AP132</f>
        <v>-40257.919999999998</v>
      </c>
      <c r="E132" s="402">
        <f>'A) Base RI'!AQ132</f>
        <v>0</v>
      </c>
      <c r="F132" s="402">
        <f>'A) Base RI'!AR132</f>
        <v>-36921.5</v>
      </c>
      <c r="G132" s="408">
        <f t="shared" si="6"/>
        <v>18866460.909999996</v>
      </c>
      <c r="H132" s="10">
        <f>+'A) Base RI'!E132</f>
        <v>0</v>
      </c>
      <c r="I132" s="10">
        <f>+'A) Base RI'!F132</f>
        <v>0</v>
      </c>
      <c r="J132" s="10">
        <f>+'A) Base RI'!G132+'A) Base RI'!H132+'A) Base RI'!X132</f>
        <v>270219.09999999998</v>
      </c>
      <c r="K132" s="10">
        <f>+'A) Base RI'!I132</f>
        <v>247378.1</v>
      </c>
      <c r="L132" s="10">
        <f>+'A) Base RI'!J132</f>
        <v>527617.93000000005</v>
      </c>
      <c r="M132" s="10">
        <f>+'A) Base RI'!K132</f>
        <v>38012.449999999997</v>
      </c>
      <c r="N132" s="10">
        <f>+'A) Base RI'!Q132</f>
        <v>70473.53</v>
      </c>
      <c r="O132" s="10">
        <f t="shared" si="7"/>
        <v>1469099</v>
      </c>
      <c r="P132" s="10">
        <f>+'A) Base RI'!L132</f>
        <v>2203648.5</v>
      </c>
      <c r="Q132" s="416">
        <f>'A) Base RI'!AS132</f>
        <v>1.5</v>
      </c>
      <c r="R132" s="408">
        <f t="shared" si="8"/>
        <v>21489261.02</v>
      </c>
      <c r="S132" s="482">
        <f>+'A) Base RI'!AN132</f>
        <v>62.5</v>
      </c>
      <c r="T132" s="408">
        <f t="shared" si="9"/>
        <v>19982149.57</v>
      </c>
      <c r="U132" s="408">
        <f t="shared" si="10"/>
        <v>343828.17631999997</v>
      </c>
      <c r="V132" s="10">
        <f>+'A) Base RI'!O132</f>
        <v>124049.9</v>
      </c>
      <c r="W132" s="10">
        <f>+'A) Base RI'!P132</f>
        <v>749989.65</v>
      </c>
      <c r="X132" s="10">
        <f>+'A) Base RI'!R132</f>
        <v>817678.05</v>
      </c>
      <c r="Y132" s="408">
        <f t="shared" si="11"/>
        <v>1691717.6</v>
      </c>
      <c r="Z132" s="10">
        <f>+'A) Base RI'!N132</f>
        <v>31370.7</v>
      </c>
      <c r="AA132" s="10">
        <f>'A) Base RI'!AO132</f>
        <v>5389</v>
      </c>
    </row>
    <row r="133" spans="1:27" x14ac:dyDescent="0.25">
      <c r="A133" s="8">
        <f>'A) Base RI'!A133</f>
        <v>5621</v>
      </c>
      <c r="B133" s="32" t="str">
        <f>'A) Base RI'!B133</f>
        <v>Aclens</v>
      </c>
      <c r="C133" s="10">
        <f>'A) Base RI'!C133+'A) Base RI'!D133</f>
        <v>1151452.5</v>
      </c>
      <c r="D133" s="10">
        <f>'A) Base RI'!AP133</f>
        <v>-9314.2800000000007</v>
      </c>
      <c r="E133" s="402">
        <f>'A) Base RI'!AQ133</f>
        <v>0</v>
      </c>
      <c r="F133" s="402">
        <f>'A) Base RI'!AR133</f>
        <v>-204.26</v>
      </c>
      <c r="G133" s="408">
        <f t="shared" si="6"/>
        <v>1141933.96</v>
      </c>
      <c r="H133" s="10">
        <f>+'A) Base RI'!E133</f>
        <v>0</v>
      </c>
      <c r="I133" s="10">
        <f>+'A) Base RI'!F133</f>
        <v>0</v>
      </c>
      <c r="J133" s="10">
        <f>+'A) Base RI'!G133+'A) Base RI'!H133+'A) Base RI'!X133</f>
        <v>472827.23999999993</v>
      </c>
      <c r="K133" s="10">
        <f>+'A) Base RI'!I133</f>
        <v>0</v>
      </c>
      <c r="L133" s="10">
        <f>+'A) Base RI'!J133</f>
        <v>69241.11</v>
      </c>
      <c r="M133" s="10">
        <f>+'A) Base RI'!K133</f>
        <v>28236.75</v>
      </c>
      <c r="N133" s="10">
        <f>+'A) Base RI'!Q133</f>
        <v>4629.88</v>
      </c>
      <c r="O133" s="10">
        <f t="shared" si="7"/>
        <v>292669.63636363629</v>
      </c>
      <c r="P133" s="10">
        <f>+'A) Base RI'!L133</f>
        <v>321936.59999999998</v>
      </c>
      <c r="Q133" s="416">
        <f>'A) Base RI'!AS133</f>
        <v>1.1000000000000001</v>
      </c>
      <c r="R133" s="408">
        <f t="shared" si="8"/>
        <v>2009538.5763636362</v>
      </c>
      <c r="S133" s="482">
        <f>+'A) Base RI'!AN133</f>
        <v>62</v>
      </c>
      <c r="T133" s="408">
        <f t="shared" si="9"/>
        <v>1688632.19</v>
      </c>
      <c r="U133" s="408">
        <f t="shared" si="10"/>
        <v>32411.912521994131</v>
      </c>
      <c r="V133" s="10">
        <f>+'A) Base RI'!O133</f>
        <v>0.2</v>
      </c>
      <c r="W133" s="10">
        <f>+'A) Base RI'!P133</f>
        <v>82032.5</v>
      </c>
      <c r="X133" s="10">
        <f>+'A) Base RI'!R133</f>
        <v>34672.9</v>
      </c>
      <c r="Y133" s="408">
        <f t="shared" si="11"/>
        <v>116705.60000000001</v>
      </c>
      <c r="Z133" s="10">
        <f>+'A) Base RI'!N133</f>
        <v>292461.5</v>
      </c>
      <c r="AA133" s="10">
        <f>'A) Base RI'!AO133</f>
        <v>528</v>
      </c>
    </row>
    <row r="134" spans="1:27" x14ac:dyDescent="0.25">
      <c r="A134" s="8">
        <f>'A) Base RI'!A134</f>
        <v>5622</v>
      </c>
      <c r="B134" s="32" t="str">
        <f>'A) Base RI'!B134</f>
        <v>Bremblens</v>
      </c>
      <c r="C134" s="10">
        <f>'A) Base RI'!C134+'A) Base RI'!D134</f>
        <v>1707933.0999999999</v>
      </c>
      <c r="D134" s="10">
        <f>'A) Base RI'!AP134</f>
        <v>-1602.49</v>
      </c>
      <c r="E134" s="402">
        <f>'A) Base RI'!AQ134</f>
        <v>0</v>
      </c>
      <c r="F134" s="402">
        <f>'A) Base RI'!AR134</f>
        <v>-332.81</v>
      </c>
      <c r="G134" s="408">
        <f t="shared" si="6"/>
        <v>1705997.7999999998</v>
      </c>
      <c r="H134" s="10">
        <f>+'A) Base RI'!E134</f>
        <v>0</v>
      </c>
      <c r="I134" s="10">
        <f>+'A) Base RI'!F134</f>
        <v>0</v>
      </c>
      <c r="J134" s="10">
        <f>+'A) Base RI'!G134+'A) Base RI'!H134+'A) Base RI'!X134</f>
        <v>15198.58</v>
      </c>
      <c r="K134" s="10">
        <f>+'A) Base RI'!I134</f>
        <v>0</v>
      </c>
      <c r="L134" s="10">
        <f>+'A) Base RI'!J134</f>
        <v>14665.45</v>
      </c>
      <c r="M134" s="10">
        <f>+'A) Base RI'!K134</f>
        <v>3690.5</v>
      </c>
      <c r="N134" s="10">
        <f>+'A) Base RI'!Q134</f>
        <v>0</v>
      </c>
      <c r="O134" s="10">
        <f t="shared" si="7"/>
        <v>151065.4</v>
      </c>
      <c r="P134" s="10">
        <f>+'A) Base RI'!L134</f>
        <v>151065.4</v>
      </c>
      <c r="Q134" s="416">
        <f>'A) Base RI'!AS134</f>
        <v>1</v>
      </c>
      <c r="R134" s="408">
        <f t="shared" si="8"/>
        <v>1890617.7299999997</v>
      </c>
      <c r="S134" s="482">
        <f>+'A) Base RI'!AN134</f>
        <v>68</v>
      </c>
      <c r="T134" s="408">
        <f t="shared" si="9"/>
        <v>1735861.8299999998</v>
      </c>
      <c r="U134" s="408">
        <f t="shared" si="10"/>
        <v>27803.201911764703</v>
      </c>
      <c r="V134" s="10">
        <f>+'A) Base RI'!O134</f>
        <v>0</v>
      </c>
      <c r="W134" s="10">
        <f>+'A) Base RI'!P134</f>
        <v>54697.5</v>
      </c>
      <c r="X134" s="10">
        <f>+'A) Base RI'!R134</f>
        <v>39404.65</v>
      </c>
      <c r="Y134" s="408">
        <f t="shared" si="11"/>
        <v>94102.15</v>
      </c>
      <c r="Z134" s="10">
        <f>+'A) Base RI'!N134</f>
        <v>26810.25</v>
      </c>
      <c r="AA134" s="10">
        <f>'A) Base RI'!AO134</f>
        <v>583</v>
      </c>
    </row>
    <row r="135" spans="1:27" x14ac:dyDescent="0.25">
      <c r="A135" s="8">
        <f>'A) Base RI'!A135</f>
        <v>5623</v>
      </c>
      <c r="B135" s="32" t="str">
        <f>'A) Base RI'!B135</f>
        <v>Buchillon</v>
      </c>
      <c r="C135" s="10">
        <f>'A) Base RI'!C135+'A) Base RI'!D135</f>
        <v>4453526.62</v>
      </c>
      <c r="D135" s="10">
        <f>'A) Base RI'!AP135</f>
        <v>-22779.51</v>
      </c>
      <c r="E135" s="402">
        <f>'A) Base RI'!AQ135</f>
        <v>0</v>
      </c>
      <c r="F135" s="402">
        <f>'A) Base RI'!AR135</f>
        <v>-63718.03</v>
      </c>
      <c r="G135" s="408">
        <f t="shared" si="6"/>
        <v>4367029.08</v>
      </c>
      <c r="H135" s="10">
        <f>+'A) Base RI'!E135</f>
        <v>0</v>
      </c>
      <c r="I135" s="10">
        <f>+'A) Base RI'!F135</f>
        <v>0</v>
      </c>
      <c r="J135" s="10">
        <f>+'A) Base RI'!G135+'A) Base RI'!H135+'A) Base RI'!X135</f>
        <v>-53999.86</v>
      </c>
      <c r="K135" s="10">
        <f>+'A) Base RI'!I135</f>
        <v>172845.75</v>
      </c>
      <c r="L135" s="10">
        <f>+'A) Base RI'!J135</f>
        <v>55295.25</v>
      </c>
      <c r="M135" s="10">
        <f>+'A) Base RI'!K135</f>
        <v>-987</v>
      </c>
      <c r="N135" s="10">
        <f>+'A) Base RI'!Q135</f>
        <v>14447.47</v>
      </c>
      <c r="O135" s="10">
        <f t="shared" si="7"/>
        <v>353857.95</v>
      </c>
      <c r="P135" s="10">
        <f>+'A) Base RI'!L135</f>
        <v>353857.95</v>
      </c>
      <c r="Q135" s="416">
        <f>'A) Base RI'!AS135</f>
        <v>1</v>
      </c>
      <c r="R135" s="408">
        <f t="shared" si="8"/>
        <v>4908488.6399999997</v>
      </c>
      <c r="S135" s="482">
        <f>+'A) Base RI'!AN135</f>
        <v>52</v>
      </c>
      <c r="T135" s="408">
        <f t="shared" si="9"/>
        <v>4555617.6899999995</v>
      </c>
      <c r="U135" s="408">
        <f t="shared" si="10"/>
        <v>94394.012307692305</v>
      </c>
      <c r="V135" s="10">
        <f>+'A) Base RI'!O135</f>
        <v>0</v>
      </c>
      <c r="W135" s="10">
        <f>+'A) Base RI'!P135</f>
        <v>67045</v>
      </c>
      <c r="X135" s="10">
        <f>+'A) Base RI'!R135</f>
        <v>181888.8</v>
      </c>
      <c r="Y135" s="408">
        <f t="shared" si="11"/>
        <v>248933.8</v>
      </c>
      <c r="Z135" s="10">
        <f>+'A) Base RI'!N135</f>
        <v>2588.25</v>
      </c>
      <c r="AA135" s="10">
        <f>'A) Base RI'!AO135</f>
        <v>686</v>
      </c>
    </row>
    <row r="136" spans="1:27" x14ac:dyDescent="0.25">
      <c r="A136" s="8">
        <f>'A) Base RI'!A136</f>
        <v>5624</v>
      </c>
      <c r="B136" s="32" t="str">
        <f>'A) Base RI'!B136</f>
        <v>Bussigny</v>
      </c>
      <c r="C136" s="10">
        <f>'A) Base RI'!C136+'A) Base RI'!D136</f>
        <v>15952178.529999999</v>
      </c>
      <c r="D136" s="10">
        <f>'A) Base RI'!AP136</f>
        <v>-327793.27</v>
      </c>
      <c r="E136" s="402">
        <f>'A) Base RI'!AQ136</f>
        <v>0</v>
      </c>
      <c r="F136" s="402">
        <f>'A) Base RI'!AR136</f>
        <v>-199.73</v>
      </c>
      <c r="G136" s="408">
        <f t="shared" ref="G136:G199" si="12">SUM(C136:F136)</f>
        <v>15624185.529999999</v>
      </c>
      <c r="H136" s="10">
        <f>+'A) Base RI'!E136</f>
        <v>0</v>
      </c>
      <c r="I136" s="10">
        <f>+'A) Base RI'!F136</f>
        <v>0</v>
      </c>
      <c r="J136" s="10">
        <f>+'A) Base RI'!G136+'A) Base RI'!H136+'A) Base RI'!X136</f>
        <v>3078978.48</v>
      </c>
      <c r="K136" s="10">
        <f>+'A) Base RI'!I136</f>
        <v>0</v>
      </c>
      <c r="L136" s="10">
        <f>+'A) Base RI'!J136</f>
        <v>827180.89</v>
      </c>
      <c r="M136" s="10">
        <f>+'A) Base RI'!K136</f>
        <v>388139.95</v>
      </c>
      <c r="N136" s="10">
        <f>+'A) Base RI'!Q136</f>
        <v>23694.2</v>
      </c>
      <c r="O136" s="10">
        <f t="shared" ref="O136:O199" si="13">(P136/Q136)*1</f>
        <v>2192995.4</v>
      </c>
      <c r="P136" s="10">
        <f>+'A) Base RI'!L136</f>
        <v>2741244.25</v>
      </c>
      <c r="Q136" s="416">
        <f>'A) Base RI'!AS136</f>
        <v>1.25</v>
      </c>
      <c r="R136" s="408">
        <f t="shared" ref="R136:R199" si="14">SUM(G136:O136)</f>
        <v>22135174.449999996</v>
      </c>
      <c r="S136" s="482">
        <f>+'A) Base RI'!AN136</f>
        <v>62.5</v>
      </c>
      <c r="T136" s="408">
        <f t="shared" ref="T136:T199" si="15">(G136+H136+J136+K136+L136+N136)</f>
        <v>19554039.099999998</v>
      </c>
      <c r="U136" s="408">
        <f t="shared" ref="U136:U199" si="16">R136/S136</f>
        <v>354162.79119999992</v>
      </c>
      <c r="V136" s="10">
        <f>+'A) Base RI'!O136</f>
        <v>5816</v>
      </c>
      <c r="W136" s="10">
        <f>+'A) Base RI'!P136</f>
        <v>1752239.15</v>
      </c>
      <c r="X136" s="10">
        <f>+'A) Base RI'!R136</f>
        <v>1002009.7</v>
      </c>
      <c r="Y136" s="408">
        <f t="shared" ref="Y136:Y199" si="17">SUM(V136:X136)</f>
        <v>2760064.8499999996</v>
      </c>
      <c r="Z136" s="10">
        <f>+'A) Base RI'!N136</f>
        <v>1067240.95</v>
      </c>
      <c r="AA136" s="10">
        <f>'A) Base RI'!AO136</f>
        <v>9614</v>
      </c>
    </row>
    <row r="137" spans="1:27" x14ac:dyDescent="0.25">
      <c r="A137" s="8">
        <f>'A) Base RI'!A137</f>
        <v>5625</v>
      </c>
      <c r="B137" s="32" t="str">
        <f>'A) Base RI'!B137</f>
        <v>Bussy-Chardonney</v>
      </c>
      <c r="C137" s="10">
        <f>'A) Base RI'!C137+'A) Base RI'!D137</f>
        <v>1213702.81</v>
      </c>
      <c r="D137" s="10">
        <f>'A) Base RI'!AP137</f>
        <v>-88.77</v>
      </c>
      <c r="E137" s="402">
        <f>'A) Base RI'!AQ137</f>
        <v>0</v>
      </c>
      <c r="F137" s="402">
        <f>'A) Base RI'!AR137</f>
        <v>0</v>
      </c>
      <c r="G137" s="408">
        <f t="shared" si="12"/>
        <v>1213614.04</v>
      </c>
      <c r="H137" s="10">
        <f>+'A) Base RI'!E137</f>
        <v>0</v>
      </c>
      <c r="I137" s="10">
        <f>+'A) Base RI'!F137</f>
        <v>0</v>
      </c>
      <c r="J137" s="10">
        <f>+'A) Base RI'!G137+'A) Base RI'!H137+'A) Base RI'!X137</f>
        <v>20279.72</v>
      </c>
      <c r="K137" s="10">
        <f>+'A) Base RI'!I137</f>
        <v>0</v>
      </c>
      <c r="L137" s="10">
        <f>+'A) Base RI'!J137</f>
        <v>25906.17</v>
      </c>
      <c r="M137" s="10">
        <f>+'A) Base RI'!K137</f>
        <v>9282.5</v>
      </c>
      <c r="N137" s="10">
        <f>+'A) Base RI'!Q137</f>
        <v>0</v>
      </c>
      <c r="O137" s="10">
        <f t="shared" si="13"/>
        <v>96935</v>
      </c>
      <c r="P137" s="10">
        <f>+'A) Base RI'!L137</f>
        <v>116322</v>
      </c>
      <c r="Q137" s="416">
        <f>'A) Base RI'!AS137</f>
        <v>1.2</v>
      </c>
      <c r="R137" s="408">
        <f t="shared" si="14"/>
        <v>1366017.43</v>
      </c>
      <c r="S137" s="482">
        <f>+'A) Base RI'!AN137</f>
        <v>77</v>
      </c>
      <c r="T137" s="408">
        <f t="shared" si="15"/>
        <v>1259799.93</v>
      </c>
      <c r="U137" s="408">
        <f t="shared" si="16"/>
        <v>17740.486103896103</v>
      </c>
      <c r="V137" s="10">
        <f>+'A) Base RI'!O137</f>
        <v>0</v>
      </c>
      <c r="W137" s="10">
        <f>+'A) Base RI'!P137</f>
        <v>144952.45000000001</v>
      </c>
      <c r="X137" s="10">
        <f>+'A) Base RI'!R137</f>
        <v>43281.7</v>
      </c>
      <c r="Y137" s="408">
        <f t="shared" si="17"/>
        <v>188234.15000000002</v>
      </c>
      <c r="Z137" s="10">
        <f>+'A) Base RI'!N137</f>
        <v>0</v>
      </c>
      <c r="AA137" s="10">
        <f>'A) Base RI'!AO137</f>
        <v>404</v>
      </c>
    </row>
    <row r="138" spans="1:27" x14ac:dyDescent="0.25">
      <c r="A138" s="8">
        <f>'A) Base RI'!A138</f>
        <v>5627</v>
      </c>
      <c r="B138" s="32" t="str">
        <f>'A) Base RI'!B138</f>
        <v>Chavannes-près-Renens</v>
      </c>
      <c r="C138" s="10">
        <f>'A) Base RI'!C138+'A) Base RI'!D138</f>
        <v>11045907.140000001</v>
      </c>
      <c r="D138" s="10">
        <f>'A) Base RI'!AP138</f>
        <v>-355491.9</v>
      </c>
      <c r="E138" s="402">
        <f>'A) Base RI'!AQ138</f>
        <v>0</v>
      </c>
      <c r="F138" s="402">
        <f>'A) Base RI'!AR138</f>
        <v>-1921.6</v>
      </c>
      <c r="G138" s="408">
        <f t="shared" si="12"/>
        <v>10688493.640000001</v>
      </c>
      <c r="H138" s="10">
        <f>+'A) Base RI'!E138</f>
        <v>0</v>
      </c>
      <c r="I138" s="10">
        <f>+'A) Base RI'!F138</f>
        <v>0</v>
      </c>
      <c r="J138" s="10">
        <f>+'A) Base RI'!G138+'A) Base RI'!H138+'A) Base RI'!X138</f>
        <v>-379464.77</v>
      </c>
      <c r="K138" s="10">
        <f>+'A) Base RI'!I138</f>
        <v>0</v>
      </c>
      <c r="L138" s="10">
        <f>+'A) Base RI'!J138</f>
        <v>811299.64</v>
      </c>
      <c r="M138" s="10">
        <f>+'A) Base RI'!K138</f>
        <v>226072.5</v>
      </c>
      <c r="N138" s="10">
        <f>+'A) Base RI'!Q138</f>
        <v>116725.81</v>
      </c>
      <c r="O138" s="10">
        <f t="shared" si="13"/>
        <v>1084255.0666666667</v>
      </c>
      <c r="P138" s="10">
        <f>+'A) Base RI'!L138</f>
        <v>1626382.6</v>
      </c>
      <c r="Q138" s="416">
        <f>'A) Base RI'!AS138</f>
        <v>1.5</v>
      </c>
      <c r="R138" s="408">
        <f t="shared" si="14"/>
        <v>12547381.886666669</v>
      </c>
      <c r="S138" s="482">
        <f>+'A) Base RI'!AN138</f>
        <v>77.5</v>
      </c>
      <c r="T138" s="408">
        <f t="shared" si="15"/>
        <v>11237054.320000002</v>
      </c>
      <c r="U138" s="408">
        <f t="shared" si="16"/>
        <v>161901.70176344088</v>
      </c>
      <c r="V138" s="10">
        <f>+'A) Base RI'!O138</f>
        <v>26414.2</v>
      </c>
      <c r="W138" s="10">
        <f>+'A) Base RI'!P138</f>
        <v>663135.1</v>
      </c>
      <c r="X138" s="10">
        <f>+'A) Base RI'!R138</f>
        <v>129165</v>
      </c>
      <c r="Y138" s="408">
        <f t="shared" si="17"/>
        <v>818714.29999999993</v>
      </c>
      <c r="Z138" s="10">
        <f>+'A) Base RI'!N138</f>
        <v>351553.85</v>
      </c>
      <c r="AA138" s="10">
        <f>'A) Base RI'!AO138</f>
        <v>8487</v>
      </c>
    </row>
    <row r="139" spans="1:27" x14ac:dyDescent="0.25">
      <c r="A139" s="8">
        <f>'A) Base RI'!A139</f>
        <v>5628</v>
      </c>
      <c r="B139" s="32" t="str">
        <f>'A) Base RI'!B139</f>
        <v>Chigny</v>
      </c>
      <c r="C139" s="10">
        <f>'A) Base RI'!C139+'A) Base RI'!D139</f>
        <v>1368519.47</v>
      </c>
      <c r="D139" s="10">
        <f>'A) Base RI'!AP139</f>
        <v>-10689.49</v>
      </c>
      <c r="E139" s="402">
        <f>'A) Base RI'!AQ139</f>
        <v>0</v>
      </c>
      <c r="F139" s="402">
        <f>'A) Base RI'!AR139</f>
        <v>0</v>
      </c>
      <c r="G139" s="408">
        <f t="shared" si="12"/>
        <v>1357829.98</v>
      </c>
      <c r="H139" s="10">
        <f>+'A) Base RI'!E139</f>
        <v>0</v>
      </c>
      <c r="I139" s="10">
        <f>+'A) Base RI'!F139</f>
        <v>0</v>
      </c>
      <c r="J139" s="10">
        <f>+'A) Base RI'!G139+'A) Base RI'!H139+'A) Base RI'!X139</f>
        <v>6430.62</v>
      </c>
      <c r="K139" s="10">
        <f>+'A) Base RI'!I139</f>
        <v>0</v>
      </c>
      <c r="L139" s="10">
        <f>+'A) Base RI'!J139</f>
        <v>62499.47</v>
      </c>
      <c r="M139" s="10">
        <f>+'A) Base RI'!K139</f>
        <v>859.5</v>
      </c>
      <c r="N139" s="10">
        <f>+'A) Base RI'!Q139</f>
        <v>0</v>
      </c>
      <c r="O139" s="10">
        <f t="shared" si="13"/>
        <v>99101.3</v>
      </c>
      <c r="P139" s="10">
        <f>+'A) Base RI'!L139</f>
        <v>99101.3</v>
      </c>
      <c r="Q139" s="416">
        <f>'A) Base RI'!AS139</f>
        <v>1</v>
      </c>
      <c r="R139" s="408">
        <f t="shared" si="14"/>
        <v>1526720.87</v>
      </c>
      <c r="S139" s="482">
        <f>+'A) Base RI'!AN139</f>
        <v>62</v>
      </c>
      <c r="T139" s="408">
        <f t="shared" si="15"/>
        <v>1426760.07</v>
      </c>
      <c r="U139" s="408">
        <f t="shared" si="16"/>
        <v>24624.530161290324</v>
      </c>
      <c r="V139" s="10">
        <f>+'A) Base RI'!O139</f>
        <v>0</v>
      </c>
      <c r="W139" s="10">
        <f>+'A) Base RI'!P139</f>
        <v>61502.9</v>
      </c>
      <c r="X139" s="10">
        <f>+'A) Base RI'!R139</f>
        <v>62570.9</v>
      </c>
      <c r="Y139" s="408">
        <f t="shared" si="17"/>
        <v>124073.8</v>
      </c>
      <c r="Z139" s="10">
        <f>+'A) Base RI'!N139</f>
        <v>9088.4500000000007</v>
      </c>
      <c r="AA139" s="10">
        <f>'A) Base RI'!AO139</f>
        <v>396</v>
      </c>
    </row>
    <row r="140" spans="1:27" x14ac:dyDescent="0.25">
      <c r="A140" s="8">
        <f>'A) Base RI'!A140</f>
        <v>5629</v>
      </c>
      <c r="B140" s="32" t="str">
        <f>'A) Base RI'!B140</f>
        <v>Clarmont</v>
      </c>
      <c r="C140" s="10">
        <f>'A) Base RI'!C140+'A) Base RI'!D140</f>
        <v>582754.06999999995</v>
      </c>
      <c r="D140" s="10">
        <f>'A) Base RI'!AP140</f>
        <v>-15345.52</v>
      </c>
      <c r="E140" s="402">
        <f>'A) Base RI'!AQ140</f>
        <v>0</v>
      </c>
      <c r="F140" s="402">
        <f>'A) Base RI'!AR140</f>
        <v>0</v>
      </c>
      <c r="G140" s="408">
        <f t="shared" si="12"/>
        <v>567408.54999999993</v>
      </c>
      <c r="H140" s="10">
        <f>+'A) Base RI'!E140</f>
        <v>0</v>
      </c>
      <c r="I140" s="10">
        <f>+'A) Base RI'!F140</f>
        <v>0</v>
      </c>
      <c r="J140" s="10">
        <f>+'A) Base RI'!G140+'A) Base RI'!H140+'A) Base RI'!X140</f>
        <v>2396.2399999999998</v>
      </c>
      <c r="K140" s="10">
        <f>+'A) Base RI'!I140</f>
        <v>0</v>
      </c>
      <c r="L140" s="10">
        <f>+'A) Base RI'!J140</f>
        <v>18243.009999999998</v>
      </c>
      <c r="M140" s="10">
        <f>+'A) Base RI'!K140</f>
        <v>715.55</v>
      </c>
      <c r="N140" s="10">
        <f>+'A) Base RI'!Q140</f>
        <v>0</v>
      </c>
      <c r="O140" s="10">
        <f t="shared" si="13"/>
        <v>37549.25</v>
      </c>
      <c r="P140" s="10">
        <f>+'A) Base RI'!L140</f>
        <v>37549.25</v>
      </c>
      <c r="Q140" s="416">
        <f>'A) Base RI'!AS140</f>
        <v>1</v>
      </c>
      <c r="R140" s="408">
        <f t="shared" si="14"/>
        <v>626312.6</v>
      </c>
      <c r="S140" s="482">
        <f>+'A) Base RI'!AN140</f>
        <v>73.5</v>
      </c>
      <c r="T140" s="408">
        <f t="shared" si="15"/>
        <v>588047.79999999993</v>
      </c>
      <c r="U140" s="408">
        <f t="shared" si="16"/>
        <v>8521.2598639455773</v>
      </c>
      <c r="V140" s="10">
        <f>+'A) Base RI'!O140</f>
        <v>0</v>
      </c>
      <c r="W140" s="10">
        <f>+'A) Base RI'!P140</f>
        <v>2557.5</v>
      </c>
      <c r="X140" s="10">
        <f>+'A) Base RI'!R140</f>
        <v>1508.35</v>
      </c>
      <c r="Y140" s="408">
        <f t="shared" si="17"/>
        <v>4065.85</v>
      </c>
      <c r="Z140" s="10">
        <f>+'A) Base RI'!N140</f>
        <v>0</v>
      </c>
      <c r="AA140" s="10">
        <f>'A) Base RI'!AO140</f>
        <v>201</v>
      </c>
    </row>
    <row r="141" spans="1:27" x14ac:dyDescent="0.25">
      <c r="A141" s="8">
        <f>'A) Base RI'!A141</f>
        <v>5631</v>
      </c>
      <c r="B141" s="32" t="str">
        <f>'A) Base RI'!B141</f>
        <v>Denens</v>
      </c>
      <c r="C141" s="10">
        <f>'A) Base RI'!C141+'A) Base RI'!D141</f>
        <v>2613471.36</v>
      </c>
      <c r="D141" s="10">
        <f>'A) Base RI'!AP141</f>
        <v>-45226</v>
      </c>
      <c r="E141" s="402">
        <f>'A) Base RI'!AQ141</f>
        <v>0</v>
      </c>
      <c r="F141" s="402">
        <f>'A) Base RI'!AR141</f>
        <v>-11006.35</v>
      </c>
      <c r="G141" s="408">
        <f t="shared" si="12"/>
        <v>2557239.0099999998</v>
      </c>
      <c r="H141" s="10">
        <f>+'A) Base RI'!E141</f>
        <v>0</v>
      </c>
      <c r="I141" s="10">
        <f>+'A) Base RI'!F141</f>
        <v>0</v>
      </c>
      <c r="J141" s="10">
        <f>+'A) Base RI'!G141+'A) Base RI'!H141+'A) Base RI'!X141</f>
        <v>39756.71</v>
      </c>
      <c r="K141" s="10">
        <f>+'A) Base RI'!I141</f>
        <v>78240</v>
      </c>
      <c r="L141" s="10">
        <f>+'A) Base RI'!J141</f>
        <v>69432.86</v>
      </c>
      <c r="M141" s="10">
        <f>+'A) Base RI'!K141</f>
        <v>3267.65</v>
      </c>
      <c r="N141" s="10">
        <f>+'A) Base RI'!Q141</f>
        <v>0</v>
      </c>
      <c r="O141" s="10">
        <f t="shared" si="13"/>
        <v>207013.45</v>
      </c>
      <c r="P141" s="10">
        <f>+'A) Base RI'!L141</f>
        <v>207013.45</v>
      </c>
      <c r="Q141" s="416">
        <f>'A) Base RI'!AS141</f>
        <v>1</v>
      </c>
      <c r="R141" s="408">
        <f t="shared" si="14"/>
        <v>2954949.6799999997</v>
      </c>
      <c r="S141" s="482">
        <f>+'A) Base RI'!AN141</f>
        <v>68</v>
      </c>
      <c r="T141" s="408">
        <f t="shared" si="15"/>
        <v>2744668.5799999996</v>
      </c>
      <c r="U141" s="408">
        <f t="shared" si="16"/>
        <v>43455.14235294117</v>
      </c>
      <c r="V141" s="10">
        <f>+'A) Base RI'!O141</f>
        <v>209452.6</v>
      </c>
      <c r="W141" s="10">
        <f>+'A) Base RI'!P141</f>
        <v>103772.75</v>
      </c>
      <c r="X141" s="10">
        <f>+'A) Base RI'!R141</f>
        <v>66947</v>
      </c>
      <c r="Y141" s="408">
        <f t="shared" si="17"/>
        <v>380172.35</v>
      </c>
      <c r="Z141" s="10">
        <f>+'A) Base RI'!N141</f>
        <v>1561.75</v>
      </c>
      <c r="AA141" s="10">
        <f>'A) Base RI'!AO141</f>
        <v>742</v>
      </c>
    </row>
    <row r="142" spans="1:27" x14ac:dyDescent="0.25">
      <c r="A142" s="8">
        <f>'A) Base RI'!A142</f>
        <v>5632</v>
      </c>
      <c r="B142" s="32" t="str">
        <f>'A) Base RI'!B142</f>
        <v>Denges</v>
      </c>
      <c r="C142" s="10">
        <f>'A) Base RI'!C142+'A) Base RI'!D142</f>
        <v>3948839.86</v>
      </c>
      <c r="D142" s="10">
        <f>'A) Base RI'!AP142</f>
        <v>-43095.32</v>
      </c>
      <c r="E142" s="402">
        <f>'A) Base RI'!AQ142</f>
        <v>0</v>
      </c>
      <c r="F142" s="402">
        <f>'A) Base RI'!AR142</f>
        <v>-1532.09</v>
      </c>
      <c r="G142" s="408">
        <f t="shared" si="12"/>
        <v>3904212.45</v>
      </c>
      <c r="H142" s="10">
        <f>+'A) Base RI'!E142</f>
        <v>0</v>
      </c>
      <c r="I142" s="10">
        <f>+'A) Base RI'!F142</f>
        <v>0</v>
      </c>
      <c r="J142" s="10">
        <f>+'A) Base RI'!G142+'A) Base RI'!H142+'A) Base RI'!X142</f>
        <v>250272.97999999998</v>
      </c>
      <c r="K142" s="10">
        <f>+'A) Base RI'!I142</f>
        <v>0</v>
      </c>
      <c r="L142" s="10">
        <f>+'A) Base RI'!J142</f>
        <v>210458.31</v>
      </c>
      <c r="M142" s="10">
        <f>+'A) Base RI'!K142</f>
        <v>23646.6</v>
      </c>
      <c r="N142" s="10">
        <f>+'A) Base RI'!Q142</f>
        <v>4195.5</v>
      </c>
      <c r="O142" s="10">
        <f t="shared" si="13"/>
        <v>348972.1</v>
      </c>
      <c r="P142" s="10">
        <f>+'A) Base RI'!L142</f>
        <v>348972.1</v>
      </c>
      <c r="Q142" s="416">
        <f>'A) Base RI'!AS142</f>
        <v>1</v>
      </c>
      <c r="R142" s="408">
        <f t="shared" si="14"/>
        <v>4741757.9399999995</v>
      </c>
      <c r="S142" s="482">
        <f>+'A) Base RI'!AN142</f>
        <v>62</v>
      </c>
      <c r="T142" s="408">
        <f t="shared" si="15"/>
        <v>4369139.24</v>
      </c>
      <c r="U142" s="408">
        <f t="shared" si="16"/>
        <v>76479.966774193541</v>
      </c>
      <c r="V142" s="10">
        <f>+'A) Base RI'!O142</f>
        <v>0</v>
      </c>
      <c r="W142" s="10">
        <f>+'A) Base RI'!P142</f>
        <v>285035.40000000002</v>
      </c>
      <c r="X142" s="10">
        <f>+'A) Base RI'!R142</f>
        <v>95165.3</v>
      </c>
      <c r="Y142" s="408">
        <f t="shared" si="17"/>
        <v>380200.7</v>
      </c>
      <c r="Z142" s="10">
        <f>+'A) Base RI'!N142</f>
        <v>74620.800000000003</v>
      </c>
      <c r="AA142" s="10">
        <f>'A) Base RI'!AO142</f>
        <v>1730</v>
      </c>
    </row>
    <row r="143" spans="1:27" x14ac:dyDescent="0.25">
      <c r="A143" s="8">
        <f>'A) Base RI'!A143</f>
        <v>5633</v>
      </c>
      <c r="B143" s="32" t="str">
        <f>'A) Base RI'!B143</f>
        <v>Echandens</v>
      </c>
      <c r="C143" s="10">
        <f>'A) Base RI'!C143+'A) Base RI'!D143</f>
        <v>7594477.8799999999</v>
      </c>
      <c r="D143" s="10">
        <f>'A) Base RI'!AP143</f>
        <v>-40672.81</v>
      </c>
      <c r="E143" s="402">
        <f>'A) Base RI'!AQ143</f>
        <v>0</v>
      </c>
      <c r="F143" s="402">
        <f>'A) Base RI'!AR143</f>
        <v>0</v>
      </c>
      <c r="G143" s="408">
        <f t="shared" si="12"/>
        <v>7553805.0700000003</v>
      </c>
      <c r="H143" s="10">
        <f>+'A) Base RI'!E143</f>
        <v>0</v>
      </c>
      <c r="I143" s="10">
        <f>+'A) Base RI'!F143</f>
        <v>0</v>
      </c>
      <c r="J143" s="10">
        <f>+'A) Base RI'!G143+'A) Base RI'!H143+'A) Base RI'!X143</f>
        <v>545217.86</v>
      </c>
      <c r="K143" s="10">
        <f>+'A) Base RI'!I143</f>
        <v>0</v>
      </c>
      <c r="L143" s="10">
        <f>+'A) Base RI'!J143</f>
        <v>204276.94</v>
      </c>
      <c r="M143" s="10">
        <f>+'A) Base RI'!K143</f>
        <v>32221.7</v>
      </c>
      <c r="N143" s="10">
        <f>+'A) Base RI'!Q143</f>
        <v>2267.2600000000002</v>
      </c>
      <c r="O143" s="10">
        <f t="shared" si="13"/>
        <v>668572.05000000005</v>
      </c>
      <c r="P143" s="10">
        <f>+'A) Base RI'!L143</f>
        <v>668572.05000000005</v>
      </c>
      <c r="Q143" s="416">
        <f>'A) Base RI'!AS143</f>
        <v>1</v>
      </c>
      <c r="R143" s="408">
        <f t="shared" si="14"/>
        <v>9006360.8800000008</v>
      </c>
      <c r="S143" s="482">
        <f>+'A) Base RI'!AN143</f>
        <v>60.5</v>
      </c>
      <c r="T143" s="408">
        <f t="shared" si="15"/>
        <v>8305567.1300000008</v>
      </c>
      <c r="U143" s="408">
        <f t="shared" si="16"/>
        <v>148865.46909090912</v>
      </c>
      <c r="V143" s="10">
        <f>+'A) Base RI'!O143</f>
        <v>442498.3</v>
      </c>
      <c r="W143" s="10">
        <f>+'A) Base RI'!P143</f>
        <v>530269.5</v>
      </c>
      <c r="X143" s="10">
        <f>+'A) Base RI'!R143</f>
        <v>476944.2</v>
      </c>
      <c r="Y143" s="408">
        <f t="shared" si="17"/>
        <v>1449712</v>
      </c>
      <c r="Z143" s="10">
        <f>+'A) Base RI'!N143</f>
        <v>197742.25</v>
      </c>
      <c r="AA143" s="10">
        <f>'A) Base RI'!AO143</f>
        <v>2743</v>
      </c>
    </row>
    <row r="144" spans="1:27" x14ac:dyDescent="0.25">
      <c r="A144" s="8">
        <f>'A) Base RI'!A144</f>
        <v>5634</v>
      </c>
      <c r="B144" s="32" t="str">
        <f>'A) Base RI'!B144</f>
        <v>Echichens</v>
      </c>
      <c r="C144" s="10">
        <f>'A) Base RI'!C144+'A) Base RI'!D144</f>
        <v>9540721.9000000004</v>
      </c>
      <c r="D144" s="10">
        <f>'A) Base RI'!AP144</f>
        <v>1122.06</v>
      </c>
      <c r="E144" s="402">
        <f>'A) Base RI'!AQ144</f>
        <v>0</v>
      </c>
      <c r="F144" s="402">
        <f>'A) Base RI'!AR144</f>
        <v>-16430.84</v>
      </c>
      <c r="G144" s="408">
        <f t="shared" si="12"/>
        <v>9525413.120000001</v>
      </c>
      <c r="H144" s="10">
        <f>+'A) Base RI'!E144</f>
        <v>0</v>
      </c>
      <c r="I144" s="10">
        <f>+'A) Base RI'!F144</f>
        <v>0</v>
      </c>
      <c r="J144" s="10">
        <f>+'A) Base RI'!G144+'A) Base RI'!H144+'A) Base RI'!X144</f>
        <v>390824.9</v>
      </c>
      <c r="K144" s="10">
        <f>+'A) Base RI'!I144</f>
        <v>79996.100000000006</v>
      </c>
      <c r="L144" s="10">
        <f>+'A) Base RI'!J144</f>
        <v>114182.63</v>
      </c>
      <c r="M144" s="10">
        <f>+'A) Base RI'!K144</f>
        <v>30661.9</v>
      </c>
      <c r="N144" s="10">
        <f>+'A) Base RI'!Q144</f>
        <v>-22414.37</v>
      </c>
      <c r="O144" s="10">
        <f t="shared" si="13"/>
        <v>717057.2</v>
      </c>
      <c r="P144" s="10">
        <f>+'A) Base RI'!L144</f>
        <v>717057.2</v>
      </c>
      <c r="Q144" s="416">
        <f>'A) Base RI'!AS144</f>
        <v>1</v>
      </c>
      <c r="R144" s="408">
        <f t="shared" si="14"/>
        <v>10835721.480000002</v>
      </c>
      <c r="S144" s="482">
        <f>+'A) Base RI'!AN144</f>
        <v>66</v>
      </c>
      <c r="T144" s="408">
        <f t="shared" si="15"/>
        <v>10088002.380000003</v>
      </c>
      <c r="U144" s="408">
        <f t="shared" si="16"/>
        <v>164177.5981818182</v>
      </c>
      <c r="V144" s="10">
        <f>+'A) Base RI'!O144</f>
        <v>110134.1</v>
      </c>
      <c r="W144" s="10">
        <f>+'A) Base RI'!P144</f>
        <v>419119.95</v>
      </c>
      <c r="X144" s="10">
        <f>+'A) Base RI'!R144</f>
        <v>301776.34999999998</v>
      </c>
      <c r="Y144" s="408">
        <f t="shared" si="17"/>
        <v>831030.4</v>
      </c>
      <c r="Z144" s="10">
        <f>+'A) Base RI'!N144</f>
        <v>34427.1</v>
      </c>
      <c r="AA144" s="10">
        <f>'A) Base RI'!AO144</f>
        <v>3127</v>
      </c>
    </row>
    <row r="145" spans="1:27" x14ac:dyDescent="0.25">
      <c r="A145" s="8">
        <f>'A) Base RI'!A145</f>
        <v>5635</v>
      </c>
      <c r="B145" s="32" t="str">
        <f>'A) Base RI'!B145</f>
        <v>Ecublens</v>
      </c>
      <c r="C145" s="10">
        <f>'A) Base RI'!C145+'A) Base RI'!D145</f>
        <v>21962150.350000001</v>
      </c>
      <c r="D145" s="10">
        <f>'A) Base RI'!AP145</f>
        <v>-620064.99</v>
      </c>
      <c r="E145" s="402">
        <f>'A) Base RI'!AQ145</f>
        <v>0</v>
      </c>
      <c r="F145" s="402">
        <f>'A) Base RI'!AR145</f>
        <v>-25901.47</v>
      </c>
      <c r="G145" s="408">
        <f t="shared" si="12"/>
        <v>21316183.890000004</v>
      </c>
      <c r="H145" s="10">
        <f>+'A) Base RI'!E145</f>
        <v>0</v>
      </c>
      <c r="I145" s="10">
        <f>+'A) Base RI'!F145</f>
        <v>0</v>
      </c>
      <c r="J145" s="10">
        <f>+'A) Base RI'!G145+'A) Base RI'!H145+'A) Base RI'!X145</f>
        <v>16588508.439999999</v>
      </c>
      <c r="K145" s="10">
        <f>+'A) Base RI'!I145</f>
        <v>0</v>
      </c>
      <c r="L145" s="10">
        <f>+'A) Base RI'!J145</f>
        <v>1749282.28</v>
      </c>
      <c r="M145" s="10">
        <f>+'A) Base RI'!K145</f>
        <v>453708.3</v>
      </c>
      <c r="N145" s="10">
        <f>+'A) Base RI'!Q145</f>
        <v>76637.2</v>
      </c>
      <c r="O145" s="10">
        <f t="shared" si="13"/>
        <v>2424391.9583333335</v>
      </c>
      <c r="P145" s="10">
        <f>+'A) Base RI'!L145</f>
        <v>2909270.35</v>
      </c>
      <c r="Q145" s="416">
        <f>'A) Base RI'!AS145</f>
        <v>1.2</v>
      </c>
      <c r="R145" s="408">
        <f t="shared" si="14"/>
        <v>42608712.068333343</v>
      </c>
      <c r="S145" s="482">
        <f>+'A) Base RI'!AN145</f>
        <v>62.5</v>
      </c>
      <c r="T145" s="408">
        <f t="shared" si="15"/>
        <v>39730611.81000001</v>
      </c>
      <c r="U145" s="408">
        <f t="shared" si="16"/>
        <v>681739.39309333346</v>
      </c>
      <c r="V145" s="10">
        <f>+'A) Base RI'!O145</f>
        <v>328899.90000000002</v>
      </c>
      <c r="W145" s="10">
        <f>+'A) Base RI'!P145</f>
        <v>1907493.5</v>
      </c>
      <c r="X145" s="10">
        <f>+'A) Base RI'!R145</f>
        <v>676244.1</v>
      </c>
      <c r="Y145" s="408">
        <f t="shared" si="17"/>
        <v>2912637.5</v>
      </c>
      <c r="Z145" s="10">
        <f>+'A) Base RI'!N145</f>
        <v>2487367.85</v>
      </c>
      <c r="AA145" s="10">
        <f>'A) Base RI'!AO145</f>
        <v>13164</v>
      </c>
    </row>
    <row r="146" spans="1:27" x14ac:dyDescent="0.25">
      <c r="A146" s="8">
        <f>'A) Base RI'!A146</f>
        <v>5636</v>
      </c>
      <c r="B146" s="32" t="str">
        <f>'A) Base RI'!B146</f>
        <v>Etoy</v>
      </c>
      <c r="C146" s="10">
        <f>'A) Base RI'!C146+'A) Base RI'!D146</f>
        <v>6858006.46</v>
      </c>
      <c r="D146" s="10">
        <f>'A) Base RI'!AP146</f>
        <v>-79322.78</v>
      </c>
      <c r="E146" s="402">
        <f>'A) Base RI'!AQ146</f>
        <v>0</v>
      </c>
      <c r="F146" s="402">
        <f>'A) Base RI'!AR146</f>
        <v>-3378.24</v>
      </c>
      <c r="G146" s="408">
        <f t="shared" si="12"/>
        <v>6775305.4399999995</v>
      </c>
      <c r="H146" s="10">
        <f>+'A) Base RI'!E146</f>
        <v>0</v>
      </c>
      <c r="I146" s="10">
        <f>+'A) Base RI'!F146</f>
        <v>0</v>
      </c>
      <c r="J146" s="10">
        <f>+'A) Base RI'!G146+'A) Base RI'!H146+'A) Base RI'!X146</f>
        <v>1635017.51</v>
      </c>
      <c r="K146" s="10">
        <f>+'A) Base RI'!I146</f>
        <v>0</v>
      </c>
      <c r="L146" s="10">
        <f>+'A) Base RI'!J146</f>
        <v>357527.27</v>
      </c>
      <c r="M146" s="10">
        <f>+'A) Base RI'!K146</f>
        <v>284447.09999999998</v>
      </c>
      <c r="N146" s="10">
        <f>+'A) Base RI'!Q146</f>
        <v>728.49</v>
      </c>
      <c r="O146" s="10">
        <f t="shared" si="13"/>
        <v>1189901.8500000001</v>
      </c>
      <c r="P146" s="10">
        <f>+'A) Base RI'!L146</f>
        <v>1189901.8500000001</v>
      </c>
      <c r="Q146" s="416">
        <f>'A) Base RI'!AS146</f>
        <v>1</v>
      </c>
      <c r="R146" s="408">
        <f t="shared" si="14"/>
        <v>10242927.659999998</v>
      </c>
      <c r="S146" s="482">
        <f>+'A) Base RI'!AN146</f>
        <v>60</v>
      </c>
      <c r="T146" s="408">
        <f t="shared" si="15"/>
        <v>8768578.709999999</v>
      </c>
      <c r="U146" s="408">
        <f t="shared" si="16"/>
        <v>170715.46099999998</v>
      </c>
      <c r="V146" s="10">
        <f>+'A) Base RI'!O146</f>
        <v>211610.6</v>
      </c>
      <c r="W146" s="10">
        <f>+'A) Base RI'!P146</f>
        <v>400593</v>
      </c>
      <c r="X146" s="10">
        <f>+'A) Base RI'!R146</f>
        <v>366210.85</v>
      </c>
      <c r="Y146" s="408">
        <f t="shared" si="17"/>
        <v>978414.45</v>
      </c>
      <c r="Z146" s="10">
        <f>+'A) Base RI'!N146</f>
        <v>619311.94999999995</v>
      </c>
      <c r="AA146" s="10">
        <f>'A) Base RI'!AO146</f>
        <v>2909</v>
      </c>
    </row>
    <row r="147" spans="1:27" x14ac:dyDescent="0.25">
      <c r="A147" s="8">
        <f>'A) Base RI'!A147</f>
        <v>5637</v>
      </c>
      <c r="B147" s="32" t="str">
        <f>'A) Base RI'!B147</f>
        <v>Lavigny</v>
      </c>
      <c r="C147" s="10">
        <f>'A) Base RI'!C147+'A) Base RI'!D147</f>
        <v>2750212.11</v>
      </c>
      <c r="D147" s="10">
        <f>'A) Base RI'!AP147</f>
        <v>-32228.12</v>
      </c>
      <c r="E147" s="402">
        <f>'A) Base RI'!AQ147</f>
        <v>0</v>
      </c>
      <c r="F147" s="402">
        <f>'A) Base RI'!AR147</f>
        <v>-1637.58</v>
      </c>
      <c r="G147" s="408">
        <f t="shared" si="12"/>
        <v>2716346.4099999997</v>
      </c>
      <c r="H147" s="10">
        <f>+'A) Base RI'!E147</f>
        <v>0</v>
      </c>
      <c r="I147" s="10">
        <f>+'A) Base RI'!F147</f>
        <v>0</v>
      </c>
      <c r="J147" s="10">
        <f>+'A) Base RI'!G147+'A) Base RI'!H147+'A) Base RI'!X147</f>
        <v>13498.89</v>
      </c>
      <c r="K147" s="10">
        <f>+'A) Base RI'!I147</f>
        <v>0</v>
      </c>
      <c r="L147" s="10">
        <f>+'A) Base RI'!J147</f>
        <v>75916.59</v>
      </c>
      <c r="M147" s="10">
        <f>+'A) Base RI'!K147</f>
        <v>5748.85</v>
      </c>
      <c r="N147" s="10">
        <f>+'A) Base RI'!Q147</f>
        <v>2396.9899999999998</v>
      </c>
      <c r="O147" s="10">
        <f t="shared" si="13"/>
        <v>193302.39999999999</v>
      </c>
      <c r="P147" s="10">
        <f>+'A) Base RI'!L147</f>
        <v>289953.59999999998</v>
      </c>
      <c r="Q147" s="416">
        <f>'A) Base RI'!AS147</f>
        <v>1.5</v>
      </c>
      <c r="R147" s="408">
        <f t="shared" si="14"/>
        <v>3007210.13</v>
      </c>
      <c r="S147" s="482">
        <f>+'A) Base RI'!AN147</f>
        <v>73</v>
      </c>
      <c r="T147" s="408">
        <f t="shared" si="15"/>
        <v>2808158.88</v>
      </c>
      <c r="U147" s="408">
        <f t="shared" si="16"/>
        <v>41194.659315068493</v>
      </c>
      <c r="V147" s="10">
        <f>+'A) Base RI'!O147</f>
        <v>9743.7999999999993</v>
      </c>
      <c r="W147" s="10">
        <f>+'A) Base RI'!P147</f>
        <v>111469.3</v>
      </c>
      <c r="X147" s="10">
        <f>+'A) Base RI'!R147</f>
        <v>102752.3</v>
      </c>
      <c r="Y147" s="408">
        <f t="shared" si="17"/>
        <v>223965.40000000002</v>
      </c>
      <c r="Z147" s="10">
        <f>+'A) Base RI'!N147</f>
        <v>222888.05</v>
      </c>
      <c r="AA147" s="10">
        <f>'A) Base RI'!AO147</f>
        <v>1008</v>
      </c>
    </row>
    <row r="148" spans="1:27" x14ac:dyDescent="0.25">
      <c r="A148" s="8">
        <f>'A) Base RI'!A148</f>
        <v>5638</v>
      </c>
      <c r="B148" s="32" t="str">
        <f>'A) Base RI'!B148</f>
        <v>Lonay</v>
      </c>
      <c r="C148" s="10">
        <f>'A) Base RI'!C148+'A) Base RI'!D148</f>
        <v>6812727.2400000002</v>
      </c>
      <c r="D148" s="10">
        <f>'A) Base RI'!AP148</f>
        <v>-53189.35</v>
      </c>
      <c r="E148" s="402">
        <f>'A) Base RI'!AQ148</f>
        <v>0</v>
      </c>
      <c r="F148" s="402">
        <f>'A) Base RI'!AR148</f>
        <v>-14646.69</v>
      </c>
      <c r="G148" s="408">
        <f t="shared" si="12"/>
        <v>6744891.2000000002</v>
      </c>
      <c r="H148" s="10">
        <f>+'A) Base RI'!E148</f>
        <v>0</v>
      </c>
      <c r="I148" s="10">
        <f>+'A) Base RI'!F148</f>
        <v>0</v>
      </c>
      <c r="J148" s="10">
        <f>+'A) Base RI'!G148+'A) Base RI'!H148+'A) Base RI'!X148</f>
        <v>51374.32</v>
      </c>
      <c r="K148" s="10">
        <f>+'A) Base RI'!I148</f>
        <v>317203.75</v>
      </c>
      <c r="L148" s="10">
        <f>+'A) Base RI'!J148</f>
        <v>128647.64</v>
      </c>
      <c r="M148" s="10">
        <f>+'A) Base RI'!K148</f>
        <v>64583.25</v>
      </c>
      <c r="N148" s="10">
        <f>+'A) Base RI'!Q148</f>
        <v>17148.830000000002</v>
      </c>
      <c r="O148" s="10">
        <f t="shared" si="13"/>
        <v>678102.1</v>
      </c>
      <c r="P148" s="10">
        <f>+'A) Base RI'!L148</f>
        <v>678102.1</v>
      </c>
      <c r="Q148" s="416">
        <f>'A) Base RI'!AS148</f>
        <v>1</v>
      </c>
      <c r="R148" s="408">
        <f t="shared" si="14"/>
        <v>8001951.0899999999</v>
      </c>
      <c r="S148" s="482">
        <f>+'A) Base RI'!AN148</f>
        <v>55</v>
      </c>
      <c r="T148" s="408">
        <f t="shared" si="15"/>
        <v>7259265.7400000002</v>
      </c>
      <c r="U148" s="408">
        <f t="shared" si="16"/>
        <v>145490.01981818181</v>
      </c>
      <c r="V148" s="10">
        <f>+'A) Base RI'!O148</f>
        <v>1585561.3</v>
      </c>
      <c r="W148" s="10">
        <f>+'A) Base RI'!P148</f>
        <v>317299.65000000002</v>
      </c>
      <c r="X148" s="10">
        <f>+'A) Base RI'!R148</f>
        <v>218303.75</v>
      </c>
      <c r="Y148" s="408">
        <f t="shared" si="17"/>
        <v>2121164.7000000002</v>
      </c>
      <c r="Z148" s="10">
        <f>+'A) Base RI'!N148</f>
        <v>290954.15000000002</v>
      </c>
      <c r="AA148" s="10">
        <f>'A) Base RI'!AO148</f>
        <v>2679</v>
      </c>
    </row>
    <row r="149" spans="1:27" x14ac:dyDescent="0.25">
      <c r="A149" s="8">
        <f>'A) Base RI'!A149</f>
        <v>5639</v>
      </c>
      <c r="B149" s="32" t="str">
        <f>'A) Base RI'!B149</f>
        <v>Lully</v>
      </c>
      <c r="C149" s="10">
        <f>'A) Base RI'!C149+'A) Base RI'!D149</f>
        <v>2651852.83</v>
      </c>
      <c r="D149" s="10">
        <f>'A) Base RI'!AP149</f>
        <v>-11017.54</v>
      </c>
      <c r="E149" s="402">
        <f>'A) Base RI'!AQ149</f>
        <v>0</v>
      </c>
      <c r="F149" s="402">
        <f>'A) Base RI'!AR149</f>
        <v>0</v>
      </c>
      <c r="G149" s="408">
        <f t="shared" si="12"/>
        <v>2640835.29</v>
      </c>
      <c r="H149" s="10">
        <f>+'A) Base RI'!E149</f>
        <v>0</v>
      </c>
      <c r="I149" s="10">
        <f>+'A) Base RI'!F149</f>
        <v>0</v>
      </c>
      <c r="J149" s="10">
        <f>+'A) Base RI'!G149+'A) Base RI'!H149+'A) Base RI'!X149</f>
        <v>-64942.92</v>
      </c>
      <c r="K149" s="10">
        <f>+'A) Base RI'!I149</f>
        <v>0</v>
      </c>
      <c r="L149" s="10">
        <f>+'A) Base RI'!J149</f>
        <v>9023.2800000000007</v>
      </c>
      <c r="M149" s="10">
        <f>+'A) Base RI'!K149</f>
        <v>-8250.15</v>
      </c>
      <c r="N149" s="10">
        <f>+'A) Base RI'!Q149</f>
        <v>669.49</v>
      </c>
      <c r="O149" s="10">
        <f t="shared" si="13"/>
        <v>205673.76</v>
      </c>
      <c r="P149" s="10">
        <f>+'A) Base RI'!L149</f>
        <v>257092.2</v>
      </c>
      <c r="Q149" s="416">
        <f>'A) Base RI'!AS149</f>
        <v>1.25</v>
      </c>
      <c r="R149" s="408">
        <f t="shared" si="14"/>
        <v>2783008.75</v>
      </c>
      <c r="S149" s="482">
        <f>+'A) Base RI'!AN149</f>
        <v>61</v>
      </c>
      <c r="T149" s="408">
        <f t="shared" si="15"/>
        <v>2585585.14</v>
      </c>
      <c r="U149" s="408">
        <f t="shared" si="16"/>
        <v>45623.094262295082</v>
      </c>
      <c r="V149" s="10">
        <f>+'A) Base RI'!O149</f>
        <v>3045.2</v>
      </c>
      <c r="W149" s="10">
        <f>+'A) Base RI'!P149</f>
        <v>129002.9</v>
      </c>
      <c r="X149" s="10">
        <f>+'A) Base RI'!R149</f>
        <v>20303.5</v>
      </c>
      <c r="Y149" s="408">
        <f t="shared" si="17"/>
        <v>152351.6</v>
      </c>
      <c r="Z149" s="10">
        <f>+'A) Base RI'!N149</f>
        <v>15484.7</v>
      </c>
      <c r="AA149" s="10">
        <f>'A) Base RI'!AO149</f>
        <v>825</v>
      </c>
    </row>
    <row r="150" spans="1:27" x14ac:dyDescent="0.25">
      <c r="A150" s="8">
        <f>'A) Base RI'!A150</f>
        <v>5640</v>
      </c>
      <c r="B150" s="32" t="str">
        <f>'A) Base RI'!B150</f>
        <v>Lussy-sur-Morges</v>
      </c>
      <c r="C150" s="10">
        <f>'A) Base RI'!C150+'A) Base RI'!D150</f>
        <v>3389836.15</v>
      </c>
      <c r="D150" s="10">
        <f>'A) Base RI'!AP150</f>
        <v>-3891.6</v>
      </c>
      <c r="E150" s="402">
        <f>'A) Base RI'!AQ150</f>
        <v>0</v>
      </c>
      <c r="F150" s="402">
        <f>'A) Base RI'!AR150</f>
        <v>-2209.71</v>
      </c>
      <c r="G150" s="408">
        <f t="shared" si="12"/>
        <v>3383734.84</v>
      </c>
      <c r="H150" s="10">
        <f>+'A) Base RI'!E150</f>
        <v>0</v>
      </c>
      <c r="I150" s="10">
        <f>+'A) Base RI'!F150</f>
        <v>0</v>
      </c>
      <c r="J150" s="10">
        <f>+'A) Base RI'!G150+'A) Base RI'!H150+'A) Base RI'!X150</f>
        <v>29521.46</v>
      </c>
      <c r="K150" s="10">
        <f>+'A) Base RI'!I150</f>
        <v>123554.25</v>
      </c>
      <c r="L150" s="10">
        <f>+'A) Base RI'!J150</f>
        <v>23735.61</v>
      </c>
      <c r="M150" s="10">
        <f>+'A) Base RI'!K150</f>
        <v>3322.35</v>
      </c>
      <c r="N150" s="10">
        <f>+'A) Base RI'!Q150</f>
        <v>123.98</v>
      </c>
      <c r="O150" s="10">
        <f t="shared" si="13"/>
        <v>200088.65</v>
      </c>
      <c r="P150" s="10">
        <f>+'A) Base RI'!L150</f>
        <v>200088.65</v>
      </c>
      <c r="Q150" s="416">
        <f>'A) Base RI'!AS150</f>
        <v>1</v>
      </c>
      <c r="R150" s="408">
        <f t="shared" si="14"/>
        <v>3764081.1399999997</v>
      </c>
      <c r="S150" s="482">
        <f>+'A) Base RI'!AN150</f>
        <v>66</v>
      </c>
      <c r="T150" s="408">
        <f t="shared" si="15"/>
        <v>3560670.1399999997</v>
      </c>
      <c r="U150" s="408">
        <f t="shared" si="16"/>
        <v>57031.532424242418</v>
      </c>
      <c r="V150" s="10">
        <f>+'A) Base RI'!O150</f>
        <v>73401.600000000006</v>
      </c>
      <c r="W150" s="10">
        <f>+'A) Base RI'!P150</f>
        <v>158128.6</v>
      </c>
      <c r="X150" s="10">
        <f>+'A) Base RI'!R150</f>
        <v>111804.6</v>
      </c>
      <c r="Y150" s="408">
        <f t="shared" si="17"/>
        <v>343334.80000000005</v>
      </c>
      <c r="Z150" s="10">
        <f>+'A) Base RI'!N150</f>
        <v>14468.85</v>
      </c>
      <c r="AA150" s="10">
        <f>'A) Base RI'!AO150</f>
        <v>722</v>
      </c>
    </row>
    <row r="151" spans="1:27" x14ac:dyDescent="0.25">
      <c r="A151" s="8">
        <f>'A) Base RI'!A151</f>
        <v>5642</v>
      </c>
      <c r="B151" s="32" t="str">
        <f>'A) Base RI'!B151</f>
        <v>Morges</v>
      </c>
      <c r="C151" s="10">
        <f>'A) Base RI'!C151+'A) Base RI'!D151</f>
        <v>41287968.010000005</v>
      </c>
      <c r="D151" s="10">
        <f>'A) Base RI'!AP151</f>
        <v>-1266950.6599999999</v>
      </c>
      <c r="E151" s="402">
        <f>'A) Base RI'!AQ151</f>
        <v>0</v>
      </c>
      <c r="F151" s="402">
        <f>'A) Base RI'!AR151</f>
        <v>-65343.82</v>
      </c>
      <c r="G151" s="408">
        <f t="shared" si="12"/>
        <v>39955673.530000009</v>
      </c>
      <c r="H151" s="10">
        <f>+'A) Base RI'!E151</f>
        <v>0</v>
      </c>
      <c r="I151" s="10">
        <f>+'A) Base RI'!F151</f>
        <v>0</v>
      </c>
      <c r="J151" s="10">
        <f>+'A) Base RI'!G151+'A) Base RI'!H151+'A) Base RI'!X151</f>
        <v>5330760.75</v>
      </c>
      <c r="K151" s="10">
        <f>+'A) Base RI'!I151</f>
        <v>1785593.95</v>
      </c>
      <c r="L151" s="10">
        <f>+'A) Base RI'!J151</f>
        <v>1767628.67</v>
      </c>
      <c r="M151" s="10">
        <f>+'A) Base RI'!K151</f>
        <v>528585.69999999995</v>
      </c>
      <c r="N151" s="10">
        <f>+'A) Base RI'!Q151</f>
        <v>124680.94</v>
      </c>
      <c r="O151" s="10">
        <f t="shared" si="13"/>
        <v>3270455.1</v>
      </c>
      <c r="P151" s="10">
        <f>+'A) Base RI'!L151</f>
        <v>3270455.1</v>
      </c>
      <c r="Q151" s="416">
        <f>'A) Base RI'!AS151</f>
        <v>1</v>
      </c>
      <c r="R151" s="408">
        <f t="shared" si="14"/>
        <v>52763378.640000015</v>
      </c>
      <c r="S151" s="482">
        <f>+'A) Base RI'!AN151</f>
        <v>67</v>
      </c>
      <c r="T151" s="408">
        <f t="shared" si="15"/>
        <v>48964337.840000011</v>
      </c>
      <c r="U151" s="408">
        <f t="shared" si="16"/>
        <v>787513.11402985093</v>
      </c>
      <c r="V151" s="10">
        <f>+'A) Base RI'!O151</f>
        <v>1575229.1</v>
      </c>
      <c r="W151" s="10">
        <f>+'A) Base RI'!P151</f>
        <v>1876741.5</v>
      </c>
      <c r="X151" s="10">
        <f>+'A) Base RI'!R151</f>
        <v>1985121.55</v>
      </c>
      <c r="Y151" s="408">
        <f t="shared" si="17"/>
        <v>5437092.1500000004</v>
      </c>
      <c r="Z151" s="10">
        <f>+'A) Base RI'!N151</f>
        <v>1316828.75</v>
      </c>
      <c r="AA151" s="10">
        <f>'A) Base RI'!AO151</f>
        <v>16095</v>
      </c>
    </row>
    <row r="152" spans="1:27" x14ac:dyDescent="0.25">
      <c r="A152" s="8">
        <f>'A) Base RI'!A152</f>
        <v>5643</v>
      </c>
      <c r="B152" s="32" t="str">
        <f>'A) Base RI'!B152</f>
        <v>Préverenges</v>
      </c>
      <c r="C152" s="10">
        <f>'A) Base RI'!C152+'A) Base RI'!D152</f>
        <v>14122542.82</v>
      </c>
      <c r="D152" s="10">
        <f>'A) Base RI'!AP152</f>
        <v>-195126.12</v>
      </c>
      <c r="E152" s="402">
        <f>'A) Base RI'!AQ152</f>
        <v>0</v>
      </c>
      <c r="F152" s="402">
        <f>'A) Base RI'!AR152</f>
        <v>-37519.589999999997</v>
      </c>
      <c r="G152" s="408">
        <f t="shared" si="12"/>
        <v>13889897.110000001</v>
      </c>
      <c r="H152" s="10">
        <f>+'A) Base RI'!E152</f>
        <v>0</v>
      </c>
      <c r="I152" s="10">
        <f>+'A) Base RI'!F152</f>
        <v>0</v>
      </c>
      <c r="J152" s="10">
        <f>+'A) Base RI'!G152+'A) Base RI'!H152+'A) Base RI'!X152</f>
        <v>506748.36</v>
      </c>
      <c r="K152" s="10">
        <f>+'A) Base RI'!I152</f>
        <v>447354.21</v>
      </c>
      <c r="L152" s="10">
        <f>+'A) Base RI'!J152</f>
        <v>265216.28000000003</v>
      </c>
      <c r="M152" s="10">
        <f>+'A) Base RI'!K152</f>
        <v>126037</v>
      </c>
      <c r="N152" s="10">
        <f>+'A) Base RI'!Q152</f>
        <v>34745.64</v>
      </c>
      <c r="O152" s="10">
        <f t="shared" si="13"/>
        <v>1126087.1299999999</v>
      </c>
      <c r="P152" s="10">
        <f>+'A) Base RI'!L152</f>
        <v>1126087.1299999999</v>
      </c>
      <c r="Q152" s="416">
        <f>'A) Base RI'!AS152</f>
        <v>1</v>
      </c>
      <c r="R152" s="408">
        <f t="shared" si="14"/>
        <v>16396085.73</v>
      </c>
      <c r="S152" s="482">
        <f>+'A) Base RI'!AN152</f>
        <v>62.5</v>
      </c>
      <c r="T152" s="408">
        <f t="shared" si="15"/>
        <v>15143961.600000001</v>
      </c>
      <c r="U152" s="408">
        <f t="shared" si="16"/>
        <v>262337.37167999998</v>
      </c>
      <c r="V152" s="10">
        <f>+'A) Base RI'!O152</f>
        <v>90172</v>
      </c>
      <c r="W152" s="10">
        <f>+'A) Base RI'!P152</f>
        <v>427353.4</v>
      </c>
      <c r="X152" s="10">
        <f>+'A) Base RI'!R152</f>
        <v>292102.59999999998</v>
      </c>
      <c r="Y152" s="408">
        <f t="shared" si="17"/>
        <v>809628</v>
      </c>
      <c r="Z152" s="10">
        <f>+'A) Base RI'!N152</f>
        <v>212698.65</v>
      </c>
      <c r="AA152" s="10">
        <f>'A) Base RI'!AO152</f>
        <v>5241</v>
      </c>
    </row>
    <row r="153" spans="1:27" x14ac:dyDescent="0.25">
      <c r="A153" s="8">
        <f>'A) Base RI'!A153</f>
        <v>5644</v>
      </c>
      <c r="B153" s="32" t="str">
        <f>'A) Base RI'!B153</f>
        <v>Reverolle</v>
      </c>
      <c r="C153" s="10">
        <f>'A) Base RI'!C153+'A) Base RI'!D153</f>
        <v>1070640.1000000001</v>
      </c>
      <c r="D153" s="10">
        <f>'A) Base RI'!AP153</f>
        <v>-30.02</v>
      </c>
      <c r="E153" s="402">
        <f>'A) Base RI'!AQ153</f>
        <v>0</v>
      </c>
      <c r="F153" s="402">
        <f>'A) Base RI'!AR153</f>
        <v>-392.34</v>
      </c>
      <c r="G153" s="408">
        <f t="shared" si="12"/>
        <v>1070217.74</v>
      </c>
      <c r="H153" s="10">
        <f>+'A) Base RI'!E153</f>
        <v>0</v>
      </c>
      <c r="I153" s="10">
        <f>+'A) Base RI'!F153</f>
        <v>0</v>
      </c>
      <c r="J153" s="10">
        <f>+'A) Base RI'!G153+'A) Base RI'!H153+'A) Base RI'!X153</f>
        <v>29070.010000000002</v>
      </c>
      <c r="K153" s="10">
        <f>+'A) Base RI'!I153</f>
        <v>0</v>
      </c>
      <c r="L153" s="10">
        <f>+'A) Base RI'!J153</f>
        <v>3739.98</v>
      </c>
      <c r="M153" s="10">
        <f>+'A) Base RI'!K153</f>
        <v>-150</v>
      </c>
      <c r="N153" s="10">
        <f>+'A) Base RI'!Q153</f>
        <v>0</v>
      </c>
      <c r="O153" s="10">
        <f t="shared" si="13"/>
        <v>82657.55</v>
      </c>
      <c r="P153" s="10">
        <f>+'A) Base RI'!L153</f>
        <v>82657.55</v>
      </c>
      <c r="Q153" s="416">
        <f>'A) Base RI'!AS153</f>
        <v>1</v>
      </c>
      <c r="R153" s="408">
        <f t="shared" si="14"/>
        <v>1185535.28</v>
      </c>
      <c r="S153" s="482">
        <f>+'A) Base RI'!AN153</f>
        <v>74</v>
      </c>
      <c r="T153" s="408">
        <f t="shared" si="15"/>
        <v>1103027.73</v>
      </c>
      <c r="U153" s="408">
        <f t="shared" si="16"/>
        <v>16020.747027027028</v>
      </c>
      <c r="V153" s="10">
        <f>+'A) Base RI'!O153</f>
        <v>0</v>
      </c>
      <c r="W153" s="10">
        <f>+'A) Base RI'!P153</f>
        <v>24420</v>
      </c>
      <c r="X153" s="10">
        <f>+'A) Base RI'!R153</f>
        <v>1730.6</v>
      </c>
      <c r="Y153" s="408">
        <f t="shared" si="17"/>
        <v>26150.6</v>
      </c>
      <c r="Z153" s="10">
        <f>+'A) Base RI'!N153</f>
        <v>4509.8999999999996</v>
      </c>
      <c r="AA153" s="10">
        <f>'A) Base RI'!AO153</f>
        <v>407</v>
      </c>
    </row>
    <row r="154" spans="1:27" x14ac:dyDescent="0.25">
      <c r="A154" s="8">
        <f>'A) Base RI'!A154</f>
        <v>5645</v>
      </c>
      <c r="B154" s="32" t="str">
        <f>'A) Base RI'!B154</f>
        <v>Romanel-sur-Morges</v>
      </c>
      <c r="C154" s="10">
        <f>'A) Base RI'!C154+'A) Base RI'!D154</f>
        <v>1140048.52</v>
      </c>
      <c r="D154" s="10">
        <f>'A) Base RI'!AP154</f>
        <v>-10244.790000000001</v>
      </c>
      <c r="E154" s="402">
        <f>'A) Base RI'!AQ154</f>
        <v>0</v>
      </c>
      <c r="F154" s="402">
        <f>'A) Base RI'!AR154</f>
        <v>-1656.45</v>
      </c>
      <c r="G154" s="408">
        <f t="shared" si="12"/>
        <v>1128147.28</v>
      </c>
      <c r="H154" s="10">
        <f>+'A) Base RI'!E154</f>
        <v>0</v>
      </c>
      <c r="I154" s="10">
        <f>+'A) Base RI'!F154</f>
        <v>0</v>
      </c>
      <c r="J154" s="10">
        <f>+'A) Base RI'!G154+'A) Base RI'!H154+'A) Base RI'!X154</f>
        <v>154072.72</v>
      </c>
      <c r="K154" s="10">
        <f>+'A) Base RI'!I154</f>
        <v>0</v>
      </c>
      <c r="L154" s="10">
        <f>+'A) Base RI'!J154</f>
        <v>66708.12</v>
      </c>
      <c r="M154" s="10">
        <f>+'A) Base RI'!K154</f>
        <v>20606.599999999999</v>
      </c>
      <c r="N154" s="10">
        <f>+'A) Base RI'!Q154</f>
        <v>2974.46</v>
      </c>
      <c r="O154" s="10">
        <f t="shared" si="13"/>
        <v>159938.35</v>
      </c>
      <c r="P154" s="10">
        <f>+'A) Base RI'!L154</f>
        <v>159938.35</v>
      </c>
      <c r="Q154" s="416">
        <f>'A) Base RI'!AS154</f>
        <v>1</v>
      </c>
      <c r="R154" s="408">
        <f t="shared" si="14"/>
        <v>1532447.5300000003</v>
      </c>
      <c r="S154" s="482">
        <f>+'A) Base RI'!AN154</f>
        <v>56</v>
      </c>
      <c r="T154" s="408">
        <f t="shared" si="15"/>
        <v>1351902.58</v>
      </c>
      <c r="U154" s="408">
        <f t="shared" si="16"/>
        <v>27365.134464285718</v>
      </c>
      <c r="V154" s="10">
        <f>+'A) Base RI'!O154</f>
        <v>89491.8</v>
      </c>
      <c r="W154" s="10">
        <f>+'A) Base RI'!P154</f>
        <v>69675.649999999994</v>
      </c>
      <c r="X154" s="10">
        <f>+'A) Base RI'!R154</f>
        <v>19294.45</v>
      </c>
      <c r="Y154" s="408">
        <f t="shared" si="17"/>
        <v>178461.90000000002</v>
      </c>
      <c r="Z154" s="10">
        <f>+'A) Base RI'!N154</f>
        <v>37607.800000000003</v>
      </c>
      <c r="AA154" s="10">
        <f>'A) Base RI'!AO154</f>
        <v>466</v>
      </c>
    </row>
    <row r="155" spans="1:27" x14ac:dyDescent="0.25">
      <c r="A155" s="8">
        <f>'A) Base RI'!A155</f>
        <v>5646</v>
      </c>
      <c r="B155" s="32" t="str">
        <f>'A) Base RI'!B155</f>
        <v>Saint-Prex</v>
      </c>
      <c r="C155" s="10">
        <f>'A) Base RI'!C155+'A) Base RI'!D155</f>
        <v>14853850.120000001</v>
      </c>
      <c r="D155" s="10">
        <f>'A) Base RI'!AP155</f>
        <v>-178640.07</v>
      </c>
      <c r="E155" s="402">
        <f>'A) Base RI'!AQ155</f>
        <v>0</v>
      </c>
      <c r="F155" s="402">
        <f>'A) Base RI'!AR155</f>
        <v>-34323.89</v>
      </c>
      <c r="G155" s="408">
        <f t="shared" si="12"/>
        <v>14640886.16</v>
      </c>
      <c r="H155" s="10">
        <f>+'A) Base RI'!E155</f>
        <v>0</v>
      </c>
      <c r="I155" s="10">
        <f>+'A) Base RI'!F155</f>
        <v>0</v>
      </c>
      <c r="J155" s="10">
        <f>+'A) Base RI'!G155+'A) Base RI'!H155+'A) Base RI'!X155</f>
        <v>11953315.670000002</v>
      </c>
      <c r="K155" s="10">
        <f>+'A) Base RI'!I155</f>
        <v>762116.87</v>
      </c>
      <c r="L155" s="10">
        <f>+'A) Base RI'!J155</f>
        <v>587722.06000000006</v>
      </c>
      <c r="M155" s="10">
        <f>+'A) Base RI'!K155</f>
        <v>135101.5</v>
      </c>
      <c r="N155" s="10">
        <f>+'A) Base RI'!Q155</f>
        <v>23957.29</v>
      </c>
      <c r="O155" s="10">
        <f t="shared" si="13"/>
        <v>1656997.9</v>
      </c>
      <c r="P155" s="10">
        <f>+'A) Base RI'!L155</f>
        <v>1656997.9</v>
      </c>
      <c r="Q155" s="416">
        <f>'A) Base RI'!AS155</f>
        <v>1</v>
      </c>
      <c r="R155" s="408">
        <f t="shared" si="14"/>
        <v>29760097.449999999</v>
      </c>
      <c r="S155" s="482">
        <f>+'A) Base RI'!AN155</f>
        <v>55</v>
      </c>
      <c r="T155" s="408">
        <f t="shared" si="15"/>
        <v>27967998.050000001</v>
      </c>
      <c r="U155" s="408">
        <f t="shared" si="16"/>
        <v>541092.68090909091</v>
      </c>
      <c r="V155" s="10">
        <f>+'A) Base RI'!O155</f>
        <v>764394.2</v>
      </c>
      <c r="W155" s="10">
        <f>+'A) Base RI'!P155</f>
        <v>778605.7</v>
      </c>
      <c r="X155" s="10">
        <f>+'A) Base RI'!R155</f>
        <v>751144.8</v>
      </c>
      <c r="Y155" s="408">
        <f t="shared" si="17"/>
        <v>2294144.7000000002</v>
      </c>
      <c r="Z155" s="10">
        <f>+'A) Base RI'!N155</f>
        <v>1057317.55</v>
      </c>
      <c r="AA155" s="10">
        <f>'A) Base RI'!AO155</f>
        <v>5865</v>
      </c>
    </row>
    <row r="156" spans="1:27" x14ac:dyDescent="0.25">
      <c r="A156" s="8">
        <f>'A) Base RI'!A156</f>
        <v>5648</v>
      </c>
      <c r="B156" s="32" t="str">
        <f>'A) Base RI'!B156</f>
        <v>Saint-Sulpice</v>
      </c>
      <c r="C156" s="10">
        <f>'A) Base RI'!C156+'A) Base RI'!D156</f>
        <v>17488228.039999999</v>
      </c>
      <c r="D156" s="10">
        <f>'A) Base RI'!AP156</f>
        <v>-152315.4</v>
      </c>
      <c r="E156" s="402">
        <f>'A) Base RI'!AQ156</f>
        <v>0</v>
      </c>
      <c r="F156" s="402">
        <f>'A) Base RI'!AR156</f>
        <v>-115155.93</v>
      </c>
      <c r="G156" s="408">
        <f t="shared" si="12"/>
        <v>17220756.710000001</v>
      </c>
      <c r="H156" s="10">
        <f>+'A) Base RI'!E156</f>
        <v>0</v>
      </c>
      <c r="I156" s="10">
        <f>+'A) Base RI'!F156</f>
        <v>0</v>
      </c>
      <c r="J156" s="10">
        <f>+'A) Base RI'!G156+'A) Base RI'!H156+'A) Base RI'!X156</f>
        <v>1546907.7599999998</v>
      </c>
      <c r="K156" s="10">
        <f>+'A) Base RI'!I156</f>
        <v>548606.35</v>
      </c>
      <c r="L156" s="10">
        <f>+'A) Base RI'!J156</f>
        <v>709111.6</v>
      </c>
      <c r="M156" s="10">
        <f>+'A) Base RI'!K156</f>
        <v>137836.75</v>
      </c>
      <c r="N156" s="10">
        <f>+'A) Base RI'!Q156</f>
        <v>10214.629999999999</v>
      </c>
      <c r="O156" s="10">
        <f t="shared" si="13"/>
        <v>1631764.8</v>
      </c>
      <c r="P156" s="10">
        <f>+'A) Base RI'!L156</f>
        <v>1305411.8400000001</v>
      </c>
      <c r="Q156" s="416">
        <f>'A) Base RI'!AS156</f>
        <v>0.8</v>
      </c>
      <c r="R156" s="408">
        <f t="shared" si="14"/>
        <v>21805198.600000001</v>
      </c>
      <c r="S156" s="482">
        <f>+'A) Base RI'!AN156</f>
        <v>55</v>
      </c>
      <c r="T156" s="408">
        <f t="shared" si="15"/>
        <v>20035597.050000001</v>
      </c>
      <c r="U156" s="408">
        <f t="shared" si="16"/>
        <v>396458.15636363637</v>
      </c>
      <c r="V156" s="10">
        <f>+'A) Base RI'!O156</f>
        <v>333365.8</v>
      </c>
      <c r="W156" s="10">
        <f>+'A) Base RI'!P156</f>
        <v>655689</v>
      </c>
      <c r="X156" s="10">
        <f>+'A) Base RI'!R156</f>
        <v>680965.4</v>
      </c>
      <c r="Y156" s="408">
        <f t="shared" si="17"/>
        <v>1670020.2000000002</v>
      </c>
      <c r="Z156" s="10">
        <f>+'A) Base RI'!N156</f>
        <v>85040.6</v>
      </c>
      <c r="AA156" s="10">
        <f>'A) Base RI'!AO156</f>
        <v>4909</v>
      </c>
    </row>
    <row r="157" spans="1:27" x14ac:dyDescent="0.25">
      <c r="A157" s="8">
        <f>'A) Base RI'!A157</f>
        <v>5649</v>
      </c>
      <c r="B157" s="32" t="str">
        <f>'A) Base RI'!B157</f>
        <v>Tolochenaz</v>
      </c>
      <c r="C157" s="10">
        <f>'A) Base RI'!C157+'A) Base RI'!D157</f>
        <v>4602367.82</v>
      </c>
      <c r="D157" s="10">
        <f>'A) Base RI'!AP157</f>
        <v>-65339.54</v>
      </c>
      <c r="E157" s="402">
        <f>'A) Base RI'!AQ157</f>
        <v>0</v>
      </c>
      <c r="F157" s="402">
        <f>'A) Base RI'!AR157</f>
        <v>-3405.73</v>
      </c>
      <c r="G157" s="408">
        <f t="shared" si="12"/>
        <v>4533622.55</v>
      </c>
      <c r="H157" s="10">
        <f>+'A) Base RI'!E157</f>
        <v>0</v>
      </c>
      <c r="I157" s="10">
        <f>+'A) Base RI'!F157</f>
        <v>0</v>
      </c>
      <c r="J157" s="10">
        <f>+'A) Base RI'!G157+'A) Base RI'!H157+'A) Base RI'!X157</f>
        <v>8547426.0499999989</v>
      </c>
      <c r="K157" s="10">
        <f>+'A) Base RI'!I157</f>
        <v>30789.15</v>
      </c>
      <c r="L157" s="10">
        <f>+'A) Base RI'!J157</f>
        <v>256600.22</v>
      </c>
      <c r="M157" s="10">
        <f>+'A) Base RI'!K157</f>
        <v>65122.1</v>
      </c>
      <c r="N157" s="10">
        <f>+'A) Base RI'!Q157</f>
        <v>19414.7</v>
      </c>
      <c r="O157" s="10">
        <f t="shared" si="13"/>
        <v>557667.69999999995</v>
      </c>
      <c r="P157" s="10">
        <f>+'A) Base RI'!L157</f>
        <v>557667.69999999995</v>
      </c>
      <c r="Q157" s="416">
        <f>'A) Base RI'!AS157</f>
        <v>1</v>
      </c>
      <c r="R157" s="408">
        <f t="shared" si="14"/>
        <v>14010642.469999997</v>
      </c>
      <c r="S157" s="482">
        <f>+'A) Base RI'!AN157</f>
        <v>65</v>
      </c>
      <c r="T157" s="408">
        <f t="shared" si="15"/>
        <v>13387852.669999998</v>
      </c>
      <c r="U157" s="408">
        <f t="shared" si="16"/>
        <v>215548.34569230766</v>
      </c>
      <c r="V157" s="10">
        <f>+'A) Base RI'!O157</f>
        <v>0</v>
      </c>
      <c r="W157" s="10">
        <f>+'A) Base RI'!P157</f>
        <v>319670.95</v>
      </c>
      <c r="X157" s="10">
        <f>+'A) Base RI'!R157</f>
        <v>40091.5</v>
      </c>
      <c r="Y157" s="408">
        <f t="shared" si="17"/>
        <v>359762.45</v>
      </c>
      <c r="Z157" s="10">
        <f>+'A) Base RI'!N157</f>
        <v>588474.4</v>
      </c>
      <c r="AA157" s="10">
        <f>'A) Base RI'!AO157</f>
        <v>1889</v>
      </c>
    </row>
    <row r="158" spans="1:27" x14ac:dyDescent="0.25">
      <c r="A158" s="8">
        <f>'A) Base RI'!A158</f>
        <v>5650</v>
      </c>
      <c r="B158" s="32" t="str">
        <f>'A) Base RI'!B158</f>
        <v>Vaux-sur-Morges</v>
      </c>
      <c r="C158" s="10">
        <f>'A) Base RI'!C158+'A) Base RI'!D158</f>
        <v>3505164.8000000003</v>
      </c>
      <c r="D158" s="10">
        <f>'A) Base RI'!AP158</f>
        <v>-3776.83</v>
      </c>
      <c r="E158" s="402">
        <f>'A) Base RI'!AQ158</f>
        <v>0</v>
      </c>
      <c r="F158" s="402">
        <f>'A) Base RI'!AR158</f>
        <v>0</v>
      </c>
      <c r="G158" s="408">
        <f t="shared" si="12"/>
        <v>3501387.97</v>
      </c>
      <c r="H158" s="10">
        <f>+'A) Base RI'!E158</f>
        <v>0</v>
      </c>
      <c r="I158" s="10">
        <f>+'A) Base RI'!F158</f>
        <v>0</v>
      </c>
      <c r="J158" s="10">
        <f>+'A) Base RI'!G158+'A) Base RI'!H158+'A) Base RI'!X158</f>
        <v>6118.21</v>
      </c>
      <c r="K158" s="10">
        <f>+'A) Base RI'!I158</f>
        <v>0</v>
      </c>
      <c r="L158" s="10">
        <f>+'A) Base RI'!J158</f>
        <v>-25222.14</v>
      </c>
      <c r="M158" s="10">
        <f>+'A) Base RI'!K158</f>
        <v>0</v>
      </c>
      <c r="N158" s="10">
        <f>+'A) Base RI'!Q158</f>
        <v>0</v>
      </c>
      <c r="O158" s="10">
        <f t="shared" si="13"/>
        <v>45852</v>
      </c>
      <c r="P158" s="10">
        <f>+'A) Base RI'!L158</f>
        <v>57315</v>
      </c>
      <c r="Q158" s="416">
        <f>'A) Base RI'!AS158</f>
        <v>1.25</v>
      </c>
      <c r="R158" s="408">
        <f t="shared" si="14"/>
        <v>3528136.04</v>
      </c>
      <c r="S158" s="482">
        <f>+'A) Base RI'!AN158</f>
        <v>56</v>
      </c>
      <c r="T158" s="408">
        <f t="shared" si="15"/>
        <v>3482284.04</v>
      </c>
      <c r="U158" s="408">
        <f t="shared" si="16"/>
        <v>63002.429285714286</v>
      </c>
      <c r="V158" s="10">
        <f>+'A) Base RI'!O158</f>
        <v>21020126.699999999</v>
      </c>
      <c r="W158" s="10">
        <f>+'A) Base RI'!P158</f>
        <v>8745</v>
      </c>
      <c r="X158" s="10">
        <f>+'A) Base RI'!R158</f>
        <v>29908.799999999999</v>
      </c>
      <c r="Y158" s="408">
        <f t="shared" si="17"/>
        <v>21058780.5</v>
      </c>
      <c r="Z158" s="10">
        <f>+'A) Base RI'!N158</f>
        <v>46.25</v>
      </c>
      <c r="AA158" s="10">
        <f>'A) Base RI'!AO158</f>
        <v>194</v>
      </c>
    </row>
    <row r="159" spans="1:27" x14ac:dyDescent="0.25">
      <c r="A159" s="8">
        <f>'A) Base RI'!A159</f>
        <v>5651</v>
      </c>
      <c r="B159" s="32" t="str">
        <f>'A) Base RI'!B159</f>
        <v>Villars-Sainte-Croix</v>
      </c>
      <c r="C159" s="10">
        <f>'A) Base RI'!C159+'A) Base RI'!D159</f>
        <v>2359568.42</v>
      </c>
      <c r="D159" s="10">
        <f>'A) Base RI'!AP159</f>
        <v>-25961.53</v>
      </c>
      <c r="E159" s="402">
        <f>'A) Base RI'!AQ159</f>
        <v>0</v>
      </c>
      <c r="F159" s="402">
        <f>'A) Base RI'!AR159</f>
        <v>-576.03</v>
      </c>
      <c r="G159" s="408">
        <f t="shared" si="12"/>
        <v>2333030.8600000003</v>
      </c>
      <c r="H159" s="10">
        <f>+'A) Base RI'!E159</f>
        <v>0</v>
      </c>
      <c r="I159" s="10">
        <f>+'A) Base RI'!F159</f>
        <v>0</v>
      </c>
      <c r="J159" s="10">
        <f>+'A) Base RI'!G159+'A) Base RI'!H159+'A) Base RI'!X159</f>
        <v>577666.54</v>
      </c>
      <c r="K159" s="10">
        <f>+'A) Base RI'!I159</f>
        <v>0</v>
      </c>
      <c r="L159" s="10">
        <f>+'A) Base RI'!J159</f>
        <v>32671.37</v>
      </c>
      <c r="M159" s="10">
        <f>+'A) Base RI'!K159</f>
        <v>36688.400000000001</v>
      </c>
      <c r="N159" s="10">
        <f>+'A) Base RI'!Q159</f>
        <v>8244.7000000000007</v>
      </c>
      <c r="O159" s="10">
        <f t="shared" si="13"/>
        <v>383846.1</v>
      </c>
      <c r="P159" s="10">
        <f>+'A) Base RI'!L159</f>
        <v>383846.1</v>
      </c>
      <c r="Q159" s="416">
        <f>'A) Base RI'!AS159</f>
        <v>1</v>
      </c>
      <c r="R159" s="408">
        <f t="shared" si="14"/>
        <v>3372147.9700000007</v>
      </c>
      <c r="S159" s="482">
        <f>+'A) Base RI'!AN159</f>
        <v>60.5</v>
      </c>
      <c r="T159" s="408">
        <f t="shared" si="15"/>
        <v>2951613.4700000007</v>
      </c>
      <c r="U159" s="408">
        <f t="shared" si="16"/>
        <v>55737.982975206622</v>
      </c>
      <c r="V159" s="10">
        <f>+'A) Base RI'!O159</f>
        <v>0</v>
      </c>
      <c r="W159" s="10">
        <f>+'A) Base RI'!P159</f>
        <v>179231.25</v>
      </c>
      <c r="X159" s="10">
        <f>+'A) Base RI'!R159</f>
        <v>112130.1</v>
      </c>
      <c r="Y159" s="408">
        <f t="shared" si="17"/>
        <v>291361.34999999998</v>
      </c>
      <c r="Z159" s="10">
        <f>+'A) Base RI'!N159</f>
        <v>170466.25</v>
      </c>
      <c r="AA159" s="10">
        <f>'A) Base RI'!AO159</f>
        <v>958</v>
      </c>
    </row>
    <row r="160" spans="1:27" x14ac:dyDescent="0.25">
      <c r="A160" s="8">
        <f>'A) Base RI'!A160</f>
        <v>5652</v>
      </c>
      <c r="B160" s="32" t="str">
        <f>'A) Base RI'!B160</f>
        <v>Villars-sous-Yens</v>
      </c>
      <c r="C160" s="10">
        <f>'A) Base RI'!C160+'A) Base RI'!D160</f>
        <v>1797196.25</v>
      </c>
      <c r="D160" s="10">
        <f>'A) Base RI'!AP160</f>
        <v>-17306.95</v>
      </c>
      <c r="E160" s="402">
        <f>'A) Base RI'!AQ160</f>
        <v>0</v>
      </c>
      <c r="F160" s="402">
        <f>'A) Base RI'!AR160</f>
        <v>-480.35</v>
      </c>
      <c r="G160" s="408">
        <f t="shared" si="12"/>
        <v>1779408.95</v>
      </c>
      <c r="H160" s="10">
        <f>+'A) Base RI'!E160</f>
        <v>0</v>
      </c>
      <c r="I160" s="10">
        <f>+'A) Base RI'!F160</f>
        <v>0</v>
      </c>
      <c r="J160" s="10">
        <f>+'A) Base RI'!G160+'A) Base RI'!H160+'A) Base RI'!X160</f>
        <v>27814.829999999998</v>
      </c>
      <c r="K160" s="10">
        <f>+'A) Base RI'!I160</f>
        <v>0</v>
      </c>
      <c r="L160" s="10">
        <f>+'A) Base RI'!J160</f>
        <v>28766.84</v>
      </c>
      <c r="M160" s="10">
        <f>+'A) Base RI'!K160</f>
        <v>817.15</v>
      </c>
      <c r="N160" s="10">
        <f>+'A) Base RI'!Q160</f>
        <v>3767.87</v>
      </c>
      <c r="O160" s="10">
        <f t="shared" si="13"/>
        <v>109757.79166666667</v>
      </c>
      <c r="P160" s="10">
        <f>+'A) Base RI'!L160</f>
        <v>131709.35</v>
      </c>
      <c r="Q160" s="416">
        <f>'A) Base RI'!AS160</f>
        <v>1.2</v>
      </c>
      <c r="R160" s="408">
        <f t="shared" si="14"/>
        <v>1950333.4316666669</v>
      </c>
      <c r="S160" s="482">
        <f>+'A) Base RI'!AN160</f>
        <v>76</v>
      </c>
      <c r="T160" s="408">
        <f t="shared" si="15"/>
        <v>1839758.4900000002</v>
      </c>
      <c r="U160" s="408">
        <f t="shared" si="16"/>
        <v>25662.281995614037</v>
      </c>
      <c r="V160" s="10">
        <f>+'A) Base RI'!O160</f>
        <v>78379.8</v>
      </c>
      <c r="W160" s="10">
        <f>+'A) Base RI'!P160</f>
        <v>37024.1</v>
      </c>
      <c r="X160" s="10">
        <f>+'A) Base RI'!R160</f>
        <v>51803.95</v>
      </c>
      <c r="Y160" s="408">
        <f t="shared" si="17"/>
        <v>167207.84999999998</v>
      </c>
      <c r="Z160" s="10">
        <f>+'A) Base RI'!N160</f>
        <v>3228.45</v>
      </c>
      <c r="AA160" s="10">
        <f>'A) Base RI'!AO160</f>
        <v>615</v>
      </c>
    </row>
    <row r="161" spans="1:27" x14ac:dyDescent="0.25">
      <c r="A161" s="8">
        <f>'A) Base RI'!A161</f>
        <v>5653</v>
      </c>
      <c r="B161" s="32" t="str">
        <f>'A) Base RI'!B161</f>
        <v>Vufflens-le-Château</v>
      </c>
      <c r="C161" s="10">
        <f>'A) Base RI'!C161+'A) Base RI'!D161</f>
        <v>3623607.6599999997</v>
      </c>
      <c r="D161" s="10">
        <f>'A) Base RI'!AP161</f>
        <v>-7935.47</v>
      </c>
      <c r="E161" s="402">
        <f>'A) Base RI'!AQ161</f>
        <v>0</v>
      </c>
      <c r="F161" s="402">
        <f>'A) Base RI'!AR161</f>
        <v>-13811.53</v>
      </c>
      <c r="G161" s="408">
        <f t="shared" si="12"/>
        <v>3601860.6599999997</v>
      </c>
      <c r="H161" s="10">
        <f>+'A) Base RI'!E161</f>
        <v>0</v>
      </c>
      <c r="I161" s="10">
        <f>+'A) Base RI'!F161</f>
        <v>0</v>
      </c>
      <c r="J161" s="10">
        <f>+'A) Base RI'!G161+'A) Base RI'!H161+'A) Base RI'!X161</f>
        <v>57289.590000000004</v>
      </c>
      <c r="K161" s="10">
        <f>+'A) Base RI'!I161</f>
        <v>44343.35</v>
      </c>
      <c r="L161" s="10">
        <f>+'A) Base RI'!J161</f>
        <v>57614.15</v>
      </c>
      <c r="M161" s="10">
        <f>+'A) Base RI'!K161</f>
        <v>3412.75</v>
      </c>
      <c r="N161" s="10">
        <f>+'A) Base RI'!Q161</f>
        <v>978.52</v>
      </c>
      <c r="O161" s="10">
        <f t="shared" si="13"/>
        <v>258484</v>
      </c>
      <c r="P161" s="10">
        <f>+'A) Base RI'!L161</f>
        <v>206787.20000000001</v>
      </c>
      <c r="Q161" s="416">
        <f>'A) Base RI'!AS161</f>
        <v>0.8</v>
      </c>
      <c r="R161" s="408">
        <f t="shared" si="14"/>
        <v>4023983.0199999996</v>
      </c>
      <c r="S161" s="482">
        <f>+'A) Base RI'!AN161</f>
        <v>58.5</v>
      </c>
      <c r="T161" s="408">
        <f t="shared" si="15"/>
        <v>3762086.2699999996</v>
      </c>
      <c r="U161" s="408">
        <f t="shared" si="16"/>
        <v>68786.034529914527</v>
      </c>
      <c r="V161" s="10">
        <f>+'A) Base RI'!O161</f>
        <v>0</v>
      </c>
      <c r="W161" s="10">
        <f>+'A) Base RI'!P161</f>
        <v>223229.15</v>
      </c>
      <c r="X161" s="10">
        <f>+'A) Base RI'!R161</f>
        <v>133408.65</v>
      </c>
      <c r="Y161" s="408">
        <f t="shared" si="17"/>
        <v>356637.8</v>
      </c>
      <c r="Z161" s="10">
        <f>+'A) Base RI'!N161</f>
        <v>6135.7</v>
      </c>
      <c r="AA161" s="10">
        <f>'A) Base RI'!AO161</f>
        <v>870</v>
      </c>
    </row>
    <row r="162" spans="1:27" x14ac:dyDescent="0.25">
      <c r="A162" s="8">
        <f>'A) Base RI'!A162</f>
        <v>5654</v>
      </c>
      <c r="B162" s="32" t="str">
        <f>'A) Base RI'!B162</f>
        <v>Vullierens</v>
      </c>
      <c r="C162" s="10">
        <f>'A) Base RI'!C162+'A) Base RI'!D162</f>
        <v>1295421.03</v>
      </c>
      <c r="D162" s="10">
        <f>'A) Base RI'!AP162</f>
        <v>-29527.75</v>
      </c>
      <c r="E162" s="402">
        <f>'A) Base RI'!AQ162</f>
        <v>0</v>
      </c>
      <c r="F162" s="402">
        <f>'A) Base RI'!AR162</f>
        <v>-161.51</v>
      </c>
      <c r="G162" s="408">
        <f t="shared" si="12"/>
        <v>1265731.77</v>
      </c>
      <c r="H162" s="10">
        <f>+'A) Base RI'!E162</f>
        <v>0</v>
      </c>
      <c r="I162" s="10">
        <f>+'A) Base RI'!F162</f>
        <v>0</v>
      </c>
      <c r="J162" s="10">
        <f>+'A) Base RI'!G162+'A) Base RI'!H162+'A) Base RI'!X162</f>
        <v>2312.6899999999991</v>
      </c>
      <c r="K162" s="10">
        <f>+'A) Base RI'!I162</f>
        <v>0</v>
      </c>
      <c r="L162" s="10">
        <f>+'A) Base RI'!J162</f>
        <v>41216.39</v>
      </c>
      <c r="M162" s="10">
        <f>+'A) Base RI'!K162</f>
        <v>1973.05</v>
      </c>
      <c r="N162" s="10">
        <f>+'A) Base RI'!Q162</f>
        <v>46734.8</v>
      </c>
      <c r="O162" s="10">
        <f t="shared" si="13"/>
        <v>106239.65</v>
      </c>
      <c r="P162" s="10">
        <f>+'A) Base RI'!L162</f>
        <v>106239.65</v>
      </c>
      <c r="Q162" s="416">
        <f>'A) Base RI'!AS162</f>
        <v>1</v>
      </c>
      <c r="R162" s="408">
        <f t="shared" si="14"/>
        <v>1464208.3499999999</v>
      </c>
      <c r="S162" s="482">
        <f>+'A) Base RI'!AN162</f>
        <v>76</v>
      </c>
      <c r="T162" s="408">
        <f t="shared" si="15"/>
        <v>1355995.65</v>
      </c>
      <c r="U162" s="408">
        <f t="shared" si="16"/>
        <v>19265.899342105262</v>
      </c>
      <c r="V162" s="10">
        <f>+'A) Base RI'!O162</f>
        <v>-5434.1</v>
      </c>
      <c r="W162" s="10">
        <f>+'A) Base RI'!P162</f>
        <v>81977.5</v>
      </c>
      <c r="X162" s="10">
        <f>+'A) Base RI'!R162</f>
        <v>81561.55</v>
      </c>
      <c r="Y162" s="408">
        <f t="shared" si="17"/>
        <v>158104.95000000001</v>
      </c>
      <c r="Z162" s="10">
        <f>+'A) Base RI'!N162</f>
        <v>6506.75</v>
      </c>
      <c r="AA162" s="10">
        <f>'A) Base RI'!AO162</f>
        <v>542</v>
      </c>
    </row>
    <row r="163" spans="1:27" x14ac:dyDescent="0.25">
      <c r="A163" s="8">
        <f>'A) Base RI'!A163</f>
        <v>5655</v>
      </c>
      <c r="B163" s="32" t="str">
        <f>'A) Base RI'!B163</f>
        <v>Yens</v>
      </c>
      <c r="C163" s="10">
        <f>'A) Base RI'!C163+'A) Base RI'!D163</f>
        <v>5770873.5300000003</v>
      </c>
      <c r="D163" s="10">
        <f>'A) Base RI'!AP163</f>
        <v>-56723.22</v>
      </c>
      <c r="E163" s="402">
        <f>'A) Base RI'!AQ163</f>
        <v>0</v>
      </c>
      <c r="F163" s="402">
        <f>'A) Base RI'!AR163</f>
        <v>-2589.31</v>
      </c>
      <c r="G163" s="408">
        <f t="shared" si="12"/>
        <v>5711561.0000000009</v>
      </c>
      <c r="H163" s="10">
        <f>+'A) Base RI'!E163</f>
        <v>0</v>
      </c>
      <c r="I163" s="10">
        <f>+'A) Base RI'!F163</f>
        <v>0</v>
      </c>
      <c r="J163" s="10">
        <f>+'A) Base RI'!G163+'A) Base RI'!H163+'A) Base RI'!X163</f>
        <v>310622.13999999996</v>
      </c>
      <c r="K163" s="10">
        <f>+'A) Base RI'!I163</f>
        <v>66010.45</v>
      </c>
      <c r="L163" s="10">
        <f>+'A) Base RI'!J163</f>
        <v>-13414.22</v>
      </c>
      <c r="M163" s="10">
        <f>+'A) Base RI'!K163</f>
        <v>11308.65</v>
      </c>
      <c r="N163" s="10">
        <f>+'A) Base RI'!Q163</f>
        <v>-76.89</v>
      </c>
      <c r="O163" s="10">
        <f t="shared" si="13"/>
        <v>415850.1</v>
      </c>
      <c r="P163" s="10">
        <f>+'A) Base RI'!L163</f>
        <v>415850.1</v>
      </c>
      <c r="Q163" s="416">
        <f>'A) Base RI'!AS163</f>
        <v>1</v>
      </c>
      <c r="R163" s="408">
        <f t="shared" si="14"/>
        <v>6501861.2300000014</v>
      </c>
      <c r="S163" s="482">
        <f>+'A) Base RI'!AN163</f>
        <v>71.5</v>
      </c>
      <c r="T163" s="408">
        <f t="shared" si="15"/>
        <v>6074702.4800000014</v>
      </c>
      <c r="U163" s="408">
        <f t="shared" si="16"/>
        <v>90935.122097902116</v>
      </c>
      <c r="V163" s="10">
        <f>+'A) Base RI'!O163</f>
        <v>37934.400000000001</v>
      </c>
      <c r="W163" s="10">
        <f>+'A) Base RI'!P163</f>
        <v>179277.05</v>
      </c>
      <c r="X163" s="10">
        <f>+'A) Base RI'!R163</f>
        <v>189406.9</v>
      </c>
      <c r="Y163" s="408">
        <f t="shared" si="17"/>
        <v>406618.35</v>
      </c>
      <c r="Z163" s="10">
        <f>+'A) Base RI'!N163</f>
        <v>104127.75</v>
      </c>
      <c r="AA163" s="10">
        <f>'A) Base RI'!AO163</f>
        <v>1480</v>
      </c>
    </row>
    <row r="164" spans="1:27" x14ac:dyDescent="0.25">
      <c r="A164" s="8">
        <f>'A) Base RI'!A164</f>
        <v>5661</v>
      </c>
      <c r="B164" s="32" t="str">
        <f>'A) Base RI'!B164</f>
        <v>Boulens</v>
      </c>
      <c r="C164" s="10">
        <f>'A) Base RI'!C164+'A) Base RI'!D164</f>
        <v>646733.61</v>
      </c>
      <c r="D164" s="10">
        <f>'A) Base RI'!AP164</f>
        <v>-52.72</v>
      </c>
      <c r="E164" s="402">
        <f>'A) Base RI'!AQ164</f>
        <v>0</v>
      </c>
      <c r="F164" s="402">
        <f>'A) Base RI'!AR164</f>
        <v>0</v>
      </c>
      <c r="G164" s="408">
        <f t="shared" si="12"/>
        <v>646680.89</v>
      </c>
      <c r="H164" s="10">
        <f>+'A) Base RI'!E164</f>
        <v>0</v>
      </c>
      <c r="I164" s="10">
        <f>+'A) Base RI'!F164</f>
        <v>0</v>
      </c>
      <c r="J164" s="10">
        <f>+'A) Base RI'!G164+'A) Base RI'!H164+'A) Base RI'!X164</f>
        <v>14765.44</v>
      </c>
      <c r="K164" s="10">
        <f>+'A) Base RI'!I164</f>
        <v>0</v>
      </c>
      <c r="L164" s="10">
        <f>+'A) Base RI'!J164</f>
        <v>6062.62</v>
      </c>
      <c r="M164" s="10">
        <f>+'A) Base RI'!K164</f>
        <v>425</v>
      </c>
      <c r="N164" s="10">
        <f>+'A) Base RI'!Q164</f>
        <v>1200</v>
      </c>
      <c r="O164" s="10">
        <f t="shared" si="13"/>
        <v>57867.5</v>
      </c>
      <c r="P164" s="10">
        <f>+'A) Base RI'!L164</f>
        <v>57867.5</v>
      </c>
      <c r="Q164" s="416">
        <f>'A) Base RI'!AS164</f>
        <v>1</v>
      </c>
      <c r="R164" s="408">
        <f t="shared" si="14"/>
        <v>727001.45</v>
      </c>
      <c r="S164" s="482">
        <f>+'A) Base RI'!AN164</f>
        <v>71.5</v>
      </c>
      <c r="T164" s="408">
        <f t="shared" si="15"/>
        <v>668708.94999999995</v>
      </c>
      <c r="U164" s="408">
        <f t="shared" si="16"/>
        <v>10167.852447552446</v>
      </c>
      <c r="V164" s="10">
        <f>+'A) Base RI'!O164</f>
        <v>0</v>
      </c>
      <c r="W164" s="10">
        <f>+'A) Base RI'!P164</f>
        <v>16555</v>
      </c>
      <c r="X164" s="10">
        <f>+'A) Base RI'!R164</f>
        <v>6543.15</v>
      </c>
      <c r="Y164" s="408">
        <f t="shared" si="17"/>
        <v>23098.15</v>
      </c>
      <c r="Z164" s="10">
        <f>+'A) Base RI'!N164</f>
        <v>18651.95</v>
      </c>
      <c r="AA164" s="10">
        <f>'A) Base RI'!AO164</f>
        <v>369</v>
      </c>
    </row>
    <row r="165" spans="1:27" x14ac:dyDescent="0.25">
      <c r="A165" s="8">
        <f>'A) Base RI'!A165</f>
        <v>5663</v>
      </c>
      <c r="B165" s="32" t="str">
        <f>'A) Base RI'!B165</f>
        <v>Bussy-sur-Moudon</v>
      </c>
      <c r="C165" s="10">
        <f>'A) Base RI'!C165+'A) Base RI'!D165</f>
        <v>403459.43999999994</v>
      </c>
      <c r="D165" s="10">
        <f>'A) Base RI'!AP165</f>
        <v>-17752.509999999998</v>
      </c>
      <c r="E165" s="402">
        <f>'A) Base RI'!AQ165</f>
        <v>0</v>
      </c>
      <c r="F165" s="402">
        <f>'A) Base RI'!AR165</f>
        <v>0</v>
      </c>
      <c r="G165" s="408">
        <f t="shared" si="12"/>
        <v>385706.92999999993</v>
      </c>
      <c r="H165" s="10">
        <f>+'A) Base RI'!E165</f>
        <v>0</v>
      </c>
      <c r="I165" s="10">
        <f>+'A) Base RI'!F165</f>
        <v>1280</v>
      </c>
      <c r="J165" s="10">
        <f>+'A) Base RI'!G165+'A) Base RI'!H165+'A) Base RI'!X165</f>
        <v>5549.5599999999995</v>
      </c>
      <c r="K165" s="10">
        <f>+'A) Base RI'!I165</f>
        <v>0</v>
      </c>
      <c r="L165" s="10">
        <f>+'A) Base RI'!J165</f>
        <v>7597.84</v>
      </c>
      <c r="M165" s="10">
        <f>+'A) Base RI'!K165</f>
        <v>325.2</v>
      </c>
      <c r="N165" s="10">
        <f>+'A) Base RI'!Q165</f>
        <v>0</v>
      </c>
      <c r="O165" s="10">
        <f t="shared" si="13"/>
        <v>32190.75</v>
      </c>
      <c r="P165" s="10">
        <f>+'A) Base RI'!L165</f>
        <v>32190.75</v>
      </c>
      <c r="Q165" s="416">
        <f>'A) Base RI'!AS165</f>
        <v>1</v>
      </c>
      <c r="R165" s="408">
        <f t="shared" si="14"/>
        <v>432650.27999999997</v>
      </c>
      <c r="S165" s="482">
        <f>+'A) Base RI'!AN165</f>
        <v>80</v>
      </c>
      <c r="T165" s="408">
        <f t="shared" si="15"/>
        <v>398854.32999999996</v>
      </c>
      <c r="U165" s="408">
        <f t="shared" si="16"/>
        <v>5408.1284999999998</v>
      </c>
      <c r="V165" s="10">
        <f>+'A) Base RI'!O165</f>
        <v>0</v>
      </c>
      <c r="W165" s="10">
        <f>+'A) Base RI'!P165</f>
        <v>9427.15</v>
      </c>
      <c r="X165" s="10">
        <f>+'A) Base RI'!R165</f>
        <v>11775.6</v>
      </c>
      <c r="Y165" s="408">
        <f t="shared" si="17"/>
        <v>21202.75</v>
      </c>
      <c r="Z165" s="10">
        <f>+'A) Base RI'!N165</f>
        <v>0</v>
      </c>
      <c r="AA165" s="10">
        <f>'A) Base RI'!AO165</f>
        <v>219</v>
      </c>
    </row>
    <row r="166" spans="1:27" x14ac:dyDescent="0.25">
      <c r="A166" s="8">
        <f>'A) Base RI'!A166</f>
        <v>5665</v>
      </c>
      <c r="B166" s="32" t="str">
        <f>'A) Base RI'!B166</f>
        <v>Chavannes-sur-Moudon</v>
      </c>
      <c r="C166" s="10">
        <f>'A) Base RI'!C166+'A) Base RI'!D166</f>
        <v>463236.83</v>
      </c>
      <c r="D166" s="10">
        <f>'A) Base RI'!AP166</f>
        <v>-84.4</v>
      </c>
      <c r="E166" s="402">
        <f>'A) Base RI'!AQ166</f>
        <v>0</v>
      </c>
      <c r="F166" s="402">
        <f>'A) Base RI'!AR166</f>
        <v>0</v>
      </c>
      <c r="G166" s="408">
        <f t="shared" si="12"/>
        <v>463152.43</v>
      </c>
      <c r="H166" s="10">
        <f>+'A) Base RI'!E166</f>
        <v>0</v>
      </c>
      <c r="I166" s="10">
        <f>+'A) Base RI'!F166</f>
        <v>0</v>
      </c>
      <c r="J166" s="10">
        <f>+'A) Base RI'!G166+'A) Base RI'!H166+'A) Base RI'!X166</f>
        <v>217.44</v>
      </c>
      <c r="K166" s="10">
        <f>+'A) Base RI'!I166</f>
        <v>0</v>
      </c>
      <c r="L166" s="10">
        <f>+'A) Base RI'!J166</f>
        <v>9972.25</v>
      </c>
      <c r="M166" s="10">
        <f>+'A) Base RI'!K166</f>
        <v>4.5</v>
      </c>
      <c r="N166" s="10">
        <f>+'A) Base RI'!Q166</f>
        <v>0</v>
      </c>
      <c r="O166" s="10">
        <f t="shared" si="13"/>
        <v>25595.4</v>
      </c>
      <c r="P166" s="10">
        <f>+'A) Base RI'!L166</f>
        <v>25595.4</v>
      </c>
      <c r="Q166" s="416">
        <f>'A) Base RI'!AS166</f>
        <v>1</v>
      </c>
      <c r="R166" s="408">
        <f t="shared" si="14"/>
        <v>498942.02</v>
      </c>
      <c r="S166" s="482">
        <f>+'A) Base RI'!AN166</f>
        <v>73</v>
      </c>
      <c r="T166" s="408">
        <f t="shared" si="15"/>
        <v>473342.12</v>
      </c>
      <c r="U166" s="408">
        <f t="shared" si="16"/>
        <v>6834.8221917808223</v>
      </c>
      <c r="V166" s="10">
        <f>+'A) Base RI'!O166</f>
        <v>0</v>
      </c>
      <c r="W166" s="10">
        <f>+'A) Base RI'!P166</f>
        <v>26698.65</v>
      </c>
      <c r="X166" s="10">
        <f>+'A) Base RI'!R166</f>
        <v>26239.25</v>
      </c>
      <c r="Y166" s="408">
        <f t="shared" si="17"/>
        <v>52937.9</v>
      </c>
      <c r="Z166" s="10">
        <f>+'A) Base RI'!N166</f>
        <v>0</v>
      </c>
      <c r="AA166" s="10">
        <f>'A) Base RI'!AO166</f>
        <v>223</v>
      </c>
    </row>
    <row r="167" spans="1:27" x14ac:dyDescent="0.25">
      <c r="A167" s="8">
        <f>'A) Base RI'!A167</f>
        <v>5669</v>
      </c>
      <c r="B167" s="32" t="str">
        <f>'A) Base RI'!B167</f>
        <v>Curtilles</v>
      </c>
      <c r="C167" s="10">
        <f>'A) Base RI'!C167+'A) Base RI'!D167</f>
        <v>706440.6399999999</v>
      </c>
      <c r="D167" s="10">
        <f>'A) Base RI'!AP167</f>
        <v>-8889.51</v>
      </c>
      <c r="E167" s="402">
        <f>'A) Base RI'!AQ167</f>
        <v>0</v>
      </c>
      <c r="F167" s="402">
        <f>'A) Base RI'!AR167</f>
        <v>-116.59</v>
      </c>
      <c r="G167" s="408">
        <f t="shared" si="12"/>
        <v>697434.53999999992</v>
      </c>
      <c r="H167" s="10">
        <f>+'A) Base RI'!E167</f>
        <v>0</v>
      </c>
      <c r="I167" s="10">
        <f>+'A) Base RI'!F167</f>
        <v>0</v>
      </c>
      <c r="J167" s="10">
        <f>+'A) Base RI'!G167+'A) Base RI'!H167+'A) Base RI'!X167</f>
        <v>6964.39</v>
      </c>
      <c r="K167" s="10">
        <f>+'A) Base RI'!I167</f>
        <v>0</v>
      </c>
      <c r="L167" s="10">
        <f>+'A) Base RI'!J167</f>
        <v>-2083.19</v>
      </c>
      <c r="M167" s="10">
        <f>+'A) Base RI'!K167</f>
        <v>356.7</v>
      </c>
      <c r="N167" s="10">
        <f>+'A) Base RI'!Q167</f>
        <v>0</v>
      </c>
      <c r="O167" s="10">
        <f t="shared" si="13"/>
        <v>48267.9</v>
      </c>
      <c r="P167" s="10">
        <f>+'A) Base RI'!L167</f>
        <v>24133.95</v>
      </c>
      <c r="Q167" s="416">
        <f>'A) Base RI'!AS167</f>
        <v>0.5</v>
      </c>
      <c r="R167" s="408">
        <f t="shared" si="14"/>
        <v>750940.34</v>
      </c>
      <c r="S167" s="482">
        <f>+'A) Base RI'!AN167</f>
        <v>73</v>
      </c>
      <c r="T167" s="408">
        <f t="shared" si="15"/>
        <v>702315.74</v>
      </c>
      <c r="U167" s="408">
        <f t="shared" si="16"/>
        <v>10286.853972602739</v>
      </c>
      <c r="V167" s="10">
        <f>+'A) Base RI'!O167</f>
        <v>4.8</v>
      </c>
      <c r="W167" s="10">
        <f>+'A) Base RI'!P167</f>
        <v>8856.4</v>
      </c>
      <c r="X167" s="10">
        <f>+'A) Base RI'!R167</f>
        <v>23453.599999999999</v>
      </c>
      <c r="Y167" s="408">
        <f t="shared" si="17"/>
        <v>32314.799999999996</v>
      </c>
      <c r="Z167" s="10">
        <f>+'A) Base RI'!N167</f>
        <v>0</v>
      </c>
      <c r="AA167" s="10">
        <f>'A) Base RI'!AO167</f>
        <v>301</v>
      </c>
    </row>
    <row r="168" spans="1:27" x14ac:dyDescent="0.25">
      <c r="A168" s="8">
        <f>'A) Base RI'!A168</f>
        <v>5671</v>
      </c>
      <c r="B168" s="32" t="str">
        <f>'A) Base RI'!B168</f>
        <v>Dompierre</v>
      </c>
      <c r="C168" s="10">
        <f>'A) Base RI'!C168+'A) Base RI'!D168</f>
        <v>442614.23</v>
      </c>
      <c r="D168" s="10">
        <f>'A) Base RI'!AP168</f>
        <v>-17407.05</v>
      </c>
      <c r="E168" s="402">
        <f>'A) Base RI'!AQ168</f>
        <v>0</v>
      </c>
      <c r="F168" s="402">
        <f>'A) Base RI'!AR168</f>
        <v>0</v>
      </c>
      <c r="G168" s="408">
        <f t="shared" si="12"/>
        <v>425207.18</v>
      </c>
      <c r="H168" s="10">
        <f>+'A) Base RI'!E168</f>
        <v>0</v>
      </c>
      <c r="I168" s="10">
        <f>+'A) Base RI'!F168</f>
        <v>0</v>
      </c>
      <c r="J168" s="10">
        <f>+'A) Base RI'!G168+'A) Base RI'!H168+'A) Base RI'!X168</f>
        <v>3894.28</v>
      </c>
      <c r="K168" s="10">
        <f>+'A) Base RI'!I168</f>
        <v>0</v>
      </c>
      <c r="L168" s="10">
        <f>+'A) Base RI'!J168</f>
        <v>873.22</v>
      </c>
      <c r="M168" s="10">
        <f>+'A) Base RI'!K168</f>
        <v>223.5</v>
      </c>
      <c r="N168" s="10">
        <f>+'A) Base RI'!Q168</f>
        <v>8434.0499999999993</v>
      </c>
      <c r="O168" s="10">
        <f t="shared" si="13"/>
        <v>32024.9</v>
      </c>
      <c r="P168" s="10">
        <f>+'A) Base RI'!L168</f>
        <v>32024.9</v>
      </c>
      <c r="Q168" s="416">
        <f>'A) Base RI'!AS168</f>
        <v>1</v>
      </c>
      <c r="R168" s="408">
        <f t="shared" si="14"/>
        <v>470657.13</v>
      </c>
      <c r="S168" s="482">
        <f>+'A) Base RI'!AN168</f>
        <v>78</v>
      </c>
      <c r="T168" s="408">
        <f t="shared" si="15"/>
        <v>438408.73</v>
      </c>
      <c r="U168" s="408">
        <f t="shared" si="16"/>
        <v>6034.0657692307695</v>
      </c>
      <c r="V168" s="10">
        <f>+'A) Base RI'!O168</f>
        <v>0</v>
      </c>
      <c r="W168" s="10">
        <f>+'A) Base RI'!P168</f>
        <v>21780</v>
      </c>
      <c r="X168" s="10">
        <f>+'A) Base RI'!R168</f>
        <v>36520.65</v>
      </c>
      <c r="Y168" s="408">
        <f t="shared" si="17"/>
        <v>58300.65</v>
      </c>
      <c r="Z168" s="10">
        <f>+'A) Base RI'!N168</f>
        <v>0</v>
      </c>
      <c r="AA168" s="10">
        <f>'A) Base RI'!AO168</f>
        <v>245</v>
      </c>
    </row>
    <row r="169" spans="1:27" x14ac:dyDescent="0.25">
      <c r="A169" s="8">
        <f>'A) Base RI'!A169</f>
        <v>5673</v>
      </c>
      <c r="B169" s="32" t="str">
        <f>'A) Base RI'!B169</f>
        <v>Hermenches</v>
      </c>
      <c r="C169" s="10">
        <f>'A) Base RI'!C169+'A) Base RI'!D169</f>
        <v>735556.51</v>
      </c>
      <c r="D169" s="10">
        <f>'A) Base RI'!AP169</f>
        <v>-17050.080000000002</v>
      </c>
      <c r="E169" s="402">
        <f>'A) Base RI'!AQ169</f>
        <v>0</v>
      </c>
      <c r="F169" s="402">
        <f>'A) Base RI'!AR169</f>
        <v>-51.43</v>
      </c>
      <c r="G169" s="408">
        <f t="shared" si="12"/>
        <v>718455</v>
      </c>
      <c r="H169" s="10">
        <f>+'A) Base RI'!E169</f>
        <v>0</v>
      </c>
      <c r="I169" s="10">
        <f>+'A) Base RI'!F169</f>
        <v>2030</v>
      </c>
      <c r="J169" s="10">
        <f>+'A) Base RI'!G169+'A) Base RI'!H169+'A) Base RI'!X169</f>
        <v>2728.0200000000004</v>
      </c>
      <c r="K169" s="10">
        <f>+'A) Base RI'!I169</f>
        <v>0</v>
      </c>
      <c r="L169" s="10">
        <f>+'A) Base RI'!J169</f>
        <v>10930.52</v>
      </c>
      <c r="M169" s="10">
        <f>+'A) Base RI'!K169</f>
        <v>408</v>
      </c>
      <c r="N169" s="10">
        <f>+'A) Base RI'!Q169</f>
        <v>0</v>
      </c>
      <c r="O169" s="10">
        <f t="shared" si="13"/>
        <v>47395</v>
      </c>
      <c r="P169" s="10">
        <f>+'A) Base RI'!L169</f>
        <v>28437</v>
      </c>
      <c r="Q169" s="416">
        <f>'A) Base RI'!AS169</f>
        <v>0.6</v>
      </c>
      <c r="R169" s="408">
        <f t="shared" si="14"/>
        <v>781946.54</v>
      </c>
      <c r="S169" s="482">
        <f>+'A) Base RI'!AN169</f>
        <v>73.5</v>
      </c>
      <c r="T169" s="408">
        <f t="shared" si="15"/>
        <v>732113.54</v>
      </c>
      <c r="U169" s="408">
        <f t="shared" si="16"/>
        <v>10638.728435374151</v>
      </c>
      <c r="V169" s="10">
        <f>+'A) Base RI'!O169</f>
        <v>5892.3</v>
      </c>
      <c r="W169" s="10">
        <f>+'A) Base RI'!P169</f>
        <v>8946.2999999999993</v>
      </c>
      <c r="X169" s="10">
        <f>+'A) Base RI'!R169</f>
        <v>4401.95</v>
      </c>
      <c r="Y169" s="408">
        <f t="shared" si="17"/>
        <v>19240.55</v>
      </c>
      <c r="Z169" s="10">
        <f>+'A) Base RI'!N169</f>
        <v>14893.5</v>
      </c>
      <c r="AA169" s="10">
        <f>'A) Base RI'!AO169</f>
        <v>384</v>
      </c>
    </row>
    <row r="170" spans="1:27" x14ac:dyDescent="0.25">
      <c r="A170" s="8">
        <f>'A) Base RI'!A170</f>
        <v>5674</v>
      </c>
      <c r="B170" s="32" t="str">
        <f>'A) Base RI'!B170</f>
        <v>Lovatens</v>
      </c>
      <c r="C170" s="10">
        <f>'A) Base RI'!C170+'A) Base RI'!D170</f>
        <v>250280.52000000002</v>
      </c>
      <c r="D170" s="10">
        <f>'A) Base RI'!AP170</f>
        <v>-1000.44</v>
      </c>
      <c r="E170" s="402">
        <f>'A) Base RI'!AQ170</f>
        <v>-11419.4</v>
      </c>
      <c r="F170" s="402">
        <f>'A) Base RI'!AR170</f>
        <v>-49.05</v>
      </c>
      <c r="G170" s="408">
        <f t="shared" si="12"/>
        <v>237811.63000000003</v>
      </c>
      <c r="H170" s="10">
        <f>+'A) Base RI'!E170</f>
        <v>0</v>
      </c>
      <c r="I170" s="10">
        <f>+'A) Base RI'!F170</f>
        <v>0</v>
      </c>
      <c r="J170" s="10">
        <f>+'A) Base RI'!G170+'A) Base RI'!H170+'A) Base RI'!X170</f>
        <v>288.05</v>
      </c>
      <c r="K170" s="10">
        <f>+'A) Base RI'!I170</f>
        <v>0</v>
      </c>
      <c r="L170" s="10">
        <f>+'A) Base RI'!J170</f>
        <v>96.23</v>
      </c>
      <c r="M170" s="10">
        <f>+'A) Base RI'!K170</f>
        <v>64.099999999999994</v>
      </c>
      <c r="N170" s="10">
        <f>+'A) Base RI'!Q170</f>
        <v>0</v>
      </c>
      <c r="O170" s="10">
        <f t="shared" si="13"/>
        <v>19045.642857142859</v>
      </c>
      <c r="P170" s="10">
        <f>+'A) Base RI'!L170</f>
        <v>13331.95</v>
      </c>
      <c r="Q170" s="416">
        <f>'A) Base RI'!AS170</f>
        <v>0.7</v>
      </c>
      <c r="R170" s="408">
        <f t="shared" si="14"/>
        <v>257305.65285714291</v>
      </c>
      <c r="S170" s="482">
        <f>+'A) Base RI'!AN170</f>
        <v>75</v>
      </c>
      <c r="T170" s="408">
        <f t="shared" si="15"/>
        <v>238195.91000000003</v>
      </c>
      <c r="U170" s="408">
        <f t="shared" si="16"/>
        <v>3430.742038095239</v>
      </c>
      <c r="V170" s="10">
        <f>+'A) Base RI'!O170</f>
        <v>74578</v>
      </c>
      <c r="W170" s="10">
        <f>+'A) Base RI'!P170</f>
        <v>950.4</v>
      </c>
      <c r="X170" s="10">
        <f>+'A) Base RI'!R170</f>
        <v>0</v>
      </c>
      <c r="Y170" s="408">
        <f t="shared" si="17"/>
        <v>75528.399999999994</v>
      </c>
      <c r="Z170" s="10">
        <f>+'A) Base RI'!N170</f>
        <v>0</v>
      </c>
      <c r="AA170" s="10">
        <f>'A) Base RI'!AO170</f>
        <v>142</v>
      </c>
    </row>
    <row r="171" spans="1:27" x14ac:dyDescent="0.25">
      <c r="A171" s="8">
        <f>'A) Base RI'!A171</f>
        <v>5675</v>
      </c>
      <c r="B171" s="32" t="str">
        <f>'A) Base RI'!B171</f>
        <v>Lucens</v>
      </c>
      <c r="C171" s="10">
        <f>'A) Base RI'!C171+'A) Base RI'!D171</f>
        <v>5136056.5999999996</v>
      </c>
      <c r="D171" s="10">
        <f>'A) Base RI'!AP171</f>
        <v>-166505.23000000001</v>
      </c>
      <c r="E171" s="402">
        <f>'A) Base RI'!AQ171</f>
        <v>0</v>
      </c>
      <c r="F171" s="402">
        <f>'A) Base RI'!AR171</f>
        <v>-2257.4899999999998</v>
      </c>
      <c r="G171" s="408">
        <f t="shared" si="12"/>
        <v>4967293.879999999</v>
      </c>
      <c r="H171" s="10">
        <f>+'A) Base RI'!E171</f>
        <v>0</v>
      </c>
      <c r="I171" s="10">
        <f>+'A) Base RI'!F171</f>
        <v>0</v>
      </c>
      <c r="J171" s="10">
        <f>+'A) Base RI'!G171+'A) Base RI'!H171+'A) Base RI'!X171</f>
        <v>699815.05</v>
      </c>
      <c r="K171" s="10">
        <f>+'A) Base RI'!I171</f>
        <v>0</v>
      </c>
      <c r="L171" s="10">
        <f>+'A) Base RI'!J171</f>
        <v>233881.34</v>
      </c>
      <c r="M171" s="10">
        <f>+'A) Base RI'!K171</f>
        <v>-37589.300000000003</v>
      </c>
      <c r="N171" s="10">
        <f>+'A) Base RI'!Q171</f>
        <v>50050.27</v>
      </c>
      <c r="O171" s="10">
        <f t="shared" si="13"/>
        <v>644458.59090909082</v>
      </c>
      <c r="P171" s="10">
        <f>+'A) Base RI'!L171</f>
        <v>708904.45</v>
      </c>
      <c r="Q171" s="416">
        <f>'A) Base RI'!AS171</f>
        <v>1.1000000000000001</v>
      </c>
      <c r="R171" s="408">
        <f t="shared" si="14"/>
        <v>6557909.8309090892</v>
      </c>
      <c r="S171" s="482">
        <f>+'A) Base RI'!AN171</f>
        <v>67.5</v>
      </c>
      <c r="T171" s="408">
        <f t="shared" si="15"/>
        <v>5951040.5399999982</v>
      </c>
      <c r="U171" s="408">
        <f t="shared" si="16"/>
        <v>97154.219717171698</v>
      </c>
      <c r="V171" s="10">
        <f>+'A) Base RI'!O171</f>
        <v>52773</v>
      </c>
      <c r="W171" s="10">
        <f>+'A) Base RI'!P171</f>
        <v>242645.75</v>
      </c>
      <c r="X171" s="10">
        <f>+'A) Base RI'!R171</f>
        <v>195866.65</v>
      </c>
      <c r="Y171" s="408">
        <f t="shared" si="17"/>
        <v>491285.4</v>
      </c>
      <c r="Z171" s="10">
        <f>+'A) Base RI'!N171</f>
        <v>47289.1</v>
      </c>
      <c r="AA171" s="10">
        <f>'A) Base RI'!AO171</f>
        <v>4309</v>
      </c>
    </row>
    <row r="172" spans="1:27" x14ac:dyDescent="0.25">
      <c r="A172" s="8">
        <f>'A) Base RI'!A172</f>
        <v>5678</v>
      </c>
      <c r="B172" s="32" t="str">
        <f>'A) Base RI'!B172</f>
        <v>Moudon</v>
      </c>
      <c r="C172" s="10">
        <f>'A) Base RI'!C172+'A) Base RI'!D172</f>
        <v>7577383.7999999998</v>
      </c>
      <c r="D172" s="10">
        <f>'A) Base RI'!AP172</f>
        <v>-347595.64</v>
      </c>
      <c r="E172" s="402">
        <f>'A) Base RI'!AQ172</f>
        <v>0</v>
      </c>
      <c r="F172" s="402">
        <f>'A) Base RI'!AR172</f>
        <v>-3702.04</v>
      </c>
      <c r="G172" s="408">
        <f t="shared" si="12"/>
        <v>7226086.1200000001</v>
      </c>
      <c r="H172" s="10">
        <f>+'A) Base RI'!E172</f>
        <v>0</v>
      </c>
      <c r="I172" s="10">
        <f>+'A) Base RI'!F172</f>
        <v>34545.9</v>
      </c>
      <c r="J172" s="10">
        <f>+'A) Base RI'!G172+'A) Base RI'!H172+'A) Base RI'!X172</f>
        <v>385607.85</v>
      </c>
      <c r="K172" s="10">
        <f>+'A) Base RI'!I172</f>
        <v>0</v>
      </c>
      <c r="L172" s="10">
        <f>+'A) Base RI'!J172</f>
        <v>471175.92</v>
      </c>
      <c r="M172" s="10">
        <f>+'A) Base RI'!K172</f>
        <v>68232.7</v>
      </c>
      <c r="N172" s="10">
        <f>+'A) Base RI'!Q172</f>
        <v>58437.71</v>
      </c>
      <c r="O172" s="10">
        <f t="shared" si="13"/>
        <v>815906.65</v>
      </c>
      <c r="P172" s="10">
        <f>+'A) Base RI'!L172</f>
        <v>815906.65</v>
      </c>
      <c r="Q172" s="416">
        <f>'A) Base RI'!AS172</f>
        <v>1</v>
      </c>
      <c r="R172" s="408">
        <f t="shared" si="14"/>
        <v>9059992.8499999996</v>
      </c>
      <c r="S172" s="482">
        <f>+'A) Base RI'!AN172</f>
        <v>72.5</v>
      </c>
      <c r="T172" s="408">
        <f t="shared" si="15"/>
        <v>8141307.5999999996</v>
      </c>
      <c r="U172" s="408">
        <f t="shared" si="16"/>
        <v>124965.41862068966</v>
      </c>
      <c r="V172" s="10">
        <f>+'A) Base RI'!O172</f>
        <v>250407.2</v>
      </c>
      <c r="W172" s="10">
        <f>+'A) Base RI'!P172</f>
        <v>568072.9</v>
      </c>
      <c r="X172" s="10">
        <f>+'A) Base RI'!R172</f>
        <v>381293.65</v>
      </c>
      <c r="Y172" s="408">
        <f t="shared" si="17"/>
        <v>1199773.75</v>
      </c>
      <c r="Z172" s="10">
        <f>+'A) Base RI'!N172</f>
        <v>194976.2</v>
      </c>
      <c r="AA172" s="10">
        <f>'A) Base RI'!AO172</f>
        <v>6109</v>
      </c>
    </row>
    <row r="173" spans="1:27" x14ac:dyDescent="0.25">
      <c r="A173" s="8">
        <f>'A) Base RI'!A173</f>
        <v>5680</v>
      </c>
      <c r="B173" s="32" t="str">
        <f>'A) Base RI'!B173</f>
        <v>Ogens</v>
      </c>
      <c r="C173" s="10">
        <f>'A) Base RI'!C173+'A) Base RI'!D173</f>
        <v>626655.42999999993</v>
      </c>
      <c r="D173" s="10">
        <f>'A) Base RI'!AP173</f>
        <v>-41881.83</v>
      </c>
      <c r="E173" s="402">
        <f>'A) Base RI'!AQ173</f>
        <v>0</v>
      </c>
      <c r="F173" s="402">
        <f>'A) Base RI'!AR173</f>
        <v>-40.29</v>
      </c>
      <c r="G173" s="408">
        <f t="shared" si="12"/>
        <v>584733.30999999994</v>
      </c>
      <c r="H173" s="10">
        <f>+'A) Base RI'!E173</f>
        <v>0</v>
      </c>
      <c r="I173" s="10">
        <f>+'A) Base RI'!F173</f>
        <v>0</v>
      </c>
      <c r="J173" s="10">
        <f>+'A) Base RI'!G173+'A) Base RI'!H173+'A) Base RI'!X173</f>
        <v>3602.25</v>
      </c>
      <c r="K173" s="10">
        <f>+'A) Base RI'!I173</f>
        <v>0</v>
      </c>
      <c r="L173" s="10">
        <f>+'A) Base RI'!J173</f>
        <v>9518.5499999999993</v>
      </c>
      <c r="M173" s="10">
        <f>+'A) Base RI'!K173</f>
        <v>625</v>
      </c>
      <c r="N173" s="10">
        <f>+'A) Base RI'!Q173</f>
        <v>27156.61</v>
      </c>
      <c r="O173" s="10">
        <f t="shared" si="13"/>
        <v>51019.366666666669</v>
      </c>
      <c r="P173" s="10">
        <f>+'A) Base RI'!L173</f>
        <v>76529.05</v>
      </c>
      <c r="Q173" s="416">
        <f>'A) Base RI'!AS173</f>
        <v>1.5</v>
      </c>
      <c r="R173" s="408">
        <f t="shared" si="14"/>
        <v>676655.08666666667</v>
      </c>
      <c r="S173" s="482">
        <f>+'A) Base RI'!AN173</f>
        <v>78</v>
      </c>
      <c r="T173" s="408">
        <f t="shared" si="15"/>
        <v>625010.72</v>
      </c>
      <c r="U173" s="408">
        <f t="shared" si="16"/>
        <v>8675.0652136752142</v>
      </c>
      <c r="V173" s="10">
        <f>+'A) Base RI'!O173</f>
        <v>0</v>
      </c>
      <c r="W173" s="10">
        <f>+'A) Base RI'!P173</f>
        <v>41969.2</v>
      </c>
      <c r="X173" s="10">
        <f>+'A) Base RI'!R173</f>
        <v>60938.6</v>
      </c>
      <c r="Y173" s="408">
        <f t="shared" si="17"/>
        <v>102907.79999999999</v>
      </c>
      <c r="Z173" s="10">
        <f>+'A) Base RI'!N173</f>
        <v>0</v>
      </c>
      <c r="AA173" s="10">
        <f>'A) Base RI'!AO173</f>
        <v>301</v>
      </c>
    </row>
    <row r="174" spans="1:27" x14ac:dyDescent="0.25">
      <c r="A174" s="8">
        <f>'A) Base RI'!A174</f>
        <v>5683</v>
      </c>
      <c r="B174" s="32" t="str">
        <f>'A) Base RI'!B174</f>
        <v>Prévonloup</v>
      </c>
      <c r="C174" s="10">
        <f>'A) Base RI'!C174+'A) Base RI'!D174</f>
        <v>340116.06</v>
      </c>
      <c r="D174" s="10">
        <f>'A) Base RI'!AP174</f>
        <v>-2962.05</v>
      </c>
      <c r="E174" s="402">
        <f>'A) Base RI'!AQ174</f>
        <v>0</v>
      </c>
      <c r="F174" s="402">
        <f>'A) Base RI'!AR174</f>
        <v>0</v>
      </c>
      <c r="G174" s="408">
        <f t="shared" si="12"/>
        <v>337154.01</v>
      </c>
      <c r="H174" s="10">
        <f>+'A) Base RI'!E174</f>
        <v>0</v>
      </c>
      <c r="I174" s="10">
        <f>+'A) Base RI'!F174</f>
        <v>0</v>
      </c>
      <c r="J174" s="10">
        <f>+'A) Base RI'!G174+'A) Base RI'!H174+'A) Base RI'!X174</f>
        <v>-3130.42</v>
      </c>
      <c r="K174" s="10">
        <f>+'A) Base RI'!I174</f>
        <v>0</v>
      </c>
      <c r="L174" s="10">
        <f>+'A) Base RI'!J174</f>
        <v>-1870.79</v>
      </c>
      <c r="M174" s="10">
        <f>+'A) Base RI'!K174</f>
        <v>2220.5</v>
      </c>
      <c r="N174" s="10">
        <f>+'A) Base RI'!Q174</f>
        <v>0</v>
      </c>
      <c r="O174" s="10">
        <f t="shared" si="13"/>
        <v>28563.75</v>
      </c>
      <c r="P174" s="10">
        <f>+'A) Base RI'!L174</f>
        <v>28563.75</v>
      </c>
      <c r="Q174" s="416">
        <f>'A) Base RI'!AS174</f>
        <v>1</v>
      </c>
      <c r="R174" s="408">
        <f t="shared" si="14"/>
        <v>362937.05000000005</v>
      </c>
      <c r="S174" s="482">
        <f>+'A) Base RI'!AN174</f>
        <v>72.5</v>
      </c>
      <c r="T174" s="408">
        <f t="shared" si="15"/>
        <v>332152.80000000005</v>
      </c>
      <c r="U174" s="408">
        <f t="shared" si="16"/>
        <v>5006.0282758620697</v>
      </c>
      <c r="V174" s="10">
        <f>+'A) Base RI'!O174</f>
        <v>1149.2</v>
      </c>
      <c r="W174" s="10">
        <f>+'A) Base RI'!P174</f>
        <v>0</v>
      </c>
      <c r="X174" s="10">
        <f>+'A) Base RI'!R174</f>
        <v>3217.9</v>
      </c>
      <c r="Y174" s="408">
        <f t="shared" si="17"/>
        <v>4367.1000000000004</v>
      </c>
      <c r="Z174" s="10">
        <f>+'A) Base RI'!N174</f>
        <v>0</v>
      </c>
      <c r="AA174" s="10">
        <f>'A) Base RI'!AO174</f>
        <v>202</v>
      </c>
    </row>
    <row r="175" spans="1:27" x14ac:dyDescent="0.25">
      <c r="A175" s="8">
        <f>'A) Base RI'!A175</f>
        <v>5684</v>
      </c>
      <c r="B175" s="32" t="str">
        <f>'A) Base RI'!B175</f>
        <v>Rossenges</v>
      </c>
      <c r="C175" s="10">
        <f>'A) Base RI'!C175+'A) Base RI'!D175</f>
        <v>319522.90000000002</v>
      </c>
      <c r="D175" s="10">
        <f>'A) Base RI'!AP175</f>
        <v>-2517.2399999999998</v>
      </c>
      <c r="E175" s="402">
        <f>'A) Base RI'!AQ175</f>
        <v>0</v>
      </c>
      <c r="F175" s="402">
        <f>'A) Base RI'!AR175</f>
        <v>-22.35</v>
      </c>
      <c r="G175" s="408">
        <f t="shared" si="12"/>
        <v>316983.31000000006</v>
      </c>
      <c r="H175" s="10">
        <f>+'A) Base RI'!E175</f>
        <v>0</v>
      </c>
      <c r="I175" s="10">
        <f>+'A) Base RI'!F175</f>
        <v>0</v>
      </c>
      <c r="J175" s="10">
        <f>+'A) Base RI'!G175+'A) Base RI'!H175+'A) Base RI'!X175</f>
        <v>-32.810000000000009</v>
      </c>
      <c r="K175" s="10">
        <f>+'A) Base RI'!I175</f>
        <v>0</v>
      </c>
      <c r="L175" s="10">
        <f>+'A) Base RI'!J175</f>
        <v>121.38</v>
      </c>
      <c r="M175" s="10">
        <f>+'A) Base RI'!K175</f>
        <v>0</v>
      </c>
      <c r="N175" s="10">
        <f>+'A) Base RI'!Q175</f>
        <v>0</v>
      </c>
      <c r="O175" s="10">
        <f t="shared" si="13"/>
        <v>8077.3749999999991</v>
      </c>
      <c r="P175" s="10">
        <f>+'A) Base RI'!L175</f>
        <v>6461.9</v>
      </c>
      <c r="Q175" s="416">
        <f>'A) Base RI'!AS175</f>
        <v>0.8</v>
      </c>
      <c r="R175" s="408">
        <f t="shared" si="14"/>
        <v>325149.25500000006</v>
      </c>
      <c r="S175" s="482">
        <f>+'A) Base RI'!AN175</f>
        <v>75</v>
      </c>
      <c r="T175" s="408">
        <f t="shared" si="15"/>
        <v>317071.88000000006</v>
      </c>
      <c r="U175" s="408">
        <f t="shared" si="16"/>
        <v>4335.3234000000011</v>
      </c>
      <c r="V175" s="10">
        <f>+'A) Base RI'!O175</f>
        <v>0</v>
      </c>
      <c r="W175" s="10">
        <f>+'A) Base RI'!P175</f>
        <v>0</v>
      </c>
      <c r="X175" s="10">
        <f>+'A) Base RI'!R175</f>
        <v>0</v>
      </c>
      <c r="Y175" s="408">
        <f t="shared" si="17"/>
        <v>0</v>
      </c>
      <c r="Z175" s="10">
        <f>+'A) Base RI'!N175</f>
        <v>0</v>
      </c>
      <c r="AA175" s="10">
        <f>'A) Base RI'!AO175</f>
        <v>84</v>
      </c>
    </row>
    <row r="176" spans="1:27" x14ac:dyDescent="0.25">
      <c r="A176" s="8">
        <f>'A) Base RI'!A176</f>
        <v>5688</v>
      </c>
      <c r="B176" s="32" t="str">
        <f>'A) Base RI'!B176</f>
        <v>Syens</v>
      </c>
      <c r="C176" s="10">
        <f>'A) Base RI'!C176+'A) Base RI'!D176</f>
        <v>347836.32999999996</v>
      </c>
      <c r="D176" s="10">
        <f>'A) Base RI'!AP176</f>
        <v>-7.04</v>
      </c>
      <c r="E176" s="402">
        <f>'A) Base RI'!AQ176</f>
        <v>0</v>
      </c>
      <c r="F176" s="402">
        <f>'A) Base RI'!AR176</f>
        <v>0</v>
      </c>
      <c r="G176" s="408">
        <f t="shared" si="12"/>
        <v>347829.29</v>
      </c>
      <c r="H176" s="10">
        <f>+'A) Base RI'!E176</f>
        <v>0</v>
      </c>
      <c r="I176" s="10">
        <f>+'A) Base RI'!F176</f>
        <v>0</v>
      </c>
      <c r="J176" s="10">
        <f>+'A) Base RI'!G176+'A) Base RI'!H176+'A) Base RI'!X176</f>
        <v>12131.6</v>
      </c>
      <c r="K176" s="10">
        <f>+'A) Base RI'!I176</f>
        <v>0</v>
      </c>
      <c r="L176" s="10">
        <f>+'A) Base RI'!J176</f>
        <v>1283.3900000000001</v>
      </c>
      <c r="M176" s="10">
        <f>+'A) Base RI'!K176</f>
        <v>157.5</v>
      </c>
      <c r="N176" s="10">
        <f>+'A) Base RI'!Q176</f>
        <v>0</v>
      </c>
      <c r="O176" s="10">
        <f t="shared" si="13"/>
        <v>23710.400000000001</v>
      </c>
      <c r="P176" s="10">
        <f>+'A) Base RI'!L176</f>
        <v>23710.400000000001</v>
      </c>
      <c r="Q176" s="416">
        <f>'A) Base RI'!AS176</f>
        <v>1</v>
      </c>
      <c r="R176" s="408">
        <f t="shared" si="14"/>
        <v>385112.18</v>
      </c>
      <c r="S176" s="482">
        <f>+'A) Base RI'!AN176</f>
        <v>75.599999999999994</v>
      </c>
      <c r="T176" s="408">
        <f t="shared" si="15"/>
        <v>361244.27999999997</v>
      </c>
      <c r="U176" s="408">
        <f t="shared" si="16"/>
        <v>5094.0764550264557</v>
      </c>
      <c r="V176" s="10">
        <f>+'A) Base RI'!O176</f>
        <v>0</v>
      </c>
      <c r="W176" s="10">
        <f>+'A) Base RI'!P176</f>
        <v>40.65</v>
      </c>
      <c r="X176" s="10">
        <f>+'A) Base RI'!R176</f>
        <v>0</v>
      </c>
      <c r="Y176" s="408">
        <f t="shared" si="17"/>
        <v>40.65</v>
      </c>
      <c r="Z176" s="10">
        <f>+'A) Base RI'!N176</f>
        <v>0</v>
      </c>
      <c r="AA176" s="10">
        <f>'A) Base RI'!AO176</f>
        <v>156</v>
      </c>
    </row>
    <row r="177" spans="1:27" x14ac:dyDescent="0.25">
      <c r="A177" s="8">
        <f>'A) Base RI'!A177</f>
        <v>5690</v>
      </c>
      <c r="B177" s="32" t="str">
        <f>'A) Base RI'!B177</f>
        <v>Villars-le-Comte</v>
      </c>
      <c r="C177" s="10">
        <f>'A) Base RI'!C177+'A) Base RI'!D177</f>
        <v>223949.19</v>
      </c>
      <c r="D177" s="10">
        <f>'A) Base RI'!AP177</f>
        <v>-2176.4299999999998</v>
      </c>
      <c r="E177" s="402">
        <f>'A) Base RI'!AQ177</f>
        <v>0</v>
      </c>
      <c r="F177" s="402">
        <f>'A) Base RI'!AR177</f>
        <v>0</v>
      </c>
      <c r="G177" s="408">
        <f t="shared" si="12"/>
        <v>221772.76</v>
      </c>
      <c r="H177" s="10">
        <f>+'A) Base RI'!E177</f>
        <v>0</v>
      </c>
      <c r="I177" s="10">
        <f>+'A) Base RI'!F177</f>
        <v>750</v>
      </c>
      <c r="J177" s="10">
        <f>+'A) Base RI'!G177+'A) Base RI'!H177+'A) Base RI'!X177</f>
        <v>442.65999999999997</v>
      </c>
      <c r="K177" s="10">
        <f>+'A) Base RI'!I177</f>
        <v>0</v>
      </c>
      <c r="L177" s="10">
        <f>+'A) Base RI'!J177</f>
        <v>0</v>
      </c>
      <c r="M177" s="10">
        <f>+'A) Base RI'!K177</f>
        <v>184.1</v>
      </c>
      <c r="N177" s="10">
        <f>+'A) Base RI'!Q177</f>
        <v>0</v>
      </c>
      <c r="O177" s="10">
        <f t="shared" si="13"/>
        <v>20715</v>
      </c>
      <c r="P177" s="10">
        <f>+'A) Base RI'!L177</f>
        <v>24858</v>
      </c>
      <c r="Q177" s="416">
        <f>'A) Base RI'!AS177</f>
        <v>1.2</v>
      </c>
      <c r="R177" s="408">
        <f t="shared" si="14"/>
        <v>243864.52000000002</v>
      </c>
      <c r="S177" s="482">
        <f>+'A) Base RI'!AN177</f>
        <v>70</v>
      </c>
      <c r="T177" s="408">
        <f t="shared" si="15"/>
        <v>222215.42</v>
      </c>
      <c r="U177" s="408">
        <f t="shared" si="16"/>
        <v>3483.7788571428573</v>
      </c>
      <c r="V177" s="10">
        <f>+'A) Base RI'!O177</f>
        <v>11060.8</v>
      </c>
      <c r="W177" s="10">
        <f>+'A) Base RI'!P177</f>
        <v>13276.15</v>
      </c>
      <c r="X177" s="10">
        <f>+'A) Base RI'!R177</f>
        <v>11217.45</v>
      </c>
      <c r="Y177" s="408">
        <f t="shared" si="17"/>
        <v>35554.399999999994</v>
      </c>
      <c r="Z177" s="10">
        <f>+'A) Base RI'!N177</f>
        <v>0</v>
      </c>
      <c r="AA177" s="10">
        <f>'A) Base RI'!AO177</f>
        <v>120</v>
      </c>
    </row>
    <row r="178" spans="1:27" x14ac:dyDescent="0.25">
      <c r="A178" s="8">
        <f>'A) Base RI'!A178</f>
        <v>5692</v>
      </c>
      <c r="B178" s="32" t="str">
        <f>'A) Base RI'!B178</f>
        <v>Vucherens</v>
      </c>
      <c r="C178" s="10">
        <f>'A) Base RI'!C178+'A) Base RI'!D178</f>
        <v>1253380.94</v>
      </c>
      <c r="D178" s="10">
        <f>'A) Base RI'!AP178</f>
        <v>-1412.65</v>
      </c>
      <c r="E178" s="402">
        <f>'A) Base RI'!AQ178</f>
        <v>0</v>
      </c>
      <c r="F178" s="402">
        <f>'A) Base RI'!AR178</f>
        <v>-0.46</v>
      </c>
      <c r="G178" s="408">
        <f t="shared" si="12"/>
        <v>1251967.83</v>
      </c>
      <c r="H178" s="10">
        <f>+'A) Base RI'!E178</f>
        <v>0</v>
      </c>
      <c r="I178" s="10">
        <f>+'A) Base RI'!F178</f>
        <v>0</v>
      </c>
      <c r="J178" s="10">
        <f>+'A) Base RI'!G178+'A) Base RI'!H178+'A) Base RI'!X178</f>
        <v>14970.33</v>
      </c>
      <c r="K178" s="10">
        <f>+'A) Base RI'!I178</f>
        <v>0</v>
      </c>
      <c r="L178" s="10">
        <f>+'A) Base RI'!J178</f>
        <v>24468.36</v>
      </c>
      <c r="M178" s="10">
        <f>+'A) Base RI'!K178</f>
        <v>3158.45</v>
      </c>
      <c r="N178" s="10">
        <f>+'A) Base RI'!Q178</f>
        <v>11.77</v>
      </c>
      <c r="O178" s="10">
        <f t="shared" si="13"/>
        <v>97934.1</v>
      </c>
      <c r="P178" s="10">
        <f>+'A) Base RI'!L178</f>
        <v>97934.1</v>
      </c>
      <c r="Q178" s="416">
        <f>'A) Base RI'!AS178</f>
        <v>1</v>
      </c>
      <c r="R178" s="408">
        <f t="shared" si="14"/>
        <v>1392510.8400000003</v>
      </c>
      <c r="S178" s="482">
        <f>+'A) Base RI'!AN178</f>
        <v>77</v>
      </c>
      <c r="T178" s="408">
        <f t="shared" si="15"/>
        <v>1291418.2900000003</v>
      </c>
      <c r="U178" s="408">
        <f t="shared" si="16"/>
        <v>18084.556363636369</v>
      </c>
      <c r="V178" s="10">
        <f>+'A) Base RI'!O178</f>
        <v>94.8</v>
      </c>
      <c r="W178" s="10">
        <f>+'A) Base RI'!P178</f>
        <v>73087.45</v>
      </c>
      <c r="X178" s="10">
        <f>+'A) Base RI'!R178</f>
        <v>27137.200000000001</v>
      </c>
      <c r="Y178" s="408">
        <f t="shared" si="17"/>
        <v>100319.45</v>
      </c>
      <c r="Z178" s="10">
        <f>+'A) Base RI'!N178</f>
        <v>13335.05</v>
      </c>
      <c r="AA178" s="10">
        <f>'A) Base RI'!AO178</f>
        <v>617</v>
      </c>
    </row>
    <row r="179" spans="1:27" x14ac:dyDescent="0.25">
      <c r="A179" s="8">
        <f>'A) Base RI'!A179</f>
        <v>5693</v>
      </c>
      <c r="B179" s="32" t="str">
        <f>'A) Base RI'!B179</f>
        <v>Montanaire</v>
      </c>
      <c r="C179" s="10">
        <f>'A) Base RI'!C179+'A) Base RI'!D179</f>
        <v>4687124.3299999991</v>
      </c>
      <c r="D179" s="10">
        <f>'A) Base RI'!AP179</f>
        <v>-125251.55</v>
      </c>
      <c r="E179" s="402">
        <f>'A) Base RI'!AQ179</f>
        <v>0</v>
      </c>
      <c r="F179" s="402">
        <f>'A) Base RI'!AR179</f>
        <v>-290.72000000000003</v>
      </c>
      <c r="G179" s="408">
        <f t="shared" si="12"/>
        <v>4561582.0599999996</v>
      </c>
      <c r="H179" s="10">
        <f>+'A) Base RI'!E179</f>
        <v>0</v>
      </c>
      <c r="I179" s="10">
        <f>+'A) Base RI'!F179</f>
        <v>0</v>
      </c>
      <c r="J179" s="10">
        <f>+'A) Base RI'!G179+'A) Base RI'!H179+'A) Base RI'!X179</f>
        <v>41580.83</v>
      </c>
      <c r="K179" s="10">
        <f>+'A) Base RI'!I179</f>
        <v>0</v>
      </c>
      <c r="L179" s="10">
        <f>+'A) Base RI'!J179</f>
        <v>72440.38</v>
      </c>
      <c r="M179" s="10">
        <f>+'A) Base RI'!K179</f>
        <v>9495.6</v>
      </c>
      <c r="N179" s="10">
        <f>+'A) Base RI'!Q179</f>
        <v>11807.36</v>
      </c>
      <c r="O179" s="10">
        <f t="shared" si="13"/>
        <v>423772.3</v>
      </c>
      <c r="P179" s="10">
        <f>+'A) Base RI'!L179</f>
        <v>423772.3</v>
      </c>
      <c r="Q179" s="416">
        <f>'A) Base RI'!AS179</f>
        <v>1</v>
      </c>
      <c r="R179" s="408">
        <f t="shared" si="14"/>
        <v>5120678.5299999993</v>
      </c>
      <c r="S179" s="482">
        <f>+'A) Base RI'!AN179</f>
        <v>72</v>
      </c>
      <c r="T179" s="408">
        <f t="shared" si="15"/>
        <v>4687410.63</v>
      </c>
      <c r="U179" s="408">
        <f t="shared" si="16"/>
        <v>71120.535138888881</v>
      </c>
      <c r="V179" s="10">
        <f>+'A) Base RI'!O179</f>
        <v>144312.70000000001</v>
      </c>
      <c r="W179" s="10">
        <f>+'A) Base RI'!P179</f>
        <v>209249.75</v>
      </c>
      <c r="X179" s="10">
        <f>+'A) Base RI'!R179</f>
        <v>133540.75</v>
      </c>
      <c r="Y179" s="408">
        <f t="shared" si="17"/>
        <v>487103.2</v>
      </c>
      <c r="Z179" s="10">
        <f>+'A) Base RI'!N179</f>
        <v>48251.05</v>
      </c>
      <c r="AA179" s="10">
        <f>'A) Base RI'!AO179</f>
        <v>2782</v>
      </c>
    </row>
    <row r="180" spans="1:27" x14ac:dyDescent="0.25">
      <c r="A180" s="8">
        <f>'A) Base RI'!A180</f>
        <v>5701</v>
      </c>
      <c r="B180" s="32" t="str">
        <f>'A) Base RI'!B180</f>
        <v>Arnex-sur-Nyon</v>
      </c>
      <c r="C180" s="10">
        <f>'A) Base RI'!C180+'A) Base RI'!D180</f>
        <v>760418.95000000007</v>
      </c>
      <c r="D180" s="10">
        <f>'A) Base RI'!AP180</f>
        <v>-11178.47</v>
      </c>
      <c r="E180" s="402">
        <f>'A) Base RI'!AQ180</f>
        <v>0</v>
      </c>
      <c r="F180" s="402">
        <f>'A) Base RI'!AR180</f>
        <v>-204.29</v>
      </c>
      <c r="G180" s="408">
        <f t="shared" si="12"/>
        <v>749036.19000000006</v>
      </c>
      <c r="H180" s="10">
        <f>+'A) Base RI'!E180</f>
        <v>0</v>
      </c>
      <c r="I180" s="10">
        <f>+'A) Base RI'!F180</f>
        <v>0</v>
      </c>
      <c r="J180" s="10">
        <f>+'A) Base RI'!G180+'A) Base RI'!H180+'A) Base RI'!X180</f>
        <v>6100.7999999999993</v>
      </c>
      <c r="K180" s="10">
        <f>+'A) Base RI'!I180</f>
        <v>65044.25</v>
      </c>
      <c r="L180" s="10">
        <f>+'A) Base RI'!J180</f>
        <v>-11789.17</v>
      </c>
      <c r="M180" s="10">
        <f>+'A) Base RI'!K180</f>
        <v>510.25</v>
      </c>
      <c r="N180" s="10">
        <f>+'A) Base RI'!Q180</f>
        <v>0</v>
      </c>
      <c r="O180" s="10">
        <f t="shared" si="13"/>
        <v>71655.100000000006</v>
      </c>
      <c r="P180" s="10">
        <f>+'A) Base RI'!L180</f>
        <v>71655.100000000006</v>
      </c>
      <c r="Q180" s="416">
        <f>'A) Base RI'!AS180</f>
        <v>1</v>
      </c>
      <c r="R180" s="408">
        <f t="shared" si="14"/>
        <v>880557.42</v>
      </c>
      <c r="S180" s="482">
        <f>+'A) Base RI'!AN180</f>
        <v>70</v>
      </c>
      <c r="T180" s="408">
        <f t="shared" si="15"/>
        <v>808392.07000000007</v>
      </c>
      <c r="U180" s="408">
        <f t="shared" si="16"/>
        <v>12579.391714285715</v>
      </c>
      <c r="V180" s="10">
        <f>+'A) Base RI'!O180</f>
        <v>0</v>
      </c>
      <c r="W180" s="10">
        <f>+'A) Base RI'!P180</f>
        <v>97039.3</v>
      </c>
      <c r="X180" s="10">
        <f>+'A) Base RI'!R180</f>
        <v>57927.55</v>
      </c>
      <c r="Y180" s="408">
        <f t="shared" si="17"/>
        <v>154966.85</v>
      </c>
      <c r="Z180" s="10">
        <f>+'A) Base RI'!N180</f>
        <v>0</v>
      </c>
      <c r="AA180" s="10">
        <f>'A) Base RI'!AO180</f>
        <v>240</v>
      </c>
    </row>
    <row r="181" spans="1:27" x14ac:dyDescent="0.25">
      <c r="A181" s="8">
        <f>'A) Base RI'!A181</f>
        <v>5702</v>
      </c>
      <c r="B181" s="32" t="str">
        <f>'A) Base RI'!B181</f>
        <v>Arzier-Le Muids</v>
      </c>
      <c r="C181" s="10">
        <f>'A) Base RI'!C181+'A) Base RI'!D181</f>
        <v>9333219.2400000002</v>
      </c>
      <c r="D181" s="10">
        <f>'A) Base RI'!AP181</f>
        <v>-36504.25</v>
      </c>
      <c r="E181" s="402">
        <f>'A) Base RI'!AQ181</f>
        <v>0</v>
      </c>
      <c r="F181" s="402">
        <f>'A) Base RI'!AR181</f>
        <v>-34129.629999999997</v>
      </c>
      <c r="G181" s="408">
        <f t="shared" si="12"/>
        <v>9262585.3599999994</v>
      </c>
      <c r="H181" s="10">
        <f>+'A) Base RI'!E181</f>
        <v>0</v>
      </c>
      <c r="I181" s="10">
        <f>+'A) Base RI'!F181</f>
        <v>0</v>
      </c>
      <c r="J181" s="10">
        <f>+'A) Base RI'!G181+'A) Base RI'!H181+'A) Base RI'!X181</f>
        <v>107639.27</v>
      </c>
      <c r="K181" s="10">
        <f>+'A) Base RI'!I181</f>
        <v>377543.7</v>
      </c>
      <c r="L181" s="10">
        <f>+'A) Base RI'!J181</f>
        <v>143021.01999999999</v>
      </c>
      <c r="M181" s="10">
        <f>+'A) Base RI'!K181</f>
        <v>15460.15</v>
      </c>
      <c r="N181" s="10">
        <f>+'A) Base RI'!Q181</f>
        <v>10125.129999999999</v>
      </c>
      <c r="O181" s="10">
        <f t="shared" si="13"/>
        <v>819696.8666666667</v>
      </c>
      <c r="P181" s="10">
        <f>+'A) Base RI'!L181</f>
        <v>1229545.3</v>
      </c>
      <c r="Q181" s="416">
        <f>'A) Base RI'!AS181</f>
        <v>1.5</v>
      </c>
      <c r="R181" s="408">
        <f t="shared" si="14"/>
        <v>10736071.496666666</v>
      </c>
      <c r="S181" s="482">
        <f>+'A) Base RI'!AN181</f>
        <v>64</v>
      </c>
      <c r="T181" s="408">
        <f t="shared" si="15"/>
        <v>9900914.4799999986</v>
      </c>
      <c r="U181" s="408">
        <f t="shared" si="16"/>
        <v>167751.11713541666</v>
      </c>
      <c r="V181" s="10">
        <f>+'A) Base RI'!O181</f>
        <v>18531.8</v>
      </c>
      <c r="W181" s="10">
        <f>+'A) Base RI'!P181</f>
        <v>540349.94999999995</v>
      </c>
      <c r="X181" s="10">
        <f>+'A) Base RI'!R181</f>
        <v>383157.9</v>
      </c>
      <c r="Y181" s="408">
        <f t="shared" si="17"/>
        <v>942039.65</v>
      </c>
      <c r="Z181" s="10">
        <f>+'A) Base RI'!N181</f>
        <v>74885.100000000006</v>
      </c>
      <c r="AA181" s="10">
        <f>'A) Base RI'!AO181</f>
        <v>2912</v>
      </c>
    </row>
    <row r="182" spans="1:27" x14ac:dyDescent="0.25">
      <c r="A182" s="8">
        <f>'A) Base RI'!A182</f>
        <v>5703</v>
      </c>
      <c r="B182" s="32" t="str">
        <f>'A) Base RI'!B182</f>
        <v>Bassins</v>
      </c>
      <c r="C182" s="10">
        <f>'A) Base RI'!C182+'A) Base RI'!D182</f>
        <v>4467370.2299999995</v>
      </c>
      <c r="D182" s="10">
        <f>'A) Base RI'!AP182</f>
        <v>-101171.26</v>
      </c>
      <c r="E182" s="402">
        <f>'A) Base RI'!AQ182</f>
        <v>0</v>
      </c>
      <c r="F182" s="402">
        <f>'A) Base RI'!AR182</f>
        <v>-2461.21</v>
      </c>
      <c r="G182" s="408">
        <f t="shared" si="12"/>
        <v>4363737.76</v>
      </c>
      <c r="H182" s="10">
        <f>+'A) Base RI'!E182</f>
        <v>0</v>
      </c>
      <c r="I182" s="10">
        <f>+'A) Base RI'!F182</f>
        <v>0</v>
      </c>
      <c r="J182" s="10">
        <f>+'A) Base RI'!G182+'A) Base RI'!H182+'A) Base RI'!X182</f>
        <v>64630.009999999995</v>
      </c>
      <c r="K182" s="10">
        <f>+'A) Base RI'!I182</f>
        <v>1654.45</v>
      </c>
      <c r="L182" s="10">
        <f>+'A) Base RI'!J182</f>
        <v>75222.679999999993</v>
      </c>
      <c r="M182" s="10">
        <f>+'A) Base RI'!K182</f>
        <v>1865</v>
      </c>
      <c r="N182" s="10">
        <f>+'A) Base RI'!Q182</f>
        <v>17195.88</v>
      </c>
      <c r="O182" s="10">
        <f t="shared" si="13"/>
        <v>326260.60714285716</v>
      </c>
      <c r="P182" s="10">
        <f>+'A) Base RI'!L182</f>
        <v>456764.85</v>
      </c>
      <c r="Q182" s="416">
        <f>'A) Base RI'!AS182</f>
        <v>1.4</v>
      </c>
      <c r="R182" s="408">
        <f t="shared" si="14"/>
        <v>4850566.3871428566</v>
      </c>
      <c r="S182" s="482">
        <f>+'A) Base RI'!AN182</f>
        <v>72.5</v>
      </c>
      <c r="T182" s="408">
        <f t="shared" si="15"/>
        <v>4522440.7799999993</v>
      </c>
      <c r="U182" s="408">
        <f t="shared" si="16"/>
        <v>66904.36396059113</v>
      </c>
      <c r="V182" s="10">
        <f>+'A) Base RI'!O182</f>
        <v>8122.8</v>
      </c>
      <c r="W182" s="10">
        <f>+'A) Base RI'!P182</f>
        <v>255576.7</v>
      </c>
      <c r="X182" s="10">
        <f>+'A) Base RI'!R182</f>
        <v>244553.75</v>
      </c>
      <c r="Y182" s="408">
        <f t="shared" si="17"/>
        <v>508253.25</v>
      </c>
      <c r="Z182" s="10">
        <f>+'A) Base RI'!N182</f>
        <v>30174.35</v>
      </c>
      <c r="AA182" s="10">
        <f>'A) Base RI'!AO182</f>
        <v>1475</v>
      </c>
    </row>
    <row r="183" spans="1:27" x14ac:dyDescent="0.25">
      <c r="A183" s="8">
        <f>'A) Base RI'!A183</f>
        <v>5704</v>
      </c>
      <c r="B183" s="32" t="str">
        <f>'A) Base RI'!B183</f>
        <v>Begnins</v>
      </c>
      <c r="C183" s="10">
        <f>'A) Base RI'!C183+'A) Base RI'!D183</f>
        <v>7853403.9199999999</v>
      </c>
      <c r="D183" s="10">
        <f>'A) Base RI'!AP183</f>
        <v>-48920.72</v>
      </c>
      <c r="E183" s="402">
        <f>'A) Base RI'!AQ183</f>
        <v>0</v>
      </c>
      <c r="F183" s="402">
        <f>'A) Base RI'!AR183</f>
        <v>-83814.63</v>
      </c>
      <c r="G183" s="408">
        <f t="shared" si="12"/>
        <v>7720668.5700000003</v>
      </c>
      <c r="H183" s="10">
        <f>+'A) Base RI'!E183</f>
        <v>0</v>
      </c>
      <c r="I183" s="10">
        <f>+'A) Base RI'!F183</f>
        <v>0</v>
      </c>
      <c r="J183" s="10">
        <f>+'A) Base RI'!G183+'A) Base RI'!H183+'A) Base RI'!X183</f>
        <v>28105.29</v>
      </c>
      <c r="K183" s="10">
        <f>+'A) Base RI'!I183</f>
        <v>381207.8</v>
      </c>
      <c r="L183" s="10">
        <f>+'A) Base RI'!J183</f>
        <v>90862.86</v>
      </c>
      <c r="M183" s="10">
        <f>+'A) Base RI'!K183</f>
        <v>18287.150000000001</v>
      </c>
      <c r="N183" s="10">
        <f>+'A) Base RI'!Q183</f>
        <v>73562.570000000007</v>
      </c>
      <c r="O183" s="10">
        <f t="shared" si="13"/>
        <v>533480.43333333335</v>
      </c>
      <c r="P183" s="10">
        <f>+'A) Base RI'!L183</f>
        <v>800220.65</v>
      </c>
      <c r="Q183" s="416">
        <f>'A) Base RI'!AS183</f>
        <v>1.5</v>
      </c>
      <c r="R183" s="408">
        <f t="shared" si="14"/>
        <v>8846174.6733333338</v>
      </c>
      <c r="S183" s="482">
        <f>+'A) Base RI'!AN183</f>
        <v>62.5</v>
      </c>
      <c r="T183" s="408">
        <f t="shared" si="15"/>
        <v>8294407.0900000008</v>
      </c>
      <c r="U183" s="408">
        <f t="shared" si="16"/>
        <v>141538.79477333333</v>
      </c>
      <c r="V183" s="10">
        <f>+'A) Base RI'!O183</f>
        <v>308.89999999999998</v>
      </c>
      <c r="W183" s="10">
        <f>+'A) Base RI'!P183</f>
        <v>287128.2</v>
      </c>
      <c r="X183" s="10">
        <f>+'A) Base RI'!R183</f>
        <v>125953</v>
      </c>
      <c r="Y183" s="408">
        <f t="shared" si="17"/>
        <v>413390.10000000003</v>
      </c>
      <c r="Z183" s="10">
        <f>+'A) Base RI'!N183</f>
        <v>30752.45</v>
      </c>
      <c r="AA183" s="10">
        <f>'A) Base RI'!AO183</f>
        <v>1928</v>
      </c>
    </row>
    <row r="184" spans="1:27" x14ac:dyDescent="0.25">
      <c r="A184" s="8">
        <f>'A) Base RI'!A184</f>
        <v>5705</v>
      </c>
      <c r="B184" s="32" t="str">
        <f>'A) Base RI'!B184</f>
        <v>Bogis-Bossey</v>
      </c>
      <c r="C184" s="10">
        <f>'A) Base RI'!C184+'A) Base RI'!D184</f>
        <v>3992475.18</v>
      </c>
      <c r="D184" s="10">
        <f>'A) Base RI'!AP184</f>
        <v>-497.79</v>
      </c>
      <c r="E184" s="402">
        <f>'A) Base RI'!AQ184</f>
        <v>0</v>
      </c>
      <c r="F184" s="402">
        <f>'A) Base RI'!AR184</f>
        <v>-116438.39</v>
      </c>
      <c r="G184" s="408">
        <f t="shared" si="12"/>
        <v>3875539</v>
      </c>
      <c r="H184" s="10">
        <f>+'A) Base RI'!E184</f>
        <v>0</v>
      </c>
      <c r="I184" s="10">
        <f>+'A) Base RI'!F184</f>
        <v>0</v>
      </c>
      <c r="J184" s="10">
        <f>+'A) Base RI'!G184+'A) Base RI'!H184+'A) Base RI'!X184</f>
        <v>21298.649999999998</v>
      </c>
      <c r="K184" s="10">
        <f>+'A) Base RI'!I184</f>
        <v>38823.85</v>
      </c>
      <c r="L184" s="10">
        <f>+'A) Base RI'!J184</f>
        <v>10099.85</v>
      </c>
      <c r="M184" s="10">
        <f>+'A) Base RI'!K184</f>
        <v>9634.25</v>
      </c>
      <c r="N184" s="10">
        <f>+'A) Base RI'!Q184</f>
        <v>143.03</v>
      </c>
      <c r="O184" s="10">
        <f t="shared" si="13"/>
        <v>227558</v>
      </c>
      <c r="P184" s="10">
        <f>+'A) Base RI'!L184</f>
        <v>227558</v>
      </c>
      <c r="Q184" s="416">
        <f>'A) Base RI'!AS184</f>
        <v>1</v>
      </c>
      <c r="R184" s="408">
        <f t="shared" si="14"/>
        <v>4183096.63</v>
      </c>
      <c r="S184" s="482">
        <f>+'A) Base RI'!AN184</f>
        <v>74.5</v>
      </c>
      <c r="T184" s="408">
        <f t="shared" si="15"/>
        <v>3945904.38</v>
      </c>
      <c r="U184" s="408">
        <f t="shared" si="16"/>
        <v>56148.948053691274</v>
      </c>
      <c r="V184" s="10">
        <f>+'A) Base RI'!O184</f>
        <v>0</v>
      </c>
      <c r="W184" s="10">
        <f>+'A) Base RI'!P184</f>
        <v>276386</v>
      </c>
      <c r="X184" s="10">
        <f>+'A) Base RI'!R184</f>
        <v>114169.9</v>
      </c>
      <c r="Y184" s="408">
        <f t="shared" si="17"/>
        <v>390555.9</v>
      </c>
      <c r="Z184" s="10">
        <f>+'A) Base RI'!N184</f>
        <v>37516</v>
      </c>
      <c r="AA184" s="10">
        <f>'A) Base RI'!AO184</f>
        <v>835</v>
      </c>
    </row>
    <row r="185" spans="1:27" x14ac:dyDescent="0.25">
      <c r="A185" s="8">
        <f>'A) Base RI'!A185</f>
        <v>5706</v>
      </c>
      <c r="B185" s="32" t="str">
        <f>'A) Base RI'!B185</f>
        <v>Borex</v>
      </c>
      <c r="C185" s="10">
        <f>'A) Base RI'!C185+'A) Base RI'!D185</f>
        <v>4546720.55</v>
      </c>
      <c r="D185" s="10">
        <f>'A) Base RI'!AP185</f>
        <v>-29073.74</v>
      </c>
      <c r="E185" s="402">
        <f>'A) Base RI'!AQ185</f>
        <v>0</v>
      </c>
      <c r="F185" s="402">
        <f>'A) Base RI'!AR185</f>
        <v>-11373.69</v>
      </c>
      <c r="G185" s="408">
        <f t="shared" si="12"/>
        <v>4506273.1199999992</v>
      </c>
      <c r="H185" s="10">
        <f>+'A) Base RI'!E185</f>
        <v>0</v>
      </c>
      <c r="I185" s="10">
        <f>+'A) Base RI'!F185</f>
        <v>0</v>
      </c>
      <c r="J185" s="10">
        <f>+'A) Base RI'!G185+'A) Base RI'!H185+'A) Base RI'!X185</f>
        <v>-2036.62</v>
      </c>
      <c r="K185" s="10">
        <f>+'A) Base RI'!I185</f>
        <v>4063.55</v>
      </c>
      <c r="L185" s="10">
        <f>+'A) Base RI'!J185</f>
        <v>-26932.26</v>
      </c>
      <c r="M185" s="10">
        <f>+'A) Base RI'!K185</f>
        <v>10352.700000000001</v>
      </c>
      <c r="N185" s="10">
        <f>+'A) Base RI'!Q185</f>
        <v>0</v>
      </c>
      <c r="O185" s="10">
        <f t="shared" si="13"/>
        <v>299568.8</v>
      </c>
      <c r="P185" s="10">
        <f>+'A) Base RI'!L185</f>
        <v>449353.2</v>
      </c>
      <c r="Q185" s="416">
        <f>'A) Base RI'!AS185</f>
        <v>1.5</v>
      </c>
      <c r="R185" s="408">
        <f t="shared" si="14"/>
        <v>4791289.2899999991</v>
      </c>
      <c r="S185" s="482">
        <f>+'A) Base RI'!AN185</f>
        <v>57</v>
      </c>
      <c r="T185" s="408">
        <f t="shared" si="15"/>
        <v>4481367.7899999991</v>
      </c>
      <c r="U185" s="408">
        <f t="shared" si="16"/>
        <v>84057.706842105254</v>
      </c>
      <c r="V185" s="10">
        <f>+'A) Base RI'!O185</f>
        <v>1914</v>
      </c>
      <c r="W185" s="10">
        <f>+'A) Base RI'!P185</f>
        <v>161150</v>
      </c>
      <c r="X185" s="10">
        <f>+'A) Base RI'!R185</f>
        <v>89834.7</v>
      </c>
      <c r="Y185" s="408">
        <f t="shared" si="17"/>
        <v>252898.7</v>
      </c>
      <c r="Z185" s="10">
        <f>+'A) Base RI'!N185</f>
        <v>15345.4</v>
      </c>
      <c r="AA185" s="10">
        <f>'A) Base RI'!AO185</f>
        <v>1157</v>
      </c>
    </row>
    <row r="186" spans="1:27" x14ac:dyDescent="0.25">
      <c r="A186" s="8">
        <f>'A) Base RI'!A186</f>
        <v>5707</v>
      </c>
      <c r="B186" s="32" t="str">
        <f>'A) Base RI'!B186</f>
        <v>Chavannes-de-Bogis</v>
      </c>
      <c r="C186" s="10">
        <f>'A) Base RI'!C186+'A) Base RI'!D186</f>
        <v>3838137.19</v>
      </c>
      <c r="D186" s="10">
        <f>'A) Base RI'!AP186</f>
        <v>-25658.06</v>
      </c>
      <c r="E186" s="402">
        <f>'A) Base RI'!AQ186</f>
        <v>0</v>
      </c>
      <c r="F186" s="402">
        <f>'A) Base RI'!AR186</f>
        <v>-7228.29</v>
      </c>
      <c r="G186" s="408">
        <f t="shared" si="12"/>
        <v>3805250.84</v>
      </c>
      <c r="H186" s="10">
        <f>+'A) Base RI'!E186</f>
        <v>0</v>
      </c>
      <c r="I186" s="10">
        <f>+'A) Base RI'!F186</f>
        <v>0</v>
      </c>
      <c r="J186" s="10">
        <f>+'A) Base RI'!G186+'A) Base RI'!H186+'A) Base RI'!X186</f>
        <v>281599.05000000005</v>
      </c>
      <c r="K186" s="10">
        <f>+'A) Base RI'!I186</f>
        <v>14123.7</v>
      </c>
      <c r="L186" s="10">
        <f>+'A) Base RI'!J186</f>
        <v>108890.43</v>
      </c>
      <c r="M186" s="10">
        <f>+'A) Base RI'!K186</f>
        <v>62295.199999999997</v>
      </c>
      <c r="N186" s="10">
        <f>+'A) Base RI'!Q186</f>
        <v>0</v>
      </c>
      <c r="O186" s="10">
        <f t="shared" si="13"/>
        <v>474289.3666666667</v>
      </c>
      <c r="P186" s="10">
        <f>+'A) Base RI'!L186</f>
        <v>711434.05</v>
      </c>
      <c r="Q186" s="416">
        <f>'A) Base RI'!AS186</f>
        <v>1.5</v>
      </c>
      <c r="R186" s="408">
        <f t="shared" si="14"/>
        <v>4746448.586666666</v>
      </c>
      <c r="S186" s="482">
        <f>+'A) Base RI'!AN186</f>
        <v>58</v>
      </c>
      <c r="T186" s="408">
        <f t="shared" si="15"/>
        <v>4209864.0199999996</v>
      </c>
      <c r="U186" s="408">
        <f t="shared" si="16"/>
        <v>81835.320459770097</v>
      </c>
      <c r="V186" s="10">
        <f>+'A) Base RI'!O186</f>
        <v>0</v>
      </c>
      <c r="W186" s="10">
        <f>+'A) Base RI'!P186</f>
        <v>275588.5</v>
      </c>
      <c r="X186" s="10">
        <f>+'A) Base RI'!R186</f>
        <v>93291.5</v>
      </c>
      <c r="Y186" s="408">
        <f t="shared" si="17"/>
        <v>368880</v>
      </c>
      <c r="Z186" s="10">
        <f>+'A) Base RI'!N186</f>
        <v>787653.25</v>
      </c>
      <c r="AA186" s="10">
        <f>'A) Base RI'!AO186</f>
        <v>1329</v>
      </c>
    </row>
    <row r="187" spans="1:27" x14ac:dyDescent="0.25">
      <c r="A187" s="8">
        <f>'A) Base RI'!A187</f>
        <v>5708</v>
      </c>
      <c r="B187" s="32" t="str">
        <f>'A) Base RI'!B187</f>
        <v>Chavannes-des-Bois</v>
      </c>
      <c r="C187" s="10">
        <f>'A) Base RI'!C187+'A) Base RI'!D187</f>
        <v>4267644.82</v>
      </c>
      <c r="D187" s="10">
        <f>'A) Base RI'!AP187</f>
        <v>-12006.52</v>
      </c>
      <c r="E187" s="402">
        <f>'A) Base RI'!AQ187</f>
        <v>0</v>
      </c>
      <c r="F187" s="402">
        <f>'A) Base RI'!AR187</f>
        <v>-1350.03</v>
      </c>
      <c r="G187" s="408">
        <f t="shared" si="12"/>
        <v>4254288.2700000005</v>
      </c>
      <c r="H187" s="10">
        <f>+'A) Base RI'!E187</f>
        <v>0</v>
      </c>
      <c r="I187" s="10">
        <f>+'A) Base RI'!F187</f>
        <v>0</v>
      </c>
      <c r="J187" s="10">
        <f>+'A) Base RI'!G187+'A) Base RI'!H187+'A) Base RI'!X187</f>
        <v>34599.25</v>
      </c>
      <c r="K187" s="10">
        <f>+'A) Base RI'!I187</f>
        <v>0</v>
      </c>
      <c r="L187" s="10">
        <f>+'A) Base RI'!J187</f>
        <v>-17158.88</v>
      </c>
      <c r="M187" s="10">
        <f>+'A) Base RI'!K187</f>
        <v>2539.65</v>
      </c>
      <c r="N187" s="10">
        <f>+'A) Base RI'!Q187</f>
        <v>11199.88</v>
      </c>
      <c r="O187" s="10">
        <f t="shared" si="13"/>
        <v>287947.5</v>
      </c>
      <c r="P187" s="10">
        <f>+'A) Base RI'!L187</f>
        <v>431921.25</v>
      </c>
      <c r="Q187" s="416">
        <f>'A) Base RI'!AS187</f>
        <v>1.5</v>
      </c>
      <c r="R187" s="408">
        <f t="shared" si="14"/>
        <v>4573415.6700000009</v>
      </c>
      <c r="S187" s="482">
        <f>+'A) Base RI'!AN187</f>
        <v>68</v>
      </c>
      <c r="T187" s="408">
        <f t="shared" si="15"/>
        <v>4282928.5200000005</v>
      </c>
      <c r="U187" s="408">
        <f t="shared" si="16"/>
        <v>67256.112794117653</v>
      </c>
      <c r="V187" s="10">
        <f>+'A) Base RI'!O187</f>
        <v>0</v>
      </c>
      <c r="W187" s="10">
        <f>+'A) Base RI'!P187</f>
        <v>231686.35</v>
      </c>
      <c r="X187" s="10">
        <f>+'A) Base RI'!R187</f>
        <v>71721.55</v>
      </c>
      <c r="Y187" s="408">
        <f t="shared" si="17"/>
        <v>303407.90000000002</v>
      </c>
      <c r="Z187" s="10">
        <f>+'A) Base RI'!N187</f>
        <v>8131.3</v>
      </c>
      <c r="AA187" s="10">
        <f>'A) Base RI'!AO187</f>
        <v>1013</v>
      </c>
    </row>
    <row r="188" spans="1:27" x14ac:dyDescent="0.25">
      <c r="A188" s="8">
        <f>'A) Base RI'!A188</f>
        <v>5709</v>
      </c>
      <c r="B188" s="32" t="str">
        <f>'A) Base RI'!B188</f>
        <v>Chéserex</v>
      </c>
      <c r="C188" s="10">
        <f>'A) Base RI'!C188+'A) Base RI'!D188</f>
        <v>4610507.83</v>
      </c>
      <c r="D188" s="10">
        <f>'A) Base RI'!AP188</f>
        <v>-48890.62</v>
      </c>
      <c r="E188" s="402">
        <f>'A) Base RI'!AQ188</f>
        <v>0</v>
      </c>
      <c r="F188" s="402">
        <f>'A) Base RI'!AR188</f>
        <v>-9724.3799999999992</v>
      </c>
      <c r="G188" s="408">
        <f t="shared" si="12"/>
        <v>4551892.83</v>
      </c>
      <c r="H188" s="10">
        <f>+'A) Base RI'!E188</f>
        <v>0</v>
      </c>
      <c r="I188" s="10">
        <f>+'A) Base RI'!F188</f>
        <v>0</v>
      </c>
      <c r="J188" s="10">
        <f>+'A) Base RI'!G188+'A) Base RI'!H188+'A) Base RI'!X188</f>
        <v>13222.43</v>
      </c>
      <c r="K188" s="10">
        <f>+'A) Base RI'!I188</f>
        <v>503480.6</v>
      </c>
      <c r="L188" s="10">
        <f>+'A) Base RI'!J188</f>
        <v>65878.34</v>
      </c>
      <c r="M188" s="10">
        <f>+'A) Base RI'!K188</f>
        <v>6088.85</v>
      </c>
      <c r="N188" s="10">
        <f>+'A) Base RI'!Q188</f>
        <v>45204.33</v>
      </c>
      <c r="O188" s="10">
        <f t="shared" si="13"/>
        <v>364212.4</v>
      </c>
      <c r="P188" s="10">
        <f>+'A) Base RI'!L188</f>
        <v>364212.4</v>
      </c>
      <c r="Q188" s="416">
        <f>'A) Base RI'!AS188</f>
        <v>1</v>
      </c>
      <c r="R188" s="408">
        <f t="shared" si="14"/>
        <v>5549979.7799999993</v>
      </c>
      <c r="S188" s="482">
        <f>+'A) Base RI'!AN188</f>
        <v>57</v>
      </c>
      <c r="T188" s="408">
        <f t="shared" si="15"/>
        <v>5179678.5299999993</v>
      </c>
      <c r="U188" s="408">
        <f t="shared" si="16"/>
        <v>97368.06631578946</v>
      </c>
      <c r="V188" s="10">
        <f>+'A) Base RI'!O188</f>
        <v>4819.2</v>
      </c>
      <c r="W188" s="10">
        <f>+'A) Base RI'!P188</f>
        <v>223130.95</v>
      </c>
      <c r="X188" s="10">
        <f>+'A) Base RI'!R188</f>
        <v>221765</v>
      </c>
      <c r="Y188" s="408">
        <f t="shared" si="17"/>
        <v>449715.15</v>
      </c>
      <c r="Z188" s="10">
        <f>+'A) Base RI'!N188</f>
        <v>40941</v>
      </c>
      <c r="AA188" s="10">
        <f>'A) Base RI'!AO188</f>
        <v>1248</v>
      </c>
    </row>
    <row r="189" spans="1:27" x14ac:dyDescent="0.25">
      <c r="A189" s="8">
        <f>'A) Base RI'!A189</f>
        <v>5710</v>
      </c>
      <c r="B189" s="32" t="str">
        <f>'A) Base RI'!B189</f>
        <v>Coinsins</v>
      </c>
      <c r="C189" s="10">
        <f>'A) Base RI'!C189+'A) Base RI'!D189</f>
        <v>1782696.55</v>
      </c>
      <c r="D189" s="10">
        <f>'A) Base RI'!AP189</f>
        <v>-3790.71</v>
      </c>
      <c r="E189" s="402">
        <f>'A) Base RI'!AQ189</f>
        <v>0</v>
      </c>
      <c r="F189" s="402">
        <f>'A) Base RI'!AR189</f>
        <v>-13971.31</v>
      </c>
      <c r="G189" s="408">
        <f t="shared" si="12"/>
        <v>1764934.53</v>
      </c>
      <c r="H189" s="10">
        <f>+'A) Base RI'!E189</f>
        <v>0</v>
      </c>
      <c r="I189" s="10">
        <f>+'A) Base RI'!F189</f>
        <v>0</v>
      </c>
      <c r="J189" s="10">
        <f>+'A) Base RI'!G189+'A) Base RI'!H189+'A) Base RI'!X189</f>
        <v>50055.580000000104</v>
      </c>
      <c r="K189" s="10">
        <f>+'A) Base RI'!I189</f>
        <v>110957.8</v>
      </c>
      <c r="L189" s="10">
        <f>+'A) Base RI'!J189</f>
        <v>30135.7</v>
      </c>
      <c r="M189" s="10">
        <f>+'A) Base RI'!K189</f>
        <v>5015.25</v>
      </c>
      <c r="N189" s="10">
        <f>+'A) Base RI'!Q189</f>
        <v>-320.83</v>
      </c>
      <c r="O189" s="10">
        <f t="shared" si="13"/>
        <v>135779.20000000001</v>
      </c>
      <c r="P189" s="10">
        <f>+'A) Base RI'!L189</f>
        <v>135779.20000000001</v>
      </c>
      <c r="Q189" s="416">
        <f>'A) Base RI'!AS189</f>
        <v>1</v>
      </c>
      <c r="R189" s="408">
        <f t="shared" si="14"/>
        <v>2096557.23</v>
      </c>
      <c r="S189" s="482">
        <f>+'A) Base RI'!AN189</f>
        <v>51</v>
      </c>
      <c r="T189" s="408">
        <f t="shared" si="15"/>
        <v>1955762.78</v>
      </c>
      <c r="U189" s="408">
        <f t="shared" si="16"/>
        <v>41108.965294117646</v>
      </c>
      <c r="V189" s="10">
        <f>+'A) Base RI'!O189</f>
        <v>5170.3</v>
      </c>
      <c r="W189" s="10">
        <f>+'A) Base RI'!P189</f>
        <v>63344</v>
      </c>
      <c r="X189" s="10">
        <f>+'A) Base RI'!R189</f>
        <v>2291.65</v>
      </c>
      <c r="Y189" s="408">
        <f t="shared" si="17"/>
        <v>70805.95</v>
      </c>
      <c r="Z189" s="10">
        <f>+'A) Base RI'!N189</f>
        <v>29012.95</v>
      </c>
      <c r="AA189" s="10">
        <f>'A) Base RI'!AO189</f>
        <v>509</v>
      </c>
    </row>
    <row r="190" spans="1:27" x14ac:dyDescent="0.25">
      <c r="A190" s="8">
        <f>'A) Base RI'!A190</f>
        <v>5711</v>
      </c>
      <c r="B190" s="32" t="str">
        <f>'A) Base RI'!B190</f>
        <v>Commugny</v>
      </c>
      <c r="C190" s="10">
        <f>'A) Base RI'!C190+'A) Base RI'!D190</f>
        <v>12874227.779999999</v>
      </c>
      <c r="D190" s="10">
        <f>'A) Base RI'!AP190</f>
        <v>-66802.02</v>
      </c>
      <c r="E190" s="402">
        <f>'A) Base RI'!AQ190</f>
        <v>0</v>
      </c>
      <c r="F190" s="402">
        <f>'A) Base RI'!AR190</f>
        <v>-140964.12</v>
      </c>
      <c r="G190" s="408">
        <f t="shared" si="12"/>
        <v>12666461.640000001</v>
      </c>
      <c r="H190" s="10">
        <f>+'A) Base RI'!E190</f>
        <v>0</v>
      </c>
      <c r="I190" s="10">
        <f>+'A) Base RI'!F190</f>
        <v>0</v>
      </c>
      <c r="J190" s="10">
        <f>+'A) Base RI'!G190+'A) Base RI'!H190+'A) Base RI'!X190</f>
        <v>60882.44</v>
      </c>
      <c r="K190" s="10">
        <f>+'A) Base RI'!I190</f>
        <v>181988.1</v>
      </c>
      <c r="L190" s="10">
        <f>+'A) Base RI'!J190</f>
        <v>184128.86</v>
      </c>
      <c r="M190" s="10">
        <f>+'A) Base RI'!K190</f>
        <v>14036.65</v>
      </c>
      <c r="N190" s="10">
        <f>+'A) Base RI'!Q190</f>
        <v>10623.89</v>
      </c>
      <c r="O190" s="10">
        <f t="shared" si="13"/>
        <v>910761.76923076925</v>
      </c>
      <c r="P190" s="10">
        <f>+'A) Base RI'!L190</f>
        <v>1183990.3</v>
      </c>
      <c r="Q190" s="416">
        <f>'A) Base RI'!AS190</f>
        <v>1.3</v>
      </c>
      <c r="R190" s="408">
        <f t="shared" si="14"/>
        <v>14028883.34923077</v>
      </c>
      <c r="S190" s="482">
        <f>+'A) Base RI'!AN190</f>
        <v>55.5</v>
      </c>
      <c r="T190" s="408">
        <f t="shared" si="15"/>
        <v>13104084.93</v>
      </c>
      <c r="U190" s="408">
        <f t="shared" si="16"/>
        <v>252772.67295911297</v>
      </c>
      <c r="V190" s="10">
        <f>+'A) Base RI'!O190</f>
        <v>0</v>
      </c>
      <c r="W190" s="10">
        <f>+'A) Base RI'!P190</f>
        <v>734368.5</v>
      </c>
      <c r="X190" s="10">
        <f>+'A) Base RI'!R190</f>
        <v>525442.6</v>
      </c>
      <c r="Y190" s="408">
        <f t="shared" si="17"/>
        <v>1259811.1000000001</v>
      </c>
      <c r="Z190" s="10">
        <f>+'A) Base RI'!N190</f>
        <v>40394.75</v>
      </c>
      <c r="AA190" s="10">
        <f>'A) Base RI'!AO190</f>
        <v>2997</v>
      </c>
    </row>
    <row r="191" spans="1:27" x14ac:dyDescent="0.25">
      <c r="A191" s="8">
        <f>'A) Base RI'!A191</f>
        <v>5712</v>
      </c>
      <c r="B191" s="32" t="str">
        <f>'A) Base RI'!B191</f>
        <v>Coppet</v>
      </c>
      <c r="C191" s="10">
        <f>'A) Base RI'!C191+'A) Base RI'!D191</f>
        <v>17379116.07</v>
      </c>
      <c r="D191" s="10">
        <f>'A) Base RI'!AP191</f>
        <v>-20670.150000000001</v>
      </c>
      <c r="E191" s="402">
        <f>'A) Base RI'!AQ191</f>
        <v>0</v>
      </c>
      <c r="F191" s="402">
        <f>'A) Base RI'!AR191</f>
        <v>-48473.31</v>
      </c>
      <c r="G191" s="408">
        <f t="shared" si="12"/>
        <v>17309972.610000003</v>
      </c>
      <c r="H191" s="10">
        <f>+'A) Base RI'!E191</f>
        <v>0</v>
      </c>
      <c r="I191" s="10">
        <f>+'A) Base RI'!F191</f>
        <v>0</v>
      </c>
      <c r="J191" s="10">
        <f>+'A) Base RI'!G191+'A) Base RI'!H191+'A) Base RI'!X191</f>
        <v>182681.98000000004</v>
      </c>
      <c r="K191" s="10">
        <f>+'A) Base RI'!I191</f>
        <v>1121150.23</v>
      </c>
      <c r="L191" s="10">
        <f>+'A) Base RI'!J191</f>
        <v>358802.08</v>
      </c>
      <c r="M191" s="10">
        <f>+'A) Base RI'!K191</f>
        <v>45987</v>
      </c>
      <c r="N191" s="10">
        <f>+'A) Base RI'!Q191</f>
        <v>21486.39</v>
      </c>
      <c r="O191" s="10">
        <f t="shared" si="13"/>
        <v>1206136.1333333333</v>
      </c>
      <c r="P191" s="10">
        <f>+'A) Base RI'!L191</f>
        <v>1809204.2</v>
      </c>
      <c r="Q191" s="416">
        <f>'A) Base RI'!AS191</f>
        <v>1.5</v>
      </c>
      <c r="R191" s="408">
        <f t="shared" si="14"/>
        <v>20246216.423333336</v>
      </c>
      <c r="S191" s="482">
        <f>+'A) Base RI'!AN191</f>
        <v>53</v>
      </c>
      <c r="T191" s="408">
        <f t="shared" si="15"/>
        <v>18994093.290000003</v>
      </c>
      <c r="U191" s="408">
        <f t="shared" si="16"/>
        <v>382004.08345911955</v>
      </c>
      <c r="V191" s="10">
        <f>+'A) Base RI'!O191</f>
        <v>160922.9</v>
      </c>
      <c r="W191" s="10">
        <f>+'A) Base RI'!P191</f>
        <v>529276.94999999995</v>
      </c>
      <c r="X191" s="10">
        <f>+'A) Base RI'!R191</f>
        <v>927376.7</v>
      </c>
      <c r="Y191" s="408">
        <f t="shared" si="17"/>
        <v>1617576.5499999998</v>
      </c>
      <c r="Z191" s="10">
        <f>+'A) Base RI'!N191</f>
        <v>122896.1</v>
      </c>
      <c r="AA191" s="10">
        <f>'A) Base RI'!AO191</f>
        <v>3247</v>
      </c>
    </row>
    <row r="192" spans="1:27" x14ac:dyDescent="0.25">
      <c r="A192" s="8">
        <f>'A) Base RI'!A192</f>
        <v>5713</v>
      </c>
      <c r="B192" s="32" t="str">
        <f>'A) Base RI'!B192</f>
        <v>Crans-près-Céligny</v>
      </c>
      <c r="C192" s="10">
        <f>'A) Base RI'!C192+'A) Base RI'!D192</f>
        <v>15401893.329999998</v>
      </c>
      <c r="D192" s="10">
        <f>'A) Base RI'!AP192</f>
        <v>-8309.74</v>
      </c>
      <c r="E192" s="402">
        <f>'A) Base RI'!AQ192</f>
        <v>0</v>
      </c>
      <c r="F192" s="402">
        <f>'A) Base RI'!AR192</f>
        <v>-29766.61</v>
      </c>
      <c r="G192" s="408">
        <f t="shared" si="12"/>
        <v>15363816.979999999</v>
      </c>
      <c r="H192" s="10">
        <f>+'A) Base RI'!E192</f>
        <v>0</v>
      </c>
      <c r="I192" s="10">
        <f>+'A) Base RI'!F192</f>
        <v>0</v>
      </c>
      <c r="J192" s="10">
        <f>+'A) Base RI'!G192+'A) Base RI'!H192+'A) Base RI'!X192</f>
        <v>37693.550000000003</v>
      </c>
      <c r="K192" s="10">
        <f>+'A) Base RI'!I192</f>
        <v>828053.35</v>
      </c>
      <c r="L192" s="10">
        <f>+'A) Base RI'!J192</f>
        <v>204965.06</v>
      </c>
      <c r="M192" s="10">
        <f>+'A) Base RI'!K192</f>
        <v>10573.5</v>
      </c>
      <c r="N192" s="10">
        <f>+'A) Base RI'!Q192</f>
        <v>0</v>
      </c>
      <c r="O192" s="10">
        <f t="shared" si="13"/>
        <v>840352.05</v>
      </c>
      <c r="P192" s="10">
        <f>+'A) Base RI'!L192</f>
        <v>840352.05</v>
      </c>
      <c r="Q192" s="416">
        <f>'A) Base RI'!AS192</f>
        <v>1</v>
      </c>
      <c r="R192" s="408">
        <f t="shared" si="14"/>
        <v>17285454.489999998</v>
      </c>
      <c r="S192" s="482">
        <f>+'A) Base RI'!AN192</f>
        <v>56</v>
      </c>
      <c r="T192" s="408">
        <f t="shared" si="15"/>
        <v>16434528.939999999</v>
      </c>
      <c r="U192" s="408">
        <f t="shared" si="16"/>
        <v>308668.8301785714</v>
      </c>
      <c r="V192" s="10">
        <f>+'A) Base RI'!O192</f>
        <v>600651.1</v>
      </c>
      <c r="W192" s="10">
        <f>+'A) Base RI'!P192</f>
        <v>897113.1</v>
      </c>
      <c r="X192" s="10">
        <f>+'A) Base RI'!R192</f>
        <v>446422.15</v>
      </c>
      <c r="Y192" s="408">
        <f t="shared" si="17"/>
        <v>1944186.35</v>
      </c>
      <c r="Z192" s="10">
        <f>+'A) Base RI'!N192</f>
        <v>47661.35</v>
      </c>
      <c r="AA192" s="10">
        <f>'A) Base RI'!AO192</f>
        <v>2340</v>
      </c>
    </row>
    <row r="193" spans="1:27" x14ac:dyDescent="0.25">
      <c r="A193" s="8">
        <f>'A) Base RI'!A193</f>
        <v>5714</v>
      </c>
      <c r="B193" s="32" t="str">
        <f>'A) Base RI'!B193</f>
        <v>Crassier</v>
      </c>
      <c r="C193" s="10">
        <f>'A) Base RI'!C193+'A) Base RI'!D193</f>
        <v>3301806.07</v>
      </c>
      <c r="D193" s="10">
        <f>'A) Base RI'!AP193</f>
        <v>-19075.849999999999</v>
      </c>
      <c r="E193" s="402">
        <f>'A) Base RI'!AQ193</f>
        <v>0</v>
      </c>
      <c r="F193" s="402">
        <f>'A) Base RI'!AR193</f>
        <v>-35557.89</v>
      </c>
      <c r="G193" s="408">
        <f t="shared" si="12"/>
        <v>3247172.3299999996</v>
      </c>
      <c r="H193" s="10">
        <f>+'A) Base RI'!E193</f>
        <v>0</v>
      </c>
      <c r="I193" s="10">
        <f>+'A) Base RI'!F193</f>
        <v>0</v>
      </c>
      <c r="J193" s="10">
        <f>+'A) Base RI'!G193+'A) Base RI'!H193+'A) Base RI'!X193</f>
        <v>-86306.8</v>
      </c>
      <c r="K193" s="10">
        <f>+'A) Base RI'!I193</f>
        <v>110782.45</v>
      </c>
      <c r="L193" s="10">
        <f>+'A) Base RI'!J193</f>
        <v>65008.5</v>
      </c>
      <c r="M193" s="10">
        <f>+'A) Base RI'!K193</f>
        <v>6742.5</v>
      </c>
      <c r="N193" s="10">
        <f>+'A) Base RI'!Q193</f>
        <v>0</v>
      </c>
      <c r="O193" s="10">
        <f t="shared" si="13"/>
        <v>289820.05</v>
      </c>
      <c r="P193" s="10">
        <f>+'A) Base RI'!L193</f>
        <v>289820.05</v>
      </c>
      <c r="Q193" s="416">
        <f>'A) Base RI'!AS193</f>
        <v>1</v>
      </c>
      <c r="R193" s="408">
        <f t="shared" si="14"/>
        <v>3633219.03</v>
      </c>
      <c r="S193" s="482">
        <f>+'A) Base RI'!AN193</f>
        <v>68</v>
      </c>
      <c r="T193" s="408">
        <f t="shared" si="15"/>
        <v>3336656.48</v>
      </c>
      <c r="U193" s="408">
        <f t="shared" si="16"/>
        <v>53429.691617647055</v>
      </c>
      <c r="V193" s="10">
        <f>+'A) Base RI'!O193</f>
        <v>0</v>
      </c>
      <c r="W193" s="10">
        <f>+'A) Base RI'!P193</f>
        <v>175166.2</v>
      </c>
      <c r="X193" s="10">
        <f>+'A) Base RI'!R193</f>
        <v>73143.55</v>
      </c>
      <c r="Y193" s="408">
        <f t="shared" si="17"/>
        <v>248309.75</v>
      </c>
      <c r="Z193" s="10">
        <f>+'A) Base RI'!N193</f>
        <v>130763.45</v>
      </c>
      <c r="AA193" s="10">
        <f>'A) Base RI'!AO193</f>
        <v>1174</v>
      </c>
    </row>
    <row r="194" spans="1:27" x14ac:dyDescent="0.25">
      <c r="A194" s="8">
        <f>'A) Base RI'!A194</f>
        <v>5715</v>
      </c>
      <c r="B194" s="32" t="str">
        <f>'A) Base RI'!B194</f>
        <v>Duillier</v>
      </c>
      <c r="C194" s="10">
        <f>'A) Base RI'!C194+'A) Base RI'!D194</f>
        <v>3731005.09</v>
      </c>
      <c r="D194" s="10">
        <f>'A) Base RI'!AP194</f>
        <v>-111564.9</v>
      </c>
      <c r="E194" s="402">
        <f>'A) Base RI'!AQ194</f>
        <v>0</v>
      </c>
      <c r="F194" s="402">
        <f>'A) Base RI'!AR194</f>
        <v>-4776.46</v>
      </c>
      <c r="G194" s="408">
        <f t="shared" si="12"/>
        <v>3614663.73</v>
      </c>
      <c r="H194" s="10">
        <f>+'A) Base RI'!E194</f>
        <v>0</v>
      </c>
      <c r="I194" s="10">
        <f>+'A) Base RI'!F194</f>
        <v>0</v>
      </c>
      <c r="J194" s="10">
        <f>+'A) Base RI'!G194+'A) Base RI'!H194+'A) Base RI'!X194</f>
        <v>39181.230000000003</v>
      </c>
      <c r="K194" s="10">
        <f>+'A) Base RI'!I194</f>
        <v>267.19999999999698</v>
      </c>
      <c r="L194" s="10">
        <f>+'A) Base RI'!J194</f>
        <v>111145.55</v>
      </c>
      <c r="M194" s="10">
        <f>+'A) Base RI'!K194</f>
        <v>2940.5</v>
      </c>
      <c r="N194" s="10">
        <f>+'A) Base RI'!Q194</f>
        <v>14698.53</v>
      </c>
      <c r="O194" s="10">
        <f t="shared" si="13"/>
        <v>280968.40000000002</v>
      </c>
      <c r="P194" s="10">
        <f>+'A) Base RI'!L194</f>
        <v>280968.40000000002</v>
      </c>
      <c r="Q194" s="416">
        <f>'A) Base RI'!AS194</f>
        <v>1</v>
      </c>
      <c r="R194" s="408">
        <f t="shared" si="14"/>
        <v>4063865.1399999997</v>
      </c>
      <c r="S194" s="482">
        <f>+'A) Base RI'!AN194</f>
        <v>66</v>
      </c>
      <c r="T194" s="408">
        <f t="shared" si="15"/>
        <v>3779956.2399999998</v>
      </c>
      <c r="U194" s="408">
        <f t="shared" si="16"/>
        <v>61573.714242424234</v>
      </c>
      <c r="V194" s="10">
        <f>+'A) Base RI'!O194</f>
        <v>0</v>
      </c>
      <c r="W194" s="10">
        <f>+'A) Base RI'!P194</f>
        <v>242319</v>
      </c>
      <c r="X194" s="10">
        <f>+'A) Base RI'!R194</f>
        <v>180000.6</v>
      </c>
      <c r="Y194" s="408">
        <f t="shared" si="17"/>
        <v>422319.6</v>
      </c>
      <c r="Z194" s="10">
        <f>+'A) Base RI'!N194</f>
        <v>89546.35</v>
      </c>
      <c r="AA194" s="10">
        <f>'A) Base RI'!AO194</f>
        <v>1128</v>
      </c>
    </row>
    <row r="195" spans="1:27" x14ac:dyDescent="0.25">
      <c r="A195" s="8">
        <f>'A) Base RI'!A195</f>
        <v>5716</v>
      </c>
      <c r="B195" s="32" t="str">
        <f>'A) Base RI'!B195</f>
        <v>Eysins</v>
      </c>
      <c r="C195" s="10">
        <f>'A) Base RI'!C195+'A) Base RI'!D195</f>
        <v>4596593.92</v>
      </c>
      <c r="D195" s="10">
        <f>'A) Base RI'!AP195</f>
        <v>-54028.74</v>
      </c>
      <c r="E195" s="402">
        <f>'A) Base RI'!AQ195</f>
        <v>0</v>
      </c>
      <c r="F195" s="402">
        <f>'A) Base RI'!AR195</f>
        <v>-1488.32</v>
      </c>
      <c r="G195" s="408">
        <f t="shared" si="12"/>
        <v>4541076.8599999994</v>
      </c>
      <c r="H195" s="10">
        <f>+'A) Base RI'!E195</f>
        <v>0</v>
      </c>
      <c r="I195" s="10">
        <f>+'A) Base RI'!F195</f>
        <v>0</v>
      </c>
      <c r="J195" s="10">
        <f>+'A) Base RI'!G195+'A) Base RI'!H195+'A) Base RI'!X195</f>
        <v>12053600.479999999</v>
      </c>
      <c r="K195" s="10">
        <f>+'A) Base RI'!I195</f>
        <v>0</v>
      </c>
      <c r="L195" s="10">
        <f>+'A) Base RI'!J195</f>
        <v>1090328.49</v>
      </c>
      <c r="M195" s="10">
        <f>+'A) Base RI'!K195</f>
        <v>191319.35</v>
      </c>
      <c r="N195" s="10">
        <f>+'A) Base RI'!Q195</f>
        <v>9607.18</v>
      </c>
      <c r="O195" s="10">
        <f t="shared" si="13"/>
        <v>648283.1</v>
      </c>
      <c r="P195" s="10">
        <f>+'A) Base RI'!L195</f>
        <v>648283.1</v>
      </c>
      <c r="Q195" s="416">
        <f>'A) Base RI'!AS195</f>
        <v>1</v>
      </c>
      <c r="R195" s="408">
        <f t="shared" si="14"/>
        <v>18534215.460000001</v>
      </c>
      <c r="S195" s="482">
        <f>+'A) Base RI'!AN195</f>
        <v>59.5</v>
      </c>
      <c r="T195" s="408">
        <f t="shared" si="15"/>
        <v>17694613.009999998</v>
      </c>
      <c r="U195" s="408">
        <f t="shared" si="16"/>
        <v>311499.41949579836</v>
      </c>
      <c r="V195" s="10">
        <f>+'A) Base RI'!O195</f>
        <v>104368.8</v>
      </c>
      <c r="W195" s="10">
        <f>+'A) Base RI'!P195</f>
        <v>1109474.6499999999</v>
      </c>
      <c r="X195" s="10">
        <f>+'A) Base RI'!R195</f>
        <v>123842.9</v>
      </c>
      <c r="Y195" s="408">
        <f t="shared" si="17"/>
        <v>1337686.3499999999</v>
      </c>
      <c r="Z195" s="10">
        <f>+'A) Base RI'!N195</f>
        <v>574592.4</v>
      </c>
      <c r="AA195" s="10">
        <f>'A) Base RI'!AO195</f>
        <v>1740</v>
      </c>
    </row>
    <row r="196" spans="1:27" x14ac:dyDescent="0.25">
      <c r="A196" s="8">
        <f>'A) Base RI'!A196</f>
        <v>5717</v>
      </c>
      <c r="B196" s="32" t="str">
        <f>'A) Base RI'!B196</f>
        <v>Founex</v>
      </c>
      <c r="C196" s="10">
        <f>'A) Base RI'!C196+'A) Base RI'!D196</f>
        <v>20121584.579999998</v>
      </c>
      <c r="D196" s="10">
        <f>'A) Base RI'!AP196</f>
        <v>-115528.89</v>
      </c>
      <c r="E196" s="402">
        <f>'A) Base RI'!AQ196</f>
        <v>0</v>
      </c>
      <c r="F196" s="402">
        <f>'A) Base RI'!AR196</f>
        <v>-102206.5</v>
      </c>
      <c r="G196" s="408">
        <f t="shared" si="12"/>
        <v>19903849.189999998</v>
      </c>
      <c r="H196" s="10">
        <f>+'A) Base RI'!E196</f>
        <v>0</v>
      </c>
      <c r="I196" s="10">
        <f>+'A) Base RI'!F196</f>
        <v>0</v>
      </c>
      <c r="J196" s="10">
        <f>+'A) Base RI'!G196+'A) Base RI'!H196+'A) Base RI'!X196</f>
        <v>120528.12</v>
      </c>
      <c r="K196" s="10">
        <f>+'A) Base RI'!I196</f>
        <v>925308</v>
      </c>
      <c r="L196" s="10">
        <f>+'A) Base RI'!J196</f>
        <v>-287667.32</v>
      </c>
      <c r="M196" s="10">
        <f>+'A) Base RI'!K196</f>
        <v>41372</v>
      </c>
      <c r="N196" s="10">
        <f>+'A) Base RI'!Q196</f>
        <v>12068.44</v>
      </c>
      <c r="O196" s="10">
        <f t="shared" si="13"/>
        <v>1332232.8999999999</v>
      </c>
      <c r="P196" s="10">
        <f>+'A) Base RI'!L196</f>
        <v>1332232.8999999999</v>
      </c>
      <c r="Q196" s="416">
        <f>'A) Base RI'!AS196</f>
        <v>1</v>
      </c>
      <c r="R196" s="408">
        <f t="shared" si="14"/>
        <v>22047691.329999998</v>
      </c>
      <c r="S196" s="482">
        <f>+'A) Base RI'!AN196</f>
        <v>57</v>
      </c>
      <c r="T196" s="408">
        <f t="shared" si="15"/>
        <v>20674086.43</v>
      </c>
      <c r="U196" s="408">
        <f t="shared" si="16"/>
        <v>386801.60228070174</v>
      </c>
      <c r="V196" s="10">
        <f>+'A) Base RI'!O196</f>
        <v>244729.2</v>
      </c>
      <c r="W196" s="10">
        <f>+'A) Base RI'!P196</f>
        <v>998803.45</v>
      </c>
      <c r="X196" s="10">
        <f>+'A) Base RI'!R196</f>
        <v>935119.25</v>
      </c>
      <c r="Y196" s="408">
        <f t="shared" si="17"/>
        <v>2178651.9</v>
      </c>
      <c r="Z196" s="10">
        <f>+'A) Base RI'!N196</f>
        <v>222193.9</v>
      </c>
      <c r="AA196" s="10">
        <f>'A) Base RI'!AO196</f>
        <v>3834</v>
      </c>
    </row>
    <row r="197" spans="1:27" x14ac:dyDescent="0.25">
      <c r="A197" s="8">
        <f>'A) Base RI'!A197</f>
        <v>5718</v>
      </c>
      <c r="B197" s="32" t="str">
        <f>'A) Base RI'!B197</f>
        <v>Genolier</v>
      </c>
      <c r="C197" s="10">
        <f>'A) Base RI'!C197+'A) Base RI'!D197</f>
        <v>11901923.27</v>
      </c>
      <c r="D197" s="10">
        <f>'A) Base RI'!AP197</f>
        <v>-26729.54</v>
      </c>
      <c r="E197" s="402">
        <f>'A) Base RI'!AQ197</f>
        <v>0</v>
      </c>
      <c r="F197" s="402">
        <f>'A) Base RI'!AR197</f>
        <v>-12535.27</v>
      </c>
      <c r="G197" s="408">
        <f t="shared" si="12"/>
        <v>11862658.460000001</v>
      </c>
      <c r="H197" s="10">
        <f>+'A) Base RI'!E197</f>
        <v>0</v>
      </c>
      <c r="I197" s="10">
        <f>+'A) Base RI'!F197</f>
        <v>0</v>
      </c>
      <c r="J197" s="10">
        <f>+'A) Base RI'!G197+'A) Base RI'!H197+'A) Base RI'!X197</f>
        <v>358289.77</v>
      </c>
      <c r="K197" s="10">
        <f>+'A) Base RI'!I197</f>
        <v>345616.43</v>
      </c>
      <c r="L197" s="10">
        <f>+'A) Base RI'!J197</f>
        <v>183001.21</v>
      </c>
      <c r="M197" s="10">
        <f>+'A) Base RI'!K197</f>
        <v>41921.599999999999</v>
      </c>
      <c r="N197" s="10">
        <f>+'A) Base RI'!Q197</f>
        <v>2276.39</v>
      </c>
      <c r="O197" s="10">
        <f t="shared" si="13"/>
        <v>685761.5</v>
      </c>
      <c r="P197" s="10">
        <f>+'A) Base RI'!L197</f>
        <v>685761.5</v>
      </c>
      <c r="Q197" s="416">
        <f>'A) Base RI'!AS197</f>
        <v>1</v>
      </c>
      <c r="R197" s="408">
        <f t="shared" si="14"/>
        <v>13479525.360000001</v>
      </c>
      <c r="S197" s="482">
        <f>+'A) Base RI'!AN197</f>
        <v>55</v>
      </c>
      <c r="T197" s="408">
        <f t="shared" si="15"/>
        <v>12751842.260000002</v>
      </c>
      <c r="U197" s="408">
        <f t="shared" si="16"/>
        <v>245082.27927272729</v>
      </c>
      <c r="V197" s="10">
        <f>+'A) Base RI'!O197</f>
        <v>-40770.400000000001</v>
      </c>
      <c r="W197" s="10">
        <f>+'A) Base RI'!P197</f>
        <v>480990.65</v>
      </c>
      <c r="X197" s="10">
        <f>+'A) Base RI'!R197</f>
        <v>383919.55</v>
      </c>
      <c r="Y197" s="408">
        <f t="shared" si="17"/>
        <v>824139.8</v>
      </c>
      <c r="Z197" s="10">
        <f>+'A) Base RI'!N197</f>
        <v>269907.05</v>
      </c>
      <c r="AA197" s="10">
        <f>'A) Base RI'!AO197</f>
        <v>1996</v>
      </c>
    </row>
    <row r="198" spans="1:27" x14ac:dyDescent="0.25">
      <c r="A198" s="8">
        <f>'A) Base RI'!A198</f>
        <v>5719</v>
      </c>
      <c r="B198" s="32" t="str">
        <f>'A) Base RI'!B198</f>
        <v>Gingins</v>
      </c>
      <c r="C198" s="10">
        <f>'A) Base RI'!C198+'A) Base RI'!D198</f>
        <v>7188922.9000000004</v>
      </c>
      <c r="D198" s="10">
        <f>'A) Base RI'!AP198</f>
        <v>-22774.51</v>
      </c>
      <c r="E198" s="402">
        <f>'A) Base RI'!AQ198</f>
        <v>0</v>
      </c>
      <c r="F198" s="402">
        <f>'A) Base RI'!AR198</f>
        <v>-12758.73</v>
      </c>
      <c r="G198" s="408">
        <f t="shared" si="12"/>
        <v>7153389.6600000001</v>
      </c>
      <c r="H198" s="10">
        <f>+'A) Base RI'!E198</f>
        <v>0</v>
      </c>
      <c r="I198" s="10">
        <f>+'A) Base RI'!F198</f>
        <v>0</v>
      </c>
      <c r="J198" s="10">
        <f>+'A) Base RI'!G198+'A) Base RI'!H198+'A) Base RI'!X198</f>
        <v>527374.31000000006</v>
      </c>
      <c r="K198" s="10">
        <f>+'A) Base RI'!I198</f>
        <v>162245.15</v>
      </c>
      <c r="L198" s="10">
        <f>+'A) Base RI'!J198</f>
        <v>49408.41</v>
      </c>
      <c r="M198" s="10">
        <f>+'A) Base RI'!K198</f>
        <v>6062.8</v>
      </c>
      <c r="N198" s="10">
        <f>+'A) Base RI'!Q198</f>
        <v>0</v>
      </c>
      <c r="O198" s="10">
        <f t="shared" si="13"/>
        <v>409920.83333333337</v>
      </c>
      <c r="P198" s="10">
        <f>+'A) Base RI'!L198</f>
        <v>245952.5</v>
      </c>
      <c r="Q198" s="416">
        <f>'A) Base RI'!AS198</f>
        <v>0.6</v>
      </c>
      <c r="R198" s="408">
        <f t="shared" si="14"/>
        <v>8308401.163333334</v>
      </c>
      <c r="S198" s="482">
        <f>+'A) Base RI'!AN198</f>
        <v>57</v>
      </c>
      <c r="T198" s="408">
        <f t="shared" si="15"/>
        <v>7892417.5300000012</v>
      </c>
      <c r="U198" s="408">
        <f t="shared" si="16"/>
        <v>145761.42391812865</v>
      </c>
      <c r="V198" s="10">
        <f>+'A) Base RI'!O198</f>
        <v>12175.7</v>
      </c>
      <c r="W198" s="10">
        <f>+'A) Base RI'!P198</f>
        <v>292425.45</v>
      </c>
      <c r="X198" s="10">
        <f>+'A) Base RI'!R198</f>
        <v>108446.75</v>
      </c>
      <c r="Y198" s="408">
        <f t="shared" si="17"/>
        <v>413047.9</v>
      </c>
      <c r="Z198" s="10">
        <f>+'A) Base RI'!N198</f>
        <v>52212.85</v>
      </c>
      <c r="AA198" s="10">
        <f>'A) Base RI'!AO198</f>
        <v>1257</v>
      </c>
    </row>
    <row r="199" spans="1:27" x14ac:dyDescent="0.25">
      <c r="A199" s="8">
        <f>'A) Base RI'!A199</f>
        <v>5720</v>
      </c>
      <c r="B199" s="32" t="str">
        <f>'A) Base RI'!B199</f>
        <v>Givrins</v>
      </c>
      <c r="C199" s="10">
        <f>'A) Base RI'!C199+'A) Base RI'!D199</f>
        <v>4955759.28</v>
      </c>
      <c r="D199" s="10">
        <f>'A) Base RI'!AP199</f>
        <v>-24457.919999999998</v>
      </c>
      <c r="E199" s="402">
        <f>'A) Base RI'!AQ199</f>
        <v>0</v>
      </c>
      <c r="F199" s="402">
        <f>'A) Base RI'!AR199</f>
        <v>-13000.22</v>
      </c>
      <c r="G199" s="408">
        <f t="shared" si="12"/>
        <v>4918301.1400000006</v>
      </c>
      <c r="H199" s="10">
        <f>+'A) Base RI'!E199</f>
        <v>0</v>
      </c>
      <c r="I199" s="10">
        <f>+'A) Base RI'!F199</f>
        <v>0</v>
      </c>
      <c r="J199" s="10">
        <f>+'A) Base RI'!G199+'A) Base RI'!H199+'A) Base RI'!X199</f>
        <v>50760.92</v>
      </c>
      <c r="K199" s="10">
        <f>+'A) Base RI'!I199</f>
        <v>324111.55</v>
      </c>
      <c r="L199" s="10">
        <f>+'A) Base RI'!J199</f>
        <v>36650.199999999997</v>
      </c>
      <c r="M199" s="10">
        <f>+'A) Base RI'!K199</f>
        <v>0</v>
      </c>
      <c r="N199" s="10">
        <f>+'A) Base RI'!Q199</f>
        <v>1506.3</v>
      </c>
      <c r="O199" s="10">
        <f t="shared" si="13"/>
        <v>308210.94444444444</v>
      </c>
      <c r="P199" s="10">
        <f>+'A) Base RI'!L199</f>
        <v>277389.84999999998</v>
      </c>
      <c r="Q199" s="416">
        <f>'A) Base RI'!AS199</f>
        <v>0.9</v>
      </c>
      <c r="R199" s="408">
        <f t="shared" si="14"/>
        <v>5639541.0544444444</v>
      </c>
      <c r="S199" s="482">
        <f>+'A) Base RI'!AN199</f>
        <v>67</v>
      </c>
      <c r="T199" s="408">
        <f t="shared" si="15"/>
        <v>5331330.1100000003</v>
      </c>
      <c r="U199" s="408">
        <f t="shared" si="16"/>
        <v>84172.254543946925</v>
      </c>
      <c r="V199" s="10">
        <f>+'A) Base RI'!O199</f>
        <v>0</v>
      </c>
      <c r="W199" s="10">
        <f>+'A) Base RI'!P199</f>
        <v>223479.45</v>
      </c>
      <c r="X199" s="10">
        <f>+'A) Base RI'!R199</f>
        <v>336799.65</v>
      </c>
      <c r="Y199" s="408">
        <f t="shared" si="17"/>
        <v>560279.10000000009</v>
      </c>
      <c r="Z199" s="10">
        <f>+'A) Base RI'!N199</f>
        <v>9872.7000000000007</v>
      </c>
      <c r="AA199" s="10">
        <f>'A) Base RI'!AO199</f>
        <v>1031</v>
      </c>
    </row>
    <row r="200" spans="1:27" x14ac:dyDescent="0.25">
      <c r="A200" s="8">
        <f>'A) Base RI'!A200</f>
        <v>5721</v>
      </c>
      <c r="B200" s="32" t="str">
        <f>'A) Base RI'!B200</f>
        <v>Gland</v>
      </c>
      <c r="C200" s="10">
        <f>'A) Base RI'!C200+'A) Base RI'!D200</f>
        <v>31045638.420000002</v>
      </c>
      <c r="D200" s="10">
        <f>'A) Base RI'!AP200</f>
        <v>-813563.98</v>
      </c>
      <c r="E200" s="402">
        <f>'A) Base RI'!AQ200</f>
        <v>0</v>
      </c>
      <c r="F200" s="402">
        <f>'A) Base RI'!AR200</f>
        <v>-40976.54</v>
      </c>
      <c r="G200" s="408">
        <f t="shared" ref="G200:G263" si="18">SUM(C200:F200)</f>
        <v>30191097.900000002</v>
      </c>
      <c r="H200" s="10">
        <f>+'A) Base RI'!E200</f>
        <v>0</v>
      </c>
      <c r="I200" s="10">
        <f>+'A) Base RI'!F200</f>
        <v>0</v>
      </c>
      <c r="J200" s="10">
        <f>+'A) Base RI'!G200+'A) Base RI'!H200+'A) Base RI'!X200</f>
        <v>4231669.3</v>
      </c>
      <c r="K200" s="10">
        <f>+'A) Base RI'!I200</f>
        <v>570158.6</v>
      </c>
      <c r="L200" s="10">
        <f>+'A) Base RI'!J200</f>
        <v>1086520.6299999999</v>
      </c>
      <c r="M200" s="10">
        <f>+'A) Base RI'!K200</f>
        <v>512957.5</v>
      </c>
      <c r="N200" s="10">
        <f>+'A) Base RI'!Q200</f>
        <v>150029.39000000001</v>
      </c>
      <c r="O200" s="10">
        <f t="shared" ref="O200:O263" si="19">(P200/Q200)*1</f>
        <v>2975096.15</v>
      </c>
      <c r="P200" s="10">
        <f>+'A) Base RI'!L200</f>
        <v>2975096.15</v>
      </c>
      <c r="Q200" s="416">
        <f>'A) Base RI'!AS200</f>
        <v>1</v>
      </c>
      <c r="R200" s="408">
        <f t="shared" ref="R200:R263" si="20">SUM(G200:O200)</f>
        <v>39717529.470000006</v>
      </c>
      <c r="S200" s="482">
        <f>+'A) Base RI'!AN200</f>
        <v>61</v>
      </c>
      <c r="T200" s="408">
        <f t="shared" ref="T200:T263" si="21">(G200+H200+J200+K200+L200+N200)</f>
        <v>36229475.820000008</v>
      </c>
      <c r="U200" s="408">
        <f t="shared" ref="U200:U263" si="22">R200/S200</f>
        <v>651107.04049180343</v>
      </c>
      <c r="V200" s="10">
        <f>+'A) Base RI'!O200</f>
        <v>238437</v>
      </c>
      <c r="W200" s="10">
        <f>+'A) Base RI'!P200</f>
        <v>2072198.5</v>
      </c>
      <c r="X200" s="10">
        <f>+'A) Base RI'!R200</f>
        <v>766926.3</v>
      </c>
      <c r="Y200" s="408">
        <f t="shared" ref="Y200:Y263" si="23">SUM(V200:X200)</f>
        <v>3077561.8</v>
      </c>
      <c r="Z200" s="10">
        <f>+'A) Base RI'!N200</f>
        <v>2223465.7000000002</v>
      </c>
      <c r="AA200" s="10">
        <f>'A) Base RI'!AO200</f>
        <v>13243</v>
      </c>
    </row>
    <row r="201" spans="1:27" x14ac:dyDescent="0.25">
      <c r="A201" s="8">
        <f>'A) Base RI'!A201</f>
        <v>5722</v>
      </c>
      <c r="B201" s="32" t="str">
        <f>'A) Base RI'!B201</f>
        <v>Grens</v>
      </c>
      <c r="C201" s="10">
        <f>'A) Base RI'!C201+'A) Base RI'!D201</f>
        <v>1497883.97</v>
      </c>
      <c r="D201" s="10">
        <f>'A) Base RI'!AP201</f>
        <v>-672.99</v>
      </c>
      <c r="E201" s="402">
        <f>'A) Base RI'!AQ201</f>
        <v>0</v>
      </c>
      <c r="F201" s="402">
        <f>'A) Base RI'!AR201</f>
        <v>-1403.84</v>
      </c>
      <c r="G201" s="408">
        <f t="shared" si="18"/>
        <v>1495807.14</v>
      </c>
      <c r="H201" s="10">
        <f>+'A) Base RI'!E201</f>
        <v>0</v>
      </c>
      <c r="I201" s="10">
        <f>+'A) Base RI'!F201</f>
        <v>0</v>
      </c>
      <c r="J201" s="10">
        <f>+'A) Base RI'!G201+'A) Base RI'!H201+'A) Base RI'!X201</f>
        <v>11363.99</v>
      </c>
      <c r="K201" s="10">
        <f>+'A) Base RI'!I201</f>
        <v>0</v>
      </c>
      <c r="L201" s="10">
        <f>+'A) Base RI'!J201</f>
        <v>-18719.46</v>
      </c>
      <c r="M201" s="10">
        <f>+'A) Base RI'!K201</f>
        <v>6180.6</v>
      </c>
      <c r="N201" s="10">
        <f>+'A) Base RI'!Q201</f>
        <v>0</v>
      </c>
      <c r="O201" s="10">
        <f t="shared" si="19"/>
        <v>87955.05</v>
      </c>
      <c r="P201" s="10">
        <f>+'A) Base RI'!L201</f>
        <v>87955.05</v>
      </c>
      <c r="Q201" s="416">
        <f>'A) Base RI'!AS201</f>
        <v>1</v>
      </c>
      <c r="R201" s="408">
        <f t="shared" si="20"/>
        <v>1582587.32</v>
      </c>
      <c r="S201" s="482">
        <f>+'A) Base RI'!AN201</f>
        <v>62</v>
      </c>
      <c r="T201" s="408">
        <f t="shared" si="21"/>
        <v>1488451.67</v>
      </c>
      <c r="U201" s="408">
        <f t="shared" si="22"/>
        <v>25525.601935483872</v>
      </c>
      <c r="V201" s="10">
        <f>+'A) Base RI'!O201</f>
        <v>0</v>
      </c>
      <c r="W201" s="10">
        <f>+'A) Base RI'!P201</f>
        <v>9605.25</v>
      </c>
      <c r="X201" s="10">
        <f>+'A) Base RI'!R201</f>
        <v>4608.2</v>
      </c>
      <c r="Y201" s="408">
        <f t="shared" si="23"/>
        <v>14213.45</v>
      </c>
      <c r="Z201" s="10">
        <f>+'A) Base RI'!N201</f>
        <v>22755.3</v>
      </c>
      <c r="AA201" s="10">
        <f>'A) Base RI'!AO201</f>
        <v>405</v>
      </c>
    </row>
    <row r="202" spans="1:27" x14ac:dyDescent="0.25">
      <c r="A202" s="8">
        <f>'A) Base RI'!A202</f>
        <v>5723</v>
      </c>
      <c r="B202" s="32" t="str">
        <f>'A) Base RI'!B202</f>
        <v>Mies</v>
      </c>
      <c r="C202" s="10">
        <f>'A) Base RI'!C202+'A) Base RI'!D202</f>
        <v>8596299.3100000005</v>
      </c>
      <c r="D202" s="10">
        <f>'A) Base RI'!AP202</f>
        <v>-63187.28</v>
      </c>
      <c r="E202" s="402">
        <f>'A) Base RI'!AQ202</f>
        <v>0</v>
      </c>
      <c r="F202" s="402">
        <f>'A) Base RI'!AR202</f>
        <v>-104426.37</v>
      </c>
      <c r="G202" s="408">
        <f t="shared" si="18"/>
        <v>8428685.660000002</v>
      </c>
      <c r="H202" s="10">
        <f>+'A) Base RI'!E202</f>
        <v>0</v>
      </c>
      <c r="I202" s="10">
        <f>+'A) Base RI'!F202</f>
        <v>0</v>
      </c>
      <c r="J202" s="10">
        <f>+'A) Base RI'!G202+'A) Base RI'!H202+'A) Base RI'!X202</f>
        <v>357702.41</v>
      </c>
      <c r="K202" s="10">
        <f>+'A) Base RI'!I202</f>
        <v>472945.47</v>
      </c>
      <c r="L202" s="10">
        <f>+'A) Base RI'!J202</f>
        <v>121417.13</v>
      </c>
      <c r="M202" s="10">
        <f>+'A) Base RI'!K202</f>
        <v>41667.85</v>
      </c>
      <c r="N202" s="10">
        <f>+'A) Base RI'!Q202</f>
        <v>29262.59</v>
      </c>
      <c r="O202" s="10">
        <f t="shared" si="19"/>
        <v>834188</v>
      </c>
      <c r="P202" s="10">
        <f>+'A) Base RI'!L202</f>
        <v>834188</v>
      </c>
      <c r="Q202" s="416">
        <f>'A) Base RI'!AS202</f>
        <v>1</v>
      </c>
      <c r="R202" s="408">
        <f t="shared" si="20"/>
        <v>10285869.110000003</v>
      </c>
      <c r="S202" s="482">
        <f>+'A) Base RI'!AN202</f>
        <v>52</v>
      </c>
      <c r="T202" s="408">
        <f t="shared" si="21"/>
        <v>9410013.2600000035</v>
      </c>
      <c r="U202" s="408">
        <f t="shared" si="22"/>
        <v>197805.17519230774</v>
      </c>
      <c r="V202" s="10">
        <f>+'A) Base RI'!O202</f>
        <v>163699.20000000001</v>
      </c>
      <c r="W202" s="10">
        <f>+'A) Base RI'!P202</f>
        <v>622549.6</v>
      </c>
      <c r="X202" s="10">
        <f>+'A) Base RI'!R202</f>
        <v>448780.75</v>
      </c>
      <c r="Y202" s="408">
        <f t="shared" si="23"/>
        <v>1235029.55</v>
      </c>
      <c r="Z202" s="10">
        <f>+'A) Base RI'!N202</f>
        <v>92665.45</v>
      </c>
      <c r="AA202" s="10">
        <f>'A) Base RI'!AO202</f>
        <v>2172</v>
      </c>
    </row>
    <row r="203" spans="1:27" x14ac:dyDescent="0.25">
      <c r="A203" s="8">
        <f>'A) Base RI'!A203</f>
        <v>5724</v>
      </c>
      <c r="B203" s="32" t="str">
        <f>'A) Base RI'!B203</f>
        <v>Nyon</v>
      </c>
      <c r="C203" s="10">
        <f>'A) Base RI'!C203+'A) Base RI'!D203</f>
        <v>66354546.140000001</v>
      </c>
      <c r="D203" s="10">
        <f>'A) Base RI'!AP203</f>
        <v>-889891.87</v>
      </c>
      <c r="E203" s="402">
        <f>'A) Base RI'!AQ203</f>
        <v>0</v>
      </c>
      <c r="F203" s="402">
        <f>'A) Base RI'!AR203</f>
        <v>-119872.56</v>
      </c>
      <c r="G203" s="408">
        <f t="shared" si="18"/>
        <v>65344781.710000001</v>
      </c>
      <c r="H203" s="10">
        <f>+'A) Base RI'!E203</f>
        <v>0</v>
      </c>
      <c r="I203" s="10">
        <f>+'A) Base RI'!F203</f>
        <v>0</v>
      </c>
      <c r="J203" s="10">
        <f>+'A) Base RI'!G203+'A) Base RI'!H203+'A) Base RI'!X203</f>
        <v>8969358.4800000004</v>
      </c>
      <c r="K203" s="10">
        <f>+'A) Base RI'!I203</f>
        <v>1912327.79</v>
      </c>
      <c r="L203" s="10">
        <f>+'A) Base RI'!J203</f>
        <v>3427119.1</v>
      </c>
      <c r="M203" s="10">
        <f>+'A) Base RI'!K203</f>
        <v>958188.35</v>
      </c>
      <c r="N203" s="10">
        <f>+'A) Base RI'!Q203</f>
        <v>174414.38</v>
      </c>
      <c r="O203" s="10">
        <f t="shared" si="19"/>
        <v>5573381.4333333336</v>
      </c>
      <c r="P203" s="10">
        <f>+'A) Base RI'!L203</f>
        <v>8360072.1500000004</v>
      </c>
      <c r="Q203" s="416">
        <f>'A) Base RI'!AS203</f>
        <v>1.5</v>
      </c>
      <c r="R203" s="408">
        <f t="shared" si="20"/>
        <v>86359571.243333325</v>
      </c>
      <c r="S203" s="482">
        <f>+'A) Base RI'!AN203</f>
        <v>61</v>
      </c>
      <c r="T203" s="408">
        <f t="shared" si="21"/>
        <v>79828001.459999993</v>
      </c>
      <c r="U203" s="408">
        <f t="shared" si="22"/>
        <v>1415730.6761202184</v>
      </c>
      <c r="V203" s="10">
        <f>+'A) Base RI'!O203</f>
        <v>3180216.45</v>
      </c>
      <c r="W203" s="10">
        <f>+'A) Base RI'!P203</f>
        <v>3803960.5</v>
      </c>
      <c r="X203" s="10">
        <f>+'A) Base RI'!R203</f>
        <v>6244454.2999999998</v>
      </c>
      <c r="Y203" s="408">
        <f t="shared" si="23"/>
        <v>13228631.25</v>
      </c>
      <c r="Z203" s="10">
        <f>+'A) Base RI'!N203</f>
        <v>4660553.0999999996</v>
      </c>
      <c r="AA203" s="10">
        <f>'A) Base RI'!AO203</f>
        <v>21743</v>
      </c>
    </row>
    <row r="204" spans="1:27" x14ac:dyDescent="0.25">
      <c r="A204" s="8">
        <f>'A) Base RI'!A204</f>
        <v>5725</v>
      </c>
      <c r="B204" s="32" t="str">
        <f>'A) Base RI'!B204</f>
        <v>Prangins</v>
      </c>
      <c r="C204" s="10">
        <f>'A) Base RI'!C204+'A) Base RI'!D204</f>
        <v>14780336.039999999</v>
      </c>
      <c r="D204" s="10">
        <f>'A) Base RI'!AP204</f>
        <v>-190443.67</v>
      </c>
      <c r="E204" s="402">
        <f>'A) Base RI'!AQ204</f>
        <v>0</v>
      </c>
      <c r="F204" s="402">
        <f>'A) Base RI'!AR204</f>
        <v>-112665.15</v>
      </c>
      <c r="G204" s="408">
        <f t="shared" si="18"/>
        <v>14477227.219999999</v>
      </c>
      <c r="H204" s="10">
        <f>+'A) Base RI'!E204</f>
        <v>0</v>
      </c>
      <c r="I204" s="10">
        <f>+'A) Base RI'!F204</f>
        <v>0</v>
      </c>
      <c r="J204" s="10">
        <f>+'A) Base RI'!G204+'A) Base RI'!H204+'A) Base RI'!X204</f>
        <v>1067686.97</v>
      </c>
      <c r="K204" s="10">
        <f>+'A) Base RI'!I204</f>
        <v>182065.3</v>
      </c>
      <c r="L204" s="10">
        <f>+'A) Base RI'!J204</f>
        <v>276974.82</v>
      </c>
      <c r="M204" s="10">
        <f>+'A) Base RI'!K204</f>
        <v>-14130.45</v>
      </c>
      <c r="N204" s="10">
        <f>+'A) Base RI'!Q204</f>
        <v>12972.19</v>
      </c>
      <c r="O204" s="10">
        <f t="shared" si="19"/>
        <v>1201475.3214285714</v>
      </c>
      <c r="P204" s="10">
        <f>+'A) Base RI'!L204</f>
        <v>1682065.45</v>
      </c>
      <c r="Q204" s="416">
        <f>'A) Base RI'!AS204</f>
        <v>1.4</v>
      </c>
      <c r="R204" s="408">
        <f t="shared" si="20"/>
        <v>17204271.371428572</v>
      </c>
      <c r="S204" s="482">
        <f>+'A) Base RI'!AN204</f>
        <v>55</v>
      </c>
      <c r="T204" s="408">
        <f t="shared" si="21"/>
        <v>16016926.5</v>
      </c>
      <c r="U204" s="408">
        <f t="shared" si="22"/>
        <v>312804.93402597401</v>
      </c>
      <c r="V204" s="10">
        <f>+'A) Base RI'!O204</f>
        <v>61383.1</v>
      </c>
      <c r="W204" s="10">
        <f>+'A) Base RI'!P204</f>
        <v>474229.25</v>
      </c>
      <c r="X204" s="10">
        <f>+'A) Base RI'!R204</f>
        <v>609396.55000000005</v>
      </c>
      <c r="Y204" s="408">
        <f t="shared" si="23"/>
        <v>1145008.8999999999</v>
      </c>
      <c r="Z204" s="10">
        <f>+'A) Base RI'!N204</f>
        <v>1101910.6000000001</v>
      </c>
      <c r="AA204" s="10">
        <f>'A) Base RI'!AO204</f>
        <v>4101</v>
      </c>
    </row>
    <row r="205" spans="1:27" x14ac:dyDescent="0.25">
      <c r="A205" s="8">
        <f>'A) Base RI'!A205</f>
        <v>5726</v>
      </c>
      <c r="B205" s="32" t="str">
        <f>'A) Base RI'!B205</f>
        <v>La Rippe</v>
      </c>
      <c r="C205" s="10">
        <f>'A) Base RI'!C205+'A) Base RI'!D205</f>
        <v>3964690.68</v>
      </c>
      <c r="D205" s="10">
        <f>'A) Base RI'!AP205</f>
        <v>-76675.289999999994</v>
      </c>
      <c r="E205" s="402">
        <f>'A) Base RI'!AQ205</f>
        <v>0</v>
      </c>
      <c r="F205" s="402">
        <f>'A) Base RI'!AR205</f>
        <v>-6701.86</v>
      </c>
      <c r="G205" s="408">
        <f t="shared" si="18"/>
        <v>3881313.5300000003</v>
      </c>
      <c r="H205" s="10">
        <f>+'A) Base RI'!E205</f>
        <v>0</v>
      </c>
      <c r="I205" s="10">
        <f>+'A) Base RI'!F205</f>
        <v>0</v>
      </c>
      <c r="J205" s="10">
        <f>+'A) Base RI'!G205+'A) Base RI'!H205+'A) Base RI'!X205</f>
        <v>32702</v>
      </c>
      <c r="K205" s="10">
        <f>+'A) Base RI'!I205</f>
        <v>0</v>
      </c>
      <c r="L205" s="10">
        <f>+'A) Base RI'!J205</f>
        <v>123021.68</v>
      </c>
      <c r="M205" s="10">
        <f>+'A) Base RI'!K205</f>
        <v>6611.15</v>
      </c>
      <c r="N205" s="10">
        <f>+'A) Base RI'!Q205</f>
        <v>540.36</v>
      </c>
      <c r="O205" s="10">
        <f t="shared" si="19"/>
        <v>266920.95</v>
      </c>
      <c r="P205" s="10">
        <f>+'A) Base RI'!L205</f>
        <v>266920.95</v>
      </c>
      <c r="Q205" s="416">
        <f>'A) Base RI'!AS205</f>
        <v>1</v>
      </c>
      <c r="R205" s="408">
        <f t="shared" si="20"/>
        <v>4311109.67</v>
      </c>
      <c r="S205" s="482">
        <f>+'A) Base RI'!AN205</f>
        <v>65</v>
      </c>
      <c r="T205" s="408">
        <f t="shared" si="21"/>
        <v>4037577.5700000003</v>
      </c>
      <c r="U205" s="408">
        <f t="shared" si="22"/>
        <v>66324.764153846147</v>
      </c>
      <c r="V205" s="10">
        <f>+'A) Base RI'!O205</f>
        <v>22827.8</v>
      </c>
      <c r="W205" s="10">
        <f>+'A) Base RI'!P205</f>
        <v>272060.79999999999</v>
      </c>
      <c r="X205" s="10">
        <f>+'A) Base RI'!R205</f>
        <v>234275.15</v>
      </c>
      <c r="Y205" s="408">
        <f t="shared" si="23"/>
        <v>529163.75</v>
      </c>
      <c r="Z205" s="10">
        <f>+'A) Base RI'!N205</f>
        <v>38077.35</v>
      </c>
      <c r="AA205" s="10">
        <f>'A) Base RI'!AO205</f>
        <v>1131</v>
      </c>
    </row>
    <row r="206" spans="1:27" x14ac:dyDescent="0.25">
      <c r="A206" s="8">
        <f>'A) Base RI'!A206</f>
        <v>5727</v>
      </c>
      <c r="B206" s="32" t="str">
        <f>'A) Base RI'!B206</f>
        <v>Saint-Cergue</v>
      </c>
      <c r="C206" s="10">
        <f>'A) Base RI'!C206+'A) Base RI'!D206</f>
        <v>6191909.8199999994</v>
      </c>
      <c r="D206" s="10">
        <f>'A) Base RI'!AP206</f>
        <v>-139243.04999999999</v>
      </c>
      <c r="E206" s="402">
        <f>'A) Base RI'!AQ206</f>
        <v>0</v>
      </c>
      <c r="F206" s="402">
        <f>'A) Base RI'!AR206</f>
        <v>-1787.6</v>
      </c>
      <c r="G206" s="408">
        <f t="shared" si="18"/>
        <v>6050879.1699999999</v>
      </c>
      <c r="H206" s="10">
        <f>+'A) Base RI'!E206</f>
        <v>0</v>
      </c>
      <c r="I206" s="10">
        <f>+'A) Base RI'!F206</f>
        <v>0</v>
      </c>
      <c r="J206" s="10">
        <f>+'A) Base RI'!G206+'A) Base RI'!H206+'A) Base RI'!X206</f>
        <v>54455.91</v>
      </c>
      <c r="K206" s="10">
        <f>+'A) Base RI'!I206</f>
        <v>117296</v>
      </c>
      <c r="L206" s="10">
        <f>+'A) Base RI'!J206</f>
        <v>162032.23000000001</v>
      </c>
      <c r="M206" s="10">
        <f>+'A) Base RI'!K206</f>
        <v>12987.55</v>
      </c>
      <c r="N206" s="10">
        <f>+'A) Base RI'!Q206</f>
        <v>15197.2</v>
      </c>
      <c r="O206" s="10">
        <f t="shared" si="19"/>
        <v>525405.33333333337</v>
      </c>
      <c r="P206" s="10">
        <f>+'A) Base RI'!L206</f>
        <v>788108</v>
      </c>
      <c r="Q206" s="416">
        <f>'A) Base RI'!AS206</f>
        <v>1.5</v>
      </c>
      <c r="R206" s="408">
        <f t="shared" si="20"/>
        <v>6938253.3933333335</v>
      </c>
      <c r="S206" s="482">
        <f>+'A) Base RI'!AN206</f>
        <v>66</v>
      </c>
      <c r="T206" s="408">
        <f t="shared" si="21"/>
        <v>6399860.5100000007</v>
      </c>
      <c r="U206" s="408">
        <f t="shared" si="22"/>
        <v>105125.05141414142</v>
      </c>
      <c r="V206" s="10">
        <f>+'A) Base RI'!O206</f>
        <v>28210.9</v>
      </c>
      <c r="W206" s="10">
        <f>+'A) Base RI'!P206</f>
        <v>440442.05</v>
      </c>
      <c r="X206" s="10">
        <f>+'A) Base RI'!R206</f>
        <v>180763</v>
      </c>
      <c r="Y206" s="408">
        <f t="shared" si="23"/>
        <v>649415.94999999995</v>
      </c>
      <c r="Z206" s="10">
        <f>+'A) Base RI'!N206</f>
        <v>191922.4</v>
      </c>
      <c r="AA206" s="10">
        <f>'A) Base RI'!AO206</f>
        <v>2674</v>
      </c>
    </row>
    <row r="207" spans="1:27" x14ac:dyDescent="0.25">
      <c r="A207" s="8">
        <f>'A) Base RI'!A207</f>
        <v>5728</v>
      </c>
      <c r="B207" s="32" t="str">
        <f>'A) Base RI'!B207</f>
        <v>Signy-Avenex</v>
      </c>
      <c r="C207" s="10">
        <f>'A) Base RI'!C207+'A) Base RI'!D207</f>
        <v>1919885.98</v>
      </c>
      <c r="D207" s="10">
        <f>'A) Base RI'!AP207</f>
        <v>-5243.87</v>
      </c>
      <c r="E207" s="402">
        <f>'A) Base RI'!AQ207</f>
        <v>-4197.5</v>
      </c>
      <c r="F207" s="402">
        <f>'A) Base RI'!AR207</f>
        <v>-972.86</v>
      </c>
      <c r="G207" s="408">
        <f t="shared" si="18"/>
        <v>1909471.7499999998</v>
      </c>
      <c r="H207" s="10">
        <f>+'A) Base RI'!E207</f>
        <v>0</v>
      </c>
      <c r="I207" s="10">
        <f>+'A) Base RI'!F207</f>
        <v>0</v>
      </c>
      <c r="J207" s="10">
        <f>+'A) Base RI'!G207+'A) Base RI'!H207+'A) Base RI'!X207</f>
        <v>765364.53</v>
      </c>
      <c r="K207" s="10">
        <f>+'A) Base RI'!I207</f>
        <v>29967.200000000001</v>
      </c>
      <c r="L207" s="10">
        <f>+'A) Base RI'!J207</f>
        <v>-123996.3</v>
      </c>
      <c r="M207" s="10">
        <f>+'A) Base RI'!K207</f>
        <v>51471.45</v>
      </c>
      <c r="N207" s="10">
        <f>+'A) Base RI'!Q207</f>
        <v>84.58</v>
      </c>
      <c r="O207" s="10">
        <f t="shared" si="19"/>
        <v>226272.4</v>
      </c>
      <c r="P207" s="10">
        <f>+'A) Base RI'!L207</f>
        <v>226272.4</v>
      </c>
      <c r="Q207" s="416">
        <f>'A) Base RI'!AS207</f>
        <v>1</v>
      </c>
      <c r="R207" s="408">
        <f t="shared" si="20"/>
        <v>2858635.6100000003</v>
      </c>
      <c r="S207" s="482">
        <f>+'A) Base RI'!AN207</f>
        <v>58</v>
      </c>
      <c r="T207" s="408">
        <f t="shared" si="21"/>
        <v>2580891.7600000002</v>
      </c>
      <c r="U207" s="408">
        <f t="shared" si="22"/>
        <v>49286.820862068969</v>
      </c>
      <c r="V207" s="10">
        <f>+'A) Base RI'!O207</f>
        <v>0</v>
      </c>
      <c r="W207" s="10">
        <f>+'A) Base RI'!P207</f>
        <v>86694.3</v>
      </c>
      <c r="X207" s="10">
        <f>+'A) Base RI'!R207</f>
        <v>23554.2</v>
      </c>
      <c r="Y207" s="408">
        <f t="shared" si="23"/>
        <v>110248.5</v>
      </c>
      <c r="Z207" s="10">
        <f>+'A) Base RI'!N207</f>
        <v>219621.1</v>
      </c>
      <c r="AA207" s="10">
        <f>'A) Base RI'!AO207</f>
        <v>581</v>
      </c>
    </row>
    <row r="208" spans="1:27" x14ac:dyDescent="0.25">
      <c r="A208" s="8">
        <f>'A) Base RI'!A208</f>
        <v>5729</v>
      </c>
      <c r="B208" s="32" t="str">
        <f>'A) Base RI'!B208</f>
        <v>Tannay</v>
      </c>
      <c r="C208" s="10">
        <f>'A) Base RI'!C208+'A) Base RI'!D208</f>
        <v>6711296.9100000001</v>
      </c>
      <c r="D208" s="10">
        <f>'A) Base RI'!AP208</f>
        <v>-174957.96</v>
      </c>
      <c r="E208" s="402">
        <f>'A) Base RI'!AQ208</f>
        <v>0</v>
      </c>
      <c r="F208" s="402">
        <f>'A) Base RI'!AR208</f>
        <v>-15827.25</v>
      </c>
      <c r="G208" s="408">
        <f t="shared" si="18"/>
        <v>6520511.7000000002</v>
      </c>
      <c r="H208" s="10">
        <f>+'A) Base RI'!E208</f>
        <v>0</v>
      </c>
      <c r="I208" s="10">
        <f>+'A) Base RI'!F208</f>
        <v>0</v>
      </c>
      <c r="J208" s="10">
        <f>+'A) Base RI'!G208+'A) Base RI'!H208+'A) Base RI'!X208</f>
        <v>374677.83999999997</v>
      </c>
      <c r="K208" s="10">
        <f>+'A) Base RI'!I208</f>
        <v>137925.35</v>
      </c>
      <c r="L208" s="10">
        <f>+'A) Base RI'!J208</f>
        <v>129611.93</v>
      </c>
      <c r="M208" s="10">
        <f>+'A) Base RI'!K208</f>
        <v>5699.5</v>
      </c>
      <c r="N208" s="10">
        <f>+'A) Base RI'!Q208</f>
        <v>168519.2</v>
      </c>
      <c r="O208" s="10">
        <f t="shared" si="19"/>
        <v>578067.93333333335</v>
      </c>
      <c r="P208" s="10">
        <f>+'A) Base RI'!L208</f>
        <v>867101.9</v>
      </c>
      <c r="Q208" s="416">
        <f>'A) Base RI'!AS208</f>
        <v>1.5</v>
      </c>
      <c r="R208" s="408">
        <f t="shared" si="20"/>
        <v>7915013.4533333331</v>
      </c>
      <c r="S208" s="482">
        <f>+'A) Base RI'!AN208</f>
        <v>60.5</v>
      </c>
      <c r="T208" s="408">
        <f t="shared" si="21"/>
        <v>7331246.0199999996</v>
      </c>
      <c r="U208" s="408">
        <f t="shared" si="22"/>
        <v>130826.66865013774</v>
      </c>
      <c r="V208" s="10">
        <f>+'A) Base RI'!O208</f>
        <v>0</v>
      </c>
      <c r="W208" s="10">
        <f>+'A) Base RI'!P208</f>
        <v>590034.25</v>
      </c>
      <c r="X208" s="10">
        <f>+'A) Base RI'!R208</f>
        <v>532620.6</v>
      </c>
      <c r="Y208" s="408">
        <f t="shared" si="23"/>
        <v>1122654.8500000001</v>
      </c>
      <c r="Z208" s="10">
        <f>+'A) Base RI'!N208</f>
        <v>15293.7</v>
      </c>
      <c r="AA208" s="10">
        <f>'A) Base RI'!AO208</f>
        <v>1636</v>
      </c>
    </row>
    <row r="209" spans="1:27" x14ac:dyDescent="0.25">
      <c r="A209" s="8">
        <f>'A) Base RI'!A209</f>
        <v>5730</v>
      </c>
      <c r="B209" s="32" t="str">
        <f>'A) Base RI'!B209</f>
        <v>Trélex</v>
      </c>
      <c r="C209" s="10">
        <f>'A) Base RI'!C209+'A) Base RI'!D209</f>
        <v>5822307.0700000003</v>
      </c>
      <c r="D209" s="10">
        <f>'A) Base RI'!AP209</f>
        <v>-55826.86</v>
      </c>
      <c r="E209" s="402">
        <f>'A) Base RI'!AQ209</f>
        <v>0</v>
      </c>
      <c r="F209" s="402">
        <f>'A) Base RI'!AR209</f>
        <v>-73593.2</v>
      </c>
      <c r="G209" s="408">
        <f t="shared" si="18"/>
        <v>5692887.0099999998</v>
      </c>
      <c r="H209" s="10">
        <f>+'A) Base RI'!E209</f>
        <v>0</v>
      </c>
      <c r="I209" s="10">
        <f>+'A) Base RI'!F209</f>
        <v>0</v>
      </c>
      <c r="J209" s="10">
        <f>+'A) Base RI'!G209+'A) Base RI'!H209+'A) Base RI'!X209</f>
        <v>-5079.74</v>
      </c>
      <c r="K209" s="10">
        <f>+'A) Base RI'!I209</f>
        <v>66554.25</v>
      </c>
      <c r="L209" s="10">
        <f>+'A) Base RI'!J209</f>
        <v>-1891.14</v>
      </c>
      <c r="M209" s="10">
        <f>+'A) Base RI'!K209</f>
        <v>6900.7</v>
      </c>
      <c r="N209" s="10">
        <f>+'A) Base RI'!Q209</f>
        <v>1316.23</v>
      </c>
      <c r="O209" s="10">
        <f t="shared" si="19"/>
        <v>434555</v>
      </c>
      <c r="P209" s="10">
        <f>+'A) Base RI'!L209</f>
        <v>391099.5</v>
      </c>
      <c r="Q209" s="416">
        <f>'A) Base RI'!AS209</f>
        <v>0.9</v>
      </c>
      <c r="R209" s="408">
        <f t="shared" si="20"/>
        <v>6195242.3100000005</v>
      </c>
      <c r="S209" s="482">
        <f>+'A) Base RI'!AN209</f>
        <v>55.5</v>
      </c>
      <c r="T209" s="408">
        <f t="shared" si="21"/>
        <v>5753786.6100000003</v>
      </c>
      <c r="U209" s="408">
        <f t="shared" si="22"/>
        <v>111625.98756756757</v>
      </c>
      <c r="V209" s="10">
        <f>+'A) Base RI'!O209</f>
        <v>0</v>
      </c>
      <c r="W209" s="10">
        <f>+'A) Base RI'!P209</f>
        <v>552401.6</v>
      </c>
      <c r="X209" s="10">
        <f>+'A) Base RI'!R209</f>
        <v>258777.7</v>
      </c>
      <c r="Y209" s="408">
        <f t="shared" si="23"/>
        <v>811179.3</v>
      </c>
      <c r="Z209" s="10">
        <f>+'A) Base RI'!N209</f>
        <v>7297.75</v>
      </c>
      <c r="AA209" s="10">
        <f>'A) Base RI'!AO209</f>
        <v>1445</v>
      </c>
    </row>
    <row r="210" spans="1:27" x14ac:dyDescent="0.25">
      <c r="A210" s="8">
        <f>'A) Base RI'!A210</f>
        <v>5731</v>
      </c>
      <c r="B210" s="32" t="str">
        <f>'A) Base RI'!B210</f>
        <v>Le Vaud</v>
      </c>
      <c r="C210" s="10">
        <f>'A) Base RI'!C210+'A) Base RI'!D210</f>
        <v>4434804.22</v>
      </c>
      <c r="D210" s="10">
        <f>'A) Base RI'!AP210</f>
        <v>-51330.74</v>
      </c>
      <c r="E210" s="402">
        <f>'A) Base RI'!AQ210</f>
        <v>0</v>
      </c>
      <c r="F210" s="402">
        <f>'A) Base RI'!AR210</f>
        <v>-1476.19</v>
      </c>
      <c r="G210" s="408">
        <f t="shared" si="18"/>
        <v>4381997.2899999991</v>
      </c>
      <c r="H210" s="10">
        <f>+'A) Base RI'!E210</f>
        <v>0</v>
      </c>
      <c r="I210" s="10">
        <f>+'A) Base RI'!F210</f>
        <v>0</v>
      </c>
      <c r="J210" s="10">
        <f>+'A) Base RI'!G210+'A) Base RI'!H210+'A) Base RI'!X210</f>
        <v>11057.35</v>
      </c>
      <c r="K210" s="10">
        <f>+'A) Base RI'!I210</f>
        <v>0</v>
      </c>
      <c r="L210" s="10">
        <f>+'A) Base RI'!J210</f>
        <v>18094.62</v>
      </c>
      <c r="M210" s="10">
        <f>+'A) Base RI'!K210</f>
        <v>2622.5</v>
      </c>
      <c r="N210" s="10">
        <f>+'A) Base RI'!Q210</f>
        <v>49018.96</v>
      </c>
      <c r="O210" s="10">
        <f t="shared" si="19"/>
        <v>268932.56666666665</v>
      </c>
      <c r="P210" s="10">
        <f>+'A) Base RI'!L210</f>
        <v>403398.85</v>
      </c>
      <c r="Q210" s="416">
        <f>'A) Base RI'!AS210</f>
        <v>1.5</v>
      </c>
      <c r="R210" s="408">
        <f t="shared" si="20"/>
        <v>4731723.2866666652</v>
      </c>
      <c r="S210" s="482">
        <f>+'A) Base RI'!AN210</f>
        <v>74</v>
      </c>
      <c r="T210" s="408">
        <f t="shared" si="21"/>
        <v>4460168.2199999988</v>
      </c>
      <c r="U210" s="408">
        <f t="shared" si="22"/>
        <v>63942.206576576558</v>
      </c>
      <c r="V210" s="10">
        <f>+'A) Base RI'!O210</f>
        <v>1782</v>
      </c>
      <c r="W210" s="10">
        <f>+'A) Base RI'!P210</f>
        <v>164927.15</v>
      </c>
      <c r="X210" s="10">
        <f>+'A) Base RI'!R210</f>
        <v>122290</v>
      </c>
      <c r="Y210" s="408">
        <f t="shared" si="23"/>
        <v>288999.15000000002</v>
      </c>
      <c r="Z210" s="10">
        <f>+'A) Base RI'!N210</f>
        <v>25723.95</v>
      </c>
      <c r="AA210" s="10">
        <f>'A) Base RI'!AO210</f>
        <v>1366</v>
      </c>
    </row>
    <row r="211" spans="1:27" x14ac:dyDescent="0.25">
      <c r="A211" s="8">
        <f>'A) Base RI'!A211</f>
        <v>5732</v>
      </c>
      <c r="B211" s="32" t="str">
        <f>'A) Base RI'!B211</f>
        <v>Vich</v>
      </c>
      <c r="C211" s="10">
        <f>'A) Base RI'!C211+'A) Base RI'!D211</f>
        <v>3808691.95</v>
      </c>
      <c r="D211" s="10">
        <f>'A) Base RI'!AP211</f>
        <v>-53257.83</v>
      </c>
      <c r="E211" s="402">
        <f>'A) Base RI'!AQ211</f>
        <v>0</v>
      </c>
      <c r="F211" s="402">
        <f>'A) Base RI'!AR211</f>
        <v>-6869.3</v>
      </c>
      <c r="G211" s="408">
        <f t="shared" si="18"/>
        <v>3748564.8200000003</v>
      </c>
      <c r="H211" s="10">
        <f>+'A) Base RI'!E211</f>
        <v>0</v>
      </c>
      <c r="I211" s="10">
        <f>+'A) Base RI'!F211</f>
        <v>0</v>
      </c>
      <c r="J211" s="10">
        <f>+'A) Base RI'!G211+'A) Base RI'!H211+'A) Base RI'!X211</f>
        <v>30998.230000000003</v>
      </c>
      <c r="K211" s="10">
        <f>+'A) Base RI'!I211</f>
        <v>257945.60000000001</v>
      </c>
      <c r="L211" s="10">
        <f>+'A) Base RI'!J211</f>
        <v>40696.36</v>
      </c>
      <c r="M211" s="10">
        <f>+'A) Base RI'!K211</f>
        <v>23683.599999999999</v>
      </c>
      <c r="N211" s="10">
        <f>+'A) Base RI'!Q211</f>
        <v>3664.05</v>
      </c>
      <c r="O211" s="10">
        <f t="shared" si="19"/>
        <v>367886.6</v>
      </c>
      <c r="P211" s="10">
        <f>+'A) Base RI'!L211</f>
        <v>367886.6</v>
      </c>
      <c r="Q211" s="416">
        <f>'A) Base RI'!AS211</f>
        <v>1</v>
      </c>
      <c r="R211" s="408">
        <f t="shared" si="20"/>
        <v>4473439.26</v>
      </c>
      <c r="S211" s="482">
        <f>+'A) Base RI'!AN211</f>
        <v>63</v>
      </c>
      <c r="T211" s="408">
        <f t="shared" si="21"/>
        <v>4081869.06</v>
      </c>
      <c r="U211" s="408">
        <f t="shared" si="22"/>
        <v>71006.972380952371</v>
      </c>
      <c r="V211" s="10">
        <f>+'A) Base RI'!O211</f>
        <v>0</v>
      </c>
      <c r="W211" s="10">
        <f>+'A) Base RI'!P211</f>
        <v>364237.1</v>
      </c>
      <c r="X211" s="10">
        <f>+'A) Base RI'!R211</f>
        <v>166940.45000000001</v>
      </c>
      <c r="Y211" s="408">
        <f t="shared" si="23"/>
        <v>531177.55000000005</v>
      </c>
      <c r="Z211" s="10">
        <f>+'A) Base RI'!N211</f>
        <v>118685.7</v>
      </c>
      <c r="AA211" s="10">
        <f>'A) Base RI'!AO211</f>
        <v>1156</v>
      </c>
    </row>
    <row r="212" spans="1:27" x14ac:dyDescent="0.25">
      <c r="A212" s="8">
        <f>'A) Base RI'!A212</f>
        <v>5741</v>
      </c>
      <c r="B212" s="32" t="str">
        <f>'A) Base RI'!B212</f>
        <v>L'Abergement</v>
      </c>
      <c r="C212" s="10">
        <f>'A) Base RI'!C212+'A) Base RI'!D212</f>
        <v>563032.44999999995</v>
      </c>
      <c r="D212" s="10">
        <f>'A) Base RI'!AP212</f>
        <v>-15207.92</v>
      </c>
      <c r="E212" s="402">
        <f>'A) Base RI'!AQ212</f>
        <v>0</v>
      </c>
      <c r="F212" s="402">
        <f>'A) Base RI'!AR212</f>
        <v>-0.06</v>
      </c>
      <c r="G212" s="408">
        <f t="shared" si="18"/>
        <v>547824.46999999986</v>
      </c>
      <c r="H212" s="10">
        <f>+'A) Base RI'!E212</f>
        <v>0</v>
      </c>
      <c r="I212" s="10">
        <f>+'A) Base RI'!F212</f>
        <v>1440</v>
      </c>
      <c r="J212" s="10">
        <f>+'A) Base RI'!G212+'A) Base RI'!H212+'A) Base RI'!X212</f>
        <v>6114.7400000000007</v>
      </c>
      <c r="K212" s="10">
        <f>+'A) Base RI'!I212</f>
        <v>0</v>
      </c>
      <c r="L212" s="10">
        <f>+'A) Base RI'!J212</f>
        <v>1112.07</v>
      </c>
      <c r="M212" s="10">
        <f>+'A) Base RI'!K212</f>
        <v>0</v>
      </c>
      <c r="N212" s="10">
        <f>+'A) Base RI'!Q212</f>
        <v>565.82000000000005</v>
      </c>
      <c r="O212" s="10">
        <f t="shared" si="19"/>
        <v>39826.208333333336</v>
      </c>
      <c r="P212" s="10">
        <f>+'A) Base RI'!L212</f>
        <v>47791.45</v>
      </c>
      <c r="Q212" s="416">
        <f>'A) Base RI'!AS212</f>
        <v>1.2</v>
      </c>
      <c r="R212" s="408">
        <f t="shared" si="20"/>
        <v>596883.30833333312</v>
      </c>
      <c r="S212" s="482">
        <f>+'A) Base RI'!AN212</f>
        <v>81</v>
      </c>
      <c r="T212" s="408">
        <f t="shared" si="21"/>
        <v>555617.09999999974</v>
      </c>
      <c r="U212" s="408">
        <f t="shared" si="22"/>
        <v>7368.9297325102852</v>
      </c>
      <c r="V212" s="10">
        <f>+'A) Base RI'!O212</f>
        <v>0</v>
      </c>
      <c r="W212" s="10">
        <f>+'A) Base RI'!P212</f>
        <v>18196.75</v>
      </c>
      <c r="X212" s="10">
        <f>+'A) Base RI'!R212</f>
        <v>25927.95</v>
      </c>
      <c r="Y212" s="408">
        <f t="shared" si="23"/>
        <v>44124.7</v>
      </c>
      <c r="Z212" s="10">
        <f>+'A) Base RI'!N212</f>
        <v>10634.3</v>
      </c>
      <c r="AA212" s="10">
        <f>'A) Base RI'!AO212</f>
        <v>256</v>
      </c>
    </row>
    <row r="213" spans="1:27" x14ac:dyDescent="0.25">
      <c r="A213" s="8">
        <f>'A) Base RI'!A213</f>
        <v>5742</v>
      </c>
      <c r="B213" s="32" t="str">
        <f>'A) Base RI'!B213</f>
        <v>Agiez</v>
      </c>
      <c r="C213" s="10">
        <f>'A) Base RI'!C213+'A) Base RI'!D213</f>
        <v>610453.72</v>
      </c>
      <c r="D213" s="10">
        <f>'A) Base RI'!AP213</f>
        <v>-10427.08</v>
      </c>
      <c r="E213" s="402">
        <f>'A) Base RI'!AQ213</f>
        <v>0</v>
      </c>
      <c r="F213" s="402">
        <f>'A) Base RI'!AR213</f>
        <v>-62.6</v>
      </c>
      <c r="G213" s="408">
        <f t="shared" si="18"/>
        <v>599964.04</v>
      </c>
      <c r="H213" s="10">
        <f>+'A) Base RI'!E213</f>
        <v>0</v>
      </c>
      <c r="I213" s="10">
        <f>+'A) Base RI'!F213</f>
        <v>0</v>
      </c>
      <c r="J213" s="10">
        <f>+'A) Base RI'!G213+'A) Base RI'!H213+'A) Base RI'!X213</f>
        <v>3509.8</v>
      </c>
      <c r="K213" s="10">
        <f>+'A) Base RI'!I213</f>
        <v>0</v>
      </c>
      <c r="L213" s="10">
        <f>+'A) Base RI'!J213</f>
        <v>24170.26</v>
      </c>
      <c r="M213" s="10">
        <f>+'A) Base RI'!K213</f>
        <v>-6690.2</v>
      </c>
      <c r="N213" s="10">
        <f>+'A) Base RI'!Q213</f>
        <v>5903.49</v>
      </c>
      <c r="O213" s="10">
        <f t="shared" si="19"/>
        <v>54113</v>
      </c>
      <c r="P213" s="10">
        <f>+'A) Base RI'!L213</f>
        <v>27056.5</v>
      </c>
      <c r="Q213" s="416">
        <f>'A) Base RI'!AS213</f>
        <v>0.5</v>
      </c>
      <c r="R213" s="408">
        <f t="shared" si="20"/>
        <v>680970.39000000013</v>
      </c>
      <c r="S213" s="482">
        <f>+'A) Base RI'!AN213</f>
        <v>76</v>
      </c>
      <c r="T213" s="408">
        <f t="shared" si="21"/>
        <v>633547.59000000008</v>
      </c>
      <c r="U213" s="408">
        <f t="shared" si="22"/>
        <v>8960.136710526318</v>
      </c>
      <c r="V213" s="10">
        <f>+'A) Base RI'!O213</f>
        <v>178.2</v>
      </c>
      <c r="W213" s="10">
        <f>+'A) Base RI'!P213</f>
        <v>17490</v>
      </c>
      <c r="X213" s="10">
        <f>+'A) Base RI'!R213</f>
        <v>14262</v>
      </c>
      <c r="Y213" s="408">
        <f t="shared" si="23"/>
        <v>31930.2</v>
      </c>
      <c r="Z213" s="10">
        <f>+'A) Base RI'!N213</f>
        <v>0</v>
      </c>
      <c r="AA213" s="10">
        <f>'A) Base RI'!AO213</f>
        <v>377</v>
      </c>
    </row>
    <row r="214" spans="1:27" x14ac:dyDescent="0.25">
      <c r="A214" s="8">
        <f>'A) Base RI'!A214</f>
        <v>5743</v>
      </c>
      <c r="B214" s="32" t="str">
        <f>'A) Base RI'!B214</f>
        <v>Arnex-sur-Orbe</v>
      </c>
      <c r="C214" s="10">
        <f>'A) Base RI'!C214+'A) Base RI'!D214</f>
        <v>1361087.59</v>
      </c>
      <c r="D214" s="10">
        <f>'A) Base RI'!AP214</f>
        <v>-3376.36</v>
      </c>
      <c r="E214" s="402">
        <f>'A) Base RI'!AQ214</f>
        <v>0</v>
      </c>
      <c r="F214" s="402">
        <f>'A) Base RI'!AR214</f>
        <v>-639.04999999999995</v>
      </c>
      <c r="G214" s="408">
        <f t="shared" si="18"/>
        <v>1357072.18</v>
      </c>
      <c r="H214" s="10">
        <f>+'A) Base RI'!E214</f>
        <v>0</v>
      </c>
      <c r="I214" s="10">
        <f>+'A) Base RI'!F214</f>
        <v>0</v>
      </c>
      <c r="J214" s="10">
        <f>+'A) Base RI'!G214+'A) Base RI'!H214+'A) Base RI'!X214</f>
        <v>13075.94</v>
      </c>
      <c r="K214" s="10">
        <f>+'A) Base RI'!I214</f>
        <v>0</v>
      </c>
      <c r="L214" s="10">
        <f>+'A) Base RI'!J214</f>
        <v>437.06</v>
      </c>
      <c r="M214" s="10">
        <f>+'A) Base RI'!K214</f>
        <v>0</v>
      </c>
      <c r="N214" s="10">
        <f>+'A) Base RI'!Q214</f>
        <v>0</v>
      </c>
      <c r="O214" s="10">
        <f t="shared" si="19"/>
        <v>86806.375</v>
      </c>
      <c r="P214" s="10">
        <f>+'A) Base RI'!L214</f>
        <v>69445.100000000006</v>
      </c>
      <c r="Q214" s="416">
        <f>'A) Base RI'!AS214</f>
        <v>0.8</v>
      </c>
      <c r="R214" s="408">
        <f t="shared" si="20"/>
        <v>1457391.5549999999</v>
      </c>
      <c r="S214" s="482">
        <f>+'A) Base RI'!AN214</f>
        <v>71</v>
      </c>
      <c r="T214" s="408">
        <f t="shared" si="21"/>
        <v>1370585.18</v>
      </c>
      <c r="U214" s="408">
        <f t="shared" si="22"/>
        <v>20526.64161971831</v>
      </c>
      <c r="V214" s="10">
        <f>+'A) Base RI'!O214</f>
        <v>-33.799999999999997</v>
      </c>
      <c r="W214" s="10">
        <f>+'A) Base RI'!P214</f>
        <v>38323.949999999997</v>
      </c>
      <c r="X214" s="10">
        <f>+'A) Base RI'!R214</f>
        <v>13143.1</v>
      </c>
      <c r="Y214" s="408">
        <f t="shared" si="23"/>
        <v>51433.249999999993</v>
      </c>
      <c r="Z214" s="10">
        <f>+'A) Base RI'!N214</f>
        <v>24432.05</v>
      </c>
      <c r="AA214" s="10">
        <f>'A) Base RI'!AO214</f>
        <v>637</v>
      </c>
    </row>
    <row r="215" spans="1:27" x14ac:dyDescent="0.25">
      <c r="A215" s="8">
        <f>'A) Base RI'!A215</f>
        <v>5744</v>
      </c>
      <c r="B215" s="32" t="str">
        <f>'A) Base RI'!B215</f>
        <v>Ballaigues</v>
      </c>
      <c r="C215" s="10">
        <f>'A) Base RI'!C215+'A) Base RI'!D215</f>
        <v>1514866.86</v>
      </c>
      <c r="D215" s="10">
        <f>'A) Base RI'!AP215</f>
        <v>-58554.74</v>
      </c>
      <c r="E215" s="402">
        <f>'A) Base RI'!AQ215</f>
        <v>0</v>
      </c>
      <c r="F215" s="402">
        <f>'A) Base RI'!AR215</f>
        <v>-1693.86</v>
      </c>
      <c r="G215" s="408">
        <f t="shared" si="18"/>
        <v>1454618.26</v>
      </c>
      <c r="H215" s="10">
        <f>+'A) Base RI'!E215</f>
        <v>0</v>
      </c>
      <c r="I215" s="10">
        <f>+'A) Base RI'!F215</f>
        <v>0</v>
      </c>
      <c r="J215" s="10">
        <f>+'A) Base RI'!G215+'A) Base RI'!H215+'A) Base RI'!X215</f>
        <v>868815.82000000007</v>
      </c>
      <c r="K215" s="10">
        <f>+'A) Base RI'!I215</f>
        <v>0</v>
      </c>
      <c r="L215" s="10">
        <f>+'A) Base RI'!J215</f>
        <v>125282.45</v>
      </c>
      <c r="M215" s="10">
        <f>+'A) Base RI'!K215</f>
        <v>0</v>
      </c>
      <c r="N215" s="10">
        <f>+'A) Base RI'!Q215</f>
        <v>318.24</v>
      </c>
      <c r="O215" s="10">
        <f t="shared" si="19"/>
        <v>180433.55</v>
      </c>
      <c r="P215" s="10">
        <f>+'A) Base RI'!L215</f>
        <v>180433.55</v>
      </c>
      <c r="Q215" s="416">
        <f>'A) Base RI'!AS215</f>
        <v>1</v>
      </c>
      <c r="R215" s="408">
        <f t="shared" si="20"/>
        <v>2629468.3200000003</v>
      </c>
      <c r="S215" s="482">
        <f>+'A) Base RI'!AN215</f>
        <v>65</v>
      </c>
      <c r="T215" s="408">
        <f t="shared" si="21"/>
        <v>2449034.7700000005</v>
      </c>
      <c r="U215" s="408">
        <f t="shared" si="22"/>
        <v>40453.358769230777</v>
      </c>
      <c r="V215" s="10">
        <f>+'A) Base RI'!O215</f>
        <v>38907.9</v>
      </c>
      <c r="W215" s="10">
        <f>+'A) Base RI'!P215</f>
        <v>81541.3</v>
      </c>
      <c r="X215" s="10">
        <f>+'A) Base RI'!R215</f>
        <v>36949.5</v>
      </c>
      <c r="Y215" s="408">
        <f t="shared" si="23"/>
        <v>157398.70000000001</v>
      </c>
      <c r="Z215" s="10">
        <f>+'A) Base RI'!N215</f>
        <v>1275736.1499999999</v>
      </c>
      <c r="AA215" s="10">
        <f>'A) Base RI'!AO215</f>
        <v>1143</v>
      </c>
    </row>
    <row r="216" spans="1:27" x14ac:dyDescent="0.25">
      <c r="A216" s="8">
        <f>'A) Base RI'!A216</f>
        <v>5745</v>
      </c>
      <c r="B216" s="32" t="str">
        <f>'A) Base RI'!B216</f>
        <v>Baulmes</v>
      </c>
      <c r="C216" s="10">
        <f>'A) Base RI'!C216+'A) Base RI'!D216</f>
        <v>1886265.67</v>
      </c>
      <c r="D216" s="10">
        <f>'A) Base RI'!AP216</f>
        <v>-29461.5</v>
      </c>
      <c r="E216" s="402">
        <f>'A) Base RI'!AQ216</f>
        <v>0</v>
      </c>
      <c r="F216" s="402">
        <f>'A) Base RI'!AR216</f>
        <v>-64.849999999999994</v>
      </c>
      <c r="G216" s="408">
        <f t="shared" si="18"/>
        <v>1856739.3199999998</v>
      </c>
      <c r="H216" s="10">
        <f>+'A) Base RI'!E216</f>
        <v>0</v>
      </c>
      <c r="I216" s="10">
        <f>+'A) Base RI'!F216</f>
        <v>0</v>
      </c>
      <c r="J216" s="10">
        <f>+'A) Base RI'!G216+'A) Base RI'!H216+'A) Base RI'!X216</f>
        <v>15618.720000000001</v>
      </c>
      <c r="K216" s="10">
        <f>+'A) Base RI'!I216</f>
        <v>0</v>
      </c>
      <c r="L216" s="10">
        <f>+'A) Base RI'!J216</f>
        <v>29002.38</v>
      </c>
      <c r="M216" s="10">
        <f>+'A) Base RI'!K216</f>
        <v>0</v>
      </c>
      <c r="N216" s="10">
        <f>+'A) Base RI'!Q216</f>
        <v>14623.15</v>
      </c>
      <c r="O216" s="10">
        <f t="shared" si="19"/>
        <v>136327</v>
      </c>
      <c r="P216" s="10">
        <f>+'A) Base RI'!L216</f>
        <v>136327</v>
      </c>
      <c r="Q216" s="416">
        <f>'A) Base RI'!AS216</f>
        <v>1</v>
      </c>
      <c r="R216" s="408">
        <f t="shared" si="20"/>
        <v>2052310.5699999996</v>
      </c>
      <c r="S216" s="482">
        <f>+'A) Base RI'!AN216</f>
        <v>76.5</v>
      </c>
      <c r="T216" s="408">
        <f t="shared" si="21"/>
        <v>1915983.5699999996</v>
      </c>
      <c r="U216" s="408">
        <f t="shared" si="22"/>
        <v>26827.589150326792</v>
      </c>
      <c r="V216" s="10">
        <f>+'A) Base RI'!O216</f>
        <v>3960</v>
      </c>
      <c r="W216" s="10">
        <f>+'A) Base RI'!P216</f>
        <v>61580.6</v>
      </c>
      <c r="X216" s="10">
        <f>+'A) Base RI'!R216</f>
        <v>23032.15</v>
      </c>
      <c r="Y216" s="408">
        <f t="shared" si="23"/>
        <v>88572.75</v>
      </c>
      <c r="Z216" s="10">
        <f>+'A) Base RI'!N216</f>
        <v>205276.15</v>
      </c>
      <c r="AA216" s="10">
        <f>'A) Base RI'!AO216</f>
        <v>1074</v>
      </c>
    </row>
    <row r="217" spans="1:27" x14ac:dyDescent="0.25">
      <c r="A217" s="8">
        <f>'A) Base RI'!A217</f>
        <v>5746</v>
      </c>
      <c r="B217" s="32" t="str">
        <f>'A) Base RI'!B217</f>
        <v>Bavois</v>
      </c>
      <c r="C217" s="10">
        <f>'A) Base RI'!C217+'A) Base RI'!D217</f>
        <v>1998174.1099999999</v>
      </c>
      <c r="D217" s="10">
        <f>'A) Base RI'!AP217</f>
        <v>-16408.57</v>
      </c>
      <c r="E217" s="402">
        <f>'A) Base RI'!AQ217</f>
        <v>0</v>
      </c>
      <c r="F217" s="402">
        <f>'A) Base RI'!AR217</f>
        <v>-57.41</v>
      </c>
      <c r="G217" s="408">
        <f t="shared" si="18"/>
        <v>1981708.13</v>
      </c>
      <c r="H217" s="10">
        <f>+'A) Base RI'!E217</f>
        <v>0</v>
      </c>
      <c r="I217" s="10">
        <f>+'A) Base RI'!F217</f>
        <v>0</v>
      </c>
      <c r="J217" s="10">
        <f>+'A) Base RI'!G217+'A) Base RI'!H217+'A) Base RI'!X217</f>
        <v>7628.1299999999992</v>
      </c>
      <c r="K217" s="10">
        <f>+'A) Base RI'!I217</f>
        <v>0</v>
      </c>
      <c r="L217" s="10">
        <f>+'A) Base RI'!J217</f>
        <v>15801.14</v>
      </c>
      <c r="M217" s="10">
        <f>+'A) Base RI'!K217</f>
        <v>19580.25</v>
      </c>
      <c r="N217" s="10">
        <f>+'A) Base RI'!Q217</f>
        <v>21672.13</v>
      </c>
      <c r="O217" s="10">
        <f t="shared" si="19"/>
        <v>177672.83333333334</v>
      </c>
      <c r="P217" s="10">
        <f>+'A) Base RI'!L217</f>
        <v>213207.4</v>
      </c>
      <c r="Q217" s="416">
        <f>'A) Base RI'!AS217</f>
        <v>1.2</v>
      </c>
      <c r="R217" s="408">
        <f t="shared" si="20"/>
        <v>2224062.6133333328</v>
      </c>
      <c r="S217" s="482">
        <f>+'A) Base RI'!AN217</f>
        <v>73</v>
      </c>
      <c r="T217" s="408">
        <f t="shared" si="21"/>
        <v>2026809.5299999996</v>
      </c>
      <c r="U217" s="408">
        <f t="shared" si="22"/>
        <v>30466.611141552505</v>
      </c>
      <c r="V217" s="10">
        <f>+'A) Base RI'!O217</f>
        <v>250149</v>
      </c>
      <c r="W217" s="10">
        <f>+'A) Base RI'!P217</f>
        <v>87804.15</v>
      </c>
      <c r="X217" s="10">
        <f>+'A) Base RI'!R217</f>
        <v>58860.95</v>
      </c>
      <c r="Y217" s="408">
        <f t="shared" si="23"/>
        <v>396814.10000000003</v>
      </c>
      <c r="Z217" s="10">
        <f>+'A) Base RI'!N217</f>
        <v>22104.3</v>
      </c>
      <c r="AA217" s="10">
        <f>'A) Base RI'!AO217</f>
        <v>994</v>
      </c>
    </row>
    <row r="218" spans="1:27" x14ac:dyDescent="0.25">
      <c r="A218" s="8">
        <f>'A) Base RI'!A218</f>
        <v>5747</v>
      </c>
      <c r="B218" s="32" t="str">
        <f>'A) Base RI'!B218</f>
        <v>Bofflens</v>
      </c>
      <c r="C218" s="10">
        <f>'A) Base RI'!C218+'A) Base RI'!D218</f>
        <v>320146.84999999998</v>
      </c>
      <c r="D218" s="10">
        <f>'A) Base RI'!AP218</f>
        <v>-88.84</v>
      </c>
      <c r="E218" s="402">
        <f>'A) Base RI'!AQ218</f>
        <v>0</v>
      </c>
      <c r="F218" s="402">
        <f>'A) Base RI'!AR218</f>
        <v>0</v>
      </c>
      <c r="G218" s="408">
        <f t="shared" si="18"/>
        <v>320058.00999999995</v>
      </c>
      <c r="H218" s="10">
        <f>+'A) Base RI'!E218</f>
        <v>0</v>
      </c>
      <c r="I218" s="10">
        <f>+'A) Base RI'!F218</f>
        <v>0</v>
      </c>
      <c r="J218" s="10">
        <f>+'A) Base RI'!G218+'A) Base RI'!H218+'A) Base RI'!X218</f>
        <v>23098.230000000003</v>
      </c>
      <c r="K218" s="10">
        <f>+'A) Base RI'!I218</f>
        <v>0</v>
      </c>
      <c r="L218" s="10">
        <f>+'A) Base RI'!J218</f>
        <v>11774.59</v>
      </c>
      <c r="M218" s="10">
        <f>+'A) Base RI'!K218</f>
        <v>0</v>
      </c>
      <c r="N218" s="10">
        <f>+'A) Base RI'!Q218</f>
        <v>0</v>
      </c>
      <c r="O218" s="10">
        <f t="shared" si="19"/>
        <v>32074.9</v>
      </c>
      <c r="P218" s="10">
        <f>+'A) Base RI'!L218</f>
        <v>32074.9</v>
      </c>
      <c r="Q218" s="416">
        <f>'A) Base RI'!AS218</f>
        <v>1</v>
      </c>
      <c r="R218" s="408">
        <f t="shared" si="20"/>
        <v>387005.73</v>
      </c>
      <c r="S218" s="482">
        <f>+'A) Base RI'!AN218</f>
        <v>69</v>
      </c>
      <c r="T218" s="408">
        <f t="shared" si="21"/>
        <v>354930.82999999996</v>
      </c>
      <c r="U218" s="408">
        <f t="shared" si="22"/>
        <v>5608.7786956521741</v>
      </c>
      <c r="V218" s="10">
        <f>+'A) Base RI'!O218</f>
        <v>0</v>
      </c>
      <c r="W218" s="10">
        <f>+'A) Base RI'!P218</f>
        <v>26165.599999999999</v>
      </c>
      <c r="X218" s="10">
        <f>+'A) Base RI'!R218</f>
        <v>22602.1</v>
      </c>
      <c r="Y218" s="408">
        <f t="shared" si="23"/>
        <v>48767.7</v>
      </c>
      <c r="Z218" s="10">
        <f>+'A) Base RI'!N218</f>
        <v>0</v>
      </c>
      <c r="AA218" s="10">
        <f>'A) Base RI'!AO218</f>
        <v>206</v>
      </c>
    </row>
    <row r="219" spans="1:27" x14ac:dyDescent="0.25">
      <c r="A219" s="8">
        <f>'A) Base RI'!A219</f>
        <v>5748</v>
      </c>
      <c r="B219" s="32" t="str">
        <f>'A) Base RI'!B219</f>
        <v>Bretonnières</v>
      </c>
      <c r="C219" s="10">
        <f>'A) Base RI'!C219+'A) Base RI'!D219</f>
        <v>363718.05</v>
      </c>
      <c r="D219" s="10">
        <f>'A) Base RI'!AP219</f>
        <v>-11543.63</v>
      </c>
      <c r="E219" s="402">
        <f>'A) Base RI'!AQ219</f>
        <v>0</v>
      </c>
      <c r="F219" s="402">
        <f>'A) Base RI'!AR219</f>
        <v>0</v>
      </c>
      <c r="G219" s="408">
        <f t="shared" si="18"/>
        <v>352174.42</v>
      </c>
      <c r="H219" s="10">
        <f>+'A) Base RI'!E219</f>
        <v>0</v>
      </c>
      <c r="I219" s="10">
        <f>+'A) Base RI'!F219</f>
        <v>2130</v>
      </c>
      <c r="J219" s="10">
        <f>+'A) Base RI'!G219+'A) Base RI'!H219+'A) Base RI'!X219</f>
        <v>3994.01</v>
      </c>
      <c r="K219" s="10">
        <f>+'A) Base RI'!I219</f>
        <v>0</v>
      </c>
      <c r="L219" s="10">
        <f>+'A) Base RI'!J219</f>
        <v>193.7</v>
      </c>
      <c r="M219" s="10">
        <f>+'A) Base RI'!K219</f>
        <v>0</v>
      </c>
      <c r="N219" s="10">
        <f>+'A) Base RI'!Q219</f>
        <v>12216.72</v>
      </c>
      <c r="O219" s="10">
        <f t="shared" si="19"/>
        <v>37485.333333333336</v>
      </c>
      <c r="P219" s="10">
        <f>+'A) Base RI'!L219</f>
        <v>22491.200000000001</v>
      </c>
      <c r="Q219" s="416">
        <f>'A) Base RI'!AS219</f>
        <v>0.6</v>
      </c>
      <c r="R219" s="408">
        <f t="shared" si="20"/>
        <v>408194.18333333329</v>
      </c>
      <c r="S219" s="482">
        <f>+'A) Base RI'!AN219</f>
        <v>70.5</v>
      </c>
      <c r="T219" s="408">
        <f t="shared" si="21"/>
        <v>368578.85</v>
      </c>
      <c r="U219" s="408">
        <f t="shared" si="22"/>
        <v>5789.9884160756492</v>
      </c>
      <c r="V219" s="10">
        <f>+'A) Base RI'!O219</f>
        <v>0</v>
      </c>
      <c r="W219" s="10">
        <f>+'A) Base RI'!P219</f>
        <v>7315</v>
      </c>
      <c r="X219" s="10">
        <f>+'A) Base RI'!R219</f>
        <v>21476.05</v>
      </c>
      <c r="Y219" s="408">
        <f t="shared" si="23"/>
        <v>28791.05</v>
      </c>
      <c r="Z219" s="10">
        <f>+'A) Base RI'!N219</f>
        <v>0</v>
      </c>
      <c r="AA219" s="10">
        <f>'A) Base RI'!AO219</f>
        <v>268</v>
      </c>
    </row>
    <row r="220" spans="1:27" x14ac:dyDescent="0.25">
      <c r="A220" s="8">
        <f>'A) Base RI'!A220</f>
        <v>5749</v>
      </c>
      <c r="B220" s="32" t="str">
        <f>'A) Base RI'!B220</f>
        <v>Chavornay</v>
      </c>
      <c r="C220" s="10">
        <f>'A) Base RI'!C220+'A) Base RI'!D220</f>
        <v>8799982.25</v>
      </c>
      <c r="D220" s="10">
        <f>'A) Base RI'!AP220</f>
        <v>-272346.67</v>
      </c>
      <c r="E220" s="402">
        <f>'A) Base RI'!AQ220</f>
        <v>0</v>
      </c>
      <c r="F220" s="402">
        <f>'A) Base RI'!AR220</f>
        <v>-3645.56</v>
      </c>
      <c r="G220" s="408">
        <f t="shared" si="18"/>
        <v>8523990.0199999996</v>
      </c>
      <c r="H220" s="10">
        <f>+'A) Base RI'!E220</f>
        <v>0</v>
      </c>
      <c r="I220" s="10">
        <f>+'A) Base RI'!F220</f>
        <v>0</v>
      </c>
      <c r="J220" s="10">
        <f>+'A) Base RI'!G220+'A) Base RI'!H220+'A) Base RI'!X220</f>
        <v>147028.80999999988</v>
      </c>
      <c r="K220" s="10">
        <f>+'A) Base RI'!I220</f>
        <v>0</v>
      </c>
      <c r="L220" s="10">
        <f>+'A) Base RI'!J220</f>
        <v>210085.08</v>
      </c>
      <c r="M220" s="10">
        <f>+'A) Base RI'!K220</f>
        <v>49595.7</v>
      </c>
      <c r="N220" s="10">
        <f>+'A) Base RI'!Q220</f>
        <v>153959.79999999999</v>
      </c>
      <c r="O220" s="10">
        <f t="shared" si="19"/>
        <v>833055.5</v>
      </c>
      <c r="P220" s="10">
        <f>+'A) Base RI'!L220</f>
        <v>833055.5</v>
      </c>
      <c r="Q220" s="416">
        <f>'A) Base RI'!AS220</f>
        <v>1</v>
      </c>
      <c r="R220" s="408">
        <f t="shared" si="20"/>
        <v>9917714.9100000001</v>
      </c>
      <c r="S220" s="482">
        <f>+'A) Base RI'!AN220</f>
        <v>70.5</v>
      </c>
      <c r="T220" s="408">
        <f t="shared" si="21"/>
        <v>9035063.7100000009</v>
      </c>
      <c r="U220" s="408">
        <f t="shared" si="22"/>
        <v>140676.80723404256</v>
      </c>
      <c r="V220" s="10">
        <f>+'A) Base RI'!O220</f>
        <v>121500</v>
      </c>
      <c r="W220" s="10">
        <f>+'A) Base RI'!P220</f>
        <v>392838.5</v>
      </c>
      <c r="X220" s="10">
        <f>+'A) Base RI'!R220</f>
        <v>232311.1</v>
      </c>
      <c r="Y220" s="408">
        <f t="shared" si="23"/>
        <v>746649.59999999998</v>
      </c>
      <c r="Z220" s="10">
        <f>+'A) Base RI'!N220</f>
        <v>712723.2</v>
      </c>
      <c r="AA220" s="10">
        <f>'A) Base RI'!AO220</f>
        <v>5227</v>
      </c>
    </row>
    <row r="221" spans="1:27" x14ac:dyDescent="0.25">
      <c r="A221" s="8">
        <f>'A) Base RI'!A221</f>
        <v>5750</v>
      </c>
      <c r="B221" s="32" t="str">
        <f>'A) Base RI'!B221</f>
        <v>Les Clées</v>
      </c>
      <c r="C221" s="10">
        <f>'A) Base RI'!C221+'A) Base RI'!D221</f>
        <v>467724.95</v>
      </c>
      <c r="D221" s="10">
        <f>'A) Base RI'!AP221</f>
        <v>-7429.7</v>
      </c>
      <c r="E221" s="402">
        <f>'A) Base RI'!AQ221</f>
        <v>0</v>
      </c>
      <c r="F221" s="402">
        <f>'A) Base RI'!AR221</f>
        <v>-1085.29</v>
      </c>
      <c r="G221" s="408">
        <f t="shared" si="18"/>
        <v>459209.96</v>
      </c>
      <c r="H221" s="10">
        <f>+'A) Base RI'!E221</f>
        <v>0</v>
      </c>
      <c r="I221" s="10">
        <f>+'A) Base RI'!F221</f>
        <v>1130</v>
      </c>
      <c r="J221" s="10">
        <f>+'A) Base RI'!G221+'A) Base RI'!H221+'A) Base RI'!X221</f>
        <v>-77.05</v>
      </c>
      <c r="K221" s="10">
        <f>+'A) Base RI'!I221</f>
        <v>0</v>
      </c>
      <c r="L221" s="10">
        <f>+'A) Base RI'!J221</f>
        <v>-3129.71</v>
      </c>
      <c r="M221" s="10">
        <f>+'A) Base RI'!K221</f>
        <v>15.55</v>
      </c>
      <c r="N221" s="10">
        <f>+'A) Base RI'!Q221</f>
        <v>3011.5</v>
      </c>
      <c r="O221" s="10">
        <f t="shared" si="19"/>
        <v>22875.25</v>
      </c>
      <c r="P221" s="10">
        <f>+'A) Base RI'!L221</f>
        <v>13725.15</v>
      </c>
      <c r="Q221" s="416">
        <f>'A) Base RI'!AS221</f>
        <v>0.6</v>
      </c>
      <c r="R221" s="408">
        <f t="shared" si="20"/>
        <v>483035.5</v>
      </c>
      <c r="S221" s="482">
        <f>+'A) Base RI'!AN221</f>
        <v>80</v>
      </c>
      <c r="T221" s="408">
        <f t="shared" si="21"/>
        <v>459014.7</v>
      </c>
      <c r="U221" s="408">
        <f t="shared" si="22"/>
        <v>6037.9437500000004</v>
      </c>
      <c r="V221" s="10">
        <f>+'A) Base RI'!O221</f>
        <v>15.7</v>
      </c>
      <c r="W221" s="10">
        <f>+'A) Base RI'!P221</f>
        <v>1080.95</v>
      </c>
      <c r="X221" s="10">
        <f>+'A) Base RI'!R221</f>
        <v>0</v>
      </c>
      <c r="Y221" s="408">
        <f t="shared" si="23"/>
        <v>1096.6500000000001</v>
      </c>
      <c r="Z221" s="10">
        <f>+'A) Base RI'!N221</f>
        <v>7784.9</v>
      </c>
      <c r="AA221" s="10">
        <f>'A) Base RI'!AO221</f>
        <v>187</v>
      </c>
    </row>
    <row r="222" spans="1:27" x14ac:dyDescent="0.25">
      <c r="A222" s="8">
        <f>'A) Base RI'!A222</f>
        <v>5752</v>
      </c>
      <c r="B222" s="32" t="str">
        <f>'A) Base RI'!B222</f>
        <v>Croy</v>
      </c>
      <c r="C222" s="10">
        <f>'A) Base RI'!C222+'A) Base RI'!D222</f>
        <v>636258.16999999993</v>
      </c>
      <c r="D222" s="10">
        <f>'A) Base RI'!AP222</f>
        <v>-23961.74</v>
      </c>
      <c r="E222" s="402">
        <f>'A) Base RI'!AQ222</f>
        <v>0</v>
      </c>
      <c r="F222" s="402">
        <f>'A) Base RI'!AR222</f>
        <v>-67.73</v>
      </c>
      <c r="G222" s="408">
        <f t="shared" si="18"/>
        <v>612228.69999999995</v>
      </c>
      <c r="H222" s="10">
        <f>+'A) Base RI'!E222</f>
        <v>0</v>
      </c>
      <c r="I222" s="10">
        <f>+'A) Base RI'!F222</f>
        <v>0</v>
      </c>
      <c r="J222" s="10">
        <f>+'A) Base RI'!G222+'A) Base RI'!H222+'A) Base RI'!X222</f>
        <v>12558.24</v>
      </c>
      <c r="K222" s="10">
        <f>+'A) Base RI'!I222</f>
        <v>0</v>
      </c>
      <c r="L222" s="10">
        <f>+'A) Base RI'!J222</f>
        <v>10649.79</v>
      </c>
      <c r="M222" s="10">
        <f>+'A) Base RI'!K222</f>
        <v>833.4</v>
      </c>
      <c r="N222" s="10">
        <f>+'A) Base RI'!Q222</f>
        <v>0</v>
      </c>
      <c r="O222" s="10">
        <f t="shared" si="19"/>
        <v>60572.857142857145</v>
      </c>
      <c r="P222" s="10">
        <f>+'A) Base RI'!L222</f>
        <v>42401</v>
      </c>
      <c r="Q222" s="416">
        <f>'A) Base RI'!AS222</f>
        <v>0.7</v>
      </c>
      <c r="R222" s="408">
        <f t="shared" si="20"/>
        <v>696842.98714285716</v>
      </c>
      <c r="S222" s="482">
        <f>+'A) Base RI'!AN222</f>
        <v>74</v>
      </c>
      <c r="T222" s="408">
        <f t="shared" si="21"/>
        <v>635436.73</v>
      </c>
      <c r="U222" s="408">
        <f t="shared" si="22"/>
        <v>9416.7971235521236</v>
      </c>
      <c r="V222" s="10">
        <f>+'A) Base RI'!O222</f>
        <v>1430.1</v>
      </c>
      <c r="W222" s="10">
        <f>+'A) Base RI'!P222</f>
        <v>20277.599999999999</v>
      </c>
      <c r="X222" s="10">
        <f>+'A) Base RI'!R222</f>
        <v>25630.6</v>
      </c>
      <c r="Y222" s="408">
        <f t="shared" si="23"/>
        <v>47338.299999999996</v>
      </c>
      <c r="Z222" s="10">
        <f>+'A) Base RI'!N222</f>
        <v>34854.65</v>
      </c>
      <c r="AA222" s="10">
        <f>'A) Base RI'!AO222</f>
        <v>397</v>
      </c>
    </row>
    <row r="223" spans="1:27" x14ac:dyDescent="0.25">
      <c r="A223" s="8">
        <f>'A) Base RI'!A223</f>
        <v>5754</v>
      </c>
      <c r="B223" s="32" t="str">
        <f>'A) Base RI'!B223</f>
        <v>Juriens</v>
      </c>
      <c r="C223" s="10">
        <f>'A) Base RI'!C223+'A) Base RI'!D223</f>
        <v>587230.06000000006</v>
      </c>
      <c r="D223" s="10">
        <f>'A) Base RI'!AP223</f>
        <v>705.93</v>
      </c>
      <c r="E223" s="402">
        <f>'A) Base RI'!AQ223</f>
        <v>0</v>
      </c>
      <c r="F223" s="402">
        <f>'A) Base RI'!AR223</f>
        <v>-85.63</v>
      </c>
      <c r="G223" s="408">
        <f t="shared" si="18"/>
        <v>587850.3600000001</v>
      </c>
      <c r="H223" s="10">
        <f>+'A) Base RI'!E223</f>
        <v>0</v>
      </c>
      <c r="I223" s="10">
        <f>+'A) Base RI'!F223</f>
        <v>0</v>
      </c>
      <c r="J223" s="10">
        <f>+'A) Base RI'!G223+'A) Base RI'!H223+'A) Base RI'!X223</f>
        <v>2142.1799999999998</v>
      </c>
      <c r="K223" s="10">
        <f>+'A) Base RI'!I223</f>
        <v>0</v>
      </c>
      <c r="L223" s="10">
        <f>+'A) Base RI'!J223</f>
        <v>2830.32</v>
      </c>
      <c r="M223" s="10">
        <f>+'A) Base RI'!K223</f>
        <v>1588.5</v>
      </c>
      <c r="N223" s="10">
        <f>+'A) Base RI'!Q223</f>
        <v>-837.37</v>
      </c>
      <c r="O223" s="10">
        <f t="shared" si="19"/>
        <v>41885.1</v>
      </c>
      <c r="P223" s="10">
        <f>+'A) Base RI'!L223</f>
        <v>41885.1</v>
      </c>
      <c r="Q223" s="416">
        <f>'A) Base RI'!AS223</f>
        <v>1</v>
      </c>
      <c r="R223" s="408">
        <f t="shared" si="20"/>
        <v>635459.09000000008</v>
      </c>
      <c r="S223" s="482">
        <f>+'A) Base RI'!AN223</f>
        <v>79</v>
      </c>
      <c r="T223" s="408">
        <f t="shared" si="21"/>
        <v>591985.49000000011</v>
      </c>
      <c r="U223" s="408">
        <f t="shared" si="22"/>
        <v>8043.7859493670894</v>
      </c>
      <c r="V223" s="10">
        <f>+'A) Base RI'!O223</f>
        <v>1386</v>
      </c>
      <c r="W223" s="10">
        <f>+'A) Base RI'!P223</f>
        <v>21175</v>
      </c>
      <c r="X223" s="10">
        <f>+'A) Base RI'!R223</f>
        <v>1849.15</v>
      </c>
      <c r="Y223" s="408">
        <f t="shared" si="23"/>
        <v>24410.15</v>
      </c>
      <c r="Z223" s="10">
        <f>+'A) Base RI'!N223</f>
        <v>0</v>
      </c>
      <c r="AA223" s="10">
        <f>'A) Base RI'!AO223</f>
        <v>336</v>
      </c>
    </row>
    <row r="224" spans="1:27" x14ac:dyDescent="0.25">
      <c r="A224" s="8">
        <f>'A) Base RI'!A224</f>
        <v>5755</v>
      </c>
      <c r="B224" s="32" t="str">
        <f>'A) Base RI'!B224</f>
        <v>Lignerolle</v>
      </c>
      <c r="C224" s="10">
        <f>'A) Base RI'!C224+'A) Base RI'!D224</f>
        <v>637041.67999999993</v>
      </c>
      <c r="D224" s="10">
        <f>'A) Base RI'!AP224</f>
        <v>-2212.75</v>
      </c>
      <c r="E224" s="402">
        <f>'A) Base RI'!AQ224</f>
        <v>0</v>
      </c>
      <c r="F224" s="402">
        <f>'A) Base RI'!AR224</f>
        <v>0</v>
      </c>
      <c r="G224" s="408">
        <f t="shared" si="18"/>
        <v>634828.92999999993</v>
      </c>
      <c r="H224" s="10">
        <f>+'A) Base RI'!E224</f>
        <v>0</v>
      </c>
      <c r="I224" s="10">
        <f>+'A) Base RI'!F224</f>
        <v>0</v>
      </c>
      <c r="J224" s="10">
        <f>+'A) Base RI'!G224+'A) Base RI'!H224+'A) Base RI'!X224</f>
        <v>8488.41</v>
      </c>
      <c r="K224" s="10">
        <f>+'A) Base RI'!I224</f>
        <v>0</v>
      </c>
      <c r="L224" s="10">
        <f>+'A) Base RI'!J224</f>
        <v>2001.7</v>
      </c>
      <c r="M224" s="10">
        <f>+'A) Base RI'!K224</f>
        <v>2533.1</v>
      </c>
      <c r="N224" s="10">
        <f>+'A) Base RI'!Q224</f>
        <v>355.56</v>
      </c>
      <c r="O224" s="10">
        <f t="shared" si="19"/>
        <v>62631.285714285717</v>
      </c>
      <c r="P224" s="10">
        <f>+'A) Base RI'!L224</f>
        <v>43841.9</v>
      </c>
      <c r="Q224" s="416">
        <f>'A) Base RI'!AS224</f>
        <v>0.7</v>
      </c>
      <c r="R224" s="408">
        <f t="shared" si="20"/>
        <v>710838.98571428563</v>
      </c>
      <c r="S224" s="482">
        <f>+'A) Base RI'!AN224</f>
        <v>78.5</v>
      </c>
      <c r="T224" s="408">
        <f t="shared" si="21"/>
        <v>645674.6</v>
      </c>
      <c r="U224" s="408">
        <f t="shared" si="22"/>
        <v>9055.2737033666963</v>
      </c>
      <c r="V224" s="10">
        <f>+'A) Base RI'!O224</f>
        <v>251932.6</v>
      </c>
      <c r="W224" s="10">
        <f>+'A) Base RI'!P224</f>
        <v>7650.5</v>
      </c>
      <c r="X224" s="10">
        <f>+'A) Base RI'!R224</f>
        <v>11972.4</v>
      </c>
      <c r="Y224" s="408">
        <f t="shared" si="23"/>
        <v>271555.5</v>
      </c>
      <c r="Z224" s="10">
        <f>+'A) Base RI'!N224</f>
        <v>23527.15</v>
      </c>
      <c r="AA224" s="10">
        <f>'A) Base RI'!AO224</f>
        <v>435</v>
      </c>
    </row>
    <row r="225" spans="1:27" x14ac:dyDescent="0.25">
      <c r="A225" s="8">
        <f>'A) Base RI'!A225</f>
        <v>5756</v>
      </c>
      <c r="B225" s="32" t="str">
        <f>'A) Base RI'!B225</f>
        <v>Montcherand</v>
      </c>
      <c r="C225" s="10">
        <f>'A) Base RI'!C225+'A) Base RI'!D225</f>
        <v>1029609.37</v>
      </c>
      <c r="D225" s="10">
        <f>'A) Base RI'!AP225</f>
        <v>-9371.33</v>
      </c>
      <c r="E225" s="402">
        <f>'A) Base RI'!AQ225</f>
        <v>0</v>
      </c>
      <c r="F225" s="402">
        <f>'A) Base RI'!AR225</f>
        <v>-1791.32</v>
      </c>
      <c r="G225" s="408">
        <f t="shared" si="18"/>
        <v>1018446.7200000001</v>
      </c>
      <c r="H225" s="10">
        <f>+'A) Base RI'!E225</f>
        <v>0</v>
      </c>
      <c r="I225" s="10">
        <f>+'A) Base RI'!F225</f>
        <v>0</v>
      </c>
      <c r="J225" s="10">
        <f>+'A) Base RI'!G225+'A) Base RI'!H225+'A) Base RI'!X225</f>
        <v>19442.45</v>
      </c>
      <c r="K225" s="10">
        <f>+'A) Base RI'!I225</f>
        <v>0</v>
      </c>
      <c r="L225" s="10">
        <f>+'A) Base RI'!J225</f>
        <v>7518.7</v>
      </c>
      <c r="M225" s="10">
        <f>+'A) Base RI'!K225</f>
        <v>-349.6</v>
      </c>
      <c r="N225" s="10">
        <f>+'A) Base RI'!Q225</f>
        <v>2224.9499999999998</v>
      </c>
      <c r="O225" s="10">
        <f t="shared" si="19"/>
        <v>87315</v>
      </c>
      <c r="P225" s="10">
        <f>+'A) Base RI'!L225</f>
        <v>87315</v>
      </c>
      <c r="Q225" s="416">
        <f>'A) Base RI'!AS225</f>
        <v>1</v>
      </c>
      <c r="R225" s="408">
        <f t="shared" si="20"/>
        <v>1134598.22</v>
      </c>
      <c r="S225" s="482">
        <f>+'A) Base RI'!AN225</f>
        <v>72</v>
      </c>
      <c r="T225" s="408">
        <f t="shared" si="21"/>
        <v>1047632.82</v>
      </c>
      <c r="U225" s="408">
        <f t="shared" si="22"/>
        <v>15758.308611111112</v>
      </c>
      <c r="V225" s="10">
        <f>+'A) Base RI'!O225</f>
        <v>0</v>
      </c>
      <c r="W225" s="10">
        <f>+'A) Base RI'!P225</f>
        <v>38445</v>
      </c>
      <c r="X225" s="10">
        <f>+'A) Base RI'!R225</f>
        <v>49479.25</v>
      </c>
      <c r="Y225" s="408">
        <f t="shared" si="23"/>
        <v>87924.25</v>
      </c>
      <c r="Z225" s="10">
        <f>+'A) Base RI'!N225</f>
        <v>34587.5</v>
      </c>
      <c r="AA225" s="10">
        <f>'A) Base RI'!AO225</f>
        <v>506</v>
      </c>
    </row>
    <row r="226" spans="1:27" x14ac:dyDescent="0.25">
      <c r="A226" s="8">
        <f>'A) Base RI'!A226</f>
        <v>5757</v>
      </c>
      <c r="B226" s="32" t="str">
        <f>'A) Base RI'!B226</f>
        <v>Orbe</v>
      </c>
      <c r="C226" s="10">
        <f>'A) Base RI'!C226+'A) Base RI'!D226</f>
        <v>12293958.949999999</v>
      </c>
      <c r="D226" s="10">
        <f>'A) Base RI'!AP226</f>
        <v>-281564.02</v>
      </c>
      <c r="E226" s="402">
        <f>'A) Base RI'!AQ226</f>
        <v>0</v>
      </c>
      <c r="F226" s="402">
        <f>'A) Base RI'!AR226</f>
        <v>-2912.13</v>
      </c>
      <c r="G226" s="408">
        <f t="shared" si="18"/>
        <v>12009482.799999999</v>
      </c>
      <c r="H226" s="10">
        <f>+'A) Base RI'!E226</f>
        <v>0</v>
      </c>
      <c r="I226" s="10">
        <f>+'A) Base RI'!F226</f>
        <v>0</v>
      </c>
      <c r="J226" s="10">
        <f>+'A) Base RI'!G226+'A) Base RI'!H226+'A) Base RI'!X226</f>
        <v>1185696.78</v>
      </c>
      <c r="K226" s="10">
        <f>+'A) Base RI'!I226</f>
        <v>0</v>
      </c>
      <c r="L226" s="10">
        <f>+'A) Base RI'!J226</f>
        <v>437458.61</v>
      </c>
      <c r="M226" s="10">
        <f>+'A) Base RI'!K226</f>
        <v>171329.3</v>
      </c>
      <c r="N226" s="10">
        <f>+'A) Base RI'!Q226</f>
        <v>22444.84</v>
      </c>
      <c r="O226" s="10">
        <f t="shared" si="19"/>
        <v>1559237</v>
      </c>
      <c r="P226" s="10">
        <f>+'A) Base RI'!L226</f>
        <v>1559237</v>
      </c>
      <c r="Q226" s="416">
        <f>'A) Base RI'!AS226</f>
        <v>1</v>
      </c>
      <c r="R226" s="408">
        <f t="shared" si="20"/>
        <v>15385649.329999998</v>
      </c>
      <c r="S226" s="482">
        <f>+'A) Base RI'!AN226</f>
        <v>75.5</v>
      </c>
      <c r="T226" s="408">
        <f t="shared" si="21"/>
        <v>13655083.029999997</v>
      </c>
      <c r="U226" s="408">
        <f t="shared" si="22"/>
        <v>203783.43483443707</v>
      </c>
      <c r="V226" s="10">
        <f>+'A) Base RI'!O226</f>
        <v>201441.5</v>
      </c>
      <c r="W226" s="10">
        <f>+'A) Base RI'!P226</f>
        <v>769220.45</v>
      </c>
      <c r="X226" s="10">
        <f>+'A) Base RI'!R226</f>
        <v>235922.25</v>
      </c>
      <c r="Y226" s="408">
        <f t="shared" si="23"/>
        <v>1206584.2</v>
      </c>
      <c r="Z226" s="10">
        <f>+'A) Base RI'!N226</f>
        <v>2913726.35</v>
      </c>
      <c r="AA226" s="10">
        <f>'A) Base RI'!AO226</f>
        <v>7124</v>
      </c>
    </row>
    <row r="227" spans="1:27" x14ac:dyDescent="0.25">
      <c r="A227" s="8">
        <f>'A) Base RI'!A227</f>
        <v>5758</v>
      </c>
      <c r="B227" s="32" t="str">
        <f>'A) Base RI'!B227</f>
        <v>La Praz</v>
      </c>
      <c r="C227" s="10">
        <f>'A) Base RI'!C227+'A) Base RI'!D227</f>
        <v>319010.27999999997</v>
      </c>
      <c r="D227" s="10">
        <f>'A) Base RI'!AP227</f>
        <v>-249.75</v>
      </c>
      <c r="E227" s="402">
        <f>'A) Base RI'!AQ227</f>
        <v>0</v>
      </c>
      <c r="F227" s="402">
        <f>'A) Base RI'!AR227</f>
        <v>0</v>
      </c>
      <c r="G227" s="408">
        <f t="shared" si="18"/>
        <v>318760.52999999997</v>
      </c>
      <c r="H227" s="10">
        <f>+'A) Base RI'!E227</f>
        <v>0</v>
      </c>
      <c r="I227" s="10">
        <f>+'A) Base RI'!F227</f>
        <v>920</v>
      </c>
      <c r="J227" s="10">
        <f>+'A) Base RI'!G227+'A) Base RI'!H227+'A) Base RI'!X227</f>
        <v>7027.55</v>
      </c>
      <c r="K227" s="10">
        <f>+'A) Base RI'!I227</f>
        <v>0</v>
      </c>
      <c r="L227" s="10">
        <f>+'A) Base RI'!J227</f>
        <v>3129.12</v>
      </c>
      <c r="M227" s="10">
        <f>+'A) Base RI'!K227</f>
        <v>0</v>
      </c>
      <c r="N227" s="10">
        <f>+'A) Base RI'!Q227</f>
        <v>0</v>
      </c>
      <c r="O227" s="10">
        <f t="shared" si="19"/>
        <v>28174.5</v>
      </c>
      <c r="P227" s="10">
        <f>+'A) Base RI'!L227</f>
        <v>25357.05</v>
      </c>
      <c r="Q227" s="416">
        <f>'A) Base RI'!AS227</f>
        <v>0.9</v>
      </c>
      <c r="R227" s="408">
        <f t="shared" si="20"/>
        <v>358011.69999999995</v>
      </c>
      <c r="S227" s="482">
        <f>+'A) Base RI'!AN227</f>
        <v>83</v>
      </c>
      <c r="T227" s="408">
        <f t="shared" si="21"/>
        <v>328917.19999999995</v>
      </c>
      <c r="U227" s="408">
        <f t="shared" si="22"/>
        <v>4313.3939759036139</v>
      </c>
      <c r="V227" s="10">
        <f>+'A) Base RI'!O227</f>
        <v>2917.6</v>
      </c>
      <c r="W227" s="10">
        <f>+'A) Base RI'!P227</f>
        <v>17141.55</v>
      </c>
      <c r="X227" s="10">
        <f>+'A) Base RI'!R227</f>
        <v>874.8</v>
      </c>
      <c r="Y227" s="408">
        <f t="shared" si="23"/>
        <v>20933.949999999997</v>
      </c>
      <c r="Z227" s="10">
        <f>+'A) Base RI'!N227</f>
        <v>6425.4</v>
      </c>
      <c r="AA227" s="10">
        <f>'A) Base RI'!AO227</f>
        <v>175</v>
      </c>
    </row>
    <row r="228" spans="1:27" x14ac:dyDescent="0.25">
      <c r="A228" s="8">
        <f>'A) Base RI'!A228</f>
        <v>5759</v>
      </c>
      <c r="B228" s="32" t="str">
        <f>'A) Base RI'!B228</f>
        <v>Premier</v>
      </c>
      <c r="C228" s="10">
        <f>'A) Base RI'!C228+'A) Base RI'!D228</f>
        <v>383041.89</v>
      </c>
      <c r="D228" s="10">
        <f>'A) Base RI'!AP228</f>
        <v>-8201.16</v>
      </c>
      <c r="E228" s="402">
        <f>'A) Base RI'!AQ228</f>
        <v>0</v>
      </c>
      <c r="F228" s="402">
        <f>'A) Base RI'!AR228</f>
        <v>-543.04</v>
      </c>
      <c r="G228" s="408">
        <f t="shared" si="18"/>
        <v>374297.69000000006</v>
      </c>
      <c r="H228" s="10">
        <f>+'A) Base RI'!E228</f>
        <v>0</v>
      </c>
      <c r="I228" s="10">
        <f>+'A) Base RI'!F228</f>
        <v>0</v>
      </c>
      <c r="J228" s="10">
        <f>+'A) Base RI'!G228+'A) Base RI'!H228+'A) Base RI'!X228</f>
        <v>980.29</v>
      </c>
      <c r="K228" s="10">
        <f>+'A) Base RI'!I228</f>
        <v>0</v>
      </c>
      <c r="L228" s="10">
        <f>+'A) Base RI'!J228</f>
        <v>2926.91</v>
      </c>
      <c r="M228" s="10">
        <f>+'A) Base RI'!K228</f>
        <v>242.95</v>
      </c>
      <c r="N228" s="10">
        <f>+'A) Base RI'!Q228</f>
        <v>12976.44</v>
      </c>
      <c r="O228" s="10">
        <f t="shared" si="19"/>
        <v>30520.7</v>
      </c>
      <c r="P228" s="10">
        <f>+'A) Base RI'!L228</f>
        <v>30520.7</v>
      </c>
      <c r="Q228" s="416">
        <f>'A) Base RI'!AS228</f>
        <v>1</v>
      </c>
      <c r="R228" s="408">
        <f t="shared" si="20"/>
        <v>421944.98000000004</v>
      </c>
      <c r="S228" s="482">
        <f>+'A) Base RI'!AN228</f>
        <v>79.5</v>
      </c>
      <c r="T228" s="408">
        <f t="shared" si="21"/>
        <v>391181.33</v>
      </c>
      <c r="U228" s="408">
        <f t="shared" si="22"/>
        <v>5307.4840251572332</v>
      </c>
      <c r="V228" s="10">
        <f>+'A) Base RI'!O228</f>
        <v>0</v>
      </c>
      <c r="W228" s="10">
        <f>+'A) Base RI'!P228</f>
        <v>22605</v>
      </c>
      <c r="X228" s="10">
        <f>+'A) Base RI'!R228</f>
        <v>17548.650000000001</v>
      </c>
      <c r="Y228" s="408">
        <f t="shared" si="23"/>
        <v>40153.65</v>
      </c>
      <c r="Z228" s="10">
        <f>+'A) Base RI'!N228</f>
        <v>1530.1</v>
      </c>
      <c r="AA228" s="10">
        <f>'A) Base RI'!AO228</f>
        <v>218</v>
      </c>
    </row>
    <row r="229" spans="1:27" x14ac:dyDescent="0.25">
      <c r="A229" s="8">
        <f>'A) Base RI'!A229</f>
        <v>5760</v>
      </c>
      <c r="B229" s="32" t="str">
        <f>'A) Base RI'!B229</f>
        <v>Rances</v>
      </c>
      <c r="C229" s="10">
        <f>'A) Base RI'!C229+'A) Base RI'!D229</f>
        <v>918442.07</v>
      </c>
      <c r="D229" s="10">
        <f>'A) Base RI'!AP229</f>
        <v>-25144.9</v>
      </c>
      <c r="E229" s="402">
        <f>'A) Base RI'!AQ229</f>
        <v>0</v>
      </c>
      <c r="F229" s="402">
        <f>'A) Base RI'!AR229</f>
        <v>-1893.53</v>
      </c>
      <c r="G229" s="408">
        <f t="shared" si="18"/>
        <v>891403.6399999999</v>
      </c>
      <c r="H229" s="10">
        <f>+'A) Base RI'!E229</f>
        <v>0</v>
      </c>
      <c r="I229" s="10">
        <f>+'A) Base RI'!F229</f>
        <v>0</v>
      </c>
      <c r="J229" s="10">
        <f>+'A) Base RI'!G229+'A) Base RI'!H229+'A) Base RI'!X229</f>
        <v>3188.6</v>
      </c>
      <c r="K229" s="10">
        <f>+'A) Base RI'!I229</f>
        <v>0</v>
      </c>
      <c r="L229" s="10">
        <f>+'A) Base RI'!J229</f>
        <v>832.32</v>
      </c>
      <c r="M229" s="10">
        <f>+'A) Base RI'!K229</f>
        <v>0</v>
      </c>
      <c r="N229" s="10">
        <f>+'A) Base RI'!Q229</f>
        <v>10272.66</v>
      </c>
      <c r="O229" s="10">
        <f t="shared" si="19"/>
        <v>75493.233333333337</v>
      </c>
      <c r="P229" s="10">
        <f>+'A) Base RI'!L229</f>
        <v>113239.85</v>
      </c>
      <c r="Q229" s="416">
        <f>'A) Base RI'!AS229</f>
        <v>1.5</v>
      </c>
      <c r="R229" s="408">
        <f t="shared" si="20"/>
        <v>981190.45333333313</v>
      </c>
      <c r="S229" s="482">
        <f>+'A) Base RI'!AN229</f>
        <v>76.5</v>
      </c>
      <c r="T229" s="408">
        <f t="shared" si="21"/>
        <v>905697.21999999986</v>
      </c>
      <c r="U229" s="408">
        <f t="shared" si="22"/>
        <v>12826.018997821348</v>
      </c>
      <c r="V229" s="10">
        <f>+'A) Base RI'!O229</f>
        <v>11202.7</v>
      </c>
      <c r="W229" s="10">
        <f>+'A) Base RI'!P229</f>
        <v>44138.9</v>
      </c>
      <c r="X229" s="10">
        <f>+'A) Base RI'!R229</f>
        <v>40310.300000000003</v>
      </c>
      <c r="Y229" s="408">
        <f t="shared" si="23"/>
        <v>95651.900000000009</v>
      </c>
      <c r="Z229" s="10">
        <f>+'A) Base RI'!N229</f>
        <v>22152.05</v>
      </c>
      <c r="AA229" s="10">
        <f>'A) Base RI'!AO229</f>
        <v>513</v>
      </c>
    </row>
    <row r="230" spans="1:27" x14ac:dyDescent="0.25">
      <c r="A230" s="8">
        <f>'A) Base RI'!A230</f>
        <v>5761</v>
      </c>
      <c r="B230" s="32" t="str">
        <f>'A) Base RI'!B230</f>
        <v>Romainmôtier-Envy</v>
      </c>
      <c r="C230" s="10">
        <f>'A) Base RI'!C230+'A) Base RI'!D230</f>
        <v>903066.24</v>
      </c>
      <c r="D230" s="10">
        <f>'A) Base RI'!AP230</f>
        <v>-23743.54</v>
      </c>
      <c r="E230" s="402">
        <f>'A) Base RI'!AQ230</f>
        <v>0</v>
      </c>
      <c r="F230" s="402">
        <f>'A) Base RI'!AR230</f>
        <v>0</v>
      </c>
      <c r="G230" s="408">
        <f t="shared" si="18"/>
        <v>879322.7</v>
      </c>
      <c r="H230" s="10">
        <f>+'A) Base RI'!E230</f>
        <v>0</v>
      </c>
      <c r="I230" s="10">
        <f>+'A) Base RI'!F230</f>
        <v>0</v>
      </c>
      <c r="J230" s="10">
        <f>+'A) Base RI'!G230+'A) Base RI'!H230+'A) Base RI'!X230</f>
        <v>5124.09</v>
      </c>
      <c r="K230" s="10">
        <f>+'A) Base RI'!I230</f>
        <v>0</v>
      </c>
      <c r="L230" s="10">
        <f>+'A) Base RI'!J230</f>
        <v>11547.56</v>
      </c>
      <c r="M230" s="10">
        <f>+'A) Base RI'!K230</f>
        <v>3997.55</v>
      </c>
      <c r="N230" s="10">
        <f>+'A) Base RI'!Q230</f>
        <v>0</v>
      </c>
      <c r="O230" s="10">
        <f t="shared" si="19"/>
        <v>82943.454545454544</v>
      </c>
      <c r="P230" s="10">
        <f>+'A) Base RI'!L230</f>
        <v>91237.8</v>
      </c>
      <c r="Q230" s="416">
        <f>'A) Base RI'!AS230</f>
        <v>1.1000000000000001</v>
      </c>
      <c r="R230" s="408">
        <f t="shared" si="20"/>
        <v>982935.35454545461</v>
      </c>
      <c r="S230" s="482">
        <f>+'A) Base RI'!AN230</f>
        <v>81</v>
      </c>
      <c r="T230" s="408">
        <f t="shared" si="21"/>
        <v>895994.35</v>
      </c>
      <c r="U230" s="408">
        <f t="shared" si="22"/>
        <v>12135.004377104378</v>
      </c>
      <c r="V230" s="10">
        <f>+'A) Base RI'!O230</f>
        <v>8830.5</v>
      </c>
      <c r="W230" s="10">
        <f>+'A) Base RI'!P230</f>
        <v>77623.199999999997</v>
      </c>
      <c r="X230" s="10">
        <f>+'A) Base RI'!R230</f>
        <v>48004.25</v>
      </c>
      <c r="Y230" s="408">
        <f t="shared" si="23"/>
        <v>134457.95000000001</v>
      </c>
      <c r="Z230" s="10">
        <f>+'A) Base RI'!N230</f>
        <v>62764.25</v>
      </c>
      <c r="AA230" s="10">
        <f>'A) Base RI'!AO230</f>
        <v>525</v>
      </c>
    </row>
    <row r="231" spans="1:27" x14ac:dyDescent="0.25">
      <c r="A231" s="8">
        <f>'A) Base RI'!A231</f>
        <v>5762</v>
      </c>
      <c r="B231" s="32" t="str">
        <f>'A) Base RI'!B231</f>
        <v>Sergey</v>
      </c>
      <c r="C231" s="10">
        <f>'A) Base RI'!C231+'A) Base RI'!D231</f>
        <v>270626.64</v>
      </c>
      <c r="D231" s="10">
        <f>'A) Base RI'!AP231</f>
        <v>-62.44</v>
      </c>
      <c r="E231" s="402">
        <f>'A) Base RI'!AQ231</f>
        <v>0</v>
      </c>
      <c r="F231" s="402">
        <f>'A) Base RI'!AR231</f>
        <v>0</v>
      </c>
      <c r="G231" s="408">
        <f t="shared" si="18"/>
        <v>270564.2</v>
      </c>
      <c r="H231" s="10">
        <f>+'A) Base RI'!E231</f>
        <v>0</v>
      </c>
      <c r="I231" s="10">
        <f>+'A) Base RI'!F231</f>
        <v>0</v>
      </c>
      <c r="J231" s="10">
        <f>+'A) Base RI'!G231+'A) Base RI'!H231+'A) Base RI'!X231</f>
        <v>4218.5</v>
      </c>
      <c r="K231" s="10">
        <f>+'A) Base RI'!I231</f>
        <v>0</v>
      </c>
      <c r="L231" s="10">
        <f>+'A) Base RI'!J231</f>
        <v>-1087.5</v>
      </c>
      <c r="M231" s="10">
        <f>+'A) Base RI'!K231</f>
        <v>75</v>
      </c>
      <c r="N231" s="10">
        <f>+'A) Base RI'!Q231</f>
        <v>9.4</v>
      </c>
      <c r="O231" s="10">
        <f t="shared" si="19"/>
        <v>20516.599999999999</v>
      </c>
      <c r="P231" s="10">
        <f>+'A) Base RI'!L231</f>
        <v>20516.599999999999</v>
      </c>
      <c r="Q231" s="416">
        <f>'A) Base RI'!AS231</f>
        <v>1</v>
      </c>
      <c r="R231" s="408">
        <f t="shared" si="20"/>
        <v>294296.2</v>
      </c>
      <c r="S231" s="482">
        <f>+'A) Base RI'!AN231</f>
        <v>78</v>
      </c>
      <c r="T231" s="408">
        <f t="shared" si="21"/>
        <v>273704.60000000003</v>
      </c>
      <c r="U231" s="408">
        <f t="shared" si="22"/>
        <v>3773.0282051282052</v>
      </c>
      <c r="V231" s="10">
        <f>+'A) Base RI'!O231</f>
        <v>0</v>
      </c>
      <c r="W231" s="10">
        <f>+'A) Base RI'!P231</f>
        <v>0</v>
      </c>
      <c r="X231" s="10">
        <f>+'A) Base RI'!R231</f>
        <v>0</v>
      </c>
      <c r="Y231" s="408">
        <f t="shared" si="23"/>
        <v>0</v>
      </c>
      <c r="Z231" s="10">
        <f>+'A) Base RI'!N231</f>
        <v>0</v>
      </c>
      <c r="AA231" s="10">
        <f>'A) Base RI'!AO231</f>
        <v>145</v>
      </c>
    </row>
    <row r="232" spans="1:27" x14ac:dyDescent="0.25">
      <c r="A232" s="8">
        <f>'A) Base RI'!A232</f>
        <v>5763</v>
      </c>
      <c r="B232" s="32" t="str">
        <f>'A) Base RI'!B232</f>
        <v>Valeyres-sous-Rances</v>
      </c>
      <c r="C232" s="10">
        <f>'A) Base RI'!C232+'A) Base RI'!D232</f>
        <v>1258816.48</v>
      </c>
      <c r="D232" s="10">
        <f>'A) Base RI'!AP232</f>
        <v>-6605.27</v>
      </c>
      <c r="E232" s="402">
        <f>'A) Base RI'!AQ232</f>
        <v>0</v>
      </c>
      <c r="F232" s="402">
        <f>'A) Base RI'!AR232</f>
        <v>-752.01</v>
      </c>
      <c r="G232" s="408">
        <f t="shared" si="18"/>
        <v>1251459.2</v>
      </c>
      <c r="H232" s="10">
        <f>+'A) Base RI'!E232</f>
        <v>0</v>
      </c>
      <c r="I232" s="10">
        <f>+'A) Base RI'!F232</f>
        <v>0</v>
      </c>
      <c r="J232" s="10">
        <f>+'A) Base RI'!G232+'A) Base RI'!H232+'A) Base RI'!X232</f>
        <v>19202.95</v>
      </c>
      <c r="K232" s="10">
        <f>+'A) Base RI'!I232</f>
        <v>0</v>
      </c>
      <c r="L232" s="10">
        <f>+'A) Base RI'!J232</f>
        <v>27278.89</v>
      </c>
      <c r="M232" s="10">
        <f>+'A) Base RI'!K232</f>
        <v>3988.7</v>
      </c>
      <c r="N232" s="10">
        <f>+'A) Base RI'!Q232</f>
        <v>0</v>
      </c>
      <c r="O232" s="10">
        <f t="shared" si="19"/>
        <v>88872.5</v>
      </c>
      <c r="P232" s="10">
        <f>+'A) Base RI'!L232</f>
        <v>88872.5</v>
      </c>
      <c r="Q232" s="416">
        <f>'A) Base RI'!AS232</f>
        <v>1</v>
      </c>
      <c r="R232" s="408">
        <f t="shared" si="20"/>
        <v>1390802.2399999998</v>
      </c>
      <c r="S232" s="482">
        <f>+'A) Base RI'!AN232</f>
        <v>68</v>
      </c>
      <c r="T232" s="408">
        <f t="shared" si="21"/>
        <v>1297941.0399999998</v>
      </c>
      <c r="U232" s="408">
        <f t="shared" si="22"/>
        <v>20452.974117647056</v>
      </c>
      <c r="V232" s="10">
        <f>+'A) Base RI'!O232</f>
        <v>0</v>
      </c>
      <c r="W232" s="10">
        <f>+'A) Base RI'!P232</f>
        <v>21871.35</v>
      </c>
      <c r="X232" s="10">
        <f>+'A) Base RI'!R232</f>
        <v>8235.85</v>
      </c>
      <c r="Y232" s="408">
        <f t="shared" si="23"/>
        <v>30107.199999999997</v>
      </c>
      <c r="Z232" s="10">
        <f>+'A) Base RI'!N232</f>
        <v>40842.1</v>
      </c>
      <c r="AA232" s="10">
        <f>'A) Base RI'!AO232</f>
        <v>609</v>
      </c>
    </row>
    <row r="233" spans="1:27" x14ac:dyDescent="0.25">
      <c r="A233" s="8">
        <f>'A) Base RI'!A233</f>
        <v>5764</v>
      </c>
      <c r="B233" s="32" t="str">
        <f>'A) Base RI'!B233</f>
        <v>Vallorbe</v>
      </c>
      <c r="C233" s="10">
        <f>'A) Base RI'!C233+'A) Base RI'!D233</f>
        <v>5100310.6900000004</v>
      </c>
      <c r="D233" s="10">
        <f>'A) Base RI'!AP233</f>
        <v>-191456.46</v>
      </c>
      <c r="E233" s="402">
        <f>'A) Base RI'!AQ233</f>
        <v>0</v>
      </c>
      <c r="F233" s="402">
        <f>'A) Base RI'!AR233</f>
        <v>-3532.07</v>
      </c>
      <c r="G233" s="408">
        <f t="shared" si="18"/>
        <v>4905322.16</v>
      </c>
      <c r="H233" s="10">
        <f>+'A) Base RI'!E233</f>
        <v>0</v>
      </c>
      <c r="I233" s="10">
        <f>+'A) Base RI'!F233</f>
        <v>0</v>
      </c>
      <c r="J233" s="10">
        <f>+'A) Base RI'!G233+'A) Base RI'!H233+'A) Base RI'!X233</f>
        <v>373828.01999999996</v>
      </c>
      <c r="K233" s="10">
        <f>+'A) Base RI'!I233</f>
        <v>0</v>
      </c>
      <c r="L233" s="10">
        <f>+'A) Base RI'!J233</f>
        <v>215461.1</v>
      </c>
      <c r="M233" s="10">
        <f>+'A) Base RI'!K233</f>
        <v>40595.599999999999</v>
      </c>
      <c r="N233" s="10">
        <f>+'A) Base RI'!Q233</f>
        <v>29176.75</v>
      </c>
      <c r="O233" s="10">
        <f t="shared" si="19"/>
        <v>463831.75</v>
      </c>
      <c r="P233" s="10">
        <f>+'A) Base RI'!L233</f>
        <v>463831.75</v>
      </c>
      <c r="Q233" s="416">
        <f>'A) Base RI'!AS233</f>
        <v>1</v>
      </c>
      <c r="R233" s="408">
        <f t="shared" si="20"/>
        <v>6028215.379999999</v>
      </c>
      <c r="S233" s="482">
        <f>+'A) Base RI'!AN233</f>
        <v>71.5</v>
      </c>
      <c r="T233" s="408">
        <f t="shared" si="21"/>
        <v>5523788.0299999993</v>
      </c>
      <c r="U233" s="408">
        <f t="shared" si="22"/>
        <v>84310.704615384602</v>
      </c>
      <c r="V233" s="10">
        <f>+'A) Base RI'!O233</f>
        <v>135412.4</v>
      </c>
      <c r="W233" s="10">
        <f>+'A) Base RI'!P233</f>
        <v>164862.54999999999</v>
      </c>
      <c r="X233" s="10">
        <f>+'A) Base RI'!R233</f>
        <v>54187.95</v>
      </c>
      <c r="Y233" s="408">
        <f t="shared" si="23"/>
        <v>354462.89999999997</v>
      </c>
      <c r="Z233" s="10">
        <f>+'A) Base RI'!N233</f>
        <v>2315164.4</v>
      </c>
      <c r="AA233" s="10">
        <f>'A) Base RI'!AO233</f>
        <v>3874</v>
      </c>
    </row>
    <row r="234" spans="1:27" x14ac:dyDescent="0.25">
      <c r="A234" s="8">
        <f>'A) Base RI'!A234</f>
        <v>5765</v>
      </c>
      <c r="B234" s="32" t="str">
        <f>'A) Base RI'!B234</f>
        <v>Vaulion</v>
      </c>
      <c r="C234" s="10">
        <f>'A) Base RI'!C234+'A) Base RI'!D234</f>
        <v>845069.1</v>
      </c>
      <c r="D234" s="10">
        <f>'A) Base RI'!AP234</f>
        <v>-38231.56</v>
      </c>
      <c r="E234" s="402">
        <f>'A) Base RI'!AQ234</f>
        <v>0</v>
      </c>
      <c r="F234" s="402">
        <f>'A) Base RI'!AR234</f>
        <v>-18.149999999999999</v>
      </c>
      <c r="G234" s="408">
        <f t="shared" si="18"/>
        <v>806819.39</v>
      </c>
      <c r="H234" s="10">
        <f>+'A) Base RI'!E234</f>
        <v>0</v>
      </c>
      <c r="I234" s="10">
        <f>+'A) Base RI'!F234</f>
        <v>0</v>
      </c>
      <c r="J234" s="10">
        <f>+'A) Base RI'!G234+'A) Base RI'!H234+'A) Base RI'!X234</f>
        <v>2091.9500000000003</v>
      </c>
      <c r="K234" s="10">
        <f>+'A) Base RI'!I234</f>
        <v>0</v>
      </c>
      <c r="L234" s="10">
        <f>+'A) Base RI'!J234</f>
        <v>12677.3</v>
      </c>
      <c r="M234" s="10">
        <f>+'A) Base RI'!K234</f>
        <v>0</v>
      </c>
      <c r="N234" s="10">
        <f>+'A) Base RI'!Q234</f>
        <v>29995.119999999999</v>
      </c>
      <c r="O234" s="10">
        <f t="shared" si="19"/>
        <v>64898.6</v>
      </c>
      <c r="P234" s="10">
        <f>+'A) Base RI'!L234</f>
        <v>32449.3</v>
      </c>
      <c r="Q234" s="416">
        <f>'A) Base RI'!AS234</f>
        <v>0.5</v>
      </c>
      <c r="R234" s="408">
        <f t="shared" si="20"/>
        <v>916482.36</v>
      </c>
      <c r="S234" s="482">
        <f>+'A) Base RI'!AN234</f>
        <v>81</v>
      </c>
      <c r="T234" s="408">
        <f t="shared" si="21"/>
        <v>851583.76</v>
      </c>
      <c r="U234" s="408">
        <f t="shared" si="22"/>
        <v>11314.597037037036</v>
      </c>
      <c r="V234" s="10">
        <f>+'A) Base RI'!O234</f>
        <v>5642.5</v>
      </c>
      <c r="W234" s="10">
        <f>+'A) Base RI'!P234</f>
        <v>31419</v>
      </c>
      <c r="X234" s="10">
        <f>+'A) Base RI'!R234</f>
        <v>61265.5</v>
      </c>
      <c r="Y234" s="408">
        <f t="shared" si="23"/>
        <v>98327</v>
      </c>
      <c r="Z234" s="10">
        <f>+'A) Base RI'!N234</f>
        <v>53317.25</v>
      </c>
      <c r="AA234" s="10">
        <f>'A) Base RI'!AO234</f>
        <v>506</v>
      </c>
    </row>
    <row r="235" spans="1:27" x14ac:dyDescent="0.25">
      <c r="A235" s="8">
        <f>'A) Base RI'!A235</f>
        <v>5766</v>
      </c>
      <c r="B235" s="32" t="str">
        <f>'A) Base RI'!B235</f>
        <v>Vuiteboeuf</v>
      </c>
      <c r="C235" s="10">
        <f>'A) Base RI'!C235+'A) Base RI'!D235</f>
        <v>1120771.1399999999</v>
      </c>
      <c r="D235" s="10">
        <f>'A) Base RI'!AP235</f>
        <v>-16611.82</v>
      </c>
      <c r="E235" s="402">
        <f>'A) Base RI'!AQ235</f>
        <v>0</v>
      </c>
      <c r="F235" s="402">
        <f>'A) Base RI'!AR235</f>
        <v>-86.19</v>
      </c>
      <c r="G235" s="408">
        <f t="shared" si="18"/>
        <v>1104073.1299999999</v>
      </c>
      <c r="H235" s="10">
        <f>+'A) Base RI'!E235</f>
        <v>0</v>
      </c>
      <c r="I235" s="10">
        <f>+'A) Base RI'!F235</f>
        <v>0</v>
      </c>
      <c r="J235" s="10">
        <f>+'A) Base RI'!G235+'A) Base RI'!H235+'A) Base RI'!X235</f>
        <v>12437.12</v>
      </c>
      <c r="K235" s="10">
        <f>+'A) Base RI'!I235</f>
        <v>0</v>
      </c>
      <c r="L235" s="10">
        <f>+'A) Base RI'!J235</f>
        <v>30624.49</v>
      </c>
      <c r="M235" s="10">
        <f>+'A) Base RI'!K235</f>
        <v>-5391.85</v>
      </c>
      <c r="N235" s="10">
        <f>+'A) Base RI'!Q235</f>
        <v>5493.2</v>
      </c>
      <c r="O235" s="10">
        <f t="shared" si="19"/>
        <v>84268</v>
      </c>
      <c r="P235" s="10">
        <f>+'A) Base RI'!L235</f>
        <v>58987.6</v>
      </c>
      <c r="Q235" s="416">
        <f>'A) Base RI'!AS235</f>
        <v>0.7</v>
      </c>
      <c r="R235" s="408">
        <f t="shared" si="20"/>
        <v>1231504.0899999999</v>
      </c>
      <c r="S235" s="482">
        <f>+'A) Base RI'!AN235</f>
        <v>77</v>
      </c>
      <c r="T235" s="408">
        <f t="shared" si="21"/>
        <v>1152627.94</v>
      </c>
      <c r="U235" s="408">
        <f t="shared" si="22"/>
        <v>15993.559610389608</v>
      </c>
      <c r="V235" s="10">
        <f>+'A) Base RI'!O235</f>
        <v>0</v>
      </c>
      <c r="W235" s="10">
        <f>+'A) Base RI'!P235</f>
        <v>20955</v>
      </c>
      <c r="X235" s="10">
        <f>+'A) Base RI'!R235</f>
        <v>18660.849999999999</v>
      </c>
      <c r="Y235" s="408">
        <f t="shared" si="23"/>
        <v>39615.85</v>
      </c>
      <c r="Z235" s="10">
        <f>+'A) Base RI'!N235</f>
        <v>27786</v>
      </c>
      <c r="AA235" s="10">
        <f>'A) Base RI'!AO235</f>
        <v>584</v>
      </c>
    </row>
    <row r="236" spans="1:27" x14ac:dyDescent="0.25">
      <c r="A236" s="8">
        <f>'A) Base RI'!A236</f>
        <v>5785</v>
      </c>
      <c r="B236" s="32" t="str">
        <f>'A) Base RI'!B236</f>
        <v>Corcelles-le-Jorat</v>
      </c>
      <c r="C236" s="10">
        <f>'A) Base RI'!C236+'A) Base RI'!D236</f>
        <v>1262204.23</v>
      </c>
      <c r="D236" s="10">
        <f>'A) Base RI'!AP236</f>
        <v>-9764.2800000000007</v>
      </c>
      <c r="E236" s="402">
        <f>'A) Base RI'!AQ236</f>
        <v>0</v>
      </c>
      <c r="F236" s="402">
        <f>'A) Base RI'!AR236</f>
        <v>-1741.16</v>
      </c>
      <c r="G236" s="408">
        <f t="shared" si="18"/>
        <v>1250698.79</v>
      </c>
      <c r="H236" s="10">
        <f>+'A) Base RI'!E236</f>
        <v>0</v>
      </c>
      <c r="I236" s="10">
        <f>+'A) Base RI'!F236</f>
        <v>0</v>
      </c>
      <c r="J236" s="10">
        <f>+'A) Base RI'!G236+'A) Base RI'!H236+'A) Base RI'!X236</f>
        <v>2680.3700000000003</v>
      </c>
      <c r="K236" s="10">
        <f>+'A) Base RI'!I236</f>
        <v>0</v>
      </c>
      <c r="L236" s="10">
        <f>+'A) Base RI'!J236</f>
        <v>19643.89</v>
      </c>
      <c r="M236" s="10">
        <f>+'A) Base RI'!K236</f>
        <v>1202.5999999999999</v>
      </c>
      <c r="N236" s="10">
        <f>+'A) Base RI'!Q236</f>
        <v>399.81</v>
      </c>
      <c r="O236" s="10">
        <f t="shared" si="19"/>
        <v>74271.75</v>
      </c>
      <c r="P236" s="10">
        <f>+'A) Base RI'!L236</f>
        <v>74271.75</v>
      </c>
      <c r="Q236" s="416">
        <f>'A) Base RI'!AS236</f>
        <v>1</v>
      </c>
      <c r="R236" s="408">
        <f t="shared" si="20"/>
        <v>1348897.2100000002</v>
      </c>
      <c r="S236" s="482">
        <f>+'A) Base RI'!AN236</f>
        <v>77</v>
      </c>
      <c r="T236" s="408">
        <f t="shared" si="21"/>
        <v>1273422.8600000001</v>
      </c>
      <c r="U236" s="408">
        <f t="shared" si="22"/>
        <v>17518.145584415586</v>
      </c>
      <c r="V236" s="10">
        <f>+'A) Base RI'!O236</f>
        <v>32518.2</v>
      </c>
      <c r="W236" s="10">
        <f>+'A) Base RI'!P236</f>
        <v>67824.5</v>
      </c>
      <c r="X236" s="10">
        <f>+'A) Base RI'!R236</f>
        <v>32452.7</v>
      </c>
      <c r="Y236" s="408">
        <f t="shared" si="23"/>
        <v>132795.4</v>
      </c>
      <c r="Z236" s="10">
        <f>+'A) Base RI'!N236</f>
        <v>0</v>
      </c>
      <c r="AA236" s="10">
        <f>'A) Base RI'!AO236</f>
        <v>451</v>
      </c>
    </row>
    <row r="237" spans="1:27" x14ac:dyDescent="0.25">
      <c r="A237" s="8">
        <f>'A) Base RI'!A237</f>
        <v>5788</v>
      </c>
      <c r="B237" s="32" t="str">
        <f>'A) Base RI'!B237</f>
        <v>Essertes</v>
      </c>
      <c r="C237" s="10">
        <f>'A) Base RI'!C237+'A) Base RI'!D237</f>
        <v>1066672.3199999998</v>
      </c>
      <c r="D237" s="10">
        <f>'A) Base RI'!AP237</f>
        <v>-10265.540000000001</v>
      </c>
      <c r="E237" s="402">
        <f>'A) Base RI'!AQ237</f>
        <v>0</v>
      </c>
      <c r="F237" s="402">
        <f>'A) Base RI'!AR237</f>
        <v>-69.650000000000006</v>
      </c>
      <c r="G237" s="408">
        <f t="shared" si="18"/>
        <v>1056337.1299999999</v>
      </c>
      <c r="H237" s="10">
        <f>+'A) Base RI'!E237</f>
        <v>0</v>
      </c>
      <c r="I237" s="10">
        <f>+'A) Base RI'!F237</f>
        <v>0</v>
      </c>
      <c r="J237" s="10">
        <f>+'A) Base RI'!G237+'A) Base RI'!H237+'A) Base RI'!X237</f>
        <v>2833.63</v>
      </c>
      <c r="K237" s="10">
        <f>+'A) Base RI'!I237</f>
        <v>0</v>
      </c>
      <c r="L237" s="10">
        <f>+'A) Base RI'!J237</f>
        <v>21465.43</v>
      </c>
      <c r="M237" s="10">
        <f>+'A) Base RI'!K237</f>
        <v>4364</v>
      </c>
      <c r="N237" s="10">
        <f>+'A) Base RI'!Q237</f>
        <v>5664.79</v>
      </c>
      <c r="O237" s="10">
        <f t="shared" si="19"/>
        <v>69414.92</v>
      </c>
      <c r="P237" s="10">
        <f>+'A) Base RI'!L237</f>
        <v>86768.65</v>
      </c>
      <c r="Q237" s="416">
        <f>'A) Base RI'!AS237</f>
        <v>1.25</v>
      </c>
      <c r="R237" s="408">
        <f t="shared" si="20"/>
        <v>1160079.8999999997</v>
      </c>
      <c r="S237" s="482">
        <f>+'A) Base RI'!AN237</f>
        <v>71.5</v>
      </c>
      <c r="T237" s="408">
        <f t="shared" si="21"/>
        <v>1086300.9799999997</v>
      </c>
      <c r="U237" s="408">
        <f t="shared" si="22"/>
        <v>16224.893706293702</v>
      </c>
      <c r="V237" s="10">
        <f>+'A) Base RI'!O237</f>
        <v>0</v>
      </c>
      <c r="W237" s="10">
        <f>+'A) Base RI'!P237</f>
        <v>23527.65</v>
      </c>
      <c r="X237" s="10">
        <f>+'A) Base RI'!R237</f>
        <v>49678</v>
      </c>
      <c r="Y237" s="408">
        <f t="shared" si="23"/>
        <v>73205.649999999994</v>
      </c>
      <c r="Z237" s="10">
        <f>+'A) Base RI'!N237</f>
        <v>445.1</v>
      </c>
      <c r="AA237" s="10">
        <f>'A) Base RI'!AO237</f>
        <v>389</v>
      </c>
    </row>
    <row r="238" spans="1:27" x14ac:dyDescent="0.25">
      <c r="A238" s="8">
        <f>'A) Base RI'!A238</f>
        <v>5790</v>
      </c>
      <c r="B238" s="32" t="str">
        <f>'A) Base RI'!B238</f>
        <v>Maracon</v>
      </c>
      <c r="C238" s="10">
        <f>'A) Base RI'!C238+'A) Base RI'!D238</f>
        <v>872304.70000000007</v>
      </c>
      <c r="D238" s="10">
        <f>'A) Base RI'!AP238</f>
        <v>-91.98</v>
      </c>
      <c r="E238" s="402">
        <f>'A) Base RI'!AQ238</f>
        <v>0</v>
      </c>
      <c r="F238" s="402">
        <f>'A) Base RI'!AR238</f>
        <v>-394.87</v>
      </c>
      <c r="G238" s="408">
        <f t="shared" si="18"/>
        <v>871817.85000000009</v>
      </c>
      <c r="H238" s="10">
        <f>+'A) Base RI'!E238</f>
        <v>0</v>
      </c>
      <c r="I238" s="10">
        <f>+'A) Base RI'!F238</f>
        <v>0</v>
      </c>
      <c r="J238" s="10">
        <f>+'A) Base RI'!G238+'A) Base RI'!H238+'A) Base RI'!X238</f>
        <v>9039.6</v>
      </c>
      <c r="K238" s="10">
        <f>+'A) Base RI'!I238</f>
        <v>0</v>
      </c>
      <c r="L238" s="10">
        <f>+'A) Base RI'!J238</f>
        <v>23539.63</v>
      </c>
      <c r="M238" s="10">
        <f>+'A) Base RI'!K238</f>
        <v>2948</v>
      </c>
      <c r="N238" s="10">
        <f>+'A) Base RI'!Q238</f>
        <v>0</v>
      </c>
      <c r="O238" s="10">
        <f t="shared" si="19"/>
        <v>90812.25</v>
      </c>
      <c r="P238" s="10">
        <f>+'A) Base RI'!L238</f>
        <v>90812.25</v>
      </c>
      <c r="Q238" s="416">
        <f>'A) Base RI'!AS238</f>
        <v>1</v>
      </c>
      <c r="R238" s="408">
        <f t="shared" si="20"/>
        <v>998157.33000000007</v>
      </c>
      <c r="S238" s="482">
        <f>+'A) Base RI'!AN238</f>
        <v>74.5</v>
      </c>
      <c r="T238" s="408">
        <f t="shared" si="21"/>
        <v>904397.08000000007</v>
      </c>
      <c r="U238" s="408">
        <f t="shared" si="22"/>
        <v>13398.084966442953</v>
      </c>
      <c r="V238" s="10">
        <f>+'A) Base RI'!O238</f>
        <v>0</v>
      </c>
      <c r="W238" s="10">
        <f>+'A) Base RI'!P238</f>
        <v>38445.15</v>
      </c>
      <c r="X238" s="10">
        <f>+'A) Base RI'!R238</f>
        <v>17586.650000000001</v>
      </c>
      <c r="Y238" s="408">
        <f t="shared" si="23"/>
        <v>56031.8</v>
      </c>
      <c r="Z238" s="10">
        <f>+'A) Base RI'!N238</f>
        <v>8885.9</v>
      </c>
      <c r="AA238" s="10">
        <f>'A) Base RI'!AO238</f>
        <v>538</v>
      </c>
    </row>
    <row r="239" spans="1:27" x14ac:dyDescent="0.25">
      <c r="A239" s="8">
        <f>'A) Base RI'!A239</f>
        <v>5792</v>
      </c>
      <c r="B239" s="32" t="str">
        <f>'A) Base RI'!B239</f>
        <v>Montpreveyres</v>
      </c>
      <c r="C239" s="10">
        <f>'A) Base RI'!C239+'A) Base RI'!D239</f>
        <v>1192107.6499999999</v>
      </c>
      <c r="D239" s="10">
        <f>'A) Base RI'!AP239</f>
        <v>-11325.64</v>
      </c>
      <c r="E239" s="402">
        <f>'A) Base RI'!AQ239</f>
        <v>0</v>
      </c>
      <c r="F239" s="402">
        <f>'A) Base RI'!AR239</f>
        <v>-4.33</v>
      </c>
      <c r="G239" s="408">
        <f t="shared" si="18"/>
        <v>1180777.68</v>
      </c>
      <c r="H239" s="10">
        <f>+'A) Base RI'!E239</f>
        <v>0</v>
      </c>
      <c r="I239" s="10">
        <f>+'A) Base RI'!F239</f>
        <v>0</v>
      </c>
      <c r="J239" s="10">
        <f>+'A) Base RI'!G239+'A) Base RI'!H239+'A) Base RI'!X239</f>
        <v>3324.2299999999996</v>
      </c>
      <c r="K239" s="10">
        <f>+'A) Base RI'!I239</f>
        <v>0</v>
      </c>
      <c r="L239" s="10">
        <f>+'A) Base RI'!J239</f>
        <v>18841.11</v>
      </c>
      <c r="M239" s="10">
        <f>+'A) Base RI'!K239</f>
        <v>-1992</v>
      </c>
      <c r="N239" s="10">
        <f>+'A) Base RI'!Q239</f>
        <v>1084.8900000000001</v>
      </c>
      <c r="O239" s="10">
        <f t="shared" si="19"/>
        <v>118656.4</v>
      </c>
      <c r="P239" s="10">
        <f>+'A) Base RI'!L239</f>
        <v>118656.4</v>
      </c>
      <c r="Q239" s="416">
        <f>'A) Base RI'!AS239</f>
        <v>1</v>
      </c>
      <c r="R239" s="408">
        <f t="shared" si="20"/>
        <v>1320692.3099999998</v>
      </c>
      <c r="S239" s="482">
        <f>+'A) Base RI'!AN239</f>
        <v>75</v>
      </c>
      <c r="T239" s="408">
        <f t="shared" si="21"/>
        <v>1204027.9099999999</v>
      </c>
      <c r="U239" s="408">
        <f t="shared" si="22"/>
        <v>17609.230799999998</v>
      </c>
      <c r="V239" s="10">
        <f>+'A) Base RI'!O239</f>
        <v>7826.8</v>
      </c>
      <c r="W239" s="10">
        <f>+'A) Base RI'!P239</f>
        <v>52272</v>
      </c>
      <c r="X239" s="10">
        <f>+'A) Base RI'!R239</f>
        <v>51778.25</v>
      </c>
      <c r="Y239" s="408">
        <f t="shared" si="23"/>
        <v>111877.05</v>
      </c>
      <c r="Z239" s="10">
        <f>+'A) Base RI'!N239</f>
        <v>116.15</v>
      </c>
      <c r="AA239" s="10">
        <f>'A) Base RI'!AO239</f>
        <v>653</v>
      </c>
    </row>
    <row r="240" spans="1:27" x14ac:dyDescent="0.25">
      <c r="A240" s="8">
        <f>'A) Base RI'!A240</f>
        <v>5798</v>
      </c>
      <c r="B240" s="32" t="str">
        <f>'A) Base RI'!B240</f>
        <v>Ropraz</v>
      </c>
      <c r="C240" s="10">
        <f>'A) Base RI'!C240+'A) Base RI'!D240</f>
        <v>1114539.72</v>
      </c>
      <c r="D240" s="10">
        <f>'A) Base RI'!AP240</f>
        <v>-13965.28</v>
      </c>
      <c r="E240" s="402">
        <f>'A) Base RI'!AQ240</f>
        <v>0</v>
      </c>
      <c r="F240" s="402">
        <f>'A) Base RI'!AR240</f>
        <v>-77.489999999999995</v>
      </c>
      <c r="G240" s="408">
        <f t="shared" si="18"/>
        <v>1100496.95</v>
      </c>
      <c r="H240" s="10">
        <f>+'A) Base RI'!E240</f>
        <v>0</v>
      </c>
      <c r="I240" s="10">
        <f>+'A) Base RI'!F240</f>
        <v>0</v>
      </c>
      <c r="J240" s="10">
        <f>+'A) Base RI'!G240+'A) Base RI'!H240+'A) Base RI'!X240</f>
        <v>12357.77</v>
      </c>
      <c r="K240" s="10">
        <f>+'A) Base RI'!I240</f>
        <v>0</v>
      </c>
      <c r="L240" s="10">
        <f>+'A) Base RI'!J240</f>
        <v>21076.43</v>
      </c>
      <c r="M240" s="10">
        <f>+'A) Base RI'!K240</f>
        <v>6288.25</v>
      </c>
      <c r="N240" s="10">
        <f>+'A) Base RI'!Q240</f>
        <v>791.08</v>
      </c>
      <c r="O240" s="10">
        <f t="shared" si="19"/>
        <v>80487.3</v>
      </c>
      <c r="P240" s="10">
        <f>+'A) Base RI'!L240</f>
        <v>40243.65</v>
      </c>
      <c r="Q240" s="416">
        <f>'A) Base RI'!AS240</f>
        <v>0.5</v>
      </c>
      <c r="R240" s="408">
        <f t="shared" si="20"/>
        <v>1221497.78</v>
      </c>
      <c r="S240" s="482">
        <f>+'A) Base RI'!AN240</f>
        <v>77.5</v>
      </c>
      <c r="T240" s="408">
        <f t="shared" si="21"/>
        <v>1134722.23</v>
      </c>
      <c r="U240" s="408">
        <f t="shared" si="22"/>
        <v>15761.261677419356</v>
      </c>
      <c r="V240" s="10">
        <f>+'A) Base RI'!O240</f>
        <v>15707.6</v>
      </c>
      <c r="W240" s="10">
        <f>+'A) Base RI'!P240</f>
        <v>42477.9</v>
      </c>
      <c r="X240" s="10">
        <f>+'A) Base RI'!R240</f>
        <v>10790.15</v>
      </c>
      <c r="Y240" s="408">
        <f t="shared" si="23"/>
        <v>68975.649999999994</v>
      </c>
      <c r="Z240" s="10">
        <f>+'A) Base RI'!N240</f>
        <v>21843.25</v>
      </c>
      <c r="AA240" s="10">
        <f>'A) Base RI'!AO240</f>
        <v>528</v>
      </c>
    </row>
    <row r="241" spans="1:27" x14ac:dyDescent="0.25">
      <c r="A241" s="8">
        <f>'A) Base RI'!A241</f>
        <v>5799</v>
      </c>
      <c r="B241" s="32" t="str">
        <f>'A) Base RI'!B241</f>
        <v>Servion</v>
      </c>
      <c r="C241" s="10">
        <f>'A) Base RI'!C241+'A) Base RI'!D241</f>
        <v>4308535.33</v>
      </c>
      <c r="D241" s="10">
        <f>'A) Base RI'!AP241</f>
        <v>-37689.599999999999</v>
      </c>
      <c r="E241" s="402">
        <f>'A) Base RI'!AQ241</f>
        <v>0</v>
      </c>
      <c r="F241" s="402">
        <f>'A) Base RI'!AR241</f>
        <v>-571.88</v>
      </c>
      <c r="G241" s="408">
        <f t="shared" si="18"/>
        <v>4270273.8500000006</v>
      </c>
      <c r="H241" s="10">
        <f>+'A) Base RI'!E241</f>
        <v>0</v>
      </c>
      <c r="I241" s="10">
        <f>+'A) Base RI'!F241</f>
        <v>0</v>
      </c>
      <c r="J241" s="10">
        <f>+'A) Base RI'!G241+'A) Base RI'!H241+'A) Base RI'!X241</f>
        <v>28730.050000000003</v>
      </c>
      <c r="K241" s="10">
        <f>+'A) Base RI'!I241</f>
        <v>0</v>
      </c>
      <c r="L241" s="10">
        <f>+'A) Base RI'!J241</f>
        <v>61021.97</v>
      </c>
      <c r="M241" s="10">
        <f>+'A) Base RI'!K241</f>
        <v>20849.349999999999</v>
      </c>
      <c r="N241" s="10">
        <f>+'A) Base RI'!Q241</f>
        <v>11812.31</v>
      </c>
      <c r="O241" s="10">
        <f t="shared" si="19"/>
        <v>395030.85</v>
      </c>
      <c r="P241" s="10">
        <f>+'A) Base RI'!L241</f>
        <v>395030.85</v>
      </c>
      <c r="Q241" s="416">
        <f>'A) Base RI'!AS241</f>
        <v>1</v>
      </c>
      <c r="R241" s="408">
        <f t="shared" si="20"/>
        <v>4787718.379999999</v>
      </c>
      <c r="S241" s="482">
        <f>+'A) Base RI'!AN241</f>
        <v>69</v>
      </c>
      <c r="T241" s="408">
        <f t="shared" si="21"/>
        <v>4371838.18</v>
      </c>
      <c r="U241" s="408">
        <f t="shared" si="22"/>
        <v>69387.22289855071</v>
      </c>
      <c r="V241" s="10">
        <f>+'A) Base RI'!O241</f>
        <v>39892.699999999997</v>
      </c>
      <c r="W241" s="10">
        <f>+'A) Base RI'!P241</f>
        <v>284271.75</v>
      </c>
      <c r="X241" s="10">
        <f>+'A) Base RI'!R241</f>
        <v>250111.05</v>
      </c>
      <c r="Y241" s="408">
        <f t="shared" si="23"/>
        <v>574275.5</v>
      </c>
      <c r="Z241" s="10">
        <f>+'A) Base RI'!N241</f>
        <v>26847.85</v>
      </c>
      <c r="AA241" s="10">
        <f>'A) Base RI'!AO241</f>
        <v>2076</v>
      </c>
    </row>
    <row r="242" spans="1:27" x14ac:dyDescent="0.25">
      <c r="A242" s="8">
        <f>'A) Base RI'!A242</f>
        <v>5803</v>
      </c>
      <c r="B242" s="32" t="str">
        <f>'A) Base RI'!B242</f>
        <v>Vulliens</v>
      </c>
      <c r="C242" s="10">
        <f>'A) Base RI'!C242+'A) Base RI'!D242</f>
        <v>1341055.44</v>
      </c>
      <c r="D242" s="10">
        <f>'A) Base RI'!AP242</f>
        <v>-39936.660000000003</v>
      </c>
      <c r="E242" s="402">
        <f>'A) Base RI'!AQ242</f>
        <v>0</v>
      </c>
      <c r="F242" s="402">
        <f>'A) Base RI'!AR242</f>
        <v>-335.67</v>
      </c>
      <c r="G242" s="408">
        <f t="shared" si="18"/>
        <v>1300783.1100000001</v>
      </c>
      <c r="H242" s="10">
        <f>+'A) Base RI'!E242</f>
        <v>0</v>
      </c>
      <c r="I242" s="10">
        <f>+'A) Base RI'!F242</f>
        <v>0</v>
      </c>
      <c r="J242" s="10">
        <f>+'A) Base RI'!G242+'A) Base RI'!H242+'A) Base RI'!X242</f>
        <v>-1666.14</v>
      </c>
      <c r="K242" s="10">
        <f>+'A) Base RI'!I242</f>
        <v>0</v>
      </c>
      <c r="L242" s="10">
        <f>+'A) Base RI'!J242</f>
        <v>26442.34</v>
      </c>
      <c r="M242" s="10">
        <f>+'A) Base RI'!K242</f>
        <v>0</v>
      </c>
      <c r="N242" s="10">
        <f>+'A) Base RI'!Q242</f>
        <v>3726.78</v>
      </c>
      <c r="O242" s="10">
        <f t="shared" si="19"/>
        <v>105284.85</v>
      </c>
      <c r="P242" s="10">
        <f>+'A) Base RI'!L242</f>
        <v>105284.85</v>
      </c>
      <c r="Q242" s="416">
        <f>'A) Base RI'!AS242</f>
        <v>1</v>
      </c>
      <c r="R242" s="408">
        <f t="shared" si="20"/>
        <v>1434570.9400000004</v>
      </c>
      <c r="S242" s="482">
        <f>+'A) Base RI'!AN242</f>
        <v>76</v>
      </c>
      <c r="T242" s="408">
        <f t="shared" si="21"/>
        <v>1329286.0900000003</v>
      </c>
      <c r="U242" s="408">
        <f t="shared" si="22"/>
        <v>18875.933421052636</v>
      </c>
      <c r="V242" s="10">
        <f>+'A) Base RI'!O242</f>
        <v>39814.300000000003</v>
      </c>
      <c r="W242" s="10">
        <f>+'A) Base RI'!P242</f>
        <v>12735.6</v>
      </c>
      <c r="X242" s="10">
        <f>+'A) Base RI'!R242</f>
        <v>11322.85</v>
      </c>
      <c r="Y242" s="408">
        <f t="shared" si="23"/>
        <v>63872.75</v>
      </c>
      <c r="Z242" s="10">
        <f>+'A) Base RI'!N242</f>
        <v>959.9</v>
      </c>
      <c r="AA242" s="10">
        <f>'A) Base RI'!AO242</f>
        <v>624</v>
      </c>
    </row>
    <row r="243" spans="1:27" x14ac:dyDescent="0.25">
      <c r="A243" s="8">
        <f>'A) Base RI'!A243</f>
        <v>5804</v>
      </c>
      <c r="B243" s="32" t="str">
        <f>'A) Base RI'!B243</f>
        <v>Jorat-Menthue</v>
      </c>
      <c r="C243" s="10">
        <f>'A) Base RI'!C243+'A) Base RI'!D243</f>
        <v>3008889.64</v>
      </c>
      <c r="D243" s="10">
        <f>'A) Base RI'!AP243</f>
        <v>-71782.210000000006</v>
      </c>
      <c r="E243" s="402">
        <f>'A) Base RI'!AQ243</f>
        <v>0</v>
      </c>
      <c r="F243" s="402">
        <f>'A) Base RI'!AR243</f>
        <v>-60.84</v>
      </c>
      <c r="G243" s="408">
        <f t="shared" si="18"/>
        <v>2937046.5900000003</v>
      </c>
      <c r="H243" s="10">
        <f>+'A) Base RI'!E243</f>
        <v>0</v>
      </c>
      <c r="I243" s="10">
        <f>+'A) Base RI'!F243</f>
        <v>0</v>
      </c>
      <c r="J243" s="10">
        <f>+'A) Base RI'!G243+'A) Base RI'!H243+'A) Base RI'!X243</f>
        <v>62993.320000000007</v>
      </c>
      <c r="K243" s="10">
        <f>+'A) Base RI'!I243</f>
        <v>0</v>
      </c>
      <c r="L243" s="10">
        <f>+'A) Base RI'!J243</f>
        <v>17046.580000000002</v>
      </c>
      <c r="M243" s="10">
        <f>+'A) Base RI'!K243</f>
        <v>3532.6</v>
      </c>
      <c r="N243" s="10">
        <f>+'A) Base RI'!Q243</f>
        <v>603.1</v>
      </c>
      <c r="O243" s="10">
        <f t="shared" si="19"/>
        <v>270624.8</v>
      </c>
      <c r="P243" s="10">
        <f>+'A) Base RI'!L243</f>
        <v>270624.8</v>
      </c>
      <c r="Q243" s="416">
        <f>'A) Base RI'!AS243</f>
        <v>1</v>
      </c>
      <c r="R243" s="408">
        <f t="shared" si="20"/>
        <v>3291846.99</v>
      </c>
      <c r="S243" s="482">
        <f>+'A) Base RI'!AN243</f>
        <v>70.5</v>
      </c>
      <c r="T243" s="408">
        <f t="shared" si="21"/>
        <v>3017689.5900000003</v>
      </c>
      <c r="U243" s="408">
        <f t="shared" si="22"/>
        <v>46692.865106382982</v>
      </c>
      <c r="V243" s="10">
        <f>+'A) Base RI'!O243</f>
        <v>117376.8</v>
      </c>
      <c r="W243" s="10">
        <f>+'A) Base RI'!P243</f>
        <v>158492.65</v>
      </c>
      <c r="X243" s="10">
        <f>+'A) Base RI'!R243</f>
        <v>116405.75</v>
      </c>
      <c r="Y243" s="408">
        <f t="shared" si="23"/>
        <v>392275.20000000001</v>
      </c>
      <c r="Z243" s="10">
        <f>+'A) Base RI'!N243</f>
        <v>8222.75</v>
      </c>
      <c r="AA243" s="10">
        <f>'A) Base RI'!AO243</f>
        <v>1602</v>
      </c>
    </row>
    <row r="244" spans="1:27" x14ac:dyDescent="0.25">
      <c r="A244" s="8">
        <f>'A) Base RI'!A244</f>
        <v>5805</v>
      </c>
      <c r="B244" s="32" t="str">
        <f>'A) Base RI'!B244</f>
        <v>Oron</v>
      </c>
      <c r="C244" s="10">
        <f>'A) Base RI'!C244+'A) Base RI'!D244</f>
        <v>9049430.8499999996</v>
      </c>
      <c r="D244" s="10">
        <f>'A) Base RI'!AP244</f>
        <v>-218205.85</v>
      </c>
      <c r="E244" s="402">
        <f>'A) Base RI'!AQ244</f>
        <v>0</v>
      </c>
      <c r="F244" s="402">
        <f>'A) Base RI'!AR244</f>
        <v>-10693.07</v>
      </c>
      <c r="G244" s="408">
        <f t="shared" si="18"/>
        <v>8820531.9299999997</v>
      </c>
      <c r="H244" s="10">
        <f>+'A) Base RI'!E244</f>
        <v>0</v>
      </c>
      <c r="I244" s="10">
        <f>+'A) Base RI'!F244</f>
        <v>0</v>
      </c>
      <c r="J244" s="10">
        <f>+'A) Base RI'!G244+'A) Base RI'!H244+'A) Base RI'!X244</f>
        <v>684570.44</v>
      </c>
      <c r="K244" s="10">
        <f>+'A) Base RI'!I244</f>
        <v>0</v>
      </c>
      <c r="L244" s="10">
        <f>+'A) Base RI'!J244</f>
        <v>172989.54</v>
      </c>
      <c r="M244" s="10">
        <f>+'A) Base RI'!K244</f>
        <v>1707.05</v>
      </c>
      <c r="N244" s="10">
        <f>+'A) Base RI'!Q244</f>
        <v>56114.74</v>
      </c>
      <c r="O244" s="10">
        <f t="shared" si="19"/>
        <v>940281.77272727259</v>
      </c>
      <c r="P244" s="10">
        <f>+'A) Base RI'!L244</f>
        <v>1034309.95</v>
      </c>
      <c r="Q244" s="416">
        <f>'A) Base RI'!AS244</f>
        <v>1.1000000000000001</v>
      </c>
      <c r="R244" s="408">
        <f t="shared" si="20"/>
        <v>10676195.472727273</v>
      </c>
      <c r="S244" s="482">
        <f>+'A) Base RI'!AN244</f>
        <v>69</v>
      </c>
      <c r="T244" s="408">
        <f t="shared" si="21"/>
        <v>9734206.6499999985</v>
      </c>
      <c r="U244" s="408">
        <f t="shared" si="22"/>
        <v>154727.47061923583</v>
      </c>
      <c r="V244" s="10">
        <f>+'A) Base RI'!O244</f>
        <v>147130.09</v>
      </c>
      <c r="W244" s="10">
        <f>+'A) Base RI'!P244</f>
        <v>305685.7</v>
      </c>
      <c r="X244" s="10">
        <f>+'A) Base RI'!R244</f>
        <v>186201.7</v>
      </c>
      <c r="Y244" s="408">
        <f t="shared" si="23"/>
        <v>639017.49</v>
      </c>
      <c r="Z244" s="10">
        <f>+'A) Base RI'!N244</f>
        <v>124255.6</v>
      </c>
      <c r="AA244" s="10">
        <f>'A) Base RI'!AO244</f>
        <v>5663</v>
      </c>
    </row>
    <row r="245" spans="1:27" x14ac:dyDescent="0.25">
      <c r="A245" s="8">
        <f>'A) Base RI'!A245</f>
        <v>5806</v>
      </c>
      <c r="B245" s="32" t="str">
        <f>'A) Base RI'!B245</f>
        <v>Jorat-Mézières</v>
      </c>
      <c r="C245" s="10">
        <f>'A) Base RI'!C245+'A) Base RI'!D245</f>
        <v>5889741.79</v>
      </c>
      <c r="D245" s="10">
        <f>'A) Base RI'!AP245</f>
        <v>-28820.5</v>
      </c>
      <c r="E245" s="402">
        <f>'A) Base RI'!AQ245</f>
        <v>0</v>
      </c>
      <c r="F245" s="402">
        <f>'A) Base RI'!AR245</f>
        <v>-2223.91</v>
      </c>
      <c r="G245" s="408">
        <f t="shared" si="18"/>
        <v>5858697.3799999999</v>
      </c>
      <c r="H245" s="10">
        <f>+'A) Base RI'!E245</f>
        <v>0</v>
      </c>
      <c r="I245" s="10">
        <f>+'A) Base RI'!F245</f>
        <v>0</v>
      </c>
      <c r="J245" s="10">
        <f>+'A) Base RI'!G245+'A) Base RI'!H245+'A) Base RI'!X245</f>
        <v>112035.34</v>
      </c>
      <c r="K245" s="10">
        <f>+'A) Base RI'!I245</f>
        <v>53124.25</v>
      </c>
      <c r="L245" s="10">
        <f>+'A) Base RI'!J245</f>
        <v>61110.42</v>
      </c>
      <c r="M245" s="10">
        <f>+'A) Base RI'!K245</f>
        <v>16744.75</v>
      </c>
      <c r="N245" s="10">
        <f>+'A) Base RI'!Q245</f>
        <v>26120.86</v>
      </c>
      <c r="O245" s="10">
        <f t="shared" si="19"/>
        <v>521911.25</v>
      </c>
      <c r="P245" s="10">
        <f>+'A) Base RI'!L245</f>
        <v>521911.25</v>
      </c>
      <c r="Q245" s="416">
        <f>'A) Base RI'!AS245</f>
        <v>1</v>
      </c>
      <c r="R245" s="408">
        <f t="shared" si="20"/>
        <v>6649744.25</v>
      </c>
      <c r="S245" s="482">
        <f>+'A) Base RI'!AN245</f>
        <v>73</v>
      </c>
      <c r="T245" s="408">
        <f t="shared" si="21"/>
        <v>6111088.25</v>
      </c>
      <c r="U245" s="408">
        <f t="shared" si="22"/>
        <v>91092.386986301368</v>
      </c>
      <c r="V245" s="10">
        <f>+'A) Base RI'!O245</f>
        <v>99419.199999999997</v>
      </c>
      <c r="W245" s="10">
        <f>+'A) Base RI'!P245</f>
        <v>230887.7</v>
      </c>
      <c r="X245" s="10">
        <f>+'A) Base RI'!R245</f>
        <v>197024.7</v>
      </c>
      <c r="Y245" s="408">
        <f t="shared" si="23"/>
        <v>527331.60000000009</v>
      </c>
      <c r="Z245" s="10">
        <f>+'A) Base RI'!N245</f>
        <v>30186.6</v>
      </c>
      <c r="AA245" s="10">
        <f>'A) Base RI'!AO245</f>
        <v>2966</v>
      </c>
    </row>
    <row r="246" spans="1:27" x14ac:dyDescent="0.25">
      <c r="A246" s="8">
        <f>'A) Base RI'!A246</f>
        <v>5812</v>
      </c>
      <c r="B246" s="32" t="str">
        <f>'A) Base RI'!B246</f>
        <v>Champtauroz</v>
      </c>
      <c r="C246" s="10">
        <f>'A) Base RI'!C246+'A) Base RI'!D246</f>
        <v>181882.5</v>
      </c>
      <c r="D246" s="10">
        <f>'A) Base RI'!AP246</f>
        <v>-5185.42</v>
      </c>
      <c r="E246" s="402">
        <f>'A) Base RI'!AQ246</f>
        <v>0</v>
      </c>
      <c r="F246" s="402">
        <f>'A) Base RI'!AR246</f>
        <v>-82.27</v>
      </c>
      <c r="G246" s="408">
        <f t="shared" si="18"/>
        <v>176614.81</v>
      </c>
      <c r="H246" s="10">
        <f>+'A) Base RI'!E246</f>
        <v>0</v>
      </c>
      <c r="I246" s="10">
        <f>+'A) Base RI'!F246</f>
        <v>0</v>
      </c>
      <c r="J246" s="10">
        <f>+'A) Base RI'!G246+'A) Base RI'!H246+'A) Base RI'!X246</f>
        <v>-4295.84</v>
      </c>
      <c r="K246" s="10">
        <f>+'A) Base RI'!I246</f>
        <v>0</v>
      </c>
      <c r="L246" s="10">
        <f>+'A) Base RI'!J246</f>
        <v>0</v>
      </c>
      <c r="M246" s="10">
        <f>+'A) Base RI'!K246</f>
        <v>637.5</v>
      </c>
      <c r="N246" s="10">
        <f>+'A) Base RI'!Q246</f>
        <v>0</v>
      </c>
      <c r="O246" s="10">
        <f t="shared" si="19"/>
        <v>18583.9375</v>
      </c>
      <c r="P246" s="10">
        <f>+'A) Base RI'!L246</f>
        <v>14867.15</v>
      </c>
      <c r="Q246" s="416">
        <f>'A) Base RI'!AS246</f>
        <v>0.8</v>
      </c>
      <c r="R246" s="408">
        <f t="shared" si="20"/>
        <v>191540.4075</v>
      </c>
      <c r="S246" s="482">
        <f>+'A) Base RI'!AN246</f>
        <v>77</v>
      </c>
      <c r="T246" s="408">
        <f t="shared" si="21"/>
        <v>172318.97</v>
      </c>
      <c r="U246" s="408">
        <f t="shared" si="22"/>
        <v>2487.5377597402598</v>
      </c>
      <c r="V246" s="10">
        <f>+'A) Base RI'!O246</f>
        <v>1716.7</v>
      </c>
      <c r="W246" s="10">
        <f>+'A) Base RI'!P246</f>
        <v>9223.0499999999993</v>
      </c>
      <c r="X246" s="10">
        <f>+'A) Base RI'!R246</f>
        <v>15795.2</v>
      </c>
      <c r="Y246" s="408">
        <f t="shared" si="23"/>
        <v>26734.95</v>
      </c>
      <c r="Z246" s="10">
        <f>+'A) Base RI'!N246</f>
        <v>0</v>
      </c>
      <c r="AA246" s="10">
        <f>'A) Base RI'!AO246</f>
        <v>144</v>
      </c>
    </row>
    <row r="247" spans="1:27" x14ac:dyDescent="0.25">
      <c r="A247" s="8">
        <f>'A) Base RI'!A247</f>
        <v>5813</v>
      </c>
      <c r="B247" s="32" t="str">
        <f>'A) Base RI'!B247</f>
        <v>Chevroux</v>
      </c>
      <c r="C247" s="10">
        <f>'A) Base RI'!C247+'A) Base RI'!D247</f>
        <v>918632.11</v>
      </c>
      <c r="D247" s="10">
        <f>'A) Base RI'!AP247</f>
        <v>-18087.39</v>
      </c>
      <c r="E247" s="402">
        <f>'A) Base RI'!AQ247</f>
        <v>0</v>
      </c>
      <c r="F247" s="402">
        <f>'A) Base RI'!AR247</f>
        <v>-32.130000000000003</v>
      </c>
      <c r="G247" s="408">
        <f t="shared" si="18"/>
        <v>900512.59</v>
      </c>
      <c r="H247" s="10">
        <f>+'A) Base RI'!E247</f>
        <v>0</v>
      </c>
      <c r="I247" s="10">
        <f>+'A) Base RI'!F247</f>
        <v>3140</v>
      </c>
      <c r="J247" s="10">
        <f>+'A) Base RI'!G247+'A) Base RI'!H247+'A) Base RI'!X247</f>
        <v>23148.129999999997</v>
      </c>
      <c r="K247" s="10">
        <f>+'A) Base RI'!I247</f>
        <v>0</v>
      </c>
      <c r="L247" s="10">
        <f>+'A) Base RI'!J247</f>
        <v>19887.509999999998</v>
      </c>
      <c r="M247" s="10">
        <f>+'A) Base RI'!K247</f>
        <v>0</v>
      </c>
      <c r="N247" s="10">
        <f>+'A) Base RI'!Q247</f>
        <v>0</v>
      </c>
      <c r="O247" s="10">
        <f t="shared" si="19"/>
        <v>93126.5</v>
      </c>
      <c r="P247" s="10">
        <f>+'A) Base RI'!L247</f>
        <v>111751.8</v>
      </c>
      <c r="Q247" s="416">
        <f>'A) Base RI'!AS247</f>
        <v>1.2</v>
      </c>
      <c r="R247" s="408">
        <f t="shared" si="20"/>
        <v>1039814.73</v>
      </c>
      <c r="S247" s="482">
        <f>+'A) Base RI'!AN247</f>
        <v>68.5</v>
      </c>
      <c r="T247" s="408">
        <f t="shared" si="21"/>
        <v>943548.23</v>
      </c>
      <c r="U247" s="408">
        <f t="shared" si="22"/>
        <v>15179.777080291971</v>
      </c>
      <c r="V247" s="10">
        <f>+'A) Base RI'!O247</f>
        <v>0</v>
      </c>
      <c r="W247" s="10">
        <f>+'A) Base RI'!P247</f>
        <v>31951.200000000001</v>
      </c>
      <c r="X247" s="10">
        <f>+'A) Base RI'!R247</f>
        <v>21245.65</v>
      </c>
      <c r="Y247" s="408">
        <f t="shared" si="23"/>
        <v>53196.850000000006</v>
      </c>
      <c r="Z247" s="10">
        <f>+'A) Base RI'!N247</f>
        <v>0</v>
      </c>
      <c r="AA247" s="10">
        <f>'A) Base RI'!AO247</f>
        <v>495</v>
      </c>
    </row>
    <row r="248" spans="1:27" x14ac:dyDescent="0.25">
      <c r="A248" s="8">
        <f>'A) Base RI'!A248</f>
        <v>5816</v>
      </c>
      <c r="B248" s="32" t="str">
        <f>'A) Base RI'!B248</f>
        <v>Corcelles-près-Payerne</v>
      </c>
      <c r="C248" s="10">
        <f>'A) Base RI'!C248+'A) Base RI'!D248</f>
        <v>3510187.8000000003</v>
      </c>
      <c r="D248" s="10">
        <f>'A) Base RI'!AP248</f>
        <v>-103745.94</v>
      </c>
      <c r="E248" s="402">
        <f>'A) Base RI'!AQ248</f>
        <v>0</v>
      </c>
      <c r="F248" s="402">
        <f>'A) Base RI'!AR248</f>
        <v>-109.39</v>
      </c>
      <c r="G248" s="408">
        <f t="shared" si="18"/>
        <v>3406332.47</v>
      </c>
      <c r="H248" s="10">
        <f>+'A) Base RI'!E248</f>
        <v>0</v>
      </c>
      <c r="I248" s="10">
        <f>+'A) Base RI'!F248</f>
        <v>0</v>
      </c>
      <c r="J248" s="10">
        <f>+'A) Base RI'!G248+'A) Base RI'!H248+'A) Base RI'!X248</f>
        <v>121886.28</v>
      </c>
      <c r="K248" s="10">
        <f>+'A) Base RI'!I248</f>
        <v>0</v>
      </c>
      <c r="L248" s="10">
        <f>+'A) Base RI'!J248</f>
        <v>141840.5</v>
      </c>
      <c r="M248" s="10">
        <f>+'A) Base RI'!K248</f>
        <v>35251</v>
      </c>
      <c r="N248" s="10">
        <f>+'A) Base RI'!Q248</f>
        <v>60788.11</v>
      </c>
      <c r="O248" s="10">
        <f t="shared" si="19"/>
        <v>380137.92857142858</v>
      </c>
      <c r="P248" s="10">
        <f>+'A) Base RI'!L248</f>
        <v>266096.55</v>
      </c>
      <c r="Q248" s="416">
        <f>'A) Base RI'!AS248</f>
        <v>0.7</v>
      </c>
      <c r="R248" s="408">
        <f t="shared" si="20"/>
        <v>4146236.2885714285</v>
      </c>
      <c r="S248" s="482">
        <f>+'A) Base RI'!AN248</f>
        <v>68.5</v>
      </c>
      <c r="T248" s="408">
        <f t="shared" si="21"/>
        <v>3730847.36</v>
      </c>
      <c r="U248" s="408">
        <f t="shared" si="22"/>
        <v>60528.996913451512</v>
      </c>
      <c r="V248" s="10">
        <f>+'A) Base RI'!O248</f>
        <v>1729.1</v>
      </c>
      <c r="W248" s="10">
        <f>+'A) Base RI'!P248</f>
        <v>274976.25</v>
      </c>
      <c r="X248" s="10">
        <f>+'A) Base RI'!R248</f>
        <v>66491.5</v>
      </c>
      <c r="Y248" s="408">
        <f t="shared" si="23"/>
        <v>343196.85</v>
      </c>
      <c r="Z248" s="10">
        <f>+'A) Base RI'!N248</f>
        <v>21017.599999999999</v>
      </c>
      <c r="AA248" s="10">
        <f>'A) Base RI'!AO248</f>
        <v>2681</v>
      </c>
    </row>
    <row r="249" spans="1:27" x14ac:dyDescent="0.25">
      <c r="A249" s="8">
        <f>'A) Base RI'!A249</f>
        <v>5817</v>
      </c>
      <c r="B249" s="32" t="str">
        <f>'A) Base RI'!B249</f>
        <v>Grandcour</v>
      </c>
      <c r="C249" s="10">
        <f>'A) Base RI'!C249+'A) Base RI'!D249</f>
        <v>1458255.9600000002</v>
      </c>
      <c r="D249" s="10">
        <f>'A) Base RI'!AP249</f>
        <v>-30557.05</v>
      </c>
      <c r="E249" s="402">
        <f>'A) Base RI'!AQ249</f>
        <v>0</v>
      </c>
      <c r="F249" s="402">
        <f>'A) Base RI'!AR249</f>
        <v>-58.94</v>
      </c>
      <c r="G249" s="408">
        <f t="shared" si="18"/>
        <v>1427639.9700000002</v>
      </c>
      <c r="H249" s="10">
        <f>+'A) Base RI'!E249</f>
        <v>0</v>
      </c>
      <c r="I249" s="10">
        <f>+'A) Base RI'!F249</f>
        <v>0</v>
      </c>
      <c r="J249" s="10">
        <f>+'A) Base RI'!G249+'A) Base RI'!H249+'A) Base RI'!X249</f>
        <v>9484.27</v>
      </c>
      <c r="K249" s="10">
        <f>+'A) Base RI'!I249</f>
        <v>0</v>
      </c>
      <c r="L249" s="10">
        <f>+'A) Base RI'!J249</f>
        <v>28493.41</v>
      </c>
      <c r="M249" s="10">
        <f>+'A) Base RI'!K249</f>
        <v>4565.45</v>
      </c>
      <c r="N249" s="10">
        <f>+'A) Base RI'!Q249</f>
        <v>0</v>
      </c>
      <c r="O249" s="10">
        <f t="shared" si="19"/>
        <v>130590.9</v>
      </c>
      <c r="P249" s="10">
        <f>+'A) Base RI'!L249</f>
        <v>130590.9</v>
      </c>
      <c r="Q249" s="416">
        <f>'A) Base RI'!AS249</f>
        <v>1</v>
      </c>
      <c r="R249" s="408">
        <f t="shared" si="20"/>
        <v>1600774</v>
      </c>
      <c r="S249" s="482">
        <f>+'A) Base RI'!AN249</f>
        <v>73.5</v>
      </c>
      <c r="T249" s="408">
        <f t="shared" si="21"/>
        <v>1465617.6500000001</v>
      </c>
      <c r="U249" s="408">
        <f t="shared" si="22"/>
        <v>21779.238095238095</v>
      </c>
      <c r="V249" s="10">
        <f>+'A) Base RI'!O249</f>
        <v>0</v>
      </c>
      <c r="W249" s="10">
        <f>+'A) Base RI'!P249</f>
        <v>42402.65</v>
      </c>
      <c r="X249" s="10">
        <f>+'A) Base RI'!R249</f>
        <v>11832.55</v>
      </c>
      <c r="Y249" s="408">
        <f t="shared" si="23"/>
        <v>54235.199999999997</v>
      </c>
      <c r="Z249" s="10">
        <f>+'A) Base RI'!N249</f>
        <v>597.70000000000005</v>
      </c>
      <c r="AA249" s="10">
        <f>'A) Base RI'!AO249</f>
        <v>967</v>
      </c>
    </row>
    <row r="250" spans="1:27" x14ac:dyDescent="0.25">
      <c r="A250" s="8">
        <f>'A) Base RI'!A250</f>
        <v>5819</v>
      </c>
      <c r="B250" s="32" t="str">
        <f>'A) Base RI'!B250</f>
        <v>Henniez</v>
      </c>
      <c r="C250" s="10">
        <f>'A) Base RI'!C250+'A) Base RI'!D250</f>
        <v>705607.12</v>
      </c>
      <c r="D250" s="10">
        <f>'A) Base RI'!AP250</f>
        <v>-110582.45</v>
      </c>
      <c r="E250" s="402">
        <f>'A) Base RI'!AQ250</f>
        <v>0</v>
      </c>
      <c r="F250" s="402">
        <f>'A) Base RI'!AR250</f>
        <v>-141.16999999999999</v>
      </c>
      <c r="G250" s="408">
        <f t="shared" si="18"/>
        <v>594883.5</v>
      </c>
      <c r="H250" s="10">
        <f>+'A) Base RI'!E250</f>
        <v>0</v>
      </c>
      <c r="I250" s="10">
        <f>+'A) Base RI'!F250</f>
        <v>0</v>
      </c>
      <c r="J250" s="10">
        <f>+'A) Base RI'!G250+'A) Base RI'!H250+'A) Base RI'!X250</f>
        <v>90980.01</v>
      </c>
      <c r="K250" s="10">
        <f>+'A) Base RI'!I250</f>
        <v>0</v>
      </c>
      <c r="L250" s="10">
        <f>+'A) Base RI'!J250</f>
        <v>11764.43</v>
      </c>
      <c r="M250" s="10">
        <f>+'A) Base RI'!K250</f>
        <v>2047.3</v>
      </c>
      <c r="N250" s="10">
        <f>+'A) Base RI'!Q250</f>
        <v>7342.54</v>
      </c>
      <c r="O250" s="10">
        <f t="shared" si="19"/>
        <v>84289.25</v>
      </c>
      <c r="P250" s="10">
        <f>+'A) Base RI'!L250</f>
        <v>84289.25</v>
      </c>
      <c r="Q250" s="416">
        <f>'A) Base RI'!AS250</f>
        <v>1</v>
      </c>
      <c r="R250" s="408">
        <f t="shared" si="20"/>
        <v>791307.03000000014</v>
      </c>
      <c r="S250" s="482">
        <f>+'A) Base RI'!AN250</f>
        <v>69</v>
      </c>
      <c r="T250" s="408">
        <f t="shared" si="21"/>
        <v>704970.4800000001</v>
      </c>
      <c r="U250" s="408">
        <f t="shared" si="22"/>
        <v>11468.217826086959</v>
      </c>
      <c r="V250" s="10">
        <f>+'A) Base RI'!O250</f>
        <v>-57.25</v>
      </c>
      <c r="W250" s="10">
        <f>+'A) Base RI'!P250</f>
        <v>39219.949999999997</v>
      </c>
      <c r="X250" s="10">
        <f>+'A) Base RI'!R250</f>
        <v>0</v>
      </c>
      <c r="Y250" s="408">
        <f t="shared" si="23"/>
        <v>39162.699999999997</v>
      </c>
      <c r="Z250" s="10">
        <f>+'A) Base RI'!N250</f>
        <v>4251.7</v>
      </c>
      <c r="AA250" s="10">
        <f>'A) Base RI'!AO250</f>
        <v>396</v>
      </c>
    </row>
    <row r="251" spans="1:27" x14ac:dyDescent="0.25">
      <c r="A251" s="8">
        <f>'A) Base RI'!A251</f>
        <v>5821</v>
      </c>
      <c r="B251" s="32" t="str">
        <f>'A) Base RI'!B251</f>
        <v>Missy</v>
      </c>
      <c r="C251" s="10">
        <f>'A) Base RI'!C251+'A) Base RI'!D251</f>
        <v>548107.04</v>
      </c>
      <c r="D251" s="10">
        <f>'A) Base RI'!AP251</f>
        <v>-53017.08</v>
      </c>
      <c r="E251" s="402">
        <f>'A) Base RI'!AQ251</f>
        <v>0</v>
      </c>
      <c r="F251" s="402">
        <f>'A) Base RI'!AR251</f>
        <v>-15.82</v>
      </c>
      <c r="G251" s="408">
        <f t="shared" si="18"/>
        <v>495074.14</v>
      </c>
      <c r="H251" s="10">
        <f>+'A) Base RI'!E251</f>
        <v>0</v>
      </c>
      <c r="I251" s="10">
        <f>+'A) Base RI'!F251</f>
        <v>0</v>
      </c>
      <c r="J251" s="10">
        <f>+'A) Base RI'!G251+'A) Base RI'!H251+'A) Base RI'!X251</f>
        <v>4370.26</v>
      </c>
      <c r="K251" s="10">
        <f>+'A) Base RI'!I251</f>
        <v>0</v>
      </c>
      <c r="L251" s="10">
        <f>+'A) Base RI'!J251</f>
        <v>14087.59</v>
      </c>
      <c r="M251" s="10">
        <f>+'A) Base RI'!K251</f>
        <v>1305</v>
      </c>
      <c r="N251" s="10">
        <f>+'A) Base RI'!Q251</f>
        <v>290.04000000000002</v>
      </c>
      <c r="O251" s="10">
        <f t="shared" si="19"/>
        <v>51709.8</v>
      </c>
      <c r="P251" s="10">
        <f>+'A) Base RI'!L251</f>
        <v>51709.8</v>
      </c>
      <c r="Q251" s="416">
        <f>'A) Base RI'!AS251</f>
        <v>1</v>
      </c>
      <c r="R251" s="408">
        <f t="shared" si="20"/>
        <v>566836.83000000007</v>
      </c>
      <c r="S251" s="482">
        <f>+'A) Base RI'!AN251</f>
        <v>72</v>
      </c>
      <c r="T251" s="408">
        <f t="shared" si="21"/>
        <v>513822.03</v>
      </c>
      <c r="U251" s="408">
        <f t="shared" si="22"/>
        <v>7872.7337500000012</v>
      </c>
      <c r="V251" s="10">
        <f>+'A) Base RI'!O251</f>
        <v>0</v>
      </c>
      <c r="W251" s="10">
        <f>+'A) Base RI'!P251</f>
        <v>25626.400000000001</v>
      </c>
      <c r="X251" s="10">
        <f>+'A) Base RI'!R251</f>
        <v>6413.9</v>
      </c>
      <c r="Y251" s="408">
        <f t="shared" si="23"/>
        <v>32040.300000000003</v>
      </c>
      <c r="Z251" s="10">
        <f>+'A) Base RI'!N251</f>
        <v>0</v>
      </c>
      <c r="AA251" s="10">
        <f>'A) Base RI'!AO251</f>
        <v>368</v>
      </c>
    </row>
    <row r="252" spans="1:27" x14ac:dyDescent="0.25">
      <c r="A252" s="8">
        <f>'A) Base RI'!A252</f>
        <v>5822</v>
      </c>
      <c r="B252" s="32" t="str">
        <f>'A) Base RI'!B252</f>
        <v>Payerne</v>
      </c>
      <c r="C252" s="10">
        <f>'A) Base RI'!C252+'A) Base RI'!D252</f>
        <v>14408845.66</v>
      </c>
      <c r="D252" s="10">
        <f>'A) Base RI'!AP252</f>
        <v>-554597.1</v>
      </c>
      <c r="E252" s="402">
        <f>'A) Base RI'!AQ252</f>
        <v>0</v>
      </c>
      <c r="F252" s="402">
        <f>'A) Base RI'!AR252</f>
        <v>-3101.92</v>
      </c>
      <c r="G252" s="408">
        <f t="shared" si="18"/>
        <v>13851146.640000001</v>
      </c>
      <c r="H252" s="10">
        <f>+'A) Base RI'!E252</f>
        <v>0</v>
      </c>
      <c r="I252" s="10">
        <f>+'A) Base RI'!F252</f>
        <v>0</v>
      </c>
      <c r="J252" s="10">
        <f>+'A) Base RI'!G252+'A) Base RI'!H252+'A) Base RI'!X252</f>
        <v>1204305.2</v>
      </c>
      <c r="K252" s="10">
        <f>+'A) Base RI'!I252</f>
        <v>0</v>
      </c>
      <c r="L252" s="10">
        <f>+'A) Base RI'!J252</f>
        <v>604941.57999999996</v>
      </c>
      <c r="M252" s="10">
        <f>+'A) Base RI'!K252</f>
        <v>190380.7</v>
      </c>
      <c r="N252" s="10">
        <f>+'A) Base RI'!Q252</f>
        <v>71942.77</v>
      </c>
      <c r="O252" s="10">
        <f t="shared" si="19"/>
        <v>1440447.85</v>
      </c>
      <c r="P252" s="10">
        <f>+'A) Base RI'!L252</f>
        <v>1440447.85</v>
      </c>
      <c r="Q252" s="416">
        <f>'A) Base RI'!AS252</f>
        <v>1</v>
      </c>
      <c r="R252" s="408">
        <f t="shared" si="20"/>
        <v>17363164.739999998</v>
      </c>
      <c r="S252" s="482">
        <f>+'A) Base RI'!AN252</f>
        <v>73</v>
      </c>
      <c r="T252" s="408">
        <f t="shared" si="21"/>
        <v>15732336.189999999</v>
      </c>
      <c r="U252" s="408">
        <f t="shared" si="22"/>
        <v>237851.57178082189</v>
      </c>
      <c r="V252" s="10">
        <f>+'A) Base RI'!O252</f>
        <v>225116.9</v>
      </c>
      <c r="W252" s="10">
        <f>+'A) Base RI'!P252</f>
        <v>687297.2</v>
      </c>
      <c r="X252" s="10">
        <f>+'A) Base RI'!R252</f>
        <v>705567.35</v>
      </c>
      <c r="Y252" s="408">
        <f t="shared" si="23"/>
        <v>1617981.45</v>
      </c>
      <c r="Z252" s="10">
        <f>+'A) Base RI'!N252</f>
        <v>57956.25</v>
      </c>
      <c r="AA252" s="10">
        <f>'A) Base RI'!AO252</f>
        <v>10108</v>
      </c>
    </row>
    <row r="253" spans="1:27" x14ac:dyDescent="0.25">
      <c r="A253" s="8">
        <f>'A) Base RI'!A253</f>
        <v>5827</v>
      </c>
      <c r="B253" s="32" t="str">
        <f>'A) Base RI'!B253</f>
        <v>Trey</v>
      </c>
      <c r="C253" s="10">
        <f>'A) Base RI'!C253+'A) Base RI'!D253</f>
        <v>417578.97</v>
      </c>
      <c r="D253" s="10">
        <f>'A) Base RI'!AP253</f>
        <v>-3618.99</v>
      </c>
      <c r="E253" s="402">
        <f>'A) Base RI'!AQ253</f>
        <v>0</v>
      </c>
      <c r="F253" s="402">
        <f>'A) Base RI'!AR253</f>
        <v>0</v>
      </c>
      <c r="G253" s="408">
        <f t="shared" si="18"/>
        <v>413959.98</v>
      </c>
      <c r="H253" s="10">
        <f>+'A) Base RI'!E253</f>
        <v>0</v>
      </c>
      <c r="I253" s="10">
        <f>+'A) Base RI'!F253</f>
        <v>1610</v>
      </c>
      <c r="J253" s="10">
        <f>+'A) Base RI'!G253+'A) Base RI'!H253+'A) Base RI'!X253</f>
        <v>21301.33</v>
      </c>
      <c r="K253" s="10">
        <f>+'A) Base RI'!I253</f>
        <v>0</v>
      </c>
      <c r="L253" s="10">
        <f>+'A) Base RI'!J253</f>
        <v>6017.26</v>
      </c>
      <c r="M253" s="10">
        <f>+'A) Base RI'!K253</f>
        <v>-155.65</v>
      </c>
      <c r="N253" s="10">
        <f>+'A) Base RI'!Q253</f>
        <v>0</v>
      </c>
      <c r="O253" s="10">
        <f t="shared" si="19"/>
        <v>38030.15</v>
      </c>
      <c r="P253" s="10">
        <f>+'A) Base RI'!L253</f>
        <v>38030.15</v>
      </c>
      <c r="Q253" s="416">
        <f>'A) Base RI'!AS253</f>
        <v>1</v>
      </c>
      <c r="R253" s="408">
        <f t="shared" si="20"/>
        <v>480763.07</v>
      </c>
      <c r="S253" s="482">
        <f>+'A) Base RI'!AN253</f>
        <v>78</v>
      </c>
      <c r="T253" s="408">
        <f t="shared" si="21"/>
        <v>441278.57</v>
      </c>
      <c r="U253" s="408">
        <f t="shared" si="22"/>
        <v>6163.6291025641031</v>
      </c>
      <c r="V253" s="10">
        <f>+'A) Base RI'!O253</f>
        <v>0</v>
      </c>
      <c r="W253" s="10">
        <f>+'A) Base RI'!P253</f>
        <v>12236.9</v>
      </c>
      <c r="X253" s="10">
        <f>+'A) Base RI'!R253</f>
        <v>13692.55</v>
      </c>
      <c r="Y253" s="408">
        <f t="shared" si="23"/>
        <v>25929.449999999997</v>
      </c>
      <c r="Z253" s="10">
        <f>+'A) Base RI'!N253</f>
        <v>0</v>
      </c>
      <c r="AA253" s="10">
        <f>'A) Base RI'!AO253</f>
        <v>302</v>
      </c>
    </row>
    <row r="254" spans="1:27" x14ac:dyDescent="0.25">
      <c r="A254" s="8">
        <f>'A) Base RI'!A254</f>
        <v>5828</v>
      </c>
      <c r="B254" s="32" t="str">
        <f>'A) Base RI'!B254</f>
        <v>Treytorrens (Payerne)</v>
      </c>
      <c r="C254" s="10">
        <f>'A) Base RI'!C254+'A) Base RI'!D254</f>
        <v>177332.65</v>
      </c>
      <c r="D254" s="10">
        <f>'A) Base RI'!AP254</f>
        <v>-1731.49</v>
      </c>
      <c r="E254" s="402">
        <f>'A) Base RI'!AQ254</f>
        <v>0</v>
      </c>
      <c r="F254" s="402">
        <f>'A) Base RI'!AR254</f>
        <v>0</v>
      </c>
      <c r="G254" s="408">
        <f t="shared" si="18"/>
        <v>175601.16</v>
      </c>
      <c r="H254" s="10">
        <f>+'A) Base RI'!E254</f>
        <v>0</v>
      </c>
      <c r="I254" s="10">
        <f>+'A) Base RI'!F254</f>
        <v>0</v>
      </c>
      <c r="J254" s="10">
        <f>+'A) Base RI'!G254+'A) Base RI'!H254+'A) Base RI'!X254</f>
        <v>-69.319999999999993</v>
      </c>
      <c r="K254" s="10">
        <f>+'A) Base RI'!I254</f>
        <v>0</v>
      </c>
      <c r="L254" s="10">
        <f>+'A) Base RI'!J254</f>
        <v>275.24</v>
      </c>
      <c r="M254" s="10">
        <f>+'A) Base RI'!K254</f>
        <v>0</v>
      </c>
      <c r="N254" s="10">
        <f>+'A) Base RI'!Q254</f>
        <v>0</v>
      </c>
      <c r="O254" s="10">
        <f t="shared" si="19"/>
        <v>16419.866666666665</v>
      </c>
      <c r="P254" s="10">
        <f>+'A) Base RI'!L254</f>
        <v>24629.8</v>
      </c>
      <c r="Q254" s="416">
        <f>'A) Base RI'!AS254</f>
        <v>1.5</v>
      </c>
      <c r="R254" s="408">
        <f t="shared" si="20"/>
        <v>192226.94666666666</v>
      </c>
      <c r="S254" s="482">
        <f>+'A) Base RI'!AN254</f>
        <v>84</v>
      </c>
      <c r="T254" s="408">
        <f t="shared" si="21"/>
        <v>175807.08</v>
      </c>
      <c r="U254" s="408">
        <f t="shared" si="22"/>
        <v>2288.4160317460314</v>
      </c>
      <c r="V254" s="10">
        <f>+'A) Base RI'!O254</f>
        <v>318.10000000000002</v>
      </c>
      <c r="W254" s="10">
        <f>+'A) Base RI'!P254</f>
        <v>5731</v>
      </c>
      <c r="X254" s="10">
        <f>+'A) Base RI'!R254</f>
        <v>0</v>
      </c>
      <c r="Y254" s="408">
        <f t="shared" si="23"/>
        <v>6049.1</v>
      </c>
      <c r="Z254" s="10">
        <f>+'A) Base RI'!N254</f>
        <v>0</v>
      </c>
      <c r="AA254" s="10">
        <f>'A) Base RI'!AO254</f>
        <v>114</v>
      </c>
    </row>
    <row r="255" spans="1:27" x14ac:dyDescent="0.25">
      <c r="A255" s="8">
        <f>'A) Base RI'!A255</f>
        <v>5830</v>
      </c>
      <c r="B255" s="32" t="str">
        <f>'A) Base RI'!B255</f>
        <v>Villarzel</v>
      </c>
      <c r="C255" s="10">
        <f>'A) Base RI'!C255+'A) Base RI'!D255</f>
        <v>893401</v>
      </c>
      <c r="D255" s="10">
        <f>'A) Base RI'!AP255</f>
        <v>-18510.71</v>
      </c>
      <c r="E255" s="402">
        <f>'A) Base RI'!AQ255</f>
        <v>0</v>
      </c>
      <c r="F255" s="402">
        <f>'A) Base RI'!AR255</f>
        <v>-182.73</v>
      </c>
      <c r="G255" s="408">
        <f t="shared" si="18"/>
        <v>874707.56</v>
      </c>
      <c r="H255" s="10">
        <f>+'A) Base RI'!E255</f>
        <v>0</v>
      </c>
      <c r="I255" s="10">
        <f>+'A) Base RI'!F255</f>
        <v>0</v>
      </c>
      <c r="J255" s="10">
        <f>+'A) Base RI'!G255+'A) Base RI'!H255+'A) Base RI'!X255</f>
        <v>6092.7400000000007</v>
      </c>
      <c r="K255" s="10">
        <f>+'A) Base RI'!I255</f>
        <v>0</v>
      </c>
      <c r="L255" s="10">
        <f>+'A) Base RI'!J255</f>
        <v>10849.04</v>
      </c>
      <c r="M255" s="10">
        <f>+'A) Base RI'!K255</f>
        <v>2089.6999999999998</v>
      </c>
      <c r="N255" s="10">
        <f>+'A) Base RI'!Q255</f>
        <v>9106.51</v>
      </c>
      <c r="O255" s="10">
        <f t="shared" si="19"/>
        <v>57415</v>
      </c>
      <c r="P255" s="10">
        <f>+'A) Base RI'!L255</f>
        <v>57415</v>
      </c>
      <c r="Q255" s="416">
        <f>'A) Base RI'!AS255</f>
        <v>1</v>
      </c>
      <c r="R255" s="408">
        <f t="shared" si="20"/>
        <v>960260.55</v>
      </c>
      <c r="S255" s="482">
        <f>+'A) Base RI'!AN255</f>
        <v>77</v>
      </c>
      <c r="T255" s="408">
        <f t="shared" si="21"/>
        <v>900755.85000000009</v>
      </c>
      <c r="U255" s="408">
        <f t="shared" si="22"/>
        <v>12470.916233766235</v>
      </c>
      <c r="V255" s="10">
        <f>+'A) Base RI'!O255</f>
        <v>0</v>
      </c>
      <c r="W255" s="10">
        <f>+'A) Base RI'!P255</f>
        <v>59520</v>
      </c>
      <c r="X255" s="10">
        <f>+'A) Base RI'!R255</f>
        <v>18343.95</v>
      </c>
      <c r="Y255" s="408">
        <f t="shared" si="23"/>
        <v>77863.95</v>
      </c>
      <c r="Z255" s="10">
        <f>+'A) Base RI'!N255</f>
        <v>6516</v>
      </c>
      <c r="AA255" s="10">
        <f>'A) Base RI'!AO255</f>
        <v>477</v>
      </c>
    </row>
    <row r="256" spans="1:27" x14ac:dyDescent="0.25">
      <c r="A256" s="8">
        <f>'A) Base RI'!A256</f>
        <v>5831</v>
      </c>
      <c r="B256" s="32" t="str">
        <f>'A) Base RI'!B256</f>
        <v>Valbroye</v>
      </c>
      <c r="C256" s="10">
        <f>'A) Base RI'!C256+'A) Base RI'!D256</f>
        <v>5215829.9000000004</v>
      </c>
      <c r="D256" s="10">
        <f>'A) Base RI'!AP256</f>
        <v>-139996.24</v>
      </c>
      <c r="E256" s="402">
        <f>'A) Base RI'!AQ256</f>
        <v>0</v>
      </c>
      <c r="F256" s="402">
        <f>'A) Base RI'!AR256</f>
        <v>-1227.58</v>
      </c>
      <c r="G256" s="408">
        <f t="shared" si="18"/>
        <v>5074606.0800000001</v>
      </c>
      <c r="H256" s="10">
        <f>+'A) Base RI'!E256</f>
        <v>0</v>
      </c>
      <c r="I256" s="10">
        <f>+'A) Base RI'!F256</f>
        <v>0</v>
      </c>
      <c r="J256" s="10">
        <f>+'A) Base RI'!G256+'A) Base RI'!H256+'A) Base RI'!X256</f>
        <v>70396</v>
      </c>
      <c r="K256" s="10">
        <f>+'A) Base RI'!I256</f>
        <v>0</v>
      </c>
      <c r="L256" s="10">
        <f>+'A) Base RI'!J256</f>
        <v>170860.28</v>
      </c>
      <c r="M256" s="10">
        <f>+'A) Base RI'!K256</f>
        <v>24914.05</v>
      </c>
      <c r="N256" s="10">
        <f>+'A) Base RI'!Q256</f>
        <v>71958.5</v>
      </c>
      <c r="O256" s="10">
        <f t="shared" si="19"/>
        <v>492114.75</v>
      </c>
      <c r="P256" s="10">
        <f>+'A) Base RI'!L256</f>
        <v>295268.84999999998</v>
      </c>
      <c r="Q256" s="416">
        <f>'A) Base RI'!AS256</f>
        <v>0.6</v>
      </c>
      <c r="R256" s="408">
        <f t="shared" si="20"/>
        <v>5904849.6600000001</v>
      </c>
      <c r="S256" s="482">
        <f>+'A) Base RI'!AN256</f>
        <v>70.5</v>
      </c>
      <c r="T256" s="408">
        <f t="shared" si="21"/>
        <v>5387820.8600000003</v>
      </c>
      <c r="U256" s="408">
        <f t="shared" si="22"/>
        <v>83756.732765957451</v>
      </c>
      <c r="V256" s="10">
        <f>+'A) Base RI'!O256</f>
        <v>83792.850000000006</v>
      </c>
      <c r="W256" s="10">
        <f>+'A) Base RI'!P256</f>
        <v>278845.59999999998</v>
      </c>
      <c r="X256" s="10">
        <f>+'A) Base RI'!R256</f>
        <v>130362.9</v>
      </c>
      <c r="Y256" s="408">
        <f t="shared" si="23"/>
        <v>493001.35</v>
      </c>
      <c r="Z256" s="10">
        <f>+'A) Base RI'!N256</f>
        <v>22474.9</v>
      </c>
      <c r="AA256" s="10">
        <f>'A) Base RI'!AO256</f>
        <v>3373</v>
      </c>
    </row>
    <row r="257" spans="1:27" x14ac:dyDescent="0.25">
      <c r="A257" s="8">
        <f>'A) Base RI'!A257</f>
        <v>5841</v>
      </c>
      <c r="B257" s="32" t="str">
        <f>'A) Base RI'!B257</f>
        <v>Château-d'Oex</v>
      </c>
      <c r="C257" s="10">
        <f>'A) Base RI'!C257+'A) Base RI'!D257</f>
        <v>6996927.5999999996</v>
      </c>
      <c r="D257" s="10">
        <f>'A) Base RI'!AP257</f>
        <v>-109064.02</v>
      </c>
      <c r="E257" s="402">
        <f>'A) Base RI'!AQ257</f>
        <v>0</v>
      </c>
      <c r="F257" s="402">
        <f>'A) Base RI'!AR257</f>
        <v>-14091.22</v>
      </c>
      <c r="G257" s="408">
        <f t="shared" si="18"/>
        <v>6873772.3600000003</v>
      </c>
      <c r="H257" s="10">
        <f>+'A) Base RI'!E257</f>
        <v>0</v>
      </c>
      <c r="I257" s="10">
        <f>+'A) Base RI'!F257</f>
        <v>0</v>
      </c>
      <c r="J257" s="10">
        <f>+'A) Base RI'!G257+'A) Base RI'!H257+'A) Base RI'!X257</f>
        <v>128739.34999999999</v>
      </c>
      <c r="K257" s="10">
        <f>+'A) Base RI'!I257</f>
        <v>531790.05000000005</v>
      </c>
      <c r="L257" s="10">
        <f>+'A) Base RI'!J257</f>
        <v>282488.05</v>
      </c>
      <c r="M257" s="10">
        <f>+'A) Base RI'!K257</f>
        <v>23768.85</v>
      </c>
      <c r="N257" s="10">
        <f>+'A) Base RI'!Q257</f>
        <v>15481.08</v>
      </c>
      <c r="O257" s="10">
        <f t="shared" si="19"/>
        <v>999619.1</v>
      </c>
      <c r="P257" s="10">
        <f>+'A) Base RI'!L257</f>
        <v>1499428.65</v>
      </c>
      <c r="Q257" s="416">
        <f>'A) Base RI'!AS257</f>
        <v>1.5</v>
      </c>
      <c r="R257" s="408">
        <f t="shared" si="20"/>
        <v>8855658.8399999999</v>
      </c>
      <c r="S257" s="482">
        <f>+'A) Base RI'!AN257</f>
        <v>81.5</v>
      </c>
      <c r="T257" s="408">
        <f t="shared" si="21"/>
        <v>7832270.8899999997</v>
      </c>
      <c r="U257" s="408">
        <f t="shared" si="22"/>
        <v>108658.39067484663</v>
      </c>
      <c r="V257" s="10">
        <f>+'A) Base RI'!O257</f>
        <v>1020620.5</v>
      </c>
      <c r="W257" s="10">
        <f>+'A) Base RI'!P257</f>
        <v>353825.05</v>
      </c>
      <c r="X257" s="10">
        <f>+'A) Base RI'!R257</f>
        <v>252646.95</v>
      </c>
      <c r="Y257" s="408">
        <f t="shared" si="23"/>
        <v>1627092.5</v>
      </c>
      <c r="Z257" s="10">
        <f>+'A) Base RI'!N257</f>
        <v>7425.55</v>
      </c>
      <c r="AA257" s="10">
        <f>'A) Base RI'!AO257</f>
        <v>3494</v>
      </c>
    </row>
    <row r="258" spans="1:27" x14ac:dyDescent="0.25">
      <c r="A258" s="8">
        <f>'A) Base RI'!A258</f>
        <v>5842</v>
      </c>
      <c r="B258" s="32" t="str">
        <f>'A) Base RI'!B258</f>
        <v>Rossinière</v>
      </c>
      <c r="C258" s="10">
        <f>'A) Base RI'!C258+'A) Base RI'!D258</f>
        <v>1035255.21</v>
      </c>
      <c r="D258" s="10">
        <f>'A) Base RI'!AP258</f>
        <v>-216.64</v>
      </c>
      <c r="E258" s="402">
        <f>'A) Base RI'!AQ258</f>
        <v>0</v>
      </c>
      <c r="F258" s="402">
        <f>'A) Base RI'!AR258</f>
        <v>-1530.31</v>
      </c>
      <c r="G258" s="408">
        <f t="shared" si="18"/>
        <v>1033508.2599999999</v>
      </c>
      <c r="H258" s="10">
        <f>+'A) Base RI'!E258</f>
        <v>0</v>
      </c>
      <c r="I258" s="10">
        <f>+'A) Base RI'!F258</f>
        <v>0</v>
      </c>
      <c r="J258" s="10">
        <f>+'A) Base RI'!G258+'A) Base RI'!H258+'A) Base RI'!X258</f>
        <v>21447.040000000001</v>
      </c>
      <c r="K258" s="10">
        <f>+'A) Base RI'!I258</f>
        <v>0</v>
      </c>
      <c r="L258" s="10">
        <f>+'A) Base RI'!J258</f>
        <v>22435.73</v>
      </c>
      <c r="M258" s="10">
        <f>+'A) Base RI'!K258</f>
        <v>916.35</v>
      </c>
      <c r="N258" s="10">
        <f>+'A) Base RI'!Q258</f>
        <v>143.91999999999999</v>
      </c>
      <c r="O258" s="10">
        <f t="shared" si="19"/>
        <v>96854.733333333337</v>
      </c>
      <c r="P258" s="10">
        <f>+'A) Base RI'!L258</f>
        <v>145282.1</v>
      </c>
      <c r="Q258" s="416">
        <f>'A) Base RI'!AS258</f>
        <v>1.5</v>
      </c>
      <c r="R258" s="408">
        <f t="shared" si="20"/>
        <v>1175306.0333333332</v>
      </c>
      <c r="S258" s="482">
        <f>+'A) Base RI'!AN258</f>
        <v>81</v>
      </c>
      <c r="T258" s="408">
        <f t="shared" si="21"/>
        <v>1077534.9499999997</v>
      </c>
      <c r="U258" s="408">
        <f t="shared" si="22"/>
        <v>14509.951028806583</v>
      </c>
      <c r="V258" s="10">
        <f>+'A) Base RI'!O258</f>
        <v>0</v>
      </c>
      <c r="W258" s="10">
        <f>+'A) Base RI'!P258</f>
        <v>38379</v>
      </c>
      <c r="X258" s="10">
        <f>+'A) Base RI'!R258</f>
        <v>33838.050000000003</v>
      </c>
      <c r="Y258" s="408">
        <f t="shared" si="23"/>
        <v>72217.05</v>
      </c>
      <c r="Z258" s="10">
        <f>+'A) Base RI'!N258</f>
        <v>0</v>
      </c>
      <c r="AA258" s="10">
        <f>'A) Base RI'!AO258</f>
        <v>537</v>
      </c>
    </row>
    <row r="259" spans="1:27" x14ac:dyDescent="0.25">
      <c r="A259" s="8">
        <f>'A) Base RI'!A259</f>
        <v>5843</v>
      </c>
      <c r="B259" s="32" t="str">
        <f>'A) Base RI'!B259</f>
        <v>Rougemont</v>
      </c>
      <c r="C259" s="10">
        <f>'A) Base RI'!C259+'A) Base RI'!D259</f>
        <v>5217404.0299999993</v>
      </c>
      <c r="D259" s="10">
        <f>'A) Base RI'!AP259</f>
        <v>-8788.98</v>
      </c>
      <c r="E259" s="402">
        <f>'A) Base RI'!AQ259</f>
        <v>0</v>
      </c>
      <c r="F259" s="402">
        <f>'A) Base RI'!AR259</f>
        <v>-29770.84</v>
      </c>
      <c r="G259" s="408">
        <f t="shared" si="18"/>
        <v>5178844.209999999</v>
      </c>
      <c r="H259" s="10">
        <f>+'A) Base RI'!E259</f>
        <v>0</v>
      </c>
      <c r="I259" s="10">
        <f>+'A) Base RI'!F259</f>
        <v>0</v>
      </c>
      <c r="J259" s="10">
        <f>+'A) Base RI'!G259+'A) Base RI'!H259+'A) Base RI'!X259</f>
        <v>60518.459999999992</v>
      </c>
      <c r="K259" s="10">
        <f>+'A) Base RI'!I259</f>
        <v>1271760.1000000001</v>
      </c>
      <c r="L259" s="10">
        <f>+'A) Base RI'!J259</f>
        <v>95400.23</v>
      </c>
      <c r="M259" s="10">
        <f>+'A) Base RI'!K259</f>
        <v>33861.050000000003</v>
      </c>
      <c r="N259" s="10">
        <f>+'A) Base RI'!Q259</f>
        <v>0</v>
      </c>
      <c r="O259" s="10">
        <f t="shared" si="19"/>
        <v>794321.79999999993</v>
      </c>
      <c r="P259" s="10">
        <f>+'A) Base RI'!L259</f>
        <v>1191482.7</v>
      </c>
      <c r="Q259" s="416">
        <f>'A) Base RI'!AS259</f>
        <v>1.5</v>
      </c>
      <c r="R259" s="408">
        <f t="shared" si="20"/>
        <v>7434705.8499999996</v>
      </c>
      <c r="S259" s="482">
        <f>+'A) Base RI'!AN259</f>
        <v>74</v>
      </c>
      <c r="T259" s="408">
        <f t="shared" si="21"/>
        <v>6606523</v>
      </c>
      <c r="U259" s="408">
        <f t="shared" si="22"/>
        <v>100468.99797297297</v>
      </c>
      <c r="V259" s="10">
        <f>+'A) Base RI'!O259</f>
        <v>674623.9</v>
      </c>
      <c r="W259" s="10">
        <f>+'A) Base RI'!P259</f>
        <v>404220.25</v>
      </c>
      <c r="X259" s="10">
        <f>+'A) Base RI'!R259</f>
        <v>194786.55</v>
      </c>
      <c r="Y259" s="408">
        <f t="shared" si="23"/>
        <v>1273630.7</v>
      </c>
      <c r="Z259" s="10">
        <f>+'A) Base RI'!N259</f>
        <v>0</v>
      </c>
      <c r="AA259" s="10">
        <f>'A) Base RI'!AO259</f>
        <v>863</v>
      </c>
    </row>
    <row r="260" spans="1:27" x14ac:dyDescent="0.25">
      <c r="A260" s="8">
        <f>'A) Base RI'!A260</f>
        <v>5851</v>
      </c>
      <c r="B260" s="32" t="str">
        <f>'A) Base RI'!B260</f>
        <v>Allaman</v>
      </c>
      <c r="C260" s="10">
        <f>'A) Base RI'!C260+'A) Base RI'!D260</f>
        <v>967797.86</v>
      </c>
      <c r="D260" s="10">
        <f>'A) Base RI'!AP260</f>
        <v>-32697.91</v>
      </c>
      <c r="E260" s="402">
        <f>'A) Base RI'!AQ260</f>
        <v>0</v>
      </c>
      <c r="F260" s="402">
        <f>'A) Base RI'!AR260</f>
        <v>-498.12</v>
      </c>
      <c r="G260" s="408">
        <f t="shared" si="18"/>
        <v>934601.83</v>
      </c>
      <c r="H260" s="10">
        <f>+'A) Base RI'!E260</f>
        <v>0</v>
      </c>
      <c r="I260" s="10">
        <f>+'A) Base RI'!F260</f>
        <v>0</v>
      </c>
      <c r="J260" s="10">
        <f>+'A) Base RI'!G260+'A) Base RI'!H260+'A) Base RI'!X260</f>
        <v>105849.20000000001</v>
      </c>
      <c r="K260" s="10">
        <f>+'A) Base RI'!I260</f>
        <v>137387.79999999999</v>
      </c>
      <c r="L260" s="10">
        <f>+'A) Base RI'!J260</f>
        <v>29560.63</v>
      </c>
      <c r="M260" s="10">
        <f>+'A) Base RI'!K260</f>
        <v>29978.65</v>
      </c>
      <c r="N260" s="10">
        <f>+'A) Base RI'!Q260</f>
        <v>0</v>
      </c>
      <c r="O260" s="10">
        <f t="shared" si="19"/>
        <v>221474.72727272726</v>
      </c>
      <c r="P260" s="10">
        <f>+'A) Base RI'!L260</f>
        <v>243622.2</v>
      </c>
      <c r="Q260" s="416">
        <f>'A) Base RI'!AS260</f>
        <v>1.1000000000000001</v>
      </c>
      <c r="R260" s="408">
        <f t="shared" si="20"/>
        <v>1458852.8372727272</v>
      </c>
      <c r="S260" s="482">
        <f>+'A) Base RI'!AN260</f>
        <v>60</v>
      </c>
      <c r="T260" s="408">
        <f t="shared" si="21"/>
        <v>1207399.46</v>
      </c>
      <c r="U260" s="408">
        <f t="shared" si="22"/>
        <v>24314.213954545452</v>
      </c>
      <c r="V260" s="10">
        <f>+'A) Base RI'!O260</f>
        <v>0</v>
      </c>
      <c r="W260" s="10">
        <f>+'A) Base RI'!P260</f>
        <v>207.65</v>
      </c>
      <c r="X260" s="10">
        <f>+'A) Base RI'!R260</f>
        <v>0</v>
      </c>
      <c r="Y260" s="408">
        <f t="shared" si="23"/>
        <v>207.65</v>
      </c>
      <c r="Z260" s="10">
        <f>+'A) Base RI'!N260</f>
        <v>73719.45</v>
      </c>
      <c r="AA260" s="10">
        <f>'A) Base RI'!AO260</f>
        <v>443</v>
      </c>
    </row>
    <row r="261" spans="1:27" x14ac:dyDescent="0.25">
      <c r="A261" s="8">
        <f>'A) Base RI'!A261</f>
        <v>5852</v>
      </c>
      <c r="B261" s="32" t="str">
        <f>'A) Base RI'!B261</f>
        <v>Bursinel</v>
      </c>
      <c r="C261" s="10">
        <f>'A) Base RI'!C261+'A) Base RI'!D261</f>
        <v>2336894.7999999998</v>
      </c>
      <c r="D261" s="10">
        <f>'A) Base RI'!AP261</f>
        <v>-19184.080000000002</v>
      </c>
      <c r="E261" s="402">
        <f>'A) Base RI'!AQ261</f>
        <v>0</v>
      </c>
      <c r="F261" s="402">
        <f>'A) Base RI'!AR261</f>
        <v>-2256.67</v>
      </c>
      <c r="G261" s="408">
        <f t="shared" si="18"/>
        <v>2315454.0499999998</v>
      </c>
      <c r="H261" s="10">
        <f>+'A) Base RI'!E261</f>
        <v>0</v>
      </c>
      <c r="I261" s="10">
        <f>+'A) Base RI'!F261</f>
        <v>0</v>
      </c>
      <c r="J261" s="10">
        <f>+'A) Base RI'!G261+'A) Base RI'!H261+'A) Base RI'!X261</f>
        <v>15199.699999999999</v>
      </c>
      <c r="K261" s="10">
        <f>+'A) Base RI'!I261</f>
        <v>207092.4</v>
      </c>
      <c r="L261" s="10">
        <f>+'A) Base RI'!J261</f>
        <v>-64794.71</v>
      </c>
      <c r="M261" s="10">
        <f>+'A) Base RI'!K261</f>
        <v>7344.35</v>
      </c>
      <c r="N261" s="10">
        <f>+'A) Base RI'!Q261</f>
        <v>0</v>
      </c>
      <c r="O261" s="10">
        <f t="shared" si="19"/>
        <v>185961.33333333334</v>
      </c>
      <c r="P261" s="10">
        <f>+'A) Base RI'!L261</f>
        <v>139471</v>
      </c>
      <c r="Q261" s="416">
        <f>'A) Base RI'!AS261</f>
        <v>0.75</v>
      </c>
      <c r="R261" s="408">
        <f t="shared" si="20"/>
        <v>2666257.1233333335</v>
      </c>
      <c r="S261" s="482">
        <f>+'A) Base RI'!AN261</f>
        <v>65.5</v>
      </c>
      <c r="T261" s="408">
        <f t="shared" si="21"/>
        <v>2472951.44</v>
      </c>
      <c r="U261" s="408">
        <f t="shared" si="22"/>
        <v>40706.215623409669</v>
      </c>
      <c r="V261" s="10">
        <f>+'A) Base RI'!O261</f>
        <v>0</v>
      </c>
      <c r="W261" s="10">
        <f>+'A) Base RI'!P261</f>
        <v>61570.65</v>
      </c>
      <c r="X261" s="10">
        <f>+'A) Base RI'!R261</f>
        <v>13682.65</v>
      </c>
      <c r="Y261" s="408">
        <f t="shared" si="23"/>
        <v>75253.3</v>
      </c>
      <c r="Z261" s="10">
        <f>+'A) Base RI'!N261</f>
        <v>8183.75</v>
      </c>
      <c r="AA261" s="10">
        <f>'A) Base RI'!AO261</f>
        <v>491</v>
      </c>
    </row>
    <row r="262" spans="1:27" x14ac:dyDescent="0.25">
      <c r="A262" s="8">
        <f>'A) Base RI'!A262</f>
        <v>5853</v>
      </c>
      <c r="B262" s="32" t="str">
        <f>'A) Base RI'!B262</f>
        <v>Bursins</v>
      </c>
      <c r="C262" s="10">
        <f>'A) Base RI'!C262+'A) Base RI'!D262</f>
        <v>2527880.35</v>
      </c>
      <c r="D262" s="10">
        <f>'A) Base RI'!AP262</f>
        <v>-116166.46</v>
      </c>
      <c r="E262" s="402">
        <f>'A) Base RI'!AQ262</f>
        <v>0</v>
      </c>
      <c r="F262" s="402">
        <f>'A) Base RI'!AR262</f>
        <v>-1408.33</v>
      </c>
      <c r="G262" s="408">
        <f t="shared" si="18"/>
        <v>2410305.56</v>
      </c>
      <c r="H262" s="10">
        <f>+'A) Base RI'!E262</f>
        <v>0</v>
      </c>
      <c r="I262" s="10">
        <f>+'A) Base RI'!F262</f>
        <v>0</v>
      </c>
      <c r="J262" s="10">
        <f>+'A) Base RI'!G262+'A) Base RI'!H262+'A) Base RI'!X262</f>
        <v>67990.3</v>
      </c>
      <c r="K262" s="10">
        <f>+'A) Base RI'!I262</f>
        <v>192967.04000000001</v>
      </c>
      <c r="L262" s="10">
        <f>+'A) Base RI'!J262</f>
        <v>84796</v>
      </c>
      <c r="M262" s="10">
        <f>+'A) Base RI'!K262</f>
        <v>15561.65</v>
      </c>
      <c r="N262" s="10">
        <f>+'A) Base RI'!Q262</f>
        <v>684.76</v>
      </c>
      <c r="O262" s="10">
        <f t="shared" si="19"/>
        <v>210822.3</v>
      </c>
      <c r="P262" s="10">
        <f>+'A) Base RI'!L262</f>
        <v>210822.3</v>
      </c>
      <c r="Q262" s="416">
        <f>'A) Base RI'!AS262</f>
        <v>1</v>
      </c>
      <c r="R262" s="408">
        <f t="shared" si="20"/>
        <v>2983127.6099999994</v>
      </c>
      <c r="S262" s="482">
        <f>+'A) Base RI'!AN262</f>
        <v>71</v>
      </c>
      <c r="T262" s="408">
        <f t="shared" si="21"/>
        <v>2756743.6599999997</v>
      </c>
      <c r="U262" s="408">
        <f t="shared" si="22"/>
        <v>42015.881830985905</v>
      </c>
      <c r="V262" s="10">
        <f>+'A) Base RI'!O262</f>
        <v>6636346.2000000002</v>
      </c>
      <c r="W262" s="10">
        <f>+'A) Base RI'!P262</f>
        <v>221924.2</v>
      </c>
      <c r="X262" s="10">
        <f>+'A) Base RI'!R262</f>
        <v>268394.8</v>
      </c>
      <c r="Y262" s="408">
        <f t="shared" si="23"/>
        <v>7126665.2000000002</v>
      </c>
      <c r="Z262" s="10">
        <f>+'A) Base RI'!N262</f>
        <v>65850.05</v>
      </c>
      <c r="AA262" s="10">
        <f>'A) Base RI'!AO262</f>
        <v>773</v>
      </c>
    </row>
    <row r="263" spans="1:27" x14ac:dyDescent="0.25">
      <c r="A263" s="8">
        <f>'A) Base RI'!A263</f>
        <v>5854</v>
      </c>
      <c r="B263" s="32" t="str">
        <f>'A) Base RI'!B263</f>
        <v>Burtigny</v>
      </c>
      <c r="C263" s="10">
        <f>'A) Base RI'!C263+'A) Base RI'!D263</f>
        <v>787618.16</v>
      </c>
      <c r="D263" s="10">
        <f>'A) Base RI'!AP263</f>
        <v>-6688.48</v>
      </c>
      <c r="E263" s="402">
        <f>'A) Base RI'!AQ263</f>
        <v>0</v>
      </c>
      <c r="F263" s="402">
        <f>'A) Base RI'!AR263</f>
        <v>-393.73</v>
      </c>
      <c r="G263" s="408">
        <f t="shared" si="18"/>
        <v>780535.95000000007</v>
      </c>
      <c r="H263" s="10">
        <f>+'A) Base RI'!E263</f>
        <v>0</v>
      </c>
      <c r="I263" s="10">
        <f>+'A) Base RI'!F263</f>
        <v>0</v>
      </c>
      <c r="J263" s="10">
        <f>+'A) Base RI'!G263+'A) Base RI'!H263+'A) Base RI'!X263</f>
        <v>7.4999999999990221</v>
      </c>
      <c r="K263" s="10">
        <f>+'A) Base RI'!I263</f>
        <v>0</v>
      </c>
      <c r="L263" s="10">
        <f>+'A) Base RI'!J263</f>
        <v>4608.1000000000004</v>
      </c>
      <c r="M263" s="10">
        <f>+'A) Base RI'!K263</f>
        <v>2031.9</v>
      </c>
      <c r="N263" s="10">
        <f>+'A) Base RI'!Q263</f>
        <v>745.3</v>
      </c>
      <c r="O263" s="10">
        <f t="shared" si="19"/>
        <v>74702.766666666663</v>
      </c>
      <c r="P263" s="10">
        <f>+'A) Base RI'!L263</f>
        <v>112054.15</v>
      </c>
      <c r="Q263" s="416">
        <f>'A) Base RI'!AS263</f>
        <v>1.5</v>
      </c>
      <c r="R263" s="408">
        <f t="shared" si="20"/>
        <v>862631.51666666684</v>
      </c>
      <c r="S263" s="482">
        <f>+'A) Base RI'!AN263</f>
        <v>80</v>
      </c>
      <c r="T263" s="408">
        <f t="shared" si="21"/>
        <v>785896.85000000009</v>
      </c>
      <c r="U263" s="408">
        <f t="shared" si="22"/>
        <v>10782.893958333336</v>
      </c>
      <c r="V263" s="10">
        <f>+'A) Base RI'!O263</f>
        <v>0</v>
      </c>
      <c r="W263" s="10">
        <f>+'A) Base RI'!P263</f>
        <v>37590</v>
      </c>
      <c r="X263" s="10">
        <f>+'A) Base RI'!R263</f>
        <v>68535.350000000006</v>
      </c>
      <c r="Y263" s="408">
        <f t="shared" si="23"/>
        <v>106125.35</v>
      </c>
      <c r="Z263" s="10">
        <f>+'A) Base RI'!N263</f>
        <v>24487.9</v>
      </c>
      <c r="AA263" s="10">
        <f>'A) Base RI'!AO263</f>
        <v>404</v>
      </c>
    </row>
    <row r="264" spans="1:27" x14ac:dyDescent="0.25">
      <c r="A264" s="8">
        <f>'A) Base RI'!A264</f>
        <v>5855</v>
      </c>
      <c r="B264" s="32" t="str">
        <f>'A) Base RI'!B264</f>
        <v>Dully</v>
      </c>
      <c r="C264" s="10">
        <f>'A) Base RI'!C264+'A) Base RI'!D264</f>
        <v>3394557.16</v>
      </c>
      <c r="D264" s="10">
        <f>'A) Base RI'!AP264</f>
        <v>-16694.16</v>
      </c>
      <c r="E264" s="402">
        <f>'A) Base RI'!AQ264</f>
        <v>0</v>
      </c>
      <c r="F264" s="402">
        <f>'A) Base RI'!AR264</f>
        <v>-19267.39</v>
      </c>
      <c r="G264" s="408">
        <f t="shared" ref="G264:G315" si="24">SUM(C264:F264)</f>
        <v>3358595.61</v>
      </c>
      <c r="H264" s="10">
        <f>+'A) Base RI'!E264</f>
        <v>0</v>
      </c>
      <c r="I264" s="10">
        <f>+'A) Base RI'!F264</f>
        <v>0</v>
      </c>
      <c r="J264" s="10">
        <f>+'A) Base RI'!G264+'A) Base RI'!H264+'A) Base RI'!X264</f>
        <v>69687.460000000006</v>
      </c>
      <c r="K264" s="10">
        <f>+'A) Base RI'!I264</f>
        <v>624296.19999999995</v>
      </c>
      <c r="L264" s="10">
        <f>+'A) Base RI'!J264</f>
        <v>20299.87</v>
      </c>
      <c r="M264" s="10">
        <f>+'A) Base RI'!K264</f>
        <v>12031</v>
      </c>
      <c r="N264" s="10">
        <f>+'A) Base RI'!Q264</f>
        <v>13553.69</v>
      </c>
      <c r="O264" s="10">
        <f t="shared" ref="O264:O315" si="25">(P264/Q264)*1</f>
        <v>711303.4</v>
      </c>
      <c r="P264" s="10">
        <f>+'A) Base RI'!L264</f>
        <v>355651.7</v>
      </c>
      <c r="Q264" s="416">
        <f>'A) Base RI'!AS264</f>
        <v>0.5</v>
      </c>
      <c r="R264" s="408">
        <f t="shared" ref="R264:R315" si="26">SUM(G264:O264)</f>
        <v>4809767.2299999995</v>
      </c>
      <c r="S264" s="482">
        <f>+'A) Base RI'!AN264</f>
        <v>49</v>
      </c>
      <c r="T264" s="408">
        <f t="shared" ref="T264:T315" si="27">(G264+H264+J264+K264+L264+N264)</f>
        <v>4086432.8299999996</v>
      </c>
      <c r="U264" s="408">
        <f t="shared" ref="U264:U315" si="28">R264/S264</f>
        <v>98158.514897959176</v>
      </c>
      <c r="V264" s="10">
        <f>+'A) Base RI'!O264</f>
        <v>0</v>
      </c>
      <c r="W264" s="10">
        <f>+'A) Base RI'!P264</f>
        <v>281968.5</v>
      </c>
      <c r="X264" s="10">
        <f>+'A) Base RI'!R264</f>
        <v>259119.6</v>
      </c>
      <c r="Y264" s="408">
        <f t="shared" ref="Y264:Y315" si="29">SUM(V264:X264)</f>
        <v>541088.1</v>
      </c>
      <c r="Z264" s="10">
        <f>+'A) Base RI'!N264</f>
        <v>1221.55</v>
      </c>
      <c r="AA264" s="10">
        <f>'A) Base RI'!AO264</f>
        <v>628</v>
      </c>
    </row>
    <row r="265" spans="1:27" x14ac:dyDescent="0.25">
      <c r="A265" s="8">
        <f>'A) Base RI'!A265</f>
        <v>5856</v>
      </c>
      <c r="B265" s="32" t="str">
        <f>'A) Base RI'!B265</f>
        <v>Essertines-sur-Rolle</v>
      </c>
      <c r="C265" s="10">
        <f>'A) Base RI'!C265+'A) Base RI'!D265</f>
        <v>1935598.13</v>
      </c>
      <c r="D265" s="10">
        <f>'A) Base RI'!AP265</f>
        <v>-16746.740000000002</v>
      </c>
      <c r="E265" s="402">
        <f>'A) Base RI'!AQ265</f>
        <v>0</v>
      </c>
      <c r="F265" s="402">
        <f>'A) Base RI'!AR265</f>
        <v>-1487.96</v>
      </c>
      <c r="G265" s="408">
        <f t="shared" si="24"/>
        <v>1917363.43</v>
      </c>
      <c r="H265" s="10">
        <f>+'A) Base RI'!E265</f>
        <v>0</v>
      </c>
      <c r="I265" s="10">
        <f>+'A) Base RI'!F265</f>
        <v>0</v>
      </c>
      <c r="J265" s="10">
        <f>+'A) Base RI'!G265+'A) Base RI'!H265+'A) Base RI'!X265</f>
        <v>1602.81</v>
      </c>
      <c r="K265" s="10">
        <f>+'A) Base RI'!I265</f>
        <v>246810.25</v>
      </c>
      <c r="L265" s="10">
        <f>+'A) Base RI'!J265</f>
        <v>19297.080000000002</v>
      </c>
      <c r="M265" s="10">
        <f>+'A) Base RI'!K265</f>
        <v>974.25</v>
      </c>
      <c r="N265" s="10">
        <f>+'A) Base RI'!Q265</f>
        <v>0</v>
      </c>
      <c r="O265" s="10">
        <f t="shared" si="25"/>
        <v>188776.80769230769</v>
      </c>
      <c r="P265" s="10">
        <f>+'A) Base RI'!L265</f>
        <v>245409.85</v>
      </c>
      <c r="Q265" s="416">
        <f>'A) Base RI'!AS265</f>
        <v>1.3</v>
      </c>
      <c r="R265" s="408">
        <f t="shared" si="26"/>
        <v>2374824.6276923078</v>
      </c>
      <c r="S265" s="482">
        <f>+'A) Base RI'!AN265</f>
        <v>66.5</v>
      </c>
      <c r="T265" s="408">
        <f t="shared" si="27"/>
        <v>2185073.5700000003</v>
      </c>
      <c r="U265" s="408">
        <f t="shared" si="28"/>
        <v>35711.648536726432</v>
      </c>
      <c r="V265" s="10">
        <f>+'A) Base RI'!O265</f>
        <v>2586.6</v>
      </c>
      <c r="W265" s="10">
        <f>+'A) Base RI'!P265</f>
        <v>174442.55</v>
      </c>
      <c r="X265" s="10">
        <f>+'A) Base RI'!R265</f>
        <v>98051.85</v>
      </c>
      <c r="Y265" s="408">
        <f t="shared" si="29"/>
        <v>275081</v>
      </c>
      <c r="Z265" s="10">
        <f>+'A) Base RI'!N265</f>
        <v>7661.75</v>
      </c>
      <c r="AA265" s="10">
        <f>'A) Base RI'!AO265</f>
        <v>740</v>
      </c>
    </row>
    <row r="266" spans="1:27" x14ac:dyDescent="0.25">
      <c r="A266" s="8">
        <f>'A) Base RI'!A266</f>
        <v>5857</v>
      </c>
      <c r="B266" s="32" t="str">
        <f>'A) Base RI'!B266</f>
        <v>Gilly</v>
      </c>
      <c r="C266" s="10">
        <f>'A) Base RI'!C266+'A) Base RI'!D266</f>
        <v>4851683.63</v>
      </c>
      <c r="D266" s="10">
        <f>'A) Base RI'!AP266</f>
        <v>-20777.62</v>
      </c>
      <c r="E266" s="402">
        <f>'A) Base RI'!AQ266</f>
        <v>0</v>
      </c>
      <c r="F266" s="402">
        <f>'A) Base RI'!AR266</f>
        <v>-1154.3499999999999</v>
      </c>
      <c r="G266" s="408">
        <f t="shared" si="24"/>
        <v>4829751.66</v>
      </c>
      <c r="H266" s="10">
        <f>+'A) Base RI'!E266</f>
        <v>0</v>
      </c>
      <c r="I266" s="10">
        <f>+'A) Base RI'!F266</f>
        <v>0</v>
      </c>
      <c r="J266" s="10">
        <f>+'A) Base RI'!G266+'A) Base RI'!H266+'A) Base RI'!X266</f>
        <v>-6109.869999999999</v>
      </c>
      <c r="K266" s="10">
        <f>+'A) Base RI'!I266</f>
        <v>0</v>
      </c>
      <c r="L266" s="10">
        <f>+'A) Base RI'!J266</f>
        <v>44842.03</v>
      </c>
      <c r="M266" s="10">
        <f>+'A) Base RI'!K266</f>
        <v>12376.1</v>
      </c>
      <c r="N266" s="10">
        <f>+'A) Base RI'!Q266</f>
        <v>1.81</v>
      </c>
      <c r="O266" s="10">
        <f t="shared" si="25"/>
        <v>416421.6</v>
      </c>
      <c r="P266" s="10">
        <f>+'A) Base RI'!L266</f>
        <v>416421.6</v>
      </c>
      <c r="Q266" s="416">
        <f>'A) Base RI'!AS266</f>
        <v>1</v>
      </c>
      <c r="R266" s="408">
        <f t="shared" si="26"/>
        <v>5297283.3299999991</v>
      </c>
      <c r="S266" s="482">
        <f>+'A) Base RI'!AN266</f>
        <v>64.5</v>
      </c>
      <c r="T266" s="408">
        <f t="shared" si="27"/>
        <v>4868485.63</v>
      </c>
      <c r="U266" s="408">
        <f t="shared" si="28"/>
        <v>82128.423720930223</v>
      </c>
      <c r="V266" s="10">
        <f>+'A) Base RI'!O266</f>
        <v>7273.5</v>
      </c>
      <c r="W266" s="10">
        <f>+'A) Base RI'!P266</f>
        <v>167585.70000000001</v>
      </c>
      <c r="X266" s="10">
        <f>+'A) Base RI'!R266</f>
        <v>55483.5</v>
      </c>
      <c r="Y266" s="408">
        <f t="shared" si="29"/>
        <v>230342.7</v>
      </c>
      <c r="Z266" s="10">
        <f>+'A) Base RI'!N266</f>
        <v>83818.8</v>
      </c>
      <c r="AA266" s="10">
        <f>'A) Base RI'!AO266</f>
        <v>1428</v>
      </c>
    </row>
    <row r="267" spans="1:27" x14ac:dyDescent="0.25">
      <c r="A267" s="8">
        <f>'A) Base RI'!A267</f>
        <v>5858</v>
      </c>
      <c r="B267" s="32" t="str">
        <f>'A) Base RI'!B267</f>
        <v>Luins</v>
      </c>
      <c r="C267" s="10">
        <f>'A) Base RI'!C267+'A) Base RI'!D267</f>
        <v>1993778.2799999998</v>
      </c>
      <c r="D267" s="10">
        <f>'A) Base RI'!AP267</f>
        <v>-41048.5</v>
      </c>
      <c r="E267" s="402">
        <f>'A) Base RI'!AQ267</f>
        <v>0</v>
      </c>
      <c r="F267" s="402">
        <f>'A) Base RI'!AR267</f>
        <v>-4349.6899999999996</v>
      </c>
      <c r="G267" s="408">
        <f t="shared" si="24"/>
        <v>1948380.0899999999</v>
      </c>
      <c r="H267" s="10">
        <f>+'A) Base RI'!E267</f>
        <v>0</v>
      </c>
      <c r="I267" s="10">
        <f>+'A) Base RI'!F267</f>
        <v>0</v>
      </c>
      <c r="J267" s="10">
        <f>+'A) Base RI'!G267+'A) Base RI'!H267+'A) Base RI'!X267</f>
        <v>39713.99</v>
      </c>
      <c r="K267" s="10">
        <f>+'A) Base RI'!I267</f>
        <v>176046.84</v>
      </c>
      <c r="L267" s="10">
        <f>+'A) Base RI'!J267</f>
        <v>34452.339999999997</v>
      </c>
      <c r="M267" s="10">
        <f>+'A) Base RI'!K267</f>
        <v>1071.1500000000001</v>
      </c>
      <c r="N267" s="10">
        <f>+'A) Base RI'!Q267</f>
        <v>1660.35</v>
      </c>
      <c r="O267" s="10">
        <f t="shared" si="25"/>
        <v>155679.86666666667</v>
      </c>
      <c r="P267" s="10">
        <f>+'A) Base RI'!L267</f>
        <v>233519.8</v>
      </c>
      <c r="Q267" s="416">
        <f>'A) Base RI'!AS267</f>
        <v>1.5</v>
      </c>
      <c r="R267" s="408">
        <f t="shared" si="26"/>
        <v>2357004.6266666665</v>
      </c>
      <c r="S267" s="482">
        <f>+'A) Base RI'!AN267</f>
        <v>58.5</v>
      </c>
      <c r="T267" s="408">
        <f t="shared" si="27"/>
        <v>2200253.61</v>
      </c>
      <c r="U267" s="408">
        <f t="shared" si="28"/>
        <v>40290.677378917375</v>
      </c>
      <c r="V267" s="10">
        <f>+'A) Base RI'!O267</f>
        <v>19001.400000000001</v>
      </c>
      <c r="W267" s="10">
        <f>+'A) Base RI'!P267</f>
        <v>74517.25</v>
      </c>
      <c r="X267" s="10">
        <f>+'A) Base RI'!R267</f>
        <v>21161.9</v>
      </c>
      <c r="Y267" s="408">
        <f t="shared" si="29"/>
        <v>114680.54999999999</v>
      </c>
      <c r="Z267" s="10">
        <f>+'A) Base RI'!N267</f>
        <v>4072.3</v>
      </c>
      <c r="AA267" s="10">
        <f>'A) Base RI'!AO267</f>
        <v>619</v>
      </c>
    </row>
    <row r="268" spans="1:27" x14ac:dyDescent="0.25">
      <c r="A268" s="8">
        <f>'A) Base RI'!A268</f>
        <v>5859</v>
      </c>
      <c r="B268" s="32" t="str">
        <f>'A) Base RI'!B268</f>
        <v>Mont-sur-Rolle</v>
      </c>
      <c r="C268" s="10">
        <f>'A) Base RI'!C268+'A) Base RI'!D268</f>
        <v>8159276.6799999997</v>
      </c>
      <c r="D268" s="10">
        <f>'A) Base RI'!AP268</f>
        <v>-59061.15</v>
      </c>
      <c r="E268" s="402">
        <f>'A) Base RI'!AQ268</f>
        <v>0</v>
      </c>
      <c r="F268" s="402">
        <f>'A) Base RI'!AR268</f>
        <v>-20714.57</v>
      </c>
      <c r="G268" s="408">
        <f t="shared" si="24"/>
        <v>8079500.959999999</v>
      </c>
      <c r="H268" s="10">
        <f>+'A) Base RI'!E268</f>
        <v>0</v>
      </c>
      <c r="I268" s="10">
        <f>+'A) Base RI'!F268</f>
        <v>0</v>
      </c>
      <c r="J268" s="10">
        <f>+'A) Base RI'!G268+'A) Base RI'!H268+'A) Base RI'!X268</f>
        <v>81808.87</v>
      </c>
      <c r="K268" s="10">
        <f>+'A) Base RI'!I268</f>
        <v>325204.3</v>
      </c>
      <c r="L268" s="10">
        <f>+'A) Base RI'!J268</f>
        <v>116484.27</v>
      </c>
      <c r="M268" s="10">
        <f>+'A) Base RI'!K268</f>
        <v>23121.5</v>
      </c>
      <c r="N268" s="10">
        <f>+'A) Base RI'!Q268</f>
        <v>9685.19</v>
      </c>
      <c r="O268" s="10">
        <f t="shared" si="25"/>
        <v>664772.1</v>
      </c>
      <c r="P268" s="10">
        <f>+'A) Base RI'!L268</f>
        <v>664772.1</v>
      </c>
      <c r="Q268" s="416">
        <f>'A) Base RI'!AS268</f>
        <v>1</v>
      </c>
      <c r="R268" s="408">
        <f t="shared" si="26"/>
        <v>9300577.1899999976</v>
      </c>
      <c r="S268" s="482">
        <f>+'A) Base RI'!AN268</f>
        <v>63.5</v>
      </c>
      <c r="T268" s="408">
        <f t="shared" si="27"/>
        <v>8612683.589999998</v>
      </c>
      <c r="U268" s="408">
        <f t="shared" si="28"/>
        <v>146465.78251968499</v>
      </c>
      <c r="V268" s="10">
        <f>+'A) Base RI'!O268</f>
        <v>102227.9</v>
      </c>
      <c r="W268" s="10">
        <f>+'A) Base RI'!P268</f>
        <v>342244.95</v>
      </c>
      <c r="X268" s="10">
        <f>+'A) Base RI'!R268</f>
        <v>207997.85</v>
      </c>
      <c r="Y268" s="408">
        <f t="shared" si="29"/>
        <v>652470.69999999995</v>
      </c>
      <c r="Z268" s="10">
        <f>+'A) Base RI'!N268</f>
        <v>117869.3</v>
      </c>
      <c r="AA268" s="10">
        <f>'A) Base RI'!AO268</f>
        <v>2646</v>
      </c>
    </row>
    <row r="269" spans="1:27" x14ac:dyDescent="0.25">
      <c r="A269" s="8">
        <f>'A) Base RI'!A269</f>
        <v>5860</v>
      </c>
      <c r="B269" s="32" t="str">
        <f>'A) Base RI'!B269</f>
        <v>Perroy</v>
      </c>
      <c r="C269" s="10">
        <f>'A) Base RI'!C269+'A) Base RI'!D269</f>
        <v>9778211.3599999994</v>
      </c>
      <c r="D269" s="10">
        <f>'A) Base RI'!AP269</f>
        <v>-96821.82</v>
      </c>
      <c r="E269" s="402">
        <f>'A) Base RI'!AQ269</f>
        <v>0</v>
      </c>
      <c r="F269" s="402">
        <f>'A) Base RI'!AR269</f>
        <v>-17501.400000000001</v>
      </c>
      <c r="G269" s="408">
        <f t="shared" si="24"/>
        <v>9663888.1399999987</v>
      </c>
      <c r="H269" s="10">
        <f>+'A) Base RI'!E269</f>
        <v>0</v>
      </c>
      <c r="I269" s="10">
        <f>+'A) Base RI'!F269</f>
        <v>0</v>
      </c>
      <c r="J269" s="10">
        <f>+'A) Base RI'!G269+'A) Base RI'!H269+'A) Base RI'!X269</f>
        <v>174555.09</v>
      </c>
      <c r="K269" s="10">
        <f>+'A) Base RI'!I269</f>
        <v>494034.2</v>
      </c>
      <c r="L269" s="10">
        <f>+'A) Base RI'!J269</f>
        <v>66967.210000000006</v>
      </c>
      <c r="M269" s="10">
        <f>+'A) Base RI'!K269</f>
        <v>28394.799999999999</v>
      </c>
      <c r="N269" s="10">
        <f>+'A) Base RI'!Q269</f>
        <v>3443.13</v>
      </c>
      <c r="O269" s="10">
        <f t="shared" si="25"/>
        <v>518486.76923076925</v>
      </c>
      <c r="P269" s="10">
        <f>+'A) Base RI'!L269</f>
        <v>674032.8</v>
      </c>
      <c r="Q269" s="416">
        <f>'A) Base RI'!AS269</f>
        <v>1.3</v>
      </c>
      <c r="R269" s="408">
        <f t="shared" si="26"/>
        <v>10949769.33923077</v>
      </c>
      <c r="S269" s="482">
        <f>+'A) Base RI'!AN269</f>
        <v>58.5</v>
      </c>
      <c r="T269" s="408">
        <f t="shared" si="27"/>
        <v>10402887.77</v>
      </c>
      <c r="U269" s="408">
        <f t="shared" si="28"/>
        <v>187175.54426035503</v>
      </c>
      <c r="V269" s="10">
        <f>+'A) Base RI'!O269</f>
        <v>27524.7</v>
      </c>
      <c r="W269" s="10">
        <f>+'A) Base RI'!P269</f>
        <v>480096.5</v>
      </c>
      <c r="X269" s="10">
        <f>+'A) Base RI'!R269</f>
        <v>711859.85</v>
      </c>
      <c r="Y269" s="408">
        <f t="shared" si="29"/>
        <v>1219481.05</v>
      </c>
      <c r="Z269" s="10">
        <f>+'A) Base RI'!N269</f>
        <v>22451.35</v>
      </c>
      <c r="AA269" s="10">
        <f>'A) Base RI'!AO269</f>
        <v>1518</v>
      </c>
    </row>
    <row r="270" spans="1:27" x14ac:dyDescent="0.25">
      <c r="A270" s="8">
        <f>'A) Base RI'!A270</f>
        <v>5861</v>
      </c>
      <c r="B270" s="32" t="str">
        <f>'A) Base RI'!B270</f>
        <v>Rolle</v>
      </c>
      <c r="C270" s="10">
        <f>'A) Base RI'!C270+'A) Base RI'!D270</f>
        <v>17270682.050000001</v>
      </c>
      <c r="D270" s="10">
        <f>'A) Base RI'!AP270</f>
        <v>-203108.18</v>
      </c>
      <c r="E270" s="402">
        <f>'A) Base RI'!AQ270</f>
        <v>0</v>
      </c>
      <c r="F270" s="402">
        <f>'A) Base RI'!AR270</f>
        <v>-134280.85</v>
      </c>
      <c r="G270" s="408">
        <f t="shared" si="24"/>
        <v>16933293.02</v>
      </c>
      <c r="H270" s="10">
        <f>+'A) Base RI'!E270</f>
        <v>0</v>
      </c>
      <c r="I270" s="10">
        <f>+'A) Base RI'!F270</f>
        <v>0</v>
      </c>
      <c r="J270" s="10">
        <f>+'A) Base RI'!G270+'A) Base RI'!H270+'A) Base RI'!X270</f>
        <v>94025236.960000008</v>
      </c>
      <c r="K270" s="10">
        <f>+'A) Base RI'!I270</f>
        <v>278867.45</v>
      </c>
      <c r="L270" s="10">
        <f>+'A) Base RI'!J270</f>
        <v>2067650.94</v>
      </c>
      <c r="M270" s="10">
        <f>+'A) Base RI'!K270</f>
        <v>146593.04999999999</v>
      </c>
      <c r="N270" s="10">
        <f>+'A) Base RI'!Q270</f>
        <v>33825.89</v>
      </c>
      <c r="O270" s="10">
        <f t="shared" si="25"/>
        <v>1845516.8</v>
      </c>
      <c r="P270" s="10">
        <f>+'A) Base RI'!L270</f>
        <v>1845516.8</v>
      </c>
      <c r="Q270" s="416">
        <f>'A) Base RI'!AS270</f>
        <v>1</v>
      </c>
      <c r="R270" s="408">
        <f t="shared" si="26"/>
        <v>115330984.11</v>
      </c>
      <c r="S270" s="482">
        <f>+'A) Base RI'!AN270</f>
        <v>59.5</v>
      </c>
      <c r="T270" s="408">
        <f t="shared" si="27"/>
        <v>113338874.26000001</v>
      </c>
      <c r="U270" s="408">
        <f t="shared" si="28"/>
        <v>1938335.8673949579</v>
      </c>
      <c r="V270" s="10">
        <f>+'A) Base RI'!O270</f>
        <v>287516.09999999998</v>
      </c>
      <c r="W270" s="10">
        <f>+'A) Base RI'!P270</f>
        <v>924862.7</v>
      </c>
      <c r="X270" s="10">
        <f>+'A) Base RI'!R270</f>
        <v>514069.1</v>
      </c>
      <c r="Y270" s="408">
        <f t="shared" si="29"/>
        <v>1726447.9</v>
      </c>
      <c r="Z270" s="10">
        <f>+'A) Base RI'!N270</f>
        <v>582154.1</v>
      </c>
      <c r="AA270" s="10">
        <f>'A) Base RI'!AO270</f>
        <v>6259</v>
      </c>
    </row>
    <row r="271" spans="1:27" x14ac:dyDescent="0.25">
      <c r="A271" s="8">
        <f>'A) Base RI'!A271</f>
        <v>5862</v>
      </c>
      <c r="B271" s="32" t="str">
        <f>'A) Base RI'!B271</f>
        <v>Tartegnin</v>
      </c>
      <c r="C271" s="10">
        <f>'A) Base RI'!C271+'A) Base RI'!D271</f>
        <v>592947.36</v>
      </c>
      <c r="D271" s="10">
        <f>'A) Base RI'!AP271</f>
        <v>-12404.54</v>
      </c>
      <c r="E271" s="402">
        <f>'A) Base RI'!AQ271</f>
        <v>0</v>
      </c>
      <c r="F271" s="402">
        <f>'A) Base RI'!AR271</f>
        <v>-43.81</v>
      </c>
      <c r="G271" s="408">
        <f t="shared" si="24"/>
        <v>580499.00999999989</v>
      </c>
      <c r="H271" s="10">
        <f>+'A) Base RI'!E271</f>
        <v>0</v>
      </c>
      <c r="I271" s="10">
        <f>+'A) Base RI'!F271</f>
        <v>0</v>
      </c>
      <c r="J271" s="10">
        <f>+'A) Base RI'!G271+'A) Base RI'!H271+'A) Base RI'!X271</f>
        <v>9995.9700000000012</v>
      </c>
      <c r="K271" s="10">
        <f>+'A) Base RI'!I271</f>
        <v>0</v>
      </c>
      <c r="L271" s="10">
        <f>+'A) Base RI'!J271</f>
        <v>-535.36</v>
      </c>
      <c r="M271" s="10">
        <f>+'A) Base RI'!K271</f>
        <v>0</v>
      </c>
      <c r="N271" s="10">
        <f>+'A) Base RI'!Q271</f>
        <v>0.49</v>
      </c>
      <c r="O271" s="10">
        <f t="shared" si="25"/>
        <v>49658.5</v>
      </c>
      <c r="P271" s="10">
        <f>+'A) Base RI'!L271</f>
        <v>49658.5</v>
      </c>
      <c r="Q271" s="416">
        <f>'A) Base RI'!AS271</f>
        <v>1</v>
      </c>
      <c r="R271" s="408">
        <f t="shared" si="26"/>
        <v>639618.60999999987</v>
      </c>
      <c r="S271" s="482">
        <f>+'A) Base RI'!AN271</f>
        <v>79</v>
      </c>
      <c r="T271" s="408">
        <f t="shared" si="27"/>
        <v>589960.10999999987</v>
      </c>
      <c r="U271" s="408">
        <f t="shared" si="28"/>
        <v>8096.4381012658214</v>
      </c>
      <c r="V271" s="10">
        <f>+'A) Base RI'!O271</f>
        <v>1757.6</v>
      </c>
      <c r="W271" s="10">
        <f>+'A) Base RI'!P271</f>
        <v>0</v>
      </c>
      <c r="X271" s="10">
        <f>+'A) Base RI'!R271</f>
        <v>-3733.3</v>
      </c>
      <c r="Y271" s="408">
        <f t="shared" si="29"/>
        <v>-1975.7000000000003</v>
      </c>
      <c r="Z271" s="10">
        <f>+'A) Base RI'!N271</f>
        <v>11024.15</v>
      </c>
      <c r="AA271" s="10">
        <f>'A) Base RI'!AO271</f>
        <v>236</v>
      </c>
    </row>
    <row r="272" spans="1:27" x14ac:dyDescent="0.25">
      <c r="A272" s="8">
        <f>'A) Base RI'!A272</f>
        <v>5863</v>
      </c>
      <c r="B272" s="32" t="str">
        <f>'A) Base RI'!B272</f>
        <v>Vinzel</v>
      </c>
      <c r="C272" s="10">
        <f>'A) Base RI'!C272+'A) Base RI'!D272</f>
        <v>1248388.8900000001</v>
      </c>
      <c r="D272" s="10">
        <f>'A) Base RI'!AP272</f>
        <v>-1184.92</v>
      </c>
      <c r="E272" s="402">
        <f>'A) Base RI'!AQ272</f>
        <v>0</v>
      </c>
      <c r="F272" s="402">
        <f>'A) Base RI'!AR272</f>
        <v>-2163.7399999999998</v>
      </c>
      <c r="G272" s="408">
        <f t="shared" si="24"/>
        <v>1245040.2300000002</v>
      </c>
      <c r="H272" s="10">
        <f>+'A) Base RI'!E272</f>
        <v>0</v>
      </c>
      <c r="I272" s="10">
        <f>+'A) Base RI'!F272</f>
        <v>0</v>
      </c>
      <c r="J272" s="10">
        <f>+'A) Base RI'!G272+'A) Base RI'!H272+'A) Base RI'!X272</f>
        <v>39422.910000000003</v>
      </c>
      <c r="K272" s="10">
        <f>+'A) Base RI'!I272</f>
        <v>42786.85</v>
      </c>
      <c r="L272" s="10">
        <f>+'A) Base RI'!J272</f>
        <v>55477.87</v>
      </c>
      <c r="M272" s="10">
        <f>+'A) Base RI'!K272</f>
        <v>2606.4</v>
      </c>
      <c r="N272" s="10">
        <f>+'A) Base RI'!Q272</f>
        <v>0</v>
      </c>
      <c r="O272" s="10">
        <f t="shared" si="25"/>
        <v>84223.3</v>
      </c>
      <c r="P272" s="10">
        <f>+'A) Base RI'!L272</f>
        <v>84223.3</v>
      </c>
      <c r="Q272" s="416">
        <f>'A) Base RI'!AS272</f>
        <v>1</v>
      </c>
      <c r="R272" s="408">
        <f t="shared" si="26"/>
        <v>1469557.5600000003</v>
      </c>
      <c r="S272" s="482">
        <f>+'A) Base RI'!AN272</f>
        <v>67</v>
      </c>
      <c r="T272" s="408">
        <f t="shared" si="27"/>
        <v>1382727.8600000003</v>
      </c>
      <c r="U272" s="408">
        <f t="shared" si="28"/>
        <v>21933.69492537314</v>
      </c>
      <c r="V272" s="10">
        <f>+'A) Base RI'!O272</f>
        <v>1834.6</v>
      </c>
      <c r="W272" s="10">
        <f>+'A) Base RI'!P272</f>
        <v>57310</v>
      </c>
      <c r="X272" s="10">
        <f>+'A) Base RI'!R272</f>
        <v>41481.300000000003</v>
      </c>
      <c r="Y272" s="408">
        <f t="shared" si="29"/>
        <v>100625.9</v>
      </c>
      <c r="Z272" s="10">
        <f>+'A) Base RI'!N272</f>
        <v>23922.95</v>
      </c>
      <c r="AA272" s="10">
        <f>'A) Base RI'!AO272</f>
        <v>385</v>
      </c>
    </row>
    <row r="273" spans="1:27" x14ac:dyDescent="0.25">
      <c r="A273" s="8">
        <f>'A) Base RI'!A273</f>
        <v>5871</v>
      </c>
      <c r="B273" s="32" t="str">
        <f>'A) Base RI'!B273</f>
        <v>L'Abbaye</v>
      </c>
      <c r="C273" s="10">
        <f>'A) Base RI'!C273+'A) Base RI'!D273</f>
        <v>3410023.33</v>
      </c>
      <c r="D273" s="10">
        <f>'A) Base RI'!AP273</f>
        <v>-42701.279999999999</v>
      </c>
      <c r="E273" s="402">
        <f>'A) Base RI'!AQ273</f>
        <v>0</v>
      </c>
      <c r="F273" s="402">
        <f>'A) Base RI'!AR273</f>
        <v>-437.59</v>
      </c>
      <c r="G273" s="408">
        <f t="shared" si="24"/>
        <v>3366884.4600000004</v>
      </c>
      <c r="H273" s="10">
        <f>+'A) Base RI'!E273</f>
        <v>0</v>
      </c>
      <c r="I273" s="10">
        <f>+'A) Base RI'!F273</f>
        <v>0</v>
      </c>
      <c r="J273" s="10">
        <f>+'A) Base RI'!G273+'A) Base RI'!H273+'A) Base RI'!X273</f>
        <v>116293.43999999999</v>
      </c>
      <c r="K273" s="10">
        <f>+'A) Base RI'!I273</f>
        <v>0</v>
      </c>
      <c r="L273" s="10">
        <f>+'A) Base RI'!J273</f>
        <v>80648.320000000007</v>
      </c>
      <c r="M273" s="10">
        <f>+'A) Base RI'!K273</f>
        <v>4789.3500000000004</v>
      </c>
      <c r="N273" s="10">
        <f>+'A) Base RI'!Q273</f>
        <v>28.04</v>
      </c>
      <c r="O273" s="10">
        <f t="shared" si="25"/>
        <v>271625.09999999998</v>
      </c>
      <c r="P273" s="10">
        <f>+'A) Base RI'!L273</f>
        <v>271625.09999999998</v>
      </c>
      <c r="Q273" s="416">
        <f>'A) Base RI'!AS273</f>
        <v>1</v>
      </c>
      <c r="R273" s="408">
        <f t="shared" si="26"/>
        <v>3840268.7100000004</v>
      </c>
      <c r="S273" s="482">
        <f>+'A) Base RI'!AN273</f>
        <v>77.56</v>
      </c>
      <c r="T273" s="408">
        <f t="shared" si="27"/>
        <v>3563854.2600000002</v>
      </c>
      <c r="U273" s="408">
        <f t="shared" si="28"/>
        <v>49513.521273852508</v>
      </c>
      <c r="V273" s="10">
        <f>+'A) Base RI'!O273</f>
        <v>84633.75</v>
      </c>
      <c r="W273" s="10">
        <f>+'A) Base RI'!P273</f>
        <v>129090.45</v>
      </c>
      <c r="X273" s="10">
        <f>+'A) Base RI'!R273</f>
        <v>52955.5</v>
      </c>
      <c r="Y273" s="408">
        <f t="shared" si="29"/>
        <v>266679.7</v>
      </c>
      <c r="Z273" s="10">
        <f>+'A) Base RI'!N273</f>
        <v>757257.95</v>
      </c>
      <c r="AA273" s="10">
        <f>'A) Base RI'!AO273</f>
        <v>1473</v>
      </c>
    </row>
    <row r="274" spans="1:27" x14ac:dyDescent="0.25">
      <c r="A274" s="8">
        <f>'A) Base RI'!A274</f>
        <v>5872</v>
      </c>
      <c r="B274" s="32" t="str">
        <f>'A) Base RI'!B274</f>
        <v>Le Chenit</v>
      </c>
      <c r="C274" s="10">
        <f>'A) Base RI'!C274+'A) Base RI'!D274</f>
        <v>8076139.1099999994</v>
      </c>
      <c r="D274" s="10">
        <f>'A) Base RI'!AP274</f>
        <v>-119434.9</v>
      </c>
      <c r="E274" s="402">
        <f>'A) Base RI'!AQ274</f>
        <v>0</v>
      </c>
      <c r="F274" s="402">
        <f>'A) Base RI'!AR274</f>
        <v>-22558.400000000001</v>
      </c>
      <c r="G274" s="408">
        <f t="shared" si="24"/>
        <v>7934145.8099999987</v>
      </c>
      <c r="H274" s="10">
        <f>+'A) Base RI'!E274</f>
        <v>0</v>
      </c>
      <c r="I274" s="10">
        <f>+'A) Base RI'!F274</f>
        <v>0</v>
      </c>
      <c r="J274" s="10">
        <f>+'A) Base RI'!G274+'A) Base RI'!H274+'A) Base RI'!X274</f>
        <v>6674650.2600000007</v>
      </c>
      <c r="K274" s="10">
        <f>+'A) Base RI'!I274</f>
        <v>0</v>
      </c>
      <c r="L274" s="10">
        <f>+'A) Base RI'!J274</f>
        <v>373594.06</v>
      </c>
      <c r="M274" s="10">
        <f>+'A) Base RI'!K274</f>
        <v>67449.3</v>
      </c>
      <c r="N274" s="10">
        <f>+'A) Base RI'!Q274</f>
        <v>6153.84</v>
      </c>
      <c r="O274" s="10">
        <f t="shared" si="25"/>
        <v>747071</v>
      </c>
      <c r="P274" s="10">
        <f>+'A) Base RI'!L274</f>
        <v>747071</v>
      </c>
      <c r="Q274" s="416">
        <f>'A) Base RI'!AS274</f>
        <v>1</v>
      </c>
      <c r="R274" s="408">
        <f t="shared" si="26"/>
        <v>15803064.270000001</v>
      </c>
      <c r="S274" s="482">
        <f>+'A) Base RI'!AN274</f>
        <v>66.95</v>
      </c>
      <c r="T274" s="408">
        <f t="shared" si="27"/>
        <v>14988543.970000001</v>
      </c>
      <c r="U274" s="408">
        <f t="shared" si="28"/>
        <v>236042.78222554145</v>
      </c>
      <c r="V274" s="10">
        <f>+'A) Base RI'!O274</f>
        <v>3501245.6</v>
      </c>
      <c r="W274" s="10">
        <f>+'A) Base RI'!P274</f>
        <v>231754.35</v>
      </c>
      <c r="X274" s="10">
        <f>+'A) Base RI'!R274</f>
        <v>208071.35</v>
      </c>
      <c r="Y274" s="408">
        <f t="shared" si="29"/>
        <v>3941071.3000000003</v>
      </c>
      <c r="Z274" s="10">
        <f>+'A) Base RI'!N274</f>
        <v>6124106.2999999998</v>
      </c>
      <c r="AA274" s="10">
        <f>'A) Base RI'!AO274</f>
        <v>4600</v>
      </c>
    </row>
    <row r="275" spans="1:27" x14ac:dyDescent="0.25">
      <c r="A275" s="8">
        <f>'A) Base RI'!A275</f>
        <v>5873</v>
      </c>
      <c r="B275" s="32" t="str">
        <f>'A) Base RI'!B275</f>
        <v>Le Lieu</v>
      </c>
      <c r="C275" s="10">
        <f>'A) Base RI'!C275+'A) Base RI'!D275</f>
        <v>1874994.23</v>
      </c>
      <c r="D275" s="10">
        <f>'A) Base RI'!AP275</f>
        <v>-17239.73</v>
      </c>
      <c r="E275" s="402">
        <f>'A) Base RI'!AQ275</f>
        <v>0</v>
      </c>
      <c r="F275" s="402">
        <f>'A) Base RI'!AR275</f>
        <v>-662.44</v>
      </c>
      <c r="G275" s="408">
        <f t="shared" si="24"/>
        <v>1857092.06</v>
      </c>
      <c r="H275" s="10">
        <f>+'A) Base RI'!E275</f>
        <v>0</v>
      </c>
      <c r="I275" s="10">
        <f>+'A) Base RI'!F275</f>
        <v>0</v>
      </c>
      <c r="J275" s="10">
        <f>+'A) Base RI'!G275+'A) Base RI'!H275+'A) Base RI'!X275</f>
        <v>99688.6</v>
      </c>
      <c r="K275" s="10">
        <f>+'A) Base RI'!I275</f>
        <v>0</v>
      </c>
      <c r="L275" s="10">
        <f>+'A) Base RI'!J275</f>
        <v>26413.360000000001</v>
      </c>
      <c r="M275" s="10">
        <f>+'A) Base RI'!K275</f>
        <v>0</v>
      </c>
      <c r="N275" s="10">
        <f>+'A) Base RI'!Q275</f>
        <v>3491.13</v>
      </c>
      <c r="O275" s="10">
        <f t="shared" si="25"/>
        <v>144143.4375</v>
      </c>
      <c r="P275" s="10">
        <f>+'A) Base RI'!L275</f>
        <v>115314.75</v>
      </c>
      <c r="Q275" s="416">
        <f>'A) Base RI'!AS275</f>
        <v>0.8</v>
      </c>
      <c r="R275" s="408">
        <f t="shared" si="26"/>
        <v>2130828.5875000004</v>
      </c>
      <c r="S275" s="482">
        <f>+'A) Base RI'!AN275</f>
        <v>70</v>
      </c>
      <c r="T275" s="408">
        <f t="shared" si="27"/>
        <v>1986685.1500000001</v>
      </c>
      <c r="U275" s="408">
        <f t="shared" si="28"/>
        <v>30440.408392857149</v>
      </c>
      <c r="V275" s="10">
        <f>+'A) Base RI'!O275</f>
        <v>11484</v>
      </c>
      <c r="W275" s="10">
        <f>+'A) Base RI'!P275</f>
        <v>51848.55</v>
      </c>
      <c r="X275" s="10">
        <f>+'A) Base RI'!R275</f>
        <v>40297.5</v>
      </c>
      <c r="Y275" s="408">
        <f t="shared" si="29"/>
        <v>103630.05</v>
      </c>
      <c r="Z275" s="10">
        <f>+'A) Base RI'!N275</f>
        <v>1061298.2</v>
      </c>
      <c r="AA275" s="10">
        <f>'A) Base RI'!AO275</f>
        <v>888</v>
      </c>
    </row>
    <row r="276" spans="1:27" x14ac:dyDescent="0.25">
      <c r="A276" s="8">
        <f>'A) Base RI'!A276</f>
        <v>5881</v>
      </c>
      <c r="B276" s="32" t="str">
        <f>'A) Base RI'!B276</f>
        <v>Blonay</v>
      </c>
      <c r="C276" s="10">
        <f>'A) Base RI'!C276+'A) Base RI'!D276</f>
        <v>22044275.059999999</v>
      </c>
      <c r="D276" s="10">
        <f>'A) Base RI'!AP276</f>
        <v>-88153.42</v>
      </c>
      <c r="E276" s="402">
        <f>'A) Base RI'!AQ276</f>
        <v>0</v>
      </c>
      <c r="F276" s="402">
        <f>'A) Base RI'!AR276</f>
        <v>-57917.68</v>
      </c>
      <c r="G276" s="408">
        <f t="shared" si="24"/>
        <v>21898203.959999997</v>
      </c>
      <c r="H276" s="10">
        <f>+'A) Base RI'!E276</f>
        <v>0</v>
      </c>
      <c r="I276" s="10">
        <f>+'A) Base RI'!F276</f>
        <v>0</v>
      </c>
      <c r="J276" s="10">
        <f>+'A) Base RI'!G276+'A) Base RI'!H276+'A) Base RI'!X276</f>
        <v>122675.57</v>
      </c>
      <c r="K276" s="10">
        <f>+'A) Base RI'!I276</f>
        <v>752751.77</v>
      </c>
      <c r="L276" s="10">
        <f>+'A) Base RI'!J276</f>
        <v>363218.37</v>
      </c>
      <c r="M276" s="10">
        <f>+'A) Base RI'!K276</f>
        <v>68796.05</v>
      </c>
      <c r="N276" s="10">
        <f>+'A) Base RI'!Q276</f>
        <v>-20982.91</v>
      </c>
      <c r="O276" s="10">
        <f t="shared" si="25"/>
        <v>1699087.65</v>
      </c>
      <c r="P276" s="10">
        <f>+'A) Base RI'!L276</f>
        <v>1699087.65</v>
      </c>
      <c r="Q276" s="416">
        <f>'A) Base RI'!AS276</f>
        <v>1</v>
      </c>
      <c r="R276" s="408">
        <f t="shared" si="26"/>
        <v>24883750.459999997</v>
      </c>
      <c r="S276" s="482">
        <f>+'A) Base RI'!AN276</f>
        <v>68.5</v>
      </c>
      <c r="T276" s="408">
        <f t="shared" si="27"/>
        <v>23115866.759999998</v>
      </c>
      <c r="U276" s="408">
        <f t="shared" si="28"/>
        <v>363266.43007299263</v>
      </c>
      <c r="V276" s="10">
        <f>+'A) Base RI'!O276</f>
        <v>1226908.58</v>
      </c>
      <c r="W276" s="10">
        <f>+'A) Base RI'!P276</f>
        <v>1058411.3</v>
      </c>
      <c r="X276" s="10">
        <f>+'A) Base RI'!R276</f>
        <v>1342987.8</v>
      </c>
      <c r="Y276" s="408">
        <f t="shared" si="29"/>
        <v>3628307.6799999997</v>
      </c>
      <c r="Z276" s="10">
        <f>+'A) Base RI'!N276</f>
        <v>98862.75</v>
      </c>
      <c r="AA276" s="10">
        <f>'A) Base RI'!AO276</f>
        <v>6215</v>
      </c>
    </row>
    <row r="277" spans="1:27" x14ac:dyDescent="0.25">
      <c r="A277" s="8">
        <f>'A) Base RI'!A277</f>
        <v>5882</v>
      </c>
      <c r="B277" s="32" t="str">
        <f>'A) Base RI'!B277</f>
        <v>Chardonne</v>
      </c>
      <c r="C277" s="10">
        <f>'A) Base RI'!C277+'A) Base RI'!D277</f>
        <v>10553558.65</v>
      </c>
      <c r="D277" s="10">
        <f>'A) Base RI'!AP277</f>
        <v>-128511.67</v>
      </c>
      <c r="E277" s="402">
        <f>'A) Base RI'!AQ277</f>
        <v>0</v>
      </c>
      <c r="F277" s="402">
        <f>'A) Base RI'!AR277</f>
        <v>-12147.19</v>
      </c>
      <c r="G277" s="408">
        <f t="shared" si="24"/>
        <v>10412899.790000001</v>
      </c>
      <c r="H277" s="10">
        <f>+'A) Base RI'!E277</f>
        <v>0</v>
      </c>
      <c r="I277" s="10">
        <f>+'A) Base RI'!F277</f>
        <v>0</v>
      </c>
      <c r="J277" s="10">
        <f>+'A) Base RI'!G277+'A) Base RI'!H277+'A) Base RI'!X277</f>
        <v>146885.12</v>
      </c>
      <c r="K277" s="10">
        <f>+'A) Base RI'!I277</f>
        <v>212678.05</v>
      </c>
      <c r="L277" s="10">
        <f>+'A) Base RI'!J277</f>
        <v>239252.6</v>
      </c>
      <c r="M277" s="10">
        <f>+'A) Base RI'!K277</f>
        <v>66179.25</v>
      </c>
      <c r="N277" s="10">
        <f>+'A) Base RI'!Q277</f>
        <v>107884.07</v>
      </c>
      <c r="O277" s="10">
        <f t="shared" si="25"/>
        <v>988422.55</v>
      </c>
      <c r="P277" s="10">
        <f>+'A) Base RI'!L277</f>
        <v>988422.55</v>
      </c>
      <c r="Q277" s="416">
        <f>'A) Base RI'!AS277</f>
        <v>1</v>
      </c>
      <c r="R277" s="408">
        <f t="shared" si="26"/>
        <v>12174201.430000002</v>
      </c>
      <c r="S277" s="482">
        <f>+'A) Base RI'!AN277</f>
        <v>68</v>
      </c>
      <c r="T277" s="408">
        <f t="shared" si="27"/>
        <v>11119599.630000001</v>
      </c>
      <c r="U277" s="408">
        <f t="shared" si="28"/>
        <v>179032.37397058826</v>
      </c>
      <c r="V277" s="10">
        <f>+'A) Base RI'!O277</f>
        <v>95838</v>
      </c>
      <c r="W277" s="10">
        <f>+'A) Base RI'!P277</f>
        <v>631834.94999999995</v>
      </c>
      <c r="X277" s="10">
        <f>+'A) Base RI'!R277</f>
        <v>508255.7</v>
      </c>
      <c r="Y277" s="408">
        <f t="shared" si="29"/>
        <v>1235928.6499999999</v>
      </c>
      <c r="Z277" s="10">
        <f>+'A) Base RI'!N277</f>
        <v>11194.95</v>
      </c>
      <c r="AA277" s="10">
        <f>'A) Base RI'!AO277</f>
        <v>3093</v>
      </c>
    </row>
    <row r="278" spans="1:27" x14ac:dyDescent="0.25">
      <c r="A278" s="8">
        <f>'A) Base RI'!A278</f>
        <v>5883</v>
      </c>
      <c r="B278" s="32" t="str">
        <f>'A) Base RI'!B278</f>
        <v>Corseaux</v>
      </c>
      <c r="C278" s="10">
        <f>'A) Base RI'!C278+'A) Base RI'!D278</f>
        <v>9806699.5300000012</v>
      </c>
      <c r="D278" s="10">
        <f>'A) Base RI'!AP278</f>
        <v>-94134.23</v>
      </c>
      <c r="E278" s="402">
        <f>'A) Base RI'!AQ278</f>
        <v>0</v>
      </c>
      <c r="F278" s="402">
        <f>'A) Base RI'!AR278</f>
        <v>-13760.55</v>
      </c>
      <c r="G278" s="408">
        <f t="shared" si="24"/>
        <v>9698804.75</v>
      </c>
      <c r="H278" s="10">
        <f>+'A) Base RI'!E278</f>
        <v>0</v>
      </c>
      <c r="I278" s="10">
        <f>+'A) Base RI'!F278</f>
        <v>0</v>
      </c>
      <c r="J278" s="10">
        <f>+'A) Base RI'!G278+'A) Base RI'!H278+'A) Base RI'!X278</f>
        <v>202342.15000000002</v>
      </c>
      <c r="K278" s="10">
        <f>+'A) Base RI'!I278</f>
        <v>517436.72</v>
      </c>
      <c r="L278" s="10">
        <f>+'A) Base RI'!J278</f>
        <v>203423.91</v>
      </c>
      <c r="M278" s="10">
        <f>+'A) Base RI'!K278</f>
        <v>12409.9</v>
      </c>
      <c r="N278" s="10">
        <f>+'A) Base RI'!Q278</f>
        <v>32383.77</v>
      </c>
      <c r="O278" s="10">
        <f t="shared" si="25"/>
        <v>666003.35</v>
      </c>
      <c r="P278" s="10">
        <f>+'A) Base RI'!L278</f>
        <v>666003.35</v>
      </c>
      <c r="Q278" s="416">
        <f>'A) Base RI'!AS278</f>
        <v>1</v>
      </c>
      <c r="R278" s="408">
        <f t="shared" si="26"/>
        <v>11332804.550000001</v>
      </c>
      <c r="S278" s="482">
        <f>+'A) Base RI'!AN278</f>
        <v>67.5</v>
      </c>
      <c r="T278" s="408">
        <f t="shared" si="27"/>
        <v>10654391.300000001</v>
      </c>
      <c r="U278" s="408">
        <f t="shared" si="28"/>
        <v>167893.40074074076</v>
      </c>
      <c r="V278" s="10">
        <f>+'A) Base RI'!O278</f>
        <v>115406.1</v>
      </c>
      <c r="W278" s="10">
        <f>+'A) Base RI'!P278</f>
        <v>394138.15</v>
      </c>
      <c r="X278" s="10">
        <f>+'A) Base RI'!R278</f>
        <v>346407.15</v>
      </c>
      <c r="Y278" s="408">
        <f t="shared" si="29"/>
        <v>855951.4</v>
      </c>
      <c r="Z278" s="10">
        <f>+'A) Base RI'!N278</f>
        <v>0</v>
      </c>
      <c r="AA278" s="10">
        <f>'A) Base RI'!AO278</f>
        <v>2311</v>
      </c>
    </row>
    <row r="279" spans="1:27" x14ac:dyDescent="0.25">
      <c r="A279" s="8">
        <f>'A) Base RI'!A279</f>
        <v>5884</v>
      </c>
      <c r="B279" s="32" t="str">
        <f>'A) Base RI'!B279</f>
        <v>Corsier-sur-Vevey</v>
      </c>
      <c r="C279" s="10">
        <f>'A) Base RI'!C279+'A) Base RI'!D279</f>
        <v>6610023.1699999999</v>
      </c>
      <c r="D279" s="10">
        <f>'A) Base RI'!AP279</f>
        <v>-68462.78</v>
      </c>
      <c r="E279" s="402">
        <f>'A) Base RI'!AQ279</f>
        <v>0</v>
      </c>
      <c r="F279" s="402">
        <f>'A) Base RI'!AR279</f>
        <v>-4466.72</v>
      </c>
      <c r="G279" s="408">
        <f t="shared" si="24"/>
        <v>6537093.6699999999</v>
      </c>
      <c r="H279" s="10">
        <f>+'A) Base RI'!E279</f>
        <v>0</v>
      </c>
      <c r="I279" s="10">
        <f>+'A) Base RI'!F279</f>
        <v>0</v>
      </c>
      <c r="J279" s="10">
        <f>+'A) Base RI'!G279+'A) Base RI'!H279+'A) Base RI'!X279</f>
        <v>372200.18</v>
      </c>
      <c r="K279" s="10">
        <f>+'A) Base RI'!I279</f>
        <v>26243.7</v>
      </c>
      <c r="L279" s="10">
        <f>+'A) Base RI'!J279</f>
        <v>129192.63</v>
      </c>
      <c r="M279" s="10">
        <f>+'A) Base RI'!K279</f>
        <v>184918.95</v>
      </c>
      <c r="N279" s="10">
        <f>+'A) Base RI'!Q279</f>
        <v>6608.53</v>
      </c>
      <c r="O279" s="10">
        <f t="shared" si="25"/>
        <v>807011.29166666674</v>
      </c>
      <c r="P279" s="10">
        <f>+'A) Base RI'!L279</f>
        <v>968413.55</v>
      </c>
      <c r="Q279" s="416">
        <f>'A) Base RI'!AS279</f>
        <v>1.2</v>
      </c>
      <c r="R279" s="408">
        <f t="shared" si="26"/>
        <v>8063268.9516666671</v>
      </c>
      <c r="S279" s="482">
        <f>+'A) Base RI'!AN279</f>
        <v>66</v>
      </c>
      <c r="T279" s="408">
        <f t="shared" si="27"/>
        <v>7071338.71</v>
      </c>
      <c r="U279" s="408">
        <f t="shared" si="28"/>
        <v>122170.7416919192</v>
      </c>
      <c r="V279" s="10">
        <f>+'A) Base RI'!O279</f>
        <v>0</v>
      </c>
      <c r="W279" s="10">
        <f>+'A) Base RI'!P279</f>
        <v>312090.3</v>
      </c>
      <c r="X279" s="10">
        <f>+'A) Base RI'!R279</f>
        <v>214673.65</v>
      </c>
      <c r="Y279" s="408">
        <f t="shared" si="29"/>
        <v>526763.94999999995</v>
      </c>
      <c r="Z279" s="10">
        <f>+'A) Base RI'!N279</f>
        <v>471954.75</v>
      </c>
      <c r="AA279" s="10">
        <f>'A) Base RI'!AO279</f>
        <v>3420</v>
      </c>
    </row>
    <row r="280" spans="1:27" x14ac:dyDescent="0.25">
      <c r="A280" s="8">
        <f>'A) Base RI'!A280</f>
        <v>5885</v>
      </c>
      <c r="B280" s="32" t="str">
        <f>'A) Base RI'!B280</f>
        <v>Jongny</v>
      </c>
      <c r="C280" s="10">
        <f>'A) Base RI'!C280+'A) Base RI'!D280</f>
        <v>5341174.93</v>
      </c>
      <c r="D280" s="10">
        <f>'A) Base RI'!AP280</f>
        <v>-5103.87</v>
      </c>
      <c r="E280" s="402">
        <f>'A) Base RI'!AQ280</f>
        <v>0</v>
      </c>
      <c r="F280" s="402">
        <f>'A) Base RI'!AR280</f>
        <v>-3916.17</v>
      </c>
      <c r="G280" s="408">
        <f t="shared" si="24"/>
        <v>5332154.8899999997</v>
      </c>
      <c r="H280" s="10">
        <f>+'A) Base RI'!E280</f>
        <v>0</v>
      </c>
      <c r="I280" s="10">
        <f>+'A) Base RI'!F280</f>
        <v>0</v>
      </c>
      <c r="J280" s="10">
        <f>+'A) Base RI'!G280+'A) Base RI'!H280+'A) Base RI'!X280</f>
        <v>235.30000000000035</v>
      </c>
      <c r="K280" s="10">
        <f>+'A) Base RI'!I280</f>
        <v>65358.400000000001</v>
      </c>
      <c r="L280" s="10">
        <f>+'A) Base RI'!J280</f>
        <v>105212.06</v>
      </c>
      <c r="M280" s="10">
        <f>+'A) Base RI'!K280</f>
        <v>-4704.55</v>
      </c>
      <c r="N280" s="10">
        <f>+'A) Base RI'!Q280</f>
        <v>0</v>
      </c>
      <c r="O280" s="10">
        <f t="shared" si="25"/>
        <v>416278.20833333331</v>
      </c>
      <c r="P280" s="10">
        <f>+'A) Base RI'!L280</f>
        <v>499533.85</v>
      </c>
      <c r="Q280" s="416">
        <f>'A) Base RI'!AS280</f>
        <v>1.2</v>
      </c>
      <c r="R280" s="408">
        <f t="shared" si="26"/>
        <v>5914534.3083333327</v>
      </c>
      <c r="S280" s="482">
        <f>+'A) Base RI'!AN280</f>
        <v>69.5</v>
      </c>
      <c r="T280" s="408">
        <f t="shared" si="27"/>
        <v>5502960.6499999994</v>
      </c>
      <c r="U280" s="408">
        <f t="shared" si="28"/>
        <v>85101.213069544348</v>
      </c>
      <c r="V280" s="10">
        <f>+'A) Base RI'!O280</f>
        <v>24912.400000000001</v>
      </c>
      <c r="W280" s="10">
        <f>+'A) Base RI'!P280</f>
        <v>362478.35</v>
      </c>
      <c r="X280" s="10">
        <f>+'A) Base RI'!R280</f>
        <v>290352.55</v>
      </c>
      <c r="Y280" s="408">
        <f t="shared" si="29"/>
        <v>677743.3</v>
      </c>
      <c r="Z280" s="10">
        <f>+'A) Base RI'!N280</f>
        <v>2144.65</v>
      </c>
      <c r="AA280" s="10">
        <f>'A) Base RI'!AO280</f>
        <v>1670</v>
      </c>
    </row>
    <row r="281" spans="1:27" x14ac:dyDescent="0.25">
      <c r="A281" s="8">
        <f>'A) Base RI'!A281</f>
        <v>5886</v>
      </c>
      <c r="B281" s="32" t="str">
        <f>'A) Base RI'!B281</f>
        <v>Montreux</v>
      </c>
      <c r="C281" s="10">
        <f>'A) Base RI'!C281+'A) Base RI'!D281</f>
        <v>54787035.019999996</v>
      </c>
      <c r="D281" s="10">
        <f>'A) Base RI'!AP281</f>
        <v>-979478.85</v>
      </c>
      <c r="E281" s="402">
        <f>'A) Base RI'!AQ281</f>
        <v>0</v>
      </c>
      <c r="F281" s="402">
        <f>'A) Base RI'!AR281</f>
        <v>-118292.14</v>
      </c>
      <c r="G281" s="408">
        <f t="shared" si="24"/>
        <v>53689264.029999994</v>
      </c>
      <c r="H281" s="10">
        <f>+'A) Base RI'!E281</f>
        <v>0</v>
      </c>
      <c r="I281" s="10">
        <f>+'A) Base RI'!F281</f>
        <v>0</v>
      </c>
      <c r="J281" s="10">
        <f>+'A) Base RI'!G281+'A) Base RI'!H281+'A) Base RI'!X281</f>
        <v>3419373.6100000003</v>
      </c>
      <c r="K281" s="10">
        <f>+'A) Base RI'!I281</f>
        <v>3440972.13</v>
      </c>
      <c r="L281" s="10">
        <f>+'A) Base RI'!J281</f>
        <v>2273892.98</v>
      </c>
      <c r="M281" s="10">
        <f>+'A) Base RI'!K281</f>
        <v>713553.05</v>
      </c>
      <c r="N281" s="10">
        <f>+'A) Base RI'!Q281</f>
        <v>233403.51</v>
      </c>
      <c r="O281" s="10">
        <f t="shared" si="25"/>
        <v>7539441.333333333</v>
      </c>
      <c r="P281" s="10">
        <f>+'A) Base RI'!L281</f>
        <v>11309162</v>
      </c>
      <c r="Q281" s="416">
        <f>'A) Base RI'!AS281</f>
        <v>1.5</v>
      </c>
      <c r="R281" s="408">
        <f t="shared" si="26"/>
        <v>71309900.643333316</v>
      </c>
      <c r="S281" s="482">
        <f>+'A) Base RI'!AN281</f>
        <v>65</v>
      </c>
      <c r="T281" s="408">
        <f t="shared" si="27"/>
        <v>63056906.25999999</v>
      </c>
      <c r="U281" s="408">
        <f t="shared" si="28"/>
        <v>1097075.3945128203</v>
      </c>
      <c r="V281" s="10">
        <f>+'A) Base RI'!O281</f>
        <v>14175436.6</v>
      </c>
      <c r="W281" s="10">
        <f>+'A) Base RI'!P281</f>
        <v>4226896.3</v>
      </c>
      <c r="X281" s="10">
        <f>+'A) Base RI'!R281</f>
        <v>3021737.75</v>
      </c>
      <c r="Y281" s="408">
        <f t="shared" si="29"/>
        <v>21424070.649999999</v>
      </c>
      <c r="Z281" s="10">
        <f>+'A) Base RI'!N281</f>
        <v>1113954.95</v>
      </c>
      <c r="AA281" s="10">
        <f>'A) Base RI'!AO281</f>
        <v>26180</v>
      </c>
    </row>
    <row r="282" spans="1:27" x14ac:dyDescent="0.25">
      <c r="A282" s="8">
        <f>'A) Base RI'!A282</f>
        <v>5888</v>
      </c>
      <c r="B282" s="32" t="str">
        <f>'A) Base RI'!B282</f>
        <v>Saint-Légier-La Chiésaz</v>
      </c>
      <c r="C282" s="10">
        <f>'A) Base RI'!C282+'A) Base RI'!D282</f>
        <v>19631765.02</v>
      </c>
      <c r="D282" s="10">
        <f>'A) Base RI'!AP282</f>
        <v>-59918.26</v>
      </c>
      <c r="E282" s="402">
        <f>'A) Base RI'!AQ282</f>
        <v>0</v>
      </c>
      <c r="F282" s="402">
        <f>'A) Base RI'!AR282</f>
        <v>-29801</v>
      </c>
      <c r="G282" s="408">
        <f t="shared" si="24"/>
        <v>19542045.759999998</v>
      </c>
      <c r="H282" s="10">
        <f>+'A) Base RI'!E282</f>
        <v>0</v>
      </c>
      <c r="I282" s="10">
        <f>+'A) Base RI'!F282</f>
        <v>0</v>
      </c>
      <c r="J282" s="10">
        <f>+'A) Base RI'!G282+'A) Base RI'!H282+'A) Base RI'!X282</f>
        <v>470695.14</v>
      </c>
      <c r="K282" s="10">
        <f>+'A) Base RI'!I282</f>
        <v>318286.65000000002</v>
      </c>
      <c r="L282" s="10">
        <f>+'A) Base RI'!J282</f>
        <v>307136.8</v>
      </c>
      <c r="M282" s="10">
        <f>+'A) Base RI'!K282</f>
        <v>79417.5</v>
      </c>
      <c r="N282" s="10">
        <f>+'A) Base RI'!Q282</f>
        <v>46542.17</v>
      </c>
      <c r="O282" s="10">
        <f t="shared" si="25"/>
        <v>1538087.7083333335</v>
      </c>
      <c r="P282" s="10">
        <f>+'A) Base RI'!L282</f>
        <v>1845705.25</v>
      </c>
      <c r="Q282" s="416">
        <f>'A) Base RI'!AS282</f>
        <v>1.2</v>
      </c>
      <c r="R282" s="408">
        <f t="shared" si="26"/>
        <v>22302211.728333332</v>
      </c>
      <c r="S282" s="482">
        <f>+'A) Base RI'!AN282</f>
        <v>68.5</v>
      </c>
      <c r="T282" s="408">
        <f t="shared" si="27"/>
        <v>20684706.52</v>
      </c>
      <c r="U282" s="408">
        <f t="shared" si="28"/>
        <v>325579.73326034058</v>
      </c>
      <c r="V282" s="10">
        <f>+'A) Base RI'!O282</f>
        <v>4698.6000000000004</v>
      </c>
      <c r="W282" s="10">
        <f>+'A) Base RI'!P282</f>
        <v>1379677.55</v>
      </c>
      <c r="X282" s="10">
        <f>+'A) Base RI'!R282</f>
        <v>585396.15</v>
      </c>
      <c r="Y282" s="408">
        <f t="shared" si="29"/>
        <v>1969772.3000000003</v>
      </c>
      <c r="Z282" s="10">
        <f>+'A) Base RI'!N282</f>
        <v>190374.5</v>
      </c>
      <c r="AA282" s="10">
        <f>'A) Base RI'!AO282</f>
        <v>5522</v>
      </c>
    </row>
    <row r="283" spans="1:27" x14ac:dyDescent="0.25">
      <c r="A283" s="8">
        <f>'A) Base RI'!A283</f>
        <v>5889</v>
      </c>
      <c r="B283" s="32" t="str">
        <f>'A) Base RI'!B283</f>
        <v>La Tour-de-Peilz</v>
      </c>
      <c r="C283" s="10">
        <f>'A) Base RI'!C283+'A) Base RI'!D283</f>
        <v>34809064.780000001</v>
      </c>
      <c r="D283" s="10">
        <f>'A) Base RI'!AP283</f>
        <v>-279655.38</v>
      </c>
      <c r="E283" s="402">
        <f>'A) Base RI'!AQ283</f>
        <v>0</v>
      </c>
      <c r="F283" s="402">
        <f>'A) Base RI'!AR283</f>
        <v>-87734.82</v>
      </c>
      <c r="G283" s="408">
        <f t="shared" si="24"/>
        <v>34441674.579999998</v>
      </c>
      <c r="H283" s="10">
        <f>+'A) Base RI'!E283</f>
        <v>0</v>
      </c>
      <c r="I283" s="10">
        <f>+'A) Base RI'!F283</f>
        <v>0</v>
      </c>
      <c r="J283" s="10">
        <f>+'A) Base RI'!G283+'A) Base RI'!H283+'A) Base RI'!X283</f>
        <v>4919083.2300000004</v>
      </c>
      <c r="K283" s="10">
        <f>+'A) Base RI'!I283</f>
        <v>496028.45</v>
      </c>
      <c r="L283" s="10">
        <f>+'A) Base RI'!J283</f>
        <v>567329.85</v>
      </c>
      <c r="M283" s="10">
        <f>+'A) Base RI'!K283</f>
        <v>211743.9</v>
      </c>
      <c r="N283" s="10">
        <f>+'A) Base RI'!Q283</f>
        <v>136325.79999999999</v>
      </c>
      <c r="O283" s="10">
        <f t="shared" si="25"/>
        <v>2489427</v>
      </c>
      <c r="P283" s="10">
        <f>+'A) Base RI'!L283</f>
        <v>2987312.4</v>
      </c>
      <c r="Q283" s="416">
        <f>'A) Base RI'!AS283</f>
        <v>1.2</v>
      </c>
      <c r="R283" s="408">
        <f t="shared" si="26"/>
        <v>43261612.810000002</v>
      </c>
      <c r="S283" s="482">
        <f>+'A) Base RI'!AN283</f>
        <v>64</v>
      </c>
      <c r="T283" s="408">
        <f t="shared" si="27"/>
        <v>40560441.910000004</v>
      </c>
      <c r="U283" s="408">
        <f t="shared" si="28"/>
        <v>675962.70015625004</v>
      </c>
      <c r="V283" s="10">
        <f>+'A) Base RI'!O283</f>
        <v>700990.6</v>
      </c>
      <c r="W283" s="10">
        <f>+'A) Base RI'!P283</f>
        <v>1610117.1</v>
      </c>
      <c r="X283" s="10">
        <f>+'A) Base RI'!R283</f>
        <v>968601.5</v>
      </c>
      <c r="Y283" s="408">
        <f t="shared" si="29"/>
        <v>3279709.2</v>
      </c>
      <c r="Z283" s="10">
        <f>+'A) Base RI'!N283</f>
        <v>213995.45</v>
      </c>
      <c r="AA283" s="10">
        <f>'A) Base RI'!AO283</f>
        <v>12088</v>
      </c>
    </row>
    <row r="284" spans="1:27" x14ac:dyDescent="0.25">
      <c r="A284" s="8">
        <f>'A) Base RI'!A284</f>
        <v>5890</v>
      </c>
      <c r="B284" s="32" t="str">
        <f>'A) Base RI'!B284</f>
        <v>Vevey</v>
      </c>
      <c r="C284" s="10">
        <f>'A) Base RI'!C284+'A) Base RI'!D284</f>
        <v>41487619.850000001</v>
      </c>
      <c r="D284" s="10">
        <f>'A) Base RI'!AP284</f>
        <v>-463900.91</v>
      </c>
      <c r="E284" s="402">
        <f>'A) Base RI'!AQ284</f>
        <v>0</v>
      </c>
      <c r="F284" s="402">
        <f>'A) Base RI'!AR284</f>
        <v>-34364.050000000003</v>
      </c>
      <c r="G284" s="408">
        <f t="shared" si="24"/>
        <v>40989354.890000008</v>
      </c>
      <c r="H284" s="10">
        <f>+'A) Base RI'!E284</f>
        <v>0</v>
      </c>
      <c r="I284" s="10">
        <f>+'A) Base RI'!F284</f>
        <v>0</v>
      </c>
      <c r="J284" s="10">
        <f>+'A) Base RI'!G284+'A) Base RI'!H284+'A) Base RI'!X284</f>
        <v>14333163.989999998</v>
      </c>
      <c r="K284" s="10">
        <f>+'A) Base RI'!I284</f>
        <v>301640.81</v>
      </c>
      <c r="L284" s="10">
        <f>+'A) Base RI'!J284</f>
        <v>3962548.39</v>
      </c>
      <c r="M284" s="10">
        <f>+'A) Base RI'!K284</f>
        <v>749667.7</v>
      </c>
      <c r="N284" s="10">
        <f>+'A) Base RI'!Q284</f>
        <v>146582.91</v>
      </c>
      <c r="O284" s="10">
        <f t="shared" si="25"/>
        <v>3782667.8933333331</v>
      </c>
      <c r="P284" s="10">
        <f>+'A) Base RI'!L284</f>
        <v>5674001.8399999999</v>
      </c>
      <c r="Q284" s="416">
        <f>'A) Base RI'!AS284</f>
        <v>1.5</v>
      </c>
      <c r="R284" s="408">
        <f t="shared" si="26"/>
        <v>64265626.583333343</v>
      </c>
      <c r="S284" s="482">
        <f>+'A) Base RI'!AN284</f>
        <v>74.5</v>
      </c>
      <c r="T284" s="408">
        <f t="shared" si="27"/>
        <v>59733290.99000001</v>
      </c>
      <c r="U284" s="408">
        <f t="shared" si="28"/>
        <v>862625.86017897108</v>
      </c>
      <c r="V284" s="10">
        <f>+'A) Base RI'!O284</f>
        <v>2559081.2000000002</v>
      </c>
      <c r="W284" s="10">
        <f>+'A) Base RI'!P284</f>
        <v>1570397.45</v>
      </c>
      <c r="X284" s="10">
        <f>+'A) Base RI'!R284</f>
        <v>2095879.35</v>
      </c>
      <c r="Y284" s="408">
        <f t="shared" si="29"/>
        <v>6225358</v>
      </c>
      <c r="Z284" s="10">
        <f>+'A) Base RI'!N284</f>
        <v>928887.1</v>
      </c>
      <c r="AA284" s="10">
        <f>'A) Base RI'!AO284</f>
        <v>19780</v>
      </c>
    </row>
    <row r="285" spans="1:27" x14ac:dyDescent="0.25">
      <c r="A285" s="8">
        <f>'A) Base RI'!A285</f>
        <v>5891</v>
      </c>
      <c r="B285" s="32" t="str">
        <f>'A) Base RI'!B285</f>
        <v>Veytaux</v>
      </c>
      <c r="C285" s="10">
        <f>'A) Base RI'!C285+'A) Base RI'!D285</f>
        <v>2704909.75</v>
      </c>
      <c r="D285" s="10">
        <f>'A) Base RI'!AP285</f>
        <v>-113319.94</v>
      </c>
      <c r="E285" s="402">
        <f>'A) Base RI'!AQ285</f>
        <v>0</v>
      </c>
      <c r="F285" s="402">
        <f>'A) Base RI'!AR285</f>
        <v>-3587.09</v>
      </c>
      <c r="G285" s="408">
        <f t="shared" si="24"/>
        <v>2588002.7200000002</v>
      </c>
      <c r="H285" s="10">
        <f>+'A) Base RI'!E285</f>
        <v>0</v>
      </c>
      <c r="I285" s="10">
        <f>+'A) Base RI'!F285</f>
        <v>0</v>
      </c>
      <c r="J285" s="10">
        <f>+'A) Base RI'!G285+'A) Base RI'!H285+'A) Base RI'!X285</f>
        <v>35528.629999999997</v>
      </c>
      <c r="K285" s="10">
        <f>+'A) Base RI'!I285</f>
        <v>33065.75</v>
      </c>
      <c r="L285" s="10">
        <f>+'A) Base RI'!J285</f>
        <v>60261.36</v>
      </c>
      <c r="M285" s="10">
        <f>+'A) Base RI'!K285</f>
        <v>13791.35</v>
      </c>
      <c r="N285" s="10">
        <f>+'A) Base RI'!Q285</f>
        <v>25585.96</v>
      </c>
      <c r="O285" s="10">
        <f t="shared" si="25"/>
        <v>298316.03333333333</v>
      </c>
      <c r="P285" s="10">
        <f>+'A) Base RI'!L285</f>
        <v>447474.05</v>
      </c>
      <c r="Q285" s="416">
        <f>'A) Base RI'!AS285</f>
        <v>1.5</v>
      </c>
      <c r="R285" s="408">
        <f t="shared" si="26"/>
        <v>3054551.8033333332</v>
      </c>
      <c r="S285" s="482">
        <f>+'A) Base RI'!AN285</f>
        <v>69.5</v>
      </c>
      <c r="T285" s="408">
        <f t="shared" si="27"/>
        <v>2742444.42</v>
      </c>
      <c r="U285" s="408">
        <f t="shared" si="28"/>
        <v>43950.38565947242</v>
      </c>
      <c r="V285" s="10">
        <f>+'A) Base RI'!O285</f>
        <v>192719</v>
      </c>
      <c r="W285" s="10">
        <f>+'A) Base RI'!P285</f>
        <v>82503.95</v>
      </c>
      <c r="X285" s="10">
        <f>+'A) Base RI'!R285</f>
        <v>39283.199999999997</v>
      </c>
      <c r="Y285" s="408">
        <f t="shared" si="29"/>
        <v>314506.15000000002</v>
      </c>
      <c r="Z285" s="10">
        <f>+'A) Base RI'!N285</f>
        <v>413.25</v>
      </c>
      <c r="AA285" s="10">
        <f>'A) Base RI'!AO285</f>
        <v>956</v>
      </c>
    </row>
    <row r="286" spans="1:27" x14ac:dyDescent="0.25">
      <c r="A286" s="8">
        <f>'A) Base RI'!A286</f>
        <v>5902</v>
      </c>
      <c r="B286" s="32" t="str">
        <f>'A) Base RI'!B286</f>
        <v>Belmont-sur-Yverdon</v>
      </c>
      <c r="C286" s="10">
        <f>'A) Base RI'!C286+'A) Base RI'!D286</f>
        <v>758582.95000000007</v>
      </c>
      <c r="D286" s="10">
        <f>'A) Base RI'!AP286</f>
        <v>-9.7200000000000006</v>
      </c>
      <c r="E286" s="402">
        <f>'A) Base RI'!AQ286</f>
        <v>0</v>
      </c>
      <c r="F286" s="402">
        <f>'A) Base RI'!AR286</f>
        <v>0</v>
      </c>
      <c r="G286" s="408">
        <f t="shared" si="24"/>
        <v>758573.2300000001</v>
      </c>
      <c r="H286" s="10">
        <f>+'A) Base RI'!E286</f>
        <v>0</v>
      </c>
      <c r="I286" s="10">
        <f>+'A) Base RI'!F286</f>
        <v>0</v>
      </c>
      <c r="J286" s="10">
        <f>+'A) Base RI'!G286+'A) Base RI'!H286+'A) Base RI'!X286</f>
        <v>4445.5199999999995</v>
      </c>
      <c r="K286" s="10">
        <f>+'A) Base RI'!I286</f>
        <v>0</v>
      </c>
      <c r="L286" s="10">
        <f>+'A) Base RI'!J286</f>
        <v>2866.92</v>
      </c>
      <c r="M286" s="10">
        <f>+'A) Base RI'!K286</f>
        <v>0</v>
      </c>
      <c r="N286" s="10">
        <f>+'A) Base RI'!Q286</f>
        <v>0</v>
      </c>
      <c r="O286" s="10">
        <f t="shared" si="25"/>
        <v>56555.93</v>
      </c>
      <c r="P286" s="10">
        <f>+'A) Base RI'!L286</f>
        <v>56555.93</v>
      </c>
      <c r="Q286" s="416">
        <f>'A) Base RI'!AS286</f>
        <v>1</v>
      </c>
      <c r="R286" s="408">
        <f t="shared" si="26"/>
        <v>822441.60000000021</v>
      </c>
      <c r="S286" s="482">
        <f>+'A) Base RI'!AN286</f>
        <v>70</v>
      </c>
      <c r="T286" s="408">
        <f t="shared" si="27"/>
        <v>765885.67000000016</v>
      </c>
      <c r="U286" s="408">
        <f t="shared" si="28"/>
        <v>11749.165714285717</v>
      </c>
      <c r="V286" s="10">
        <f>+'A) Base RI'!O286</f>
        <v>78113.899999999994</v>
      </c>
      <c r="W286" s="10">
        <f>+'A) Base RI'!P286</f>
        <v>59304.9</v>
      </c>
      <c r="X286" s="10">
        <f>+'A) Base RI'!R286</f>
        <v>31121.5</v>
      </c>
      <c r="Y286" s="408">
        <f t="shared" si="29"/>
        <v>168540.3</v>
      </c>
      <c r="Z286" s="10">
        <f>+'A) Base RI'!N286</f>
        <v>0</v>
      </c>
      <c r="AA286" s="10">
        <f>'A) Base RI'!AO286</f>
        <v>396</v>
      </c>
    </row>
    <row r="287" spans="1:27" x14ac:dyDescent="0.25">
      <c r="A287" s="8">
        <f>'A) Base RI'!A287</f>
        <v>5903</v>
      </c>
      <c r="B287" s="32" t="str">
        <f>'A) Base RI'!B287</f>
        <v>Bioley-Magnoux</v>
      </c>
      <c r="C287" s="10">
        <f>'A) Base RI'!C287+'A) Base RI'!D287</f>
        <v>326080.83999999997</v>
      </c>
      <c r="D287" s="10">
        <f>'A) Base RI'!AP287</f>
        <v>-1937.45</v>
      </c>
      <c r="E287" s="402">
        <f>'A) Base RI'!AQ287</f>
        <v>0</v>
      </c>
      <c r="F287" s="402">
        <f>'A) Base RI'!AR287</f>
        <v>-4.63</v>
      </c>
      <c r="G287" s="408">
        <f t="shared" si="24"/>
        <v>324138.75999999995</v>
      </c>
      <c r="H287" s="10">
        <f>+'A) Base RI'!E287</f>
        <v>0</v>
      </c>
      <c r="I287" s="10">
        <f>+'A) Base RI'!F287</f>
        <v>0</v>
      </c>
      <c r="J287" s="10">
        <f>+'A) Base RI'!G287+'A) Base RI'!H287+'A) Base RI'!X287</f>
        <v>-4417.5200000000004</v>
      </c>
      <c r="K287" s="10">
        <f>+'A) Base RI'!I287</f>
        <v>0</v>
      </c>
      <c r="L287" s="10">
        <f>+'A) Base RI'!J287</f>
        <v>4873.83</v>
      </c>
      <c r="M287" s="10">
        <f>+'A) Base RI'!K287</f>
        <v>0</v>
      </c>
      <c r="N287" s="10">
        <f>+'A) Base RI'!Q287</f>
        <v>0</v>
      </c>
      <c r="O287" s="10">
        <f t="shared" si="25"/>
        <v>36644.285714285717</v>
      </c>
      <c r="P287" s="10">
        <f>+'A) Base RI'!L287</f>
        <v>25651</v>
      </c>
      <c r="Q287" s="416">
        <f>'A) Base RI'!AS287</f>
        <v>0.7</v>
      </c>
      <c r="R287" s="408">
        <f t="shared" si="26"/>
        <v>361239.35571428569</v>
      </c>
      <c r="S287" s="482">
        <f>+'A) Base RI'!AN287</f>
        <v>72</v>
      </c>
      <c r="T287" s="408">
        <f t="shared" si="27"/>
        <v>324595.06999999995</v>
      </c>
      <c r="U287" s="408">
        <f t="shared" si="28"/>
        <v>5017.2132738095233</v>
      </c>
      <c r="V287" s="10">
        <f>+'A) Base RI'!O287</f>
        <v>0</v>
      </c>
      <c r="W287" s="10">
        <f>+'A) Base RI'!P287</f>
        <v>2591.9499999999998</v>
      </c>
      <c r="X287" s="10">
        <f>+'A) Base RI'!R287</f>
        <v>4523.55</v>
      </c>
      <c r="Y287" s="408">
        <f t="shared" si="29"/>
        <v>7115.5</v>
      </c>
      <c r="Z287" s="10">
        <f>+'A) Base RI'!N287</f>
        <v>24639.1</v>
      </c>
      <c r="AA287" s="10">
        <f>'A) Base RI'!AO287</f>
        <v>230</v>
      </c>
    </row>
    <row r="288" spans="1:27" x14ac:dyDescent="0.25">
      <c r="A288" s="8">
        <f>'A) Base RI'!A288</f>
        <v>5904</v>
      </c>
      <c r="B288" s="32" t="str">
        <f>'A) Base RI'!B288</f>
        <v>Chamblon</v>
      </c>
      <c r="C288" s="10">
        <f>'A) Base RI'!C288+'A) Base RI'!D288</f>
        <v>1321199.67</v>
      </c>
      <c r="D288" s="10">
        <f>'A) Base RI'!AP288</f>
        <v>-10795.87</v>
      </c>
      <c r="E288" s="402">
        <f>'A) Base RI'!AQ288</f>
        <v>0</v>
      </c>
      <c r="F288" s="402">
        <f>'A) Base RI'!AR288</f>
        <v>-253.12</v>
      </c>
      <c r="G288" s="408">
        <f t="shared" si="24"/>
        <v>1310150.6799999997</v>
      </c>
      <c r="H288" s="10">
        <f>+'A) Base RI'!E288</f>
        <v>0</v>
      </c>
      <c r="I288" s="10">
        <f>+'A) Base RI'!F288</f>
        <v>0</v>
      </c>
      <c r="J288" s="10">
        <f>+'A) Base RI'!G288+'A) Base RI'!H288+'A) Base RI'!X288</f>
        <v>3930.2900000000004</v>
      </c>
      <c r="K288" s="10">
        <f>+'A) Base RI'!I288</f>
        <v>0</v>
      </c>
      <c r="L288" s="10">
        <f>+'A) Base RI'!J288</f>
        <v>17456.939999999999</v>
      </c>
      <c r="M288" s="10">
        <f>+'A) Base RI'!K288</f>
        <v>3864.65</v>
      </c>
      <c r="N288" s="10">
        <f>+'A) Base RI'!Q288</f>
        <v>441.06</v>
      </c>
      <c r="O288" s="10">
        <f t="shared" si="25"/>
        <v>95964.1</v>
      </c>
      <c r="P288" s="10">
        <f>+'A) Base RI'!L288</f>
        <v>95964.1</v>
      </c>
      <c r="Q288" s="416">
        <f>'A) Base RI'!AS288</f>
        <v>1</v>
      </c>
      <c r="R288" s="408">
        <f t="shared" si="26"/>
        <v>1431807.7199999997</v>
      </c>
      <c r="S288" s="482">
        <f>+'A) Base RI'!AN288</f>
        <v>66</v>
      </c>
      <c r="T288" s="408">
        <f t="shared" si="27"/>
        <v>1331978.9699999997</v>
      </c>
      <c r="U288" s="408">
        <f t="shared" si="28"/>
        <v>21694.056363636359</v>
      </c>
      <c r="V288" s="10">
        <f>+'A) Base RI'!O288</f>
        <v>0</v>
      </c>
      <c r="W288" s="10">
        <f>+'A) Base RI'!P288</f>
        <v>50985</v>
      </c>
      <c r="X288" s="10">
        <f>+'A) Base RI'!R288</f>
        <v>21469.3</v>
      </c>
      <c r="Y288" s="408">
        <f t="shared" si="29"/>
        <v>72454.3</v>
      </c>
      <c r="Z288" s="10">
        <f>+'A) Base RI'!N288</f>
        <v>34103.599999999999</v>
      </c>
      <c r="AA288" s="10">
        <f>'A) Base RI'!AO288</f>
        <v>559</v>
      </c>
    </row>
    <row r="289" spans="1:27" x14ac:dyDescent="0.25">
      <c r="A289" s="8">
        <f>'A) Base RI'!A289</f>
        <v>5905</v>
      </c>
      <c r="B289" s="32" t="str">
        <f>'A) Base RI'!B289</f>
        <v>Champvent</v>
      </c>
      <c r="C289" s="10">
        <f>'A) Base RI'!C289+'A) Base RI'!D289</f>
        <v>1268273.74</v>
      </c>
      <c r="D289" s="10">
        <f>'A) Base RI'!AP289</f>
        <v>-4598.74</v>
      </c>
      <c r="E289" s="402">
        <f>'A) Base RI'!AQ289</f>
        <v>0</v>
      </c>
      <c r="F289" s="402">
        <f>'A) Base RI'!AR289</f>
        <v>-24.88</v>
      </c>
      <c r="G289" s="408">
        <f t="shared" si="24"/>
        <v>1263650.1200000001</v>
      </c>
      <c r="H289" s="10">
        <f>+'A) Base RI'!E289</f>
        <v>0</v>
      </c>
      <c r="I289" s="10">
        <f>+'A) Base RI'!F289</f>
        <v>0</v>
      </c>
      <c r="J289" s="10">
        <f>+'A) Base RI'!G289+'A) Base RI'!H289+'A) Base RI'!X289</f>
        <v>144212.98000000001</v>
      </c>
      <c r="K289" s="10">
        <f>+'A) Base RI'!I289</f>
        <v>0</v>
      </c>
      <c r="L289" s="10">
        <f>+'A) Base RI'!J289</f>
        <v>31182.99</v>
      </c>
      <c r="M289" s="10">
        <f>+'A) Base RI'!K289</f>
        <v>-3012.45</v>
      </c>
      <c r="N289" s="10">
        <f>+'A) Base RI'!Q289</f>
        <v>-665.43</v>
      </c>
      <c r="O289" s="10">
        <f t="shared" si="25"/>
        <v>99805.85</v>
      </c>
      <c r="P289" s="10">
        <f>+'A) Base RI'!L289</f>
        <v>99805.85</v>
      </c>
      <c r="Q289" s="416">
        <f>'A) Base RI'!AS289</f>
        <v>1</v>
      </c>
      <c r="R289" s="408">
        <f t="shared" si="26"/>
        <v>1535174.0600000003</v>
      </c>
      <c r="S289" s="482">
        <f>+'A) Base RI'!AN289</f>
        <v>71</v>
      </c>
      <c r="T289" s="408">
        <f t="shared" si="27"/>
        <v>1438380.6600000001</v>
      </c>
      <c r="U289" s="408">
        <f t="shared" si="28"/>
        <v>21622.169859154932</v>
      </c>
      <c r="V289" s="10">
        <f>+'A) Base RI'!O289</f>
        <v>0</v>
      </c>
      <c r="W289" s="10">
        <f>+'A) Base RI'!P289</f>
        <v>54574.85</v>
      </c>
      <c r="X289" s="10">
        <f>+'A) Base RI'!R289</f>
        <v>87319.85</v>
      </c>
      <c r="Y289" s="408">
        <f t="shared" si="29"/>
        <v>141894.70000000001</v>
      </c>
      <c r="Z289" s="10">
        <f>+'A) Base RI'!N289</f>
        <v>1903.55</v>
      </c>
      <c r="AA289" s="10">
        <f>'A) Base RI'!AO289</f>
        <v>696</v>
      </c>
    </row>
    <row r="290" spans="1:27" x14ac:dyDescent="0.25">
      <c r="A290" s="8">
        <f>'A) Base RI'!A290</f>
        <v>5907</v>
      </c>
      <c r="B290" s="32" t="str">
        <f>'A) Base RI'!B290</f>
        <v>Chavannes-le-Chêne</v>
      </c>
      <c r="C290" s="10">
        <f>'A) Base RI'!C290+'A) Base RI'!D290</f>
        <v>702931.73</v>
      </c>
      <c r="D290" s="10">
        <f>'A) Base RI'!AP290</f>
        <v>-10393.469999999999</v>
      </c>
      <c r="E290" s="402">
        <f>'A) Base RI'!AQ290</f>
        <v>0</v>
      </c>
      <c r="F290" s="402">
        <f>'A) Base RI'!AR290</f>
        <v>-13.33</v>
      </c>
      <c r="G290" s="408">
        <f t="shared" si="24"/>
        <v>692524.93</v>
      </c>
      <c r="H290" s="10">
        <f>+'A) Base RI'!E290</f>
        <v>0</v>
      </c>
      <c r="I290" s="10">
        <f>+'A) Base RI'!F290</f>
        <v>1950</v>
      </c>
      <c r="J290" s="10">
        <f>+'A) Base RI'!G290+'A) Base RI'!H290+'A) Base RI'!X290</f>
        <v>598.89</v>
      </c>
      <c r="K290" s="10">
        <f>+'A) Base RI'!I290</f>
        <v>0</v>
      </c>
      <c r="L290" s="10">
        <f>+'A) Base RI'!J290</f>
        <v>-1250.77</v>
      </c>
      <c r="M290" s="10">
        <f>+'A) Base RI'!K290</f>
        <v>520.70000000000005</v>
      </c>
      <c r="N290" s="10">
        <f>+'A) Base RI'!Q290</f>
        <v>2826.42</v>
      </c>
      <c r="O290" s="10">
        <f t="shared" si="25"/>
        <v>44658.25</v>
      </c>
      <c r="P290" s="10">
        <f>+'A) Base RI'!L290</f>
        <v>44658.25</v>
      </c>
      <c r="Q290" s="416">
        <f>'A) Base RI'!AS290</f>
        <v>1</v>
      </c>
      <c r="R290" s="408">
        <f t="shared" si="26"/>
        <v>741828.42</v>
      </c>
      <c r="S290" s="482">
        <f>+'A) Base RI'!AN290</f>
        <v>75</v>
      </c>
      <c r="T290" s="408">
        <f t="shared" si="27"/>
        <v>694699.47000000009</v>
      </c>
      <c r="U290" s="408">
        <f t="shared" si="28"/>
        <v>9891.0456000000013</v>
      </c>
      <c r="V290" s="10">
        <f>+'A) Base RI'!O290</f>
        <v>0</v>
      </c>
      <c r="W290" s="10">
        <f>+'A) Base RI'!P290</f>
        <v>14552.4</v>
      </c>
      <c r="X290" s="10">
        <f>+'A) Base RI'!R290</f>
        <v>17180.400000000001</v>
      </c>
      <c r="Y290" s="408">
        <f t="shared" si="29"/>
        <v>31732.800000000003</v>
      </c>
      <c r="Z290" s="10">
        <f>+'A) Base RI'!N290</f>
        <v>7607.85</v>
      </c>
      <c r="AA290" s="10">
        <f>'A) Base RI'!AO290</f>
        <v>324</v>
      </c>
    </row>
    <row r="291" spans="1:27" x14ac:dyDescent="0.25">
      <c r="A291" s="8">
        <f>'A) Base RI'!A291</f>
        <v>5908</v>
      </c>
      <c r="B291" s="32" t="str">
        <f>'A) Base RI'!B291</f>
        <v>Chêne-Pâquier</v>
      </c>
      <c r="C291" s="10">
        <f>'A) Base RI'!C291+'A) Base RI'!D291</f>
        <v>479916.92000000004</v>
      </c>
      <c r="D291" s="10">
        <f>'A) Base RI'!AP291</f>
        <v>-1088.49</v>
      </c>
      <c r="E291" s="402">
        <f>'A) Base RI'!AQ291</f>
        <v>0</v>
      </c>
      <c r="F291" s="402">
        <f>'A) Base RI'!AR291</f>
        <v>-103.75</v>
      </c>
      <c r="G291" s="408">
        <f t="shared" si="24"/>
        <v>478724.68000000005</v>
      </c>
      <c r="H291" s="10">
        <f>+'A) Base RI'!E291</f>
        <v>0</v>
      </c>
      <c r="I291" s="10">
        <f>+'A) Base RI'!F291</f>
        <v>0</v>
      </c>
      <c r="J291" s="10">
        <f>+'A) Base RI'!G291+'A) Base RI'!H291+'A) Base RI'!X291</f>
        <v>568.04</v>
      </c>
      <c r="K291" s="10">
        <f>+'A) Base RI'!I291</f>
        <v>0</v>
      </c>
      <c r="L291" s="10">
        <f>+'A) Base RI'!J291</f>
        <v>12982.5</v>
      </c>
      <c r="M291" s="10">
        <f>+'A) Base RI'!K291</f>
        <v>92.95</v>
      </c>
      <c r="N291" s="10">
        <f>+'A) Base RI'!Q291</f>
        <v>0</v>
      </c>
      <c r="O291" s="10">
        <f t="shared" si="25"/>
        <v>21328.25</v>
      </c>
      <c r="P291" s="10">
        <f>+'A) Base RI'!L291</f>
        <v>21328.25</v>
      </c>
      <c r="Q291" s="416">
        <f>'A) Base RI'!AS291</f>
        <v>1</v>
      </c>
      <c r="R291" s="408">
        <f t="shared" si="26"/>
        <v>513696.42000000004</v>
      </c>
      <c r="S291" s="482">
        <f>+'A) Base RI'!AN291</f>
        <v>79</v>
      </c>
      <c r="T291" s="408">
        <f t="shared" si="27"/>
        <v>492275.22000000003</v>
      </c>
      <c r="U291" s="408">
        <f t="shared" si="28"/>
        <v>6502.4863291139245</v>
      </c>
      <c r="V291" s="10">
        <f>+'A) Base RI'!O291</f>
        <v>0</v>
      </c>
      <c r="W291" s="10">
        <f>+'A) Base RI'!P291</f>
        <v>5995</v>
      </c>
      <c r="X291" s="10">
        <f>+'A) Base RI'!R291</f>
        <v>2762.55</v>
      </c>
      <c r="Y291" s="408">
        <f t="shared" si="29"/>
        <v>8757.5499999999993</v>
      </c>
      <c r="Z291" s="10">
        <f>+'A) Base RI'!N291</f>
        <v>4476.1000000000004</v>
      </c>
      <c r="AA291" s="10">
        <f>'A) Base RI'!AO291</f>
        <v>144</v>
      </c>
    </row>
    <row r="292" spans="1:27" x14ac:dyDescent="0.25">
      <c r="A292" s="8">
        <f>'A) Base RI'!A292</f>
        <v>5909</v>
      </c>
      <c r="B292" s="32" t="str">
        <f>'A) Base RI'!B292</f>
        <v>Cheseaux-Noréaz</v>
      </c>
      <c r="C292" s="10">
        <f>'A) Base RI'!C292+'A) Base RI'!D292</f>
        <v>2424606.91</v>
      </c>
      <c r="D292" s="10">
        <f>'A) Base RI'!AP292</f>
        <v>-2037.97</v>
      </c>
      <c r="E292" s="402">
        <f>'A) Base RI'!AQ292</f>
        <v>0</v>
      </c>
      <c r="F292" s="402">
        <f>'A) Base RI'!AR292</f>
        <v>-606.21</v>
      </c>
      <c r="G292" s="408">
        <f t="shared" si="24"/>
        <v>2421962.73</v>
      </c>
      <c r="H292" s="10">
        <f>+'A) Base RI'!E292</f>
        <v>0</v>
      </c>
      <c r="I292" s="10">
        <f>+'A) Base RI'!F292</f>
        <v>0</v>
      </c>
      <c r="J292" s="10">
        <f>+'A) Base RI'!G292+'A) Base RI'!H292+'A) Base RI'!X292</f>
        <v>21555.62</v>
      </c>
      <c r="K292" s="10">
        <f>+'A) Base RI'!I292</f>
        <v>0</v>
      </c>
      <c r="L292" s="10">
        <f>+'A) Base RI'!J292</f>
        <v>25616.45</v>
      </c>
      <c r="M292" s="10">
        <f>+'A) Base RI'!K292</f>
        <v>-2571.0500000000002</v>
      </c>
      <c r="N292" s="10">
        <f>+'A) Base RI'!Q292</f>
        <v>724.05</v>
      </c>
      <c r="O292" s="10">
        <f t="shared" si="25"/>
        <v>163073</v>
      </c>
      <c r="P292" s="10">
        <f>+'A) Base RI'!L292</f>
        <v>163073</v>
      </c>
      <c r="Q292" s="416">
        <f>'A) Base RI'!AS292</f>
        <v>1</v>
      </c>
      <c r="R292" s="408">
        <f t="shared" si="26"/>
        <v>2630360.8000000003</v>
      </c>
      <c r="S292" s="482">
        <f>+'A) Base RI'!AN292</f>
        <v>67</v>
      </c>
      <c r="T292" s="408">
        <f t="shared" si="27"/>
        <v>2469858.85</v>
      </c>
      <c r="U292" s="408">
        <f t="shared" si="28"/>
        <v>39259.116417910453</v>
      </c>
      <c r="V292" s="10">
        <f>+'A) Base RI'!O292</f>
        <v>2966.4</v>
      </c>
      <c r="W292" s="10">
        <f>+'A) Base RI'!P292</f>
        <v>45029.45</v>
      </c>
      <c r="X292" s="10">
        <f>+'A) Base RI'!R292</f>
        <v>42814.05</v>
      </c>
      <c r="Y292" s="408">
        <f t="shared" si="29"/>
        <v>90809.9</v>
      </c>
      <c r="Z292" s="10">
        <f>+'A) Base RI'!N292</f>
        <v>8854.75</v>
      </c>
      <c r="AA292" s="10">
        <f>'A) Base RI'!AO292</f>
        <v>741</v>
      </c>
    </row>
    <row r="293" spans="1:27" x14ac:dyDescent="0.25">
      <c r="A293" s="8">
        <f>'A) Base RI'!A293</f>
        <v>5910</v>
      </c>
      <c r="B293" s="32" t="str">
        <f>'A) Base RI'!B293</f>
        <v>Cronay</v>
      </c>
      <c r="C293" s="10">
        <f>'A) Base RI'!C293+'A) Base RI'!D293</f>
        <v>702008.59</v>
      </c>
      <c r="D293" s="10">
        <f>'A) Base RI'!AP293</f>
        <v>-5598.18</v>
      </c>
      <c r="E293" s="402">
        <f>'A) Base RI'!AQ293</f>
        <v>0</v>
      </c>
      <c r="F293" s="402">
        <f>'A) Base RI'!AR293</f>
        <v>-15.01</v>
      </c>
      <c r="G293" s="408">
        <f t="shared" si="24"/>
        <v>696395.39999999991</v>
      </c>
      <c r="H293" s="10">
        <f>+'A) Base RI'!E293</f>
        <v>0</v>
      </c>
      <c r="I293" s="10">
        <f>+'A) Base RI'!F293</f>
        <v>2290</v>
      </c>
      <c r="J293" s="10">
        <f>+'A) Base RI'!G293+'A) Base RI'!H293+'A) Base RI'!X293</f>
        <v>5189.4400000000005</v>
      </c>
      <c r="K293" s="10">
        <f>+'A) Base RI'!I293</f>
        <v>0</v>
      </c>
      <c r="L293" s="10">
        <f>+'A) Base RI'!J293</f>
        <v>7757.32</v>
      </c>
      <c r="M293" s="10">
        <f>+'A) Base RI'!K293</f>
        <v>0</v>
      </c>
      <c r="N293" s="10">
        <f>+'A) Base RI'!Q293</f>
        <v>0</v>
      </c>
      <c r="O293" s="10">
        <f t="shared" si="25"/>
        <v>56520</v>
      </c>
      <c r="P293" s="10">
        <f>+'A) Base RI'!L293</f>
        <v>56520</v>
      </c>
      <c r="Q293" s="416">
        <f>'A) Base RI'!AS293</f>
        <v>1</v>
      </c>
      <c r="R293" s="408">
        <f t="shared" si="26"/>
        <v>768152.1599999998</v>
      </c>
      <c r="S293" s="482">
        <f>+'A) Base RI'!AN293</f>
        <v>77</v>
      </c>
      <c r="T293" s="408">
        <f t="shared" si="27"/>
        <v>709342.1599999998</v>
      </c>
      <c r="U293" s="408">
        <f t="shared" si="28"/>
        <v>9976.0020779220758</v>
      </c>
      <c r="V293" s="10">
        <f>+'A) Base RI'!O293</f>
        <v>9.8000000000000007</v>
      </c>
      <c r="W293" s="10">
        <f>+'A) Base RI'!P293</f>
        <v>25300</v>
      </c>
      <c r="X293" s="10">
        <f>+'A) Base RI'!R293</f>
        <v>-35616.050000000003</v>
      </c>
      <c r="Y293" s="408">
        <f t="shared" si="29"/>
        <v>-10306.250000000004</v>
      </c>
      <c r="Z293" s="10">
        <f>+'A) Base RI'!N293</f>
        <v>0</v>
      </c>
      <c r="AA293" s="10">
        <f>'A) Base RI'!AO293</f>
        <v>393</v>
      </c>
    </row>
    <row r="294" spans="1:27" x14ac:dyDescent="0.25">
      <c r="A294" s="8">
        <f>'A) Base RI'!A294</f>
        <v>5911</v>
      </c>
      <c r="B294" s="32" t="str">
        <f>'A) Base RI'!B294</f>
        <v>Cuarny</v>
      </c>
      <c r="C294" s="10">
        <f>'A) Base RI'!C294+'A) Base RI'!D294</f>
        <v>497082.62</v>
      </c>
      <c r="D294" s="10">
        <f>'A) Base RI'!AP294</f>
        <v>-99.75</v>
      </c>
      <c r="E294" s="402">
        <f>'A) Base RI'!AQ294</f>
        <v>0</v>
      </c>
      <c r="F294" s="402">
        <f>'A) Base RI'!AR294</f>
        <v>-1865.97</v>
      </c>
      <c r="G294" s="408">
        <f t="shared" si="24"/>
        <v>495116.9</v>
      </c>
      <c r="H294" s="10">
        <f>+'A) Base RI'!E294</f>
        <v>0</v>
      </c>
      <c r="I294" s="10">
        <f>+'A) Base RI'!F294</f>
        <v>1460</v>
      </c>
      <c r="J294" s="10">
        <f>+'A) Base RI'!G294+'A) Base RI'!H294+'A) Base RI'!X294</f>
        <v>1911.6399999999999</v>
      </c>
      <c r="K294" s="10">
        <f>+'A) Base RI'!I294</f>
        <v>0</v>
      </c>
      <c r="L294" s="10">
        <f>+'A) Base RI'!J294</f>
        <v>1137.6199999999999</v>
      </c>
      <c r="M294" s="10">
        <f>+'A) Base RI'!K294</f>
        <v>830.3</v>
      </c>
      <c r="N294" s="10">
        <f>+'A) Base RI'!Q294</f>
        <v>0</v>
      </c>
      <c r="O294" s="10">
        <f t="shared" si="25"/>
        <v>33892.5</v>
      </c>
      <c r="P294" s="10">
        <f>+'A) Base RI'!L294</f>
        <v>33892.5</v>
      </c>
      <c r="Q294" s="416">
        <f>'A) Base RI'!AS294</f>
        <v>1</v>
      </c>
      <c r="R294" s="408">
        <f t="shared" si="26"/>
        <v>534348.96</v>
      </c>
      <c r="S294" s="482">
        <f>+'A) Base RI'!AN294</f>
        <v>77</v>
      </c>
      <c r="T294" s="408">
        <f t="shared" si="27"/>
        <v>498166.16000000003</v>
      </c>
      <c r="U294" s="408">
        <f t="shared" si="28"/>
        <v>6939.596883116883</v>
      </c>
      <c r="V294" s="10">
        <f>+'A) Base RI'!O294</f>
        <v>1237.2</v>
      </c>
      <c r="W294" s="10">
        <f>+'A) Base RI'!P294</f>
        <v>0</v>
      </c>
      <c r="X294" s="10">
        <f>+'A) Base RI'!R294</f>
        <v>0</v>
      </c>
      <c r="Y294" s="408">
        <f t="shared" si="29"/>
        <v>1237.2</v>
      </c>
      <c r="Z294" s="10">
        <f>+'A) Base RI'!N294</f>
        <v>1274</v>
      </c>
      <c r="AA294" s="10">
        <f>'A) Base RI'!AO294</f>
        <v>234</v>
      </c>
    </row>
    <row r="295" spans="1:27" x14ac:dyDescent="0.25">
      <c r="A295" s="8">
        <f>'A) Base RI'!A295</f>
        <v>5912</v>
      </c>
      <c r="B295" s="32" t="str">
        <f>'A) Base RI'!B295</f>
        <v>Démoret</v>
      </c>
      <c r="C295" s="10">
        <f>'A) Base RI'!C295+'A) Base RI'!D295</f>
        <v>288524.27999999997</v>
      </c>
      <c r="D295" s="10">
        <f>'A) Base RI'!AP295</f>
        <v>-664.05</v>
      </c>
      <c r="E295" s="402">
        <f>'A) Base RI'!AQ295</f>
        <v>0</v>
      </c>
      <c r="F295" s="402">
        <f>'A) Base RI'!AR295</f>
        <v>0</v>
      </c>
      <c r="G295" s="408">
        <f t="shared" si="24"/>
        <v>287860.23</v>
      </c>
      <c r="H295" s="10">
        <f>+'A) Base RI'!E295</f>
        <v>0</v>
      </c>
      <c r="I295" s="10">
        <f>+'A) Base RI'!F295</f>
        <v>0</v>
      </c>
      <c r="J295" s="10">
        <f>+'A) Base RI'!G295+'A) Base RI'!H295+'A) Base RI'!X295</f>
        <v>10503.09</v>
      </c>
      <c r="K295" s="10">
        <f>+'A) Base RI'!I295</f>
        <v>0</v>
      </c>
      <c r="L295" s="10">
        <f>+'A) Base RI'!J295</f>
        <v>9417.1</v>
      </c>
      <c r="M295" s="10">
        <f>+'A) Base RI'!K295</f>
        <v>0</v>
      </c>
      <c r="N295" s="10">
        <f>+'A) Base RI'!Q295</f>
        <v>0</v>
      </c>
      <c r="O295" s="10">
        <f t="shared" si="25"/>
        <v>21041.3</v>
      </c>
      <c r="P295" s="10">
        <f>+'A) Base RI'!L295</f>
        <v>21041.3</v>
      </c>
      <c r="Q295" s="416">
        <f>'A) Base RI'!AS295</f>
        <v>1</v>
      </c>
      <c r="R295" s="408">
        <f t="shared" si="26"/>
        <v>328821.71999999997</v>
      </c>
      <c r="S295" s="482">
        <f>+'A) Base RI'!AN295</f>
        <v>81</v>
      </c>
      <c r="T295" s="408">
        <f t="shared" si="27"/>
        <v>307780.42</v>
      </c>
      <c r="U295" s="408">
        <f t="shared" si="28"/>
        <v>4059.5274074074073</v>
      </c>
      <c r="V295" s="10">
        <f>+'A) Base RI'!O295</f>
        <v>0</v>
      </c>
      <c r="W295" s="10">
        <f>+'A) Base RI'!P295</f>
        <v>14300</v>
      </c>
      <c r="X295" s="10">
        <f>+'A) Base RI'!R295</f>
        <v>6755.3</v>
      </c>
      <c r="Y295" s="408">
        <f t="shared" si="29"/>
        <v>21055.3</v>
      </c>
      <c r="Z295" s="10">
        <f>+'A) Base RI'!N295</f>
        <v>2837.6</v>
      </c>
      <c r="AA295" s="10">
        <f>'A) Base RI'!AO295</f>
        <v>158</v>
      </c>
    </row>
    <row r="296" spans="1:27" x14ac:dyDescent="0.25">
      <c r="A296" s="8">
        <f>'A) Base RI'!A296</f>
        <v>5913</v>
      </c>
      <c r="B296" s="32" t="str">
        <f>'A) Base RI'!B296</f>
        <v>Donneloye</v>
      </c>
      <c r="C296" s="10">
        <f>'A) Base RI'!C296+'A) Base RI'!D296</f>
        <v>1326659.3199999998</v>
      </c>
      <c r="D296" s="10">
        <f>'A) Base RI'!AP296</f>
        <v>-20736.669999999998</v>
      </c>
      <c r="E296" s="402">
        <f>'A) Base RI'!AQ296</f>
        <v>0</v>
      </c>
      <c r="F296" s="402">
        <f>'A) Base RI'!AR296</f>
        <v>-977.98</v>
      </c>
      <c r="G296" s="408">
        <f t="shared" si="24"/>
        <v>1304944.67</v>
      </c>
      <c r="H296" s="10">
        <f>+'A) Base RI'!E296</f>
        <v>0</v>
      </c>
      <c r="I296" s="10">
        <f>+'A) Base RI'!F296</f>
        <v>0</v>
      </c>
      <c r="J296" s="10">
        <f>+'A) Base RI'!G296+'A) Base RI'!H296+'A) Base RI'!X296</f>
        <v>12845.23</v>
      </c>
      <c r="K296" s="10">
        <f>+'A) Base RI'!I296</f>
        <v>0</v>
      </c>
      <c r="L296" s="10">
        <f>+'A) Base RI'!J296</f>
        <v>12856.2</v>
      </c>
      <c r="M296" s="10">
        <f>+'A) Base RI'!K296</f>
        <v>-258.35000000000002</v>
      </c>
      <c r="N296" s="10">
        <f>+'A) Base RI'!Q296</f>
        <v>1533.53</v>
      </c>
      <c r="O296" s="10">
        <f t="shared" si="25"/>
        <v>119379.2</v>
      </c>
      <c r="P296" s="10">
        <f>+'A) Base RI'!L296</f>
        <v>119379.2</v>
      </c>
      <c r="Q296" s="416">
        <f>'A) Base RI'!AS296</f>
        <v>1</v>
      </c>
      <c r="R296" s="408">
        <f t="shared" si="26"/>
        <v>1451300.4799999997</v>
      </c>
      <c r="S296" s="482">
        <f>+'A) Base RI'!AN296</f>
        <v>73</v>
      </c>
      <c r="T296" s="408">
        <f t="shared" si="27"/>
        <v>1332179.6299999999</v>
      </c>
      <c r="U296" s="408">
        <f t="shared" si="28"/>
        <v>19880.828493150682</v>
      </c>
      <c r="V296" s="10">
        <f>+'A) Base RI'!O296</f>
        <v>0</v>
      </c>
      <c r="W296" s="10">
        <f>+'A) Base RI'!P296</f>
        <v>43192.7</v>
      </c>
      <c r="X296" s="10">
        <f>+'A) Base RI'!R296</f>
        <v>30580</v>
      </c>
      <c r="Y296" s="408">
        <f t="shared" si="29"/>
        <v>73772.7</v>
      </c>
      <c r="Z296" s="10">
        <f>+'A) Base RI'!N296</f>
        <v>30586.9</v>
      </c>
      <c r="AA296" s="10">
        <f>'A) Base RI'!AO296</f>
        <v>829</v>
      </c>
    </row>
    <row r="297" spans="1:27" x14ac:dyDescent="0.25">
      <c r="A297" s="8">
        <f>'A) Base RI'!A297</f>
        <v>5914</v>
      </c>
      <c r="B297" s="32" t="str">
        <f>'A) Base RI'!B297</f>
        <v>Ependes</v>
      </c>
      <c r="C297" s="10">
        <f>'A) Base RI'!C297+'A) Base RI'!D297</f>
        <v>687606.41</v>
      </c>
      <c r="D297" s="10">
        <f>'A) Base RI'!AP297</f>
        <v>-9754.3700000000008</v>
      </c>
      <c r="E297" s="402">
        <f>'A) Base RI'!AQ297</f>
        <v>0</v>
      </c>
      <c r="F297" s="402">
        <f>'A) Base RI'!AR297</f>
        <v>-0.59</v>
      </c>
      <c r="G297" s="408">
        <f t="shared" si="24"/>
        <v>677851.45000000007</v>
      </c>
      <c r="H297" s="10">
        <f>+'A) Base RI'!E297</f>
        <v>0</v>
      </c>
      <c r="I297" s="10">
        <f>+'A) Base RI'!F297</f>
        <v>2090</v>
      </c>
      <c r="J297" s="10">
        <f>+'A) Base RI'!G297+'A) Base RI'!H297+'A) Base RI'!X297</f>
        <v>28607.14</v>
      </c>
      <c r="K297" s="10">
        <f>+'A) Base RI'!I297</f>
        <v>0</v>
      </c>
      <c r="L297" s="10">
        <f>+'A) Base RI'!J297</f>
        <v>9723.82</v>
      </c>
      <c r="M297" s="10">
        <f>+'A) Base RI'!K297</f>
        <v>7718.95</v>
      </c>
      <c r="N297" s="10">
        <f>+'A) Base RI'!Q297</f>
        <v>0</v>
      </c>
      <c r="O297" s="10">
        <f t="shared" si="25"/>
        <v>57671.15</v>
      </c>
      <c r="P297" s="10">
        <f>+'A) Base RI'!L297</f>
        <v>57671.15</v>
      </c>
      <c r="Q297" s="416">
        <f>'A) Base RI'!AS297</f>
        <v>1</v>
      </c>
      <c r="R297" s="408">
        <f t="shared" si="26"/>
        <v>783662.51</v>
      </c>
      <c r="S297" s="482">
        <f>+'A) Base RI'!AN297</f>
        <v>73.5</v>
      </c>
      <c r="T297" s="408">
        <f t="shared" si="27"/>
        <v>716182.41</v>
      </c>
      <c r="U297" s="408">
        <f t="shared" si="28"/>
        <v>10662.074965986394</v>
      </c>
      <c r="V297" s="10">
        <f>+'A) Base RI'!O297</f>
        <v>0</v>
      </c>
      <c r="W297" s="10">
        <f>+'A) Base RI'!P297</f>
        <v>30904.5</v>
      </c>
      <c r="X297" s="10">
        <f>+'A) Base RI'!R297</f>
        <v>14806.6</v>
      </c>
      <c r="Y297" s="408">
        <f t="shared" si="29"/>
        <v>45711.1</v>
      </c>
      <c r="Z297" s="10">
        <f>+'A) Base RI'!N297</f>
        <v>4770.75</v>
      </c>
      <c r="AA297" s="10">
        <f>'A) Base RI'!AO297</f>
        <v>388</v>
      </c>
    </row>
    <row r="298" spans="1:27" x14ac:dyDescent="0.25">
      <c r="A298" s="8">
        <f>'A) Base RI'!A298</f>
        <v>5919</v>
      </c>
      <c r="B298" s="32" t="str">
        <f>'A) Base RI'!B298</f>
        <v>Mathod</v>
      </c>
      <c r="C298" s="10">
        <f>'A) Base RI'!C298+'A) Base RI'!D298</f>
        <v>1361780.73</v>
      </c>
      <c r="D298" s="10">
        <f>'A) Base RI'!AP298</f>
        <v>-22225.9</v>
      </c>
      <c r="E298" s="402">
        <f>'A) Base RI'!AQ298</f>
        <v>0</v>
      </c>
      <c r="F298" s="402">
        <f>'A) Base RI'!AR298</f>
        <v>-56.05</v>
      </c>
      <c r="G298" s="408">
        <f t="shared" si="24"/>
        <v>1339498.78</v>
      </c>
      <c r="H298" s="10">
        <f>+'A) Base RI'!E298</f>
        <v>0</v>
      </c>
      <c r="I298" s="10">
        <f>+'A) Base RI'!F298</f>
        <v>3550</v>
      </c>
      <c r="J298" s="10">
        <f>+'A) Base RI'!G298+'A) Base RI'!H298+'A) Base RI'!X298</f>
        <v>63880.03</v>
      </c>
      <c r="K298" s="10">
        <f>+'A) Base RI'!I298</f>
        <v>0</v>
      </c>
      <c r="L298" s="10">
        <f>+'A) Base RI'!J298</f>
        <v>21563.51</v>
      </c>
      <c r="M298" s="10">
        <f>+'A) Base RI'!K298</f>
        <v>9312.4500000000007</v>
      </c>
      <c r="N298" s="10">
        <f>+'A) Base RI'!Q298</f>
        <v>0</v>
      </c>
      <c r="O298" s="10">
        <f t="shared" si="25"/>
        <v>114918.29166666669</v>
      </c>
      <c r="P298" s="10">
        <f>+'A) Base RI'!L298</f>
        <v>137901.95000000001</v>
      </c>
      <c r="Q298" s="416">
        <f>'A) Base RI'!AS298</f>
        <v>1.2</v>
      </c>
      <c r="R298" s="408">
        <f t="shared" si="26"/>
        <v>1552723.0616666668</v>
      </c>
      <c r="S298" s="482">
        <f>+'A) Base RI'!AN298</f>
        <v>72</v>
      </c>
      <c r="T298" s="408">
        <f t="shared" si="27"/>
        <v>1424942.32</v>
      </c>
      <c r="U298" s="408">
        <f t="shared" si="28"/>
        <v>21565.598078703704</v>
      </c>
      <c r="V298" s="10">
        <f>+'A) Base RI'!O298</f>
        <v>100085.8</v>
      </c>
      <c r="W298" s="10">
        <f>+'A) Base RI'!P298</f>
        <v>110471.95</v>
      </c>
      <c r="X298" s="10">
        <f>+'A) Base RI'!R298</f>
        <v>55582.5</v>
      </c>
      <c r="Y298" s="408">
        <f t="shared" si="29"/>
        <v>266140.25</v>
      </c>
      <c r="Z298" s="10">
        <f>+'A) Base RI'!N298</f>
        <v>11500.6</v>
      </c>
      <c r="AA298" s="10">
        <f>'A) Base RI'!AO298</f>
        <v>651</v>
      </c>
    </row>
    <row r="299" spans="1:27" x14ac:dyDescent="0.25">
      <c r="A299" s="8">
        <f>'A) Base RI'!A299</f>
        <v>5921</v>
      </c>
      <c r="B299" s="32" t="str">
        <f>'A) Base RI'!B299</f>
        <v>Molondin</v>
      </c>
      <c r="C299" s="10">
        <f>'A) Base RI'!C299+'A) Base RI'!D299</f>
        <v>428581.74</v>
      </c>
      <c r="D299" s="10">
        <f>'A) Base RI'!AP299</f>
        <v>-5989.48</v>
      </c>
      <c r="E299" s="402">
        <f>'A) Base RI'!AQ299</f>
        <v>0</v>
      </c>
      <c r="F299" s="402">
        <f>'A) Base RI'!AR299</f>
        <v>-29.05</v>
      </c>
      <c r="G299" s="408">
        <f t="shared" si="24"/>
        <v>422563.21</v>
      </c>
      <c r="H299" s="10">
        <f>+'A) Base RI'!E299</f>
        <v>0</v>
      </c>
      <c r="I299" s="10">
        <f>+'A) Base RI'!F299</f>
        <v>0</v>
      </c>
      <c r="J299" s="10">
        <f>+'A) Base RI'!G299+'A) Base RI'!H299+'A) Base RI'!X299</f>
        <v>-3772.71</v>
      </c>
      <c r="K299" s="10">
        <f>+'A) Base RI'!I299</f>
        <v>0</v>
      </c>
      <c r="L299" s="10">
        <f>+'A) Base RI'!J299</f>
        <v>7243.61</v>
      </c>
      <c r="M299" s="10">
        <f>+'A) Base RI'!K299</f>
        <v>0</v>
      </c>
      <c r="N299" s="10">
        <f>+'A) Base RI'!Q299</f>
        <v>0</v>
      </c>
      <c r="O299" s="10">
        <f t="shared" si="25"/>
        <v>33713.25</v>
      </c>
      <c r="P299" s="10">
        <f>+'A) Base RI'!L299</f>
        <v>33713.25</v>
      </c>
      <c r="Q299" s="416">
        <f>'A) Base RI'!AS299</f>
        <v>1</v>
      </c>
      <c r="R299" s="408">
        <f t="shared" si="26"/>
        <v>459747.36</v>
      </c>
      <c r="S299" s="482">
        <f>+'A) Base RI'!AN299</f>
        <v>81</v>
      </c>
      <c r="T299" s="408">
        <f t="shared" si="27"/>
        <v>426034.11</v>
      </c>
      <c r="U299" s="408">
        <f t="shared" si="28"/>
        <v>5675.8933333333334</v>
      </c>
      <c r="V299" s="10">
        <f>+'A) Base RI'!O299</f>
        <v>6074.9</v>
      </c>
      <c r="W299" s="10">
        <f>+'A) Base RI'!P299</f>
        <v>16006.1</v>
      </c>
      <c r="X299" s="10">
        <f>+'A) Base RI'!R299</f>
        <v>882.55</v>
      </c>
      <c r="Y299" s="408">
        <f t="shared" si="29"/>
        <v>22963.55</v>
      </c>
      <c r="Z299" s="10">
        <f>+'A) Base RI'!N299</f>
        <v>1548.45</v>
      </c>
      <c r="AA299" s="10">
        <f>'A) Base RI'!AO299</f>
        <v>252</v>
      </c>
    </row>
    <row r="300" spans="1:27" x14ac:dyDescent="0.25">
      <c r="A300" s="8">
        <f>'A) Base RI'!A300</f>
        <v>5922</v>
      </c>
      <c r="B300" s="32" t="str">
        <f>'A) Base RI'!B300</f>
        <v>Montagny-près-Yverdon</v>
      </c>
      <c r="C300" s="10">
        <f>'A) Base RI'!C300+'A) Base RI'!D300</f>
        <v>1353019.5699999998</v>
      </c>
      <c r="D300" s="10">
        <f>'A) Base RI'!AP300</f>
        <v>-73955.02</v>
      </c>
      <c r="E300" s="402">
        <f>'A) Base RI'!AQ300</f>
        <v>0</v>
      </c>
      <c r="F300" s="402">
        <f>'A) Base RI'!AR300</f>
        <v>-506.68</v>
      </c>
      <c r="G300" s="408">
        <f t="shared" si="24"/>
        <v>1278557.8699999999</v>
      </c>
      <c r="H300" s="10">
        <f>+'A) Base RI'!E300</f>
        <v>0</v>
      </c>
      <c r="I300" s="10">
        <f>+'A) Base RI'!F300</f>
        <v>0</v>
      </c>
      <c r="J300" s="10">
        <f>+'A) Base RI'!G300+'A) Base RI'!H300+'A) Base RI'!X300</f>
        <v>454912.12</v>
      </c>
      <c r="K300" s="10">
        <f>+'A) Base RI'!I300</f>
        <v>0</v>
      </c>
      <c r="L300" s="10">
        <f>+'A) Base RI'!J300</f>
        <v>58040.38</v>
      </c>
      <c r="M300" s="10">
        <f>+'A) Base RI'!K300</f>
        <v>-444.65000000000902</v>
      </c>
      <c r="N300" s="10">
        <f>+'A) Base RI'!Q300</f>
        <v>1375.5</v>
      </c>
      <c r="O300" s="10">
        <f t="shared" si="25"/>
        <v>323785.06249999994</v>
      </c>
      <c r="P300" s="10">
        <f>+'A) Base RI'!L300</f>
        <v>259028.05</v>
      </c>
      <c r="Q300" s="416">
        <f>'A) Base RI'!AS300</f>
        <v>0.8</v>
      </c>
      <c r="R300" s="408">
        <f t="shared" si="26"/>
        <v>2116226.2824999997</v>
      </c>
      <c r="S300" s="482">
        <f>+'A) Base RI'!AN300</f>
        <v>63.5</v>
      </c>
      <c r="T300" s="408">
        <f t="shared" si="27"/>
        <v>1792885.8699999996</v>
      </c>
      <c r="U300" s="408">
        <f t="shared" si="28"/>
        <v>33326.398149606292</v>
      </c>
      <c r="V300" s="10">
        <f>+'A) Base RI'!O300</f>
        <v>-6233.6</v>
      </c>
      <c r="W300" s="10">
        <f>+'A) Base RI'!P300</f>
        <v>97702.85</v>
      </c>
      <c r="X300" s="10">
        <f>+'A) Base RI'!R300</f>
        <v>33978.300000000003</v>
      </c>
      <c r="Y300" s="408">
        <f t="shared" si="29"/>
        <v>125447.55</v>
      </c>
      <c r="Z300" s="10">
        <f>+'A) Base RI'!N300</f>
        <v>275454.95</v>
      </c>
      <c r="AA300" s="10">
        <f>'A) Base RI'!AO300</f>
        <v>737</v>
      </c>
    </row>
    <row r="301" spans="1:27" x14ac:dyDescent="0.25">
      <c r="A301" s="8">
        <f>'A) Base RI'!A301</f>
        <v>5923</v>
      </c>
      <c r="B301" s="32" t="str">
        <f>'A) Base RI'!B301</f>
        <v>Oppens</v>
      </c>
      <c r="C301" s="10">
        <f>'A) Base RI'!C301+'A) Base RI'!D301</f>
        <v>336974.36000000004</v>
      </c>
      <c r="D301" s="10">
        <f>'A) Base RI'!AP301</f>
        <v>-3900.52</v>
      </c>
      <c r="E301" s="402">
        <f>'A) Base RI'!AQ301</f>
        <v>0</v>
      </c>
      <c r="F301" s="402">
        <f>'A) Base RI'!AR301</f>
        <v>0</v>
      </c>
      <c r="G301" s="408">
        <f t="shared" si="24"/>
        <v>333073.84000000003</v>
      </c>
      <c r="H301" s="10">
        <f>+'A) Base RI'!E301</f>
        <v>0</v>
      </c>
      <c r="I301" s="10">
        <f>+'A) Base RI'!F301</f>
        <v>0</v>
      </c>
      <c r="J301" s="10">
        <f>+'A) Base RI'!G301+'A) Base RI'!H301+'A) Base RI'!X301</f>
        <v>3609.9199999999996</v>
      </c>
      <c r="K301" s="10">
        <f>+'A) Base RI'!I301</f>
        <v>0</v>
      </c>
      <c r="L301" s="10">
        <f>+'A) Base RI'!J301</f>
        <v>26224.33</v>
      </c>
      <c r="M301" s="10">
        <f>+'A) Base RI'!K301</f>
        <v>0</v>
      </c>
      <c r="N301" s="10">
        <f>+'A) Base RI'!Q301</f>
        <v>0</v>
      </c>
      <c r="O301" s="10">
        <f t="shared" si="25"/>
        <v>25830.400000000001</v>
      </c>
      <c r="P301" s="10">
        <f>+'A) Base RI'!L301</f>
        <v>25830.400000000001</v>
      </c>
      <c r="Q301" s="416">
        <f>'A) Base RI'!AS301</f>
        <v>1</v>
      </c>
      <c r="R301" s="408">
        <f t="shared" si="26"/>
        <v>388738.49000000005</v>
      </c>
      <c r="S301" s="482">
        <f>+'A) Base RI'!AN301</f>
        <v>81</v>
      </c>
      <c r="T301" s="408">
        <f t="shared" si="27"/>
        <v>362908.09</v>
      </c>
      <c r="U301" s="408">
        <f t="shared" si="28"/>
        <v>4799.240617283951</v>
      </c>
      <c r="V301" s="10">
        <f>+'A) Base RI'!O301</f>
        <v>10</v>
      </c>
      <c r="W301" s="10">
        <f>+'A) Base RI'!P301</f>
        <v>6036.25</v>
      </c>
      <c r="X301" s="10">
        <f>+'A) Base RI'!R301</f>
        <v>14162.6</v>
      </c>
      <c r="Y301" s="408">
        <f t="shared" si="29"/>
        <v>20208.849999999999</v>
      </c>
      <c r="Z301" s="10">
        <f>+'A) Base RI'!N301</f>
        <v>19955.7</v>
      </c>
      <c r="AA301" s="10">
        <f>'A) Base RI'!AO301</f>
        <v>201</v>
      </c>
    </row>
    <row r="302" spans="1:27" x14ac:dyDescent="0.25">
      <c r="A302" s="8">
        <f>'A) Base RI'!A302</f>
        <v>5924</v>
      </c>
      <c r="B302" s="32" t="str">
        <f>'A) Base RI'!B302</f>
        <v>Orges</v>
      </c>
      <c r="C302" s="10">
        <f>'A) Base RI'!C302+'A) Base RI'!D302</f>
        <v>833287.14</v>
      </c>
      <c r="D302" s="10">
        <f>'A) Base RI'!AP302</f>
        <v>-4091.03</v>
      </c>
      <c r="E302" s="402">
        <f>'A) Base RI'!AQ302</f>
        <v>0</v>
      </c>
      <c r="F302" s="402">
        <f>'A) Base RI'!AR302</f>
        <v>-74.400000000000006</v>
      </c>
      <c r="G302" s="408">
        <f t="shared" si="24"/>
        <v>829121.71</v>
      </c>
      <c r="H302" s="10">
        <f>+'A) Base RI'!E302</f>
        <v>0</v>
      </c>
      <c r="I302" s="10">
        <f>+'A) Base RI'!F302</f>
        <v>0</v>
      </c>
      <c r="J302" s="10">
        <f>+'A) Base RI'!G302+'A) Base RI'!H302+'A) Base RI'!X302</f>
        <v>36749.039999999994</v>
      </c>
      <c r="K302" s="10">
        <f>+'A) Base RI'!I302</f>
        <v>0</v>
      </c>
      <c r="L302" s="10">
        <f>+'A) Base RI'!J302</f>
        <v>2483.7199999999998</v>
      </c>
      <c r="M302" s="10">
        <f>+'A) Base RI'!K302</f>
        <v>0</v>
      </c>
      <c r="N302" s="10">
        <f>+'A) Base RI'!Q302</f>
        <v>0</v>
      </c>
      <c r="O302" s="10">
        <f t="shared" si="25"/>
        <v>58527</v>
      </c>
      <c r="P302" s="10">
        <f>+'A) Base RI'!L302</f>
        <v>58527</v>
      </c>
      <c r="Q302" s="416">
        <f>'A) Base RI'!AS302</f>
        <v>1</v>
      </c>
      <c r="R302" s="408">
        <f t="shared" si="26"/>
        <v>926881.47</v>
      </c>
      <c r="S302" s="482">
        <f>+'A) Base RI'!AN302</f>
        <v>74</v>
      </c>
      <c r="T302" s="408">
        <f t="shared" si="27"/>
        <v>868354.47</v>
      </c>
      <c r="U302" s="408">
        <f t="shared" si="28"/>
        <v>12525.425270270271</v>
      </c>
      <c r="V302" s="10">
        <f>+'A) Base RI'!O302</f>
        <v>7385</v>
      </c>
      <c r="W302" s="10">
        <f>+'A) Base RI'!P302</f>
        <v>71747.649999999994</v>
      </c>
      <c r="X302" s="10">
        <f>+'A) Base RI'!R302</f>
        <v>89990.55</v>
      </c>
      <c r="Y302" s="408">
        <f t="shared" si="29"/>
        <v>169123.20000000001</v>
      </c>
      <c r="Z302" s="10">
        <f>+'A) Base RI'!N302</f>
        <v>16319.85</v>
      </c>
      <c r="AA302" s="10">
        <f>'A) Base RI'!AO302</f>
        <v>343</v>
      </c>
    </row>
    <row r="303" spans="1:27" x14ac:dyDescent="0.25">
      <c r="A303" s="8">
        <f>'A) Base RI'!A303</f>
        <v>5925</v>
      </c>
      <c r="B303" s="32" t="str">
        <f>'A) Base RI'!B303</f>
        <v>Orzens</v>
      </c>
      <c r="C303" s="10">
        <f>'A) Base RI'!C303+'A) Base RI'!D303</f>
        <v>436903.04000000004</v>
      </c>
      <c r="D303" s="10">
        <f>'A) Base RI'!AP303</f>
        <v>-11676.58</v>
      </c>
      <c r="E303" s="402">
        <f>'A) Base RI'!AQ303</f>
        <v>0</v>
      </c>
      <c r="F303" s="402">
        <f>'A) Base RI'!AR303</f>
        <v>0</v>
      </c>
      <c r="G303" s="408">
        <f t="shared" si="24"/>
        <v>425226.46</v>
      </c>
      <c r="H303" s="10">
        <f>+'A) Base RI'!E303</f>
        <v>0</v>
      </c>
      <c r="I303" s="10">
        <f>+'A) Base RI'!F303</f>
        <v>1230</v>
      </c>
      <c r="J303" s="10">
        <f>+'A) Base RI'!G303+'A) Base RI'!H303+'A) Base RI'!X303</f>
        <v>-4216.38</v>
      </c>
      <c r="K303" s="10">
        <f>+'A) Base RI'!I303</f>
        <v>0</v>
      </c>
      <c r="L303" s="10">
        <f>+'A) Base RI'!J303</f>
        <v>10449.290000000001</v>
      </c>
      <c r="M303" s="10">
        <f>+'A) Base RI'!K303</f>
        <v>0</v>
      </c>
      <c r="N303" s="10">
        <f>+'A) Base RI'!Q303</f>
        <v>0</v>
      </c>
      <c r="O303" s="10">
        <f t="shared" si="25"/>
        <v>31788.1</v>
      </c>
      <c r="P303" s="10">
        <f>+'A) Base RI'!L303</f>
        <v>31788.1</v>
      </c>
      <c r="Q303" s="416">
        <f>'A) Base RI'!AS303</f>
        <v>1</v>
      </c>
      <c r="R303" s="408">
        <f t="shared" si="26"/>
        <v>464477.47</v>
      </c>
      <c r="S303" s="482">
        <f>+'A) Base RI'!AN303</f>
        <v>79</v>
      </c>
      <c r="T303" s="408">
        <f t="shared" si="27"/>
        <v>431459.37</v>
      </c>
      <c r="U303" s="408">
        <f t="shared" si="28"/>
        <v>5879.4616455696196</v>
      </c>
      <c r="V303" s="10">
        <f>+'A) Base RI'!O303</f>
        <v>112427.7</v>
      </c>
      <c r="W303" s="10">
        <f>+'A) Base RI'!P303</f>
        <v>15290</v>
      </c>
      <c r="X303" s="10">
        <f>+'A) Base RI'!R303</f>
        <v>4637.55</v>
      </c>
      <c r="Y303" s="408">
        <f t="shared" si="29"/>
        <v>132355.25</v>
      </c>
      <c r="Z303" s="10">
        <f>+'A) Base RI'!N303</f>
        <v>7684.4</v>
      </c>
      <c r="AA303" s="10">
        <f>'A) Base RI'!AO303</f>
        <v>201</v>
      </c>
    </row>
    <row r="304" spans="1:27" x14ac:dyDescent="0.25">
      <c r="A304" s="8">
        <f>'A) Base RI'!A304</f>
        <v>5926</v>
      </c>
      <c r="B304" s="32" t="str">
        <f>'A) Base RI'!B304</f>
        <v>Pomy</v>
      </c>
      <c r="C304" s="10">
        <f>'A) Base RI'!C304+'A) Base RI'!D304</f>
        <v>1810853.2400000002</v>
      </c>
      <c r="D304" s="10">
        <f>'A) Base RI'!AP304</f>
        <v>-11331.52</v>
      </c>
      <c r="E304" s="402">
        <f>'A) Base RI'!AQ304</f>
        <v>0</v>
      </c>
      <c r="F304" s="402">
        <f>'A) Base RI'!AR304</f>
        <v>-90.08</v>
      </c>
      <c r="G304" s="408">
        <f t="shared" si="24"/>
        <v>1799431.6400000001</v>
      </c>
      <c r="H304" s="10">
        <f>+'A) Base RI'!E304</f>
        <v>0</v>
      </c>
      <c r="I304" s="10">
        <f>+'A) Base RI'!F304</f>
        <v>0</v>
      </c>
      <c r="J304" s="10">
        <f>+'A) Base RI'!G304+'A) Base RI'!H304+'A) Base RI'!X304</f>
        <v>5914.829999999989</v>
      </c>
      <c r="K304" s="10">
        <f>+'A) Base RI'!I304</f>
        <v>0</v>
      </c>
      <c r="L304" s="10">
        <f>+'A) Base RI'!J304</f>
        <v>22139.54</v>
      </c>
      <c r="M304" s="10">
        <f>+'A) Base RI'!K304</f>
        <v>0</v>
      </c>
      <c r="N304" s="10">
        <f>+'A) Base RI'!Q304</f>
        <v>4972.66</v>
      </c>
      <c r="O304" s="10">
        <f t="shared" si="25"/>
        <v>121418</v>
      </c>
      <c r="P304" s="10">
        <f>+'A) Base RI'!L304</f>
        <v>121418</v>
      </c>
      <c r="Q304" s="416">
        <f>'A) Base RI'!AS304</f>
        <v>1</v>
      </c>
      <c r="R304" s="408">
        <f t="shared" si="26"/>
        <v>1953876.6700000002</v>
      </c>
      <c r="S304" s="482">
        <f>+'A) Base RI'!AN304</f>
        <v>71</v>
      </c>
      <c r="T304" s="408">
        <f t="shared" si="27"/>
        <v>1832458.6700000002</v>
      </c>
      <c r="U304" s="408">
        <f t="shared" si="28"/>
        <v>27519.38971830986</v>
      </c>
      <c r="V304" s="10">
        <f>+'A) Base RI'!O304</f>
        <v>19099.900000000001</v>
      </c>
      <c r="W304" s="10">
        <f>+'A) Base RI'!P304</f>
        <v>100571.3</v>
      </c>
      <c r="X304" s="10">
        <f>+'A) Base RI'!R304</f>
        <v>51321.7</v>
      </c>
      <c r="Y304" s="408">
        <f t="shared" si="29"/>
        <v>170992.90000000002</v>
      </c>
      <c r="Z304" s="10">
        <f>+'A) Base RI'!N304</f>
        <v>11494.6</v>
      </c>
      <c r="AA304" s="10">
        <f>'A) Base RI'!AO304</f>
        <v>803</v>
      </c>
    </row>
    <row r="305" spans="1:27" x14ac:dyDescent="0.25">
      <c r="A305" s="8">
        <f>'A) Base RI'!A305</f>
        <v>5928</v>
      </c>
      <c r="B305" s="32" t="str">
        <f>'A) Base RI'!B305</f>
        <v>Rovray</v>
      </c>
      <c r="C305" s="10">
        <f>'A) Base RI'!C305+'A) Base RI'!D305</f>
        <v>352598.07</v>
      </c>
      <c r="D305" s="10">
        <f>'A) Base RI'!AP305</f>
        <v>-6650.09</v>
      </c>
      <c r="E305" s="402">
        <f>'A) Base RI'!AQ305</f>
        <v>0</v>
      </c>
      <c r="F305" s="402">
        <f>'A) Base RI'!AR305</f>
        <v>-21.61</v>
      </c>
      <c r="G305" s="408">
        <f t="shared" si="24"/>
        <v>345926.37</v>
      </c>
      <c r="H305" s="10">
        <f>+'A) Base RI'!E305</f>
        <v>0</v>
      </c>
      <c r="I305" s="10">
        <f>+'A) Base RI'!F305</f>
        <v>0</v>
      </c>
      <c r="J305" s="10">
        <f>+'A) Base RI'!G305+'A) Base RI'!H305+'A) Base RI'!X305</f>
        <v>3615.41</v>
      </c>
      <c r="K305" s="10">
        <f>+'A) Base RI'!I305</f>
        <v>0</v>
      </c>
      <c r="L305" s="10">
        <f>+'A) Base RI'!J305</f>
        <v>25596.57</v>
      </c>
      <c r="M305" s="10">
        <f>+'A) Base RI'!K305</f>
        <v>0</v>
      </c>
      <c r="N305" s="10">
        <f>+'A) Base RI'!Q305</f>
        <v>-1.82</v>
      </c>
      <c r="O305" s="10">
        <f t="shared" si="25"/>
        <v>22647</v>
      </c>
      <c r="P305" s="10">
        <f>+'A) Base RI'!L305</f>
        <v>22647</v>
      </c>
      <c r="Q305" s="416">
        <f>'A) Base RI'!AS305</f>
        <v>1</v>
      </c>
      <c r="R305" s="408">
        <f t="shared" si="26"/>
        <v>397783.52999999997</v>
      </c>
      <c r="S305" s="482">
        <f>+'A) Base RI'!AN305</f>
        <v>71.5</v>
      </c>
      <c r="T305" s="408">
        <f t="shared" si="27"/>
        <v>375136.52999999997</v>
      </c>
      <c r="U305" s="408">
        <f t="shared" si="28"/>
        <v>5563.4060139860139</v>
      </c>
      <c r="V305" s="10">
        <f>+'A) Base RI'!O305</f>
        <v>-22567.3</v>
      </c>
      <c r="W305" s="10">
        <f>+'A) Base RI'!P305</f>
        <v>12822.7</v>
      </c>
      <c r="X305" s="10">
        <f>+'A) Base RI'!R305</f>
        <v>14703.3</v>
      </c>
      <c r="Y305" s="408">
        <f t="shared" si="29"/>
        <v>4958.7000000000007</v>
      </c>
      <c r="Z305" s="10">
        <f>+'A) Base RI'!N305</f>
        <v>5029.1499999999996</v>
      </c>
      <c r="AA305" s="10">
        <f>'A) Base RI'!AO305</f>
        <v>204</v>
      </c>
    </row>
    <row r="306" spans="1:27" x14ac:dyDescent="0.25">
      <c r="A306" s="8">
        <f>'A) Base RI'!A306</f>
        <v>5929</v>
      </c>
      <c r="B306" s="32" t="str">
        <f>'A) Base RI'!B306</f>
        <v>Suchy</v>
      </c>
      <c r="C306" s="10">
        <f>'A) Base RI'!C306+'A) Base RI'!D306</f>
        <v>1205932.8</v>
      </c>
      <c r="D306" s="10">
        <f>'A) Base RI'!AP306</f>
        <v>-21227.27</v>
      </c>
      <c r="E306" s="402">
        <f>'A) Base RI'!AQ306</f>
        <v>0</v>
      </c>
      <c r="F306" s="402">
        <f>'A) Base RI'!AR306</f>
        <v>-14.49</v>
      </c>
      <c r="G306" s="408">
        <f t="shared" si="24"/>
        <v>1184691.04</v>
      </c>
      <c r="H306" s="10">
        <f>+'A) Base RI'!E306</f>
        <v>0</v>
      </c>
      <c r="I306" s="10">
        <f>+'A) Base RI'!F306</f>
        <v>0</v>
      </c>
      <c r="J306" s="10">
        <f>+'A) Base RI'!G306+'A) Base RI'!H306+'A) Base RI'!X306</f>
        <v>34014.69</v>
      </c>
      <c r="K306" s="10">
        <f>+'A) Base RI'!I306</f>
        <v>41100.15</v>
      </c>
      <c r="L306" s="10">
        <f>+'A) Base RI'!J306</f>
        <v>14288.28</v>
      </c>
      <c r="M306" s="10">
        <f>+'A) Base RI'!K306</f>
        <v>0</v>
      </c>
      <c r="N306" s="10">
        <f>+'A) Base RI'!Q306</f>
        <v>0</v>
      </c>
      <c r="O306" s="10">
        <f t="shared" si="25"/>
        <v>113824.0625</v>
      </c>
      <c r="P306" s="10">
        <f>+'A) Base RI'!L306</f>
        <v>91059.25</v>
      </c>
      <c r="Q306" s="416">
        <f>'A) Base RI'!AS306</f>
        <v>0.8</v>
      </c>
      <c r="R306" s="408">
        <f t="shared" si="26"/>
        <v>1387918.2224999999</v>
      </c>
      <c r="S306" s="482">
        <f>+'A) Base RI'!AN306</f>
        <v>70</v>
      </c>
      <c r="T306" s="408">
        <f t="shared" si="27"/>
        <v>1274094.1599999999</v>
      </c>
      <c r="U306" s="408">
        <f t="shared" si="28"/>
        <v>19827.403178571429</v>
      </c>
      <c r="V306" s="10">
        <f>+'A) Base RI'!O306</f>
        <v>0</v>
      </c>
      <c r="W306" s="10">
        <f>+'A) Base RI'!P306</f>
        <v>54620.5</v>
      </c>
      <c r="X306" s="10">
        <f>+'A) Base RI'!R306</f>
        <v>35210</v>
      </c>
      <c r="Y306" s="408">
        <f t="shared" si="29"/>
        <v>89830.5</v>
      </c>
      <c r="Z306" s="10">
        <f>+'A) Base RI'!N306</f>
        <v>10330.75</v>
      </c>
      <c r="AA306" s="10">
        <f>'A) Base RI'!AO306</f>
        <v>656</v>
      </c>
    </row>
    <row r="307" spans="1:27" x14ac:dyDescent="0.25">
      <c r="A307" s="8">
        <f>'A) Base RI'!A307</f>
        <v>5930</v>
      </c>
      <c r="B307" s="32" t="str">
        <f>'A) Base RI'!B307</f>
        <v>Suscévaz</v>
      </c>
      <c r="C307" s="10">
        <f>'A) Base RI'!C307+'A) Base RI'!D307</f>
        <v>383054.68</v>
      </c>
      <c r="D307" s="10">
        <f>'A) Base RI'!AP307</f>
        <v>-13416.71</v>
      </c>
      <c r="E307" s="402">
        <f>'A) Base RI'!AQ307</f>
        <v>0</v>
      </c>
      <c r="F307" s="402">
        <f>'A) Base RI'!AR307</f>
        <v>0</v>
      </c>
      <c r="G307" s="408">
        <f t="shared" si="24"/>
        <v>369637.97</v>
      </c>
      <c r="H307" s="10">
        <f>+'A) Base RI'!E307</f>
        <v>0</v>
      </c>
      <c r="I307" s="10">
        <f>+'A) Base RI'!F307</f>
        <v>1180</v>
      </c>
      <c r="J307" s="10">
        <f>+'A) Base RI'!G307+'A) Base RI'!H307+'A) Base RI'!X307</f>
        <v>5117.93</v>
      </c>
      <c r="K307" s="10">
        <f>+'A) Base RI'!I307</f>
        <v>0</v>
      </c>
      <c r="L307" s="10">
        <f>+'A) Base RI'!J307</f>
        <v>9254.5</v>
      </c>
      <c r="M307" s="10">
        <f>+'A) Base RI'!K307</f>
        <v>228.6</v>
      </c>
      <c r="N307" s="10">
        <f>+'A) Base RI'!Q307</f>
        <v>0</v>
      </c>
      <c r="O307" s="10">
        <f t="shared" si="25"/>
        <v>29960.15</v>
      </c>
      <c r="P307" s="10">
        <f>+'A) Base RI'!L307</f>
        <v>29960.15</v>
      </c>
      <c r="Q307" s="416">
        <f>'A) Base RI'!AS307</f>
        <v>1</v>
      </c>
      <c r="R307" s="408">
        <f t="shared" si="26"/>
        <v>415379.14999999997</v>
      </c>
      <c r="S307" s="482">
        <f>+'A) Base RI'!AN307</f>
        <v>72</v>
      </c>
      <c r="T307" s="408">
        <f t="shared" si="27"/>
        <v>384010.39999999997</v>
      </c>
      <c r="U307" s="408">
        <f t="shared" si="28"/>
        <v>5769.1548611111102</v>
      </c>
      <c r="V307" s="10">
        <f>+'A) Base RI'!O307</f>
        <v>4.9000000000000004</v>
      </c>
      <c r="W307" s="10">
        <f>+'A) Base RI'!P307</f>
        <v>2762.35</v>
      </c>
      <c r="X307" s="10">
        <f>+'A) Base RI'!R307</f>
        <v>0</v>
      </c>
      <c r="Y307" s="408">
        <f t="shared" si="29"/>
        <v>2767.25</v>
      </c>
      <c r="Z307" s="10">
        <f>+'A) Base RI'!N307</f>
        <v>3787.4</v>
      </c>
      <c r="AA307" s="10">
        <f>'A) Base RI'!AO307</f>
        <v>204</v>
      </c>
    </row>
    <row r="308" spans="1:27" x14ac:dyDescent="0.25">
      <c r="A308" s="8">
        <f>'A) Base RI'!A308</f>
        <v>5931</v>
      </c>
      <c r="B308" s="32" t="str">
        <f>'A) Base RI'!B308</f>
        <v>Treycovagnes</v>
      </c>
      <c r="C308" s="10">
        <f>'A) Base RI'!C308+'A) Base RI'!D308</f>
        <v>1034744.5299999999</v>
      </c>
      <c r="D308" s="10">
        <f>'A) Base RI'!AP308</f>
        <v>-4549.88</v>
      </c>
      <c r="E308" s="402">
        <f>'A) Base RI'!AQ308</f>
        <v>0</v>
      </c>
      <c r="F308" s="402">
        <f>'A) Base RI'!AR308</f>
        <v>-53.69</v>
      </c>
      <c r="G308" s="408">
        <f t="shared" si="24"/>
        <v>1030140.96</v>
      </c>
      <c r="H308" s="10">
        <f>+'A) Base RI'!E308</f>
        <v>0</v>
      </c>
      <c r="I308" s="10">
        <f>+'A) Base RI'!F308</f>
        <v>0</v>
      </c>
      <c r="J308" s="10">
        <f>+'A) Base RI'!G308+'A) Base RI'!H308+'A) Base RI'!X308</f>
        <v>19811.690000000002</v>
      </c>
      <c r="K308" s="10">
        <f>+'A) Base RI'!I308</f>
        <v>0</v>
      </c>
      <c r="L308" s="10">
        <f>+'A) Base RI'!J308</f>
        <v>19888.89</v>
      </c>
      <c r="M308" s="10">
        <f>+'A) Base RI'!K308</f>
        <v>644.4</v>
      </c>
      <c r="N308" s="10">
        <f>+'A) Base RI'!Q308</f>
        <v>4418.49</v>
      </c>
      <c r="O308" s="10">
        <f t="shared" si="25"/>
        <v>78865.8</v>
      </c>
      <c r="P308" s="10">
        <f>+'A) Base RI'!L308</f>
        <v>78865.8</v>
      </c>
      <c r="Q308" s="416">
        <f>'A) Base RI'!AS308</f>
        <v>1</v>
      </c>
      <c r="R308" s="408">
        <f t="shared" si="26"/>
        <v>1153770.2299999997</v>
      </c>
      <c r="S308" s="482">
        <f>+'A) Base RI'!AN308</f>
        <v>75</v>
      </c>
      <c r="T308" s="408">
        <f t="shared" si="27"/>
        <v>1074260.0299999998</v>
      </c>
      <c r="U308" s="408">
        <f t="shared" si="28"/>
        <v>15383.603066666663</v>
      </c>
      <c r="V308" s="10">
        <f>+'A) Base RI'!O308</f>
        <v>0</v>
      </c>
      <c r="W308" s="10">
        <f>+'A) Base RI'!P308</f>
        <v>38500</v>
      </c>
      <c r="X308" s="10">
        <f>+'A) Base RI'!R308</f>
        <v>42587.45</v>
      </c>
      <c r="Y308" s="408">
        <f t="shared" si="29"/>
        <v>81087.45</v>
      </c>
      <c r="Z308" s="10">
        <f>+'A) Base RI'!N308</f>
        <v>24166.85</v>
      </c>
      <c r="AA308" s="10">
        <f>'A) Base RI'!AO308</f>
        <v>485</v>
      </c>
    </row>
    <row r="309" spans="1:27" x14ac:dyDescent="0.25">
      <c r="A309" s="8">
        <f>'A) Base RI'!A309</f>
        <v>5932</v>
      </c>
      <c r="B309" s="32" t="str">
        <f>'A) Base RI'!B309</f>
        <v>Ursins</v>
      </c>
      <c r="C309" s="10">
        <f>'A) Base RI'!C309+'A) Base RI'!D309</f>
        <v>438594.82</v>
      </c>
      <c r="D309" s="10">
        <f>'A) Base RI'!AP309</f>
        <v>-16511.14</v>
      </c>
      <c r="E309" s="402">
        <f>'A) Base RI'!AQ309</f>
        <v>0</v>
      </c>
      <c r="F309" s="402">
        <f>'A) Base RI'!AR309</f>
        <v>0</v>
      </c>
      <c r="G309" s="408">
        <f t="shared" si="24"/>
        <v>422083.68</v>
      </c>
      <c r="H309" s="10">
        <f>+'A) Base RI'!E309</f>
        <v>0</v>
      </c>
      <c r="I309" s="10">
        <f>+'A) Base RI'!F309</f>
        <v>1380</v>
      </c>
      <c r="J309" s="10">
        <f>+'A) Base RI'!G309+'A) Base RI'!H309+'A) Base RI'!X309</f>
        <v>494.12</v>
      </c>
      <c r="K309" s="10">
        <f>+'A) Base RI'!I309</f>
        <v>38299.85</v>
      </c>
      <c r="L309" s="10">
        <f>+'A) Base RI'!J309</f>
        <v>907.44</v>
      </c>
      <c r="M309" s="10">
        <f>+'A) Base RI'!K309</f>
        <v>819.5</v>
      </c>
      <c r="N309" s="10">
        <f>+'A) Base RI'!Q309</f>
        <v>14393.89</v>
      </c>
      <c r="O309" s="10">
        <f t="shared" si="25"/>
        <v>33076.699999999997</v>
      </c>
      <c r="P309" s="10">
        <f>+'A) Base RI'!L309</f>
        <v>33076.699999999997</v>
      </c>
      <c r="Q309" s="416">
        <f>'A) Base RI'!AS309</f>
        <v>1</v>
      </c>
      <c r="R309" s="408">
        <f t="shared" si="26"/>
        <v>511455.18</v>
      </c>
      <c r="S309" s="482">
        <f>+'A) Base RI'!AN309</f>
        <v>75</v>
      </c>
      <c r="T309" s="408">
        <f t="shared" si="27"/>
        <v>476178.98</v>
      </c>
      <c r="U309" s="408">
        <f t="shared" si="28"/>
        <v>6819.4023999999999</v>
      </c>
      <c r="V309" s="10">
        <f>+'A) Base RI'!O309</f>
        <v>0</v>
      </c>
      <c r="W309" s="10">
        <f>+'A) Base RI'!P309</f>
        <v>0</v>
      </c>
      <c r="X309" s="10">
        <f>+'A) Base RI'!R309</f>
        <v>0</v>
      </c>
      <c r="Y309" s="408">
        <f t="shared" si="29"/>
        <v>0</v>
      </c>
      <c r="Z309" s="10">
        <f>+'A) Base RI'!N309</f>
        <v>0</v>
      </c>
      <c r="AA309" s="10">
        <f>'A) Base RI'!AO309</f>
        <v>238</v>
      </c>
    </row>
    <row r="310" spans="1:27" x14ac:dyDescent="0.25">
      <c r="A310" s="8">
        <f>'A) Base RI'!A310</f>
        <v>5933</v>
      </c>
      <c r="B310" s="32" t="str">
        <f>'A) Base RI'!B310</f>
        <v>Valeyres-sous-Montagny</v>
      </c>
      <c r="C310" s="10">
        <f>'A) Base RI'!C310+'A) Base RI'!D310</f>
        <v>1403057.66</v>
      </c>
      <c r="D310" s="10">
        <f>'A) Base RI'!AP310</f>
        <v>-6607.18</v>
      </c>
      <c r="E310" s="402">
        <f>'A) Base RI'!AQ310</f>
        <v>0</v>
      </c>
      <c r="F310" s="402">
        <f>'A) Base RI'!AR310</f>
        <v>-4324.91</v>
      </c>
      <c r="G310" s="408">
        <f t="shared" si="24"/>
        <v>1392125.57</v>
      </c>
      <c r="H310" s="10">
        <f>+'A) Base RI'!E310</f>
        <v>0</v>
      </c>
      <c r="I310" s="10">
        <f>+'A) Base RI'!F310</f>
        <v>0</v>
      </c>
      <c r="J310" s="10">
        <f>+'A) Base RI'!G310+'A) Base RI'!H310+'A) Base RI'!X310</f>
        <v>32440.27</v>
      </c>
      <c r="K310" s="10">
        <f>+'A) Base RI'!I310</f>
        <v>0</v>
      </c>
      <c r="L310" s="10">
        <f>+'A) Base RI'!J310</f>
        <v>15517.38</v>
      </c>
      <c r="M310" s="10">
        <f>+'A) Base RI'!K310</f>
        <v>2972.55</v>
      </c>
      <c r="N310" s="10">
        <f>+'A) Base RI'!Q310</f>
        <v>28810.02</v>
      </c>
      <c r="O310" s="10">
        <f t="shared" si="25"/>
        <v>119486.85</v>
      </c>
      <c r="P310" s="10">
        <f>+'A) Base RI'!L310</f>
        <v>119486.85</v>
      </c>
      <c r="Q310" s="416">
        <f>'A) Base RI'!AS310</f>
        <v>1</v>
      </c>
      <c r="R310" s="408">
        <f t="shared" si="26"/>
        <v>1591352.6400000001</v>
      </c>
      <c r="S310" s="482">
        <f>+'A) Base RI'!AN310</f>
        <v>70.5</v>
      </c>
      <c r="T310" s="408">
        <f t="shared" si="27"/>
        <v>1468893.24</v>
      </c>
      <c r="U310" s="408">
        <f t="shared" si="28"/>
        <v>22572.377872340428</v>
      </c>
      <c r="V310" s="10">
        <f>+'A) Base RI'!O310</f>
        <v>10361.5</v>
      </c>
      <c r="W310" s="10">
        <f>+'A) Base RI'!P310</f>
        <v>32743.5</v>
      </c>
      <c r="X310" s="10">
        <f>+'A) Base RI'!R310</f>
        <v>19802.150000000001</v>
      </c>
      <c r="Y310" s="408">
        <f t="shared" si="29"/>
        <v>62907.15</v>
      </c>
      <c r="Z310" s="10">
        <f>+'A) Base RI'!N310</f>
        <v>17913.95</v>
      </c>
      <c r="AA310" s="10">
        <f>'A) Base RI'!AO310</f>
        <v>714</v>
      </c>
    </row>
    <row r="311" spans="1:27" x14ac:dyDescent="0.25">
      <c r="A311" s="8">
        <f>'A) Base RI'!A311</f>
        <v>5934</v>
      </c>
      <c r="B311" s="32" t="str">
        <f>'A) Base RI'!B311</f>
        <v>Valeyres-sous-Ursins</v>
      </c>
      <c r="C311" s="10">
        <f>'A) Base RI'!C311+'A) Base RI'!D311</f>
        <v>556322.43999999994</v>
      </c>
      <c r="D311" s="10">
        <f>'A) Base RI'!AP311</f>
        <v>-524.38</v>
      </c>
      <c r="E311" s="402">
        <f>'A) Base RI'!AQ311</f>
        <v>0</v>
      </c>
      <c r="F311" s="402">
        <f>'A) Base RI'!AR311</f>
        <v>0</v>
      </c>
      <c r="G311" s="408">
        <f t="shared" si="24"/>
        <v>555798.05999999994</v>
      </c>
      <c r="H311" s="10">
        <f>+'A) Base RI'!E311</f>
        <v>0</v>
      </c>
      <c r="I311" s="10">
        <f>+'A) Base RI'!F311</f>
        <v>1420</v>
      </c>
      <c r="J311" s="10">
        <f>+'A) Base RI'!G311+'A) Base RI'!H311+'A) Base RI'!X311</f>
        <v>-191.29</v>
      </c>
      <c r="K311" s="10">
        <f>+'A) Base RI'!I311</f>
        <v>0</v>
      </c>
      <c r="L311" s="10">
        <f>+'A) Base RI'!J311</f>
        <v>13513.16</v>
      </c>
      <c r="M311" s="10">
        <f>+'A) Base RI'!K311</f>
        <v>55.5</v>
      </c>
      <c r="N311" s="10">
        <f>+'A) Base RI'!Q311</f>
        <v>0</v>
      </c>
      <c r="O311" s="10">
        <f t="shared" si="25"/>
        <v>28017.5</v>
      </c>
      <c r="P311" s="10">
        <f>+'A) Base RI'!L311</f>
        <v>28017.5</v>
      </c>
      <c r="Q311" s="416">
        <f>'A) Base RI'!AS311</f>
        <v>1</v>
      </c>
      <c r="R311" s="408">
        <f t="shared" si="26"/>
        <v>598612.92999999993</v>
      </c>
      <c r="S311" s="482">
        <f>+'A) Base RI'!AN311</f>
        <v>79</v>
      </c>
      <c r="T311" s="408">
        <f t="shared" si="27"/>
        <v>569119.92999999993</v>
      </c>
      <c r="U311" s="408">
        <f t="shared" si="28"/>
        <v>7577.3788607594925</v>
      </c>
      <c r="V311" s="10">
        <f>+'A) Base RI'!O311</f>
        <v>0</v>
      </c>
      <c r="W311" s="10">
        <f>+'A) Base RI'!P311</f>
        <v>17975.900000000001</v>
      </c>
      <c r="X311" s="10">
        <f>+'A) Base RI'!R311</f>
        <v>14383.95</v>
      </c>
      <c r="Y311" s="408">
        <f t="shared" si="29"/>
        <v>32359.850000000002</v>
      </c>
      <c r="Z311" s="10">
        <f>+'A) Base RI'!N311</f>
        <v>5644.55</v>
      </c>
      <c r="AA311" s="10">
        <f>'A) Base RI'!AO311</f>
        <v>241</v>
      </c>
    </row>
    <row r="312" spans="1:27" x14ac:dyDescent="0.25">
      <c r="A312" s="8">
        <f>'A) Base RI'!A312</f>
        <v>5935</v>
      </c>
      <c r="B312" s="32" t="str">
        <f>'A) Base RI'!B312</f>
        <v>Villars-Epeney</v>
      </c>
      <c r="C312" s="10">
        <f>'A) Base RI'!C312+'A) Base RI'!D312</f>
        <v>214778.16</v>
      </c>
      <c r="D312" s="10">
        <f>'A) Base RI'!AP312</f>
        <v>-28.68</v>
      </c>
      <c r="E312" s="402">
        <f>'A) Base RI'!AQ312</f>
        <v>0</v>
      </c>
      <c r="F312" s="402">
        <f>'A) Base RI'!AR312</f>
        <v>-889.13</v>
      </c>
      <c r="G312" s="408">
        <f t="shared" si="24"/>
        <v>213860.35</v>
      </c>
      <c r="H312" s="10">
        <f>+'A) Base RI'!E312</f>
        <v>0</v>
      </c>
      <c r="I312" s="10">
        <f>+'A) Base RI'!F312</f>
        <v>0</v>
      </c>
      <c r="J312" s="10">
        <f>+'A) Base RI'!G312+'A) Base RI'!H312+'A) Base RI'!X312</f>
        <v>487.9</v>
      </c>
      <c r="K312" s="10">
        <f>+'A) Base RI'!I312</f>
        <v>0</v>
      </c>
      <c r="L312" s="10">
        <f>+'A) Base RI'!J312</f>
        <v>1705.98</v>
      </c>
      <c r="M312" s="10">
        <f>+'A) Base RI'!K312</f>
        <v>0</v>
      </c>
      <c r="N312" s="10">
        <f>+'A) Base RI'!Q312</f>
        <v>0</v>
      </c>
      <c r="O312" s="10">
        <f t="shared" si="25"/>
        <v>18717.95</v>
      </c>
      <c r="P312" s="10">
        <f>+'A) Base RI'!L312</f>
        <v>18717.95</v>
      </c>
      <c r="Q312" s="416">
        <f>'A) Base RI'!AS312</f>
        <v>1</v>
      </c>
      <c r="R312" s="408">
        <f t="shared" si="26"/>
        <v>234772.18000000002</v>
      </c>
      <c r="S312" s="482">
        <f>+'A) Base RI'!AN312</f>
        <v>60</v>
      </c>
      <c r="T312" s="408">
        <f t="shared" si="27"/>
        <v>216054.23</v>
      </c>
      <c r="U312" s="408">
        <f t="shared" si="28"/>
        <v>3912.8696666666669</v>
      </c>
      <c r="V312" s="10">
        <f>+'A) Base RI'!O312</f>
        <v>0</v>
      </c>
      <c r="W312" s="10">
        <f>+'A) Base RI'!P312</f>
        <v>17844</v>
      </c>
      <c r="X312" s="10">
        <f>+'A) Base RI'!R312</f>
        <v>10999.25</v>
      </c>
      <c r="Y312" s="408">
        <f t="shared" si="29"/>
        <v>28843.25</v>
      </c>
      <c r="Z312" s="10">
        <f>+'A) Base RI'!N312</f>
        <v>0</v>
      </c>
      <c r="AA312" s="10">
        <f>'A) Base RI'!AO312</f>
        <v>101</v>
      </c>
    </row>
    <row r="313" spans="1:27" x14ac:dyDescent="0.25">
      <c r="A313" s="8">
        <f>'A) Base RI'!A313</f>
        <v>5937</v>
      </c>
      <c r="B313" s="32" t="str">
        <f>'A) Base RI'!B313</f>
        <v>Vugelles-La Mothe</v>
      </c>
      <c r="C313" s="10">
        <f>'A) Base RI'!C313+'A) Base RI'!D313</f>
        <v>203344.61000000002</v>
      </c>
      <c r="D313" s="10">
        <f>'A) Base RI'!AP313</f>
        <v>-3791.05</v>
      </c>
      <c r="E313" s="402">
        <f>'A) Base RI'!AQ313</f>
        <v>0</v>
      </c>
      <c r="F313" s="402">
        <f>'A) Base RI'!AR313</f>
        <v>-36.61</v>
      </c>
      <c r="G313" s="408">
        <f t="shared" si="24"/>
        <v>199516.95000000004</v>
      </c>
      <c r="H313" s="10">
        <f>+'A) Base RI'!E313</f>
        <v>0</v>
      </c>
      <c r="I313" s="10">
        <f>+'A) Base RI'!F313</f>
        <v>0</v>
      </c>
      <c r="J313" s="10">
        <f>+'A) Base RI'!G313+'A) Base RI'!H313+'A) Base RI'!X313</f>
        <v>6305.3</v>
      </c>
      <c r="K313" s="10">
        <f>+'A) Base RI'!I313</f>
        <v>0</v>
      </c>
      <c r="L313" s="10">
        <f>+'A) Base RI'!J313</f>
        <v>1313.24</v>
      </c>
      <c r="M313" s="10">
        <f>+'A) Base RI'!K313</f>
        <v>0</v>
      </c>
      <c r="N313" s="10">
        <f>+'A) Base RI'!Q313</f>
        <v>0</v>
      </c>
      <c r="O313" s="10">
        <f t="shared" si="25"/>
        <v>16003.214285714286</v>
      </c>
      <c r="P313" s="10">
        <f>+'A) Base RI'!L313</f>
        <v>11202.25</v>
      </c>
      <c r="Q313" s="416">
        <f>'A) Base RI'!AS313</f>
        <v>0.7</v>
      </c>
      <c r="R313" s="408">
        <f t="shared" si="26"/>
        <v>223138.70428571431</v>
      </c>
      <c r="S313" s="482">
        <f>+'A) Base RI'!AN313</f>
        <v>70</v>
      </c>
      <c r="T313" s="408">
        <f t="shared" si="27"/>
        <v>207135.49000000002</v>
      </c>
      <c r="U313" s="408">
        <f t="shared" si="28"/>
        <v>3187.6957755102044</v>
      </c>
      <c r="V313" s="10">
        <f>+'A) Base RI'!O313</f>
        <v>0</v>
      </c>
      <c r="W313" s="10">
        <f>+'A) Base RI'!P313</f>
        <v>5446.25</v>
      </c>
      <c r="X313" s="10">
        <f>+'A) Base RI'!R313</f>
        <v>10627.5</v>
      </c>
      <c r="Y313" s="408">
        <f t="shared" si="29"/>
        <v>16073.75</v>
      </c>
      <c r="Z313" s="10">
        <f>+'A) Base RI'!N313</f>
        <v>0</v>
      </c>
      <c r="AA313" s="10">
        <f>'A) Base RI'!AO313</f>
        <v>138</v>
      </c>
    </row>
    <row r="314" spans="1:27" x14ac:dyDescent="0.25">
      <c r="A314" s="8">
        <f>'A) Base RI'!A314</f>
        <v>5938</v>
      </c>
      <c r="B314" s="32" t="str">
        <f>'A) Base RI'!B314</f>
        <v>Yverdon-les-Bains</v>
      </c>
      <c r="C314" s="10">
        <f>'A) Base RI'!C314+'A) Base RI'!D314</f>
        <v>47896906.699999996</v>
      </c>
      <c r="D314" s="10">
        <f>'A) Base RI'!AP314</f>
        <v>-1373361.28</v>
      </c>
      <c r="E314" s="402">
        <f>'A) Base RI'!AQ314</f>
        <v>0</v>
      </c>
      <c r="F314" s="402">
        <f>'A) Base RI'!AR314</f>
        <v>-43494.7</v>
      </c>
      <c r="G314" s="408">
        <f t="shared" si="24"/>
        <v>46480050.719999991</v>
      </c>
      <c r="H314" s="10">
        <f>+'A) Base RI'!E314</f>
        <v>0</v>
      </c>
      <c r="I314" s="10">
        <f>+'A) Base RI'!F314</f>
        <v>0</v>
      </c>
      <c r="J314" s="10">
        <f>+'A) Base RI'!G314+'A) Base RI'!H314+'A) Base RI'!X314</f>
        <v>6385081.6600000001</v>
      </c>
      <c r="K314" s="10">
        <f>+'A) Base RI'!I314</f>
        <v>36575.35</v>
      </c>
      <c r="L314" s="10">
        <f>+'A) Base RI'!J314</f>
        <v>1609583.91</v>
      </c>
      <c r="M314" s="10">
        <f>+'A) Base RI'!K314</f>
        <v>590078.35</v>
      </c>
      <c r="N314" s="10">
        <f>+'A) Base RI'!Q314</f>
        <v>254442.56</v>
      </c>
      <c r="O314" s="10">
        <f t="shared" si="25"/>
        <v>4385542.5999999996</v>
      </c>
      <c r="P314" s="10">
        <f>+'A) Base RI'!L314</f>
        <v>4385542.5999999996</v>
      </c>
      <c r="Q314" s="416">
        <f>'A) Base RI'!AS314</f>
        <v>1</v>
      </c>
      <c r="R314" s="408">
        <f t="shared" si="26"/>
        <v>59741355.149999999</v>
      </c>
      <c r="S314" s="482">
        <f>+'A) Base RI'!AN314</f>
        <v>75</v>
      </c>
      <c r="T314" s="408">
        <f t="shared" si="27"/>
        <v>54765734.199999996</v>
      </c>
      <c r="U314" s="408">
        <f t="shared" si="28"/>
        <v>796551.402</v>
      </c>
      <c r="V314" s="10">
        <f>+'A) Base RI'!O314</f>
        <v>1060319.1000000001</v>
      </c>
      <c r="W314" s="10">
        <f>+'A) Base RI'!P314</f>
        <v>1647037.75</v>
      </c>
      <c r="X314" s="10">
        <f>+'A) Base RI'!R314</f>
        <v>1227824.3999999999</v>
      </c>
      <c r="Y314" s="408">
        <f t="shared" si="29"/>
        <v>3935181.25</v>
      </c>
      <c r="Z314" s="10">
        <f>+'A) Base RI'!N314</f>
        <v>4750911.95</v>
      </c>
      <c r="AA314" s="10">
        <f>'A) Base RI'!AO314</f>
        <v>29981</v>
      </c>
    </row>
    <row r="315" spans="1:27" x14ac:dyDescent="0.25">
      <c r="A315" s="8">
        <f>'A) Base RI'!A315</f>
        <v>5939</v>
      </c>
      <c r="B315" s="32" t="str">
        <f>'A) Base RI'!B315</f>
        <v>Yvonand</v>
      </c>
      <c r="C315" s="10">
        <f>'A) Base RI'!C315+'A) Base RI'!D315</f>
        <v>5813630.4800000004</v>
      </c>
      <c r="D315" s="10">
        <f>'A) Base RI'!AP315</f>
        <v>-91229.45</v>
      </c>
      <c r="E315" s="402">
        <f>'A) Base RI'!AQ315</f>
        <v>0</v>
      </c>
      <c r="F315" s="402">
        <f>'A) Base RI'!AR315</f>
        <v>-910.88</v>
      </c>
      <c r="G315" s="408">
        <f t="shared" si="24"/>
        <v>5721490.1500000004</v>
      </c>
      <c r="H315" s="10">
        <f>+'A) Base RI'!E315</f>
        <v>0</v>
      </c>
      <c r="I315" s="10">
        <f>+'A) Base RI'!F315</f>
        <v>0</v>
      </c>
      <c r="J315" s="10">
        <f>+'A) Base RI'!G315+'A) Base RI'!H315+'A) Base RI'!X315</f>
        <v>225138.38999999998</v>
      </c>
      <c r="K315" s="10">
        <f>+'A) Base RI'!I315</f>
        <v>0</v>
      </c>
      <c r="L315" s="10">
        <f>+'A) Base RI'!J315</f>
        <v>104381.6</v>
      </c>
      <c r="M315" s="10">
        <f>+'A) Base RI'!K315</f>
        <v>-1086.4000000000001</v>
      </c>
      <c r="N315" s="10">
        <f>+'A) Base RI'!Q315</f>
        <v>18715.98</v>
      </c>
      <c r="O315" s="10">
        <f t="shared" si="25"/>
        <v>572998.35</v>
      </c>
      <c r="P315" s="10">
        <f>+'A) Base RI'!L315</f>
        <v>572998.35</v>
      </c>
      <c r="Q315" s="416">
        <f>'A) Base RI'!AS315</f>
        <v>1</v>
      </c>
      <c r="R315" s="408">
        <f t="shared" si="26"/>
        <v>6641638.0699999994</v>
      </c>
      <c r="S315" s="482">
        <f>+'A) Base RI'!AN315</f>
        <v>71.5</v>
      </c>
      <c r="T315" s="408">
        <f t="shared" si="27"/>
        <v>6069726.1200000001</v>
      </c>
      <c r="U315" s="408">
        <f t="shared" si="28"/>
        <v>92890.042937062928</v>
      </c>
      <c r="V315" s="10">
        <f>+'A) Base RI'!O315</f>
        <v>124886.7</v>
      </c>
      <c r="W315" s="10">
        <f>+'A) Base RI'!P315</f>
        <v>388020.45</v>
      </c>
      <c r="X315" s="10">
        <f>+'A) Base RI'!R315</f>
        <v>104220.35</v>
      </c>
      <c r="Y315" s="408">
        <f t="shared" si="29"/>
        <v>617127.5</v>
      </c>
      <c r="Z315" s="10">
        <f>+'A) Base RI'!N315</f>
        <v>170935.7</v>
      </c>
      <c r="AA315" s="10">
        <f>'A) Base RI'!AO315</f>
        <v>3467</v>
      </c>
    </row>
    <row r="316" spans="1:27" x14ac:dyDescent="0.25">
      <c r="A316" s="7"/>
      <c r="B316" s="24">
        <f>COUNTA(B7:B315)</f>
        <v>309</v>
      </c>
      <c r="C316" s="11">
        <f t="shared" ref="C316:P316" si="30">SUM(C7:C315)</f>
        <v>1983090938.2199996</v>
      </c>
      <c r="D316" s="11">
        <f t="shared" si="30"/>
        <v>-34375710.649999991</v>
      </c>
      <c r="E316" s="11">
        <f t="shared" si="30"/>
        <v>-15616.9</v>
      </c>
      <c r="F316" s="11">
        <f t="shared" si="30"/>
        <v>-4437286.6099999994</v>
      </c>
      <c r="G316" s="38">
        <f t="shared" si="30"/>
        <v>1944262324.0600016</v>
      </c>
      <c r="H316" s="11">
        <f t="shared" si="30"/>
        <v>0</v>
      </c>
      <c r="I316" s="98">
        <f t="shared" si="30"/>
        <v>100711.9</v>
      </c>
      <c r="J316" s="11">
        <f t="shared" si="30"/>
        <v>371337740.78000009</v>
      </c>
      <c r="K316" s="11">
        <f t="shared" si="30"/>
        <v>42860556.82000003</v>
      </c>
      <c r="L316" s="11">
        <f t="shared" si="30"/>
        <v>75388874.820000008</v>
      </c>
      <c r="M316" s="11">
        <f t="shared" si="30"/>
        <v>20340412.849999998</v>
      </c>
      <c r="N316" s="11">
        <f t="shared" si="30"/>
        <v>7083204.4899999974</v>
      </c>
      <c r="O316" s="11">
        <f t="shared" si="30"/>
        <v>181753692.24868113</v>
      </c>
      <c r="P316" s="11">
        <f t="shared" si="30"/>
        <v>217100612.85000014</v>
      </c>
      <c r="Q316" s="35"/>
      <c r="R316" s="38">
        <f>SUM(R7:R315)</f>
        <v>2643127517.9686804</v>
      </c>
      <c r="S316" s="19">
        <f>R316/U316</f>
        <v>67.297192189640256</v>
      </c>
      <c r="T316" s="38">
        <f t="shared" ref="T316:Z316" si="31">SUM(T7:T315)</f>
        <v>2440932700.9699974</v>
      </c>
      <c r="U316" s="38">
        <f t="shared" si="31"/>
        <v>39275450.163217418</v>
      </c>
      <c r="V316" s="11">
        <f t="shared" si="31"/>
        <v>100667665.32000001</v>
      </c>
      <c r="W316" s="11">
        <f t="shared" si="31"/>
        <v>99028053.100000054</v>
      </c>
      <c r="X316" s="11">
        <f t="shared" si="31"/>
        <v>76510288.049999982</v>
      </c>
      <c r="Y316" s="38">
        <f t="shared" si="31"/>
        <v>276206006.46999997</v>
      </c>
      <c r="Z316" s="11">
        <f t="shared" si="31"/>
        <v>80161098.050000027</v>
      </c>
      <c r="AA316" s="11">
        <f>SUM(AA7:AA315)</f>
        <v>815300</v>
      </c>
    </row>
    <row r="317" spans="1:27" x14ac:dyDescent="0.25">
      <c r="C317" s="6"/>
      <c r="E317" s="6"/>
      <c r="G317" s="6"/>
      <c r="I317" s="6"/>
      <c r="J317" s="6"/>
      <c r="K317" s="6"/>
      <c r="L317" s="6"/>
      <c r="M317" s="6"/>
      <c r="N317" s="6"/>
      <c r="O317" s="6"/>
      <c r="P317" s="6"/>
      <c r="Q317" s="6"/>
      <c r="R317" s="6"/>
      <c r="S317" s="373"/>
      <c r="T317" s="6"/>
      <c r="U317" s="6"/>
      <c r="V317" s="6"/>
      <c r="W317" s="6"/>
      <c r="X317" s="6"/>
      <c r="Y317" s="6"/>
      <c r="Z317" s="6"/>
    </row>
    <row r="318" spans="1:27" x14ac:dyDescent="0.25">
      <c r="C318" s="6"/>
      <c r="I318" s="6"/>
      <c r="J318" s="6"/>
      <c r="K318" s="6"/>
      <c r="L318" s="6"/>
      <c r="M318" s="6"/>
      <c r="N318" s="6"/>
      <c r="R318" s="6"/>
      <c r="T318" s="6"/>
      <c r="U318" s="6"/>
      <c r="V318" s="6"/>
      <c r="W318" s="6"/>
      <c r="X318" s="6"/>
      <c r="Y318" s="6"/>
      <c r="Z318" s="365"/>
    </row>
    <row r="319" spans="1:27" x14ac:dyDescent="0.25">
      <c r="C319" s="6"/>
      <c r="J319" s="6"/>
      <c r="R319" s="6"/>
      <c r="T319" s="6"/>
    </row>
    <row r="320" spans="1:27" x14ac:dyDescent="0.25">
      <c r="C320" s="6"/>
      <c r="G320" s="6"/>
      <c r="J320" s="36"/>
      <c r="R320" s="6"/>
      <c r="T320" s="6"/>
    </row>
    <row r="321" spans="1:18" x14ac:dyDescent="0.25">
      <c r="G321" s="6"/>
      <c r="R321" s="6"/>
    </row>
    <row r="322" spans="1:18" x14ac:dyDescent="0.25">
      <c r="G322" s="6"/>
      <c r="R322" s="36"/>
    </row>
    <row r="323" spans="1:18" x14ac:dyDescent="0.25">
      <c r="G323" s="6"/>
      <c r="R323" s="425"/>
    </row>
    <row r="324" spans="1:18" x14ac:dyDescent="0.25">
      <c r="G324" s="36"/>
      <c r="R324" s="427"/>
    </row>
    <row r="325" spans="1:18" s="6" customFormat="1" x14ac:dyDescent="0.25">
      <c r="A325" s="5"/>
    </row>
  </sheetData>
  <mergeCells count="27">
    <mergeCell ref="A4:A6"/>
    <mergeCell ref="B4:B6"/>
    <mergeCell ref="N4:N6"/>
    <mergeCell ref="C4:C5"/>
    <mergeCell ref="H4:H5"/>
    <mergeCell ref="I4:I5"/>
    <mergeCell ref="J4:J5"/>
    <mergeCell ref="G4:G5"/>
    <mergeCell ref="K4:K5"/>
    <mergeCell ref="L4:L5"/>
    <mergeCell ref="M4:M5"/>
    <mergeCell ref="D4:D6"/>
    <mergeCell ref="E4:E6"/>
    <mergeCell ref="F4:F6"/>
    <mergeCell ref="AA4:AA5"/>
    <mergeCell ref="S4:S5"/>
    <mergeCell ref="W4:W5"/>
    <mergeCell ref="Y4:Y6"/>
    <mergeCell ref="T4:T6"/>
    <mergeCell ref="Q4:Q6"/>
    <mergeCell ref="O4:O6"/>
    <mergeCell ref="V4:V5"/>
    <mergeCell ref="U4:U5"/>
    <mergeCell ref="Z4:Z5"/>
    <mergeCell ref="X4:X5"/>
    <mergeCell ref="P4:P5"/>
    <mergeCell ref="R4:R6"/>
  </mergeCells>
  <phoneticPr fontId="0" type="noConversion"/>
  <pageMargins left="0" right="0" top="0" bottom="0" header="0.51181102362204722" footer="0.51181102362204722"/>
  <pageSetup paperSize="8" scale="70" orientation="landscape" horizontalDpi="4294967292" verticalDpi="4294967292"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6">
    <tabColor rgb="FF00B050"/>
  </sheetPr>
  <dimension ref="A1:J332"/>
  <sheetViews>
    <sheetView workbookViewId="0"/>
  </sheetViews>
  <sheetFormatPr baseColWidth="10" defaultColWidth="11" defaultRowHeight="15" x14ac:dyDescent="0.25"/>
  <cols>
    <col min="1" max="1" width="7.25" style="13" customWidth="1"/>
    <col min="2" max="2" width="17.375" style="13" bestFit="1" customWidth="1"/>
    <col min="3" max="3" width="18" style="6" customWidth="1"/>
    <col min="4" max="4" width="9.875" style="6" bestFit="1" customWidth="1"/>
    <col min="5" max="5" width="10.75" style="6" bestFit="1" customWidth="1"/>
    <col min="6" max="6" width="11.25" style="6" bestFit="1" customWidth="1"/>
    <col min="7" max="7" width="13" style="28" bestFit="1" customWidth="1"/>
    <col min="8" max="8" width="12.25" style="6" bestFit="1" customWidth="1"/>
    <col min="9" max="9" width="11" style="13"/>
    <col min="10" max="10" width="14.625" style="13" bestFit="1" customWidth="1"/>
    <col min="11" max="16384" width="11" style="13"/>
  </cols>
  <sheetData>
    <row r="1" spans="1:10" ht="21" x14ac:dyDescent="0.25">
      <c r="A1" s="51" t="s">
        <v>436</v>
      </c>
      <c r="B1" s="42"/>
      <c r="C1" s="44"/>
      <c r="D1" s="44"/>
      <c r="E1" s="44"/>
      <c r="F1" s="44"/>
      <c r="G1" s="52"/>
      <c r="H1" s="44"/>
    </row>
    <row r="3" spans="1:10" ht="60" x14ac:dyDescent="0.25">
      <c r="A3" s="582" t="s">
        <v>46</v>
      </c>
      <c r="B3" s="582" t="s">
        <v>96</v>
      </c>
      <c r="C3" s="294" t="s">
        <v>425</v>
      </c>
      <c r="D3" s="294" t="s">
        <v>194</v>
      </c>
      <c r="E3" s="585" t="s">
        <v>138</v>
      </c>
      <c r="F3" s="585" t="s">
        <v>371</v>
      </c>
      <c r="G3" s="597" t="s">
        <v>289</v>
      </c>
      <c r="H3" s="585" t="s">
        <v>422</v>
      </c>
      <c r="I3" s="585" t="s">
        <v>552</v>
      </c>
    </row>
    <row r="4" spans="1:10" x14ac:dyDescent="0.25">
      <c r="A4" s="584"/>
      <c r="B4" s="583"/>
      <c r="C4" s="438">
        <f>Paramètres!B11</f>
        <v>0.5</v>
      </c>
      <c r="D4" s="413">
        <f>Paramètres!B12</f>
        <v>0.3</v>
      </c>
      <c r="E4" s="587"/>
      <c r="F4" s="587"/>
      <c r="G4" s="598"/>
      <c r="H4" s="586"/>
      <c r="I4" s="586"/>
    </row>
    <row r="5" spans="1:10" x14ac:dyDescent="0.25">
      <c r="A5" s="46">
        <f>'A) Base RI'!A7</f>
        <v>5401</v>
      </c>
      <c r="B5" s="293" t="str">
        <f>'A) Base RI'!B7</f>
        <v>Aigle</v>
      </c>
      <c r="C5" s="54">
        <f>'B) D RI'!Y7</f>
        <v>1420346.8</v>
      </c>
      <c r="D5" s="14">
        <f>'B) D RI'!Z7</f>
        <v>1288148.8</v>
      </c>
      <c r="E5" s="10">
        <f>C5+D5</f>
        <v>2708495.6</v>
      </c>
      <c r="F5" s="14">
        <f>'B) D RI'!U7</f>
        <v>284723.80196969694</v>
      </c>
      <c r="G5" s="266">
        <f>E5/F5</f>
        <v>9.5127122539908502</v>
      </c>
      <c r="H5" s="55">
        <f>(C5*$C$4)+(D5*$D$4)</f>
        <v>1096618.04</v>
      </c>
      <c r="I5" s="416">
        <f>H5/F5</f>
        <v>3.8515151610567235</v>
      </c>
      <c r="J5" s="411"/>
    </row>
    <row r="6" spans="1:10" x14ac:dyDescent="0.25">
      <c r="A6" s="49">
        <f>'A) Base RI'!A8</f>
        <v>5402</v>
      </c>
      <c r="B6" s="293" t="str">
        <f>'A) Base RI'!B8</f>
        <v>Bex</v>
      </c>
      <c r="C6" s="10">
        <f>'B) D RI'!Y8</f>
        <v>1072931.55</v>
      </c>
      <c r="D6" s="425">
        <f>'B) D RI'!Z8</f>
        <v>273206.65000000002</v>
      </c>
      <c r="E6" s="10">
        <f t="shared" ref="E6:E69" si="0">C6+D6</f>
        <v>1346138.2000000002</v>
      </c>
      <c r="F6" s="425">
        <f>'B) D RI'!U8</f>
        <v>179259.20338028169</v>
      </c>
      <c r="G6" s="266">
        <f t="shared" ref="G6:G69" si="1">E6/F6</f>
        <v>7.509450977221479</v>
      </c>
      <c r="H6" s="55">
        <f t="shared" ref="H6:H69" si="2">(C6*$C$4)+(D6*$D$4)</f>
        <v>618427.77</v>
      </c>
      <c r="I6" s="416">
        <f t="shared" ref="I6:I69" si="3">H6/F6</f>
        <v>3.4499080568157114</v>
      </c>
    </row>
    <row r="7" spans="1:10" x14ac:dyDescent="0.25">
      <c r="A7" s="49">
        <f>'A) Base RI'!A9</f>
        <v>5403</v>
      </c>
      <c r="B7" s="293" t="str">
        <f>'A) Base RI'!B9</f>
        <v>Chessel</v>
      </c>
      <c r="C7" s="10">
        <f>'B) D RI'!Y9</f>
        <v>112397.05</v>
      </c>
      <c r="D7" s="425">
        <f>'B) D RI'!Z9</f>
        <v>8460.15</v>
      </c>
      <c r="E7" s="10">
        <f t="shared" si="0"/>
        <v>120857.2</v>
      </c>
      <c r="F7" s="425">
        <f>'B) D RI'!U9</f>
        <v>10797.740270270273</v>
      </c>
      <c r="G7" s="266">
        <f t="shared" si="1"/>
        <v>11.19282340331519</v>
      </c>
      <c r="H7" s="55">
        <f t="shared" si="2"/>
        <v>58736.57</v>
      </c>
      <c r="I7" s="416">
        <f t="shared" si="3"/>
        <v>5.4397094697416533</v>
      </c>
    </row>
    <row r="8" spans="1:10" x14ac:dyDescent="0.25">
      <c r="A8" s="49">
        <f>'A) Base RI'!A10</f>
        <v>5404</v>
      </c>
      <c r="B8" s="293" t="str">
        <f>'A) Base RI'!B10</f>
        <v>Corbeyrier</v>
      </c>
      <c r="C8" s="10">
        <f>'B) D RI'!Y10</f>
        <v>110863.3</v>
      </c>
      <c r="D8" s="425">
        <f>'B) D RI'!Z10</f>
        <v>16587</v>
      </c>
      <c r="E8" s="10">
        <f t="shared" si="0"/>
        <v>127450.3</v>
      </c>
      <c r="F8" s="425">
        <f>'B) D RI'!U10</f>
        <v>11267.87027027027</v>
      </c>
      <c r="G8" s="266">
        <f t="shared" si="1"/>
        <v>11.310948470561597</v>
      </c>
      <c r="H8" s="55">
        <f t="shared" si="2"/>
        <v>60407.75</v>
      </c>
      <c r="I8" s="416">
        <f t="shared" si="3"/>
        <v>5.3610618999921327</v>
      </c>
    </row>
    <row r="9" spans="1:10" x14ac:dyDescent="0.25">
      <c r="A9" s="49">
        <f>'A) Base RI'!A11</f>
        <v>5405</v>
      </c>
      <c r="B9" s="293" t="str">
        <f>'A) Base RI'!B11</f>
        <v>Gryon</v>
      </c>
      <c r="C9" s="10">
        <f>'B) D RI'!Y11</f>
        <v>845265.25</v>
      </c>
      <c r="D9" s="425">
        <f>'B) D RI'!Z11</f>
        <v>463.15</v>
      </c>
      <c r="E9" s="10">
        <f t="shared" si="0"/>
        <v>845728.4</v>
      </c>
      <c r="F9" s="425">
        <f>'B) D RI'!U11</f>
        <v>68185.794013605453</v>
      </c>
      <c r="G9" s="266">
        <f t="shared" si="1"/>
        <v>12.403293270021136</v>
      </c>
      <c r="H9" s="55">
        <f t="shared" si="2"/>
        <v>422771.57</v>
      </c>
      <c r="I9" s="416">
        <f t="shared" si="3"/>
        <v>6.2002881408940151</v>
      </c>
    </row>
    <row r="10" spans="1:10" x14ac:dyDescent="0.25">
      <c r="A10" s="49">
        <f>'A) Base RI'!A12</f>
        <v>5406</v>
      </c>
      <c r="B10" s="293" t="str">
        <f>'A) Base RI'!B12</f>
        <v>Lavey-Morcles</v>
      </c>
      <c r="C10" s="10">
        <f>'B) D RI'!Y12</f>
        <v>209337.75000000003</v>
      </c>
      <c r="D10" s="425">
        <f>'B) D RI'!Z12</f>
        <v>1891.95</v>
      </c>
      <c r="E10" s="10">
        <f t="shared" si="0"/>
        <v>211229.70000000004</v>
      </c>
      <c r="F10" s="425">
        <f>'B) D RI'!U12</f>
        <v>21842.545067240455</v>
      </c>
      <c r="G10" s="266">
        <f t="shared" si="1"/>
        <v>9.6705626267336076</v>
      </c>
      <c r="H10" s="55">
        <f t="shared" si="2"/>
        <v>105236.46000000002</v>
      </c>
      <c r="I10" s="416">
        <f t="shared" si="3"/>
        <v>4.8179577826685644</v>
      </c>
    </row>
    <row r="11" spans="1:10" x14ac:dyDescent="0.25">
      <c r="A11" s="49">
        <f>'A) Base RI'!A13</f>
        <v>5407</v>
      </c>
      <c r="B11" s="293" t="str">
        <f>'A) Base RI'!B13</f>
        <v>Leysin</v>
      </c>
      <c r="C11" s="10">
        <f>'B) D RI'!Y13</f>
        <v>749949.35</v>
      </c>
      <c r="D11" s="425">
        <f>'B) D RI'!Z13</f>
        <v>64008.35</v>
      </c>
      <c r="E11" s="10">
        <f t="shared" si="0"/>
        <v>813957.7</v>
      </c>
      <c r="F11" s="425">
        <f>'B) D RI'!U13</f>
        <v>90407.62790598291</v>
      </c>
      <c r="G11" s="266">
        <f t="shared" si="1"/>
        <v>9.0031971732125786</v>
      </c>
      <c r="H11" s="55">
        <f t="shared" si="2"/>
        <v>394177.18</v>
      </c>
      <c r="I11" s="416">
        <f t="shared" si="3"/>
        <v>4.35999914089013</v>
      </c>
    </row>
    <row r="12" spans="1:10" x14ac:dyDescent="0.25">
      <c r="A12" s="49">
        <f>'A) Base RI'!A14</f>
        <v>5408</v>
      </c>
      <c r="B12" s="293" t="str">
        <f>'A) Base RI'!B14</f>
        <v>Noville</v>
      </c>
      <c r="C12" s="10">
        <f>'B) D RI'!Y14</f>
        <v>185055.9</v>
      </c>
      <c r="D12" s="425">
        <f>'B) D RI'!Z14</f>
        <v>204831.45</v>
      </c>
      <c r="E12" s="10">
        <f t="shared" si="0"/>
        <v>389887.35</v>
      </c>
      <c r="F12" s="425">
        <f>'B) D RI'!U14</f>
        <v>43840.045520169842</v>
      </c>
      <c r="G12" s="266">
        <f t="shared" si="1"/>
        <v>8.8934065960451925</v>
      </c>
      <c r="H12" s="55">
        <f t="shared" si="2"/>
        <v>153977.38500000001</v>
      </c>
      <c r="I12" s="416">
        <f t="shared" si="3"/>
        <v>3.5122542226640343</v>
      </c>
    </row>
    <row r="13" spans="1:10" x14ac:dyDescent="0.25">
      <c r="A13" s="49">
        <f>'A) Base RI'!A15</f>
        <v>5409</v>
      </c>
      <c r="B13" s="293" t="str">
        <f>'A) Base RI'!B15</f>
        <v>Ollon</v>
      </c>
      <c r="C13" s="10">
        <f>'B) D RI'!Y15</f>
        <v>3451500.8</v>
      </c>
      <c r="D13" s="425">
        <f>'B) D RI'!Z15</f>
        <v>75640.75</v>
      </c>
      <c r="E13" s="10">
        <f t="shared" si="0"/>
        <v>3527141.55</v>
      </c>
      <c r="F13" s="425">
        <f>'B) D RI'!U15</f>
        <v>389186.78990950214</v>
      </c>
      <c r="G13" s="266">
        <f t="shared" si="1"/>
        <v>9.0628501312189158</v>
      </c>
      <c r="H13" s="55">
        <f t="shared" si="2"/>
        <v>1748442.625</v>
      </c>
      <c r="I13" s="416">
        <f t="shared" si="3"/>
        <v>4.4925538850035647</v>
      </c>
    </row>
    <row r="14" spans="1:10" x14ac:dyDescent="0.25">
      <c r="A14" s="49">
        <f>'A) Base RI'!A16</f>
        <v>5410</v>
      </c>
      <c r="B14" s="293" t="str">
        <f>'A) Base RI'!B16</f>
        <v>Ormont-Dessous</v>
      </c>
      <c r="C14" s="10">
        <f>'B) D RI'!Y16</f>
        <v>435079.15</v>
      </c>
      <c r="D14" s="425">
        <f>'B) D RI'!Z16</f>
        <v>6858.4</v>
      </c>
      <c r="E14" s="10">
        <f t="shared" si="0"/>
        <v>441937.55000000005</v>
      </c>
      <c r="F14" s="425">
        <f>'B) D RI'!U16</f>
        <v>39522.545108225109</v>
      </c>
      <c r="G14" s="266">
        <f t="shared" si="1"/>
        <v>11.181910193026198</v>
      </c>
      <c r="H14" s="55">
        <f t="shared" si="2"/>
        <v>219597.095</v>
      </c>
      <c r="I14" s="416">
        <f t="shared" si="3"/>
        <v>5.5562488295901584</v>
      </c>
    </row>
    <row r="15" spans="1:10" x14ac:dyDescent="0.25">
      <c r="A15" s="49">
        <f>'A) Base RI'!A17</f>
        <v>5411</v>
      </c>
      <c r="B15" s="293" t="str">
        <f>'A) Base RI'!B17</f>
        <v>Ormont-Dessus</v>
      </c>
      <c r="C15" s="10">
        <f>'B) D RI'!Y17</f>
        <v>913232.39999999991</v>
      </c>
      <c r="D15" s="425">
        <f>'B) D RI'!Z17</f>
        <v>22248.05</v>
      </c>
      <c r="E15" s="10">
        <f t="shared" si="0"/>
        <v>935480.45</v>
      </c>
      <c r="F15" s="425">
        <f>'B) D RI'!U17</f>
        <v>68049.385526315804</v>
      </c>
      <c r="G15" s="266">
        <f t="shared" si="1"/>
        <v>13.747081516823314</v>
      </c>
      <c r="H15" s="55">
        <f t="shared" si="2"/>
        <v>463290.61499999993</v>
      </c>
      <c r="I15" s="416">
        <f t="shared" si="3"/>
        <v>6.8081528057419112</v>
      </c>
    </row>
    <row r="16" spans="1:10" x14ac:dyDescent="0.25">
      <c r="A16" s="49">
        <f>'A) Base RI'!A18</f>
        <v>5412</v>
      </c>
      <c r="B16" s="293" t="str">
        <f>'A) Base RI'!B18</f>
        <v>Rennaz</v>
      </c>
      <c r="C16" s="10">
        <f>'B) D RI'!Y18</f>
        <v>451752.05</v>
      </c>
      <c r="D16" s="425">
        <f>'B) D RI'!Z18</f>
        <v>257000.25</v>
      </c>
      <c r="E16" s="10">
        <f t="shared" si="0"/>
        <v>708752.3</v>
      </c>
      <c r="F16" s="425">
        <f>'B) D RI'!U18</f>
        <v>24267.759710144928</v>
      </c>
      <c r="G16" s="266">
        <f t="shared" si="1"/>
        <v>29.20551004564761</v>
      </c>
      <c r="H16" s="55">
        <f t="shared" si="2"/>
        <v>302976.09999999998</v>
      </c>
      <c r="I16" s="416">
        <f t="shared" si="3"/>
        <v>12.484716497062703</v>
      </c>
    </row>
    <row r="17" spans="1:9" x14ac:dyDescent="0.25">
      <c r="A17" s="49">
        <f>'A) Base RI'!A19</f>
        <v>5413</v>
      </c>
      <c r="B17" s="293" t="str">
        <f>'A) Base RI'!B19</f>
        <v>Roche</v>
      </c>
      <c r="C17" s="10">
        <f>'B) D RI'!Y19</f>
        <v>280370.75</v>
      </c>
      <c r="D17" s="425">
        <f>'B) D RI'!Z19</f>
        <v>275376.59999999998</v>
      </c>
      <c r="E17" s="10">
        <f t="shared" si="0"/>
        <v>555747.35</v>
      </c>
      <c r="F17" s="425">
        <f>'B) D RI'!U19</f>
        <v>48007.468357843129</v>
      </c>
      <c r="G17" s="266">
        <f t="shared" si="1"/>
        <v>11.576268630903671</v>
      </c>
      <c r="H17" s="55">
        <f t="shared" si="2"/>
        <v>222798.35499999998</v>
      </c>
      <c r="I17" s="416">
        <f t="shared" si="3"/>
        <v>4.640910312938856</v>
      </c>
    </row>
    <row r="18" spans="1:9" x14ac:dyDescent="0.25">
      <c r="A18" s="49">
        <f>'A) Base RI'!A20</f>
        <v>5414</v>
      </c>
      <c r="B18" s="293" t="str">
        <f>'A) Base RI'!B20</f>
        <v>Villeneuve</v>
      </c>
      <c r="C18" s="10">
        <f>'B) D RI'!Y20</f>
        <v>812698.7</v>
      </c>
      <c r="D18" s="425">
        <f>'B) D RI'!Z20</f>
        <v>1579016.8</v>
      </c>
      <c r="E18" s="10">
        <f t="shared" si="0"/>
        <v>2391715.5</v>
      </c>
      <c r="F18" s="425">
        <f>'B) D RI'!U20</f>
        <v>159468.65911111108</v>
      </c>
      <c r="G18" s="266">
        <f t="shared" si="1"/>
        <v>14.998028536337996</v>
      </c>
      <c r="H18" s="55">
        <f t="shared" si="2"/>
        <v>880054.3899999999</v>
      </c>
      <c r="I18" s="416">
        <f t="shared" si="3"/>
        <v>5.5186667706713139</v>
      </c>
    </row>
    <row r="19" spans="1:9" x14ac:dyDescent="0.25">
      <c r="A19" s="49">
        <f>'A) Base RI'!A21</f>
        <v>5415</v>
      </c>
      <c r="B19" s="293" t="str">
        <f>'A) Base RI'!B21</f>
        <v>Yvorne</v>
      </c>
      <c r="C19" s="10">
        <f>'B) D RI'!Y21</f>
        <v>342258.75</v>
      </c>
      <c r="D19" s="425">
        <f>'B) D RI'!Z21</f>
        <v>40570.300000000003</v>
      </c>
      <c r="E19" s="10">
        <f t="shared" si="0"/>
        <v>382829.05</v>
      </c>
      <c r="F19" s="425">
        <f>'B) D RI'!U21</f>
        <v>38155.020093240091</v>
      </c>
      <c r="G19" s="266">
        <f t="shared" si="1"/>
        <v>10.033517190253706</v>
      </c>
      <c r="H19" s="55">
        <f t="shared" si="2"/>
        <v>183300.465</v>
      </c>
      <c r="I19" s="416">
        <f t="shared" si="3"/>
        <v>4.8040982432210866</v>
      </c>
    </row>
    <row r="20" spans="1:9" x14ac:dyDescent="0.25">
      <c r="A20" s="49">
        <f>'A) Base RI'!A22</f>
        <v>5421</v>
      </c>
      <c r="B20" s="293" t="str">
        <f>'A) Base RI'!B22</f>
        <v>Apples</v>
      </c>
      <c r="C20" s="10">
        <f>'B) D RI'!Y22</f>
        <v>181741.55</v>
      </c>
      <c r="D20" s="425">
        <f>'B) D RI'!Z22</f>
        <v>37966.6</v>
      </c>
      <c r="E20" s="10">
        <f t="shared" si="0"/>
        <v>219708.15</v>
      </c>
      <c r="F20" s="425">
        <f>'B) D RI'!U22</f>
        <v>66313.601621621623</v>
      </c>
      <c r="G20" s="266">
        <f t="shared" si="1"/>
        <v>3.3131687109023482</v>
      </c>
      <c r="H20" s="55">
        <f t="shared" si="2"/>
        <v>102260.75499999999</v>
      </c>
      <c r="I20" s="416">
        <f t="shared" si="3"/>
        <v>1.5420781332838625</v>
      </c>
    </row>
    <row r="21" spans="1:9" x14ac:dyDescent="0.25">
      <c r="A21" s="49">
        <f>'A) Base RI'!A23</f>
        <v>5422</v>
      </c>
      <c r="B21" s="293" t="str">
        <f>'A) Base RI'!B23</f>
        <v>Aubonne</v>
      </c>
      <c r="C21" s="10">
        <f>'B) D RI'!Y23</f>
        <v>1020621.4</v>
      </c>
      <c r="D21" s="425">
        <f>'B) D RI'!Z23</f>
        <v>1045403.05</v>
      </c>
      <c r="E21" s="10">
        <f t="shared" si="0"/>
        <v>2066024.4500000002</v>
      </c>
      <c r="F21" s="425">
        <f>'B) D RI'!U23</f>
        <v>242388.1994160584</v>
      </c>
      <c r="G21" s="266">
        <f t="shared" si="1"/>
        <v>8.5236181257061823</v>
      </c>
      <c r="H21" s="55">
        <f t="shared" si="2"/>
        <v>823931.61499999999</v>
      </c>
      <c r="I21" s="416">
        <f t="shared" si="3"/>
        <v>3.3992232995869762</v>
      </c>
    </row>
    <row r="22" spans="1:9" x14ac:dyDescent="0.25">
      <c r="A22" s="49">
        <f>'A) Base RI'!A24</f>
        <v>5423</v>
      </c>
      <c r="B22" s="293" t="str">
        <f>'A) Base RI'!B24</f>
        <v>Ballens</v>
      </c>
      <c r="C22" s="10">
        <f>'B) D RI'!Y24</f>
        <v>63752.65</v>
      </c>
      <c r="D22" s="425">
        <f>'B) D RI'!Z24</f>
        <v>23095.75</v>
      </c>
      <c r="E22" s="10">
        <f t="shared" si="0"/>
        <v>86848.4</v>
      </c>
      <c r="F22" s="425">
        <f>'B) D RI'!U24</f>
        <v>17114.745479452053</v>
      </c>
      <c r="G22" s="266">
        <f t="shared" si="1"/>
        <v>5.0744780344101583</v>
      </c>
      <c r="H22" s="55">
        <f t="shared" si="2"/>
        <v>38805.050000000003</v>
      </c>
      <c r="I22" s="416">
        <f t="shared" si="3"/>
        <v>2.2673460173035767</v>
      </c>
    </row>
    <row r="23" spans="1:9" x14ac:dyDescent="0.25">
      <c r="A23" s="49">
        <f>'A) Base RI'!A25</f>
        <v>5424</v>
      </c>
      <c r="B23" s="293" t="str">
        <f>'A) Base RI'!B25</f>
        <v>Berolle</v>
      </c>
      <c r="C23" s="10">
        <f>'B) D RI'!Y25</f>
        <v>43918.7</v>
      </c>
      <c r="D23" s="425">
        <f>'B) D RI'!Z25</f>
        <v>0</v>
      </c>
      <c r="E23" s="10">
        <f t="shared" si="0"/>
        <v>43918.7</v>
      </c>
      <c r="F23" s="425">
        <f>'B) D RI'!U25</f>
        <v>9114.9769536423846</v>
      </c>
      <c r="G23" s="266">
        <f t="shared" si="1"/>
        <v>4.8183007179683424</v>
      </c>
      <c r="H23" s="55">
        <f t="shared" si="2"/>
        <v>21959.35</v>
      </c>
      <c r="I23" s="416">
        <f t="shared" si="3"/>
        <v>2.4091503589841712</v>
      </c>
    </row>
    <row r="24" spans="1:9" x14ac:dyDescent="0.25">
      <c r="A24" s="49">
        <f>'A) Base RI'!A26</f>
        <v>5425</v>
      </c>
      <c r="B24" s="293" t="str">
        <f>'A) Base RI'!B26</f>
        <v>Bière</v>
      </c>
      <c r="C24" s="10">
        <f>'B) D RI'!Y26</f>
        <v>250336.65</v>
      </c>
      <c r="D24" s="425">
        <f>'B) D RI'!Z26</f>
        <v>61405.1</v>
      </c>
      <c r="E24" s="10">
        <f t="shared" si="0"/>
        <v>311741.75</v>
      </c>
      <c r="F24" s="425">
        <f>'B) D RI'!U26</f>
        <v>40211.969135432286</v>
      </c>
      <c r="G24" s="266">
        <f t="shared" si="1"/>
        <v>7.7524616849790764</v>
      </c>
      <c r="H24" s="55">
        <f t="shared" si="2"/>
        <v>143589.85499999998</v>
      </c>
      <c r="I24" s="416">
        <f t="shared" si="3"/>
        <v>3.570823764347256</v>
      </c>
    </row>
    <row r="25" spans="1:9" x14ac:dyDescent="0.25">
      <c r="A25" s="49">
        <f>'A) Base RI'!A27</f>
        <v>5426</v>
      </c>
      <c r="B25" s="293" t="str">
        <f>'A) Base RI'!B27</f>
        <v>Bougy-Villars</v>
      </c>
      <c r="C25" s="10">
        <f>'B) D RI'!Y27</f>
        <v>280873.7</v>
      </c>
      <c r="D25" s="425">
        <f>'B) D RI'!Z27</f>
        <v>12909.65</v>
      </c>
      <c r="E25" s="10">
        <f t="shared" si="0"/>
        <v>293783.35000000003</v>
      </c>
      <c r="F25" s="425">
        <f>'B) D RI'!U27</f>
        <v>55640.611447028423</v>
      </c>
      <c r="G25" s="266">
        <f t="shared" si="1"/>
        <v>5.2800165627168001</v>
      </c>
      <c r="H25" s="55">
        <f t="shared" si="2"/>
        <v>144309.745</v>
      </c>
      <c r="I25" s="416">
        <f t="shared" si="3"/>
        <v>2.5936045856970376</v>
      </c>
    </row>
    <row r="26" spans="1:9" x14ac:dyDescent="0.25">
      <c r="A26" s="49">
        <f>'A) Base RI'!A28</f>
        <v>5427</v>
      </c>
      <c r="B26" s="293" t="str">
        <f>'A) Base RI'!B28</f>
        <v>Féchy</v>
      </c>
      <c r="C26" s="10">
        <f>'B) D RI'!Y28</f>
        <v>197687.75</v>
      </c>
      <c r="D26" s="425">
        <f>'B) D RI'!Z28</f>
        <v>11820.25</v>
      </c>
      <c r="E26" s="10">
        <f t="shared" si="0"/>
        <v>209508</v>
      </c>
      <c r="F26" s="425">
        <f>'B) D RI'!U28</f>
        <v>77020.423605769232</v>
      </c>
      <c r="G26" s="266">
        <f t="shared" si="1"/>
        <v>2.7201616167728626</v>
      </c>
      <c r="H26" s="55">
        <f t="shared" si="2"/>
        <v>102389.95</v>
      </c>
      <c r="I26" s="416">
        <f t="shared" si="3"/>
        <v>1.329387001609927</v>
      </c>
    </row>
    <row r="27" spans="1:9" x14ac:dyDescent="0.25">
      <c r="A27" s="49">
        <f>'A) Base RI'!A29</f>
        <v>5428</v>
      </c>
      <c r="B27" s="293" t="str">
        <f>'A) Base RI'!B29</f>
        <v>Gimel</v>
      </c>
      <c r="C27" s="10">
        <f>'B) D RI'!Y29</f>
        <v>835805.35</v>
      </c>
      <c r="D27" s="425">
        <f>'B) D RI'!Z29</f>
        <v>249456.7</v>
      </c>
      <c r="E27" s="10">
        <f t="shared" si="0"/>
        <v>1085262.05</v>
      </c>
      <c r="F27" s="425">
        <f>'B) D RI'!U29</f>
        <v>70193.222975391502</v>
      </c>
      <c r="G27" s="266">
        <f t="shared" si="1"/>
        <v>15.461065954764232</v>
      </c>
      <c r="H27" s="55">
        <f t="shared" si="2"/>
        <v>492739.685</v>
      </c>
      <c r="I27" s="416">
        <f t="shared" si="3"/>
        <v>7.0197615113462701</v>
      </c>
    </row>
    <row r="28" spans="1:9" x14ac:dyDescent="0.25">
      <c r="A28" s="49">
        <f>'A) Base RI'!A30</f>
        <v>5429</v>
      </c>
      <c r="B28" s="293" t="str">
        <f>'A) Base RI'!B30</f>
        <v>Longirod</v>
      </c>
      <c r="C28" s="10">
        <f>'B) D RI'!Y30</f>
        <v>93363.5</v>
      </c>
      <c r="D28" s="425">
        <f>'B) D RI'!Z30</f>
        <v>0</v>
      </c>
      <c r="E28" s="10">
        <f t="shared" si="0"/>
        <v>93363.5</v>
      </c>
      <c r="F28" s="425">
        <f>'B) D RI'!U30</f>
        <v>16140.77393548387</v>
      </c>
      <c r="G28" s="266">
        <f t="shared" si="1"/>
        <v>5.7843261031461273</v>
      </c>
      <c r="H28" s="55">
        <f t="shared" si="2"/>
        <v>46681.75</v>
      </c>
      <c r="I28" s="416">
        <f t="shared" si="3"/>
        <v>2.8921630515730636</v>
      </c>
    </row>
    <row r="29" spans="1:9" x14ac:dyDescent="0.25">
      <c r="A29" s="49">
        <f>'A) Base RI'!A31</f>
        <v>5430</v>
      </c>
      <c r="B29" s="293" t="str">
        <f>'A) Base RI'!B31</f>
        <v>Marchissy</v>
      </c>
      <c r="C29" s="10">
        <f>'B) D RI'!Y31</f>
        <v>83792.45</v>
      </c>
      <c r="D29" s="425">
        <f>'B) D RI'!Z31</f>
        <v>6870.3</v>
      </c>
      <c r="E29" s="10">
        <f t="shared" si="0"/>
        <v>90662.75</v>
      </c>
      <c r="F29" s="425">
        <f>'B) D RI'!U31</f>
        <v>14848.450709677421</v>
      </c>
      <c r="G29" s="266">
        <f t="shared" si="1"/>
        <v>6.1058727117510578</v>
      </c>
      <c r="H29" s="55">
        <f t="shared" si="2"/>
        <v>43957.315000000002</v>
      </c>
      <c r="I29" s="416">
        <f t="shared" si="3"/>
        <v>2.9603974084212696</v>
      </c>
    </row>
    <row r="30" spans="1:9" x14ac:dyDescent="0.25">
      <c r="A30" s="49">
        <f>'A) Base RI'!A32</f>
        <v>5431</v>
      </c>
      <c r="B30" s="293" t="str">
        <f>'A) Base RI'!B32</f>
        <v>Mollens</v>
      </c>
      <c r="C30" s="10">
        <f>'B) D RI'!Y32</f>
        <v>173206.7</v>
      </c>
      <c r="D30" s="425">
        <f>'B) D RI'!Z32</f>
        <v>178.1</v>
      </c>
      <c r="E30" s="10">
        <f t="shared" si="0"/>
        <v>173384.80000000002</v>
      </c>
      <c r="F30" s="425">
        <f>'B) D RI'!U32</f>
        <v>9333.4747297297308</v>
      </c>
      <c r="G30" s="266">
        <f t="shared" si="1"/>
        <v>18.576661427894681</v>
      </c>
      <c r="H30" s="55">
        <f t="shared" si="2"/>
        <v>86656.78</v>
      </c>
      <c r="I30" s="416">
        <f t="shared" si="3"/>
        <v>9.2845143431924537</v>
      </c>
    </row>
    <row r="31" spans="1:9" x14ac:dyDescent="0.25">
      <c r="A31" s="49">
        <f>'A) Base RI'!A33</f>
        <v>5432</v>
      </c>
      <c r="B31" s="293" t="str">
        <f>'A) Base RI'!B33</f>
        <v>Montherod</v>
      </c>
      <c r="C31" s="10">
        <f>'B) D RI'!Y33</f>
        <v>110281.15</v>
      </c>
      <c r="D31" s="425">
        <f>'B) D RI'!Z33</f>
        <v>17115.900000000001</v>
      </c>
      <c r="E31" s="10">
        <f t="shared" si="0"/>
        <v>127397.04999999999</v>
      </c>
      <c r="F31" s="425">
        <f>'B) D RI'!U33</f>
        <v>16429.509999999998</v>
      </c>
      <c r="G31" s="266">
        <f t="shared" si="1"/>
        <v>7.7541600449435197</v>
      </c>
      <c r="H31" s="55">
        <f t="shared" si="2"/>
        <v>60275.345000000001</v>
      </c>
      <c r="I31" s="416">
        <f t="shared" si="3"/>
        <v>3.6687244476554692</v>
      </c>
    </row>
    <row r="32" spans="1:9" x14ac:dyDescent="0.25">
      <c r="A32" s="49">
        <f>'A) Base RI'!A34</f>
        <v>5434</v>
      </c>
      <c r="B32" s="293" t="str">
        <f>'A) Base RI'!B34</f>
        <v>Saint-George</v>
      </c>
      <c r="C32" s="10">
        <f>'B) D RI'!Y34</f>
        <v>213495.3</v>
      </c>
      <c r="D32" s="425">
        <f>'B) D RI'!Z34</f>
        <v>27638.1</v>
      </c>
      <c r="E32" s="10">
        <f t="shared" si="0"/>
        <v>241133.4</v>
      </c>
      <c r="F32" s="425">
        <f>'B) D RI'!U34</f>
        <v>41434.234652278174</v>
      </c>
      <c r="G32" s="266">
        <f t="shared" si="1"/>
        <v>5.8196658397005478</v>
      </c>
      <c r="H32" s="55">
        <f t="shared" si="2"/>
        <v>115039.07999999999</v>
      </c>
      <c r="I32" s="416">
        <f t="shared" si="3"/>
        <v>2.7764258460527595</v>
      </c>
    </row>
    <row r="33" spans="1:9" x14ac:dyDescent="0.25">
      <c r="A33" s="49">
        <f>'A) Base RI'!A35</f>
        <v>5435</v>
      </c>
      <c r="B33" s="293" t="str">
        <f>'A) Base RI'!B35</f>
        <v>Saint-Livres</v>
      </c>
      <c r="C33" s="10">
        <f>'B) D RI'!Y35</f>
        <v>128307.9</v>
      </c>
      <c r="D33" s="425">
        <f>'B) D RI'!Z35</f>
        <v>18525.05</v>
      </c>
      <c r="E33" s="10">
        <f t="shared" si="0"/>
        <v>146832.94999999998</v>
      </c>
      <c r="F33" s="425">
        <f>'B) D RI'!U35</f>
        <v>26346.510144927532</v>
      </c>
      <c r="G33" s="266">
        <f t="shared" si="1"/>
        <v>5.5731460900247383</v>
      </c>
      <c r="H33" s="55">
        <f t="shared" si="2"/>
        <v>69711.464999999997</v>
      </c>
      <c r="I33" s="416">
        <f t="shared" si="3"/>
        <v>2.6459468300176932</v>
      </c>
    </row>
    <row r="34" spans="1:9" x14ac:dyDescent="0.25">
      <c r="A34" s="49">
        <f>'A) Base RI'!A36</f>
        <v>5436</v>
      </c>
      <c r="B34" s="293" t="str">
        <f>'A) Base RI'!B36</f>
        <v>Saint-Oyens</v>
      </c>
      <c r="C34" s="10">
        <f>'B) D RI'!Y36</f>
        <v>61719.8</v>
      </c>
      <c r="D34" s="425">
        <f>'B) D RI'!Z36</f>
        <v>171.1</v>
      </c>
      <c r="E34" s="10">
        <f t="shared" si="0"/>
        <v>61890.9</v>
      </c>
      <c r="F34" s="425">
        <f>'B) D RI'!U36</f>
        <v>16764.305154320984</v>
      </c>
      <c r="G34" s="266">
        <f t="shared" si="1"/>
        <v>3.691826140736151</v>
      </c>
      <c r="H34" s="55">
        <f t="shared" si="2"/>
        <v>30911.230000000003</v>
      </c>
      <c r="I34" s="416">
        <f t="shared" si="3"/>
        <v>1.8438718285936631</v>
      </c>
    </row>
    <row r="35" spans="1:9" x14ac:dyDescent="0.25">
      <c r="A35" s="49">
        <f>'A) Base RI'!A37</f>
        <v>5437</v>
      </c>
      <c r="B35" s="293" t="str">
        <f>'A) Base RI'!B37</f>
        <v>Saubraz</v>
      </c>
      <c r="C35" s="10">
        <f>'B) D RI'!Y37</f>
        <v>107558.6</v>
      </c>
      <c r="D35" s="425">
        <f>'B) D RI'!Z37</f>
        <v>0</v>
      </c>
      <c r="E35" s="10">
        <f t="shared" si="0"/>
        <v>107558.6</v>
      </c>
      <c r="F35" s="425">
        <f>'B) D RI'!U37</f>
        <v>13391.905875</v>
      </c>
      <c r="G35" s="266">
        <f t="shared" si="1"/>
        <v>8.0316126027132793</v>
      </c>
      <c r="H35" s="55">
        <f t="shared" si="2"/>
        <v>53779.3</v>
      </c>
      <c r="I35" s="416">
        <f t="shared" si="3"/>
        <v>4.0158063013566396</v>
      </c>
    </row>
    <row r="36" spans="1:9" x14ac:dyDescent="0.25">
      <c r="A36" s="49">
        <f>'A) Base RI'!A38</f>
        <v>5451</v>
      </c>
      <c r="B36" s="293" t="str">
        <f>'A) Base RI'!B38</f>
        <v>Avenches</v>
      </c>
      <c r="C36" s="10">
        <f>'B) D RI'!Y38</f>
        <v>622826.44999999995</v>
      </c>
      <c r="D36" s="425">
        <f>'B) D RI'!Z38</f>
        <v>537089.1</v>
      </c>
      <c r="E36" s="10">
        <f t="shared" si="0"/>
        <v>1159915.5499999998</v>
      </c>
      <c r="F36" s="425">
        <f>'B) D RI'!U38</f>
        <v>129500.81187969925</v>
      </c>
      <c r="G36" s="266">
        <f t="shared" si="1"/>
        <v>8.95682068061096</v>
      </c>
      <c r="H36" s="55">
        <f t="shared" si="2"/>
        <v>472539.95499999996</v>
      </c>
      <c r="I36" s="416">
        <f t="shared" si="3"/>
        <v>3.6489343050526162</v>
      </c>
    </row>
    <row r="37" spans="1:9" x14ac:dyDescent="0.25">
      <c r="A37" s="49">
        <f>'A) Base RI'!A39</f>
        <v>5456</v>
      </c>
      <c r="B37" s="293" t="str">
        <f>'A) Base RI'!B39</f>
        <v>Cudrefin</v>
      </c>
      <c r="C37" s="10">
        <f>'B) D RI'!Y39</f>
        <v>361747.9</v>
      </c>
      <c r="D37" s="425">
        <f>'B) D RI'!Z39</f>
        <v>5787.35</v>
      </c>
      <c r="E37" s="10">
        <f t="shared" si="0"/>
        <v>367535.25</v>
      </c>
      <c r="F37" s="425">
        <f>'B) D RI'!U39</f>
        <v>64226.933276836171</v>
      </c>
      <c r="G37" s="266">
        <f t="shared" si="1"/>
        <v>5.722447441415575</v>
      </c>
      <c r="H37" s="55">
        <f t="shared" si="2"/>
        <v>182610.155</v>
      </c>
      <c r="I37" s="416">
        <f t="shared" si="3"/>
        <v>2.8432021534159011</v>
      </c>
    </row>
    <row r="38" spans="1:9" x14ac:dyDescent="0.25">
      <c r="A38" s="49">
        <f>'A) Base RI'!A40</f>
        <v>5458</v>
      </c>
      <c r="B38" s="293" t="str">
        <f>'A) Base RI'!B40</f>
        <v>Faoug</v>
      </c>
      <c r="C38" s="10">
        <f>'B) D RI'!Y40</f>
        <v>162854.29999999999</v>
      </c>
      <c r="D38" s="425">
        <f>'B) D RI'!Z40</f>
        <v>3878.8</v>
      </c>
      <c r="E38" s="10">
        <f t="shared" si="0"/>
        <v>166733.09999999998</v>
      </c>
      <c r="F38" s="425">
        <f>'B) D RI'!U40</f>
        <v>32198.404090909091</v>
      </c>
      <c r="G38" s="266">
        <f t="shared" si="1"/>
        <v>5.1783032329566749</v>
      </c>
      <c r="H38" s="55">
        <f t="shared" si="2"/>
        <v>82590.789999999994</v>
      </c>
      <c r="I38" s="416">
        <f t="shared" si="3"/>
        <v>2.5650584968998107</v>
      </c>
    </row>
    <row r="39" spans="1:9" x14ac:dyDescent="0.25">
      <c r="A39" s="49">
        <f>'A) Base RI'!A41</f>
        <v>5464</v>
      </c>
      <c r="B39" s="293" t="str">
        <f>'A) Base RI'!B41</f>
        <v>Vully-les-Lacs</v>
      </c>
      <c r="C39" s="10">
        <f>'B) D RI'!Y41</f>
        <v>463893.05000000005</v>
      </c>
      <c r="D39" s="425">
        <f>'B) D RI'!Z41</f>
        <v>1564.15</v>
      </c>
      <c r="E39" s="10">
        <f t="shared" si="0"/>
        <v>465457.20000000007</v>
      </c>
      <c r="F39" s="425">
        <f>'B) D RI'!U41</f>
        <v>111597.31895522389</v>
      </c>
      <c r="G39" s="266">
        <f t="shared" si="1"/>
        <v>4.1708636404316763</v>
      </c>
      <c r="H39" s="55">
        <f t="shared" si="2"/>
        <v>232415.77000000002</v>
      </c>
      <c r="I39" s="416">
        <f t="shared" si="3"/>
        <v>2.082628616671804</v>
      </c>
    </row>
    <row r="40" spans="1:9" x14ac:dyDescent="0.25">
      <c r="A40" s="49">
        <f>'A) Base RI'!A42</f>
        <v>5471</v>
      </c>
      <c r="B40" s="293" t="str">
        <f>'A) Base RI'!B42</f>
        <v>Bettens</v>
      </c>
      <c r="C40" s="10">
        <f>'B) D RI'!Y42</f>
        <v>55946.25</v>
      </c>
      <c r="D40" s="425">
        <f>'B) D RI'!Z42</f>
        <v>24383.75</v>
      </c>
      <c r="E40" s="10">
        <f t="shared" si="0"/>
        <v>80330</v>
      </c>
      <c r="F40" s="425">
        <f>'B) D RI'!U42</f>
        <v>20385.282730158731</v>
      </c>
      <c r="G40" s="266">
        <f t="shared" si="1"/>
        <v>3.9405879753218662</v>
      </c>
      <c r="H40" s="55">
        <f t="shared" si="2"/>
        <v>35288.25</v>
      </c>
      <c r="I40" s="416">
        <f t="shared" si="3"/>
        <v>1.7310650270154593</v>
      </c>
    </row>
    <row r="41" spans="1:9" x14ac:dyDescent="0.25">
      <c r="A41" s="49">
        <f>'A) Base RI'!A43</f>
        <v>5472</v>
      </c>
      <c r="B41" s="293" t="str">
        <f>'A) Base RI'!B43</f>
        <v>Bournens</v>
      </c>
      <c r="C41" s="10">
        <f>'B) D RI'!Y43</f>
        <v>174358.15000000002</v>
      </c>
      <c r="D41" s="425">
        <f>'B) D RI'!Z43</f>
        <v>0</v>
      </c>
      <c r="E41" s="10">
        <f t="shared" si="0"/>
        <v>174358.15000000002</v>
      </c>
      <c r="F41" s="425">
        <f>'B) D RI'!U43</f>
        <v>20143.161388888886</v>
      </c>
      <c r="G41" s="266">
        <f t="shared" si="1"/>
        <v>8.6559476257871442</v>
      </c>
      <c r="H41" s="55">
        <f t="shared" si="2"/>
        <v>87179.075000000012</v>
      </c>
      <c r="I41" s="416">
        <f t="shared" si="3"/>
        <v>4.3279738128935721</v>
      </c>
    </row>
    <row r="42" spans="1:9" x14ac:dyDescent="0.25">
      <c r="A42" s="49">
        <f>'A) Base RI'!A44</f>
        <v>5473</v>
      </c>
      <c r="B42" s="293" t="str">
        <f>'A) Base RI'!B44</f>
        <v>Boussens</v>
      </c>
      <c r="C42" s="10">
        <f>'B) D RI'!Y44</f>
        <v>93565.299999999988</v>
      </c>
      <c r="D42" s="425">
        <f>'B) D RI'!Z44</f>
        <v>5808.45</v>
      </c>
      <c r="E42" s="10">
        <f t="shared" si="0"/>
        <v>99373.749999999985</v>
      </c>
      <c r="F42" s="425">
        <f>'B) D RI'!U44</f>
        <v>37775.140592592586</v>
      </c>
      <c r="G42" s="266">
        <f t="shared" si="1"/>
        <v>2.6306652587147861</v>
      </c>
      <c r="H42" s="55">
        <f t="shared" si="2"/>
        <v>48525.184999999998</v>
      </c>
      <c r="I42" s="416">
        <f t="shared" si="3"/>
        <v>1.2845798649261788</v>
      </c>
    </row>
    <row r="43" spans="1:9" x14ac:dyDescent="0.25">
      <c r="A43" s="49">
        <f>'A) Base RI'!A45</f>
        <v>5474</v>
      </c>
      <c r="B43" s="293" t="str">
        <f>'A) Base RI'!B45</f>
        <v>La Chaux (Cossonay)</v>
      </c>
      <c r="C43" s="10">
        <f>'B) D RI'!Y45</f>
        <v>107096.65</v>
      </c>
      <c r="D43" s="425">
        <f>'B) D RI'!Z45</f>
        <v>2422.9499999999998</v>
      </c>
      <c r="E43" s="10">
        <f t="shared" si="0"/>
        <v>109519.59999999999</v>
      </c>
      <c r="F43" s="425">
        <f>'B) D RI'!U45</f>
        <v>13182.521580086577</v>
      </c>
      <c r="G43" s="266">
        <f t="shared" si="1"/>
        <v>8.3079401262228547</v>
      </c>
      <c r="H43" s="55">
        <f t="shared" si="2"/>
        <v>54275.21</v>
      </c>
      <c r="I43" s="416">
        <f t="shared" si="3"/>
        <v>4.1172100246729535</v>
      </c>
    </row>
    <row r="44" spans="1:9" x14ac:dyDescent="0.25">
      <c r="A44" s="49">
        <f>'A) Base RI'!A46</f>
        <v>5475</v>
      </c>
      <c r="B44" s="293" t="str">
        <f>'A) Base RI'!B46</f>
        <v>Chavannes-le-Veyron</v>
      </c>
      <c r="C44" s="10">
        <f>'B) D RI'!Y46</f>
        <v>23527.8</v>
      </c>
      <c r="D44" s="425">
        <f>'B) D RI'!Z46</f>
        <v>0</v>
      </c>
      <c r="E44" s="10">
        <f t="shared" si="0"/>
        <v>23527.8</v>
      </c>
      <c r="F44" s="425">
        <f>'B) D RI'!U46</f>
        <v>3874.6645454545451</v>
      </c>
      <c r="G44" s="266">
        <f t="shared" si="1"/>
        <v>6.0722159877300816</v>
      </c>
      <c r="H44" s="55">
        <f t="shared" si="2"/>
        <v>11763.9</v>
      </c>
      <c r="I44" s="416">
        <f t="shared" si="3"/>
        <v>3.0361079938650408</v>
      </c>
    </row>
    <row r="45" spans="1:9" x14ac:dyDescent="0.25">
      <c r="A45" s="49">
        <f>'A) Base RI'!A47</f>
        <v>5476</v>
      </c>
      <c r="B45" s="293" t="str">
        <f>'A) Base RI'!B47</f>
        <v>Chevilly</v>
      </c>
      <c r="C45" s="10">
        <f>'B) D RI'!Y47</f>
        <v>13231.1</v>
      </c>
      <c r="D45" s="425">
        <f>'B) D RI'!Z47</f>
        <v>0</v>
      </c>
      <c r="E45" s="10">
        <f t="shared" si="0"/>
        <v>13231.1</v>
      </c>
      <c r="F45" s="425">
        <f>'B) D RI'!U47</f>
        <v>11839.396756756756</v>
      </c>
      <c r="G45" s="266">
        <f t="shared" si="1"/>
        <v>1.1175484927007786</v>
      </c>
      <c r="H45" s="55">
        <f t="shared" si="2"/>
        <v>6615.55</v>
      </c>
      <c r="I45" s="416">
        <f t="shared" si="3"/>
        <v>0.5587742463503893</v>
      </c>
    </row>
    <row r="46" spans="1:9" x14ac:dyDescent="0.25">
      <c r="A46" s="49">
        <f>'A) Base RI'!A48</f>
        <v>5477</v>
      </c>
      <c r="B46" s="293" t="str">
        <f>'A) Base RI'!B48</f>
        <v>Cossonay</v>
      </c>
      <c r="C46" s="10">
        <f>'B) D RI'!Y48</f>
        <v>1416385.5499999998</v>
      </c>
      <c r="D46" s="425">
        <f>'B) D RI'!Z48</f>
        <v>78423.75</v>
      </c>
      <c r="E46" s="10">
        <f t="shared" si="0"/>
        <v>1494809.2999999998</v>
      </c>
      <c r="F46" s="425">
        <f>'B) D RI'!U48</f>
        <v>119154.03251798562</v>
      </c>
      <c r="G46" s="266">
        <f t="shared" si="1"/>
        <v>12.545184316564082</v>
      </c>
      <c r="H46" s="55">
        <f t="shared" si="2"/>
        <v>731719.89999999991</v>
      </c>
      <c r="I46" s="416">
        <f t="shared" si="3"/>
        <v>6.1409579225910882</v>
      </c>
    </row>
    <row r="47" spans="1:9" x14ac:dyDescent="0.25">
      <c r="A47" s="49">
        <f>'A) Base RI'!A49</f>
        <v>5478</v>
      </c>
      <c r="B47" s="293" t="str">
        <f>'A) Base RI'!B49</f>
        <v>Cottens</v>
      </c>
      <c r="C47" s="10">
        <f>'B) D RI'!Y49</f>
        <v>9277.4500000000007</v>
      </c>
      <c r="D47" s="425">
        <f>'B) D RI'!Z49</f>
        <v>0</v>
      </c>
      <c r="E47" s="10">
        <f t="shared" si="0"/>
        <v>9277.4500000000007</v>
      </c>
      <c r="F47" s="425">
        <f>'B) D RI'!U49</f>
        <v>16291.497837837833</v>
      </c>
      <c r="G47" s="266">
        <f t="shared" si="1"/>
        <v>0.56946574786098858</v>
      </c>
      <c r="H47" s="55">
        <f t="shared" si="2"/>
        <v>4638.7250000000004</v>
      </c>
      <c r="I47" s="416">
        <f t="shared" si="3"/>
        <v>0.28473287393049429</v>
      </c>
    </row>
    <row r="48" spans="1:9" x14ac:dyDescent="0.25">
      <c r="A48" s="49">
        <f>'A) Base RI'!A50</f>
        <v>5479</v>
      </c>
      <c r="B48" s="293" t="str">
        <f>'A) Base RI'!B50</f>
        <v>Cuarnens</v>
      </c>
      <c r="C48" s="10">
        <f>'B) D RI'!Y50</f>
        <v>162264.29999999999</v>
      </c>
      <c r="D48" s="425">
        <f>'B) D RI'!Z50</f>
        <v>8570.9500000000007</v>
      </c>
      <c r="E48" s="10">
        <f t="shared" si="0"/>
        <v>170835.25</v>
      </c>
      <c r="F48" s="425">
        <f>'B) D RI'!U50</f>
        <v>18068.978311688308</v>
      </c>
      <c r="G48" s="266">
        <f t="shared" si="1"/>
        <v>9.4546159197884219</v>
      </c>
      <c r="H48" s="55">
        <f t="shared" si="2"/>
        <v>83703.434999999998</v>
      </c>
      <c r="I48" s="416">
        <f t="shared" si="3"/>
        <v>4.6324387331769961</v>
      </c>
    </row>
    <row r="49" spans="1:9" x14ac:dyDescent="0.25">
      <c r="A49" s="49">
        <f>'A) Base RI'!A51</f>
        <v>5480</v>
      </c>
      <c r="B49" s="293" t="str">
        <f>'A) Base RI'!B51</f>
        <v>Daillens</v>
      </c>
      <c r="C49" s="10">
        <f>'B) D RI'!Y51</f>
        <v>210064.8</v>
      </c>
      <c r="D49" s="425">
        <f>'B) D RI'!Z51</f>
        <v>204900.85</v>
      </c>
      <c r="E49" s="10">
        <f t="shared" si="0"/>
        <v>414965.65</v>
      </c>
      <c r="F49" s="425">
        <f>'B) D RI'!U51</f>
        <v>40977.441060606063</v>
      </c>
      <c r="G49" s="266">
        <f t="shared" si="1"/>
        <v>10.126685299510564</v>
      </c>
      <c r="H49" s="55">
        <f t="shared" si="2"/>
        <v>166502.655</v>
      </c>
      <c r="I49" s="416">
        <f t="shared" si="3"/>
        <v>4.0632760536154722</v>
      </c>
    </row>
    <row r="50" spans="1:9" x14ac:dyDescent="0.25">
      <c r="A50" s="49">
        <f>'A) Base RI'!A52</f>
        <v>5481</v>
      </c>
      <c r="B50" s="293" t="str">
        <f>'A) Base RI'!B52</f>
        <v>Dizy</v>
      </c>
      <c r="C50" s="10">
        <f>'B) D RI'!Y52</f>
        <v>7673.55</v>
      </c>
      <c r="D50" s="425">
        <f>'B) D RI'!Z52</f>
        <v>0</v>
      </c>
      <c r="E50" s="10">
        <f t="shared" si="0"/>
        <v>7673.55</v>
      </c>
      <c r="F50" s="425">
        <f>'B) D RI'!U52</f>
        <v>8124.1672000000008</v>
      </c>
      <c r="G50" s="266">
        <f t="shared" si="1"/>
        <v>0.94453373633176818</v>
      </c>
      <c r="H50" s="55">
        <f t="shared" si="2"/>
        <v>3836.7750000000001</v>
      </c>
      <c r="I50" s="416">
        <f t="shared" si="3"/>
        <v>0.47226686816588409</v>
      </c>
    </row>
    <row r="51" spans="1:9" x14ac:dyDescent="0.25">
      <c r="A51" s="49">
        <f>'A) Base RI'!A53</f>
        <v>5482</v>
      </c>
      <c r="B51" s="293" t="str">
        <f>'A) Base RI'!B53</f>
        <v>Eclépens</v>
      </c>
      <c r="C51" s="10">
        <f>'B) D RI'!Y53</f>
        <v>105115.09999999999</v>
      </c>
      <c r="D51" s="425">
        <f>'B) D RI'!Z53</f>
        <v>338711.25</v>
      </c>
      <c r="E51" s="10">
        <f t="shared" si="0"/>
        <v>443826.35</v>
      </c>
      <c r="F51" s="425">
        <f>'B) D RI'!U53</f>
        <v>70911.930217391302</v>
      </c>
      <c r="G51" s="266">
        <f t="shared" si="1"/>
        <v>6.258838937811773</v>
      </c>
      <c r="H51" s="55">
        <f t="shared" si="2"/>
        <v>154170.92499999999</v>
      </c>
      <c r="I51" s="416">
        <f t="shared" si="3"/>
        <v>2.1741182975469089</v>
      </c>
    </row>
    <row r="52" spans="1:9" x14ac:dyDescent="0.25">
      <c r="A52" s="49">
        <f>'A) Base RI'!A54</f>
        <v>5483</v>
      </c>
      <c r="B52" s="293" t="str">
        <f>'A) Base RI'!B54</f>
        <v>Ferreyres</v>
      </c>
      <c r="C52" s="10">
        <f>'B) D RI'!Y54</f>
        <v>19196.7</v>
      </c>
      <c r="D52" s="425">
        <f>'B) D RI'!Z54</f>
        <v>0</v>
      </c>
      <c r="E52" s="10">
        <f t="shared" si="0"/>
        <v>19196.7</v>
      </c>
      <c r="F52" s="425">
        <f>'B) D RI'!U54</f>
        <v>10820.315000000001</v>
      </c>
      <c r="G52" s="266">
        <f t="shared" si="1"/>
        <v>1.7741350413550807</v>
      </c>
      <c r="H52" s="55">
        <f t="shared" si="2"/>
        <v>9598.35</v>
      </c>
      <c r="I52" s="416">
        <f t="shared" si="3"/>
        <v>0.88706752067754036</v>
      </c>
    </row>
    <row r="53" spans="1:9" x14ac:dyDescent="0.25">
      <c r="A53" s="49">
        <f>'A) Base RI'!A55</f>
        <v>5484</v>
      </c>
      <c r="B53" s="293" t="str">
        <f>'A) Base RI'!B55</f>
        <v>Gollion</v>
      </c>
      <c r="C53" s="10">
        <f>'B) D RI'!Y55</f>
        <v>209515.1</v>
      </c>
      <c r="D53" s="425">
        <f>'B) D RI'!Z55</f>
        <v>25418.75</v>
      </c>
      <c r="E53" s="10">
        <f t="shared" si="0"/>
        <v>234933.85</v>
      </c>
      <c r="F53" s="425">
        <f>'B) D RI'!U55</f>
        <v>34996.98554054054</v>
      </c>
      <c r="G53" s="266">
        <f t="shared" si="1"/>
        <v>6.7129738853608529</v>
      </c>
      <c r="H53" s="55">
        <f t="shared" si="2"/>
        <v>112383.175</v>
      </c>
      <c r="I53" s="416">
        <f t="shared" si="3"/>
        <v>3.211224431596122</v>
      </c>
    </row>
    <row r="54" spans="1:9" x14ac:dyDescent="0.25">
      <c r="A54" s="49">
        <f>'A) Base RI'!A56</f>
        <v>5485</v>
      </c>
      <c r="B54" s="293" t="str">
        <f>'A) Base RI'!B56</f>
        <v>Grancy</v>
      </c>
      <c r="C54" s="10">
        <f>'B) D RI'!Y56</f>
        <v>154326.6</v>
      </c>
      <c r="D54" s="425">
        <f>'B) D RI'!Z56</f>
        <v>13845.05</v>
      </c>
      <c r="E54" s="10">
        <f t="shared" si="0"/>
        <v>168171.65</v>
      </c>
      <c r="F54" s="425">
        <f>'B) D RI'!U56</f>
        <v>14542.352714285715</v>
      </c>
      <c r="G54" s="266">
        <f t="shared" si="1"/>
        <v>11.56426702776891</v>
      </c>
      <c r="H54" s="55">
        <f t="shared" si="2"/>
        <v>81316.815000000002</v>
      </c>
      <c r="I54" s="416">
        <f t="shared" si="3"/>
        <v>5.591723471272859</v>
      </c>
    </row>
    <row r="55" spans="1:9" x14ac:dyDescent="0.25">
      <c r="A55" s="49">
        <f>'A) Base RI'!A57</f>
        <v>5486</v>
      </c>
      <c r="B55" s="293" t="str">
        <f>'A) Base RI'!B57</f>
        <v>L'Isle</v>
      </c>
      <c r="C55" s="10">
        <f>'B) D RI'!Y57</f>
        <v>111508.7</v>
      </c>
      <c r="D55" s="425">
        <f>'B) D RI'!Z57</f>
        <v>54932.45</v>
      </c>
      <c r="E55" s="10">
        <f t="shared" si="0"/>
        <v>166441.15</v>
      </c>
      <c r="F55" s="425">
        <f>'B) D RI'!U57</f>
        <v>37459.560399999995</v>
      </c>
      <c r="G55" s="266">
        <f t="shared" si="1"/>
        <v>4.4432221900820812</v>
      </c>
      <c r="H55" s="55">
        <f t="shared" si="2"/>
        <v>72234.084999999992</v>
      </c>
      <c r="I55" s="416">
        <f t="shared" si="3"/>
        <v>1.9283217482712371</v>
      </c>
    </row>
    <row r="56" spans="1:9" x14ac:dyDescent="0.25">
      <c r="A56" s="49">
        <f>'A) Base RI'!A58</f>
        <v>5487</v>
      </c>
      <c r="B56" s="293" t="str">
        <f>'A) Base RI'!B58</f>
        <v>Lussery-Villars</v>
      </c>
      <c r="C56" s="10">
        <f>'B) D RI'!Y58</f>
        <v>31031.1</v>
      </c>
      <c r="D56" s="425">
        <f>'B) D RI'!Z58</f>
        <v>0</v>
      </c>
      <c r="E56" s="10">
        <f t="shared" si="0"/>
        <v>31031.1</v>
      </c>
      <c r="F56" s="425">
        <f>'B) D RI'!U58</f>
        <v>12889.865466666668</v>
      </c>
      <c r="G56" s="266">
        <f t="shared" si="1"/>
        <v>2.4074029383973605</v>
      </c>
      <c r="H56" s="55">
        <f t="shared" si="2"/>
        <v>15515.55</v>
      </c>
      <c r="I56" s="416">
        <f t="shared" si="3"/>
        <v>1.2037014691986803</v>
      </c>
    </row>
    <row r="57" spans="1:9" x14ac:dyDescent="0.25">
      <c r="A57" s="49">
        <f>'A) Base RI'!A59</f>
        <v>5488</v>
      </c>
      <c r="B57" s="293" t="str">
        <f>'A) Base RI'!B59</f>
        <v>Mauraz</v>
      </c>
      <c r="C57" s="10">
        <f>'B) D RI'!Y59</f>
        <v>0</v>
      </c>
      <c r="D57" s="425">
        <f>'B) D RI'!Z59</f>
        <v>0</v>
      </c>
      <c r="E57" s="10">
        <f t="shared" si="0"/>
        <v>0</v>
      </c>
      <c r="F57" s="425">
        <f>'B) D RI'!U59</f>
        <v>1632.1631168831173</v>
      </c>
      <c r="G57" s="266">
        <f t="shared" si="1"/>
        <v>0</v>
      </c>
      <c r="H57" s="55">
        <f t="shared" si="2"/>
        <v>0</v>
      </c>
      <c r="I57" s="416">
        <f t="shared" si="3"/>
        <v>0</v>
      </c>
    </row>
    <row r="58" spans="1:9" x14ac:dyDescent="0.25">
      <c r="A58" s="49">
        <f>'A) Base RI'!A60</f>
        <v>5489</v>
      </c>
      <c r="B58" s="293" t="str">
        <f>'A) Base RI'!B60</f>
        <v>Mex</v>
      </c>
      <c r="C58" s="10">
        <f>'B) D RI'!Y60</f>
        <v>522544.5</v>
      </c>
      <c r="D58" s="425">
        <f>'B) D RI'!Z60</f>
        <v>150502.45000000001</v>
      </c>
      <c r="E58" s="10">
        <f t="shared" si="0"/>
        <v>673046.95</v>
      </c>
      <c r="F58" s="425">
        <f>'B) D RI'!U60</f>
        <v>57496.164201680658</v>
      </c>
      <c r="G58" s="266">
        <f t="shared" si="1"/>
        <v>11.705945246001754</v>
      </c>
      <c r="H58" s="55">
        <f t="shared" si="2"/>
        <v>306422.98499999999</v>
      </c>
      <c r="I58" s="416">
        <f t="shared" si="3"/>
        <v>5.3294509165020614</v>
      </c>
    </row>
    <row r="59" spans="1:9" x14ac:dyDescent="0.25">
      <c r="A59" s="49">
        <f>'A) Base RI'!A61</f>
        <v>5490</v>
      </c>
      <c r="B59" s="293" t="str">
        <f>'A) Base RI'!B61</f>
        <v>Moiry</v>
      </c>
      <c r="C59" s="10">
        <f>'B) D RI'!Y61</f>
        <v>39652.35</v>
      </c>
      <c r="D59" s="425">
        <f>'B) D RI'!Z61</f>
        <v>0</v>
      </c>
      <c r="E59" s="10">
        <f t="shared" si="0"/>
        <v>39652.35</v>
      </c>
      <c r="F59" s="425">
        <f>'B) D RI'!U61</f>
        <v>8655.909290322581</v>
      </c>
      <c r="G59" s="266">
        <f t="shared" si="1"/>
        <v>4.5809572016116018</v>
      </c>
      <c r="H59" s="55">
        <f t="shared" si="2"/>
        <v>19826.174999999999</v>
      </c>
      <c r="I59" s="416">
        <f t="shared" si="3"/>
        <v>2.2904786008058009</v>
      </c>
    </row>
    <row r="60" spans="1:9" x14ac:dyDescent="0.25">
      <c r="A60" s="49">
        <f>'A) Base RI'!A62</f>
        <v>5491</v>
      </c>
      <c r="B60" s="293" t="str">
        <f>'A) Base RI'!B62</f>
        <v>Mont-la-Ville</v>
      </c>
      <c r="C60" s="10">
        <f>'B) D RI'!Y62</f>
        <v>92961.2</v>
      </c>
      <c r="D60" s="425">
        <f>'B) D RI'!Z62</f>
        <v>1976.15</v>
      </c>
      <c r="E60" s="10">
        <f t="shared" si="0"/>
        <v>94937.349999999991</v>
      </c>
      <c r="F60" s="425">
        <f>'B) D RI'!U62</f>
        <v>14323.284736842104</v>
      </c>
      <c r="G60" s="266">
        <f t="shared" si="1"/>
        <v>6.6281828326573571</v>
      </c>
      <c r="H60" s="55">
        <f t="shared" si="2"/>
        <v>47073.445</v>
      </c>
      <c r="I60" s="416">
        <f t="shared" si="3"/>
        <v>3.286497885426972</v>
      </c>
    </row>
    <row r="61" spans="1:9" x14ac:dyDescent="0.25">
      <c r="A61" s="49">
        <f>'A) Base RI'!A63</f>
        <v>5492</v>
      </c>
      <c r="B61" s="293" t="str">
        <f>'A) Base RI'!B63</f>
        <v>Montricher</v>
      </c>
      <c r="C61" s="10">
        <f>'B) D RI'!Y63</f>
        <v>320078.65000000002</v>
      </c>
      <c r="D61" s="425">
        <f>'B) D RI'!Z63</f>
        <v>6535.1</v>
      </c>
      <c r="E61" s="10">
        <f t="shared" si="0"/>
        <v>326613.75</v>
      </c>
      <c r="F61" s="425">
        <f>'B) D RI'!U63</f>
        <v>157154.96692708335</v>
      </c>
      <c r="G61" s="266">
        <f t="shared" si="1"/>
        <v>2.0782909785571206</v>
      </c>
      <c r="H61" s="55">
        <f t="shared" si="2"/>
        <v>161999.85500000001</v>
      </c>
      <c r="I61" s="416">
        <f t="shared" si="3"/>
        <v>1.0308287301868391</v>
      </c>
    </row>
    <row r="62" spans="1:9" x14ac:dyDescent="0.25">
      <c r="A62" s="49">
        <f>'A) Base RI'!A64</f>
        <v>5493</v>
      </c>
      <c r="B62" s="293" t="str">
        <f>'A) Base RI'!B64</f>
        <v>Orny</v>
      </c>
      <c r="C62" s="10">
        <f>'B) D RI'!Y64</f>
        <v>123071</v>
      </c>
      <c r="D62" s="425">
        <f>'B) D RI'!Z64</f>
        <v>72407.399999999994</v>
      </c>
      <c r="E62" s="10">
        <f t="shared" si="0"/>
        <v>195478.39999999999</v>
      </c>
      <c r="F62" s="425">
        <f>'B) D RI'!U64</f>
        <v>12885.017723919913</v>
      </c>
      <c r="G62" s="266">
        <f t="shared" si="1"/>
        <v>15.17098417622751</v>
      </c>
      <c r="H62" s="55">
        <f t="shared" si="2"/>
        <v>83257.72</v>
      </c>
      <c r="I62" s="416">
        <f t="shared" si="3"/>
        <v>6.4615914222173938</v>
      </c>
    </row>
    <row r="63" spans="1:9" x14ac:dyDescent="0.25">
      <c r="A63" s="49">
        <f>'A) Base RI'!A65</f>
        <v>5494</v>
      </c>
      <c r="B63" s="293" t="str">
        <f>'A) Base RI'!B65</f>
        <v>Pampigny</v>
      </c>
      <c r="C63" s="10">
        <f>'B) D RI'!Y65</f>
        <v>194382.1</v>
      </c>
      <c r="D63" s="425">
        <f>'B) D RI'!Z65</f>
        <v>25200.400000000001</v>
      </c>
      <c r="E63" s="10">
        <f t="shared" si="0"/>
        <v>219582.5</v>
      </c>
      <c r="F63" s="425">
        <f>'B) D RI'!U65</f>
        <v>36607.87342465754</v>
      </c>
      <c r="G63" s="266">
        <f t="shared" si="1"/>
        <v>5.9982315130083022</v>
      </c>
      <c r="H63" s="55">
        <f t="shared" si="2"/>
        <v>104751.17</v>
      </c>
      <c r="I63" s="416">
        <f t="shared" si="3"/>
        <v>2.8614382699827621</v>
      </c>
    </row>
    <row r="64" spans="1:9" x14ac:dyDescent="0.25">
      <c r="A64" s="49">
        <f>'A) Base RI'!A66</f>
        <v>5495</v>
      </c>
      <c r="B64" s="293" t="str">
        <f>'A) Base RI'!B66</f>
        <v>Penthalaz</v>
      </c>
      <c r="C64" s="10">
        <f>'B) D RI'!Y66</f>
        <v>425138.75</v>
      </c>
      <c r="D64" s="425">
        <f>'B) D RI'!Z66</f>
        <v>253218.8</v>
      </c>
      <c r="E64" s="10">
        <f t="shared" si="0"/>
        <v>678357.55</v>
      </c>
      <c r="F64" s="425">
        <f>'B) D RI'!U66</f>
        <v>93361.472702702697</v>
      </c>
      <c r="G64" s="266">
        <f t="shared" si="1"/>
        <v>7.2659259795541171</v>
      </c>
      <c r="H64" s="55">
        <f t="shared" si="2"/>
        <v>288535.01500000001</v>
      </c>
      <c r="I64" s="416">
        <f t="shared" si="3"/>
        <v>3.0905148199493566</v>
      </c>
    </row>
    <row r="65" spans="1:9" x14ac:dyDescent="0.25">
      <c r="A65" s="49">
        <f>'A) Base RI'!A67</f>
        <v>5496</v>
      </c>
      <c r="B65" s="293" t="str">
        <f>'A) Base RI'!B67</f>
        <v>Penthaz</v>
      </c>
      <c r="C65" s="10">
        <f>'B) D RI'!Y67</f>
        <v>309285.25</v>
      </c>
      <c r="D65" s="425">
        <f>'B) D RI'!Z67</f>
        <v>84746.65</v>
      </c>
      <c r="E65" s="10">
        <f t="shared" si="0"/>
        <v>394031.9</v>
      </c>
      <c r="F65" s="425">
        <f>'B) D RI'!U67</f>
        <v>60131.11913669065</v>
      </c>
      <c r="G65" s="266">
        <f t="shared" si="1"/>
        <v>6.5528782044498932</v>
      </c>
      <c r="H65" s="55">
        <f t="shared" si="2"/>
        <v>180066.62</v>
      </c>
      <c r="I65" s="416">
        <f t="shared" si="3"/>
        <v>2.9945662509734898</v>
      </c>
    </row>
    <row r="66" spans="1:9" x14ac:dyDescent="0.25">
      <c r="A66" s="49">
        <f>'A) Base RI'!A68</f>
        <v>5497</v>
      </c>
      <c r="B66" s="293" t="str">
        <f>'A) Base RI'!B68</f>
        <v>Pompaples</v>
      </c>
      <c r="C66" s="10">
        <f>'B) D RI'!Y68</f>
        <v>32638.5</v>
      </c>
      <c r="D66" s="425">
        <f>'B) D RI'!Z68</f>
        <v>213258.85</v>
      </c>
      <c r="E66" s="10">
        <f t="shared" si="0"/>
        <v>245897.35</v>
      </c>
      <c r="F66" s="425">
        <f>'B) D RI'!U68</f>
        <v>20396.986060606061</v>
      </c>
      <c r="G66" s="266">
        <f t="shared" si="1"/>
        <v>12.055572782633632</v>
      </c>
      <c r="H66" s="55">
        <f t="shared" si="2"/>
        <v>80296.904999999999</v>
      </c>
      <c r="I66" s="416">
        <f t="shared" si="3"/>
        <v>3.9367044112013341</v>
      </c>
    </row>
    <row r="67" spans="1:9" x14ac:dyDescent="0.25">
      <c r="A67" s="49">
        <f>'A) Base RI'!A69</f>
        <v>5498</v>
      </c>
      <c r="B67" s="293" t="str">
        <f>'A) Base RI'!B69</f>
        <v>La Sarraz</v>
      </c>
      <c r="C67" s="10">
        <f>'B) D RI'!Y69</f>
        <v>292584.59999999998</v>
      </c>
      <c r="D67" s="425">
        <f>'B) D RI'!Z69</f>
        <v>80908.7</v>
      </c>
      <c r="E67" s="10">
        <f t="shared" si="0"/>
        <v>373493.3</v>
      </c>
      <c r="F67" s="425">
        <f>'B) D RI'!U69</f>
        <v>77508.241969696974</v>
      </c>
      <c r="G67" s="266">
        <f t="shared" si="1"/>
        <v>4.8187559220608165</v>
      </c>
      <c r="H67" s="55">
        <f t="shared" si="2"/>
        <v>170564.90999999997</v>
      </c>
      <c r="I67" s="416">
        <f t="shared" si="3"/>
        <v>2.2006035186127035</v>
      </c>
    </row>
    <row r="68" spans="1:9" x14ac:dyDescent="0.25">
      <c r="A68" s="49">
        <f>'A) Base RI'!A70</f>
        <v>5499</v>
      </c>
      <c r="B68" s="293" t="str">
        <f>'A) Base RI'!B70</f>
        <v>Senarclens</v>
      </c>
      <c r="C68" s="10">
        <f>'B) D RI'!Y70</f>
        <v>241958.5</v>
      </c>
      <c r="D68" s="425">
        <f>'B) D RI'!Z70</f>
        <v>15029.85</v>
      </c>
      <c r="E68" s="10">
        <f t="shared" si="0"/>
        <v>256988.35</v>
      </c>
      <c r="F68" s="425">
        <f>'B) D RI'!U70</f>
        <v>19654.447445255475</v>
      </c>
      <c r="G68" s="266">
        <f t="shared" si="1"/>
        <v>13.075328152358525</v>
      </c>
      <c r="H68" s="55">
        <f t="shared" si="2"/>
        <v>125488.205</v>
      </c>
      <c r="I68" s="416">
        <f t="shared" si="3"/>
        <v>6.3847231192598333</v>
      </c>
    </row>
    <row r="69" spans="1:9" x14ac:dyDescent="0.25">
      <c r="A69" s="49">
        <f>'A) Base RI'!A71</f>
        <v>5500</v>
      </c>
      <c r="B69" s="293" t="str">
        <f>'A) Base RI'!B71</f>
        <v>Sévery</v>
      </c>
      <c r="C69" s="10">
        <f>'B) D RI'!Y71</f>
        <v>27686.550000000003</v>
      </c>
      <c r="D69" s="425">
        <f>'B) D RI'!Z71</f>
        <v>0</v>
      </c>
      <c r="E69" s="10">
        <f t="shared" si="0"/>
        <v>27686.550000000003</v>
      </c>
      <c r="F69" s="425">
        <f>'B) D RI'!U71</f>
        <v>7516.1401369863015</v>
      </c>
      <c r="G69" s="266">
        <f t="shared" si="1"/>
        <v>3.6836127979781521</v>
      </c>
      <c r="H69" s="55">
        <f t="shared" si="2"/>
        <v>13843.275000000001</v>
      </c>
      <c r="I69" s="416">
        <f t="shared" si="3"/>
        <v>1.8418063989890761</v>
      </c>
    </row>
    <row r="70" spans="1:9" x14ac:dyDescent="0.25">
      <c r="A70" s="49">
        <f>'A) Base RI'!A72</f>
        <v>5501</v>
      </c>
      <c r="B70" s="293" t="str">
        <f>'A) Base RI'!B72</f>
        <v>Sullens</v>
      </c>
      <c r="C70" s="10">
        <f>'B) D RI'!Y72</f>
        <v>6372305.25</v>
      </c>
      <c r="D70" s="425">
        <f>'B) D RI'!Z72</f>
        <v>6179.4</v>
      </c>
      <c r="E70" s="10">
        <f t="shared" ref="E70:E133" si="4">C70+D70</f>
        <v>6378484.6500000004</v>
      </c>
      <c r="F70" s="425">
        <f>'B) D RI'!U72</f>
        <v>41921.141459854021</v>
      </c>
      <c r="G70" s="266">
        <f t="shared" ref="G70:G133" si="5">E70/F70</f>
        <v>152.15436478771423</v>
      </c>
      <c r="H70" s="55">
        <f t="shared" ref="H70:H133" si="6">(C70*$C$4)+(D70*$D$4)</f>
        <v>3188006.4449999998</v>
      </c>
      <c r="I70" s="416">
        <f t="shared" ref="I70:I133" si="7">H70/F70</f>
        <v>76.047701326382281</v>
      </c>
    </row>
    <row r="71" spans="1:9" x14ac:dyDescent="0.25">
      <c r="A71" s="49">
        <f>'A) Base RI'!A73</f>
        <v>5503</v>
      </c>
      <c r="B71" s="293" t="str">
        <f>'A) Base RI'!B73</f>
        <v>Vufflens-la-Ville</v>
      </c>
      <c r="C71" s="10">
        <f>'B) D RI'!Y73</f>
        <v>239471.15000000002</v>
      </c>
      <c r="D71" s="425">
        <f>'B) D RI'!Z73</f>
        <v>90208.95</v>
      </c>
      <c r="E71" s="10">
        <f t="shared" si="4"/>
        <v>329680.10000000003</v>
      </c>
      <c r="F71" s="425">
        <f>'B) D RI'!U73</f>
        <v>67911.005771144279</v>
      </c>
      <c r="G71" s="266">
        <f t="shared" si="5"/>
        <v>4.8545901545178225</v>
      </c>
      <c r="H71" s="55">
        <f t="shared" si="6"/>
        <v>146798.26</v>
      </c>
      <c r="I71" s="416">
        <f t="shared" si="7"/>
        <v>2.161626945928333</v>
      </c>
    </row>
    <row r="72" spans="1:9" x14ac:dyDescent="0.25">
      <c r="A72" s="49">
        <f>'A) Base RI'!A74</f>
        <v>5511</v>
      </c>
      <c r="B72" s="293" t="str">
        <f>'A) Base RI'!B74</f>
        <v>Assens</v>
      </c>
      <c r="C72" s="10">
        <f>'B) D RI'!Y74</f>
        <v>117251.2</v>
      </c>
      <c r="D72" s="425">
        <f>'B) D RI'!Z74</f>
        <v>19141.8</v>
      </c>
      <c r="E72" s="10">
        <f t="shared" si="4"/>
        <v>136393</v>
      </c>
      <c r="F72" s="425">
        <f>'B) D RI'!U74</f>
        <v>44474.742571428564</v>
      </c>
      <c r="G72" s="266">
        <f t="shared" si="5"/>
        <v>3.0667518711535275</v>
      </c>
      <c r="H72" s="55">
        <f t="shared" si="6"/>
        <v>64368.14</v>
      </c>
      <c r="I72" s="416">
        <f t="shared" si="7"/>
        <v>1.4472965165930234</v>
      </c>
    </row>
    <row r="73" spans="1:9" x14ac:dyDescent="0.25">
      <c r="A73" s="49">
        <f>'A) Base RI'!A75</f>
        <v>5512</v>
      </c>
      <c r="B73" s="293" t="str">
        <f>'A) Base RI'!B75</f>
        <v>Bercher</v>
      </c>
      <c r="C73" s="10">
        <f>'B) D RI'!Y75</f>
        <v>127864.25</v>
      </c>
      <c r="D73" s="425">
        <f>'B) D RI'!Z75</f>
        <v>67506.7</v>
      </c>
      <c r="E73" s="10">
        <f t="shared" si="4"/>
        <v>195370.95</v>
      </c>
      <c r="F73" s="425">
        <f>'B) D RI'!U75</f>
        <v>40313.482784810127</v>
      </c>
      <c r="G73" s="266">
        <f t="shared" si="5"/>
        <v>4.8462930142471983</v>
      </c>
      <c r="H73" s="55">
        <f t="shared" si="6"/>
        <v>84184.134999999995</v>
      </c>
      <c r="I73" s="416">
        <f t="shared" si="7"/>
        <v>2.0882377106777801</v>
      </c>
    </row>
    <row r="74" spans="1:9" x14ac:dyDescent="0.25">
      <c r="A74" s="49">
        <f>'A) Base RI'!A76</f>
        <v>5513</v>
      </c>
      <c r="B74" s="293" t="str">
        <f>'A) Base RI'!B76</f>
        <v>Bioley-Orjulaz</v>
      </c>
      <c r="C74" s="10">
        <f>'B) D RI'!Y76</f>
        <v>69706.200000000012</v>
      </c>
      <c r="D74" s="425">
        <f>'B) D RI'!Z76</f>
        <v>308830.75</v>
      </c>
      <c r="E74" s="10">
        <f t="shared" si="4"/>
        <v>378536.95</v>
      </c>
      <c r="F74" s="425">
        <f>'B) D RI'!U76</f>
        <v>22644.962352941177</v>
      </c>
      <c r="G74" s="266">
        <f t="shared" si="5"/>
        <v>16.716166010796428</v>
      </c>
      <c r="H74" s="55">
        <f t="shared" si="6"/>
        <v>127502.325</v>
      </c>
      <c r="I74" s="416">
        <f t="shared" si="7"/>
        <v>5.6304940150823315</v>
      </c>
    </row>
    <row r="75" spans="1:9" x14ac:dyDescent="0.25">
      <c r="A75" s="49">
        <f>'A) Base RI'!A77</f>
        <v>5514</v>
      </c>
      <c r="B75" s="293" t="str">
        <f>'A) Base RI'!B77</f>
        <v>Bottens</v>
      </c>
      <c r="C75" s="10">
        <f>'B) D RI'!Y77</f>
        <v>181161.8</v>
      </c>
      <c r="D75" s="425">
        <f>'B) D RI'!Z77</f>
        <v>8976.5499999999993</v>
      </c>
      <c r="E75" s="10">
        <f t="shared" si="4"/>
        <v>190138.34999999998</v>
      </c>
      <c r="F75" s="425">
        <f>'B) D RI'!U77</f>
        <v>44190.368827586208</v>
      </c>
      <c r="G75" s="266">
        <f t="shared" si="5"/>
        <v>4.3027101842450461</v>
      </c>
      <c r="H75" s="55">
        <f t="shared" si="6"/>
        <v>93273.864999999991</v>
      </c>
      <c r="I75" s="416">
        <f t="shared" si="7"/>
        <v>2.1107283662627636</v>
      </c>
    </row>
    <row r="76" spans="1:9" x14ac:dyDescent="0.25">
      <c r="A76" s="49">
        <f>'A) Base RI'!A78</f>
        <v>5515</v>
      </c>
      <c r="B76" s="293" t="str">
        <f>'A) Base RI'!B78</f>
        <v>Bretigny-sur-Morrens</v>
      </c>
      <c r="C76" s="10">
        <f>'B) D RI'!Y78</f>
        <v>235358.55</v>
      </c>
      <c r="D76" s="425">
        <f>'B) D RI'!Z78</f>
        <v>3757.1</v>
      </c>
      <c r="E76" s="10">
        <f t="shared" si="4"/>
        <v>239115.65</v>
      </c>
      <c r="F76" s="425">
        <f>'B) D RI'!U78</f>
        <v>29586.483086419765</v>
      </c>
      <c r="G76" s="266">
        <f t="shared" si="5"/>
        <v>8.0819220487126575</v>
      </c>
      <c r="H76" s="55">
        <f t="shared" si="6"/>
        <v>118806.405</v>
      </c>
      <c r="I76" s="416">
        <f t="shared" si="7"/>
        <v>4.0155636157557471</v>
      </c>
    </row>
    <row r="77" spans="1:9" x14ac:dyDescent="0.25">
      <c r="A77" s="49">
        <f>'A) Base RI'!A79</f>
        <v>5516</v>
      </c>
      <c r="B77" s="293" t="str">
        <f>'A) Base RI'!B79</f>
        <v>Cugy</v>
      </c>
      <c r="C77" s="10">
        <f>'B) D RI'!Y79</f>
        <v>714049.5</v>
      </c>
      <c r="D77" s="425">
        <f>'B) D RI'!Z79</f>
        <v>99596.35</v>
      </c>
      <c r="E77" s="10">
        <f t="shared" si="4"/>
        <v>813645.85</v>
      </c>
      <c r="F77" s="425">
        <f>'B) D RI'!U79</f>
        <v>107062.26318376069</v>
      </c>
      <c r="G77" s="266">
        <f t="shared" si="5"/>
        <v>7.5997445393384382</v>
      </c>
      <c r="H77" s="55">
        <f t="shared" si="6"/>
        <v>386903.65500000003</v>
      </c>
      <c r="I77" s="416">
        <f t="shared" si="7"/>
        <v>3.6138191319187989</v>
      </c>
    </row>
    <row r="78" spans="1:9" x14ac:dyDescent="0.25">
      <c r="A78" s="49">
        <f>'A) Base RI'!A80</f>
        <v>5518</v>
      </c>
      <c r="B78" s="293" t="str">
        <f>'A) Base RI'!B80</f>
        <v>Echallens</v>
      </c>
      <c r="C78" s="10">
        <f>'B) D RI'!Y80</f>
        <v>1122027.75</v>
      </c>
      <c r="D78" s="425">
        <f>'B) D RI'!Z80</f>
        <v>164060.75</v>
      </c>
      <c r="E78" s="10">
        <f t="shared" si="4"/>
        <v>1286088.5</v>
      </c>
      <c r="F78" s="425">
        <f>'B) D RI'!U80</f>
        <v>178756.07310344829</v>
      </c>
      <c r="G78" s="266">
        <f t="shared" si="5"/>
        <v>7.1946562579483668</v>
      </c>
      <c r="H78" s="55">
        <f t="shared" si="6"/>
        <v>610232.1</v>
      </c>
      <c r="I78" s="416">
        <f t="shared" si="7"/>
        <v>3.4137698899150202</v>
      </c>
    </row>
    <row r="79" spans="1:9" x14ac:dyDescent="0.25">
      <c r="A79" s="49">
        <f>'A) Base RI'!A81</f>
        <v>5520</v>
      </c>
      <c r="B79" s="293" t="str">
        <f>'A) Base RI'!B81</f>
        <v>Essertines-sur-Yverdon</v>
      </c>
      <c r="C79" s="10">
        <f>'B) D RI'!Y81</f>
        <v>260803.90000000002</v>
      </c>
      <c r="D79" s="425">
        <f>'B) D RI'!Z81</f>
        <v>5690.95</v>
      </c>
      <c r="E79" s="10">
        <f t="shared" si="4"/>
        <v>266494.85000000003</v>
      </c>
      <c r="F79" s="425">
        <f>'B) D RI'!U81</f>
        <v>29733.806712328769</v>
      </c>
      <c r="G79" s="266">
        <f t="shared" si="5"/>
        <v>8.9626885846910795</v>
      </c>
      <c r="H79" s="55">
        <f t="shared" si="6"/>
        <v>132109.23500000002</v>
      </c>
      <c r="I79" s="416">
        <f t="shared" si="7"/>
        <v>4.4430649690482618</v>
      </c>
    </row>
    <row r="80" spans="1:9" x14ac:dyDescent="0.25">
      <c r="A80" s="49">
        <f>'A) Base RI'!A82</f>
        <v>5521</v>
      </c>
      <c r="B80" s="293" t="str">
        <f>'A) Base RI'!B82</f>
        <v>Etagnières</v>
      </c>
      <c r="C80" s="10">
        <f>'B) D RI'!Y82</f>
        <v>173334.2</v>
      </c>
      <c r="D80" s="425">
        <f>'B) D RI'!Z82</f>
        <v>27188</v>
      </c>
      <c r="E80" s="10">
        <f t="shared" si="4"/>
        <v>200522.2</v>
      </c>
      <c r="F80" s="425">
        <f>'B) D RI'!U82</f>
        <v>46797.314657534247</v>
      </c>
      <c r="G80" s="266">
        <f t="shared" si="5"/>
        <v>4.2849082573954158</v>
      </c>
      <c r="H80" s="55">
        <f t="shared" si="6"/>
        <v>94823.5</v>
      </c>
      <c r="I80" s="416">
        <f t="shared" si="7"/>
        <v>2.0262594273608316</v>
      </c>
    </row>
    <row r="81" spans="1:9" x14ac:dyDescent="0.25">
      <c r="A81" s="49">
        <f>'A) Base RI'!A83</f>
        <v>5522</v>
      </c>
      <c r="B81" s="293" t="str">
        <f>'A) Base RI'!B83</f>
        <v>Fey</v>
      </c>
      <c r="C81" s="10">
        <f>'B) D RI'!Y83</f>
        <v>46705.2</v>
      </c>
      <c r="D81" s="425">
        <f>'B) D RI'!Z83</f>
        <v>15179</v>
      </c>
      <c r="E81" s="10">
        <f t="shared" si="4"/>
        <v>61884.2</v>
      </c>
      <c r="F81" s="425">
        <f>'B) D RI'!U83</f>
        <v>23726.940933333331</v>
      </c>
      <c r="G81" s="266">
        <f t="shared" si="5"/>
        <v>2.6081828320759453</v>
      </c>
      <c r="H81" s="55">
        <f t="shared" si="6"/>
        <v>27906.3</v>
      </c>
      <c r="I81" s="416">
        <f t="shared" si="7"/>
        <v>1.176144032996483</v>
      </c>
    </row>
    <row r="82" spans="1:9" x14ac:dyDescent="0.25">
      <c r="A82" s="49">
        <f>'A) Base RI'!A84</f>
        <v>5523</v>
      </c>
      <c r="B82" s="293" t="str">
        <f>'A) Base RI'!B84</f>
        <v>Froideville</v>
      </c>
      <c r="C82" s="10">
        <f>'B) D RI'!Y84</f>
        <v>277224.95</v>
      </c>
      <c r="D82" s="425">
        <f>'B) D RI'!Z84</f>
        <v>10619.3</v>
      </c>
      <c r="E82" s="10">
        <f t="shared" si="4"/>
        <v>287844.25</v>
      </c>
      <c r="F82" s="425">
        <f>'B) D RI'!U84</f>
        <v>85868.846805555557</v>
      </c>
      <c r="G82" s="266">
        <f t="shared" si="5"/>
        <v>3.3521382982096481</v>
      </c>
      <c r="H82" s="55">
        <f t="shared" si="6"/>
        <v>141798.26500000001</v>
      </c>
      <c r="I82" s="416">
        <f t="shared" si="7"/>
        <v>1.6513353826806711</v>
      </c>
    </row>
    <row r="83" spans="1:9" x14ac:dyDescent="0.25">
      <c r="A83" s="49">
        <f>'A) Base RI'!A85</f>
        <v>5527</v>
      </c>
      <c r="B83" s="293" t="str">
        <f>'A) Base RI'!B85</f>
        <v>Morrens</v>
      </c>
      <c r="C83" s="10">
        <f>'B) D RI'!Y85</f>
        <v>157261.95000000001</v>
      </c>
      <c r="D83" s="425">
        <f>'B) D RI'!Z85</f>
        <v>9803.75</v>
      </c>
      <c r="E83" s="10">
        <f t="shared" si="4"/>
        <v>167065.70000000001</v>
      </c>
      <c r="F83" s="425">
        <f>'B) D RI'!U85</f>
        <v>40564.204594594594</v>
      </c>
      <c r="G83" s="266">
        <f t="shared" si="5"/>
        <v>4.1185498808538812</v>
      </c>
      <c r="H83" s="55">
        <f t="shared" si="6"/>
        <v>81572.100000000006</v>
      </c>
      <c r="I83" s="416">
        <f t="shared" si="7"/>
        <v>2.0109379886834993</v>
      </c>
    </row>
    <row r="84" spans="1:9" x14ac:dyDescent="0.25">
      <c r="A84" s="49">
        <f>'A) Base RI'!A86</f>
        <v>5529</v>
      </c>
      <c r="B84" s="293" t="str">
        <f>'A) Base RI'!B86</f>
        <v>Oulens-sous-Echallens</v>
      </c>
      <c r="C84" s="10">
        <f>'B) D RI'!Y86</f>
        <v>42989</v>
      </c>
      <c r="D84" s="425">
        <f>'B) D RI'!Z86</f>
        <v>1847.9</v>
      </c>
      <c r="E84" s="10">
        <f t="shared" si="4"/>
        <v>44836.9</v>
      </c>
      <c r="F84" s="425">
        <f>'B) D RI'!U86</f>
        <v>20201.245428571427</v>
      </c>
      <c r="G84" s="266">
        <f t="shared" si="5"/>
        <v>2.2195116711262459</v>
      </c>
      <c r="H84" s="55">
        <f t="shared" si="6"/>
        <v>22048.87</v>
      </c>
      <c r="I84" s="416">
        <f t="shared" si="7"/>
        <v>1.0914609239297397</v>
      </c>
    </row>
    <row r="85" spans="1:9" x14ac:dyDescent="0.25">
      <c r="A85" s="49">
        <f>'A) Base RI'!A87</f>
        <v>5530</v>
      </c>
      <c r="B85" s="293" t="str">
        <f>'A) Base RI'!B87</f>
        <v>Pailly</v>
      </c>
      <c r="C85" s="10">
        <f>'B) D RI'!Y87</f>
        <v>13902.55</v>
      </c>
      <c r="D85" s="425">
        <f>'B) D RI'!Z87</f>
        <v>18495.150000000001</v>
      </c>
      <c r="E85" s="10">
        <f t="shared" si="4"/>
        <v>32397.7</v>
      </c>
      <c r="F85" s="425">
        <f>'B) D RI'!U87</f>
        <v>18302.009495614031</v>
      </c>
      <c r="G85" s="266">
        <f t="shared" si="5"/>
        <v>1.7701717403088397</v>
      </c>
      <c r="H85" s="55">
        <f t="shared" si="6"/>
        <v>12499.82</v>
      </c>
      <c r="I85" s="416">
        <f t="shared" si="7"/>
        <v>0.68297527673097913</v>
      </c>
    </row>
    <row r="86" spans="1:9" x14ac:dyDescent="0.25">
      <c r="A86" s="49">
        <f>'A) Base RI'!A88</f>
        <v>5531</v>
      </c>
      <c r="B86" s="293" t="str">
        <f>'A) Base RI'!B88</f>
        <v>Penthéréaz</v>
      </c>
      <c r="C86" s="10">
        <f>'B) D RI'!Y88</f>
        <v>44157.3</v>
      </c>
      <c r="D86" s="425">
        <f>'B) D RI'!Z88</f>
        <v>19757.3</v>
      </c>
      <c r="E86" s="10">
        <f t="shared" si="4"/>
        <v>63914.600000000006</v>
      </c>
      <c r="F86" s="425">
        <f>'B) D RI'!U88</f>
        <v>13843.062702702704</v>
      </c>
      <c r="G86" s="266">
        <f t="shared" si="5"/>
        <v>4.6170852052502367</v>
      </c>
      <c r="H86" s="55">
        <f t="shared" si="6"/>
        <v>28005.84</v>
      </c>
      <c r="I86" s="416">
        <f t="shared" si="7"/>
        <v>2.0230956545860455</v>
      </c>
    </row>
    <row r="87" spans="1:9" x14ac:dyDescent="0.25">
      <c r="A87" s="49">
        <f>'A) Base RI'!A89</f>
        <v>5533</v>
      </c>
      <c r="B87" s="293" t="str">
        <f>'A) Base RI'!B89</f>
        <v>Poliez-Pittet</v>
      </c>
      <c r="C87" s="10">
        <f>'B) D RI'!Y89</f>
        <v>340498.69999999995</v>
      </c>
      <c r="D87" s="425">
        <f>'B) D RI'!Z89</f>
        <v>752.3</v>
      </c>
      <c r="E87" s="10">
        <f t="shared" si="4"/>
        <v>341250.99999999994</v>
      </c>
      <c r="F87" s="425">
        <f>'B) D RI'!U89</f>
        <v>27190.167945205478</v>
      </c>
      <c r="G87" s="266">
        <f t="shared" si="5"/>
        <v>12.550529319557723</v>
      </c>
      <c r="H87" s="55">
        <f t="shared" si="6"/>
        <v>170475.03999999998</v>
      </c>
      <c r="I87" s="416">
        <f t="shared" si="7"/>
        <v>6.2697310418805392</v>
      </c>
    </row>
    <row r="88" spans="1:9" x14ac:dyDescent="0.25">
      <c r="A88" s="49">
        <f>'A) Base RI'!A90</f>
        <v>5534</v>
      </c>
      <c r="B88" s="293" t="str">
        <f>'A) Base RI'!B90</f>
        <v>Rueyres</v>
      </c>
      <c r="C88" s="10">
        <f>'B) D RI'!Y90</f>
        <v>34012.300000000003</v>
      </c>
      <c r="D88" s="425">
        <f>'B) D RI'!Z90</f>
        <v>27496.9</v>
      </c>
      <c r="E88" s="10">
        <f t="shared" si="4"/>
        <v>61509.200000000004</v>
      </c>
      <c r="F88" s="425">
        <f>'B) D RI'!U90</f>
        <v>9755.351210045661</v>
      </c>
      <c r="G88" s="266">
        <f t="shared" si="5"/>
        <v>6.3051753520324674</v>
      </c>
      <c r="H88" s="55">
        <f t="shared" si="6"/>
        <v>25255.22</v>
      </c>
      <c r="I88" s="416">
        <f t="shared" si="7"/>
        <v>2.5888581001566822</v>
      </c>
    </row>
    <row r="89" spans="1:9" x14ac:dyDescent="0.25">
      <c r="A89" s="49">
        <f>'A) Base RI'!A91</f>
        <v>5535</v>
      </c>
      <c r="B89" s="293" t="str">
        <f>'A) Base RI'!B91</f>
        <v>Saint-Barthélemy</v>
      </c>
      <c r="C89" s="10">
        <f>'B) D RI'!Y91</f>
        <v>35190.65</v>
      </c>
      <c r="D89" s="425">
        <f>'B) D RI'!Z91</f>
        <v>44895</v>
      </c>
      <c r="E89" s="10">
        <f t="shared" si="4"/>
        <v>80085.649999999994</v>
      </c>
      <c r="F89" s="425">
        <f>'B) D RI'!U91</f>
        <v>22496.850133333337</v>
      </c>
      <c r="G89" s="266">
        <f t="shared" si="5"/>
        <v>3.5598605816081763</v>
      </c>
      <c r="H89" s="55">
        <f t="shared" si="6"/>
        <v>31063.825000000001</v>
      </c>
      <c r="I89" s="416">
        <f t="shared" si="7"/>
        <v>1.3808077493467883</v>
      </c>
    </row>
    <row r="90" spans="1:9" x14ac:dyDescent="0.25">
      <c r="A90" s="49">
        <f>'A) Base RI'!A92</f>
        <v>5537</v>
      </c>
      <c r="B90" s="293" t="str">
        <f>'A) Base RI'!B92</f>
        <v>Villars-le-Terroir</v>
      </c>
      <c r="C90" s="10">
        <f>'B) D RI'!Y92</f>
        <v>194839.55</v>
      </c>
      <c r="D90" s="425">
        <f>'B) D RI'!Z92</f>
        <v>0</v>
      </c>
      <c r="E90" s="10">
        <f t="shared" si="4"/>
        <v>194839.55</v>
      </c>
      <c r="F90" s="425">
        <f>'B) D RI'!U92</f>
        <v>37963.269999999997</v>
      </c>
      <c r="G90" s="266">
        <f t="shared" si="5"/>
        <v>5.1323173688673291</v>
      </c>
      <c r="H90" s="55">
        <f t="shared" si="6"/>
        <v>97419.774999999994</v>
      </c>
      <c r="I90" s="416">
        <f t="shared" si="7"/>
        <v>2.5661586844336646</v>
      </c>
    </row>
    <row r="91" spans="1:9" x14ac:dyDescent="0.25">
      <c r="A91" s="49">
        <f>'A) Base RI'!A93</f>
        <v>5539</v>
      </c>
      <c r="B91" s="293" t="str">
        <f>'A) Base RI'!B93</f>
        <v>Vuarrens</v>
      </c>
      <c r="C91" s="10">
        <f>'B) D RI'!Y93</f>
        <v>320579.55000000005</v>
      </c>
      <c r="D91" s="425">
        <f>'B) D RI'!Z93</f>
        <v>19878.05</v>
      </c>
      <c r="E91" s="10">
        <f t="shared" si="4"/>
        <v>340457.60000000003</v>
      </c>
      <c r="F91" s="425">
        <f>'B) D RI'!U93</f>
        <v>35961.61534013605</v>
      </c>
      <c r="G91" s="266">
        <f t="shared" si="5"/>
        <v>9.4672499213354868</v>
      </c>
      <c r="H91" s="55">
        <f t="shared" si="6"/>
        <v>166253.19000000003</v>
      </c>
      <c r="I91" s="416">
        <f t="shared" si="7"/>
        <v>4.6230734750796394</v>
      </c>
    </row>
    <row r="92" spans="1:9" x14ac:dyDescent="0.25">
      <c r="A92" s="49">
        <f>'A) Base RI'!A94</f>
        <v>5540</v>
      </c>
      <c r="B92" s="293" t="str">
        <f>'A) Base RI'!B94</f>
        <v>Montilliez</v>
      </c>
      <c r="C92" s="10">
        <f>'B) D RI'!Y94</f>
        <v>196462.9</v>
      </c>
      <c r="D92" s="425">
        <f>'B) D RI'!Z94</f>
        <v>1260.8499999999999</v>
      </c>
      <c r="E92" s="10">
        <f t="shared" si="4"/>
        <v>197723.75</v>
      </c>
      <c r="F92" s="425">
        <f>'B) D RI'!U94</f>
        <v>66256.548551724132</v>
      </c>
      <c r="G92" s="266">
        <f t="shared" si="5"/>
        <v>2.9842144561098607</v>
      </c>
      <c r="H92" s="55">
        <f t="shared" si="6"/>
        <v>98609.705000000002</v>
      </c>
      <c r="I92" s="416">
        <f t="shared" si="7"/>
        <v>1.4883012646367915</v>
      </c>
    </row>
    <row r="93" spans="1:9" x14ac:dyDescent="0.25">
      <c r="A93" s="49">
        <f>'A) Base RI'!A95</f>
        <v>5541</v>
      </c>
      <c r="B93" s="293" t="str">
        <f>'A) Base RI'!B95</f>
        <v>Goumoëns</v>
      </c>
      <c r="C93" s="10">
        <f>'B) D RI'!Y95</f>
        <v>254420.75</v>
      </c>
      <c r="D93" s="425">
        <f>'B) D RI'!Z95</f>
        <v>9196.2999999999993</v>
      </c>
      <c r="E93" s="10">
        <f t="shared" si="4"/>
        <v>263617.05</v>
      </c>
      <c r="F93" s="425">
        <f>'B) D RI'!U95</f>
        <v>36998.611258278142</v>
      </c>
      <c r="G93" s="266">
        <f t="shared" si="5"/>
        <v>7.1250525637233961</v>
      </c>
      <c r="H93" s="55">
        <f t="shared" si="6"/>
        <v>129969.265</v>
      </c>
      <c r="I93" s="416">
        <f t="shared" si="7"/>
        <v>3.5128146862788103</v>
      </c>
    </row>
    <row r="94" spans="1:9" x14ac:dyDescent="0.25">
      <c r="A94" s="49">
        <f>'A) Base RI'!A96</f>
        <v>5551</v>
      </c>
      <c r="B94" s="293" t="str">
        <f>'A) Base RI'!B96</f>
        <v>Bonvillars</v>
      </c>
      <c r="C94" s="10">
        <f>'B) D RI'!Y96</f>
        <v>31482.95</v>
      </c>
      <c r="D94" s="425">
        <f>'B) D RI'!Z96</f>
        <v>30909.3</v>
      </c>
      <c r="E94" s="10">
        <f t="shared" si="4"/>
        <v>62392.25</v>
      </c>
      <c r="F94" s="425">
        <f>'B) D RI'!U96</f>
        <v>19156.634727272725</v>
      </c>
      <c r="G94" s="266">
        <f t="shared" si="5"/>
        <v>3.2569525330654256</v>
      </c>
      <c r="H94" s="55">
        <f t="shared" si="6"/>
        <v>25014.264999999999</v>
      </c>
      <c r="I94" s="416">
        <f t="shared" si="7"/>
        <v>1.3057755370982744</v>
      </c>
    </row>
    <row r="95" spans="1:9" x14ac:dyDescent="0.25">
      <c r="A95" s="49">
        <f>'A) Base RI'!A97</f>
        <v>5552</v>
      </c>
      <c r="B95" s="293" t="str">
        <f>'A) Base RI'!B97</f>
        <v>Bullet</v>
      </c>
      <c r="C95" s="10">
        <f>'B) D RI'!Y97</f>
        <v>104999.54999999999</v>
      </c>
      <c r="D95" s="425">
        <f>'B) D RI'!Z97</f>
        <v>65482.45</v>
      </c>
      <c r="E95" s="10">
        <f t="shared" si="4"/>
        <v>170482</v>
      </c>
      <c r="F95" s="425">
        <f>'B) D RI'!U97</f>
        <v>17556.417482517485</v>
      </c>
      <c r="G95" s="266">
        <f t="shared" si="5"/>
        <v>9.7105232414166718</v>
      </c>
      <c r="H95" s="55">
        <f t="shared" si="6"/>
        <v>72144.509999999995</v>
      </c>
      <c r="I95" s="416">
        <f t="shared" si="7"/>
        <v>4.1092956505415081</v>
      </c>
    </row>
    <row r="96" spans="1:9" x14ac:dyDescent="0.25">
      <c r="A96" s="49">
        <f>'A) Base RI'!A98</f>
        <v>5553</v>
      </c>
      <c r="B96" s="293" t="str">
        <f>'A) Base RI'!B98</f>
        <v>Champagne</v>
      </c>
      <c r="C96" s="10">
        <f>'B) D RI'!Y98</f>
        <v>210287.40000000002</v>
      </c>
      <c r="D96" s="425">
        <f>'B) D RI'!Z98</f>
        <v>172905.8</v>
      </c>
      <c r="E96" s="10">
        <f t="shared" si="4"/>
        <v>383193.2</v>
      </c>
      <c r="F96" s="425">
        <f>'B) D RI'!U98</f>
        <v>38681.377846153839</v>
      </c>
      <c r="G96" s="266">
        <f t="shared" si="5"/>
        <v>9.9063999613473346</v>
      </c>
      <c r="H96" s="55">
        <f t="shared" si="6"/>
        <v>157015.44</v>
      </c>
      <c r="I96" s="416">
        <f t="shared" si="7"/>
        <v>4.0591997685421735</v>
      </c>
    </row>
    <row r="97" spans="1:9" x14ac:dyDescent="0.25">
      <c r="A97" s="49">
        <f>'A) Base RI'!A99</f>
        <v>5554</v>
      </c>
      <c r="B97" s="293" t="str">
        <f>'A) Base RI'!B99</f>
        <v>Concise</v>
      </c>
      <c r="C97" s="10">
        <f>'B) D RI'!Y99</f>
        <v>247756.5</v>
      </c>
      <c r="D97" s="425">
        <f>'B) D RI'!Z99</f>
        <v>2598.0500000000002</v>
      </c>
      <c r="E97" s="10">
        <f t="shared" si="4"/>
        <v>250354.55</v>
      </c>
      <c r="F97" s="425">
        <f>'B) D RI'!U99</f>
        <v>32327.871066666674</v>
      </c>
      <c r="G97" s="266">
        <f t="shared" si="5"/>
        <v>7.7442325071056413</v>
      </c>
      <c r="H97" s="55">
        <f t="shared" si="6"/>
        <v>124657.66499999999</v>
      </c>
      <c r="I97" s="416">
        <f t="shared" si="7"/>
        <v>3.8560431258504595</v>
      </c>
    </row>
    <row r="98" spans="1:9" x14ac:dyDescent="0.25">
      <c r="A98" s="49">
        <f>'A) Base RI'!A100</f>
        <v>5555</v>
      </c>
      <c r="B98" s="293" t="str">
        <f>'A) Base RI'!B100</f>
        <v>Corcelles-près-Concise</v>
      </c>
      <c r="C98" s="10">
        <f>'B) D RI'!Y100</f>
        <v>177223.2</v>
      </c>
      <c r="D98" s="425">
        <f>'B) D RI'!Z100</f>
        <v>8366.85</v>
      </c>
      <c r="E98" s="10">
        <f t="shared" si="4"/>
        <v>185590.05000000002</v>
      </c>
      <c r="F98" s="425">
        <f>'B) D RI'!U100</f>
        <v>13570.544057971018</v>
      </c>
      <c r="G98" s="266">
        <f t="shared" si="5"/>
        <v>13.675947641243521</v>
      </c>
      <c r="H98" s="55">
        <f t="shared" si="6"/>
        <v>91121.654999999999</v>
      </c>
      <c r="I98" s="416">
        <f t="shared" si="7"/>
        <v>6.7146648366302815</v>
      </c>
    </row>
    <row r="99" spans="1:9" x14ac:dyDescent="0.25">
      <c r="A99" s="49">
        <f>'A) Base RI'!A101</f>
        <v>5556</v>
      </c>
      <c r="B99" s="293" t="str">
        <f>'A) Base RI'!B101</f>
        <v>Fiez</v>
      </c>
      <c r="C99" s="10">
        <f>'B) D RI'!Y101</f>
        <v>90732.95</v>
      </c>
      <c r="D99" s="425">
        <f>'B) D RI'!Z101</f>
        <v>0</v>
      </c>
      <c r="E99" s="10">
        <f t="shared" si="4"/>
        <v>90732.95</v>
      </c>
      <c r="F99" s="425">
        <f>'B) D RI'!U101</f>
        <v>13816.427753623188</v>
      </c>
      <c r="G99" s="266">
        <f t="shared" si="5"/>
        <v>6.567033940897379</v>
      </c>
      <c r="H99" s="55">
        <f t="shared" si="6"/>
        <v>45366.474999999999</v>
      </c>
      <c r="I99" s="416">
        <f t="shared" si="7"/>
        <v>3.2835169704486895</v>
      </c>
    </row>
    <row r="100" spans="1:9" x14ac:dyDescent="0.25">
      <c r="A100" s="49">
        <f>'A) Base RI'!A102</f>
        <v>5557</v>
      </c>
      <c r="B100" s="293" t="str">
        <f>'A) Base RI'!B102</f>
        <v>Fontaines-sur-Grandson</v>
      </c>
      <c r="C100" s="10">
        <f>'B) D RI'!Y102</f>
        <v>64909.75</v>
      </c>
      <c r="D100" s="425">
        <f>'B) D RI'!Z102</f>
        <v>0</v>
      </c>
      <c r="E100" s="10">
        <f t="shared" si="4"/>
        <v>64909.75</v>
      </c>
      <c r="F100" s="425">
        <f>'B) D RI'!U102</f>
        <v>5880.3275362318818</v>
      </c>
      <c r="G100" s="266">
        <f t="shared" si="5"/>
        <v>11.038458249146137</v>
      </c>
      <c r="H100" s="55">
        <f t="shared" si="6"/>
        <v>32454.875</v>
      </c>
      <c r="I100" s="416">
        <f t="shared" si="7"/>
        <v>5.5192291245730685</v>
      </c>
    </row>
    <row r="101" spans="1:9" x14ac:dyDescent="0.25">
      <c r="A101" s="49">
        <f>'A) Base RI'!A103</f>
        <v>5559</v>
      </c>
      <c r="B101" s="293" t="str">
        <f>'A) Base RI'!B103</f>
        <v>Giez</v>
      </c>
      <c r="C101" s="10">
        <f>'B) D RI'!Y103</f>
        <v>110584.15</v>
      </c>
      <c r="D101" s="425">
        <f>'B) D RI'!Z103</f>
        <v>15752.1</v>
      </c>
      <c r="E101" s="10">
        <f t="shared" si="4"/>
        <v>126336.25</v>
      </c>
      <c r="F101" s="425">
        <f>'B) D RI'!U103</f>
        <v>16897.618636363641</v>
      </c>
      <c r="G101" s="266">
        <f t="shared" si="5"/>
        <v>7.4765712683398267</v>
      </c>
      <c r="H101" s="55">
        <f t="shared" si="6"/>
        <v>60017.704999999994</v>
      </c>
      <c r="I101" s="416">
        <f t="shared" si="7"/>
        <v>3.5518439782302824</v>
      </c>
    </row>
    <row r="102" spans="1:9" x14ac:dyDescent="0.25">
      <c r="A102" s="49">
        <f>'A) Base RI'!A104</f>
        <v>5560</v>
      </c>
      <c r="B102" s="293" t="str">
        <f>'A) Base RI'!B104</f>
        <v>Grandevent</v>
      </c>
      <c r="C102" s="10">
        <f>'B) D RI'!Y104</f>
        <v>28125.5</v>
      </c>
      <c r="D102" s="425">
        <f>'B) D RI'!Z104</f>
        <v>0</v>
      </c>
      <c r="E102" s="10">
        <f t="shared" si="4"/>
        <v>28125.5</v>
      </c>
      <c r="F102" s="425">
        <f>'B) D RI'!U104</f>
        <v>6167.8957352941179</v>
      </c>
      <c r="G102" s="266">
        <f t="shared" si="5"/>
        <v>4.5599830488475055</v>
      </c>
      <c r="H102" s="55">
        <f t="shared" si="6"/>
        <v>14062.75</v>
      </c>
      <c r="I102" s="416">
        <f t="shared" si="7"/>
        <v>2.2799915244237527</v>
      </c>
    </row>
    <row r="103" spans="1:9" x14ac:dyDescent="0.25">
      <c r="A103" s="49">
        <f>'A) Base RI'!A105</f>
        <v>5561</v>
      </c>
      <c r="B103" s="293" t="str">
        <f>'A) Base RI'!B105</f>
        <v>Grandson</v>
      </c>
      <c r="C103" s="10">
        <f>'B) D RI'!Y105</f>
        <v>669236.80000000005</v>
      </c>
      <c r="D103" s="425">
        <f>'B) D RI'!Z105</f>
        <v>401465.1</v>
      </c>
      <c r="E103" s="10">
        <f t="shared" si="4"/>
        <v>1070701.8999999999</v>
      </c>
      <c r="F103" s="425">
        <f>'B) D RI'!U105</f>
        <v>114985.73289855072</v>
      </c>
      <c r="G103" s="266">
        <f t="shared" si="5"/>
        <v>9.3116065185639663</v>
      </c>
      <c r="H103" s="55">
        <f t="shared" si="6"/>
        <v>455057.93</v>
      </c>
      <c r="I103" s="416">
        <f t="shared" si="7"/>
        <v>3.9575164546847494</v>
      </c>
    </row>
    <row r="104" spans="1:9" x14ac:dyDescent="0.25">
      <c r="A104" s="49">
        <f>'A) Base RI'!A106</f>
        <v>5562</v>
      </c>
      <c r="B104" s="293" t="str">
        <f>'A) Base RI'!B106</f>
        <v>Mauborget</v>
      </c>
      <c r="C104" s="10">
        <f>'B) D RI'!Y106</f>
        <v>25385.9</v>
      </c>
      <c r="D104" s="425">
        <f>'B) D RI'!Z106</f>
        <v>0</v>
      </c>
      <c r="E104" s="10">
        <f t="shared" si="4"/>
        <v>25385.9</v>
      </c>
      <c r="F104" s="425">
        <f>'B) D RI'!U106</f>
        <v>6037.1574285714287</v>
      </c>
      <c r="G104" s="266">
        <f t="shared" si="5"/>
        <v>4.2049425247482839</v>
      </c>
      <c r="H104" s="55">
        <f t="shared" si="6"/>
        <v>12692.95</v>
      </c>
      <c r="I104" s="416">
        <f t="shared" si="7"/>
        <v>2.1024712623741419</v>
      </c>
    </row>
    <row r="105" spans="1:9" x14ac:dyDescent="0.25">
      <c r="A105" s="49">
        <f>'A) Base RI'!A107</f>
        <v>5563</v>
      </c>
      <c r="B105" s="293" t="str">
        <f>'A) Base RI'!B107</f>
        <v>Mutrux</v>
      </c>
      <c r="C105" s="10">
        <f>'B) D RI'!Y107</f>
        <v>23627.95</v>
      </c>
      <c r="D105" s="425">
        <f>'B) D RI'!Z107</f>
        <v>0</v>
      </c>
      <c r="E105" s="10">
        <f t="shared" si="4"/>
        <v>23627.95</v>
      </c>
      <c r="F105" s="425">
        <f>'B) D RI'!U107</f>
        <v>4073.5824999999995</v>
      </c>
      <c r="G105" s="266">
        <f t="shared" si="5"/>
        <v>5.8002875846997091</v>
      </c>
      <c r="H105" s="55">
        <f t="shared" si="6"/>
        <v>11813.975</v>
      </c>
      <c r="I105" s="416">
        <f t="shared" si="7"/>
        <v>2.9001437923498545</v>
      </c>
    </row>
    <row r="106" spans="1:9" x14ac:dyDescent="0.25">
      <c r="A106" s="49">
        <f>'A) Base RI'!A108</f>
        <v>5564</v>
      </c>
      <c r="B106" s="293" t="str">
        <f>'A) Base RI'!B108</f>
        <v>Novalles</v>
      </c>
      <c r="C106" s="10">
        <f>'B) D RI'!Y108</f>
        <v>26843.3</v>
      </c>
      <c r="D106" s="425">
        <f>'B) D RI'!Z108</f>
        <v>0</v>
      </c>
      <c r="E106" s="10">
        <f t="shared" si="4"/>
        <v>26843.3</v>
      </c>
      <c r="F106" s="425">
        <f>'B) D RI'!U108</f>
        <v>2091.5044407894734</v>
      </c>
      <c r="G106" s="266">
        <f t="shared" si="5"/>
        <v>12.834445615552958</v>
      </c>
      <c r="H106" s="55">
        <f t="shared" si="6"/>
        <v>13421.65</v>
      </c>
      <c r="I106" s="416">
        <f t="shared" si="7"/>
        <v>6.4172228077764792</v>
      </c>
    </row>
    <row r="107" spans="1:9" x14ac:dyDescent="0.25">
      <c r="A107" s="49">
        <f>'A) Base RI'!A109</f>
        <v>5565</v>
      </c>
      <c r="B107" s="293" t="str">
        <f>'A) Base RI'!B109</f>
        <v>Onnens</v>
      </c>
      <c r="C107" s="10">
        <f>'B) D RI'!Y109</f>
        <v>41123.800000000003</v>
      </c>
      <c r="D107" s="425">
        <f>'B) D RI'!Z109</f>
        <v>40728.550000000003</v>
      </c>
      <c r="E107" s="10">
        <f t="shared" si="4"/>
        <v>81852.350000000006</v>
      </c>
      <c r="F107" s="425">
        <f>'B) D RI'!U109</f>
        <v>19690.582047244097</v>
      </c>
      <c r="G107" s="266">
        <f t="shared" si="5"/>
        <v>4.156928921837336</v>
      </c>
      <c r="H107" s="55">
        <f t="shared" si="6"/>
        <v>32780.465000000004</v>
      </c>
      <c r="I107" s="416">
        <f t="shared" si="7"/>
        <v>1.6647788735421345</v>
      </c>
    </row>
    <row r="108" spans="1:9" x14ac:dyDescent="0.25">
      <c r="A108" s="49">
        <f>'A) Base RI'!A110</f>
        <v>5566</v>
      </c>
      <c r="B108" s="293" t="str">
        <f>'A) Base RI'!B110</f>
        <v>Provence</v>
      </c>
      <c r="C108" s="10">
        <f>'B) D RI'!Y110</f>
        <v>138258.65</v>
      </c>
      <c r="D108" s="425">
        <f>'B) D RI'!Z110</f>
        <v>28034.799999999999</v>
      </c>
      <c r="E108" s="10">
        <f t="shared" si="4"/>
        <v>166293.44999999998</v>
      </c>
      <c r="F108" s="425">
        <f>'B) D RI'!U110</f>
        <v>7598.735102880657</v>
      </c>
      <c r="G108" s="266">
        <f t="shared" si="5"/>
        <v>21.884359403048364</v>
      </c>
      <c r="H108" s="55">
        <f t="shared" si="6"/>
        <v>77539.764999999999</v>
      </c>
      <c r="I108" s="416">
        <f t="shared" si="7"/>
        <v>10.204298998474748</v>
      </c>
    </row>
    <row r="109" spans="1:9" x14ac:dyDescent="0.25">
      <c r="A109" s="49">
        <f>'A) Base RI'!A111</f>
        <v>5568</v>
      </c>
      <c r="B109" s="293" t="str">
        <f>'A) Base RI'!B111</f>
        <v>Sainte-Croix</v>
      </c>
      <c r="C109" s="10">
        <f>'B) D RI'!Y111</f>
        <v>946266.35</v>
      </c>
      <c r="D109" s="425">
        <f>'B) D RI'!Z111</f>
        <v>1941083.25</v>
      </c>
      <c r="E109" s="10">
        <f t="shared" si="4"/>
        <v>2887349.6</v>
      </c>
      <c r="F109" s="425">
        <f>'B) D RI'!U111</f>
        <v>106515.47628571428</v>
      </c>
      <c r="G109" s="266">
        <f t="shared" si="5"/>
        <v>27.107324688245775</v>
      </c>
      <c r="H109" s="55">
        <f t="shared" si="6"/>
        <v>1055458.1499999999</v>
      </c>
      <c r="I109" s="416">
        <f t="shared" si="7"/>
        <v>9.9089652208742613</v>
      </c>
    </row>
    <row r="110" spans="1:9" x14ac:dyDescent="0.25">
      <c r="A110" s="49">
        <f>'A) Base RI'!A112</f>
        <v>5571</v>
      </c>
      <c r="B110" s="293" t="str">
        <f>'A) Base RI'!B112</f>
        <v>Tévenon</v>
      </c>
      <c r="C110" s="10">
        <f>'B) D RI'!Y112</f>
        <v>124212.45000000001</v>
      </c>
      <c r="D110" s="425">
        <f>'B) D RI'!Z112</f>
        <v>43934.400000000001</v>
      </c>
      <c r="E110" s="10">
        <f t="shared" si="4"/>
        <v>168146.85</v>
      </c>
      <c r="F110" s="425">
        <f>'B) D RI'!U112</f>
        <v>21380.087226107229</v>
      </c>
      <c r="G110" s="266">
        <f t="shared" si="5"/>
        <v>7.8646475209266615</v>
      </c>
      <c r="H110" s="55">
        <f t="shared" si="6"/>
        <v>75286.545000000013</v>
      </c>
      <c r="I110" s="416">
        <f t="shared" si="7"/>
        <v>3.5213394690021467</v>
      </c>
    </row>
    <row r="111" spans="1:9" x14ac:dyDescent="0.25">
      <c r="A111" s="49">
        <f>'A) Base RI'!A113</f>
        <v>5581</v>
      </c>
      <c r="B111" s="293" t="str">
        <f>'A) Base RI'!B113</f>
        <v>Belmont-sur-Lausanne</v>
      </c>
      <c r="C111" s="10">
        <f>'B) D RI'!Y113</f>
        <v>1626396</v>
      </c>
      <c r="D111" s="425">
        <f>'B) D RI'!Z113</f>
        <v>6504.65</v>
      </c>
      <c r="E111" s="10">
        <f t="shared" si="4"/>
        <v>1632900.65</v>
      </c>
      <c r="F111" s="425">
        <f>'B) D RI'!U113</f>
        <v>212445.65069444443</v>
      </c>
      <c r="G111" s="266">
        <f t="shared" si="5"/>
        <v>7.6862041875762497</v>
      </c>
      <c r="H111" s="55">
        <f t="shared" si="6"/>
        <v>815149.39500000002</v>
      </c>
      <c r="I111" s="416">
        <f t="shared" si="7"/>
        <v>3.8369785040806046</v>
      </c>
    </row>
    <row r="112" spans="1:9" x14ac:dyDescent="0.25">
      <c r="A112" s="49">
        <f>'A) Base RI'!A114</f>
        <v>5582</v>
      </c>
      <c r="B112" s="293" t="str">
        <f>'A) Base RI'!B114</f>
        <v>Cheseaux-sur-Lausanne</v>
      </c>
      <c r="C112" s="10">
        <f>'B) D RI'!Y114</f>
        <v>598060.64999999991</v>
      </c>
      <c r="D112" s="425">
        <f>'B) D RI'!Z114</f>
        <v>472098.15</v>
      </c>
      <c r="E112" s="10">
        <f t="shared" si="4"/>
        <v>1070158.7999999998</v>
      </c>
      <c r="F112" s="425">
        <f>'B) D RI'!U114</f>
        <v>163780.29383561644</v>
      </c>
      <c r="G112" s="266">
        <f t="shared" si="5"/>
        <v>6.5341121018753361</v>
      </c>
      <c r="H112" s="55">
        <f t="shared" si="6"/>
        <v>440659.76999999996</v>
      </c>
      <c r="I112" s="416">
        <f t="shared" si="7"/>
        <v>2.6905542765864303</v>
      </c>
    </row>
    <row r="113" spans="1:9" x14ac:dyDescent="0.25">
      <c r="A113" s="49">
        <f>'A) Base RI'!A115</f>
        <v>5583</v>
      </c>
      <c r="B113" s="293" t="str">
        <f>'A) Base RI'!B115</f>
        <v>Crissier</v>
      </c>
      <c r="C113" s="10">
        <f>'B) D RI'!Y115</f>
        <v>1510709.15</v>
      </c>
      <c r="D113" s="425">
        <f>'B) D RI'!Z115</f>
        <v>2295455.25</v>
      </c>
      <c r="E113" s="10">
        <f t="shared" si="4"/>
        <v>3806164.4</v>
      </c>
      <c r="F113" s="425">
        <f>'B) D RI'!U115</f>
        <v>368095.30976377946</v>
      </c>
      <c r="G113" s="266">
        <f t="shared" si="5"/>
        <v>10.340160004870908</v>
      </c>
      <c r="H113" s="55">
        <f t="shared" si="6"/>
        <v>1443991.15</v>
      </c>
      <c r="I113" s="416">
        <f t="shared" si="7"/>
        <v>3.9228729942977623</v>
      </c>
    </row>
    <row r="114" spans="1:9" x14ac:dyDescent="0.25">
      <c r="A114" s="49">
        <f>'A) Base RI'!A116</f>
        <v>5584</v>
      </c>
      <c r="B114" s="293" t="str">
        <f>'A) Base RI'!B116</f>
        <v>Epalinges</v>
      </c>
      <c r="C114" s="10">
        <f>'B) D RI'!Y116</f>
        <v>3540319.8</v>
      </c>
      <c r="D114" s="425">
        <f>'B) D RI'!Z116</f>
        <v>308569.90000000002</v>
      </c>
      <c r="E114" s="10">
        <f t="shared" si="4"/>
        <v>3848889.6999999997</v>
      </c>
      <c r="F114" s="425">
        <f>'B) D RI'!U116</f>
        <v>482115.91751937981</v>
      </c>
      <c r="G114" s="266">
        <f t="shared" si="5"/>
        <v>7.9833284074162192</v>
      </c>
      <c r="H114" s="55">
        <f t="shared" si="6"/>
        <v>1862730.8699999999</v>
      </c>
      <c r="I114" s="416">
        <f t="shared" si="7"/>
        <v>3.8636576854468259</v>
      </c>
    </row>
    <row r="115" spans="1:9" x14ac:dyDescent="0.25">
      <c r="A115" s="49">
        <f>'A) Base RI'!A117</f>
        <v>5585</v>
      </c>
      <c r="B115" s="293" t="str">
        <f>'A) Base RI'!B117</f>
        <v>Jouxtens-Mézery</v>
      </c>
      <c r="C115" s="10">
        <f>'B) D RI'!Y117</f>
        <v>1096542.5</v>
      </c>
      <c r="D115" s="425">
        <f>'B) D RI'!Z117</f>
        <v>1302.3</v>
      </c>
      <c r="E115" s="10">
        <f t="shared" si="4"/>
        <v>1097844.8</v>
      </c>
      <c r="F115" s="425">
        <f>'B) D RI'!U117</f>
        <v>202487.97135593221</v>
      </c>
      <c r="G115" s="266">
        <f t="shared" si="5"/>
        <v>5.4217778599313178</v>
      </c>
      <c r="H115" s="55">
        <f t="shared" si="6"/>
        <v>548661.93999999994</v>
      </c>
      <c r="I115" s="416">
        <f t="shared" si="7"/>
        <v>2.7096026313363826</v>
      </c>
    </row>
    <row r="116" spans="1:9" x14ac:dyDescent="0.25">
      <c r="A116" s="49">
        <f>'A) Base RI'!A118</f>
        <v>5586</v>
      </c>
      <c r="B116" s="293" t="str">
        <f>'A) Base RI'!B118</f>
        <v>Lausanne</v>
      </c>
      <c r="C116" s="10">
        <f>'B) D RI'!Y118</f>
        <v>36956896.050000004</v>
      </c>
      <c r="D116" s="425">
        <f>'B) D RI'!Z118</f>
        <v>13812872.5</v>
      </c>
      <c r="E116" s="10">
        <f t="shared" si="4"/>
        <v>50769768.550000004</v>
      </c>
      <c r="F116" s="425">
        <f>'B) D RI'!U118</f>
        <v>6272364.2800849257</v>
      </c>
      <c r="G116" s="266">
        <f t="shared" si="5"/>
        <v>8.0941996164343628</v>
      </c>
      <c r="H116" s="55">
        <f t="shared" si="6"/>
        <v>22622309.775000002</v>
      </c>
      <c r="I116" s="416">
        <f t="shared" si="7"/>
        <v>3.606663893362664</v>
      </c>
    </row>
    <row r="117" spans="1:9" x14ac:dyDescent="0.25">
      <c r="A117" s="49">
        <f>'A) Base RI'!A119</f>
        <v>5587</v>
      </c>
      <c r="B117" s="293" t="str">
        <f>'A) Base RI'!B119</f>
        <v>Le Mont-sur-Lausanne</v>
      </c>
      <c r="C117" s="10">
        <f>'B) D RI'!Y119</f>
        <v>3171298.4000000004</v>
      </c>
      <c r="D117" s="425">
        <f>'B) D RI'!Z119</f>
        <v>522589.6</v>
      </c>
      <c r="E117" s="10">
        <f t="shared" si="4"/>
        <v>3693888.0000000005</v>
      </c>
      <c r="F117" s="425">
        <f>'B) D RI'!U119</f>
        <v>442860.74013605446</v>
      </c>
      <c r="G117" s="266">
        <f t="shared" si="5"/>
        <v>8.3409696665935531</v>
      </c>
      <c r="H117" s="55">
        <f t="shared" si="6"/>
        <v>1742426.08</v>
      </c>
      <c r="I117" s="416">
        <f t="shared" si="7"/>
        <v>3.9344785438977876</v>
      </c>
    </row>
    <row r="118" spans="1:9" x14ac:dyDescent="0.25">
      <c r="A118" s="49">
        <f>'A) Base RI'!A120</f>
        <v>5588</v>
      </c>
      <c r="B118" s="293" t="str">
        <f>'A) Base RI'!B120</f>
        <v>Paudex</v>
      </c>
      <c r="C118" s="10">
        <f>'B) D RI'!Y120</f>
        <v>534955.15</v>
      </c>
      <c r="D118" s="425">
        <f>'B) D RI'!Z120</f>
        <v>18272.150000000001</v>
      </c>
      <c r="E118" s="10">
        <f t="shared" si="4"/>
        <v>553227.30000000005</v>
      </c>
      <c r="F118" s="425">
        <f>'B) D RI'!U120</f>
        <v>135448.58760472611</v>
      </c>
      <c r="G118" s="266">
        <f t="shared" si="5"/>
        <v>4.084408038380289</v>
      </c>
      <c r="H118" s="55">
        <f t="shared" si="6"/>
        <v>272959.22000000003</v>
      </c>
      <c r="I118" s="416">
        <f t="shared" si="7"/>
        <v>2.015223819066799</v>
      </c>
    </row>
    <row r="119" spans="1:9" x14ac:dyDescent="0.25">
      <c r="A119" s="49">
        <f>'A) Base RI'!A121</f>
        <v>5589</v>
      </c>
      <c r="B119" s="293" t="str">
        <f>'A) Base RI'!B121</f>
        <v>Prilly</v>
      </c>
      <c r="C119" s="10">
        <f>'B) D RI'!Y121</f>
        <v>1942903.1</v>
      </c>
      <c r="D119" s="425">
        <f>'B) D RI'!Z121</f>
        <v>1167452.6499999999</v>
      </c>
      <c r="E119" s="10">
        <f t="shared" si="4"/>
        <v>3110355.75</v>
      </c>
      <c r="F119" s="425">
        <f>'B) D RI'!U121</f>
        <v>455017.22467904515</v>
      </c>
      <c r="G119" s="266">
        <f t="shared" si="5"/>
        <v>6.8356879285041288</v>
      </c>
      <c r="H119" s="55">
        <f t="shared" si="6"/>
        <v>1321687.345</v>
      </c>
      <c r="I119" s="416">
        <f t="shared" si="7"/>
        <v>2.9046973901532556</v>
      </c>
    </row>
    <row r="120" spans="1:9" x14ac:dyDescent="0.25">
      <c r="A120" s="49">
        <f>'A) Base RI'!A122</f>
        <v>5590</v>
      </c>
      <c r="B120" s="293" t="str">
        <f>'A) Base RI'!B122</f>
        <v>Pully</v>
      </c>
      <c r="C120" s="10">
        <f>'B) D RI'!Y122</f>
        <v>8959892.6999999993</v>
      </c>
      <c r="D120" s="425">
        <f>'B) D RI'!Z122</f>
        <v>153086.15</v>
      </c>
      <c r="E120" s="10">
        <f t="shared" si="4"/>
        <v>9112978.8499999996</v>
      </c>
      <c r="F120" s="425">
        <f>'B) D RI'!U122</f>
        <v>1478979.5848477751</v>
      </c>
      <c r="G120" s="266">
        <f t="shared" si="5"/>
        <v>6.1616664241771524</v>
      </c>
      <c r="H120" s="55">
        <f t="shared" si="6"/>
        <v>4525872.1949999994</v>
      </c>
      <c r="I120" s="416">
        <f t="shared" si="7"/>
        <v>3.0601316214015406</v>
      </c>
    </row>
    <row r="121" spans="1:9" x14ac:dyDescent="0.25">
      <c r="A121" s="49">
        <f>'A) Base RI'!A123</f>
        <v>5591</v>
      </c>
      <c r="B121" s="293" t="str">
        <f>'A) Base RI'!B123</f>
        <v>Renens</v>
      </c>
      <c r="C121" s="10">
        <f>'B) D RI'!Y123</f>
        <v>4388619.6500000004</v>
      </c>
      <c r="D121" s="425">
        <f>'B) D RI'!Z123</f>
        <v>2364789</v>
      </c>
      <c r="E121" s="10">
        <f t="shared" si="4"/>
        <v>6753408.6500000004</v>
      </c>
      <c r="F121" s="425">
        <f>'B) D RI'!U123</f>
        <v>596748.60283858993</v>
      </c>
      <c r="G121" s="266">
        <f t="shared" si="5"/>
        <v>11.317007895578902</v>
      </c>
      <c r="H121" s="55">
        <f t="shared" si="6"/>
        <v>2903746.5250000004</v>
      </c>
      <c r="I121" s="416">
        <f t="shared" si="7"/>
        <v>4.8659460804559487</v>
      </c>
    </row>
    <row r="122" spans="1:9" x14ac:dyDescent="0.25">
      <c r="A122" s="49">
        <f>'A) Base RI'!A124</f>
        <v>5592</v>
      </c>
      <c r="B122" s="293" t="str">
        <f>'A) Base RI'!B124</f>
        <v>Romanel-sur-Lausanne</v>
      </c>
      <c r="C122" s="10">
        <f>'B) D RI'!Y124</f>
        <v>413798.40000000002</v>
      </c>
      <c r="D122" s="425">
        <f>'B) D RI'!Z124</f>
        <v>220475.4</v>
      </c>
      <c r="E122" s="10">
        <f t="shared" si="4"/>
        <v>634273.80000000005</v>
      </c>
      <c r="F122" s="425">
        <f>'B) D RI'!U124</f>
        <v>121292.24695035459</v>
      </c>
      <c r="G122" s="266">
        <f t="shared" si="5"/>
        <v>5.2293020860567525</v>
      </c>
      <c r="H122" s="55">
        <f t="shared" si="6"/>
        <v>273041.82</v>
      </c>
      <c r="I122" s="416">
        <f t="shared" si="7"/>
        <v>2.2511069492492553</v>
      </c>
    </row>
    <row r="123" spans="1:9" x14ac:dyDescent="0.25">
      <c r="A123" s="49">
        <f>'A) Base RI'!A125</f>
        <v>5601</v>
      </c>
      <c r="B123" s="293" t="str">
        <f>'A) Base RI'!B125</f>
        <v>Chexbres</v>
      </c>
      <c r="C123" s="10">
        <f>'B) D RI'!Y125</f>
        <v>1664855.35</v>
      </c>
      <c r="D123" s="425">
        <f>'B) D RI'!Z125</f>
        <v>47732.35</v>
      </c>
      <c r="E123" s="10">
        <f t="shared" si="4"/>
        <v>1712587.7000000002</v>
      </c>
      <c r="F123" s="425">
        <f>'B) D RI'!U125</f>
        <v>98072.029481481484</v>
      </c>
      <c r="G123" s="266">
        <f t="shared" si="5"/>
        <v>17.462549812160059</v>
      </c>
      <c r="H123" s="55">
        <f t="shared" si="6"/>
        <v>846747.38</v>
      </c>
      <c r="I123" s="416">
        <f t="shared" si="7"/>
        <v>8.6339334923204341</v>
      </c>
    </row>
    <row r="124" spans="1:9" x14ac:dyDescent="0.25">
      <c r="A124" s="49">
        <f>'A) Base RI'!A126</f>
        <v>5604</v>
      </c>
      <c r="B124" s="293" t="str">
        <f>'A) Base RI'!B126</f>
        <v>Forel (Lavaux)</v>
      </c>
      <c r="C124" s="10">
        <f>'B) D RI'!Y126</f>
        <v>314505.45</v>
      </c>
      <c r="D124" s="425">
        <f>'B) D RI'!Z126</f>
        <v>105948.3</v>
      </c>
      <c r="E124" s="10">
        <f t="shared" si="4"/>
        <v>420453.75</v>
      </c>
      <c r="F124" s="425">
        <f>'B) D RI'!U126</f>
        <v>71309.914782608685</v>
      </c>
      <c r="G124" s="266">
        <f t="shared" si="5"/>
        <v>5.896147138609984</v>
      </c>
      <c r="H124" s="55">
        <f t="shared" si="6"/>
        <v>189037.215</v>
      </c>
      <c r="I124" s="416">
        <f t="shared" si="7"/>
        <v>2.6509247076831883</v>
      </c>
    </row>
    <row r="125" spans="1:9" x14ac:dyDescent="0.25">
      <c r="A125" s="49">
        <f>'A) Base RI'!A127</f>
        <v>5606</v>
      </c>
      <c r="B125" s="293" t="str">
        <f>'A) Base RI'!B127</f>
        <v>Lutry</v>
      </c>
      <c r="C125" s="10">
        <f>'B) D RI'!Y127</f>
        <v>5531489.3499999996</v>
      </c>
      <c r="D125" s="425">
        <f>'B) D RI'!Z127</f>
        <v>149368.25</v>
      </c>
      <c r="E125" s="10">
        <f t="shared" si="4"/>
        <v>5680857.5999999996</v>
      </c>
      <c r="F125" s="425">
        <f>'B) D RI'!U127</f>
        <v>875230.37264550268</v>
      </c>
      <c r="G125" s="266">
        <f t="shared" si="5"/>
        <v>6.4906997946481635</v>
      </c>
      <c r="H125" s="55">
        <f t="shared" si="6"/>
        <v>2810555.15</v>
      </c>
      <c r="I125" s="416">
        <f t="shared" si="7"/>
        <v>3.2112175695008336</v>
      </c>
    </row>
    <row r="126" spans="1:9" x14ac:dyDescent="0.25">
      <c r="A126" s="49">
        <f>'A) Base RI'!A128</f>
        <v>5607</v>
      </c>
      <c r="B126" s="293" t="str">
        <f>'A) Base RI'!B128</f>
        <v>Puidoux</v>
      </c>
      <c r="C126" s="10">
        <f>'B) D RI'!Y128</f>
        <v>1146275</v>
      </c>
      <c r="D126" s="425">
        <f>'B) D RI'!Z128</f>
        <v>241469.15</v>
      </c>
      <c r="E126" s="10">
        <f t="shared" si="4"/>
        <v>1387744.15</v>
      </c>
      <c r="F126" s="425">
        <f>'B) D RI'!U128</f>
        <v>102944.97501110758</v>
      </c>
      <c r="G126" s="266">
        <f t="shared" si="5"/>
        <v>13.480445741526138</v>
      </c>
      <c r="H126" s="55">
        <f t="shared" si="6"/>
        <v>645578.245</v>
      </c>
      <c r="I126" s="416">
        <f t="shared" si="7"/>
        <v>6.2711001185861015</v>
      </c>
    </row>
    <row r="127" spans="1:9" x14ac:dyDescent="0.25">
      <c r="A127" s="49">
        <f>'A) Base RI'!A129</f>
        <v>5609</v>
      </c>
      <c r="B127" s="293" t="str">
        <f>'A) Base RI'!B129</f>
        <v>Rivaz</v>
      </c>
      <c r="C127" s="10">
        <f>'B) D RI'!Y129</f>
        <v>65444.15</v>
      </c>
      <c r="D127" s="425">
        <f>'B) D RI'!Z129</f>
        <v>0</v>
      </c>
      <c r="E127" s="10">
        <f t="shared" si="4"/>
        <v>65444.15</v>
      </c>
      <c r="F127" s="425">
        <f>'B) D RI'!U129</f>
        <v>16048.850483870969</v>
      </c>
      <c r="G127" s="266">
        <f t="shared" si="5"/>
        <v>4.0778091904944294</v>
      </c>
      <c r="H127" s="55">
        <f t="shared" si="6"/>
        <v>32722.075000000001</v>
      </c>
      <c r="I127" s="416">
        <f t="shared" si="7"/>
        <v>2.0389045952472147</v>
      </c>
    </row>
    <row r="128" spans="1:9" x14ac:dyDescent="0.25">
      <c r="A128" s="49">
        <f>'A) Base RI'!A130</f>
        <v>5610</v>
      </c>
      <c r="B128" s="293" t="str">
        <f>'A) Base RI'!B130</f>
        <v>St-Saphorin (Lavaux)</v>
      </c>
      <c r="C128" s="10">
        <f>'B) D RI'!Y130</f>
        <v>126757.29999999999</v>
      </c>
      <c r="D128" s="425">
        <f>'B) D RI'!Z130</f>
        <v>1817.85</v>
      </c>
      <c r="E128" s="10">
        <f t="shared" si="4"/>
        <v>128575.15</v>
      </c>
      <c r="F128" s="425">
        <f>'B) D RI'!U130</f>
        <v>19213.723703703701</v>
      </c>
      <c r="G128" s="266">
        <f t="shared" si="5"/>
        <v>6.6918392281874759</v>
      </c>
      <c r="H128" s="55">
        <f t="shared" si="6"/>
        <v>63924.004999999997</v>
      </c>
      <c r="I128" s="416">
        <f t="shared" si="7"/>
        <v>3.3269972018842862</v>
      </c>
    </row>
    <row r="129" spans="1:9" x14ac:dyDescent="0.25">
      <c r="A129" s="49">
        <f>'A) Base RI'!A131</f>
        <v>5611</v>
      </c>
      <c r="B129" s="293" t="str">
        <f>'A) Base RI'!B131</f>
        <v>Savigny</v>
      </c>
      <c r="C129" s="10">
        <f>'B) D RI'!Y131</f>
        <v>988792.60000000009</v>
      </c>
      <c r="D129" s="425">
        <f>'B) D RI'!Z131</f>
        <v>108590.3</v>
      </c>
      <c r="E129" s="10">
        <f t="shared" si="4"/>
        <v>1097382.9000000001</v>
      </c>
      <c r="F129" s="425">
        <f>'B) D RI'!U131</f>
        <v>136715.33886473431</v>
      </c>
      <c r="G129" s="266">
        <f t="shared" si="5"/>
        <v>8.0267723366852568</v>
      </c>
      <c r="H129" s="55">
        <f t="shared" si="6"/>
        <v>526973.39</v>
      </c>
      <c r="I129" s="416">
        <f t="shared" si="7"/>
        <v>3.8545301088810939</v>
      </c>
    </row>
    <row r="130" spans="1:9" x14ac:dyDescent="0.25">
      <c r="A130" s="49">
        <f>'A) Base RI'!A132</f>
        <v>5613</v>
      </c>
      <c r="B130" s="293" t="str">
        <f>'A) Base RI'!B132</f>
        <v>Bourg-en-Lavaux</v>
      </c>
      <c r="C130" s="10">
        <f>'B) D RI'!Y132</f>
        <v>1691717.6</v>
      </c>
      <c r="D130" s="425">
        <f>'B) D RI'!Z132</f>
        <v>31370.7</v>
      </c>
      <c r="E130" s="10">
        <f t="shared" si="4"/>
        <v>1723088.3</v>
      </c>
      <c r="F130" s="425">
        <f>'B) D RI'!U132</f>
        <v>343828.17631999997</v>
      </c>
      <c r="G130" s="266">
        <f t="shared" si="5"/>
        <v>5.0114807879978001</v>
      </c>
      <c r="H130" s="55">
        <f t="shared" si="6"/>
        <v>855270.01</v>
      </c>
      <c r="I130" s="416">
        <f t="shared" si="7"/>
        <v>2.4874925003354074</v>
      </c>
    </row>
    <row r="131" spans="1:9" x14ac:dyDescent="0.25">
      <c r="A131" s="49">
        <f>'A) Base RI'!A133</f>
        <v>5621</v>
      </c>
      <c r="B131" s="293" t="str">
        <f>'A) Base RI'!B133</f>
        <v>Aclens</v>
      </c>
      <c r="C131" s="10">
        <f>'B) D RI'!Y133</f>
        <v>116705.60000000001</v>
      </c>
      <c r="D131" s="425">
        <f>'B) D RI'!Z133</f>
        <v>292461.5</v>
      </c>
      <c r="E131" s="10">
        <f t="shared" si="4"/>
        <v>409167.1</v>
      </c>
      <c r="F131" s="425">
        <f>'B) D RI'!U133</f>
        <v>32411.912521994131</v>
      </c>
      <c r="G131" s="266">
        <f t="shared" si="5"/>
        <v>12.623972736022495</v>
      </c>
      <c r="H131" s="55">
        <f t="shared" si="6"/>
        <v>146091.25</v>
      </c>
      <c r="I131" s="416">
        <f t="shared" si="7"/>
        <v>4.5073319848332041</v>
      </c>
    </row>
    <row r="132" spans="1:9" x14ac:dyDescent="0.25">
      <c r="A132" s="49">
        <f>'A) Base RI'!A134</f>
        <v>5622</v>
      </c>
      <c r="B132" s="293" t="str">
        <f>'A) Base RI'!B134</f>
        <v>Bremblens</v>
      </c>
      <c r="C132" s="10">
        <f>'B) D RI'!Y134</f>
        <v>94102.15</v>
      </c>
      <c r="D132" s="425">
        <f>'B) D RI'!Z134</f>
        <v>26810.25</v>
      </c>
      <c r="E132" s="10">
        <f t="shared" si="4"/>
        <v>120912.4</v>
      </c>
      <c r="F132" s="425">
        <f>'B) D RI'!U134</f>
        <v>27803.201911764703</v>
      </c>
      <c r="G132" s="266">
        <f t="shared" si="5"/>
        <v>4.3488660185155465</v>
      </c>
      <c r="H132" s="55">
        <f t="shared" si="6"/>
        <v>55094.149999999994</v>
      </c>
      <c r="I132" s="416">
        <f t="shared" si="7"/>
        <v>1.9815757255169717</v>
      </c>
    </row>
    <row r="133" spans="1:9" x14ac:dyDescent="0.25">
      <c r="A133" s="49">
        <f>'A) Base RI'!A135</f>
        <v>5623</v>
      </c>
      <c r="B133" s="293" t="str">
        <f>'A) Base RI'!B135</f>
        <v>Buchillon</v>
      </c>
      <c r="C133" s="10">
        <f>'B) D RI'!Y135</f>
        <v>248933.8</v>
      </c>
      <c r="D133" s="425">
        <f>'B) D RI'!Z135</f>
        <v>2588.25</v>
      </c>
      <c r="E133" s="10">
        <f t="shared" si="4"/>
        <v>251522.05</v>
      </c>
      <c r="F133" s="425">
        <f>'B) D RI'!U135</f>
        <v>94394.012307692305</v>
      </c>
      <c r="G133" s="266">
        <f t="shared" si="5"/>
        <v>2.6645975083686859</v>
      </c>
      <c r="H133" s="55">
        <f t="shared" si="6"/>
        <v>125243.375</v>
      </c>
      <c r="I133" s="416">
        <f t="shared" si="7"/>
        <v>1.3268148258360848</v>
      </c>
    </row>
    <row r="134" spans="1:9" x14ac:dyDescent="0.25">
      <c r="A134" s="49">
        <f>'A) Base RI'!A136</f>
        <v>5624</v>
      </c>
      <c r="B134" s="293" t="str">
        <f>'A) Base RI'!B136</f>
        <v>Bussigny</v>
      </c>
      <c r="C134" s="10">
        <f>'B) D RI'!Y136</f>
        <v>2760064.8499999996</v>
      </c>
      <c r="D134" s="425">
        <f>'B) D RI'!Z136</f>
        <v>1067240.95</v>
      </c>
      <c r="E134" s="10">
        <f t="shared" ref="E134:E197" si="8">C134+D134</f>
        <v>3827305.8</v>
      </c>
      <c r="F134" s="425">
        <f>'B) D RI'!U136</f>
        <v>354162.79119999992</v>
      </c>
      <c r="G134" s="266">
        <f t="shared" ref="G134:G197" si="9">E134/F134</f>
        <v>10.80662874558913</v>
      </c>
      <c r="H134" s="55">
        <f t="shared" ref="H134:H197" si="10">(C134*$C$4)+(D134*$D$4)</f>
        <v>1700204.7099999997</v>
      </c>
      <c r="I134" s="416">
        <f t="shared" ref="I134:I197" si="11">H134/F134</f>
        <v>4.8006305355772794</v>
      </c>
    </row>
    <row r="135" spans="1:9" x14ac:dyDescent="0.25">
      <c r="A135" s="49">
        <f>'A) Base RI'!A137</f>
        <v>5625</v>
      </c>
      <c r="B135" s="293" t="str">
        <f>'A) Base RI'!B137</f>
        <v>Bussy-Chardonney</v>
      </c>
      <c r="C135" s="10">
        <f>'B) D RI'!Y137</f>
        <v>188234.15000000002</v>
      </c>
      <c r="D135" s="425">
        <f>'B) D RI'!Z137</f>
        <v>0</v>
      </c>
      <c r="E135" s="10">
        <f t="shared" si="8"/>
        <v>188234.15000000002</v>
      </c>
      <c r="F135" s="425">
        <f>'B) D RI'!U137</f>
        <v>17740.486103896103</v>
      </c>
      <c r="G135" s="266">
        <f t="shared" si="9"/>
        <v>10.610427972357574</v>
      </c>
      <c r="H135" s="55">
        <f t="shared" si="10"/>
        <v>94117.075000000012</v>
      </c>
      <c r="I135" s="416">
        <f t="shared" si="11"/>
        <v>5.3052139861787868</v>
      </c>
    </row>
    <row r="136" spans="1:9" x14ac:dyDescent="0.25">
      <c r="A136" s="49">
        <f>'A) Base RI'!A138</f>
        <v>5627</v>
      </c>
      <c r="B136" s="293" t="str">
        <f>'A) Base RI'!B138</f>
        <v>Chavannes-près-Renens</v>
      </c>
      <c r="C136" s="10">
        <f>'B) D RI'!Y138</f>
        <v>818714.29999999993</v>
      </c>
      <c r="D136" s="425">
        <f>'B) D RI'!Z138</f>
        <v>351553.85</v>
      </c>
      <c r="E136" s="10">
        <f t="shared" si="8"/>
        <v>1170268.1499999999</v>
      </c>
      <c r="F136" s="425">
        <f>'B) D RI'!U138</f>
        <v>161901.70176344088</v>
      </c>
      <c r="G136" s="266">
        <f t="shared" si="9"/>
        <v>7.2282634293116423</v>
      </c>
      <c r="H136" s="55">
        <f t="shared" si="10"/>
        <v>514823.30499999993</v>
      </c>
      <c r="I136" s="416">
        <f t="shared" si="11"/>
        <v>3.179851103432024</v>
      </c>
    </row>
    <row r="137" spans="1:9" x14ac:dyDescent="0.25">
      <c r="A137" s="49">
        <f>'A) Base RI'!A139</f>
        <v>5628</v>
      </c>
      <c r="B137" s="293" t="str">
        <f>'A) Base RI'!B139</f>
        <v>Chigny</v>
      </c>
      <c r="C137" s="10">
        <f>'B) D RI'!Y139</f>
        <v>124073.8</v>
      </c>
      <c r="D137" s="425">
        <f>'B) D RI'!Z139</f>
        <v>9088.4500000000007</v>
      </c>
      <c r="E137" s="10">
        <f t="shared" si="8"/>
        <v>133162.25</v>
      </c>
      <c r="F137" s="425">
        <f>'B) D RI'!U139</f>
        <v>24624.530161290324</v>
      </c>
      <c r="G137" s="266">
        <f t="shared" si="9"/>
        <v>5.4077072385864478</v>
      </c>
      <c r="H137" s="55">
        <f t="shared" si="10"/>
        <v>64763.435000000005</v>
      </c>
      <c r="I137" s="416">
        <f t="shared" si="11"/>
        <v>2.6300373885633723</v>
      </c>
    </row>
    <row r="138" spans="1:9" x14ac:dyDescent="0.25">
      <c r="A138" s="49">
        <f>'A) Base RI'!A140</f>
        <v>5629</v>
      </c>
      <c r="B138" s="293" t="str">
        <f>'A) Base RI'!B140</f>
        <v>Clarmont</v>
      </c>
      <c r="C138" s="10">
        <f>'B) D RI'!Y140</f>
        <v>4065.85</v>
      </c>
      <c r="D138" s="425">
        <f>'B) D RI'!Z140</f>
        <v>0</v>
      </c>
      <c r="E138" s="10">
        <f t="shared" si="8"/>
        <v>4065.85</v>
      </c>
      <c r="F138" s="425">
        <f>'B) D RI'!U140</f>
        <v>8521.2598639455773</v>
      </c>
      <c r="G138" s="266">
        <f t="shared" si="9"/>
        <v>0.4771418856973339</v>
      </c>
      <c r="H138" s="55">
        <f t="shared" si="10"/>
        <v>2032.925</v>
      </c>
      <c r="I138" s="416">
        <f t="shared" si="11"/>
        <v>0.23857094284866695</v>
      </c>
    </row>
    <row r="139" spans="1:9" x14ac:dyDescent="0.25">
      <c r="A139" s="49">
        <f>'A) Base RI'!A141</f>
        <v>5631</v>
      </c>
      <c r="B139" s="293" t="str">
        <f>'A) Base RI'!B141</f>
        <v>Denens</v>
      </c>
      <c r="C139" s="10">
        <f>'B) D RI'!Y141</f>
        <v>380172.35</v>
      </c>
      <c r="D139" s="425">
        <f>'B) D RI'!Z141</f>
        <v>1561.75</v>
      </c>
      <c r="E139" s="10">
        <f t="shared" si="8"/>
        <v>381734.1</v>
      </c>
      <c r="F139" s="425">
        <f>'B) D RI'!U141</f>
        <v>43455.14235294117</v>
      </c>
      <c r="G139" s="266">
        <f t="shared" si="9"/>
        <v>8.7845552754048946</v>
      </c>
      <c r="H139" s="55">
        <f t="shared" si="10"/>
        <v>190554.69999999998</v>
      </c>
      <c r="I139" s="416">
        <f t="shared" si="11"/>
        <v>4.3850897657248771</v>
      </c>
    </row>
    <row r="140" spans="1:9" x14ac:dyDescent="0.25">
      <c r="A140" s="49">
        <f>'A) Base RI'!A142</f>
        <v>5632</v>
      </c>
      <c r="B140" s="293" t="str">
        <f>'A) Base RI'!B142</f>
        <v>Denges</v>
      </c>
      <c r="C140" s="10">
        <f>'B) D RI'!Y142</f>
        <v>380200.7</v>
      </c>
      <c r="D140" s="425">
        <f>'B) D RI'!Z142</f>
        <v>74620.800000000003</v>
      </c>
      <c r="E140" s="10">
        <f t="shared" si="8"/>
        <v>454821.5</v>
      </c>
      <c r="F140" s="425">
        <f>'B) D RI'!U142</f>
        <v>76479.966774193541</v>
      </c>
      <c r="G140" s="266">
        <f t="shared" si="9"/>
        <v>5.9469364224863837</v>
      </c>
      <c r="H140" s="55">
        <f t="shared" si="10"/>
        <v>212486.59</v>
      </c>
      <c r="I140" s="416">
        <f t="shared" si="11"/>
        <v>2.7783300511539823</v>
      </c>
    </row>
    <row r="141" spans="1:9" x14ac:dyDescent="0.25">
      <c r="A141" s="49">
        <f>'A) Base RI'!A143</f>
        <v>5633</v>
      </c>
      <c r="B141" s="293" t="str">
        <f>'A) Base RI'!B143</f>
        <v>Echandens</v>
      </c>
      <c r="C141" s="10">
        <f>'B) D RI'!Y143</f>
        <v>1449712</v>
      </c>
      <c r="D141" s="425">
        <f>'B) D RI'!Z143</f>
        <v>197742.25</v>
      </c>
      <c r="E141" s="10">
        <f t="shared" si="8"/>
        <v>1647454.25</v>
      </c>
      <c r="F141" s="425">
        <f>'B) D RI'!U143</f>
        <v>148865.46909090912</v>
      </c>
      <c r="G141" s="266">
        <f t="shared" si="9"/>
        <v>11.066731996752942</v>
      </c>
      <c r="H141" s="55">
        <f t="shared" si="10"/>
        <v>784178.67500000005</v>
      </c>
      <c r="I141" s="416">
        <f t="shared" si="11"/>
        <v>5.2677002920073965</v>
      </c>
    </row>
    <row r="142" spans="1:9" x14ac:dyDescent="0.25">
      <c r="A142" s="49">
        <f>'A) Base RI'!A144</f>
        <v>5634</v>
      </c>
      <c r="B142" s="293" t="str">
        <f>'A) Base RI'!B144</f>
        <v>Echichens</v>
      </c>
      <c r="C142" s="10">
        <f>'B) D RI'!Y144</f>
        <v>831030.4</v>
      </c>
      <c r="D142" s="425">
        <f>'B) D RI'!Z144</f>
        <v>34427.1</v>
      </c>
      <c r="E142" s="10">
        <f t="shared" si="8"/>
        <v>865457.5</v>
      </c>
      <c r="F142" s="425">
        <f>'B) D RI'!U144</f>
        <v>164177.5981818182</v>
      </c>
      <c r="G142" s="266">
        <f t="shared" si="9"/>
        <v>5.271471318769998</v>
      </c>
      <c r="H142" s="55">
        <f t="shared" si="10"/>
        <v>425843.33</v>
      </c>
      <c r="I142" s="416">
        <f t="shared" si="11"/>
        <v>2.5937968073354352</v>
      </c>
    </row>
    <row r="143" spans="1:9" x14ac:dyDescent="0.25">
      <c r="A143" s="49">
        <f>'A) Base RI'!A145</f>
        <v>5635</v>
      </c>
      <c r="B143" s="293" t="str">
        <f>'A) Base RI'!B145</f>
        <v>Ecublens</v>
      </c>
      <c r="C143" s="10">
        <f>'B) D RI'!Y145</f>
        <v>2912637.5</v>
      </c>
      <c r="D143" s="425">
        <f>'B) D RI'!Z145</f>
        <v>2487367.85</v>
      </c>
      <c r="E143" s="10">
        <f t="shared" si="8"/>
        <v>5400005.3499999996</v>
      </c>
      <c r="F143" s="425">
        <f>'B) D RI'!U145</f>
        <v>681739.39309333346</v>
      </c>
      <c r="G143" s="266">
        <f t="shared" si="9"/>
        <v>7.920923163172283</v>
      </c>
      <c r="H143" s="55">
        <f t="shared" si="10"/>
        <v>2202529.105</v>
      </c>
      <c r="I143" s="416">
        <f t="shared" si="11"/>
        <v>3.230749355712327</v>
      </c>
    </row>
    <row r="144" spans="1:9" x14ac:dyDescent="0.25">
      <c r="A144" s="49">
        <f>'A) Base RI'!A146</f>
        <v>5636</v>
      </c>
      <c r="B144" s="293" t="str">
        <f>'A) Base RI'!B146</f>
        <v>Etoy</v>
      </c>
      <c r="C144" s="10">
        <f>'B) D RI'!Y146</f>
        <v>978414.45</v>
      </c>
      <c r="D144" s="425">
        <f>'B) D RI'!Z146</f>
        <v>619311.94999999995</v>
      </c>
      <c r="E144" s="10">
        <f t="shared" si="8"/>
        <v>1597726.4</v>
      </c>
      <c r="F144" s="425">
        <f>'B) D RI'!U146</f>
        <v>170715.46099999998</v>
      </c>
      <c r="G144" s="266">
        <f t="shared" si="9"/>
        <v>9.3590023460148117</v>
      </c>
      <c r="H144" s="55">
        <f t="shared" si="10"/>
        <v>675000.80999999994</v>
      </c>
      <c r="I144" s="416">
        <f t="shared" si="11"/>
        <v>3.953952419107488</v>
      </c>
    </row>
    <row r="145" spans="1:9" x14ac:dyDescent="0.25">
      <c r="A145" s="49">
        <f>'A) Base RI'!A147</f>
        <v>5637</v>
      </c>
      <c r="B145" s="293" t="str">
        <f>'A) Base RI'!B147</f>
        <v>Lavigny</v>
      </c>
      <c r="C145" s="10">
        <f>'B) D RI'!Y147</f>
        <v>223965.40000000002</v>
      </c>
      <c r="D145" s="425">
        <f>'B) D RI'!Z147</f>
        <v>222888.05</v>
      </c>
      <c r="E145" s="10">
        <f t="shared" si="8"/>
        <v>446853.45</v>
      </c>
      <c r="F145" s="425">
        <f>'B) D RI'!U147</f>
        <v>41194.659315068493</v>
      </c>
      <c r="G145" s="266">
        <f t="shared" si="9"/>
        <v>10.847363649310399</v>
      </c>
      <c r="H145" s="55">
        <f t="shared" si="10"/>
        <v>178849.11499999999</v>
      </c>
      <c r="I145" s="416">
        <f t="shared" si="11"/>
        <v>4.3415607259210711</v>
      </c>
    </row>
    <row r="146" spans="1:9" x14ac:dyDescent="0.25">
      <c r="A146" s="49">
        <f>'A) Base RI'!A148</f>
        <v>5638</v>
      </c>
      <c r="B146" s="293" t="str">
        <f>'A) Base RI'!B148</f>
        <v>Lonay</v>
      </c>
      <c r="C146" s="10">
        <f>'B) D RI'!Y148</f>
        <v>2121164.7000000002</v>
      </c>
      <c r="D146" s="425">
        <f>'B) D RI'!Z148</f>
        <v>290954.15000000002</v>
      </c>
      <c r="E146" s="10">
        <f t="shared" si="8"/>
        <v>2412118.85</v>
      </c>
      <c r="F146" s="425">
        <f>'B) D RI'!U148</f>
        <v>145490.01981818181</v>
      </c>
      <c r="G146" s="266">
        <f t="shared" si="9"/>
        <v>16.57927363687498</v>
      </c>
      <c r="H146" s="55">
        <f t="shared" si="10"/>
        <v>1147868.5950000002</v>
      </c>
      <c r="I146" s="416">
        <f t="shared" si="11"/>
        <v>7.8896724080076845</v>
      </c>
    </row>
    <row r="147" spans="1:9" x14ac:dyDescent="0.25">
      <c r="A147" s="49">
        <f>'A) Base RI'!A149</f>
        <v>5639</v>
      </c>
      <c r="B147" s="293" t="str">
        <f>'A) Base RI'!B149</f>
        <v>Lully</v>
      </c>
      <c r="C147" s="10">
        <f>'B) D RI'!Y149</f>
        <v>152351.6</v>
      </c>
      <c r="D147" s="425">
        <f>'B) D RI'!Z149</f>
        <v>15484.7</v>
      </c>
      <c r="E147" s="10">
        <f t="shared" si="8"/>
        <v>167836.30000000002</v>
      </c>
      <c r="F147" s="425">
        <f>'B) D RI'!U149</f>
        <v>45623.094262295082</v>
      </c>
      <c r="G147" s="266">
        <f t="shared" si="9"/>
        <v>3.6787574958217437</v>
      </c>
      <c r="H147" s="55">
        <f t="shared" si="10"/>
        <v>80821.210000000006</v>
      </c>
      <c r="I147" s="416">
        <f t="shared" si="11"/>
        <v>1.7714977755639469</v>
      </c>
    </row>
    <row r="148" spans="1:9" x14ac:dyDescent="0.25">
      <c r="A148" s="49">
        <f>'A) Base RI'!A150</f>
        <v>5640</v>
      </c>
      <c r="B148" s="293" t="str">
        <f>'A) Base RI'!B150</f>
        <v>Lussy-sur-Morges</v>
      </c>
      <c r="C148" s="10">
        <f>'B) D RI'!Y150</f>
        <v>343334.80000000005</v>
      </c>
      <c r="D148" s="425">
        <f>'B) D RI'!Z150</f>
        <v>14468.85</v>
      </c>
      <c r="E148" s="10">
        <f t="shared" si="8"/>
        <v>357803.65</v>
      </c>
      <c r="F148" s="425">
        <f>'B) D RI'!U150</f>
        <v>57031.532424242418</v>
      </c>
      <c r="G148" s="266">
        <f t="shared" si="9"/>
        <v>6.2737863562632992</v>
      </c>
      <c r="H148" s="55">
        <f t="shared" si="10"/>
        <v>176008.05500000002</v>
      </c>
      <c r="I148" s="416">
        <f t="shared" si="11"/>
        <v>3.0861533526878229</v>
      </c>
    </row>
    <row r="149" spans="1:9" x14ac:dyDescent="0.25">
      <c r="A149" s="49">
        <f>'A) Base RI'!A151</f>
        <v>5642</v>
      </c>
      <c r="B149" s="293" t="str">
        <f>'A) Base RI'!B151</f>
        <v>Morges</v>
      </c>
      <c r="C149" s="10">
        <f>'B) D RI'!Y151</f>
        <v>5437092.1500000004</v>
      </c>
      <c r="D149" s="425">
        <f>'B) D RI'!Z151</f>
        <v>1316828.75</v>
      </c>
      <c r="E149" s="10">
        <f t="shared" si="8"/>
        <v>6753920.9000000004</v>
      </c>
      <c r="F149" s="425">
        <f>'B) D RI'!U151</f>
        <v>787513.11402985093</v>
      </c>
      <c r="G149" s="266">
        <f t="shared" si="9"/>
        <v>8.5762646737892805</v>
      </c>
      <c r="H149" s="55">
        <f t="shared" si="10"/>
        <v>3113594.7</v>
      </c>
      <c r="I149" s="416">
        <f t="shared" si="11"/>
        <v>3.9537052076087438</v>
      </c>
    </row>
    <row r="150" spans="1:9" x14ac:dyDescent="0.25">
      <c r="A150" s="49">
        <f>'A) Base RI'!A152</f>
        <v>5643</v>
      </c>
      <c r="B150" s="293" t="str">
        <f>'A) Base RI'!B152</f>
        <v>Préverenges</v>
      </c>
      <c r="C150" s="10">
        <f>'B) D RI'!Y152</f>
        <v>809628</v>
      </c>
      <c r="D150" s="425">
        <f>'B) D RI'!Z152</f>
        <v>212698.65</v>
      </c>
      <c r="E150" s="10">
        <f t="shared" si="8"/>
        <v>1022326.65</v>
      </c>
      <c r="F150" s="425">
        <f>'B) D RI'!U152</f>
        <v>262337.37167999998</v>
      </c>
      <c r="G150" s="266">
        <f t="shared" si="9"/>
        <v>3.8969920429295053</v>
      </c>
      <c r="H150" s="55">
        <f t="shared" si="10"/>
        <v>468623.59499999997</v>
      </c>
      <c r="I150" s="416">
        <f t="shared" si="11"/>
        <v>1.786339445268319</v>
      </c>
    </row>
    <row r="151" spans="1:9" x14ac:dyDescent="0.25">
      <c r="A151" s="49">
        <f>'A) Base RI'!A153</f>
        <v>5644</v>
      </c>
      <c r="B151" s="293" t="str">
        <f>'A) Base RI'!B153</f>
        <v>Reverolle</v>
      </c>
      <c r="C151" s="10">
        <f>'B) D RI'!Y153</f>
        <v>26150.6</v>
      </c>
      <c r="D151" s="425">
        <f>'B) D RI'!Z153</f>
        <v>4509.8999999999996</v>
      </c>
      <c r="E151" s="10">
        <f t="shared" si="8"/>
        <v>30660.5</v>
      </c>
      <c r="F151" s="425">
        <f>'B) D RI'!U153</f>
        <v>16020.747027027028</v>
      </c>
      <c r="G151" s="266">
        <f t="shared" si="9"/>
        <v>1.9137996466878657</v>
      </c>
      <c r="H151" s="55">
        <f t="shared" si="10"/>
        <v>14428.269999999999</v>
      </c>
      <c r="I151" s="416">
        <f t="shared" si="11"/>
        <v>0.90059907791187777</v>
      </c>
    </row>
    <row r="152" spans="1:9" x14ac:dyDescent="0.25">
      <c r="A152" s="49">
        <f>'A) Base RI'!A154</f>
        <v>5645</v>
      </c>
      <c r="B152" s="293" t="str">
        <f>'A) Base RI'!B154</f>
        <v>Romanel-sur-Morges</v>
      </c>
      <c r="C152" s="10">
        <f>'B) D RI'!Y154</f>
        <v>178461.90000000002</v>
      </c>
      <c r="D152" s="425">
        <f>'B) D RI'!Z154</f>
        <v>37607.800000000003</v>
      </c>
      <c r="E152" s="10">
        <f t="shared" si="8"/>
        <v>216069.7</v>
      </c>
      <c r="F152" s="425">
        <f>'B) D RI'!U154</f>
        <v>27365.134464285718</v>
      </c>
      <c r="G152" s="266">
        <f t="shared" si="9"/>
        <v>7.8958026053916504</v>
      </c>
      <c r="H152" s="55">
        <f t="shared" si="10"/>
        <v>100513.29000000001</v>
      </c>
      <c r="I152" s="416">
        <f t="shared" si="11"/>
        <v>3.6730420649377793</v>
      </c>
    </row>
    <row r="153" spans="1:9" x14ac:dyDescent="0.25">
      <c r="A153" s="49">
        <f>'A) Base RI'!A155</f>
        <v>5646</v>
      </c>
      <c r="B153" s="293" t="str">
        <f>'A) Base RI'!B155</f>
        <v>Saint-Prex</v>
      </c>
      <c r="C153" s="10">
        <f>'B) D RI'!Y155</f>
        <v>2294144.7000000002</v>
      </c>
      <c r="D153" s="425">
        <f>'B) D RI'!Z155</f>
        <v>1057317.55</v>
      </c>
      <c r="E153" s="10">
        <f t="shared" si="8"/>
        <v>3351462.25</v>
      </c>
      <c r="F153" s="425">
        <f>'B) D RI'!U155</f>
        <v>541092.68090909091</v>
      </c>
      <c r="G153" s="266">
        <f t="shared" si="9"/>
        <v>6.1938783654755811</v>
      </c>
      <c r="H153" s="55">
        <f t="shared" si="10"/>
        <v>1464267.6150000002</v>
      </c>
      <c r="I153" s="416">
        <f t="shared" si="11"/>
        <v>2.7061308841581098</v>
      </c>
    </row>
    <row r="154" spans="1:9" x14ac:dyDescent="0.25">
      <c r="A154" s="49">
        <f>'A) Base RI'!A156</f>
        <v>5648</v>
      </c>
      <c r="B154" s="293" t="str">
        <f>'A) Base RI'!B156</f>
        <v>Saint-Sulpice</v>
      </c>
      <c r="C154" s="10">
        <f>'B) D RI'!Y156</f>
        <v>1670020.2000000002</v>
      </c>
      <c r="D154" s="425">
        <f>'B) D RI'!Z156</f>
        <v>85040.6</v>
      </c>
      <c r="E154" s="10">
        <f t="shared" si="8"/>
        <v>1755060.8000000003</v>
      </c>
      <c r="F154" s="425">
        <f>'B) D RI'!U156</f>
        <v>396458.15636363637</v>
      </c>
      <c r="G154" s="266">
        <f t="shared" si="9"/>
        <v>4.4268500264886379</v>
      </c>
      <c r="H154" s="55">
        <f t="shared" si="10"/>
        <v>860522.28000000014</v>
      </c>
      <c r="I154" s="416">
        <f t="shared" si="11"/>
        <v>2.170524849060536</v>
      </c>
    </row>
    <row r="155" spans="1:9" x14ac:dyDescent="0.25">
      <c r="A155" s="49">
        <f>'A) Base RI'!A157</f>
        <v>5649</v>
      </c>
      <c r="B155" s="293" t="str">
        <f>'A) Base RI'!B157</f>
        <v>Tolochenaz</v>
      </c>
      <c r="C155" s="10">
        <f>'B) D RI'!Y157</f>
        <v>359762.45</v>
      </c>
      <c r="D155" s="425">
        <f>'B) D RI'!Z157</f>
        <v>588474.4</v>
      </c>
      <c r="E155" s="10">
        <f t="shared" si="8"/>
        <v>948236.85000000009</v>
      </c>
      <c r="F155" s="425">
        <f>'B) D RI'!U157</f>
        <v>215548.34569230766</v>
      </c>
      <c r="G155" s="266">
        <f t="shared" si="9"/>
        <v>4.3991840761032579</v>
      </c>
      <c r="H155" s="55">
        <f t="shared" si="10"/>
        <v>356423.54500000004</v>
      </c>
      <c r="I155" s="416">
        <f t="shared" si="11"/>
        <v>1.6535665994337523</v>
      </c>
    </row>
    <row r="156" spans="1:9" x14ac:dyDescent="0.25">
      <c r="A156" s="49">
        <f>'A) Base RI'!A158</f>
        <v>5650</v>
      </c>
      <c r="B156" s="293" t="str">
        <f>'A) Base RI'!B158</f>
        <v>Vaux-sur-Morges</v>
      </c>
      <c r="C156" s="10">
        <f>'B) D RI'!Y158</f>
        <v>21058780.5</v>
      </c>
      <c r="D156" s="425">
        <f>'B) D RI'!Z158</f>
        <v>46.25</v>
      </c>
      <c r="E156" s="10">
        <f t="shared" si="8"/>
        <v>21058826.75</v>
      </c>
      <c r="F156" s="425">
        <f>'B) D RI'!U158</f>
        <v>63002.429285714286</v>
      </c>
      <c r="G156" s="266">
        <f t="shared" si="9"/>
        <v>334.25420239747899</v>
      </c>
      <c r="H156" s="55">
        <f t="shared" si="10"/>
        <v>10529404.125</v>
      </c>
      <c r="I156" s="416">
        <f t="shared" si="11"/>
        <v>167.12695437900405</v>
      </c>
    </row>
    <row r="157" spans="1:9" x14ac:dyDescent="0.25">
      <c r="A157" s="49">
        <f>'A) Base RI'!A159</f>
        <v>5651</v>
      </c>
      <c r="B157" s="293" t="str">
        <f>'A) Base RI'!B159</f>
        <v>Villars-Sainte-Croix</v>
      </c>
      <c r="C157" s="10">
        <f>'B) D RI'!Y159</f>
        <v>291361.34999999998</v>
      </c>
      <c r="D157" s="425">
        <f>'B) D RI'!Z159</f>
        <v>170466.25</v>
      </c>
      <c r="E157" s="10">
        <f t="shared" si="8"/>
        <v>461827.6</v>
      </c>
      <c r="F157" s="425">
        <f>'B) D RI'!U159</f>
        <v>55737.982975206622</v>
      </c>
      <c r="G157" s="266">
        <f t="shared" si="9"/>
        <v>8.2856891359960088</v>
      </c>
      <c r="H157" s="55">
        <f t="shared" si="10"/>
        <v>196820.55</v>
      </c>
      <c r="I157" s="416">
        <f t="shared" si="11"/>
        <v>3.5311746047134451</v>
      </c>
    </row>
    <row r="158" spans="1:9" x14ac:dyDescent="0.25">
      <c r="A158" s="49">
        <f>'A) Base RI'!A160</f>
        <v>5652</v>
      </c>
      <c r="B158" s="293" t="str">
        <f>'A) Base RI'!B160</f>
        <v>Villars-sous-Yens</v>
      </c>
      <c r="C158" s="10">
        <f>'B) D RI'!Y160</f>
        <v>167207.84999999998</v>
      </c>
      <c r="D158" s="425">
        <f>'B) D RI'!Z160</f>
        <v>3228.45</v>
      </c>
      <c r="E158" s="10">
        <f t="shared" si="8"/>
        <v>170436.3</v>
      </c>
      <c r="F158" s="425">
        <f>'B) D RI'!U160</f>
        <v>25662.281995614037</v>
      </c>
      <c r="G158" s="266">
        <f t="shared" si="9"/>
        <v>6.6415099027097204</v>
      </c>
      <c r="H158" s="55">
        <f t="shared" si="10"/>
        <v>84572.459999999992</v>
      </c>
      <c r="I158" s="416">
        <f t="shared" si="11"/>
        <v>3.2955938998119629</v>
      </c>
    </row>
    <row r="159" spans="1:9" x14ac:dyDescent="0.25">
      <c r="A159" s="49">
        <f>'A) Base RI'!A161</f>
        <v>5653</v>
      </c>
      <c r="B159" s="293" t="str">
        <f>'A) Base RI'!B161</f>
        <v>Vufflens-le-Château</v>
      </c>
      <c r="C159" s="10">
        <f>'B) D RI'!Y161</f>
        <v>356637.8</v>
      </c>
      <c r="D159" s="425">
        <f>'B) D RI'!Z161</f>
        <v>6135.7</v>
      </c>
      <c r="E159" s="10">
        <f t="shared" si="8"/>
        <v>362773.5</v>
      </c>
      <c r="F159" s="425">
        <f>'B) D RI'!U161</f>
        <v>68786.034529914527</v>
      </c>
      <c r="G159" s="266">
        <f t="shared" si="9"/>
        <v>5.27394117831044</v>
      </c>
      <c r="H159" s="55">
        <f t="shared" si="10"/>
        <v>180159.61</v>
      </c>
      <c r="I159" s="416">
        <f t="shared" si="11"/>
        <v>2.6191306306754742</v>
      </c>
    </row>
    <row r="160" spans="1:9" x14ac:dyDescent="0.25">
      <c r="A160" s="49">
        <f>'A) Base RI'!A162</f>
        <v>5654</v>
      </c>
      <c r="B160" s="293" t="str">
        <f>'A) Base RI'!B162</f>
        <v>Vullierens</v>
      </c>
      <c r="C160" s="10">
        <f>'B) D RI'!Y162</f>
        <v>158104.95000000001</v>
      </c>
      <c r="D160" s="425">
        <f>'B) D RI'!Z162</f>
        <v>6506.75</v>
      </c>
      <c r="E160" s="10">
        <f t="shared" si="8"/>
        <v>164611.70000000001</v>
      </c>
      <c r="F160" s="425">
        <f>'B) D RI'!U162</f>
        <v>19265.899342105262</v>
      </c>
      <c r="G160" s="266">
        <f t="shared" si="9"/>
        <v>8.5442001474721838</v>
      </c>
      <c r="H160" s="55">
        <f t="shared" si="10"/>
        <v>81004.5</v>
      </c>
      <c r="I160" s="416">
        <f t="shared" si="11"/>
        <v>4.2045532659337725</v>
      </c>
    </row>
    <row r="161" spans="1:9" x14ac:dyDescent="0.25">
      <c r="A161" s="49">
        <f>'A) Base RI'!A163</f>
        <v>5655</v>
      </c>
      <c r="B161" s="293" t="str">
        <f>'A) Base RI'!B163</f>
        <v>Yens</v>
      </c>
      <c r="C161" s="10">
        <f>'B) D RI'!Y163</f>
        <v>406618.35</v>
      </c>
      <c r="D161" s="425">
        <f>'B) D RI'!Z163</f>
        <v>104127.75</v>
      </c>
      <c r="E161" s="10">
        <f t="shared" si="8"/>
        <v>510746.1</v>
      </c>
      <c r="F161" s="425">
        <f>'B) D RI'!U163</f>
        <v>90935.122097902116</v>
      </c>
      <c r="G161" s="266">
        <f t="shared" si="9"/>
        <v>5.6165988258103736</v>
      </c>
      <c r="H161" s="55">
        <f t="shared" si="10"/>
        <v>234547.5</v>
      </c>
      <c r="I161" s="416">
        <f t="shared" si="11"/>
        <v>2.5792839399003902</v>
      </c>
    </row>
    <row r="162" spans="1:9" x14ac:dyDescent="0.25">
      <c r="A162" s="49">
        <f>'A) Base RI'!A164</f>
        <v>5661</v>
      </c>
      <c r="B162" s="293" t="str">
        <f>'A) Base RI'!B164</f>
        <v>Boulens</v>
      </c>
      <c r="C162" s="10">
        <f>'B) D RI'!Y164</f>
        <v>23098.15</v>
      </c>
      <c r="D162" s="425">
        <f>'B) D RI'!Z164</f>
        <v>18651.95</v>
      </c>
      <c r="E162" s="10">
        <f t="shared" si="8"/>
        <v>41750.100000000006</v>
      </c>
      <c r="F162" s="425">
        <f>'B) D RI'!U164</f>
        <v>10167.852447552446</v>
      </c>
      <c r="G162" s="266">
        <f t="shared" si="9"/>
        <v>4.1060883028500159</v>
      </c>
      <c r="H162" s="55">
        <f t="shared" si="10"/>
        <v>17144.66</v>
      </c>
      <c r="I162" s="416">
        <f t="shared" si="11"/>
        <v>1.6861633357127419</v>
      </c>
    </row>
    <row r="163" spans="1:9" x14ac:dyDescent="0.25">
      <c r="A163" s="49">
        <f>'A) Base RI'!A165</f>
        <v>5663</v>
      </c>
      <c r="B163" s="293" t="str">
        <f>'A) Base RI'!B165</f>
        <v>Bussy-sur-Moudon</v>
      </c>
      <c r="C163" s="10">
        <f>'B) D RI'!Y165</f>
        <v>21202.75</v>
      </c>
      <c r="D163" s="425">
        <f>'B) D RI'!Z165</f>
        <v>0</v>
      </c>
      <c r="E163" s="10">
        <f t="shared" si="8"/>
        <v>21202.75</v>
      </c>
      <c r="F163" s="425">
        <f>'B) D RI'!U165</f>
        <v>5408.1284999999998</v>
      </c>
      <c r="G163" s="266">
        <f t="shared" si="9"/>
        <v>3.9205336929401735</v>
      </c>
      <c r="H163" s="55">
        <f t="shared" si="10"/>
        <v>10601.375</v>
      </c>
      <c r="I163" s="416">
        <f t="shared" si="11"/>
        <v>1.9602668464700868</v>
      </c>
    </row>
    <row r="164" spans="1:9" x14ac:dyDescent="0.25">
      <c r="A164" s="49">
        <f>'A) Base RI'!A166</f>
        <v>5665</v>
      </c>
      <c r="B164" s="293" t="str">
        <f>'A) Base RI'!B166</f>
        <v>Chavannes-sur-Moudon</v>
      </c>
      <c r="C164" s="10">
        <f>'B) D RI'!Y166</f>
        <v>52937.9</v>
      </c>
      <c r="D164" s="425">
        <f>'B) D RI'!Z166</f>
        <v>0</v>
      </c>
      <c r="E164" s="10">
        <f t="shared" si="8"/>
        <v>52937.9</v>
      </c>
      <c r="F164" s="425">
        <f>'B) D RI'!U166</f>
        <v>6834.8221917808223</v>
      </c>
      <c r="G164" s="266">
        <f t="shared" si="9"/>
        <v>7.7453221919452684</v>
      </c>
      <c r="H164" s="55">
        <f t="shared" si="10"/>
        <v>26468.95</v>
      </c>
      <c r="I164" s="416">
        <f t="shared" si="11"/>
        <v>3.8726610959726342</v>
      </c>
    </row>
    <row r="165" spans="1:9" x14ac:dyDescent="0.25">
      <c r="A165" s="49">
        <f>'A) Base RI'!A167</f>
        <v>5669</v>
      </c>
      <c r="B165" s="293" t="str">
        <f>'A) Base RI'!B167</f>
        <v>Curtilles</v>
      </c>
      <c r="C165" s="10">
        <f>'B) D RI'!Y167</f>
        <v>32314.799999999996</v>
      </c>
      <c r="D165" s="425">
        <f>'B) D RI'!Z167</f>
        <v>0</v>
      </c>
      <c r="E165" s="10">
        <f t="shared" si="8"/>
        <v>32314.799999999996</v>
      </c>
      <c r="F165" s="425">
        <f>'B) D RI'!U167</f>
        <v>10286.853972602739</v>
      </c>
      <c r="G165" s="266">
        <f t="shared" si="9"/>
        <v>3.1413685939418299</v>
      </c>
      <c r="H165" s="55">
        <f t="shared" si="10"/>
        <v>16157.399999999998</v>
      </c>
      <c r="I165" s="416">
        <f t="shared" si="11"/>
        <v>1.5706842969709149</v>
      </c>
    </row>
    <row r="166" spans="1:9" x14ac:dyDescent="0.25">
      <c r="A166" s="49">
        <f>'A) Base RI'!A168</f>
        <v>5671</v>
      </c>
      <c r="B166" s="293" t="str">
        <f>'A) Base RI'!B168</f>
        <v>Dompierre</v>
      </c>
      <c r="C166" s="10">
        <f>'B) D RI'!Y168</f>
        <v>58300.65</v>
      </c>
      <c r="D166" s="425">
        <f>'B) D RI'!Z168</f>
        <v>0</v>
      </c>
      <c r="E166" s="10">
        <f t="shared" si="8"/>
        <v>58300.65</v>
      </c>
      <c r="F166" s="425">
        <f>'B) D RI'!U168</f>
        <v>6034.0657692307695</v>
      </c>
      <c r="G166" s="266">
        <f t="shared" si="9"/>
        <v>9.6619182205951066</v>
      </c>
      <c r="H166" s="55">
        <f t="shared" si="10"/>
        <v>29150.325000000001</v>
      </c>
      <c r="I166" s="416">
        <f t="shared" si="11"/>
        <v>4.8309591102975533</v>
      </c>
    </row>
    <row r="167" spans="1:9" x14ac:dyDescent="0.25">
      <c r="A167" s="49">
        <f>'A) Base RI'!A169</f>
        <v>5673</v>
      </c>
      <c r="B167" s="293" t="str">
        <f>'A) Base RI'!B169</f>
        <v>Hermenches</v>
      </c>
      <c r="C167" s="10">
        <f>'B) D RI'!Y169</f>
        <v>19240.55</v>
      </c>
      <c r="D167" s="425">
        <f>'B) D RI'!Z169</f>
        <v>14893.5</v>
      </c>
      <c r="E167" s="10">
        <f t="shared" si="8"/>
        <v>34134.050000000003</v>
      </c>
      <c r="F167" s="425">
        <f>'B) D RI'!U169</f>
        <v>10638.728435374151</v>
      </c>
      <c r="G167" s="266">
        <f t="shared" si="9"/>
        <v>3.2084708437996285</v>
      </c>
      <c r="H167" s="55">
        <f t="shared" si="10"/>
        <v>14088.325000000001</v>
      </c>
      <c r="I167" s="416">
        <f t="shared" si="11"/>
        <v>1.3242489537711875</v>
      </c>
    </row>
    <row r="168" spans="1:9" x14ac:dyDescent="0.25">
      <c r="A168" s="49">
        <f>'A) Base RI'!A170</f>
        <v>5674</v>
      </c>
      <c r="B168" s="293" t="str">
        <f>'A) Base RI'!B170</f>
        <v>Lovatens</v>
      </c>
      <c r="C168" s="10">
        <f>'B) D RI'!Y170</f>
        <v>75528.399999999994</v>
      </c>
      <c r="D168" s="425">
        <f>'B) D RI'!Z170</f>
        <v>0</v>
      </c>
      <c r="E168" s="10">
        <f t="shared" si="8"/>
        <v>75528.399999999994</v>
      </c>
      <c r="F168" s="425">
        <f>'B) D RI'!U170</f>
        <v>3430.742038095239</v>
      </c>
      <c r="G168" s="266">
        <f t="shared" si="9"/>
        <v>22.015178979161501</v>
      </c>
      <c r="H168" s="55">
        <f t="shared" si="10"/>
        <v>37764.199999999997</v>
      </c>
      <c r="I168" s="416">
        <f t="shared" si="11"/>
        <v>11.00758948958075</v>
      </c>
    </row>
    <row r="169" spans="1:9" x14ac:dyDescent="0.25">
      <c r="A169" s="49">
        <f>'A) Base RI'!A171</f>
        <v>5675</v>
      </c>
      <c r="B169" s="293" t="str">
        <f>'A) Base RI'!B171</f>
        <v>Lucens</v>
      </c>
      <c r="C169" s="10">
        <f>'B) D RI'!Y171</f>
        <v>491285.4</v>
      </c>
      <c r="D169" s="425">
        <f>'B) D RI'!Z171</f>
        <v>47289.1</v>
      </c>
      <c r="E169" s="10">
        <f t="shared" si="8"/>
        <v>538574.5</v>
      </c>
      <c r="F169" s="425">
        <f>'B) D RI'!U171</f>
        <v>97154.219717171698</v>
      </c>
      <c r="G169" s="266">
        <f t="shared" si="9"/>
        <v>5.5435008542897979</v>
      </c>
      <c r="H169" s="55">
        <f t="shared" si="10"/>
        <v>259829.43000000002</v>
      </c>
      <c r="I169" s="416">
        <f t="shared" si="11"/>
        <v>2.6744019020110148</v>
      </c>
    </row>
    <row r="170" spans="1:9" x14ac:dyDescent="0.25">
      <c r="A170" s="49">
        <f>'A) Base RI'!A172</f>
        <v>5678</v>
      </c>
      <c r="B170" s="293" t="str">
        <f>'A) Base RI'!B172</f>
        <v>Moudon</v>
      </c>
      <c r="C170" s="10">
        <f>'B) D RI'!Y172</f>
        <v>1199773.75</v>
      </c>
      <c r="D170" s="425">
        <f>'B) D RI'!Z172</f>
        <v>194976.2</v>
      </c>
      <c r="E170" s="10">
        <f t="shared" si="8"/>
        <v>1394749.95</v>
      </c>
      <c r="F170" s="425">
        <f>'B) D RI'!U172</f>
        <v>124965.41862068966</v>
      </c>
      <c r="G170" s="266">
        <f t="shared" si="9"/>
        <v>11.161087326354789</v>
      </c>
      <c r="H170" s="55">
        <f t="shared" si="10"/>
        <v>658379.73499999999</v>
      </c>
      <c r="I170" s="416">
        <f t="shared" si="11"/>
        <v>5.2684954147066465</v>
      </c>
    </row>
    <row r="171" spans="1:9" x14ac:dyDescent="0.25">
      <c r="A171" s="49">
        <f>'A) Base RI'!A173</f>
        <v>5680</v>
      </c>
      <c r="B171" s="293" t="str">
        <f>'A) Base RI'!B173</f>
        <v>Ogens</v>
      </c>
      <c r="C171" s="10">
        <f>'B) D RI'!Y173</f>
        <v>102907.79999999999</v>
      </c>
      <c r="D171" s="425">
        <f>'B) D RI'!Z173</f>
        <v>0</v>
      </c>
      <c r="E171" s="10">
        <f t="shared" si="8"/>
        <v>102907.79999999999</v>
      </c>
      <c r="F171" s="425">
        <f>'B) D RI'!U173</f>
        <v>8675.0652136752142</v>
      </c>
      <c r="G171" s="266">
        <f t="shared" si="9"/>
        <v>11.862481429854615</v>
      </c>
      <c r="H171" s="55">
        <f t="shared" si="10"/>
        <v>51453.899999999994</v>
      </c>
      <c r="I171" s="416">
        <f t="shared" si="11"/>
        <v>5.9312407149273074</v>
      </c>
    </row>
    <row r="172" spans="1:9" x14ac:dyDescent="0.25">
      <c r="A172" s="49">
        <f>'A) Base RI'!A174</f>
        <v>5683</v>
      </c>
      <c r="B172" s="293" t="str">
        <f>'A) Base RI'!B174</f>
        <v>Prévonloup</v>
      </c>
      <c r="C172" s="10">
        <f>'B) D RI'!Y174</f>
        <v>4367.1000000000004</v>
      </c>
      <c r="D172" s="425">
        <f>'B) D RI'!Z174</f>
        <v>0</v>
      </c>
      <c r="E172" s="10">
        <f t="shared" si="8"/>
        <v>4367.1000000000004</v>
      </c>
      <c r="F172" s="425">
        <f>'B) D RI'!U174</f>
        <v>5006.0282758620697</v>
      </c>
      <c r="G172" s="266">
        <f t="shared" si="9"/>
        <v>0.87236822473759568</v>
      </c>
      <c r="H172" s="55">
        <f t="shared" si="10"/>
        <v>2183.5500000000002</v>
      </c>
      <c r="I172" s="416">
        <f t="shared" si="11"/>
        <v>0.43618411236879784</v>
      </c>
    </row>
    <row r="173" spans="1:9" x14ac:dyDescent="0.25">
      <c r="A173" s="49">
        <f>'A) Base RI'!A175</f>
        <v>5684</v>
      </c>
      <c r="B173" s="293" t="str">
        <f>'A) Base RI'!B175</f>
        <v>Rossenges</v>
      </c>
      <c r="C173" s="10">
        <f>'B) D RI'!Y175</f>
        <v>0</v>
      </c>
      <c r="D173" s="425">
        <f>'B) D RI'!Z175</f>
        <v>0</v>
      </c>
      <c r="E173" s="10">
        <f t="shared" si="8"/>
        <v>0</v>
      </c>
      <c r="F173" s="425">
        <f>'B) D RI'!U175</f>
        <v>4335.3234000000011</v>
      </c>
      <c r="G173" s="266">
        <f t="shared" si="9"/>
        <v>0</v>
      </c>
      <c r="H173" s="55">
        <f t="shared" si="10"/>
        <v>0</v>
      </c>
      <c r="I173" s="416">
        <f t="shared" si="11"/>
        <v>0</v>
      </c>
    </row>
    <row r="174" spans="1:9" x14ac:dyDescent="0.25">
      <c r="A174" s="49">
        <f>'A) Base RI'!A176</f>
        <v>5688</v>
      </c>
      <c r="B174" s="293" t="str">
        <f>'A) Base RI'!B176</f>
        <v>Syens</v>
      </c>
      <c r="C174" s="10">
        <f>'B) D RI'!Y176</f>
        <v>40.65</v>
      </c>
      <c r="D174" s="425">
        <f>'B) D RI'!Z176</f>
        <v>0</v>
      </c>
      <c r="E174" s="10">
        <f t="shared" si="8"/>
        <v>40.65</v>
      </c>
      <c r="F174" s="425">
        <f>'B) D RI'!U176</f>
        <v>5094.0764550264557</v>
      </c>
      <c r="G174" s="266">
        <f t="shared" si="9"/>
        <v>7.9798566744889755E-3</v>
      </c>
      <c r="H174" s="55">
        <f t="shared" si="10"/>
        <v>20.324999999999999</v>
      </c>
      <c r="I174" s="416">
        <f t="shared" si="11"/>
        <v>3.9899283372444878E-3</v>
      </c>
    </row>
    <row r="175" spans="1:9" x14ac:dyDescent="0.25">
      <c r="A175" s="49">
        <f>'A) Base RI'!A177</f>
        <v>5690</v>
      </c>
      <c r="B175" s="293" t="str">
        <f>'A) Base RI'!B177</f>
        <v>Villars-le-Comte</v>
      </c>
      <c r="C175" s="10">
        <f>'B) D RI'!Y177</f>
        <v>35554.399999999994</v>
      </c>
      <c r="D175" s="425">
        <f>'B) D RI'!Z177</f>
        <v>0</v>
      </c>
      <c r="E175" s="10">
        <f t="shared" si="8"/>
        <v>35554.399999999994</v>
      </c>
      <c r="F175" s="425">
        <f>'B) D RI'!U177</f>
        <v>3483.7788571428573</v>
      </c>
      <c r="G175" s="266">
        <f t="shared" si="9"/>
        <v>10.205699459683595</v>
      </c>
      <c r="H175" s="55">
        <f t="shared" si="10"/>
        <v>17777.199999999997</v>
      </c>
      <c r="I175" s="416">
        <f t="shared" si="11"/>
        <v>5.1028497298417976</v>
      </c>
    </row>
    <row r="176" spans="1:9" x14ac:dyDescent="0.25">
      <c r="A176" s="49">
        <f>'A) Base RI'!A178</f>
        <v>5692</v>
      </c>
      <c r="B176" s="293" t="str">
        <f>'A) Base RI'!B178</f>
        <v>Vucherens</v>
      </c>
      <c r="C176" s="10">
        <f>'B) D RI'!Y178</f>
        <v>100319.45</v>
      </c>
      <c r="D176" s="425">
        <f>'B) D RI'!Z178</f>
        <v>13335.05</v>
      </c>
      <c r="E176" s="10">
        <f t="shared" si="8"/>
        <v>113654.5</v>
      </c>
      <c r="F176" s="425">
        <f>'B) D RI'!U178</f>
        <v>18084.556363636369</v>
      </c>
      <c r="G176" s="266">
        <f t="shared" si="9"/>
        <v>6.2846164271152078</v>
      </c>
      <c r="H176" s="55">
        <f t="shared" si="10"/>
        <v>54160.24</v>
      </c>
      <c r="I176" s="416">
        <f t="shared" si="11"/>
        <v>2.994833763735727</v>
      </c>
    </row>
    <row r="177" spans="1:9" x14ac:dyDescent="0.25">
      <c r="A177" s="49">
        <f>'A) Base RI'!A179</f>
        <v>5693</v>
      </c>
      <c r="B177" s="293" t="str">
        <f>'A) Base RI'!B179</f>
        <v>Montanaire</v>
      </c>
      <c r="C177" s="10">
        <f>'B) D RI'!Y179</f>
        <v>487103.2</v>
      </c>
      <c r="D177" s="425">
        <f>'B) D RI'!Z179</f>
        <v>48251.05</v>
      </c>
      <c r="E177" s="10">
        <f t="shared" si="8"/>
        <v>535354.25</v>
      </c>
      <c r="F177" s="425">
        <f>'B) D RI'!U179</f>
        <v>71120.535138888881</v>
      </c>
      <c r="G177" s="266">
        <f t="shared" si="9"/>
        <v>7.5274215661415491</v>
      </c>
      <c r="H177" s="55">
        <f t="shared" si="10"/>
        <v>258026.91500000001</v>
      </c>
      <c r="I177" s="416">
        <f t="shared" si="11"/>
        <v>3.6280226870637011</v>
      </c>
    </row>
    <row r="178" spans="1:9" x14ac:dyDescent="0.25">
      <c r="A178" s="49">
        <f>'A) Base RI'!A180</f>
        <v>5701</v>
      </c>
      <c r="B178" s="293" t="str">
        <f>'A) Base RI'!B180</f>
        <v>Arnex-sur-Nyon</v>
      </c>
      <c r="C178" s="10">
        <f>'B) D RI'!Y180</f>
        <v>154966.85</v>
      </c>
      <c r="D178" s="425">
        <f>'B) D RI'!Z180</f>
        <v>0</v>
      </c>
      <c r="E178" s="10">
        <f t="shared" si="8"/>
        <v>154966.85</v>
      </c>
      <c r="F178" s="425">
        <f>'B) D RI'!U180</f>
        <v>12579.391714285715</v>
      </c>
      <c r="G178" s="266">
        <f t="shared" si="9"/>
        <v>12.319105209516035</v>
      </c>
      <c r="H178" s="55">
        <f t="shared" si="10"/>
        <v>77483.425000000003</v>
      </c>
      <c r="I178" s="416">
        <f t="shared" si="11"/>
        <v>6.1595526047580176</v>
      </c>
    </row>
    <row r="179" spans="1:9" x14ac:dyDescent="0.25">
      <c r="A179" s="49">
        <f>'A) Base RI'!A181</f>
        <v>5702</v>
      </c>
      <c r="B179" s="293" t="str">
        <f>'A) Base RI'!B181</f>
        <v>Arzier-Le Muids</v>
      </c>
      <c r="C179" s="10">
        <f>'B) D RI'!Y181</f>
        <v>942039.65</v>
      </c>
      <c r="D179" s="425">
        <f>'B) D RI'!Z181</f>
        <v>74885.100000000006</v>
      </c>
      <c r="E179" s="10">
        <f t="shared" si="8"/>
        <v>1016924.75</v>
      </c>
      <c r="F179" s="425">
        <f>'B) D RI'!U181</f>
        <v>167751.11713541666</v>
      </c>
      <c r="G179" s="266">
        <f t="shared" si="9"/>
        <v>6.0621041896197339</v>
      </c>
      <c r="H179" s="55">
        <f t="shared" si="10"/>
        <v>493485.35500000004</v>
      </c>
      <c r="I179" s="416">
        <f t="shared" si="11"/>
        <v>2.9417709010047024</v>
      </c>
    </row>
    <row r="180" spans="1:9" x14ac:dyDescent="0.25">
      <c r="A180" s="49">
        <f>'A) Base RI'!A182</f>
        <v>5703</v>
      </c>
      <c r="B180" s="293" t="str">
        <f>'A) Base RI'!B182</f>
        <v>Bassins</v>
      </c>
      <c r="C180" s="10">
        <f>'B) D RI'!Y182</f>
        <v>508253.25</v>
      </c>
      <c r="D180" s="425">
        <f>'B) D RI'!Z182</f>
        <v>30174.35</v>
      </c>
      <c r="E180" s="10">
        <f t="shared" si="8"/>
        <v>538427.6</v>
      </c>
      <c r="F180" s="425">
        <f>'B) D RI'!U182</f>
        <v>66904.36396059113</v>
      </c>
      <c r="G180" s="266">
        <f t="shared" si="9"/>
        <v>8.0477201803629956</v>
      </c>
      <c r="H180" s="55">
        <f t="shared" si="10"/>
        <v>263178.93</v>
      </c>
      <c r="I180" s="416">
        <f t="shared" si="11"/>
        <v>3.9336586497559565</v>
      </c>
    </row>
    <row r="181" spans="1:9" x14ac:dyDescent="0.25">
      <c r="A181" s="49">
        <f>'A) Base RI'!A183</f>
        <v>5704</v>
      </c>
      <c r="B181" s="293" t="str">
        <f>'A) Base RI'!B183</f>
        <v>Begnins</v>
      </c>
      <c r="C181" s="10">
        <f>'B) D RI'!Y183</f>
        <v>413390.10000000003</v>
      </c>
      <c r="D181" s="425">
        <f>'B) D RI'!Z183</f>
        <v>30752.45</v>
      </c>
      <c r="E181" s="10">
        <f t="shared" si="8"/>
        <v>444142.55000000005</v>
      </c>
      <c r="F181" s="425">
        <f>'B) D RI'!U183</f>
        <v>141538.79477333333</v>
      </c>
      <c r="G181" s="266">
        <f t="shared" si="9"/>
        <v>3.1379562805467587</v>
      </c>
      <c r="H181" s="55">
        <f t="shared" si="10"/>
        <v>215920.78500000003</v>
      </c>
      <c r="I181" s="416">
        <f t="shared" si="11"/>
        <v>1.5255236936684773</v>
      </c>
    </row>
    <row r="182" spans="1:9" x14ac:dyDescent="0.25">
      <c r="A182" s="49">
        <f>'A) Base RI'!A184</f>
        <v>5705</v>
      </c>
      <c r="B182" s="293" t="str">
        <f>'A) Base RI'!B184</f>
        <v>Bogis-Bossey</v>
      </c>
      <c r="C182" s="10">
        <f>'B) D RI'!Y184</f>
        <v>390555.9</v>
      </c>
      <c r="D182" s="425">
        <f>'B) D RI'!Z184</f>
        <v>37516</v>
      </c>
      <c r="E182" s="10">
        <f t="shared" si="8"/>
        <v>428071.9</v>
      </c>
      <c r="F182" s="425">
        <f>'B) D RI'!U184</f>
        <v>56148.948053691274</v>
      </c>
      <c r="G182" s="266">
        <f t="shared" si="9"/>
        <v>7.6238632216344477</v>
      </c>
      <c r="H182" s="55">
        <f t="shared" si="10"/>
        <v>206532.75</v>
      </c>
      <c r="I182" s="416">
        <f t="shared" si="11"/>
        <v>3.6783013245859446</v>
      </c>
    </row>
    <row r="183" spans="1:9" x14ac:dyDescent="0.25">
      <c r="A183" s="49">
        <f>'A) Base RI'!A185</f>
        <v>5706</v>
      </c>
      <c r="B183" s="293" t="str">
        <f>'A) Base RI'!B185</f>
        <v>Borex</v>
      </c>
      <c r="C183" s="10">
        <f>'B) D RI'!Y185</f>
        <v>252898.7</v>
      </c>
      <c r="D183" s="425">
        <f>'B) D RI'!Z185</f>
        <v>15345.4</v>
      </c>
      <c r="E183" s="10">
        <f t="shared" si="8"/>
        <v>268244.10000000003</v>
      </c>
      <c r="F183" s="425">
        <f>'B) D RI'!U185</f>
        <v>84057.706842105254</v>
      </c>
      <c r="G183" s="266">
        <f t="shared" si="9"/>
        <v>3.1911898394262903</v>
      </c>
      <c r="H183" s="55">
        <f t="shared" si="10"/>
        <v>131052.97</v>
      </c>
      <c r="I183" s="416">
        <f t="shared" si="11"/>
        <v>1.5590833360011958</v>
      </c>
    </row>
    <row r="184" spans="1:9" x14ac:dyDescent="0.25">
      <c r="A184" s="49">
        <f>'A) Base RI'!A186</f>
        <v>5707</v>
      </c>
      <c r="B184" s="293" t="str">
        <f>'A) Base RI'!B186</f>
        <v>Chavannes-de-Bogis</v>
      </c>
      <c r="C184" s="10">
        <f>'B) D RI'!Y186</f>
        <v>368880</v>
      </c>
      <c r="D184" s="425">
        <f>'B) D RI'!Z186</f>
        <v>787653.25</v>
      </c>
      <c r="E184" s="10">
        <f t="shared" si="8"/>
        <v>1156533.25</v>
      </c>
      <c r="F184" s="425">
        <f>'B) D RI'!U186</f>
        <v>81835.320459770097</v>
      </c>
      <c r="G184" s="266">
        <f t="shared" si="9"/>
        <v>14.132446033110446</v>
      </c>
      <c r="H184" s="55">
        <f t="shared" si="10"/>
        <v>420735.97499999998</v>
      </c>
      <c r="I184" s="416">
        <f t="shared" si="11"/>
        <v>5.1412516336003353</v>
      </c>
    </row>
    <row r="185" spans="1:9" x14ac:dyDescent="0.25">
      <c r="A185" s="49">
        <f>'A) Base RI'!A187</f>
        <v>5708</v>
      </c>
      <c r="B185" s="293" t="str">
        <f>'A) Base RI'!B187</f>
        <v>Chavannes-des-Bois</v>
      </c>
      <c r="C185" s="10">
        <f>'B) D RI'!Y187</f>
        <v>303407.90000000002</v>
      </c>
      <c r="D185" s="425">
        <f>'B) D RI'!Z187</f>
        <v>8131.3</v>
      </c>
      <c r="E185" s="10">
        <f t="shared" si="8"/>
        <v>311539.20000000001</v>
      </c>
      <c r="F185" s="425">
        <f>'B) D RI'!U187</f>
        <v>67256.112794117653</v>
      </c>
      <c r="G185" s="266">
        <f t="shared" si="9"/>
        <v>4.6321321149450645</v>
      </c>
      <c r="H185" s="55">
        <f t="shared" si="10"/>
        <v>154143.34000000003</v>
      </c>
      <c r="I185" s="416">
        <f t="shared" si="11"/>
        <v>2.291885950528525</v>
      </c>
    </row>
    <row r="186" spans="1:9" x14ac:dyDescent="0.25">
      <c r="A186" s="49">
        <f>'A) Base RI'!A188</f>
        <v>5709</v>
      </c>
      <c r="B186" s="293" t="str">
        <f>'A) Base RI'!B188</f>
        <v>Chéserex</v>
      </c>
      <c r="C186" s="10">
        <f>'B) D RI'!Y188</f>
        <v>449715.15</v>
      </c>
      <c r="D186" s="425">
        <f>'B) D RI'!Z188</f>
        <v>40941</v>
      </c>
      <c r="E186" s="10">
        <f t="shared" si="8"/>
        <v>490656.15</v>
      </c>
      <c r="F186" s="425">
        <f>'B) D RI'!U188</f>
        <v>97368.06631578946</v>
      </c>
      <c r="G186" s="266">
        <f t="shared" si="9"/>
        <v>5.0391896292638396</v>
      </c>
      <c r="H186" s="55">
        <f t="shared" si="10"/>
        <v>237139.875</v>
      </c>
      <c r="I186" s="416">
        <f t="shared" si="11"/>
        <v>2.4354994812251372</v>
      </c>
    </row>
    <row r="187" spans="1:9" x14ac:dyDescent="0.25">
      <c r="A187" s="49">
        <f>'A) Base RI'!A189</f>
        <v>5710</v>
      </c>
      <c r="B187" s="293" t="str">
        <f>'A) Base RI'!B189</f>
        <v>Coinsins</v>
      </c>
      <c r="C187" s="10">
        <f>'B) D RI'!Y189</f>
        <v>70805.95</v>
      </c>
      <c r="D187" s="425">
        <f>'B) D RI'!Z189</f>
        <v>29012.95</v>
      </c>
      <c r="E187" s="10">
        <f t="shared" si="8"/>
        <v>99818.9</v>
      </c>
      <c r="F187" s="425">
        <f>'B) D RI'!U189</f>
        <v>41108.965294117646</v>
      </c>
      <c r="G187" s="266">
        <f t="shared" si="9"/>
        <v>2.4281540361290301</v>
      </c>
      <c r="H187" s="55">
        <f t="shared" si="10"/>
        <v>44106.86</v>
      </c>
      <c r="I187" s="416">
        <f t="shared" si="11"/>
        <v>1.0729255695061566</v>
      </c>
    </row>
    <row r="188" spans="1:9" x14ac:dyDescent="0.25">
      <c r="A188" s="49">
        <f>'A) Base RI'!A190</f>
        <v>5711</v>
      </c>
      <c r="B188" s="293" t="str">
        <f>'A) Base RI'!B190</f>
        <v>Commugny</v>
      </c>
      <c r="C188" s="10">
        <f>'B) D RI'!Y190</f>
        <v>1259811.1000000001</v>
      </c>
      <c r="D188" s="425">
        <f>'B) D RI'!Z190</f>
        <v>40394.75</v>
      </c>
      <c r="E188" s="10">
        <f t="shared" si="8"/>
        <v>1300205.8500000001</v>
      </c>
      <c r="F188" s="425">
        <f>'B) D RI'!U190</f>
        <v>252772.67295911297</v>
      </c>
      <c r="G188" s="266">
        <f t="shared" si="9"/>
        <v>5.1437753724680269</v>
      </c>
      <c r="H188" s="55">
        <f t="shared" si="10"/>
        <v>642023.97500000009</v>
      </c>
      <c r="I188" s="416">
        <f t="shared" si="11"/>
        <v>2.5399263594599488</v>
      </c>
    </row>
    <row r="189" spans="1:9" x14ac:dyDescent="0.25">
      <c r="A189" s="49">
        <f>'A) Base RI'!A191</f>
        <v>5712</v>
      </c>
      <c r="B189" s="293" t="str">
        <f>'A) Base RI'!B191</f>
        <v>Coppet</v>
      </c>
      <c r="C189" s="10">
        <f>'B) D RI'!Y191</f>
        <v>1617576.5499999998</v>
      </c>
      <c r="D189" s="425">
        <f>'B) D RI'!Z191</f>
        <v>122896.1</v>
      </c>
      <c r="E189" s="10">
        <f t="shared" si="8"/>
        <v>1740472.65</v>
      </c>
      <c r="F189" s="425">
        <f>'B) D RI'!U191</f>
        <v>382004.08345911955</v>
      </c>
      <c r="G189" s="266">
        <f t="shared" si="9"/>
        <v>4.5561624217199181</v>
      </c>
      <c r="H189" s="55">
        <f t="shared" si="10"/>
        <v>845657.10499999986</v>
      </c>
      <c r="I189" s="416">
        <f t="shared" si="11"/>
        <v>2.2137383908109416</v>
      </c>
    </row>
    <row r="190" spans="1:9" x14ac:dyDescent="0.25">
      <c r="A190" s="49">
        <f>'A) Base RI'!A192</f>
        <v>5713</v>
      </c>
      <c r="B190" s="293" t="str">
        <f>'A) Base RI'!B192</f>
        <v>Crans-près-Céligny</v>
      </c>
      <c r="C190" s="10">
        <f>'B) D RI'!Y192</f>
        <v>1944186.35</v>
      </c>
      <c r="D190" s="425">
        <f>'B) D RI'!Z192</f>
        <v>47661.35</v>
      </c>
      <c r="E190" s="10">
        <f t="shared" si="8"/>
        <v>1991847.7000000002</v>
      </c>
      <c r="F190" s="425">
        <f>'B) D RI'!U192</f>
        <v>308668.8301785714</v>
      </c>
      <c r="G190" s="266">
        <f t="shared" si="9"/>
        <v>6.4530250717173949</v>
      </c>
      <c r="H190" s="55">
        <f t="shared" si="10"/>
        <v>986391.58000000007</v>
      </c>
      <c r="I190" s="416">
        <f t="shared" si="11"/>
        <v>3.1956306680831745</v>
      </c>
    </row>
    <row r="191" spans="1:9" x14ac:dyDescent="0.25">
      <c r="A191" s="49">
        <f>'A) Base RI'!A193</f>
        <v>5714</v>
      </c>
      <c r="B191" s="293" t="str">
        <f>'A) Base RI'!B193</f>
        <v>Crassier</v>
      </c>
      <c r="C191" s="10">
        <f>'B) D RI'!Y193</f>
        <v>248309.75</v>
      </c>
      <c r="D191" s="425">
        <f>'B) D RI'!Z193</f>
        <v>130763.45</v>
      </c>
      <c r="E191" s="10">
        <f t="shared" si="8"/>
        <v>379073.2</v>
      </c>
      <c r="F191" s="425">
        <f>'B) D RI'!U193</f>
        <v>53429.691617647055</v>
      </c>
      <c r="G191" s="266">
        <f t="shared" si="9"/>
        <v>7.0948041907619324</v>
      </c>
      <c r="H191" s="55">
        <f t="shared" si="10"/>
        <v>163383.91</v>
      </c>
      <c r="I191" s="416">
        <f t="shared" si="11"/>
        <v>3.0579235075733933</v>
      </c>
    </row>
    <row r="192" spans="1:9" x14ac:dyDescent="0.25">
      <c r="A192" s="49">
        <f>'A) Base RI'!A194</f>
        <v>5715</v>
      </c>
      <c r="B192" s="293" t="str">
        <f>'A) Base RI'!B194</f>
        <v>Duillier</v>
      </c>
      <c r="C192" s="10">
        <f>'B) D RI'!Y194</f>
        <v>422319.6</v>
      </c>
      <c r="D192" s="425">
        <f>'B) D RI'!Z194</f>
        <v>89546.35</v>
      </c>
      <c r="E192" s="10">
        <f t="shared" si="8"/>
        <v>511865.94999999995</v>
      </c>
      <c r="F192" s="425">
        <f>'B) D RI'!U194</f>
        <v>61573.714242424234</v>
      </c>
      <c r="G192" s="266">
        <f t="shared" si="9"/>
        <v>8.3130594978356012</v>
      </c>
      <c r="H192" s="55">
        <f t="shared" si="10"/>
        <v>238023.70499999999</v>
      </c>
      <c r="I192" s="416">
        <f t="shared" si="11"/>
        <v>3.8656707318786672</v>
      </c>
    </row>
    <row r="193" spans="1:9" x14ac:dyDescent="0.25">
      <c r="A193" s="49">
        <f>'A) Base RI'!A195</f>
        <v>5716</v>
      </c>
      <c r="B193" s="293" t="str">
        <f>'A) Base RI'!B195</f>
        <v>Eysins</v>
      </c>
      <c r="C193" s="10">
        <f>'B) D RI'!Y195</f>
        <v>1337686.3499999999</v>
      </c>
      <c r="D193" s="425">
        <f>'B) D RI'!Z195</f>
        <v>574592.4</v>
      </c>
      <c r="E193" s="10">
        <f t="shared" si="8"/>
        <v>1912278.75</v>
      </c>
      <c r="F193" s="425">
        <f>'B) D RI'!U195</f>
        <v>311499.41949579836</v>
      </c>
      <c r="G193" s="266">
        <f t="shared" si="9"/>
        <v>6.1389480375124537</v>
      </c>
      <c r="H193" s="55">
        <f t="shared" si="10"/>
        <v>841220.8949999999</v>
      </c>
      <c r="I193" s="416">
        <f t="shared" si="11"/>
        <v>2.7005536522720441</v>
      </c>
    </row>
    <row r="194" spans="1:9" x14ac:dyDescent="0.25">
      <c r="A194" s="49">
        <f>'A) Base RI'!A196</f>
        <v>5717</v>
      </c>
      <c r="B194" s="293" t="str">
        <f>'A) Base RI'!B196</f>
        <v>Founex</v>
      </c>
      <c r="C194" s="10">
        <f>'B) D RI'!Y196</f>
        <v>2178651.9</v>
      </c>
      <c r="D194" s="425">
        <f>'B) D RI'!Z196</f>
        <v>222193.9</v>
      </c>
      <c r="E194" s="10">
        <f t="shared" si="8"/>
        <v>2400845.7999999998</v>
      </c>
      <c r="F194" s="425">
        <f>'B) D RI'!U196</f>
        <v>386801.60228070174</v>
      </c>
      <c r="G194" s="266">
        <f t="shared" si="9"/>
        <v>6.2069179285811416</v>
      </c>
      <c r="H194" s="55">
        <f t="shared" si="10"/>
        <v>1155984.1199999999</v>
      </c>
      <c r="I194" s="416">
        <f t="shared" si="11"/>
        <v>2.9885711775338066</v>
      </c>
    </row>
    <row r="195" spans="1:9" x14ac:dyDescent="0.25">
      <c r="A195" s="49">
        <f>'A) Base RI'!A197</f>
        <v>5718</v>
      </c>
      <c r="B195" s="293" t="str">
        <f>'A) Base RI'!B197</f>
        <v>Genolier</v>
      </c>
      <c r="C195" s="10">
        <f>'B) D RI'!Y197</f>
        <v>824139.8</v>
      </c>
      <c r="D195" s="425">
        <f>'B) D RI'!Z197</f>
        <v>269907.05</v>
      </c>
      <c r="E195" s="10">
        <f t="shared" si="8"/>
        <v>1094046.8500000001</v>
      </c>
      <c r="F195" s="425">
        <f>'B) D RI'!U197</f>
        <v>245082.27927272729</v>
      </c>
      <c r="G195" s="266">
        <f t="shared" si="9"/>
        <v>4.4639981856156394</v>
      </c>
      <c r="H195" s="55">
        <f t="shared" si="10"/>
        <v>493042.01500000001</v>
      </c>
      <c r="I195" s="416">
        <f t="shared" si="11"/>
        <v>2.0117407772731841</v>
      </c>
    </row>
    <row r="196" spans="1:9" x14ac:dyDescent="0.25">
      <c r="A196" s="49">
        <f>'A) Base RI'!A198</f>
        <v>5719</v>
      </c>
      <c r="B196" s="293" t="str">
        <f>'A) Base RI'!B198</f>
        <v>Gingins</v>
      </c>
      <c r="C196" s="10">
        <f>'B) D RI'!Y198</f>
        <v>413047.9</v>
      </c>
      <c r="D196" s="425">
        <f>'B) D RI'!Z198</f>
        <v>52212.85</v>
      </c>
      <c r="E196" s="10">
        <f t="shared" si="8"/>
        <v>465260.75</v>
      </c>
      <c r="F196" s="425">
        <f>'B) D RI'!U198</f>
        <v>145761.42391812865</v>
      </c>
      <c r="G196" s="266">
        <f t="shared" si="9"/>
        <v>3.1919333489862716</v>
      </c>
      <c r="H196" s="55">
        <f t="shared" si="10"/>
        <v>222187.80500000002</v>
      </c>
      <c r="I196" s="416">
        <f t="shared" si="11"/>
        <v>1.5243251542657719</v>
      </c>
    </row>
    <row r="197" spans="1:9" x14ac:dyDescent="0.25">
      <c r="A197" s="49">
        <f>'A) Base RI'!A199</f>
        <v>5720</v>
      </c>
      <c r="B197" s="293" t="str">
        <f>'A) Base RI'!B199</f>
        <v>Givrins</v>
      </c>
      <c r="C197" s="10">
        <f>'B) D RI'!Y199</f>
        <v>560279.10000000009</v>
      </c>
      <c r="D197" s="425">
        <f>'B) D RI'!Z199</f>
        <v>9872.7000000000007</v>
      </c>
      <c r="E197" s="10">
        <f t="shared" si="8"/>
        <v>570151.80000000005</v>
      </c>
      <c r="F197" s="425">
        <f>'B) D RI'!U199</f>
        <v>84172.254543946925</v>
      </c>
      <c r="G197" s="266">
        <f t="shared" si="9"/>
        <v>6.773631086503924</v>
      </c>
      <c r="H197" s="55">
        <f t="shared" si="10"/>
        <v>283101.36000000004</v>
      </c>
      <c r="I197" s="416">
        <f t="shared" si="11"/>
        <v>3.36335721947653</v>
      </c>
    </row>
    <row r="198" spans="1:9" x14ac:dyDescent="0.25">
      <c r="A198" s="49">
        <f>'A) Base RI'!A200</f>
        <v>5721</v>
      </c>
      <c r="B198" s="293" t="str">
        <f>'A) Base RI'!B200</f>
        <v>Gland</v>
      </c>
      <c r="C198" s="10">
        <f>'B) D RI'!Y200</f>
        <v>3077561.8</v>
      </c>
      <c r="D198" s="425">
        <f>'B) D RI'!Z200</f>
        <v>2223465.7000000002</v>
      </c>
      <c r="E198" s="10">
        <f t="shared" ref="E198:E261" si="12">C198+D198</f>
        <v>5301027.5</v>
      </c>
      <c r="F198" s="425">
        <f>'B) D RI'!U200</f>
        <v>651107.04049180343</v>
      </c>
      <c r="G198" s="266">
        <f t="shared" ref="G198:G261" si="13">E198/F198</f>
        <v>8.1415607117317492</v>
      </c>
      <c r="H198" s="55">
        <f t="shared" ref="H198:H261" si="14">(C198*$C$4)+(D198*$D$4)</f>
        <v>2205820.61</v>
      </c>
      <c r="I198" s="416">
        <f t="shared" ref="I198:I261" si="15">H198/F198</f>
        <v>3.3878002737213042</v>
      </c>
    </row>
    <row r="199" spans="1:9" x14ac:dyDescent="0.25">
      <c r="A199" s="49">
        <f>'A) Base RI'!A201</f>
        <v>5722</v>
      </c>
      <c r="B199" s="293" t="str">
        <f>'A) Base RI'!B201</f>
        <v>Grens</v>
      </c>
      <c r="C199" s="10">
        <f>'B) D RI'!Y201</f>
        <v>14213.45</v>
      </c>
      <c r="D199" s="425">
        <f>'B) D RI'!Z201</f>
        <v>22755.3</v>
      </c>
      <c r="E199" s="10">
        <f t="shared" si="12"/>
        <v>36968.75</v>
      </c>
      <c r="F199" s="425">
        <f>'B) D RI'!U201</f>
        <v>25525.601935483872</v>
      </c>
      <c r="G199" s="266">
        <f t="shared" si="13"/>
        <v>1.4483008116101928</v>
      </c>
      <c r="H199" s="55">
        <f t="shared" si="14"/>
        <v>13933.314999999999</v>
      </c>
      <c r="I199" s="416">
        <f t="shared" si="15"/>
        <v>0.54585647128778958</v>
      </c>
    </row>
    <row r="200" spans="1:9" x14ac:dyDescent="0.25">
      <c r="A200" s="49">
        <f>'A) Base RI'!A202</f>
        <v>5723</v>
      </c>
      <c r="B200" s="293" t="str">
        <f>'A) Base RI'!B202</f>
        <v>Mies</v>
      </c>
      <c r="C200" s="10">
        <f>'B) D RI'!Y202</f>
        <v>1235029.55</v>
      </c>
      <c r="D200" s="425">
        <f>'B) D RI'!Z202</f>
        <v>92665.45</v>
      </c>
      <c r="E200" s="10">
        <f t="shared" si="12"/>
        <v>1327695</v>
      </c>
      <c r="F200" s="425">
        <f>'B) D RI'!U202</f>
        <v>197805.17519230774</v>
      </c>
      <c r="G200" s="266">
        <f t="shared" si="13"/>
        <v>6.7121347998564982</v>
      </c>
      <c r="H200" s="55">
        <f t="shared" si="14"/>
        <v>645314.41</v>
      </c>
      <c r="I200" s="416">
        <f t="shared" si="15"/>
        <v>3.2623737441278791</v>
      </c>
    </row>
    <row r="201" spans="1:9" x14ac:dyDescent="0.25">
      <c r="A201" s="49">
        <f>'A) Base RI'!A203</f>
        <v>5724</v>
      </c>
      <c r="B201" s="293" t="str">
        <f>'A) Base RI'!B203</f>
        <v>Nyon</v>
      </c>
      <c r="C201" s="10">
        <f>'B) D RI'!Y203</f>
        <v>13228631.25</v>
      </c>
      <c r="D201" s="425">
        <f>'B) D RI'!Z203</f>
        <v>4660553.0999999996</v>
      </c>
      <c r="E201" s="10">
        <f t="shared" si="12"/>
        <v>17889184.350000001</v>
      </c>
      <c r="F201" s="425">
        <f>'B) D RI'!U203</f>
        <v>1415730.6761202184</v>
      </c>
      <c r="G201" s="266">
        <f t="shared" si="13"/>
        <v>12.636008141763908</v>
      </c>
      <c r="H201" s="55">
        <f t="shared" si="14"/>
        <v>8012481.5549999997</v>
      </c>
      <c r="I201" s="416">
        <f t="shared" si="15"/>
        <v>5.6596086318889727</v>
      </c>
    </row>
    <row r="202" spans="1:9" x14ac:dyDescent="0.25">
      <c r="A202" s="49">
        <f>'A) Base RI'!A204</f>
        <v>5725</v>
      </c>
      <c r="B202" s="293" t="str">
        <f>'A) Base RI'!B204</f>
        <v>Prangins</v>
      </c>
      <c r="C202" s="10">
        <f>'B) D RI'!Y204</f>
        <v>1145008.8999999999</v>
      </c>
      <c r="D202" s="425">
        <f>'B) D RI'!Z204</f>
        <v>1101910.6000000001</v>
      </c>
      <c r="E202" s="10">
        <f t="shared" si="12"/>
        <v>2246919.5</v>
      </c>
      <c r="F202" s="425">
        <f>'B) D RI'!U204</f>
        <v>312804.93402597401</v>
      </c>
      <c r="G202" s="266">
        <f t="shared" si="13"/>
        <v>7.1831331784984735</v>
      </c>
      <c r="H202" s="55">
        <f t="shared" si="14"/>
        <v>903077.62999999989</v>
      </c>
      <c r="I202" s="416">
        <f t="shared" si="15"/>
        <v>2.8870312829688682</v>
      </c>
    </row>
    <row r="203" spans="1:9" x14ac:dyDescent="0.25">
      <c r="A203" s="49">
        <f>'A) Base RI'!A205</f>
        <v>5726</v>
      </c>
      <c r="B203" s="293" t="str">
        <f>'A) Base RI'!B205</f>
        <v>La Rippe</v>
      </c>
      <c r="C203" s="10">
        <f>'B) D RI'!Y205</f>
        <v>529163.75</v>
      </c>
      <c r="D203" s="425">
        <f>'B) D RI'!Z205</f>
        <v>38077.35</v>
      </c>
      <c r="E203" s="10">
        <f t="shared" si="12"/>
        <v>567241.1</v>
      </c>
      <c r="F203" s="425">
        <f>'B) D RI'!U205</f>
        <v>66324.764153846147</v>
      </c>
      <c r="G203" s="266">
        <f t="shared" si="13"/>
        <v>8.5524782068464535</v>
      </c>
      <c r="H203" s="55">
        <f t="shared" si="14"/>
        <v>276005.08</v>
      </c>
      <c r="I203" s="416">
        <f t="shared" si="15"/>
        <v>4.1614181900410809</v>
      </c>
    </row>
    <row r="204" spans="1:9" x14ac:dyDescent="0.25">
      <c r="A204" s="49">
        <f>'A) Base RI'!A206</f>
        <v>5727</v>
      </c>
      <c r="B204" s="293" t="str">
        <f>'A) Base RI'!B206</f>
        <v>Saint-Cergue</v>
      </c>
      <c r="C204" s="10">
        <f>'B) D RI'!Y206</f>
        <v>649415.94999999995</v>
      </c>
      <c r="D204" s="425">
        <f>'B) D RI'!Z206</f>
        <v>191922.4</v>
      </c>
      <c r="E204" s="10">
        <f t="shared" si="12"/>
        <v>841338.35</v>
      </c>
      <c r="F204" s="425">
        <f>'B) D RI'!U206</f>
        <v>105125.05141414142</v>
      </c>
      <c r="G204" s="266">
        <f t="shared" si="13"/>
        <v>8.0032146351637667</v>
      </c>
      <c r="H204" s="55">
        <f t="shared" si="14"/>
        <v>382284.69499999995</v>
      </c>
      <c r="I204" s="416">
        <f t="shared" si="15"/>
        <v>3.6364757006775172</v>
      </c>
    </row>
    <row r="205" spans="1:9" x14ac:dyDescent="0.25">
      <c r="A205" s="49">
        <f>'A) Base RI'!A207</f>
        <v>5728</v>
      </c>
      <c r="B205" s="293" t="str">
        <f>'A) Base RI'!B207</f>
        <v>Signy-Avenex</v>
      </c>
      <c r="C205" s="10">
        <f>'B) D RI'!Y207</f>
        <v>110248.5</v>
      </c>
      <c r="D205" s="425">
        <f>'B) D RI'!Z207</f>
        <v>219621.1</v>
      </c>
      <c r="E205" s="10">
        <f t="shared" si="12"/>
        <v>329869.59999999998</v>
      </c>
      <c r="F205" s="425">
        <f>'B) D RI'!U207</f>
        <v>49286.820862068969</v>
      </c>
      <c r="G205" s="266">
        <f t="shared" si="13"/>
        <v>6.6928561069733536</v>
      </c>
      <c r="H205" s="55">
        <f t="shared" si="14"/>
        <v>121010.58</v>
      </c>
      <c r="I205" s="416">
        <f t="shared" si="15"/>
        <v>2.4552320048934111</v>
      </c>
    </row>
    <row r="206" spans="1:9" x14ac:dyDescent="0.25">
      <c r="A206" s="49">
        <f>'A) Base RI'!A208</f>
        <v>5729</v>
      </c>
      <c r="B206" s="293" t="str">
        <f>'A) Base RI'!B208</f>
        <v>Tannay</v>
      </c>
      <c r="C206" s="10">
        <f>'B) D RI'!Y208</f>
        <v>1122654.8500000001</v>
      </c>
      <c r="D206" s="425">
        <f>'B) D RI'!Z208</f>
        <v>15293.7</v>
      </c>
      <c r="E206" s="10">
        <f t="shared" si="12"/>
        <v>1137948.55</v>
      </c>
      <c r="F206" s="425">
        <f>'B) D RI'!U208</f>
        <v>130826.66865013774</v>
      </c>
      <c r="G206" s="266">
        <f t="shared" si="13"/>
        <v>8.6981390089749251</v>
      </c>
      <c r="H206" s="55">
        <f t="shared" si="14"/>
        <v>565915.53500000003</v>
      </c>
      <c r="I206" s="416">
        <f t="shared" si="15"/>
        <v>4.3256894090408702</v>
      </c>
    </row>
    <row r="207" spans="1:9" x14ac:dyDescent="0.25">
      <c r="A207" s="49">
        <f>'A) Base RI'!A209</f>
        <v>5730</v>
      </c>
      <c r="B207" s="293" t="str">
        <f>'A) Base RI'!B209</f>
        <v>Trélex</v>
      </c>
      <c r="C207" s="10">
        <f>'B) D RI'!Y209</f>
        <v>811179.3</v>
      </c>
      <c r="D207" s="425">
        <f>'B) D RI'!Z209</f>
        <v>7297.75</v>
      </c>
      <c r="E207" s="10">
        <f t="shared" si="12"/>
        <v>818477.05</v>
      </c>
      <c r="F207" s="425">
        <f>'B) D RI'!U209</f>
        <v>111625.98756756757</v>
      </c>
      <c r="G207" s="266">
        <f t="shared" si="13"/>
        <v>7.3323163166155485</v>
      </c>
      <c r="H207" s="55">
        <f t="shared" si="14"/>
        <v>407778.97500000003</v>
      </c>
      <c r="I207" s="416">
        <f t="shared" si="15"/>
        <v>3.6530827980641165</v>
      </c>
    </row>
    <row r="208" spans="1:9" x14ac:dyDescent="0.25">
      <c r="A208" s="49">
        <f>'A) Base RI'!A210</f>
        <v>5731</v>
      </c>
      <c r="B208" s="293" t="str">
        <f>'A) Base RI'!B210</f>
        <v>Le Vaud</v>
      </c>
      <c r="C208" s="10">
        <f>'B) D RI'!Y210</f>
        <v>288999.15000000002</v>
      </c>
      <c r="D208" s="425">
        <f>'B) D RI'!Z210</f>
        <v>25723.95</v>
      </c>
      <c r="E208" s="10">
        <f t="shared" si="12"/>
        <v>314723.10000000003</v>
      </c>
      <c r="F208" s="425">
        <f>'B) D RI'!U210</f>
        <v>63942.206576576558</v>
      </c>
      <c r="G208" s="266">
        <f t="shared" si="13"/>
        <v>4.921993106745397</v>
      </c>
      <c r="H208" s="55">
        <f t="shared" si="14"/>
        <v>152216.76</v>
      </c>
      <c r="I208" s="416">
        <f t="shared" si="15"/>
        <v>2.3805365524523574</v>
      </c>
    </row>
    <row r="209" spans="1:9" x14ac:dyDescent="0.25">
      <c r="A209" s="49">
        <f>'A) Base RI'!A211</f>
        <v>5732</v>
      </c>
      <c r="B209" s="293" t="str">
        <f>'A) Base RI'!B211</f>
        <v>Vich</v>
      </c>
      <c r="C209" s="10">
        <f>'B) D RI'!Y211</f>
        <v>531177.55000000005</v>
      </c>
      <c r="D209" s="425">
        <f>'B) D RI'!Z211</f>
        <v>118685.7</v>
      </c>
      <c r="E209" s="10">
        <f t="shared" si="12"/>
        <v>649863.25</v>
      </c>
      <c r="F209" s="425">
        <f>'B) D RI'!U211</f>
        <v>71006.972380952371</v>
      </c>
      <c r="G209" s="266">
        <f t="shared" si="13"/>
        <v>9.1521047611139359</v>
      </c>
      <c r="H209" s="55">
        <f t="shared" si="14"/>
        <v>301194.48500000004</v>
      </c>
      <c r="I209" s="416">
        <f t="shared" si="15"/>
        <v>4.2417592934971484</v>
      </c>
    </row>
    <row r="210" spans="1:9" x14ac:dyDescent="0.25">
      <c r="A210" s="49">
        <f>'A) Base RI'!A212</f>
        <v>5741</v>
      </c>
      <c r="B210" s="293" t="str">
        <f>'A) Base RI'!B212</f>
        <v>L'Abergement</v>
      </c>
      <c r="C210" s="10">
        <f>'B) D RI'!Y212</f>
        <v>44124.7</v>
      </c>
      <c r="D210" s="425">
        <f>'B) D RI'!Z212</f>
        <v>10634.3</v>
      </c>
      <c r="E210" s="10">
        <f t="shared" si="12"/>
        <v>54759</v>
      </c>
      <c r="F210" s="425">
        <f>'B) D RI'!U212</f>
        <v>7368.9297325102852</v>
      </c>
      <c r="G210" s="266">
        <f t="shared" si="13"/>
        <v>7.4310655668779058</v>
      </c>
      <c r="H210" s="55">
        <f t="shared" si="14"/>
        <v>25252.639999999999</v>
      </c>
      <c r="I210" s="416">
        <f t="shared" si="15"/>
        <v>3.4269074230129055</v>
      </c>
    </row>
    <row r="211" spans="1:9" x14ac:dyDescent="0.25">
      <c r="A211" s="49">
        <f>'A) Base RI'!A213</f>
        <v>5742</v>
      </c>
      <c r="B211" s="293" t="str">
        <f>'A) Base RI'!B213</f>
        <v>Agiez</v>
      </c>
      <c r="C211" s="10">
        <f>'B) D RI'!Y213</f>
        <v>31930.2</v>
      </c>
      <c r="D211" s="425">
        <f>'B) D RI'!Z213</f>
        <v>0</v>
      </c>
      <c r="E211" s="10">
        <f t="shared" si="12"/>
        <v>31930.2</v>
      </c>
      <c r="F211" s="425">
        <f>'B) D RI'!U213</f>
        <v>8960.136710526318</v>
      </c>
      <c r="G211" s="266">
        <f t="shared" si="13"/>
        <v>3.5635840201510076</v>
      </c>
      <c r="H211" s="55">
        <f t="shared" si="14"/>
        <v>15965.1</v>
      </c>
      <c r="I211" s="416">
        <f t="shared" si="15"/>
        <v>1.7817920100755038</v>
      </c>
    </row>
    <row r="212" spans="1:9" x14ac:dyDescent="0.25">
      <c r="A212" s="49">
        <f>'A) Base RI'!A214</f>
        <v>5743</v>
      </c>
      <c r="B212" s="293" t="str">
        <f>'A) Base RI'!B214</f>
        <v>Arnex-sur-Orbe</v>
      </c>
      <c r="C212" s="10">
        <f>'B) D RI'!Y214</f>
        <v>51433.249999999993</v>
      </c>
      <c r="D212" s="425">
        <f>'B) D RI'!Z214</f>
        <v>24432.05</v>
      </c>
      <c r="E212" s="10">
        <f t="shared" si="12"/>
        <v>75865.299999999988</v>
      </c>
      <c r="F212" s="425">
        <f>'B) D RI'!U214</f>
        <v>20526.64161971831</v>
      </c>
      <c r="G212" s="266">
        <f t="shared" si="13"/>
        <v>3.6959431262794706</v>
      </c>
      <c r="H212" s="55">
        <f t="shared" si="14"/>
        <v>33046.239999999998</v>
      </c>
      <c r="I212" s="416">
        <f t="shared" si="15"/>
        <v>1.6099194701316901</v>
      </c>
    </row>
    <row r="213" spans="1:9" x14ac:dyDescent="0.25">
      <c r="A213" s="49">
        <f>'A) Base RI'!A215</f>
        <v>5744</v>
      </c>
      <c r="B213" s="293" t="str">
        <f>'A) Base RI'!B215</f>
        <v>Ballaigues</v>
      </c>
      <c r="C213" s="10">
        <f>'B) D RI'!Y215</f>
        <v>157398.70000000001</v>
      </c>
      <c r="D213" s="425">
        <f>'B) D RI'!Z215</f>
        <v>1275736.1499999999</v>
      </c>
      <c r="E213" s="10">
        <f t="shared" si="12"/>
        <v>1433134.8499999999</v>
      </c>
      <c r="F213" s="425">
        <f>'B) D RI'!U215</f>
        <v>40453.358769230777</v>
      </c>
      <c r="G213" s="266">
        <f t="shared" si="13"/>
        <v>35.426844484667519</v>
      </c>
      <c r="H213" s="55">
        <f t="shared" si="14"/>
        <v>461420.19499999995</v>
      </c>
      <c r="I213" s="416">
        <f t="shared" si="15"/>
        <v>11.406227048592086</v>
      </c>
    </row>
    <row r="214" spans="1:9" x14ac:dyDescent="0.25">
      <c r="A214" s="49">
        <f>'A) Base RI'!A216</f>
        <v>5745</v>
      </c>
      <c r="B214" s="293" t="str">
        <f>'A) Base RI'!B216</f>
        <v>Baulmes</v>
      </c>
      <c r="C214" s="10">
        <f>'B) D RI'!Y216</f>
        <v>88572.75</v>
      </c>
      <c r="D214" s="425">
        <f>'B) D RI'!Z216</f>
        <v>205276.15</v>
      </c>
      <c r="E214" s="10">
        <f t="shared" si="12"/>
        <v>293848.90000000002</v>
      </c>
      <c r="F214" s="425">
        <f>'B) D RI'!U216</f>
        <v>26827.589150326792</v>
      </c>
      <c r="G214" s="266">
        <f t="shared" si="13"/>
        <v>10.953235430639529</v>
      </c>
      <c r="H214" s="55">
        <f t="shared" si="14"/>
        <v>105869.22</v>
      </c>
      <c r="I214" s="416">
        <f t="shared" si="15"/>
        <v>3.9462815464620453</v>
      </c>
    </row>
    <row r="215" spans="1:9" x14ac:dyDescent="0.25">
      <c r="A215" s="49">
        <f>'A) Base RI'!A217</f>
        <v>5746</v>
      </c>
      <c r="B215" s="293" t="str">
        <f>'A) Base RI'!B217</f>
        <v>Bavois</v>
      </c>
      <c r="C215" s="10">
        <f>'B) D RI'!Y217</f>
        <v>396814.10000000003</v>
      </c>
      <c r="D215" s="425">
        <f>'B) D RI'!Z217</f>
        <v>22104.3</v>
      </c>
      <c r="E215" s="10">
        <f t="shared" si="12"/>
        <v>418918.40000000002</v>
      </c>
      <c r="F215" s="425">
        <f>'B) D RI'!U217</f>
        <v>30466.611141552505</v>
      </c>
      <c r="G215" s="266">
        <f t="shared" si="13"/>
        <v>13.750081952129218</v>
      </c>
      <c r="H215" s="55">
        <f t="shared" si="14"/>
        <v>205038.34000000003</v>
      </c>
      <c r="I215" s="416">
        <f t="shared" si="15"/>
        <v>6.7299358976080645</v>
      </c>
    </row>
    <row r="216" spans="1:9" x14ac:dyDescent="0.25">
      <c r="A216" s="49">
        <f>'A) Base RI'!A218</f>
        <v>5747</v>
      </c>
      <c r="B216" s="293" t="str">
        <f>'A) Base RI'!B218</f>
        <v>Bofflens</v>
      </c>
      <c r="C216" s="10">
        <f>'B) D RI'!Y218</f>
        <v>48767.7</v>
      </c>
      <c r="D216" s="425">
        <f>'B) D RI'!Z218</f>
        <v>0</v>
      </c>
      <c r="E216" s="10">
        <f t="shared" si="12"/>
        <v>48767.7</v>
      </c>
      <c r="F216" s="425">
        <f>'B) D RI'!U218</f>
        <v>5608.7786956521741</v>
      </c>
      <c r="G216" s="266">
        <f t="shared" si="13"/>
        <v>8.6948875408123794</v>
      </c>
      <c r="H216" s="55">
        <f t="shared" si="14"/>
        <v>24383.85</v>
      </c>
      <c r="I216" s="416">
        <f t="shared" si="15"/>
        <v>4.3474437704061897</v>
      </c>
    </row>
    <row r="217" spans="1:9" x14ac:dyDescent="0.25">
      <c r="A217" s="49">
        <f>'A) Base RI'!A219</f>
        <v>5748</v>
      </c>
      <c r="B217" s="293" t="str">
        <f>'A) Base RI'!B219</f>
        <v>Bretonnières</v>
      </c>
      <c r="C217" s="10">
        <f>'B) D RI'!Y219</f>
        <v>28791.05</v>
      </c>
      <c r="D217" s="425">
        <f>'B) D RI'!Z219</f>
        <v>0</v>
      </c>
      <c r="E217" s="10">
        <f t="shared" si="12"/>
        <v>28791.05</v>
      </c>
      <c r="F217" s="425">
        <f>'B) D RI'!U219</f>
        <v>5789.9884160756492</v>
      </c>
      <c r="G217" s="266">
        <f t="shared" si="13"/>
        <v>4.9725574441674025</v>
      </c>
      <c r="H217" s="55">
        <f t="shared" si="14"/>
        <v>14395.525</v>
      </c>
      <c r="I217" s="416">
        <f t="shared" si="15"/>
        <v>2.4862787220837013</v>
      </c>
    </row>
    <row r="218" spans="1:9" x14ac:dyDescent="0.25">
      <c r="A218" s="49">
        <f>'A) Base RI'!A220</f>
        <v>5749</v>
      </c>
      <c r="B218" s="293" t="str">
        <f>'A) Base RI'!B220</f>
        <v>Chavornay</v>
      </c>
      <c r="C218" s="10">
        <f>'B) D RI'!Y220</f>
        <v>746649.59999999998</v>
      </c>
      <c r="D218" s="425">
        <f>'B) D RI'!Z220</f>
        <v>712723.2</v>
      </c>
      <c r="E218" s="10">
        <f t="shared" si="12"/>
        <v>1459372.7999999998</v>
      </c>
      <c r="F218" s="425">
        <f>'B) D RI'!U220</f>
        <v>140676.80723404256</v>
      </c>
      <c r="G218" s="266">
        <f t="shared" si="13"/>
        <v>10.373940301133336</v>
      </c>
      <c r="H218" s="55">
        <f t="shared" si="14"/>
        <v>587141.76</v>
      </c>
      <c r="I218" s="416">
        <f t="shared" si="15"/>
        <v>4.173692675745607</v>
      </c>
    </row>
    <row r="219" spans="1:9" x14ac:dyDescent="0.25">
      <c r="A219" s="49">
        <f>'A) Base RI'!A221</f>
        <v>5750</v>
      </c>
      <c r="B219" s="293" t="str">
        <f>'A) Base RI'!B221</f>
        <v>Les Clées</v>
      </c>
      <c r="C219" s="10">
        <f>'B) D RI'!Y221</f>
        <v>1096.6500000000001</v>
      </c>
      <c r="D219" s="425">
        <f>'B) D RI'!Z221</f>
        <v>7784.9</v>
      </c>
      <c r="E219" s="10">
        <f t="shared" si="12"/>
        <v>8881.5499999999993</v>
      </c>
      <c r="F219" s="425">
        <f>'B) D RI'!U221</f>
        <v>6037.9437500000004</v>
      </c>
      <c r="G219" s="266">
        <f t="shared" si="13"/>
        <v>1.4709560684463148</v>
      </c>
      <c r="H219" s="55">
        <f t="shared" si="14"/>
        <v>2883.7950000000001</v>
      </c>
      <c r="I219" s="416">
        <f t="shared" si="15"/>
        <v>0.47761210097394496</v>
      </c>
    </row>
    <row r="220" spans="1:9" x14ac:dyDescent="0.25">
      <c r="A220" s="49">
        <f>'A) Base RI'!A222</f>
        <v>5752</v>
      </c>
      <c r="B220" s="293" t="str">
        <f>'A) Base RI'!B222</f>
        <v>Croy</v>
      </c>
      <c r="C220" s="10">
        <f>'B) D RI'!Y222</f>
        <v>47338.299999999996</v>
      </c>
      <c r="D220" s="425">
        <f>'B) D RI'!Z222</f>
        <v>34854.65</v>
      </c>
      <c r="E220" s="10">
        <f t="shared" si="12"/>
        <v>82192.95</v>
      </c>
      <c r="F220" s="425">
        <f>'B) D RI'!U222</f>
        <v>9416.7971235521236</v>
      </c>
      <c r="G220" s="266">
        <f t="shared" si="13"/>
        <v>8.7283339464146668</v>
      </c>
      <c r="H220" s="55">
        <f t="shared" si="14"/>
        <v>34125.544999999998</v>
      </c>
      <c r="I220" s="416">
        <f t="shared" si="15"/>
        <v>3.6239014765062127</v>
      </c>
    </row>
    <row r="221" spans="1:9" x14ac:dyDescent="0.25">
      <c r="A221" s="49">
        <f>'A) Base RI'!A223</f>
        <v>5754</v>
      </c>
      <c r="B221" s="293" t="str">
        <f>'A) Base RI'!B223</f>
        <v>Juriens</v>
      </c>
      <c r="C221" s="10">
        <f>'B) D RI'!Y223</f>
        <v>24410.15</v>
      </c>
      <c r="D221" s="425">
        <f>'B) D RI'!Z223</f>
        <v>0</v>
      </c>
      <c r="E221" s="10">
        <f t="shared" si="12"/>
        <v>24410.15</v>
      </c>
      <c r="F221" s="425">
        <f>'B) D RI'!U223</f>
        <v>8043.7859493670894</v>
      </c>
      <c r="G221" s="266">
        <f t="shared" si="13"/>
        <v>3.0346593200830596</v>
      </c>
      <c r="H221" s="55">
        <f t="shared" si="14"/>
        <v>12205.075000000001</v>
      </c>
      <c r="I221" s="416">
        <f t="shared" si="15"/>
        <v>1.5173296600415298</v>
      </c>
    </row>
    <row r="222" spans="1:9" x14ac:dyDescent="0.25">
      <c r="A222" s="49">
        <f>'A) Base RI'!A224</f>
        <v>5755</v>
      </c>
      <c r="B222" s="293" t="str">
        <f>'A) Base RI'!B224</f>
        <v>Lignerolle</v>
      </c>
      <c r="C222" s="10">
        <f>'B) D RI'!Y224</f>
        <v>271555.5</v>
      </c>
      <c r="D222" s="425">
        <f>'B) D RI'!Z224</f>
        <v>23527.15</v>
      </c>
      <c r="E222" s="10">
        <f t="shared" si="12"/>
        <v>295082.65000000002</v>
      </c>
      <c r="F222" s="425">
        <f>'B) D RI'!U224</f>
        <v>9055.2737033666963</v>
      </c>
      <c r="G222" s="266">
        <f t="shared" si="13"/>
        <v>32.586828368345188</v>
      </c>
      <c r="H222" s="55">
        <f t="shared" si="14"/>
        <v>142835.89499999999</v>
      </c>
      <c r="I222" s="416">
        <f t="shared" si="15"/>
        <v>15.773779973861471</v>
      </c>
    </row>
    <row r="223" spans="1:9" x14ac:dyDescent="0.25">
      <c r="A223" s="49">
        <f>'A) Base RI'!A225</f>
        <v>5756</v>
      </c>
      <c r="B223" s="293" t="str">
        <f>'A) Base RI'!B225</f>
        <v>Montcherand</v>
      </c>
      <c r="C223" s="10">
        <f>'B) D RI'!Y225</f>
        <v>87924.25</v>
      </c>
      <c r="D223" s="425">
        <f>'B) D RI'!Z225</f>
        <v>34587.5</v>
      </c>
      <c r="E223" s="10">
        <f t="shared" si="12"/>
        <v>122511.75</v>
      </c>
      <c r="F223" s="425">
        <f>'B) D RI'!U225</f>
        <v>15758.308611111112</v>
      </c>
      <c r="G223" s="266">
        <f t="shared" si="13"/>
        <v>7.7744225616712139</v>
      </c>
      <c r="H223" s="55">
        <f t="shared" si="14"/>
        <v>54338.375</v>
      </c>
      <c r="I223" s="416">
        <f t="shared" si="15"/>
        <v>3.4482365043724466</v>
      </c>
    </row>
    <row r="224" spans="1:9" x14ac:dyDescent="0.25">
      <c r="A224" s="49">
        <f>'A) Base RI'!A226</f>
        <v>5757</v>
      </c>
      <c r="B224" s="293" t="str">
        <f>'A) Base RI'!B226</f>
        <v>Orbe</v>
      </c>
      <c r="C224" s="10">
        <f>'B) D RI'!Y226</f>
        <v>1206584.2</v>
      </c>
      <c r="D224" s="425">
        <f>'B) D RI'!Z226</f>
        <v>2913726.35</v>
      </c>
      <c r="E224" s="10">
        <f t="shared" si="12"/>
        <v>4120310.55</v>
      </c>
      <c r="F224" s="425">
        <f>'B) D RI'!U226</f>
        <v>203783.43483443707</v>
      </c>
      <c r="G224" s="266">
        <f t="shared" si="13"/>
        <v>20.219065172532435</v>
      </c>
      <c r="H224" s="55">
        <f t="shared" si="14"/>
        <v>1477410.0049999999</v>
      </c>
      <c r="I224" s="416">
        <f t="shared" si="15"/>
        <v>7.2499023593370824</v>
      </c>
    </row>
    <row r="225" spans="1:9" x14ac:dyDescent="0.25">
      <c r="A225" s="49">
        <f>'A) Base RI'!A227</f>
        <v>5758</v>
      </c>
      <c r="B225" s="293" t="str">
        <f>'A) Base RI'!B227</f>
        <v>La Praz</v>
      </c>
      <c r="C225" s="10">
        <f>'B) D RI'!Y227</f>
        <v>20933.949999999997</v>
      </c>
      <c r="D225" s="425">
        <f>'B) D RI'!Z227</f>
        <v>6425.4</v>
      </c>
      <c r="E225" s="10">
        <f t="shared" si="12"/>
        <v>27359.35</v>
      </c>
      <c r="F225" s="425">
        <f>'B) D RI'!U227</f>
        <v>4313.3939759036139</v>
      </c>
      <c r="G225" s="266">
        <f t="shared" si="13"/>
        <v>6.3428822298265679</v>
      </c>
      <c r="H225" s="55">
        <f t="shared" si="14"/>
        <v>12394.594999999998</v>
      </c>
      <c r="I225" s="416">
        <f t="shared" si="15"/>
        <v>2.873513309760547</v>
      </c>
    </row>
    <row r="226" spans="1:9" x14ac:dyDescent="0.25">
      <c r="A226" s="49">
        <f>'A) Base RI'!A228</f>
        <v>5759</v>
      </c>
      <c r="B226" s="293" t="str">
        <f>'A) Base RI'!B228</f>
        <v>Premier</v>
      </c>
      <c r="C226" s="10">
        <f>'B) D RI'!Y228</f>
        <v>40153.65</v>
      </c>
      <c r="D226" s="425">
        <f>'B) D RI'!Z228</f>
        <v>1530.1</v>
      </c>
      <c r="E226" s="10">
        <f t="shared" si="12"/>
        <v>41683.75</v>
      </c>
      <c r="F226" s="425">
        <f>'B) D RI'!U228</f>
        <v>5307.4840251572332</v>
      </c>
      <c r="G226" s="266">
        <f t="shared" si="13"/>
        <v>7.8537683396541409</v>
      </c>
      <c r="H226" s="55">
        <f t="shared" si="14"/>
        <v>20535.855</v>
      </c>
      <c r="I226" s="416">
        <f t="shared" si="15"/>
        <v>3.8692259651957461</v>
      </c>
    </row>
    <row r="227" spans="1:9" x14ac:dyDescent="0.25">
      <c r="A227" s="49">
        <f>'A) Base RI'!A229</f>
        <v>5760</v>
      </c>
      <c r="B227" s="293" t="str">
        <f>'A) Base RI'!B229</f>
        <v>Rances</v>
      </c>
      <c r="C227" s="10">
        <f>'B) D RI'!Y229</f>
        <v>95651.900000000009</v>
      </c>
      <c r="D227" s="425">
        <f>'B) D RI'!Z229</f>
        <v>22152.05</v>
      </c>
      <c r="E227" s="10">
        <f t="shared" si="12"/>
        <v>117803.95000000001</v>
      </c>
      <c r="F227" s="425">
        <f>'B) D RI'!U229</f>
        <v>12826.018997821348</v>
      </c>
      <c r="G227" s="266">
        <f t="shared" si="13"/>
        <v>9.1847634110015282</v>
      </c>
      <c r="H227" s="55">
        <f t="shared" si="14"/>
        <v>54471.565000000002</v>
      </c>
      <c r="I227" s="416">
        <f t="shared" si="15"/>
        <v>4.2469580786721624</v>
      </c>
    </row>
    <row r="228" spans="1:9" x14ac:dyDescent="0.25">
      <c r="A228" s="49">
        <f>'A) Base RI'!A230</f>
        <v>5761</v>
      </c>
      <c r="B228" s="293" t="str">
        <f>'A) Base RI'!B230</f>
        <v>Romainmôtier-Envy</v>
      </c>
      <c r="C228" s="10">
        <f>'B) D RI'!Y230</f>
        <v>134457.95000000001</v>
      </c>
      <c r="D228" s="425">
        <f>'B) D RI'!Z230</f>
        <v>62764.25</v>
      </c>
      <c r="E228" s="10">
        <f t="shared" si="12"/>
        <v>197222.2</v>
      </c>
      <c r="F228" s="425">
        <f>'B) D RI'!U230</f>
        <v>12135.004377104378</v>
      </c>
      <c r="G228" s="266">
        <f t="shared" si="13"/>
        <v>16.252338595947062</v>
      </c>
      <c r="H228" s="55">
        <f t="shared" si="14"/>
        <v>86058.25</v>
      </c>
      <c r="I228" s="416">
        <f t="shared" si="15"/>
        <v>7.0917362141516573</v>
      </c>
    </row>
    <row r="229" spans="1:9" x14ac:dyDescent="0.25">
      <c r="A229" s="49">
        <f>'A) Base RI'!A231</f>
        <v>5762</v>
      </c>
      <c r="B229" s="293" t="str">
        <f>'A) Base RI'!B231</f>
        <v>Sergey</v>
      </c>
      <c r="C229" s="10">
        <f>'B) D RI'!Y231</f>
        <v>0</v>
      </c>
      <c r="D229" s="425">
        <f>'B) D RI'!Z231</f>
        <v>0</v>
      </c>
      <c r="E229" s="10">
        <f t="shared" si="12"/>
        <v>0</v>
      </c>
      <c r="F229" s="425">
        <f>'B) D RI'!U231</f>
        <v>3773.0282051282052</v>
      </c>
      <c r="G229" s="266">
        <f t="shared" si="13"/>
        <v>0</v>
      </c>
      <c r="H229" s="55">
        <f t="shared" si="14"/>
        <v>0</v>
      </c>
      <c r="I229" s="416">
        <f t="shared" si="15"/>
        <v>0</v>
      </c>
    </row>
    <row r="230" spans="1:9" x14ac:dyDescent="0.25">
      <c r="A230" s="49">
        <f>'A) Base RI'!A232</f>
        <v>5763</v>
      </c>
      <c r="B230" s="293" t="str">
        <f>'A) Base RI'!B232</f>
        <v>Valeyres-sous-Rances</v>
      </c>
      <c r="C230" s="10">
        <f>'B) D RI'!Y232</f>
        <v>30107.199999999997</v>
      </c>
      <c r="D230" s="425">
        <f>'B) D RI'!Z232</f>
        <v>40842.1</v>
      </c>
      <c r="E230" s="10">
        <f t="shared" si="12"/>
        <v>70949.299999999988</v>
      </c>
      <c r="F230" s="425">
        <f>'B) D RI'!U232</f>
        <v>20452.974117647056</v>
      </c>
      <c r="G230" s="266">
        <f t="shared" si="13"/>
        <v>3.4688989284342826</v>
      </c>
      <c r="H230" s="55">
        <f t="shared" si="14"/>
        <v>27306.229999999996</v>
      </c>
      <c r="I230" s="416">
        <f t="shared" si="15"/>
        <v>1.3350738060358602</v>
      </c>
    </row>
    <row r="231" spans="1:9" x14ac:dyDescent="0.25">
      <c r="A231" s="49">
        <f>'A) Base RI'!A233</f>
        <v>5764</v>
      </c>
      <c r="B231" s="293" t="str">
        <f>'A) Base RI'!B233</f>
        <v>Vallorbe</v>
      </c>
      <c r="C231" s="10">
        <f>'B) D RI'!Y233</f>
        <v>354462.89999999997</v>
      </c>
      <c r="D231" s="425">
        <f>'B) D RI'!Z233</f>
        <v>2315164.4</v>
      </c>
      <c r="E231" s="10">
        <f t="shared" si="12"/>
        <v>2669627.2999999998</v>
      </c>
      <c r="F231" s="425">
        <f>'B) D RI'!U233</f>
        <v>84310.704615384602</v>
      </c>
      <c r="G231" s="266">
        <f t="shared" si="13"/>
        <v>31.664155959537069</v>
      </c>
      <c r="H231" s="55">
        <f t="shared" si="14"/>
        <v>871780.7699999999</v>
      </c>
      <c r="I231" s="416">
        <f t="shared" si="15"/>
        <v>10.340095886719959</v>
      </c>
    </row>
    <row r="232" spans="1:9" x14ac:dyDescent="0.25">
      <c r="A232" s="49">
        <f>'A) Base RI'!A234</f>
        <v>5765</v>
      </c>
      <c r="B232" s="293" t="str">
        <f>'A) Base RI'!B234</f>
        <v>Vaulion</v>
      </c>
      <c r="C232" s="10">
        <f>'B) D RI'!Y234</f>
        <v>98327</v>
      </c>
      <c r="D232" s="425">
        <f>'B) D RI'!Z234</f>
        <v>53317.25</v>
      </c>
      <c r="E232" s="10">
        <f t="shared" si="12"/>
        <v>151644.25</v>
      </c>
      <c r="F232" s="425">
        <f>'B) D RI'!U234</f>
        <v>11314.597037037036</v>
      </c>
      <c r="G232" s="266">
        <f t="shared" si="13"/>
        <v>13.402532101108854</v>
      </c>
      <c r="H232" s="55">
        <f t="shared" si="14"/>
        <v>65158.675000000003</v>
      </c>
      <c r="I232" s="416">
        <f t="shared" si="15"/>
        <v>5.7588153415195036</v>
      </c>
    </row>
    <row r="233" spans="1:9" x14ac:dyDescent="0.25">
      <c r="A233" s="49">
        <f>'A) Base RI'!A235</f>
        <v>5766</v>
      </c>
      <c r="B233" s="293" t="str">
        <f>'A) Base RI'!B235</f>
        <v>Vuiteboeuf</v>
      </c>
      <c r="C233" s="10">
        <f>'B) D RI'!Y235</f>
        <v>39615.85</v>
      </c>
      <c r="D233" s="425">
        <f>'B) D RI'!Z235</f>
        <v>27786</v>
      </c>
      <c r="E233" s="10">
        <f t="shared" si="12"/>
        <v>67401.850000000006</v>
      </c>
      <c r="F233" s="425">
        <f>'B) D RI'!U235</f>
        <v>15993.559610389608</v>
      </c>
      <c r="G233" s="266">
        <f t="shared" si="13"/>
        <v>4.2143119881964832</v>
      </c>
      <c r="H233" s="55">
        <f t="shared" si="14"/>
        <v>28143.724999999999</v>
      </c>
      <c r="I233" s="416">
        <f t="shared" si="15"/>
        <v>1.7596911310298615</v>
      </c>
    </row>
    <row r="234" spans="1:9" x14ac:dyDescent="0.25">
      <c r="A234" s="49">
        <f>'A) Base RI'!A236</f>
        <v>5785</v>
      </c>
      <c r="B234" s="293" t="str">
        <f>'A) Base RI'!B236</f>
        <v>Corcelles-le-Jorat</v>
      </c>
      <c r="C234" s="10">
        <f>'B) D RI'!Y236</f>
        <v>132795.4</v>
      </c>
      <c r="D234" s="425">
        <f>'B) D RI'!Z236</f>
        <v>0</v>
      </c>
      <c r="E234" s="10">
        <f t="shared" si="12"/>
        <v>132795.4</v>
      </c>
      <c r="F234" s="425">
        <f>'B) D RI'!U236</f>
        <v>17518.145584415586</v>
      </c>
      <c r="G234" s="266">
        <f t="shared" si="13"/>
        <v>7.5804484761296216</v>
      </c>
      <c r="H234" s="55">
        <f t="shared" si="14"/>
        <v>66397.7</v>
      </c>
      <c r="I234" s="416">
        <f t="shared" si="15"/>
        <v>3.7902242380648108</v>
      </c>
    </row>
    <row r="235" spans="1:9" x14ac:dyDescent="0.25">
      <c r="A235" s="49">
        <f>'A) Base RI'!A237</f>
        <v>5788</v>
      </c>
      <c r="B235" s="293" t="str">
        <f>'A) Base RI'!B237</f>
        <v>Essertes</v>
      </c>
      <c r="C235" s="10">
        <f>'B) D RI'!Y237</f>
        <v>73205.649999999994</v>
      </c>
      <c r="D235" s="425">
        <f>'B) D RI'!Z237</f>
        <v>445.1</v>
      </c>
      <c r="E235" s="10">
        <f t="shared" si="12"/>
        <v>73650.75</v>
      </c>
      <c r="F235" s="425">
        <f>'B) D RI'!U237</f>
        <v>16224.893706293702</v>
      </c>
      <c r="G235" s="266">
        <f t="shared" si="13"/>
        <v>4.539367180657127</v>
      </c>
      <c r="H235" s="55">
        <f t="shared" si="14"/>
        <v>36736.354999999996</v>
      </c>
      <c r="I235" s="416">
        <f t="shared" si="15"/>
        <v>2.2641969596232125</v>
      </c>
    </row>
    <row r="236" spans="1:9" x14ac:dyDescent="0.25">
      <c r="A236" s="49">
        <f>'A) Base RI'!A238</f>
        <v>5790</v>
      </c>
      <c r="B236" s="293" t="str">
        <f>'A) Base RI'!B238</f>
        <v>Maracon</v>
      </c>
      <c r="C236" s="10">
        <f>'B) D RI'!Y238</f>
        <v>56031.8</v>
      </c>
      <c r="D236" s="425">
        <f>'B) D RI'!Z238</f>
        <v>8885.9</v>
      </c>
      <c r="E236" s="10">
        <f t="shared" si="12"/>
        <v>64917.700000000004</v>
      </c>
      <c r="F236" s="425">
        <f>'B) D RI'!U238</f>
        <v>13398.084966442953</v>
      </c>
      <c r="G236" s="266">
        <f t="shared" si="13"/>
        <v>4.8452969333000846</v>
      </c>
      <c r="H236" s="55">
        <f t="shared" si="14"/>
        <v>30681.670000000002</v>
      </c>
      <c r="I236" s="416">
        <f t="shared" si="15"/>
        <v>2.2900041369229838</v>
      </c>
    </row>
    <row r="237" spans="1:9" x14ac:dyDescent="0.25">
      <c r="A237" s="49">
        <f>'A) Base RI'!A239</f>
        <v>5792</v>
      </c>
      <c r="B237" s="293" t="str">
        <f>'A) Base RI'!B239</f>
        <v>Montpreveyres</v>
      </c>
      <c r="C237" s="10">
        <f>'B) D RI'!Y239</f>
        <v>111877.05</v>
      </c>
      <c r="D237" s="425">
        <f>'B) D RI'!Z239</f>
        <v>116.15</v>
      </c>
      <c r="E237" s="10">
        <f t="shared" si="12"/>
        <v>111993.2</v>
      </c>
      <c r="F237" s="425">
        <f>'B) D RI'!U239</f>
        <v>17609.230799999998</v>
      </c>
      <c r="G237" s="266">
        <f t="shared" si="13"/>
        <v>6.3599143694567291</v>
      </c>
      <c r="H237" s="55">
        <f t="shared" si="14"/>
        <v>55973.37</v>
      </c>
      <c r="I237" s="416">
        <f t="shared" si="15"/>
        <v>3.1786379902522492</v>
      </c>
    </row>
    <row r="238" spans="1:9" x14ac:dyDescent="0.25">
      <c r="A238" s="49">
        <f>'A) Base RI'!A240</f>
        <v>5798</v>
      </c>
      <c r="B238" s="293" t="str">
        <f>'A) Base RI'!B240</f>
        <v>Ropraz</v>
      </c>
      <c r="C238" s="10">
        <f>'B) D RI'!Y240</f>
        <v>68975.649999999994</v>
      </c>
      <c r="D238" s="425">
        <f>'B) D RI'!Z240</f>
        <v>21843.25</v>
      </c>
      <c r="E238" s="10">
        <f t="shared" si="12"/>
        <v>90818.9</v>
      </c>
      <c r="F238" s="425">
        <f>'B) D RI'!U240</f>
        <v>15761.261677419356</v>
      </c>
      <c r="G238" s="266">
        <f t="shared" si="13"/>
        <v>5.7621592648330475</v>
      </c>
      <c r="H238" s="55">
        <f t="shared" si="14"/>
        <v>41040.799999999996</v>
      </c>
      <c r="I238" s="416">
        <f t="shared" si="15"/>
        <v>2.6039032179002399</v>
      </c>
    </row>
    <row r="239" spans="1:9" x14ac:dyDescent="0.25">
      <c r="A239" s="49">
        <f>'A) Base RI'!A241</f>
        <v>5799</v>
      </c>
      <c r="B239" s="293" t="str">
        <f>'A) Base RI'!B241</f>
        <v>Servion</v>
      </c>
      <c r="C239" s="10">
        <f>'B) D RI'!Y241</f>
        <v>574275.5</v>
      </c>
      <c r="D239" s="425">
        <f>'B) D RI'!Z241</f>
        <v>26847.85</v>
      </c>
      <c r="E239" s="10">
        <f t="shared" si="12"/>
        <v>601123.35</v>
      </c>
      <c r="F239" s="425">
        <f>'B) D RI'!U241</f>
        <v>69387.22289855071</v>
      </c>
      <c r="G239" s="266">
        <f t="shared" si="13"/>
        <v>8.6633147269618664</v>
      </c>
      <c r="H239" s="55">
        <f t="shared" si="14"/>
        <v>295192.10499999998</v>
      </c>
      <c r="I239" s="416">
        <f t="shared" si="15"/>
        <v>4.2542717905224832</v>
      </c>
    </row>
    <row r="240" spans="1:9" x14ac:dyDescent="0.25">
      <c r="A240" s="49">
        <f>'A) Base RI'!A242</f>
        <v>5803</v>
      </c>
      <c r="B240" s="293" t="str">
        <f>'A) Base RI'!B242</f>
        <v>Vulliens</v>
      </c>
      <c r="C240" s="10">
        <f>'B) D RI'!Y242</f>
        <v>63872.75</v>
      </c>
      <c r="D240" s="425">
        <f>'B) D RI'!Z242</f>
        <v>959.9</v>
      </c>
      <c r="E240" s="10">
        <f t="shared" si="12"/>
        <v>64832.65</v>
      </c>
      <c r="F240" s="425">
        <f>'B) D RI'!U242</f>
        <v>18875.933421052636</v>
      </c>
      <c r="G240" s="266">
        <f t="shared" si="13"/>
        <v>3.4346725300318708</v>
      </c>
      <c r="H240" s="55">
        <f t="shared" si="14"/>
        <v>32224.345000000001</v>
      </c>
      <c r="I240" s="416">
        <f t="shared" si="15"/>
        <v>1.7071656421536041</v>
      </c>
    </row>
    <row r="241" spans="1:9" x14ac:dyDescent="0.25">
      <c r="A241" s="49">
        <f>'A) Base RI'!A243</f>
        <v>5804</v>
      </c>
      <c r="B241" s="293" t="str">
        <f>'A) Base RI'!B243</f>
        <v>Jorat-Menthue</v>
      </c>
      <c r="C241" s="10">
        <f>'B) D RI'!Y243</f>
        <v>392275.20000000001</v>
      </c>
      <c r="D241" s="425">
        <f>'B) D RI'!Z243</f>
        <v>8222.75</v>
      </c>
      <c r="E241" s="10">
        <f t="shared" si="12"/>
        <v>400497.95</v>
      </c>
      <c r="F241" s="425">
        <f>'B) D RI'!U243</f>
        <v>46692.865106382982</v>
      </c>
      <c r="G241" s="266">
        <f t="shared" si="13"/>
        <v>8.5772836832249002</v>
      </c>
      <c r="H241" s="55">
        <f t="shared" si="14"/>
        <v>198604.42500000002</v>
      </c>
      <c r="I241" s="416">
        <f t="shared" si="15"/>
        <v>4.2534212571344332</v>
      </c>
    </row>
    <row r="242" spans="1:9" x14ac:dyDescent="0.25">
      <c r="A242" s="49">
        <f>'A) Base RI'!A244</f>
        <v>5805</v>
      </c>
      <c r="B242" s="293" t="str">
        <f>'A) Base RI'!B244</f>
        <v>Oron</v>
      </c>
      <c r="C242" s="10">
        <f>'B) D RI'!Y244</f>
        <v>639017.49</v>
      </c>
      <c r="D242" s="425">
        <f>'B) D RI'!Z244</f>
        <v>124255.6</v>
      </c>
      <c r="E242" s="10">
        <f t="shared" si="12"/>
        <v>763273.09</v>
      </c>
      <c r="F242" s="425">
        <f>'B) D RI'!U244</f>
        <v>154727.47061923583</v>
      </c>
      <c r="G242" s="266">
        <f t="shared" si="13"/>
        <v>4.9330160116060817</v>
      </c>
      <c r="H242" s="55">
        <f t="shared" si="14"/>
        <v>356785.42499999999</v>
      </c>
      <c r="I242" s="416">
        <f t="shared" si="15"/>
        <v>2.3058958022910003</v>
      </c>
    </row>
    <row r="243" spans="1:9" x14ac:dyDescent="0.25">
      <c r="A243" s="49">
        <f>'A) Base RI'!A245</f>
        <v>5806</v>
      </c>
      <c r="B243" s="293" t="str">
        <f>'A) Base RI'!B245</f>
        <v>Jorat-Mézières</v>
      </c>
      <c r="C243" s="10">
        <f>'B) D RI'!Y245</f>
        <v>527331.60000000009</v>
      </c>
      <c r="D243" s="425">
        <f>'B) D RI'!Z245</f>
        <v>30186.6</v>
      </c>
      <c r="E243" s="10">
        <f t="shared" si="12"/>
        <v>557518.20000000007</v>
      </c>
      <c r="F243" s="425">
        <f>'B) D RI'!U245</f>
        <v>91092.386986301368</v>
      </c>
      <c r="G243" s="266">
        <f t="shared" si="13"/>
        <v>6.1203599822654846</v>
      </c>
      <c r="H243" s="55">
        <f t="shared" si="14"/>
        <v>272721.78000000003</v>
      </c>
      <c r="I243" s="416">
        <f t="shared" si="15"/>
        <v>2.993903102363674</v>
      </c>
    </row>
    <row r="244" spans="1:9" x14ac:dyDescent="0.25">
      <c r="A244" s="49">
        <f>'A) Base RI'!A246</f>
        <v>5812</v>
      </c>
      <c r="B244" s="293" t="str">
        <f>'A) Base RI'!B246</f>
        <v>Champtauroz</v>
      </c>
      <c r="C244" s="10">
        <f>'B) D RI'!Y246</f>
        <v>26734.95</v>
      </c>
      <c r="D244" s="425">
        <f>'B) D RI'!Z246</f>
        <v>0</v>
      </c>
      <c r="E244" s="10">
        <f t="shared" si="12"/>
        <v>26734.95</v>
      </c>
      <c r="F244" s="425">
        <f>'B) D RI'!U246</f>
        <v>2487.5377597402598</v>
      </c>
      <c r="G244" s="266">
        <f t="shared" si="13"/>
        <v>10.747555447275531</v>
      </c>
      <c r="H244" s="55">
        <f t="shared" si="14"/>
        <v>13367.475</v>
      </c>
      <c r="I244" s="416">
        <f t="shared" si="15"/>
        <v>5.3737777236377653</v>
      </c>
    </row>
    <row r="245" spans="1:9" x14ac:dyDescent="0.25">
      <c r="A245" s="49">
        <f>'A) Base RI'!A247</f>
        <v>5813</v>
      </c>
      <c r="B245" s="293" t="str">
        <f>'A) Base RI'!B247</f>
        <v>Chevroux</v>
      </c>
      <c r="C245" s="10">
        <f>'B) D RI'!Y247</f>
        <v>53196.850000000006</v>
      </c>
      <c r="D245" s="425">
        <f>'B) D RI'!Z247</f>
        <v>0</v>
      </c>
      <c r="E245" s="10">
        <f t="shared" si="12"/>
        <v>53196.850000000006</v>
      </c>
      <c r="F245" s="425">
        <f>'B) D RI'!U247</f>
        <v>15179.777080291971</v>
      </c>
      <c r="G245" s="266">
        <f t="shared" si="13"/>
        <v>3.504455284067769</v>
      </c>
      <c r="H245" s="55">
        <f t="shared" si="14"/>
        <v>26598.425000000003</v>
      </c>
      <c r="I245" s="416">
        <f t="shared" si="15"/>
        <v>1.7522276420338845</v>
      </c>
    </row>
    <row r="246" spans="1:9" x14ac:dyDescent="0.25">
      <c r="A246" s="49">
        <f>'A) Base RI'!A248</f>
        <v>5816</v>
      </c>
      <c r="B246" s="293" t="str">
        <f>'A) Base RI'!B248</f>
        <v>Corcelles-près-Payerne</v>
      </c>
      <c r="C246" s="10">
        <f>'B) D RI'!Y248</f>
        <v>343196.85</v>
      </c>
      <c r="D246" s="425">
        <f>'B) D RI'!Z248</f>
        <v>21017.599999999999</v>
      </c>
      <c r="E246" s="10">
        <f t="shared" si="12"/>
        <v>364214.44999999995</v>
      </c>
      <c r="F246" s="425">
        <f>'B) D RI'!U248</f>
        <v>60528.996913451512</v>
      </c>
      <c r="G246" s="266">
        <f t="shared" si="13"/>
        <v>6.0171895880048796</v>
      </c>
      <c r="H246" s="55">
        <f t="shared" si="14"/>
        <v>177903.70499999999</v>
      </c>
      <c r="I246" s="416">
        <f t="shared" si="15"/>
        <v>2.9391484093876334</v>
      </c>
    </row>
    <row r="247" spans="1:9" x14ac:dyDescent="0.25">
      <c r="A247" s="49">
        <f>'A) Base RI'!A249</f>
        <v>5817</v>
      </c>
      <c r="B247" s="293" t="str">
        <f>'A) Base RI'!B249</f>
        <v>Grandcour</v>
      </c>
      <c r="C247" s="10">
        <f>'B) D RI'!Y249</f>
        <v>54235.199999999997</v>
      </c>
      <c r="D247" s="425">
        <f>'B) D RI'!Z249</f>
        <v>597.70000000000005</v>
      </c>
      <c r="E247" s="10">
        <f t="shared" si="12"/>
        <v>54832.899999999994</v>
      </c>
      <c r="F247" s="425">
        <f>'B) D RI'!U249</f>
        <v>21779.238095238095</v>
      </c>
      <c r="G247" s="266">
        <f t="shared" si="13"/>
        <v>2.5176684216510261</v>
      </c>
      <c r="H247" s="55">
        <f t="shared" si="14"/>
        <v>27296.91</v>
      </c>
      <c r="I247" s="416">
        <f t="shared" si="15"/>
        <v>1.2533454972407099</v>
      </c>
    </row>
    <row r="248" spans="1:9" x14ac:dyDescent="0.25">
      <c r="A248" s="49">
        <f>'A) Base RI'!A250</f>
        <v>5819</v>
      </c>
      <c r="B248" s="293" t="str">
        <f>'A) Base RI'!B250</f>
        <v>Henniez</v>
      </c>
      <c r="C248" s="10">
        <f>'B) D RI'!Y250</f>
        <v>39162.699999999997</v>
      </c>
      <c r="D248" s="425">
        <f>'B) D RI'!Z250</f>
        <v>4251.7</v>
      </c>
      <c r="E248" s="10">
        <f t="shared" si="12"/>
        <v>43414.399999999994</v>
      </c>
      <c r="F248" s="425">
        <f>'B) D RI'!U250</f>
        <v>11468.217826086959</v>
      </c>
      <c r="G248" s="266">
        <f t="shared" si="13"/>
        <v>3.7856274321232797</v>
      </c>
      <c r="H248" s="55">
        <f t="shared" si="14"/>
        <v>20856.859999999997</v>
      </c>
      <c r="I248" s="416">
        <f t="shared" si="15"/>
        <v>1.8186661882682875</v>
      </c>
    </row>
    <row r="249" spans="1:9" x14ac:dyDescent="0.25">
      <c r="A249" s="49">
        <f>'A) Base RI'!A251</f>
        <v>5821</v>
      </c>
      <c r="B249" s="293" t="str">
        <f>'A) Base RI'!B251</f>
        <v>Missy</v>
      </c>
      <c r="C249" s="10">
        <f>'B) D RI'!Y251</f>
        <v>32040.300000000003</v>
      </c>
      <c r="D249" s="425">
        <f>'B) D RI'!Z251</f>
        <v>0</v>
      </c>
      <c r="E249" s="10">
        <f t="shared" si="12"/>
        <v>32040.300000000003</v>
      </c>
      <c r="F249" s="425">
        <f>'B) D RI'!U251</f>
        <v>7872.7337500000012</v>
      </c>
      <c r="G249" s="266">
        <f t="shared" si="13"/>
        <v>4.0697807162600919</v>
      </c>
      <c r="H249" s="55">
        <f t="shared" si="14"/>
        <v>16020.150000000001</v>
      </c>
      <c r="I249" s="416">
        <f t="shared" si="15"/>
        <v>2.0348903581300459</v>
      </c>
    </row>
    <row r="250" spans="1:9" x14ac:dyDescent="0.25">
      <c r="A250" s="49">
        <f>'A) Base RI'!A252</f>
        <v>5822</v>
      </c>
      <c r="B250" s="293" t="str">
        <f>'A) Base RI'!B252</f>
        <v>Payerne</v>
      </c>
      <c r="C250" s="10">
        <f>'B) D RI'!Y252</f>
        <v>1617981.45</v>
      </c>
      <c r="D250" s="425">
        <f>'B) D RI'!Z252</f>
        <v>57956.25</v>
      </c>
      <c r="E250" s="10">
        <f t="shared" si="12"/>
        <v>1675937.7</v>
      </c>
      <c r="F250" s="425">
        <f>'B) D RI'!U252</f>
        <v>237851.57178082189</v>
      </c>
      <c r="G250" s="266">
        <f t="shared" si="13"/>
        <v>7.0461493588293864</v>
      </c>
      <c r="H250" s="55">
        <f t="shared" si="14"/>
        <v>826377.6</v>
      </c>
      <c r="I250" s="416">
        <f t="shared" si="15"/>
        <v>3.4743415560082975</v>
      </c>
    </row>
    <row r="251" spans="1:9" x14ac:dyDescent="0.25">
      <c r="A251" s="49">
        <f>'A) Base RI'!A253</f>
        <v>5827</v>
      </c>
      <c r="B251" s="293" t="str">
        <f>'A) Base RI'!B253</f>
        <v>Trey</v>
      </c>
      <c r="C251" s="10">
        <f>'B) D RI'!Y253</f>
        <v>25929.449999999997</v>
      </c>
      <c r="D251" s="425">
        <f>'B) D RI'!Z253</f>
        <v>0</v>
      </c>
      <c r="E251" s="10">
        <f t="shared" si="12"/>
        <v>25929.449999999997</v>
      </c>
      <c r="F251" s="425">
        <f>'B) D RI'!U253</f>
        <v>6163.6291025641031</v>
      </c>
      <c r="G251" s="266">
        <f t="shared" si="13"/>
        <v>4.2068478762314241</v>
      </c>
      <c r="H251" s="55">
        <f t="shared" si="14"/>
        <v>12964.724999999999</v>
      </c>
      <c r="I251" s="416">
        <f t="shared" si="15"/>
        <v>2.103423938115712</v>
      </c>
    </row>
    <row r="252" spans="1:9" x14ac:dyDescent="0.25">
      <c r="A252" s="49">
        <f>'A) Base RI'!A254</f>
        <v>5828</v>
      </c>
      <c r="B252" s="293" t="str">
        <f>'A) Base RI'!B254</f>
        <v>Treytorrens (Payerne)</v>
      </c>
      <c r="C252" s="10">
        <f>'B) D RI'!Y254</f>
        <v>6049.1</v>
      </c>
      <c r="D252" s="425">
        <f>'B) D RI'!Z254</f>
        <v>0</v>
      </c>
      <c r="E252" s="10">
        <f t="shared" si="12"/>
        <v>6049.1</v>
      </c>
      <c r="F252" s="425">
        <f>'B) D RI'!U254</f>
        <v>2288.4160317460314</v>
      </c>
      <c r="G252" s="266">
        <f t="shared" si="13"/>
        <v>2.6433567655897852</v>
      </c>
      <c r="H252" s="55">
        <f t="shared" si="14"/>
        <v>3024.55</v>
      </c>
      <c r="I252" s="416">
        <f t="shared" si="15"/>
        <v>1.3216783827948926</v>
      </c>
    </row>
    <row r="253" spans="1:9" x14ac:dyDescent="0.25">
      <c r="A253" s="49">
        <f>'A) Base RI'!A255</f>
        <v>5830</v>
      </c>
      <c r="B253" s="293" t="str">
        <f>'A) Base RI'!B255</f>
        <v>Villarzel</v>
      </c>
      <c r="C253" s="10">
        <f>'B) D RI'!Y255</f>
        <v>77863.95</v>
      </c>
      <c r="D253" s="425">
        <f>'B) D RI'!Z255</f>
        <v>6516</v>
      </c>
      <c r="E253" s="10">
        <f t="shared" si="12"/>
        <v>84379.95</v>
      </c>
      <c r="F253" s="425">
        <f>'B) D RI'!U255</f>
        <v>12470.916233766235</v>
      </c>
      <c r="G253" s="266">
        <f t="shared" si="13"/>
        <v>6.7661387838956824</v>
      </c>
      <c r="H253" s="55">
        <f t="shared" si="14"/>
        <v>40886.775000000001</v>
      </c>
      <c r="I253" s="416">
        <f t="shared" si="15"/>
        <v>3.2785702536670907</v>
      </c>
    </row>
    <row r="254" spans="1:9" x14ac:dyDescent="0.25">
      <c r="A254" s="49">
        <f>'A) Base RI'!A256</f>
        <v>5831</v>
      </c>
      <c r="B254" s="293" t="str">
        <f>'A) Base RI'!B256</f>
        <v>Valbroye</v>
      </c>
      <c r="C254" s="10">
        <f>'B) D RI'!Y256</f>
        <v>493001.35</v>
      </c>
      <c r="D254" s="425">
        <f>'B) D RI'!Z256</f>
        <v>22474.9</v>
      </c>
      <c r="E254" s="10">
        <f t="shared" si="12"/>
        <v>515476.25</v>
      </c>
      <c r="F254" s="425">
        <f>'B) D RI'!U256</f>
        <v>83756.732765957451</v>
      </c>
      <c r="G254" s="266">
        <f t="shared" si="13"/>
        <v>6.1544455350282359</v>
      </c>
      <c r="H254" s="55">
        <f t="shared" si="14"/>
        <v>253243.14499999999</v>
      </c>
      <c r="I254" s="416">
        <f t="shared" si="15"/>
        <v>3.0235556788925932</v>
      </c>
    </row>
    <row r="255" spans="1:9" x14ac:dyDescent="0.25">
      <c r="A255" s="49">
        <f>'A) Base RI'!A257</f>
        <v>5841</v>
      </c>
      <c r="B255" s="293" t="str">
        <f>'A) Base RI'!B257</f>
        <v>Château-d'Oex</v>
      </c>
      <c r="C255" s="10">
        <f>'B) D RI'!Y257</f>
        <v>1627092.5</v>
      </c>
      <c r="D255" s="425">
        <f>'B) D RI'!Z257</f>
        <v>7425.55</v>
      </c>
      <c r="E255" s="10">
        <f t="shared" si="12"/>
        <v>1634518.05</v>
      </c>
      <c r="F255" s="425">
        <f>'B) D RI'!U257</f>
        <v>108658.39067484663</v>
      </c>
      <c r="G255" s="266">
        <f t="shared" si="13"/>
        <v>15.042722792491858</v>
      </c>
      <c r="H255" s="55">
        <f t="shared" si="14"/>
        <v>815773.91500000004</v>
      </c>
      <c r="I255" s="416">
        <f t="shared" si="15"/>
        <v>7.5076936988801171</v>
      </c>
    </row>
    <row r="256" spans="1:9" x14ac:dyDescent="0.25">
      <c r="A256" s="49">
        <f>'A) Base RI'!A258</f>
        <v>5842</v>
      </c>
      <c r="B256" s="293" t="str">
        <f>'A) Base RI'!B258</f>
        <v>Rossinière</v>
      </c>
      <c r="C256" s="10">
        <f>'B) D RI'!Y258</f>
        <v>72217.05</v>
      </c>
      <c r="D256" s="425">
        <f>'B) D RI'!Z258</f>
        <v>0</v>
      </c>
      <c r="E256" s="10">
        <f t="shared" si="12"/>
        <v>72217.05</v>
      </c>
      <c r="F256" s="425">
        <f>'B) D RI'!U258</f>
        <v>14509.951028806583</v>
      </c>
      <c r="G256" s="266">
        <f t="shared" si="13"/>
        <v>4.9770705536240341</v>
      </c>
      <c r="H256" s="55">
        <f t="shared" si="14"/>
        <v>36108.525000000001</v>
      </c>
      <c r="I256" s="416">
        <f t="shared" si="15"/>
        <v>2.488535276812017</v>
      </c>
    </row>
    <row r="257" spans="1:9" x14ac:dyDescent="0.25">
      <c r="A257" s="49">
        <f>'A) Base RI'!A259</f>
        <v>5843</v>
      </c>
      <c r="B257" s="293" t="str">
        <f>'A) Base RI'!B259</f>
        <v>Rougemont</v>
      </c>
      <c r="C257" s="10">
        <f>'B) D RI'!Y259</f>
        <v>1273630.7</v>
      </c>
      <c r="D257" s="425">
        <f>'B) D RI'!Z259</f>
        <v>0</v>
      </c>
      <c r="E257" s="10">
        <f t="shared" si="12"/>
        <v>1273630.7</v>
      </c>
      <c r="F257" s="425">
        <f>'B) D RI'!U259</f>
        <v>100468.99797297297</v>
      </c>
      <c r="G257" s="266">
        <f t="shared" si="13"/>
        <v>12.676852817250328</v>
      </c>
      <c r="H257" s="55">
        <f t="shared" si="14"/>
        <v>636815.35</v>
      </c>
      <c r="I257" s="416">
        <f t="shared" si="15"/>
        <v>6.338426408625164</v>
      </c>
    </row>
    <row r="258" spans="1:9" x14ac:dyDescent="0.25">
      <c r="A258" s="49">
        <f>'A) Base RI'!A260</f>
        <v>5851</v>
      </c>
      <c r="B258" s="293" t="str">
        <f>'A) Base RI'!B260</f>
        <v>Allaman</v>
      </c>
      <c r="C258" s="10">
        <f>'B) D RI'!Y260</f>
        <v>207.65</v>
      </c>
      <c r="D258" s="425">
        <f>'B) D RI'!Z260</f>
        <v>73719.45</v>
      </c>
      <c r="E258" s="10">
        <f t="shared" si="12"/>
        <v>73927.099999999991</v>
      </c>
      <c r="F258" s="425">
        <f>'B) D RI'!U260</f>
        <v>24314.213954545452</v>
      </c>
      <c r="G258" s="266">
        <f t="shared" si="13"/>
        <v>3.0404889970205922</v>
      </c>
      <c r="H258" s="55">
        <f t="shared" si="14"/>
        <v>22219.66</v>
      </c>
      <c r="I258" s="416">
        <f t="shared" si="15"/>
        <v>0.91385475350092971</v>
      </c>
    </row>
    <row r="259" spans="1:9" x14ac:dyDescent="0.25">
      <c r="A259" s="49">
        <f>'A) Base RI'!A261</f>
        <v>5852</v>
      </c>
      <c r="B259" s="293" t="str">
        <f>'A) Base RI'!B261</f>
        <v>Bursinel</v>
      </c>
      <c r="C259" s="10">
        <f>'B) D RI'!Y261</f>
        <v>75253.3</v>
      </c>
      <c r="D259" s="425">
        <f>'B) D RI'!Z261</f>
        <v>8183.75</v>
      </c>
      <c r="E259" s="10">
        <f t="shared" si="12"/>
        <v>83437.05</v>
      </c>
      <c r="F259" s="425">
        <f>'B) D RI'!U261</f>
        <v>40706.215623409669</v>
      </c>
      <c r="G259" s="266">
        <f t="shared" si="13"/>
        <v>2.0497373367230023</v>
      </c>
      <c r="H259" s="55">
        <f t="shared" si="14"/>
        <v>40081.775000000001</v>
      </c>
      <c r="I259" s="416">
        <f t="shared" si="15"/>
        <v>0.98465982126202467</v>
      </c>
    </row>
    <row r="260" spans="1:9" x14ac:dyDescent="0.25">
      <c r="A260" s="49">
        <f>'A) Base RI'!A262</f>
        <v>5853</v>
      </c>
      <c r="B260" s="293" t="str">
        <f>'A) Base RI'!B262</f>
        <v>Bursins</v>
      </c>
      <c r="C260" s="10">
        <f>'B) D RI'!Y262</f>
        <v>7126665.2000000002</v>
      </c>
      <c r="D260" s="425">
        <f>'B) D RI'!Z262</f>
        <v>65850.05</v>
      </c>
      <c r="E260" s="10">
        <f t="shared" si="12"/>
        <v>7192515.25</v>
      </c>
      <c r="F260" s="425">
        <f>'B) D RI'!U262</f>
        <v>42015.881830985905</v>
      </c>
      <c r="G260" s="266">
        <f t="shared" si="13"/>
        <v>171.1856311604451</v>
      </c>
      <c r="H260" s="55">
        <f t="shared" si="14"/>
        <v>3583087.6150000002</v>
      </c>
      <c r="I260" s="416">
        <f t="shared" si="15"/>
        <v>85.279362442359641</v>
      </c>
    </row>
    <row r="261" spans="1:9" x14ac:dyDescent="0.25">
      <c r="A261" s="49">
        <f>'A) Base RI'!A263</f>
        <v>5854</v>
      </c>
      <c r="B261" s="293" t="str">
        <f>'A) Base RI'!B263</f>
        <v>Burtigny</v>
      </c>
      <c r="C261" s="10">
        <f>'B) D RI'!Y263</f>
        <v>106125.35</v>
      </c>
      <c r="D261" s="425">
        <f>'B) D RI'!Z263</f>
        <v>24487.9</v>
      </c>
      <c r="E261" s="10">
        <f t="shared" si="12"/>
        <v>130613.25</v>
      </c>
      <c r="F261" s="425">
        <f>'B) D RI'!U263</f>
        <v>10782.893958333336</v>
      </c>
      <c r="G261" s="266">
        <f t="shared" si="13"/>
        <v>12.113005145437628</v>
      </c>
      <c r="H261" s="55">
        <f t="shared" si="14"/>
        <v>60409.045000000006</v>
      </c>
      <c r="I261" s="416">
        <f t="shared" si="15"/>
        <v>5.6023035405364556</v>
      </c>
    </row>
    <row r="262" spans="1:9" x14ac:dyDescent="0.25">
      <c r="A262" s="49">
        <f>'A) Base RI'!A264</f>
        <v>5855</v>
      </c>
      <c r="B262" s="293" t="str">
        <f>'A) Base RI'!B264</f>
        <v>Dully</v>
      </c>
      <c r="C262" s="10">
        <f>'B) D RI'!Y264</f>
        <v>541088.1</v>
      </c>
      <c r="D262" s="425">
        <f>'B) D RI'!Z264</f>
        <v>1221.55</v>
      </c>
      <c r="E262" s="10">
        <f t="shared" ref="E262:E313" si="16">C262+D262</f>
        <v>542309.65</v>
      </c>
      <c r="F262" s="425">
        <f>'B) D RI'!U264</f>
        <v>98158.514897959176</v>
      </c>
      <c r="G262" s="266">
        <f t="shared" ref="G262:G313" si="17">E262/F262</f>
        <v>5.5248355230695863</v>
      </c>
      <c r="H262" s="55">
        <f t="shared" ref="H262:H313" si="18">(C262*$C$4)+(D262*$D$4)</f>
        <v>270910.51500000001</v>
      </c>
      <c r="I262" s="416">
        <f t="shared" ref="I262:I313" si="19">H262/F262</f>
        <v>2.7599288281981997</v>
      </c>
    </row>
    <row r="263" spans="1:9" x14ac:dyDescent="0.25">
      <c r="A263" s="49">
        <f>'A) Base RI'!A265</f>
        <v>5856</v>
      </c>
      <c r="B263" s="293" t="str">
        <f>'A) Base RI'!B265</f>
        <v>Essertines-sur-Rolle</v>
      </c>
      <c r="C263" s="10">
        <f>'B) D RI'!Y265</f>
        <v>275081</v>
      </c>
      <c r="D263" s="425">
        <f>'B) D RI'!Z265</f>
        <v>7661.75</v>
      </c>
      <c r="E263" s="10">
        <f t="shared" si="16"/>
        <v>282742.75</v>
      </c>
      <c r="F263" s="425">
        <f>'B) D RI'!U265</f>
        <v>35711.648536726432</v>
      </c>
      <c r="G263" s="266">
        <f t="shared" si="17"/>
        <v>7.9173816271523512</v>
      </c>
      <c r="H263" s="55">
        <f t="shared" si="18"/>
        <v>139839.02499999999</v>
      </c>
      <c r="I263" s="416">
        <f t="shared" si="19"/>
        <v>3.9157818451362529</v>
      </c>
    </row>
    <row r="264" spans="1:9" x14ac:dyDescent="0.25">
      <c r="A264" s="49">
        <f>'A) Base RI'!A266</f>
        <v>5857</v>
      </c>
      <c r="B264" s="293" t="str">
        <f>'A) Base RI'!B266</f>
        <v>Gilly</v>
      </c>
      <c r="C264" s="10">
        <f>'B) D RI'!Y266</f>
        <v>230342.7</v>
      </c>
      <c r="D264" s="425">
        <f>'B) D RI'!Z266</f>
        <v>83818.8</v>
      </c>
      <c r="E264" s="10">
        <f t="shared" si="16"/>
        <v>314161.5</v>
      </c>
      <c r="F264" s="425">
        <f>'B) D RI'!U266</f>
        <v>82128.423720930223</v>
      </c>
      <c r="G264" s="266">
        <f t="shared" si="17"/>
        <v>3.8252469214252889</v>
      </c>
      <c r="H264" s="55">
        <f t="shared" si="18"/>
        <v>140316.99</v>
      </c>
      <c r="I264" s="416">
        <f t="shared" si="19"/>
        <v>1.7085070386446557</v>
      </c>
    </row>
    <row r="265" spans="1:9" x14ac:dyDescent="0.25">
      <c r="A265" s="49">
        <f>'A) Base RI'!A267</f>
        <v>5858</v>
      </c>
      <c r="B265" s="293" t="str">
        <f>'A) Base RI'!B267</f>
        <v>Luins</v>
      </c>
      <c r="C265" s="10">
        <f>'B) D RI'!Y267</f>
        <v>114680.54999999999</v>
      </c>
      <c r="D265" s="425">
        <f>'B) D RI'!Z267</f>
        <v>4072.3</v>
      </c>
      <c r="E265" s="10">
        <f t="shared" si="16"/>
        <v>118752.84999999999</v>
      </c>
      <c r="F265" s="425">
        <f>'B) D RI'!U267</f>
        <v>40290.677378917375</v>
      </c>
      <c r="G265" s="266">
        <f t="shared" si="17"/>
        <v>2.9474026679466792</v>
      </c>
      <c r="H265" s="55">
        <f t="shared" si="18"/>
        <v>58561.964999999997</v>
      </c>
      <c r="I265" s="416">
        <f t="shared" si="19"/>
        <v>1.4534867321601128</v>
      </c>
    </row>
    <row r="266" spans="1:9" x14ac:dyDescent="0.25">
      <c r="A266" s="49">
        <f>'A) Base RI'!A268</f>
        <v>5859</v>
      </c>
      <c r="B266" s="293" t="str">
        <f>'A) Base RI'!B268</f>
        <v>Mont-sur-Rolle</v>
      </c>
      <c r="C266" s="10">
        <f>'B) D RI'!Y268</f>
        <v>652470.69999999995</v>
      </c>
      <c r="D266" s="425">
        <f>'B) D RI'!Z268</f>
        <v>117869.3</v>
      </c>
      <c r="E266" s="10">
        <f t="shared" si="16"/>
        <v>770340</v>
      </c>
      <c r="F266" s="425">
        <f>'B) D RI'!U268</f>
        <v>146465.78251968499</v>
      </c>
      <c r="G266" s="266">
        <f t="shared" si="17"/>
        <v>5.2595219630664687</v>
      </c>
      <c r="H266" s="55">
        <f t="shared" si="18"/>
        <v>361596.13999999996</v>
      </c>
      <c r="I266" s="416">
        <f t="shared" si="19"/>
        <v>2.4688096685749894</v>
      </c>
    </row>
    <row r="267" spans="1:9" x14ac:dyDescent="0.25">
      <c r="A267" s="49">
        <f>'A) Base RI'!A269</f>
        <v>5860</v>
      </c>
      <c r="B267" s="293" t="str">
        <f>'A) Base RI'!B269</f>
        <v>Perroy</v>
      </c>
      <c r="C267" s="10">
        <f>'B) D RI'!Y269</f>
        <v>1219481.05</v>
      </c>
      <c r="D267" s="425">
        <f>'B) D RI'!Z269</f>
        <v>22451.35</v>
      </c>
      <c r="E267" s="10">
        <f t="shared" si="16"/>
        <v>1241932.4000000001</v>
      </c>
      <c r="F267" s="425">
        <f>'B) D RI'!U269</f>
        <v>187175.54426035503</v>
      </c>
      <c r="G267" s="266">
        <f t="shared" si="17"/>
        <v>6.6351210832998193</v>
      </c>
      <c r="H267" s="55">
        <f t="shared" si="18"/>
        <v>616475.93000000005</v>
      </c>
      <c r="I267" s="416">
        <f t="shared" si="19"/>
        <v>3.293570922612103</v>
      </c>
    </row>
    <row r="268" spans="1:9" x14ac:dyDescent="0.25">
      <c r="A268" s="49">
        <f>'A) Base RI'!A270</f>
        <v>5861</v>
      </c>
      <c r="B268" s="293" t="str">
        <f>'A) Base RI'!B270</f>
        <v>Rolle</v>
      </c>
      <c r="C268" s="10">
        <f>'B) D RI'!Y270</f>
        <v>1726447.9</v>
      </c>
      <c r="D268" s="425">
        <f>'B) D RI'!Z270</f>
        <v>582154.1</v>
      </c>
      <c r="E268" s="10">
        <f t="shared" si="16"/>
        <v>2308602</v>
      </c>
      <c r="F268" s="425">
        <f>'B) D RI'!U270</f>
        <v>1938335.8673949579</v>
      </c>
      <c r="G268" s="266">
        <f t="shared" si="17"/>
        <v>1.1910226905632533</v>
      </c>
      <c r="H268" s="55">
        <f t="shared" si="18"/>
        <v>1037870.1799999999</v>
      </c>
      <c r="I268" s="416">
        <f t="shared" si="19"/>
        <v>0.53544393283856107</v>
      </c>
    </row>
    <row r="269" spans="1:9" x14ac:dyDescent="0.25">
      <c r="A269" s="49">
        <f>'A) Base RI'!A271</f>
        <v>5862</v>
      </c>
      <c r="B269" s="293" t="str">
        <f>'A) Base RI'!B271</f>
        <v>Tartegnin</v>
      </c>
      <c r="C269" s="10">
        <f>'B) D RI'!Y271</f>
        <v>-1975.7000000000003</v>
      </c>
      <c r="D269" s="425">
        <f>'B) D RI'!Z271</f>
        <v>11024.15</v>
      </c>
      <c r="E269" s="10">
        <f t="shared" si="16"/>
        <v>9048.4499999999989</v>
      </c>
      <c r="F269" s="425">
        <f>'B) D RI'!U271</f>
        <v>8096.4381012658214</v>
      </c>
      <c r="G269" s="266">
        <f t="shared" si="17"/>
        <v>1.1175840396513792</v>
      </c>
      <c r="H269" s="55">
        <f t="shared" si="18"/>
        <v>2319.3949999999995</v>
      </c>
      <c r="I269" s="416">
        <f t="shared" si="19"/>
        <v>0.2864710346686129</v>
      </c>
    </row>
    <row r="270" spans="1:9" x14ac:dyDescent="0.25">
      <c r="A270" s="49">
        <f>'A) Base RI'!A272</f>
        <v>5863</v>
      </c>
      <c r="B270" s="293" t="str">
        <f>'A) Base RI'!B272</f>
        <v>Vinzel</v>
      </c>
      <c r="C270" s="10">
        <f>'B) D RI'!Y272</f>
        <v>100625.9</v>
      </c>
      <c r="D270" s="425">
        <f>'B) D RI'!Z272</f>
        <v>23922.95</v>
      </c>
      <c r="E270" s="10">
        <f t="shared" si="16"/>
        <v>124548.84999999999</v>
      </c>
      <c r="F270" s="425">
        <f>'B) D RI'!U272</f>
        <v>21933.69492537314</v>
      </c>
      <c r="G270" s="266">
        <f t="shared" si="17"/>
        <v>5.678425382670957</v>
      </c>
      <c r="H270" s="55">
        <f t="shared" si="18"/>
        <v>57489.834999999999</v>
      </c>
      <c r="I270" s="416">
        <f t="shared" si="19"/>
        <v>2.6210738863471255</v>
      </c>
    </row>
    <row r="271" spans="1:9" x14ac:dyDescent="0.25">
      <c r="A271" s="49">
        <f>'A) Base RI'!A273</f>
        <v>5871</v>
      </c>
      <c r="B271" s="293" t="str">
        <f>'A) Base RI'!B273</f>
        <v>L'Abbaye</v>
      </c>
      <c r="C271" s="10">
        <f>'B) D RI'!Y273</f>
        <v>266679.7</v>
      </c>
      <c r="D271" s="425">
        <f>'B) D RI'!Z273</f>
        <v>757257.95</v>
      </c>
      <c r="E271" s="10">
        <f t="shared" si="16"/>
        <v>1023937.6499999999</v>
      </c>
      <c r="F271" s="425">
        <f>'B) D RI'!U273</f>
        <v>49513.521273852508</v>
      </c>
      <c r="G271" s="266">
        <f t="shared" si="17"/>
        <v>20.679960214034079</v>
      </c>
      <c r="H271" s="55">
        <f t="shared" si="18"/>
        <v>360517.23499999999</v>
      </c>
      <c r="I271" s="416">
        <f t="shared" si="19"/>
        <v>7.281187556950929</v>
      </c>
    </row>
    <row r="272" spans="1:9" x14ac:dyDescent="0.25">
      <c r="A272" s="49">
        <f>'A) Base RI'!A274</f>
        <v>5872</v>
      </c>
      <c r="B272" s="293" t="str">
        <f>'A) Base RI'!B274</f>
        <v>Le Chenit</v>
      </c>
      <c r="C272" s="10">
        <f>'B) D RI'!Y274</f>
        <v>3941071.3000000003</v>
      </c>
      <c r="D272" s="425">
        <f>'B) D RI'!Z274</f>
        <v>6124106.2999999998</v>
      </c>
      <c r="E272" s="10">
        <f t="shared" si="16"/>
        <v>10065177.6</v>
      </c>
      <c r="F272" s="425">
        <f>'B) D RI'!U274</f>
        <v>236042.78222554145</v>
      </c>
      <c r="G272" s="266">
        <f t="shared" si="17"/>
        <v>42.641327580957814</v>
      </c>
      <c r="H272" s="55">
        <f t="shared" si="18"/>
        <v>3807767.54</v>
      </c>
      <c r="I272" s="416">
        <f t="shared" si="19"/>
        <v>16.131683858740644</v>
      </c>
    </row>
    <row r="273" spans="1:9" x14ac:dyDescent="0.25">
      <c r="A273" s="49">
        <f>'A) Base RI'!A275</f>
        <v>5873</v>
      </c>
      <c r="B273" s="293" t="str">
        <f>'A) Base RI'!B275</f>
        <v>Le Lieu</v>
      </c>
      <c r="C273" s="10">
        <f>'B) D RI'!Y275</f>
        <v>103630.05</v>
      </c>
      <c r="D273" s="425">
        <f>'B) D RI'!Z275</f>
        <v>1061298.2</v>
      </c>
      <c r="E273" s="10">
        <f t="shared" si="16"/>
        <v>1164928.25</v>
      </c>
      <c r="F273" s="425">
        <f>'B) D RI'!U275</f>
        <v>30440.408392857149</v>
      </c>
      <c r="G273" s="266">
        <f t="shared" si="17"/>
        <v>38.269139985433007</v>
      </c>
      <c r="H273" s="55">
        <f t="shared" si="18"/>
        <v>370204.48499999999</v>
      </c>
      <c r="I273" s="416">
        <f t="shared" si="19"/>
        <v>12.161613609851193</v>
      </c>
    </row>
    <row r="274" spans="1:9" x14ac:dyDescent="0.25">
      <c r="A274" s="49">
        <f>'A) Base RI'!A276</f>
        <v>5881</v>
      </c>
      <c r="B274" s="293" t="str">
        <f>'A) Base RI'!B276</f>
        <v>Blonay</v>
      </c>
      <c r="C274" s="10">
        <f>'B) D RI'!Y276</f>
        <v>3628307.6799999997</v>
      </c>
      <c r="D274" s="425">
        <f>'B) D RI'!Z276</f>
        <v>98862.75</v>
      </c>
      <c r="E274" s="10">
        <f t="shared" si="16"/>
        <v>3727170.4299999997</v>
      </c>
      <c r="F274" s="425">
        <f>'B) D RI'!U276</f>
        <v>363266.43007299263</v>
      </c>
      <c r="G274" s="266">
        <f t="shared" si="17"/>
        <v>10.260156517218185</v>
      </c>
      <c r="H274" s="55">
        <f t="shared" si="18"/>
        <v>1843812.6649999998</v>
      </c>
      <c r="I274" s="416">
        <f t="shared" si="19"/>
        <v>5.0756483736455218</v>
      </c>
    </row>
    <row r="275" spans="1:9" x14ac:dyDescent="0.25">
      <c r="A275" s="49">
        <f>'A) Base RI'!A277</f>
        <v>5882</v>
      </c>
      <c r="B275" s="293" t="str">
        <f>'A) Base RI'!B277</f>
        <v>Chardonne</v>
      </c>
      <c r="C275" s="10">
        <f>'B) D RI'!Y277</f>
        <v>1235928.6499999999</v>
      </c>
      <c r="D275" s="425">
        <f>'B) D RI'!Z277</f>
        <v>11194.95</v>
      </c>
      <c r="E275" s="10">
        <f t="shared" si="16"/>
        <v>1247123.5999999999</v>
      </c>
      <c r="F275" s="425">
        <f>'B) D RI'!U277</f>
        <v>179032.37397058826</v>
      </c>
      <c r="G275" s="266">
        <f t="shared" si="17"/>
        <v>6.9659110938498721</v>
      </c>
      <c r="H275" s="55">
        <f t="shared" si="18"/>
        <v>621322.80999999994</v>
      </c>
      <c r="I275" s="416">
        <f t="shared" si="19"/>
        <v>3.4704494847511316</v>
      </c>
    </row>
    <row r="276" spans="1:9" x14ac:dyDescent="0.25">
      <c r="A276" s="49">
        <f>'A) Base RI'!A278</f>
        <v>5883</v>
      </c>
      <c r="B276" s="293" t="str">
        <f>'A) Base RI'!B278</f>
        <v>Corseaux</v>
      </c>
      <c r="C276" s="10">
        <f>'B) D RI'!Y278</f>
        <v>855951.4</v>
      </c>
      <c r="D276" s="425">
        <f>'B) D RI'!Z278</f>
        <v>0</v>
      </c>
      <c r="E276" s="10">
        <f t="shared" si="16"/>
        <v>855951.4</v>
      </c>
      <c r="F276" s="425">
        <f>'B) D RI'!U278</f>
        <v>167893.40074074076</v>
      </c>
      <c r="G276" s="266">
        <f t="shared" si="17"/>
        <v>5.0981837059918229</v>
      </c>
      <c r="H276" s="55">
        <f t="shared" si="18"/>
        <v>427975.7</v>
      </c>
      <c r="I276" s="416">
        <f t="shared" si="19"/>
        <v>2.5490918529959115</v>
      </c>
    </row>
    <row r="277" spans="1:9" x14ac:dyDescent="0.25">
      <c r="A277" s="49">
        <f>'A) Base RI'!A279</f>
        <v>5884</v>
      </c>
      <c r="B277" s="293" t="str">
        <f>'A) Base RI'!B279</f>
        <v>Corsier-sur-Vevey</v>
      </c>
      <c r="C277" s="10">
        <f>'B) D RI'!Y279</f>
        <v>526763.94999999995</v>
      </c>
      <c r="D277" s="425">
        <f>'B) D RI'!Z279</f>
        <v>471954.75</v>
      </c>
      <c r="E277" s="10">
        <f t="shared" si="16"/>
        <v>998718.7</v>
      </c>
      <c r="F277" s="425">
        <f>'B) D RI'!U279</f>
        <v>122170.7416919192</v>
      </c>
      <c r="G277" s="266">
        <f t="shared" si="17"/>
        <v>8.1747780701740531</v>
      </c>
      <c r="H277" s="55">
        <f t="shared" si="18"/>
        <v>404968.39999999997</v>
      </c>
      <c r="I277" s="416">
        <f t="shared" si="19"/>
        <v>3.3147740153793794</v>
      </c>
    </row>
    <row r="278" spans="1:9" x14ac:dyDescent="0.25">
      <c r="A278" s="49">
        <f>'A) Base RI'!A280</f>
        <v>5885</v>
      </c>
      <c r="B278" s="293" t="str">
        <f>'A) Base RI'!B280</f>
        <v>Jongny</v>
      </c>
      <c r="C278" s="10">
        <f>'B) D RI'!Y280</f>
        <v>677743.3</v>
      </c>
      <c r="D278" s="425">
        <f>'B) D RI'!Z280</f>
        <v>2144.65</v>
      </c>
      <c r="E278" s="10">
        <f t="shared" si="16"/>
        <v>679887.95000000007</v>
      </c>
      <c r="F278" s="425">
        <f>'B) D RI'!U280</f>
        <v>85101.213069544348</v>
      </c>
      <c r="G278" s="266">
        <f t="shared" si="17"/>
        <v>7.9891687260015738</v>
      </c>
      <c r="H278" s="55">
        <f t="shared" si="18"/>
        <v>339515.04500000004</v>
      </c>
      <c r="I278" s="416">
        <f t="shared" si="19"/>
        <v>3.9895441293245701</v>
      </c>
    </row>
    <row r="279" spans="1:9" x14ac:dyDescent="0.25">
      <c r="A279" s="49">
        <f>'A) Base RI'!A281</f>
        <v>5886</v>
      </c>
      <c r="B279" s="293" t="str">
        <f>'A) Base RI'!B281</f>
        <v>Montreux</v>
      </c>
      <c r="C279" s="10">
        <f>'B) D RI'!Y281</f>
        <v>21424070.649999999</v>
      </c>
      <c r="D279" s="425">
        <f>'B) D RI'!Z281</f>
        <v>1113954.95</v>
      </c>
      <c r="E279" s="10">
        <f t="shared" si="16"/>
        <v>22538025.599999998</v>
      </c>
      <c r="F279" s="425">
        <f>'B) D RI'!U281</f>
        <v>1097075.3945128203</v>
      </c>
      <c r="G279" s="266">
        <f t="shared" si="17"/>
        <v>20.543734471420251</v>
      </c>
      <c r="H279" s="55">
        <f t="shared" si="18"/>
        <v>11046221.809999999</v>
      </c>
      <c r="I279" s="416">
        <f t="shared" si="19"/>
        <v>10.068790044193188</v>
      </c>
    </row>
    <row r="280" spans="1:9" x14ac:dyDescent="0.25">
      <c r="A280" s="49">
        <f>'A) Base RI'!A282</f>
        <v>5888</v>
      </c>
      <c r="B280" s="293" t="str">
        <f>'A) Base RI'!B282</f>
        <v>Saint-Légier-La Chiésaz</v>
      </c>
      <c r="C280" s="10">
        <f>'B) D RI'!Y282</f>
        <v>1969772.3000000003</v>
      </c>
      <c r="D280" s="425">
        <f>'B) D RI'!Z282</f>
        <v>190374.5</v>
      </c>
      <c r="E280" s="10">
        <f t="shared" si="16"/>
        <v>2160146.8000000003</v>
      </c>
      <c r="F280" s="425">
        <f>'B) D RI'!U282</f>
        <v>325579.73326034058</v>
      </c>
      <c r="G280" s="266">
        <f t="shared" si="17"/>
        <v>6.6347704704110075</v>
      </c>
      <c r="H280" s="55">
        <f t="shared" si="18"/>
        <v>1041998.5000000001</v>
      </c>
      <c r="I280" s="416">
        <f t="shared" si="19"/>
        <v>3.2004403024889623</v>
      </c>
    </row>
    <row r="281" spans="1:9" x14ac:dyDescent="0.25">
      <c r="A281" s="49">
        <f>'A) Base RI'!A283</f>
        <v>5889</v>
      </c>
      <c r="B281" s="293" t="str">
        <f>'A) Base RI'!B283</f>
        <v>La Tour-de-Peilz</v>
      </c>
      <c r="C281" s="10">
        <f>'B) D RI'!Y283</f>
        <v>3279709.2</v>
      </c>
      <c r="D281" s="425">
        <f>'B) D RI'!Z283</f>
        <v>213995.45</v>
      </c>
      <c r="E281" s="10">
        <f t="shared" si="16"/>
        <v>3493704.6500000004</v>
      </c>
      <c r="F281" s="425">
        <f>'B) D RI'!U283</f>
        <v>675962.70015625004</v>
      </c>
      <c r="G281" s="266">
        <f t="shared" si="17"/>
        <v>5.1684873280617758</v>
      </c>
      <c r="H281" s="55">
        <f t="shared" si="18"/>
        <v>1704053.2350000001</v>
      </c>
      <c r="I281" s="416">
        <f t="shared" si="19"/>
        <v>2.5209279071258002</v>
      </c>
    </row>
    <row r="282" spans="1:9" x14ac:dyDescent="0.25">
      <c r="A282" s="49">
        <f>'A) Base RI'!A284</f>
        <v>5890</v>
      </c>
      <c r="B282" s="293" t="str">
        <f>'A) Base RI'!B284</f>
        <v>Vevey</v>
      </c>
      <c r="C282" s="10">
        <f>'B) D RI'!Y284</f>
        <v>6225358</v>
      </c>
      <c r="D282" s="425">
        <f>'B) D RI'!Z284</f>
        <v>928887.1</v>
      </c>
      <c r="E282" s="10">
        <f t="shared" si="16"/>
        <v>7154245.0999999996</v>
      </c>
      <c r="F282" s="425">
        <f>'B) D RI'!U284</f>
        <v>862625.86017897108</v>
      </c>
      <c r="G282" s="266">
        <f t="shared" si="17"/>
        <v>8.2935666901009562</v>
      </c>
      <c r="H282" s="55">
        <f t="shared" si="18"/>
        <v>3391345.13</v>
      </c>
      <c r="I282" s="416">
        <f t="shared" si="19"/>
        <v>3.9314206616717811</v>
      </c>
    </row>
    <row r="283" spans="1:9" x14ac:dyDescent="0.25">
      <c r="A283" s="49">
        <f>'A) Base RI'!A285</f>
        <v>5891</v>
      </c>
      <c r="B283" s="293" t="str">
        <f>'A) Base RI'!B285</f>
        <v>Veytaux</v>
      </c>
      <c r="C283" s="10">
        <f>'B) D RI'!Y285</f>
        <v>314506.15000000002</v>
      </c>
      <c r="D283" s="425">
        <f>'B) D RI'!Z285</f>
        <v>413.25</v>
      </c>
      <c r="E283" s="10">
        <f t="shared" si="16"/>
        <v>314919.40000000002</v>
      </c>
      <c r="F283" s="425">
        <f>'B) D RI'!U285</f>
        <v>43950.38565947242</v>
      </c>
      <c r="G283" s="266">
        <f t="shared" si="17"/>
        <v>7.1653387171615623</v>
      </c>
      <c r="H283" s="55">
        <f t="shared" si="18"/>
        <v>157377.05000000002</v>
      </c>
      <c r="I283" s="416">
        <f t="shared" si="19"/>
        <v>3.5807888290072669</v>
      </c>
    </row>
    <row r="284" spans="1:9" x14ac:dyDescent="0.25">
      <c r="A284" s="49">
        <f>'A) Base RI'!A286</f>
        <v>5902</v>
      </c>
      <c r="B284" s="293" t="str">
        <f>'A) Base RI'!B286</f>
        <v>Belmont-sur-Yverdon</v>
      </c>
      <c r="C284" s="10">
        <f>'B) D RI'!Y286</f>
        <v>168540.3</v>
      </c>
      <c r="D284" s="425">
        <f>'B) D RI'!Z286</f>
        <v>0</v>
      </c>
      <c r="E284" s="10">
        <f t="shared" si="16"/>
        <v>168540.3</v>
      </c>
      <c r="F284" s="425">
        <f>'B) D RI'!U286</f>
        <v>11749.165714285717</v>
      </c>
      <c r="G284" s="266">
        <f t="shared" si="17"/>
        <v>14.344873848793638</v>
      </c>
      <c r="H284" s="55">
        <f t="shared" si="18"/>
        <v>84270.15</v>
      </c>
      <c r="I284" s="416">
        <f t="shared" si="19"/>
        <v>7.1724369243968189</v>
      </c>
    </row>
    <row r="285" spans="1:9" x14ac:dyDescent="0.25">
      <c r="A285" s="49">
        <f>'A) Base RI'!A287</f>
        <v>5903</v>
      </c>
      <c r="B285" s="293" t="str">
        <f>'A) Base RI'!B287</f>
        <v>Bioley-Magnoux</v>
      </c>
      <c r="C285" s="10">
        <f>'B) D RI'!Y287</f>
        <v>7115.5</v>
      </c>
      <c r="D285" s="425">
        <f>'B) D RI'!Z287</f>
        <v>24639.1</v>
      </c>
      <c r="E285" s="10">
        <f t="shared" si="16"/>
        <v>31754.6</v>
      </c>
      <c r="F285" s="425">
        <f>'B) D RI'!U287</f>
        <v>5017.2132738095233</v>
      </c>
      <c r="G285" s="266">
        <f t="shared" si="17"/>
        <v>6.3291309870686492</v>
      </c>
      <c r="H285" s="55">
        <f t="shared" si="18"/>
        <v>10949.48</v>
      </c>
      <c r="I285" s="416">
        <f t="shared" si="19"/>
        <v>2.1823828094288209</v>
      </c>
    </row>
    <row r="286" spans="1:9" x14ac:dyDescent="0.25">
      <c r="A286" s="49">
        <f>'A) Base RI'!A288</f>
        <v>5904</v>
      </c>
      <c r="B286" s="293" t="str">
        <f>'A) Base RI'!B288</f>
        <v>Chamblon</v>
      </c>
      <c r="C286" s="10">
        <f>'B) D RI'!Y288</f>
        <v>72454.3</v>
      </c>
      <c r="D286" s="425">
        <f>'B) D RI'!Z288</f>
        <v>34103.599999999999</v>
      </c>
      <c r="E286" s="10">
        <f t="shared" si="16"/>
        <v>106557.9</v>
      </c>
      <c r="F286" s="425">
        <f>'B) D RI'!U288</f>
        <v>21694.056363636359</v>
      </c>
      <c r="G286" s="266">
        <f t="shared" si="17"/>
        <v>4.9118476606621462</v>
      </c>
      <c r="H286" s="55">
        <f t="shared" si="18"/>
        <v>46458.23</v>
      </c>
      <c r="I286" s="416">
        <f t="shared" si="19"/>
        <v>2.1415188206975171</v>
      </c>
    </row>
    <row r="287" spans="1:9" x14ac:dyDescent="0.25">
      <c r="A287" s="49">
        <f>'A) Base RI'!A289</f>
        <v>5905</v>
      </c>
      <c r="B287" s="293" t="str">
        <f>'A) Base RI'!B289</f>
        <v>Champvent</v>
      </c>
      <c r="C287" s="10">
        <f>'B) D RI'!Y289</f>
        <v>141894.70000000001</v>
      </c>
      <c r="D287" s="425">
        <f>'B) D RI'!Z289</f>
        <v>1903.55</v>
      </c>
      <c r="E287" s="10">
        <f t="shared" si="16"/>
        <v>143798.25</v>
      </c>
      <c r="F287" s="425">
        <f>'B) D RI'!U289</f>
        <v>21622.169859154932</v>
      </c>
      <c r="G287" s="266">
        <f t="shared" si="17"/>
        <v>6.6505004325047015</v>
      </c>
      <c r="H287" s="55">
        <f t="shared" si="18"/>
        <v>71518.415000000008</v>
      </c>
      <c r="I287" s="416">
        <f t="shared" si="19"/>
        <v>3.3076428252051104</v>
      </c>
    </row>
    <row r="288" spans="1:9" x14ac:dyDescent="0.25">
      <c r="A288" s="49">
        <f>'A) Base RI'!A290</f>
        <v>5907</v>
      </c>
      <c r="B288" s="293" t="str">
        <f>'A) Base RI'!B290</f>
        <v>Chavannes-le-Chêne</v>
      </c>
      <c r="C288" s="10">
        <f>'B) D RI'!Y290</f>
        <v>31732.800000000003</v>
      </c>
      <c r="D288" s="425">
        <f>'B) D RI'!Z290</f>
        <v>7607.85</v>
      </c>
      <c r="E288" s="10">
        <f t="shared" si="16"/>
        <v>39340.65</v>
      </c>
      <c r="F288" s="425">
        <f>'B) D RI'!U290</f>
        <v>9891.0456000000013</v>
      </c>
      <c r="G288" s="266">
        <f t="shared" si="17"/>
        <v>3.977400528817701</v>
      </c>
      <c r="H288" s="55">
        <f t="shared" si="18"/>
        <v>18148.755000000001</v>
      </c>
      <c r="I288" s="416">
        <f t="shared" si="19"/>
        <v>1.8348671853256848</v>
      </c>
    </row>
    <row r="289" spans="1:9" x14ac:dyDescent="0.25">
      <c r="A289" s="49">
        <f>'A) Base RI'!A291</f>
        <v>5908</v>
      </c>
      <c r="B289" s="293" t="str">
        <f>'A) Base RI'!B291</f>
        <v>Chêne-Pâquier</v>
      </c>
      <c r="C289" s="10">
        <f>'B) D RI'!Y291</f>
        <v>8757.5499999999993</v>
      </c>
      <c r="D289" s="425">
        <f>'B) D RI'!Z291</f>
        <v>4476.1000000000004</v>
      </c>
      <c r="E289" s="10">
        <f t="shared" si="16"/>
        <v>13233.65</v>
      </c>
      <c r="F289" s="425">
        <f>'B) D RI'!U291</f>
        <v>6502.4863291139245</v>
      </c>
      <c r="G289" s="266">
        <f t="shared" si="17"/>
        <v>2.0351676774387486</v>
      </c>
      <c r="H289" s="55">
        <f t="shared" si="18"/>
        <v>5721.6049999999996</v>
      </c>
      <c r="I289" s="416">
        <f t="shared" si="19"/>
        <v>0.87991034665960866</v>
      </c>
    </row>
    <row r="290" spans="1:9" x14ac:dyDescent="0.25">
      <c r="A290" s="49">
        <f>'A) Base RI'!A292</f>
        <v>5909</v>
      </c>
      <c r="B290" s="293" t="str">
        <f>'A) Base RI'!B292</f>
        <v>Cheseaux-Noréaz</v>
      </c>
      <c r="C290" s="10">
        <f>'B) D RI'!Y292</f>
        <v>90809.9</v>
      </c>
      <c r="D290" s="425">
        <f>'B) D RI'!Z292</f>
        <v>8854.75</v>
      </c>
      <c r="E290" s="10">
        <f t="shared" si="16"/>
        <v>99664.65</v>
      </c>
      <c r="F290" s="425">
        <f>'B) D RI'!U292</f>
        <v>39259.116417910453</v>
      </c>
      <c r="G290" s="266">
        <f t="shared" si="17"/>
        <v>2.5386371139655055</v>
      </c>
      <c r="H290" s="55">
        <f t="shared" si="18"/>
        <v>48061.375</v>
      </c>
      <c r="I290" s="416">
        <f t="shared" si="19"/>
        <v>1.2242092890830794</v>
      </c>
    </row>
    <row r="291" spans="1:9" x14ac:dyDescent="0.25">
      <c r="A291" s="49">
        <f>'A) Base RI'!A293</f>
        <v>5910</v>
      </c>
      <c r="B291" s="293" t="str">
        <f>'A) Base RI'!B293</f>
        <v>Cronay</v>
      </c>
      <c r="C291" s="10">
        <f>'B) D RI'!Y293</f>
        <v>-10306.250000000004</v>
      </c>
      <c r="D291" s="425">
        <f>'B) D RI'!Z293</f>
        <v>0</v>
      </c>
      <c r="E291" s="10">
        <f t="shared" si="16"/>
        <v>-10306.250000000004</v>
      </c>
      <c r="F291" s="425">
        <f>'B) D RI'!U293</f>
        <v>9976.0020779220758</v>
      </c>
      <c r="G291" s="266">
        <f t="shared" si="17"/>
        <v>-1.0331042354941766</v>
      </c>
      <c r="H291" s="55">
        <f t="shared" si="18"/>
        <v>-5153.1250000000018</v>
      </c>
      <c r="I291" s="416">
        <f t="shared" si="19"/>
        <v>-0.51655211774708831</v>
      </c>
    </row>
    <row r="292" spans="1:9" x14ac:dyDescent="0.25">
      <c r="A292" s="49">
        <f>'A) Base RI'!A294</f>
        <v>5911</v>
      </c>
      <c r="B292" s="293" t="str">
        <f>'A) Base RI'!B294</f>
        <v>Cuarny</v>
      </c>
      <c r="C292" s="10">
        <f>'B) D RI'!Y294</f>
        <v>1237.2</v>
      </c>
      <c r="D292" s="425">
        <f>'B) D RI'!Z294</f>
        <v>1274</v>
      </c>
      <c r="E292" s="10">
        <f t="shared" si="16"/>
        <v>2511.1999999999998</v>
      </c>
      <c r="F292" s="425">
        <f>'B) D RI'!U294</f>
        <v>6939.596883116883</v>
      </c>
      <c r="G292" s="266">
        <f t="shared" si="17"/>
        <v>0.36186539971931447</v>
      </c>
      <c r="H292" s="55">
        <f t="shared" si="18"/>
        <v>1000.8</v>
      </c>
      <c r="I292" s="416">
        <f t="shared" si="19"/>
        <v>0.14421586971929354</v>
      </c>
    </row>
    <row r="293" spans="1:9" x14ac:dyDescent="0.25">
      <c r="A293" s="49">
        <f>'A) Base RI'!A295</f>
        <v>5912</v>
      </c>
      <c r="B293" s="293" t="str">
        <f>'A) Base RI'!B295</f>
        <v>Démoret</v>
      </c>
      <c r="C293" s="10">
        <f>'B) D RI'!Y295</f>
        <v>21055.3</v>
      </c>
      <c r="D293" s="425">
        <f>'B) D RI'!Z295</f>
        <v>2837.6</v>
      </c>
      <c r="E293" s="10">
        <f t="shared" si="16"/>
        <v>23892.899999999998</v>
      </c>
      <c r="F293" s="425">
        <f>'B) D RI'!U295</f>
        <v>4059.5274074074073</v>
      </c>
      <c r="G293" s="266">
        <f t="shared" si="17"/>
        <v>5.8856358393843324</v>
      </c>
      <c r="H293" s="55">
        <f t="shared" si="18"/>
        <v>11378.93</v>
      </c>
      <c r="I293" s="416">
        <f t="shared" si="19"/>
        <v>2.8030183955001515</v>
      </c>
    </row>
    <row r="294" spans="1:9" x14ac:dyDescent="0.25">
      <c r="A294" s="49">
        <f>'A) Base RI'!A296</f>
        <v>5913</v>
      </c>
      <c r="B294" s="293" t="str">
        <f>'A) Base RI'!B296</f>
        <v>Donneloye</v>
      </c>
      <c r="C294" s="10">
        <f>'B) D RI'!Y296</f>
        <v>73772.7</v>
      </c>
      <c r="D294" s="425">
        <f>'B) D RI'!Z296</f>
        <v>30586.9</v>
      </c>
      <c r="E294" s="10">
        <f t="shared" si="16"/>
        <v>104359.6</v>
      </c>
      <c r="F294" s="425">
        <f>'B) D RI'!U296</f>
        <v>19880.828493150682</v>
      </c>
      <c r="G294" s="266">
        <f t="shared" si="17"/>
        <v>5.2492580998801861</v>
      </c>
      <c r="H294" s="55">
        <f t="shared" si="18"/>
        <v>46062.42</v>
      </c>
      <c r="I294" s="416">
        <f t="shared" si="19"/>
        <v>2.316926581599422</v>
      </c>
    </row>
    <row r="295" spans="1:9" x14ac:dyDescent="0.25">
      <c r="A295" s="49">
        <f>'A) Base RI'!A297</f>
        <v>5914</v>
      </c>
      <c r="B295" s="293" t="str">
        <f>'A) Base RI'!B297</f>
        <v>Ependes</v>
      </c>
      <c r="C295" s="10">
        <f>'B) D RI'!Y297</f>
        <v>45711.1</v>
      </c>
      <c r="D295" s="425">
        <f>'B) D RI'!Z297</f>
        <v>4770.75</v>
      </c>
      <c r="E295" s="10">
        <f t="shared" si="16"/>
        <v>50481.85</v>
      </c>
      <c r="F295" s="425">
        <f>'B) D RI'!U297</f>
        <v>10662.074965986394</v>
      </c>
      <c r="G295" s="266">
        <f t="shared" si="17"/>
        <v>4.7347115979811258</v>
      </c>
      <c r="H295" s="55">
        <f t="shared" si="18"/>
        <v>24286.774999999998</v>
      </c>
      <c r="I295" s="416">
        <f t="shared" si="19"/>
        <v>2.2778657135199691</v>
      </c>
    </row>
    <row r="296" spans="1:9" x14ac:dyDescent="0.25">
      <c r="A296" s="49">
        <f>'A) Base RI'!A298</f>
        <v>5919</v>
      </c>
      <c r="B296" s="293" t="str">
        <f>'A) Base RI'!B298</f>
        <v>Mathod</v>
      </c>
      <c r="C296" s="10">
        <f>'B) D RI'!Y298</f>
        <v>266140.25</v>
      </c>
      <c r="D296" s="425">
        <f>'B) D RI'!Z298</f>
        <v>11500.6</v>
      </c>
      <c r="E296" s="10">
        <f t="shared" si="16"/>
        <v>277640.84999999998</v>
      </c>
      <c r="F296" s="425">
        <f>'B) D RI'!U298</f>
        <v>21565.598078703704</v>
      </c>
      <c r="G296" s="266">
        <f t="shared" si="17"/>
        <v>12.87424763211987</v>
      </c>
      <c r="H296" s="55">
        <f t="shared" si="18"/>
        <v>136520.30499999999</v>
      </c>
      <c r="I296" s="416">
        <f t="shared" si="19"/>
        <v>6.3304669085350103</v>
      </c>
    </row>
    <row r="297" spans="1:9" x14ac:dyDescent="0.25">
      <c r="A297" s="49">
        <f>'A) Base RI'!A299</f>
        <v>5921</v>
      </c>
      <c r="B297" s="293" t="str">
        <f>'A) Base RI'!B299</f>
        <v>Molondin</v>
      </c>
      <c r="C297" s="10">
        <f>'B) D RI'!Y299</f>
        <v>22963.55</v>
      </c>
      <c r="D297" s="425">
        <f>'B) D RI'!Z299</f>
        <v>1548.45</v>
      </c>
      <c r="E297" s="10">
        <f t="shared" si="16"/>
        <v>24512</v>
      </c>
      <c r="F297" s="425">
        <f>'B) D RI'!U299</f>
        <v>5675.8933333333334</v>
      </c>
      <c r="G297" s="266">
        <f t="shared" si="17"/>
        <v>4.3186153369102547</v>
      </c>
      <c r="H297" s="55">
        <f t="shared" si="18"/>
        <v>11946.31</v>
      </c>
      <c r="I297" s="416">
        <f t="shared" si="19"/>
        <v>2.1047453323059861</v>
      </c>
    </row>
    <row r="298" spans="1:9" x14ac:dyDescent="0.25">
      <c r="A298" s="49">
        <f>'A) Base RI'!A300</f>
        <v>5922</v>
      </c>
      <c r="B298" s="293" t="str">
        <f>'A) Base RI'!B300</f>
        <v>Montagny-près-Yverdon</v>
      </c>
      <c r="C298" s="10">
        <f>'B) D RI'!Y300</f>
        <v>125447.55</v>
      </c>
      <c r="D298" s="425">
        <f>'B) D RI'!Z300</f>
        <v>275454.95</v>
      </c>
      <c r="E298" s="10">
        <f t="shared" si="16"/>
        <v>400902.5</v>
      </c>
      <c r="F298" s="425">
        <f>'B) D RI'!U300</f>
        <v>33326.398149606292</v>
      </c>
      <c r="G298" s="266">
        <f t="shared" si="17"/>
        <v>12.029577819970207</v>
      </c>
      <c r="H298" s="55">
        <f t="shared" si="18"/>
        <v>145360.26</v>
      </c>
      <c r="I298" s="416">
        <f t="shared" si="19"/>
        <v>4.361715278904728</v>
      </c>
    </row>
    <row r="299" spans="1:9" x14ac:dyDescent="0.25">
      <c r="A299" s="49">
        <f>'A) Base RI'!A301</f>
        <v>5923</v>
      </c>
      <c r="B299" s="293" t="str">
        <f>'A) Base RI'!B301</f>
        <v>Oppens</v>
      </c>
      <c r="C299" s="10">
        <f>'B) D RI'!Y301</f>
        <v>20208.849999999999</v>
      </c>
      <c r="D299" s="425">
        <f>'B) D RI'!Z301</f>
        <v>19955.7</v>
      </c>
      <c r="E299" s="10">
        <f t="shared" si="16"/>
        <v>40164.550000000003</v>
      </c>
      <c r="F299" s="425">
        <f>'B) D RI'!U301</f>
        <v>4799.240617283951</v>
      </c>
      <c r="G299" s="266">
        <f t="shared" si="17"/>
        <v>8.3689385890242054</v>
      </c>
      <c r="H299" s="55">
        <f t="shared" si="18"/>
        <v>16091.134999999998</v>
      </c>
      <c r="I299" s="416">
        <f t="shared" si="19"/>
        <v>3.3528502284402033</v>
      </c>
    </row>
    <row r="300" spans="1:9" x14ac:dyDescent="0.25">
      <c r="A300" s="49">
        <f>'A) Base RI'!A302</f>
        <v>5924</v>
      </c>
      <c r="B300" s="293" t="str">
        <f>'A) Base RI'!B302</f>
        <v>Orges</v>
      </c>
      <c r="C300" s="10">
        <f>'B) D RI'!Y302</f>
        <v>169123.20000000001</v>
      </c>
      <c r="D300" s="425">
        <f>'B) D RI'!Z302</f>
        <v>16319.85</v>
      </c>
      <c r="E300" s="10">
        <f t="shared" si="16"/>
        <v>185443.05000000002</v>
      </c>
      <c r="F300" s="425">
        <f>'B) D RI'!U302</f>
        <v>12525.425270270271</v>
      </c>
      <c r="G300" s="266">
        <f t="shared" si="17"/>
        <v>14.805329639398229</v>
      </c>
      <c r="H300" s="55">
        <f t="shared" si="18"/>
        <v>89457.555000000008</v>
      </c>
      <c r="I300" s="416">
        <f t="shared" si="19"/>
        <v>7.1420772604289953</v>
      </c>
    </row>
    <row r="301" spans="1:9" x14ac:dyDescent="0.25">
      <c r="A301" s="49">
        <f>'A) Base RI'!A303</f>
        <v>5925</v>
      </c>
      <c r="B301" s="293" t="str">
        <f>'A) Base RI'!B303</f>
        <v>Orzens</v>
      </c>
      <c r="C301" s="10">
        <f>'B) D RI'!Y303</f>
        <v>132355.25</v>
      </c>
      <c r="D301" s="425">
        <f>'B) D RI'!Z303</f>
        <v>7684.4</v>
      </c>
      <c r="E301" s="10">
        <f t="shared" si="16"/>
        <v>140039.65</v>
      </c>
      <c r="F301" s="425">
        <f>'B) D RI'!U303</f>
        <v>5879.4616455696196</v>
      </c>
      <c r="G301" s="266">
        <f t="shared" si="17"/>
        <v>23.818447749467808</v>
      </c>
      <c r="H301" s="55">
        <f t="shared" si="18"/>
        <v>68482.945000000007</v>
      </c>
      <c r="I301" s="416">
        <f t="shared" si="19"/>
        <v>11.647825792282243</v>
      </c>
    </row>
    <row r="302" spans="1:9" x14ac:dyDescent="0.25">
      <c r="A302" s="49">
        <f>'A) Base RI'!A304</f>
        <v>5926</v>
      </c>
      <c r="B302" s="293" t="str">
        <f>'A) Base RI'!B304</f>
        <v>Pomy</v>
      </c>
      <c r="C302" s="10">
        <f>'B) D RI'!Y304</f>
        <v>170992.90000000002</v>
      </c>
      <c r="D302" s="425">
        <f>'B) D RI'!Z304</f>
        <v>11494.6</v>
      </c>
      <c r="E302" s="10">
        <f t="shared" si="16"/>
        <v>182487.50000000003</v>
      </c>
      <c r="F302" s="425">
        <f>'B) D RI'!U304</f>
        <v>27519.38971830986</v>
      </c>
      <c r="G302" s="266">
        <f t="shared" si="17"/>
        <v>6.6312335363521191</v>
      </c>
      <c r="H302" s="55">
        <f t="shared" si="18"/>
        <v>88944.830000000016</v>
      </c>
      <c r="I302" s="416">
        <f t="shared" si="19"/>
        <v>3.2320785784294159</v>
      </c>
    </row>
    <row r="303" spans="1:9" x14ac:dyDescent="0.25">
      <c r="A303" s="49">
        <f>'A) Base RI'!A305</f>
        <v>5928</v>
      </c>
      <c r="B303" s="293" t="str">
        <f>'A) Base RI'!B305</f>
        <v>Rovray</v>
      </c>
      <c r="C303" s="10">
        <f>'B) D RI'!Y305</f>
        <v>4958.7000000000007</v>
      </c>
      <c r="D303" s="425">
        <f>'B) D RI'!Z305</f>
        <v>5029.1499999999996</v>
      </c>
      <c r="E303" s="10">
        <f t="shared" si="16"/>
        <v>9987.85</v>
      </c>
      <c r="F303" s="425">
        <f>'B) D RI'!U305</f>
        <v>5563.4060139860139</v>
      </c>
      <c r="G303" s="266">
        <f t="shared" si="17"/>
        <v>1.7952761266913189</v>
      </c>
      <c r="H303" s="55">
        <f t="shared" si="18"/>
        <v>3988.0950000000003</v>
      </c>
      <c r="I303" s="416">
        <f t="shared" si="19"/>
        <v>0.71684414007789621</v>
      </c>
    </row>
    <row r="304" spans="1:9" x14ac:dyDescent="0.25">
      <c r="A304" s="49">
        <f>'A) Base RI'!A306</f>
        <v>5929</v>
      </c>
      <c r="B304" s="293" t="str">
        <f>'A) Base RI'!B306</f>
        <v>Suchy</v>
      </c>
      <c r="C304" s="10">
        <f>'B) D RI'!Y306</f>
        <v>89830.5</v>
      </c>
      <c r="D304" s="425">
        <f>'B) D RI'!Z306</f>
        <v>10330.75</v>
      </c>
      <c r="E304" s="10">
        <f t="shared" si="16"/>
        <v>100161.25</v>
      </c>
      <c r="F304" s="425">
        <f>'B) D RI'!U306</f>
        <v>19827.403178571429</v>
      </c>
      <c r="G304" s="266">
        <f t="shared" si="17"/>
        <v>5.051657501384236</v>
      </c>
      <c r="H304" s="55">
        <f t="shared" si="18"/>
        <v>48014.474999999999</v>
      </c>
      <c r="I304" s="416">
        <f t="shared" si="19"/>
        <v>2.4216219626729485</v>
      </c>
    </row>
    <row r="305" spans="1:9" x14ac:dyDescent="0.25">
      <c r="A305" s="49">
        <f>'A) Base RI'!A307</f>
        <v>5930</v>
      </c>
      <c r="B305" s="293" t="str">
        <f>'A) Base RI'!B307</f>
        <v>Suscévaz</v>
      </c>
      <c r="C305" s="10">
        <f>'B) D RI'!Y307</f>
        <v>2767.25</v>
      </c>
      <c r="D305" s="425">
        <f>'B) D RI'!Z307</f>
        <v>3787.4</v>
      </c>
      <c r="E305" s="10">
        <f t="shared" si="16"/>
        <v>6554.65</v>
      </c>
      <c r="F305" s="425">
        <f>'B) D RI'!U307</f>
        <v>5769.1548611111102</v>
      </c>
      <c r="G305" s="266">
        <f t="shared" si="17"/>
        <v>1.1361542821781017</v>
      </c>
      <c r="H305" s="55">
        <f t="shared" si="18"/>
        <v>2519.8450000000003</v>
      </c>
      <c r="I305" s="416">
        <f t="shared" si="19"/>
        <v>0.43677888021100736</v>
      </c>
    </row>
    <row r="306" spans="1:9" x14ac:dyDescent="0.25">
      <c r="A306" s="49">
        <f>'A) Base RI'!A308</f>
        <v>5931</v>
      </c>
      <c r="B306" s="293" t="str">
        <f>'A) Base RI'!B308</f>
        <v>Treycovagnes</v>
      </c>
      <c r="C306" s="10">
        <f>'B) D RI'!Y308</f>
        <v>81087.45</v>
      </c>
      <c r="D306" s="425">
        <f>'B) D RI'!Z308</f>
        <v>24166.85</v>
      </c>
      <c r="E306" s="10">
        <f t="shared" si="16"/>
        <v>105254.29999999999</v>
      </c>
      <c r="F306" s="425">
        <f>'B) D RI'!U308</f>
        <v>15383.603066666663</v>
      </c>
      <c r="G306" s="266">
        <f t="shared" si="17"/>
        <v>6.84197970682603</v>
      </c>
      <c r="H306" s="55">
        <f t="shared" si="18"/>
        <v>47793.78</v>
      </c>
      <c r="I306" s="416">
        <f t="shared" si="19"/>
        <v>3.1068001295197232</v>
      </c>
    </row>
    <row r="307" spans="1:9" x14ac:dyDescent="0.25">
      <c r="A307" s="49">
        <f>'A) Base RI'!A309</f>
        <v>5932</v>
      </c>
      <c r="B307" s="293" t="str">
        <f>'A) Base RI'!B309</f>
        <v>Ursins</v>
      </c>
      <c r="C307" s="10">
        <f>'B) D RI'!Y309</f>
        <v>0</v>
      </c>
      <c r="D307" s="425">
        <f>'B) D RI'!Z309</f>
        <v>0</v>
      </c>
      <c r="E307" s="10">
        <f t="shared" si="16"/>
        <v>0</v>
      </c>
      <c r="F307" s="425">
        <f>'B) D RI'!U309</f>
        <v>6819.4023999999999</v>
      </c>
      <c r="G307" s="266">
        <f t="shared" si="17"/>
        <v>0</v>
      </c>
      <c r="H307" s="55">
        <f t="shared" si="18"/>
        <v>0</v>
      </c>
      <c r="I307" s="416">
        <f t="shared" si="19"/>
        <v>0</v>
      </c>
    </row>
    <row r="308" spans="1:9" x14ac:dyDescent="0.25">
      <c r="A308" s="49">
        <f>'A) Base RI'!A310</f>
        <v>5933</v>
      </c>
      <c r="B308" s="293" t="str">
        <f>'A) Base RI'!B310</f>
        <v>Valeyres-sous-Montagny</v>
      </c>
      <c r="C308" s="10">
        <f>'B) D RI'!Y310</f>
        <v>62907.15</v>
      </c>
      <c r="D308" s="425">
        <f>'B) D RI'!Z310</f>
        <v>17913.95</v>
      </c>
      <c r="E308" s="10">
        <f t="shared" si="16"/>
        <v>80821.100000000006</v>
      </c>
      <c r="F308" s="425">
        <f>'B) D RI'!U310</f>
        <v>22572.377872340428</v>
      </c>
      <c r="G308" s="266">
        <f t="shared" si="17"/>
        <v>3.5805310569001221</v>
      </c>
      <c r="H308" s="55">
        <f t="shared" si="18"/>
        <v>36827.760000000002</v>
      </c>
      <c r="I308" s="416">
        <f t="shared" si="19"/>
        <v>1.6315410014966889</v>
      </c>
    </row>
    <row r="309" spans="1:9" x14ac:dyDescent="0.25">
      <c r="A309" s="49">
        <f>'A) Base RI'!A311</f>
        <v>5934</v>
      </c>
      <c r="B309" s="293" t="str">
        <f>'A) Base RI'!B311</f>
        <v>Valeyres-sous-Ursins</v>
      </c>
      <c r="C309" s="10">
        <f>'B) D RI'!Y311</f>
        <v>32359.850000000002</v>
      </c>
      <c r="D309" s="425">
        <f>'B) D RI'!Z311</f>
        <v>5644.55</v>
      </c>
      <c r="E309" s="10">
        <f t="shared" si="16"/>
        <v>38004.400000000001</v>
      </c>
      <c r="F309" s="425">
        <f>'B) D RI'!U311</f>
        <v>7577.3788607594925</v>
      </c>
      <c r="G309" s="266">
        <f t="shared" si="17"/>
        <v>5.0155074331588541</v>
      </c>
      <c r="H309" s="55">
        <f t="shared" si="18"/>
        <v>17873.29</v>
      </c>
      <c r="I309" s="416">
        <f t="shared" si="19"/>
        <v>2.3587694806391841</v>
      </c>
    </row>
    <row r="310" spans="1:9" x14ac:dyDescent="0.25">
      <c r="A310" s="49">
        <f>'A) Base RI'!A312</f>
        <v>5935</v>
      </c>
      <c r="B310" s="293" t="str">
        <f>'A) Base RI'!B312</f>
        <v>Villars-Epeney</v>
      </c>
      <c r="C310" s="10">
        <f>'B) D RI'!Y312</f>
        <v>28843.25</v>
      </c>
      <c r="D310" s="425">
        <f>'B) D RI'!Z312</f>
        <v>0</v>
      </c>
      <c r="E310" s="10">
        <f t="shared" si="16"/>
        <v>28843.25</v>
      </c>
      <c r="F310" s="425">
        <f>'B) D RI'!U312</f>
        <v>3912.8696666666669</v>
      </c>
      <c r="G310" s="266">
        <f t="shared" si="17"/>
        <v>7.371380203565856</v>
      </c>
      <c r="H310" s="55">
        <f t="shared" si="18"/>
        <v>14421.625</v>
      </c>
      <c r="I310" s="416">
        <f t="shared" si="19"/>
        <v>3.685690101782928</v>
      </c>
    </row>
    <row r="311" spans="1:9" x14ac:dyDescent="0.25">
      <c r="A311" s="49">
        <f>'A) Base RI'!A313</f>
        <v>5937</v>
      </c>
      <c r="B311" s="293" t="str">
        <f>'A) Base RI'!B313</f>
        <v>Vugelles-La Mothe</v>
      </c>
      <c r="C311" s="10">
        <f>'B) D RI'!Y313</f>
        <v>16073.75</v>
      </c>
      <c r="D311" s="425">
        <f>'B) D RI'!Z313</f>
        <v>0</v>
      </c>
      <c r="E311" s="10">
        <f t="shared" si="16"/>
        <v>16073.75</v>
      </c>
      <c r="F311" s="425">
        <f>'B) D RI'!U313</f>
        <v>3187.6957755102044</v>
      </c>
      <c r="G311" s="266">
        <f t="shared" si="17"/>
        <v>5.0424353928277013</v>
      </c>
      <c r="H311" s="55">
        <f t="shared" si="18"/>
        <v>8036.875</v>
      </c>
      <c r="I311" s="416">
        <f t="shared" si="19"/>
        <v>2.5212176964138506</v>
      </c>
    </row>
    <row r="312" spans="1:9" x14ac:dyDescent="0.25">
      <c r="A312" s="49">
        <f>'A) Base RI'!A314</f>
        <v>5938</v>
      </c>
      <c r="B312" s="293" t="str">
        <f>'A) Base RI'!B314</f>
        <v>Yverdon-les-Bains</v>
      </c>
      <c r="C312" s="10">
        <f>'B) D RI'!Y314</f>
        <v>3935181.25</v>
      </c>
      <c r="D312" s="425">
        <f>'B) D RI'!Z314</f>
        <v>4750911.95</v>
      </c>
      <c r="E312" s="10">
        <f t="shared" si="16"/>
        <v>8686093.1999999993</v>
      </c>
      <c r="F312" s="425">
        <f>'B) D RI'!U314</f>
        <v>796551.402</v>
      </c>
      <c r="G312" s="266">
        <f t="shared" si="17"/>
        <v>10.904623578830885</v>
      </c>
      <c r="H312" s="55">
        <f t="shared" si="18"/>
        <v>3392864.21</v>
      </c>
      <c r="I312" s="416">
        <f t="shared" si="19"/>
        <v>4.2594416399005972</v>
      </c>
    </row>
    <row r="313" spans="1:9" x14ac:dyDescent="0.25">
      <c r="A313" s="49">
        <f>'A) Base RI'!A315</f>
        <v>5939</v>
      </c>
      <c r="B313" s="293" t="str">
        <f>'A) Base RI'!B315</f>
        <v>Yvonand</v>
      </c>
      <c r="C313" s="426">
        <f>'B) D RI'!Y315</f>
        <v>617127.5</v>
      </c>
      <c r="D313" s="425">
        <f>'B) D RI'!Z315</f>
        <v>170935.7</v>
      </c>
      <c r="E313" s="10">
        <f t="shared" si="16"/>
        <v>788063.2</v>
      </c>
      <c r="F313" s="425">
        <f>'B) D RI'!U315</f>
        <v>92890.042937062928</v>
      </c>
      <c r="G313" s="266">
        <f t="shared" si="17"/>
        <v>8.4838285685145749</v>
      </c>
      <c r="H313" s="55">
        <f t="shared" si="18"/>
        <v>359844.46</v>
      </c>
      <c r="I313" s="416">
        <f t="shared" si="19"/>
        <v>3.873875483552208</v>
      </c>
    </row>
    <row r="314" spans="1:9" x14ac:dyDescent="0.25">
      <c r="A314" s="374"/>
      <c r="B314" s="437">
        <f>COUNTA(B5:B313)</f>
        <v>309</v>
      </c>
      <c r="C314" s="119">
        <f>SUM(C5:C313)</f>
        <v>276206006.46999997</v>
      </c>
      <c r="D314" s="11">
        <f>SUM(D5:D313)</f>
        <v>80161098.050000027</v>
      </c>
      <c r="E314" s="11">
        <f>SUM(E5:E313)</f>
        <v>356367104.52000004</v>
      </c>
      <c r="F314" s="11">
        <f>SUM(F5:F313)</f>
        <v>39275450.163217418</v>
      </c>
      <c r="G314" s="59">
        <f t="shared" ref="G314" si="20">E314/F314</f>
        <v>9.0735332896005367</v>
      </c>
      <c r="H314" s="268">
        <f>(C314*$C$4)+(D314*$D$4)</f>
        <v>162151332.64999998</v>
      </c>
      <c r="I314" s="417">
        <f t="shared" ref="I314" si="21">H314/F314</f>
        <v>4.1285671322962791</v>
      </c>
    </row>
    <row r="316" spans="1:9" x14ac:dyDescent="0.25">
      <c r="G316" s="13"/>
    </row>
    <row r="317" spans="1:9" x14ac:dyDescent="0.25">
      <c r="G317" s="13"/>
    </row>
    <row r="318" spans="1:9" x14ac:dyDescent="0.25">
      <c r="G318" s="13"/>
    </row>
    <row r="319" spans="1:9" x14ac:dyDescent="0.25">
      <c r="G319" s="13"/>
    </row>
    <row r="320" spans="1:9" x14ac:dyDescent="0.25">
      <c r="G320" s="13"/>
    </row>
    <row r="321" spans="7:7" x14ac:dyDescent="0.25">
      <c r="G321" s="13"/>
    </row>
    <row r="322" spans="7:7" x14ac:dyDescent="0.25">
      <c r="G322" s="13"/>
    </row>
    <row r="323" spans="7:7" x14ac:dyDescent="0.25">
      <c r="G323" s="13"/>
    </row>
    <row r="324" spans="7:7" x14ac:dyDescent="0.25">
      <c r="G324" s="13"/>
    </row>
    <row r="325" spans="7:7" x14ac:dyDescent="0.25">
      <c r="G325" s="13"/>
    </row>
    <row r="326" spans="7:7" x14ac:dyDescent="0.25">
      <c r="G326" s="13"/>
    </row>
    <row r="327" spans="7:7" x14ac:dyDescent="0.25">
      <c r="G327" s="13"/>
    </row>
    <row r="328" spans="7:7" x14ac:dyDescent="0.25">
      <c r="G328" s="13"/>
    </row>
    <row r="329" spans="7:7" x14ac:dyDescent="0.25">
      <c r="G329" s="13"/>
    </row>
    <row r="330" spans="7:7" x14ac:dyDescent="0.25">
      <c r="G330" s="13"/>
    </row>
    <row r="331" spans="7:7" x14ac:dyDescent="0.25">
      <c r="G331" s="13"/>
    </row>
    <row r="332" spans="7:7" x14ac:dyDescent="0.25">
      <c r="G332" s="13"/>
    </row>
  </sheetData>
  <mergeCells count="7">
    <mergeCell ref="A3:A4"/>
    <mergeCell ref="B3:B4"/>
    <mergeCell ref="I3:I4"/>
    <mergeCell ref="H3:H4"/>
    <mergeCell ref="G3:G4"/>
    <mergeCell ref="F3:F4"/>
    <mergeCell ref="E3:E4"/>
  </mergeCells>
  <phoneticPr fontId="21" type="noConversion"/>
  <printOptions horizontalCentered="1" verticalCentered="1"/>
  <pageMargins left="0" right="0" top="0" bottom="0" header="0.51181102362204722" footer="0.51181102362204722"/>
  <pageSetup paperSize="8" orientation="landscape"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7">
    <tabColor rgb="FF00B050"/>
  </sheetPr>
  <dimension ref="A1:V320"/>
  <sheetViews>
    <sheetView topLeftCell="A8" workbookViewId="0">
      <selection activeCell="L26" sqref="L26"/>
    </sheetView>
  </sheetViews>
  <sheetFormatPr baseColWidth="10" defaultColWidth="11" defaultRowHeight="15" x14ac:dyDescent="0.25"/>
  <cols>
    <col min="1" max="1" width="7.25" style="13" customWidth="1"/>
    <col min="2" max="2" width="18" style="13" customWidth="1"/>
    <col min="3" max="3" width="10.875" style="13" bestFit="1" customWidth="1"/>
    <col min="4" max="4" width="8.375" style="13" customWidth="1"/>
    <col min="5" max="5" width="7.625" style="13" bestFit="1" customWidth="1"/>
    <col min="6" max="6" width="8.75" style="58" bestFit="1" customWidth="1"/>
    <col min="7" max="7" width="5.75" style="13" bestFit="1" customWidth="1"/>
    <col min="8" max="8" width="5.75" style="13" customWidth="1"/>
    <col min="9" max="10" width="5.75" style="13" bestFit="1" customWidth="1"/>
    <col min="11" max="11" width="6.5" style="13" bestFit="1" customWidth="1"/>
    <col min="12" max="12" width="7.625" style="13" bestFit="1" customWidth="1"/>
    <col min="13" max="13" width="10.75" style="12" bestFit="1" customWidth="1"/>
    <col min="14" max="17" width="11" style="373"/>
    <col min="18" max="18" width="11.25" style="373" bestFit="1" customWidth="1"/>
    <col min="19" max="21" width="11" style="13"/>
    <col min="22" max="22" width="11.25" style="13" bestFit="1" customWidth="1"/>
    <col min="23" max="16384" width="11" style="13"/>
  </cols>
  <sheetData>
    <row r="1" spans="1:22" ht="21" x14ac:dyDescent="0.25">
      <c r="A1" s="51" t="s">
        <v>220</v>
      </c>
      <c r="B1" s="42"/>
      <c r="C1" s="56"/>
      <c r="D1" s="43"/>
      <c r="E1" s="43"/>
      <c r="F1" s="57"/>
    </row>
    <row r="2" spans="1:22" x14ac:dyDescent="0.25">
      <c r="G2" s="66">
        <f>$E$314*G4</f>
        <v>48.17300400247445</v>
      </c>
      <c r="H2" s="66">
        <f t="shared" ref="H2:K2" si="0">$E$314*H4</f>
        <v>57.807604802969337</v>
      </c>
      <c r="I2" s="66">
        <f t="shared" si="0"/>
        <v>72.259506003711678</v>
      </c>
      <c r="J2" s="66">
        <f t="shared" si="0"/>
        <v>96.346008004948899</v>
      </c>
      <c r="K2" s="66">
        <f t="shared" si="0"/>
        <v>144.51901200742336</v>
      </c>
    </row>
    <row r="3" spans="1:22" ht="60" customHeight="1" x14ac:dyDescent="0.25">
      <c r="A3" s="582" t="s">
        <v>46</v>
      </c>
      <c r="B3" s="582" t="s">
        <v>96</v>
      </c>
      <c r="C3" s="600" t="s">
        <v>305</v>
      </c>
      <c r="D3" s="601"/>
      <c r="E3" s="602"/>
      <c r="F3" s="599" t="s">
        <v>291</v>
      </c>
      <c r="G3" s="63">
        <f>Paramètres!B16</f>
        <v>0.2</v>
      </c>
      <c r="H3" s="63">
        <f>Paramètres!C16</f>
        <v>0.3</v>
      </c>
      <c r="I3" s="63">
        <f>Paramètres!D16</f>
        <v>0.4</v>
      </c>
      <c r="J3" s="63">
        <f>Paramètres!E16</f>
        <v>0.5</v>
      </c>
      <c r="K3" s="63">
        <f>Paramètres!F16</f>
        <v>0.6</v>
      </c>
      <c r="L3" s="599" t="s">
        <v>294</v>
      </c>
      <c r="M3" s="599" t="s">
        <v>306</v>
      </c>
    </row>
    <row r="4" spans="1:22" ht="45" x14ac:dyDescent="0.25">
      <c r="A4" s="584"/>
      <c r="B4" s="584"/>
      <c r="C4" s="64" t="s">
        <v>371</v>
      </c>
      <c r="D4" s="64" t="s">
        <v>67</v>
      </c>
      <c r="E4" s="64" t="s">
        <v>68</v>
      </c>
      <c r="F4" s="599"/>
      <c r="G4" s="65">
        <f>Paramètres!B17</f>
        <v>1</v>
      </c>
      <c r="H4" s="65">
        <f>Paramètres!C17</f>
        <v>1.2</v>
      </c>
      <c r="I4" s="65">
        <f>Paramètres!D17</f>
        <v>1.5</v>
      </c>
      <c r="J4" s="65">
        <f>Paramètres!E17</f>
        <v>2</v>
      </c>
      <c r="K4" s="65">
        <f>Paramètres!F17</f>
        <v>3</v>
      </c>
      <c r="L4" s="603"/>
      <c r="M4" s="599"/>
    </row>
    <row r="5" spans="1:22" x14ac:dyDescent="0.25">
      <c r="A5" s="104">
        <f>'A) Base RI'!A7</f>
        <v>5401</v>
      </c>
      <c r="B5" s="298" t="str">
        <f>'A) Base RI'!B7</f>
        <v>Aigle</v>
      </c>
      <c r="C5" s="295">
        <f>'B) D RI'!U7</f>
        <v>284723.80196969694</v>
      </c>
      <c r="D5" s="32">
        <f>'B) D RI'!AA7</f>
        <v>10518</v>
      </c>
      <c r="E5" s="201">
        <f>C5/D5</f>
        <v>27.07014660293753</v>
      </c>
      <c r="F5" s="368">
        <f t="shared" ref="F5" si="1">E5/$E$314</f>
        <v>0.56193602959755318</v>
      </c>
      <c r="G5" s="378">
        <f>IF(E5-$G$2&lt;0,0,E5-$G$2)</f>
        <v>0</v>
      </c>
      <c r="H5" s="370">
        <f>IF(E5-$H$2&lt;0,0,E5-$H$2)</f>
        <v>0</v>
      </c>
      <c r="I5" s="378">
        <f>IF(E5-$I$2&lt;0,0,E5-$I$2)</f>
        <v>0</v>
      </c>
      <c r="J5" s="370">
        <f>IF(E5-$J$2&lt;0,0,E5-$J$2)</f>
        <v>0</v>
      </c>
      <c r="K5" s="369">
        <f>IF(E5-$K$2&lt;0,0,E5-$K$2)</f>
        <v>0</v>
      </c>
      <c r="L5" s="377">
        <f>(G5-H5)*$G$3+(H5-I5)*$H$3+(I5-J5)*$I$3+(J5-K5)*$J$3+(K5*$K$3)</f>
        <v>0</v>
      </c>
      <c r="M5" s="113">
        <f>L5*D5*'B) D RI'!S7</f>
        <v>0</v>
      </c>
    </row>
    <row r="6" spans="1:22" x14ac:dyDescent="0.25">
      <c r="A6" s="297">
        <f>'A) Base RI'!A8</f>
        <v>5402</v>
      </c>
      <c r="B6" s="32" t="str">
        <f>'A) Base RI'!B8</f>
        <v>Bex</v>
      </c>
      <c r="C6" s="295">
        <f>'B) D RI'!U8</f>
        <v>179259.20338028169</v>
      </c>
      <c r="D6" s="32">
        <f>'B) D RI'!AA8</f>
        <v>7828</v>
      </c>
      <c r="E6" s="201">
        <f t="shared" ref="E6:E69" si="2">C6/D6</f>
        <v>22.899744938717639</v>
      </c>
      <c r="F6" s="368">
        <f t="shared" ref="F6:F69" si="3">E6/$E$314</f>
        <v>0.47536468636129425</v>
      </c>
      <c r="G6" s="379">
        <f t="shared" ref="G6:G69" si="4">IF(E6-$G$2&lt;0,0,E6-$G$2)</f>
        <v>0</v>
      </c>
      <c r="H6" s="376">
        <f t="shared" ref="H6:H69" si="5">IF(E6-$H$2&lt;0,0,E6-$H$2)</f>
        <v>0</v>
      </c>
      <c r="I6" s="379">
        <f t="shared" ref="I6:I69" si="6">IF(E6-$I$2&lt;0,0,E6-$I$2)</f>
        <v>0</v>
      </c>
      <c r="J6" s="376">
        <f t="shared" ref="J6:J69" si="7">IF(E6-$J$2&lt;0,0,E6-$J$2)</f>
        <v>0</v>
      </c>
      <c r="K6" s="371">
        <f t="shared" ref="K6:K69" si="8">IF(E6-$K$2&lt;0,0,E6-$K$2)</f>
        <v>0</v>
      </c>
      <c r="L6" s="375">
        <f t="shared" ref="L6:L69" si="9">(G6-H6)*$G$3+(H6-I6)*$H$3+(I6-J6)*$I$3+(J6-K6)*$J$3+(K6*$K$3)</f>
        <v>0</v>
      </c>
      <c r="M6" s="113">
        <f>L6*D6*'B) D RI'!S8</f>
        <v>0</v>
      </c>
    </row>
    <row r="7" spans="1:22" x14ac:dyDescent="0.25">
      <c r="A7" s="297">
        <f>'A) Base RI'!A9</f>
        <v>5403</v>
      </c>
      <c r="B7" s="32" t="str">
        <f>'A) Base RI'!B9</f>
        <v>Chessel</v>
      </c>
      <c r="C7" s="295">
        <f>'B) D RI'!U9</f>
        <v>10797.740270270273</v>
      </c>
      <c r="D7" s="32">
        <f>'B) D RI'!AA9</f>
        <v>444</v>
      </c>
      <c r="E7" s="201">
        <f t="shared" si="2"/>
        <v>24.319234842951065</v>
      </c>
      <c r="F7" s="368">
        <f t="shared" si="3"/>
        <v>0.50483118805922678</v>
      </c>
      <c r="G7" s="379">
        <f t="shared" si="4"/>
        <v>0</v>
      </c>
      <c r="H7" s="376">
        <f t="shared" si="5"/>
        <v>0</v>
      </c>
      <c r="I7" s="379">
        <f t="shared" si="6"/>
        <v>0</v>
      </c>
      <c r="J7" s="376">
        <f t="shared" si="7"/>
        <v>0</v>
      </c>
      <c r="K7" s="371">
        <f t="shared" si="8"/>
        <v>0</v>
      </c>
      <c r="L7" s="375">
        <f t="shared" si="9"/>
        <v>0</v>
      </c>
      <c r="M7" s="113">
        <f>L7*D7*'B) D RI'!S9</f>
        <v>0</v>
      </c>
    </row>
    <row r="8" spans="1:22" x14ac:dyDescent="0.25">
      <c r="A8" s="297">
        <f>'A) Base RI'!A10</f>
        <v>5404</v>
      </c>
      <c r="B8" s="32" t="str">
        <f>'A) Base RI'!B10</f>
        <v>Corbeyrier</v>
      </c>
      <c r="C8" s="295">
        <f>'B) D RI'!U10</f>
        <v>11267.87027027027</v>
      </c>
      <c r="D8" s="32">
        <f>'B) D RI'!AA10</f>
        <v>445</v>
      </c>
      <c r="E8" s="201">
        <f t="shared" si="2"/>
        <v>25.321056787124203</v>
      </c>
      <c r="F8" s="368">
        <f t="shared" si="3"/>
        <v>0.52562752337021712</v>
      </c>
      <c r="G8" s="379">
        <f t="shared" si="4"/>
        <v>0</v>
      </c>
      <c r="H8" s="376">
        <f t="shared" si="5"/>
        <v>0</v>
      </c>
      <c r="I8" s="379">
        <f t="shared" si="6"/>
        <v>0</v>
      </c>
      <c r="J8" s="376">
        <f t="shared" si="7"/>
        <v>0</v>
      </c>
      <c r="K8" s="371">
        <f t="shared" si="8"/>
        <v>0</v>
      </c>
      <c r="L8" s="375">
        <f t="shared" si="9"/>
        <v>0</v>
      </c>
      <c r="M8" s="113">
        <f>L8*D8*'B) D RI'!S10</f>
        <v>0</v>
      </c>
    </row>
    <row r="9" spans="1:22" x14ac:dyDescent="0.25">
      <c r="A9" s="297">
        <f>'A) Base RI'!A11</f>
        <v>5405</v>
      </c>
      <c r="B9" s="32" t="str">
        <f>'A) Base RI'!B11</f>
        <v>Gryon</v>
      </c>
      <c r="C9" s="295">
        <f>'B) D RI'!U11</f>
        <v>68185.794013605453</v>
      </c>
      <c r="D9" s="32">
        <f>'B) D RI'!AA11</f>
        <v>1378</v>
      </c>
      <c r="E9" s="201">
        <f t="shared" si="2"/>
        <v>49.481708282732548</v>
      </c>
      <c r="F9" s="368">
        <f t="shared" si="3"/>
        <v>1.0271667567210647</v>
      </c>
      <c r="G9" s="379">
        <f t="shared" si="4"/>
        <v>1.3087042802580982</v>
      </c>
      <c r="H9" s="376">
        <f t="shared" si="5"/>
        <v>0</v>
      </c>
      <c r="I9" s="379">
        <f t="shared" si="6"/>
        <v>0</v>
      </c>
      <c r="J9" s="376">
        <f t="shared" si="7"/>
        <v>0</v>
      </c>
      <c r="K9" s="371">
        <f t="shared" si="8"/>
        <v>0</v>
      </c>
      <c r="L9" s="375">
        <f t="shared" si="9"/>
        <v>0.26174085605161962</v>
      </c>
      <c r="M9" s="113">
        <f>L9*D9*'B) D RI'!S11</f>
        <v>26509.899123476189</v>
      </c>
    </row>
    <row r="10" spans="1:22" x14ac:dyDescent="0.25">
      <c r="A10" s="297">
        <f>'A) Base RI'!A12</f>
        <v>5406</v>
      </c>
      <c r="B10" s="32" t="str">
        <f>'A) Base RI'!B12</f>
        <v>Lavey-Morcles</v>
      </c>
      <c r="C10" s="295">
        <f>'B) D RI'!U12</f>
        <v>21842.545067240455</v>
      </c>
      <c r="D10" s="32">
        <f>'B) D RI'!AA12</f>
        <v>944</v>
      </c>
      <c r="E10" s="201">
        <f t="shared" si="2"/>
        <v>23.13828926614455</v>
      </c>
      <c r="F10" s="368">
        <f t="shared" si="3"/>
        <v>0.48031651223070976</v>
      </c>
      <c r="G10" s="379">
        <f t="shared" si="4"/>
        <v>0</v>
      </c>
      <c r="H10" s="376">
        <f t="shared" si="5"/>
        <v>0</v>
      </c>
      <c r="I10" s="379">
        <f t="shared" si="6"/>
        <v>0</v>
      </c>
      <c r="J10" s="376">
        <f t="shared" si="7"/>
        <v>0</v>
      </c>
      <c r="K10" s="371">
        <f t="shared" si="8"/>
        <v>0</v>
      </c>
      <c r="L10" s="375">
        <f t="shared" si="9"/>
        <v>0</v>
      </c>
      <c r="M10" s="113">
        <f>L10*D10*'B) D RI'!S12</f>
        <v>0</v>
      </c>
    </row>
    <row r="11" spans="1:22" x14ac:dyDescent="0.25">
      <c r="A11" s="297">
        <f>'A) Base RI'!A13</f>
        <v>5407</v>
      </c>
      <c r="B11" s="32" t="str">
        <f>'A) Base RI'!B13</f>
        <v>Leysin</v>
      </c>
      <c r="C11" s="295">
        <f>'B) D RI'!U13</f>
        <v>90407.62790598291</v>
      </c>
      <c r="D11" s="32">
        <f>'B) D RI'!AA13</f>
        <v>3645</v>
      </c>
      <c r="E11" s="201">
        <f t="shared" si="2"/>
        <v>24.80319009766335</v>
      </c>
      <c r="F11" s="368">
        <f t="shared" si="3"/>
        <v>0.51487738021048701</v>
      </c>
      <c r="G11" s="379">
        <f t="shared" si="4"/>
        <v>0</v>
      </c>
      <c r="H11" s="376">
        <f t="shared" si="5"/>
        <v>0</v>
      </c>
      <c r="I11" s="379">
        <f t="shared" si="6"/>
        <v>0</v>
      </c>
      <c r="J11" s="376">
        <f t="shared" si="7"/>
        <v>0</v>
      </c>
      <c r="K11" s="371">
        <f t="shared" si="8"/>
        <v>0</v>
      </c>
      <c r="L11" s="375">
        <f t="shared" si="9"/>
        <v>0</v>
      </c>
      <c r="M11" s="113">
        <f>L11*D11*'B) D RI'!S13</f>
        <v>0</v>
      </c>
    </row>
    <row r="12" spans="1:22" x14ac:dyDescent="0.25">
      <c r="A12" s="297">
        <f>'A) Base RI'!A14</f>
        <v>5408</v>
      </c>
      <c r="B12" s="32" t="str">
        <f>'A) Base RI'!B14</f>
        <v>Noville</v>
      </c>
      <c r="C12" s="295">
        <f>'B) D RI'!U14</f>
        <v>43840.045520169842</v>
      </c>
      <c r="D12" s="32">
        <f>'B) D RI'!AA14</f>
        <v>1170</v>
      </c>
      <c r="E12" s="201">
        <f t="shared" si="2"/>
        <v>37.470124376213541</v>
      </c>
      <c r="F12" s="368">
        <f t="shared" si="3"/>
        <v>0.77782411855172773</v>
      </c>
      <c r="G12" s="379">
        <f t="shared" si="4"/>
        <v>0</v>
      </c>
      <c r="H12" s="376">
        <f t="shared" si="5"/>
        <v>0</v>
      </c>
      <c r="I12" s="379">
        <f t="shared" si="6"/>
        <v>0</v>
      </c>
      <c r="J12" s="376">
        <f t="shared" si="7"/>
        <v>0</v>
      </c>
      <c r="K12" s="371">
        <f t="shared" si="8"/>
        <v>0</v>
      </c>
      <c r="L12" s="375">
        <f t="shared" si="9"/>
        <v>0</v>
      </c>
      <c r="M12" s="113">
        <f>L12*D12*'B) D RI'!S14</f>
        <v>0</v>
      </c>
    </row>
    <row r="13" spans="1:22" x14ac:dyDescent="0.25">
      <c r="A13" s="297">
        <f>'A) Base RI'!A15</f>
        <v>5409</v>
      </c>
      <c r="B13" s="32" t="str">
        <f>'A) Base RI'!B15</f>
        <v>Ollon</v>
      </c>
      <c r="C13" s="295">
        <f>'B) D RI'!U15</f>
        <v>389186.78990950214</v>
      </c>
      <c r="D13" s="32">
        <f>'B) D RI'!AA15</f>
        <v>7634</v>
      </c>
      <c r="E13" s="201">
        <f t="shared" si="2"/>
        <v>50.980716519452727</v>
      </c>
      <c r="F13" s="368">
        <f t="shared" si="3"/>
        <v>1.058283940873483</v>
      </c>
      <c r="G13" s="379">
        <f t="shared" si="4"/>
        <v>2.8077125169782775</v>
      </c>
      <c r="H13" s="376">
        <f t="shared" si="5"/>
        <v>0</v>
      </c>
      <c r="I13" s="379">
        <f t="shared" si="6"/>
        <v>0</v>
      </c>
      <c r="J13" s="376">
        <f t="shared" si="7"/>
        <v>0</v>
      </c>
      <c r="K13" s="371">
        <f t="shared" si="8"/>
        <v>0</v>
      </c>
      <c r="L13" s="375">
        <f t="shared" si="9"/>
        <v>0.56154250339565548</v>
      </c>
      <c r="M13" s="113">
        <f>L13*D13*'B) D RI'!S15</f>
        <v>291503.45202272548</v>
      </c>
    </row>
    <row r="14" spans="1:22" x14ac:dyDescent="0.25">
      <c r="A14" s="297">
        <f>'A) Base RI'!A16</f>
        <v>5410</v>
      </c>
      <c r="B14" s="32" t="str">
        <f>'A) Base RI'!B16</f>
        <v>Ormont-Dessous</v>
      </c>
      <c r="C14" s="295">
        <f>'B) D RI'!U16</f>
        <v>39522.545108225109</v>
      </c>
      <c r="D14" s="32">
        <f>'B) D RI'!AA16</f>
        <v>1180</v>
      </c>
      <c r="E14" s="201">
        <f t="shared" si="2"/>
        <v>33.493682295106026</v>
      </c>
      <c r="F14" s="368">
        <f t="shared" si="3"/>
        <v>0.69527908812549022</v>
      </c>
      <c r="G14" s="379">
        <f t="shared" si="4"/>
        <v>0</v>
      </c>
      <c r="H14" s="376">
        <f t="shared" si="5"/>
        <v>0</v>
      </c>
      <c r="I14" s="379">
        <f t="shared" si="6"/>
        <v>0</v>
      </c>
      <c r="J14" s="376">
        <f t="shared" si="7"/>
        <v>0</v>
      </c>
      <c r="K14" s="371">
        <f t="shared" si="8"/>
        <v>0</v>
      </c>
      <c r="L14" s="375">
        <f t="shared" si="9"/>
        <v>0</v>
      </c>
      <c r="M14" s="113">
        <f>L14*D14*'B) D RI'!S16</f>
        <v>0</v>
      </c>
      <c r="V14" s="15"/>
    </row>
    <row r="15" spans="1:22" x14ac:dyDescent="0.25">
      <c r="A15" s="297">
        <f>'A) Base RI'!A17</f>
        <v>5411</v>
      </c>
      <c r="B15" s="32" t="str">
        <f>'A) Base RI'!B17</f>
        <v>Ormont-Dessus</v>
      </c>
      <c r="C15" s="295">
        <f>'B) D RI'!U17</f>
        <v>68049.385526315804</v>
      </c>
      <c r="D15" s="32">
        <f>'B) D RI'!AA17</f>
        <v>1466</v>
      </c>
      <c r="E15" s="201">
        <f t="shared" si="2"/>
        <v>46.418407589574215</v>
      </c>
      <c r="F15" s="368">
        <f t="shared" si="3"/>
        <v>0.96357718499742906</v>
      </c>
      <c r="G15" s="379">
        <f t="shared" si="4"/>
        <v>0</v>
      </c>
      <c r="H15" s="376">
        <f t="shared" si="5"/>
        <v>0</v>
      </c>
      <c r="I15" s="379">
        <f t="shared" si="6"/>
        <v>0</v>
      </c>
      <c r="J15" s="376">
        <f t="shared" si="7"/>
        <v>0</v>
      </c>
      <c r="K15" s="371">
        <f t="shared" si="8"/>
        <v>0</v>
      </c>
      <c r="L15" s="375">
        <f t="shared" si="9"/>
        <v>0</v>
      </c>
      <c r="M15" s="113">
        <f>L15*D15*'B) D RI'!S17</f>
        <v>0</v>
      </c>
      <c r="V15" s="15"/>
    </row>
    <row r="16" spans="1:22" x14ac:dyDescent="0.25">
      <c r="A16" s="297">
        <f>'A) Base RI'!A18</f>
        <v>5412</v>
      </c>
      <c r="B16" s="32" t="str">
        <f>'A) Base RI'!B18</f>
        <v>Rennaz</v>
      </c>
      <c r="C16" s="295">
        <f>'B) D RI'!U18</f>
        <v>24267.759710144928</v>
      </c>
      <c r="D16" s="32">
        <f>'B) D RI'!AA18</f>
        <v>889</v>
      </c>
      <c r="E16" s="201">
        <f t="shared" si="2"/>
        <v>27.297817446732203</v>
      </c>
      <c r="F16" s="368">
        <f t="shared" si="3"/>
        <v>0.56666213809979604</v>
      </c>
      <c r="G16" s="379">
        <f t="shared" si="4"/>
        <v>0</v>
      </c>
      <c r="H16" s="376">
        <f t="shared" si="5"/>
        <v>0</v>
      </c>
      <c r="I16" s="379">
        <f t="shared" si="6"/>
        <v>0</v>
      </c>
      <c r="J16" s="376">
        <f t="shared" si="7"/>
        <v>0</v>
      </c>
      <c r="K16" s="371">
        <f t="shared" si="8"/>
        <v>0</v>
      </c>
      <c r="L16" s="375">
        <f t="shared" si="9"/>
        <v>0</v>
      </c>
      <c r="M16" s="113">
        <f>L16*D16*'B) D RI'!S18</f>
        <v>0</v>
      </c>
      <c r="V16" s="15"/>
    </row>
    <row r="17" spans="1:22" x14ac:dyDescent="0.25">
      <c r="A17" s="297">
        <f>'A) Base RI'!A19</f>
        <v>5413</v>
      </c>
      <c r="B17" s="32" t="str">
        <f>'A) Base RI'!B19</f>
        <v>Roche</v>
      </c>
      <c r="C17" s="295">
        <f>'B) D RI'!U19</f>
        <v>48007.468357843129</v>
      </c>
      <c r="D17" s="32">
        <f>'B) D RI'!AA19</f>
        <v>1868</v>
      </c>
      <c r="E17" s="201">
        <f t="shared" si="2"/>
        <v>25.69992952775328</v>
      </c>
      <c r="F17" s="368">
        <f t="shared" si="3"/>
        <v>0.53349235863375222</v>
      </c>
      <c r="G17" s="379">
        <f t="shared" si="4"/>
        <v>0</v>
      </c>
      <c r="H17" s="376">
        <f t="shared" si="5"/>
        <v>0</v>
      </c>
      <c r="I17" s="379">
        <f t="shared" si="6"/>
        <v>0</v>
      </c>
      <c r="J17" s="376">
        <f t="shared" si="7"/>
        <v>0</v>
      </c>
      <c r="K17" s="371">
        <f t="shared" si="8"/>
        <v>0</v>
      </c>
      <c r="L17" s="375">
        <f t="shared" si="9"/>
        <v>0</v>
      </c>
      <c r="M17" s="113">
        <f>L17*D17*'B) D RI'!S19</f>
        <v>0</v>
      </c>
      <c r="V17" s="15"/>
    </row>
    <row r="18" spans="1:22" x14ac:dyDescent="0.25">
      <c r="A18" s="297">
        <f>'A) Base RI'!A20</f>
        <v>5414</v>
      </c>
      <c r="B18" s="32" t="str">
        <f>'A) Base RI'!B20</f>
        <v>Villeneuve</v>
      </c>
      <c r="C18" s="295">
        <f>'B) D RI'!U20</f>
        <v>159468.65911111108</v>
      </c>
      <c r="D18" s="32">
        <f>'B) D RI'!AA20</f>
        <v>5837</v>
      </c>
      <c r="E18" s="201">
        <f t="shared" si="2"/>
        <v>27.320311651723671</v>
      </c>
      <c r="F18" s="368">
        <f t="shared" si="3"/>
        <v>0.56712908437929965</v>
      </c>
      <c r="G18" s="379">
        <f t="shared" si="4"/>
        <v>0</v>
      </c>
      <c r="H18" s="376">
        <f t="shared" si="5"/>
        <v>0</v>
      </c>
      <c r="I18" s="379">
        <f t="shared" si="6"/>
        <v>0</v>
      </c>
      <c r="J18" s="376">
        <f t="shared" si="7"/>
        <v>0</v>
      </c>
      <c r="K18" s="371">
        <f t="shared" si="8"/>
        <v>0</v>
      </c>
      <c r="L18" s="375">
        <f t="shared" si="9"/>
        <v>0</v>
      </c>
      <c r="M18" s="113">
        <f>L18*D18*'B) D RI'!S20</f>
        <v>0</v>
      </c>
      <c r="V18" s="15"/>
    </row>
    <row r="19" spans="1:22" x14ac:dyDescent="0.25">
      <c r="A19" s="297">
        <f>'A) Base RI'!A21</f>
        <v>5415</v>
      </c>
      <c r="B19" s="32" t="str">
        <f>'A) Base RI'!B21</f>
        <v>Yvorne</v>
      </c>
      <c r="C19" s="295">
        <f>'B) D RI'!U21</f>
        <v>38155.020093240091</v>
      </c>
      <c r="D19" s="32">
        <f>'B) D RI'!AA21</f>
        <v>1070</v>
      </c>
      <c r="E19" s="201">
        <f t="shared" si="2"/>
        <v>35.658897283401956</v>
      </c>
      <c r="F19" s="368">
        <f t="shared" si="3"/>
        <v>0.74022573476153375</v>
      </c>
      <c r="G19" s="379">
        <f t="shared" si="4"/>
        <v>0</v>
      </c>
      <c r="H19" s="376">
        <f t="shared" si="5"/>
        <v>0</v>
      </c>
      <c r="I19" s="379">
        <f t="shared" si="6"/>
        <v>0</v>
      </c>
      <c r="J19" s="376">
        <f t="shared" si="7"/>
        <v>0</v>
      </c>
      <c r="K19" s="371">
        <f t="shared" si="8"/>
        <v>0</v>
      </c>
      <c r="L19" s="375">
        <f t="shared" si="9"/>
        <v>0</v>
      </c>
      <c r="M19" s="113">
        <f>L19*D19*'B) D RI'!S21</f>
        <v>0</v>
      </c>
      <c r="V19" s="15"/>
    </row>
    <row r="20" spans="1:22" x14ac:dyDescent="0.25">
      <c r="A20" s="297">
        <f>'A) Base RI'!A22</f>
        <v>5421</v>
      </c>
      <c r="B20" s="32" t="str">
        <f>'A) Base RI'!B22</f>
        <v>Apples</v>
      </c>
      <c r="C20" s="295">
        <f>'B) D RI'!U22</f>
        <v>66313.601621621623</v>
      </c>
      <c r="D20" s="32">
        <f>'B) D RI'!AA22</f>
        <v>1457</v>
      </c>
      <c r="E20" s="201">
        <f t="shared" si="2"/>
        <v>45.513796583130834</v>
      </c>
      <c r="F20" s="368">
        <f t="shared" si="3"/>
        <v>0.94479880434263508</v>
      </c>
      <c r="G20" s="379">
        <f t="shared" si="4"/>
        <v>0</v>
      </c>
      <c r="H20" s="376">
        <f t="shared" si="5"/>
        <v>0</v>
      </c>
      <c r="I20" s="379">
        <f t="shared" si="6"/>
        <v>0</v>
      </c>
      <c r="J20" s="376">
        <f t="shared" si="7"/>
        <v>0</v>
      </c>
      <c r="K20" s="371">
        <f t="shared" si="8"/>
        <v>0</v>
      </c>
      <c r="L20" s="375">
        <f t="shared" si="9"/>
        <v>0</v>
      </c>
      <c r="M20" s="113">
        <f>L20*D20*'B) D RI'!S22</f>
        <v>0</v>
      </c>
      <c r="V20" s="15"/>
    </row>
    <row r="21" spans="1:22" x14ac:dyDescent="0.25">
      <c r="A21" s="297">
        <f>'A) Base RI'!A23</f>
        <v>5422</v>
      </c>
      <c r="B21" s="32" t="str">
        <f>'A) Base RI'!B23</f>
        <v>Aubonne</v>
      </c>
      <c r="C21" s="295">
        <f>'B) D RI'!U23</f>
        <v>242388.1994160584</v>
      </c>
      <c r="D21" s="32">
        <f>'B) D RI'!AA23</f>
        <v>3241</v>
      </c>
      <c r="E21" s="201">
        <f t="shared" si="2"/>
        <v>74.788089915476206</v>
      </c>
      <c r="F21" s="368">
        <f t="shared" si="3"/>
        <v>1.5524896456869215</v>
      </c>
      <c r="G21" s="379">
        <f t="shared" si="4"/>
        <v>26.615085913001757</v>
      </c>
      <c r="H21" s="376">
        <f t="shared" si="5"/>
        <v>16.980485112506869</v>
      </c>
      <c r="I21" s="379">
        <f t="shared" si="6"/>
        <v>2.5285839117645281</v>
      </c>
      <c r="J21" s="376">
        <f t="shared" si="7"/>
        <v>0</v>
      </c>
      <c r="K21" s="371">
        <f t="shared" si="8"/>
        <v>0</v>
      </c>
      <c r="L21" s="375">
        <f t="shared" si="9"/>
        <v>7.2739240850274909</v>
      </c>
      <c r="M21" s="113">
        <f>L21*D21*'B) D RI'!S23</f>
        <v>1614872.9752308258</v>
      </c>
      <c r="V21" s="15"/>
    </row>
    <row r="22" spans="1:22" x14ac:dyDescent="0.25">
      <c r="A22" s="297">
        <f>'A) Base RI'!A24</f>
        <v>5423</v>
      </c>
      <c r="B22" s="32" t="str">
        <f>'A) Base RI'!B24</f>
        <v>Ballens</v>
      </c>
      <c r="C22" s="295">
        <f>'B) D RI'!U24</f>
        <v>17114.745479452053</v>
      </c>
      <c r="D22" s="32">
        <f>'B) D RI'!AA24</f>
        <v>562</v>
      </c>
      <c r="E22" s="201">
        <f t="shared" si="2"/>
        <v>30.453283771266996</v>
      </c>
      <c r="F22" s="368">
        <f t="shared" si="3"/>
        <v>0.63216493141475538</v>
      </c>
      <c r="G22" s="379">
        <f t="shared" si="4"/>
        <v>0</v>
      </c>
      <c r="H22" s="376">
        <f t="shared" si="5"/>
        <v>0</v>
      </c>
      <c r="I22" s="379">
        <f t="shared" si="6"/>
        <v>0</v>
      </c>
      <c r="J22" s="376">
        <f t="shared" si="7"/>
        <v>0</v>
      </c>
      <c r="K22" s="371">
        <f t="shared" si="8"/>
        <v>0</v>
      </c>
      <c r="L22" s="375">
        <f t="shared" si="9"/>
        <v>0</v>
      </c>
      <c r="M22" s="113">
        <f>L22*D22*'B) D RI'!S24</f>
        <v>0</v>
      </c>
    </row>
    <row r="23" spans="1:22" x14ac:dyDescent="0.25">
      <c r="A23" s="297">
        <f>'A) Base RI'!A25</f>
        <v>5424</v>
      </c>
      <c r="B23" s="32" t="str">
        <f>'A) Base RI'!B25</f>
        <v>Berolle</v>
      </c>
      <c r="C23" s="295">
        <f>'B) D RI'!U25</f>
        <v>9114.9769536423846</v>
      </c>
      <c r="D23" s="32">
        <f>'B) D RI'!AA25</f>
        <v>313</v>
      </c>
      <c r="E23" s="201">
        <f t="shared" si="2"/>
        <v>29.121332120263208</v>
      </c>
      <c r="F23" s="368">
        <f t="shared" si="3"/>
        <v>0.60451559381198994</v>
      </c>
      <c r="G23" s="379">
        <f t="shared" si="4"/>
        <v>0</v>
      </c>
      <c r="H23" s="376">
        <f t="shared" si="5"/>
        <v>0</v>
      </c>
      <c r="I23" s="379">
        <f t="shared" si="6"/>
        <v>0</v>
      </c>
      <c r="J23" s="376">
        <f t="shared" si="7"/>
        <v>0</v>
      </c>
      <c r="K23" s="371">
        <f t="shared" si="8"/>
        <v>0</v>
      </c>
      <c r="L23" s="375">
        <f t="shared" si="9"/>
        <v>0</v>
      </c>
      <c r="M23" s="113">
        <f>L23*D23*'B) D RI'!S25</f>
        <v>0</v>
      </c>
    </row>
    <row r="24" spans="1:22" x14ac:dyDescent="0.25">
      <c r="A24" s="297">
        <f>'A) Base RI'!A26</f>
        <v>5425</v>
      </c>
      <c r="B24" s="32" t="str">
        <f>'A) Base RI'!B26</f>
        <v>Bière</v>
      </c>
      <c r="C24" s="295">
        <f>'B) D RI'!U26</f>
        <v>40211.969135432286</v>
      </c>
      <c r="D24" s="32">
        <f>'B) D RI'!AA26</f>
        <v>1627</v>
      </c>
      <c r="E24" s="201">
        <f t="shared" si="2"/>
        <v>24.715408196332074</v>
      </c>
      <c r="F24" s="368">
        <f t="shared" si="3"/>
        <v>0.51305515834267978</v>
      </c>
      <c r="G24" s="379">
        <f t="shared" si="4"/>
        <v>0</v>
      </c>
      <c r="H24" s="376">
        <f t="shared" si="5"/>
        <v>0</v>
      </c>
      <c r="I24" s="379">
        <f t="shared" si="6"/>
        <v>0</v>
      </c>
      <c r="J24" s="376">
        <f t="shared" si="7"/>
        <v>0</v>
      </c>
      <c r="K24" s="371">
        <f t="shared" si="8"/>
        <v>0</v>
      </c>
      <c r="L24" s="375">
        <f t="shared" si="9"/>
        <v>0</v>
      </c>
      <c r="M24" s="113">
        <f>L24*D24*'B) D RI'!S26</f>
        <v>0</v>
      </c>
    </row>
    <row r="25" spans="1:22" x14ac:dyDescent="0.25">
      <c r="A25" s="297">
        <f>'A) Base RI'!A27</f>
        <v>5426</v>
      </c>
      <c r="B25" s="32" t="str">
        <f>'A) Base RI'!B27</f>
        <v>Bougy-Villars</v>
      </c>
      <c r="C25" s="295">
        <f>'B) D RI'!U27</f>
        <v>55640.611447028423</v>
      </c>
      <c r="D25" s="32">
        <f>'B) D RI'!AA27</f>
        <v>477</v>
      </c>
      <c r="E25" s="201">
        <f t="shared" si="2"/>
        <v>116.64698416567803</v>
      </c>
      <c r="F25" s="368">
        <f t="shared" si="3"/>
        <v>2.4214181071142327</v>
      </c>
      <c r="G25" s="379">
        <f t="shared" si="4"/>
        <v>68.473980163203578</v>
      </c>
      <c r="H25" s="376">
        <f t="shared" si="5"/>
        <v>58.839379362708698</v>
      </c>
      <c r="I25" s="379">
        <f t="shared" si="6"/>
        <v>44.387478161966357</v>
      </c>
      <c r="J25" s="376">
        <f t="shared" si="7"/>
        <v>20.300976160729135</v>
      </c>
      <c r="K25" s="371">
        <f t="shared" si="8"/>
        <v>0</v>
      </c>
      <c r="L25" s="375">
        <f t="shared" si="9"/>
        <v>26.047579401181135</v>
      </c>
      <c r="M25" s="113">
        <f>L25*D25*'B) D RI'!S27</f>
        <v>801392.85164643941</v>
      </c>
    </row>
    <row r="26" spans="1:22" x14ac:dyDescent="0.25">
      <c r="A26" s="297">
        <f>'A) Base RI'!A28</f>
        <v>5427</v>
      </c>
      <c r="B26" s="32" t="str">
        <f>'A) Base RI'!B28</f>
        <v>Féchy</v>
      </c>
      <c r="C26" s="295">
        <f>'B) D RI'!U28</f>
        <v>77020.423605769232</v>
      </c>
      <c r="D26" s="32">
        <f>'B) D RI'!AA28</f>
        <v>869</v>
      </c>
      <c r="E26" s="201">
        <f t="shared" si="2"/>
        <v>88.63109735991857</v>
      </c>
      <c r="F26" s="368">
        <f t="shared" si="3"/>
        <v>1.8398499158442756</v>
      </c>
      <c r="G26" s="379">
        <f t="shared" si="4"/>
        <v>40.45809335744412</v>
      </c>
      <c r="H26" s="376">
        <f t="shared" si="5"/>
        <v>30.823492556949233</v>
      </c>
      <c r="I26" s="379">
        <f t="shared" si="6"/>
        <v>16.371591356206892</v>
      </c>
      <c r="J26" s="376">
        <f t="shared" si="7"/>
        <v>0</v>
      </c>
      <c r="K26" s="371">
        <f t="shared" si="8"/>
        <v>0</v>
      </c>
      <c r="L26" s="375">
        <f t="shared" si="9"/>
        <v>12.811127062804438</v>
      </c>
      <c r="M26" s="113">
        <f>L26*D26*'B) D RI'!S28</f>
        <v>712503.64272493159</v>
      </c>
    </row>
    <row r="27" spans="1:22" x14ac:dyDescent="0.25">
      <c r="A27" s="297">
        <f>'A) Base RI'!A29</f>
        <v>5428</v>
      </c>
      <c r="B27" s="32" t="str">
        <f>'A) Base RI'!B29</f>
        <v>Gimel</v>
      </c>
      <c r="C27" s="295">
        <f>'B) D RI'!U29</f>
        <v>70193.222975391502</v>
      </c>
      <c r="D27" s="32">
        <f>'B) D RI'!AA29</f>
        <v>2307</v>
      </c>
      <c r="E27" s="201">
        <f t="shared" si="2"/>
        <v>30.426191146680321</v>
      </c>
      <c r="F27" s="368">
        <f t="shared" si="3"/>
        <v>0.63160252877560741</v>
      </c>
      <c r="G27" s="379">
        <f t="shared" si="4"/>
        <v>0</v>
      </c>
      <c r="H27" s="376">
        <f t="shared" si="5"/>
        <v>0</v>
      </c>
      <c r="I27" s="379">
        <f t="shared" si="6"/>
        <v>0</v>
      </c>
      <c r="J27" s="376">
        <f t="shared" si="7"/>
        <v>0</v>
      </c>
      <c r="K27" s="371">
        <f t="shared" si="8"/>
        <v>0</v>
      </c>
      <c r="L27" s="375">
        <f t="shared" si="9"/>
        <v>0</v>
      </c>
      <c r="M27" s="113">
        <f>L27*D27*'B) D RI'!S29</f>
        <v>0</v>
      </c>
    </row>
    <row r="28" spans="1:22" x14ac:dyDescent="0.25">
      <c r="A28" s="297">
        <f>'A) Base RI'!A30</f>
        <v>5429</v>
      </c>
      <c r="B28" s="32" t="str">
        <f>'A) Base RI'!B30</f>
        <v>Longirod</v>
      </c>
      <c r="C28" s="295">
        <f>'B) D RI'!U30</f>
        <v>16140.77393548387</v>
      </c>
      <c r="D28" s="32">
        <f>'B) D RI'!AA30</f>
        <v>494</v>
      </c>
      <c r="E28" s="201">
        <f t="shared" si="2"/>
        <v>32.673631448347919</v>
      </c>
      <c r="F28" s="368">
        <f t="shared" si="3"/>
        <v>0.67825605076796969</v>
      </c>
      <c r="G28" s="379">
        <f t="shared" si="4"/>
        <v>0</v>
      </c>
      <c r="H28" s="376">
        <f t="shared" si="5"/>
        <v>0</v>
      </c>
      <c r="I28" s="379">
        <f t="shared" si="6"/>
        <v>0</v>
      </c>
      <c r="J28" s="376">
        <f t="shared" si="7"/>
        <v>0</v>
      </c>
      <c r="K28" s="371">
        <f t="shared" si="8"/>
        <v>0</v>
      </c>
      <c r="L28" s="375">
        <f t="shared" si="9"/>
        <v>0</v>
      </c>
      <c r="M28" s="113">
        <f>L28*D28*'B) D RI'!S30</f>
        <v>0</v>
      </c>
    </row>
    <row r="29" spans="1:22" x14ac:dyDescent="0.25">
      <c r="A29" s="297">
        <f>'A) Base RI'!A31</f>
        <v>5430</v>
      </c>
      <c r="B29" s="32" t="str">
        <f>'A) Base RI'!B31</f>
        <v>Marchissy</v>
      </c>
      <c r="C29" s="295">
        <f>'B) D RI'!U31</f>
        <v>14848.450709677421</v>
      </c>
      <c r="D29" s="32">
        <f>'B) D RI'!AA31</f>
        <v>481</v>
      </c>
      <c r="E29" s="201">
        <f t="shared" si="2"/>
        <v>30.869959895379253</v>
      </c>
      <c r="F29" s="368">
        <f t="shared" si="3"/>
        <v>0.6408145087608319</v>
      </c>
      <c r="G29" s="379">
        <f t="shared" si="4"/>
        <v>0</v>
      </c>
      <c r="H29" s="376">
        <f t="shared" si="5"/>
        <v>0</v>
      </c>
      <c r="I29" s="379">
        <f t="shared" si="6"/>
        <v>0</v>
      </c>
      <c r="J29" s="376">
        <f t="shared" si="7"/>
        <v>0</v>
      </c>
      <c r="K29" s="371">
        <f t="shared" si="8"/>
        <v>0</v>
      </c>
      <c r="L29" s="375">
        <f t="shared" si="9"/>
        <v>0</v>
      </c>
      <c r="M29" s="113">
        <f>L29*D29*'B) D RI'!S31</f>
        <v>0</v>
      </c>
    </row>
    <row r="30" spans="1:22" x14ac:dyDescent="0.25">
      <c r="A30" s="297">
        <f>'A) Base RI'!A32</f>
        <v>5431</v>
      </c>
      <c r="B30" s="32" t="str">
        <f>'A) Base RI'!B32</f>
        <v>Mollens</v>
      </c>
      <c r="C30" s="295">
        <f>'B) D RI'!U32</f>
        <v>9333.4747297297308</v>
      </c>
      <c r="D30" s="32">
        <f>'B) D RI'!AA32</f>
        <v>330</v>
      </c>
      <c r="E30" s="201">
        <f t="shared" si="2"/>
        <v>28.28325675675676</v>
      </c>
      <c r="F30" s="368">
        <f t="shared" si="3"/>
        <v>0.58711839426297696</v>
      </c>
      <c r="G30" s="379">
        <f t="shared" si="4"/>
        <v>0</v>
      </c>
      <c r="H30" s="376">
        <f t="shared" si="5"/>
        <v>0</v>
      </c>
      <c r="I30" s="379">
        <f t="shared" si="6"/>
        <v>0</v>
      </c>
      <c r="J30" s="376">
        <f t="shared" si="7"/>
        <v>0</v>
      </c>
      <c r="K30" s="371">
        <f t="shared" si="8"/>
        <v>0</v>
      </c>
      <c r="L30" s="375">
        <f t="shared" si="9"/>
        <v>0</v>
      </c>
      <c r="M30" s="113">
        <f>L30*D30*'B) D RI'!S32</f>
        <v>0</v>
      </c>
    </row>
    <row r="31" spans="1:22" x14ac:dyDescent="0.25">
      <c r="A31" s="297">
        <f>'A) Base RI'!A33</f>
        <v>5432</v>
      </c>
      <c r="B31" s="32" t="str">
        <f>'A) Base RI'!B33</f>
        <v>Montherod</v>
      </c>
      <c r="C31" s="295">
        <f>'B) D RI'!U33</f>
        <v>16429.509999999998</v>
      </c>
      <c r="D31" s="32">
        <f>'B) D RI'!AA33</f>
        <v>523</v>
      </c>
      <c r="E31" s="201">
        <f t="shared" si="2"/>
        <v>31.413977055449326</v>
      </c>
      <c r="F31" s="368">
        <f t="shared" si="3"/>
        <v>0.65210749684274871</v>
      </c>
      <c r="G31" s="379">
        <f t="shared" si="4"/>
        <v>0</v>
      </c>
      <c r="H31" s="376">
        <f t="shared" si="5"/>
        <v>0</v>
      </c>
      <c r="I31" s="379">
        <f t="shared" si="6"/>
        <v>0</v>
      </c>
      <c r="J31" s="376">
        <f t="shared" si="7"/>
        <v>0</v>
      </c>
      <c r="K31" s="371">
        <f t="shared" si="8"/>
        <v>0</v>
      </c>
      <c r="L31" s="375">
        <f t="shared" si="9"/>
        <v>0</v>
      </c>
      <c r="M31" s="113">
        <f>L31*D31*'B) D RI'!S33</f>
        <v>0</v>
      </c>
    </row>
    <row r="32" spans="1:22" x14ac:dyDescent="0.25">
      <c r="A32" s="297">
        <f>'A) Base RI'!A34</f>
        <v>5434</v>
      </c>
      <c r="B32" s="32" t="str">
        <f>'A) Base RI'!B34</f>
        <v>Saint-George</v>
      </c>
      <c r="C32" s="295">
        <f>'B) D RI'!U34</f>
        <v>41434.234652278174</v>
      </c>
      <c r="D32" s="32">
        <f>'B) D RI'!AA34</f>
        <v>1074</v>
      </c>
      <c r="E32" s="201">
        <f t="shared" si="2"/>
        <v>38.579361873629587</v>
      </c>
      <c r="F32" s="368">
        <f t="shared" si="3"/>
        <v>0.80085024117756753</v>
      </c>
      <c r="G32" s="379">
        <f t="shared" si="4"/>
        <v>0</v>
      </c>
      <c r="H32" s="376">
        <f t="shared" si="5"/>
        <v>0</v>
      </c>
      <c r="I32" s="379">
        <f t="shared" si="6"/>
        <v>0</v>
      </c>
      <c r="J32" s="376">
        <f t="shared" si="7"/>
        <v>0</v>
      </c>
      <c r="K32" s="371">
        <f t="shared" si="8"/>
        <v>0</v>
      </c>
      <c r="L32" s="375">
        <f t="shared" si="9"/>
        <v>0</v>
      </c>
      <c r="M32" s="113">
        <f>L32*D32*'B) D RI'!S34</f>
        <v>0</v>
      </c>
    </row>
    <row r="33" spans="1:13" x14ac:dyDescent="0.25">
      <c r="A33" s="297">
        <f>'A) Base RI'!A35</f>
        <v>5435</v>
      </c>
      <c r="B33" s="32" t="str">
        <f>'A) Base RI'!B35</f>
        <v>Saint-Livres</v>
      </c>
      <c r="C33" s="295">
        <f>'B) D RI'!U35</f>
        <v>26346.510144927532</v>
      </c>
      <c r="D33" s="32">
        <f>'B) D RI'!AA35</f>
        <v>683</v>
      </c>
      <c r="E33" s="201">
        <f t="shared" si="2"/>
        <v>38.574685424491264</v>
      </c>
      <c r="F33" s="368">
        <f t="shared" si="3"/>
        <v>0.80075316504052441</v>
      </c>
      <c r="G33" s="379">
        <f t="shared" si="4"/>
        <v>0</v>
      </c>
      <c r="H33" s="376">
        <f t="shared" si="5"/>
        <v>0</v>
      </c>
      <c r="I33" s="379">
        <f t="shared" si="6"/>
        <v>0</v>
      </c>
      <c r="J33" s="376">
        <f t="shared" si="7"/>
        <v>0</v>
      </c>
      <c r="K33" s="371">
        <f t="shared" si="8"/>
        <v>0</v>
      </c>
      <c r="L33" s="375">
        <f t="shared" si="9"/>
        <v>0</v>
      </c>
      <c r="M33" s="113">
        <f>L33*D33*'B) D RI'!S35</f>
        <v>0</v>
      </c>
    </row>
    <row r="34" spans="1:13" x14ac:dyDescent="0.25">
      <c r="A34" s="297">
        <f>'A) Base RI'!A36</f>
        <v>5436</v>
      </c>
      <c r="B34" s="32" t="str">
        <f>'A) Base RI'!B36</f>
        <v>Saint-Oyens</v>
      </c>
      <c r="C34" s="295">
        <f>'B) D RI'!U36</f>
        <v>16764.305154320984</v>
      </c>
      <c r="D34" s="32">
        <f>'B) D RI'!AA36</f>
        <v>461</v>
      </c>
      <c r="E34" s="201">
        <f t="shared" si="2"/>
        <v>36.365087102648552</v>
      </c>
      <c r="F34" s="368">
        <f t="shared" si="3"/>
        <v>0.75488518633342083</v>
      </c>
      <c r="G34" s="379">
        <f t="shared" si="4"/>
        <v>0</v>
      </c>
      <c r="H34" s="376">
        <f t="shared" si="5"/>
        <v>0</v>
      </c>
      <c r="I34" s="379">
        <f t="shared" si="6"/>
        <v>0</v>
      </c>
      <c r="J34" s="376">
        <f t="shared" si="7"/>
        <v>0</v>
      </c>
      <c r="K34" s="371">
        <f t="shared" si="8"/>
        <v>0</v>
      </c>
      <c r="L34" s="375">
        <f t="shared" si="9"/>
        <v>0</v>
      </c>
      <c r="M34" s="113">
        <f>L34*D34*'B) D RI'!S36</f>
        <v>0</v>
      </c>
    </row>
    <row r="35" spans="1:13" x14ac:dyDescent="0.25">
      <c r="A35" s="297">
        <f>'A) Base RI'!A37</f>
        <v>5437</v>
      </c>
      <c r="B35" s="32" t="str">
        <f>'A) Base RI'!B37</f>
        <v>Saubraz</v>
      </c>
      <c r="C35" s="295">
        <f>'B) D RI'!U37</f>
        <v>13391.905875</v>
      </c>
      <c r="D35" s="32">
        <f>'B) D RI'!AA37</f>
        <v>423</v>
      </c>
      <c r="E35" s="201">
        <f t="shared" si="2"/>
        <v>31.659351950354612</v>
      </c>
      <c r="F35" s="368">
        <f t="shared" si="3"/>
        <v>0.6572011151459104</v>
      </c>
      <c r="G35" s="379">
        <f t="shared" si="4"/>
        <v>0</v>
      </c>
      <c r="H35" s="376">
        <f t="shared" si="5"/>
        <v>0</v>
      </c>
      <c r="I35" s="379">
        <f t="shared" si="6"/>
        <v>0</v>
      </c>
      <c r="J35" s="376">
        <f t="shared" si="7"/>
        <v>0</v>
      </c>
      <c r="K35" s="371">
        <f t="shared" si="8"/>
        <v>0</v>
      </c>
      <c r="L35" s="375">
        <f t="shared" si="9"/>
        <v>0</v>
      </c>
      <c r="M35" s="113">
        <f>L35*D35*'B) D RI'!S37</f>
        <v>0</v>
      </c>
    </row>
    <row r="36" spans="1:13" x14ac:dyDescent="0.25">
      <c r="A36" s="297">
        <f>'A) Base RI'!A38</f>
        <v>5451</v>
      </c>
      <c r="B36" s="32" t="str">
        <f>'A) Base RI'!B38</f>
        <v>Avenches</v>
      </c>
      <c r="C36" s="295">
        <f>'B) D RI'!U38</f>
        <v>129500.81187969925</v>
      </c>
      <c r="D36" s="32">
        <f>'B) D RI'!AA38</f>
        <v>4482</v>
      </c>
      <c r="E36" s="201">
        <f t="shared" si="2"/>
        <v>28.893532324787873</v>
      </c>
      <c r="F36" s="368">
        <f t="shared" si="3"/>
        <v>0.5997868084644199</v>
      </c>
      <c r="G36" s="379">
        <f t="shared" si="4"/>
        <v>0</v>
      </c>
      <c r="H36" s="376">
        <f t="shared" si="5"/>
        <v>0</v>
      </c>
      <c r="I36" s="379">
        <f t="shared" si="6"/>
        <v>0</v>
      </c>
      <c r="J36" s="376">
        <f t="shared" si="7"/>
        <v>0</v>
      </c>
      <c r="K36" s="371">
        <f t="shared" si="8"/>
        <v>0</v>
      </c>
      <c r="L36" s="375">
        <f t="shared" si="9"/>
        <v>0</v>
      </c>
      <c r="M36" s="113">
        <f>L36*D36*'B) D RI'!S38</f>
        <v>0</v>
      </c>
    </row>
    <row r="37" spans="1:13" x14ac:dyDescent="0.25">
      <c r="A37" s="297">
        <f>'A) Base RI'!A39</f>
        <v>5456</v>
      </c>
      <c r="B37" s="32" t="str">
        <f>'A) Base RI'!B39</f>
        <v>Cudrefin</v>
      </c>
      <c r="C37" s="295">
        <f>'B) D RI'!U39</f>
        <v>64226.933276836171</v>
      </c>
      <c r="D37" s="32">
        <f>'B) D RI'!AA39</f>
        <v>1780</v>
      </c>
      <c r="E37" s="201">
        <f t="shared" si="2"/>
        <v>36.082546784739421</v>
      </c>
      <c r="F37" s="368">
        <f t="shared" si="3"/>
        <v>0.74902006905955065</v>
      </c>
      <c r="G37" s="379">
        <f t="shared" si="4"/>
        <v>0</v>
      </c>
      <c r="H37" s="376">
        <f t="shared" si="5"/>
        <v>0</v>
      </c>
      <c r="I37" s="379">
        <f t="shared" si="6"/>
        <v>0</v>
      </c>
      <c r="J37" s="376">
        <f t="shared" si="7"/>
        <v>0</v>
      </c>
      <c r="K37" s="371">
        <f t="shared" si="8"/>
        <v>0</v>
      </c>
      <c r="L37" s="375">
        <f t="shared" si="9"/>
        <v>0</v>
      </c>
      <c r="M37" s="113">
        <f>L37*D37*'B) D RI'!S39</f>
        <v>0</v>
      </c>
    </row>
    <row r="38" spans="1:13" x14ac:dyDescent="0.25">
      <c r="A38" s="297">
        <f>'A) Base RI'!A40</f>
        <v>5458</v>
      </c>
      <c r="B38" s="32" t="str">
        <f>'A) Base RI'!B40</f>
        <v>Faoug</v>
      </c>
      <c r="C38" s="295">
        <f>'B) D RI'!U40</f>
        <v>32198.404090909091</v>
      </c>
      <c r="D38" s="32">
        <f>'B) D RI'!AA40</f>
        <v>881</v>
      </c>
      <c r="E38" s="201">
        <f t="shared" si="2"/>
        <v>36.547564234857084</v>
      </c>
      <c r="F38" s="368">
        <f t="shared" si="3"/>
        <v>0.75867314052035839</v>
      </c>
      <c r="G38" s="379">
        <f t="shared" si="4"/>
        <v>0</v>
      </c>
      <c r="H38" s="376">
        <f t="shared" si="5"/>
        <v>0</v>
      </c>
      <c r="I38" s="379">
        <f t="shared" si="6"/>
        <v>0</v>
      </c>
      <c r="J38" s="376">
        <f t="shared" si="7"/>
        <v>0</v>
      </c>
      <c r="K38" s="371">
        <f t="shared" si="8"/>
        <v>0</v>
      </c>
      <c r="L38" s="375">
        <f t="shared" si="9"/>
        <v>0</v>
      </c>
      <c r="M38" s="113">
        <f>L38*D38*'B) D RI'!S40</f>
        <v>0</v>
      </c>
    </row>
    <row r="39" spans="1:13" x14ac:dyDescent="0.25">
      <c r="A39" s="297">
        <f>'A) Base RI'!A41</f>
        <v>5464</v>
      </c>
      <c r="B39" s="32" t="str">
        <f>'A) Base RI'!B41</f>
        <v>Vully-les-Lacs</v>
      </c>
      <c r="C39" s="295">
        <f>'B) D RI'!U41</f>
        <v>111597.31895522389</v>
      </c>
      <c r="D39" s="32">
        <f>'B) D RI'!AA41</f>
        <v>3360</v>
      </c>
      <c r="E39" s="201">
        <f t="shared" si="2"/>
        <v>33.213487784292823</v>
      </c>
      <c r="F39" s="368">
        <f t="shared" si="3"/>
        <v>0.68946266632213304</v>
      </c>
      <c r="G39" s="379">
        <f t="shared" si="4"/>
        <v>0</v>
      </c>
      <c r="H39" s="376">
        <f t="shared" si="5"/>
        <v>0</v>
      </c>
      <c r="I39" s="379">
        <f t="shared" si="6"/>
        <v>0</v>
      </c>
      <c r="J39" s="376">
        <f t="shared" si="7"/>
        <v>0</v>
      </c>
      <c r="K39" s="371">
        <f t="shared" si="8"/>
        <v>0</v>
      </c>
      <c r="L39" s="375">
        <f t="shared" si="9"/>
        <v>0</v>
      </c>
      <c r="M39" s="113">
        <f>L39*D39*'B) D RI'!S41</f>
        <v>0</v>
      </c>
    </row>
    <row r="40" spans="1:13" x14ac:dyDescent="0.25">
      <c r="A40" s="297">
        <f>'A) Base RI'!A42</f>
        <v>5471</v>
      </c>
      <c r="B40" s="32" t="str">
        <f>'A) Base RI'!B42</f>
        <v>Bettens</v>
      </c>
      <c r="C40" s="295">
        <f>'B) D RI'!U42</f>
        <v>20385.282730158731</v>
      </c>
      <c r="D40" s="32">
        <f>'B) D RI'!AA42</f>
        <v>636</v>
      </c>
      <c r="E40" s="201">
        <f t="shared" si="2"/>
        <v>32.052331336727562</v>
      </c>
      <c r="F40" s="368">
        <f t="shared" si="3"/>
        <v>0.66535878341905286</v>
      </c>
      <c r="G40" s="379">
        <f t="shared" si="4"/>
        <v>0</v>
      </c>
      <c r="H40" s="376">
        <f t="shared" si="5"/>
        <v>0</v>
      </c>
      <c r="I40" s="379">
        <f t="shared" si="6"/>
        <v>0</v>
      </c>
      <c r="J40" s="376">
        <f t="shared" si="7"/>
        <v>0</v>
      </c>
      <c r="K40" s="371">
        <f t="shared" si="8"/>
        <v>0</v>
      </c>
      <c r="L40" s="375">
        <f t="shared" si="9"/>
        <v>0</v>
      </c>
      <c r="M40" s="113">
        <f>L40*D40*'B) D RI'!S42</f>
        <v>0</v>
      </c>
    </row>
    <row r="41" spans="1:13" x14ac:dyDescent="0.25">
      <c r="A41" s="297">
        <f>'A) Base RI'!A43</f>
        <v>5472</v>
      </c>
      <c r="B41" s="32" t="str">
        <f>'A) Base RI'!B43</f>
        <v>Bournens</v>
      </c>
      <c r="C41" s="295">
        <f>'B) D RI'!U43</f>
        <v>20143.161388888886</v>
      </c>
      <c r="D41" s="32">
        <f>'B) D RI'!AA43</f>
        <v>490</v>
      </c>
      <c r="E41" s="201">
        <f t="shared" si="2"/>
        <v>41.108492630385484</v>
      </c>
      <c r="F41" s="368">
        <f t="shared" si="3"/>
        <v>0.85335123855414763</v>
      </c>
      <c r="G41" s="379">
        <f t="shared" si="4"/>
        <v>0</v>
      </c>
      <c r="H41" s="376">
        <f t="shared" si="5"/>
        <v>0</v>
      </c>
      <c r="I41" s="379">
        <f t="shared" si="6"/>
        <v>0</v>
      </c>
      <c r="J41" s="376">
        <f t="shared" si="7"/>
        <v>0</v>
      </c>
      <c r="K41" s="371">
        <f t="shared" si="8"/>
        <v>0</v>
      </c>
      <c r="L41" s="375">
        <f t="shared" si="9"/>
        <v>0</v>
      </c>
      <c r="M41" s="113">
        <f>L41*D41*'B) D RI'!S43</f>
        <v>0</v>
      </c>
    </row>
    <row r="42" spans="1:13" x14ac:dyDescent="0.25">
      <c r="A42" s="297">
        <f>'A) Base RI'!A44</f>
        <v>5473</v>
      </c>
      <c r="B42" s="32" t="str">
        <f>'A) Base RI'!B44</f>
        <v>Boussens</v>
      </c>
      <c r="C42" s="295">
        <f>'B) D RI'!U44</f>
        <v>37775.140592592586</v>
      </c>
      <c r="D42" s="32">
        <f>'B) D RI'!AA44</f>
        <v>999</v>
      </c>
      <c r="E42" s="201">
        <f t="shared" si="2"/>
        <v>37.812953546138722</v>
      </c>
      <c r="F42" s="368">
        <f t="shared" si="3"/>
        <v>0.78494074283174087</v>
      </c>
      <c r="G42" s="379">
        <f t="shared" si="4"/>
        <v>0</v>
      </c>
      <c r="H42" s="376">
        <f t="shared" si="5"/>
        <v>0</v>
      </c>
      <c r="I42" s="379">
        <f t="shared" si="6"/>
        <v>0</v>
      </c>
      <c r="J42" s="376">
        <f t="shared" si="7"/>
        <v>0</v>
      </c>
      <c r="K42" s="371">
        <f t="shared" si="8"/>
        <v>0</v>
      </c>
      <c r="L42" s="375">
        <f t="shared" si="9"/>
        <v>0</v>
      </c>
      <c r="M42" s="113">
        <f>L42*D42*'B) D RI'!S44</f>
        <v>0</v>
      </c>
    </row>
    <row r="43" spans="1:13" x14ac:dyDescent="0.25">
      <c r="A43" s="297">
        <f>'A) Base RI'!A45</f>
        <v>5474</v>
      </c>
      <c r="B43" s="32" t="str">
        <f>'A) Base RI'!B45</f>
        <v>La Chaux (Cossonay)</v>
      </c>
      <c r="C43" s="295">
        <f>'B) D RI'!U45</f>
        <v>13182.521580086577</v>
      </c>
      <c r="D43" s="32">
        <f>'B) D RI'!AA45</f>
        <v>391</v>
      </c>
      <c r="E43" s="201">
        <f t="shared" si="2"/>
        <v>33.714888951628076</v>
      </c>
      <c r="F43" s="368">
        <f t="shared" si="3"/>
        <v>0.6998710097027846</v>
      </c>
      <c r="G43" s="379">
        <f t="shared" si="4"/>
        <v>0</v>
      </c>
      <c r="H43" s="376">
        <f t="shared" si="5"/>
        <v>0</v>
      </c>
      <c r="I43" s="379">
        <f t="shared" si="6"/>
        <v>0</v>
      </c>
      <c r="J43" s="376">
        <f t="shared" si="7"/>
        <v>0</v>
      </c>
      <c r="K43" s="371">
        <f t="shared" si="8"/>
        <v>0</v>
      </c>
      <c r="L43" s="375">
        <f t="shared" si="9"/>
        <v>0</v>
      </c>
      <c r="M43" s="113">
        <f>L43*D43*'B) D RI'!S45</f>
        <v>0</v>
      </c>
    </row>
    <row r="44" spans="1:13" x14ac:dyDescent="0.25">
      <c r="A44" s="297">
        <f>'A) Base RI'!A46</f>
        <v>5475</v>
      </c>
      <c r="B44" s="32" t="str">
        <f>'A) Base RI'!B46</f>
        <v>Chavannes-le-Veyron</v>
      </c>
      <c r="C44" s="295">
        <f>'B) D RI'!U46</f>
        <v>3874.6645454545451</v>
      </c>
      <c r="D44" s="32">
        <f>'B) D RI'!AA46</f>
        <v>152</v>
      </c>
      <c r="E44" s="201">
        <f t="shared" si="2"/>
        <v>25.491214114832534</v>
      </c>
      <c r="F44" s="368">
        <f t="shared" si="3"/>
        <v>0.52915973671733563</v>
      </c>
      <c r="G44" s="379">
        <f t="shared" si="4"/>
        <v>0</v>
      </c>
      <c r="H44" s="376">
        <f t="shared" si="5"/>
        <v>0</v>
      </c>
      <c r="I44" s="379">
        <f t="shared" si="6"/>
        <v>0</v>
      </c>
      <c r="J44" s="376">
        <f t="shared" si="7"/>
        <v>0</v>
      </c>
      <c r="K44" s="371">
        <f t="shared" si="8"/>
        <v>0</v>
      </c>
      <c r="L44" s="375">
        <f t="shared" si="9"/>
        <v>0</v>
      </c>
      <c r="M44" s="113">
        <f>L44*D44*'B) D RI'!S46</f>
        <v>0</v>
      </c>
    </row>
    <row r="45" spans="1:13" x14ac:dyDescent="0.25">
      <c r="A45" s="297">
        <f>'A) Base RI'!A47</f>
        <v>5476</v>
      </c>
      <c r="B45" s="32" t="str">
        <f>'A) Base RI'!B47</f>
        <v>Chevilly</v>
      </c>
      <c r="C45" s="295">
        <f>'B) D RI'!U47</f>
        <v>11839.396756756756</v>
      </c>
      <c r="D45" s="32">
        <f>'B) D RI'!AA47</f>
        <v>317</v>
      </c>
      <c r="E45" s="201">
        <f t="shared" si="2"/>
        <v>37.348254753175887</v>
      </c>
      <c r="F45" s="368">
        <f t="shared" si="3"/>
        <v>0.77529428622008834</v>
      </c>
      <c r="G45" s="379">
        <f t="shared" si="4"/>
        <v>0</v>
      </c>
      <c r="H45" s="376">
        <f t="shared" si="5"/>
        <v>0</v>
      </c>
      <c r="I45" s="379">
        <f t="shared" si="6"/>
        <v>0</v>
      </c>
      <c r="J45" s="376">
        <f t="shared" si="7"/>
        <v>0</v>
      </c>
      <c r="K45" s="371">
        <f t="shared" si="8"/>
        <v>0</v>
      </c>
      <c r="L45" s="375">
        <f t="shared" si="9"/>
        <v>0</v>
      </c>
      <c r="M45" s="113">
        <f>L45*D45*'B) D RI'!S47</f>
        <v>0</v>
      </c>
    </row>
    <row r="46" spans="1:13" x14ac:dyDescent="0.25">
      <c r="A46" s="297">
        <f>'A) Base RI'!A48</f>
        <v>5477</v>
      </c>
      <c r="B46" s="32" t="str">
        <f>'A) Base RI'!B48</f>
        <v>Cossonay</v>
      </c>
      <c r="C46" s="295">
        <f>'B) D RI'!U48</f>
        <v>119154.03251798562</v>
      </c>
      <c r="D46" s="32">
        <f>'B) D RI'!AA48</f>
        <v>4222</v>
      </c>
      <c r="E46" s="201">
        <f t="shared" si="2"/>
        <v>28.22217728990659</v>
      </c>
      <c r="F46" s="368">
        <f t="shared" si="3"/>
        <v>0.58585047526737033</v>
      </c>
      <c r="G46" s="379">
        <f t="shared" si="4"/>
        <v>0</v>
      </c>
      <c r="H46" s="376">
        <f t="shared" si="5"/>
        <v>0</v>
      </c>
      <c r="I46" s="379">
        <f t="shared" si="6"/>
        <v>0</v>
      </c>
      <c r="J46" s="376">
        <f t="shared" si="7"/>
        <v>0</v>
      </c>
      <c r="K46" s="371">
        <f t="shared" si="8"/>
        <v>0</v>
      </c>
      <c r="L46" s="375">
        <f t="shared" si="9"/>
        <v>0</v>
      </c>
      <c r="M46" s="113">
        <f>L46*D46*'B) D RI'!S48</f>
        <v>0</v>
      </c>
    </row>
    <row r="47" spans="1:13" x14ac:dyDescent="0.25">
      <c r="A47" s="297">
        <f>'A) Base RI'!A49</f>
        <v>5478</v>
      </c>
      <c r="B47" s="32" t="str">
        <f>'A) Base RI'!B49</f>
        <v>Cottens</v>
      </c>
      <c r="C47" s="295">
        <f>'B) D RI'!U49</f>
        <v>16291.497837837833</v>
      </c>
      <c r="D47" s="32">
        <f>'B) D RI'!AA49</f>
        <v>491</v>
      </c>
      <c r="E47" s="201">
        <f t="shared" si="2"/>
        <v>33.180239995596402</v>
      </c>
      <c r="F47" s="368">
        <f t="shared" si="3"/>
        <v>0.68877249161983067</v>
      </c>
      <c r="G47" s="379">
        <f t="shared" si="4"/>
        <v>0</v>
      </c>
      <c r="H47" s="376">
        <f t="shared" si="5"/>
        <v>0</v>
      </c>
      <c r="I47" s="379">
        <f t="shared" si="6"/>
        <v>0</v>
      </c>
      <c r="J47" s="376">
        <f t="shared" si="7"/>
        <v>0</v>
      </c>
      <c r="K47" s="371">
        <f t="shared" si="8"/>
        <v>0</v>
      </c>
      <c r="L47" s="375">
        <f t="shared" si="9"/>
        <v>0</v>
      </c>
      <c r="M47" s="113">
        <f>L47*D47*'B) D RI'!S49</f>
        <v>0</v>
      </c>
    </row>
    <row r="48" spans="1:13" x14ac:dyDescent="0.25">
      <c r="A48" s="297">
        <f>'A) Base RI'!A50</f>
        <v>5479</v>
      </c>
      <c r="B48" s="32" t="str">
        <f>'A) Base RI'!B50</f>
        <v>Cuarnens</v>
      </c>
      <c r="C48" s="295">
        <f>'B) D RI'!U50</f>
        <v>18068.978311688308</v>
      </c>
      <c r="D48" s="32">
        <f>'B) D RI'!AA50</f>
        <v>527</v>
      </c>
      <c r="E48" s="201">
        <f t="shared" si="2"/>
        <v>34.286486359939865</v>
      </c>
      <c r="F48" s="368">
        <f t="shared" si="3"/>
        <v>0.71173652276654176</v>
      </c>
      <c r="G48" s="379">
        <f t="shared" si="4"/>
        <v>0</v>
      </c>
      <c r="H48" s="376">
        <f t="shared" si="5"/>
        <v>0</v>
      </c>
      <c r="I48" s="379">
        <f t="shared" si="6"/>
        <v>0</v>
      </c>
      <c r="J48" s="376">
        <f t="shared" si="7"/>
        <v>0</v>
      </c>
      <c r="K48" s="371">
        <f t="shared" si="8"/>
        <v>0</v>
      </c>
      <c r="L48" s="375">
        <f t="shared" si="9"/>
        <v>0</v>
      </c>
      <c r="M48" s="113">
        <f>L48*D48*'B) D RI'!S50</f>
        <v>0</v>
      </c>
    </row>
    <row r="49" spans="1:13" x14ac:dyDescent="0.25">
      <c r="A49" s="297">
        <f>'A) Base RI'!A51</f>
        <v>5480</v>
      </c>
      <c r="B49" s="32" t="str">
        <f>'A) Base RI'!B51</f>
        <v>Daillens</v>
      </c>
      <c r="C49" s="295">
        <f>'B) D RI'!U51</f>
        <v>40977.441060606063</v>
      </c>
      <c r="D49" s="32">
        <f>'B) D RI'!AA51</f>
        <v>1048</v>
      </c>
      <c r="E49" s="201">
        <f t="shared" si="2"/>
        <v>39.100611699051584</v>
      </c>
      <c r="F49" s="368">
        <f t="shared" si="3"/>
        <v>0.81167061321405543</v>
      </c>
      <c r="G49" s="379">
        <f t="shared" si="4"/>
        <v>0</v>
      </c>
      <c r="H49" s="376">
        <f t="shared" si="5"/>
        <v>0</v>
      </c>
      <c r="I49" s="379">
        <f t="shared" si="6"/>
        <v>0</v>
      </c>
      <c r="J49" s="376">
        <f t="shared" si="7"/>
        <v>0</v>
      </c>
      <c r="K49" s="371">
        <f t="shared" si="8"/>
        <v>0</v>
      </c>
      <c r="L49" s="375">
        <f t="shared" si="9"/>
        <v>0</v>
      </c>
      <c r="M49" s="113">
        <f>L49*D49*'B) D RI'!S51</f>
        <v>0</v>
      </c>
    </row>
    <row r="50" spans="1:13" x14ac:dyDescent="0.25">
      <c r="A50" s="297">
        <f>'A) Base RI'!A52</f>
        <v>5481</v>
      </c>
      <c r="B50" s="32" t="str">
        <f>'A) Base RI'!B52</f>
        <v>Dizy</v>
      </c>
      <c r="C50" s="295">
        <f>'B) D RI'!U52</f>
        <v>8124.1672000000008</v>
      </c>
      <c r="D50" s="32">
        <f>'B) D RI'!AA52</f>
        <v>224</v>
      </c>
      <c r="E50" s="201">
        <f t="shared" si="2"/>
        <v>36.268603571428578</v>
      </c>
      <c r="F50" s="368">
        <f t="shared" si="3"/>
        <v>0.75288233155577367</v>
      </c>
      <c r="G50" s="379">
        <f t="shared" si="4"/>
        <v>0</v>
      </c>
      <c r="H50" s="376">
        <f t="shared" si="5"/>
        <v>0</v>
      </c>
      <c r="I50" s="379">
        <f t="shared" si="6"/>
        <v>0</v>
      </c>
      <c r="J50" s="376">
        <f t="shared" si="7"/>
        <v>0</v>
      </c>
      <c r="K50" s="371">
        <f t="shared" si="8"/>
        <v>0</v>
      </c>
      <c r="L50" s="375">
        <f t="shared" si="9"/>
        <v>0</v>
      </c>
      <c r="M50" s="113">
        <f>L50*D50*'B) D RI'!S52</f>
        <v>0</v>
      </c>
    </row>
    <row r="51" spans="1:13" x14ac:dyDescent="0.25">
      <c r="A51" s="297">
        <f>'A) Base RI'!A53</f>
        <v>5482</v>
      </c>
      <c r="B51" s="32" t="str">
        <f>'A) Base RI'!B53</f>
        <v>Eclépens</v>
      </c>
      <c r="C51" s="295">
        <f>'B) D RI'!U53</f>
        <v>70911.930217391302</v>
      </c>
      <c r="D51" s="32">
        <f>'B) D RI'!AA53</f>
        <v>1220</v>
      </c>
      <c r="E51" s="201">
        <f t="shared" si="2"/>
        <v>58.124532965074835</v>
      </c>
      <c r="F51" s="368">
        <f t="shared" si="3"/>
        <v>1.2065789578347494</v>
      </c>
      <c r="G51" s="379">
        <f t="shared" si="4"/>
        <v>9.9515289626003849</v>
      </c>
      <c r="H51" s="376">
        <f t="shared" si="5"/>
        <v>0.31692816210549779</v>
      </c>
      <c r="I51" s="379">
        <f t="shared" si="6"/>
        <v>0</v>
      </c>
      <c r="J51" s="376">
        <f t="shared" si="7"/>
        <v>0</v>
      </c>
      <c r="K51" s="371">
        <f t="shared" si="8"/>
        <v>0</v>
      </c>
      <c r="L51" s="375">
        <f t="shared" si="9"/>
        <v>2.0219986087306268</v>
      </c>
      <c r="M51" s="113">
        <f>L51*D51*'B) D RI'!S53</f>
        <v>113474.56192196278</v>
      </c>
    </row>
    <row r="52" spans="1:13" x14ac:dyDescent="0.25">
      <c r="A52" s="297">
        <f>'A) Base RI'!A54</f>
        <v>5483</v>
      </c>
      <c r="B52" s="32" t="str">
        <f>'A) Base RI'!B54</f>
        <v>Ferreyres</v>
      </c>
      <c r="C52" s="295">
        <f>'B) D RI'!U54</f>
        <v>10820.315000000001</v>
      </c>
      <c r="D52" s="32">
        <f>'B) D RI'!AA54</f>
        <v>319</v>
      </c>
      <c r="E52" s="201">
        <f t="shared" si="2"/>
        <v>33.919482758620688</v>
      </c>
      <c r="F52" s="368">
        <f t="shared" si="3"/>
        <v>0.70411807320295794</v>
      </c>
      <c r="G52" s="379">
        <f t="shared" si="4"/>
        <v>0</v>
      </c>
      <c r="H52" s="376">
        <f t="shared" si="5"/>
        <v>0</v>
      </c>
      <c r="I52" s="379">
        <f t="shared" si="6"/>
        <v>0</v>
      </c>
      <c r="J52" s="376">
        <f t="shared" si="7"/>
        <v>0</v>
      </c>
      <c r="K52" s="371">
        <f t="shared" si="8"/>
        <v>0</v>
      </c>
      <c r="L52" s="375">
        <f t="shared" si="9"/>
        <v>0</v>
      </c>
      <c r="M52" s="113">
        <f>L52*D52*'B) D RI'!S54</f>
        <v>0</v>
      </c>
    </row>
    <row r="53" spans="1:13" x14ac:dyDescent="0.25">
      <c r="A53" s="297">
        <f>'A) Base RI'!A55</f>
        <v>5484</v>
      </c>
      <c r="B53" s="32" t="str">
        <f>'A) Base RI'!B55</f>
        <v>Gollion</v>
      </c>
      <c r="C53" s="295">
        <f>'B) D RI'!U55</f>
        <v>34996.98554054054</v>
      </c>
      <c r="D53" s="32">
        <f>'B) D RI'!AA55</f>
        <v>996</v>
      </c>
      <c r="E53" s="201">
        <f t="shared" si="2"/>
        <v>35.137535683273633</v>
      </c>
      <c r="F53" s="368">
        <f t="shared" si="3"/>
        <v>0.72940304244818865</v>
      </c>
      <c r="G53" s="379">
        <f t="shared" si="4"/>
        <v>0</v>
      </c>
      <c r="H53" s="376">
        <f t="shared" si="5"/>
        <v>0</v>
      </c>
      <c r="I53" s="379">
        <f t="shared" si="6"/>
        <v>0</v>
      </c>
      <c r="J53" s="376">
        <f t="shared" si="7"/>
        <v>0</v>
      </c>
      <c r="K53" s="371">
        <f t="shared" si="8"/>
        <v>0</v>
      </c>
      <c r="L53" s="375">
        <f t="shared" si="9"/>
        <v>0</v>
      </c>
      <c r="M53" s="113">
        <f>L53*D53*'B) D RI'!S55</f>
        <v>0</v>
      </c>
    </row>
    <row r="54" spans="1:13" x14ac:dyDescent="0.25">
      <c r="A54" s="297">
        <f>'A) Base RI'!A56</f>
        <v>5485</v>
      </c>
      <c r="B54" s="32" t="str">
        <f>'A) Base RI'!B56</f>
        <v>Grancy</v>
      </c>
      <c r="C54" s="295">
        <f>'B) D RI'!U56</f>
        <v>14542.352714285715</v>
      </c>
      <c r="D54" s="32">
        <f>'B) D RI'!AA56</f>
        <v>406</v>
      </c>
      <c r="E54" s="201">
        <f t="shared" si="2"/>
        <v>35.818602744546098</v>
      </c>
      <c r="F54" s="368">
        <f t="shared" si="3"/>
        <v>0.74354098288548176</v>
      </c>
      <c r="G54" s="379">
        <f t="shared" si="4"/>
        <v>0</v>
      </c>
      <c r="H54" s="376">
        <f t="shared" si="5"/>
        <v>0</v>
      </c>
      <c r="I54" s="379">
        <f t="shared" si="6"/>
        <v>0</v>
      </c>
      <c r="J54" s="376">
        <f t="shared" si="7"/>
        <v>0</v>
      </c>
      <c r="K54" s="371">
        <f t="shared" si="8"/>
        <v>0</v>
      </c>
      <c r="L54" s="375">
        <f t="shared" si="9"/>
        <v>0</v>
      </c>
      <c r="M54" s="113">
        <f>L54*D54*'B) D RI'!S56</f>
        <v>0</v>
      </c>
    </row>
    <row r="55" spans="1:13" x14ac:dyDescent="0.25">
      <c r="A55" s="297">
        <f>'A) Base RI'!A57</f>
        <v>5486</v>
      </c>
      <c r="B55" s="32" t="str">
        <f>'A) Base RI'!B57</f>
        <v>L'Isle</v>
      </c>
      <c r="C55" s="295">
        <f>'B) D RI'!U57</f>
        <v>37459.560399999995</v>
      </c>
      <c r="D55" s="32">
        <f>'B) D RI'!AA57</f>
        <v>1065</v>
      </c>
      <c r="E55" s="201">
        <f t="shared" si="2"/>
        <v>35.173296150234734</v>
      </c>
      <c r="F55" s="368">
        <f t="shared" si="3"/>
        <v>0.73014537661857304</v>
      </c>
      <c r="G55" s="379">
        <f t="shared" si="4"/>
        <v>0</v>
      </c>
      <c r="H55" s="376">
        <f t="shared" si="5"/>
        <v>0</v>
      </c>
      <c r="I55" s="379">
        <f t="shared" si="6"/>
        <v>0</v>
      </c>
      <c r="J55" s="376">
        <f t="shared" si="7"/>
        <v>0</v>
      </c>
      <c r="K55" s="371">
        <f t="shared" si="8"/>
        <v>0</v>
      </c>
      <c r="L55" s="375">
        <f t="shared" si="9"/>
        <v>0</v>
      </c>
      <c r="M55" s="113">
        <f>L55*D55*'B) D RI'!S57</f>
        <v>0</v>
      </c>
    </row>
    <row r="56" spans="1:13" x14ac:dyDescent="0.25">
      <c r="A56" s="297">
        <f>'A) Base RI'!A58</f>
        <v>5487</v>
      </c>
      <c r="B56" s="32" t="str">
        <f>'A) Base RI'!B58</f>
        <v>Lussery-Villars</v>
      </c>
      <c r="C56" s="295">
        <f>'B) D RI'!U58</f>
        <v>12889.865466666668</v>
      </c>
      <c r="D56" s="32">
        <f>'B) D RI'!AA58</f>
        <v>459</v>
      </c>
      <c r="E56" s="201">
        <f t="shared" si="2"/>
        <v>28.082495570079885</v>
      </c>
      <c r="F56" s="368">
        <f t="shared" si="3"/>
        <v>0.58295089026703428</v>
      </c>
      <c r="G56" s="379">
        <f t="shared" si="4"/>
        <v>0</v>
      </c>
      <c r="H56" s="376">
        <f t="shared" si="5"/>
        <v>0</v>
      </c>
      <c r="I56" s="379">
        <f t="shared" si="6"/>
        <v>0</v>
      </c>
      <c r="J56" s="376">
        <f t="shared" si="7"/>
        <v>0</v>
      </c>
      <c r="K56" s="371">
        <f t="shared" si="8"/>
        <v>0</v>
      </c>
      <c r="L56" s="375">
        <f t="shared" si="9"/>
        <v>0</v>
      </c>
      <c r="M56" s="113">
        <f>L56*D56*'B) D RI'!S58</f>
        <v>0</v>
      </c>
    </row>
    <row r="57" spans="1:13" x14ac:dyDescent="0.25">
      <c r="A57" s="297">
        <f>'A) Base RI'!A59</f>
        <v>5488</v>
      </c>
      <c r="B57" s="32" t="str">
        <f>'A) Base RI'!B59</f>
        <v>Mauraz</v>
      </c>
      <c r="C57" s="295">
        <f>'B) D RI'!U59</f>
        <v>1632.1631168831173</v>
      </c>
      <c r="D57" s="32">
        <f>'B) D RI'!AA59</f>
        <v>58</v>
      </c>
      <c r="E57" s="201">
        <f t="shared" si="2"/>
        <v>28.140743394536504</v>
      </c>
      <c r="F57" s="368">
        <f t="shared" si="3"/>
        <v>0.58416002857307858</v>
      </c>
      <c r="G57" s="379">
        <f t="shared" si="4"/>
        <v>0</v>
      </c>
      <c r="H57" s="376">
        <f t="shared" si="5"/>
        <v>0</v>
      </c>
      <c r="I57" s="379">
        <f t="shared" si="6"/>
        <v>0</v>
      </c>
      <c r="J57" s="376">
        <f t="shared" si="7"/>
        <v>0</v>
      </c>
      <c r="K57" s="371">
        <f t="shared" si="8"/>
        <v>0</v>
      </c>
      <c r="L57" s="375">
        <f t="shared" si="9"/>
        <v>0</v>
      </c>
      <c r="M57" s="113">
        <f>L57*D57*'B) D RI'!S59</f>
        <v>0</v>
      </c>
    </row>
    <row r="58" spans="1:13" x14ac:dyDescent="0.25">
      <c r="A58" s="297">
        <f>'A) Base RI'!A60</f>
        <v>5489</v>
      </c>
      <c r="B58" s="32" t="str">
        <f>'A) Base RI'!B60</f>
        <v>Mex</v>
      </c>
      <c r="C58" s="295">
        <f>'B) D RI'!U60</f>
        <v>57496.164201680658</v>
      </c>
      <c r="D58" s="32">
        <f>'B) D RI'!AA60</f>
        <v>791</v>
      </c>
      <c r="E58" s="201">
        <f t="shared" si="2"/>
        <v>72.687944629179086</v>
      </c>
      <c r="F58" s="368">
        <f t="shared" si="3"/>
        <v>1.5088937494005026</v>
      </c>
      <c r="G58" s="379">
        <f t="shared" si="4"/>
        <v>24.514940626704636</v>
      </c>
      <c r="H58" s="376">
        <f t="shared" si="5"/>
        <v>14.880339826209749</v>
      </c>
      <c r="I58" s="379">
        <f t="shared" si="6"/>
        <v>0.42843862546740752</v>
      </c>
      <c r="J58" s="376">
        <f t="shared" si="7"/>
        <v>0</v>
      </c>
      <c r="K58" s="371">
        <f t="shared" si="8"/>
        <v>0</v>
      </c>
      <c r="L58" s="375">
        <f t="shared" si="9"/>
        <v>6.4338659705086423</v>
      </c>
      <c r="M58" s="113">
        <f>L58*D58*'B) D RI'!S60</f>
        <v>302806.68496900401</v>
      </c>
    </row>
    <row r="59" spans="1:13" x14ac:dyDescent="0.25">
      <c r="A59" s="297">
        <f>'A) Base RI'!A61</f>
        <v>5490</v>
      </c>
      <c r="B59" s="32" t="str">
        <f>'A) Base RI'!B61</f>
        <v>Moiry</v>
      </c>
      <c r="C59" s="295">
        <f>'B) D RI'!U61</f>
        <v>8655.909290322581</v>
      </c>
      <c r="D59" s="32">
        <f>'B) D RI'!AA61</f>
        <v>311</v>
      </c>
      <c r="E59" s="201">
        <f t="shared" si="2"/>
        <v>27.832505756664247</v>
      </c>
      <c r="F59" s="368">
        <f t="shared" si="3"/>
        <v>0.57776147311125969</v>
      </c>
      <c r="G59" s="379">
        <f t="shared" si="4"/>
        <v>0</v>
      </c>
      <c r="H59" s="376">
        <f t="shared" si="5"/>
        <v>0</v>
      </c>
      <c r="I59" s="379">
        <f t="shared" si="6"/>
        <v>0</v>
      </c>
      <c r="J59" s="376">
        <f t="shared" si="7"/>
        <v>0</v>
      </c>
      <c r="K59" s="371">
        <f t="shared" si="8"/>
        <v>0</v>
      </c>
      <c r="L59" s="375">
        <f t="shared" si="9"/>
        <v>0</v>
      </c>
      <c r="M59" s="113">
        <f>L59*D59*'B) D RI'!S61</f>
        <v>0</v>
      </c>
    </row>
    <row r="60" spans="1:13" x14ac:dyDescent="0.25">
      <c r="A60" s="297">
        <f>'A) Base RI'!A62</f>
        <v>5491</v>
      </c>
      <c r="B60" s="32" t="str">
        <f>'A) Base RI'!B62</f>
        <v>Mont-la-Ville</v>
      </c>
      <c r="C60" s="295">
        <f>'B) D RI'!U62</f>
        <v>14323.284736842104</v>
      </c>
      <c r="D60" s="32">
        <f>'B) D RI'!AA62</f>
        <v>490</v>
      </c>
      <c r="E60" s="201">
        <f t="shared" si="2"/>
        <v>29.231193340494091</v>
      </c>
      <c r="F60" s="368">
        <f t="shared" si="3"/>
        <v>0.60679614954036509</v>
      </c>
      <c r="G60" s="379">
        <f t="shared" si="4"/>
        <v>0</v>
      </c>
      <c r="H60" s="376">
        <f t="shared" si="5"/>
        <v>0</v>
      </c>
      <c r="I60" s="379">
        <f t="shared" si="6"/>
        <v>0</v>
      </c>
      <c r="J60" s="376">
        <f t="shared" si="7"/>
        <v>0</v>
      </c>
      <c r="K60" s="371">
        <f t="shared" si="8"/>
        <v>0</v>
      </c>
      <c r="L60" s="375">
        <f t="shared" si="9"/>
        <v>0</v>
      </c>
      <c r="M60" s="113">
        <f>L60*D60*'B) D RI'!S62</f>
        <v>0</v>
      </c>
    </row>
    <row r="61" spans="1:13" x14ac:dyDescent="0.25">
      <c r="A61" s="297">
        <f>'A) Base RI'!A63</f>
        <v>5492</v>
      </c>
      <c r="B61" s="32" t="str">
        <f>'A) Base RI'!B63</f>
        <v>Montricher</v>
      </c>
      <c r="C61" s="295">
        <f>'B) D RI'!U63</f>
        <v>157154.96692708335</v>
      </c>
      <c r="D61" s="32">
        <f>'B) D RI'!AA63</f>
        <v>964</v>
      </c>
      <c r="E61" s="201">
        <f t="shared" si="2"/>
        <v>163.02382461315702</v>
      </c>
      <c r="F61" s="368">
        <f t="shared" si="3"/>
        <v>3.3841324199915612</v>
      </c>
      <c r="G61" s="379">
        <f t="shared" si="4"/>
        <v>114.85082061068258</v>
      </c>
      <c r="H61" s="376">
        <f t="shared" si="5"/>
        <v>105.21621981018768</v>
      </c>
      <c r="I61" s="379">
        <f t="shared" si="6"/>
        <v>90.76431860944534</v>
      </c>
      <c r="J61" s="376">
        <f t="shared" si="7"/>
        <v>66.677816608208119</v>
      </c>
      <c r="K61" s="371">
        <f t="shared" si="8"/>
        <v>18.504812605733662</v>
      </c>
      <c r="L61" s="375">
        <f t="shared" si="9"/>
        <v>51.086480885493998</v>
      </c>
      <c r="M61" s="113">
        <f>L61*D61*'B) D RI'!S63</f>
        <v>3151831.5247114375</v>
      </c>
    </row>
    <row r="62" spans="1:13" x14ac:dyDescent="0.25">
      <c r="A62" s="297">
        <f>'A) Base RI'!A64</f>
        <v>5493</v>
      </c>
      <c r="B62" s="32" t="str">
        <f>'A) Base RI'!B64</f>
        <v>Orny</v>
      </c>
      <c r="C62" s="295">
        <f>'B) D RI'!U64</f>
        <v>12885.017723919913</v>
      </c>
      <c r="D62" s="32">
        <f>'B) D RI'!AA64</f>
        <v>462</v>
      </c>
      <c r="E62" s="201">
        <f t="shared" si="2"/>
        <v>27.889648753073406</v>
      </c>
      <c r="F62" s="368">
        <f t="shared" si="3"/>
        <v>0.57894767682830883</v>
      </c>
      <c r="G62" s="379">
        <f t="shared" si="4"/>
        <v>0</v>
      </c>
      <c r="H62" s="376">
        <f t="shared" si="5"/>
        <v>0</v>
      </c>
      <c r="I62" s="379">
        <f t="shared" si="6"/>
        <v>0</v>
      </c>
      <c r="J62" s="376">
        <f t="shared" si="7"/>
        <v>0</v>
      </c>
      <c r="K62" s="371">
        <f t="shared" si="8"/>
        <v>0</v>
      </c>
      <c r="L62" s="375">
        <f t="shared" si="9"/>
        <v>0</v>
      </c>
      <c r="M62" s="113">
        <f>L62*D62*'B) D RI'!S64</f>
        <v>0</v>
      </c>
    </row>
    <row r="63" spans="1:13" x14ac:dyDescent="0.25">
      <c r="A63" s="297">
        <f>'A) Base RI'!A65</f>
        <v>5494</v>
      </c>
      <c r="B63" s="32" t="str">
        <f>'A) Base RI'!B65</f>
        <v>Pampigny</v>
      </c>
      <c r="C63" s="295">
        <f>'B) D RI'!U65</f>
        <v>36607.87342465754</v>
      </c>
      <c r="D63" s="32">
        <f>'B) D RI'!AA65</f>
        <v>1128</v>
      </c>
      <c r="E63" s="201">
        <f t="shared" si="2"/>
        <v>32.453788497036825</v>
      </c>
      <c r="F63" s="368">
        <f t="shared" si="3"/>
        <v>0.67369243768501141</v>
      </c>
      <c r="G63" s="379">
        <f t="shared" si="4"/>
        <v>0</v>
      </c>
      <c r="H63" s="376">
        <f t="shared" si="5"/>
        <v>0</v>
      </c>
      <c r="I63" s="379">
        <f t="shared" si="6"/>
        <v>0</v>
      </c>
      <c r="J63" s="376">
        <f t="shared" si="7"/>
        <v>0</v>
      </c>
      <c r="K63" s="371">
        <f t="shared" si="8"/>
        <v>0</v>
      </c>
      <c r="L63" s="375">
        <f t="shared" si="9"/>
        <v>0</v>
      </c>
      <c r="M63" s="113">
        <f>L63*D63*'B) D RI'!S65</f>
        <v>0</v>
      </c>
    </row>
    <row r="64" spans="1:13" x14ac:dyDescent="0.25">
      <c r="A64" s="297">
        <f>'A) Base RI'!A66</f>
        <v>5495</v>
      </c>
      <c r="B64" s="32" t="str">
        <f>'A) Base RI'!B66</f>
        <v>Penthalaz</v>
      </c>
      <c r="C64" s="295">
        <f>'B) D RI'!U66</f>
        <v>93361.472702702697</v>
      </c>
      <c r="D64" s="32">
        <f>'B) D RI'!AA66</f>
        <v>3207</v>
      </c>
      <c r="E64" s="201">
        <f t="shared" si="2"/>
        <v>29.111778204771653</v>
      </c>
      <c r="F64" s="368">
        <f t="shared" si="3"/>
        <v>0.60431726871914193</v>
      </c>
      <c r="G64" s="379">
        <f t="shared" si="4"/>
        <v>0</v>
      </c>
      <c r="H64" s="376">
        <f t="shared" si="5"/>
        <v>0</v>
      </c>
      <c r="I64" s="379">
        <f t="shared" si="6"/>
        <v>0</v>
      </c>
      <c r="J64" s="376">
        <f t="shared" si="7"/>
        <v>0</v>
      </c>
      <c r="K64" s="371">
        <f t="shared" si="8"/>
        <v>0</v>
      </c>
      <c r="L64" s="375">
        <f t="shared" si="9"/>
        <v>0</v>
      </c>
      <c r="M64" s="113">
        <f>L64*D64*'B) D RI'!S66</f>
        <v>0</v>
      </c>
    </row>
    <row r="65" spans="1:13" x14ac:dyDescent="0.25">
      <c r="A65" s="297">
        <f>'A) Base RI'!A67</f>
        <v>5496</v>
      </c>
      <c r="B65" s="32" t="str">
        <f>'A) Base RI'!B67</f>
        <v>Penthaz</v>
      </c>
      <c r="C65" s="295">
        <f>'B) D RI'!U67</f>
        <v>60131.11913669065</v>
      </c>
      <c r="D65" s="32">
        <f>'B) D RI'!AA67</f>
        <v>1855</v>
      </c>
      <c r="E65" s="201">
        <f t="shared" si="2"/>
        <v>32.415697647811669</v>
      </c>
      <c r="F65" s="368">
        <f t="shared" si="3"/>
        <v>0.67290172824070937</v>
      </c>
      <c r="G65" s="379">
        <f t="shared" si="4"/>
        <v>0</v>
      </c>
      <c r="H65" s="376">
        <f t="shared" si="5"/>
        <v>0</v>
      </c>
      <c r="I65" s="379">
        <f t="shared" si="6"/>
        <v>0</v>
      </c>
      <c r="J65" s="376">
        <f t="shared" si="7"/>
        <v>0</v>
      </c>
      <c r="K65" s="371">
        <f t="shared" si="8"/>
        <v>0</v>
      </c>
      <c r="L65" s="375">
        <f t="shared" si="9"/>
        <v>0</v>
      </c>
      <c r="M65" s="113">
        <f>L65*D65*'B) D RI'!S67</f>
        <v>0</v>
      </c>
    </row>
    <row r="66" spans="1:13" x14ac:dyDescent="0.25">
      <c r="A66" s="297">
        <f>'A) Base RI'!A68</f>
        <v>5497</v>
      </c>
      <c r="B66" s="32" t="str">
        <f>'A) Base RI'!B68</f>
        <v>Pompaples</v>
      </c>
      <c r="C66" s="295">
        <f>'B) D RI'!U68</f>
        <v>20396.986060606061</v>
      </c>
      <c r="D66" s="32">
        <f>'B) D RI'!AA68</f>
        <v>847</v>
      </c>
      <c r="E66" s="201">
        <f t="shared" si="2"/>
        <v>24.08144753318307</v>
      </c>
      <c r="F66" s="368">
        <f t="shared" si="3"/>
        <v>0.49989507675182776</v>
      </c>
      <c r="G66" s="379">
        <f t="shared" si="4"/>
        <v>0</v>
      </c>
      <c r="H66" s="376">
        <f t="shared" si="5"/>
        <v>0</v>
      </c>
      <c r="I66" s="379">
        <f t="shared" si="6"/>
        <v>0</v>
      </c>
      <c r="J66" s="376">
        <f t="shared" si="7"/>
        <v>0</v>
      </c>
      <c r="K66" s="371">
        <f t="shared" si="8"/>
        <v>0</v>
      </c>
      <c r="L66" s="375">
        <f t="shared" si="9"/>
        <v>0</v>
      </c>
      <c r="M66" s="113">
        <f>L66*D66*'B) D RI'!S68</f>
        <v>0</v>
      </c>
    </row>
    <row r="67" spans="1:13" x14ac:dyDescent="0.25">
      <c r="A67" s="297">
        <f>'A) Base RI'!A69</f>
        <v>5498</v>
      </c>
      <c r="B67" s="32" t="str">
        <f>'A) Base RI'!B69</f>
        <v>La Sarraz</v>
      </c>
      <c r="C67" s="295">
        <f>'B) D RI'!U69</f>
        <v>77508.241969696974</v>
      </c>
      <c r="D67" s="32">
        <f>'B) D RI'!AA69</f>
        <v>2598</v>
      </c>
      <c r="E67" s="201">
        <f t="shared" si="2"/>
        <v>29.833811381715542</v>
      </c>
      <c r="F67" s="368">
        <f t="shared" si="3"/>
        <v>0.61930560486082831</v>
      </c>
      <c r="G67" s="379">
        <f t="shared" si="4"/>
        <v>0</v>
      </c>
      <c r="H67" s="376">
        <f t="shared" si="5"/>
        <v>0</v>
      </c>
      <c r="I67" s="379">
        <f t="shared" si="6"/>
        <v>0</v>
      </c>
      <c r="J67" s="376">
        <f t="shared" si="7"/>
        <v>0</v>
      </c>
      <c r="K67" s="371">
        <f t="shared" si="8"/>
        <v>0</v>
      </c>
      <c r="L67" s="375">
        <f t="shared" si="9"/>
        <v>0</v>
      </c>
      <c r="M67" s="113">
        <f>L67*D67*'B) D RI'!S69</f>
        <v>0</v>
      </c>
    </row>
    <row r="68" spans="1:13" x14ac:dyDescent="0.25">
      <c r="A68" s="297">
        <f>'A) Base RI'!A70</f>
        <v>5499</v>
      </c>
      <c r="B68" s="32" t="str">
        <f>'A) Base RI'!B70</f>
        <v>Senarclens</v>
      </c>
      <c r="C68" s="295">
        <f>'B) D RI'!U70</f>
        <v>19654.447445255475</v>
      </c>
      <c r="D68" s="32">
        <f>'B) D RI'!AA70</f>
        <v>496</v>
      </c>
      <c r="E68" s="201">
        <f t="shared" si="2"/>
        <v>39.62590210736991</v>
      </c>
      <c r="F68" s="368">
        <f t="shared" si="3"/>
        <v>0.82257486174900962</v>
      </c>
      <c r="G68" s="379">
        <f t="shared" si="4"/>
        <v>0</v>
      </c>
      <c r="H68" s="376">
        <f t="shared" si="5"/>
        <v>0</v>
      </c>
      <c r="I68" s="379">
        <f t="shared" si="6"/>
        <v>0</v>
      </c>
      <c r="J68" s="376">
        <f t="shared" si="7"/>
        <v>0</v>
      </c>
      <c r="K68" s="371">
        <f t="shared" si="8"/>
        <v>0</v>
      </c>
      <c r="L68" s="375">
        <f t="shared" si="9"/>
        <v>0</v>
      </c>
      <c r="M68" s="113">
        <f>L68*D68*'B) D RI'!S70</f>
        <v>0</v>
      </c>
    </row>
    <row r="69" spans="1:13" x14ac:dyDescent="0.25">
      <c r="A69" s="297">
        <f>'A) Base RI'!A71</f>
        <v>5500</v>
      </c>
      <c r="B69" s="32" t="str">
        <f>'A) Base RI'!B71</f>
        <v>Sévery</v>
      </c>
      <c r="C69" s="295">
        <f>'B) D RI'!U71</f>
        <v>7516.1401369863015</v>
      </c>
      <c r="D69" s="32">
        <f>'B) D RI'!AA71</f>
        <v>214</v>
      </c>
      <c r="E69" s="201">
        <f t="shared" si="2"/>
        <v>35.122150172833187</v>
      </c>
      <c r="F69" s="368">
        <f t="shared" si="3"/>
        <v>0.72908366210728948</v>
      </c>
      <c r="G69" s="379">
        <f t="shared" si="4"/>
        <v>0</v>
      </c>
      <c r="H69" s="376">
        <f t="shared" si="5"/>
        <v>0</v>
      </c>
      <c r="I69" s="379">
        <f t="shared" si="6"/>
        <v>0</v>
      </c>
      <c r="J69" s="376">
        <f t="shared" si="7"/>
        <v>0</v>
      </c>
      <c r="K69" s="371">
        <f t="shared" si="8"/>
        <v>0</v>
      </c>
      <c r="L69" s="375">
        <f t="shared" si="9"/>
        <v>0</v>
      </c>
      <c r="M69" s="113">
        <f>L69*D69*'B) D RI'!S71</f>
        <v>0</v>
      </c>
    </row>
    <row r="70" spans="1:13" x14ac:dyDescent="0.25">
      <c r="A70" s="297">
        <f>'A) Base RI'!A72</f>
        <v>5501</v>
      </c>
      <c r="B70" s="32" t="str">
        <f>'A) Base RI'!B72</f>
        <v>Sullens</v>
      </c>
      <c r="C70" s="295">
        <f>'B) D RI'!U72</f>
        <v>41921.141459854021</v>
      </c>
      <c r="D70" s="32">
        <f>'B) D RI'!AA72</f>
        <v>1041</v>
      </c>
      <c r="E70" s="201">
        <f t="shared" ref="E70:E133" si="10">C70/D70</f>
        <v>40.270068645392911</v>
      </c>
      <c r="F70" s="368">
        <f t="shared" ref="F70:F133" si="11">E70/$E$314</f>
        <v>0.83594680214097516</v>
      </c>
      <c r="G70" s="379">
        <f t="shared" ref="G70:G133" si="12">IF(E70-$G$2&lt;0,0,E70-$G$2)</f>
        <v>0</v>
      </c>
      <c r="H70" s="376">
        <f t="shared" ref="H70:H133" si="13">IF(E70-$H$2&lt;0,0,E70-$H$2)</f>
        <v>0</v>
      </c>
      <c r="I70" s="379">
        <f t="shared" ref="I70:I133" si="14">IF(E70-$I$2&lt;0,0,E70-$I$2)</f>
        <v>0</v>
      </c>
      <c r="J70" s="376">
        <f t="shared" ref="J70:J133" si="15">IF(E70-$J$2&lt;0,0,E70-$J$2)</f>
        <v>0</v>
      </c>
      <c r="K70" s="371">
        <f t="shared" ref="K70:K133" si="16">IF(E70-$K$2&lt;0,0,E70-$K$2)</f>
        <v>0</v>
      </c>
      <c r="L70" s="375">
        <f t="shared" ref="L70:L133" si="17">(G70-H70)*$G$3+(H70-I70)*$H$3+(I70-J70)*$I$3+(J70-K70)*$J$3+(K70*$K$3)</f>
        <v>0</v>
      </c>
      <c r="M70" s="113">
        <f>L70*D70*'B) D RI'!S72</f>
        <v>0</v>
      </c>
    </row>
    <row r="71" spans="1:13" x14ac:dyDescent="0.25">
      <c r="A71" s="297">
        <f>'A) Base RI'!A73</f>
        <v>5503</v>
      </c>
      <c r="B71" s="32" t="str">
        <f>'A) Base RI'!B73</f>
        <v>Vufflens-la-Ville</v>
      </c>
      <c r="C71" s="295">
        <f>'B) D RI'!U73</f>
        <v>67911.005771144279</v>
      </c>
      <c r="D71" s="32">
        <f>'B) D RI'!AA73</f>
        <v>1349</v>
      </c>
      <c r="E71" s="201">
        <f t="shared" si="10"/>
        <v>50.341738896326376</v>
      </c>
      <c r="F71" s="368">
        <f t="shared" si="11"/>
        <v>1.0450197146464133</v>
      </c>
      <c r="G71" s="379">
        <f t="shared" si="12"/>
        <v>2.1687348938519264</v>
      </c>
      <c r="H71" s="376">
        <f t="shared" si="13"/>
        <v>0</v>
      </c>
      <c r="I71" s="379">
        <f t="shared" si="14"/>
        <v>0</v>
      </c>
      <c r="J71" s="376">
        <f t="shared" si="15"/>
        <v>0</v>
      </c>
      <c r="K71" s="371">
        <f t="shared" si="16"/>
        <v>0</v>
      </c>
      <c r="L71" s="375">
        <f t="shared" si="17"/>
        <v>0.43374697877038532</v>
      </c>
      <c r="M71" s="113">
        <f>L71*D71*'B) D RI'!S73</f>
        <v>39203.35318220374</v>
      </c>
    </row>
    <row r="72" spans="1:13" x14ac:dyDescent="0.25">
      <c r="A72" s="297">
        <f>'A) Base RI'!A74</f>
        <v>5511</v>
      </c>
      <c r="B72" s="32" t="str">
        <f>'A) Base RI'!B74</f>
        <v>Assens</v>
      </c>
      <c r="C72" s="295">
        <f>'B) D RI'!U74</f>
        <v>44474.742571428564</v>
      </c>
      <c r="D72" s="32">
        <f>'B) D RI'!AA74</f>
        <v>1141</v>
      </c>
      <c r="E72" s="201">
        <f t="shared" si="10"/>
        <v>38.978740202829592</v>
      </c>
      <c r="F72" s="368">
        <f t="shared" si="11"/>
        <v>0.80914074199789188</v>
      </c>
      <c r="G72" s="379">
        <f t="shared" si="12"/>
        <v>0</v>
      </c>
      <c r="H72" s="376">
        <f t="shared" si="13"/>
        <v>0</v>
      </c>
      <c r="I72" s="379">
        <f t="shared" si="14"/>
        <v>0</v>
      </c>
      <c r="J72" s="376">
        <f t="shared" si="15"/>
        <v>0</v>
      </c>
      <c r="K72" s="371">
        <f t="shared" si="16"/>
        <v>0</v>
      </c>
      <c r="L72" s="375">
        <f t="shared" si="17"/>
        <v>0</v>
      </c>
      <c r="M72" s="113">
        <f>L72*D72*'B) D RI'!S74</f>
        <v>0</v>
      </c>
    </row>
    <row r="73" spans="1:13" x14ac:dyDescent="0.25">
      <c r="A73" s="297">
        <f>'A) Base RI'!A75</f>
        <v>5512</v>
      </c>
      <c r="B73" s="32" t="str">
        <f>'A) Base RI'!B75</f>
        <v>Bercher</v>
      </c>
      <c r="C73" s="295">
        <f>'B) D RI'!U75</f>
        <v>40313.482784810127</v>
      </c>
      <c r="D73" s="32">
        <f>'B) D RI'!AA75</f>
        <v>1323</v>
      </c>
      <c r="E73" s="201">
        <f t="shared" si="10"/>
        <v>30.471264387611583</v>
      </c>
      <c r="F73" s="368">
        <f t="shared" si="11"/>
        <v>0.63253818229908187</v>
      </c>
      <c r="G73" s="379">
        <f t="shared" si="12"/>
        <v>0</v>
      </c>
      <c r="H73" s="376">
        <f t="shared" si="13"/>
        <v>0</v>
      </c>
      <c r="I73" s="379">
        <f t="shared" si="14"/>
        <v>0</v>
      </c>
      <c r="J73" s="376">
        <f t="shared" si="15"/>
        <v>0</v>
      </c>
      <c r="K73" s="371">
        <f t="shared" si="16"/>
        <v>0</v>
      </c>
      <c r="L73" s="375">
        <f t="shared" si="17"/>
        <v>0</v>
      </c>
      <c r="M73" s="113">
        <f>L73*D73*'B) D RI'!S75</f>
        <v>0</v>
      </c>
    </row>
    <row r="74" spans="1:13" x14ac:dyDescent="0.25">
      <c r="A74" s="297">
        <f>'A) Base RI'!A76</f>
        <v>5513</v>
      </c>
      <c r="B74" s="32" t="str">
        <f>'A) Base RI'!B76</f>
        <v>Bioley-Orjulaz</v>
      </c>
      <c r="C74" s="295">
        <f>'B) D RI'!U76</f>
        <v>22644.962352941177</v>
      </c>
      <c r="D74" s="32">
        <f>'B) D RI'!AA76</f>
        <v>525</v>
      </c>
      <c r="E74" s="201">
        <f t="shared" si="10"/>
        <v>43.133261624649862</v>
      </c>
      <c r="F74" s="368">
        <f t="shared" si="11"/>
        <v>0.89538243499272507</v>
      </c>
      <c r="G74" s="379">
        <f t="shared" si="12"/>
        <v>0</v>
      </c>
      <c r="H74" s="376">
        <f t="shared" si="13"/>
        <v>0</v>
      </c>
      <c r="I74" s="379">
        <f t="shared" si="14"/>
        <v>0</v>
      </c>
      <c r="J74" s="376">
        <f t="shared" si="15"/>
        <v>0</v>
      </c>
      <c r="K74" s="371">
        <f t="shared" si="16"/>
        <v>0</v>
      </c>
      <c r="L74" s="375">
        <f t="shared" si="17"/>
        <v>0</v>
      </c>
      <c r="M74" s="113">
        <f>L74*D74*'B) D RI'!S76</f>
        <v>0</v>
      </c>
    </row>
    <row r="75" spans="1:13" x14ac:dyDescent="0.25">
      <c r="A75" s="297">
        <f>'A) Base RI'!A77</f>
        <v>5514</v>
      </c>
      <c r="B75" s="32" t="str">
        <f>'A) Base RI'!B77</f>
        <v>Bottens</v>
      </c>
      <c r="C75" s="295">
        <f>'B) D RI'!U77</f>
        <v>44190.368827586208</v>
      </c>
      <c r="D75" s="32">
        <f>'B) D RI'!AA77</f>
        <v>1330</v>
      </c>
      <c r="E75" s="201">
        <f t="shared" si="10"/>
        <v>33.225841223749029</v>
      </c>
      <c r="F75" s="368">
        <f t="shared" si="11"/>
        <v>0.68971910537367265</v>
      </c>
      <c r="G75" s="379">
        <f t="shared" si="12"/>
        <v>0</v>
      </c>
      <c r="H75" s="376">
        <f t="shared" si="13"/>
        <v>0</v>
      </c>
      <c r="I75" s="379">
        <f t="shared" si="14"/>
        <v>0</v>
      </c>
      <c r="J75" s="376">
        <f t="shared" si="15"/>
        <v>0</v>
      </c>
      <c r="K75" s="371">
        <f t="shared" si="16"/>
        <v>0</v>
      </c>
      <c r="L75" s="375">
        <f t="shared" si="17"/>
        <v>0</v>
      </c>
      <c r="M75" s="113">
        <f>L75*D75*'B) D RI'!S77</f>
        <v>0</v>
      </c>
    </row>
    <row r="76" spans="1:13" x14ac:dyDescent="0.25">
      <c r="A76" s="297">
        <f>'A) Base RI'!A78</f>
        <v>5515</v>
      </c>
      <c r="B76" s="32" t="str">
        <f>'A) Base RI'!B78</f>
        <v>Bretigny-sur-Morrens</v>
      </c>
      <c r="C76" s="295">
        <f>'B) D RI'!U78</f>
        <v>29586.483086419765</v>
      </c>
      <c r="D76" s="32">
        <f>'B) D RI'!AA78</f>
        <v>859</v>
      </c>
      <c r="E76" s="201">
        <f t="shared" si="10"/>
        <v>34.442937236809968</v>
      </c>
      <c r="F76" s="368">
        <f t="shared" si="11"/>
        <v>0.71498421055578709</v>
      </c>
      <c r="G76" s="379">
        <f t="shared" si="12"/>
        <v>0</v>
      </c>
      <c r="H76" s="376">
        <f t="shared" si="13"/>
        <v>0</v>
      </c>
      <c r="I76" s="379">
        <f t="shared" si="14"/>
        <v>0</v>
      </c>
      <c r="J76" s="376">
        <f t="shared" si="15"/>
        <v>0</v>
      </c>
      <c r="K76" s="371">
        <f t="shared" si="16"/>
        <v>0</v>
      </c>
      <c r="L76" s="375">
        <f t="shared" si="17"/>
        <v>0</v>
      </c>
      <c r="M76" s="113">
        <f>L76*D76*'B) D RI'!S78</f>
        <v>0</v>
      </c>
    </row>
    <row r="77" spans="1:13" x14ac:dyDescent="0.25">
      <c r="A77" s="297">
        <f>'A) Base RI'!A79</f>
        <v>5516</v>
      </c>
      <c r="B77" s="32" t="str">
        <f>'A) Base RI'!B79</f>
        <v>Cugy</v>
      </c>
      <c r="C77" s="295">
        <f>'B) D RI'!U79</f>
        <v>107062.26318376069</v>
      </c>
      <c r="D77" s="32">
        <f>'B) D RI'!AA79</f>
        <v>2760</v>
      </c>
      <c r="E77" s="201">
        <f t="shared" si="10"/>
        <v>38.790675066579958</v>
      </c>
      <c r="F77" s="368">
        <f t="shared" si="11"/>
        <v>0.805236789148284</v>
      </c>
      <c r="G77" s="379">
        <f t="shared" si="12"/>
        <v>0</v>
      </c>
      <c r="H77" s="376">
        <f t="shared" si="13"/>
        <v>0</v>
      </c>
      <c r="I77" s="379">
        <f t="shared" si="14"/>
        <v>0</v>
      </c>
      <c r="J77" s="376">
        <f t="shared" si="15"/>
        <v>0</v>
      </c>
      <c r="K77" s="371">
        <f t="shared" si="16"/>
        <v>0</v>
      </c>
      <c r="L77" s="375">
        <f t="shared" si="17"/>
        <v>0</v>
      </c>
      <c r="M77" s="113">
        <f>L77*D77*'B) D RI'!S79</f>
        <v>0</v>
      </c>
    </row>
    <row r="78" spans="1:13" x14ac:dyDescent="0.25">
      <c r="A78" s="297">
        <f>'A) Base RI'!A80</f>
        <v>5518</v>
      </c>
      <c r="B78" s="32" t="str">
        <f>'A) Base RI'!B80</f>
        <v>Echallens</v>
      </c>
      <c r="C78" s="295">
        <f>'B) D RI'!U80</f>
        <v>178756.07310344829</v>
      </c>
      <c r="D78" s="32">
        <f>'B) D RI'!AA80</f>
        <v>5731</v>
      </c>
      <c r="E78" s="201">
        <f t="shared" si="10"/>
        <v>31.191078887357929</v>
      </c>
      <c r="F78" s="368">
        <f t="shared" si="11"/>
        <v>0.64748046199808862</v>
      </c>
      <c r="G78" s="379">
        <f t="shared" si="12"/>
        <v>0</v>
      </c>
      <c r="H78" s="376">
        <f t="shared" si="13"/>
        <v>0</v>
      </c>
      <c r="I78" s="379">
        <f t="shared" si="14"/>
        <v>0</v>
      </c>
      <c r="J78" s="376">
        <f t="shared" si="15"/>
        <v>0</v>
      </c>
      <c r="K78" s="371">
        <f t="shared" si="16"/>
        <v>0</v>
      </c>
      <c r="L78" s="375">
        <f t="shared" si="17"/>
        <v>0</v>
      </c>
      <c r="M78" s="113">
        <f>L78*D78*'B) D RI'!S80</f>
        <v>0</v>
      </c>
    </row>
    <row r="79" spans="1:13" x14ac:dyDescent="0.25">
      <c r="A79" s="297">
        <f>'A) Base RI'!A81</f>
        <v>5520</v>
      </c>
      <c r="B79" s="32" t="str">
        <f>'A) Base RI'!B81</f>
        <v>Essertines-sur-Yverdon</v>
      </c>
      <c r="C79" s="295">
        <f>'B) D RI'!U81</f>
        <v>29733.806712328769</v>
      </c>
      <c r="D79" s="32">
        <f>'B) D RI'!AA81</f>
        <v>1036</v>
      </c>
      <c r="E79" s="201">
        <f t="shared" si="10"/>
        <v>28.700585629660974</v>
      </c>
      <c r="F79" s="368">
        <f t="shared" si="11"/>
        <v>0.59578152170428778</v>
      </c>
      <c r="G79" s="379">
        <f t="shared" si="12"/>
        <v>0</v>
      </c>
      <c r="H79" s="376">
        <f t="shared" si="13"/>
        <v>0</v>
      </c>
      <c r="I79" s="379">
        <f t="shared" si="14"/>
        <v>0</v>
      </c>
      <c r="J79" s="376">
        <f t="shared" si="15"/>
        <v>0</v>
      </c>
      <c r="K79" s="371">
        <f t="shared" si="16"/>
        <v>0</v>
      </c>
      <c r="L79" s="375">
        <f t="shared" si="17"/>
        <v>0</v>
      </c>
      <c r="M79" s="113">
        <f>L79*D79*'B) D RI'!S81</f>
        <v>0</v>
      </c>
    </row>
    <row r="80" spans="1:13" x14ac:dyDescent="0.25">
      <c r="A80" s="297">
        <f>'A) Base RI'!A82</f>
        <v>5521</v>
      </c>
      <c r="B80" s="32" t="str">
        <f>'A) Base RI'!B82</f>
        <v>Etagnières</v>
      </c>
      <c r="C80" s="295">
        <f>'B) D RI'!U82</f>
        <v>46797.314657534247</v>
      </c>
      <c r="D80" s="32">
        <f>'B) D RI'!AA82</f>
        <v>1148</v>
      </c>
      <c r="E80" s="201">
        <f t="shared" si="10"/>
        <v>40.764211374158755</v>
      </c>
      <c r="F80" s="368">
        <f t="shared" si="11"/>
        <v>0.84620447111965169</v>
      </c>
      <c r="G80" s="379">
        <f t="shared" si="12"/>
        <v>0</v>
      </c>
      <c r="H80" s="376">
        <f t="shared" si="13"/>
        <v>0</v>
      </c>
      <c r="I80" s="379">
        <f t="shared" si="14"/>
        <v>0</v>
      </c>
      <c r="J80" s="376">
        <f t="shared" si="15"/>
        <v>0</v>
      </c>
      <c r="K80" s="371">
        <f t="shared" si="16"/>
        <v>0</v>
      </c>
      <c r="L80" s="375">
        <f t="shared" si="17"/>
        <v>0</v>
      </c>
      <c r="M80" s="113">
        <f>L80*D80*'B) D RI'!S82</f>
        <v>0</v>
      </c>
    </row>
    <row r="81" spans="1:13" x14ac:dyDescent="0.25">
      <c r="A81" s="297">
        <f>'A) Base RI'!A83</f>
        <v>5522</v>
      </c>
      <c r="B81" s="32" t="str">
        <f>'A) Base RI'!B83</f>
        <v>Fey</v>
      </c>
      <c r="C81" s="295">
        <f>'B) D RI'!U83</f>
        <v>23726.940933333331</v>
      </c>
      <c r="D81" s="32">
        <f>'B) D RI'!AA83</f>
        <v>749</v>
      </c>
      <c r="E81" s="201">
        <f t="shared" si="10"/>
        <v>31.678158789497104</v>
      </c>
      <c r="F81" s="368">
        <f t="shared" si="11"/>
        <v>0.65759151718813147</v>
      </c>
      <c r="G81" s="379">
        <f t="shared" si="12"/>
        <v>0</v>
      </c>
      <c r="H81" s="376">
        <f t="shared" si="13"/>
        <v>0</v>
      </c>
      <c r="I81" s="379">
        <f t="shared" si="14"/>
        <v>0</v>
      </c>
      <c r="J81" s="376">
        <f t="shared" si="15"/>
        <v>0</v>
      </c>
      <c r="K81" s="371">
        <f t="shared" si="16"/>
        <v>0</v>
      </c>
      <c r="L81" s="375">
        <f t="shared" si="17"/>
        <v>0</v>
      </c>
      <c r="M81" s="113">
        <f>L81*D81*'B) D RI'!S83</f>
        <v>0</v>
      </c>
    </row>
    <row r="82" spans="1:13" x14ac:dyDescent="0.25">
      <c r="A82" s="297">
        <f>'A) Base RI'!A84</f>
        <v>5523</v>
      </c>
      <c r="B82" s="32" t="str">
        <f>'A) Base RI'!B84</f>
        <v>Froideville</v>
      </c>
      <c r="C82" s="295">
        <f>'B) D RI'!U84</f>
        <v>85868.846805555557</v>
      </c>
      <c r="D82" s="32">
        <f>'B) D RI'!AA84</f>
        <v>2694</v>
      </c>
      <c r="E82" s="201">
        <f t="shared" si="10"/>
        <v>31.874107945640517</v>
      </c>
      <c r="F82" s="368">
        <f t="shared" si="11"/>
        <v>0.66165913057867998</v>
      </c>
      <c r="G82" s="379">
        <f t="shared" si="12"/>
        <v>0</v>
      </c>
      <c r="H82" s="376">
        <f t="shared" si="13"/>
        <v>0</v>
      </c>
      <c r="I82" s="379">
        <f t="shared" si="14"/>
        <v>0</v>
      </c>
      <c r="J82" s="376">
        <f t="shared" si="15"/>
        <v>0</v>
      </c>
      <c r="K82" s="371">
        <f t="shared" si="16"/>
        <v>0</v>
      </c>
      <c r="L82" s="375">
        <f t="shared" si="17"/>
        <v>0</v>
      </c>
      <c r="M82" s="113">
        <f>L82*D82*'B) D RI'!S84</f>
        <v>0</v>
      </c>
    </row>
    <row r="83" spans="1:13" x14ac:dyDescent="0.25">
      <c r="A83" s="297">
        <f>'A) Base RI'!A85</f>
        <v>5527</v>
      </c>
      <c r="B83" s="32" t="str">
        <f>'A) Base RI'!B85</f>
        <v>Morrens</v>
      </c>
      <c r="C83" s="295">
        <f>'B) D RI'!U85</f>
        <v>40564.204594594594</v>
      </c>
      <c r="D83" s="32">
        <f>'B) D RI'!AA85</f>
        <v>1153</v>
      </c>
      <c r="E83" s="201">
        <f t="shared" si="10"/>
        <v>35.181443707367386</v>
      </c>
      <c r="F83" s="368">
        <f t="shared" si="11"/>
        <v>0.73031450780109664</v>
      </c>
      <c r="G83" s="379">
        <f t="shared" si="12"/>
        <v>0</v>
      </c>
      <c r="H83" s="376">
        <f t="shared" si="13"/>
        <v>0</v>
      </c>
      <c r="I83" s="379">
        <f t="shared" si="14"/>
        <v>0</v>
      </c>
      <c r="J83" s="376">
        <f t="shared" si="15"/>
        <v>0</v>
      </c>
      <c r="K83" s="371">
        <f t="shared" si="16"/>
        <v>0</v>
      </c>
      <c r="L83" s="375">
        <f t="shared" si="17"/>
        <v>0</v>
      </c>
      <c r="M83" s="113">
        <f>L83*D83*'B) D RI'!S85</f>
        <v>0</v>
      </c>
    </row>
    <row r="84" spans="1:13" x14ac:dyDescent="0.25">
      <c r="A84" s="297">
        <f>'A) Base RI'!A86</f>
        <v>5529</v>
      </c>
      <c r="B84" s="32" t="str">
        <f>'A) Base RI'!B86</f>
        <v>Oulens-sous-Echallens</v>
      </c>
      <c r="C84" s="295">
        <f>'B) D RI'!U86</f>
        <v>20201.245428571427</v>
      </c>
      <c r="D84" s="32">
        <f>'B) D RI'!AA86</f>
        <v>618</v>
      </c>
      <c r="E84" s="201">
        <f t="shared" si="10"/>
        <v>32.688099398982892</v>
      </c>
      <c r="F84" s="368">
        <f t="shared" si="11"/>
        <v>0.6785563839303822</v>
      </c>
      <c r="G84" s="379">
        <f t="shared" si="12"/>
        <v>0</v>
      </c>
      <c r="H84" s="376">
        <f t="shared" si="13"/>
        <v>0</v>
      </c>
      <c r="I84" s="379">
        <f t="shared" si="14"/>
        <v>0</v>
      </c>
      <c r="J84" s="376">
        <f t="shared" si="15"/>
        <v>0</v>
      </c>
      <c r="K84" s="371">
        <f t="shared" si="16"/>
        <v>0</v>
      </c>
      <c r="L84" s="375">
        <f t="shared" si="17"/>
        <v>0</v>
      </c>
      <c r="M84" s="113">
        <f>L84*D84*'B) D RI'!S86</f>
        <v>0</v>
      </c>
    </row>
    <row r="85" spans="1:13" x14ac:dyDescent="0.25">
      <c r="A85" s="297">
        <f>'A) Base RI'!A87</f>
        <v>5530</v>
      </c>
      <c r="B85" s="32" t="str">
        <f>'A) Base RI'!B87</f>
        <v>Pailly</v>
      </c>
      <c r="C85" s="295">
        <f>'B) D RI'!U87</f>
        <v>18302.009495614031</v>
      </c>
      <c r="D85" s="32">
        <f>'B) D RI'!AA87</f>
        <v>567</v>
      </c>
      <c r="E85" s="201">
        <f t="shared" si="10"/>
        <v>32.278676359107635</v>
      </c>
      <c r="F85" s="368">
        <f t="shared" si="11"/>
        <v>0.67005736983829389</v>
      </c>
      <c r="G85" s="379">
        <f t="shared" si="12"/>
        <v>0</v>
      </c>
      <c r="H85" s="376">
        <f t="shared" si="13"/>
        <v>0</v>
      </c>
      <c r="I85" s="379">
        <f t="shared" si="14"/>
        <v>0</v>
      </c>
      <c r="J85" s="376">
        <f t="shared" si="15"/>
        <v>0</v>
      </c>
      <c r="K85" s="371">
        <f t="shared" si="16"/>
        <v>0</v>
      </c>
      <c r="L85" s="375">
        <f t="shared" si="17"/>
        <v>0</v>
      </c>
      <c r="M85" s="113">
        <f>L85*D85*'B) D RI'!S87</f>
        <v>0</v>
      </c>
    </row>
    <row r="86" spans="1:13" x14ac:dyDescent="0.25">
      <c r="A86" s="297">
        <f>'A) Base RI'!A88</f>
        <v>5531</v>
      </c>
      <c r="B86" s="32" t="str">
        <f>'A) Base RI'!B88</f>
        <v>Penthéréaz</v>
      </c>
      <c r="C86" s="295">
        <f>'B) D RI'!U88</f>
        <v>13843.062702702704</v>
      </c>
      <c r="D86" s="32">
        <f>'B) D RI'!AA88</f>
        <v>419</v>
      </c>
      <c r="E86" s="201">
        <f t="shared" si="10"/>
        <v>33.038335805973041</v>
      </c>
      <c r="F86" s="368">
        <f t="shared" si="11"/>
        <v>0.68582677144809145</v>
      </c>
      <c r="G86" s="379">
        <f t="shared" si="12"/>
        <v>0</v>
      </c>
      <c r="H86" s="376">
        <f t="shared" si="13"/>
        <v>0</v>
      </c>
      <c r="I86" s="379">
        <f t="shared" si="14"/>
        <v>0</v>
      </c>
      <c r="J86" s="376">
        <f t="shared" si="15"/>
        <v>0</v>
      </c>
      <c r="K86" s="371">
        <f t="shared" si="16"/>
        <v>0</v>
      </c>
      <c r="L86" s="375">
        <f t="shared" si="17"/>
        <v>0</v>
      </c>
      <c r="M86" s="113">
        <f>L86*D86*'B) D RI'!S88</f>
        <v>0</v>
      </c>
    </row>
    <row r="87" spans="1:13" x14ac:dyDescent="0.25">
      <c r="A87" s="297">
        <f>'A) Base RI'!A89</f>
        <v>5533</v>
      </c>
      <c r="B87" s="32" t="str">
        <f>'A) Base RI'!B89</f>
        <v>Poliez-Pittet</v>
      </c>
      <c r="C87" s="295">
        <f>'B) D RI'!U89</f>
        <v>27190.167945205478</v>
      </c>
      <c r="D87" s="32">
        <f>'B) D RI'!AA89</f>
        <v>829</v>
      </c>
      <c r="E87" s="201">
        <f t="shared" si="10"/>
        <v>32.79875506056149</v>
      </c>
      <c r="F87" s="368">
        <f t="shared" si="11"/>
        <v>0.68085343108095875</v>
      </c>
      <c r="G87" s="379">
        <f t="shared" si="12"/>
        <v>0</v>
      </c>
      <c r="H87" s="376">
        <f t="shared" si="13"/>
        <v>0</v>
      </c>
      <c r="I87" s="379">
        <f t="shared" si="14"/>
        <v>0</v>
      </c>
      <c r="J87" s="376">
        <f t="shared" si="15"/>
        <v>0</v>
      </c>
      <c r="K87" s="371">
        <f t="shared" si="16"/>
        <v>0</v>
      </c>
      <c r="L87" s="375">
        <f t="shared" si="17"/>
        <v>0</v>
      </c>
      <c r="M87" s="113">
        <f>L87*D87*'B) D RI'!S89</f>
        <v>0</v>
      </c>
    </row>
    <row r="88" spans="1:13" x14ac:dyDescent="0.25">
      <c r="A88" s="297">
        <f>'A) Base RI'!A90</f>
        <v>5534</v>
      </c>
      <c r="B88" s="32" t="str">
        <f>'A) Base RI'!B90</f>
        <v>Rueyres</v>
      </c>
      <c r="C88" s="295">
        <f>'B) D RI'!U90</f>
        <v>9755.351210045661</v>
      </c>
      <c r="D88" s="32">
        <f>'B) D RI'!AA90</f>
        <v>266</v>
      </c>
      <c r="E88" s="201">
        <f t="shared" si="10"/>
        <v>36.67425266934459</v>
      </c>
      <c r="F88" s="368">
        <f t="shared" si="11"/>
        <v>0.76130300421914276</v>
      </c>
      <c r="G88" s="379">
        <f t="shared" si="12"/>
        <v>0</v>
      </c>
      <c r="H88" s="376">
        <f t="shared" si="13"/>
        <v>0</v>
      </c>
      <c r="I88" s="379">
        <f t="shared" si="14"/>
        <v>0</v>
      </c>
      <c r="J88" s="376">
        <f t="shared" si="15"/>
        <v>0</v>
      </c>
      <c r="K88" s="371">
        <f t="shared" si="16"/>
        <v>0</v>
      </c>
      <c r="L88" s="375">
        <f t="shared" si="17"/>
        <v>0</v>
      </c>
      <c r="M88" s="113">
        <f>L88*D88*'B) D RI'!S90</f>
        <v>0</v>
      </c>
    </row>
    <row r="89" spans="1:13" x14ac:dyDescent="0.25">
      <c r="A89" s="297">
        <f>'A) Base RI'!A91</f>
        <v>5535</v>
      </c>
      <c r="B89" s="32" t="str">
        <f>'A) Base RI'!B91</f>
        <v>Saint-Barthélemy</v>
      </c>
      <c r="C89" s="295">
        <f>'B) D RI'!U91</f>
        <v>22496.850133333337</v>
      </c>
      <c r="D89" s="32">
        <f>'B) D RI'!AA91</f>
        <v>784</v>
      </c>
      <c r="E89" s="201">
        <f t="shared" si="10"/>
        <v>28.694961904761911</v>
      </c>
      <c r="F89" s="368">
        <f t="shared" si="11"/>
        <v>0.59566478152967106</v>
      </c>
      <c r="G89" s="379">
        <f t="shared" si="12"/>
        <v>0</v>
      </c>
      <c r="H89" s="376">
        <f t="shared" si="13"/>
        <v>0</v>
      </c>
      <c r="I89" s="379">
        <f t="shared" si="14"/>
        <v>0</v>
      </c>
      <c r="J89" s="376">
        <f t="shared" si="15"/>
        <v>0</v>
      </c>
      <c r="K89" s="371">
        <f t="shared" si="16"/>
        <v>0</v>
      </c>
      <c r="L89" s="375">
        <f t="shared" si="17"/>
        <v>0</v>
      </c>
      <c r="M89" s="113">
        <f>L89*D89*'B) D RI'!S91</f>
        <v>0</v>
      </c>
    </row>
    <row r="90" spans="1:13" x14ac:dyDescent="0.25">
      <c r="A90" s="297">
        <f>'A) Base RI'!A92</f>
        <v>5537</v>
      </c>
      <c r="B90" s="32" t="str">
        <f>'A) Base RI'!B92</f>
        <v>Villars-le-Terroir</v>
      </c>
      <c r="C90" s="295">
        <f>'B) D RI'!U92</f>
        <v>37963.269999999997</v>
      </c>
      <c r="D90" s="32">
        <f>'B) D RI'!AA92</f>
        <v>1281</v>
      </c>
      <c r="E90" s="201">
        <f t="shared" si="10"/>
        <v>29.635651834504291</v>
      </c>
      <c r="F90" s="368">
        <f t="shared" si="11"/>
        <v>0.61519210703534344</v>
      </c>
      <c r="G90" s="379">
        <f t="shared" si="12"/>
        <v>0</v>
      </c>
      <c r="H90" s="376">
        <f t="shared" si="13"/>
        <v>0</v>
      </c>
      <c r="I90" s="379">
        <f t="shared" si="14"/>
        <v>0</v>
      </c>
      <c r="J90" s="376">
        <f t="shared" si="15"/>
        <v>0</v>
      </c>
      <c r="K90" s="371">
        <f t="shared" si="16"/>
        <v>0</v>
      </c>
      <c r="L90" s="375">
        <f t="shared" si="17"/>
        <v>0</v>
      </c>
      <c r="M90" s="113">
        <f>L90*D90*'B) D RI'!S92</f>
        <v>0</v>
      </c>
    </row>
    <row r="91" spans="1:13" x14ac:dyDescent="0.25">
      <c r="A91" s="297">
        <f>'A) Base RI'!A93</f>
        <v>5539</v>
      </c>
      <c r="B91" s="32" t="str">
        <f>'A) Base RI'!B93</f>
        <v>Vuarrens</v>
      </c>
      <c r="C91" s="295">
        <f>'B) D RI'!U93</f>
        <v>35961.61534013605</v>
      </c>
      <c r="D91" s="32">
        <f>'B) D RI'!AA93</f>
        <v>1060</v>
      </c>
      <c r="E91" s="201">
        <f t="shared" si="10"/>
        <v>33.926052207675518</v>
      </c>
      <c r="F91" s="368">
        <f t="shared" si="11"/>
        <v>0.70425444520613401</v>
      </c>
      <c r="G91" s="379">
        <f t="shared" si="12"/>
        <v>0</v>
      </c>
      <c r="H91" s="376">
        <f t="shared" si="13"/>
        <v>0</v>
      </c>
      <c r="I91" s="379">
        <f t="shared" si="14"/>
        <v>0</v>
      </c>
      <c r="J91" s="376">
        <f t="shared" si="15"/>
        <v>0</v>
      </c>
      <c r="K91" s="371">
        <f t="shared" si="16"/>
        <v>0</v>
      </c>
      <c r="L91" s="375">
        <f t="shared" si="17"/>
        <v>0</v>
      </c>
      <c r="M91" s="113">
        <f>L91*D91*'B) D RI'!S93</f>
        <v>0</v>
      </c>
    </row>
    <row r="92" spans="1:13" x14ac:dyDescent="0.25">
      <c r="A92" s="297">
        <f>'A) Base RI'!A94</f>
        <v>5540</v>
      </c>
      <c r="B92" s="32" t="str">
        <f>'A) Base RI'!B94</f>
        <v>Montilliez</v>
      </c>
      <c r="C92" s="295">
        <f>'B) D RI'!U94</f>
        <v>66256.548551724132</v>
      </c>
      <c r="D92" s="32">
        <f>'B) D RI'!AA94</f>
        <v>1857</v>
      </c>
      <c r="E92" s="201">
        <f t="shared" si="10"/>
        <v>35.679347631515419</v>
      </c>
      <c r="F92" s="368">
        <f t="shared" si="11"/>
        <v>0.74065025360848824</v>
      </c>
      <c r="G92" s="379">
        <f t="shared" si="12"/>
        <v>0</v>
      </c>
      <c r="H92" s="376">
        <f t="shared" si="13"/>
        <v>0</v>
      </c>
      <c r="I92" s="379">
        <f t="shared" si="14"/>
        <v>0</v>
      </c>
      <c r="J92" s="376">
        <f t="shared" si="15"/>
        <v>0</v>
      </c>
      <c r="K92" s="371">
        <f t="shared" si="16"/>
        <v>0</v>
      </c>
      <c r="L92" s="375">
        <f t="shared" si="17"/>
        <v>0</v>
      </c>
      <c r="M92" s="113">
        <f>L92*D92*'B) D RI'!S94</f>
        <v>0</v>
      </c>
    </row>
    <row r="93" spans="1:13" x14ac:dyDescent="0.25">
      <c r="A93" s="297">
        <f>'A) Base RI'!A95</f>
        <v>5541</v>
      </c>
      <c r="B93" s="32" t="str">
        <f>'A) Base RI'!B95</f>
        <v>Goumoëns</v>
      </c>
      <c r="C93" s="295">
        <f>'B) D RI'!U95</f>
        <v>36998.611258278142</v>
      </c>
      <c r="D93" s="32">
        <f>'B) D RI'!AA95</f>
        <v>1153</v>
      </c>
      <c r="E93" s="201">
        <f t="shared" si="10"/>
        <v>32.088995020189195</v>
      </c>
      <c r="F93" s="368">
        <f t="shared" si="11"/>
        <v>0.66611986702222092</v>
      </c>
      <c r="G93" s="379">
        <f t="shared" si="12"/>
        <v>0</v>
      </c>
      <c r="H93" s="376">
        <f t="shared" si="13"/>
        <v>0</v>
      </c>
      <c r="I93" s="379">
        <f t="shared" si="14"/>
        <v>0</v>
      </c>
      <c r="J93" s="376">
        <f t="shared" si="15"/>
        <v>0</v>
      </c>
      <c r="K93" s="371">
        <f t="shared" si="16"/>
        <v>0</v>
      </c>
      <c r="L93" s="375">
        <f t="shared" si="17"/>
        <v>0</v>
      </c>
      <c r="M93" s="113">
        <f>L93*D93*'B) D RI'!S95</f>
        <v>0</v>
      </c>
    </row>
    <row r="94" spans="1:13" x14ac:dyDescent="0.25">
      <c r="A94" s="297">
        <f>'A) Base RI'!A96</f>
        <v>5551</v>
      </c>
      <c r="B94" s="32" t="str">
        <f>'A) Base RI'!B96</f>
        <v>Bonvillars</v>
      </c>
      <c r="C94" s="295">
        <f>'B) D RI'!U96</f>
        <v>19156.634727272725</v>
      </c>
      <c r="D94" s="32">
        <f>'B) D RI'!AA96</f>
        <v>489</v>
      </c>
      <c r="E94" s="201">
        <f t="shared" si="10"/>
        <v>39.175122141662015</v>
      </c>
      <c r="F94" s="368">
        <f t="shared" si="11"/>
        <v>0.81321733931414675</v>
      </c>
      <c r="G94" s="379">
        <f t="shared" si="12"/>
        <v>0</v>
      </c>
      <c r="H94" s="376">
        <f t="shared" si="13"/>
        <v>0</v>
      </c>
      <c r="I94" s="379">
        <f t="shared" si="14"/>
        <v>0</v>
      </c>
      <c r="J94" s="376">
        <f t="shared" si="15"/>
        <v>0</v>
      </c>
      <c r="K94" s="371">
        <f t="shared" si="16"/>
        <v>0</v>
      </c>
      <c r="L94" s="375">
        <f t="shared" si="17"/>
        <v>0</v>
      </c>
      <c r="M94" s="113">
        <f>L94*D94*'B) D RI'!S96</f>
        <v>0</v>
      </c>
    </row>
    <row r="95" spans="1:13" x14ac:dyDescent="0.25">
      <c r="A95" s="297">
        <f>'A) Base RI'!A97</f>
        <v>5552</v>
      </c>
      <c r="B95" s="32" t="str">
        <f>'A) Base RI'!B97</f>
        <v>Bullet</v>
      </c>
      <c r="C95" s="295">
        <f>'B) D RI'!U97</f>
        <v>17556.417482517485</v>
      </c>
      <c r="D95" s="32">
        <f>'B) D RI'!AA97</f>
        <v>657</v>
      </c>
      <c r="E95" s="201">
        <f t="shared" si="10"/>
        <v>26.722096624836354</v>
      </c>
      <c r="F95" s="368">
        <f t="shared" si="11"/>
        <v>0.55471102909554382</v>
      </c>
      <c r="G95" s="379">
        <f t="shared" si="12"/>
        <v>0</v>
      </c>
      <c r="H95" s="376">
        <f t="shared" si="13"/>
        <v>0</v>
      </c>
      <c r="I95" s="379">
        <f t="shared" si="14"/>
        <v>0</v>
      </c>
      <c r="J95" s="376">
        <f t="shared" si="15"/>
        <v>0</v>
      </c>
      <c r="K95" s="371">
        <f t="shared" si="16"/>
        <v>0</v>
      </c>
      <c r="L95" s="375">
        <f t="shared" si="17"/>
        <v>0</v>
      </c>
      <c r="M95" s="113">
        <f>L95*D95*'B) D RI'!S97</f>
        <v>0</v>
      </c>
    </row>
    <row r="96" spans="1:13" x14ac:dyDescent="0.25">
      <c r="A96" s="297">
        <f>'A) Base RI'!A98</f>
        <v>5553</v>
      </c>
      <c r="B96" s="32" t="str">
        <f>'A) Base RI'!B98</f>
        <v>Champagne</v>
      </c>
      <c r="C96" s="295">
        <f>'B) D RI'!U98</f>
        <v>38681.377846153839</v>
      </c>
      <c r="D96" s="32">
        <f>'B) D RI'!AA98</f>
        <v>1061</v>
      </c>
      <c r="E96" s="201">
        <f t="shared" si="10"/>
        <v>36.457472051040376</v>
      </c>
      <c r="F96" s="368">
        <f t="shared" si="11"/>
        <v>0.7568029606201786</v>
      </c>
      <c r="G96" s="379">
        <f t="shared" si="12"/>
        <v>0</v>
      </c>
      <c r="H96" s="376">
        <f t="shared" si="13"/>
        <v>0</v>
      </c>
      <c r="I96" s="379">
        <f t="shared" si="14"/>
        <v>0</v>
      </c>
      <c r="J96" s="376">
        <f t="shared" si="15"/>
        <v>0</v>
      </c>
      <c r="K96" s="371">
        <f t="shared" si="16"/>
        <v>0</v>
      </c>
      <c r="L96" s="375">
        <f t="shared" si="17"/>
        <v>0</v>
      </c>
      <c r="M96" s="113">
        <f>L96*D96*'B) D RI'!S98</f>
        <v>0</v>
      </c>
    </row>
    <row r="97" spans="1:13" x14ac:dyDescent="0.25">
      <c r="A97" s="297">
        <f>'A) Base RI'!A99</f>
        <v>5554</v>
      </c>
      <c r="B97" s="32" t="str">
        <f>'A) Base RI'!B99</f>
        <v>Concise</v>
      </c>
      <c r="C97" s="295">
        <f>'B) D RI'!U99</f>
        <v>32327.871066666674</v>
      </c>
      <c r="D97" s="32">
        <f>'B) D RI'!AA99</f>
        <v>1001</v>
      </c>
      <c r="E97" s="201">
        <f t="shared" si="10"/>
        <v>32.295575491175498</v>
      </c>
      <c r="F97" s="368">
        <f t="shared" si="11"/>
        <v>0.67040817071562753</v>
      </c>
      <c r="G97" s="379">
        <f t="shared" si="12"/>
        <v>0</v>
      </c>
      <c r="H97" s="376">
        <f t="shared" si="13"/>
        <v>0</v>
      </c>
      <c r="I97" s="379">
        <f t="shared" si="14"/>
        <v>0</v>
      </c>
      <c r="J97" s="376">
        <f t="shared" si="15"/>
        <v>0</v>
      </c>
      <c r="K97" s="371">
        <f t="shared" si="16"/>
        <v>0</v>
      </c>
      <c r="L97" s="375">
        <f t="shared" si="17"/>
        <v>0</v>
      </c>
      <c r="M97" s="113">
        <f>L97*D97*'B) D RI'!S99</f>
        <v>0</v>
      </c>
    </row>
    <row r="98" spans="1:13" x14ac:dyDescent="0.25">
      <c r="A98" s="297">
        <f>'A) Base RI'!A100</f>
        <v>5555</v>
      </c>
      <c r="B98" s="32" t="str">
        <f>'A) Base RI'!B100</f>
        <v>Corcelles-près-Concise</v>
      </c>
      <c r="C98" s="295">
        <f>'B) D RI'!U100</f>
        <v>13570.544057971018</v>
      </c>
      <c r="D98" s="32">
        <f>'B) D RI'!AA100</f>
        <v>419</v>
      </c>
      <c r="E98" s="201">
        <f t="shared" si="10"/>
        <v>32.387933312579996</v>
      </c>
      <c r="F98" s="368">
        <f t="shared" si="11"/>
        <v>0.67232538188642665</v>
      </c>
      <c r="G98" s="379">
        <f t="shared" si="12"/>
        <v>0</v>
      </c>
      <c r="H98" s="376">
        <f t="shared" si="13"/>
        <v>0</v>
      </c>
      <c r="I98" s="379">
        <f t="shared" si="14"/>
        <v>0</v>
      </c>
      <c r="J98" s="376">
        <f t="shared" si="15"/>
        <v>0</v>
      </c>
      <c r="K98" s="371">
        <f t="shared" si="16"/>
        <v>0</v>
      </c>
      <c r="L98" s="375">
        <f t="shared" si="17"/>
        <v>0</v>
      </c>
      <c r="M98" s="113">
        <f>L98*D98*'B) D RI'!S100</f>
        <v>0</v>
      </c>
    </row>
    <row r="99" spans="1:13" x14ac:dyDescent="0.25">
      <c r="A99" s="297">
        <f>'A) Base RI'!A101</f>
        <v>5556</v>
      </c>
      <c r="B99" s="32" t="str">
        <f>'A) Base RI'!B101</f>
        <v>Fiez</v>
      </c>
      <c r="C99" s="295">
        <f>'B) D RI'!U101</f>
        <v>13816.427753623188</v>
      </c>
      <c r="D99" s="32">
        <f>'B) D RI'!AA101</f>
        <v>451</v>
      </c>
      <c r="E99" s="201">
        <f t="shared" si="10"/>
        <v>30.635094797390661</v>
      </c>
      <c r="F99" s="368">
        <f t="shared" si="11"/>
        <v>0.63593905822890062</v>
      </c>
      <c r="G99" s="379">
        <f t="shared" si="12"/>
        <v>0</v>
      </c>
      <c r="H99" s="376">
        <f t="shared" si="13"/>
        <v>0</v>
      </c>
      <c r="I99" s="379">
        <f t="shared" si="14"/>
        <v>0</v>
      </c>
      <c r="J99" s="376">
        <f t="shared" si="15"/>
        <v>0</v>
      </c>
      <c r="K99" s="371">
        <f t="shared" si="16"/>
        <v>0</v>
      </c>
      <c r="L99" s="375">
        <f t="shared" si="17"/>
        <v>0</v>
      </c>
      <c r="M99" s="113">
        <f>L99*D99*'B) D RI'!S101</f>
        <v>0</v>
      </c>
    </row>
    <row r="100" spans="1:13" x14ac:dyDescent="0.25">
      <c r="A100" s="297">
        <f>'A) Base RI'!A102</f>
        <v>5557</v>
      </c>
      <c r="B100" s="32" t="str">
        <f>'A) Base RI'!B102</f>
        <v>Fontaines-sur-Grandson</v>
      </c>
      <c r="C100" s="295">
        <f>'B) D RI'!U102</f>
        <v>5880.3275362318818</v>
      </c>
      <c r="D100" s="32">
        <f>'B) D RI'!AA102</f>
        <v>219</v>
      </c>
      <c r="E100" s="201">
        <f t="shared" si="10"/>
        <v>26.850810667725487</v>
      </c>
      <c r="F100" s="368">
        <f t="shared" si="11"/>
        <v>0.55738294141561673</v>
      </c>
      <c r="G100" s="379">
        <f t="shared" si="12"/>
        <v>0</v>
      </c>
      <c r="H100" s="376">
        <f t="shared" si="13"/>
        <v>0</v>
      </c>
      <c r="I100" s="379">
        <f t="shared" si="14"/>
        <v>0</v>
      </c>
      <c r="J100" s="376">
        <f t="shared" si="15"/>
        <v>0</v>
      </c>
      <c r="K100" s="371">
        <f t="shared" si="16"/>
        <v>0</v>
      </c>
      <c r="L100" s="375">
        <f t="shared" si="17"/>
        <v>0</v>
      </c>
      <c r="M100" s="113">
        <f>L100*D100*'B) D RI'!S102</f>
        <v>0</v>
      </c>
    </row>
    <row r="101" spans="1:13" x14ac:dyDescent="0.25">
      <c r="A101" s="297">
        <f>'A) Base RI'!A103</f>
        <v>5559</v>
      </c>
      <c r="B101" s="32" t="str">
        <f>'A) Base RI'!B103</f>
        <v>Giez</v>
      </c>
      <c r="C101" s="295">
        <f>'B) D RI'!U103</f>
        <v>16897.618636363641</v>
      </c>
      <c r="D101" s="32">
        <f>'B) D RI'!AA103</f>
        <v>414</v>
      </c>
      <c r="E101" s="201">
        <f t="shared" si="10"/>
        <v>40.815503952569181</v>
      </c>
      <c r="F101" s="368">
        <f t="shared" si="11"/>
        <v>0.84726922885009737</v>
      </c>
      <c r="G101" s="379">
        <f t="shared" si="12"/>
        <v>0</v>
      </c>
      <c r="H101" s="376">
        <f t="shared" si="13"/>
        <v>0</v>
      </c>
      <c r="I101" s="379">
        <f t="shared" si="14"/>
        <v>0</v>
      </c>
      <c r="J101" s="376">
        <f t="shared" si="15"/>
        <v>0</v>
      </c>
      <c r="K101" s="371">
        <f t="shared" si="16"/>
        <v>0</v>
      </c>
      <c r="L101" s="375">
        <f t="shared" si="17"/>
        <v>0</v>
      </c>
      <c r="M101" s="113">
        <f>L101*D101*'B) D RI'!S103</f>
        <v>0</v>
      </c>
    </row>
    <row r="102" spans="1:13" x14ac:dyDescent="0.25">
      <c r="A102" s="297">
        <f>'A) Base RI'!A104</f>
        <v>5560</v>
      </c>
      <c r="B102" s="32" t="str">
        <f>'A) Base RI'!B104</f>
        <v>Grandevent</v>
      </c>
      <c r="C102" s="295">
        <f>'B) D RI'!U104</f>
        <v>6167.8957352941179</v>
      </c>
      <c r="D102" s="32">
        <f>'B) D RI'!AA104</f>
        <v>226</v>
      </c>
      <c r="E102" s="201">
        <f t="shared" si="10"/>
        <v>27.291574049973974</v>
      </c>
      <c r="F102" s="368">
        <f t="shared" si="11"/>
        <v>0.5665325344579325</v>
      </c>
      <c r="G102" s="379">
        <f t="shared" si="12"/>
        <v>0</v>
      </c>
      <c r="H102" s="376">
        <f t="shared" si="13"/>
        <v>0</v>
      </c>
      <c r="I102" s="379">
        <f t="shared" si="14"/>
        <v>0</v>
      </c>
      <c r="J102" s="376">
        <f t="shared" si="15"/>
        <v>0</v>
      </c>
      <c r="K102" s="371">
        <f t="shared" si="16"/>
        <v>0</v>
      </c>
      <c r="L102" s="375">
        <f t="shared" si="17"/>
        <v>0</v>
      </c>
      <c r="M102" s="113">
        <f>L102*D102*'B) D RI'!S104</f>
        <v>0</v>
      </c>
    </row>
    <row r="103" spans="1:13" x14ac:dyDescent="0.25">
      <c r="A103" s="297">
        <f>'A) Base RI'!A105</f>
        <v>5561</v>
      </c>
      <c r="B103" s="32" t="str">
        <f>'A) Base RI'!B105</f>
        <v>Grandson</v>
      </c>
      <c r="C103" s="295">
        <f>'B) D RI'!U105</f>
        <v>114985.73289855072</v>
      </c>
      <c r="D103" s="32">
        <f>'B) D RI'!AA105</f>
        <v>3356</v>
      </c>
      <c r="E103" s="201">
        <f t="shared" si="10"/>
        <v>34.262733283239186</v>
      </c>
      <c r="F103" s="368">
        <f t="shared" si="11"/>
        <v>0.71124344418046359</v>
      </c>
      <c r="G103" s="379">
        <f t="shared" si="12"/>
        <v>0</v>
      </c>
      <c r="H103" s="376">
        <f t="shared" si="13"/>
        <v>0</v>
      </c>
      <c r="I103" s="379">
        <f t="shared" si="14"/>
        <v>0</v>
      </c>
      <c r="J103" s="376">
        <f t="shared" si="15"/>
        <v>0</v>
      </c>
      <c r="K103" s="371">
        <f t="shared" si="16"/>
        <v>0</v>
      </c>
      <c r="L103" s="375">
        <f t="shared" si="17"/>
        <v>0</v>
      </c>
      <c r="M103" s="113">
        <f>L103*D103*'B) D RI'!S105</f>
        <v>0</v>
      </c>
    </row>
    <row r="104" spans="1:13" x14ac:dyDescent="0.25">
      <c r="A104" s="297">
        <f>'A) Base RI'!A106</f>
        <v>5562</v>
      </c>
      <c r="B104" s="32" t="str">
        <f>'A) Base RI'!B106</f>
        <v>Mauborget</v>
      </c>
      <c r="C104" s="295">
        <f>'B) D RI'!U106</f>
        <v>6037.1574285714287</v>
      </c>
      <c r="D104" s="32">
        <f>'B) D RI'!AA106</f>
        <v>128</v>
      </c>
      <c r="E104" s="201">
        <f t="shared" si="10"/>
        <v>47.165292410714287</v>
      </c>
      <c r="F104" s="368">
        <f t="shared" si="11"/>
        <v>0.97908140435443047</v>
      </c>
      <c r="G104" s="379">
        <f t="shared" si="12"/>
        <v>0</v>
      </c>
      <c r="H104" s="376">
        <f t="shared" si="13"/>
        <v>0</v>
      </c>
      <c r="I104" s="379">
        <f t="shared" si="14"/>
        <v>0</v>
      </c>
      <c r="J104" s="376">
        <f t="shared" si="15"/>
        <v>0</v>
      </c>
      <c r="K104" s="371">
        <f t="shared" si="16"/>
        <v>0</v>
      </c>
      <c r="L104" s="375">
        <f t="shared" si="17"/>
        <v>0</v>
      </c>
      <c r="M104" s="113">
        <f>L104*D104*'B) D RI'!S106</f>
        <v>0</v>
      </c>
    </row>
    <row r="105" spans="1:13" x14ac:dyDescent="0.25">
      <c r="A105" s="297">
        <f>'A) Base RI'!A107</f>
        <v>5563</v>
      </c>
      <c r="B105" s="32" t="str">
        <f>'A) Base RI'!B107</f>
        <v>Mutrux</v>
      </c>
      <c r="C105" s="295">
        <f>'B) D RI'!U107</f>
        <v>4073.5824999999995</v>
      </c>
      <c r="D105" s="32">
        <f>'B) D RI'!AA107</f>
        <v>149</v>
      </c>
      <c r="E105" s="201">
        <f t="shared" si="10"/>
        <v>27.339479865771811</v>
      </c>
      <c r="F105" s="368">
        <f t="shared" si="11"/>
        <v>0.56752698802772383</v>
      </c>
      <c r="G105" s="379">
        <f t="shared" si="12"/>
        <v>0</v>
      </c>
      <c r="H105" s="376">
        <f t="shared" si="13"/>
        <v>0</v>
      </c>
      <c r="I105" s="379">
        <f t="shared" si="14"/>
        <v>0</v>
      </c>
      <c r="J105" s="376">
        <f t="shared" si="15"/>
        <v>0</v>
      </c>
      <c r="K105" s="371">
        <f t="shared" si="16"/>
        <v>0</v>
      </c>
      <c r="L105" s="375">
        <f t="shared" si="17"/>
        <v>0</v>
      </c>
      <c r="M105" s="113">
        <f>L105*D105*'B) D RI'!S107</f>
        <v>0</v>
      </c>
    </row>
    <row r="106" spans="1:13" x14ac:dyDescent="0.25">
      <c r="A106" s="297">
        <f>'A) Base RI'!A108</f>
        <v>5564</v>
      </c>
      <c r="B106" s="32" t="str">
        <f>'A) Base RI'!B108</f>
        <v>Novalles</v>
      </c>
      <c r="C106" s="295">
        <f>'B) D RI'!U108</f>
        <v>2091.5044407894734</v>
      </c>
      <c r="D106" s="32">
        <f>'B) D RI'!AA108</f>
        <v>99</v>
      </c>
      <c r="E106" s="201">
        <f t="shared" si="10"/>
        <v>21.126307482721952</v>
      </c>
      <c r="F106" s="368">
        <f t="shared" si="11"/>
        <v>0.43855075929325021</v>
      </c>
      <c r="G106" s="379">
        <f t="shared" si="12"/>
        <v>0</v>
      </c>
      <c r="H106" s="376">
        <f t="shared" si="13"/>
        <v>0</v>
      </c>
      <c r="I106" s="379">
        <f t="shared" si="14"/>
        <v>0</v>
      </c>
      <c r="J106" s="376">
        <f t="shared" si="15"/>
        <v>0</v>
      </c>
      <c r="K106" s="371">
        <f t="shared" si="16"/>
        <v>0</v>
      </c>
      <c r="L106" s="375">
        <f t="shared" si="17"/>
        <v>0</v>
      </c>
      <c r="M106" s="113">
        <f>L106*D106*'B) D RI'!S108</f>
        <v>0</v>
      </c>
    </row>
    <row r="107" spans="1:13" x14ac:dyDescent="0.25">
      <c r="A107" s="297">
        <f>'A) Base RI'!A109</f>
        <v>5565</v>
      </c>
      <c r="B107" s="32" t="str">
        <f>'A) Base RI'!B109</f>
        <v>Onnens</v>
      </c>
      <c r="C107" s="295">
        <f>'B) D RI'!U109</f>
        <v>19690.582047244097</v>
      </c>
      <c r="D107" s="32">
        <f>'B) D RI'!AA109</f>
        <v>505</v>
      </c>
      <c r="E107" s="201">
        <f t="shared" si="10"/>
        <v>38.991251578701181</v>
      </c>
      <c r="F107" s="368">
        <f t="shared" si="11"/>
        <v>0.80940045957479345</v>
      </c>
      <c r="G107" s="379">
        <f t="shared" si="12"/>
        <v>0</v>
      </c>
      <c r="H107" s="376">
        <f t="shared" si="13"/>
        <v>0</v>
      </c>
      <c r="I107" s="379">
        <f t="shared" si="14"/>
        <v>0</v>
      </c>
      <c r="J107" s="376">
        <f t="shared" si="15"/>
        <v>0</v>
      </c>
      <c r="K107" s="371">
        <f t="shared" si="16"/>
        <v>0</v>
      </c>
      <c r="L107" s="375">
        <f t="shared" si="17"/>
        <v>0</v>
      </c>
      <c r="M107" s="113">
        <f>L107*D107*'B) D RI'!S109</f>
        <v>0</v>
      </c>
    </row>
    <row r="108" spans="1:13" x14ac:dyDescent="0.25">
      <c r="A108" s="297">
        <f>'A) Base RI'!A110</f>
        <v>5566</v>
      </c>
      <c r="B108" s="32" t="str">
        <f>'A) Base RI'!B110</f>
        <v>Provence</v>
      </c>
      <c r="C108" s="295">
        <f>'B) D RI'!U110</f>
        <v>7598.735102880657</v>
      </c>
      <c r="D108" s="32">
        <f>'B) D RI'!AA110</f>
        <v>392</v>
      </c>
      <c r="E108" s="201">
        <f t="shared" si="10"/>
        <v>19.384528323675145</v>
      </c>
      <c r="F108" s="368">
        <f t="shared" si="11"/>
        <v>0.40239401144008874</v>
      </c>
      <c r="G108" s="379">
        <f t="shared" si="12"/>
        <v>0</v>
      </c>
      <c r="H108" s="376">
        <f t="shared" si="13"/>
        <v>0</v>
      </c>
      <c r="I108" s="379">
        <f t="shared" si="14"/>
        <v>0</v>
      </c>
      <c r="J108" s="376">
        <f t="shared" si="15"/>
        <v>0</v>
      </c>
      <c r="K108" s="371">
        <f t="shared" si="16"/>
        <v>0</v>
      </c>
      <c r="L108" s="375">
        <f t="shared" si="17"/>
        <v>0</v>
      </c>
      <c r="M108" s="113">
        <f>L108*D108*'B) D RI'!S110</f>
        <v>0</v>
      </c>
    </row>
    <row r="109" spans="1:13" x14ac:dyDescent="0.25">
      <c r="A109" s="297">
        <f>'A) Base RI'!A111</f>
        <v>5568</v>
      </c>
      <c r="B109" s="32" t="str">
        <f>'A) Base RI'!B111</f>
        <v>Sainte-Croix</v>
      </c>
      <c r="C109" s="295">
        <f>'B) D RI'!U111</f>
        <v>106515.47628571428</v>
      </c>
      <c r="D109" s="32">
        <f>'B) D RI'!AA111</f>
        <v>4917</v>
      </c>
      <c r="E109" s="201">
        <f t="shared" si="10"/>
        <v>21.662696010924197</v>
      </c>
      <c r="F109" s="368">
        <f t="shared" si="11"/>
        <v>0.44968538831025512</v>
      </c>
      <c r="G109" s="379">
        <f t="shared" si="12"/>
        <v>0</v>
      </c>
      <c r="H109" s="376">
        <f t="shared" si="13"/>
        <v>0</v>
      </c>
      <c r="I109" s="379">
        <f t="shared" si="14"/>
        <v>0</v>
      </c>
      <c r="J109" s="376">
        <f t="shared" si="15"/>
        <v>0</v>
      </c>
      <c r="K109" s="371">
        <f t="shared" si="16"/>
        <v>0</v>
      </c>
      <c r="L109" s="375">
        <f t="shared" si="17"/>
        <v>0</v>
      </c>
      <c r="M109" s="113">
        <f>L109*D109*'B) D RI'!S111</f>
        <v>0</v>
      </c>
    </row>
    <row r="110" spans="1:13" x14ac:dyDescent="0.25">
      <c r="A110" s="297">
        <f>'A) Base RI'!A112</f>
        <v>5571</v>
      </c>
      <c r="B110" s="32" t="str">
        <f>'A) Base RI'!B112</f>
        <v>Tévenon</v>
      </c>
      <c r="C110" s="295">
        <f>'B) D RI'!U112</f>
        <v>21380.087226107229</v>
      </c>
      <c r="D110" s="32">
        <f>'B) D RI'!AA112</f>
        <v>894</v>
      </c>
      <c r="E110" s="201">
        <f t="shared" si="10"/>
        <v>23.915086382670278</v>
      </c>
      <c r="F110" s="368">
        <f t="shared" si="11"/>
        <v>0.49644166640390247</v>
      </c>
      <c r="G110" s="379">
        <f t="shared" si="12"/>
        <v>0</v>
      </c>
      <c r="H110" s="376">
        <f t="shared" si="13"/>
        <v>0</v>
      </c>
      <c r="I110" s="379">
        <f t="shared" si="14"/>
        <v>0</v>
      </c>
      <c r="J110" s="376">
        <f t="shared" si="15"/>
        <v>0</v>
      </c>
      <c r="K110" s="371">
        <f t="shared" si="16"/>
        <v>0</v>
      </c>
      <c r="L110" s="375">
        <f t="shared" si="17"/>
        <v>0</v>
      </c>
      <c r="M110" s="113">
        <f>L110*D110*'B) D RI'!S112</f>
        <v>0</v>
      </c>
    </row>
    <row r="111" spans="1:13" x14ac:dyDescent="0.25">
      <c r="A111" s="297">
        <f>'A) Base RI'!A113</f>
        <v>5581</v>
      </c>
      <c r="B111" s="32" t="str">
        <f>'A) Base RI'!B113</f>
        <v>Belmont-sur-Lausanne</v>
      </c>
      <c r="C111" s="295">
        <f>'B) D RI'!U113</f>
        <v>212445.65069444443</v>
      </c>
      <c r="D111" s="32">
        <f>'B) D RI'!AA113</f>
        <v>3756</v>
      </c>
      <c r="E111" s="201">
        <f t="shared" si="10"/>
        <v>56.561674838776469</v>
      </c>
      <c r="F111" s="368">
        <f t="shared" si="11"/>
        <v>1.1741363448264743</v>
      </c>
      <c r="G111" s="379">
        <f t="shared" si="12"/>
        <v>8.388670836302019</v>
      </c>
      <c r="H111" s="376">
        <f t="shared" si="13"/>
        <v>0</v>
      </c>
      <c r="I111" s="379">
        <f t="shared" si="14"/>
        <v>0</v>
      </c>
      <c r="J111" s="376">
        <f t="shared" si="15"/>
        <v>0</v>
      </c>
      <c r="K111" s="371">
        <f t="shared" si="16"/>
        <v>0</v>
      </c>
      <c r="L111" s="375">
        <f t="shared" si="17"/>
        <v>1.6777341672604038</v>
      </c>
      <c r="M111" s="113">
        <f>L111*D111*'B) D RI'!S113</f>
        <v>453713.00632056553</v>
      </c>
    </row>
    <row r="112" spans="1:13" x14ac:dyDescent="0.25">
      <c r="A112" s="297">
        <f>'A) Base RI'!A114</f>
        <v>5582</v>
      </c>
      <c r="B112" s="32" t="str">
        <f>'A) Base RI'!B114</f>
        <v>Cheseaux-sur-Lausanne</v>
      </c>
      <c r="C112" s="295">
        <f>'B) D RI'!U114</f>
        <v>163780.29383561644</v>
      </c>
      <c r="D112" s="32">
        <f>'B) D RI'!AA114</f>
        <v>4367</v>
      </c>
      <c r="E112" s="201">
        <f t="shared" si="10"/>
        <v>37.5040746131478</v>
      </c>
      <c r="F112" s="368">
        <f t="shared" si="11"/>
        <v>0.77852887503593027</v>
      </c>
      <c r="G112" s="379">
        <f t="shared" si="12"/>
        <v>0</v>
      </c>
      <c r="H112" s="376">
        <f t="shared" si="13"/>
        <v>0</v>
      </c>
      <c r="I112" s="379">
        <f t="shared" si="14"/>
        <v>0</v>
      </c>
      <c r="J112" s="376">
        <f t="shared" si="15"/>
        <v>0</v>
      </c>
      <c r="K112" s="371">
        <f t="shared" si="16"/>
        <v>0</v>
      </c>
      <c r="L112" s="375">
        <f t="shared" si="17"/>
        <v>0</v>
      </c>
      <c r="M112" s="113">
        <f>L112*D112*'B) D RI'!S114</f>
        <v>0</v>
      </c>
    </row>
    <row r="113" spans="1:13" x14ac:dyDescent="0.25">
      <c r="A113" s="297">
        <f>'A) Base RI'!A115</f>
        <v>5583</v>
      </c>
      <c r="B113" s="32" t="str">
        <f>'A) Base RI'!B115</f>
        <v>Crissier</v>
      </c>
      <c r="C113" s="295">
        <f>'B) D RI'!U115</f>
        <v>368095.30976377946</v>
      </c>
      <c r="D113" s="32">
        <f>'B) D RI'!AA115</f>
        <v>8700</v>
      </c>
      <c r="E113" s="201">
        <f t="shared" si="10"/>
        <v>42.309805719974648</v>
      </c>
      <c r="F113" s="368">
        <f t="shared" si="11"/>
        <v>0.87828871369120698</v>
      </c>
      <c r="G113" s="379">
        <f t="shared" si="12"/>
        <v>0</v>
      </c>
      <c r="H113" s="376">
        <f t="shared" si="13"/>
        <v>0</v>
      </c>
      <c r="I113" s="379">
        <f t="shared" si="14"/>
        <v>0</v>
      </c>
      <c r="J113" s="376">
        <f t="shared" si="15"/>
        <v>0</v>
      </c>
      <c r="K113" s="371">
        <f t="shared" si="16"/>
        <v>0</v>
      </c>
      <c r="L113" s="375">
        <f t="shared" si="17"/>
        <v>0</v>
      </c>
      <c r="M113" s="113">
        <f>L113*D113*'B) D RI'!S115</f>
        <v>0</v>
      </c>
    </row>
    <row r="114" spans="1:13" x14ac:dyDescent="0.25">
      <c r="A114" s="297">
        <f>'A) Base RI'!A116</f>
        <v>5584</v>
      </c>
      <c r="B114" s="32" t="str">
        <f>'A) Base RI'!B116</f>
        <v>Epalinges</v>
      </c>
      <c r="C114" s="295">
        <f>'B) D RI'!U116</f>
        <v>482115.91751937981</v>
      </c>
      <c r="D114" s="32">
        <f>'B) D RI'!AA116</f>
        <v>9755</v>
      </c>
      <c r="E114" s="201">
        <f t="shared" si="10"/>
        <v>49.422441570413099</v>
      </c>
      <c r="F114" s="368">
        <f t="shared" si="11"/>
        <v>1.0259364678165901</v>
      </c>
      <c r="G114" s="379">
        <f t="shared" si="12"/>
        <v>1.2494375679386494</v>
      </c>
      <c r="H114" s="376">
        <f t="shared" si="13"/>
        <v>0</v>
      </c>
      <c r="I114" s="379">
        <f t="shared" si="14"/>
        <v>0</v>
      </c>
      <c r="J114" s="376">
        <f t="shared" si="15"/>
        <v>0</v>
      </c>
      <c r="K114" s="371">
        <f t="shared" si="16"/>
        <v>0</v>
      </c>
      <c r="L114" s="375">
        <f t="shared" si="17"/>
        <v>0.24988751358772987</v>
      </c>
      <c r="M114" s="113">
        <f>L114*D114*'B) D RI'!S116</f>
        <v>157228.59883061567</v>
      </c>
    </row>
    <row r="115" spans="1:13" x14ac:dyDescent="0.25">
      <c r="A115" s="297">
        <f>'A) Base RI'!A117</f>
        <v>5585</v>
      </c>
      <c r="B115" s="32" t="str">
        <f>'A) Base RI'!B117</f>
        <v>Jouxtens-Mézery</v>
      </c>
      <c r="C115" s="295">
        <f>'B) D RI'!U117</f>
        <v>202487.97135593221</v>
      </c>
      <c r="D115" s="32">
        <f>'B) D RI'!AA117</f>
        <v>1411</v>
      </c>
      <c r="E115" s="201">
        <f t="shared" si="10"/>
        <v>143.50671251306323</v>
      </c>
      <c r="F115" s="368">
        <f t="shared" si="11"/>
        <v>2.9789861663119841</v>
      </c>
      <c r="G115" s="379">
        <f t="shared" si="12"/>
        <v>95.333708510588792</v>
      </c>
      <c r="H115" s="376">
        <f t="shared" si="13"/>
        <v>85.699107710093898</v>
      </c>
      <c r="I115" s="379">
        <f t="shared" si="14"/>
        <v>71.247206509351557</v>
      </c>
      <c r="J115" s="376">
        <f t="shared" si="15"/>
        <v>47.160704508114335</v>
      </c>
      <c r="K115" s="371">
        <f t="shared" si="16"/>
        <v>0</v>
      </c>
      <c r="L115" s="375">
        <f t="shared" si="17"/>
        <v>39.477443574873739</v>
      </c>
      <c r="M115" s="113">
        <f>L115*D115*'B) D RI'!S117</f>
        <v>3286457.7001646636</v>
      </c>
    </row>
    <row r="116" spans="1:13" x14ac:dyDescent="0.25">
      <c r="A116" s="297">
        <f>'A) Base RI'!A118</f>
        <v>5586</v>
      </c>
      <c r="B116" s="32" t="str">
        <f>'A) Base RI'!B118</f>
        <v>Lausanne</v>
      </c>
      <c r="C116" s="295">
        <f>'B) D RI'!U118</f>
        <v>6272364.2800849257</v>
      </c>
      <c r="D116" s="32">
        <f>'B) D RI'!AA118</f>
        <v>140430</v>
      </c>
      <c r="E116" s="201">
        <f t="shared" si="10"/>
        <v>44.665415367691558</v>
      </c>
      <c r="F116" s="368">
        <f t="shared" si="11"/>
        <v>0.92718767061728757</v>
      </c>
      <c r="G116" s="379">
        <f t="shared" si="12"/>
        <v>0</v>
      </c>
      <c r="H116" s="376">
        <f t="shared" si="13"/>
        <v>0</v>
      </c>
      <c r="I116" s="379">
        <f t="shared" si="14"/>
        <v>0</v>
      </c>
      <c r="J116" s="376">
        <f t="shared" si="15"/>
        <v>0</v>
      </c>
      <c r="K116" s="371">
        <f t="shared" si="16"/>
        <v>0</v>
      </c>
      <c r="L116" s="375">
        <f t="shared" si="17"/>
        <v>0</v>
      </c>
      <c r="M116" s="113">
        <f>L116*D116*'B) D RI'!S118</f>
        <v>0</v>
      </c>
    </row>
    <row r="117" spans="1:13" x14ac:dyDescent="0.25">
      <c r="A117" s="297">
        <f>'A) Base RI'!A119</f>
        <v>5587</v>
      </c>
      <c r="B117" s="32" t="str">
        <f>'A) Base RI'!B119</f>
        <v>Le Mont-sur-Lausanne</v>
      </c>
      <c r="C117" s="295">
        <f>'B) D RI'!U119</f>
        <v>442860.74013605446</v>
      </c>
      <c r="D117" s="32">
        <f>'B) D RI'!AA119</f>
        <v>9136</v>
      </c>
      <c r="E117" s="201">
        <f t="shared" si="10"/>
        <v>48.474249139235383</v>
      </c>
      <c r="F117" s="368">
        <f t="shared" si="11"/>
        <v>1.0062534015264122</v>
      </c>
      <c r="G117" s="379">
        <f t="shared" si="12"/>
        <v>0.30124513676093301</v>
      </c>
      <c r="H117" s="376">
        <f t="shared" si="13"/>
        <v>0</v>
      </c>
      <c r="I117" s="379">
        <f t="shared" si="14"/>
        <v>0</v>
      </c>
      <c r="J117" s="376">
        <f t="shared" si="15"/>
        <v>0</v>
      </c>
      <c r="K117" s="371">
        <f t="shared" si="16"/>
        <v>0</v>
      </c>
      <c r="L117" s="375">
        <f t="shared" si="17"/>
        <v>6.0249027352186603E-2</v>
      </c>
      <c r="M117" s="113">
        <f>L117*D117*'B) D RI'!S119</f>
        <v>40456.98087088389</v>
      </c>
    </row>
    <row r="118" spans="1:13" x14ac:dyDescent="0.25">
      <c r="A118" s="297">
        <f>'A) Base RI'!A120</f>
        <v>5588</v>
      </c>
      <c r="B118" s="32" t="str">
        <f>'A) Base RI'!B120</f>
        <v>Paudex</v>
      </c>
      <c r="C118" s="295">
        <f>'B) D RI'!U120</f>
        <v>135448.58760472611</v>
      </c>
      <c r="D118" s="32">
        <f>'B) D RI'!AA120</f>
        <v>1538</v>
      </c>
      <c r="E118" s="201">
        <f t="shared" si="10"/>
        <v>88.068002343775106</v>
      </c>
      <c r="F118" s="368">
        <f t="shared" si="11"/>
        <v>1.8281608998112597</v>
      </c>
      <c r="G118" s="379">
        <f t="shared" si="12"/>
        <v>39.894998341300656</v>
      </c>
      <c r="H118" s="376">
        <f t="shared" si="13"/>
        <v>30.260397540805769</v>
      </c>
      <c r="I118" s="379">
        <f t="shared" si="14"/>
        <v>15.808496340063428</v>
      </c>
      <c r="J118" s="376">
        <f t="shared" si="15"/>
        <v>0</v>
      </c>
      <c r="K118" s="371">
        <f t="shared" si="16"/>
        <v>0</v>
      </c>
      <c r="L118" s="375">
        <f t="shared" si="17"/>
        <v>12.585889056347051</v>
      </c>
      <c r="M118" s="113">
        <f>L118*D118*'B) D RI'!S120</f>
        <v>1287246.9750160074</v>
      </c>
    </row>
    <row r="119" spans="1:13" x14ac:dyDescent="0.25">
      <c r="A119" s="297">
        <f>'A) Base RI'!A121</f>
        <v>5589</v>
      </c>
      <c r="B119" s="32" t="str">
        <f>'A) Base RI'!B121</f>
        <v>Prilly</v>
      </c>
      <c r="C119" s="295">
        <f>'B) D RI'!U121</f>
        <v>455017.22467904515</v>
      </c>
      <c r="D119" s="32">
        <f>'B) D RI'!AA121</f>
        <v>12383</v>
      </c>
      <c r="E119" s="201">
        <f t="shared" si="10"/>
        <v>36.74531411443472</v>
      </c>
      <c r="F119" s="368">
        <f t="shared" si="11"/>
        <v>0.76277813425434848</v>
      </c>
      <c r="G119" s="379">
        <f t="shared" si="12"/>
        <v>0</v>
      </c>
      <c r="H119" s="376">
        <f t="shared" si="13"/>
        <v>0</v>
      </c>
      <c r="I119" s="379">
        <f t="shared" si="14"/>
        <v>0</v>
      </c>
      <c r="J119" s="376">
        <f t="shared" si="15"/>
        <v>0</v>
      </c>
      <c r="K119" s="371">
        <f t="shared" si="16"/>
        <v>0</v>
      </c>
      <c r="L119" s="375">
        <f t="shared" si="17"/>
        <v>0</v>
      </c>
      <c r="M119" s="113">
        <f>L119*D119*'B) D RI'!S121</f>
        <v>0</v>
      </c>
    </row>
    <row r="120" spans="1:13" x14ac:dyDescent="0.25">
      <c r="A120" s="297">
        <f>'A) Base RI'!A122</f>
        <v>5590</v>
      </c>
      <c r="B120" s="32" t="str">
        <f>'A) Base RI'!B122</f>
        <v>Pully</v>
      </c>
      <c r="C120" s="295">
        <f>'B) D RI'!U122</f>
        <v>1478979.5848477751</v>
      </c>
      <c r="D120" s="32">
        <f>'B) D RI'!AA122</f>
        <v>18688</v>
      </c>
      <c r="E120" s="201">
        <f t="shared" si="10"/>
        <v>79.140602785090707</v>
      </c>
      <c r="F120" s="368">
        <f t="shared" si="11"/>
        <v>1.6428413470130609</v>
      </c>
      <c r="G120" s="379">
        <f t="shared" si="12"/>
        <v>30.967598782616257</v>
      </c>
      <c r="H120" s="376">
        <f t="shared" si="13"/>
        <v>21.33299798212137</v>
      </c>
      <c r="I120" s="379">
        <f t="shared" si="14"/>
        <v>6.8810967813790285</v>
      </c>
      <c r="J120" s="376">
        <f t="shared" si="15"/>
        <v>0</v>
      </c>
      <c r="K120" s="371">
        <f t="shared" si="16"/>
        <v>0</v>
      </c>
      <c r="L120" s="375">
        <f t="shared" si="17"/>
        <v>9.0149292328732908</v>
      </c>
      <c r="M120" s="113">
        <f>L120*D120*'B) D RI'!S122</f>
        <v>10276730.847740099</v>
      </c>
    </row>
    <row r="121" spans="1:13" x14ac:dyDescent="0.25">
      <c r="A121" s="297">
        <f>'A) Base RI'!A123</f>
        <v>5591</v>
      </c>
      <c r="B121" s="32" t="str">
        <f>'A) Base RI'!B123</f>
        <v>Renens</v>
      </c>
      <c r="C121" s="295">
        <f>'B) D RI'!U123</f>
        <v>596748.60283858993</v>
      </c>
      <c r="D121" s="32">
        <f>'B) D RI'!AA123</f>
        <v>20863</v>
      </c>
      <c r="E121" s="201">
        <f t="shared" si="10"/>
        <v>28.603201976637585</v>
      </c>
      <c r="F121" s="368">
        <f t="shared" si="11"/>
        <v>0.59375998173517175</v>
      </c>
      <c r="G121" s="379">
        <f t="shared" si="12"/>
        <v>0</v>
      </c>
      <c r="H121" s="376">
        <f t="shared" si="13"/>
        <v>0</v>
      </c>
      <c r="I121" s="379">
        <f t="shared" si="14"/>
        <v>0</v>
      </c>
      <c r="J121" s="376">
        <f t="shared" si="15"/>
        <v>0</v>
      </c>
      <c r="K121" s="371">
        <f t="shared" si="16"/>
        <v>0</v>
      </c>
      <c r="L121" s="375">
        <f t="shared" si="17"/>
        <v>0</v>
      </c>
      <c r="M121" s="113">
        <f>L121*D121*'B) D RI'!S123</f>
        <v>0</v>
      </c>
    </row>
    <row r="122" spans="1:13" x14ac:dyDescent="0.25">
      <c r="A122" s="297">
        <f>'A) Base RI'!A124</f>
        <v>5592</v>
      </c>
      <c r="B122" s="32" t="str">
        <f>'A) Base RI'!B124</f>
        <v>Romanel-sur-Lausanne</v>
      </c>
      <c r="C122" s="295">
        <f>'B) D RI'!U124</f>
        <v>121292.24695035459</v>
      </c>
      <c r="D122" s="32">
        <f>'B) D RI'!AA124</f>
        <v>3247</v>
      </c>
      <c r="E122" s="201">
        <f t="shared" si="10"/>
        <v>37.35517306755608</v>
      </c>
      <c r="F122" s="368">
        <f t="shared" si="11"/>
        <v>0.77543790014916447</v>
      </c>
      <c r="G122" s="379">
        <f t="shared" si="12"/>
        <v>0</v>
      </c>
      <c r="H122" s="376">
        <f t="shared" si="13"/>
        <v>0</v>
      </c>
      <c r="I122" s="379">
        <f t="shared" si="14"/>
        <v>0</v>
      </c>
      <c r="J122" s="376">
        <f t="shared" si="15"/>
        <v>0</v>
      </c>
      <c r="K122" s="371">
        <f t="shared" si="16"/>
        <v>0</v>
      </c>
      <c r="L122" s="375">
        <f t="shared" si="17"/>
        <v>0</v>
      </c>
      <c r="M122" s="113">
        <f>L122*D122*'B) D RI'!S124</f>
        <v>0</v>
      </c>
    </row>
    <row r="123" spans="1:13" x14ac:dyDescent="0.25">
      <c r="A123" s="297">
        <f>'A) Base RI'!A125</f>
        <v>5601</v>
      </c>
      <c r="B123" s="32" t="str">
        <f>'A) Base RI'!B125</f>
        <v>Chexbres</v>
      </c>
      <c r="C123" s="295">
        <f>'B) D RI'!U125</f>
        <v>98072.029481481484</v>
      </c>
      <c r="D123" s="32">
        <f>'B) D RI'!AA125</f>
        <v>2251</v>
      </c>
      <c r="E123" s="201">
        <f t="shared" si="10"/>
        <v>43.56820501176432</v>
      </c>
      <c r="F123" s="368">
        <f t="shared" si="11"/>
        <v>0.90441121358191401</v>
      </c>
      <c r="G123" s="379">
        <f t="shared" si="12"/>
        <v>0</v>
      </c>
      <c r="H123" s="376">
        <f t="shared" si="13"/>
        <v>0</v>
      </c>
      <c r="I123" s="379">
        <f t="shared" si="14"/>
        <v>0</v>
      </c>
      <c r="J123" s="376">
        <f t="shared" si="15"/>
        <v>0</v>
      </c>
      <c r="K123" s="371">
        <f t="shared" si="16"/>
        <v>0</v>
      </c>
      <c r="L123" s="375">
        <f t="shared" si="17"/>
        <v>0</v>
      </c>
      <c r="M123" s="113">
        <f>L123*D123*'B) D RI'!S125</f>
        <v>0</v>
      </c>
    </row>
    <row r="124" spans="1:13" x14ac:dyDescent="0.25">
      <c r="A124" s="297">
        <f>'A) Base RI'!A126</f>
        <v>5604</v>
      </c>
      <c r="B124" s="32" t="str">
        <f>'A) Base RI'!B126</f>
        <v>Forel (Lavaux)</v>
      </c>
      <c r="C124" s="295">
        <f>'B) D RI'!U126</f>
        <v>71309.914782608685</v>
      </c>
      <c r="D124" s="32">
        <f>'B) D RI'!AA126</f>
        <v>2105</v>
      </c>
      <c r="E124" s="201">
        <f t="shared" si="10"/>
        <v>33.876444077248784</v>
      </c>
      <c r="F124" s="368">
        <f t="shared" si="11"/>
        <v>0.7032246541135091</v>
      </c>
      <c r="G124" s="379">
        <f t="shared" si="12"/>
        <v>0</v>
      </c>
      <c r="H124" s="376">
        <f t="shared" si="13"/>
        <v>0</v>
      </c>
      <c r="I124" s="379">
        <f t="shared" si="14"/>
        <v>0</v>
      </c>
      <c r="J124" s="376">
        <f t="shared" si="15"/>
        <v>0</v>
      </c>
      <c r="K124" s="371">
        <f t="shared" si="16"/>
        <v>0</v>
      </c>
      <c r="L124" s="375">
        <f t="shared" si="17"/>
        <v>0</v>
      </c>
      <c r="M124" s="113">
        <f>L124*D124*'B) D RI'!S126</f>
        <v>0</v>
      </c>
    </row>
    <row r="125" spans="1:13" x14ac:dyDescent="0.25">
      <c r="A125" s="297">
        <f>'A) Base RI'!A127</f>
        <v>5606</v>
      </c>
      <c r="B125" s="32" t="str">
        <f>'A) Base RI'!B127</f>
        <v>Lutry</v>
      </c>
      <c r="C125" s="295">
        <f>'B) D RI'!U127</f>
        <v>875230.37264550268</v>
      </c>
      <c r="D125" s="32">
        <f>'B) D RI'!AA127</f>
        <v>10455</v>
      </c>
      <c r="E125" s="201">
        <f t="shared" si="10"/>
        <v>83.714048077044737</v>
      </c>
      <c r="F125" s="368">
        <f t="shared" si="11"/>
        <v>1.7377792772222527</v>
      </c>
      <c r="G125" s="379">
        <f t="shared" si="12"/>
        <v>35.541044074570287</v>
      </c>
      <c r="H125" s="376">
        <f t="shared" si="13"/>
        <v>25.9064432740754</v>
      </c>
      <c r="I125" s="379">
        <f t="shared" si="14"/>
        <v>11.454542073333059</v>
      </c>
      <c r="J125" s="376">
        <f t="shared" si="15"/>
        <v>0</v>
      </c>
      <c r="K125" s="371">
        <f t="shared" si="16"/>
        <v>0</v>
      </c>
      <c r="L125" s="375">
        <f t="shared" si="17"/>
        <v>10.844307349654903</v>
      </c>
      <c r="M125" s="113">
        <f>L125*D125*'B) D RI'!S127</f>
        <v>6122370.6003946681</v>
      </c>
    </row>
    <row r="126" spans="1:13" x14ac:dyDescent="0.25">
      <c r="A126" s="297">
        <f>'A) Base RI'!A128</f>
        <v>5607</v>
      </c>
      <c r="B126" s="32" t="str">
        <f>'A) Base RI'!B128</f>
        <v>Puidoux</v>
      </c>
      <c r="C126" s="295">
        <f>'B) D RI'!U128</f>
        <v>102944.97501110758</v>
      </c>
      <c r="D126" s="32">
        <f>'B) D RI'!AA128</f>
        <v>2894</v>
      </c>
      <c r="E126" s="201">
        <f t="shared" si="10"/>
        <v>35.571864205634967</v>
      </c>
      <c r="F126" s="368">
        <f t="shared" si="11"/>
        <v>0.7384190573585111</v>
      </c>
      <c r="G126" s="379">
        <f t="shared" si="12"/>
        <v>0</v>
      </c>
      <c r="H126" s="376">
        <f t="shared" si="13"/>
        <v>0</v>
      </c>
      <c r="I126" s="379">
        <f t="shared" si="14"/>
        <v>0</v>
      </c>
      <c r="J126" s="376">
        <f t="shared" si="15"/>
        <v>0</v>
      </c>
      <c r="K126" s="371">
        <f t="shared" si="16"/>
        <v>0</v>
      </c>
      <c r="L126" s="375">
        <f t="shared" si="17"/>
        <v>0</v>
      </c>
      <c r="M126" s="113">
        <f>L126*D126*'B) D RI'!S128</f>
        <v>0</v>
      </c>
    </row>
    <row r="127" spans="1:13" x14ac:dyDescent="0.25">
      <c r="A127" s="297">
        <f>'A) Base RI'!A129</f>
        <v>5609</v>
      </c>
      <c r="B127" s="32" t="str">
        <f>'A) Base RI'!B129</f>
        <v>Rivaz</v>
      </c>
      <c r="C127" s="295">
        <f>'B) D RI'!U129</f>
        <v>16048.850483870969</v>
      </c>
      <c r="D127" s="32">
        <f>'B) D RI'!AA129</f>
        <v>337</v>
      </c>
      <c r="E127" s="201">
        <f t="shared" si="10"/>
        <v>47.622701732554802</v>
      </c>
      <c r="F127" s="368">
        <f t="shared" si="11"/>
        <v>0.98857654237440995</v>
      </c>
      <c r="G127" s="379">
        <f t="shared" si="12"/>
        <v>0</v>
      </c>
      <c r="H127" s="376">
        <f t="shared" si="13"/>
        <v>0</v>
      </c>
      <c r="I127" s="379">
        <f t="shared" si="14"/>
        <v>0</v>
      </c>
      <c r="J127" s="376">
        <f t="shared" si="15"/>
        <v>0</v>
      </c>
      <c r="K127" s="371">
        <f t="shared" si="16"/>
        <v>0</v>
      </c>
      <c r="L127" s="375">
        <f t="shared" si="17"/>
        <v>0</v>
      </c>
      <c r="M127" s="113">
        <f>L127*D127*'B) D RI'!S129</f>
        <v>0</v>
      </c>
    </row>
    <row r="128" spans="1:13" x14ac:dyDescent="0.25">
      <c r="A128" s="297">
        <f>'A) Base RI'!A130</f>
        <v>5610</v>
      </c>
      <c r="B128" s="32" t="str">
        <f>'A) Base RI'!B130</f>
        <v>St-Saphorin (Lavaux)</v>
      </c>
      <c r="C128" s="295">
        <f>'B) D RI'!U130</f>
        <v>19213.723703703701</v>
      </c>
      <c r="D128" s="32">
        <f>'B) D RI'!AA130</f>
        <v>388</v>
      </c>
      <c r="E128" s="201">
        <f t="shared" si="10"/>
        <v>49.519906452844587</v>
      </c>
      <c r="F128" s="368">
        <f t="shared" si="11"/>
        <v>1.0279596939875486</v>
      </c>
      <c r="G128" s="379">
        <f t="shared" si="12"/>
        <v>1.3469024503701377</v>
      </c>
      <c r="H128" s="376">
        <f t="shared" si="13"/>
        <v>0</v>
      </c>
      <c r="I128" s="379">
        <f t="shared" si="14"/>
        <v>0</v>
      </c>
      <c r="J128" s="376">
        <f t="shared" si="15"/>
        <v>0</v>
      </c>
      <c r="K128" s="371">
        <f t="shared" si="16"/>
        <v>0</v>
      </c>
      <c r="L128" s="375">
        <f t="shared" si="17"/>
        <v>0.26938049007402753</v>
      </c>
      <c r="M128" s="113">
        <f>L128*D128*'B) D RI'!S130</f>
        <v>7525.4133707080327</v>
      </c>
    </row>
    <row r="129" spans="1:13" x14ac:dyDescent="0.25">
      <c r="A129" s="297">
        <f>'A) Base RI'!A131</f>
        <v>5611</v>
      </c>
      <c r="B129" s="32" t="str">
        <f>'A) Base RI'!B131</f>
        <v>Savigny</v>
      </c>
      <c r="C129" s="295">
        <f>'B) D RI'!U131</f>
        <v>136715.33886473431</v>
      </c>
      <c r="D129" s="32">
        <f>'B) D RI'!AA131</f>
        <v>3348</v>
      </c>
      <c r="E129" s="201">
        <f t="shared" si="10"/>
        <v>40.834927976324465</v>
      </c>
      <c r="F129" s="368">
        <f t="shared" si="11"/>
        <v>0.84767244272802544</v>
      </c>
      <c r="G129" s="379">
        <f t="shared" si="12"/>
        <v>0</v>
      </c>
      <c r="H129" s="376">
        <f t="shared" si="13"/>
        <v>0</v>
      </c>
      <c r="I129" s="379">
        <f t="shared" si="14"/>
        <v>0</v>
      </c>
      <c r="J129" s="376">
        <f t="shared" si="15"/>
        <v>0</v>
      </c>
      <c r="K129" s="371">
        <f t="shared" si="16"/>
        <v>0</v>
      </c>
      <c r="L129" s="375">
        <f t="shared" si="17"/>
        <v>0</v>
      </c>
      <c r="M129" s="113">
        <f>L129*D129*'B) D RI'!S131</f>
        <v>0</v>
      </c>
    </row>
    <row r="130" spans="1:13" x14ac:dyDescent="0.25">
      <c r="A130" s="297">
        <f>'A) Base RI'!A132</f>
        <v>5613</v>
      </c>
      <c r="B130" s="32" t="str">
        <f>'A) Base RI'!B132</f>
        <v>Bourg-en-Lavaux</v>
      </c>
      <c r="C130" s="295">
        <f>'B) D RI'!U132</f>
        <v>343828.17631999997</v>
      </c>
      <c r="D130" s="32">
        <f>'B) D RI'!AA132</f>
        <v>5389</v>
      </c>
      <c r="E130" s="201">
        <f t="shared" si="10"/>
        <v>63.801851237706437</v>
      </c>
      <c r="F130" s="368">
        <f t="shared" si="11"/>
        <v>1.3244316512715129</v>
      </c>
      <c r="G130" s="379">
        <f t="shared" si="12"/>
        <v>15.628847235231987</v>
      </c>
      <c r="H130" s="376">
        <f t="shared" si="13"/>
        <v>5.9942464347371001</v>
      </c>
      <c r="I130" s="379">
        <f t="shared" si="14"/>
        <v>0</v>
      </c>
      <c r="J130" s="376">
        <f t="shared" si="15"/>
        <v>0</v>
      </c>
      <c r="K130" s="371">
        <f t="shared" si="16"/>
        <v>0</v>
      </c>
      <c r="L130" s="375">
        <f t="shared" si="17"/>
        <v>3.7251940905201075</v>
      </c>
      <c r="M130" s="113">
        <f>L130*D130*'B) D RI'!S132</f>
        <v>1254691.9346133037</v>
      </c>
    </row>
    <row r="131" spans="1:13" x14ac:dyDescent="0.25">
      <c r="A131" s="297">
        <f>'A) Base RI'!A133</f>
        <v>5621</v>
      </c>
      <c r="B131" s="32" t="str">
        <f>'A) Base RI'!B133</f>
        <v>Aclens</v>
      </c>
      <c r="C131" s="295">
        <f>'B) D RI'!U133</f>
        <v>32411.912521994131</v>
      </c>
      <c r="D131" s="32">
        <f>'B) D RI'!AA133</f>
        <v>528</v>
      </c>
      <c r="E131" s="201">
        <f t="shared" si="10"/>
        <v>61.386197958322214</v>
      </c>
      <c r="F131" s="368">
        <f t="shared" si="11"/>
        <v>1.2742862777494435</v>
      </c>
      <c r="G131" s="379">
        <f t="shared" si="12"/>
        <v>13.213193955847764</v>
      </c>
      <c r="H131" s="376">
        <f t="shared" si="13"/>
        <v>3.5785931553528769</v>
      </c>
      <c r="I131" s="379">
        <f t="shared" si="14"/>
        <v>0</v>
      </c>
      <c r="J131" s="376">
        <f t="shared" si="15"/>
        <v>0</v>
      </c>
      <c r="K131" s="371">
        <f t="shared" si="16"/>
        <v>0</v>
      </c>
      <c r="L131" s="375">
        <f t="shared" si="17"/>
        <v>3.0004981067048409</v>
      </c>
      <c r="M131" s="113">
        <f>L131*D131*'B) D RI'!S133</f>
        <v>98224.306021089666</v>
      </c>
    </row>
    <row r="132" spans="1:13" x14ac:dyDescent="0.25">
      <c r="A132" s="297">
        <f>'A) Base RI'!A134</f>
        <v>5622</v>
      </c>
      <c r="B132" s="32" t="str">
        <f>'A) Base RI'!B134</f>
        <v>Bremblens</v>
      </c>
      <c r="C132" s="295">
        <f>'B) D RI'!U134</f>
        <v>27803.201911764703</v>
      </c>
      <c r="D132" s="32">
        <f>'B) D RI'!AA134</f>
        <v>583</v>
      </c>
      <c r="E132" s="201">
        <f t="shared" si="10"/>
        <v>47.689883210574102</v>
      </c>
      <c r="F132" s="368">
        <f t="shared" si="11"/>
        <v>0.98997113005708481</v>
      </c>
      <c r="G132" s="379">
        <f t="shared" si="12"/>
        <v>0</v>
      </c>
      <c r="H132" s="376">
        <f t="shared" si="13"/>
        <v>0</v>
      </c>
      <c r="I132" s="379">
        <f t="shared" si="14"/>
        <v>0</v>
      </c>
      <c r="J132" s="376">
        <f t="shared" si="15"/>
        <v>0</v>
      </c>
      <c r="K132" s="371">
        <f t="shared" si="16"/>
        <v>0</v>
      </c>
      <c r="L132" s="375">
        <f t="shared" si="17"/>
        <v>0</v>
      </c>
      <c r="M132" s="113">
        <f>L132*D132*'B) D RI'!S134</f>
        <v>0</v>
      </c>
    </row>
    <row r="133" spans="1:13" x14ac:dyDescent="0.25">
      <c r="A133" s="297">
        <f>'A) Base RI'!A135</f>
        <v>5623</v>
      </c>
      <c r="B133" s="32" t="str">
        <f>'A) Base RI'!B135</f>
        <v>Buchillon</v>
      </c>
      <c r="C133" s="295">
        <f>'B) D RI'!U135</f>
        <v>94394.012307692305</v>
      </c>
      <c r="D133" s="32">
        <f>'B) D RI'!AA135</f>
        <v>686</v>
      </c>
      <c r="E133" s="201">
        <f t="shared" si="10"/>
        <v>137.60060103162144</v>
      </c>
      <c r="F133" s="368">
        <f t="shared" si="11"/>
        <v>2.8563840657425779</v>
      </c>
      <c r="G133" s="379">
        <f t="shared" si="12"/>
        <v>89.427597029146995</v>
      </c>
      <c r="H133" s="376">
        <f t="shared" si="13"/>
        <v>79.7929962286521</v>
      </c>
      <c r="I133" s="379">
        <f t="shared" si="14"/>
        <v>65.341095027909759</v>
      </c>
      <c r="J133" s="376">
        <f t="shared" si="15"/>
        <v>41.254593026672538</v>
      </c>
      <c r="K133" s="371">
        <f t="shared" si="16"/>
        <v>0</v>
      </c>
      <c r="L133" s="375">
        <f t="shared" si="17"/>
        <v>36.52438783415284</v>
      </c>
      <c r="M133" s="113">
        <f>L133*D133*'B) D RI'!S135</f>
        <v>1302897.9628199001</v>
      </c>
    </row>
    <row r="134" spans="1:13" x14ac:dyDescent="0.25">
      <c r="A134" s="297">
        <f>'A) Base RI'!A136</f>
        <v>5624</v>
      </c>
      <c r="B134" s="32" t="str">
        <f>'A) Base RI'!B136</f>
        <v>Bussigny</v>
      </c>
      <c r="C134" s="295">
        <f>'B) D RI'!U136</f>
        <v>354162.79119999992</v>
      </c>
      <c r="D134" s="32">
        <f>'B) D RI'!AA136</f>
        <v>9614</v>
      </c>
      <c r="E134" s="201">
        <f t="shared" ref="E134:E197" si="18">C134/D134</f>
        <v>36.838234990638647</v>
      </c>
      <c r="F134" s="368">
        <f t="shared" ref="F134:F197" si="19">E134/$E$314</f>
        <v>0.7647070336063414</v>
      </c>
      <c r="G134" s="379">
        <f t="shared" ref="G134:G197" si="20">IF(E134-$G$2&lt;0,0,E134-$G$2)</f>
        <v>0</v>
      </c>
      <c r="H134" s="376">
        <f t="shared" ref="H134:H197" si="21">IF(E134-$H$2&lt;0,0,E134-$H$2)</f>
        <v>0</v>
      </c>
      <c r="I134" s="379">
        <f t="shared" ref="I134:I197" si="22">IF(E134-$I$2&lt;0,0,E134-$I$2)</f>
        <v>0</v>
      </c>
      <c r="J134" s="376">
        <f t="shared" ref="J134:J197" si="23">IF(E134-$J$2&lt;0,0,E134-$J$2)</f>
        <v>0</v>
      </c>
      <c r="K134" s="371">
        <f t="shared" ref="K134:K197" si="24">IF(E134-$K$2&lt;0,0,E134-$K$2)</f>
        <v>0</v>
      </c>
      <c r="L134" s="375">
        <f t="shared" ref="L134:L197" si="25">(G134-H134)*$G$3+(H134-I134)*$H$3+(I134-J134)*$I$3+(J134-K134)*$J$3+(K134*$K$3)</f>
        <v>0</v>
      </c>
      <c r="M134" s="113">
        <f>L134*D134*'B) D RI'!S136</f>
        <v>0</v>
      </c>
    </row>
    <row r="135" spans="1:13" x14ac:dyDescent="0.25">
      <c r="A135" s="297">
        <f>'A) Base RI'!A137</f>
        <v>5625</v>
      </c>
      <c r="B135" s="32" t="str">
        <f>'A) Base RI'!B137</f>
        <v>Bussy-Chardonney</v>
      </c>
      <c r="C135" s="295">
        <f>'B) D RI'!U137</f>
        <v>17740.486103896103</v>
      </c>
      <c r="D135" s="32">
        <f>'B) D RI'!AA137</f>
        <v>404</v>
      </c>
      <c r="E135" s="201">
        <f t="shared" si="18"/>
        <v>43.91209431657451</v>
      </c>
      <c r="F135" s="368">
        <f t="shared" si="19"/>
        <v>0.91154984468726352</v>
      </c>
      <c r="G135" s="379">
        <f t="shared" si="20"/>
        <v>0</v>
      </c>
      <c r="H135" s="376">
        <f t="shared" si="21"/>
        <v>0</v>
      </c>
      <c r="I135" s="379">
        <f t="shared" si="22"/>
        <v>0</v>
      </c>
      <c r="J135" s="376">
        <f t="shared" si="23"/>
        <v>0</v>
      </c>
      <c r="K135" s="371">
        <f t="shared" si="24"/>
        <v>0</v>
      </c>
      <c r="L135" s="375">
        <f t="shared" si="25"/>
        <v>0</v>
      </c>
      <c r="M135" s="113">
        <f>L135*D135*'B) D RI'!S137</f>
        <v>0</v>
      </c>
    </row>
    <row r="136" spans="1:13" x14ac:dyDescent="0.25">
      <c r="A136" s="297">
        <f>'A) Base RI'!A138</f>
        <v>5627</v>
      </c>
      <c r="B136" s="32" t="str">
        <f>'A) Base RI'!B138</f>
        <v>Chavannes-près-Renens</v>
      </c>
      <c r="C136" s="295">
        <f>'B) D RI'!U138</f>
        <v>161901.70176344088</v>
      </c>
      <c r="D136" s="32">
        <f>'B) D RI'!AA138</f>
        <v>8487</v>
      </c>
      <c r="E136" s="201">
        <f t="shared" si="18"/>
        <v>19.076434754735583</v>
      </c>
      <c r="F136" s="368">
        <f t="shared" si="19"/>
        <v>0.39599844663529193</v>
      </c>
      <c r="G136" s="379">
        <f t="shared" si="20"/>
        <v>0</v>
      </c>
      <c r="H136" s="376">
        <f t="shared" si="21"/>
        <v>0</v>
      </c>
      <c r="I136" s="379">
        <f t="shared" si="22"/>
        <v>0</v>
      </c>
      <c r="J136" s="376">
        <f t="shared" si="23"/>
        <v>0</v>
      </c>
      <c r="K136" s="371">
        <f t="shared" si="24"/>
        <v>0</v>
      </c>
      <c r="L136" s="375">
        <f t="shared" si="25"/>
        <v>0</v>
      </c>
      <c r="M136" s="113">
        <f>L136*D136*'B) D RI'!S138</f>
        <v>0</v>
      </c>
    </row>
    <row r="137" spans="1:13" x14ac:dyDescent="0.25">
      <c r="A137" s="297">
        <f>'A) Base RI'!A139</f>
        <v>5628</v>
      </c>
      <c r="B137" s="32" t="str">
        <f>'A) Base RI'!B139</f>
        <v>Chigny</v>
      </c>
      <c r="C137" s="295">
        <f>'B) D RI'!U139</f>
        <v>24624.530161290324</v>
      </c>
      <c r="D137" s="32">
        <f>'B) D RI'!AA139</f>
        <v>396</v>
      </c>
      <c r="E137" s="201">
        <f t="shared" si="18"/>
        <v>62.183156972955366</v>
      </c>
      <c r="F137" s="368">
        <f t="shared" si="19"/>
        <v>1.2908299629759703</v>
      </c>
      <c r="G137" s="379">
        <f t="shared" si="20"/>
        <v>14.010152970480917</v>
      </c>
      <c r="H137" s="376">
        <f t="shared" si="21"/>
        <v>4.3755521699860296</v>
      </c>
      <c r="I137" s="379">
        <f t="shared" si="22"/>
        <v>0</v>
      </c>
      <c r="J137" s="376">
        <f t="shared" si="23"/>
        <v>0</v>
      </c>
      <c r="K137" s="371">
        <f t="shared" si="24"/>
        <v>0</v>
      </c>
      <c r="L137" s="375">
        <f t="shared" si="25"/>
        <v>3.2395858110947864</v>
      </c>
      <c r="M137" s="113">
        <f>L137*D137*'B) D RI'!S139</f>
        <v>79538.310833999189</v>
      </c>
    </row>
    <row r="138" spans="1:13" x14ac:dyDescent="0.25">
      <c r="A138" s="297">
        <f>'A) Base RI'!A140</f>
        <v>5629</v>
      </c>
      <c r="B138" s="32" t="str">
        <f>'A) Base RI'!B140</f>
        <v>Clarmont</v>
      </c>
      <c r="C138" s="295">
        <f>'B) D RI'!U140</f>
        <v>8521.2598639455773</v>
      </c>
      <c r="D138" s="32">
        <f>'B) D RI'!AA140</f>
        <v>201</v>
      </c>
      <c r="E138" s="201">
        <f t="shared" si="18"/>
        <v>42.394327681321279</v>
      </c>
      <c r="F138" s="368">
        <f t="shared" si="19"/>
        <v>0.88004326404771549</v>
      </c>
      <c r="G138" s="379">
        <f t="shared" si="20"/>
        <v>0</v>
      </c>
      <c r="H138" s="376">
        <f t="shared" si="21"/>
        <v>0</v>
      </c>
      <c r="I138" s="379">
        <f t="shared" si="22"/>
        <v>0</v>
      </c>
      <c r="J138" s="376">
        <f t="shared" si="23"/>
        <v>0</v>
      </c>
      <c r="K138" s="371">
        <f t="shared" si="24"/>
        <v>0</v>
      </c>
      <c r="L138" s="375">
        <f t="shared" si="25"/>
        <v>0</v>
      </c>
      <c r="M138" s="113">
        <f>L138*D138*'B) D RI'!S140</f>
        <v>0</v>
      </c>
    </row>
    <row r="139" spans="1:13" x14ac:dyDescent="0.25">
      <c r="A139" s="297">
        <f>'A) Base RI'!A141</f>
        <v>5631</v>
      </c>
      <c r="B139" s="32" t="str">
        <f>'A) Base RI'!B141</f>
        <v>Denens</v>
      </c>
      <c r="C139" s="295">
        <f>'B) D RI'!U141</f>
        <v>43455.14235294117</v>
      </c>
      <c r="D139" s="32">
        <f>'B) D RI'!AA141</f>
        <v>742</v>
      </c>
      <c r="E139" s="201">
        <f t="shared" si="18"/>
        <v>58.564881877279205</v>
      </c>
      <c r="F139" s="368">
        <f t="shared" si="19"/>
        <v>1.2157199470946625</v>
      </c>
      <c r="G139" s="379">
        <f t="shared" si="20"/>
        <v>10.391877874804756</v>
      </c>
      <c r="H139" s="376">
        <f t="shared" si="21"/>
        <v>0.75727707430986868</v>
      </c>
      <c r="I139" s="379">
        <f t="shared" si="22"/>
        <v>0</v>
      </c>
      <c r="J139" s="376">
        <f t="shared" si="23"/>
        <v>0</v>
      </c>
      <c r="K139" s="371">
        <f t="shared" si="24"/>
        <v>0</v>
      </c>
      <c r="L139" s="375">
        <f t="shared" si="25"/>
        <v>2.1541032823919384</v>
      </c>
      <c r="M139" s="113">
        <f>L139*D139*'B) D RI'!S141</f>
        <v>108687.43521636764</v>
      </c>
    </row>
    <row r="140" spans="1:13" x14ac:dyDescent="0.25">
      <c r="A140" s="297">
        <f>'A) Base RI'!A142</f>
        <v>5632</v>
      </c>
      <c r="B140" s="32" t="str">
        <f>'A) Base RI'!B142</f>
        <v>Denges</v>
      </c>
      <c r="C140" s="295">
        <f>'B) D RI'!U142</f>
        <v>76479.966774193541</v>
      </c>
      <c r="D140" s="32">
        <f>'B) D RI'!AA142</f>
        <v>1730</v>
      </c>
      <c r="E140" s="201">
        <f t="shared" si="18"/>
        <v>44.208073279880658</v>
      </c>
      <c r="F140" s="368">
        <f t="shared" si="19"/>
        <v>0.91769392827588392</v>
      </c>
      <c r="G140" s="379">
        <f t="shared" si="20"/>
        <v>0</v>
      </c>
      <c r="H140" s="376">
        <f t="shared" si="21"/>
        <v>0</v>
      </c>
      <c r="I140" s="379">
        <f t="shared" si="22"/>
        <v>0</v>
      </c>
      <c r="J140" s="376">
        <f t="shared" si="23"/>
        <v>0</v>
      </c>
      <c r="K140" s="371">
        <f t="shared" si="24"/>
        <v>0</v>
      </c>
      <c r="L140" s="375">
        <f t="shared" si="25"/>
        <v>0</v>
      </c>
      <c r="M140" s="113">
        <f>L140*D140*'B) D RI'!S142</f>
        <v>0</v>
      </c>
    </row>
    <row r="141" spans="1:13" x14ac:dyDescent="0.25">
      <c r="A141" s="297">
        <f>'A) Base RI'!A143</f>
        <v>5633</v>
      </c>
      <c r="B141" s="32" t="str">
        <f>'A) Base RI'!B143</f>
        <v>Echandens</v>
      </c>
      <c r="C141" s="295">
        <f>'B) D RI'!U143</f>
        <v>148865.46909090912</v>
      </c>
      <c r="D141" s="32">
        <f>'B) D RI'!AA143</f>
        <v>2743</v>
      </c>
      <c r="E141" s="201">
        <f t="shared" si="18"/>
        <v>54.271042322606313</v>
      </c>
      <c r="F141" s="368">
        <f t="shared" si="19"/>
        <v>1.126586216624951</v>
      </c>
      <c r="G141" s="379">
        <f t="shared" si="20"/>
        <v>6.0980383201318631</v>
      </c>
      <c r="H141" s="376">
        <f t="shared" si="21"/>
        <v>0</v>
      </c>
      <c r="I141" s="379">
        <f t="shared" si="22"/>
        <v>0</v>
      </c>
      <c r="J141" s="376">
        <f t="shared" si="23"/>
        <v>0</v>
      </c>
      <c r="K141" s="371">
        <f t="shared" si="24"/>
        <v>0</v>
      </c>
      <c r="L141" s="375">
        <f t="shared" si="25"/>
        <v>1.2196076640263727</v>
      </c>
      <c r="M141" s="113">
        <f>L141*D141*'B) D RI'!S143</f>
        <v>202395.72125667258</v>
      </c>
    </row>
    <row r="142" spans="1:13" x14ac:dyDescent="0.25">
      <c r="A142" s="297">
        <f>'A) Base RI'!A144</f>
        <v>5634</v>
      </c>
      <c r="B142" s="32" t="str">
        <f>'A) Base RI'!B144</f>
        <v>Echichens</v>
      </c>
      <c r="C142" s="295">
        <f>'B) D RI'!U144</f>
        <v>164177.5981818182</v>
      </c>
      <c r="D142" s="32">
        <f>'B) D RI'!AA144</f>
        <v>3127</v>
      </c>
      <c r="E142" s="201">
        <f t="shared" si="18"/>
        <v>52.503229351396932</v>
      </c>
      <c r="F142" s="368">
        <f t="shared" si="19"/>
        <v>1.089889045505654</v>
      </c>
      <c r="G142" s="379">
        <f t="shared" si="20"/>
        <v>4.3302253489224825</v>
      </c>
      <c r="H142" s="376">
        <f t="shared" si="21"/>
        <v>0</v>
      </c>
      <c r="I142" s="379">
        <f t="shared" si="22"/>
        <v>0</v>
      </c>
      <c r="J142" s="376">
        <f t="shared" si="23"/>
        <v>0</v>
      </c>
      <c r="K142" s="371">
        <f t="shared" si="24"/>
        <v>0</v>
      </c>
      <c r="L142" s="375">
        <f t="shared" si="25"/>
        <v>0.86604506978449658</v>
      </c>
      <c r="M142" s="113">
        <f>L142*D142*'B) D RI'!S144</f>
        <v>178736.11359226395</v>
      </c>
    </row>
    <row r="143" spans="1:13" x14ac:dyDescent="0.25">
      <c r="A143" s="297">
        <f>'A) Base RI'!A145</f>
        <v>5635</v>
      </c>
      <c r="B143" s="32" t="str">
        <f>'A) Base RI'!B145</f>
        <v>Ecublens</v>
      </c>
      <c r="C143" s="295">
        <f>'B) D RI'!U145</f>
        <v>681739.39309333346</v>
      </c>
      <c r="D143" s="32">
        <f>'B) D RI'!AA145</f>
        <v>13164</v>
      </c>
      <c r="E143" s="201">
        <f t="shared" si="18"/>
        <v>51.788164166919891</v>
      </c>
      <c r="F143" s="368">
        <f t="shared" si="19"/>
        <v>1.0750453545363239</v>
      </c>
      <c r="G143" s="379">
        <f t="shared" si="20"/>
        <v>3.6151601644454416</v>
      </c>
      <c r="H143" s="376">
        <f t="shared" si="21"/>
        <v>0</v>
      </c>
      <c r="I143" s="379">
        <f t="shared" si="22"/>
        <v>0</v>
      </c>
      <c r="J143" s="376">
        <f t="shared" si="23"/>
        <v>0</v>
      </c>
      <c r="K143" s="371">
        <f t="shared" si="24"/>
        <v>0</v>
      </c>
      <c r="L143" s="375">
        <f t="shared" si="25"/>
        <v>0.72303203288908835</v>
      </c>
      <c r="M143" s="113">
        <f>L143*D143*'B) D RI'!S145</f>
        <v>594874.60505949741</v>
      </c>
    </row>
    <row r="144" spans="1:13" x14ac:dyDescent="0.25">
      <c r="A144" s="297">
        <f>'A) Base RI'!A146</f>
        <v>5636</v>
      </c>
      <c r="B144" s="32" t="str">
        <f>'A) Base RI'!B146</f>
        <v>Etoy</v>
      </c>
      <c r="C144" s="295">
        <f>'B) D RI'!U146</f>
        <v>170715.46099999998</v>
      </c>
      <c r="D144" s="32">
        <f>'B) D RI'!AA146</f>
        <v>2909</v>
      </c>
      <c r="E144" s="201">
        <f t="shared" si="18"/>
        <v>58.685273633551041</v>
      </c>
      <c r="F144" s="368">
        <f t="shared" si="19"/>
        <v>1.2182191011076788</v>
      </c>
      <c r="G144" s="379">
        <f t="shared" si="20"/>
        <v>10.512269631076592</v>
      </c>
      <c r="H144" s="376">
        <f t="shared" si="21"/>
        <v>0.87766883058170464</v>
      </c>
      <c r="I144" s="379">
        <f t="shared" si="22"/>
        <v>0</v>
      </c>
      <c r="J144" s="376">
        <f t="shared" si="23"/>
        <v>0</v>
      </c>
      <c r="K144" s="371">
        <f t="shared" si="24"/>
        <v>0</v>
      </c>
      <c r="L144" s="375">
        <f t="shared" si="25"/>
        <v>2.1902208092734892</v>
      </c>
      <c r="M144" s="113">
        <f>L144*D144*'B) D RI'!S146</f>
        <v>382281.14005059481</v>
      </c>
    </row>
    <row r="145" spans="1:13" x14ac:dyDescent="0.25">
      <c r="A145" s="297">
        <f>'A) Base RI'!A147</f>
        <v>5637</v>
      </c>
      <c r="B145" s="32" t="str">
        <f>'A) Base RI'!B147</f>
        <v>Lavigny</v>
      </c>
      <c r="C145" s="295">
        <f>'B) D RI'!U147</f>
        <v>41194.659315068493</v>
      </c>
      <c r="D145" s="32">
        <f>'B) D RI'!AA147</f>
        <v>1008</v>
      </c>
      <c r="E145" s="201">
        <f t="shared" si="18"/>
        <v>40.867717574472714</v>
      </c>
      <c r="F145" s="368">
        <f t="shared" si="19"/>
        <v>0.84835310607520986</v>
      </c>
      <c r="G145" s="379">
        <f t="shared" si="20"/>
        <v>0</v>
      </c>
      <c r="H145" s="376">
        <f t="shared" si="21"/>
        <v>0</v>
      </c>
      <c r="I145" s="379">
        <f t="shared" si="22"/>
        <v>0</v>
      </c>
      <c r="J145" s="376">
        <f t="shared" si="23"/>
        <v>0</v>
      </c>
      <c r="K145" s="371">
        <f t="shared" si="24"/>
        <v>0</v>
      </c>
      <c r="L145" s="375">
        <f t="shared" si="25"/>
        <v>0</v>
      </c>
      <c r="M145" s="113">
        <f>L145*D145*'B) D RI'!S147</f>
        <v>0</v>
      </c>
    </row>
    <row r="146" spans="1:13" x14ac:dyDescent="0.25">
      <c r="A146" s="297">
        <f>'A) Base RI'!A148</f>
        <v>5638</v>
      </c>
      <c r="B146" s="32" t="str">
        <f>'A) Base RI'!B148</f>
        <v>Lonay</v>
      </c>
      <c r="C146" s="295">
        <f>'B) D RI'!U148</f>
        <v>145490.01981818181</v>
      </c>
      <c r="D146" s="32">
        <f>'B) D RI'!AA148</f>
        <v>2679</v>
      </c>
      <c r="E146" s="201">
        <f t="shared" si="18"/>
        <v>54.307584851878239</v>
      </c>
      <c r="F146" s="368">
        <f t="shared" si="19"/>
        <v>1.1273447852471206</v>
      </c>
      <c r="G146" s="379">
        <f t="shared" si="20"/>
        <v>6.1345808494037897</v>
      </c>
      <c r="H146" s="376">
        <f t="shared" si="21"/>
        <v>0</v>
      </c>
      <c r="I146" s="379">
        <f t="shared" si="22"/>
        <v>0</v>
      </c>
      <c r="J146" s="376">
        <f t="shared" si="23"/>
        <v>0</v>
      </c>
      <c r="K146" s="371">
        <f t="shared" si="24"/>
        <v>0</v>
      </c>
      <c r="L146" s="375">
        <f t="shared" si="25"/>
        <v>1.226916169880758</v>
      </c>
      <c r="M146" s="113">
        <f>L146*D146*'B) D RI'!S148</f>
        <v>180779.9630510803</v>
      </c>
    </row>
    <row r="147" spans="1:13" x14ac:dyDescent="0.25">
      <c r="A147" s="297">
        <f>'A) Base RI'!A149</f>
        <v>5639</v>
      </c>
      <c r="B147" s="32" t="str">
        <f>'A) Base RI'!B149</f>
        <v>Lully</v>
      </c>
      <c r="C147" s="295">
        <f>'B) D RI'!U149</f>
        <v>45623.094262295082</v>
      </c>
      <c r="D147" s="32">
        <f>'B) D RI'!AA149</f>
        <v>825</v>
      </c>
      <c r="E147" s="201">
        <f t="shared" si="18"/>
        <v>55.300720317933433</v>
      </c>
      <c r="F147" s="368">
        <f t="shared" si="19"/>
        <v>1.1479608021765233</v>
      </c>
      <c r="G147" s="379">
        <f t="shared" si="20"/>
        <v>7.1277163154589829</v>
      </c>
      <c r="H147" s="376">
        <f t="shared" si="21"/>
        <v>0</v>
      </c>
      <c r="I147" s="379">
        <f t="shared" si="22"/>
        <v>0</v>
      </c>
      <c r="J147" s="376">
        <f t="shared" si="23"/>
        <v>0</v>
      </c>
      <c r="K147" s="371">
        <f t="shared" si="24"/>
        <v>0</v>
      </c>
      <c r="L147" s="375">
        <f t="shared" si="25"/>
        <v>1.4255432630917966</v>
      </c>
      <c r="M147" s="113">
        <f>L147*D147*'B) D RI'!S149</f>
        <v>71740.464715094655</v>
      </c>
    </row>
    <row r="148" spans="1:13" x14ac:dyDescent="0.25">
      <c r="A148" s="297">
        <f>'A) Base RI'!A150</f>
        <v>5640</v>
      </c>
      <c r="B148" s="32" t="str">
        <f>'A) Base RI'!B150</f>
        <v>Lussy-sur-Morges</v>
      </c>
      <c r="C148" s="295">
        <f>'B) D RI'!U150</f>
        <v>57031.532424242418</v>
      </c>
      <c r="D148" s="32">
        <f>'B) D RI'!AA150</f>
        <v>722</v>
      </c>
      <c r="E148" s="201">
        <f t="shared" si="18"/>
        <v>78.991042138839916</v>
      </c>
      <c r="F148" s="368">
        <f t="shared" si="19"/>
        <v>1.6397366901757355</v>
      </c>
      <c r="G148" s="379">
        <f t="shared" si="20"/>
        <v>30.818038136365466</v>
      </c>
      <c r="H148" s="376">
        <f t="shared" si="21"/>
        <v>21.183437335870579</v>
      </c>
      <c r="I148" s="379">
        <f t="shared" si="22"/>
        <v>6.7315361351282377</v>
      </c>
      <c r="J148" s="376">
        <f t="shared" si="23"/>
        <v>0</v>
      </c>
      <c r="K148" s="371">
        <f t="shared" si="24"/>
        <v>0</v>
      </c>
      <c r="L148" s="375">
        <f t="shared" si="25"/>
        <v>8.9551049743729756</v>
      </c>
      <c r="M148" s="113">
        <f>L148*D148*'B) D RI'!S150</f>
        <v>426728.66223882104</v>
      </c>
    </row>
    <row r="149" spans="1:13" x14ac:dyDescent="0.25">
      <c r="A149" s="297">
        <f>'A) Base RI'!A151</f>
        <v>5642</v>
      </c>
      <c r="B149" s="32" t="str">
        <f>'A) Base RI'!B151</f>
        <v>Morges</v>
      </c>
      <c r="C149" s="295">
        <f>'B) D RI'!U151</f>
        <v>787513.11402985093</v>
      </c>
      <c r="D149" s="32">
        <f>'B) D RI'!AA151</f>
        <v>16095</v>
      </c>
      <c r="E149" s="201">
        <f t="shared" si="18"/>
        <v>48.929053372466662</v>
      </c>
      <c r="F149" s="368">
        <f t="shared" si="19"/>
        <v>1.0156944617768362</v>
      </c>
      <c r="G149" s="379">
        <f t="shared" si="20"/>
        <v>0.75604936999221195</v>
      </c>
      <c r="H149" s="376">
        <f t="shared" si="21"/>
        <v>0</v>
      </c>
      <c r="I149" s="379">
        <f t="shared" si="22"/>
        <v>0</v>
      </c>
      <c r="J149" s="376">
        <f t="shared" si="23"/>
        <v>0</v>
      </c>
      <c r="K149" s="371">
        <f t="shared" si="24"/>
        <v>0</v>
      </c>
      <c r="L149" s="375">
        <f t="shared" si="25"/>
        <v>0.15120987399844241</v>
      </c>
      <c r="M149" s="113">
        <f>L149*D149*'B) D RI'!S151</f>
        <v>163059.43577433037</v>
      </c>
    </row>
    <row r="150" spans="1:13" x14ac:dyDescent="0.25">
      <c r="A150" s="297">
        <f>'A) Base RI'!A152</f>
        <v>5643</v>
      </c>
      <c r="B150" s="32" t="str">
        <f>'A) Base RI'!B152</f>
        <v>Préverenges</v>
      </c>
      <c r="C150" s="295">
        <f>'B) D RI'!U152</f>
        <v>262337.37167999998</v>
      </c>
      <c r="D150" s="32">
        <f>'B) D RI'!AA152</f>
        <v>5241</v>
      </c>
      <c r="E150" s="201">
        <f t="shared" si="18"/>
        <v>50.054831459645101</v>
      </c>
      <c r="F150" s="368">
        <f t="shared" si="19"/>
        <v>1.0390639424743782</v>
      </c>
      <c r="G150" s="379">
        <f t="shared" si="20"/>
        <v>1.881827457170651</v>
      </c>
      <c r="H150" s="376">
        <f t="shared" si="21"/>
        <v>0</v>
      </c>
      <c r="I150" s="379">
        <f t="shared" si="22"/>
        <v>0</v>
      </c>
      <c r="J150" s="376">
        <f t="shared" si="23"/>
        <v>0</v>
      </c>
      <c r="K150" s="371">
        <f t="shared" si="24"/>
        <v>0</v>
      </c>
      <c r="L150" s="375">
        <f t="shared" si="25"/>
        <v>0.37636549143413023</v>
      </c>
      <c r="M150" s="113">
        <f>L150*D150*'B) D RI'!S152</f>
        <v>123283.22128789229</v>
      </c>
    </row>
    <row r="151" spans="1:13" x14ac:dyDescent="0.25">
      <c r="A151" s="297">
        <f>'A) Base RI'!A153</f>
        <v>5644</v>
      </c>
      <c r="B151" s="32" t="str">
        <f>'A) Base RI'!B153</f>
        <v>Reverolle</v>
      </c>
      <c r="C151" s="295">
        <f>'B) D RI'!U153</f>
        <v>16020.747027027028</v>
      </c>
      <c r="D151" s="32">
        <f>'B) D RI'!AA153</f>
        <v>407</v>
      </c>
      <c r="E151" s="201">
        <f t="shared" si="18"/>
        <v>39.363014808420218</v>
      </c>
      <c r="F151" s="368">
        <f t="shared" si="19"/>
        <v>0.8171177119533235</v>
      </c>
      <c r="G151" s="379">
        <f t="shared" si="20"/>
        <v>0</v>
      </c>
      <c r="H151" s="376">
        <f t="shared" si="21"/>
        <v>0</v>
      </c>
      <c r="I151" s="379">
        <f t="shared" si="22"/>
        <v>0</v>
      </c>
      <c r="J151" s="376">
        <f t="shared" si="23"/>
        <v>0</v>
      </c>
      <c r="K151" s="371">
        <f t="shared" si="24"/>
        <v>0</v>
      </c>
      <c r="L151" s="375">
        <f t="shared" si="25"/>
        <v>0</v>
      </c>
      <c r="M151" s="113">
        <f>L151*D151*'B) D RI'!S153</f>
        <v>0</v>
      </c>
    </row>
    <row r="152" spans="1:13" x14ac:dyDescent="0.25">
      <c r="A152" s="297">
        <f>'A) Base RI'!A154</f>
        <v>5645</v>
      </c>
      <c r="B152" s="32" t="str">
        <f>'A) Base RI'!B154</f>
        <v>Romanel-sur-Morges</v>
      </c>
      <c r="C152" s="295">
        <f>'B) D RI'!U154</f>
        <v>27365.134464285718</v>
      </c>
      <c r="D152" s="32">
        <f>'B) D RI'!AA154</f>
        <v>466</v>
      </c>
      <c r="E152" s="201">
        <f t="shared" si="18"/>
        <v>58.723464515634589</v>
      </c>
      <c r="F152" s="368">
        <f t="shared" si="19"/>
        <v>1.219011887085518</v>
      </c>
      <c r="G152" s="379">
        <f t="shared" si="20"/>
        <v>10.550460513160139</v>
      </c>
      <c r="H152" s="376">
        <f t="shared" si="21"/>
        <v>0.91585971266525235</v>
      </c>
      <c r="I152" s="379">
        <f t="shared" si="22"/>
        <v>0</v>
      </c>
      <c r="J152" s="376">
        <f t="shared" si="23"/>
        <v>0</v>
      </c>
      <c r="K152" s="371">
        <f t="shared" si="24"/>
        <v>0</v>
      </c>
      <c r="L152" s="375">
        <f t="shared" si="25"/>
        <v>2.2016780738985533</v>
      </c>
      <c r="M152" s="113">
        <f>L152*D152*'B) D RI'!S154</f>
        <v>57454.991016456639</v>
      </c>
    </row>
    <row r="153" spans="1:13" x14ac:dyDescent="0.25">
      <c r="A153" s="297">
        <f>'A) Base RI'!A155</f>
        <v>5646</v>
      </c>
      <c r="B153" s="32" t="str">
        <f>'A) Base RI'!B155</f>
        <v>Saint-Prex</v>
      </c>
      <c r="C153" s="295">
        <f>'B) D RI'!U155</f>
        <v>541092.68090909091</v>
      </c>
      <c r="D153" s="32">
        <f>'B) D RI'!AA155</f>
        <v>5865</v>
      </c>
      <c r="E153" s="201">
        <f t="shared" si="18"/>
        <v>92.257916608540654</v>
      </c>
      <c r="F153" s="368">
        <f t="shared" si="19"/>
        <v>1.9151372956480301</v>
      </c>
      <c r="G153" s="379">
        <f t="shared" si="20"/>
        <v>44.084912606066204</v>
      </c>
      <c r="H153" s="376">
        <f t="shared" si="21"/>
        <v>34.450311805571317</v>
      </c>
      <c r="I153" s="379">
        <f t="shared" si="22"/>
        <v>19.998410604828976</v>
      </c>
      <c r="J153" s="376">
        <f t="shared" si="23"/>
        <v>0</v>
      </c>
      <c r="K153" s="371">
        <f t="shared" si="24"/>
        <v>0</v>
      </c>
      <c r="L153" s="375">
        <f t="shared" si="25"/>
        <v>14.261854762253272</v>
      </c>
      <c r="M153" s="113">
        <f>L153*D153*'B) D RI'!S155</f>
        <v>4600517.7999338489</v>
      </c>
    </row>
    <row r="154" spans="1:13" x14ac:dyDescent="0.25">
      <c r="A154" s="297">
        <f>'A) Base RI'!A156</f>
        <v>5648</v>
      </c>
      <c r="B154" s="32" t="str">
        <f>'A) Base RI'!B156</f>
        <v>Saint-Sulpice</v>
      </c>
      <c r="C154" s="295">
        <f>'B) D RI'!U156</f>
        <v>396458.15636363637</v>
      </c>
      <c r="D154" s="32">
        <f>'B) D RI'!AA156</f>
        <v>4909</v>
      </c>
      <c r="E154" s="201">
        <f t="shared" si="18"/>
        <v>80.761490397970334</v>
      </c>
      <c r="F154" s="368">
        <f t="shared" si="19"/>
        <v>1.6764885659574384</v>
      </c>
      <c r="G154" s="379">
        <f t="shared" si="20"/>
        <v>32.588486395495885</v>
      </c>
      <c r="H154" s="376">
        <f t="shared" si="21"/>
        <v>22.953885595000997</v>
      </c>
      <c r="I154" s="379">
        <f t="shared" si="22"/>
        <v>8.5019843942586562</v>
      </c>
      <c r="J154" s="376">
        <f t="shared" si="23"/>
        <v>0</v>
      </c>
      <c r="K154" s="371">
        <f t="shared" si="24"/>
        <v>0</v>
      </c>
      <c r="L154" s="375">
        <f t="shared" si="25"/>
        <v>9.6632842780251416</v>
      </c>
      <c r="M154" s="113">
        <f>L154*D154*'B) D RI'!S156</f>
        <v>2609038.4386453982</v>
      </c>
    </row>
    <row r="155" spans="1:13" x14ac:dyDescent="0.25">
      <c r="A155" s="297">
        <f>'A) Base RI'!A157</f>
        <v>5649</v>
      </c>
      <c r="B155" s="32" t="str">
        <f>'A) Base RI'!B157</f>
        <v>Tolochenaz</v>
      </c>
      <c r="C155" s="295">
        <f>'B) D RI'!U157</f>
        <v>215548.34569230766</v>
      </c>
      <c r="D155" s="32">
        <f>'B) D RI'!AA157</f>
        <v>1889</v>
      </c>
      <c r="E155" s="201">
        <f t="shared" si="18"/>
        <v>114.10711788899293</v>
      </c>
      <c r="F155" s="368">
        <f t="shared" si="19"/>
        <v>2.3686942562920037</v>
      </c>
      <c r="G155" s="379">
        <f t="shared" si="20"/>
        <v>65.934113886518475</v>
      </c>
      <c r="H155" s="376">
        <f t="shared" si="21"/>
        <v>56.299513086023595</v>
      </c>
      <c r="I155" s="379">
        <f t="shared" si="22"/>
        <v>41.847611885281253</v>
      </c>
      <c r="J155" s="376">
        <f t="shared" si="23"/>
        <v>17.761109884044032</v>
      </c>
      <c r="K155" s="371">
        <f t="shared" si="24"/>
        <v>0</v>
      </c>
      <c r="L155" s="375">
        <f t="shared" si="25"/>
        <v>24.777646262838584</v>
      </c>
      <c r="M155" s="113">
        <f>L155*D155*'B) D RI'!S157</f>
        <v>3042323.2963826354</v>
      </c>
    </row>
    <row r="156" spans="1:13" x14ac:dyDescent="0.25">
      <c r="A156" s="297">
        <f>'A) Base RI'!A158</f>
        <v>5650</v>
      </c>
      <c r="B156" s="32" t="str">
        <f>'A) Base RI'!B158</f>
        <v>Vaux-sur-Morges</v>
      </c>
      <c r="C156" s="295">
        <f>'B) D RI'!U158</f>
        <v>63002.429285714286</v>
      </c>
      <c r="D156" s="32">
        <f>'B) D RI'!AA158</f>
        <v>194</v>
      </c>
      <c r="E156" s="201">
        <f t="shared" si="18"/>
        <v>324.7547901325479</v>
      </c>
      <c r="F156" s="368">
        <f t="shared" si="19"/>
        <v>6.7414270057949173</v>
      </c>
      <c r="G156" s="379">
        <f t="shared" si="20"/>
        <v>276.58178613007345</v>
      </c>
      <c r="H156" s="376">
        <f t="shared" si="21"/>
        <v>266.94718532957859</v>
      </c>
      <c r="I156" s="379">
        <f t="shared" si="22"/>
        <v>252.4952841288362</v>
      </c>
      <c r="J156" s="376">
        <f t="shared" si="23"/>
        <v>228.40878212759901</v>
      </c>
      <c r="K156" s="371">
        <f t="shared" si="24"/>
        <v>180.23577812512454</v>
      </c>
      <c r="L156" s="375">
        <f t="shared" si="25"/>
        <v>148.12506019712853</v>
      </c>
      <c r="M156" s="113">
        <f>L156*D156*'B) D RI'!S158</f>
        <v>1609230.6539816044</v>
      </c>
    </row>
    <row r="157" spans="1:13" x14ac:dyDescent="0.25">
      <c r="A157" s="297">
        <f>'A) Base RI'!A159</f>
        <v>5651</v>
      </c>
      <c r="B157" s="32" t="str">
        <f>'A) Base RI'!B159</f>
        <v>Villars-Sainte-Croix</v>
      </c>
      <c r="C157" s="295">
        <f>'B) D RI'!U159</f>
        <v>55737.982975206622</v>
      </c>
      <c r="D157" s="32">
        <f>'B) D RI'!AA159</f>
        <v>958</v>
      </c>
      <c r="E157" s="201">
        <f t="shared" si="18"/>
        <v>58.181610621301274</v>
      </c>
      <c r="F157" s="368">
        <f t="shared" si="19"/>
        <v>1.207763805186671</v>
      </c>
      <c r="G157" s="379">
        <f t="shared" si="20"/>
        <v>10.008606618826825</v>
      </c>
      <c r="H157" s="376">
        <f t="shared" si="21"/>
        <v>0.37400581833193769</v>
      </c>
      <c r="I157" s="379">
        <f t="shared" si="22"/>
        <v>0</v>
      </c>
      <c r="J157" s="376">
        <f t="shared" si="23"/>
        <v>0</v>
      </c>
      <c r="K157" s="371">
        <f t="shared" si="24"/>
        <v>0</v>
      </c>
      <c r="L157" s="375">
        <f t="shared" si="25"/>
        <v>2.039121905598559</v>
      </c>
      <c r="M157" s="113">
        <f>L157*D157*'B) D RI'!S159</f>
        <v>118185.46652658688</v>
      </c>
    </row>
    <row r="158" spans="1:13" x14ac:dyDescent="0.25">
      <c r="A158" s="297">
        <f>'A) Base RI'!A160</f>
        <v>5652</v>
      </c>
      <c r="B158" s="32" t="str">
        <f>'A) Base RI'!B160</f>
        <v>Villars-sous-Yens</v>
      </c>
      <c r="C158" s="295">
        <f>'B) D RI'!U160</f>
        <v>25662.281995614037</v>
      </c>
      <c r="D158" s="32">
        <f>'B) D RI'!AA160</f>
        <v>615</v>
      </c>
      <c r="E158" s="201">
        <f t="shared" si="18"/>
        <v>41.727287797746399</v>
      </c>
      <c r="F158" s="368">
        <f t="shared" si="19"/>
        <v>0.86619650698144213</v>
      </c>
      <c r="G158" s="379">
        <f t="shared" si="20"/>
        <v>0</v>
      </c>
      <c r="H158" s="376">
        <f t="shared" si="21"/>
        <v>0</v>
      </c>
      <c r="I158" s="379">
        <f t="shared" si="22"/>
        <v>0</v>
      </c>
      <c r="J158" s="376">
        <f t="shared" si="23"/>
        <v>0</v>
      </c>
      <c r="K158" s="371">
        <f t="shared" si="24"/>
        <v>0</v>
      </c>
      <c r="L158" s="375">
        <f t="shared" si="25"/>
        <v>0</v>
      </c>
      <c r="M158" s="113">
        <f>L158*D158*'B) D RI'!S160</f>
        <v>0</v>
      </c>
    </row>
    <row r="159" spans="1:13" x14ac:dyDescent="0.25">
      <c r="A159" s="297">
        <f>'A) Base RI'!A161</f>
        <v>5653</v>
      </c>
      <c r="B159" s="32" t="str">
        <f>'A) Base RI'!B161</f>
        <v>Vufflens-le-Château</v>
      </c>
      <c r="C159" s="295">
        <f>'B) D RI'!U161</f>
        <v>68786.034529914527</v>
      </c>
      <c r="D159" s="32">
        <f>'B) D RI'!AA161</f>
        <v>870</v>
      </c>
      <c r="E159" s="201">
        <f t="shared" si="18"/>
        <v>79.064407505648887</v>
      </c>
      <c r="F159" s="368">
        <f t="shared" si="19"/>
        <v>1.6412596462032485</v>
      </c>
      <c r="G159" s="379">
        <f t="shared" si="20"/>
        <v>30.891403503174438</v>
      </c>
      <c r="H159" s="376">
        <f t="shared" si="21"/>
        <v>21.256802702679551</v>
      </c>
      <c r="I159" s="379">
        <f t="shared" si="22"/>
        <v>6.8049015019372092</v>
      </c>
      <c r="J159" s="376">
        <f t="shared" si="23"/>
        <v>0</v>
      </c>
      <c r="K159" s="371">
        <f t="shared" si="24"/>
        <v>0</v>
      </c>
      <c r="L159" s="375">
        <f t="shared" si="25"/>
        <v>8.9844511210965639</v>
      </c>
      <c r="M159" s="113">
        <f>L159*D159*'B) D RI'!S161</f>
        <v>457263.63980820961</v>
      </c>
    </row>
    <row r="160" spans="1:13" x14ac:dyDescent="0.25">
      <c r="A160" s="297">
        <f>'A) Base RI'!A162</f>
        <v>5654</v>
      </c>
      <c r="B160" s="32" t="str">
        <f>'A) Base RI'!B162</f>
        <v>Vullierens</v>
      </c>
      <c r="C160" s="295">
        <f>'B) D RI'!U162</f>
        <v>19265.899342105262</v>
      </c>
      <c r="D160" s="32">
        <f>'B) D RI'!AA162</f>
        <v>542</v>
      </c>
      <c r="E160" s="201">
        <f t="shared" si="18"/>
        <v>35.545939745581663</v>
      </c>
      <c r="F160" s="368">
        <f t="shared" si="19"/>
        <v>0.73788090407971685</v>
      </c>
      <c r="G160" s="379">
        <f t="shared" si="20"/>
        <v>0</v>
      </c>
      <c r="H160" s="376">
        <f t="shared" si="21"/>
        <v>0</v>
      </c>
      <c r="I160" s="379">
        <f t="shared" si="22"/>
        <v>0</v>
      </c>
      <c r="J160" s="376">
        <f t="shared" si="23"/>
        <v>0</v>
      </c>
      <c r="K160" s="371">
        <f t="shared" si="24"/>
        <v>0</v>
      </c>
      <c r="L160" s="375">
        <f t="shared" si="25"/>
        <v>0</v>
      </c>
      <c r="M160" s="113">
        <f>L160*D160*'B) D RI'!S162</f>
        <v>0</v>
      </c>
    </row>
    <row r="161" spans="1:13" x14ac:dyDescent="0.25">
      <c r="A161" s="297">
        <f>'A) Base RI'!A163</f>
        <v>5655</v>
      </c>
      <c r="B161" s="32" t="str">
        <f>'A) Base RI'!B163</f>
        <v>Yens</v>
      </c>
      <c r="C161" s="295">
        <f>'B) D RI'!U163</f>
        <v>90935.122097902116</v>
      </c>
      <c r="D161" s="32">
        <f>'B) D RI'!AA163</f>
        <v>1480</v>
      </c>
      <c r="E161" s="201">
        <f t="shared" si="18"/>
        <v>61.44265006615008</v>
      </c>
      <c r="F161" s="368">
        <f t="shared" si="19"/>
        <v>1.2754581396458902</v>
      </c>
      <c r="G161" s="379">
        <f t="shared" si="20"/>
        <v>13.26964606367563</v>
      </c>
      <c r="H161" s="376">
        <f t="shared" si="21"/>
        <v>3.6350452631807428</v>
      </c>
      <c r="I161" s="379">
        <f t="shared" si="22"/>
        <v>0</v>
      </c>
      <c r="J161" s="376">
        <f t="shared" si="23"/>
        <v>0</v>
      </c>
      <c r="K161" s="371">
        <f t="shared" si="24"/>
        <v>0</v>
      </c>
      <c r="L161" s="375">
        <f t="shared" si="25"/>
        <v>3.0174337390532004</v>
      </c>
      <c r="M161" s="113">
        <f>L161*D161*'B) D RI'!S163</f>
        <v>319304.8382666097</v>
      </c>
    </row>
    <row r="162" spans="1:13" x14ac:dyDescent="0.25">
      <c r="A162" s="297">
        <f>'A) Base RI'!A164</f>
        <v>5661</v>
      </c>
      <c r="B162" s="32" t="str">
        <f>'A) Base RI'!B164</f>
        <v>Boulens</v>
      </c>
      <c r="C162" s="295">
        <f>'B) D RI'!U164</f>
        <v>10167.852447552446</v>
      </c>
      <c r="D162" s="32">
        <f>'B) D RI'!AA164</f>
        <v>369</v>
      </c>
      <c r="E162" s="201">
        <f t="shared" si="18"/>
        <v>27.555155684423973</v>
      </c>
      <c r="F162" s="368">
        <f t="shared" si="19"/>
        <v>0.57200409762713944</v>
      </c>
      <c r="G162" s="379">
        <f t="shared" si="20"/>
        <v>0</v>
      </c>
      <c r="H162" s="376">
        <f t="shared" si="21"/>
        <v>0</v>
      </c>
      <c r="I162" s="379">
        <f t="shared" si="22"/>
        <v>0</v>
      </c>
      <c r="J162" s="376">
        <f t="shared" si="23"/>
        <v>0</v>
      </c>
      <c r="K162" s="371">
        <f t="shared" si="24"/>
        <v>0</v>
      </c>
      <c r="L162" s="375">
        <f t="shared" si="25"/>
        <v>0</v>
      </c>
      <c r="M162" s="113">
        <f>L162*D162*'B) D RI'!S164</f>
        <v>0</v>
      </c>
    </row>
    <row r="163" spans="1:13" x14ac:dyDescent="0.25">
      <c r="A163" s="297">
        <f>'A) Base RI'!A165</f>
        <v>5663</v>
      </c>
      <c r="B163" s="32" t="str">
        <f>'A) Base RI'!B165</f>
        <v>Bussy-sur-Moudon</v>
      </c>
      <c r="C163" s="295">
        <f>'B) D RI'!U165</f>
        <v>5408.1284999999998</v>
      </c>
      <c r="D163" s="32">
        <f>'B) D RI'!AA165</f>
        <v>219</v>
      </c>
      <c r="E163" s="201">
        <f t="shared" si="18"/>
        <v>24.694650684931506</v>
      </c>
      <c r="F163" s="368">
        <f t="shared" si="19"/>
        <v>0.51262426324218946</v>
      </c>
      <c r="G163" s="379">
        <f t="shared" si="20"/>
        <v>0</v>
      </c>
      <c r="H163" s="376">
        <f t="shared" si="21"/>
        <v>0</v>
      </c>
      <c r="I163" s="379">
        <f t="shared" si="22"/>
        <v>0</v>
      </c>
      <c r="J163" s="376">
        <f t="shared" si="23"/>
        <v>0</v>
      </c>
      <c r="K163" s="371">
        <f t="shared" si="24"/>
        <v>0</v>
      </c>
      <c r="L163" s="375">
        <f t="shared" si="25"/>
        <v>0</v>
      </c>
      <c r="M163" s="113">
        <f>L163*D163*'B) D RI'!S165</f>
        <v>0</v>
      </c>
    </row>
    <row r="164" spans="1:13" x14ac:dyDescent="0.25">
      <c r="A164" s="297">
        <f>'A) Base RI'!A166</f>
        <v>5665</v>
      </c>
      <c r="B164" s="32" t="str">
        <f>'A) Base RI'!B166</f>
        <v>Chavannes-sur-Moudon</v>
      </c>
      <c r="C164" s="295">
        <f>'B) D RI'!U166</f>
        <v>6834.8221917808223</v>
      </c>
      <c r="D164" s="32">
        <f>'B) D RI'!AA166</f>
        <v>223</v>
      </c>
      <c r="E164" s="201">
        <f t="shared" si="18"/>
        <v>30.649426868972299</v>
      </c>
      <c r="F164" s="368">
        <f t="shared" si="19"/>
        <v>0.63623657074402007</v>
      </c>
      <c r="G164" s="379">
        <f t="shared" si="20"/>
        <v>0</v>
      </c>
      <c r="H164" s="376">
        <f t="shared" si="21"/>
        <v>0</v>
      </c>
      <c r="I164" s="379">
        <f t="shared" si="22"/>
        <v>0</v>
      </c>
      <c r="J164" s="376">
        <f t="shared" si="23"/>
        <v>0</v>
      </c>
      <c r="K164" s="371">
        <f t="shared" si="24"/>
        <v>0</v>
      </c>
      <c r="L164" s="375">
        <f t="shared" si="25"/>
        <v>0</v>
      </c>
      <c r="M164" s="113">
        <f>L164*D164*'B) D RI'!S166</f>
        <v>0</v>
      </c>
    </row>
    <row r="165" spans="1:13" x14ac:dyDescent="0.25">
      <c r="A165" s="297">
        <f>'A) Base RI'!A167</f>
        <v>5669</v>
      </c>
      <c r="B165" s="32" t="str">
        <f>'A) Base RI'!B167</f>
        <v>Curtilles</v>
      </c>
      <c r="C165" s="295">
        <f>'B) D RI'!U167</f>
        <v>10286.853972602739</v>
      </c>
      <c r="D165" s="32">
        <f>'B) D RI'!AA167</f>
        <v>301</v>
      </c>
      <c r="E165" s="201">
        <f t="shared" si="18"/>
        <v>34.175594593364579</v>
      </c>
      <c r="F165" s="368">
        <f t="shared" si="19"/>
        <v>0.70943457442697822</v>
      </c>
      <c r="G165" s="379">
        <f t="shared" si="20"/>
        <v>0</v>
      </c>
      <c r="H165" s="376">
        <f t="shared" si="21"/>
        <v>0</v>
      </c>
      <c r="I165" s="379">
        <f t="shared" si="22"/>
        <v>0</v>
      </c>
      <c r="J165" s="376">
        <f t="shared" si="23"/>
        <v>0</v>
      </c>
      <c r="K165" s="371">
        <f t="shared" si="24"/>
        <v>0</v>
      </c>
      <c r="L165" s="375">
        <f t="shared" si="25"/>
        <v>0</v>
      </c>
      <c r="M165" s="113">
        <f>L165*D165*'B) D RI'!S167</f>
        <v>0</v>
      </c>
    </row>
    <row r="166" spans="1:13" x14ac:dyDescent="0.25">
      <c r="A166" s="297">
        <f>'A) Base RI'!A168</f>
        <v>5671</v>
      </c>
      <c r="B166" s="32" t="str">
        <f>'A) Base RI'!B168</f>
        <v>Dompierre</v>
      </c>
      <c r="C166" s="295">
        <f>'B) D RI'!U168</f>
        <v>6034.0657692307695</v>
      </c>
      <c r="D166" s="32">
        <f>'B) D RI'!AA168</f>
        <v>245</v>
      </c>
      <c r="E166" s="201">
        <f t="shared" si="18"/>
        <v>24.628839874411305</v>
      </c>
      <c r="F166" s="368">
        <f t="shared" si="19"/>
        <v>0.51125812858060959</v>
      </c>
      <c r="G166" s="379">
        <f t="shared" si="20"/>
        <v>0</v>
      </c>
      <c r="H166" s="376">
        <f t="shared" si="21"/>
        <v>0</v>
      </c>
      <c r="I166" s="379">
        <f t="shared" si="22"/>
        <v>0</v>
      </c>
      <c r="J166" s="376">
        <f t="shared" si="23"/>
        <v>0</v>
      </c>
      <c r="K166" s="371">
        <f t="shared" si="24"/>
        <v>0</v>
      </c>
      <c r="L166" s="375">
        <f t="shared" si="25"/>
        <v>0</v>
      </c>
      <c r="M166" s="113">
        <f>L166*D166*'B) D RI'!S168</f>
        <v>0</v>
      </c>
    </row>
    <row r="167" spans="1:13" x14ac:dyDescent="0.25">
      <c r="A167" s="297">
        <f>'A) Base RI'!A169</f>
        <v>5673</v>
      </c>
      <c r="B167" s="32" t="str">
        <f>'A) Base RI'!B169</f>
        <v>Hermenches</v>
      </c>
      <c r="C167" s="295">
        <f>'B) D RI'!U169</f>
        <v>10638.728435374151</v>
      </c>
      <c r="D167" s="32">
        <f>'B) D RI'!AA169</f>
        <v>384</v>
      </c>
      <c r="E167" s="201">
        <f t="shared" si="18"/>
        <v>27.705021967120185</v>
      </c>
      <c r="F167" s="368">
        <f t="shared" si="19"/>
        <v>0.57511509902303559</v>
      </c>
      <c r="G167" s="379">
        <f t="shared" si="20"/>
        <v>0</v>
      </c>
      <c r="H167" s="376">
        <f t="shared" si="21"/>
        <v>0</v>
      </c>
      <c r="I167" s="379">
        <f t="shared" si="22"/>
        <v>0</v>
      </c>
      <c r="J167" s="376">
        <f t="shared" si="23"/>
        <v>0</v>
      </c>
      <c r="K167" s="371">
        <f t="shared" si="24"/>
        <v>0</v>
      </c>
      <c r="L167" s="375">
        <f t="shared" si="25"/>
        <v>0</v>
      </c>
      <c r="M167" s="113">
        <f>L167*D167*'B) D RI'!S169</f>
        <v>0</v>
      </c>
    </row>
    <row r="168" spans="1:13" x14ac:dyDescent="0.25">
      <c r="A168" s="297">
        <f>'A) Base RI'!A170</f>
        <v>5674</v>
      </c>
      <c r="B168" s="32" t="str">
        <f>'A) Base RI'!B170</f>
        <v>Lovatens</v>
      </c>
      <c r="C168" s="295">
        <f>'B) D RI'!U170</f>
        <v>3430.742038095239</v>
      </c>
      <c r="D168" s="32">
        <f>'B) D RI'!AA170</f>
        <v>142</v>
      </c>
      <c r="E168" s="201">
        <f t="shared" si="18"/>
        <v>24.160155197853797</v>
      </c>
      <c r="F168" s="368">
        <f t="shared" si="19"/>
        <v>0.50152893094673501</v>
      </c>
      <c r="G168" s="379">
        <f t="shared" si="20"/>
        <v>0</v>
      </c>
      <c r="H168" s="376">
        <f t="shared" si="21"/>
        <v>0</v>
      </c>
      <c r="I168" s="379">
        <f t="shared" si="22"/>
        <v>0</v>
      </c>
      <c r="J168" s="376">
        <f t="shared" si="23"/>
        <v>0</v>
      </c>
      <c r="K168" s="371">
        <f t="shared" si="24"/>
        <v>0</v>
      </c>
      <c r="L168" s="375">
        <f t="shared" si="25"/>
        <v>0</v>
      </c>
      <c r="M168" s="113">
        <f>L168*D168*'B) D RI'!S170</f>
        <v>0</v>
      </c>
    </row>
    <row r="169" spans="1:13" x14ac:dyDescent="0.25">
      <c r="A169" s="297">
        <f>'A) Base RI'!A171</f>
        <v>5675</v>
      </c>
      <c r="B169" s="32" t="str">
        <f>'A) Base RI'!B171</f>
        <v>Lucens</v>
      </c>
      <c r="C169" s="295">
        <f>'B) D RI'!U171</f>
        <v>97154.219717171698</v>
      </c>
      <c r="D169" s="32">
        <f>'B) D RI'!AA171</f>
        <v>4309</v>
      </c>
      <c r="E169" s="201">
        <f t="shared" si="18"/>
        <v>22.546813580220864</v>
      </c>
      <c r="F169" s="368">
        <f t="shared" si="19"/>
        <v>0.468038355653775</v>
      </c>
      <c r="G169" s="379">
        <f t="shared" si="20"/>
        <v>0</v>
      </c>
      <c r="H169" s="376">
        <f t="shared" si="21"/>
        <v>0</v>
      </c>
      <c r="I169" s="379">
        <f t="shared" si="22"/>
        <v>0</v>
      </c>
      <c r="J169" s="376">
        <f t="shared" si="23"/>
        <v>0</v>
      </c>
      <c r="K169" s="371">
        <f t="shared" si="24"/>
        <v>0</v>
      </c>
      <c r="L169" s="375">
        <f t="shared" si="25"/>
        <v>0</v>
      </c>
      <c r="M169" s="113">
        <f>L169*D169*'B) D RI'!S171</f>
        <v>0</v>
      </c>
    </row>
    <row r="170" spans="1:13" x14ac:dyDescent="0.25">
      <c r="A170" s="297">
        <f>'A) Base RI'!A172</f>
        <v>5678</v>
      </c>
      <c r="B170" s="32" t="str">
        <f>'A) Base RI'!B172</f>
        <v>Moudon</v>
      </c>
      <c r="C170" s="295">
        <f>'B) D RI'!U172</f>
        <v>124965.41862068966</v>
      </c>
      <c r="D170" s="32">
        <f>'B) D RI'!AA172</f>
        <v>6109</v>
      </c>
      <c r="E170" s="201">
        <f t="shared" si="18"/>
        <v>20.455953285429636</v>
      </c>
      <c r="F170" s="368">
        <f t="shared" si="19"/>
        <v>0.42463520199775995</v>
      </c>
      <c r="G170" s="379">
        <f t="shared" si="20"/>
        <v>0</v>
      </c>
      <c r="H170" s="376">
        <f t="shared" si="21"/>
        <v>0</v>
      </c>
      <c r="I170" s="379">
        <f t="shared" si="22"/>
        <v>0</v>
      </c>
      <c r="J170" s="376">
        <f t="shared" si="23"/>
        <v>0</v>
      </c>
      <c r="K170" s="371">
        <f t="shared" si="24"/>
        <v>0</v>
      </c>
      <c r="L170" s="375">
        <f t="shared" si="25"/>
        <v>0</v>
      </c>
      <c r="M170" s="113">
        <f>L170*D170*'B) D RI'!S172</f>
        <v>0</v>
      </c>
    </row>
    <row r="171" spans="1:13" x14ac:dyDescent="0.25">
      <c r="A171" s="297">
        <f>'A) Base RI'!A173</f>
        <v>5680</v>
      </c>
      <c r="B171" s="32" t="str">
        <f>'A) Base RI'!B173</f>
        <v>Ogens</v>
      </c>
      <c r="C171" s="295">
        <f>'B) D RI'!U173</f>
        <v>8675.0652136752142</v>
      </c>
      <c r="D171" s="32">
        <f>'B) D RI'!AA173</f>
        <v>301</v>
      </c>
      <c r="E171" s="201">
        <f t="shared" si="18"/>
        <v>28.820814663372804</v>
      </c>
      <c r="F171" s="368">
        <f t="shared" si="19"/>
        <v>0.59827729783868988</v>
      </c>
      <c r="G171" s="379">
        <f t="shared" si="20"/>
        <v>0</v>
      </c>
      <c r="H171" s="376">
        <f t="shared" si="21"/>
        <v>0</v>
      </c>
      <c r="I171" s="379">
        <f t="shared" si="22"/>
        <v>0</v>
      </c>
      <c r="J171" s="376">
        <f t="shared" si="23"/>
        <v>0</v>
      </c>
      <c r="K171" s="371">
        <f t="shared" si="24"/>
        <v>0</v>
      </c>
      <c r="L171" s="375">
        <f t="shared" si="25"/>
        <v>0</v>
      </c>
      <c r="M171" s="113">
        <f>L171*D171*'B) D RI'!S173</f>
        <v>0</v>
      </c>
    </row>
    <row r="172" spans="1:13" x14ac:dyDescent="0.25">
      <c r="A172" s="297">
        <f>'A) Base RI'!A174</f>
        <v>5683</v>
      </c>
      <c r="B172" s="32" t="str">
        <f>'A) Base RI'!B174</f>
        <v>Prévonloup</v>
      </c>
      <c r="C172" s="295">
        <f>'B) D RI'!U174</f>
        <v>5006.0282758620697</v>
      </c>
      <c r="D172" s="32">
        <f>'B) D RI'!AA174</f>
        <v>202</v>
      </c>
      <c r="E172" s="201">
        <f t="shared" si="18"/>
        <v>24.782318197336977</v>
      </c>
      <c r="F172" s="368">
        <f t="shared" si="19"/>
        <v>0.51444411056582673</v>
      </c>
      <c r="G172" s="379">
        <f t="shared" si="20"/>
        <v>0</v>
      </c>
      <c r="H172" s="376">
        <f t="shared" si="21"/>
        <v>0</v>
      </c>
      <c r="I172" s="379">
        <f t="shared" si="22"/>
        <v>0</v>
      </c>
      <c r="J172" s="376">
        <f t="shared" si="23"/>
        <v>0</v>
      </c>
      <c r="K172" s="371">
        <f t="shared" si="24"/>
        <v>0</v>
      </c>
      <c r="L172" s="375">
        <f t="shared" si="25"/>
        <v>0</v>
      </c>
      <c r="M172" s="113">
        <f>L172*D172*'B) D RI'!S174</f>
        <v>0</v>
      </c>
    </row>
    <row r="173" spans="1:13" x14ac:dyDescent="0.25">
      <c r="A173" s="297">
        <f>'A) Base RI'!A175</f>
        <v>5684</v>
      </c>
      <c r="B173" s="32" t="str">
        <f>'A) Base RI'!B175</f>
        <v>Rossenges</v>
      </c>
      <c r="C173" s="295">
        <f>'B) D RI'!U175</f>
        <v>4335.3234000000011</v>
      </c>
      <c r="D173" s="32">
        <f>'B) D RI'!AA175</f>
        <v>84</v>
      </c>
      <c r="E173" s="201">
        <f t="shared" si="18"/>
        <v>51.610992857142868</v>
      </c>
      <c r="F173" s="368">
        <f t="shared" si="19"/>
        <v>1.0713675413410346</v>
      </c>
      <c r="G173" s="379">
        <f t="shared" si="20"/>
        <v>3.4379888546684185</v>
      </c>
      <c r="H173" s="376">
        <f t="shared" si="21"/>
        <v>0</v>
      </c>
      <c r="I173" s="379">
        <f t="shared" si="22"/>
        <v>0</v>
      </c>
      <c r="J173" s="376">
        <f t="shared" si="23"/>
        <v>0</v>
      </c>
      <c r="K173" s="371">
        <f t="shared" si="24"/>
        <v>0</v>
      </c>
      <c r="L173" s="375">
        <f t="shared" si="25"/>
        <v>0.68759777093368379</v>
      </c>
      <c r="M173" s="113">
        <f>L173*D173*'B) D RI'!S175</f>
        <v>4331.8659568822077</v>
      </c>
    </row>
    <row r="174" spans="1:13" x14ac:dyDescent="0.25">
      <c r="A174" s="297">
        <f>'A) Base RI'!A176</f>
        <v>5688</v>
      </c>
      <c r="B174" s="32" t="str">
        <f>'A) Base RI'!B176</f>
        <v>Syens</v>
      </c>
      <c r="C174" s="295">
        <f>'B) D RI'!U176</f>
        <v>5094.0764550264557</v>
      </c>
      <c r="D174" s="32">
        <f>'B) D RI'!AA176</f>
        <v>156</v>
      </c>
      <c r="E174" s="201">
        <f t="shared" si="18"/>
        <v>32.654336250169585</v>
      </c>
      <c r="F174" s="368">
        <f t="shared" si="19"/>
        <v>0.67785551111764308</v>
      </c>
      <c r="G174" s="379">
        <f t="shared" si="20"/>
        <v>0</v>
      </c>
      <c r="H174" s="376">
        <f t="shared" si="21"/>
        <v>0</v>
      </c>
      <c r="I174" s="379">
        <f t="shared" si="22"/>
        <v>0</v>
      </c>
      <c r="J174" s="376">
        <f t="shared" si="23"/>
        <v>0</v>
      </c>
      <c r="K174" s="371">
        <f t="shared" si="24"/>
        <v>0</v>
      </c>
      <c r="L174" s="375">
        <f t="shared" si="25"/>
        <v>0</v>
      </c>
      <c r="M174" s="113">
        <f>L174*D174*'B) D RI'!S176</f>
        <v>0</v>
      </c>
    </row>
    <row r="175" spans="1:13" x14ac:dyDescent="0.25">
      <c r="A175" s="297">
        <f>'A) Base RI'!A177</f>
        <v>5690</v>
      </c>
      <c r="B175" s="32" t="str">
        <f>'A) Base RI'!B177</f>
        <v>Villars-le-Comte</v>
      </c>
      <c r="C175" s="295">
        <f>'B) D RI'!U177</f>
        <v>3483.7788571428573</v>
      </c>
      <c r="D175" s="32">
        <f>'B) D RI'!AA177</f>
        <v>120</v>
      </c>
      <c r="E175" s="201">
        <f t="shared" si="18"/>
        <v>29.031490476190477</v>
      </c>
      <c r="F175" s="368">
        <f t="shared" si="19"/>
        <v>0.60265061474470738</v>
      </c>
      <c r="G175" s="379">
        <f t="shared" si="20"/>
        <v>0</v>
      </c>
      <c r="H175" s="376">
        <f t="shared" si="21"/>
        <v>0</v>
      </c>
      <c r="I175" s="379">
        <f t="shared" si="22"/>
        <v>0</v>
      </c>
      <c r="J175" s="376">
        <f t="shared" si="23"/>
        <v>0</v>
      </c>
      <c r="K175" s="371">
        <f t="shared" si="24"/>
        <v>0</v>
      </c>
      <c r="L175" s="375">
        <f t="shared" si="25"/>
        <v>0</v>
      </c>
      <c r="M175" s="113">
        <f>L175*D175*'B) D RI'!S177</f>
        <v>0</v>
      </c>
    </row>
    <row r="176" spans="1:13" x14ac:dyDescent="0.25">
      <c r="A176" s="297">
        <f>'A) Base RI'!A178</f>
        <v>5692</v>
      </c>
      <c r="B176" s="32" t="str">
        <f>'A) Base RI'!B178</f>
        <v>Vucherens</v>
      </c>
      <c r="C176" s="295">
        <f>'B) D RI'!U178</f>
        <v>18084.556363636369</v>
      </c>
      <c r="D176" s="32">
        <f>'B) D RI'!AA178</f>
        <v>617</v>
      </c>
      <c r="E176" s="201">
        <f t="shared" si="18"/>
        <v>29.310464122587309</v>
      </c>
      <c r="F176" s="368">
        <f t="shared" si="19"/>
        <v>0.60844169321642783</v>
      </c>
      <c r="G176" s="379">
        <f t="shared" si="20"/>
        <v>0</v>
      </c>
      <c r="H176" s="376">
        <f t="shared" si="21"/>
        <v>0</v>
      </c>
      <c r="I176" s="379">
        <f t="shared" si="22"/>
        <v>0</v>
      </c>
      <c r="J176" s="376">
        <f t="shared" si="23"/>
        <v>0</v>
      </c>
      <c r="K176" s="371">
        <f t="shared" si="24"/>
        <v>0</v>
      </c>
      <c r="L176" s="375">
        <f t="shared" si="25"/>
        <v>0</v>
      </c>
      <c r="M176" s="113">
        <f>L176*D176*'B) D RI'!S178</f>
        <v>0</v>
      </c>
    </row>
    <row r="177" spans="1:13" x14ac:dyDescent="0.25">
      <c r="A177" s="297">
        <f>'A) Base RI'!A179</f>
        <v>5693</v>
      </c>
      <c r="B177" s="32" t="str">
        <f>'A) Base RI'!B179</f>
        <v>Montanaire</v>
      </c>
      <c r="C177" s="295">
        <f>'B) D RI'!U179</f>
        <v>71120.535138888881</v>
      </c>
      <c r="D177" s="32">
        <f>'B) D RI'!AA179</f>
        <v>2782</v>
      </c>
      <c r="E177" s="201">
        <f t="shared" si="18"/>
        <v>25.564534557472641</v>
      </c>
      <c r="F177" s="368">
        <f t="shared" si="19"/>
        <v>0.53068176018583968</v>
      </c>
      <c r="G177" s="379">
        <f t="shared" si="20"/>
        <v>0</v>
      </c>
      <c r="H177" s="376">
        <f t="shared" si="21"/>
        <v>0</v>
      </c>
      <c r="I177" s="379">
        <f t="shared" si="22"/>
        <v>0</v>
      </c>
      <c r="J177" s="376">
        <f t="shared" si="23"/>
        <v>0</v>
      </c>
      <c r="K177" s="371">
        <f t="shared" si="24"/>
        <v>0</v>
      </c>
      <c r="L177" s="375">
        <f t="shared" si="25"/>
        <v>0</v>
      </c>
      <c r="M177" s="113">
        <f>L177*D177*'B) D RI'!S179</f>
        <v>0</v>
      </c>
    </row>
    <row r="178" spans="1:13" x14ac:dyDescent="0.25">
      <c r="A178" s="297">
        <f>'A) Base RI'!A180</f>
        <v>5701</v>
      </c>
      <c r="B178" s="32" t="str">
        <f>'A) Base RI'!B180</f>
        <v>Arnex-sur-Nyon</v>
      </c>
      <c r="C178" s="295">
        <f>'B) D RI'!U180</f>
        <v>12579.391714285715</v>
      </c>
      <c r="D178" s="32">
        <f>'B) D RI'!AA180</f>
        <v>240</v>
      </c>
      <c r="E178" s="201">
        <f t="shared" si="18"/>
        <v>52.414132142857149</v>
      </c>
      <c r="F178" s="368">
        <f t="shared" si="19"/>
        <v>1.0880395198141442</v>
      </c>
      <c r="G178" s="379">
        <f t="shared" si="20"/>
        <v>4.241128140382699</v>
      </c>
      <c r="H178" s="376">
        <f t="shared" si="21"/>
        <v>0</v>
      </c>
      <c r="I178" s="379">
        <f t="shared" si="22"/>
        <v>0</v>
      </c>
      <c r="J178" s="376">
        <f t="shared" si="23"/>
        <v>0</v>
      </c>
      <c r="K178" s="371">
        <f t="shared" si="24"/>
        <v>0</v>
      </c>
      <c r="L178" s="375">
        <f t="shared" si="25"/>
        <v>0.84822562807653989</v>
      </c>
      <c r="M178" s="113">
        <f>L178*D178*'B) D RI'!S180</f>
        <v>14250.190551685871</v>
      </c>
    </row>
    <row r="179" spans="1:13" x14ac:dyDescent="0.25">
      <c r="A179" s="297">
        <f>'A) Base RI'!A181</f>
        <v>5702</v>
      </c>
      <c r="B179" s="32" t="str">
        <f>'A) Base RI'!B181</f>
        <v>Arzier-Le Muids</v>
      </c>
      <c r="C179" s="295">
        <f>'B) D RI'!U181</f>
        <v>167751.11713541666</v>
      </c>
      <c r="D179" s="32">
        <f>'B) D RI'!AA181</f>
        <v>2912</v>
      </c>
      <c r="E179" s="201">
        <f t="shared" si="18"/>
        <v>57.606839675623853</v>
      </c>
      <c r="F179" s="368">
        <f t="shared" si="19"/>
        <v>1.195832414201631</v>
      </c>
      <c r="G179" s="379">
        <f t="shared" si="20"/>
        <v>9.4338356731494031</v>
      </c>
      <c r="H179" s="376">
        <f t="shared" si="21"/>
        <v>0</v>
      </c>
      <c r="I179" s="379">
        <f t="shared" si="22"/>
        <v>0</v>
      </c>
      <c r="J179" s="376">
        <f t="shared" si="23"/>
        <v>0</v>
      </c>
      <c r="K179" s="371">
        <f t="shared" si="24"/>
        <v>0</v>
      </c>
      <c r="L179" s="375">
        <f t="shared" si="25"/>
        <v>1.8867671346298807</v>
      </c>
      <c r="M179" s="113">
        <f>L179*D179*'B) D RI'!S181</f>
        <v>351633.01734670158</v>
      </c>
    </row>
    <row r="180" spans="1:13" x14ac:dyDescent="0.25">
      <c r="A180" s="297">
        <f>'A) Base RI'!A182</f>
        <v>5703</v>
      </c>
      <c r="B180" s="32" t="str">
        <f>'A) Base RI'!B182</f>
        <v>Bassins</v>
      </c>
      <c r="C180" s="295">
        <f>'B) D RI'!U182</f>
        <v>66904.36396059113</v>
      </c>
      <c r="D180" s="32">
        <f>'B) D RI'!AA182</f>
        <v>1475</v>
      </c>
      <c r="E180" s="201">
        <f t="shared" si="18"/>
        <v>45.358890820739752</v>
      </c>
      <c r="F180" s="368">
        <f t="shared" si="19"/>
        <v>0.94158319083463948</v>
      </c>
      <c r="G180" s="379">
        <f t="shared" si="20"/>
        <v>0</v>
      </c>
      <c r="H180" s="376">
        <f t="shared" si="21"/>
        <v>0</v>
      </c>
      <c r="I180" s="379">
        <f t="shared" si="22"/>
        <v>0</v>
      </c>
      <c r="J180" s="376">
        <f t="shared" si="23"/>
        <v>0</v>
      </c>
      <c r="K180" s="371">
        <f t="shared" si="24"/>
        <v>0</v>
      </c>
      <c r="L180" s="375">
        <f t="shared" si="25"/>
        <v>0</v>
      </c>
      <c r="M180" s="113">
        <f>L180*D180*'B) D RI'!S182</f>
        <v>0</v>
      </c>
    </row>
    <row r="181" spans="1:13" x14ac:dyDescent="0.25">
      <c r="A181" s="297">
        <f>'A) Base RI'!A183</f>
        <v>5704</v>
      </c>
      <c r="B181" s="32" t="str">
        <f>'A) Base RI'!B183</f>
        <v>Begnins</v>
      </c>
      <c r="C181" s="295">
        <f>'B) D RI'!U183</f>
        <v>141538.79477333333</v>
      </c>
      <c r="D181" s="32">
        <f>'B) D RI'!AA183</f>
        <v>1928</v>
      </c>
      <c r="E181" s="201">
        <f t="shared" si="18"/>
        <v>73.412237952973712</v>
      </c>
      <c r="F181" s="368">
        <f t="shared" si="19"/>
        <v>1.5239290028332637</v>
      </c>
      <c r="G181" s="379">
        <f t="shared" si="20"/>
        <v>25.239233950499262</v>
      </c>
      <c r="H181" s="376">
        <f t="shared" si="21"/>
        <v>15.604633150004375</v>
      </c>
      <c r="I181" s="379">
        <f t="shared" si="22"/>
        <v>1.1527319492620336</v>
      </c>
      <c r="J181" s="376">
        <f t="shared" si="23"/>
        <v>0</v>
      </c>
      <c r="K181" s="371">
        <f t="shared" si="24"/>
        <v>0</v>
      </c>
      <c r="L181" s="375">
        <f t="shared" si="25"/>
        <v>6.7235833000264931</v>
      </c>
      <c r="M181" s="113">
        <f>L181*D181*'B) D RI'!S183</f>
        <v>810191.78765319241</v>
      </c>
    </row>
    <row r="182" spans="1:13" x14ac:dyDescent="0.25">
      <c r="A182" s="297">
        <f>'A) Base RI'!A184</f>
        <v>5705</v>
      </c>
      <c r="B182" s="32" t="str">
        <f>'A) Base RI'!B184</f>
        <v>Bogis-Bossey</v>
      </c>
      <c r="C182" s="295">
        <f>'B) D RI'!U184</f>
        <v>56148.948053691274</v>
      </c>
      <c r="D182" s="32">
        <f>'B) D RI'!AA184</f>
        <v>835</v>
      </c>
      <c r="E182" s="201">
        <f t="shared" si="18"/>
        <v>67.244249166097333</v>
      </c>
      <c r="F182" s="368">
        <f t="shared" si="19"/>
        <v>1.3958907184331555</v>
      </c>
      <c r="G182" s="379">
        <f t="shared" si="20"/>
        <v>19.071245163622883</v>
      </c>
      <c r="H182" s="376">
        <f t="shared" si="21"/>
        <v>9.4366443631279964</v>
      </c>
      <c r="I182" s="379">
        <f t="shared" si="22"/>
        <v>0</v>
      </c>
      <c r="J182" s="376">
        <f t="shared" si="23"/>
        <v>0</v>
      </c>
      <c r="K182" s="371">
        <f t="shared" si="24"/>
        <v>0</v>
      </c>
      <c r="L182" s="375">
        <f t="shared" si="25"/>
        <v>4.7579134690373763</v>
      </c>
      <c r="M182" s="113">
        <f>L182*D182*'B) D RI'!S184</f>
        <v>295977.90212514257</v>
      </c>
    </row>
    <row r="183" spans="1:13" x14ac:dyDescent="0.25">
      <c r="A183" s="297">
        <f>'A) Base RI'!A185</f>
        <v>5706</v>
      </c>
      <c r="B183" s="32" t="str">
        <f>'A) Base RI'!B185</f>
        <v>Borex</v>
      </c>
      <c r="C183" s="295">
        <f>'B) D RI'!U185</f>
        <v>84057.706842105254</v>
      </c>
      <c r="D183" s="32">
        <f>'B) D RI'!AA185</f>
        <v>1157</v>
      </c>
      <c r="E183" s="201">
        <f t="shared" si="18"/>
        <v>72.651432015648453</v>
      </c>
      <c r="F183" s="368">
        <f t="shared" si="19"/>
        <v>1.5081358017846811</v>
      </c>
      <c r="G183" s="379">
        <f t="shared" si="20"/>
        <v>24.478428013174003</v>
      </c>
      <c r="H183" s="376">
        <f t="shared" si="21"/>
        <v>14.843827212679116</v>
      </c>
      <c r="I183" s="379">
        <f t="shared" si="22"/>
        <v>0.3919260119367749</v>
      </c>
      <c r="J183" s="376">
        <f t="shared" si="23"/>
        <v>0</v>
      </c>
      <c r="K183" s="371">
        <f t="shared" si="24"/>
        <v>0</v>
      </c>
      <c r="L183" s="375">
        <f t="shared" si="25"/>
        <v>6.4192609250963892</v>
      </c>
      <c r="M183" s="113">
        <f>L183*D183*'B) D RI'!S185</f>
        <v>423343.83874918177</v>
      </c>
    </row>
    <row r="184" spans="1:13" x14ac:dyDescent="0.25">
      <c r="A184" s="297">
        <f>'A) Base RI'!A186</f>
        <v>5707</v>
      </c>
      <c r="B184" s="32" t="str">
        <f>'A) Base RI'!B186</f>
        <v>Chavannes-de-Bogis</v>
      </c>
      <c r="C184" s="295">
        <f>'B) D RI'!U186</f>
        <v>81835.320459770097</v>
      </c>
      <c r="D184" s="32">
        <f>'B) D RI'!AA186</f>
        <v>1329</v>
      </c>
      <c r="E184" s="201">
        <f t="shared" si="18"/>
        <v>61.576614341437242</v>
      </c>
      <c r="F184" s="368">
        <f t="shared" si="19"/>
        <v>1.2782390389910976</v>
      </c>
      <c r="G184" s="379">
        <f t="shared" si="20"/>
        <v>13.403610338962793</v>
      </c>
      <c r="H184" s="376">
        <f t="shared" si="21"/>
        <v>3.7690095384679054</v>
      </c>
      <c r="I184" s="379">
        <f t="shared" si="22"/>
        <v>0</v>
      </c>
      <c r="J184" s="376">
        <f t="shared" si="23"/>
        <v>0</v>
      </c>
      <c r="K184" s="371">
        <f t="shared" si="24"/>
        <v>0</v>
      </c>
      <c r="L184" s="375">
        <f t="shared" si="25"/>
        <v>3.0576230216393494</v>
      </c>
      <c r="M184" s="113">
        <f>L184*D184*'B) D RI'!S186</f>
        <v>235687.69775400433</v>
      </c>
    </row>
    <row r="185" spans="1:13" x14ac:dyDescent="0.25">
      <c r="A185" s="297">
        <f>'A) Base RI'!A187</f>
        <v>5708</v>
      </c>
      <c r="B185" s="32" t="str">
        <f>'A) Base RI'!B187</f>
        <v>Chavannes-des-Bois</v>
      </c>
      <c r="C185" s="295">
        <f>'B) D RI'!U187</f>
        <v>67256.112794117653</v>
      </c>
      <c r="D185" s="32">
        <f>'B) D RI'!AA187</f>
        <v>1013</v>
      </c>
      <c r="E185" s="201">
        <f t="shared" si="18"/>
        <v>66.393003745427094</v>
      </c>
      <c r="F185" s="368">
        <f t="shared" si="19"/>
        <v>1.3782201280621147</v>
      </c>
      <c r="G185" s="379">
        <f t="shared" si="20"/>
        <v>18.219999742952645</v>
      </c>
      <c r="H185" s="376">
        <f t="shared" si="21"/>
        <v>8.5853989424577577</v>
      </c>
      <c r="I185" s="379">
        <f t="shared" si="22"/>
        <v>0</v>
      </c>
      <c r="J185" s="376">
        <f t="shared" si="23"/>
        <v>0</v>
      </c>
      <c r="K185" s="371">
        <f t="shared" si="24"/>
        <v>0</v>
      </c>
      <c r="L185" s="375">
        <f t="shared" si="25"/>
        <v>4.5025398428363044</v>
      </c>
      <c r="M185" s="113">
        <f>L185*D185*'B) D RI'!S187</f>
        <v>310152.95453393599</v>
      </c>
    </row>
    <row r="186" spans="1:13" x14ac:dyDescent="0.25">
      <c r="A186" s="297">
        <f>'A) Base RI'!A188</f>
        <v>5709</v>
      </c>
      <c r="B186" s="32" t="str">
        <f>'A) Base RI'!B188</f>
        <v>Chéserex</v>
      </c>
      <c r="C186" s="295">
        <f>'B) D RI'!U188</f>
        <v>97368.06631578946</v>
      </c>
      <c r="D186" s="32">
        <f>'B) D RI'!AA188</f>
        <v>1248</v>
      </c>
      <c r="E186" s="201">
        <f t="shared" si="18"/>
        <v>78.019283906882578</v>
      </c>
      <c r="F186" s="368">
        <f t="shared" si="19"/>
        <v>1.6195644328693939</v>
      </c>
      <c r="G186" s="379">
        <f t="shared" si="20"/>
        <v>29.846279904408128</v>
      </c>
      <c r="H186" s="376">
        <f t="shared" si="21"/>
        <v>20.211679103913241</v>
      </c>
      <c r="I186" s="379">
        <f t="shared" si="22"/>
        <v>5.7597779031708995</v>
      </c>
      <c r="J186" s="376">
        <f t="shared" si="23"/>
        <v>0</v>
      </c>
      <c r="K186" s="371">
        <f t="shared" si="24"/>
        <v>0</v>
      </c>
      <c r="L186" s="375">
        <f t="shared" si="25"/>
        <v>8.5664016815900403</v>
      </c>
      <c r="M186" s="113">
        <f>L186*D186*'B) D RI'!S188</f>
        <v>609379.55002158904</v>
      </c>
    </row>
    <row r="187" spans="1:13" x14ac:dyDescent="0.25">
      <c r="A187" s="297">
        <f>'A) Base RI'!A189</f>
        <v>5710</v>
      </c>
      <c r="B187" s="32" t="str">
        <f>'A) Base RI'!B189</f>
        <v>Coinsins</v>
      </c>
      <c r="C187" s="295">
        <f>'B) D RI'!U189</f>
        <v>41108.965294117646</v>
      </c>
      <c r="D187" s="32">
        <f>'B) D RI'!AA189</f>
        <v>509</v>
      </c>
      <c r="E187" s="201">
        <f t="shared" si="18"/>
        <v>80.764175430486532</v>
      </c>
      <c r="F187" s="368">
        <f t="shared" si="19"/>
        <v>1.6765443032437422</v>
      </c>
      <c r="G187" s="379">
        <f t="shared" si="20"/>
        <v>32.591171428012082</v>
      </c>
      <c r="H187" s="376">
        <f t="shared" si="21"/>
        <v>22.956570627517195</v>
      </c>
      <c r="I187" s="379">
        <f t="shared" si="22"/>
        <v>8.5046694267748535</v>
      </c>
      <c r="J187" s="376">
        <f t="shared" si="23"/>
        <v>0</v>
      </c>
      <c r="K187" s="371">
        <f t="shared" si="24"/>
        <v>0</v>
      </c>
      <c r="L187" s="375">
        <f t="shared" si="25"/>
        <v>9.6643582910316219</v>
      </c>
      <c r="M187" s="113">
        <f>L187*D187*'B) D RI'!S189</f>
        <v>250877.07687688989</v>
      </c>
    </row>
    <row r="188" spans="1:13" x14ac:dyDescent="0.25">
      <c r="A188" s="297">
        <f>'A) Base RI'!A190</f>
        <v>5711</v>
      </c>
      <c r="B188" s="32" t="str">
        <f>'A) Base RI'!B190</f>
        <v>Commugny</v>
      </c>
      <c r="C188" s="295">
        <f>'B) D RI'!U190</f>
        <v>252772.67295911297</v>
      </c>
      <c r="D188" s="32">
        <f>'B) D RI'!AA190</f>
        <v>2997</v>
      </c>
      <c r="E188" s="201">
        <f t="shared" si="18"/>
        <v>84.341899552590249</v>
      </c>
      <c r="F188" s="368">
        <f t="shared" si="19"/>
        <v>1.7508125411539199</v>
      </c>
      <c r="G188" s="379">
        <f t="shared" si="20"/>
        <v>36.168895550115799</v>
      </c>
      <c r="H188" s="376">
        <f t="shared" si="21"/>
        <v>26.534294749620912</v>
      </c>
      <c r="I188" s="379">
        <f t="shared" si="22"/>
        <v>12.082393548878571</v>
      </c>
      <c r="J188" s="376">
        <f t="shared" si="23"/>
        <v>0</v>
      </c>
      <c r="K188" s="371">
        <f t="shared" si="24"/>
        <v>0</v>
      </c>
      <c r="L188" s="375">
        <f t="shared" si="25"/>
        <v>11.095447939873107</v>
      </c>
      <c r="M188" s="113">
        <f>L188*D188*'B) D RI'!S190</f>
        <v>1845544.6899068835</v>
      </c>
    </row>
    <row r="189" spans="1:13" x14ac:dyDescent="0.25">
      <c r="A189" s="297">
        <f>'A) Base RI'!A191</f>
        <v>5712</v>
      </c>
      <c r="B189" s="32" t="str">
        <f>'A) Base RI'!B191</f>
        <v>Coppet</v>
      </c>
      <c r="C189" s="295">
        <f>'B) D RI'!U191</f>
        <v>382004.08345911955</v>
      </c>
      <c r="D189" s="32">
        <f>'B) D RI'!AA191</f>
        <v>3247</v>
      </c>
      <c r="E189" s="201">
        <f t="shared" si="18"/>
        <v>117.64831643335988</v>
      </c>
      <c r="F189" s="368">
        <f t="shared" si="19"/>
        <v>2.4422042774686994</v>
      </c>
      <c r="G189" s="379">
        <f t="shared" si="20"/>
        <v>69.475312430885424</v>
      </c>
      <c r="H189" s="376">
        <f t="shared" si="21"/>
        <v>59.840711630390544</v>
      </c>
      <c r="I189" s="379">
        <f t="shared" si="22"/>
        <v>45.388810429648203</v>
      </c>
      <c r="J189" s="376">
        <f t="shared" si="23"/>
        <v>21.302308428410981</v>
      </c>
      <c r="K189" s="371">
        <f t="shared" si="24"/>
        <v>0</v>
      </c>
      <c r="L189" s="375">
        <f t="shared" si="25"/>
        <v>26.548245535022058</v>
      </c>
      <c r="M189" s="113">
        <f>L189*D189*'B) D RI'!S191</f>
        <v>4568714.1223674808</v>
      </c>
    </row>
    <row r="190" spans="1:13" x14ac:dyDescent="0.25">
      <c r="A190" s="297">
        <f>'A) Base RI'!A192</f>
        <v>5713</v>
      </c>
      <c r="B190" s="32" t="str">
        <f>'A) Base RI'!B192</f>
        <v>Crans-près-Céligny</v>
      </c>
      <c r="C190" s="295">
        <f>'B) D RI'!U192</f>
        <v>308668.8301785714</v>
      </c>
      <c r="D190" s="32">
        <f>'B) D RI'!AA192</f>
        <v>2340</v>
      </c>
      <c r="E190" s="201">
        <f t="shared" si="18"/>
        <v>131.90975648656897</v>
      </c>
      <c r="F190" s="368">
        <f t="shared" si="19"/>
        <v>2.7382505869842224</v>
      </c>
      <c r="G190" s="379">
        <f t="shared" si="20"/>
        <v>83.736752484094524</v>
      </c>
      <c r="H190" s="376">
        <f t="shared" si="21"/>
        <v>74.102151683599629</v>
      </c>
      <c r="I190" s="379">
        <f t="shared" si="22"/>
        <v>59.650250482857288</v>
      </c>
      <c r="J190" s="376">
        <f t="shared" si="23"/>
        <v>35.563748481620067</v>
      </c>
      <c r="K190" s="371">
        <f t="shared" si="24"/>
        <v>0</v>
      </c>
      <c r="L190" s="375">
        <f t="shared" si="25"/>
        <v>33.678965561626605</v>
      </c>
      <c r="M190" s="113">
        <f>L190*D190*'B) D RI'!S192</f>
        <v>4413291.6471955497</v>
      </c>
    </row>
    <row r="191" spans="1:13" x14ac:dyDescent="0.25">
      <c r="A191" s="297">
        <f>'A) Base RI'!A193</f>
        <v>5714</v>
      </c>
      <c r="B191" s="32" t="str">
        <f>'A) Base RI'!B193</f>
        <v>Crassier</v>
      </c>
      <c r="C191" s="295">
        <f>'B) D RI'!U193</f>
        <v>53429.691617647055</v>
      </c>
      <c r="D191" s="32">
        <f>'B) D RI'!AA193</f>
        <v>1174</v>
      </c>
      <c r="E191" s="201">
        <f t="shared" si="18"/>
        <v>45.510810577212141</v>
      </c>
      <c r="F191" s="368">
        <f t="shared" si="19"/>
        <v>0.9447368192956046</v>
      </c>
      <c r="G191" s="379">
        <f t="shared" si="20"/>
        <v>0</v>
      </c>
      <c r="H191" s="376">
        <f t="shared" si="21"/>
        <v>0</v>
      </c>
      <c r="I191" s="379">
        <f t="shared" si="22"/>
        <v>0</v>
      </c>
      <c r="J191" s="376">
        <f t="shared" si="23"/>
        <v>0</v>
      </c>
      <c r="K191" s="371">
        <f t="shared" si="24"/>
        <v>0</v>
      </c>
      <c r="L191" s="375">
        <f t="shared" si="25"/>
        <v>0</v>
      </c>
      <c r="M191" s="113">
        <f>L191*D191*'B) D RI'!S193</f>
        <v>0</v>
      </c>
    </row>
    <row r="192" spans="1:13" x14ac:dyDescent="0.25">
      <c r="A192" s="297">
        <f>'A) Base RI'!A194</f>
        <v>5715</v>
      </c>
      <c r="B192" s="32" t="str">
        <f>'A) Base RI'!B194</f>
        <v>Duillier</v>
      </c>
      <c r="C192" s="295">
        <f>'B) D RI'!U194</f>
        <v>61573.714242424234</v>
      </c>
      <c r="D192" s="32">
        <f>'B) D RI'!AA194</f>
        <v>1128</v>
      </c>
      <c r="E192" s="201">
        <f t="shared" si="18"/>
        <v>54.586626101439926</v>
      </c>
      <c r="F192" s="368">
        <f t="shared" si="19"/>
        <v>1.1331372670601159</v>
      </c>
      <c r="G192" s="379">
        <f t="shared" si="20"/>
        <v>6.413622098965476</v>
      </c>
      <c r="H192" s="376">
        <f t="shared" si="21"/>
        <v>0</v>
      </c>
      <c r="I192" s="379">
        <f t="shared" si="22"/>
        <v>0</v>
      </c>
      <c r="J192" s="376">
        <f t="shared" si="23"/>
        <v>0</v>
      </c>
      <c r="K192" s="371">
        <f t="shared" si="24"/>
        <v>0</v>
      </c>
      <c r="L192" s="375">
        <f t="shared" si="25"/>
        <v>1.2827244197930954</v>
      </c>
      <c r="M192" s="113">
        <f>L192*D192*'B) D RI'!S194</f>
        <v>95496.267604756358</v>
      </c>
    </row>
    <row r="193" spans="1:13" x14ac:dyDescent="0.25">
      <c r="A193" s="297">
        <f>'A) Base RI'!A195</f>
        <v>5716</v>
      </c>
      <c r="B193" s="32" t="str">
        <f>'A) Base RI'!B195</f>
        <v>Eysins</v>
      </c>
      <c r="C193" s="295">
        <f>'B) D RI'!U195</f>
        <v>311499.41949579836</v>
      </c>
      <c r="D193" s="32">
        <f>'B) D RI'!AA195</f>
        <v>1740</v>
      </c>
      <c r="E193" s="201">
        <f t="shared" si="18"/>
        <v>179.02265488264274</v>
      </c>
      <c r="F193" s="368">
        <f t="shared" si="19"/>
        <v>3.7162443694283023</v>
      </c>
      <c r="G193" s="379">
        <f t="shared" si="20"/>
        <v>130.8496508801683</v>
      </c>
      <c r="H193" s="376">
        <f t="shared" si="21"/>
        <v>121.2150500796734</v>
      </c>
      <c r="I193" s="379">
        <f t="shared" si="22"/>
        <v>106.76314887893106</v>
      </c>
      <c r="J193" s="376">
        <f t="shared" si="23"/>
        <v>82.676646877693841</v>
      </c>
      <c r="K193" s="371">
        <f t="shared" si="24"/>
        <v>34.503642875219384</v>
      </c>
      <c r="L193" s="375">
        <f t="shared" si="25"/>
        <v>60.685779047185434</v>
      </c>
      <c r="M193" s="113">
        <f>L193*D193*'B) D RI'!S195</f>
        <v>6282798.7047551088</v>
      </c>
    </row>
    <row r="194" spans="1:13" x14ac:dyDescent="0.25">
      <c r="A194" s="297">
        <f>'A) Base RI'!A196</f>
        <v>5717</v>
      </c>
      <c r="B194" s="32" t="str">
        <f>'A) Base RI'!B196</f>
        <v>Founex</v>
      </c>
      <c r="C194" s="295">
        <f>'B) D RI'!U196</f>
        <v>386801.60228070174</v>
      </c>
      <c r="D194" s="32">
        <f>'B) D RI'!AA196</f>
        <v>3834</v>
      </c>
      <c r="E194" s="201">
        <f t="shared" si="18"/>
        <v>100.88722020884239</v>
      </c>
      <c r="F194" s="368">
        <f t="shared" si="19"/>
        <v>2.0942688191847085</v>
      </c>
      <c r="G194" s="379">
        <f t="shared" si="20"/>
        <v>52.714216206367944</v>
      </c>
      <c r="H194" s="376">
        <f t="shared" si="21"/>
        <v>43.079615405873056</v>
      </c>
      <c r="I194" s="379">
        <f t="shared" si="22"/>
        <v>28.627714205130715</v>
      </c>
      <c r="J194" s="376">
        <f t="shared" si="23"/>
        <v>4.5412122038934939</v>
      </c>
      <c r="K194" s="371">
        <f t="shared" si="24"/>
        <v>0</v>
      </c>
      <c r="L194" s="375">
        <f t="shared" si="25"/>
        <v>18.167697422763315</v>
      </c>
      <c r="M194" s="113">
        <f>L194*D194*'B) D RI'!S196</f>
        <v>3970332.2593758493</v>
      </c>
    </row>
    <row r="195" spans="1:13" x14ac:dyDescent="0.25">
      <c r="A195" s="297">
        <f>'A) Base RI'!A197</f>
        <v>5718</v>
      </c>
      <c r="B195" s="32" t="str">
        <f>'A) Base RI'!B197</f>
        <v>Genolier</v>
      </c>
      <c r="C195" s="295">
        <f>'B) D RI'!U197</f>
        <v>245082.27927272729</v>
      </c>
      <c r="D195" s="32">
        <f>'B) D RI'!AA197</f>
        <v>1996</v>
      </c>
      <c r="E195" s="201">
        <f t="shared" si="18"/>
        <v>122.78671306248862</v>
      </c>
      <c r="F195" s="368">
        <f t="shared" si="19"/>
        <v>2.5488697581778701</v>
      </c>
      <c r="G195" s="379">
        <f t="shared" si="20"/>
        <v>74.613709060014173</v>
      </c>
      <c r="H195" s="376">
        <f t="shared" si="21"/>
        <v>64.979108259519279</v>
      </c>
      <c r="I195" s="379">
        <f t="shared" si="22"/>
        <v>50.527207058776938</v>
      </c>
      <c r="J195" s="376">
        <f t="shared" si="23"/>
        <v>26.440705057539716</v>
      </c>
      <c r="K195" s="371">
        <f t="shared" si="24"/>
        <v>0</v>
      </c>
      <c r="L195" s="375">
        <f t="shared" si="25"/>
        <v>29.117443849586429</v>
      </c>
      <c r="M195" s="113">
        <f>L195*D195*'B) D RI'!S197</f>
        <v>3196512.9858075981</v>
      </c>
    </row>
    <row r="196" spans="1:13" x14ac:dyDescent="0.25">
      <c r="A196" s="297">
        <f>'A) Base RI'!A198</f>
        <v>5719</v>
      </c>
      <c r="B196" s="32" t="str">
        <f>'A) Base RI'!B198</f>
        <v>Gingins</v>
      </c>
      <c r="C196" s="295">
        <f>'B) D RI'!U198</f>
        <v>145761.42391812865</v>
      </c>
      <c r="D196" s="32">
        <f>'B) D RI'!AA198</f>
        <v>1257</v>
      </c>
      <c r="E196" s="201">
        <f t="shared" si="18"/>
        <v>115.95976445356297</v>
      </c>
      <c r="F196" s="368">
        <f t="shared" si="19"/>
        <v>2.4071524467854775</v>
      </c>
      <c r="G196" s="379">
        <f t="shared" si="20"/>
        <v>67.786760451088526</v>
      </c>
      <c r="H196" s="376">
        <f t="shared" si="21"/>
        <v>58.152159650593632</v>
      </c>
      <c r="I196" s="379">
        <f t="shared" si="22"/>
        <v>43.70025844985129</v>
      </c>
      <c r="J196" s="376">
        <f t="shared" si="23"/>
        <v>19.613756448614069</v>
      </c>
      <c r="K196" s="371">
        <f t="shared" si="24"/>
        <v>0</v>
      </c>
      <c r="L196" s="375">
        <f t="shared" si="25"/>
        <v>25.703969545123606</v>
      </c>
      <c r="M196" s="113">
        <f>L196*D196*'B) D RI'!S198</f>
        <v>1841663.7139385613</v>
      </c>
    </row>
    <row r="197" spans="1:13" x14ac:dyDescent="0.25">
      <c r="A197" s="297">
        <f>'A) Base RI'!A199</f>
        <v>5720</v>
      </c>
      <c r="B197" s="32" t="str">
        <f>'A) Base RI'!B199</f>
        <v>Givrins</v>
      </c>
      <c r="C197" s="295">
        <f>'B) D RI'!U199</f>
        <v>84172.254543946925</v>
      </c>
      <c r="D197" s="32">
        <f>'B) D RI'!AA199</f>
        <v>1031</v>
      </c>
      <c r="E197" s="201">
        <f t="shared" si="18"/>
        <v>81.641372011587706</v>
      </c>
      <c r="F197" s="368">
        <f t="shared" si="19"/>
        <v>1.6947536011537525</v>
      </c>
      <c r="G197" s="379">
        <f t="shared" si="20"/>
        <v>33.468368009113256</v>
      </c>
      <c r="H197" s="376">
        <f t="shared" si="21"/>
        <v>23.833767208618369</v>
      </c>
      <c r="I197" s="379">
        <f t="shared" si="22"/>
        <v>9.3818660078760274</v>
      </c>
      <c r="J197" s="376">
        <f t="shared" si="23"/>
        <v>0</v>
      </c>
      <c r="K197" s="371">
        <f t="shared" si="24"/>
        <v>0</v>
      </c>
      <c r="L197" s="375">
        <f t="shared" si="25"/>
        <v>10.015236923472091</v>
      </c>
      <c r="M197" s="113">
        <f>L197*D197*'B) D RI'!S199</f>
        <v>691822.52096268174</v>
      </c>
    </row>
    <row r="198" spans="1:13" x14ac:dyDescent="0.25">
      <c r="A198" s="297">
        <f>'A) Base RI'!A200</f>
        <v>5721</v>
      </c>
      <c r="B198" s="32" t="str">
        <f>'A) Base RI'!B200</f>
        <v>Gland</v>
      </c>
      <c r="C198" s="295">
        <f>'B) D RI'!U200</f>
        <v>651107.04049180343</v>
      </c>
      <c r="D198" s="32">
        <f>'B) D RI'!AA200</f>
        <v>13243</v>
      </c>
      <c r="E198" s="201">
        <f t="shared" ref="E198:E261" si="26">C198/D198</f>
        <v>49.166128557864795</v>
      </c>
      <c r="F198" s="368">
        <f t="shared" ref="F198:F261" si="27">E198/$E$314</f>
        <v>1.0206157904402087</v>
      </c>
      <c r="G198" s="379">
        <f t="shared" ref="G198:G261" si="28">IF(E198-$G$2&lt;0,0,E198-$G$2)</f>
        <v>0.99312455539034517</v>
      </c>
      <c r="H198" s="376">
        <f t="shared" ref="H198:H261" si="29">IF(E198-$H$2&lt;0,0,E198-$H$2)</f>
        <v>0</v>
      </c>
      <c r="I198" s="379">
        <f t="shared" ref="I198:I261" si="30">IF(E198-$I$2&lt;0,0,E198-$I$2)</f>
        <v>0</v>
      </c>
      <c r="J198" s="376">
        <f t="shared" ref="J198:J261" si="31">IF(E198-$J$2&lt;0,0,E198-$J$2)</f>
        <v>0</v>
      </c>
      <c r="K198" s="371">
        <f t="shared" ref="K198:K261" si="32">IF(E198-$K$2&lt;0,0,E198-$K$2)</f>
        <v>0</v>
      </c>
      <c r="L198" s="375">
        <f t="shared" ref="L198:L261" si="33">(G198-H198)*$G$3+(H198-I198)*$H$3+(I198-J198)*$I$3+(J198-K198)*$J$3+(K198*$K$3)</f>
        <v>0.19862491107806904</v>
      </c>
      <c r="M198" s="113">
        <f>L198*D198*'B) D RI'!S200</f>
        <v>160453.77154181898</v>
      </c>
    </row>
    <row r="199" spans="1:13" x14ac:dyDescent="0.25">
      <c r="A199" s="297">
        <f>'A) Base RI'!A201</f>
        <v>5722</v>
      </c>
      <c r="B199" s="32" t="str">
        <f>'A) Base RI'!B201</f>
        <v>Grens</v>
      </c>
      <c r="C199" s="295">
        <f>'B) D RI'!U201</f>
        <v>25525.601935483872</v>
      </c>
      <c r="D199" s="32">
        <f>'B) D RI'!AA201</f>
        <v>405</v>
      </c>
      <c r="E199" s="201">
        <f t="shared" si="26"/>
        <v>63.026177618478698</v>
      </c>
      <c r="F199" s="368">
        <f t="shared" si="27"/>
        <v>1.3083298192332224</v>
      </c>
      <c r="G199" s="379">
        <f t="shared" si="28"/>
        <v>14.853173616004248</v>
      </c>
      <c r="H199" s="376">
        <f t="shared" si="29"/>
        <v>5.2185728155093614</v>
      </c>
      <c r="I199" s="379">
        <f t="shared" si="30"/>
        <v>0</v>
      </c>
      <c r="J199" s="376">
        <f t="shared" si="31"/>
        <v>0</v>
      </c>
      <c r="K199" s="371">
        <f t="shared" si="32"/>
        <v>0</v>
      </c>
      <c r="L199" s="375">
        <f t="shared" si="33"/>
        <v>3.492492004751786</v>
      </c>
      <c r="M199" s="113">
        <f>L199*D199*'B) D RI'!S201</f>
        <v>87696.474239317351</v>
      </c>
    </row>
    <row r="200" spans="1:13" x14ac:dyDescent="0.25">
      <c r="A200" s="297">
        <f>'A) Base RI'!A202</f>
        <v>5723</v>
      </c>
      <c r="B200" s="32" t="str">
        <f>'A) Base RI'!B202</f>
        <v>Mies</v>
      </c>
      <c r="C200" s="295">
        <f>'B) D RI'!U202</f>
        <v>197805.17519230774</v>
      </c>
      <c r="D200" s="32">
        <f>'B) D RI'!AA202</f>
        <v>2172</v>
      </c>
      <c r="E200" s="201">
        <f t="shared" si="26"/>
        <v>91.070522648392142</v>
      </c>
      <c r="F200" s="368">
        <f t="shared" si="27"/>
        <v>1.8904887609606871</v>
      </c>
      <c r="G200" s="379">
        <f t="shared" si="28"/>
        <v>42.897518645917692</v>
      </c>
      <c r="H200" s="376">
        <f t="shared" si="29"/>
        <v>33.262917845422805</v>
      </c>
      <c r="I200" s="379">
        <f t="shared" si="30"/>
        <v>18.811016644680464</v>
      </c>
      <c r="J200" s="376">
        <f t="shared" si="31"/>
        <v>0</v>
      </c>
      <c r="K200" s="371">
        <f t="shared" si="32"/>
        <v>0</v>
      </c>
      <c r="L200" s="375">
        <f t="shared" si="33"/>
        <v>13.786897178193865</v>
      </c>
      <c r="M200" s="113">
        <f>L200*D200*'B) D RI'!S202</f>
        <v>1557147.3148939279</v>
      </c>
    </row>
    <row r="201" spans="1:13" x14ac:dyDescent="0.25">
      <c r="A201" s="297">
        <f>'A) Base RI'!A203</f>
        <v>5724</v>
      </c>
      <c r="B201" s="32" t="str">
        <f>'A) Base RI'!B203</f>
        <v>Nyon</v>
      </c>
      <c r="C201" s="295">
        <f>'B) D RI'!U203</f>
        <v>1415730.6761202184</v>
      </c>
      <c r="D201" s="32">
        <f>'B) D RI'!AA203</f>
        <v>21743</v>
      </c>
      <c r="E201" s="201">
        <f t="shared" si="26"/>
        <v>65.112021161763252</v>
      </c>
      <c r="F201" s="368">
        <f t="shared" si="27"/>
        <v>1.3516288325805614</v>
      </c>
      <c r="G201" s="379">
        <f t="shared" si="28"/>
        <v>16.939017159288802</v>
      </c>
      <c r="H201" s="376">
        <f t="shared" si="29"/>
        <v>7.3044163587939153</v>
      </c>
      <c r="I201" s="379">
        <f t="shared" si="30"/>
        <v>0</v>
      </c>
      <c r="J201" s="376">
        <f t="shared" si="31"/>
        <v>0</v>
      </c>
      <c r="K201" s="371">
        <f t="shared" si="32"/>
        <v>0</v>
      </c>
      <c r="L201" s="375">
        <f t="shared" si="33"/>
        <v>4.1182450677371527</v>
      </c>
      <c r="M201" s="113">
        <f>L201*D201*'B) D RI'!S203</f>
        <v>5462123.1529763434</v>
      </c>
    </row>
    <row r="202" spans="1:13" x14ac:dyDescent="0.25">
      <c r="A202" s="297">
        <f>'A) Base RI'!A204</f>
        <v>5725</v>
      </c>
      <c r="B202" s="32" t="str">
        <f>'A) Base RI'!B204</f>
        <v>Prangins</v>
      </c>
      <c r="C202" s="295">
        <f>'B) D RI'!U204</f>
        <v>312804.93402597401</v>
      </c>
      <c r="D202" s="32">
        <f>'B) D RI'!AA204</f>
        <v>4101</v>
      </c>
      <c r="E202" s="201">
        <f t="shared" si="26"/>
        <v>76.275282620330159</v>
      </c>
      <c r="F202" s="368">
        <f t="shared" si="27"/>
        <v>1.583361556950283</v>
      </c>
      <c r="G202" s="379">
        <f t="shared" si="28"/>
        <v>28.10227861785571</v>
      </c>
      <c r="H202" s="376">
        <f t="shared" si="29"/>
        <v>18.467677817360823</v>
      </c>
      <c r="I202" s="379">
        <f t="shared" si="30"/>
        <v>4.0157766166184814</v>
      </c>
      <c r="J202" s="376">
        <f t="shared" si="31"/>
        <v>0</v>
      </c>
      <c r="K202" s="371">
        <f t="shared" si="32"/>
        <v>0</v>
      </c>
      <c r="L202" s="375">
        <f t="shared" si="33"/>
        <v>7.8688011669690727</v>
      </c>
      <c r="M202" s="113">
        <f>L202*D202*'B) D RI'!S204</f>
        <v>1774847.4472157091</v>
      </c>
    </row>
    <row r="203" spans="1:13" x14ac:dyDescent="0.25">
      <c r="A203" s="297">
        <f>'A) Base RI'!A205</f>
        <v>5726</v>
      </c>
      <c r="B203" s="32" t="str">
        <f>'A) Base RI'!B205</f>
        <v>La Rippe</v>
      </c>
      <c r="C203" s="295">
        <f>'B) D RI'!U205</f>
        <v>66324.764153846147</v>
      </c>
      <c r="D203" s="32">
        <f>'B) D RI'!AA205</f>
        <v>1131</v>
      </c>
      <c r="E203" s="201">
        <f t="shared" si="26"/>
        <v>58.642585458749906</v>
      </c>
      <c r="F203" s="368">
        <f t="shared" si="27"/>
        <v>1.2173329580139465</v>
      </c>
      <c r="G203" s="379">
        <f t="shared" si="28"/>
        <v>10.469581456275456</v>
      </c>
      <c r="H203" s="376">
        <f t="shared" si="29"/>
        <v>0.83498065578056924</v>
      </c>
      <c r="I203" s="379">
        <f t="shared" si="30"/>
        <v>0</v>
      </c>
      <c r="J203" s="376">
        <f t="shared" si="31"/>
        <v>0</v>
      </c>
      <c r="K203" s="371">
        <f t="shared" si="32"/>
        <v>0</v>
      </c>
      <c r="L203" s="375">
        <f t="shared" si="33"/>
        <v>2.1774143568331485</v>
      </c>
      <c r="M203" s="113">
        <f>L203*D203*'B) D RI'!S205</f>
        <v>160072.61644258891</v>
      </c>
    </row>
    <row r="204" spans="1:13" x14ac:dyDescent="0.25">
      <c r="A204" s="297">
        <f>'A) Base RI'!A206</f>
        <v>5727</v>
      </c>
      <c r="B204" s="32" t="str">
        <f>'A) Base RI'!B206</f>
        <v>Saint-Cergue</v>
      </c>
      <c r="C204" s="295">
        <f>'B) D RI'!U206</f>
        <v>105125.05141414142</v>
      </c>
      <c r="D204" s="32">
        <f>'B) D RI'!AA206</f>
        <v>2674</v>
      </c>
      <c r="E204" s="201">
        <f t="shared" si="26"/>
        <v>39.313781381503894</v>
      </c>
      <c r="F204" s="368">
        <f t="shared" si="27"/>
        <v>0.81609569914893632</v>
      </c>
      <c r="G204" s="379">
        <f t="shared" si="28"/>
        <v>0</v>
      </c>
      <c r="H204" s="376">
        <f t="shared" si="29"/>
        <v>0</v>
      </c>
      <c r="I204" s="379">
        <f t="shared" si="30"/>
        <v>0</v>
      </c>
      <c r="J204" s="376">
        <f t="shared" si="31"/>
        <v>0</v>
      </c>
      <c r="K204" s="371">
        <f t="shared" si="32"/>
        <v>0</v>
      </c>
      <c r="L204" s="375">
        <f t="shared" si="33"/>
        <v>0</v>
      </c>
      <c r="M204" s="113">
        <f>L204*D204*'B) D RI'!S206</f>
        <v>0</v>
      </c>
    </row>
    <row r="205" spans="1:13" x14ac:dyDescent="0.25">
      <c r="A205" s="297">
        <f>'A) Base RI'!A207</f>
        <v>5728</v>
      </c>
      <c r="B205" s="32" t="str">
        <f>'A) Base RI'!B207</f>
        <v>Signy-Avenex</v>
      </c>
      <c r="C205" s="295">
        <f>'B) D RI'!U207</f>
        <v>49286.820862068969</v>
      </c>
      <c r="D205" s="32">
        <f>'B) D RI'!AA207</f>
        <v>581</v>
      </c>
      <c r="E205" s="201">
        <f t="shared" si="26"/>
        <v>84.83101697430115</v>
      </c>
      <c r="F205" s="368">
        <f t="shared" si="27"/>
        <v>1.7609658922234479</v>
      </c>
      <c r="G205" s="379">
        <f t="shared" si="28"/>
        <v>36.6580129718267</v>
      </c>
      <c r="H205" s="376">
        <f t="shared" si="29"/>
        <v>27.023412171331813</v>
      </c>
      <c r="I205" s="379">
        <f t="shared" si="30"/>
        <v>12.571510970589472</v>
      </c>
      <c r="J205" s="376">
        <f t="shared" si="31"/>
        <v>0</v>
      </c>
      <c r="K205" s="371">
        <f t="shared" si="32"/>
        <v>0</v>
      </c>
      <c r="L205" s="375">
        <f t="shared" si="33"/>
        <v>11.291094908557469</v>
      </c>
      <c r="M205" s="113">
        <f>L205*D205*'B) D RI'!S207</f>
        <v>380487.3162285696</v>
      </c>
    </row>
    <row r="206" spans="1:13" x14ac:dyDescent="0.25">
      <c r="A206" s="297">
        <f>'A) Base RI'!A208</f>
        <v>5729</v>
      </c>
      <c r="B206" s="32" t="str">
        <f>'A) Base RI'!B208</f>
        <v>Tannay</v>
      </c>
      <c r="C206" s="295">
        <f>'B) D RI'!U208</f>
        <v>130826.66865013774</v>
      </c>
      <c r="D206" s="32">
        <f>'B) D RI'!AA208</f>
        <v>1636</v>
      </c>
      <c r="E206" s="201">
        <f t="shared" si="26"/>
        <v>79.967401375389812</v>
      </c>
      <c r="F206" s="368">
        <f t="shared" si="27"/>
        <v>1.6600044575024264</v>
      </c>
      <c r="G206" s="379">
        <f t="shared" si="28"/>
        <v>31.794397372915363</v>
      </c>
      <c r="H206" s="376">
        <f t="shared" si="29"/>
        <v>22.159796572420476</v>
      </c>
      <c r="I206" s="379">
        <f t="shared" si="30"/>
        <v>7.7078953716781342</v>
      </c>
      <c r="J206" s="376">
        <f t="shared" si="31"/>
        <v>0</v>
      </c>
      <c r="K206" s="371">
        <f t="shared" si="32"/>
        <v>0</v>
      </c>
      <c r="L206" s="375">
        <f t="shared" si="33"/>
        <v>9.3456486689929328</v>
      </c>
      <c r="M206" s="113">
        <f>L206*D206*'B) D RI'!S208</f>
        <v>925013.61395958241</v>
      </c>
    </row>
    <row r="207" spans="1:13" x14ac:dyDescent="0.25">
      <c r="A207" s="297">
        <f>'A) Base RI'!A209</f>
        <v>5730</v>
      </c>
      <c r="B207" s="32" t="str">
        <f>'A) Base RI'!B209</f>
        <v>Trélex</v>
      </c>
      <c r="C207" s="295">
        <f>'B) D RI'!U209</f>
        <v>111625.98756756757</v>
      </c>
      <c r="D207" s="32">
        <f>'B) D RI'!AA209</f>
        <v>1445</v>
      </c>
      <c r="E207" s="201">
        <f t="shared" si="26"/>
        <v>77.249818385859911</v>
      </c>
      <c r="F207" s="368">
        <f t="shared" si="27"/>
        <v>1.6035914717274411</v>
      </c>
      <c r="G207" s="379">
        <f t="shared" si="28"/>
        <v>29.076814383385461</v>
      </c>
      <c r="H207" s="376">
        <f t="shared" si="29"/>
        <v>19.442213582890574</v>
      </c>
      <c r="I207" s="379">
        <f t="shared" si="30"/>
        <v>4.9903123821482325</v>
      </c>
      <c r="J207" s="376">
        <f t="shared" si="31"/>
        <v>0</v>
      </c>
      <c r="K207" s="371">
        <f t="shared" si="32"/>
        <v>0</v>
      </c>
      <c r="L207" s="375">
        <f t="shared" si="33"/>
        <v>8.2586154731809724</v>
      </c>
      <c r="M207" s="113">
        <f>L207*D207*'B) D RI'!S209</f>
        <v>662320.31441043108</v>
      </c>
    </row>
    <row r="208" spans="1:13" x14ac:dyDescent="0.25">
      <c r="A208" s="297">
        <f>'A) Base RI'!A210</f>
        <v>5731</v>
      </c>
      <c r="B208" s="32" t="str">
        <f>'A) Base RI'!B210</f>
        <v>Le Vaud</v>
      </c>
      <c r="C208" s="295">
        <f>'B) D RI'!U210</f>
        <v>63942.206576576558</v>
      </c>
      <c r="D208" s="32">
        <f>'B) D RI'!AA210</f>
        <v>1366</v>
      </c>
      <c r="E208" s="201">
        <f t="shared" si="26"/>
        <v>46.809814477728082</v>
      </c>
      <c r="F208" s="368">
        <f t="shared" si="27"/>
        <v>0.97170221054355788</v>
      </c>
      <c r="G208" s="379">
        <f t="shared" si="28"/>
        <v>0</v>
      </c>
      <c r="H208" s="376">
        <f t="shared" si="29"/>
        <v>0</v>
      </c>
      <c r="I208" s="379">
        <f t="shared" si="30"/>
        <v>0</v>
      </c>
      <c r="J208" s="376">
        <f t="shared" si="31"/>
        <v>0</v>
      </c>
      <c r="K208" s="371">
        <f t="shared" si="32"/>
        <v>0</v>
      </c>
      <c r="L208" s="375">
        <f t="shared" si="33"/>
        <v>0</v>
      </c>
      <c r="M208" s="113">
        <f>L208*D208*'B) D RI'!S210</f>
        <v>0</v>
      </c>
    </row>
    <row r="209" spans="1:13" x14ac:dyDescent="0.25">
      <c r="A209" s="297">
        <f>'A) Base RI'!A211</f>
        <v>5732</v>
      </c>
      <c r="B209" s="32" t="str">
        <f>'A) Base RI'!B211</f>
        <v>Vich</v>
      </c>
      <c r="C209" s="295">
        <f>'B) D RI'!U211</f>
        <v>71006.972380952371</v>
      </c>
      <c r="D209" s="32">
        <f>'B) D RI'!AA211</f>
        <v>1156</v>
      </c>
      <c r="E209" s="201">
        <f t="shared" si="26"/>
        <v>61.424716592519353</v>
      </c>
      <c r="F209" s="368">
        <f t="shared" si="27"/>
        <v>1.2750858673742709</v>
      </c>
      <c r="G209" s="379">
        <f t="shared" si="28"/>
        <v>13.251712590044903</v>
      </c>
      <c r="H209" s="376">
        <f t="shared" si="29"/>
        <v>3.617111789550016</v>
      </c>
      <c r="I209" s="379">
        <f t="shared" si="30"/>
        <v>0</v>
      </c>
      <c r="J209" s="376">
        <f t="shared" si="31"/>
        <v>0</v>
      </c>
      <c r="K209" s="371">
        <f t="shared" si="32"/>
        <v>0</v>
      </c>
      <c r="L209" s="375">
        <f t="shared" si="33"/>
        <v>3.0120536969639824</v>
      </c>
      <c r="M209" s="113">
        <f>L209*D209*'B) D RI'!S211</f>
        <v>219361.84664249292</v>
      </c>
    </row>
    <row r="210" spans="1:13" x14ac:dyDescent="0.25">
      <c r="A210" s="297">
        <f>'A) Base RI'!A212</f>
        <v>5741</v>
      </c>
      <c r="B210" s="32" t="str">
        <f>'A) Base RI'!B212</f>
        <v>L'Abergement</v>
      </c>
      <c r="C210" s="295">
        <f>'B) D RI'!U212</f>
        <v>7368.9297325102852</v>
      </c>
      <c r="D210" s="32">
        <f>'B) D RI'!AA212</f>
        <v>256</v>
      </c>
      <c r="E210" s="201">
        <f t="shared" si="26"/>
        <v>28.784881767618302</v>
      </c>
      <c r="F210" s="368">
        <f t="shared" si="27"/>
        <v>0.59753138430270492</v>
      </c>
      <c r="G210" s="379">
        <f t="shared" si="28"/>
        <v>0</v>
      </c>
      <c r="H210" s="376">
        <f t="shared" si="29"/>
        <v>0</v>
      </c>
      <c r="I210" s="379">
        <f t="shared" si="30"/>
        <v>0</v>
      </c>
      <c r="J210" s="376">
        <f t="shared" si="31"/>
        <v>0</v>
      </c>
      <c r="K210" s="371">
        <f t="shared" si="32"/>
        <v>0</v>
      </c>
      <c r="L210" s="375">
        <f t="shared" si="33"/>
        <v>0</v>
      </c>
      <c r="M210" s="113">
        <f>L210*D210*'B) D RI'!S212</f>
        <v>0</v>
      </c>
    </row>
    <row r="211" spans="1:13" x14ac:dyDescent="0.25">
      <c r="A211" s="297">
        <f>'A) Base RI'!A213</f>
        <v>5742</v>
      </c>
      <c r="B211" s="32" t="str">
        <f>'A) Base RI'!B213</f>
        <v>Agiez</v>
      </c>
      <c r="C211" s="295">
        <f>'B) D RI'!U213</f>
        <v>8960.136710526318</v>
      </c>
      <c r="D211" s="32">
        <f>'B) D RI'!AA213</f>
        <v>377</v>
      </c>
      <c r="E211" s="201">
        <f t="shared" si="26"/>
        <v>23.766940876727634</v>
      </c>
      <c r="F211" s="368">
        <f t="shared" si="27"/>
        <v>0.49336638577712166</v>
      </c>
      <c r="G211" s="379">
        <f t="shared" si="28"/>
        <v>0</v>
      </c>
      <c r="H211" s="376">
        <f t="shared" si="29"/>
        <v>0</v>
      </c>
      <c r="I211" s="379">
        <f t="shared" si="30"/>
        <v>0</v>
      </c>
      <c r="J211" s="376">
        <f t="shared" si="31"/>
        <v>0</v>
      </c>
      <c r="K211" s="371">
        <f t="shared" si="32"/>
        <v>0</v>
      </c>
      <c r="L211" s="375">
        <f t="shared" si="33"/>
        <v>0</v>
      </c>
      <c r="M211" s="113">
        <f>L211*D211*'B) D RI'!S213</f>
        <v>0</v>
      </c>
    </row>
    <row r="212" spans="1:13" x14ac:dyDescent="0.25">
      <c r="A212" s="297">
        <f>'A) Base RI'!A214</f>
        <v>5743</v>
      </c>
      <c r="B212" s="32" t="str">
        <f>'A) Base RI'!B214</f>
        <v>Arnex-sur-Orbe</v>
      </c>
      <c r="C212" s="295">
        <f>'B) D RI'!U214</f>
        <v>20526.64161971831</v>
      </c>
      <c r="D212" s="32">
        <f>'B) D RI'!AA214</f>
        <v>637</v>
      </c>
      <c r="E212" s="201">
        <f t="shared" si="26"/>
        <v>32.22392718951069</v>
      </c>
      <c r="F212" s="368">
        <f t="shared" si="27"/>
        <v>0.66892085840973248</v>
      </c>
      <c r="G212" s="379">
        <f t="shared" si="28"/>
        <v>0</v>
      </c>
      <c r="H212" s="376">
        <f t="shared" si="29"/>
        <v>0</v>
      </c>
      <c r="I212" s="379">
        <f t="shared" si="30"/>
        <v>0</v>
      </c>
      <c r="J212" s="376">
        <f t="shared" si="31"/>
        <v>0</v>
      </c>
      <c r="K212" s="371">
        <f t="shared" si="32"/>
        <v>0</v>
      </c>
      <c r="L212" s="375">
        <f t="shared" si="33"/>
        <v>0</v>
      </c>
      <c r="M212" s="113">
        <f>L212*D212*'B) D RI'!S214</f>
        <v>0</v>
      </c>
    </row>
    <row r="213" spans="1:13" x14ac:dyDescent="0.25">
      <c r="A213" s="297">
        <f>'A) Base RI'!A215</f>
        <v>5744</v>
      </c>
      <c r="B213" s="32" t="str">
        <f>'A) Base RI'!B215</f>
        <v>Ballaigues</v>
      </c>
      <c r="C213" s="295">
        <f>'B) D RI'!U215</f>
        <v>40453.358769230777</v>
      </c>
      <c r="D213" s="32">
        <f>'B) D RI'!AA215</f>
        <v>1143</v>
      </c>
      <c r="E213" s="201">
        <f t="shared" si="26"/>
        <v>35.392264889965688</v>
      </c>
      <c r="F213" s="368">
        <f t="shared" si="27"/>
        <v>0.73469084236780691</v>
      </c>
      <c r="G213" s="379">
        <f t="shared" si="28"/>
        <v>0</v>
      </c>
      <c r="H213" s="376">
        <f t="shared" si="29"/>
        <v>0</v>
      </c>
      <c r="I213" s="379">
        <f t="shared" si="30"/>
        <v>0</v>
      </c>
      <c r="J213" s="376">
        <f t="shared" si="31"/>
        <v>0</v>
      </c>
      <c r="K213" s="371">
        <f t="shared" si="32"/>
        <v>0</v>
      </c>
      <c r="L213" s="375">
        <f t="shared" si="33"/>
        <v>0</v>
      </c>
      <c r="M213" s="113">
        <f>L213*D213*'B) D RI'!S215</f>
        <v>0</v>
      </c>
    </row>
    <row r="214" spans="1:13" x14ac:dyDescent="0.25">
      <c r="A214" s="297">
        <f>'A) Base RI'!A216</f>
        <v>5745</v>
      </c>
      <c r="B214" s="32" t="str">
        <f>'A) Base RI'!B216</f>
        <v>Baulmes</v>
      </c>
      <c r="C214" s="295">
        <f>'B) D RI'!U216</f>
        <v>26827.589150326792</v>
      </c>
      <c r="D214" s="32">
        <f>'B) D RI'!AA216</f>
        <v>1074</v>
      </c>
      <c r="E214" s="201">
        <f t="shared" si="26"/>
        <v>24.979133287082675</v>
      </c>
      <c r="F214" s="368">
        <f t="shared" si="27"/>
        <v>0.51852969945157668</v>
      </c>
      <c r="G214" s="379">
        <f t="shared" si="28"/>
        <v>0</v>
      </c>
      <c r="H214" s="376">
        <f t="shared" si="29"/>
        <v>0</v>
      </c>
      <c r="I214" s="379">
        <f t="shared" si="30"/>
        <v>0</v>
      </c>
      <c r="J214" s="376">
        <f t="shared" si="31"/>
        <v>0</v>
      </c>
      <c r="K214" s="371">
        <f t="shared" si="32"/>
        <v>0</v>
      </c>
      <c r="L214" s="375">
        <f t="shared" si="33"/>
        <v>0</v>
      </c>
      <c r="M214" s="113">
        <f>L214*D214*'B) D RI'!S216</f>
        <v>0</v>
      </c>
    </row>
    <row r="215" spans="1:13" x14ac:dyDescent="0.25">
      <c r="A215" s="297">
        <f>'A) Base RI'!A217</f>
        <v>5746</v>
      </c>
      <c r="B215" s="32" t="str">
        <f>'A) Base RI'!B217</f>
        <v>Bavois</v>
      </c>
      <c r="C215" s="295">
        <f>'B) D RI'!U217</f>
        <v>30466.611141552505</v>
      </c>
      <c r="D215" s="32">
        <f>'B) D RI'!AA217</f>
        <v>994</v>
      </c>
      <c r="E215" s="201">
        <f t="shared" si="26"/>
        <v>30.650514226913987</v>
      </c>
      <c r="F215" s="368">
        <f t="shared" si="27"/>
        <v>0.63625914267957207</v>
      </c>
      <c r="G215" s="379">
        <f t="shared" si="28"/>
        <v>0</v>
      </c>
      <c r="H215" s="376">
        <f t="shared" si="29"/>
        <v>0</v>
      </c>
      <c r="I215" s="379">
        <f t="shared" si="30"/>
        <v>0</v>
      </c>
      <c r="J215" s="376">
        <f t="shared" si="31"/>
        <v>0</v>
      </c>
      <c r="K215" s="371">
        <f t="shared" si="32"/>
        <v>0</v>
      </c>
      <c r="L215" s="375">
        <f t="shared" si="33"/>
        <v>0</v>
      </c>
      <c r="M215" s="113">
        <f>L215*D215*'B) D RI'!S217</f>
        <v>0</v>
      </c>
    </row>
    <row r="216" spans="1:13" x14ac:dyDescent="0.25">
      <c r="A216" s="297">
        <f>'A) Base RI'!A218</f>
        <v>5747</v>
      </c>
      <c r="B216" s="32" t="str">
        <f>'A) Base RI'!B218</f>
        <v>Bofflens</v>
      </c>
      <c r="C216" s="295">
        <f>'B) D RI'!U218</f>
        <v>5608.7786956521741</v>
      </c>
      <c r="D216" s="32">
        <f>'B) D RI'!AA218</f>
        <v>206</v>
      </c>
      <c r="E216" s="201">
        <f t="shared" si="26"/>
        <v>27.227081046855215</v>
      </c>
      <c r="F216" s="368">
        <f t="shared" si="27"/>
        <v>0.56519375552034645</v>
      </c>
      <c r="G216" s="379">
        <f t="shared" si="28"/>
        <v>0</v>
      </c>
      <c r="H216" s="376">
        <f t="shared" si="29"/>
        <v>0</v>
      </c>
      <c r="I216" s="379">
        <f t="shared" si="30"/>
        <v>0</v>
      </c>
      <c r="J216" s="376">
        <f t="shared" si="31"/>
        <v>0</v>
      </c>
      <c r="K216" s="371">
        <f t="shared" si="32"/>
        <v>0</v>
      </c>
      <c r="L216" s="375">
        <f t="shared" si="33"/>
        <v>0</v>
      </c>
      <c r="M216" s="113">
        <f>L216*D216*'B) D RI'!S218</f>
        <v>0</v>
      </c>
    </row>
    <row r="217" spans="1:13" x14ac:dyDescent="0.25">
      <c r="A217" s="297">
        <f>'A) Base RI'!A219</f>
        <v>5748</v>
      </c>
      <c r="B217" s="32" t="str">
        <f>'A) Base RI'!B219</f>
        <v>Bretonnières</v>
      </c>
      <c r="C217" s="295">
        <f>'B) D RI'!U219</f>
        <v>5789.9884160756492</v>
      </c>
      <c r="D217" s="32">
        <f>'B) D RI'!AA219</f>
        <v>268</v>
      </c>
      <c r="E217" s="201">
        <f t="shared" si="26"/>
        <v>21.604434388341975</v>
      </c>
      <c r="F217" s="368">
        <f t="shared" si="27"/>
        <v>0.44847596357562097</v>
      </c>
      <c r="G217" s="379">
        <f t="shared" si="28"/>
        <v>0</v>
      </c>
      <c r="H217" s="376">
        <f t="shared" si="29"/>
        <v>0</v>
      </c>
      <c r="I217" s="379">
        <f t="shared" si="30"/>
        <v>0</v>
      </c>
      <c r="J217" s="376">
        <f t="shared" si="31"/>
        <v>0</v>
      </c>
      <c r="K217" s="371">
        <f t="shared" si="32"/>
        <v>0</v>
      </c>
      <c r="L217" s="375">
        <f t="shared" si="33"/>
        <v>0</v>
      </c>
      <c r="M217" s="113">
        <f>L217*D217*'B) D RI'!S219</f>
        <v>0</v>
      </c>
    </row>
    <row r="218" spans="1:13" x14ac:dyDescent="0.25">
      <c r="A218" s="297">
        <f>'A) Base RI'!A220</f>
        <v>5749</v>
      </c>
      <c r="B218" s="32" t="str">
        <f>'A) Base RI'!B220</f>
        <v>Chavornay</v>
      </c>
      <c r="C218" s="295">
        <f>'B) D RI'!U220</f>
        <v>140676.80723404256</v>
      </c>
      <c r="D218" s="32">
        <f>'B) D RI'!AA220</f>
        <v>5227</v>
      </c>
      <c r="E218" s="201">
        <f t="shared" si="26"/>
        <v>26.913489044201754</v>
      </c>
      <c r="F218" s="368">
        <f t="shared" si="27"/>
        <v>0.55868405139981137</v>
      </c>
      <c r="G218" s="379">
        <f t="shared" si="28"/>
        <v>0</v>
      </c>
      <c r="H218" s="376">
        <f t="shared" si="29"/>
        <v>0</v>
      </c>
      <c r="I218" s="379">
        <f t="shared" si="30"/>
        <v>0</v>
      </c>
      <c r="J218" s="376">
        <f t="shared" si="31"/>
        <v>0</v>
      </c>
      <c r="K218" s="371">
        <f t="shared" si="32"/>
        <v>0</v>
      </c>
      <c r="L218" s="375">
        <f t="shared" si="33"/>
        <v>0</v>
      </c>
      <c r="M218" s="113">
        <f>L218*D218*'B) D RI'!S220</f>
        <v>0</v>
      </c>
    </row>
    <row r="219" spans="1:13" x14ac:dyDescent="0.25">
      <c r="A219" s="297">
        <f>'A) Base RI'!A221</f>
        <v>5750</v>
      </c>
      <c r="B219" s="32" t="str">
        <f>'A) Base RI'!B221</f>
        <v>Les Clées</v>
      </c>
      <c r="C219" s="295">
        <f>'B) D RI'!U221</f>
        <v>6037.9437500000004</v>
      </c>
      <c r="D219" s="32">
        <f>'B) D RI'!AA221</f>
        <v>187</v>
      </c>
      <c r="E219" s="201">
        <f t="shared" si="26"/>
        <v>32.288469251336899</v>
      </c>
      <c r="F219" s="368">
        <f t="shared" si="27"/>
        <v>0.67026065573320637</v>
      </c>
      <c r="G219" s="379">
        <f t="shared" si="28"/>
        <v>0</v>
      </c>
      <c r="H219" s="376">
        <f t="shared" si="29"/>
        <v>0</v>
      </c>
      <c r="I219" s="379">
        <f t="shared" si="30"/>
        <v>0</v>
      </c>
      <c r="J219" s="376">
        <f t="shared" si="31"/>
        <v>0</v>
      </c>
      <c r="K219" s="371">
        <f t="shared" si="32"/>
        <v>0</v>
      </c>
      <c r="L219" s="375">
        <f t="shared" si="33"/>
        <v>0</v>
      </c>
      <c r="M219" s="113">
        <f>L219*D219*'B) D RI'!S221</f>
        <v>0</v>
      </c>
    </row>
    <row r="220" spans="1:13" x14ac:dyDescent="0.25">
      <c r="A220" s="297">
        <f>'A) Base RI'!A222</f>
        <v>5752</v>
      </c>
      <c r="B220" s="32" t="str">
        <f>'A) Base RI'!B222</f>
        <v>Croy</v>
      </c>
      <c r="C220" s="295">
        <f>'B) D RI'!U222</f>
        <v>9416.7971235521236</v>
      </c>
      <c r="D220" s="32">
        <f>'B) D RI'!AA222</f>
        <v>397</v>
      </c>
      <c r="E220" s="201">
        <f t="shared" si="26"/>
        <v>23.719891998871848</v>
      </c>
      <c r="F220" s="368">
        <f t="shared" si="27"/>
        <v>0.49238972096598865</v>
      </c>
      <c r="G220" s="379">
        <f t="shared" si="28"/>
        <v>0</v>
      </c>
      <c r="H220" s="376">
        <f t="shared" si="29"/>
        <v>0</v>
      </c>
      <c r="I220" s="379">
        <f t="shared" si="30"/>
        <v>0</v>
      </c>
      <c r="J220" s="376">
        <f t="shared" si="31"/>
        <v>0</v>
      </c>
      <c r="K220" s="371">
        <f t="shared" si="32"/>
        <v>0</v>
      </c>
      <c r="L220" s="375">
        <f t="shared" si="33"/>
        <v>0</v>
      </c>
      <c r="M220" s="113">
        <f>L220*D220*'B) D RI'!S222</f>
        <v>0</v>
      </c>
    </row>
    <row r="221" spans="1:13" x14ac:dyDescent="0.25">
      <c r="A221" s="297">
        <f>'A) Base RI'!A223</f>
        <v>5754</v>
      </c>
      <c r="B221" s="32" t="str">
        <f>'A) Base RI'!B223</f>
        <v>Juriens</v>
      </c>
      <c r="C221" s="295">
        <f>'B) D RI'!U223</f>
        <v>8043.7859493670894</v>
      </c>
      <c r="D221" s="32">
        <f>'B) D RI'!AA223</f>
        <v>336</v>
      </c>
      <c r="E221" s="201">
        <f t="shared" si="26"/>
        <v>23.939839135021099</v>
      </c>
      <c r="F221" s="368">
        <f t="shared" si="27"/>
        <v>0.49695549677141593</v>
      </c>
      <c r="G221" s="379">
        <f t="shared" si="28"/>
        <v>0</v>
      </c>
      <c r="H221" s="376">
        <f t="shared" si="29"/>
        <v>0</v>
      </c>
      <c r="I221" s="379">
        <f t="shared" si="30"/>
        <v>0</v>
      </c>
      <c r="J221" s="376">
        <f t="shared" si="31"/>
        <v>0</v>
      </c>
      <c r="K221" s="371">
        <f t="shared" si="32"/>
        <v>0</v>
      </c>
      <c r="L221" s="375">
        <f t="shared" si="33"/>
        <v>0</v>
      </c>
      <c r="M221" s="113">
        <f>L221*D221*'B) D RI'!S223</f>
        <v>0</v>
      </c>
    </row>
    <row r="222" spans="1:13" x14ac:dyDescent="0.25">
      <c r="A222" s="297">
        <f>'A) Base RI'!A224</f>
        <v>5755</v>
      </c>
      <c r="B222" s="32" t="str">
        <f>'A) Base RI'!B224</f>
        <v>Lignerolle</v>
      </c>
      <c r="C222" s="295">
        <f>'B) D RI'!U224</f>
        <v>9055.2737033666963</v>
      </c>
      <c r="D222" s="32">
        <f>'B) D RI'!AA224</f>
        <v>435</v>
      </c>
      <c r="E222" s="201">
        <f t="shared" si="26"/>
        <v>20.816721157164817</v>
      </c>
      <c r="F222" s="368">
        <f t="shared" si="27"/>
        <v>0.43212420707862742</v>
      </c>
      <c r="G222" s="379">
        <f t="shared" si="28"/>
        <v>0</v>
      </c>
      <c r="H222" s="376">
        <f t="shared" si="29"/>
        <v>0</v>
      </c>
      <c r="I222" s="379">
        <f t="shared" si="30"/>
        <v>0</v>
      </c>
      <c r="J222" s="376">
        <f t="shared" si="31"/>
        <v>0</v>
      </c>
      <c r="K222" s="371">
        <f t="shared" si="32"/>
        <v>0</v>
      </c>
      <c r="L222" s="375">
        <f t="shared" si="33"/>
        <v>0</v>
      </c>
      <c r="M222" s="113">
        <f>L222*D222*'B) D RI'!S224</f>
        <v>0</v>
      </c>
    </row>
    <row r="223" spans="1:13" x14ac:dyDescent="0.25">
      <c r="A223" s="297">
        <f>'A) Base RI'!A225</f>
        <v>5756</v>
      </c>
      <c r="B223" s="32" t="str">
        <f>'A) Base RI'!B225</f>
        <v>Montcherand</v>
      </c>
      <c r="C223" s="295">
        <f>'B) D RI'!U225</f>
        <v>15758.308611111112</v>
      </c>
      <c r="D223" s="32">
        <f>'B) D RI'!AA225</f>
        <v>506</v>
      </c>
      <c r="E223" s="201">
        <f t="shared" si="26"/>
        <v>31.142902393500222</v>
      </c>
      <c r="F223" s="368">
        <f t="shared" si="27"/>
        <v>0.64648038955387832</v>
      </c>
      <c r="G223" s="379">
        <f t="shared" si="28"/>
        <v>0</v>
      </c>
      <c r="H223" s="376">
        <f t="shared" si="29"/>
        <v>0</v>
      </c>
      <c r="I223" s="379">
        <f t="shared" si="30"/>
        <v>0</v>
      </c>
      <c r="J223" s="376">
        <f t="shared" si="31"/>
        <v>0</v>
      </c>
      <c r="K223" s="371">
        <f t="shared" si="32"/>
        <v>0</v>
      </c>
      <c r="L223" s="375">
        <f t="shared" si="33"/>
        <v>0</v>
      </c>
      <c r="M223" s="113">
        <f>L223*D223*'B) D RI'!S225</f>
        <v>0</v>
      </c>
    </row>
    <row r="224" spans="1:13" x14ac:dyDescent="0.25">
      <c r="A224" s="297">
        <f>'A) Base RI'!A226</f>
        <v>5757</v>
      </c>
      <c r="B224" s="32" t="str">
        <f>'A) Base RI'!B226</f>
        <v>Orbe</v>
      </c>
      <c r="C224" s="295">
        <f>'B) D RI'!U226</f>
        <v>203783.43483443707</v>
      </c>
      <c r="D224" s="32">
        <f>'B) D RI'!AA226</f>
        <v>7124</v>
      </c>
      <c r="E224" s="201">
        <f t="shared" si="26"/>
        <v>28.605198601128169</v>
      </c>
      <c r="F224" s="368">
        <f t="shared" si="27"/>
        <v>0.59380142869352381</v>
      </c>
      <c r="G224" s="379">
        <f t="shared" si="28"/>
        <v>0</v>
      </c>
      <c r="H224" s="376">
        <f t="shared" si="29"/>
        <v>0</v>
      </c>
      <c r="I224" s="379">
        <f t="shared" si="30"/>
        <v>0</v>
      </c>
      <c r="J224" s="376">
        <f t="shared" si="31"/>
        <v>0</v>
      </c>
      <c r="K224" s="371">
        <f t="shared" si="32"/>
        <v>0</v>
      </c>
      <c r="L224" s="375">
        <f t="shared" si="33"/>
        <v>0</v>
      </c>
      <c r="M224" s="113">
        <f>L224*D224*'B) D RI'!S226</f>
        <v>0</v>
      </c>
    </row>
    <row r="225" spans="1:13" x14ac:dyDescent="0.25">
      <c r="A225" s="297">
        <f>'A) Base RI'!A227</f>
        <v>5758</v>
      </c>
      <c r="B225" s="32" t="str">
        <f>'A) Base RI'!B227</f>
        <v>La Praz</v>
      </c>
      <c r="C225" s="295">
        <f>'B) D RI'!U227</f>
        <v>4313.3939759036139</v>
      </c>
      <c r="D225" s="32">
        <f>'B) D RI'!AA227</f>
        <v>175</v>
      </c>
      <c r="E225" s="201">
        <f t="shared" si="26"/>
        <v>24.647965576592078</v>
      </c>
      <c r="F225" s="368">
        <f t="shared" si="27"/>
        <v>0.5116551497458206</v>
      </c>
      <c r="G225" s="379">
        <f t="shared" si="28"/>
        <v>0</v>
      </c>
      <c r="H225" s="376">
        <f t="shared" si="29"/>
        <v>0</v>
      </c>
      <c r="I225" s="379">
        <f t="shared" si="30"/>
        <v>0</v>
      </c>
      <c r="J225" s="376">
        <f t="shared" si="31"/>
        <v>0</v>
      </c>
      <c r="K225" s="371">
        <f t="shared" si="32"/>
        <v>0</v>
      </c>
      <c r="L225" s="375">
        <f t="shared" si="33"/>
        <v>0</v>
      </c>
      <c r="M225" s="113">
        <f>L225*D225*'B) D RI'!S227</f>
        <v>0</v>
      </c>
    </row>
    <row r="226" spans="1:13" x14ac:dyDescent="0.25">
      <c r="A226" s="297">
        <f>'A) Base RI'!A228</f>
        <v>5759</v>
      </c>
      <c r="B226" s="32" t="str">
        <f>'A) Base RI'!B228</f>
        <v>Premier</v>
      </c>
      <c r="C226" s="295">
        <f>'B) D RI'!U228</f>
        <v>5307.4840251572332</v>
      </c>
      <c r="D226" s="32">
        <f>'B) D RI'!AA228</f>
        <v>218</v>
      </c>
      <c r="E226" s="201">
        <f t="shared" si="26"/>
        <v>24.346256996134098</v>
      </c>
      <c r="F226" s="368">
        <f t="shared" si="27"/>
        <v>0.50539212781672349</v>
      </c>
      <c r="G226" s="379">
        <f t="shared" si="28"/>
        <v>0</v>
      </c>
      <c r="H226" s="376">
        <f t="shared" si="29"/>
        <v>0</v>
      </c>
      <c r="I226" s="379">
        <f t="shared" si="30"/>
        <v>0</v>
      </c>
      <c r="J226" s="376">
        <f t="shared" si="31"/>
        <v>0</v>
      </c>
      <c r="K226" s="371">
        <f t="shared" si="32"/>
        <v>0</v>
      </c>
      <c r="L226" s="375">
        <f t="shared" si="33"/>
        <v>0</v>
      </c>
      <c r="M226" s="113">
        <f>L226*D226*'B) D RI'!S228</f>
        <v>0</v>
      </c>
    </row>
    <row r="227" spans="1:13" x14ac:dyDescent="0.25">
      <c r="A227" s="297">
        <f>'A) Base RI'!A229</f>
        <v>5760</v>
      </c>
      <c r="B227" s="32" t="str">
        <f>'A) Base RI'!B229</f>
        <v>Rances</v>
      </c>
      <c r="C227" s="295">
        <f>'B) D RI'!U229</f>
        <v>12826.018997821348</v>
      </c>
      <c r="D227" s="32">
        <f>'B) D RI'!AA229</f>
        <v>513</v>
      </c>
      <c r="E227" s="201">
        <f t="shared" si="26"/>
        <v>25.001986350528941</v>
      </c>
      <c r="F227" s="368">
        <f t="shared" si="27"/>
        <v>0.51900409509950207</v>
      </c>
      <c r="G227" s="379">
        <f t="shared" si="28"/>
        <v>0</v>
      </c>
      <c r="H227" s="376">
        <f t="shared" si="29"/>
        <v>0</v>
      </c>
      <c r="I227" s="379">
        <f t="shared" si="30"/>
        <v>0</v>
      </c>
      <c r="J227" s="376">
        <f t="shared" si="31"/>
        <v>0</v>
      </c>
      <c r="K227" s="371">
        <f t="shared" si="32"/>
        <v>0</v>
      </c>
      <c r="L227" s="375">
        <f t="shared" si="33"/>
        <v>0</v>
      </c>
      <c r="M227" s="113">
        <f>L227*D227*'B) D RI'!S229</f>
        <v>0</v>
      </c>
    </row>
    <row r="228" spans="1:13" x14ac:dyDescent="0.25">
      <c r="A228" s="297">
        <f>'A) Base RI'!A230</f>
        <v>5761</v>
      </c>
      <c r="B228" s="32" t="str">
        <f>'A) Base RI'!B230</f>
        <v>Romainmôtier-Envy</v>
      </c>
      <c r="C228" s="295">
        <f>'B) D RI'!U230</f>
        <v>12135.004377104378</v>
      </c>
      <c r="D228" s="32">
        <f>'B) D RI'!AA230</f>
        <v>525</v>
      </c>
      <c r="E228" s="201">
        <f t="shared" si="26"/>
        <v>23.114294051627386</v>
      </c>
      <c r="F228" s="368">
        <f t="shared" si="27"/>
        <v>0.47981840722326763</v>
      </c>
      <c r="G228" s="379">
        <f t="shared" si="28"/>
        <v>0</v>
      </c>
      <c r="H228" s="376">
        <f t="shared" si="29"/>
        <v>0</v>
      </c>
      <c r="I228" s="379">
        <f t="shared" si="30"/>
        <v>0</v>
      </c>
      <c r="J228" s="376">
        <f t="shared" si="31"/>
        <v>0</v>
      </c>
      <c r="K228" s="371">
        <f t="shared" si="32"/>
        <v>0</v>
      </c>
      <c r="L228" s="375">
        <f t="shared" si="33"/>
        <v>0</v>
      </c>
      <c r="M228" s="113">
        <f>L228*D228*'B) D RI'!S230</f>
        <v>0</v>
      </c>
    </row>
    <row r="229" spans="1:13" x14ac:dyDescent="0.25">
      <c r="A229" s="297">
        <f>'A) Base RI'!A231</f>
        <v>5762</v>
      </c>
      <c r="B229" s="32" t="str">
        <f>'A) Base RI'!B231</f>
        <v>Sergey</v>
      </c>
      <c r="C229" s="295">
        <f>'B) D RI'!U231</f>
        <v>3773.0282051282052</v>
      </c>
      <c r="D229" s="32">
        <f>'B) D RI'!AA231</f>
        <v>145</v>
      </c>
      <c r="E229" s="201">
        <f t="shared" si="26"/>
        <v>26.020884173297965</v>
      </c>
      <c r="F229" s="368">
        <f t="shared" si="27"/>
        <v>0.54015490028318303</v>
      </c>
      <c r="G229" s="379">
        <f t="shared" si="28"/>
        <v>0</v>
      </c>
      <c r="H229" s="376">
        <f t="shared" si="29"/>
        <v>0</v>
      </c>
      <c r="I229" s="379">
        <f t="shared" si="30"/>
        <v>0</v>
      </c>
      <c r="J229" s="376">
        <f t="shared" si="31"/>
        <v>0</v>
      </c>
      <c r="K229" s="371">
        <f t="shared" si="32"/>
        <v>0</v>
      </c>
      <c r="L229" s="375">
        <f t="shared" si="33"/>
        <v>0</v>
      </c>
      <c r="M229" s="113">
        <f>L229*D229*'B) D RI'!S231</f>
        <v>0</v>
      </c>
    </row>
    <row r="230" spans="1:13" x14ac:dyDescent="0.25">
      <c r="A230" s="297">
        <f>'A) Base RI'!A232</f>
        <v>5763</v>
      </c>
      <c r="B230" s="32" t="str">
        <f>'A) Base RI'!B232</f>
        <v>Valeyres-sous-Rances</v>
      </c>
      <c r="C230" s="295">
        <f>'B) D RI'!U232</f>
        <v>20452.974117647056</v>
      </c>
      <c r="D230" s="32">
        <f>'B) D RI'!AA232</f>
        <v>609</v>
      </c>
      <c r="E230" s="201">
        <f t="shared" si="26"/>
        <v>33.584522360668402</v>
      </c>
      <c r="F230" s="368">
        <f t="shared" si="27"/>
        <v>0.69716479293969924</v>
      </c>
      <c r="G230" s="379">
        <f t="shared" si="28"/>
        <v>0</v>
      </c>
      <c r="H230" s="376">
        <f t="shared" si="29"/>
        <v>0</v>
      </c>
      <c r="I230" s="379">
        <f t="shared" si="30"/>
        <v>0</v>
      </c>
      <c r="J230" s="376">
        <f t="shared" si="31"/>
        <v>0</v>
      </c>
      <c r="K230" s="371">
        <f t="shared" si="32"/>
        <v>0</v>
      </c>
      <c r="L230" s="375">
        <f t="shared" si="33"/>
        <v>0</v>
      </c>
      <c r="M230" s="113">
        <f>L230*D230*'B) D RI'!S232</f>
        <v>0</v>
      </c>
    </row>
    <row r="231" spans="1:13" x14ac:dyDescent="0.25">
      <c r="A231" s="297">
        <f>'A) Base RI'!A233</f>
        <v>5764</v>
      </c>
      <c r="B231" s="32" t="str">
        <f>'A) Base RI'!B233</f>
        <v>Vallorbe</v>
      </c>
      <c r="C231" s="295">
        <f>'B) D RI'!U233</f>
        <v>84310.704615384602</v>
      </c>
      <c r="D231" s="32">
        <f>'B) D RI'!AA233</f>
        <v>3874</v>
      </c>
      <c r="E231" s="201">
        <f t="shared" si="26"/>
        <v>21.763217505261899</v>
      </c>
      <c r="F231" s="368">
        <f t="shared" si="27"/>
        <v>0.45177206520365665</v>
      </c>
      <c r="G231" s="379">
        <f t="shared" si="28"/>
        <v>0</v>
      </c>
      <c r="H231" s="376">
        <f t="shared" si="29"/>
        <v>0</v>
      </c>
      <c r="I231" s="379">
        <f t="shared" si="30"/>
        <v>0</v>
      </c>
      <c r="J231" s="376">
        <f t="shared" si="31"/>
        <v>0</v>
      </c>
      <c r="K231" s="371">
        <f t="shared" si="32"/>
        <v>0</v>
      </c>
      <c r="L231" s="375">
        <f t="shared" si="33"/>
        <v>0</v>
      </c>
      <c r="M231" s="113">
        <f>L231*D231*'B) D RI'!S233</f>
        <v>0</v>
      </c>
    </row>
    <row r="232" spans="1:13" x14ac:dyDescent="0.25">
      <c r="A232" s="297">
        <f>'A) Base RI'!A234</f>
        <v>5765</v>
      </c>
      <c r="B232" s="32" t="str">
        <f>'A) Base RI'!B234</f>
        <v>Vaulion</v>
      </c>
      <c r="C232" s="295">
        <f>'B) D RI'!U234</f>
        <v>11314.597037037036</v>
      </c>
      <c r="D232" s="32">
        <f>'B) D RI'!AA234</f>
        <v>506</v>
      </c>
      <c r="E232" s="201">
        <f t="shared" si="26"/>
        <v>22.360863709559361</v>
      </c>
      <c r="F232" s="368">
        <f t="shared" si="27"/>
        <v>0.46417831257545772</v>
      </c>
      <c r="G232" s="379">
        <f t="shared" si="28"/>
        <v>0</v>
      </c>
      <c r="H232" s="376">
        <f t="shared" si="29"/>
        <v>0</v>
      </c>
      <c r="I232" s="379">
        <f t="shared" si="30"/>
        <v>0</v>
      </c>
      <c r="J232" s="376">
        <f t="shared" si="31"/>
        <v>0</v>
      </c>
      <c r="K232" s="371">
        <f t="shared" si="32"/>
        <v>0</v>
      </c>
      <c r="L232" s="375">
        <f t="shared" si="33"/>
        <v>0</v>
      </c>
      <c r="M232" s="113">
        <f>L232*D232*'B) D RI'!S234</f>
        <v>0</v>
      </c>
    </row>
    <row r="233" spans="1:13" x14ac:dyDescent="0.25">
      <c r="A233" s="297">
        <f>'A) Base RI'!A235</f>
        <v>5766</v>
      </c>
      <c r="B233" s="32" t="str">
        <f>'A) Base RI'!B235</f>
        <v>Vuiteboeuf</v>
      </c>
      <c r="C233" s="295">
        <f>'B) D RI'!U235</f>
        <v>15993.559610389608</v>
      </c>
      <c r="D233" s="32">
        <f>'B) D RI'!AA235</f>
        <v>584</v>
      </c>
      <c r="E233" s="201">
        <f t="shared" si="26"/>
        <v>27.386232209571247</v>
      </c>
      <c r="F233" s="368">
        <f t="shared" si="27"/>
        <v>0.56849749723236132</v>
      </c>
      <c r="G233" s="379">
        <f t="shared" si="28"/>
        <v>0</v>
      </c>
      <c r="H233" s="376">
        <f t="shared" si="29"/>
        <v>0</v>
      </c>
      <c r="I233" s="379">
        <f t="shared" si="30"/>
        <v>0</v>
      </c>
      <c r="J233" s="376">
        <f t="shared" si="31"/>
        <v>0</v>
      </c>
      <c r="K233" s="371">
        <f t="shared" si="32"/>
        <v>0</v>
      </c>
      <c r="L233" s="375">
        <f t="shared" si="33"/>
        <v>0</v>
      </c>
      <c r="M233" s="113">
        <f>L233*D233*'B) D RI'!S235</f>
        <v>0</v>
      </c>
    </row>
    <row r="234" spans="1:13" x14ac:dyDescent="0.25">
      <c r="A234" s="297">
        <f>'A) Base RI'!A236</f>
        <v>5785</v>
      </c>
      <c r="B234" s="32" t="str">
        <f>'A) Base RI'!B236</f>
        <v>Corcelles-le-Jorat</v>
      </c>
      <c r="C234" s="295">
        <f>'B) D RI'!U236</f>
        <v>17518.145584415586</v>
      </c>
      <c r="D234" s="32">
        <f>'B) D RI'!AA236</f>
        <v>451</v>
      </c>
      <c r="E234" s="201">
        <f t="shared" si="26"/>
        <v>38.842894865666487</v>
      </c>
      <c r="F234" s="368">
        <f t="shared" si="27"/>
        <v>0.80632079460253892</v>
      </c>
      <c r="G234" s="379">
        <f t="shared" si="28"/>
        <v>0</v>
      </c>
      <c r="H234" s="376">
        <f t="shared" si="29"/>
        <v>0</v>
      </c>
      <c r="I234" s="379">
        <f t="shared" si="30"/>
        <v>0</v>
      </c>
      <c r="J234" s="376">
        <f t="shared" si="31"/>
        <v>0</v>
      </c>
      <c r="K234" s="371">
        <f t="shared" si="32"/>
        <v>0</v>
      </c>
      <c r="L234" s="375">
        <f t="shared" si="33"/>
        <v>0</v>
      </c>
      <c r="M234" s="113">
        <f>L234*D234*'B) D RI'!S236</f>
        <v>0</v>
      </c>
    </row>
    <row r="235" spans="1:13" x14ac:dyDescent="0.25">
      <c r="A235" s="297">
        <f>'A) Base RI'!A237</f>
        <v>5788</v>
      </c>
      <c r="B235" s="32" t="str">
        <f>'A) Base RI'!B237</f>
        <v>Essertes</v>
      </c>
      <c r="C235" s="295">
        <f>'B) D RI'!U237</f>
        <v>16224.893706293702</v>
      </c>
      <c r="D235" s="32">
        <f>'B) D RI'!AA237</f>
        <v>389</v>
      </c>
      <c r="E235" s="201">
        <f t="shared" si="26"/>
        <v>41.709238319521084</v>
      </c>
      <c r="F235" s="368">
        <f t="shared" si="27"/>
        <v>0.8658218266267691</v>
      </c>
      <c r="G235" s="379">
        <f t="shared" si="28"/>
        <v>0</v>
      </c>
      <c r="H235" s="376">
        <f t="shared" si="29"/>
        <v>0</v>
      </c>
      <c r="I235" s="379">
        <f t="shared" si="30"/>
        <v>0</v>
      </c>
      <c r="J235" s="376">
        <f t="shared" si="31"/>
        <v>0</v>
      </c>
      <c r="K235" s="371">
        <f t="shared" si="32"/>
        <v>0</v>
      </c>
      <c r="L235" s="375">
        <f t="shared" si="33"/>
        <v>0</v>
      </c>
      <c r="M235" s="113">
        <f>L235*D235*'B) D RI'!S237</f>
        <v>0</v>
      </c>
    </row>
    <row r="236" spans="1:13" x14ac:dyDescent="0.25">
      <c r="A236" s="297">
        <f>'A) Base RI'!A238</f>
        <v>5790</v>
      </c>
      <c r="B236" s="32" t="str">
        <f>'A) Base RI'!B238</f>
        <v>Maracon</v>
      </c>
      <c r="C236" s="295">
        <f>'B) D RI'!U238</f>
        <v>13398.084966442953</v>
      </c>
      <c r="D236" s="32">
        <f>'B) D RI'!AA238</f>
        <v>538</v>
      </c>
      <c r="E236" s="201">
        <f t="shared" si="26"/>
        <v>24.903503655098426</v>
      </c>
      <c r="F236" s="368">
        <f t="shared" si="27"/>
        <v>0.51695974064268935</v>
      </c>
      <c r="G236" s="379">
        <f t="shared" si="28"/>
        <v>0</v>
      </c>
      <c r="H236" s="376">
        <f t="shared" si="29"/>
        <v>0</v>
      </c>
      <c r="I236" s="379">
        <f t="shared" si="30"/>
        <v>0</v>
      </c>
      <c r="J236" s="376">
        <f t="shared" si="31"/>
        <v>0</v>
      </c>
      <c r="K236" s="371">
        <f t="shared" si="32"/>
        <v>0</v>
      </c>
      <c r="L236" s="375">
        <f t="shared" si="33"/>
        <v>0</v>
      </c>
      <c r="M236" s="113">
        <f>L236*D236*'B) D RI'!S238</f>
        <v>0</v>
      </c>
    </row>
    <row r="237" spans="1:13" x14ac:dyDescent="0.25">
      <c r="A237" s="297">
        <f>'A) Base RI'!A239</f>
        <v>5792</v>
      </c>
      <c r="B237" s="32" t="str">
        <f>'A) Base RI'!B239</f>
        <v>Montpreveyres</v>
      </c>
      <c r="C237" s="295">
        <f>'B) D RI'!U239</f>
        <v>17609.230799999998</v>
      </c>
      <c r="D237" s="32">
        <f>'B) D RI'!AA239</f>
        <v>653</v>
      </c>
      <c r="E237" s="201">
        <f t="shared" si="26"/>
        <v>26.96666278713629</v>
      </c>
      <c r="F237" s="368">
        <f t="shared" si="27"/>
        <v>0.55978785931122588</v>
      </c>
      <c r="G237" s="379">
        <f t="shared" si="28"/>
        <v>0</v>
      </c>
      <c r="H237" s="376">
        <f t="shared" si="29"/>
        <v>0</v>
      </c>
      <c r="I237" s="379">
        <f t="shared" si="30"/>
        <v>0</v>
      </c>
      <c r="J237" s="376">
        <f t="shared" si="31"/>
        <v>0</v>
      </c>
      <c r="K237" s="371">
        <f t="shared" si="32"/>
        <v>0</v>
      </c>
      <c r="L237" s="375">
        <f t="shared" si="33"/>
        <v>0</v>
      </c>
      <c r="M237" s="113">
        <f>L237*D237*'B) D RI'!S239</f>
        <v>0</v>
      </c>
    </row>
    <row r="238" spans="1:13" x14ac:dyDescent="0.25">
      <c r="A238" s="297">
        <f>'A) Base RI'!A240</f>
        <v>5798</v>
      </c>
      <c r="B238" s="32" t="str">
        <f>'A) Base RI'!B240</f>
        <v>Ropraz</v>
      </c>
      <c r="C238" s="295">
        <f>'B) D RI'!U240</f>
        <v>15761.261677419356</v>
      </c>
      <c r="D238" s="32">
        <f>'B) D RI'!AA240</f>
        <v>528</v>
      </c>
      <c r="E238" s="201">
        <f t="shared" si="26"/>
        <v>29.85087438905181</v>
      </c>
      <c r="F238" s="368">
        <f t="shared" si="27"/>
        <v>0.61965980754529015</v>
      </c>
      <c r="G238" s="379">
        <f t="shared" si="28"/>
        <v>0</v>
      </c>
      <c r="H238" s="376">
        <f t="shared" si="29"/>
        <v>0</v>
      </c>
      <c r="I238" s="379">
        <f t="shared" si="30"/>
        <v>0</v>
      </c>
      <c r="J238" s="376">
        <f t="shared" si="31"/>
        <v>0</v>
      </c>
      <c r="K238" s="371">
        <f t="shared" si="32"/>
        <v>0</v>
      </c>
      <c r="L238" s="375">
        <f t="shared" si="33"/>
        <v>0</v>
      </c>
      <c r="M238" s="113">
        <f>L238*D238*'B) D RI'!S240</f>
        <v>0</v>
      </c>
    </row>
    <row r="239" spans="1:13" x14ac:dyDescent="0.25">
      <c r="A239" s="297">
        <f>'A) Base RI'!A241</f>
        <v>5799</v>
      </c>
      <c r="B239" s="32" t="str">
        <f>'A) Base RI'!B241</f>
        <v>Servion</v>
      </c>
      <c r="C239" s="295">
        <f>'B) D RI'!U241</f>
        <v>69387.22289855071</v>
      </c>
      <c r="D239" s="32">
        <f>'B) D RI'!AA241</f>
        <v>2076</v>
      </c>
      <c r="E239" s="201">
        <f t="shared" si="26"/>
        <v>33.423517773868355</v>
      </c>
      <c r="F239" s="368">
        <f t="shared" si="27"/>
        <v>0.6938225768970423</v>
      </c>
      <c r="G239" s="379">
        <f t="shared" si="28"/>
        <v>0</v>
      </c>
      <c r="H239" s="376">
        <f t="shared" si="29"/>
        <v>0</v>
      </c>
      <c r="I239" s="379">
        <f t="shared" si="30"/>
        <v>0</v>
      </c>
      <c r="J239" s="376">
        <f t="shared" si="31"/>
        <v>0</v>
      </c>
      <c r="K239" s="371">
        <f t="shared" si="32"/>
        <v>0</v>
      </c>
      <c r="L239" s="375">
        <f t="shared" si="33"/>
        <v>0</v>
      </c>
      <c r="M239" s="113">
        <f>L239*D239*'B) D RI'!S241</f>
        <v>0</v>
      </c>
    </row>
    <row r="240" spans="1:13" x14ac:dyDescent="0.25">
      <c r="A240" s="297">
        <f>'A) Base RI'!A242</f>
        <v>5803</v>
      </c>
      <c r="B240" s="32" t="str">
        <f>'A) Base RI'!B242</f>
        <v>Vulliens</v>
      </c>
      <c r="C240" s="295">
        <f>'B) D RI'!U242</f>
        <v>18875.933421052636</v>
      </c>
      <c r="D240" s="32">
        <f>'B) D RI'!AA242</f>
        <v>624</v>
      </c>
      <c r="E240" s="201">
        <f t="shared" si="26"/>
        <v>30.249893302968967</v>
      </c>
      <c r="F240" s="368">
        <f t="shared" si="27"/>
        <v>0.62794284743826967</v>
      </c>
      <c r="G240" s="379">
        <f t="shared" si="28"/>
        <v>0</v>
      </c>
      <c r="H240" s="376">
        <f t="shared" si="29"/>
        <v>0</v>
      </c>
      <c r="I240" s="379">
        <f t="shared" si="30"/>
        <v>0</v>
      </c>
      <c r="J240" s="376">
        <f t="shared" si="31"/>
        <v>0</v>
      </c>
      <c r="K240" s="371">
        <f t="shared" si="32"/>
        <v>0</v>
      </c>
      <c r="L240" s="375">
        <f t="shared" si="33"/>
        <v>0</v>
      </c>
      <c r="M240" s="113">
        <f>L240*D240*'B) D RI'!S242</f>
        <v>0</v>
      </c>
    </row>
    <row r="241" spans="1:13" x14ac:dyDescent="0.25">
      <c r="A241" s="297">
        <f>'A) Base RI'!A243</f>
        <v>5804</v>
      </c>
      <c r="B241" s="32" t="str">
        <f>'A) Base RI'!B243</f>
        <v>Jorat-Menthue</v>
      </c>
      <c r="C241" s="295">
        <f>'B) D RI'!U243</f>
        <v>46692.865106382982</v>
      </c>
      <c r="D241" s="32">
        <f>'B) D RI'!AA243</f>
        <v>1602</v>
      </c>
      <c r="E241" s="201">
        <f t="shared" si="26"/>
        <v>29.146607432199115</v>
      </c>
      <c r="F241" s="368">
        <f t="shared" si="27"/>
        <v>0.6050402717402048</v>
      </c>
      <c r="G241" s="379">
        <f t="shared" si="28"/>
        <v>0</v>
      </c>
      <c r="H241" s="376">
        <f t="shared" si="29"/>
        <v>0</v>
      </c>
      <c r="I241" s="379">
        <f t="shared" si="30"/>
        <v>0</v>
      </c>
      <c r="J241" s="376">
        <f t="shared" si="31"/>
        <v>0</v>
      </c>
      <c r="K241" s="371">
        <f t="shared" si="32"/>
        <v>0</v>
      </c>
      <c r="L241" s="375">
        <f t="shared" si="33"/>
        <v>0</v>
      </c>
      <c r="M241" s="113">
        <f>L241*D241*'B) D RI'!S243</f>
        <v>0</v>
      </c>
    </row>
    <row r="242" spans="1:13" x14ac:dyDescent="0.25">
      <c r="A242" s="297">
        <f>'A) Base RI'!A244</f>
        <v>5805</v>
      </c>
      <c r="B242" s="32" t="str">
        <f>'A) Base RI'!B244</f>
        <v>Oron</v>
      </c>
      <c r="C242" s="295">
        <f>'B) D RI'!U244</f>
        <v>154727.47061923583</v>
      </c>
      <c r="D242" s="32">
        <f>'B) D RI'!AA244</f>
        <v>5663</v>
      </c>
      <c r="E242" s="201">
        <f t="shared" si="26"/>
        <v>27.322527038537142</v>
      </c>
      <c r="F242" s="368">
        <f t="shared" si="27"/>
        <v>0.56717507251849386</v>
      </c>
      <c r="G242" s="379">
        <f t="shared" si="28"/>
        <v>0</v>
      </c>
      <c r="H242" s="376">
        <f t="shared" si="29"/>
        <v>0</v>
      </c>
      <c r="I242" s="379">
        <f t="shared" si="30"/>
        <v>0</v>
      </c>
      <c r="J242" s="376">
        <f t="shared" si="31"/>
        <v>0</v>
      </c>
      <c r="K242" s="371">
        <f t="shared" si="32"/>
        <v>0</v>
      </c>
      <c r="L242" s="375">
        <f t="shared" si="33"/>
        <v>0</v>
      </c>
      <c r="M242" s="113">
        <f>L242*D242*'B) D RI'!S244</f>
        <v>0</v>
      </c>
    </row>
    <row r="243" spans="1:13" x14ac:dyDescent="0.25">
      <c r="A243" s="297">
        <f>'A) Base RI'!A245</f>
        <v>5806</v>
      </c>
      <c r="B243" s="32" t="str">
        <f>'A) Base RI'!B245</f>
        <v>Jorat-Mézières</v>
      </c>
      <c r="C243" s="295">
        <f>'B) D RI'!U245</f>
        <v>91092.386986301368</v>
      </c>
      <c r="D243" s="32">
        <f>'B) D RI'!AA245</f>
        <v>2966</v>
      </c>
      <c r="E243" s="201">
        <f t="shared" si="26"/>
        <v>30.712200602259397</v>
      </c>
      <c r="F243" s="368">
        <f t="shared" si="27"/>
        <v>0.63753966019395092</v>
      </c>
      <c r="G243" s="379">
        <f t="shared" si="28"/>
        <v>0</v>
      </c>
      <c r="H243" s="376">
        <f t="shared" si="29"/>
        <v>0</v>
      </c>
      <c r="I243" s="379">
        <f t="shared" si="30"/>
        <v>0</v>
      </c>
      <c r="J243" s="376">
        <f t="shared" si="31"/>
        <v>0</v>
      </c>
      <c r="K243" s="371">
        <f t="shared" si="32"/>
        <v>0</v>
      </c>
      <c r="L243" s="375">
        <f t="shared" si="33"/>
        <v>0</v>
      </c>
      <c r="M243" s="113">
        <f>L243*D243*'B) D RI'!S245</f>
        <v>0</v>
      </c>
    </row>
    <row r="244" spans="1:13" x14ac:dyDescent="0.25">
      <c r="A244" s="297">
        <f>'A) Base RI'!A246</f>
        <v>5812</v>
      </c>
      <c r="B244" s="32" t="str">
        <f>'A) Base RI'!B246</f>
        <v>Champtauroz</v>
      </c>
      <c r="C244" s="295">
        <f>'B) D RI'!U246</f>
        <v>2487.5377597402598</v>
      </c>
      <c r="D244" s="32">
        <f>'B) D RI'!AA246</f>
        <v>144</v>
      </c>
      <c r="E244" s="201">
        <f t="shared" si="26"/>
        <v>17.274567775974027</v>
      </c>
      <c r="F244" s="368">
        <f t="shared" si="27"/>
        <v>0.35859436490792029</v>
      </c>
      <c r="G244" s="379">
        <f t="shared" si="28"/>
        <v>0</v>
      </c>
      <c r="H244" s="376">
        <f t="shared" si="29"/>
        <v>0</v>
      </c>
      <c r="I244" s="379">
        <f t="shared" si="30"/>
        <v>0</v>
      </c>
      <c r="J244" s="376">
        <f t="shared" si="31"/>
        <v>0</v>
      </c>
      <c r="K244" s="371">
        <f t="shared" si="32"/>
        <v>0</v>
      </c>
      <c r="L244" s="375">
        <f t="shared" si="33"/>
        <v>0</v>
      </c>
      <c r="M244" s="113">
        <f>L244*D244*'B) D RI'!S246</f>
        <v>0</v>
      </c>
    </row>
    <row r="245" spans="1:13" x14ac:dyDescent="0.25">
      <c r="A245" s="297">
        <f>'A) Base RI'!A247</f>
        <v>5813</v>
      </c>
      <c r="B245" s="32" t="str">
        <f>'A) Base RI'!B247</f>
        <v>Chevroux</v>
      </c>
      <c r="C245" s="295">
        <f>'B) D RI'!U247</f>
        <v>15179.777080291971</v>
      </c>
      <c r="D245" s="32">
        <f>'B) D RI'!AA247</f>
        <v>495</v>
      </c>
      <c r="E245" s="201">
        <f t="shared" si="26"/>
        <v>30.666216323822166</v>
      </c>
      <c r="F245" s="368">
        <f t="shared" si="27"/>
        <v>0.6365850948852384</v>
      </c>
      <c r="G245" s="379">
        <f t="shared" si="28"/>
        <v>0</v>
      </c>
      <c r="H245" s="376">
        <f t="shared" si="29"/>
        <v>0</v>
      </c>
      <c r="I245" s="379">
        <f t="shared" si="30"/>
        <v>0</v>
      </c>
      <c r="J245" s="376">
        <f t="shared" si="31"/>
        <v>0</v>
      </c>
      <c r="K245" s="371">
        <f t="shared" si="32"/>
        <v>0</v>
      </c>
      <c r="L245" s="375">
        <f t="shared" si="33"/>
        <v>0</v>
      </c>
      <c r="M245" s="113">
        <f>L245*D245*'B) D RI'!S247</f>
        <v>0</v>
      </c>
    </row>
    <row r="246" spans="1:13" x14ac:dyDescent="0.25">
      <c r="A246" s="297">
        <f>'A) Base RI'!A248</f>
        <v>5816</v>
      </c>
      <c r="B246" s="32" t="str">
        <f>'A) Base RI'!B248</f>
        <v>Corcelles-près-Payerne</v>
      </c>
      <c r="C246" s="295">
        <f>'B) D RI'!U248</f>
        <v>60528.996913451512</v>
      </c>
      <c r="D246" s="32">
        <f>'B) D RI'!AA248</f>
        <v>2681</v>
      </c>
      <c r="E246" s="201">
        <f t="shared" si="26"/>
        <v>22.577022347426897</v>
      </c>
      <c r="F246" s="368">
        <f t="shared" si="27"/>
        <v>0.46866544478453553</v>
      </c>
      <c r="G246" s="379">
        <f t="shared" si="28"/>
        <v>0</v>
      </c>
      <c r="H246" s="376">
        <f t="shared" si="29"/>
        <v>0</v>
      </c>
      <c r="I246" s="379">
        <f t="shared" si="30"/>
        <v>0</v>
      </c>
      <c r="J246" s="376">
        <f t="shared" si="31"/>
        <v>0</v>
      </c>
      <c r="K246" s="371">
        <f t="shared" si="32"/>
        <v>0</v>
      </c>
      <c r="L246" s="375">
        <f t="shared" si="33"/>
        <v>0</v>
      </c>
      <c r="M246" s="113">
        <f>L246*D246*'B) D RI'!S248</f>
        <v>0</v>
      </c>
    </row>
    <row r="247" spans="1:13" x14ac:dyDescent="0.25">
      <c r="A247" s="297">
        <f>'A) Base RI'!A249</f>
        <v>5817</v>
      </c>
      <c r="B247" s="32" t="str">
        <f>'A) Base RI'!B249</f>
        <v>Grandcour</v>
      </c>
      <c r="C247" s="295">
        <f>'B) D RI'!U249</f>
        <v>21779.238095238095</v>
      </c>
      <c r="D247" s="32">
        <f>'B) D RI'!AA249</f>
        <v>967</v>
      </c>
      <c r="E247" s="201">
        <f t="shared" si="26"/>
        <v>22.52247993302802</v>
      </c>
      <c r="F247" s="368">
        <f t="shared" si="27"/>
        <v>0.46753322528674218</v>
      </c>
      <c r="G247" s="379">
        <f t="shared" si="28"/>
        <v>0</v>
      </c>
      <c r="H247" s="376">
        <f t="shared" si="29"/>
        <v>0</v>
      </c>
      <c r="I247" s="379">
        <f t="shared" si="30"/>
        <v>0</v>
      </c>
      <c r="J247" s="376">
        <f t="shared" si="31"/>
        <v>0</v>
      </c>
      <c r="K247" s="371">
        <f t="shared" si="32"/>
        <v>0</v>
      </c>
      <c r="L247" s="375">
        <f t="shared" si="33"/>
        <v>0</v>
      </c>
      <c r="M247" s="113">
        <f>L247*D247*'B) D RI'!S249</f>
        <v>0</v>
      </c>
    </row>
    <row r="248" spans="1:13" x14ac:dyDescent="0.25">
      <c r="A248" s="297">
        <f>'A) Base RI'!A250</f>
        <v>5819</v>
      </c>
      <c r="B248" s="32" t="str">
        <f>'A) Base RI'!B250</f>
        <v>Henniez</v>
      </c>
      <c r="C248" s="295">
        <f>'B) D RI'!U250</f>
        <v>11468.217826086959</v>
      </c>
      <c r="D248" s="32">
        <f>'B) D RI'!AA250</f>
        <v>396</v>
      </c>
      <c r="E248" s="201">
        <f t="shared" si="26"/>
        <v>28.960146025472117</v>
      </c>
      <c r="F248" s="368">
        <f t="shared" si="27"/>
        <v>0.60116960993307689</v>
      </c>
      <c r="G248" s="379">
        <f t="shared" si="28"/>
        <v>0</v>
      </c>
      <c r="H248" s="376">
        <f t="shared" si="29"/>
        <v>0</v>
      </c>
      <c r="I248" s="379">
        <f t="shared" si="30"/>
        <v>0</v>
      </c>
      <c r="J248" s="376">
        <f t="shared" si="31"/>
        <v>0</v>
      </c>
      <c r="K248" s="371">
        <f t="shared" si="32"/>
        <v>0</v>
      </c>
      <c r="L248" s="375">
        <f t="shared" si="33"/>
        <v>0</v>
      </c>
      <c r="M248" s="113">
        <f>L248*D248*'B) D RI'!S250</f>
        <v>0</v>
      </c>
    </row>
    <row r="249" spans="1:13" x14ac:dyDescent="0.25">
      <c r="A249" s="297">
        <f>'A) Base RI'!A251</f>
        <v>5821</v>
      </c>
      <c r="B249" s="32" t="str">
        <f>'A) Base RI'!B251</f>
        <v>Missy</v>
      </c>
      <c r="C249" s="295">
        <f>'B) D RI'!U251</f>
        <v>7872.7337500000012</v>
      </c>
      <c r="D249" s="32">
        <f>'B) D RI'!AA251</f>
        <v>368</v>
      </c>
      <c r="E249" s="201">
        <f t="shared" si="26"/>
        <v>21.393298233695656</v>
      </c>
      <c r="F249" s="368">
        <f t="shared" si="27"/>
        <v>0.44409309065709851</v>
      </c>
      <c r="G249" s="379">
        <f t="shared" si="28"/>
        <v>0</v>
      </c>
      <c r="H249" s="376">
        <f t="shared" si="29"/>
        <v>0</v>
      </c>
      <c r="I249" s="379">
        <f t="shared" si="30"/>
        <v>0</v>
      </c>
      <c r="J249" s="376">
        <f t="shared" si="31"/>
        <v>0</v>
      </c>
      <c r="K249" s="371">
        <f t="shared" si="32"/>
        <v>0</v>
      </c>
      <c r="L249" s="375">
        <f t="shared" si="33"/>
        <v>0</v>
      </c>
      <c r="M249" s="113">
        <f>L249*D249*'B) D RI'!S251</f>
        <v>0</v>
      </c>
    </row>
    <row r="250" spans="1:13" x14ac:dyDescent="0.25">
      <c r="A250" s="297">
        <f>'A) Base RI'!A252</f>
        <v>5822</v>
      </c>
      <c r="B250" s="32" t="str">
        <f>'A) Base RI'!B252</f>
        <v>Payerne</v>
      </c>
      <c r="C250" s="295">
        <f>'B) D RI'!U252</f>
        <v>237851.57178082189</v>
      </c>
      <c r="D250" s="32">
        <f>'B) D RI'!AA252</f>
        <v>10108</v>
      </c>
      <c r="E250" s="201">
        <f t="shared" si="26"/>
        <v>23.531022138981193</v>
      </c>
      <c r="F250" s="368">
        <f t="shared" si="27"/>
        <v>0.48846906324904504</v>
      </c>
      <c r="G250" s="379">
        <f t="shared" si="28"/>
        <v>0</v>
      </c>
      <c r="H250" s="376">
        <f t="shared" si="29"/>
        <v>0</v>
      </c>
      <c r="I250" s="379">
        <f t="shared" si="30"/>
        <v>0</v>
      </c>
      <c r="J250" s="376">
        <f t="shared" si="31"/>
        <v>0</v>
      </c>
      <c r="K250" s="371">
        <f t="shared" si="32"/>
        <v>0</v>
      </c>
      <c r="L250" s="375">
        <f t="shared" si="33"/>
        <v>0</v>
      </c>
      <c r="M250" s="113">
        <f>L250*D250*'B) D RI'!S252</f>
        <v>0</v>
      </c>
    </row>
    <row r="251" spans="1:13" x14ac:dyDescent="0.25">
      <c r="A251" s="297">
        <f>'A) Base RI'!A253</f>
        <v>5827</v>
      </c>
      <c r="B251" s="32" t="str">
        <f>'A) Base RI'!B253</f>
        <v>Trey</v>
      </c>
      <c r="C251" s="295">
        <f>'B) D RI'!U253</f>
        <v>6163.6291025641031</v>
      </c>
      <c r="D251" s="32">
        <f>'B) D RI'!AA253</f>
        <v>302</v>
      </c>
      <c r="E251" s="201">
        <f t="shared" si="26"/>
        <v>20.409367889285111</v>
      </c>
      <c r="F251" s="368">
        <f t="shared" si="27"/>
        <v>0.42366815837843047</v>
      </c>
      <c r="G251" s="379">
        <f t="shared" si="28"/>
        <v>0</v>
      </c>
      <c r="H251" s="376">
        <f t="shared" si="29"/>
        <v>0</v>
      </c>
      <c r="I251" s="379">
        <f t="shared" si="30"/>
        <v>0</v>
      </c>
      <c r="J251" s="376">
        <f t="shared" si="31"/>
        <v>0</v>
      </c>
      <c r="K251" s="371">
        <f t="shared" si="32"/>
        <v>0</v>
      </c>
      <c r="L251" s="375">
        <f t="shared" si="33"/>
        <v>0</v>
      </c>
      <c r="M251" s="113">
        <f>L251*D251*'B) D RI'!S253</f>
        <v>0</v>
      </c>
    </row>
    <row r="252" spans="1:13" x14ac:dyDescent="0.25">
      <c r="A252" s="297">
        <f>'A) Base RI'!A254</f>
        <v>5828</v>
      </c>
      <c r="B252" s="32" t="str">
        <f>'A) Base RI'!B254</f>
        <v>Treytorrens (Payerne)</v>
      </c>
      <c r="C252" s="295">
        <f>'B) D RI'!U254</f>
        <v>2288.4160317460314</v>
      </c>
      <c r="D252" s="32">
        <f>'B) D RI'!AA254</f>
        <v>114</v>
      </c>
      <c r="E252" s="201">
        <f t="shared" si="26"/>
        <v>20.073824839877467</v>
      </c>
      <c r="F252" s="368">
        <f t="shared" si="27"/>
        <v>0.41670278313651266</v>
      </c>
      <c r="G252" s="379">
        <f t="shared" si="28"/>
        <v>0</v>
      </c>
      <c r="H252" s="376">
        <f t="shared" si="29"/>
        <v>0</v>
      </c>
      <c r="I252" s="379">
        <f t="shared" si="30"/>
        <v>0</v>
      </c>
      <c r="J252" s="376">
        <f t="shared" si="31"/>
        <v>0</v>
      </c>
      <c r="K252" s="371">
        <f t="shared" si="32"/>
        <v>0</v>
      </c>
      <c r="L252" s="375">
        <f t="shared" si="33"/>
        <v>0</v>
      </c>
      <c r="M252" s="113">
        <f>L252*D252*'B) D RI'!S254</f>
        <v>0</v>
      </c>
    </row>
    <row r="253" spans="1:13" x14ac:dyDescent="0.25">
      <c r="A253" s="297">
        <f>'A) Base RI'!A255</f>
        <v>5830</v>
      </c>
      <c r="B253" s="32" t="str">
        <f>'A) Base RI'!B255</f>
        <v>Villarzel</v>
      </c>
      <c r="C253" s="295">
        <f>'B) D RI'!U255</f>
        <v>12470.916233766235</v>
      </c>
      <c r="D253" s="32">
        <f>'B) D RI'!AA255</f>
        <v>477</v>
      </c>
      <c r="E253" s="201">
        <f t="shared" si="26"/>
        <v>26.144478477497348</v>
      </c>
      <c r="F253" s="368">
        <f t="shared" si="27"/>
        <v>0.54272053443365109</v>
      </c>
      <c r="G253" s="379">
        <f t="shared" si="28"/>
        <v>0</v>
      </c>
      <c r="H253" s="376">
        <f t="shared" si="29"/>
        <v>0</v>
      </c>
      <c r="I253" s="379">
        <f t="shared" si="30"/>
        <v>0</v>
      </c>
      <c r="J253" s="376">
        <f t="shared" si="31"/>
        <v>0</v>
      </c>
      <c r="K253" s="371">
        <f t="shared" si="32"/>
        <v>0</v>
      </c>
      <c r="L253" s="375">
        <f t="shared" si="33"/>
        <v>0</v>
      </c>
      <c r="M253" s="113">
        <f>L253*D253*'B) D RI'!S255</f>
        <v>0</v>
      </c>
    </row>
    <row r="254" spans="1:13" x14ac:dyDescent="0.25">
      <c r="A254" s="297">
        <f>'A) Base RI'!A256</f>
        <v>5831</v>
      </c>
      <c r="B254" s="32" t="str">
        <f>'A) Base RI'!B256</f>
        <v>Valbroye</v>
      </c>
      <c r="C254" s="295">
        <f>'B) D RI'!U256</f>
        <v>83756.732765957451</v>
      </c>
      <c r="D254" s="32">
        <f>'B) D RI'!AA256</f>
        <v>3373</v>
      </c>
      <c r="E254" s="201">
        <f t="shared" si="26"/>
        <v>24.831524686023556</v>
      </c>
      <c r="F254" s="368">
        <f t="shared" si="27"/>
        <v>0.51546556417258227</v>
      </c>
      <c r="G254" s="379">
        <f t="shared" si="28"/>
        <v>0</v>
      </c>
      <c r="H254" s="376">
        <f t="shared" si="29"/>
        <v>0</v>
      </c>
      <c r="I254" s="379">
        <f t="shared" si="30"/>
        <v>0</v>
      </c>
      <c r="J254" s="376">
        <f t="shared" si="31"/>
        <v>0</v>
      </c>
      <c r="K254" s="371">
        <f t="shared" si="32"/>
        <v>0</v>
      </c>
      <c r="L254" s="375">
        <f t="shared" si="33"/>
        <v>0</v>
      </c>
      <c r="M254" s="113">
        <f>L254*D254*'B) D RI'!S256</f>
        <v>0</v>
      </c>
    </row>
    <row r="255" spans="1:13" x14ac:dyDescent="0.25">
      <c r="A255" s="297">
        <f>'A) Base RI'!A257</f>
        <v>5841</v>
      </c>
      <c r="B255" s="32" t="str">
        <f>'A) Base RI'!B257</f>
        <v>Château-d'Oex</v>
      </c>
      <c r="C255" s="295">
        <f>'B) D RI'!U257</f>
        <v>108658.39067484663</v>
      </c>
      <c r="D255" s="32">
        <f>'B) D RI'!AA257</f>
        <v>3494</v>
      </c>
      <c r="E255" s="201">
        <f t="shared" si="26"/>
        <v>31.098566306481576</v>
      </c>
      <c r="F255" s="368">
        <f t="shared" si="27"/>
        <v>0.64556003825055563</v>
      </c>
      <c r="G255" s="379">
        <f t="shared" si="28"/>
        <v>0</v>
      </c>
      <c r="H255" s="376">
        <f t="shared" si="29"/>
        <v>0</v>
      </c>
      <c r="I255" s="379">
        <f t="shared" si="30"/>
        <v>0</v>
      </c>
      <c r="J255" s="376">
        <f t="shared" si="31"/>
        <v>0</v>
      </c>
      <c r="K255" s="371">
        <f t="shared" si="32"/>
        <v>0</v>
      </c>
      <c r="L255" s="375">
        <f t="shared" si="33"/>
        <v>0</v>
      </c>
      <c r="M255" s="113">
        <f>L255*D255*'B) D RI'!S257</f>
        <v>0</v>
      </c>
    </row>
    <row r="256" spans="1:13" x14ac:dyDescent="0.25">
      <c r="A256" s="297">
        <f>'A) Base RI'!A258</f>
        <v>5842</v>
      </c>
      <c r="B256" s="32" t="str">
        <f>'A) Base RI'!B258</f>
        <v>Rossinière</v>
      </c>
      <c r="C256" s="295">
        <f>'B) D RI'!U258</f>
        <v>14509.951028806583</v>
      </c>
      <c r="D256" s="32">
        <f>'B) D RI'!AA258</f>
        <v>537</v>
      </c>
      <c r="E256" s="201">
        <f t="shared" si="26"/>
        <v>27.020392977293451</v>
      </c>
      <c r="F256" s="368">
        <f t="shared" si="27"/>
        <v>0.56090321824035561</v>
      </c>
      <c r="G256" s="379">
        <f t="shared" si="28"/>
        <v>0</v>
      </c>
      <c r="H256" s="376">
        <f t="shared" si="29"/>
        <v>0</v>
      </c>
      <c r="I256" s="379">
        <f t="shared" si="30"/>
        <v>0</v>
      </c>
      <c r="J256" s="376">
        <f t="shared" si="31"/>
        <v>0</v>
      </c>
      <c r="K256" s="371">
        <f t="shared" si="32"/>
        <v>0</v>
      </c>
      <c r="L256" s="375">
        <f t="shared" si="33"/>
        <v>0</v>
      </c>
      <c r="M256" s="113">
        <f>L256*D256*'B) D RI'!S258</f>
        <v>0</v>
      </c>
    </row>
    <row r="257" spans="1:13" x14ac:dyDescent="0.25">
      <c r="A257" s="297">
        <f>'A) Base RI'!A259</f>
        <v>5843</v>
      </c>
      <c r="B257" s="32" t="str">
        <f>'A) Base RI'!B259</f>
        <v>Rougemont</v>
      </c>
      <c r="C257" s="295">
        <f>'B) D RI'!U259</f>
        <v>100468.99797297297</v>
      </c>
      <c r="D257" s="32">
        <f>'B) D RI'!AA259</f>
        <v>863</v>
      </c>
      <c r="E257" s="201">
        <f t="shared" si="26"/>
        <v>116.41830587830007</v>
      </c>
      <c r="F257" s="368">
        <f t="shared" si="27"/>
        <v>2.4166710855798019</v>
      </c>
      <c r="G257" s="379">
        <f t="shared" si="28"/>
        <v>68.245301875825618</v>
      </c>
      <c r="H257" s="376">
        <f t="shared" si="29"/>
        <v>58.610701075330738</v>
      </c>
      <c r="I257" s="379">
        <f t="shared" si="30"/>
        <v>44.158799874588397</v>
      </c>
      <c r="J257" s="376">
        <f t="shared" si="31"/>
        <v>20.072297873351175</v>
      </c>
      <c r="K257" s="371">
        <f t="shared" si="32"/>
        <v>0</v>
      </c>
      <c r="L257" s="375">
        <f t="shared" si="33"/>
        <v>25.933240257492155</v>
      </c>
      <c r="M257" s="113">
        <f>L257*D257*'B) D RI'!S259</f>
        <v>1656148.589323964</v>
      </c>
    </row>
    <row r="258" spans="1:13" x14ac:dyDescent="0.25">
      <c r="A258" s="297">
        <f>'A) Base RI'!A260</f>
        <v>5851</v>
      </c>
      <c r="B258" s="32" t="str">
        <f>'A) Base RI'!B260</f>
        <v>Allaman</v>
      </c>
      <c r="C258" s="295">
        <f>'B) D RI'!U260</f>
        <v>24314.213954545452</v>
      </c>
      <c r="D258" s="32">
        <f>'B) D RI'!AA260</f>
        <v>443</v>
      </c>
      <c r="E258" s="201">
        <f t="shared" si="26"/>
        <v>54.885358813872351</v>
      </c>
      <c r="F258" s="368">
        <f t="shared" si="27"/>
        <v>1.1393385143897838</v>
      </c>
      <c r="G258" s="379">
        <f t="shared" si="28"/>
        <v>6.7123548113979012</v>
      </c>
      <c r="H258" s="376">
        <f t="shared" si="29"/>
        <v>0</v>
      </c>
      <c r="I258" s="379">
        <f t="shared" si="30"/>
        <v>0</v>
      </c>
      <c r="J258" s="376">
        <f t="shared" si="31"/>
        <v>0</v>
      </c>
      <c r="K258" s="371">
        <f t="shared" si="32"/>
        <v>0</v>
      </c>
      <c r="L258" s="375">
        <f t="shared" si="33"/>
        <v>1.3424709622795803</v>
      </c>
      <c r="M258" s="113">
        <f>L258*D258*'B) D RI'!S260</f>
        <v>35682.878177391241</v>
      </c>
    </row>
    <row r="259" spans="1:13" x14ac:dyDescent="0.25">
      <c r="A259" s="297">
        <f>'A) Base RI'!A261</f>
        <v>5852</v>
      </c>
      <c r="B259" s="32" t="str">
        <f>'A) Base RI'!B261</f>
        <v>Bursinel</v>
      </c>
      <c r="C259" s="295">
        <f>'B) D RI'!U261</f>
        <v>40706.215623409669</v>
      </c>
      <c r="D259" s="32">
        <f>'B) D RI'!AA261</f>
        <v>491</v>
      </c>
      <c r="E259" s="201">
        <f t="shared" si="26"/>
        <v>82.904716137290563</v>
      </c>
      <c r="F259" s="368">
        <f t="shared" si="27"/>
        <v>1.7209787484507315</v>
      </c>
      <c r="G259" s="379">
        <f t="shared" si="28"/>
        <v>34.731712134816114</v>
      </c>
      <c r="H259" s="376">
        <f t="shared" si="29"/>
        <v>25.097111334321227</v>
      </c>
      <c r="I259" s="379">
        <f t="shared" si="30"/>
        <v>10.645210133578885</v>
      </c>
      <c r="J259" s="376">
        <f t="shared" si="31"/>
        <v>0</v>
      </c>
      <c r="K259" s="371">
        <f t="shared" si="32"/>
        <v>0</v>
      </c>
      <c r="L259" s="375">
        <f t="shared" si="33"/>
        <v>10.520574573753233</v>
      </c>
      <c r="M259" s="113">
        <f>L259*D259*'B) D RI'!S261</f>
        <v>338346.93857919081</v>
      </c>
    </row>
    <row r="260" spans="1:13" x14ac:dyDescent="0.25">
      <c r="A260" s="297">
        <f>'A) Base RI'!A262</f>
        <v>5853</v>
      </c>
      <c r="B260" s="32" t="str">
        <f>'A) Base RI'!B262</f>
        <v>Bursins</v>
      </c>
      <c r="C260" s="295">
        <f>'B) D RI'!U262</f>
        <v>42015.881830985905</v>
      </c>
      <c r="D260" s="32">
        <f>'B) D RI'!AA262</f>
        <v>773</v>
      </c>
      <c r="E260" s="201">
        <f t="shared" si="26"/>
        <v>54.354310260007637</v>
      </c>
      <c r="F260" s="368">
        <f t="shared" si="27"/>
        <v>1.128314735307262</v>
      </c>
      <c r="G260" s="379">
        <f t="shared" si="28"/>
        <v>6.181306257533187</v>
      </c>
      <c r="H260" s="376">
        <f t="shared" si="29"/>
        <v>0</v>
      </c>
      <c r="I260" s="379">
        <f t="shared" si="30"/>
        <v>0</v>
      </c>
      <c r="J260" s="376">
        <f t="shared" si="31"/>
        <v>0</v>
      </c>
      <c r="K260" s="371">
        <f t="shared" si="32"/>
        <v>0</v>
      </c>
      <c r="L260" s="375">
        <f t="shared" si="33"/>
        <v>1.2362612515066376</v>
      </c>
      <c r="M260" s="113">
        <f>L260*D260*'B) D RI'!S262</f>
        <v>67849.726266438782</v>
      </c>
    </row>
    <row r="261" spans="1:13" x14ac:dyDescent="0.25">
      <c r="A261" s="297">
        <f>'A) Base RI'!A263</f>
        <v>5854</v>
      </c>
      <c r="B261" s="32" t="str">
        <f>'A) Base RI'!B263</f>
        <v>Burtigny</v>
      </c>
      <c r="C261" s="295">
        <f>'B) D RI'!U263</f>
        <v>10782.893958333336</v>
      </c>
      <c r="D261" s="32">
        <f>'B) D RI'!AA263</f>
        <v>404</v>
      </c>
      <c r="E261" s="201">
        <f t="shared" si="26"/>
        <v>26.690331580033011</v>
      </c>
      <c r="F261" s="368">
        <f t="shared" si="27"/>
        <v>0.55405163395378121</v>
      </c>
      <c r="G261" s="379">
        <f t="shared" si="28"/>
        <v>0</v>
      </c>
      <c r="H261" s="376">
        <f t="shared" si="29"/>
        <v>0</v>
      </c>
      <c r="I261" s="379">
        <f t="shared" si="30"/>
        <v>0</v>
      </c>
      <c r="J261" s="376">
        <f t="shared" si="31"/>
        <v>0</v>
      </c>
      <c r="K261" s="371">
        <f t="shared" si="32"/>
        <v>0</v>
      </c>
      <c r="L261" s="375">
        <f t="shared" si="33"/>
        <v>0</v>
      </c>
      <c r="M261" s="113">
        <f>L261*D261*'B) D RI'!S263</f>
        <v>0</v>
      </c>
    </row>
    <row r="262" spans="1:13" x14ac:dyDescent="0.25">
      <c r="A262" s="297">
        <f>'A) Base RI'!A264</f>
        <v>5855</v>
      </c>
      <c r="B262" s="32" t="str">
        <f>'A) Base RI'!B264</f>
        <v>Dully</v>
      </c>
      <c r="C262" s="295">
        <f>'B) D RI'!U264</f>
        <v>98158.514897959176</v>
      </c>
      <c r="D262" s="32">
        <f>'B) D RI'!AA264</f>
        <v>628</v>
      </c>
      <c r="E262" s="201">
        <f t="shared" ref="E262:E313" si="34">C262/D262</f>
        <v>156.30336767190951</v>
      </c>
      <c r="F262" s="368">
        <f t="shared" ref="F262:F313" si="35">E262/$E$314</f>
        <v>3.2446257174221653</v>
      </c>
      <c r="G262" s="379">
        <f t="shared" ref="G262:G313" si="36">IF(E262-$G$2&lt;0,0,E262-$G$2)</f>
        <v>108.13036366943507</v>
      </c>
      <c r="H262" s="376">
        <f t="shared" ref="H262:H313" si="37">IF(E262-$H$2&lt;0,0,E262-$H$2)</f>
        <v>98.495762868940176</v>
      </c>
      <c r="I262" s="379">
        <f t="shared" ref="I262:I313" si="38">IF(E262-$I$2&lt;0,0,E262-$I$2)</f>
        <v>84.043861668197835</v>
      </c>
      <c r="J262" s="376">
        <f t="shared" ref="J262:J313" si="39">IF(E262-$J$2&lt;0,0,E262-$J$2)</f>
        <v>59.957359666960613</v>
      </c>
      <c r="K262" s="371">
        <f t="shared" ref="K262:K313" si="40">IF(E262-$K$2&lt;0,0,E262-$K$2)</f>
        <v>11.784355664486156</v>
      </c>
      <c r="L262" s="375">
        <f t="shared" ref="L262:L313" si="41">(G262-H262)*$G$3+(H262-I262)*$H$3+(I262-J262)*$I$3+(J262-K262)*$J$3+(K262*$K$3)</f>
        <v>47.054206720745491</v>
      </c>
      <c r="M262" s="113">
        <f>L262*D262*'B) D RI'!S264</f>
        <v>1447952.0492107803</v>
      </c>
    </row>
    <row r="263" spans="1:13" x14ac:dyDescent="0.25">
      <c r="A263" s="297">
        <f>'A) Base RI'!A265</f>
        <v>5856</v>
      </c>
      <c r="B263" s="32" t="str">
        <f>'A) Base RI'!B265</f>
        <v>Essertines-sur-Rolle</v>
      </c>
      <c r="C263" s="295">
        <f>'B) D RI'!U265</f>
        <v>35711.648536726432</v>
      </c>
      <c r="D263" s="32">
        <f>'B) D RI'!AA265</f>
        <v>740</v>
      </c>
      <c r="E263" s="201">
        <f t="shared" si="34"/>
        <v>48.258984509089771</v>
      </c>
      <c r="F263" s="368">
        <f t="shared" si="35"/>
        <v>1.0017848275895542</v>
      </c>
      <c r="G263" s="379">
        <f t="shared" si="36"/>
        <v>8.5980506615321417E-2</v>
      </c>
      <c r="H263" s="376">
        <f t="shared" si="37"/>
        <v>0</v>
      </c>
      <c r="I263" s="379">
        <f t="shared" si="38"/>
        <v>0</v>
      </c>
      <c r="J263" s="376">
        <f t="shared" si="39"/>
        <v>0</v>
      </c>
      <c r="K263" s="371">
        <f t="shared" si="40"/>
        <v>0</v>
      </c>
      <c r="L263" s="375">
        <f t="shared" si="41"/>
        <v>1.7196101323064285E-2</v>
      </c>
      <c r="M263" s="113">
        <f>L263*D263*'B) D RI'!S265</f>
        <v>846.22014610799351</v>
      </c>
    </row>
    <row r="264" spans="1:13" x14ac:dyDescent="0.25">
      <c r="A264" s="297">
        <f>'A) Base RI'!A266</f>
        <v>5857</v>
      </c>
      <c r="B264" s="32" t="str">
        <f>'A) Base RI'!B266</f>
        <v>Gilly</v>
      </c>
      <c r="C264" s="295">
        <f>'B) D RI'!U266</f>
        <v>82128.423720930223</v>
      </c>
      <c r="D264" s="32">
        <f>'B) D RI'!AA266</f>
        <v>1428</v>
      </c>
      <c r="E264" s="201">
        <f t="shared" si="34"/>
        <v>57.512901765357299</v>
      </c>
      <c r="F264" s="368">
        <f t="shared" si="35"/>
        <v>1.1938824027333461</v>
      </c>
      <c r="G264" s="379">
        <f t="shared" si="36"/>
        <v>9.339897762882849</v>
      </c>
      <c r="H264" s="376">
        <f t="shared" si="37"/>
        <v>0</v>
      </c>
      <c r="I264" s="379">
        <f t="shared" si="38"/>
        <v>0</v>
      </c>
      <c r="J264" s="376">
        <f t="shared" si="39"/>
        <v>0</v>
      </c>
      <c r="K264" s="371">
        <f t="shared" si="40"/>
        <v>0</v>
      </c>
      <c r="L264" s="375">
        <f t="shared" si="41"/>
        <v>1.8679795525765699</v>
      </c>
      <c r="M264" s="113">
        <f>L264*D264*'B) D RI'!S266</f>
        <v>172052.12466961757</v>
      </c>
    </row>
    <row r="265" spans="1:13" x14ac:dyDescent="0.25">
      <c r="A265" s="297">
        <f>'A) Base RI'!A267</f>
        <v>5858</v>
      </c>
      <c r="B265" s="32" t="str">
        <f>'A) Base RI'!B267</f>
        <v>Luins</v>
      </c>
      <c r="C265" s="295">
        <f>'B) D RI'!U267</f>
        <v>40290.677378917375</v>
      </c>
      <c r="D265" s="32">
        <f>'B) D RI'!AA267</f>
        <v>619</v>
      </c>
      <c r="E265" s="201">
        <f t="shared" si="34"/>
        <v>65.08994730035117</v>
      </c>
      <c r="F265" s="368">
        <f t="shared" si="35"/>
        <v>1.3511706120093272</v>
      </c>
      <c r="G265" s="379">
        <f t="shared" si="36"/>
        <v>16.91694329787672</v>
      </c>
      <c r="H265" s="376">
        <f t="shared" si="37"/>
        <v>7.2823424973818334</v>
      </c>
      <c r="I265" s="379">
        <f t="shared" si="38"/>
        <v>0</v>
      </c>
      <c r="J265" s="376">
        <f t="shared" si="39"/>
        <v>0</v>
      </c>
      <c r="K265" s="371">
        <f t="shared" si="40"/>
        <v>0</v>
      </c>
      <c r="L265" s="375">
        <f t="shared" si="41"/>
        <v>4.1116229093135281</v>
      </c>
      <c r="M265" s="113">
        <f>L265*D265*'B) D RI'!S267</f>
        <v>148888.03298060683</v>
      </c>
    </row>
    <row r="266" spans="1:13" x14ac:dyDescent="0.25">
      <c r="A266" s="297">
        <f>'A) Base RI'!A268</f>
        <v>5859</v>
      </c>
      <c r="B266" s="32" t="str">
        <f>'A) Base RI'!B268</f>
        <v>Mont-sur-Rolle</v>
      </c>
      <c r="C266" s="295">
        <f>'B) D RI'!U268</f>
        <v>146465.78251968499</v>
      </c>
      <c r="D266" s="32">
        <f>'B) D RI'!AA268</f>
        <v>2646</v>
      </c>
      <c r="E266" s="201">
        <f t="shared" si="34"/>
        <v>55.353659304491678</v>
      </c>
      <c r="F266" s="368">
        <f t="shared" si="35"/>
        <v>1.1490597368943067</v>
      </c>
      <c r="G266" s="379">
        <f t="shared" si="36"/>
        <v>7.1806553020172288</v>
      </c>
      <c r="H266" s="376">
        <f t="shared" si="37"/>
        <v>0</v>
      </c>
      <c r="I266" s="379">
        <f t="shared" si="38"/>
        <v>0</v>
      </c>
      <c r="J266" s="376">
        <f t="shared" si="39"/>
        <v>0</v>
      </c>
      <c r="K266" s="371">
        <f t="shared" si="40"/>
        <v>0</v>
      </c>
      <c r="L266" s="375">
        <f t="shared" si="41"/>
        <v>1.4361310604034458</v>
      </c>
      <c r="M266" s="113">
        <f>L266*D266*'B) D RI'!S268</f>
        <v>241300.17690004737</v>
      </c>
    </row>
    <row r="267" spans="1:13" x14ac:dyDescent="0.25">
      <c r="A267" s="297">
        <f>'A) Base RI'!A269</f>
        <v>5860</v>
      </c>
      <c r="B267" s="32" t="str">
        <f>'A) Base RI'!B269</f>
        <v>Perroy</v>
      </c>
      <c r="C267" s="295">
        <f>'B) D RI'!U269</f>
        <v>187175.54426035503</v>
      </c>
      <c r="D267" s="32">
        <f>'B) D RI'!AA269</f>
        <v>1518</v>
      </c>
      <c r="E267" s="201">
        <f t="shared" si="34"/>
        <v>123.30404760234192</v>
      </c>
      <c r="F267" s="368">
        <f t="shared" si="35"/>
        <v>2.5596088547022791</v>
      </c>
      <c r="G267" s="379">
        <f t="shared" si="36"/>
        <v>75.131043599867468</v>
      </c>
      <c r="H267" s="376">
        <f t="shared" si="37"/>
        <v>65.496442799372588</v>
      </c>
      <c r="I267" s="379">
        <f t="shared" si="38"/>
        <v>51.044541598630246</v>
      </c>
      <c r="J267" s="376">
        <f t="shared" si="39"/>
        <v>26.958039597393025</v>
      </c>
      <c r="K267" s="371">
        <f t="shared" si="40"/>
        <v>0</v>
      </c>
      <c r="L267" s="375">
        <f t="shared" si="41"/>
        <v>29.37611111951308</v>
      </c>
      <c r="M267" s="113">
        <f>L267*D267*'B) D RI'!S269</f>
        <v>2608686.7957461202</v>
      </c>
    </row>
    <row r="268" spans="1:13" x14ac:dyDescent="0.25">
      <c r="A268" s="297">
        <f>'A) Base RI'!A270</f>
        <v>5861</v>
      </c>
      <c r="B268" s="32" t="str">
        <f>'A) Base RI'!B270</f>
        <v>Rolle</v>
      </c>
      <c r="C268" s="295">
        <f>'B) D RI'!U270</f>
        <v>1938335.8673949579</v>
      </c>
      <c r="D268" s="32">
        <f>'B) D RI'!AA270</f>
        <v>6259</v>
      </c>
      <c r="E268" s="201">
        <f t="shared" si="34"/>
        <v>309.68778836794343</v>
      </c>
      <c r="F268" s="368">
        <f t="shared" si="35"/>
        <v>6.4286584318477633</v>
      </c>
      <c r="G268" s="379">
        <f t="shared" si="36"/>
        <v>261.51478436546898</v>
      </c>
      <c r="H268" s="376">
        <f t="shared" si="37"/>
        <v>251.88018356497409</v>
      </c>
      <c r="I268" s="379">
        <f t="shared" si="38"/>
        <v>237.42828236423173</v>
      </c>
      <c r="J268" s="376">
        <f t="shared" si="39"/>
        <v>213.34178036299454</v>
      </c>
      <c r="K268" s="371">
        <f t="shared" si="40"/>
        <v>165.16877636052007</v>
      </c>
      <c r="L268" s="375">
        <f t="shared" si="41"/>
        <v>139.08485913836583</v>
      </c>
      <c r="M268" s="113">
        <f>L268*D268*'B) D RI'!S270</f>
        <v>51796661.934148394</v>
      </c>
    </row>
    <row r="269" spans="1:13" x14ac:dyDescent="0.25">
      <c r="A269" s="297">
        <f>'A) Base RI'!A271</f>
        <v>5862</v>
      </c>
      <c r="B269" s="32" t="str">
        <f>'A) Base RI'!B271</f>
        <v>Tartegnin</v>
      </c>
      <c r="C269" s="295">
        <f>'B) D RI'!U271</f>
        <v>8096.4381012658214</v>
      </c>
      <c r="D269" s="32">
        <f>'B) D RI'!AA271</f>
        <v>236</v>
      </c>
      <c r="E269" s="201">
        <f t="shared" si="34"/>
        <v>34.306941107058563</v>
      </c>
      <c r="F269" s="368">
        <f t="shared" si="35"/>
        <v>0.71216113293031003</v>
      </c>
      <c r="G269" s="379">
        <f t="shared" si="36"/>
        <v>0</v>
      </c>
      <c r="H269" s="376">
        <f t="shared" si="37"/>
        <v>0</v>
      </c>
      <c r="I269" s="379">
        <f t="shared" si="38"/>
        <v>0</v>
      </c>
      <c r="J269" s="376">
        <f t="shared" si="39"/>
        <v>0</v>
      </c>
      <c r="K269" s="371">
        <f t="shared" si="40"/>
        <v>0</v>
      </c>
      <c r="L269" s="375">
        <f t="shared" si="41"/>
        <v>0</v>
      </c>
      <c r="M269" s="113">
        <f>L269*D269*'B) D RI'!S271</f>
        <v>0</v>
      </c>
    </row>
    <row r="270" spans="1:13" x14ac:dyDescent="0.25">
      <c r="A270" s="297">
        <f>'A) Base RI'!A272</f>
        <v>5863</v>
      </c>
      <c r="B270" s="32" t="str">
        <f>'A) Base RI'!B272</f>
        <v>Vinzel</v>
      </c>
      <c r="C270" s="295">
        <f>'B) D RI'!U272</f>
        <v>21933.69492537314</v>
      </c>
      <c r="D270" s="32">
        <f>'B) D RI'!AA272</f>
        <v>385</v>
      </c>
      <c r="E270" s="201">
        <f t="shared" si="34"/>
        <v>56.970636169800365</v>
      </c>
      <c r="F270" s="368">
        <f t="shared" si="35"/>
        <v>1.182625774528697</v>
      </c>
      <c r="G270" s="379">
        <f t="shared" si="36"/>
        <v>8.797632167325915</v>
      </c>
      <c r="H270" s="376">
        <f t="shared" si="37"/>
        <v>0</v>
      </c>
      <c r="I270" s="379">
        <f t="shared" si="38"/>
        <v>0</v>
      </c>
      <c r="J270" s="376">
        <f t="shared" si="39"/>
        <v>0</v>
      </c>
      <c r="K270" s="371">
        <f t="shared" si="40"/>
        <v>0</v>
      </c>
      <c r="L270" s="375">
        <f t="shared" si="41"/>
        <v>1.759526433465183</v>
      </c>
      <c r="M270" s="113">
        <f>L270*D270*'B) D RI'!S272</f>
        <v>45386.984351234401</v>
      </c>
    </row>
    <row r="271" spans="1:13" x14ac:dyDescent="0.25">
      <c r="A271" s="297">
        <f>'A) Base RI'!A273</f>
        <v>5871</v>
      </c>
      <c r="B271" s="32" t="str">
        <f>'A) Base RI'!B273</f>
        <v>L'Abbaye</v>
      </c>
      <c r="C271" s="295">
        <f>'B) D RI'!U273</f>
        <v>49513.521273852508</v>
      </c>
      <c r="D271" s="32">
        <f>'B) D RI'!AA273</f>
        <v>1473</v>
      </c>
      <c r="E271" s="201">
        <f t="shared" si="34"/>
        <v>33.614067395690775</v>
      </c>
      <c r="F271" s="368">
        <f t="shared" si="35"/>
        <v>0.69777810397632989</v>
      </c>
      <c r="G271" s="379">
        <f t="shared" si="36"/>
        <v>0</v>
      </c>
      <c r="H271" s="376">
        <f t="shared" si="37"/>
        <v>0</v>
      </c>
      <c r="I271" s="379">
        <f t="shared" si="38"/>
        <v>0</v>
      </c>
      <c r="J271" s="376">
        <f t="shared" si="39"/>
        <v>0</v>
      </c>
      <c r="K271" s="371">
        <f t="shared" si="40"/>
        <v>0</v>
      </c>
      <c r="L271" s="375">
        <f t="shared" si="41"/>
        <v>0</v>
      </c>
      <c r="M271" s="113">
        <f>L271*D271*'B) D RI'!S273</f>
        <v>0</v>
      </c>
    </row>
    <row r="272" spans="1:13" x14ac:dyDescent="0.25">
      <c r="A272" s="297">
        <f>'A) Base RI'!A274</f>
        <v>5872</v>
      </c>
      <c r="B272" s="32" t="str">
        <f>'A) Base RI'!B274</f>
        <v>Le Chenit</v>
      </c>
      <c r="C272" s="295">
        <f>'B) D RI'!U274</f>
        <v>236042.78222554145</v>
      </c>
      <c r="D272" s="32">
        <f>'B) D RI'!AA274</f>
        <v>4600</v>
      </c>
      <c r="E272" s="201">
        <f t="shared" si="34"/>
        <v>51.313648309900316</v>
      </c>
      <c r="F272" s="368">
        <f t="shared" si="35"/>
        <v>1.0651951102585286</v>
      </c>
      <c r="G272" s="379">
        <f t="shared" si="36"/>
        <v>3.1406443074258661</v>
      </c>
      <c r="H272" s="376">
        <f t="shared" si="37"/>
        <v>0</v>
      </c>
      <c r="I272" s="379">
        <f t="shared" si="38"/>
        <v>0</v>
      </c>
      <c r="J272" s="376">
        <f t="shared" si="39"/>
        <v>0</v>
      </c>
      <c r="K272" s="371">
        <f t="shared" si="40"/>
        <v>0</v>
      </c>
      <c r="L272" s="375">
        <f t="shared" si="41"/>
        <v>0.62812886148517322</v>
      </c>
      <c r="M272" s="113">
        <f>L272*D272*'B) D RI'!S274</f>
        <v>193444.84547158881</v>
      </c>
    </row>
    <row r="273" spans="1:13" x14ac:dyDescent="0.25">
      <c r="A273" s="297">
        <f>'A) Base RI'!A275</f>
        <v>5873</v>
      </c>
      <c r="B273" s="32" t="str">
        <f>'A) Base RI'!B275</f>
        <v>Le Lieu</v>
      </c>
      <c r="C273" s="295">
        <f>'B) D RI'!U275</f>
        <v>30440.408392857149</v>
      </c>
      <c r="D273" s="32">
        <f>'B) D RI'!AA275</f>
        <v>888</v>
      </c>
      <c r="E273" s="201">
        <f t="shared" si="34"/>
        <v>34.279739181145437</v>
      </c>
      <c r="F273" s="368">
        <f t="shared" si="35"/>
        <v>0.71159646135799681</v>
      </c>
      <c r="G273" s="379">
        <f t="shared" si="36"/>
        <v>0</v>
      </c>
      <c r="H273" s="376">
        <f t="shared" si="37"/>
        <v>0</v>
      </c>
      <c r="I273" s="379">
        <f t="shared" si="38"/>
        <v>0</v>
      </c>
      <c r="J273" s="376">
        <f t="shared" si="39"/>
        <v>0</v>
      </c>
      <c r="K273" s="371">
        <f t="shared" si="40"/>
        <v>0</v>
      </c>
      <c r="L273" s="375">
        <f t="shared" si="41"/>
        <v>0</v>
      </c>
      <c r="M273" s="113">
        <f>L273*D273*'B) D RI'!S275</f>
        <v>0</v>
      </c>
    </row>
    <row r="274" spans="1:13" x14ac:dyDescent="0.25">
      <c r="A274" s="297">
        <f>'A) Base RI'!A276</f>
        <v>5881</v>
      </c>
      <c r="B274" s="32" t="str">
        <f>'A) Base RI'!B276</f>
        <v>Blonay</v>
      </c>
      <c r="C274" s="295">
        <f>'B) D RI'!U276</f>
        <v>363266.43007299263</v>
      </c>
      <c r="D274" s="32">
        <f>'B) D RI'!AA276</f>
        <v>6215</v>
      </c>
      <c r="E274" s="201">
        <f t="shared" si="34"/>
        <v>58.449948523409915</v>
      </c>
      <c r="F274" s="368">
        <f t="shared" si="35"/>
        <v>1.2133341014068291</v>
      </c>
      <c r="G274" s="379">
        <f t="shared" si="36"/>
        <v>10.276944520935466</v>
      </c>
      <c r="H274" s="376">
        <f t="shared" si="37"/>
        <v>0.64234372044057864</v>
      </c>
      <c r="I274" s="379">
        <f t="shared" si="38"/>
        <v>0</v>
      </c>
      <c r="J274" s="376">
        <f t="shared" si="39"/>
        <v>0</v>
      </c>
      <c r="K274" s="371">
        <f t="shared" si="40"/>
        <v>0</v>
      </c>
      <c r="L274" s="375">
        <f t="shared" si="41"/>
        <v>2.1196232762311511</v>
      </c>
      <c r="M274" s="113">
        <f>L274*D274*'B) D RI'!S276</f>
        <v>902381.91833169735</v>
      </c>
    </row>
    <row r="275" spans="1:13" x14ac:dyDescent="0.25">
      <c r="A275" s="297">
        <f>'A) Base RI'!A277</f>
        <v>5882</v>
      </c>
      <c r="B275" s="32" t="str">
        <f>'A) Base RI'!B277</f>
        <v>Chardonne</v>
      </c>
      <c r="C275" s="295">
        <f>'B) D RI'!U277</f>
        <v>179032.37397058826</v>
      </c>
      <c r="D275" s="32">
        <f>'B) D RI'!AA277</f>
        <v>3093</v>
      </c>
      <c r="E275" s="201">
        <f t="shared" si="34"/>
        <v>57.883082434719775</v>
      </c>
      <c r="F275" s="368">
        <f t="shared" si="35"/>
        <v>1.2015668035098364</v>
      </c>
      <c r="G275" s="379">
        <f t="shared" si="36"/>
        <v>9.7100784322453251</v>
      </c>
      <c r="H275" s="376">
        <f t="shared" si="37"/>
        <v>7.5477631750437979E-2</v>
      </c>
      <c r="I275" s="379">
        <f t="shared" si="38"/>
        <v>0</v>
      </c>
      <c r="J275" s="376">
        <f t="shared" si="39"/>
        <v>0</v>
      </c>
      <c r="K275" s="371">
        <f t="shared" si="40"/>
        <v>0</v>
      </c>
      <c r="L275" s="375">
        <f t="shared" si="41"/>
        <v>1.949563449624109</v>
      </c>
      <c r="M275" s="113">
        <f>L275*D275*'B) D RI'!S277</f>
        <v>410039.98297874111</v>
      </c>
    </row>
    <row r="276" spans="1:13" x14ac:dyDescent="0.25">
      <c r="A276" s="297">
        <f>'A) Base RI'!A278</f>
        <v>5883</v>
      </c>
      <c r="B276" s="32" t="str">
        <f>'A) Base RI'!B278</f>
        <v>Corseaux</v>
      </c>
      <c r="C276" s="295">
        <f>'B) D RI'!U278</f>
        <v>167893.40074074076</v>
      </c>
      <c r="D276" s="32">
        <f>'B) D RI'!AA278</f>
        <v>2311</v>
      </c>
      <c r="E276" s="201">
        <f t="shared" si="34"/>
        <v>72.649675785694839</v>
      </c>
      <c r="F276" s="368">
        <f t="shared" si="35"/>
        <v>1.5080993450597999</v>
      </c>
      <c r="G276" s="379">
        <f t="shared" si="36"/>
        <v>24.47667178322039</v>
      </c>
      <c r="H276" s="376">
        <f t="shared" si="37"/>
        <v>14.842070982725502</v>
      </c>
      <c r="I276" s="379">
        <f t="shared" si="38"/>
        <v>0.3901697819831611</v>
      </c>
      <c r="J276" s="376">
        <f t="shared" si="39"/>
        <v>0</v>
      </c>
      <c r="K276" s="371">
        <f t="shared" si="40"/>
        <v>0</v>
      </c>
      <c r="L276" s="375">
        <f t="shared" si="41"/>
        <v>6.4185584331149439</v>
      </c>
      <c r="M276" s="113">
        <f>L276*D276*'B) D RI'!S278</f>
        <v>1001246.9763776829</v>
      </c>
    </row>
    <row r="277" spans="1:13" x14ac:dyDescent="0.25">
      <c r="A277" s="297">
        <f>'A) Base RI'!A279</f>
        <v>5884</v>
      </c>
      <c r="B277" s="32" t="str">
        <f>'A) Base RI'!B279</f>
        <v>Corsier-sur-Vevey</v>
      </c>
      <c r="C277" s="295">
        <f>'B) D RI'!U279</f>
        <v>122170.7416919192</v>
      </c>
      <c r="D277" s="32">
        <f>'B) D RI'!AA279</f>
        <v>3420</v>
      </c>
      <c r="E277" s="201">
        <f t="shared" si="34"/>
        <v>35.722439091204443</v>
      </c>
      <c r="F277" s="368">
        <f t="shared" si="35"/>
        <v>0.74154476829739591</v>
      </c>
      <c r="G277" s="379">
        <f t="shared" si="36"/>
        <v>0</v>
      </c>
      <c r="H277" s="376">
        <f t="shared" si="37"/>
        <v>0</v>
      </c>
      <c r="I277" s="379">
        <f t="shared" si="38"/>
        <v>0</v>
      </c>
      <c r="J277" s="376">
        <f t="shared" si="39"/>
        <v>0</v>
      </c>
      <c r="K277" s="371">
        <f t="shared" si="40"/>
        <v>0</v>
      </c>
      <c r="L277" s="375">
        <f t="shared" si="41"/>
        <v>0</v>
      </c>
      <c r="M277" s="113">
        <f>L277*D277*'B) D RI'!S279</f>
        <v>0</v>
      </c>
    </row>
    <row r="278" spans="1:13" x14ac:dyDescent="0.25">
      <c r="A278" s="297">
        <f>'A) Base RI'!A280</f>
        <v>5885</v>
      </c>
      <c r="B278" s="32" t="str">
        <f>'A) Base RI'!B280</f>
        <v>Jongny</v>
      </c>
      <c r="C278" s="295">
        <f>'B) D RI'!U280</f>
        <v>85101.213069544348</v>
      </c>
      <c r="D278" s="32">
        <f>'B) D RI'!AA280</f>
        <v>1670</v>
      </c>
      <c r="E278" s="201">
        <f t="shared" si="34"/>
        <v>50.95881022128404</v>
      </c>
      <c r="F278" s="368">
        <f t="shared" si="35"/>
        <v>1.0578291986662591</v>
      </c>
      <c r="G278" s="379">
        <f t="shared" si="36"/>
        <v>2.78580621880959</v>
      </c>
      <c r="H278" s="376">
        <f t="shared" si="37"/>
        <v>0</v>
      </c>
      <c r="I278" s="379">
        <f t="shared" si="38"/>
        <v>0</v>
      </c>
      <c r="J278" s="376">
        <f t="shared" si="39"/>
        <v>0</v>
      </c>
      <c r="K278" s="371">
        <f t="shared" si="40"/>
        <v>0</v>
      </c>
      <c r="L278" s="375">
        <f t="shared" si="41"/>
        <v>0.557161243761918</v>
      </c>
      <c r="M278" s="113">
        <f>L278*D278*'B) D RI'!S280</f>
        <v>64666.919757227013</v>
      </c>
    </row>
    <row r="279" spans="1:13" x14ac:dyDescent="0.25">
      <c r="A279" s="297">
        <f>'A) Base RI'!A281</f>
        <v>5886</v>
      </c>
      <c r="B279" s="32" t="str">
        <f>'A) Base RI'!B281</f>
        <v>Montreux</v>
      </c>
      <c r="C279" s="295">
        <f>'B) D RI'!U281</f>
        <v>1097075.3945128203</v>
      </c>
      <c r="D279" s="32">
        <f>'B) D RI'!AA281</f>
        <v>26180</v>
      </c>
      <c r="E279" s="201">
        <f t="shared" si="34"/>
        <v>41.905095283148214</v>
      </c>
      <c r="F279" s="368">
        <f t="shared" si="35"/>
        <v>0.86988752623763554</v>
      </c>
      <c r="G279" s="379">
        <f t="shared" si="36"/>
        <v>0</v>
      </c>
      <c r="H279" s="376">
        <f t="shared" si="37"/>
        <v>0</v>
      </c>
      <c r="I279" s="379">
        <f t="shared" si="38"/>
        <v>0</v>
      </c>
      <c r="J279" s="376">
        <f t="shared" si="39"/>
        <v>0</v>
      </c>
      <c r="K279" s="371">
        <f t="shared" si="40"/>
        <v>0</v>
      </c>
      <c r="L279" s="375">
        <f t="shared" si="41"/>
        <v>0</v>
      </c>
      <c r="M279" s="113">
        <f>L279*D279*'B) D RI'!S281</f>
        <v>0</v>
      </c>
    </row>
    <row r="280" spans="1:13" x14ac:dyDescent="0.25">
      <c r="A280" s="297">
        <f>'A) Base RI'!A282</f>
        <v>5888</v>
      </c>
      <c r="B280" s="32" t="str">
        <f>'A) Base RI'!B282</f>
        <v>Saint-Légier-La Chiésaz</v>
      </c>
      <c r="C280" s="295">
        <f>'B) D RI'!U282</f>
        <v>325579.73326034058</v>
      </c>
      <c r="D280" s="32">
        <f>'B) D RI'!AA282</f>
        <v>5522</v>
      </c>
      <c r="E280" s="201">
        <f t="shared" si="34"/>
        <v>58.960473245262691</v>
      </c>
      <c r="F280" s="368">
        <f t="shared" si="35"/>
        <v>1.2239318362258276</v>
      </c>
      <c r="G280" s="379">
        <f t="shared" si="36"/>
        <v>10.787469242788241</v>
      </c>
      <c r="H280" s="376">
        <f t="shared" si="37"/>
        <v>1.1528684422933537</v>
      </c>
      <c r="I280" s="379">
        <f t="shared" si="38"/>
        <v>0</v>
      </c>
      <c r="J280" s="376">
        <f t="shared" si="39"/>
        <v>0</v>
      </c>
      <c r="K280" s="371">
        <f t="shared" si="40"/>
        <v>0</v>
      </c>
      <c r="L280" s="375">
        <f t="shared" si="41"/>
        <v>2.2727806927869838</v>
      </c>
      <c r="M280" s="113">
        <f>L280*D280*'B) D RI'!S282</f>
        <v>859695.20651152614</v>
      </c>
    </row>
    <row r="281" spans="1:13" x14ac:dyDescent="0.25">
      <c r="A281" s="297">
        <f>'A) Base RI'!A283</f>
        <v>5889</v>
      </c>
      <c r="B281" s="32" t="str">
        <f>'A) Base RI'!B283</f>
        <v>La Tour-de-Peilz</v>
      </c>
      <c r="C281" s="295">
        <f>'B) D RI'!U283</f>
        <v>675962.70015625004</v>
      </c>
      <c r="D281" s="32">
        <f>'B) D RI'!AA283</f>
        <v>12088</v>
      </c>
      <c r="E281" s="201">
        <f t="shared" si="34"/>
        <v>55.920143957333721</v>
      </c>
      <c r="F281" s="368">
        <f t="shared" si="35"/>
        <v>1.1608191167497326</v>
      </c>
      <c r="G281" s="379">
        <f t="shared" si="36"/>
        <v>7.7471399548592714</v>
      </c>
      <c r="H281" s="376">
        <f t="shared" si="37"/>
        <v>0</v>
      </c>
      <c r="I281" s="379">
        <f t="shared" si="38"/>
        <v>0</v>
      </c>
      <c r="J281" s="376">
        <f t="shared" si="39"/>
        <v>0</v>
      </c>
      <c r="K281" s="371">
        <f t="shared" si="40"/>
        <v>0</v>
      </c>
      <c r="L281" s="375">
        <f t="shared" si="41"/>
        <v>1.5494279909718545</v>
      </c>
      <c r="M281" s="113">
        <f>L281*D281*'B) D RI'!S283</f>
        <v>1198687.0755115377</v>
      </c>
    </row>
    <row r="282" spans="1:13" x14ac:dyDescent="0.25">
      <c r="A282" s="297">
        <f>'A) Base RI'!A284</f>
        <v>5890</v>
      </c>
      <c r="B282" s="32" t="str">
        <f>'A) Base RI'!B284</f>
        <v>Vevey</v>
      </c>
      <c r="C282" s="295">
        <f>'B) D RI'!U284</f>
        <v>862625.86017897108</v>
      </c>
      <c r="D282" s="32">
        <f>'B) D RI'!AA284</f>
        <v>19780</v>
      </c>
      <c r="E282" s="201">
        <f t="shared" si="34"/>
        <v>43.611014164760924</v>
      </c>
      <c r="F282" s="368">
        <f t="shared" si="35"/>
        <v>0.90529986800326601</v>
      </c>
      <c r="G282" s="379">
        <f t="shared" si="36"/>
        <v>0</v>
      </c>
      <c r="H282" s="376">
        <f t="shared" si="37"/>
        <v>0</v>
      </c>
      <c r="I282" s="379">
        <f t="shared" si="38"/>
        <v>0</v>
      </c>
      <c r="J282" s="376">
        <f t="shared" si="39"/>
        <v>0</v>
      </c>
      <c r="K282" s="371">
        <f t="shared" si="40"/>
        <v>0</v>
      </c>
      <c r="L282" s="375">
        <f t="shared" si="41"/>
        <v>0</v>
      </c>
      <c r="M282" s="113">
        <f>L282*D282*'B) D RI'!S284</f>
        <v>0</v>
      </c>
    </row>
    <row r="283" spans="1:13" x14ac:dyDescent="0.25">
      <c r="A283" s="297">
        <f>'A) Base RI'!A285</f>
        <v>5891</v>
      </c>
      <c r="B283" s="32" t="str">
        <f>'A) Base RI'!B285</f>
        <v>Veytaux</v>
      </c>
      <c r="C283" s="295">
        <f>'B) D RI'!U285</f>
        <v>43950.38565947242</v>
      </c>
      <c r="D283" s="32">
        <f>'B) D RI'!AA285</f>
        <v>956</v>
      </c>
      <c r="E283" s="201">
        <f t="shared" si="34"/>
        <v>45.973206756770317</v>
      </c>
      <c r="F283" s="368">
        <f t="shared" si="35"/>
        <v>0.95433547707360877</v>
      </c>
      <c r="G283" s="379">
        <f t="shared" si="36"/>
        <v>0</v>
      </c>
      <c r="H283" s="376">
        <f t="shared" si="37"/>
        <v>0</v>
      </c>
      <c r="I283" s="379">
        <f t="shared" si="38"/>
        <v>0</v>
      </c>
      <c r="J283" s="376">
        <f t="shared" si="39"/>
        <v>0</v>
      </c>
      <c r="K283" s="371">
        <f t="shared" si="40"/>
        <v>0</v>
      </c>
      <c r="L283" s="375">
        <f t="shared" si="41"/>
        <v>0</v>
      </c>
      <c r="M283" s="113">
        <f>L283*D283*'B) D RI'!S285</f>
        <v>0</v>
      </c>
    </row>
    <row r="284" spans="1:13" x14ac:dyDescent="0.25">
      <c r="A284" s="297">
        <f>'A) Base RI'!A286</f>
        <v>5902</v>
      </c>
      <c r="B284" s="32" t="str">
        <f>'A) Base RI'!B286</f>
        <v>Belmont-sur-Yverdon</v>
      </c>
      <c r="C284" s="295">
        <f>'B) D RI'!U286</f>
        <v>11749.165714285717</v>
      </c>
      <c r="D284" s="32">
        <f>'B) D RI'!AA286</f>
        <v>396</v>
      </c>
      <c r="E284" s="201">
        <f t="shared" si="34"/>
        <v>29.669610389610394</v>
      </c>
      <c r="F284" s="368">
        <f t="shared" si="35"/>
        <v>0.61589703619243652</v>
      </c>
      <c r="G284" s="379">
        <f t="shared" si="36"/>
        <v>0</v>
      </c>
      <c r="H284" s="376">
        <f t="shared" si="37"/>
        <v>0</v>
      </c>
      <c r="I284" s="379">
        <f t="shared" si="38"/>
        <v>0</v>
      </c>
      <c r="J284" s="376">
        <f t="shared" si="39"/>
        <v>0</v>
      </c>
      <c r="K284" s="371">
        <f t="shared" si="40"/>
        <v>0</v>
      </c>
      <c r="L284" s="375">
        <f t="shared" si="41"/>
        <v>0</v>
      </c>
      <c r="M284" s="113">
        <f>L284*D284*'B) D RI'!S286</f>
        <v>0</v>
      </c>
    </row>
    <row r="285" spans="1:13" x14ac:dyDescent="0.25">
      <c r="A285" s="297">
        <f>'A) Base RI'!A287</f>
        <v>5903</v>
      </c>
      <c r="B285" s="32" t="str">
        <f>'A) Base RI'!B287</f>
        <v>Bioley-Magnoux</v>
      </c>
      <c r="C285" s="295">
        <f>'B) D RI'!U287</f>
        <v>5017.2132738095233</v>
      </c>
      <c r="D285" s="32">
        <f>'B) D RI'!AA287</f>
        <v>230</v>
      </c>
      <c r="E285" s="201">
        <f t="shared" si="34"/>
        <v>21.813970755693578</v>
      </c>
      <c r="F285" s="368">
        <f t="shared" si="35"/>
        <v>0.4528256272864587</v>
      </c>
      <c r="G285" s="379">
        <f t="shared" si="36"/>
        <v>0</v>
      </c>
      <c r="H285" s="376">
        <f t="shared" si="37"/>
        <v>0</v>
      </c>
      <c r="I285" s="379">
        <f t="shared" si="38"/>
        <v>0</v>
      </c>
      <c r="J285" s="376">
        <f t="shared" si="39"/>
        <v>0</v>
      </c>
      <c r="K285" s="371">
        <f t="shared" si="40"/>
        <v>0</v>
      </c>
      <c r="L285" s="375">
        <f t="shared" si="41"/>
        <v>0</v>
      </c>
      <c r="M285" s="113">
        <f>L285*D285*'B) D RI'!S287</f>
        <v>0</v>
      </c>
    </row>
    <row r="286" spans="1:13" x14ac:dyDescent="0.25">
      <c r="A286" s="297">
        <f>'A) Base RI'!A288</f>
        <v>5904</v>
      </c>
      <c r="B286" s="32" t="str">
        <f>'A) Base RI'!B288</f>
        <v>Chamblon</v>
      </c>
      <c r="C286" s="295">
        <f>'B) D RI'!U288</f>
        <v>21694.056363636359</v>
      </c>
      <c r="D286" s="32">
        <f>'B) D RI'!AA288</f>
        <v>559</v>
      </c>
      <c r="E286" s="201">
        <f t="shared" si="34"/>
        <v>38.808687591478282</v>
      </c>
      <c r="F286" s="368">
        <f t="shared" si="35"/>
        <v>0.80561070240678445</v>
      </c>
      <c r="G286" s="379">
        <f t="shared" si="36"/>
        <v>0</v>
      </c>
      <c r="H286" s="376">
        <f t="shared" si="37"/>
        <v>0</v>
      </c>
      <c r="I286" s="379">
        <f t="shared" si="38"/>
        <v>0</v>
      </c>
      <c r="J286" s="376">
        <f t="shared" si="39"/>
        <v>0</v>
      </c>
      <c r="K286" s="371">
        <f t="shared" si="40"/>
        <v>0</v>
      </c>
      <c r="L286" s="375">
        <f t="shared" si="41"/>
        <v>0</v>
      </c>
      <c r="M286" s="113">
        <f>L286*D286*'B) D RI'!S288</f>
        <v>0</v>
      </c>
    </row>
    <row r="287" spans="1:13" x14ac:dyDescent="0.25">
      <c r="A287" s="297">
        <f>'A) Base RI'!A289</f>
        <v>5905</v>
      </c>
      <c r="B287" s="32" t="str">
        <f>'A) Base RI'!B289</f>
        <v>Champvent</v>
      </c>
      <c r="C287" s="295">
        <f>'B) D RI'!U289</f>
        <v>21622.169859154932</v>
      </c>
      <c r="D287" s="32">
        <f>'B) D RI'!AA289</f>
        <v>696</v>
      </c>
      <c r="E287" s="201">
        <f t="shared" si="34"/>
        <v>31.06633600453295</v>
      </c>
      <c r="F287" s="368">
        <f t="shared" si="35"/>
        <v>0.64489098506161668</v>
      </c>
      <c r="G287" s="379">
        <f t="shared" si="36"/>
        <v>0</v>
      </c>
      <c r="H287" s="376">
        <f t="shared" si="37"/>
        <v>0</v>
      </c>
      <c r="I287" s="379">
        <f t="shared" si="38"/>
        <v>0</v>
      </c>
      <c r="J287" s="376">
        <f t="shared" si="39"/>
        <v>0</v>
      </c>
      <c r="K287" s="371">
        <f t="shared" si="40"/>
        <v>0</v>
      </c>
      <c r="L287" s="375">
        <f t="shared" si="41"/>
        <v>0</v>
      </c>
      <c r="M287" s="113">
        <f>L287*D287*'B) D RI'!S289</f>
        <v>0</v>
      </c>
    </row>
    <row r="288" spans="1:13" x14ac:dyDescent="0.25">
      <c r="A288" s="297">
        <f>'A) Base RI'!A290</f>
        <v>5907</v>
      </c>
      <c r="B288" s="32" t="str">
        <f>'A) Base RI'!B290</f>
        <v>Chavannes-le-Chêne</v>
      </c>
      <c r="C288" s="295">
        <f>'B) D RI'!U290</f>
        <v>9891.0456000000013</v>
      </c>
      <c r="D288" s="32">
        <f>'B) D RI'!AA290</f>
        <v>324</v>
      </c>
      <c r="E288" s="201">
        <f t="shared" si="34"/>
        <v>30.527918518518522</v>
      </c>
      <c r="F288" s="368">
        <f t="shared" si="35"/>
        <v>0.63371423789453585</v>
      </c>
      <c r="G288" s="379">
        <f t="shared" si="36"/>
        <v>0</v>
      </c>
      <c r="H288" s="376">
        <f t="shared" si="37"/>
        <v>0</v>
      </c>
      <c r="I288" s="379">
        <f t="shared" si="38"/>
        <v>0</v>
      </c>
      <c r="J288" s="376">
        <f t="shared" si="39"/>
        <v>0</v>
      </c>
      <c r="K288" s="371">
        <f t="shared" si="40"/>
        <v>0</v>
      </c>
      <c r="L288" s="375">
        <f t="shared" si="41"/>
        <v>0</v>
      </c>
      <c r="M288" s="113">
        <f>L288*D288*'B) D RI'!S290</f>
        <v>0</v>
      </c>
    </row>
    <row r="289" spans="1:13" x14ac:dyDescent="0.25">
      <c r="A289" s="297">
        <f>'A) Base RI'!A291</f>
        <v>5908</v>
      </c>
      <c r="B289" s="32" t="str">
        <f>'A) Base RI'!B291</f>
        <v>Chêne-Pâquier</v>
      </c>
      <c r="C289" s="295">
        <f>'B) D RI'!U291</f>
        <v>6502.4863291139245</v>
      </c>
      <c r="D289" s="32">
        <f>'B) D RI'!AA291</f>
        <v>144</v>
      </c>
      <c r="E289" s="201">
        <f t="shared" si="34"/>
        <v>45.156155063291145</v>
      </c>
      <c r="F289" s="368">
        <f t="shared" si="35"/>
        <v>0.93737469768278636</v>
      </c>
      <c r="G289" s="379">
        <f t="shared" si="36"/>
        <v>0</v>
      </c>
      <c r="H289" s="376">
        <f t="shared" si="37"/>
        <v>0</v>
      </c>
      <c r="I289" s="379">
        <f t="shared" si="38"/>
        <v>0</v>
      </c>
      <c r="J289" s="376">
        <f t="shared" si="39"/>
        <v>0</v>
      </c>
      <c r="K289" s="371">
        <f t="shared" si="40"/>
        <v>0</v>
      </c>
      <c r="L289" s="375">
        <f t="shared" si="41"/>
        <v>0</v>
      </c>
      <c r="M289" s="113">
        <f>L289*D289*'B) D RI'!S291</f>
        <v>0</v>
      </c>
    </row>
    <row r="290" spans="1:13" x14ac:dyDescent="0.25">
      <c r="A290" s="297">
        <f>'A) Base RI'!A292</f>
        <v>5909</v>
      </c>
      <c r="B290" s="32" t="str">
        <f>'A) Base RI'!B292</f>
        <v>Cheseaux-Noréaz</v>
      </c>
      <c r="C290" s="295">
        <f>'B) D RI'!U292</f>
        <v>39259.116417910453</v>
      </c>
      <c r="D290" s="32">
        <f>'B) D RI'!AA292</f>
        <v>741</v>
      </c>
      <c r="E290" s="201">
        <f t="shared" si="34"/>
        <v>52.981263721876452</v>
      </c>
      <c r="F290" s="368">
        <f t="shared" si="35"/>
        <v>1.0998123288959729</v>
      </c>
      <c r="G290" s="379">
        <f t="shared" si="36"/>
        <v>4.8082597194020025</v>
      </c>
      <c r="H290" s="376">
        <f t="shared" si="37"/>
        <v>0</v>
      </c>
      <c r="I290" s="379">
        <f t="shared" si="38"/>
        <v>0</v>
      </c>
      <c r="J290" s="376">
        <f t="shared" si="39"/>
        <v>0</v>
      </c>
      <c r="K290" s="371">
        <f t="shared" si="40"/>
        <v>0</v>
      </c>
      <c r="L290" s="375">
        <f t="shared" si="41"/>
        <v>0.96165194388040054</v>
      </c>
      <c r="M290" s="113">
        <f>L290*D290*'B) D RI'!S292</f>
        <v>47743.134057830241</v>
      </c>
    </row>
    <row r="291" spans="1:13" x14ac:dyDescent="0.25">
      <c r="A291" s="297">
        <f>'A) Base RI'!A293</f>
        <v>5910</v>
      </c>
      <c r="B291" s="32" t="str">
        <f>'A) Base RI'!B293</f>
        <v>Cronay</v>
      </c>
      <c r="C291" s="295">
        <f>'B) D RI'!U293</f>
        <v>9976.0020779220758</v>
      </c>
      <c r="D291" s="32">
        <f>'B) D RI'!AA293</f>
        <v>393</v>
      </c>
      <c r="E291" s="201">
        <f t="shared" si="34"/>
        <v>25.384229205908589</v>
      </c>
      <c r="F291" s="368">
        <f t="shared" si="35"/>
        <v>0.52693888893880703</v>
      </c>
      <c r="G291" s="379">
        <f t="shared" si="36"/>
        <v>0</v>
      </c>
      <c r="H291" s="376">
        <f t="shared" si="37"/>
        <v>0</v>
      </c>
      <c r="I291" s="379">
        <f t="shared" si="38"/>
        <v>0</v>
      </c>
      <c r="J291" s="376">
        <f t="shared" si="39"/>
        <v>0</v>
      </c>
      <c r="K291" s="371">
        <f t="shared" si="40"/>
        <v>0</v>
      </c>
      <c r="L291" s="375">
        <f t="shared" si="41"/>
        <v>0</v>
      </c>
      <c r="M291" s="113">
        <f>L291*D291*'B) D RI'!S293</f>
        <v>0</v>
      </c>
    </row>
    <row r="292" spans="1:13" x14ac:dyDescent="0.25">
      <c r="A292" s="297">
        <f>'A) Base RI'!A294</f>
        <v>5911</v>
      </c>
      <c r="B292" s="32" t="str">
        <f>'A) Base RI'!B294</f>
        <v>Cuarny</v>
      </c>
      <c r="C292" s="295">
        <f>'B) D RI'!U294</f>
        <v>6939.596883116883</v>
      </c>
      <c r="D292" s="32">
        <f>'B) D RI'!AA294</f>
        <v>234</v>
      </c>
      <c r="E292" s="201">
        <f t="shared" si="34"/>
        <v>29.656396936396934</v>
      </c>
      <c r="F292" s="368">
        <f t="shared" si="35"/>
        <v>0.61562274453288413</v>
      </c>
      <c r="G292" s="379">
        <f t="shared" si="36"/>
        <v>0</v>
      </c>
      <c r="H292" s="376">
        <f t="shared" si="37"/>
        <v>0</v>
      </c>
      <c r="I292" s="379">
        <f t="shared" si="38"/>
        <v>0</v>
      </c>
      <c r="J292" s="376">
        <f t="shared" si="39"/>
        <v>0</v>
      </c>
      <c r="K292" s="371">
        <f t="shared" si="40"/>
        <v>0</v>
      </c>
      <c r="L292" s="375">
        <f t="shared" si="41"/>
        <v>0</v>
      </c>
      <c r="M292" s="113">
        <f>L292*D292*'B) D RI'!S294</f>
        <v>0</v>
      </c>
    </row>
    <row r="293" spans="1:13" x14ac:dyDescent="0.25">
      <c r="A293" s="297">
        <f>'A) Base RI'!A295</f>
        <v>5912</v>
      </c>
      <c r="B293" s="32" t="str">
        <f>'A) Base RI'!B295</f>
        <v>Démoret</v>
      </c>
      <c r="C293" s="295">
        <f>'B) D RI'!U295</f>
        <v>4059.5274074074073</v>
      </c>
      <c r="D293" s="32">
        <f>'B) D RI'!AA295</f>
        <v>158</v>
      </c>
      <c r="E293" s="201">
        <f t="shared" si="34"/>
        <v>25.693211439287388</v>
      </c>
      <c r="F293" s="368">
        <f t="shared" si="35"/>
        <v>0.53335290109721278</v>
      </c>
      <c r="G293" s="379">
        <f t="shared" si="36"/>
        <v>0</v>
      </c>
      <c r="H293" s="376">
        <f t="shared" si="37"/>
        <v>0</v>
      </c>
      <c r="I293" s="379">
        <f t="shared" si="38"/>
        <v>0</v>
      </c>
      <c r="J293" s="376">
        <f t="shared" si="39"/>
        <v>0</v>
      </c>
      <c r="K293" s="371">
        <f t="shared" si="40"/>
        <v>0</v>
      </c>
      <c r="L293" s="375">
        <f t="shared" si="41"/>
        <v>0</v>
      </c>
      <c r="M293" s="113">
        <f>L293*D293*'B) D RI'!S295</f>
        <v>0</v>
      </c>
    </row>
    <row r="294" spans="1:13" x14ac:dyDescent="0.25">
      <c r="A294" s="297">
        <f>'A) Base RI'!A296</f>
        <v>5913</v>
      </c>
      <c r="B294" s="32" t="str">
        <f>'A) Base RI'!B296</f>
        <v>Donneloye</v>
      </c>
      <c r="C294" s="295">
        <f>'B) D RI'!U296</f>
        <v>19880.828493150682</v>
      </c>
      <c r="D294" s="32">
        <f>'B) D RI'!AA296</f>
        <v>829</v>
      </c>
      <c r="E294" s="201">
        <f t="shared" si="34"/>
        <v>23.981699026719763</v>
      </c>
      <c r="F294" s="368">
        <f t="shared" si="35"/>
        <v>0.49782444593839159</v>
      </c>
      <c r="G294" s="379">
        <f t="shared" si="36"/>
        <v>0</v>
      </c>
      <c r="H294" s="376">
        <f t="shared" si="37"/>
        <v>0</v>
      </c>
      <c r="I294" s="379">
        <f t="shared" si="38"/>
        <v>0</v>
      </c>
      <c r="J294" s="376">
        <f t="shared" si="39"/>
        <v>0</v>
      </c>
      <c r="K294" s="371">
        <f t="shared" si="40"/>
        <v>0</v>
      </c>
      <c r="L294" s="375">
        <f t="shared" si="41"/>
        <v>0</v>
      </c>
      <c r="M294" s="113">
        <f>L294*D294*'B) D RI'!S296</f>
        <v>0</v>
      </c>
    </row>
    <row r="295" spans="1:13" x14ac:dyDescent="0.25">
      <c r="A295" s="297">
        <f>'A) Base RI'!A297</f>
        <v>5914</v>
      </c>
      <c r="B295" s="32" t="str">
        <f>'A) Base RI'!B297</f>
        <v>Ependes</v>
      </c>
      <c r="C295" s="295">
        <f>'B) D RI'!U297</f>
        <v>10662.074965986394</v>
      </c>
      <c r="D295" s="32">
        <f>'B) D RI'!AA297</f>
        <v>388</v>
      </c>
      <c r="E295" s="201">
        <f t="shared" si="34"/>
        <v>27.479574654604107</v>
      </c>
      <c r="F295" s="368">
        <f t="shared" si="35"/>
        <v>0.57043514772698412</v>
      </c>
      <c r="G295" s="379">
        <f t="shared" si="36"/>
        <v>0</v>
      </c>
      <c r="H295" s="376">
        <f t="shared" si="37"/>
        <v>0</v>
      </c>
      <c r="I295" s="379">
        <f t="shared" si="38"/>
        <v>0</v>
      </c>
      <c r="J295" s="376">
        <f t="shared" si="39"/>
        <v>0</v>
      </c>
      <c r="K295" s="371">
        <f t="shared" si="40"/>
        <v>0</v>
      </c>
      <c r="L295" s="375">
        <f t="shared" si="41"/>
        <v>0</v>
      </c>
      <c r="M295" s="113">
        <f>L295*D295*'B) D RI'!S297</f>
        <v>0</v>
      </c>
    </row>
    <row r="296" spans="1:13" x14ac:dyDescent="0.25">
      <c r="A296" s="297">
        <f>'A) Base RI'!A298</f>
        <v>5919</v>
      </c>
      <c r="B296" s="32" t="str">
        <f>'A) Base RI'!B298</f>
        <v>Mathod</v>
      </c>
      <c r="C296" s="295">
        <f>'B) D RI'!U298</f>
        <v>21565.598078703704</v>
      </c>
      <c r="D296" s="32">
        <f>'B) D RI'!AA298</f>
        <v>651</v>
      </c>
      <c r="E296" s="201">
        <f t="shared" si="34"/>
        <v>33.126878769130116</v>
      </c>
      <c r="F296" s="368">
        <f t="shared" si="35"/>
        <v>0.68766479182881191</v>
      </c>
      <c r="G296" s="379">
        <f t="shared" si="36"/>
        <v>0</v>
      </c>
      <c r="H296" s="376">
        <f t="shared" si="37"/>
        <v>0</v>
      </c>
      <c r="I296" s="379">
        <f t="shared" si="38"/>
        <v>0</v>
      </c>
      <c r="J296" s="376">
        <f t="shared" si="39"/>
        <v>0</v>
      </c>
      <c r="K296" s="371">
        <f t="shared" si="40"/>
        <v>0</v>
      </c>
      <c r="L296" s="375">
        <f t="shared" si="41"/>
        <v>0</v>
      </c>
      <c r="M296" s="113">
        <f>L296*D296*'B) D RI'!S298</f>
        <v>0</v>
      </c>
    </row>
    <row r="297" spans="1:13" x14ac:dyDescent="0.25">
      <c r="A297" s="297">
        <f>'A) Base RI'!A299</f>
        <v>5921</v>
      </c>
      <c r="B297" s="32" t="str">
        <f>'A) Base RI'!B299</f>
        <v>Molondin</v>
      </c>
      <c r="C297" s="295">
        <f>'B) D RI'!U299</f>
        <v>5675.8933333333334</v>
      </c>
      <c r="D297" s="32">
        <f>'B) D RI'!AA299</f>
        <v>252</v>
      </c>
      <c r="E297" s="201">
        <f t="shared" si="34"/>
        <v>22.523386243386245</v>
      </c>
      <c r="F297" s="368">
        <f t="shared" si="35"/>
        <v>0.46755203894341552</v>
      </c>
      <c r="G297" s="379">
        <f t="shared" si="36"/>
        <v>0</v>
      </c>
      <c r="H297" s="376">
        <f t="shared" si="37"/>
        <v>0</v>
      </c>
      <c r="I297" s="379">
        <f t="shared" si="38"/>
        <v>0</v>
      </c>
      <c r="J297" s="376">
        <f t="shared" si="39"/>
        <v>0</v>
      </c>
      <c r="K297" s="371">
        <f t="shared" si="40"/>
        <v>0</v>
      </c>
      <c r="L297" s="375">
        <f t="shared" si="41"/>
        <v>0</v>
      </c>
      <c r="M297" s="113">
        <f>L297*D297*'B) D RI'!S299</f>
        <v>0</v>
      </c>
    </row>
    <row r="298" spans="1:13" x14ac:dyDescent="0.25">
      <c r="A298" s="297">
        <f>'A) Base RI'!A300</f>
        <v>5922</v>
      </c>
      <c r="B298" s="32" t="str">
        <f>'A) Base RI'!B300</f>
        <v>Montagny-près-Yverdon</v>
      </c>
      <c r="C298" s="295">
        <f>'B) D RI'!U300</f>
        <v>33326.398149606292</v>
      </c>
      <c r="D298" s="32">
        <f>'B) D RI'!AA300</f>
        <v>737</v>
      </c>
      <c r="E298" s="201">
        <f t="shared" si="34"/>
        <v>45.218993418733099</v>
      </c>
      <c r="F298" s="368">
        <f t="shared" si="35"/>
        <v>0.9386791285926529</v>
      </c>
      <c r="G298" s="379">
        <f t="shared" si="36"/>
        <v>0</v>
      </c>
      <c r="H298" s="376">
        <f t="shared" si="37"/>
        <v>0</v>
      </c>
      <c r="I298" s="379">
        <f t="shared" si="38"/>
        <v>0</v>
      </c>
      <c r="J298" s="376">
        <f t="shared" si="39"/>
        <v>0</v>
      </c>
      <c r="K298" s="371">
        <f t="shared" si="40"/>
        <v>0</v>
      </c>
      <c r="L298" s="375">
        <f t="shared" si="41"/>
        <v>0</v>
      </c>
      <c r="M298" s="113">
        <f>L298*D298*'B) D RI'!S300</f>
        <v>0</v>
      </c>
    </row>
    <row r="299" spans="1:13" x14ac:dyDescent="0.25">
      <c r="A299" s="297">
        <f>'A) Base RI'!A301</f>
        <v>5923</v>
      </c>
      <c r="B299" s="32" t="str">
        <f>'A) Base RI'!B301</f>
        <v>Oppens</v>
      </c>
      <c r="C299" s="295">
        <f>'B) D RI'!U301</f>
        <v>4799.240617283951</v>
      </c>
      <c r="D299" s="32">
        <f>'B) D RI'!AA301</f>
        <v>201</v>
      </c>
      <c r="E299" s="201">
        <f t="shared" si="34"/>
        <v>23.876818991462443</v>
      </c>
      <c r="F299" s="368">
        <f t="shared" si="35"/>
        <v>0.49564729221030079</v>
      </c>
      <c r="G299" s="379">
        <f t="shared" si="36"/>
        <v>0</v>
      </c>
      <c r="H299" s="376">
        <f t="shared" si="37"/>
        <v>0</v>
      </c>
      <c r="I299" s="379">
        <f t="shared" si="38"/>
        <v>0</v>
      </c>
      <c r="J299" s="376">
        <f t="shared" si="39"/>
        <v>0</v>
      </c>
      <c r="K299" s="371">
        <f t="shared" si="40"/>
        <v>0</v>
      </c>
      <c r="L299" s="375">
        <f t="shared" si="41"/>
        <v>0</v>
      </c>
      <c r="M299" s="113">
        <f>L299*D299*'B) D RI'!S301</f>
        <v>0</v>
      </c>
    </row>
    <row r="300" spans="1:13" x14ac:dyDescent="0.25">
      <c r="A300" s="297">
        <f>'A) Base RI'!A302</f>
        <v>5924</v>
      </c>
      <c r="B300" s="32" t="str">
        <f>'A) Base RI'!B302</f>
        <v>Orges</v>
      </c>
      <c r="C300" s="295">
        <f>'B) D RI'!U302</f>
        <v>12525.425270270271</v>
      </c>
      <c r="D300" s="32">
        <f>'B) D RI'!AA302</f>
        <v>343</v>
      </c>
      <c r="E300" s="201">
        <f t="shared" si="34"/>
        <v>36.517274840438105</v>
      </c>
      <c r="F300" s="368">
        <f t="shared" si="35"/>
        <v>0.75804437768843236</v>
      </c>
      <c r="G300" s="379">
        <f t="shared" si="36"/>
        <v>0</v>
      </c>
      <c r="H300" s="376">
        <f t="shared" si="37"/>
        <v>0</v>
      </c>
      <c r="I300" s="379">
        <f t="shared" si="38"/>
        <v>0</v>
      </c>
      <c r="J300" s="376">
        <f t="shared" si="39"/>
        <v>0</v>
      </c>
      <c r="K300" s="371">
        <f t="shared" si="40"/>
        <v>0</v>
      </c>
      <c r="L300" s="375">
        <f t="shared" si="41"/>
        <v>0</v>
      </c>
      <c r="M300" s="113">
        <f>L300*D300*'B) D RI'!S302</f>
        <v>0</v>
      </c>
    </row>
    <row r="301" spans="1:13" x14ac:dyDescent="0.25">
      <c r="A301" s="297">
        <f>'A) Base RI'!A303</f>
        <v>5925</v>
      </c>
      <c r="B301" s="32" t="str">
        <f>'A) Base RI'!B303</f>
        <v>Orzens</v>
      </c>
      <c r="C301" s="295">
        <f>'B) D RI'!U303</f>
        <v>5879.4616455696196</v>
      </c>
      <c r="D301" s="32">
        <f>'B) D RI'!AA303</f>
        <v>201</v>
      </c>
      <c r="E301" s="201">
        <f t="shared" si="34"/>
        <v>29.251052963032933</v>
      </c>
      <c r="F301" s="368">
        <f t="shared" si="35"/>
        <v>0.60720840580193891</v>
      </c>
      <c r="G301" s="379">
        <f t="shared" si="36"/>
        <v>0</v>
      </c>
      <c r="H301" s="376">
        <f t="shared" si="37"/>
        <v>0</v>
      </c>
      <c r="I301" s="379">
        <f t="shared" si="38"/>
        <v>0</v>
      </c>
      <c r="J301" s="376">
        <f t="shared" si="39"/>
        <v>0</v>
      </c>
      <c r="K301" s="371">
        <f t="shared" si="40"/>
        <v>0</v>
      </c>
      <c r="L301" s="375">
        <f t="shared" si="41"/>
        <v>0</v>
      </c>
      <c r="M301" s="113">
        <f>L301*D301*'B) D RI'!S303</f>
        <v>0</v>
      </c>
    </row>
    <row r="302" spans="1:13" x14ac:dyDescent="0.25">
      <c r="A302" s="297">
        <f>'A) Base RI'!A304</f>
        <v>5926</v>
      </c>
      <c r="B302" s="32" t="str">
        <f>'A) Base RI'!B304</f>
        <v>Pomy</v>
      </c>
      <c r="C302" s="295">
        <f>'B) D RI'!U304</f>
        <v>27519.38971830986</v>
      </c>
      <c r="D302" s="32">
        <f>'B) D RI'!AA304</f>
        <v>803</v>
      </c>
      <c r="E302" s="201">
        <f t="shared" si="34"/>
        <v>34.270721940610038</v>
      </c>
      <c r="F302" s="368">
        <f t="shared" si="35"/>
        <v>0.71140927683998467</v>
      </c>
      <c r="G302" s="379">
        <f t="shared" si="36"/>
        <v>0</v>
      </c>
      <c r="H302" s="376">
        <f t="shared" si="37"/>
        <v>0</v>
      </c>
      <c r="I302" s="379">
        <f t="shared" si="38"/>
        <v>0</v>
      </c>
      <c r="J302" s="376">
        <f t="shared" si="39"/>
        <v>0</v>
      </c>
      <c r="K302" s="371">
        <f t="shared" si="40"/>
        <v>0</v>
      </c>
      <c r="L302" s="375">
        <f t="shared" si="41"/>
        <v>0</v>
      </c>
      <c r="M302" s="113">
        <f>L302*D302*'B) D RI'!S304</f>
        <v>0</v>
      </c>
    </row>
    <row r="303" spans="1:13" x14ac:dyDescent="0.25">
      <c r="A303" s="297">
        <f>'A) Base RI'!A305</f>
        <v>5928</v>
      </c>
      <c r="B303" s="32" t="str">
        <f>'A) Base RI'!B305</f>
        <v>Rovray</v>
      </c>
      <c r="C303" s="295">
        <f>'B) D RI'!U305</f>
        <v>5563.4060139860139</v>
      </c>
      <c r="D303" s="32">
        <f>'B) D RI'!AA305</f>
        <v>204</v>
      </c>
      <c r="E303" s="201">
        <f t="shared" si="34"/>
        <v>27.271598107774579</v>
      </c>
      <c r="F303" s="368">
        <f t="shared" si="35"/>
        <v>0.56611786357300342</v>
      </c>
      <c r="G303" s="379">
        <f t="shared" si="36"/>
        <v>0</v>
      </c>
      <c r="H303" s="376">
        <f t="shared" si="37"/>
        <v>0</v>
      </c>
      <c r="I303" s="379">
        <f t="shared" si="38"/>
        <v>0</v>
      </c>
      <c r="J303" s="376">
        <f t="shared" si="39"/>
        <v>0</v>
      </c>
      <c r="K303" s="371">
        <f t="shared" si="40"/>
        <v>0</v>
      </c>
      <c r="L303" s="375">
        <f t="shared" si="41"/>
        <v>0</v>
      </c>
      <c r="M303" s="113">
        <f>L303*D303*'B) D RI'!S305</f>
        <v>0</v>
      </c>
    </row>
    <row r="304" spans="1:13" x14ac:dyDescent="0.25">
      <c r="A304" s="297">
        <f>'A) Base RI'!A306</f>
        <v>5929</v>
      </c>
      <c r="B304" s="32" t="str">
        <f>'A) Base RI'!B306</f>
        <v>Suchy</v>
      </c>
      <c r="C304" s="295">
        <f>'B) D RI'!U306</f>
        <v>19827.403178571429</v>
      </c>
      <c r="D304" s="32">
        <f>'B) D RI'!AA306</f>
        <v>656</v>
      </c>
      <c r="E304" s="201">
        <f t="shared" si="34"/>
        <v>30.224699967334494</v>
      </c>
      <c r="F304" s="368">
        <f t="shared" si="35"/>
        <v>0.62741987121629317</v>
      </c>
      <c r="G304" s="379">
        <f t="shared" si="36"/>
        <v>0</v>
      </c>
      <c r="H304" s="376">
        <f t="shared" si="37"/>
        <v>0</v>
      </c>
      <c r="I304" s="379">
        <f t="shared" si="38"/>
        <v>0</v>
      </c>
      <c r="J304" s="376">
        <f t="shared" si="39"/>
        <v>0</v>
      </c>
      <c r="K304" s="371">
        <f t="shared" si="40"/>
        <v>0</v>
      </c>
      <c r="L304" s="375">
        <f t="shared" si="41"/>
        <v>0</v>
      </c>
      <c r="M304" s="113">
        <f>L304*D304*'B) D RI'!S306</f>
        <v>0</v>
      </c>
    </row>
    <row r="305" spans="1:13" x14ac:dyDescent="0.25">
      <c r="A305" s="297">
        <f>'A) Base RI'!A307</f>
        <v>5930</v>
      </c>
      <c r="B305" s="32" t="str">
        <f>'A) Base RI'!B307</f>
        <v>Suscévaz</v>
      </c>
      <c r="C305" s="295">
        <f>'B) D RI'!U307</f>
        <v>5769.1548611111102</v>
      </c>
      <c r="D305" s="32">
        <f>'B) D RI'!AA307</f>
        <v>204</v>
      </c>
      <c r="E305" s="201">
        <f t="shared" si="34"/>
        <v>28.28017088779956</v>
      </c>
      <c r="F305" s="368">
        <f t="shared" si="35"/>
        <v>0.58705433620761793</v>
      </c>
      <c r="G305" s="379">
        <f t="shared" si="36"/>
        <v>0</v>
      </c>
      <c r="H305" s="376">
        <f t="shared" si="37"/>
        <v>0</v>
      </c>
      <c r="I305" s="379">
        <f t="shared" si="38"/>
        <v>0</v>
      </c>
      <c r="J305" s="376">
        <f t="shared" si="39"/>
        <v>0</v>
      </c>
      <c r="K305" s="371">
        <f t="shared" si="40"/>
        <v>0</v>
      </c>
      <c r="L305" s="375">
        <f t="shared" si="41"/>
        <v>0</v>
      </c>
      <c r="M305" s="113">
        <f>L305*D305*'B) D RI'!S307</f>
        <v>0</v>
      </c>
    </row>
    <row r="306" spans="1:13" x14ac:dyDescent="0.25">
      <c r="A306" s="297">
        <f>'A) Base RI'!A308</f>
        <v>5931</v>
      </c>
      <c r="B306" s="32" t="str">
        <f>'A) Base RI'!B308</f>
        <v>Treycovagnes</v>
      </c>
      <c r="C306" s="295">
        <f>'B) D RI'!U308</f>
        <v>15383.603066666663</v>
      </c>
      <c r="D306" s="32">
        <f>'B) D RI'!AA308</f>
        <v>485</v>
      </c>
      <c r="E306" s="201">
        <f t="shared" si="34"/>
        <v>31.718769209621986</v>
      </c>
      <c r="F306" s="368">
        <f t="shared" si="35"/>
        <v>0.65843452918137968</v>
      </c>
      <c r="G306" s="379">
        <f t="shared" si="36"/>
        <v>0</v>
      </c>
      <c r="H306" s="376">
        <f t="shared" si="37"/>
        <v>0</v>
      </c>
      <c r="I306" s="379">
        <f t="shared" si="38"/>
        <v>0</v>
      </c>
      <c r="J306" s="376">
        <f t="shared" si="39"/>
        <v>0</v>
      </c>
      <c r="K306" s="371">
        <f t="shared" si="40"/>
        <v>0</v>
      </c>
      <c r="L306" s="375">
        <f t="shared" si="41"/>
        <v>0</v>
      </c>
      <c r="M306" s="113">
        <f>L306*D306*'B) D RI'!S308</f>
        <v>0</v>
      </c>
    </row>
    <row r="307" spans="1:13" x14ac:dyDescent="0.25">
      <c r="A307" s="297">
        <f>'A) Base RI'!A309</f>
        <v>5932</v>
      </c>
      <c r="B307" s="32" t="str">
        <f>'A) Base RI'!B309</f>
        <v>Ursins</v>
      </c>
      <c r="C307" s="295">
        <f>'B) D RI'!U309</f>
        <v>6819.4023999999999</v>
      </c>
      <c r="D307" s="32">
        <f>'B) D RI'!AA309</f>
        <v>238</v>
      </c>
      <c r="E307" s="201">
        <f t="shared" si="34"/>
        <v>28.652951260504203</v>
      </c>
      <c r="F307" s="368">
        <f t="shared" si="35"/>
        <v>0.59479270296351916</v>
      </c>
      <c r="G307" s="379">
        <f t="shared" si="36"/>
        <v>0</v>
      </c>
      <c r="H307" s="376">
        <f t="shared" si="37"/>
        <v>0</v>
      </c>
      <c r="I307" s="379">
        <f t="shared" si="38"/>
        <v>0</v>
      </c>
      <c r="J307" s="376">
        <f t="shared" si="39"/>
        <v>0</v>
      </c>
      <c r="K307" s="371">
        <f t="shared" si="40"/>
        <v>0</v>
      </c>
      <c r="L307" s="375">
        <f t="shared" si="41"/>
        <v>0</v>
      </c>
      <c r="M307" s="113">
        <f>L307*D307*'B) D RI'!S309</f>
        <v>0</v>
      </c>
    </row>
    <row r="308" spans="1:13" x14ac:dyDescent="0.25">
      <c r="A308" s="297">
        <f>'A) Base RI'!A310</f>
        <v>5933</v>
      </c>
      <c r="B308" s="32" t="str">
        <f>'A) Base RI'!B310</f>
        <v>Valeyres-sous-Montagny</v>
      </c>
      <c r="C308" s="295">
        <f>'B) D RI'!U310</f>
        <v>22572.377872340428</v>
      </c>
      <c r="D308" s="32">
        <f>'B) D RI'!AA310</f>
        <v>714</v>
      </c>
      <c r="E308" s="201">
        <f t="shared" si="34"/>
        <v>31.613974611121048</v>
      </c>
      <c r="F308" s="368">
        <f t="shared" si="35"/>
        <v>0.65625914899343141</v>
      </c>
      <c r="G308" s="379">
        <f t="shared" si="36"/>
        <v>0</v>
      </c>
      <c r="H308" s="376">
        <f t="shared" si="37"/>
        <v>0</v>
      </c>
      <c r="I308" s="379">
        <f t="shared" si="38"/>
        <v>0</v>
      </c>
      <c r="J308" s="376">
        <f t="shared" si="39"/>
        <v>0</v>
      </c>
      <c r="K308" s="371">
        <f t="shared" si="40"/>
        <v>0</v>
      </c>
      <c r="L308" s="375">
        <f t="shared" si="41"/>
        <v>0</v>
      </c>
      <c r="M308" s="113">
        <f>L308*D308*'B) D RI'!S310</f>
        <v>0</v>
      </c>
    </row>
    <row r="309" spans="1:13" x14ac:dyDescent="0.25">
      <c r="A309" s="297">
        <f>'A) Base RI'!A311</f>
        <v>5934</v>
      </c>
      <c r="B309" s="32" t="str">
        <f>'A) Base RI'!B311</f>
        <v>Valeyres-sous-Ursins</v>
      </c>
      <c r="C309" s="295">
        <f>'B) D RI'!U311</f>
        <v>7577.3788607594925</v>
      </c>
      <c r="D309" s="32">
        <f>'B) D RI'!AA311</f>
        <v>241</v>
      </c>
      <c r="E309" s="201">
        <f t="shared" si="34"/>
        <v>31.441406061242706</v>
      </c>
      <c r="F309" s="368">
        <f t="shared" si="35"/>
        <v>0.65267688225603893</v>
      </c>
      <c r="G309" s="379">
        <f t="shared" si="36"/>
        <v>0</v>
      </c>
      <c r="H309" s="376">
        <f t="shared" si="37"/>
        <v>0</v>
      </c>
      <c r="I309" s="379">
        <f t="shared" si="38"/>
        <v>0</v>
      </c>
      <c r="J309" s="376">
        <f t="shared" si="39"/>
        <v>0</v>
      </c>
      <c r="K309" s="371">
        <f t="shared" si="40"/>
        <v>0</v>
      </c>
      <c r="L309" s="375">
        <f t="shared" si="41"/>
        <v>0</v>
      </c>
      <c r="M309" s="113">
        <f>L309*D309*'B) D RI'!S311</f>
        <v>0</v>
      </c>
    </row>
    <row r="310" spans="1:13" x14ac:dyDescent="0.25">
      <c r="A310" s="297">
        <f>'A) Base RI'!A312</f>
        <v>5935</v>
      </c>
      <c r="B310" s="32" t="str">
        <f>'A) Base RI'!B312</f>
        <v>Villars-Epeney</v>
      </c>
      <c r="C310" s="295">
        <f>'B) D RI'!U312</f>
        <v>3912.8696666666669</v>
      </c>
      <c r="D310" s="32">
        <f>'B) D RI'!AA312</f>
        <v>101</v>
      </c>
      <c r="E310" s="201">
        <f t="shared" si="34"/>
        <v>38.741283828382841</v>
      </c>
      <c r="F310" s="368">
        <f t="shared" si="35"/>
        <v>0.80421150041614298</v>
      </c>
      <c r="G310" s="379">
        <f t="shared" si="36"/>
        <v>0</v>
      </c>
      <c r="H310" s="376">
        <f t="shared" si="37"/>
        <v>0</v>
      </c>
      <c r="I310" s="379">
        <f t="shared" si="38"/>
        <v>0</v>
      </c>
      <c r="J310" s="376">
        <f t="shared" si="39"/>
        <v>0</v>
      </c>
      <c r="K310" s="371">
        <f t="shared" si="40"/>
        <v>0</v>
      </c>
      <c r="L310" s="375">
        <f t="shared" si="41"/>
        <v>0</v>
      </c>
      <c r="M310" s="113">
        <f>L310*D310*'B) D RI'!S312</f>
        <v>0</v>
      </c>
    </row>
    <row r="311" spans="1:13" x14ac:dyDescent="0.25">
      <c r="A311" s="297">
        <f>'A) Base RI'!A313</f>
        <v>5937</v>
      </c>
      <c r="B311" s="32" t="str">
        <f>'A) Base RI'!B313</f>
        <v>Vugelles-La Mothe</v>
      </c>
      <c r="C311" s="295">
        <f>'B) D RI'!U313</f>
        <v>3187.6957755102044</v>
      </c>
      <c r="D311" s="32">
        <f>'B) D RI'!AA313</f>
        <v>138</v>
      </c>
      <c r="E311" s="201">
        <f t="shared" si="34"/>
        <v>23.099244750073943</v>
      </c>
      <c r="F311" s="368">
        <f t="shared" si="35"/>
        <v>0.47950600607940974</v>
      </c>
      <c r="G311" s="379">
        <f t="shared" si="36"/>
        <v>0</v>
      </c>
      <c r="H311" s="376">
        <f t="shared" si="37"/>
        <v>0</v>
      </c>
      <c r="I311" s="379">
        <f t="shared" si="38"/>
        <v>0</v>
      </c>
      <c r="J311" s="376">
        <f t="shared" si="39"/>
        <v>0</v>
      </c>
      <c r="K311" s="371">
        <f t="shared" si="40"/>
        <v>0</v>
      </c>
      <c r="L311" s="375">
        <f t="shared" si="41"/>
        <v>0</v>
      </c>
      <c r="M311" s="113">
        <f>L311*D311*'B) D RI'!S313</f>
        <v>0</v>
      </c>
    </row>
    <row r="312" spans="1:13" x14ac:dyDescent="0.25">
      <c r="A312" s="297">
        <f>'A) Base RI'!A314</f>
        <v>5938</v>
      </c>
      <c r="B312" s="32" t="str">
        <f>'A) Base RI'!B314</f>
        <v>Yverdon-les-Bains</v>
      </c>
      <c r="C312" s="295">
        <f>'B) D RI'!U314</f>
        <v>796551.402</v>
      </c>
      <c r="D312" s="32">
        <f>'B) D RI'!AA314</f>
        <v>29981</v>
      </c>
      <c r="E312" s="201">
        <f t="shared" si="34"/>
        <v>26.56854014208999</v>
      </c>
      <c r="F312" s="368">
        <f t="shared" si="35"/>
        <v>0.55152342462855908</v>
      </c>
      <c r="G312" s="379">
        <f t="shared" si="36"/>
        <v>0</v>
      </c>
      <c r="H312" s="376">
        <f t="shared" si="37"/>
        <v>0</v>
      </c>
      <c r="I312" s="379">
        <f t="shared" si="38"/>
        <v>0</v>
      </c>
      <c r="J312" s="376">
        <f t="shared" si="39"/>
        <v>0</v>
      </c>
      <c r="K312" s="371">
        <f t="shared" si="40"/>
        <v>0</v>
      </c>
      <c r="L312" s="375">
        <f t="shared" si="41"/>
        <v>0</v>
      </c>
      <c r="M312" s="113">
        <f>L312*D312*'B) D RI'!S314</f>
        <v>0</v>
      </c>
    </row>
    <row r="313" spans="1:13" x14ac:dyDescent="0.25">
      <c r="A313" s="297">
        <f>'A) Base RI'!A315</f>
        <v>5939</v>
      </c>
      <c r="B313" s="32" t="str">
        <f>'A) Base RI'!B315</f>
        <v>Yvonand</v>
      </c>
      <c r="C313" s="295">
        <f>'B) D RI'!U315</f>
        <v>92890.042937062928</v>
      </c>
      <c r="D313" s="32">
        <f>'B) D RI'!AA315</f>
        <v>3467</v>
      </c>
      <c r="E313" s="201">
        <f t="shared" si="34"/>
        <v>26.7926284791067</v>
      </c>
      <c r="F313" s="368">
        <f t="shared" si="35"/>
        <v>0.55617516561206093</v>
      </c>
      <c r="G313" s="380">
        <f t="shared" si="36"/>
        <v>0</v>
      </c>
      <c r="H313" s="376">
        <f t="shared" si="37"/>
        <v>0</v>
      </c>
      <c r="I313" s="380">
        <f t="shared" si="38"/>
        <v>0</v>
      </c>
      <c r="J313" s="376">
        <f t="shared" si="39"/>
        <v>0</v>
      </c>
      <c r="K313" s="372">
        <f t="shared" si="40"/>
        <v>0</v>
      </c>
      <c r="L313" s="381">
        <f t="shared" si="41"/>
        <v>0</v>
      </c>
      <c r="M313" s="113">
        <f>L313*D313*'B) D RI'!S315</f>
        <v>0</v>
      </c>
    </row>
    <row r="314" spans="1:13" x14ac:dyDescent="0.25">
      <c r="A314" s="7"/>
      <c r="B314" s="118">
        <f>COUNTA(B5:B313)</f>
        <v>309</v>
      </c>
      <c r="C314" s="296">
        <f>SUM(C5:C313)</f>
        <v>39275450.163217418</v>
      </c>
      <c r="D314" s="274">
        <f>SUM(D5:D313)</f>
        <v>815300</v>
      </c>
      <c r="E314" s="59">
        <f>C314/D314</f>
        <v>48.17300400247445</v>
      </c>
      <c r="F314" s="60">
        <v>1</v>
      </c>
      <c r="G314" s="30"/>
      <c r="H314" s="30"/>
      <c r="I314" s="30"/>
      <c r="J314" s="30"/>
      <c r="K314" s="30"/>
      <c r="L314" s="374"/>
      <c r="M314" s="37">
        <f>SUM(M5:M313)</f>
        <v>151506302.64086565</v>
      </c>
    </row>
    <row r="315" spans="1:13" x14ac:dyDescent="0.25">
      <c r="M315" s="13"/>
    </row>
    <row r="317" spans="1:13" x14ac:dyDescent="0.25">
      <c r="F317" s="15"/>
    </row>
    <row r="318" spans="1:13" x14ac:dyDescent="0.25">
      <c r="F318" s="15"/>
    </row>
    <row r="319" spans="1:13" x14ac:dyDescent="0.25">
      <c r="F319" s="15"/>
      <c r="G319" s="17"/>
      <c r="H319" s="17"/>
    </row>
    <row r="320" spans="1:13" x14ac:dyDescent="0.25">
      <c r="E320" s="28"/>
    </row>
  </sheetData>
  <mergeCells count="6">
    <mergeCell ref="A3:A4"/>
    <mergeCell ref="B3:B4"/>
    <mergeCell ref="F3:F4"/>
    <mergeCell ref="C3:E3"/>
    <mergeCell ref="M3:M4"/>
    <mergeCell ref="L3:L4"/>
  </mergeCells>
  <phoneticPr fontId="21" type="noConversion"/>
  <pageMargins left="0.78740157499999996" right="0.78740157499999996" top="0.984251969" bottom="0.984251969" header="0.4921259845" footer="0.4921259845"/>
  <pageSetup paperSize="9" orientation="portrait" horizontalDpi="4294967292" verticalDpi="4294967292"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8">
    <tabColor rgb="FF00B050"/>
  </sheetPr>
  <dimension ref="A1:AG332"/>
  <sheetViews>
    <sheetView workbookViewId="0">
      <selection activeCell="D7" sqref="D7"/>
    </sheetView>
  </sheetViews>
  <sheetFormatPr baseColWidth="10" defaultColWidth="10.75" defaultRowHeight="15" x14ac:dyDescent="0.25"/>
  <cols>
    <col min="1" max="1" width="7.25" style="13" customWidth="1"/>
    <col min="2" max="2" width="18" style="13" customWidth="1"/>
    <col min="3" max="3" width="13.625" style="13" customWidth="1"/>
    <col min="4" max="4" width="12.75" style="13" customWidth="1"/>
    <col min="5" max="5" width="10.75" style="13" bestFit="1" customWidth="1"/>
    <col min="6" max="6" width="15.125" style="13" customWidth="1"/>
    <col min="7" max="7" width="12.125" style="13" customWidth="1"/>
    <col min="8" max="8" width="9.25" style="13" customWidth="1"/>
    <col min="9" max="10" width="12.125" style="13" customWidth="1"/>
    <col min="11" max="11" width="9.25" style="13" customWidth="1"/>
    <col min="12" max="12" width="13" style="13" bestFit="1" customWidth="1"/>
    <col min="13" max="13" width="12.125" style="13" customWidth="1"/>
    <col min="14" max="14" width="14" style="13" customWidth="1"/>
    <col min="15" max="20" width="12.125" style="13" customWidth="1"/>
    <col min="21" max="23" width="8.125" style="13" customWidth="1"/>
    <col min="24" max="31" width="11" style="13" customWidth="1"/>
    <col min="32" max="32" width="9.25" style="13" customWidth="1"/>
    <col min="33" max="33" width="11" style="13" customWidth="1"/>
    <col min="34" max="16384" width="10.75" style="13"/>
  </cols>
  <sheetData>
    <row r="1" spans="1:33" s="43" customFormat="1" ht="20.25" customHeight="1" x14ac:dyDescent="0.25">
      <c r="A1" s="51" t="s">
        <v>93</v>
      </c>
      <c r="B1" s="42"/>
      <c r="C1" s="68"/>
      <c r="D1" s="68"/>
      <c r="E1" s="68"/>
      <c r="F1" s="68"/>
      <c r="G1" s="68"/>
      <c r="H1" s="68"/>
      <c r="I1" s="68"/>
      <c r="J1" s="68"/>
      <c r="K1" s="13"/>
      <c r="L1" s="13"/>
      <c r="M1" s="68"/>
      <c r="N1" s="13"/>
      <c r="O1" s="13"/>
      <c r="P1" s="13"/>
      <c r="Q1" s="13"/>
      <c r="R1" s="13"/>
      <c r="S1" s="13"/>
      <c r="T1" s="13"/>
      <c r="U1" s="13"/>
      <c r="V1" s="13"/>
      <c r="W1" s="13"/>
      <c r="X1" s="13"/>
      <c r="Y1" s="13"/>
      <c r="Z1" s="13"/>
      <c r="AA1" s="13"/>
      <c r="AB1" s="13"/>
      <c r="AC1" s="13"/>
      <c r="AD1" s="13"/>
      <c r="AE1" s="13"/>
      <c r="AF1" s="13"/>
      <c r="AG1" s="13"/>
    </row>
    <row r="2" spans="1:33" s="53" customFormat="1" x14ac:dyDescent="0.25">
      <c r="A2" s="27"/>
      <c r="D2" s="13"/>
      <c r="E2" s="13"/>
      <c r="F2" s="13"/>
      <c r="G2" s="13"/>
      <c r="K2" s="13"/>
      <c r="L2" s="13"/>
      <c r="N2" s="13"/>
      <c r="O2" s="13"/>
      <c r="P2" s="13"/>
      <c r="Q2" s="13"/>
      <c r="R2" s="13"/>
      <c r="S2" s="13"/>
      <c r="T2" s="13"/>
      <c r="U2" s="13"/>
      <c r="V2" s="13"/>
      <c r="W2" s="13"/>
      <c r="X2" s="13"/>
      <c r="Y2" s="13"/>
      <c r="Z2" s="13"/>
      <c r="AA2" s="13"/>
      <c r="AB2" s="13"/>
      <c r="AC2" s="13"/>
      <c r="AD2" s="13"/>
      <c r="AE2" s="13"/>
      <c r="AF2" s="13"/>
      <c r="AG2" s="13"/>
    </row>
    <row r="3" spans="1:33" s="53" customFormat="1" x14ac:dyDescent="0.25">
      <c r="A3" s="604" t="s">
        <v>92</v>
      </c>
      <c r="B3" s="605"/>
      <c r="C3" s="606"/>
      <c r="D3" s="61" t="s">
        <v>543</v>
      </c>
      <c r="E3" s="64" t="s">
        <v>543</v>
      </c>
      <c r="F3" s="13"/>
      <c r="G3" s="13"/>
      <c r="K3" s="13"/>
      <c r="L3" s="13"/>
      <c r="N3" s="13"/>
      <c r="O3" s="13"/>
      <c r="P3" s="13"/>
      <c r="Q3" s="13"/>
      <c r="R3" s="13"/>
      <c r="S3" s="13"/>
      <c r="T3" s="13"/>
      <c r="U3" s="13"/>
      <c r="V3" s="13"/>
      <c r="W3" s="13"/>
      <c r="X3" s="13"/>
      <c r="Y3" s="13"/>
      <c r="Z3" s="13"/>
      <c r="AA3" s="13"/>
      <c r="AB3" s="13"/>
      <c r="AC3" s="13"/>
      <c r="AD3" s="13"/>
      <c r="AE3" s="13"/>
      <c r="AF3" s="13"/>
      <c r="AG3" s="13"/>
    </row>
    <row r="4" spans="1:33" s="53" customFormat="1" x14ac:dyDescent="0.25">
      <c r="A4" s="79" t="s">
        <v>407</v>
      </c>
      <c r="B4" s="80"/>
      <c r="C4" s="89">
        <f>+Paramètres!B58</f>
        <v>845000000</v>
      </c>
      <c r="D4" s="87">
        <f>C4/$E$4</f>
        <v>21.514712027193177</v>
      </c>
      <c r="E4" s="92">
        <f>+'D) Ecrêtage'!C314</f>
        <v>39275450.163217418</v>
      </c>
      <c r="F4" s="13"/>
      <c r="G4" s="13"/>
      <c r="K4" s="13"/>
      <c r="L4" s="373"/>
      <c r="N4" s="13"/>
      <c r="O4" s="13"/>
      <c r="P4" s="13"/>
      <c r="Q4" s="13"/>
      <c r="R4" s="13"/>
      <c r="S4" s="13"/>
      <c r="T4" s="13"/>
      <c r="U4" s="13"/>
      <c r="V4" s="13"/>
      <c r="W4" s="13"/>
      <c r="X4" s="13"/>
      <c r="Y4" s="13"/>
      <c r="Z4" s="13"/>
      <c r="AA4" s="13"/>
      <c r="AB4" s="13"/>
      <c r="AC4" s="13"/>
      <c r="AD4" s="13"/>
      <c r="AE4" s="13"/>
      <c r="AF4" s="13"/>
      <c r="AG4" s="13"/>
    </row>
    <row r="5" spans="1:33" s="53" customFormat="1" x14ac:dyDescent="0.25">
      <c r="A5" s="81" t="s">
        <v>376</v>
      </c>
      <c r="B5" s="82"/>
      <c r="C5" s="9">
        <f>-'C) Prél. conj.'!H314</f>
        <v>-162151332.64999998</v>
      </c>
      <c r="D5" s="33">
        <f>C5/$E$4</f>
        <v>-4.1285671322962791</v>
      </c>
      <c r="E5" s="72"/>
      <c r="F5" s="13"/>
      <c r="G5" s="13"/>
      <c r="K5" s="13"/>
      <c r="L5" s="13"/>
      <c r="N5" s="13"/>
      <c r="O5" s="13"/>
      <c r="P5" s="13"/>
      <c r="Q5" s="13"/>
      <c r="R5" s="13"/>
      <c r="S5" s="13"/>
      <c r="T5" s="13"/>
      <c r="U5" s="13"/>
      <c r="V5" s="13"/>
      <c r="W5" s="13"/>
      <c r="X5" s="13"/>
      <c r="Y5" s="13"/>
      <c r="Z5" s="13"/>
      <c r="AA5" s="13"/>
      <c r="AB5" s="13"/>
      <c r="AC5" s="13"/>
      <c r="AD5" s="13"/>
      <c r="AE5" s="13"/>
      <c r="AF5" s="13"/>
      <c r="AG5" s="13"/>
    </row>
    <row r="6" spans="1:33" s="53" customFormat="1" x14ac:dyDescent="0.25">
      <c r="A6" s="83" t="s">
        <v>377</v>
      </c>
      <c r="B6" s="84"/>
      <c r="C6" s="90">
        <f>-'D) Ecrêtage'!M314</f>
        <v>-151506302.64086565</v>
      </c>
      <c r="D6" s="33">
        <f>C6/$E$4</f>
        <v>-3.8575319190804751</v>
      </c>
      <c r="E6" s="72"/>
      <c r="F6" s="13"/>
      <c r="G6" s="13"/>
      <c r="K6" s="13"/>
      <c r="L6" s="13"/>
      <c r="N6" s="13"/>
      <c r="O6" s="13"/>
      <c r="P6" s="13"/>
      <c r="Q6" s="13"/>
      <c r="R6" s="13"/>
      <c r="S6" s="13"/>
      <c r="T6" s="13"/>
      <c r="U6" s="13"/>
      <c r="V6" s="13"/>
      <c r="W6" s="13"/>
      <c r="X6" s="13"/>
      <c r="Y6" s="13"/>
      <c r="Z6" s="13"/>
      <c r="AA6" s="13"/>
      <c r="AB6" s="13"/>
      <c r="AC6" s="13"/>
      <c r="AD6" s="13"/>
      <c r="AE6" s="13"/>
      <c r="AF6" s="13"/>
      <c r="AG6" s="13"/>
    </row>
    <row r="7" spans="1:33" s="53" customFormat="1" x14ac:dyDescent="0.25">
      <c r="A7" s="75" t="s">
        <v>290</v>
      </c>
      <c r="B7" s="77"/>
      <c r="C7" s="91">
        <f>C4+C6+C5</f>
        <v>531342364.70913434</v>
      </c>
      <c r="D7" s="19">
        <f>C7/$E$4</f>
        <v>13.52861297581642</v>
      </c>
      <c r="E7" s="72"/>
      <c r="F7" s="13"/>
      <c r="G7" s="13"/>
      <c r="K7" s="13"/>
      <c r="L7" s="13"/>
      <c r="N7" s="13"/>
      <c r="O7" s="13"/>
      <c r="P7" s="13"/>
      <c r="Q7" s="13"/>
      <c r="R7" s="13"/>
      <c r="S7" s="13"/>
      <c r="T7" s="13"/>
      <c r="U7" s="13"/>
      <c r="V7" s="13"/>
      <c r="W7" s="13"/>
      <c r="X7" s="13"/>
      <c r="Y7" s="13"/>
      <c r="Z7" s="13"/>
      <c r="AA7" s="13"/>
      <c r="AB7" s="13"/>
      <c r="AC7" s="13"/>
      <c r="AD7" s="13"/>
      <c r="AE7" s="13"/>
      <c r="AF7" s="13"/>
      <c r="AG7" s="13"/>
    </row>
    <row r="8" spans="1:33" s="53" customFormat="1" x14ac:dyDescent="0.25">
      <c r="A8" s="27"/>
      <c r="D8" s="13"/>
      <c r="E8" s="13"/>
      <c r="F8" s="13"/>
      <c r="G8" s="13"/>
      <c r="K8" s="13"/>
      <c r="L8" s="13"/>
      <c r="N8" s="13"/>
      <c r="O8" s="13"/>
      <c r="P8" s="13"/>
      <c r="Q8" s="13"/>
      <c r="R8" s="13"/>
      <c r="S8" s="13"/>
      <c r="T8" s="13"/>
      <c r="U8" s="13"/>
      <c r="V8" s="13"/>
      <c r="W8" s="13"/>
      <c r="X8" s="13"/>
      <c r="Y8" s="13"/>
      <c r="Z8" s="13"/>
      <c r="AA8" s="13"/>
      <c r="AB8" s="13"/>
      <c r="AC8" s="13"/>
      <c r="AD8" s="13"/>
      <c r="AE8" s="13"/>
      <c r="AF8" s="13"/>
      <c r="AG8" s="13"/>
    </row>
    <row r="9" spans="1:33" ht="38.25" customHeight="1" x14ac:dyDescent="0.25">
      <c r="A9" s="582" t="s">
        <v>46</v>
      </c>
      <c r="B9" s="582" t="s">
        <v>96</v>
      </c>
      <c r="C9" s="582" t="s">
        <v>304</v>
      </c>
      <c r="D9" s="582" t="s">
        <v>436</v>
      </c>
      <c r="E9" s="609" t="s">
        <v>474</v>
      </c>
      <c r="F9" s="287" t="s">
        <v>542</v>
      </c>
      <c r="G9" s="607" t="s">
        <v>406</v>
      </c>
    </row>
    <row r="10" spans="1:33" x14ac:dyDescent="0.25">
      <c r="A10" s="583"/>
      <c r="B10" s="583"/>
      <c r="C10" s="583"/>
      <c r="D10" s="583"/>
      <c r="E10" s="610"/>
      <c r="F10" s="301">
        <f>D7</f>
        <v>13.52861297581642</v>
      </c>
      <c r="G10" s="608"/>
    </row>
    <row r="11" spans="1:33" x14ac:dyDescent="0.25">
      <c r="A11" s="49">
        <f>'A) Base RI'!A7</f>
        <v>5401</v>
      </c>
      <c r="B11" s="293" t="str">
        <f>'A) Base RI'!B7</f>
        <v>Aigle</v>
      </c>
      <c r="C11" s="10">
        <f>'A) Base RI'!AO7</f>
        <v>10518</v>
      </c>
      <c r="D11" s="14">
        <f>'C) Prél. conj.'!H5</f>
        <v>1096618.04</v>
      </c>
      <c r="E11" s="10">
        <f>'D) Ecrêtage'!M5</f>
        <v>0</v>
      </c>
      <c r="F11" s="14">
        <f>$F$10*'D) Ecrêtage'!C5</f>
        <v>3851918.121851027</v>
      </c>
      <c r="G11" s="55">
        <f>D11+F11+E11</f>
        <v>4948536.161851027</v>
      </c>
      <c r="I11" s="36"/>
      <c r="J11" s="411"/>
    </row>
    <row r="12" spans="1:33" x14ac:dyDescent="0.25">
      <c r="A12" s="49">
        <f>'A) Base RI'!A8</f>
        <v>5402</v>
      </c>
      <c r="B12" s="293" t="str">
        <f>'A) Base RI'!B8</f>
        <v>Bex</v>
      </c>
      <c r="C12" s="10">
        <f>'A) Base RI'!AO8</f>
        <v>7828</v>
      </c>
      <c r="D12" s="425">
        <f>'C) Prél. conj.'!H6</f>
        <v>618427.77</v>
      </c>
      <c r="E12" s="10">
        <f>'D) Ecrêtage'!M6</f>
        <v>0</v>
      </c>
      <c r="F12" s="425">
        <f>$F$10*'D) Ecrêtage'!C6</f>
        <v>2425128.3848849935</v>
      </c>
      <c r="G12" s="55">
        <f t="shared" ref="G12:G75" si="0">D12+F12+E12</f>
        <v>3043556.1548849936</v>
      </c>
      <c r="I12" s="36"/>
      <c r="J12" s="411"/>
    </row>
    <row r="13" spans="1:33" x14ac:dyDescent="0.25">
      <c r="A13" s="49">
        <f>'A) Base RI'!A9</f>
        <v>5403</v>
      </c>
      <c r="B13" s="293" t="str">
        <f>'A) Base RI'!B9</f>
        <v>Chessel</v>
      </c>
      <c r="C13" s="10">
        <f>'A) Base RI'!AO9</f>
        <v>444</v>
      </c>
      <c r="D13" s="425">
        <f>'C) Prél. conj.'!H7</f>
        <v>58736.57</v>
      </c>
      <c r="E13" s="10">
        <f>'D) Ecrêtage'!M7</f>
        <v>0</v>
      </c>
      <c r="F13" s="425">
        <f>$F$10*'D) Ecrêtage'!C7</f>
        <v>146078.44912987392</v>
      </c>
      <c r="G13" s="55">
        <f t="shared" si="0"/>
        <v>204815.01912987392</v>
      </c>
      <c r="I13" s="36"/>
      <c r="J13" s="411"/>
    </row>
    <row r="14" spans="1:33" x14ac:dyDescent="0.25">
      <c r="A14" s="49">
        <f>'A) Base RI'!A10</f>
        <v>5404</v>
      </c>
      <c r="B14" s="293" t="str">
        <f>'A) Base RI'!B10</f>
        <v>Corbeyrier</v>
      </c>
      <c r="C14" s="10">
        <f>'A) Base RI'!AO10</f>
        <v>445</v>
      </c>
      <c r="D14" s="425">
        <f>'C) Prél. conj.'!H8</f>
        <v>60407.75</v>
      </c>
      <c r="E14" s="10">
        <f>'D) Ecrêtage'!M8</f>
        <v>0</v>
      </c>
      <c r="F14" s="425">
        <f>$F$10*'D) Ecrêtage'!C8</f>
        <v>152438.65594819444</v>
      </c>
      <c r="G14" s="55">
        <f t="shared" si="0"/>
        <v>212846.40594819444</v>
      </c>
      <c r="I14" s="36"/>
      <c r="J14" s="411"/>
    </row>
    <row r="15" spans="1:33" x14ac:dyDescent="0.25">
      <c r="A15" s="49">
        <f>'A) Base RI'!A11</f>
        <v>5405</v>
      </c>
      <c r="B15" s="293" t="str">
        <f>'A) Base RI'!B11</f>
        <v>Gryon</v>
      </c>
      <c r="C15" s="10">
        <f>'A) Base RI'!AO11</f>
        <v>1378</v>
      </c>
      <c r="D15" s="425">
        <f>'C) Prél. conj.'!H9</f>
        <v>422771.57</v>
      </c>
      <c r="E15" s="10">
        <f>'D) Ecrêtage'!M9</f>
        <v>26509.899123476189</v>
      </c>
      <c r="F15" s="425">
        <f>$F$10*'D) Ecrêtage'!C9</f>
        <v>922459.21765880834</v>
      </c>
      <c r="G15" s="55">
        <f t="shared" si="0"/>
        <v>1371740.6867822844</v>
      </c>
      <c r="I15" s="36"/>
      <c r="J15" s="411"/>
    </row>
    <row r="16" spans="1:33" x14ac:dyDescent="0.25">
      <c r="A16" s="49">
        <f>'A) Base RI'!A12</f>
        <v>5406</v>
      </c>
      <c r="B16" s="293" t="str">
        <f>'A) Base RI'!B12</f>
        <v>Lavey-Morcles</v>
      </c>
      <c r="C16" s="10">
        <f>'A) Base RI'!AO12</f>
        <v>944</v>
      </c>
      <c r="D16" s="425">
        <f>'C) Prél. conj.'!H10</f>
        <v>105236.46000000002</v>
      </c>
      <c r="E16" s="10">
        <f>'D) Ecrêtage'!M10</f>
        <v>0</v>
      </c>
      <c r="F16" s="425">
        <f>$F$10*'D) Ecrêtage'!C10</f>
        <v>295499.33862152416</v>
      </c>
      <c r="G16" s="55">
        <f t="shared" si="0"/>
        <v>400735.79862152418</v>
      </c>
      <c r="I16" s="36"/>
      <c r="J16" s="411"/>
    </row>
    <row r="17" spans="1:10" x14ac:dyDescent="0.25">
      <c r="A17" s="49">
        <f>'A) Base RI'!A13</f>
        <v>5407</v>
      </c>
      <c r="B17" s="293" t="str">
        <f>'A) Base RI'!B13</f>
        <v>Leysin</v>
      </c>
      <c r="C17" s="10">
        <f>'A) Base RI'!AO13</f>
        <v>3645</v>
      </c>
      <c r="D17" s="425">
        <f>'C) Prél. conj.'!H11</f>
        <v>394177.18</v>
      </c>
      <c r="E17" s="10">
        <f>'D) Ecrêtage'!M11</f>
        <v>0</v>
      </c>
      <c r="F17" s="425">
        <f>$F$10*'D) Ecrêtage'!C11</f>
        <v>1223089.8080016631</v>
      </c>
      <c r="G17" s="55">
        <f t="shared" si="0"/>
        <v>1617266.988001663</v>
      </c>
      <c r="I17" s="36"/>
      <c r="J17" s="411"/>
    </row>
    <row r="18" spans="1:10" x14ac:dyDescent="0.25">
      <c r="A18" s="49">
        <f>'A) Base RI'!A14</f>
        <v>5408</v>
      </c>
      <c r="B18" s="293" t="str">
        <f>'A) Base RI'!B14</f>
        <v>Noville</v>
      </c>
      <c r="C18" s="10">
        <f>'A) Base RI'!AO14</f>
        <v>1170</v>
      </c>
      <c r="D18" s="425">
        <f>'C) Prél. conj.'!H12</f>
        <v>153977.38500000001</v>
      </c>
      <c r="E18" s="10">
        <f>'D) Ecrêtage'!M12</f>
        <v>0</v>
      </c>
      <c r="F18" s="425">
        <f>$F$10*'D) Ecrêtage'!C12</f>
        <v>593095.00868455227</v>
      </c>
      <c r="G18" s="55">
        <f t="shared" si="0"/>
        <v>747072.39368455228</v>
      </c>
    </row>
    <row r="19" spans="1:10" x14ac:dyDescent="0.25">
      <c r="A19" s="49">
        <f>'A) Base RI'!A15</f>
        <v>5409</v>
      </c>
      <c r="B19" s="293" t="str">
        <f>'A) Base RI'!B15</f>
        <v>Ollon</v>
      </c>
      <c r="C19" s="10">
        <f>'A) Base RI'!AO15</f>
        <v>7634</v>
      </c>
      <c r="D19" s="425">
        <f>'C) Prél. conj.'!H13</f>
        <v>1748442.625</v>
      </c>
      <c r="E19" s="10">
        <f>'D) Ecrêtage'!M13</f>
        <v>291503.45202272548</v>
      </c>
      <c r="F19" s="425">
        <f>$F$10*'D) Ecrêtage'!C13</f>
        <v>5265157.4559860295</v>
      </c>
      <c r="G19" s="55">
        <f t="shared" si="0"/>
        <v>7305103.5330087552</v>
      </c>
    </row>
    <row r="20" spans="1:10" x14ac:dyDescent="0.25">
      <c r="A20" s="49">
        <f>'A) Base RI'!A16</f>
        <v>5410</v>
      </c>
      <c r="B20" s="293" t="str">
        <f>'A) Base RI'!B16</f>
        <v>Ormont-Dessous</v>
      </c>
      <c r="C20" s="10">
        <f>'A) Base RI'!AO16</f>
        <v>1180</v>
      </c>
      <c r="D20" s="425">
        <f>'C) Prél. conj.'!H14</f>
        <v>219597.095</v>
      </c>
      <c r="E20" s="10">
        <f>'D) Ecrêtage'!M14</f>
        <v>0</v>
      </c>
      <c r="F20" s="425">
        <f>$F$10*'D) Ecrêtage'!C14</f>
        <v>534685.21658842405</v>
      </c>
      <c r="G20" s="55">
        <f t="shared" si="0"/>
        <v>754282.31158842403</v>
      </c>
    </row>
    <row r="21" spans="1:10" x14ac:dyDescent="0.25">
      <c r="A21" s="49">
        <f>'A) Base RI'!A17</f>
        <v>5411</v>
      </c>
      <c r="B21" s="293" t="str">
        <f>'A) Base RI'!B17</f>
        <v>Ormont-Dessus</v>
      </c>
      <c r="C21" s="10">
        <f>'A) Base RI'!AO17</f>
        <v>1466</v>
      </c>
      <c r="D21" s="425">
        <f>'C) Prél. conj.'!H15</f>
        <v>463290.61499999993</v>
      </c>
      <c r="E21" s="10">
        <f>'D) Ecrêtage'!M15</f>
        <v>0</v>
      </c>
      <c r="F21" s="425">
        <f>$F$10*'D) Ecrêtage'!C15</f>
        <v>920613.80002765008</v>
      </c>
      <c r="G21" s="55">
        <f t="shared" si="0"/>
        <v>1383904.4150276501</v>
      </c>
    </row>
    <row r="22" spans="1:10" x14ac:dyDescent="0.25">
      <c r="A22" s="49">
        <f>'A) Base RI'!A18</f>
        <v>5412</v>
      </c>
      <c r="B22" s="293" t="str">
        <f>'A) Base RI'!B18</f>
        <v>Rennaz</v>
      </c>
      <c r="C22" s="10">
        <f>'A) Base RI'!AO18</f>
        <v>889</v>
      </c>
      <c r="D22" s="425">
        <f>'C) Prél. conj.'!H16</f>
        <v>302976.09999999998</v>
      </c>
      <c r="E22" s="10">
        <f>'D) Ecrêtage'!M16</f>
        <v>0</v>
      </c>
      <c r="F22" s="425">
        <f>$F$10*'D) Ecrêtage'!C16</f>
        <v>328309.1289086616</v>
      </c>
      <c r="G22" s="55">
        <f t="shared" si="0"/>
        <v>631285.22890866152</v>
      </c>
    </row>
    <row r="23" spans="1:10" x14ac:dyDescent="0.25">
      <c r="A23" s="49">
        <f>'A) Base RI'!A19</f>
        <v>5413</v>
      </c>
      <c r="B23" s="293" t="str">
        <f>'A) Base RI'!B19</f>
        <v>Roche</v>
      </c>
      <c r="C23" s="10">
        <f>'A) Base RI'!AO19</f>
        <v>1868</v>
      </c>
      <c r="D23" s="425">
        <f>'C) Prél. conj.'!H17</f>
        <v>222798.35499999998</v>
      </c>
      <c r="E23" s="10">
        <f>'D) Ecrêtage'!M17</f>
        <v>0</v>
      </c>
      <c r="F23" s="425">
        <f>$F$10*'D) Ecrêtage'!C17</f>
        <v>649474.4593620128</v>
      </c>
      <c r="G23" s="55">
        <f t="shared" si="0"/>
        <v>872272.81436201278</v>
      </c>
    </row>
    <row r="24" spans="1:10" x14ac:dyDescent="0.25">
      <c r="A24" s="49">
        <f>'A) Base RI'!A20</f>
        <v>5414</v>
      </c>
      <c r="B24" s="293" t="str">
        <f>'A) Base RI'!B20</f>
        <v>Villeneuve</v>
      </c>
      <c r="C24" s="10">
        <f>'A) Base RI'!AO20</f>
        <v>5837</v>
      </c>
      <c r="D24" s="425">
        <f>'C) Prél. conj.'!H18</f>
        <v>880054.3899999999</v>
      </c>
      <c r="E24" s="10">
        <f>'D) Ecrêtage'!M18</f>
        <v>0</v>
      </c>
      <c r="F24" s="425">
        <f>$F$10*'D) Ecrêtage'!C18</f>
        <v>2157389.7708866228</v>
      </c>
      <c r="G24" s="55">
        <f t="shared" si="0"/>
        <v>3037444.160886623</v>
      </c>
    </row>
    <row r="25" spans="1:10" x14ac:dyDescent="0.25">
      <c r="A25" s="49">
        <f>'A) Base RI'!A21</f>
        <v>5415</v>
      </c>
      <c r="B25" s="293" t="str">
        <f>'A) Base RI'!B21</f>
        <v>Yvorne</v>
      </c>
      <c r="C25" s="10">
        <f>'A) Base RI'!AO21</f>
        <v>1070</v>
      </c>
      <c r="D25" s="425">
        <f>'C) Prél. conj.'!H19</f>
        <v>183300.465</v>
      </c>
      <c r="E25" s="10">
        <f>'D) Ecrêtage'!M19</f>
        <v>0</v>
      </c>
      <c r="F25" s="425">
        <f>$F$10*'D) Ecrêtage'!C19</f>
        <v>516184.49992594414</v>
      </c>
      <c r="G25" s="55">
        <f t="shared" si="0"/>
        <v>699484.96492594411</v>
      </c>
    </row>
    <row r="26" spans="1:10" x14ac:dyDescent="0.25">
      <c r="A26" s="49">
        <f>'A) Base RI'!A22</f>
        <v>5421</v>
      </c>
      <c r="B26" s="293" t="str">
        <f>'A) Base RI'!B22</f>
        <v>Apples</v>
      </c>
      <c r="C26" s="10">
        <f>'A) Base RI'!AO22</f>
        <v>1457</v>
      </c>
      <c r="D26" s="425">
        <f>'C) Prél. conj.'!H20</f>
        <v>102260.75499999999</v>
      </c>
      <c r="E26" s="10">
        <f>'D) Ecrêtage'!M20</f>
        <v>0</v>
      </c>
      <c r="F26" s="425">
        <f>$F$10*'D) Ecrêtage'!C20</f>
        <v>897131.05137139116</v>
      </c>
      <c r="G26" s="55">
        <f t="shared" si="0"/>
        <v>999391.80637139117</v>
      </c>
    </row>
    <row r="27" spans="1:10" x14ac:dyDescent="0.25">
      <c r="A27" s="49">
        <f>'A) Base RI'!A23</f>
        <v>5422</v>
      </c>
      <c r="B27" s="293" t="str">
        <f>'A) Base RI'!B23</f>
        <v>Aubonne</v>
      </c>
      <c r="C27" s="10">
        <f>'A) Base RI'!AO23</f>
        <v>3241</v>
      </c>
      <c r="D27" s="425">
        <f>'C) Prél. conj.'!H21</f>
        <v>823931.61499999999</v>
      </c>
      <c r="E27" s="10">
        <f>'D) Ecrêtage'!M21</f>
        <v>1614872.9752308258</v>
      </c>
      <c r="F27" s="425">
        <f>$F$10*'D) Ecrêtage'!C21</f>
        <v>3279176.1398048657</v>
      </c>
      <c r="G27" s="55">
        <f t="shared" si="0"/>
        <v>5717980.7300356915</v>
      </c>
    </row>
    <row r="28" spans="1:10" x14ac:dyDescent="0.25">
      <c r="A28" s="49">
        <f>'A) Base RI'!A24</f>
        <v>5423</v>
      </c>
      <c r="B28" s="293" t="str">
        <f>'A) Base RI'!B24</f>
        <v>Ballens</v>
      </c>
      <c r="C28" s="10">
        <f>'A) Base RI'!AO24</f>
        <v>562</v>
      </c>
      <c r="D28" s="425">
        <f>'C) Prél. conj.'!H22</f>
        <v>38805.050000000003</v>
      </c>
      <c r="E28" s="10">
        <f>'D) Ecrêtage'!M22</f>
        <v>0</v>
      </c>
      <c r="F28" s="425">
        <f>$F$10*'D) Ecrêtage'!C22</f>
        <v>231538.76777111046</v>
      </c>
      <c r="G28" s="55">
        <f t="shared" si="0"/>
        <v>270343.81777111045</v>
      </c>
    </row>
    <row r="29" spans="1:10" x14ac:dyDescent="0.25">
      <c r="A29" s="49">
        <f>'A) Base RI'!A25</f>
        <v>5424</v>
      </c>
      <c r="B29" s="293" t="str">
        <f>'A) Base RI'!B25</f>
        <v>Berolle</v>
      </c>
      <c r="C29" s="10">
        <f>'A) Base RI'!AO25</f>
        <v>313</v>
      </c>
      <c r="D29" s="425">
        <f>'C) Prél. conj.'!H23</f>
        <v>21959.35</v>
      </c>
      <c r="E29" s="10">
        <f>'D) Ecrêtage'!M23</f>
        <v>0</v>
      </c>
      <c r="F29" s="425">
        <f>$F$10*'D) Ecrêtage'!C23</f>
        <v>123312.99548931399</v>
      </c>
      <c r="G29" s="55">
        <f t="shared" si="0"/>
        <v>145272.345489314</v>
      </c>
    </row>
    <row r="30" spans="1:10" x14ac:dyDescent="0.25">
      <c r="A30" s="49">
        <f>'A) Base RI'!A26</f>
        <v>5425</v>
      </c>
      <c r="B30" s="293" t="str">
        <f>'A) Base RI'!B26</f>
        <v>Bière</v>
      </c>
      <c r="C30" s="10">
        <f>'A) Base RI'!AO26</f>
        <v>1627</v>
      </c>
      <c r="D30" s="425">
        <f>'C) Prél. conj.'!H24</f>
        <v>143589.85499999998</v>
      </c>
      <c r="E30" s="10">
        <f>'D) Ecrêtage'!M24</f>
        <v>0</v>
      </c>
      <c r="F30" s="425">
        <f>$F$10*'D) Ecrêtage'!C24</f>
        <v>544012.16742873867</v>
      </c>
      <c r="G30" s="55">
        <f t="shared" si="0"/>
        <v>687602.02242873865</v>
      </c>
    </row>
    <row r="31" spans="1:10" x14ac:dyDescent="0.25">
      <c r="A31" s="49">
        <f>'A) Base RI'!A27</f>
        <v>5426</v>
      </c>
      <c r="B31" s="293" t="str">
        <f>'A) Base RI'!B27</f>
        <v>Bougy-Villars</v>
      </c>
      <c r="C31" s="10">
        <f>'A) Base RI'!AO27</f>
        <v>477</v>
      </c>
      <c r="D31" s="425">
        <f>'C) Prél. conj.'!H25</f>
        <v>144309.745</v>
      </c>
      <c r="E31" s="10">
        <f>'D) Ecrêtage'!M25</f>
        <v>801392.85164643941</v>
      </c>
      <c r="F31" s="425">
        <f>$F$10*'D) Ecrêtage'!C25</f>
        <v>752740.29800462839</v>
      </c>
      <c r="G31" s="55">
        <f t="shared" si="0"/>
        <v>1698442.8946510679</v>
      </c>
    </row>
    <row r="32" spans="1:10" x14ac:dyDescent="0.25">
      <c r="A32" s="49">
        <f>'A) Base RI'!A28</f>
        <v>5427</v>
      </c>
      <c r="B32" s="293" t="str">
        <f>'A) Base RI'!B28</f>
        <v>Féchy</v>
      </c>
      <c r="C32" s="10">
        <f>'A) Base RI'!AO28</f>
        <v>869</v>
      </c>
      <c r="D32" s="425">
        <f>'C) Prél. conj.'!H26</f>
        <v>102389.95</v>
      </c>
      <c r="E32" s="10">
        <f>'D) Ecrêtage'!M26</f>
        <v>712503.64272493159</v>
      </c>
      <c r="F32" s="425">
        <f>$F$10*'D) Ecrêtage'!C26</f>
        <v>1041979.5021958869</v>
      </c>
      <c r="G32" s="55">
        <f t="shared" si="0"/>
        <v>1856873.0949208187</v>
      </c>
    </row>
    <row r="33" spans="1:7" x14ac:dyDescent="0.25">
      <c r="A33" s="49">
        <f>'A) Base RI'!A29</f>
        <v>5428</v>
      </c>
      <c r="B33" s="293" t="str">
        <f>'A) Base RI'!B29</f>
        <v>Gimel</v>
      </c>
      <c r="C33" s="10">
        <f>'A) Base RI'!AO29</f>
        <v>2307</v>
      </c>
      <c r="D33" s="425">
        <f>'C) Prél. conj.'!H27</f>
        <v>492739.685</v>
      </c>
      <c r="E33" s="10">
        <f>'D) Ecrêtage'!M27</f>
        <v>0</v>
      </c>
      <c r="F33" s="425">
        <f>$F$10*'D) Ecrêtage'!C27</f>
        <v>949616.94715925679</v>
      </c>
      <c r="G33" s="55">
        <f t="shared" si="0"/>
        <v>1442356.6321592568</v>
      </c>
    </row>
    <row r="34" spans="1:7" x14ac:dyDescent="0.25">
      <c r="A34" s="49">
        <f>'A) Base RI'!A30</f>
        <v>5429</v>
      </c>
      <c r="B34" s="293" t="str">
        <f>'A) Base RI'!B30</f>
        <v>Longirod</v>
      </c>
      <c r="C34" s="10">
        <f>'A) Base RI'!AO30</f>
        <v>494</v>
      </c>
      <c r="D34" s="425">
        <f>'C) Prél. conj.'!H28</f>
        <v>46681.75</v>
      </c>
      <c r="E34" s="10">
        <f>'D) Ecrêtage'!M28</f>
        <v>0</v>
      </c>
      <c r="F34" s="425">
        <f>$F$10*'D) Ecrêtage'!C28</f>
        <v>218362.28370330657</v>
      </c>
      <c r="G34" s="55">
        <f t="shared" si="0"/>
        <v>265044.03370330657</v>
      </c>
    </row>
    <row r="35" spans="1:7" x14ac:dyDescent="0.25">
      <c r="A35" s="49">
        <f>'A) Base RI'!A31</f>
        <v>5430</v>
      </c>
      <c r="B35" s="293" t="str">
        <f>'A) Base RI'!B31</f>
        <v>Marchissy</v>
      </c>
      <c r="C35" s="10">
        <f>'A) Base RI'!AO31</f>
        <v>481</v>
      </c>
      <c r="D35" s="425">
        <f>'C) Prél. conj.'!H29</f>
        <v>43957.315000000002</v>
      </c>
      <c r="E35" s="10">
        <f>'D) Ecrêtage'!M29</f>
        <v>0</v>
      </c>
      <c r="F35" s="425">
        <f>$F$10*'D) Ecrêtage'!C29</f>
        <v>200878.94294171251</v>
      </c>
      <c r="G35" s="55">
        <f t="shared" si="0"/>
        <v>244836.25794171251</v>
      </c>
    </row>
    <row r="36" spans="1:7" x14ac:dyDescent="0.25">
      <c r="A36" s="49">
        <f>'A) Base RI'!A32</f>
        <v>5431</v>
      </c>
      <c r="B36" s="293" t="str">
        <f>'A) Base RI'!B32</f>
        <v>Mollens</v>
      </c>
      <c r="C36" s="10">
        <f>'A) Base RI'!AO32</f>
        <v>330</v>
      </c>
      <c r="D36" s="425">
        <f>'C) Prél. conj.'!H30</f>
        <v>86656.78</v>
      </c>
      <c r="E36" s="10">
        <f>'D) Ecrêtage'!M30</f>
        <v>0</v>
      </c>
      <c r="F36" s="425">
        <f>$F$10*'D) Ecrêtage'!C30</f>
        <v>126268.9673380763</v>
      </c>
      <c r="G36" s="55">
        <f t="shared" si="0"/>
        <v>212925.7473380763</v>
      </c>
    </row>
    <row r="37" spans="1:7" x14ac:dyDescent="0.25">
      <c r="A37" s="49">
        <f>'A) Base RI'!A33</f>
        <v>5432</v>
      </c>
      <c r="B37" s="293" t="str">
        <f>'A) Base RI'!B33</f>
        <v>Montherod</v>
      </c>
      <c r="C37" s="10">
        <f>'A) Base RI'!AO33</f>
        <v>523</v>
      </c>
      <c r="D37" s="425">
        <f>'C) Prél. conj.'!H31</f>
        <v>60275.345000000001</v>
      </c>
      <c r="E37" s="10">
        <f>'D) Ecrêtage'!M31</f>
        <v>0</v>
      </c>
      <c r="F37" s="425">
        <f>$F$10*'D) Ecrêtage'!C31</f>
        <v>222268.48217230561</v>
      </c>
      <c r="G37" s="55">
        <f t="shared" si="0"/>
        <v>282543.82717230561</v>
      </c>
    </row>
    <row r="38" spans="1:7" x14ac:dyDescent="0.25">
      <c r="A38" s="49">
        <f>'A) Base RI'!A34</f>
        <v>5434</v>
      </c>
      <c r="B38" s="293" t="str">
        <f>'A) Base RI'!B34</f>
        <v>Saint-George</v>
      </c>
      <c r="C38" s="10">
        <f>'A) Base RI'!AO34</f>
        <v>1074</v>
      </c>
      <c r="D38" s="425">
        <f>'C) Prél. conj.'!H32</f>
        <v>115039.07999999999</v>
      </c>
      <c r="E38" s="10">
        <f>'D) Ecrêtage'!M32</f>
        <v>0</v>
      </c>
      <c r="F38" s="425">
        <f>$F$10*'D) Ecrêtage'!C32</f>
        <v>560547.72455983283</v>
      </c>
      <c r="G38" s="55">
        <f t="shared" si="0"/>
        <v>675586.80455983279</v>
      </c>
    </row>
    <row r="39" spans="1:7" x14ac:dyDescent="0.25">
      <c r="A39" s="49">
        <f>'A) Base RI'!A35</f>
        <v>5435</v>
      </c>
      <c r="B39" s="293" t="str">
        <f>'A) Base RI'!B35</f>
        <v>Saint-Livres</v>
      </c>
      <c r="C39" s="10">
        <f>'A) Base RI'!AO35</f>
        <v>683</v>
      </c>
      <c r="D39" s="425">
        <f>'C) Prél. conj.'!H33</f>
        <v>69711.464999999997</v>
      </c>
      <c r="E39" s="10">
        <f>'D) Ecrêtage'!M33</f>
        <v>0</v>
      </c>
      <c r="F39" s="425">
        <f>$F$10*'D) Ecrêtage'!C33</f>
        <v>356431.73901414557</v>
      </c>
      <c r="G39" s="55">
        <f t="shared" si="0"/>
        <v>426143.20401414554</v>
      </c>
    </row>
    <row r="40" spans="1:7" x14ac:dyDescent="0.25">
      <c r="A40" s="49">
        <f>'A) Base RI'!A36</f>
        <v>5436</v>
      </c>
      <c r="B40" s="293" t="str">
        <f>'A) Base RI'!B36</f>
        <v>Saint-Oyens</v>
      </c>
      <c r="C40" s="10">
        <f>'A) Base RI'!AO36</f>
        <v>461</v>
      </c>
      <c r="D40" s="425">
        <f>'C) Prél. conj.'!H34</f>
        <v>30911.230000000003</v>
      </c>
      <c r="E40" s="10">
        <f>'D) Ecrêtage'!M34</f>
        <v>0</v>
      </c>
      <c r="F40" s="425">
        <f>$F$10*'D) Ecrêtage'!C34</f>
        <v>226797.79624129296</v>
      </c>
      <c r="G40" s="55">
        <f t="shared" si="0"/>
        <v>257709.02624129297</v>
      </c>
    </row>
    <row r="41" spans="1:7" x14ac:dyDescent="0.25">
      <c r="A41" s="49">
        <f>'A) Base RI'!A37</f>
        <v>5437</v>
      </c>
      <c r="B41" s="293" t="str">
        <f>'A) Base RI'!B37</f>
        <v>Saubraz</v>
      </c>
      <c r="C41" s="10">
        <f>'A) Base RI'!AO37</f>
        <v>423</v>
      </c>
      <c r="D41" s="425">
        <f>'C) Prél. conj.'!H35</f>
        <v>53779.3</v>
      </c>
      <c r="E41" s="10">
        <f>'D) Ecrêtage'!M35</f>
        <v>0</v>
      </c>
      <c r="F41" s="425">
        <f>$F$10*'D) Ecrêtage'!C35</f>
        <v>181173.91159143715</v>
      </c>
      <c r="G41" s="55">
        <f t="shared" si="0"/>
        <v>234953.21159143717</v>
      </c>
    </row>
    <row r="42" spans="1:7" x14ac:dyDescent="0.25">
      <c r="A42" s="49">
        <f>'A) Base RI'!A38</f>
        <v>5451</v>
      </c>
      <c r="B42" s="293" t="str">
        <f>'A) Base RI'!B38</f>
        <v>Avenches</v>
      </c>
      <c r="C42" s="10">
        <f>'A) Base RI'!AO38</f>
        <v>4482</v>
      </c>
      <c r="D42" s="425">
        <f>'C) Prél. conj.'!H36</f>
        <v>472539.95499999996</v>
      </c>
      <c r="E42" s="10">
        <f>'D) Ecrêtage'!M36</f>
        <v>0</v>
      </c>
      <c r="F42" s="425">
        <f>$F$10*'D) Ecrêtage'!C36</f>
        <v>1751966.3639744604</v>
      </c>
      <c r="G42" s="55">
        <f t="shared" si="0"/>
        <v>2224506.3189744605</v>
      </c>
    </row>
    <row r="43" spans="1:7" x14ac:dyDescent="0.25">
      <c r="A43" s="49">
        <f>'A) Base RI'!A39</f>
        <v>5456</v>
      </c>
      <c r="B43" s="293" t="str">
        <f>'A) Base RI'!B39</f>
        <v>Cudrefin</v>
      </c>
      <c r="C43" s="10">
        <f>'A) Base RI'!AO39</f>
        <v>1780</v>
      </c>
      <c r="D43" s="425">
        <f>'C) Prél. conj.'!H37</f>
        <v>182610.155</v>
      </c>
      <c r="E43" s="10">
        <f>'D) Ecrêtage'!M37</f>
        <v>0</v>
      </c>
      <c r="F43" s="425">
        <f>$F$10*'D) Ecrêtage'!C37</f>
        <v>868901.32292590127</v>
      </c>
      <c r="G43" s="55">
        <f t="shared" si="0"/>
        <v>1051511.4779259013</v>
      </c>
    </row>
    <row r="44" spans="1:7" x14ac:dyDescent="0.25">
      <c r="A44" s="49">
        <f>'A) Base RI'!A40</f>
        <v>5458</v>
      </c>
      <c r="B44" s="293" t="str">
        <f>'A) Base RI'!B40</f>
        <v>Faoug</v>
      </c>
      <c r="C44" s="10">
        <f>'A) Base RI'!AO40</f>
        <v>881</v>
      </c>
      <c r="D44" s="425">
        <f>'C) Prél. conj.'!H38</f>
        <v>82590.789999999994</v>
      </c>
      <c r="E44" s="10">
        <f>'D) Ecrêtage'!M38</f>
        <v>0</v>
      </c>
      <c r="F44" s="425">
        <f>$F$10*'D) Ecrêtage'!C38</f>
        <v>435599.74738485325</v>
      </c>
      <c r="G44" s="55">
        <f t="shared" si="0"/>
        <v>518190.53738485323</v>
      </c>
    </row>
    <row r="45" spans="1:7" x14ac:dyDescent="0.25">
      <c r="A45" s="49">
        <f>'A) Base RI'!A41</f>
        <v>5464</v>
      </c>
      <c r="B45" s="293" t="str">
        <f>'A) Base RI'!B41</f>
        <v>Vully-les-Lacs</v>
      </c>
      <c r="C45" s="10">
        <f>'A) Base RI'!AO41</f>
        <v>3360</v>
      </c>
      <c r="D45" s="425">
        <f>'C) Prél. conj.'!H39</f>
        <v>232415.77000000002</v>
      </c>
      <c r="E45" s="10">
        <f>'D) Ecrêtage'!M39</f>
        <v>0</v>
      </c>
      <c r="F45" s="425">
        <f>$F$10*'D) Ecrêtage'!C39</f>
        <v>1509756.9372839658</v>
      </c>
      <c r="G45" s="55">
        <f t="shared" si="0"/>
        <v>1742172.7072839658</v>
      </c>
    </row>
    <row r="46" spans="1:7" x14ac:dyDescent="0.25">
      <c r="A46" s="49">
        <f>'A) Base RI'!A42</f>
        <v>5471</v>
      </c>
      <c r="B46" s="293" t="str">
        <f>'A) Base RI'!B42</f>
        <v>Bettens</v>
      </c>
      <c r="C46" s="10">
        <f>'A) Base RI'!AO42</f>
        <v>636</v>
      </c>
      <c r="D46" s="425">
        <f>'C) Prél. conj.'!H40</f>
        <v>35288.25</v>
      </c>
      <c r="E46" s="10">
        <f>'D) Ecrêtage'!M40</f>
        <v>0</v>
      </c>
      <c r="F46" s="425">
        <f>$F$10*'D) Ecrêtage'!C40</f>
        <v>275784.60045891179</v>
      </c>
      <c r="G46" s="55">
        <f t="shared" si="0"/>
        <v>311072.85045891179</v>
      </c>
    </row>
    <row r="47" spans="1:7" x14ac:dyDescent="0.25">
      <c r="A47" s="49">
        <f>'A) Base RI'!A43</f>
        <v>5472</v>
      </c>
      <c r="B47" s="293" t="str">
        <f>'A) Base RI'!B43</f>
        <v>Bournens</v>
      </c>
      <c r="C47" s="10">
        <f>'A) Base RI'!AO43</f>
        <v>490</v>
      </c>
      <c r="D47" s="425">
        <f>'C) Prél. conj.'!H41</f>
        <v>87179.075000000012</v>
      </c>
      <c r="E47" s="10">
        <f>'D) Ecrêtage'!M41</f>
        <v>0</v>
      </c>
      <c r="F47" s="425">
        <f>$F$10*'D) Ecrêtage'!C41</f>
        <v>272509.03453968652</v>
      </c>
      <c r="G47" s="55">
        <f t="shared" si="0"/>
        <v>359688.10953968653</v>
      </c>
    </row>
    <row r="48" spans="1:7" x14ac:dyDescent="0.25">
      <c r="A48" s="49">
        <f>'A) Base RI'!A44</f>
        <v>5473</v>
      </c>
      <c r="B48" s="293" t="str">
        <f>'A) Base RI'!B44</f>
        <v>Boussens</v>
      </c>
      <c r="C48" s="10">
        <f>'A) Base RI'!AO44</f>
        <v>999</v>
      </c>
      <c r="D48" s="425">
        <f>'C) Prél. conj.'!H42</f>
        <v>48525.184999999998</v>
      </c>
      <c r="E48" s="10">
        <f>'D) Ecrêtage'!M42</f>
        <v>0</v>
      </c>
      <c r="F48" s="425">
        <f>$F$10*'D) Ecrêtage'!C42</f>
        <v>511045.25718423765</v>
      </c>
      <c r="G48" s="55">
        <f t="shared" si="0"/>
        <v>559570.44218423765</v>
      </c>
    </row>
    <row r="49" spans="1:7" x14ac:dyDescent="0.25">
      <c r="A49" s="49">
        <f>'A) Base RI'!A45</f>
        <v>5474</v>
      </c>
      <c r="B49" s="293" t="str">
        <f>'A) Base RI'!B45</f>
        <v>La Chaux (Cossonay)</v>
      </c>
      <c r="C49" s="10">
        <f>'A) Base RI'!AO45</f>
        <v>391</v>
      </c>
      <c r="D49" s="425">
        <f>'C) Prél. conj.'!H43</f>
        <v>54275.21</v>
      </c>
      <c r="E49" s="10">
        <f>'D) Ecrêtage'!M43</f>
        <v>0</v>
      </c>
      <c r="F49" s="425">
        <f>$F$10*'D) Ecrêtage'!C43</f>
        <v>178341.23250233926</v>
      </c>
      <c r="G49" s="55">
        <f t="shared" si="0"/>
        <v>232616.44250233925</v>
      </c>
    </row>
    <row r="50" spans="1:7" x14ac:dyDescent="0.25">
      <c r="A50" s="49">
        <f>'A) Base RI'!A46</f>
        <v>5475</v>
      </c>
      <c r="B50" s="293" t="str">
        <f>'A) Base RI'!B46</f>
        <v>Chavannes-le-Veyron</v>
      </c>
      <c r="C50" s="10">
        <f>'A) Base RI'!AO46</f>
        <v>152</v>
      </c>
      <c r="D50" s="425">
        <f>'C) Prél. conj.'!H44</f>
        <v>11763.9</v>
      </c>
      <c r="E50" s="10">
        <f>'D) Ecrêtage'!M44</f>
        <v>0</v>
      </c>
      <c r="F50" s="425">
        <f>$F$10*'D) Ecrêtage'!C44</f>
        <v>52418.837046572189</v>
      </c>
      <c r="G50" s="55">
        <f t="shared" si="0"/>
        <v>64182.737046572191</v>
      </c>
    </row>
    <row r="51" spans="1:7" x14ac:dyDescent="0.25">
      <c r="A51" s="49">
        <f>'A) Base RI'!A47</f>
        <v>5476</v>
      </c>
      <c r="B51" s="293" t="str">
        <f>'A) Base RI'!B47</f>
        <v>Chevilly</v>
      </c>
      <c r="C51" s="10">
        <f>'A) Base RI'!AO47</f>
        <v>317</v>
      </c>
      <c r="D51" s="425">
        <f>'C) Prél. conj.'!H45</f>
        <v>6615.55</v>
      </c>
      <c r="E51" s="10">
        <f>'D) Ecrêtage'!M45</f>
        <v>0</v>
      </c>
      <c r="F51" s="425">
        <f>$F$10*'D) Ecrêtage'!C45</f>
        <v>160170.6165892983</v>
      </c>
      <c r="G51" s="55">
        <f t="shared" si="0"/>
        <v>166786.16658929829</v>
      </c>
    </row>
    <row r="52" spans="1:7" x14ac:dyDescent="0.25">
      <c r="A52" s="49">
        <f>'A) Base RI'!A48</f>
        <v>5477</v>
      </c>
      <c r="B52" s="293" t="str">
        <f>'A) Base RI'!B48</f>
        <v>Cossonay</v>
      </c>
      <c r="C52" s="10">
        <f>'A) Base RI'!AO48</f>
        <v>4222</v>
      </c>
      <c r="D52" s="425">
        <f>'C) Prél. conj.'!H46</f>
        <v>731719.89999999991</v>
      </c>
      <c r="E52" s="10">
        <f>'D) Ecrêtage'!M46</f>
        <v>0</v>
      </c>
      <c r="F52" s="425">
        <f>$F$10*'D) Ecrêtage'!C46</f>
        <v>1611988.7904436719</v>
      </c>
      <c r="G52" s="55">
        <f t="shared" si="0"/>
        <v>2343708.6904436718</v>
      </c>
    </row>
    <row r="53" spans="1:7" x14ac:dyDescent="0.25">
      <c r="A53" s="49">
        <f>'A) Base RI'!A49</f>
        <v>5478</v>
      </c>
      <c r="B53" s="293" t="str">
        <f>'A) Base RI'!B49</f>
        <v>Cottens</v>
      </c>
      <c r="C53" s="10">
        <f>'A) Base RI'!AO49</f>
        <v>491</v>
      </c>
      <c r="D53" s="425">
        <f>'C) Prél. conj.'!H47</f>
        <v>4638.7250000000004</v>
      </c>
      <c r="E53" s="10">
        <f>'D) Ecrêtage'!M47</f>
        <v>0</v>
      </c>
      <c r="F53" s="425">
        <f>$F$10*'D) Ecrêtage'!C47</f>
        <v>220401.36904445806</v>
      </c>
      <c r="G53" s="55">
        <f t="shared" si="0"/>
        <v>225040.09404445806</v>
      </c>
    </row>
    <row r="54" spans="1:7" x14ac:dyDescent="0.25">
      <c r="A54" s="49">
        <f>'A) Base RI'!A50</f>
        <v>5479</v>
      </c>
      <c r="B54" s="293" t="str">
        <f>'A) Base RI'!B50</f>
        <v>Cuarnens</v>
      </c>
      <c r="C54" s="10">
        <f>'A) Base RI'!AO50</f>
        <v>527</v>
      </c>
      <c r="D54" s="425">
        <f>'C) Prél. conj.'!H48</f>
        <v>83703.434999999998</v>
      </c>
      <c r="E54" s="10">
        <f>'D) Ecrêtage'!M48</f>
        <v>0</v>
      </c>
      <c r="F54" s="425">
        <f>$F$10*'D) Ecrêtage'!C48</f>
        <v>244448.21444725193</v>
      </c>
      <c r="G54" s="55">
        <f t="shared" si="0"/>
        <v>328151.64944725193</v>
      </c>
    </row>
    <row r="55" spans="1:7" x14ac:dyDescent="0.25">
      <c r="A55" s="49">
        <f>'A) Base RI'!A51</f>
        <v>5480</v>
      </c>
      <c r="B55" s="293" t="str">
        <f>'A) Base RI'!B51</f>
        <v>Daillens</v>
      </c>
      <c r="C55" s="10">
        <f>'A) Base RI'!AO51</f>
        <v>1048</v>
      </c>
      <c r="D55" s="425">
        <f>'C) Prél. conj.'!H49</f>
        <v>166502.655</v>
      </c>
      <c r="E55" s="10">
        <f>'D) Ecrêtage'!M49</f>
        <v>0</v>
      </c>
      <c r="F55" s="425">
        <f>$F$10*'D) Ecrêtage'!C49</f>
        <v>554367.94084826775</v>
      </c>
      <c r="G55" s="55">
        <f t="shared" si="0"/>
        <v>720870.59584826778</v>
      </c>
    </row>
    <row r="56" spans="1:7" x14ac:dyDescent="0.25">
      <c r="A56" s="49">
        <f>'A) Base RI'!A52</f>
        <v>5481</v>
      </c>
      <c r="B56" s="293" t="str">
        <f>'A) Base RI'!B52</f>
        <v>Dizy</v>
      </c>
      <c r="C56" s="10">
        <f>'A) Base RI'!AO52</f>
        <v>224</v>
      </c>
      <c r="D56" s="425">
        <f>'C) Prél. conj.'!H50</f>
        <v>3836.7750000000001</v>
      </c>
      <c r="E56" s="10">
        <f>'D) Ecrêtage'!M50</f>
        <v>0</v>
      </c>
      <c r="F56" s="425">
        <f>$F$10*'D) Ecrêtage'!C50</f>
        <v>109908.71379962217</v>
      </c>
      <c r="G56" s="55">
        <f t="shared" si="0"/>
        <v>113745.48879962217</v>
      </c>
    </row>
    <row r="57" spans="1:7" x14ac:dyDescent="0.25">
      <c r="A57" s="49">
        <f>'A) Base RI'!A53</f>
        <v>5482</v>
      </c>
      <c r="B57" s="293" t="str">
        <f>'A) Base RI'!B53</f>
        <v>Eclépens</v>
      </c>
      <c r="C57" s="10">
        <f>'A) Base RI'!AO53</f>
        <v>1220</v>
      </c>
      <c r="D57" s="425">
        <f>'C) Prél. conj.'!H51</f>
        <v>154170.92499999999</v>
      </c>
      <c r="E57" s="10">
        <f>'D) Ecrêtage'!M51</f>
        <v>113474.56192196278</v>
      </c>
      <c r="F57" s="425">
        <f>$F$10*'D) Ecrêtage'!C51</f>
        <v>959340.05927918851</v>
      </c>
      <c r="G57" s="55">
        <f t="shared" si="0"/>
        <v>1226985.5462011513</v>
      </c>
    </row>
    <row r="58" spans="1:7" x14ac:dyDescent="0.25">
      <c r="A58" s="49">
        <f>'A) Base RI'!A54</f>
        <v>5483</v>
      </c>
      <c r="B58" s="293" t="str">
        <f>'A) Base RI'!B54</f>
        <v>Ferreyres</v>
      </c>
      <c r="C58" s="10">
        <f>'A) Base RI'!AO54</f>
        <v>319</v>
      </c>
      <c r="D58" s="425">
        <f>'C) Prél. conj.'!H52</f>
        <v>9598.35</v>
      </c>
      <c r="E58" s="10">
        <f>'D) Ecrêtage'!M52</f>
        <v>0</v>
      </c>
      <c r="F58" s="425">
        <f>$F$10*'D) Ecrêtage'!C52</f>
        <v>146383.85391142106</v>
      </c>
      <c r="G58" s="55">
        <f t="shared" si="0"/>
        <v>155982.20391142106</v>
      </c>
    </row>
    <row r="59" spans="1:7" x14ac:dyDescent="0.25">
      <c r="A59" s="49">
        <f>'A) Base RI'!A55</f>
        <v>5484</v>
      </c>
      <c r="B59" s="293" t="str">
        <f>'A) Base RI'!B55</f>
        <v>Gollion</v>
      </c>
      <c r="C59" s="10">
        <f>'A) Base RI'!AO55</f>
        <v>996</v>
      </c>
      <c r="D59" s="425">
        <f>'C) Prél. conj.'!H53</f>
        <v>112383.175</v>
      </c>
      <c r="E59" s="10">
        <f>'D) Ecrêtage'!M53</f>
        <v>0</v>
      </c>
      <c r="F59" s="425">
        <f>$F$10*'D) Ecrêtage'!C53</f>
        <v>473460.6726982164</v>
      </c>
      <c r="G59" s="55">
        <f t="shared" si="0"/>
        <v>585843.84769821644</v>
      </c>
    </row>
    <row r="60" spans="1:7" x14ac:dyDescent="0.25">
      <c r="A60" s="49">
        <f>'A) Base RI'!A56</f>
        <v>5485</v>
      </c>
      <c r="B60" s="293" t="str">
        <f>'A) Base RI'!B56</f>
        <v>Grancy</v>
      </c>
      <c r="C60" s="10">
        <f>'A) Base RI'!AO56</f>
        <v>406</v>
      </c>
      <c r="D60" s="425">
        <f>'C) Prél. conj.'!H54</f>
        <v>81316.815000000002</v>
      </c>
      <c r="E60" s="10">
        <f>'D) Ecrêtage'!M54</f>
        <v>0</v>
      </c>
      <c r="F60" s="425">
        <f>$F$10*'D) Ecrêtage'!C54</f>
        <v>196737.86162938486</v>
      </c>
      <c r="G60" s="55">
        <f t="shared" si="0"/>
        <v>278054.67662938486</v>
      </c>
    </row>
    <row r="61" spans="1:7" x14ac:dyDescent="0.25">
      <c r="A61" s="49">
        <f>'A) Base RI'!A57</f>
        <v>5486</v>
      </c>
      <c r="B61" s="293" t="str">
        <f>'A) Base RI'!B57</f>
        <v>L'Isle</v>
      </c>
      <c r="C61" s="10">
        <f>'A) Base RI'!AO57</f>
        <v>1065</v>
      </c>
      <c r="D61" s="425">
        <f>'C) Prél. conj.'!H55</f>
        <v>72234.084999999992</v>
      </c>
      <c r="E61" s="10">
        <f>'D) Ecrêtage'!M55</f>
        <v>0</v>
      </c>
      <c r="F61" s="425">
        <f>$F$10*'D) Ecrêtage'!C55</f>
        <v>506775.89489581884</v>
      </c>
      <c r="G61" s="55">
        <f t="shared" si="0"/>
        <v>579009.97989581886</v>
      </c>
    </row>
    <row r="62" spans="1:7" x14ac:dyDescent="0.25">
      <c r="A62" s="49">
        <f>'A) Base RI'!A58</f>
        <v>5487</v>
      </c>
      <c r="B62" s="293" t="str">
        <f>'A) Base RI'!B58</f>
        <v>Lussery-Villars</v>
      </c>
      <c r="C62" s="10">
        <f>'A) Base RI'!AO58</f>
        <v>459</v>
      </c>
      <c r="D62" s="425">
        <f>'C) Prél. conj.'!H56</f>
        <v>15515.55</v>
      </c>
      <c r="E62" s="10">
        <f>'D) Ecrêtage'!M56</f>
        <v>0</v>
      </c>
      <c r="F62" s="425">
        <f>$F$10*'D) Ecrêtage'!C56</f>
        <v>174382.00120887466</v>
      </c>
      <c r="G62" s="55">
        <f t="shared" si="0"/>
        <v>189897.55120887465</v>
      </c>
    </row>
    <row r="63" spans="1:7" x14ac:dyDescent="0.25">
      <c r="A63" s="49">
        <f>'A) Base RI'!A59</f>
        <v>5488</v>
      </c>
      <c r="B63" s="293" t="str">
        <f>'A) Base RI'!B59</f>
        <v>Mauraz</v>
      </c>
      <c r="C63" s="10">
        <f>'A) Base RI'!AO59</f>
        <v>58</v>
      </c>
      <c r="D63" s="425">
        <f>'C) Prél. conj.'!H57</f>
        <v>0</v>
      </c>
      <c r="E63" s="10">
        <f>'D) Ecrêtage'!M57</f>
        <v>0</v>
      </c>
      <c r="F63" s="425">
        <f>$F$10*'D) Ecrêtage'!C57</f>
        <v>22080.903121713913</v>
      </c>
      <c r="G63" s="55">
        <f t="shared" si="0"/>
        <v>22080.903121713913</v>
      </c>
    </row>
    <row r="64" spans="1:7" x14ac:dyDescent="0.25">
      <c r="A64" s="49">
        <f>'A) Base RI'!A60</f>
        <v>5489</v>
      </c>
      <c r="B64" s="293" t="str">
        <f>'A) Base RI'!B60</f>
        <v>Mex</v>
      </c>
      <c r="C64" s="10">
        <f>'A) Base RI'!AO60</f>
        <v>791</v>
      </c>
      <c r="D64" s="425">
        <f>'C) Prél. conj.'!H58</f>
        <v>306422.98499999999</v>
      </c>
      <c r="E64" s="10">
        <f>'D) Ecrêtage'!M58</f>
        <v>302806.68496900401</v>
      </c>
      <c r="F64" s="425">
        <f>$F$10*'D) Ecrêtage'!C58</f>
        <v>777843.35307852854</v>
      </c>
      <c r="G64" s="55">
        <f t="shared" si="0"/>
        <v>1387073.0230475327</v>
      </c>
    </row>
    <row r="65" spans="1:7" x14ac:dyDescent="0.25">
      <c r="A65" s="49">
        <f>'A) Base RI'!A61</f>
        <v>5490</v>
      </c>
      <c r="B65" s="293" t="str">
        <f>'A) Base RI'!B61</f>
        <v>Moiry</v>
      </c>
      <c r="C65" s="10">
        <f>'A) Base RI'!AO61</f>
        <v>311</v>
      </c>
      <c r="D65" s="425">
        <f>'C) Prél. conj.'!H59</f>
        <v>19826.174999999999</v>
      </c>
      <c r="E65" s="10">
        <f>'D) Ecrêtage'!M59</f>
        <v>0</v>
      </c>
      <c r="F65" s="425">
        <f>$F$10*'D) Ecrêtage'!C59</f>
        <v>117102.44674254797</v>
      </c>
      <c r="G65" s="55">
        <f t="shared" si="0"/>
        <v>136928.62174254796</v>
      </c>
    </row>
    <row r="66" spans="1:7" x14ac:dyDescent="0.25">
      <c r="A66" s="49">
        <f>'A) Base RI'!A62</f>
        <v>5491</v>
      </c>
      <c r="B66" s="293" t="str">
        <f>'A) Base RI'!B62</f>
        <v>Mont-la-Ville</v>
      </c>
      <c r="C66" s="10">
        <f>'A) Base RI'!AO62</f>
        <v>490</v>
      </c>
      <c r="D66" s="425">
        <f>'C) Prél. conj.'!H60</f>
        <v>47073.445</v>
      </c>
      <c r="E66" s="10">
        <f>'D) Ecrêtage'!M60</f>
        <v>0</v>
      </c>
      <c r="F66" s="425">
        <f>$F$10*'D) Ecrêtage'!C60</f>
        <v>193774.17574715539</v>
      </c>
      <c r="G66" s="55">
        <f t="shared" si="0"/>
        <v>240847.62074715539</v>
      </c>
    </row>
    <row r="67" spans="1:7" x14ac:dyDescent="0.25">
      <c r="A67" s="49">
        <f>'A) Base RI'!A63</f>
        <v>5492</v>
      </c>
      <c r="B67" s="293" t="str">
        <f>'A) Base RI'!B63</f>
        <v>Montricher</v>
      </c>
      <c r="C67" s="10">
        <f>'A) Base RI'!AO63</f>
        <v>964</v>
      </c>
      <c r="D67" s="425">
        <f>'C) Prél. conj.'!H61</f>
        <v>161999.85500000001</v>
      </c>
      <c r="E67" s="10">
        <f>'D) Ecrêtage'!M61</f>
        <v>3151831.5247114375</v>
      </c>
      <c r="F67" s="425">
        <f>$F$10*'D) Ecrêtage'!C61</f>
        <v>2126088.7247837405</v>
      </c>
      <c r="G67" s="55">
        <f t="shared" si="0"/>
        <v>5439920.104495178</v>
      </c>
    </row>
    <row r="68" spans="1:7" x14ac:dyDescent="0.25">
      <c r="A68" s="49">
        <f>'A) Base RI'!A64</f>
        <v>5493</v>
      </c>
      <c r="B68" s="293" t="str">
        <f>'A) Base RI'!B64</f>
        <v>Orny</v>
      </c>
      <c r="C68" s="10">
        <f>'A) Base RI'!AO64</f>
        <v>462</v>
      </c>
      <c r="D68" s="425">
        <f>'C) Prél. conj.'!H62</f>
        <v>83257.72</v>
      </c>
      <c r="E68" s="10">
        <f>'D) Ecrêtage'!M62</f>
        <v>0</v>
      </c>
      <c r="F68" s="425">
        <f>$F$10*'D) Ecrêtage'!C62</f>
        <v>174316.4179734475</v>
      </c>
      <c r="G68" s="55">
        <f t="shared" si="0"/>
        <v>257574.1379734475</v>
      </c>
    </row>
    <row r="69" spans="1:7" x14ac:dyDescent="0.25">
      <c r="A69" s="49">
        <f>'A) Base RI'!A65</f>
        <v>5494</v>
      </c>
      <c r="B69" s="293" t="str">
        <f>'A) Base RI'!B65</f>
        <v>Pampigny</v>
      </c>
      <c r="C69" s="10">
        <f>'A) Base RI'!AO65</f>
        <v>1128</v>
      </c>
      <c r="D69" s="425">
        <f>'C) Prél. conj.'!H63</f>
        <v>104751.17</v>
      </c>
      <c r="E69" s="10">
        <f>'D) Ecrêtage'!M63</f>
        <v>0</v>
      </c>
      <c r="F69" s="425">
        <f>$F$10*'D) Ecrêtage'!C63</f>
        <v>495253.75142986712</v>
      </c>
      <c r="G69" s="55">
        <f t="shared" si="0"/>
        <v>600004.92142986716</v>
      </c>
    </row>
    <row r="70" spans="1:7" x14ac:dyDescent="0.25">
      <c r="A70" s="49">
        <f>'A) Base RI'!A66</f>
        <v>5495</v>
      </c>
      <c r="B70" s="293" t="str">
        <f>'A) Base RI'!B66</f>
        <v>Penthalaz</v>
      </c>
      <c r="C70" s="10">
        <f>'A) Base RI'!AO66</f>
        <v>3207</v>
      </c>
      <c r="D70" s="425">
        <f>'C) Prél. conj.'!H64</f>
        <v>288535.01500000001</v>
      </c>
      <c r="E70" s="10">
        <f>'D) Ecrêtage'!M64</f>
        <v>0</v>
      </c>
      <c r="F70" s="425">
        <f>$F$10*'D) Ecrêtage'!C64</f>
        <v>1263051.2310471141</v>
      </c>
      <c r="G70" s="55">
        <f t="shared" si="0"/>
        <v>1551586.246047114</v>
      </c>
    </row>
    <row r="71" spans="1:7" x14ac:dyDescent="0.25">
      <c r="A71" s="49">
        <f>'A) Base RI'!A67</f>
        <v>5496</v>
      </c>
      <c r="B71" s="293" t="str">
        <f>'A) Base RI'!B67</f>
        <v>Penthaz</v>
      </c>
      <c r="C71" s="10">
        <f>'A) Base RI'!AO67</f>
        <v>1855</v>
      </c>
      <c r="D71" s="425">
        <f>'C) Prél. conj.'!H65</f>
        <v>180066.62</v>
      </c>
      <c r="E71" s="10">
        <f>'D) Ecrêtage'!M65</f>
        <v>0</v>
      </c>
      <c r="F71" s="425">
        <f>$F$10*'D) Ecrêtage'!C65</f>
        <v>813490.63860299625</v>
      </c>
      <c r="G71" s="55">
        <f t="shared" si="0"/>
        <v>993557.25860299624</v>
      </c>
    </row>
    <row r="72" spans="1:7" x14ac:dyDescent="0.25">
      <c r="A72" s="49">
        <f>'A) Base RI'!A68</f>
        <v>5497</v>
      </c>
      <c r="B72" s="293" t="str">
        <f>'A) Base RI'!B68</f>
        <v>Pompaples</v>
      </c>
      <c r="C72" s="10">
        <f>'A) Base RI'!AO68</f>
        <v>847</v>
      </c>
      <c r="D72" s="425">
        <f>'C) Prél. conj.'!H66</f>
        <v>80296.904999999999</v>
      </c>
      <c r="E72" s="10">
        <f>'D) Ecrêtage'!M66</f>
        <v>0</v>
      </c>
      <c r="F72" s="425">
        <f>$F$10*'D) Ecrêtage'!C66</f>
        <v>275942.93028706178</v>
      </c>
      <c r="G72" s="55">
        <f t="shared" si="0"/>
        <v>356239.83528706175</v>
      </c>
    </row>
    <row r="73" spans="1:7" x14ac:dyDescent="0.25">
      <c r="A73" s="49">
        <f>'A) Base RI'!A69</f>
        <v>5498</v>
      </c>
      <c r="B73" s="293" t="str">
        <f>'A) Base RI'!B69</f>
        <v>La Sarraz</v>
      </c>
      <c r="C73" s="10">
        <f>'A) Base RI'!AO69</f>
        <v>2598</v>
      </c>
      <c r="D73" s="425">
        <f>'C) Prél. conj.'!H67</f>
        <v>170564.90999999997</v>
      </c>
      <c r="E73" s="10">
        <f>'D) Ecrêtage'!M67</f>
        <v>0</v>
      </c>
      <c r="F73" s="425">
        <f>$F$10*'D) Ecrêtage'!C67</f>
        <v>1048579.0080439614</v>
      </c>
      <c r="G73" s="55">
        <f t="shared" si="0"/>
        <v>1219143.9180439613</v>
      </c>
    </row>
    <row r="74" spans="1:7" x14ac:dyDescent="0.25">
      <c r="A74" s="49">
        <f>'A) Base RI'!A70</f>
        <v>5499</v>
      </c>
      <c r="B74" s="293" t="str">
        <f>'A) Base RI'!B70</f>
        <v>Senarclens</v>
      </c>
      <c r="C74" s="10">
        <f>'A) Base RI'!AO70</f>
        <v>496</v>
      </c>
      <c r="D74" s="425">
        <f>'C) Prél. conj.'!H68</f>
        <v>125488.205</v>
      </c>
      <c r="E74" s="10">
        <f>'D) Ecrêtage'!M68</f>
        <v>0</v>
      </c>
      <c r="F74" s="425">
        <f>$F$10*'D) Ecrêtage'!C68</f>
        <v>265897.4127403851</v>
      </c>
      <c r="G74" s="55">
        <f t="shared" si="0"/>
        <v>391385.61774038512</v>
      </c>
    </row>
    <row r="75" spans="1:7" x14ac:dyDescent="0.25">
      <c r="A75" s="49">
        <f>'A) Base RI'!A71</f>
        <v>5500</v>
      </c>
      <c r="B75" s="293" t="str">
        <f>'A) Base RI'!B71</f>
        <v>Sévery</v>
      </c>
      <c r="C75" s="10">
        <f>'A) Base RI'!AO71</f>
        <v>214</v>
      </c>
      <c r="D75" s="425">
        <f>'C) Prél. conj.'!H69</f>
        <v>13843.275000000001</v>
      </c>
      <c r="E75" s="10">
        <f>'D) Ecrêtage'!M69</f>
        <v>0</v>
      </c>
      <c r="F75" s="425">
        <f>$F$10*'D) Ecrêtage'!C69</f>
        <v>101682.95098528749</v>
      </c>
      <c r="G75" s="55">
        <f t="shared" si="0"/>
        <v>115526.22598528748</v>
      </c>
    </row>
    <row r="76" spans="1:7" x14ac:dyDescent="0.25">
      <c r="A76" s="49">
        <f>'A) Base RI'!A72</f>
        <v>5501</v>
      </c>
      <c r="B76" s="293" t="str">
        <f>'A) Base RI'!B72</f>
        <v>Sullens</v>
      </c>
      <c r="C76" s="10">
        <f>'A) Base RI'!AO72</f>
        <v>1041</v>
      </c>
      <c r="D76" s="425">
        <f>'C) Prél. conj.'!H70</f>
        <v>3188006.4449999998</v>
      </c>
      <c r="E76" s="10">
        <f>'D) Ecrêtage'!M70</f>
        <v>0</v>
      </c>
      <c r="F76" s="425">
        <f>$F$10*'D) Ecrêtage'!C70</f>
        <v>567134.89831481688</v>
      </c>
      <c r="G76" s="55">
        <f t="shared" ref="G76:G139" si="1">D76+F76+E76</f>
        <v>3755141.3433148167</v>
      </c>
    </row>
    <row r="77" spans="1:7" x14ac:dyDescent="0.25">
      <c r="A77" s="49">
        <f>'A) Base RI'!A73</f>
        <v>5503</v>
      </c>
      <c r="B77" s="293" t="str">
        <f>'A) Base RI'!B73</f>
        <v>Vufflens-la-Ville</v>
      </c>
      <c r="C77" s="10">
        <f>'A) Base RI'!AO73</f>
        <v>1349</v>
      </c>
      <c r="D77" s="425">
        <f>'C) Prél. conj.'!H71</f>
        <v>146798.26</v>
      </c>
      <c r="E77" s="10">
        <f>'D) Ecrêtage'!M71</f>
        <v>39203.35318220374</v>
      </c>
      <c r="F77" s="425">
        <f>$F$10*'D) Ecrêtage'!C71</f>
        <v>918741.71387624636</v>
      </c>
      <c r="G77" s="55">
        <f t="shared" si="1"/>
        <v>1104743.3270584501</v>
      </c>
    </row>
    <row r="78" spans="1:7" x14ac:dyDescent="0.25">
      <c r="A78" s="49">
        <f>'A) Base RI'!A74</f>
        <v>5511</v>
      </c>
      <c r="B78" s="293" t="str">
        <f>'A) Base RI'!B74</f>
        <v>Assens</v>
      </c>
      <c r="C78" s="10">
        <f>'A) Base RI'!AO74</f>
        <v>1141</v>
      </c>
      <c r="D78" s="425">
        <f>'C) Prél. conj.'!H72</f>
        <v>64368.14</v>
      </c>
      <c r="E78" s="10">
        <f>'D) Ecrêtage'!M72</f>
        <v>0</v>
      </c>
      <c r="F78" s="425">
        <f>$F$10*'D) Ecrêtage'!C72</f>
        <v>601681.57944792346</v>
      </c>
      <c r="G78" s="55">
        <f t="shared" si="1"/>
        <v>666049.71944792347</v>
      </c>
    </row>
    <row r="79" spans="1:7" x14ac:dyDescent="0.25">
      <c r="A79" s="49">
        <f>'A) Base RI'!A75</f>
        <v>5512</v>
      </c>
      <c r="B79" s="293" t="str">
        <f>'A) Base RI'!B75</f>
        <v>Bercher</v>
      </c>
      <c r="C79" s="10">
        <f>'A) Base RI'!AO75</f>
        <v>1323</v>
      </c>
      <c r="D79" s="425">
        <f>'C) Prél. conj.'!H73</f>
        <v>84184.134999999995</v>
      </c>
      <c r="E79" s="10">
        <f>'D) Ecrêtage'!M73</f>
        <v>0</v>
      </c>
      <c r="F79" s="425">
        <f>$F$10*'D) Ecrêtage'!C73</f>
        <v>545385.50630293414</v>
      </c>
      <c r="G79" s="55">
        <f t="shared" si="1"/>
        <v>629569.64130293415</v>
      </c>
    </row>
    <row r="80" spans="1:7" x14ac:dyDescent="0.25">
      <c r="A80" s="49">
        <f>'A) Base RI'!A76</f>
        <v>5513</v>
      </c>
      <c r="B80" s="293" t="str">
        <f>'A) Base RI'!B76</f>
        <v>Bioley-Orjulaz</v>
      </c>
      <c r="C80" s="10">
        <f>'A) Base RI'!AO76</f>
        <v>525</v>
      </c>
      <c r="D80" s="425">
        <f>'C) Prél. conj.'!H74</f>
        <v>127502.325</v>
      </c>
      <c r="E80" s="10">
        <f>'D) Ecrêtage'!M74</f>
        <v>0</v>
      </c>
      <c r="F80" s="425">
        <f>$F$10*'D) Ecrêtage'!C74</f>
        <v>306354.93152487435</v>
      </c>
      <c r="G80" s="55">
        <f t="shared" si="1"/>
        <v>433857.25652487436</v>
      </c>
    </row>
    <row r="81" spans="1:7" x14ac:dyDescent="0.25">
      <c r="A81" s="49">
        <f>'A) Base RI'!A77</f>
        <v>5514</v>
      </c>
      <c r="B81" s="293" t="str">
        <f>'A) Base RI'!B77</f>
        <v>Bottens</v>
      </c>
      <c r="C81" s="10">
        <f>'A) Base RI'!AO77</f>
        <v>1330</v>
      </c>
      <c r="D81" s="425">
        <f>'C) Prél. conj.'!H75</f>
        <v>93273.864999999991</v>
      </c>
      <c r="E81" s="10">
        <f>'D) Ecrêtage'!M75</f>
        <v>0</v>
      </c>
      <c r="F81" s="425">
        <f>$F$10*'D) Ecrêtage'!C75</f>
        <v>597834.39712699619</v>
      </c>
      <c r="G81" s="55">
        <f t="shared" si="1"/>
        <v>691108.26212699618</v>
      </c>
    </row>
    <row r="82" spans="1:7" x14ac:dyDescent="0.25">
      <c r="A82" s="49">
        <f>'A) Base RI'!A78</f>
        <v>5515</v>
      </c>
      <c r="B82" s="293" t="str">
        <f>'A) Base RI'!B78</f>
        <v>Bretigny-sur-Morrens</v>
      </c>
      <c r="C82" s="10">
        <f>'A) Base RI'!AO78</f>
        <v>859</v>
      </c>
      <c r="D82" s="425">
        <f>'C) Prél. conj.'!H76</f>
        <v>118806.405</v>
      </c>
      <c r="E82" s="10">
        <f>'D) Ecrêtage'!M76</f>
        <v>0</v>
      </c>
      <c r="F82" s="425">
        <f>$F$10*'D) Ecrêtage'!C76</f>
        <v>400264.07899171149</v>
      </c>
      <c r="G82" s="55">
        <f t="shared" si="1"/>
        <v>519070.48399171152</v>
      </c>
    </row>
    <row r="83" spans="1:7" x14ac:dyDescent="0.25">
      <c r="A83" s="49">
        <f>'A) Base RI'!A79</f>
        <v>5516</v>
      </c>
      <c r="B83" s="293" t="str">
        <f>'A) Base RI'!B79</f>
        <v>Cugy</v>
      </c>
      <c r="C83" s="10">
        <f>'A) Base RI'!AO79</f>
        <v>2760</v>
      </c>
      <c r="D83" s="425">
        <f>'C) Prél. conj.'!H77</f>
        <v>386903.65500000003</v>
      </c>
      <c r="E83" s="10">
        <f>'D) Ecrêtage'!M77</f>
        <v>0</v>
      </c>
      <c r="F83" s="425">
        <f>$F$10*'D) Ecrêtage'!C77</f>
        <v>1448403.9229280974</v>
      </c>
      <c r="G83" s="55">
        <f t="shared" si="1"/>
        <v>1835307.5779280975</v>
      </c>
    </row>
    <row r="84" spans="1:7" x14ac:dyDescent="0.25">
      <c r="A84" s="49">
        <f>'A) Base RI'!A80</f>
        <v>5518</v>
      </c>
      <c r="B84" s="293" t="str">
        <f>'A) Base RI'!B80</f>
        <v>Echallens</v>
      </c>
      <c r="C84" s="10">
        <f>'A) Base RI'!AO80</f>
        <v>5731</v>
      </c>
      <c r="D84" s="425">
        <f>'C) Prél. conj.'!H78</f>
        <v>610232.1</v>
      </c>
      <c r="E84" s="10">
        <f>'D) Ecrêtage'!M78</f>
        <v>0</v>
      </c>
      <c r="F84" s="425">
        <f>$F$10*'D) Ecrêtage'!C78</f>
        <v>2418321.7300932989</v>
      </c>
      <c r="G84" s="55">
        <f t="shared" si="1"/>
        <v>3028553.830093299</v>
      </c>
    </row>
    <row r="85" spans="1:7" x14ac:dyDescent="0.25">
      <c r="A85" s="49">
        <f>'A) Base RI'!A81</f>
        <v>5520</v>
      </c>
      <c r="B85" s="293" t="str">
        <f>'A) Base RI'!B81</f>
        <v>Essertines-sur-Yverdon</v>
      </c>
      <c r="C85" s="10">
        <f>'A) Base RI'!AO81</f>
        <v>1036</v>
      </c>
      <c r="D85" s="425">
        <f>'C) Prél. conj.'!H79</f>
        <v>132109.23500000002</v>
      </c>
      <c r="E85" s="10">
        <f>'D) Ecrêtage'!M79</f>
        <v>0</v>
      </c>
      <c r="F85" s="425">
        <f>$F$10*'D) Ecrêtage'!C79</f>
        <v>402257.16330882837</v>
      </c>
      <c r="G85" s="55">
        <f t="shared" si="1"/>
        <v>534366.39830882836</v>
      </c>
    </row>
    <row r="86" spans="1:7" x14ac:dyDescent="0.25">
      <c r="A86" s="49">
        <f>'A) Base RI'!A82</f>
        <v>5521</v>
      </c>
      <c r="B86" s="293" t="str">
        <f>'A) Base RI'!B82</f>
        <v>Etagnières</v>
      </c>
      <c r="C86" s="10">
        <f>'A) Base RI'!AO82</f>
        <v>1148</v>
      </c>
      <c r="D86" s="425">
        <f>'C) Prél. conj.'!H80</f>
        <v>94823.5</v>
      </c>
      <c r="E86" s="10">
        <f>'D) Ecrêtage'!M80</f>
        <v>0</v>
      </c>
      <c r="F86" s="425">
        <f>$F$10*'D) Ecrêtage'!C80</f>
        <v>633102.75830928178</v>
      </c>
      <c r="G86" s="55">
        <f t="shared" si="1"/>
        <v>727926.25830928178</v>
      </c>
    </row>
    <row r="87" spans="1:7" x14ac:dyDescent="0.25">
      <c r="A87" s="49">
        <f>'A) Base RI'!A83</f>
        <v>5522</v>
      </c>
      <c r="B87" s="293" t="str">
        <f>'A) Base RI'!B83</f>
        <v>Fey</v>
      </c>
      <c r="C87" s="10">
        <f>'A) Base RI'!AO83</f>
        <v>749</v>
      </c>
      <c r="D87" s="425">
        <f>'C) Prél. conj.'!H81</f>
        <v>27906.3</v>
      </c>
      <c r="E87" s="10">
        <f>'D) Ecrêtage'!M81</f>
        <v>0</v>
      </c>
      <c r="F87" s="425">
        <f>$F$10*'D) Ecrêtage'!C81</f>
        <v>320992.60098712309</v>
      </c>
      <c r="G87" s="55">
        <f t="shared" si="1"/>
        <v>348898.90098712308</v>
      </c>
    </row>
    <row r="88" spans="1:7" x14ac:dyDescent="0.25">
      <c r="A88" s="49">
        <f>'A) Base RI'!A84</f>
        <v>5523</v>
      </c>
      <c r="B88" s="293" t="str">
        <f>'A) Base RI'!B84</f>
        <v>Froideville</v>
      </c>
      <c r="C88" s="10">
        <f>'A) Base RI'!AO84</f>
        <v>2694</v>
      </c>
      <c r="D88" s="425">
        <f>'C) Prél. conj.'!H82</f>
        <v>141798.26500000001</v>
      </c>
      <c r="E88" s="10">
        <f>'D) Ecrêtage'!M82</f>
        <v>0</v>
      </c>
      <c r="F88" s="425">
        <f>$F$10*'D) Ecrêtage'!C82</f>
        <v>1161686.3951120314</v>
      </c>
      <c r="G88" s="55">
        <f t="shared" si="1"/>
        <v>1303484.6601120313</v>
      </c>
    </row>
    <row r="89" spans="1:7" x14ac:dyDescent="0.25">
      <c r="A89" s="49">
        <f>'A) Base RI'!A85</f>
        <v>5527</v>
      </c>
      <c r="B89" s="293" t="str">
        <f>'A) Base RI'!B85</f>
        <v>Morrens</v>
      </c>
      <c r="C89" s="10">
        <f>'A) Base RI'!AO85</f>
        <v>1153</v>
      </c>
      <c r="D89" s="425">
        <f>'C) Prél. conj.'!H83</f>
        <v>81572.100000000006</v>
      </c>
      <c r="E89" s="10">
        <f>'D) Ecrêtage'!M83</f>
        <v>0</v>
      </c>
      <c r="F89" s="425">
        <f>$F$10*'D) Ecrêtage'!C83</f>
        <v>548777.42463210446</v>
      </c>
      <c r="G89" s="55">
        <f t="shared" si="1"/>
        <v>630349.52463210444</v>
      </c>
    </row>
    <row r="90" spans="1:7" x14ac:dyDescent="0.25">
      <c r="A90" s="49">
        <f>'A) Base RI'!A86</f>
        <v>5529</v>
      </c>
      <c r="B90" s="293" t="str">
        <f>'A) Base RI'!B86</f>
        <v>Oulens-sous-Echallens</v>
      </c>
      <c r="C90" s="10">
        <f>'A) Base RI'!AO86</f>
        <v>618</v>
      </c>
      <c r="D90" s="425">
        <f>'C) Prél. conj.'!H84</f>
        <v>22048.87</v>
      </c>
      <c r="E90" s="10">
        <f>'D) Ecrêtage'!M84</f>
        <v>0</v>
      </c>
      <c r="F90" s="425">
        <f>$F$10*'D) Ecrêtage'!C84</f>
        <v>273294.83103262354</v>
      </c>
      <c r="G90" s="55">
        <f t="shared" si="1"/>
        <v>295343.70103262353</v>
      </c>
    </row>
    <row r="91" spans="1:7" x14ac:dyDescent="0.25">
      <c r="A91" s="49">
        <f>'A) Base RI'!A87</f>
        <v>5530</v>
      </c>
      <c r="B91" s="293" t="str">
        <f>'A) Base RI'!B87</f>
        <v>Pailly</v>
      </c>
      <c r="C91" s="10">
        <f>'A) Base RI'!AO87</f>
        <v>567</v>
      </c>
      <c r="D91" s="425">
        <f>'C) Prél. conj.'!H85</f>
        <v>12499.82</v>
      </c>
      <c r="E91" s="10">
        <f>'D) Ecrêtage'!M85</f>
        <v>0</v>
      </c>
      <c r="F91" s="425">
        <f>$F$10*'D) Ecrêtage'!C85</f>
        <v>247600.80314587933</v>
      </c>
      <c r="G91" s="55">
        <f t="shared" si="1"/>
        <v>260100.62314587933</v>
      </c>
    </row>
    <row r="92" spans="1:7" x14ac:dyDescent="0.25">
      <c r="A92" s="49">
        <f>'A) Base RI'!A88</f>
        <v>5531</v>
      </c>
      <c r="B92" s="293" t="str">
        <f>'A) Base RI'!B88</f>
        <v>Penthéréaz</v>
      </c>
      <c r="C92" s="10">
        <f>'A) Base RI'!AO88</f>
        <v>419</v>
      </c>
      <c r="D92" s="425">
        <f>'C) Prél. conj.'!H86</f>
        <v>28005.84</v>
      </c>
      <c r="E92" s="10">
        <f>'D) Ecrêtage'!M86</f>
        <v>0</v>
      </c>
      <c r="F92" s="425">
        <f>$F$10*'D) Ecrêtage'!C86</f>
        <v>187277.43770482411</v>
      </c>
      <c r="G92" s="55">
        <f t="shared" si="1"/>
        <v>215283.27770482411</v>
      </c>
    </row>
    <row r="93" spans="1:7" x14ac:dyDescent="0.25">
      <c r="A93" s="49">
        <f>'A) Base RI'!A89</f>
        <v>5533</v>
      </c>
      <c r="B93" s="293" t="str">
        <f>'A) Base RI'!B89</f>
        <v>Poliez-Pittet</v>
      </c>
      <c r="C93" s="10">
        <f>'A) Base RI'!AO89</f>
        <v>829</v>
      </c>
      <c r="D93" s="425">
        <f>'C) Prél. conj.'!H87</f>
        <v>170475.03999999998</v>
      </c>
      <c r="E93" s="10">
        <f>'D) Ecrêtage'!M87</f>
        <v>0</v>
      </c>
      <c r="F93" s="425">
        <f>$F$10*'D) Ecrêtage'!C87</f>
        <v>367845.25887813454</v>
      </c>
      <c r="G93" s="55">
        <f t="shared" si="1"/>
        <v>538320.29887813446</v>
      </c>
    </row>
    <row r="94" spans="1:7" x14ac:dyDescent="0.25">
      <c r="A94" s="49">
        <f>'A) Base RI'!A90</f>
        <v>5534</v>
      </c>
      <c r="B94" s="293" t="str">
        <f>'A) Base RI'!B90</f>
        <v>Rueyres</v>
      </c>
      <c r="C94" s="10">
        <f>'A) Base RI'!AO90</f>
        <v>266</v>
      </c>
      <c r="D94" s="425">
        <f>'C) Prél. conj.'!H88</f>
        <v>25255.22</v>
      </c>
      <c r="E94" s="10">
        <f>'D) Ecrêtage'!M88</f>
        <v>0</v>
      </c>
      <c r="F94" s="425">
        <f>$F$10*'D) Ecrêtage'!C88</f>
        <v>131976.37096387014</v>
      </c>
      <c r="G94" s="55">
        <f t="shared" si="1"/>
        <v>157231.59096387014</v>
      </c>
    </row>
    <row r="95" spans="1:7" x14ac:dyDescent="0.25">
      <c r="A95" s="49">
        <f>'A) Base RI'!A91</f>
        <v>5535</v>
      </c>
      <c r="B95" s="293" t="str">
        <f>'A) Base RI'!B91</f>
        <v>Saint-Barthélemy</v>
      </c>
      <c r="C95" s="10">
        <f>'A) Base RI'!AO91</f>
        <v>784</v>
      </c>
      <c r="D95" s="425">
        <f>'C) Prél. conj.'!H89</f>
        <v>31063.825000000001</v>
      </c>
      <c r="E95" s="10">
        <f>'D) Ecrêtage'!M89</f>
        <v>0</v>
      </c>
      <c r="F95" s="425">
        <f>$F$10*'D) Ecrêtage'!C89</f>
        <v>304351.17862881074</v>
      </c>
      <c r="G95" s="55">
        <f t="shared" si="1"/>
        <v>335415.00362881075</v>
      </c>
    </row>
    <row r="96" spans="1:7" x14ac:dyDescent="0.25">
      <c r="A96" s="49">
        <f>'A) Base RI'!A92</f>
        <v>5537</v>
      </c>
      <c r="B96" s="293" t="str">
        <f>'A) Base RI'!B92</f>
        <v>Villars-le-Terroir</v>
      </c>
      <c r="C96" s="10">
        <f>'A) Base RI'!AO92</f>
        <v>1281</v>
      </c>
      <c r="D96" s="425">
        <f>'C) Prél. conj.'!H90</f>
        <v>97419.774999999994</v>
      </c>
      <c r="E96" s="10">
        <f>'D) Ecrêtage'!M90</f>
        <v>0</v>
      </c>
      <c r="F96" s="425">
        <f>$F$10*'D) Ecrêtage'!C90</f>
        <v>513590.3871264222</v>
      </c>
      <c r="G96" s="55">
        <f t="shared" si="1"/>
        <v>611010.16212642216</v>
      </c>
    </row>
    <row r="97" spans="1:7" x14ac:dyDescent="0.25">
      <c r="A97" s="49">
        <f>'A) Base RI'!A93</f>
        <v>5539</v>
      </c>
      <c r="B97" s="293" t="str">
        <f>'A) Base RI'!B93</f>
        <v>Vuarrens</v>
      </c>
      <c r="C97" s="10">
        <f>'A) Base RI'!AO93</f>
        <v>1060</v>
      </c>
      <c r="D97" s="425">
        <f>'C) Prél. conj.'!H91</f>
        <v>166253.19000000003</v>
      </c>
      <c r="E97" s="10">
        <f>'D) Ecrêtage'!M91</f>
        <v>0</v>
      </c>
      <c r="F97" s="425">
        <f>$F$10*'D) Ecrêtage'!C91</f>
        <v>486510.77592188341</v>
      </c>
      <c r="G97" s="55">
        <f t="shared" si="1"/>
        <v>652763.96592188347</v>
      </c>
    </row>
    <row r="98" spans="1:7" x14ac:dyDescent="0.25">
      <c r="A98" s="49">
        <f>'A) Base RI'!A94</f>
        <v>5540</v>
      </c>
      <c r="B98" s="293" t="str">
        <f>'A) Base RI'!B94</f>
        <v>Montilliez</v>
      </c>
      <c r="C98" s="10">
        <f>'A) Base RI'!AO94</f>
        <v>1857</v>
      </c>
      <c r="D98" s="425">
        <f>'C) Prél. conj.'!H92</f>
        <v>98609.705000000002</v>
      </c>
      <c r="E98" s="10">
        <f>'D) Ecrêtage'!M92</f>
        <v>0</v>
      </c>
      <c r="F98" s="425">
        <f>$F$10*'D) Ecrêtage'!C92</f>
        <v>896359.20246966579</v>
      </c>
      <c r="G98" s="55">
        <f t="shared" si="1"/>
        <v>994968.90746966575</v>
      </c>
    </row>
    <row r="99" spans="1:7" x14ac:dyDescent="0.25">
      <c r="A99" s="49">
        <f>'A) Base RI'!A95</f>
        <v>5541</v>
      </c>
      <c r="B99" s="293" t="str">
        <f>'A) Base RI'!B95</f>
        <v>Goumoëns</v>
      </c>
      <c r="C99" s="10">
        <f>'A) Base RI'!AO95</f>
        <v>1153</v>
      </c>
      <c r="D99" s="425">
        <f>'C) Prél. conj.'!H93</f>
        <v>129969.265</v>
      </c>
      <c r="E99" s="10">
        <f>'D) Ecrêtage'!M93</f>
        <v>0</v>
      </c>
      <c r="F99" s="425">
        <f>$F$10*'D) Ecrêtage'!C93</f>
        <v>500539.89235592919</v>
      </c>
      <c r="G99" s="55">
        <f t="shared" si="1"/>
        <v>630509.15735592914</v>
      </c>
    </row>
    <row r="100" spans="1:7" x14ac:dyDescent="0.25">
      <c r="A100" s="49">
        <f>'A) Base RI'!A96</f>
        <v>5551</v>
      </c>
      <c r="B100" s="293" t="str">
        <f>'A) Base RI'!B96</f>
        <v>Bonvillars</v>
      </c>
      <c r="C100" s="10">
        <f>'A) Base RI'!AO96</f>
        <v>489</v>
      </c>
      <c r="D100" s="425">
        <f>'C) Prél. conj.'!H94</f>
        <v>25014.264999999999</v>
      </c>
      <c r="E100" s="10">
        <f>'D) Ecrêtage'!M94</f>
        <v>0</v>
      </c>
      <c r="F100" s="425">
        <f>$F$10*'D) Ecrêtage'!C94</f>
        <v>259162.69714435725</v>
      </c>
      <c r="G100" s="55">
        <f t="shared" si="1"/>
        <v>284176.96214435727</v>
      </c>
    </row>
    <row r="101" spans="1:7" x14ac:dyDescent="0.25">
      <c r="A101" s="49">
        <f>'A) Base RI'!A97</f>
        <v>5552</v>
      </c>
      <c r="B101" s="293" t="str">
        <f>'A) Base RI'!B97</f>
        <v>Bullet</v>
      </c>
      <c r="C101" s="10">
        <f>'A) Base RI'!AO97</f>
        <v>657</v>
      </c>
      <c r="D101" s="425">
        <f>'C) Prél. conj.'!H95</f>
        <v>72144.509999999995</v>
      </c>
      <c r="E101" s="10">
        <f>'D) Ecrêtage'!M95</f>
        <v>0</v>
      </c>
      <c r="F101" s="425">
        <f>$F$10*'D) Ecrêtage'!C95</f>
        <v>237513.9773628363</v>
      </c>
      <c r="G101" s="55">
        <f t="shared" si="1"/>
        <v>309658.48736283631</v>
      </c>
    </row>
    <row r="102" spans="1:7" x14ac:dyDescent="0.25">
      <c r="A102" s="49">
        <f>'A) Base RI'!A98</f>
        <v>5553</v>
      </c>
      <c r="B102" s="293" t="str">
        <f>'A) Base RI'!B98</f>
        <v>Champagne</v>
      </c>
      <c r="C102" s="10">
        <f>'A) Base RI'!AO98</f>
        <v>1061</v>
      </c>
      <c r="D102" s="425">
        <f>'C) Prél. conj.'!H96</f>
        <v>157015.44</v>
      </c>
      <c r="E102" s="10">
        <f>'D) Ecrêtage'!M96</f>
        <v>0</v>
      </c>
      <c r="F102" s="425">
        <f>$F$10*'D) Ecrêtage'!C96</f>
        <v>523305.39025193464</v>
      </c>
      <c r="G102" s="55">
        <f t="shared" si="1"/>
        <v>680320.83025193471</v>
      </c>
    </row>
    <row r="103" spans="1:7" x14ac:dyDescent="0.25">
      <c r="A103" s="49">
        <f>'A) Base RI'!A99</f>
        <v>5554</v>
      </c>
      <c r="B103" s="293" t="str">
        <f>'A) Base RI'!B99</f>
        <v>Concise</v>
      </c>
      <c r="C103" s="10">
        <f>'A) Base RI'!AO99</f>
        <v>1001</v>
      </c>
      <c r="D103" s="425">
        <f>'C) Prél. conj.'!H97</f>
        <v>124657.66499999999</v>
      </c>
      <c r="E103" s="10">
        <f>'D) Ecrêtage'!M97</f>
        <v>0</v>
      </c>
      <c r="F103" s="425">
        <f>$F$10*'D) Ecrêtage'!C97</f>
        <v>437351.25599302701</v>
      </c>
      <c r="G103" s="55">
        <f t="shared" si="1"/>
        <v>562008.92099302704</v>
      </c>
    </row>
    <row r="104" spans="1:7" x14ac:dyDescent="0.25">
      <c r="A104" s="49">
        <f>'A) Base RI'!A100</f>
        <v>5555</v>
      </c>
      <c r="B104" s="293" t="str">
        <f>'A) Base RI'!B100</f>
        <v>Corcelles-près-Concise</v>
      </c>
      <c r="C104" s="10">
        <f>'A) Base RI'!AO100</f>
        <v>419</v>
      </c>
      <c r="D104" s="425">
        <f>'C) Prél. conj.'!H98</f>
        <v>91121.654999999999</v>
      </c>
      <c r="E104" s="10">
        <f>'D) Ecrêtage'!M98</f>
        <v>0</v>
      </c>
      <c r="F104" s="425">
        <f>$F$10*'D) Ecrêtage'!C98</f>
        <v>183590.63843155513</v>
      </c>
      <c r="G104" s="55">
        <f t="shared" si="1"/>
        <v>274712.29343155515</v>
      </c>
    </row>
    <row r="105" spans="1:7" x14ac:dyDescent="0.25">
      <c r="A105" s="49">
        <f>'A) Base RI'!A101</f>
        <v>5556</v>
      </c>
      <c r="B105" s="293" t="str">
        <f>'A) Base RI'!B101</f>
        <v>Fiez</v>
      </c>
      <c r="C105" s="10">
        <f>'A) Base RI'!AO101</f>
        <v>451</v>
      </c>
      <c r="D105" s="425">
        <f>'C) Prél. conj.'!H99</f>
        <v>45366.474999999999</v>
      </c>
      <c r="E105" s="10">
        <f>'D) Ecrêtage'!M99</f>
        <v>0</v>
      </c>
      <c r="F105" s="425">
        <f>$F$10*'D) Ecrêtage'!C99</f>
        <v>186917.10378709677</v>
      </c>
      <c r="G105" s="55">
        <f t="shared" si="1"/>
        <v>232283.57878709678</v>
      </c>
    </row>
    <row r="106" spans="1:7" x14ac:dyDescent="0.25">
      <c r="A106" s="49">
        <f>'A) Base RI'!A102</f>
        <v>5557</v>
      </c>
      <c r="B106" s="293" t="str">
        <f>'A) Base RI'!B102</f>
        <v>Fontaines-sur-Grandson</v>
      </c>
      <c r="C106" s="10">
        <f>'A) Base RI'!AO102</f>
        <v>219</v>
      </c>
      <c r="D106" s="425">
        <f>'C) Prél. conj.'!H100</f>
        <v>32454.875</v>
      </c>
      <c r="E106" s="10">
        <f>'D) Ecrêtage'!M100</f>
        <v>0</v>
      </c>
      <c r="F106" s="425">
        <f>$F$10*'D) Ecrêtage'!C100</f>
        <v>79552.675408717245</v>
      </c>
      <c r="G106" s="55">
        <f t="shared" si="1"/>
        <v>112007.55040871724</v>
      </c>
    </row>
    <row r="107" spans="1:7" x14ac:dyDescent="0.25">
      <c r="A107" s="49">
        <f>'A) Base RI'!A103</f>
        <v>5559</v>
      </c>
      <c r="B107" s="293" t="str">
        <f>'A) Base RI'!B103</f>
        <v>Giez</v>
      </c>
      <c r="C107" s="10">
        <f>'A) Base RI'!AO103</f>
        <v>414</v>
      </c>
      <c r="D107" s="425">
        <f>'C) Prél. conj.'!H101</f>
        <v>60017.704999999994</v>
      </c>
      <c r="E107" s="10">
        <f>'D) Ecrêtage'!M101</f>
        <v>0</v>
      </c>
      <c r="F107" s="425">
        <f>$F$10*'D) Ecrêtage'!C101</f>
        <v>228601.34274430652</v>
      </c>
      <c r="G107" s="55">
        <f t="shared" si="1"/>
        <v>288619.0477443065</v>
      </c>
    </row>
    <row r="108" spans="1:7" x14ac:dyDescent="0.25">
      <c r="A108" s="49">
        <f>'A) Base RI'!A104</f>
        <v>5560</v>
      </c>
      <c r="B108" s="293" t="str">
        <f>'A) Base RI'!B104</f>
        <v>Grandevent</v>
      </c>
      <c r="C108" s="10">
        <f>'A) Base RI'!AO104</f>
        <v>226</v>
      </c>
      <c r="D108" s="425">
        <f>'C) Prél. conj.'!H102</f>
        <v>14062.75</v>
      </c>
      <c r="E108" s="10">
        <f>'D) Ecrêtage'!M102</f>
        <v>0</v>
      </c>
      <c r="F108" s="425">
        <f>$F$10*'D) Ecrêtage'!C102</f>
        <v>83443.074277982771</v>
      </c>
      <c r="G108" s="55">
        <f t="shared" si="1"/>
        <v>97505.824277982771</v>
      </c>
    </row>
    <row r="109" spans="1:7" x14ac:dyDescent="0.25">
      <c r="A109" s="49">
        <f>'A) Base RI'!A105</f>
        <v>5561</v>
      </c>
      <c r="B109" s="293" t="str">
        <f>'A) Base RI'!B105</f>
        <v>Grandson</v>
      </c>
      <c r="C109" s="10">
        <f>'A) Base RI'!AO105</f>
        <v>3356</v>
      </c>
      <c r="D109" s="425">
        <f>'C) Prél. conj.'!H103</f>
        <v>455057.93</v>
      </c>
      <c r="E109" s="10">
        <f>'D) Ecrêtage'!M103</f>
        <v>0</v>
      </c>
      <c r="F109" s="425">
        <f>$F$10*'D) Ecrêtage'!C103</f>
        <v>1555597.4781250942</v>
      </c>
      <c r="G109" s="55">
        <f t="shared" si="1"/>
        <v>2010655.4081250941</v>
      </c>
    </row>
    <row r="110" spans="1:7" x14ac:dyDescent="0.25">
      <c r="A110" s="49">
        <f>'A) Base RI'!A106</f>
        <v>5562</v>
      </c>
      <c r="B110" s="293" t="str">
        <f>'A) Base RI'!B106</f>
        <v>Mauborget</v>
      </c>
      <c r="C110" s="10">
        <f>'A) Base RI'!AO106</f>
        <v>128</v>
      </c>
      <c r="D110" s="425">
        <f>'C) Prél. conj.'!H104</f>
        <v>12692.95</v>
      </c>
      <c r="E110" s="10">
        <f>'D) Ecrêtage'!M104</f>
        <v>0</v>
      </c>
      <c r="F110" s="425">
        <f>$F$10*'D) Ecrêtage'!C104</f>
        <v>81674.366325217925</v>
      </c>
      <c r="G110" s="55">
        <f t="shared" si="1"/>
        <v>94367.316325217922</v>
      </c>
    </row>
    <row r="111" spans="1:7" x14ac:dyDescent="0.25">
      <c r="A111" s="49">
        <f>'A) Base RI'!A107</f>
        <v>5563</v>
      </c>
      <c r="B111" s="293" t="str">
        <f>'A) Base RI'!B107</f>
        <v>Mutrux</v>
      </c>
      <c r="C111" s="10">
        <f>'A) Base RI'!AO107</f>
        <v>149</v>
      </c>
      <c r="D111" s="425">
        <f>'C) Prél. conj.'!H105</f>
        <v>11813.975</v>
      </c>
      <c r="E111" s="10">
        <f>'D) Ecrêtage'!M105</f>
        <v>0</v>
      </c>
      <c r="F111" s="425">
        <f>$F$10*'D) Ecrêtage'!C105</f>
        <v>55109.921067558687</v>
      </c>
      <c r="G111" s="55">
        <f t="shared" si="1"/>
        <v>66923.896067558686</v>
      </c>
    </row>
    <row r="112" spans="1:7" x14ac:dyDescent="0.25">
      <c r="A112" s="49">
        <f>'A) Base RI'!A108</f>
        <v>5564</v>
      </c>
      <c r="B112" s="293" t="str">
        <f>'A) Base RI'!B108</f>
        <v>Novalles</v>
      </c>
      <c r="C112" s="10">
        <f>'A) Base RI'!AO108</f>
        <v>99</v>
      </c>
      <c r="D112" s="425">
        <f>'C) Prél. conj.'!H106</f>
        <v>13421.65</v>
      </c>
      <c r="E112" s="10">
        <f>'D) Ecrêtage'!M106</f>
        <v>0</v>
      </c>
      <c r="F112" s="425">
        <f>$F$10*'D) Ecrêtage'!C106</f>
        <v>28295.154116642138</v>
      </c>
      <c r="G112" s="55">
        <f t="shared" si="1"/>
        <v>41716.804116642139</v>
      </c>
    </row>
    <row r="113" spans="1:7" x14ac:dyDescent="0.25">
      <c r="A113" s="49">
        <f>'A) Base RI'!A109</f>
        <v>5565</v>
      </c>
      <c r="B113" s="293" t="str">
        <f>'A) Base RI'!B109</f>
        <v>Onnens</v>
      </c>
      <c r="C113" s="10">
        <f>'A) Base RI'!AO109</f>
        <v>505</v>
      </c>
      <c r="D113" s="425">
        <f>'C) Prél. conj.'!H107</f>
        <v>32780.465000000004</v>
      </c>
      <c r="E113" s="10">
        <f>'D) Ecrêtage'!M107</f>
        <v>0</v>
      </c>
      <c r="F113" s="425">
        <f>$F$10*'D) Ecrêtage'!C107</f>
        <v>266386.26378572435</v>
      </c>
      <c r="G113" s="55">
        <f t="shared" si="1"/>
        <v>299166.72878572438</v>
      </c>
    </row>
    <row r="114" spans="1:7" x14ac:dyDescent="0.25">
      <c r="A114" s="49">
        <f>'A) Base RI'!A110</f>
        <v>5566</v>
      </c>
      <c r="B114" s="293" t="str">
        <f>'A) Base RI'!B110</f>
        <v>Provence</v>
      </c>
      <c r="C114" s="10">
        <f>'A) Base RI'!AO110</f>
        <v>392</v>
      </c>
      <c r="D114" s="425">
        <f>'C) Prél. conj.'!H108</f>
        <v>77539.764999999999</v>
      </c>
      <c r="E114" s="10">
        <f>'D) Ecrêtage'!M108</f>
        <v>0</v>
      </c>
      <c r="F114" s="425">
        <f>$F$10*'D) Ecrêtage'!C108</f>
        <v>102800.34631262298</v>
      </c>
      <c r="G114" s="55">
        <f t="shared" si="1"/>
        <v>180340.11131262296</v>
      </c>
    </row>
    <row r="115" spans="1:7" x14ac:dyDescent="0.25">
      <c r="A115" s="49">
        <f>'A) Base RI'!A111</f>
        <v>5568</v>
      </c>
      <c r="B115" s="293" t="str">
        <f>'A) Base RI'!B111</f>
        <v>Sainte-Croix</v>
      </c>
      <c r="C115" s="10">
        <f>'A) Base RI'!AO111</f>
        <v>4917</v>
      </c>
      <c r="D115" s="425">
        <f>'C) Prél. conj.'!H109</f>
        <v>1055458.1499999999</v>
      </c>
      <c r="E115" s="10">
        <f>'D) Ecrêtage'!M109</f>
        <v>0</v>
      </c>
      <c r="F115" s="425">
        <f>$F$10*'D) Ecrêtage'!C109</f>
        <v>1441006.6546041805</v>
      </c>
      <c r="G115" s="55">
        <f t="shared" si="1"/>
        <v>2496464.8046041802</v>
      </c>
    </row>
    <row r="116" spans="1:7" x14ac:dyDescent="0.25">
      <c r="A116" s="49">
        <f>'A) Base RI'!A112</f>
        <v>5571</v>
      </c>
      <c r="B116" s="293" t="str">
        <f>'A) Base RI'!B112</f>
        <v>Tévenon</v>
      </c>
      <c r="C116" s="10">
        <f>'A) Base RI'!AO112</f>
        <v>894</v>
      </c>
      <c r="D116" s="425">
        <f>'C) Prél. conj.'!H110</f>
        <v>75286.545000000013</v>
      </c>
      <c r="E116" s="10">
        <f>'D) Ecrêtage'!M110</f>
        <v>0</v>
      </c>
      <c r="F116" s="425">
        <f>$F$10*'D) Ecrêtage'!C110</f>
        <v>289242.92547120113</v>
      </c>
      <c r="G116" s="55">
        <f t="shared" si="1"/>
        <v>364529.47047120112</v>
      </c>
    </row>
    <row r="117" spans="1:7" x14ac:dyDescent="0.25">
      <c r="A117" s="49">
        <f>'A) Base RI'!A113</f>
        <v>5581</v>
      </c>
      <c r="B117" s="293" t="str">
        <f>'A) Base RI'!B113</f>
        <v>Belmont-sur-Lausanne</v>
      </c>
      <c r="C117" s="10">
        <f>'A) Base RI'!AO113</f>
        <v>3756</v>
      </c>
      <c r="D117" s="425">
        <f>'C) Prél. conj.'!H111</f>
        <v>815149.39500000002</v>
      </c>
      <c r="E117" s="10">
        <f>'D) Ecrêtage'!M111</f>
        <v>453713.00632056553</v>
      </c>
      <c r="F117" s="425">
        <f>$F$10*'D) Ecrêtage'!C111</f>
        <v>2874094.9866406238</v>
      </c>
      <c r="G117" s="55">
        <f t="shared" si="1"/>
        <v>4142957.3879611893</v>
      </c>
    </row>
    <row r="118" spans="1:7" x14ac:dyDescent="0.25">
      <c r="A118" s="49">
        <f>'A) Base RI'!A114</f>
        <v>5582</v>
      </c>
      <c r="B118" s="293" t="str">
        <f>'A) Base RI'!B114</f>
        <v>Cheseaux-sur-Lausanne</v>
      </c>
      <c r="C118" s="10">
        <f>'A) Base RI'!AO114</f>
        <v>4367</v>
      </c>
      <c r="D118" s="425">
        <f>'C) Prél. conj.'!H112</f>
        <v>440659.76999999996</v>
      </c>
      <c r="E118" s="10">
        <f>'D) Ecrêtage'!M112</f>
        <v>0</v>
      </c>
      <c r="F118" s="425">
        <f>$F$10*'D) Ecrêtage'!C112</f>
        <v>2215720.2083675466</v>
      </c>
      <c r="G118" s="55">
        <f t="shared" si="1"/>
        <v>2656379.9783675466</v>
      </c>
    </row>
    <row r="119" spans="1:7" x14ac:dyDescent="0.25">
      <c r="A119" s="49">
        <f>'A) Base RI'!A115</f>
        <v>5583</v>
      </c>
      <c r="B119" s="293" t="str">
        <f>'A) Base RI'!B115</f>
        <v>Crissier</v>
      </c>
      <c r="C119" s="10">
        <f>'A) Base RI'!AO115</f>
        <v>8700</v>
      </c>
      <c r="D119" s="425">
        <f>'C) Prél. conj.'!H113</f>
        <v>1443991.15</v>
      </c>
      <c r="E119" s="10">
        <f>'D) Ecrêtage'!M113</f>
        <v>0</v>
      </c>
      <c r="F119" s="425">
        <f>$F$10*'D) Ecrêtage'!C113</f>
        <v>4979818.9840074312</v>
      </c>
      <c r="G119" s="55">
        <f t="shared" si="1"/>
        <v>6423810.1340074316</v>
      </c>
    </row>
    <row r="120" spans="1:7" x14ac:dyDescent="0.25">
      <c r="A120" s="49">
        <f>'A) Base RI'!A116</f>
        <v>5584</v>
      </c>
      <c r="B120" s="293" t="str">
        <f>'A) Base RI'!B116</f>
        <v>Epalinges</v>
      </c>
      <c r="C120" s="10">
        <f>'A) Base RI'!AO116</f>
        <v>9755</v>
      </c>
      <c r="D120" s="425">
        <f>'C) Prél. conj.'!H114</f>
        <v>1862730.8699999999</v>
      </c>
      <c r="E120" s="10">
        <f>'D) Ecrêtage'!M114</f>
        <v>157228.59883061567</v>
      </c>
      <c r="F120" s="425">
        <f>$F$10*'D) Ecrêtage'!C114</f>
        <v>6522359.6576003209</v>
      </c>
      <c r="G120" s="55">
        <f t="shared" si="1"/>
        <v>8542319.1264309362</v>
      </c>
    </row>
    <row r="121" spans="1:7" x14ac:dyDescent="0.25">
      <c r="A121" s="49">
        <f>'A) Base RI'!A117</f>
        <v>5585</v>
      </c>
      <c r="B121" s="293" t="str">
        <f>'A) Base RI'!B117</f>
        <v>Jouxtens-Mézery</v>
      </c>
      <c r="C121" s="10">
        <f>'A) Base RI'!AO117</f>
        <v>1411</v>
      </c>
      <c r="D121" s="425">
        <f>'C) Prél. conj.'!H115</f>
        <v>548661.93999999994</v>
      </c>
      <c r="E121" s="10">
        <f>'D) Ecrêtage'!M115</f>
        <v>3286457.7001646636</v>
      </c>
      <c r="F121" s="425">
        <f>$F$10*'D) Ecrêtage'!C115</f>
        <v>2739381.3967326083</v>
      </c>
      <c r="G121" s="55">
        <f t="shared" si="1"/>
        <v>6574501.0368972719</v>
      </c>
    </row>
    <row r="122" spans="1:7" x14ac:dyDescent="0.25">
      <c r="A122" s="49">
        <f>'A) Base RI'!A118</f>
        <v>5586</v>
      </c>
      <c r="B122" s="293" t="str">
        <f>'A) Base RI'!B118</f>
        <v>Lausanne</v>
      </c>
      <c r="C122" s="10">
        <f>'A) Base RI'!AO118</f>
        <v>140430</v>
      </c>
      <c r="D122" s="425">
        <f>'C) Prél. conj.'!H116</f>
        <v>22622309.775000002</v>
      </c>
      <c r="E122" s="10">
        <f>'D) Ecrêtage'!M116</f>
        <v>0</v>
      </c>
      <c r="F122" s="425">
        <f>$F$10*'D) Ecrêtage'!C116</f>
        <v>84856388.788604349</v>
      </c>
      <c r="G122" s="55">
        <f t="shared" si="1"/>
        <v>107478698.56360435</v>
      </c>
    </row>
    <row r="123" spans="1:7" x14ac:dyDescent="0.25">
      <c r="A123" s="49">
        <f>'A) Base RI'!A119</f>
        <v>5587</v>
      </c>
      <c r="B123" s="293" t="str">
        <f>'A) Base RI'!B119</f>
        <v>Le Mont-sur-Lausanne</v>
      </c>
      <c r="C123" s="10">
        <f>'A) Base RI'!AO119</f>
        <v>9136</v>
      </c>
      <c r="D123" s="425">
        <f>'C) Prél. conj.'!H117</f>
        <v>1742426.08</v>
      </c>
      <c r="E123" s="10">
        <f>'D) Ecrêtage'!M117</f>
        <v>40456.98087088389</v>
      </c>
      <c r="F123" s="425">
        <f>$F$10*'D) Ecrêtage'!C117</f>
        <v>5991291.5554842902</v>
      </c>
      <c r="G123" s="55">
        <f t="shared" si="1"/>
        <v>7774174.6163551742</v>
      </c>
    </row>
    <row r="124" spans="1:7" x14ac:dyDescent="0.25">
      <c r="A124" s="49">
        <f>'A) Base RI'!A120</f>
        <v>5588</v>
      </c>
      <c r="B124" s="293" t="str">
        <f>'A) Base RI'!B120</f>
        <v>Paudex</v>
      </c>
      <c r="C124" s="10">
        <f>'A) Base RI'!AO120</f>
        <v>1538</v>
      </c>
      <c r="D124" s="425">
        <f>'C) Prél. conj.'!H118</f>
        <v>272959.22000000003</v>
      </c>
      <c r="E124" s="10">
        <f>'D) Ecrêtage'!M118</f>
        <v>1287246.9750160074</v>
      </c>
      <c r="F124" s="425">
        <f>$F$10*'D) Ecrêtage'!C118</f>
        <v>1832431.5198253049</v>
      </c>
      <c r="G124" s="55">
        <f t="shared" si="1"/>
        <v>3392637.7148413127</v>
      </c>
    </row>
    <row r="125" spans="1:7" x14ac:dyDescent="0.25">
      <c r="A125" s="49">
        <f>'A) Base RI'!A121</f>
        <v>5589</v>
      </c>
      <c r="B125" s="293" t="str">
        <f>'A) Base RI'!B121</f>
        <v>Prilly</v>
      </c>
      <c r="C125" s="10">
        <f>'A) Base RI'!AO121</f>
        <v>12383</v>
      </c>
      <c r="D125" s="425">
        <f>'C) Prél. conj.'!H119</f>
        <v>1321687.345</v>
      </c>
      <c r="E125" s="10">
        <f>'D) Ecrêtage'!M119</f>
        <v>0</v>
      </c>
      <c r="F125" s="425">
        <f>$F$10*'D) Ecrêtage'!C119</f>
        <v>6155751.930012906</v>
      </c>
      <c r="G125" s="55">
        <f t="shared" si="1"/>
        <v>7477439.2750129057</v>
      </c>
    </row>
    <row r="126" spans="1:7" x14ac:dyDescent="0.25">
      <c r="A126" s="49">
        <f>'A) Base RI'!A122</f>
        <v>5590</v>
      </c>
      <c r="B126" s="293" t="str">
        <f>'A) Base RI'!B122</f>
        <v>Pully</v>
      </c>
      <c r="C126" s="10">
        <f>'A) Base RI'!AO122</f>
        <v>18688</v>
      </c>
      <c r="D126" s="425">
        <f>'C) Prél. conj.'!H120</f>
        <v>4525872.1949999994</v>
      </c>
      <c r="E126" s="10">
        <f>'D) Ecrêtage'!M120</f>
        <v>10276730.847740099</v>
      </c>
      <c r="F126" s="425">
        <f>$F$10*'D) Ecrêtage'!C120</f>
        <v>20008542.402539194</v>
      </c>
      <c r="G126" s="55">
        <f t="shared" si="1"/>
        <v>34811145.445279293</v>
      </c>
    </row>
    <row r="127" spans="1:7" x14ac:dyDescent="0.25">
      <c r="A127" s="49">
        <f>'A) Base RI'!A123</f>
        <v>5591</v>
      </c>
      <c r="B127" s="293" t="str">
        <f>'A) Base RI'!B123</f>
        <v>Renens</v>
      </c>
      <c r="C127" s="10">
        <f>'A) Base RI'!AO123</f>
        <v>20863</v>
      </c>
      <c r="D127" s="425">
        <f>'C) Prél. conj.'!H121</f>
        <v>2903746.5250000004</v>
      </c>
      <c r="E127" s="10">
        <f>'D) Ecrêtage'!M121</f>
        <v>0</v>
      </c>
      <c r="F127" s="425">
        <f>$F$10*'D) Ecrêtage'!C121</f>
        <v>8073180.8916624673</v>
      </c>
      <c r="G127" s="55">
        <f t="shared" si="1"/>
        <v>10976927.416662468</v>
      </c>
    </row>
    <row r="128" spans="1:7" x14ac:dyDescent="0.25">
      <c r="A128" s="49">
        <f>'A) Base RI'!A124</f>
        <v>5592</v>
      </c>
      <c r="B128" s="293" t="str">
        <f>'A) Base RI'!B124</f>
        <v>Romanel-sur-Lausanne</v>
      </c>
      <c r="C128" s="10">
        <f>'A) Base RI'!AO124</f>
        <v>3247</v>
      </c>
      <c r="D128" s="425">
        <f>'C) Prél. conj.'!H122</f>
        <v>273041.82</v>
      </c>
      <c r="E128" s="10">
        <f>'D) Ecrêtage'!M122</f>
        <v>0</v>
      </c>
      <c r="F128" s="425">
        <f>$F$10*'D) Ecrêtage'!C122</f>
        <v>1640915.8659584967</v>
      </c>
      <c r="G128" s="55">
        <f t="shared" si="1"/>
        <v>1913957.6859584968</v>
      </c>
    </row>
    <row r="129" spans="1:7" x14ac:dyDescent="0.25">
      <c r="A129" s="49">
        <f>'A) Base RI'!A125</f>
        <v>5601</v>
      </c>
      <c r="B129" s="293" t="str">
        <f>'A) Base RI'!B125</f>
        <v>Chexbres</v>
      </c>
      <c r="C129" s="10">
        <f>'A) Base RI'!AO125</f>
        <v>2251</v>
      </c>
      <c r="D129" s="425">
        <f>'C) Prél. conj.'!H123</f>
        <v>846747.38</v>
      </c>
      <c r="E129" s="10">
        <f>'D) Ecrêtage'!M123</f>
        <v>0</v>
      </c>
      <c r="F129" s="425">
        <f>$F$10*'D) Ecrêtage'!C123</f>
        <v>1326778.530607821</v>
      </c>
      <c r="G129" s="55">
        <f t="shared" si="1"/>
        <v>2173525.9106078208</v>
      </c>
    </row>
    <row r="130" spans="1:7" x14ac:dyDescent="0.25">
      <c r="A130" s="49">
        <f>'A) Base RI'!A126</f>
        <v>5604</v>
      </c>
      <c r="B130" s="293" t="str">
        <f>'A) Base RI'!B126</f>
        <v>Forel (Lavaux)</v>
      </c>
      <c r="C130" s="10">
        <f>'A) Base RI'!AO126</f>
        <v>2105</v>
      </c>
      <c r="D130" s="425">
        <f>'C) Prél. conj.'!H124</f>
        <v>189037.215</v>
      </c>
      <c r="E130" s="10">
        <f>'D) Ecrêtage'!M124</f>
        <v>0</v>
      </c>
      <c r="F130" s="425">
        <f>$F$10*'D) Ecrêtage'!C124</f>
        <v>964724.23843236302</v>
      </c>
      <c r="G130" s="55">
        <f t="shared" si="1"/>
        <v>1153761.453432363</v>
      </c>
    </row>
    <row r="131" spans="1:7" x14ac:dyDescent="0.25">
      <c r="A131" s="49">
        <f>'A) Base RI'!A127</f>
        <v>5606</v>
      </c>
      <c r="B131" s="293" t="str">
        <f>'A) Base RI'!B127</f>
        <v>Lutry</v>
      </c>
      <c r="C131" s="10">
        <f>'A) Base RI'!AO127</f>
        <v>10455</v>
      </c>
      <c r="D131" s="425">
        <f>'C) Prél. conj.'!H125</f>
        <v>2810555.15</v>
      </c>
      <c r="E131" s="10">
        <f>'D) Ecrêtage'!M125</f>
        <v>6122370.6003946681</v>
      </c>
      <c r="F131" s="425">
        <f>$F$10*'D) Ecrêtage'!C125</f>
        <v>11840652.976200588</v>
      </c>
      <c r="G131" s="55">
        <f t="shared" si="1"/>
        <v>20773578.726595256</v>
      </c>
    </row>
    <row r="132" spans="1:7" x14ac:dyDescent="0.25">
      <c r="A132" s="49">
        <f>'A) Base RI'!A128</f>
        <v>5607</v>
      </c>
      <c r="B132" s="293" t="str">
        <f>'A) Base RI'!B128</f>
        <v>Puidoux</v>
      </c>
      <c r="C132" s="10">
        <f>'A) Base RI'!AO128</f>
        <v>2894</v>
      </c>
      <c r="D132" s="425">
        <f>'C) Prél. conj.'!H126</f>
        <v>645578.245</v>
      </c>
      <c r="E132" s="10">
        <f>'D) Ecrêtage'!M126</f>
        <v>0</v>
      </c>
      <c r="F132" s="425">
        <f>$F$10*'D) Ecrêtage'!C126</f>
        <v>1392702.7247303673</v>
      </c>
      <c r="G132" s="55">
        <f t="shared" si="1"/>
        <v>2038280.9697303674</v>
      </c>
    </row>
    <row r="133" spans="1:7" x14ac:dyDescent="0.25">
      <c r="A133" s="49">
        <f>'A) Base RI'!A129</f>
        <v>5609</v>
      </c>
      <c r="B133" s="293" t="str">
        <f>'A) Base RI'!B129</f>
        <v>Rivaz</v>
      </c>
      <c r="C133" s="10">
        <f>'A) Base RI'!AO129</f>
        <v>337</v>
      </c>
      <c r="D133" s="425">
        <f>'C) Prél. conj.'!H127</f>
        <v>32722.075000000001</v>
      </c>
      <c r="E133" s="10">
        <f>'D) Ecrêtage'!M127</f>
        <v>0</v>
      </c>
      <c r="F133" s="425">
        <f>$F$10*'D) Ecrêtage'!C127</f>
        <v>217118.68690303442</v>
      </c>
      <c r="G133" s="55">
        <f t="shared" si="1"/>
        <v>249840.76190303444</v>
      </c>
    </row>
    <row r="134" spans="1:7" x14ac:dyDescent="0.25">
      <c r="A134" s="49">
        <f>'A) Base RI'!A130</f>
        <v>5610</v>
      </c>
      <c r="B134" s="293" t="str">
        <f>'A) Base RI'!B130</f>
        <v>St-Saphorin (Lavaux)</v>
      </c>
      <c r="C134" s="10">
        <f>'A) Base RI'!AO130</f>
        <v>388</v>
      </c>
      <c r="D134" s="425">
        <f>'C) Prél. conj.'!H128</f>
        <v>63924.004999999997</v>
      </c>
      <c r="E134" s="10">
        <f>'D) Ecrêtage'!M128</f>
        <v>7525.4133707080327</v>
      </c>
      <c r="F134" s="425">
        <f>$F$10*'D) Ecrêtage'!C128</f>
        <v>259935.03181167741</v>
      </c>
      <c r="G134" s="55">
        <f t="shared" si="1"/>
        <v>331384.45018238539</v>
      </c>
    </row>
    <row r="135" spans="1:7" x14ac:dyDescent="0.25">
      <c r="A135" s="49">
        <f>'A) Base RI'!A131</f>
        <v>5611</v>
      </c>
      <c r="B135" s="293" t="str">
        <f>'A) Base RI'!B131</f>
        <v>Savigny</v>
      </c>
      <c r="C135" s="10">
        <f>'A) Base RI'!AO131</f>
        <v>3348</v>
      </c>
      <c r="D135" s="425">
        <f>'C) Prél. conj.'!H129</f>
        <v>526973.39</v>
      </c>
      <c r="E135" s="10">
        <f>'D) Ecrêtage'!M129</f>
        <v>0</v>
      </c>
      <c r="F135" s="425">
        <f>$F$10*'D) Ecrêtage'!C129</f>
        <v>1849568.9073585835</v>
      </c>
      <c r="G135" s="55">
        <f t="shared" si="1"/>
        <v>2376542.2973585837</v>
      </c>
    </row>
    <row r="136" spans="1:7" x14ac:dyDescent="0.25">
      <c r="A136" s="49">
        <f>'A) Base RI'!A132</f>
        <v>5613</v>
      </c>
      <c r="B136" s="293" t="str">
        <f>'A) Base RI'!B132</f>
        <v>Bourg-en-Lavaux</v>
      </c>
      <c r="C136" s="10">
        <f>'A) Base RI'!AO132</f>
        <v>5389</v>
      </c>
      <c r="D136" s="425">
        <f>'C) Prél. conj.'!H130</f>
        <v>855270.01</v>
      </c>
      <c r="E136" s="10">
        <f>'D) Ecrêtage'!M130</f>
        <v>1254691.9346133037</v>
      </c>
      <c r="F136" s="425">
        <f>$F$10*'D) Ecrêtage'!C130</f>
        <v>4651518.3276140476</v>
      </c>
      <c r="G136" s="55">
        <f t="shared" si="1"/>
        <v>6761480.2722273506</v>
      </c>
    </row>
    <row r="137" spans="1:7" x14ac:dyDescent="0.25">
      <c r="A137" s="49">
        <f>'A) Base RI'!A133</f>
        <v>5621</v>
      </c>
      <c r="B137" s="293" t="str">
        <f>'A) Base RI'!B133</f>
        <v>Aclens</v>
      </c>
      <c r="C137" s="10">
        <f>'A) Base RI'!AO133</f>
        <v>528</v>
      </c>
      <c r="D137" s="425">
        <f>'C) Prél. conj.'!H131</f>
        <v>146091.25</v>
      </c>
      <c r="E137" s="10">
        <f>'D) Ecrêtage'!M131</f>
        <v>98224.306021089666</v>
      </c>
      <c r="F137" s="425">
        <f>$F$10*'D) Ecrêtage'!C131</f>
        <v>438488.22031607653</v>
      </c>
      <c r="G137" s="55">
        <f t="shared" si="1"/>
        <v>682803.7763371662</v>
      </c>
    </row>
    <row r="138" spans="1:7" x14ac:dyDescent="0.25">
      <c r="A138" s="49">
        <f>'A) Base RI'!A134</f>
        <v>5622</v>
      </c>
      <c r="B138" s="293" t="str">
        <f>'A) Base RI'!B134</f>
        <v>Bremblens</v>
      </c>
      <c r="C138" s="10">
        <f>'A) Base RI'!AO134</f>
        <v>583</v>
      </c>
      <c r="D138" s="425">
        <f>'C) Prél. conj.'!H132</f>
        <v>55094.149999999994</v>
      </c>
      <c r="E138" s="10">
        <f>'D) Ecrêtage'!M132</f>
        <v>0</v>
      </c>
      <c r="F138" s="425">
        <f>$F$10*'D) Ecrêtage'!C132</f>
        <v>376138.75815274386</v>
      </c>
      <c r="G138" s="55">
        <f t="shared" si="1"/>
        <v>431232.90815274382</v>
      </c>
    </row>
    <row r="139" spans="1:7" x14ac:dyDescent="0.25">
      <c r="A139" s="49">
        <f>'A) Base RI'!A135</f>
        <v>5623</v>
      </c>
      <c r="B139" s="293" t="str">
        <f>'A) Base RI'!B135</f>
        <v>Buchillon</v>
      </c>
      <c r="C139" s="10">
        <f>'A) Base RI'!AO135</f>
        <v>686</v>
      </c>
      <c r="D139" s="425">
        <f>'C) Prél. conj.'!H133</f>
        <v>125243.375</v>
      </c>
      <c r="E139" s="10">
        <f>'D) Ecrêtage'!M133</f>
        <v>1302897.9628199001</v>
      </c>
      <c r="F139" s="425">
        <f>$F$10*'D) Ecrêtage'!C133</f>
        <v>1277020.0597452209</v>
      </c>
      <c r="G139" s="55">
        <f t="shared" si="1"/>
        <v>2705161.3975651208</v>
      </c>
    </row>
    <row r="140" spans="1:7" x14ac:dyDescent="0.25">
      <c r="A140" s="49">
        <f>'A) Base RI'!A136</f>
        <v>5624</v>
      </c>
      <c r="B140" s="293" t="str">
        <f>'A) Base RI'!B136</f>
        <v>Bussigny</v>
      </c>
      <c r="C140" s="10">
        <f>'A) Base RI'!AO136</f>
        <v>9614</v>
      </c>
      <c r="D140" s="425">
        <f>'C) Prél. conj.'!H134</f>
        <v>1700204.7099999997</v>
      </c>
      <c r="E140" s="10">
        <f>'D) Ecrêtage'!M134</f>
        <v>0</v>
      </c>
      <c r="F140" s="425">
        <f>$F$10*'D) Ecrêtage'!C134</f>
        <v>4791331.3325796807</v>
      </c>
      <c r="G140" s="55">
        <f t="shared" ref="G140:G203" si="2">D140+F140+E140</f>
        <v>6491536.0425796807</v>
      </c>
    </row>
    <row r="141" spans="1:7" x14ac:dyDescent="0.25">
      <c r="A141" s="49">
        <f>'A) Base RI'!A137</f>
        <v>5625</v>
      </c>
      <c r="B141" s="293" t="str">
        <f>'A) Base RI'!B137</f>
        <v>Bussy-Chardonney</v>
      </c>
      <c r="C141" s="10">
        <f>'A) Base RI'!AO137</f>
        <v>404</v>
      </c>
      <c r="D141" s="425">
        <f>'C) Prél. conj.'!H135</f>
        <v>94117.075000000012</v>
      </c>
      <c r="E141" s="10">
        <f>'D) Ecrêtage'!M135</f>
        <v>0</v>
      </c>
      <c r="F141" s="425">
        <f>$F$10*'D) Ecrêtage'!C135</f>
        <v>240004.17050245972</v>
      </c>
      <c r="G141" s="55">
        <f t="shared" si="2"/>
        <v>334121.2455024597</v>
      </c>
    </row>
    <row r="142" spans="1:7" x14ac:dyDescent="0.25">
      <c r="A142" s="49">
        <f>'A) Base RI'!A138</f>
        <v>5627</v>
      </c>
      <c r="B142" s="293" t="str">
        <f>'A) Base RI'!B138</f>
        <v>Chavannes-près-Renens</v>
      </c>
      <c r="C142" s="10">
        <f>'A) Base RI'!AO138</f>
        <v>8487</v>
      </c>
      <c r="D142" s="425">
        <f>'C) Prél. conj.'!H136</f>
        <v>514823.30499999993</v>
      </c>
      <c r="E142" s="10">
        <f>'D) Ecrêtage'!M136</f>
        <v>0</v>
      </c>
      <c r="F142" s="425">
        <f>$F$10*'D) Ecrêtage'!C136</f>
        <v>2190305.4632836464</v>
      </c>
      <c r="G142" s="55">
        <f t="shared" si="2"/>
        <v>2705128.7682836466</v>
      </c>
    </row>
    <row r="143" spans="1:7" x14ac:dyDescent="0.25">
      <c r="A143" s="49">
        <f>'A) Base RI'!A139</f>
        <v>5628</v>
      </c>
      <c r="B143" s="293" t="str">
        <f>'A) Base RI'!B139</f>
        <v>Chigny</v>
      </c>
      <c r="C143" s="10">
        <f>'A) Base RI'!AO139</f>
        <v>396</v>
      </c>
      <c r="D143" s="425">
        <f>'C) Prél. conj.'!H137</f>
        <v>64763.435000000005</v>
      </c>
      <c r="E143" s="10">
        <f>'D) Ecrêtage'!M137</f>
        <v>79538.310833999189</v>
      </c>
      <c r="F143" s="425">
        <f>$F$10*'D) Ecrêtage'!C137</f>
        <v>333135.73826341511</v>
      </c>
      <c r="G143" s="55">
        <f t="shared" si="2"/>
        <v>477437.4840974143</v>
      </c>
    </row>
    <row r="144" spans="1:7" x14ac:dyDescent="0.25">
      <c r="A144" s="49">
        <f>'A) Base RI'!A140</f>
        <v>5629</v>
      </c>
      <c r="B144" s="293" t="str">
        <f>'A) Base RI'!B140</f>
        <v>Clarmont</v>
      </c>
      <c r="C144" s="10">
        <f>'A) Base RI'!AO140</f>
        <v>201</v>
      </c>
      <c r="D144" s="425">
        <f>'C) Prél. conj.'!H138</f>
        <v>2032.925</v>
      </c>
      <c r="E144" s="10">
        <f>'D) Ecrêtage'!M138</f>
        <v>0</v>
      </c>
      <c r="F144" s="425">
        <f>$F$10*'D) Ecrêtage'!C138</f>
        <v>115280.8267656778</v>
      </c>
      <c r="G144" s="55">
        <f t="shared" si="2"/>
        <v>117313.75176567781</v>
      </c>
    </row>
    <row r="145" spans="1:7" x14ac:dyDescent="0.25">
      <c r="A145" s="49">
        <f>'A) Base RI'!A141</f>
        <v>5631</v>
      </c>
      <c r="B145" s="293" t="str">
        <f>'A) Base RI'!B141</f>
        <v>Denens</v>
      </c>
      <c r="C145" s="10">
        <f>'A) Base RI'!AO141</f>
        <v>742</v>
      </c>
      <c r="D145" s="425">
        <f>'C) Prél. conj.'!H139</f>
        <v>190554.69999999998</v>
      </c>
      <c r="E145" s="10">
        <f>'D) Ecrêtage'!M139</f>
        <v>108687.43521636764</v>
      </c>
      <c r="F145" s="425">
        <f>$F$10*'D) Ecrêtage'!C139</f>
        <v>587887.80270194961</v>
      </c>
      <c r="G145" s="55">
        <f t="shared" si="2"/>
        <v>887129.93791831715</v>
      </c>
    </row>
    <row r="146" spans="1:7" x14ac:dyDescent="0.25">
      <c r="A146" s="49">
        <f>'A) Base RI'!A142</f>
        <v>5632</v>
      </c>
      <c r="B146" s="293" t="str">
        <f>'A) Base RI'!B142</f>
        <v>Denges</v>
      </c>
      <c r="C146" s="10">
        <f>'A) Base RI'!AO142</f>
        <v>1730</v>
      </c>
      <c r="D146" s="425">
        <f>'C) Prél. conj.'!H140</f>
        <v>212486.59</v>
      </c>
      <c r="E146" s="10">
        <f>'D) Ecrêtage'!M140</f>
        <v>0</v>
      </c>
      <c r="F146" s="425">
        <f>$F$10*'D) Ecrêtage'!C140</f>
        <v>1034667.8708913635</v>
      </c>
      <c r="G146" s="55">
        <f t="shared" si="2"/>
        <v>1247154.4608913634</v>
      </c>
    </row>
    <row r="147" spans="1:7" x14ac:dyDescent="0.25">
      <c r="A147" s="49">
        <f>'A) Base RI'!A143</f>
        <v>5633</v>
      </c>
      <c r="B147" s="293" t="str">
        <f>'A) Base RI'!B143</f>
        <v>Echandens</v>
      </c>
      <c r="C147" s="10">
        <f>'A) Base RI'!AO143</f>
        <v>2743</v>
      </c>
      <c r="D147" s="425">
        <f>'C) Prél. conj.'!H141</f>
        <v>784178.67500000005</v>
      </c>
      <c r="E147" s="10">
        <f>'D) Ecrêtage'!M141</f>
        <v>202395.72125667258</v>
      </c>
      <c r="F147" s="425">
        <f>$F$10*'D) Ecrêtage'!C141</f>
        <v>2013943.3167942713</v>
      </c>
      <c r="G147" s="55">
        <f t="shared" si="2"/>
        <v>3000517.7130509438</v>
      </c>
    </row>
    <row r="148" spans="1:7" x14ac:dyDescent="0.25">
      <c r="A148" s="49">
        <f>'A) Base RI'!A144</f>
        <v>5634</v>
      </c>
      <c r="B148" s="293" t="str">
        <f>'A) Base RI'!B144</f>
        <v>Echichens</v>
      </c>
      <c r="C148" s="10">
        <f>'A) Base RI'!AO144</f>
        <v>3127</v>
      </c>
      <c r="D148" s="425">
        <f>'C) Prél. conj.'!H142</f>
        <v>425843.33</v>
      </c>
      <c r="E148" s="10">
        <f>'D) Ecrêtage'!M142</f>
        <v>178736.11359226395</v>
      </c>
      <c r="F148" s="425">
        <f>$F$10*'D) Ecrêtage'!C142</f>
        <v>2221095.18510092</v>
      </c>
      <c r="G148" s="55">
        <f t="shared" si="2"/>
        <v>2825674.6286931839</v>
      </c>
    </row>
    <row r="149" spans="1:7" x14ac:dyDescent="0.25">
      <c r="A149" s="49">
        <f>'A) Base RI'!A145</f>
        <v>5635</v>
      </c>
      <c r="B149" s="293" t="str">
        <f>'A) Base RI'!B145</f>
        <v>Ecublens</v>
      </c>
      <c r="C149" s="10">
        <f>'A) Base RI'!AO145</f>
        <v>13164</v>
      </c>
      <c r="D149" s="425">
        <f>'C) Prél. conj.'!H143</f>
        <v>2202529.105</v>
      </c>
      <c r="E149" s="10">
        <f>'D) Ecrêtage'!M143</f>
        <v>594874.60505949741</v>
      </c>
      <c r="F149" s="425">
        <f>$F$10*'D) Ecrêtage'!C143</f>
        <v>9222988.399527682</v>
      </c>
      <c r="G149" s="55">
        <f t="shared" si="2"/>
        <v>12020392.109587179</v>
      </c>
    </row>
    <row r="150" spans="1:7" x14ac:dyDescent="0.25">
      <c r="A150" s="49">
        <f>'A) Base RI'!A146</f>
        <v>5636</v>
      </c>
      <c r="B150" s="293" t="str">
        <f>'A) Base RI'!B146</f>
        <v>Etoy</v>
      </c>
      <c r="C150" s="10">
        <f>'A) Base RI'!AO146</f>
        <v>2909</v>
      </c>
      <c r="D150" s="425">
        <f>'C) Prél. conj.'!H144</f>
        <v>675000.80999999994</v>
      </c>
      <c r="E150" s="10">
        <f>'D) Ecrêtage'!M144</f>
        <v>382281.14005059481</v>
      </c>
      <c r="F150" s="425">
        <f>$F$10*'D) Ecrêtage'!C144</f>
        <v>2309543.4008570816</v>
      </c>
      <c r="G150" s="55">
        <f t="shared" si="2"/>
        <v>3366825.3509076764</v>
      </c>
    </row>
    <row r="151" spans="1:7" x14ac:dyDescent="0.25">
      <c r="A151" s="49">
        <f>'A) Base RI'!A147</f>
        <v>5637</v>
      </c>
      <c r="B151" s="293" t="str">
        <f>'A) Base RI'!B147</f>
        <v>Lavigny</v>
      </c>
      <c r="C151" s="10">
        <f>'A) Base RI'!AO147</f>
        <v>1008</v>
      </c>
      <c r="D151" s="425">
        <f>'C) Prél. conj.'!H145</f>
        <v>178849.11499999999</v>
      </c>
      <c r="E151" s="10">
        <f>'D) Ecrêtage'!M145</f>
        <v>0</v>
      </c>
      <c r="F151" s="425">
        <f>$F$10*'D) Ecrêtage'!C145</f>
        <v>557306.60254417243</v>
      </c>
      <c r="G151" s="55">
        <f t="shared" si="2"/>
        <v>736155.71754417242</v>
      </c>
    </row>
    <row r="152" spans="1:7" x14ac:dyDescent="0.25">
      <c r="A152" s="49">
        <f>'A) Base RI'!A148</f>
        <v>5638</v>
      </c>
      <c r="B152" s="293" t="str">
        <f>'A) Base RI'!B148</f>
        <v>Lonay</v>
      </c>
      <c r="C152" s="10">
        <f>'A) Base RI'!AO148</f>
        <v>2679</v>
      </c>
      <c r="D152" s="425">
        <f>'C) Prél. conj.'!H146</f>
        <v>1147868.5950000002</v>
      </c>
      <c r="E152" s="10">
        <f>'D) Ecrêtage'!M146</f>
        <v>180779.9630510803</v>
      </c>
      <c r="F152" s="425">
        <f>$F$10*'D) Ecrêtage'!C146</f>
        <v>1968278.1699640427</v>
      </c>
      <c r="G152" s="55">
        <f t="shared" si="2"/>
        <v>3296926.7280151234</v>
      </c>
    </row>
    <row r="153" spans="1:7" x14ac:dyDescent="0.25">
      <c r="A153" s="49">
        <f>'A) Base RI'!A149</f>
        <v>5639</v>
      </c>
      <c r="B153" s="293" t="str">
        <f>'A) Base RI'!B149</f>
        <v>Lully</v>
      </c>
      <c r="C153" s="10">
        <f>'A) Base RI'!AO149</f>
        <v>825</v>
      </c>
      <c r="D153" s="425">
        <f>'C) Prél. conj.'!H147</f>
        <v>80821.210000000006</v>
      </c>
      <c r="E153" s="10">
        <f>'D) Ecrêtage'!M147</f>
        <v>71740.464715094655</v>
      </c>
      <c r="F153" s="425">
        <f>$F$10*'D) Ecrêtage'!C147</f>
        <v>617217.18503378099</v>
      </c>
      <c r="G153" s="55">
        <f t="shared" si="2"/>
        <v>769778.85974887561</v>
      </c>
    </row>
    <row r="154" spans="1:7" x14ac:dyDescent="0.25">
      <c r="A154" s="49">
        <f>'A) Base RI'!A150</f>
        <v>5640</v>
      </c>
      <c r="B154" s="293" t="str">
        <f>'A) Base RI'!B150</f>
        <v>Lussy-sur-Morges</v>
      </c>
      <c r="C154" s="10">
        <f>'A) Base RI'!AO150</f>
        <v>722</v>
      </c>
      <c r="D154" s="425">
        <f>'C) Prél. conj.'!H148</f>
        <v>176008.05500000002</v>
      </c>
      <c r="E154" s="10">
        <f>'D) Ecrêtage'!M148</f>
        <v>426728.66223882104</v>
      </c>
      <c r="F154" s="425">
        <f>$F$10*'D) Ecrêtage'!C148</f>
        <v>771557.52958530083</v>
      </c>
      <c r="G154" s="55">
        <f t="shared" si="2"/>
        <v>1374294.246824122</v>
      </c>
    </row>
    <row r="155" spans="1:7" x14ac:dyDescent="0.25">
      <c r="A155" s="49">
        <f>'A) Base RI'!A151</f>
        <v>5642</v>
      </c>
      <c r="B155" s="293" t="str">
        <f>'A) Base RI'!B151</f>
        <v>Morges</v>
      </c>
      <c r="C155" s="10">
        <f>'A) Base RI'!AO151</f>
        <v>16095</v>
      </c>
      <c r="D155" s="425">
        <f>'C) Prél. conj.'!H149</f>
        <v>3113594.7</v>
      </c>
      <c r="E155" s="10">
        <f>'D) Ecrêtage'!M149</f>
        <v>163059.43577433037</v>
      </c>
      <c r="F155" s="425">
        <f>$F$10*'D) Ecrêtage'!C149</f>
        <v>10653960.133089837</v>
      </c>
      <c r="G155" s="55">
        <f t="shared" si="2"/>
        <v>13930614.268864166</v>
      </c>
    </row>
    <row r="156" spans="1:7" x14ac:dyDescent="0.25">
      <c r="A156" s="49">
        <f>'A) Base RI'!A152</f>
        <v>5643</v>
      </c>
      <c r="B156" s="293" t="str">
        <f>'A) Base RI'!B152</f>
        <v>Préverenges</v>
      </c>
      <c r="C156" s="10">
        <f>'A) Base RI'!AO152</f>
        <v>5241</v>
      </c>
      <c r="D156" s="425">
        <f>'C) Prél. conj.'!H150</f>
        <v>468623.59499999997</v>
      </c>
      <c r="E156" s="10">
        <f>'D) Ecrêtage'!M150</f>
        <v>123283.22128789229</v>
      </c>
      <c r="F156" s="425">
        <f>$F$10*'D) Ecrêtage'!C150</f>
        <v>3549060.7705516228</v>
      </c>
      <c r="G156" s="55">
        <f t="shared" si="2"/>
        <v>4140967.5868395148</v>
      </c>
    </row>
    <row r="157" spans="1:7" x14ac:dyDescent="0.25">
      <c r="A157" s="49">
        <f>'A) Base RI'!A153</f>
        <v>5644</v>
      </c>
      <c r="B157" s="293" t="str">
        <f>'A) Base RI'!B153</f>
        <v>Reverolle</v>
      </c>
      <c r="C157" s="10">
        <f>'A) Base RI'!AO153</f>
        <v>407</v>
      </c>
      <c r="D157" s="425">
        <f>'C) Prél. conj.'!H151</f>
        <v>14428.269999999999</v>
      </c>
      <c r="E157" s="10">
        <f>'D) Ecrêtage'!M151</f>
        <v>0</v>
      </c>
      <c r="F157" s="425">
        <f>$F$10*'D) Ecrêtage'!C151</f>
        <v>216738.4861121102</v>
      </c>
      <c r="G157" s="55">
        <f t="shared" si="2"/>
        <v>231166.75611211019</v>
      </c>
    </row>
    <row r="158" spans="1:7" x14ac:dyDescent="0.25">
      <c r="A158" s="49">
        <f>'A) Base RI'!A154</f>
        <v>5645</v>
      </c>
      <c r="B158" s="293" t="str">
        <f>'A) Base RI'!B154</f>
        <v>Romanel-sur-Morges</v>
      </c>
      <c r="C158" s="10">
        <f>'A) Base RI'!AO154</f>
        <v>466</v>
      </c>
      <c r="D158" s="425">
        <f>'C) Prél. conj.'!H152</f>
        <v>100513.29000000001</v>
      </c>
      <c r="E158" s="10">
        <f>'D) Ecrêtage'!M152</f>
        <v>57454.991016456639</v>
      </c>
      <c r="F158" s="425">
        <f>$F$10*'D) Ecrêtage'!C152</f>
        <v>370212.31319849688</v>
      </c>
      <c r="G158" s="55">
        <f t="shared" si="2"/>
        <v>528180.59421495348</v>
      </c>
    </row>
    <row r="159" spans="1:7" x14ac:dyDescent="0.25">
      <c r="A159" s="49">
        <f>'A) Base RI'!A155</f>
        <v>5646</v>
      </c>
      <c r="B159" s="293" t="str">
        <f>'A) Base RI'!B155</f>
        <v>Saint-Prex</v>
      </c>
      <c r="C159" s="10">
        <f>'A) Base RI'!AO155</f>
        <v>5865</v>
      </c>
      <c r="D159" s="425">
        <f>'C) Prél. conj.'!H153</f>
        <v>1464267.6150000002</v>
      </c>
      <c r="E159" s="10">
        <f>'D) Ecrêtage'!M153</f>
        <v>4600517.7999338489</v>
      </c>
      <c r="F159" s="425">
        <f>$F$10*'D) Ecrêtage'!C153</f>
        <v>7320233.4640660211</v>
      </c>
      <c r="G159" s="55">
        <f t="shared" si="2"/>
        <v>13385018.87899987</v>
      </c>
    </row>
    <row r="160" spans="1:7" x14ac:dyDescent="0.25">
      <c r="A160" s="49">
        <f>'A) Base RI'!A156</f>
        <v>5648</v>
      </c>
      <c r="B160" s="293" t="str">
        <f>'A) Base RI'!B156</f>
        <v>Saint-Sulpice</v>
      </c>
      <c r="C160" s="10">
        <f>'A) Base RI'!AO156</f>
        <v>4909</v>
      </c>
      <c r="D160" s="425">
        <f>'C) Prél. conj.'!H154</f>
        <v>860522.28000000014</v>
      </c>
      <c r="E160" s="10">
        <f>'D) Ecrêtage'!M154</f>
        <v>2609038.4386453982</v>
      </c>
      <c r="F160" s="425">
        <f>$F$10*'D) Ecrêtage'!C154</f>
        <v>5363528.9585493468</v>
      </c>
      <c r="G160" s="55">
        <f t="shared" si="2"/>
        <v>8833089.6771947443</v>
      </c>
    </row>
    <row r="161" spans="1:7" x14ac:dyDescent="0.25">
      <c r="A161" s="49">
        <f>'A) Base RI'!A157</f>
        <v>5649</v>
      </c>
      <c r="B161" s="293" t="str">
        <f>'A) Base RI'!B157</f>
        <v>Tolochenaz</v>
      </c>
      <c r="C161" s="10">
        <f>'A) Base RI'!AO157</f>
        <v>1889</v>
      </c>
      <c r="D161" s="425">
        <f>'C) Prél. conj.'!H155</f>
        <v>356423.54500000004</v>
      </c>
      <c r="E161" s="10">
        <f>'D) Ecrêtage'!M155</f>
        <v>3042323.2963826354</v>
      </c>
      <c r="F161" s="425">
        <f>$F$10*'D) Ecrêtage'!C155</f>
        <v>2916070.146448717</v>
      </c>
      <c r="G161" s="55">
        <f t="shared" si="2"/>
        <v>6314816.9878313523</v>
      </c>
    </row>
    <row r="162" spans="1:7" x14ac:dyDescent="0.25">
      <c r="A162" s="49">
        <f>'A) Base RI'!A158</f>
        <v>5650</v>
      </c>
      <c r="B162" s="293" t="str">
        <f>'A) Base RI'!B158</f>
        <v>Vaux-sur-Morges</v>
      </c>
      <c r="C162" s="10">
        <f>'A) Base RI'!AO158</f>
        <v>194</v>
      </c>
      <c r="D162" s="425">
        <f>'C) Prél. conj.'!H156</f>
        <v>10529404.125</v>
      </c>
      <c r="E162" s="10">
        <f>'D) Ecrêtage'!M156</f>
        <v>1609230.6539816044</v>
      </c>
      <c r="F162" s="425">
        <f>$F$10*'D) Ecrêtage'!C156</f>
        <v>852335.48234267079</v>
      </c>
      <c r="G162" s="55">
        <f t="shared" si="2"/>
        <v>12990970.261324275</v>
      </c>
    </row>
    <row r="163" spans="1:7" x14ac:dyDescent="0.25">
      <c r="A163" s="49">
        <f>'A) Base RI'!A159</f>
        <v>5651</v>
      </c>
      <c r="B163" s="293" t="str">
        <f>'A) Base RI'!B159</f>
        <v>Villars-Sainte-Croix</v>
      </c>
      <c r="C163" s="10">
        <f>'A) Base RI'!AO159</f>
        <v>958</v>
      </c>
      <c r="D163" s="425">
        <f>'C) Prél. conj.'!H157</f>
        <v>196820.55</v>
      </c>
      <c r="E163" s="10">
        <f>'D) Ecrêtage'!M157</f>
        <v>118185.46652658688</v>
      </c>
      <c r="F163" s="425">
        <f>$F$10*'D) Ecrêtage'!C157</f>
        <v>754057.59972421499</v>
      </c>
      <c r="G163" s="55">
        <f t="shared" si="2"/>
        <v>1069063.6162508018</v>
      </c>
    </row>
    <row r="164" spans="1:7" x14ac:dyDescent="0.25">
      <c r="A164" s="49">
        <f>'A) Base RI'!A160</f>
        <v>5652</v>
      </c>
      <c r="B164" s="293" t="str">
        <f>'A) Base RI'!B160</f>
        <v>Villars-sous-Yens</v>
      </c>
      <c r="C164" s="10">
        <f>'A) Base RI'!AO160</f>
        <v>615</v>
      </c>
      <c r="D164" s="425">
        <f>'C) Prél. conj.'!H158</f>
        <v>84572.459999999992</v>
      </c>
      <c r="E164" s="10">
        <f>'D) Ecrêtage'!M158</f>
        <v>0</v>
      </c>
      <c r="F164" s="425">
        <f>$F$10*'D) Ecrêtage'!C158</f>
        <v>347175.08119492419</v>
      </c>
      <c r="G164" s="55">
        <f t="shared" si="2"/>
        <v>431747.54119492415</v>
      </c>
    </row>
    <row r="165" spans="1:7" x14ac:dyDescent="0.25">
      <c r="A165" s="49">
        <f>'A) Base RI'!A161</f>
        <v>5653</v>
      </c>
      <c r="B165" s="293" t="str">
        <f>'A) Base RI'!B161</f>
        <v>Vufflens-le-Château</v>
      </c>
      <c r="C165" s="10">
        <f>'A) Base RI'!AO161</f>
        <v>870</v>
      </c>
      <c r="D165" s="425">
        <f>'C) Prél. conj.'!H159</f>
        <v>180159.61</v>
      </c>
      <c r="E165" s="10">
        <f>'D) Ecrêtage'!M159</f>
        <v>457263.63980820961</v>
      </c>
      <c r="F165" s="425">
        <f>$F$10*'D) Ecrêtage'!C159</f>
        <v>930579.63929635799</v>
      </c>
      <c r="G165" s="55">
        <f t="shared" si="2"/>
        <v>1568002.8891045675</v>
      </c>
    </row>
    <row r="166" spans="1:7" x14ac:dyDescent="0.25">
      <c r="A166" s="49">
        <f>'A) Base RI'!A162</f>
        <v>5654</v>
      </c>
      <c r="B166" s="293" t="str">
        <f>'A) Base RI'!B162</f>
        <v>Vullierens</v>
      </c>
      <c r="C166" s="10">
        <f>'A) Base RI'!AO162</f>
        <v>542</v>
      </c>
      <c r="D166" s="425">
        <f>'C) Prél. conj.'!H160</f>
        <v>81004.5</v>
      </c>
      <c r="E166" s="10">
        <f>'D) Ecrêtage'!M160</f>
        <v>0</v>
      </c>
      <c r="F166" s="425">
        <f>$F$10*'D) Ecrêtage'!C160</f>
        <v>260640.89583037829</v>
      </c>
      <c r="G166" s="55">
        <f t="shared" si="2"/>
        <v>341645.39583037829</v>
      </c>
    </row>
    <row r="167" spans="1:7" x14ac:dyDescent="0.25">
      <c r="A167" s="49">
        <f>'A) Base RI'!A163</f>
        <v>5655</v>
      </c>
      <c r="B167" s="293" t="str">
        <f>'A) Base RI'!B163</f>
        <v>Yens</v>
      </c>
      <c r="C167" s="10">
        <f>'A) Base RI'!AO163</f>
        <v>1480</v>
      </c>
      <c r="D167" s="425">
        <f>'C) Prél. conj.'!H161</f>
        <v>234547.5</v>
      </c>
      <c r="E167" s="10">
        <f>'D) Ecrêtage'!M161</f>
        <v>319304.8382666097</v>
      </c>
      <c r="F167" s="425">
        <f>$F$10*'D) Ecrêtage'!C161</f>
        <v>1230226.0727711292</v>
      </c>
      <c r="G167" s="55">
        <f t="shared" si="2"/>
        <v>1784078.4110377389</v>
      </c>
    </row>
    <row r="168" spans="1:7" x14ac:dyDescent="0.25">
      <c r="A168" s="49">
        <f>'A) Base RI'!A164</f>
        <v>5661</v>
      </c>
      <c r="B168" s="293" t="str">
        <f>'A) Base RI'!B164</f>
        <v>Boulens</v>
      </c>
      <c r="C168" s="10">
        <f>'A) Base RI'!AO164</f>
        <v>369</v>
      </c>
      <c r="D168" s="425">
        <f>'C) Prél. conj.'!H162</f>
        <v>17144.66</v>
      </c>
      <c r="E168" s="10">
        <f>'D) Ecrêtage'!M162</f>
        <v>0</v>
      </c>
      <c r="F168" s="425">
        <f>$F$10*'D) Ecrêtage'!C162</f>
        <v>137556.94055814476</v>
      </c>
      <c r="G168" s="55">
        <f t="shared" si="2"/>
        <v>154701.60055814477</v>
      </c>
    </row>
    <row r="169" spans="1:7" x14ac:dyDescent="0.25">
      <c r="A169" s="49">
        <f>'A) Base RI'!A165</f>
        <v>5663</v>
      </c>
      <c r="B169" s="293" t="str">
        <f>'A) Base RI'!B165</f>
        <v>Bussy-sur-Moudon</v>
      </c>
      <c r="C169" s="10">
        <f>'A) Base RI'!AO165</f>
        <v>219</v>
      </c>
      <c r="D169" s="425">
        <f>'C) Prél. conj.'!H163</f>
        <v>10601.375</v>
      </c>
      <c r="E169" s="10">
        <f>'D) Ecrêtage'!M163</f>
        <v>0</v>
      </c>
      <c r="F169" s="425">
        <f>$F$10*'D) Ecrêtage'!C163</f>
        <v>73164.477399982585</v>
      </c>
      <c r="G169" s="55">
        <f t="shared" si="2"/>
        <v>83765.852399982585</v>
      </c>
    </row>
    <row r="170" spans="1:7" x14ac:dyDescent="0.25">
      <c r="A170" s="49">
        <f>'A) Base RI'!A166</f>
        <v>5665</v>
      </c>
      <c r="B170" s="293" t="str">
        <f>'A) Base RI'!B166</f>
        <v>Chavannes-sur-Moudon</v>
      </c>
      <c r="C170" s="10">
        <f>'A) Base RI'!AO166</f>
        <v>223</v>
      </c>
      <c r="D170" s="425">
        <f>'C) Prél. conj.'!H164</f>
        <v>26468.95</v>
      </c>
      <c r="E170" s="10">
        <f>'D) Ecrêtage'!M164</f>
        <v>0</v>
      </c>
      <c r="F170" s="425">
        <f>$F$10*'D) Ecrêtage'!C164</f>
        <v>92465.664191124059</v>
      </c>
      <c r="G170" s="55">
        <f t="shared" si="2"/>
        <v>118934.61419112406</v>
      </c>
    </row>
    <row r="171" spans="1:7" x14ac:dyDescent="0.25">
      <c r="A171" s="49">
        <f>'A) Base RI'!A167</f>
        <v>5669</v>
      </c>
      <c r="B171" s="293" t="str">
        <f>'A) Base RI'!B167</f>
        <v>Curtilles</v>
      </c>
      <c r="C171" s="10">
        <f>'A) Base RI'!AO167</f>
        <v>301</v>
      </c>
      <c r="D171" s="425">
        <f>'C) Prél. conj.'!H165</f>
        <v>16157.399999999998</v>
      </c>
      <c r="E171" s="10">
        <f>'D) Ecrêtage'!M165</f>
        <v>0</v>
      </c>
      <c r="F171" s="425">
        <f>$F$10*'D) Ecrêtage'!C165</f>
        <v>139166.86613408211</v>
      </c>
      <c r="G171" s="55">
        <f t="shared" si="2"/>
        <v>155324.26613408211</v>
      </c>
    </row>
    <row r="172" spans="1:7" x14ac:dyDescent="0.25">
      <c r="A172" s="49">
        <f>'A) Base RI'!A168</f>
        <v>5671</v>
      </c>
      <c r="B172" s="293" t="str">
        <f>'A) Base RI'!B168</f>
        <v>Dompierre</v>
      </c>
      <c r="C172" s="10">
        <f>'A) Base RI'!AO168</f>
        <v>245</v>
      </c>
      <c r="D172" s="425">
        <f>'C) Prél. conj.'!H166</f>
        <v>29150.325000000001</v>
      </c>
      <c r="E172" s="10">
        <f>'D) Ecrêtage'!M166</f>
        <v>0</v>
      </c>
      <c r="F172" s="425">
        <f>$F$10*'D) Ecrêtage'!C166</f>
        <v>81632.540462545076</v>
      </c>
      <c r="G172" s="55">
        <f t="shared" si="2"/>
        <v>110782.86546254507</v>
      </c>
    </row>
    <row r="173" spans="1:7" x14ac:dyDescent="0.25">
      <c r="A173" s="49">
        <f>'A) Base RI'!A169</f>
        <v>5673</v>
      </c>
      <c r="B173" s="293" t="str">
        <f>'A) Base RI'!B169</f>
        <v>Hermenches</v>
      </c>
      <c r="C173" s="10">
        <f>'A) Base RI'!AO169</f>
        <v>384</v>
      </c>
      <c r="D173" s="425">
        <f>'C) Prél. conj.'!H167</f>
        <v>14088.325000000001</v>
      </c>
      <c r="E173" s="10">
        <f>'D) Ecrêtage'!M167</f>
        <v>0</v>
      </c>
      <c r="F173" s="425">
        <f>$F$10*'D) Ecrêtage'!C167</f>
        <v>143927.23955698987</v>
      </c>
      <c r="G173" s="55">
        <f t="shared" si="2"/>
        <v>158015.56455698988</v>
      </c>
    </row>
    <row r="174" spans="1:7" x14ac:dyDescent="0.25">
      <c r="A174" s="49">
        <f>'A) Base RI'!A170</f>
        <v>5674</v>
      </c>
      <c r="B174" s="293" t="str">
        <f>'A) Base RI'!B170</f>
        <v>Lovatens</v>
      </c>
      <c r="C174" s="10">
        <f>'A) Base RI'!AO170</f>
        <v>142</v>
      </c>
      <c r="D174" s="425">
        <f>'C) Prél. conj.'!H168</f>
        <v>37764.199999999997</v>
      </c>
      <c r="E174" s="10">
        <f>'D) Ecrêtage'!M168</f>
        <v>0</v>
      </c>
      <c r="F174" s="425">
        <f>$F$10*'D) Ecrêtage'!C168</f>
        <v>46413.181253254123</v>
      </c>
      <c r="G174" s="55">
        <f t="shared" si="2"/>
        <v>84177.38125325412</v>
      </c>
    </row>
    <row r="175" spans="1:7" x14ac:dyDescent="0.25">
      <c r="A175" s="49">
        <f>'A) Base RI'!A171</f>
        <v>5675</v>
      </c>
      <c r="B175" s="293" t="str">
        <f>'A) Base RI'!B171</f>
        <v>Lucens</v>
      </c>
      <c r="C175" s="10">
        <f>'A) Base RI'!AO171</f>
        <v>4309</v>
      </c>
      <c r="D175" s="425">
        <f>'C) Prél. conj.'!H169</f>
        <v>259829.43000000002</v>
      </c>
      <c r="E175" s="10">
        <f>'D) Ecrêtage'!M169</f>
        <v>0</v>
      </c>
      <c r="F175" s="425">
        <f>$F$10*'D) Ecrêtage'!C169</f>
        <v>1314361.8375210485</v>
      </c>
      <c r="G175" s="55">
        <f t="shared" si="2"/>
        <v>1574191.2675210484</v>
      </c>
    </row>
    <row r="176" spans="1:7" x14ac:dyDescent="0.25">
      <c r="A176" s="49">
        <f>'A) Base RI'!A172</f>
        <v>5678</v>
      </c>
      <c r="B176" s="293" t="str">
        <f>'A) Base RI'!B172</f>
        <v>Moudon</v>
      </c>
      <c r="C176" s="10">
        <f>'A) Base RI'!AO172</f>
        <v>6109</v>
      </c>
      <c r="D176" s="425">
        <f>'C) Prél. conj.'!H170</f>
        <v>658379.73499999999</v>
      </c>
      <c r="E176" s="10">
        <f>'D) Ecrêtage'!M170</f>
        <v>0</v>
      </c>
      <c r="F176" s="425">
        <f>$F$10*'D) Ecrêtage'!C170</f>
        <v>1690608.783880193</v>
      </c>
      <c r="G176" s="55">
        <f t="shared" si="2"/>
        <v>2348988.5188801931</v>
      </c>
    </row>
    <row r="177" spans="1:7" x14ac:dyDescent="0.25">
      <c r="A177" s="49">
        <f>'A) Base RI'!A173</f>
        <v>5680</v>
      </c>
      <c r="B177" s="293" t="str">
        <f>'A) Base RI'!B173</f>
        <v>Ogens</v>
      </c>
      <c r="C177" s="10">
        <f>'A) Base RI'!AO173</f>
        <v>301</v>
      </c>
      <c r="D177" s="425">
        <f>'C) Prél. conj.'!H171</f>
        <v>51453.899999999994</v>
      </c>
      <c r="E177" s="10">
        <f>'D) Ecrêtage'!M171</f>
        <v>0</v>
      </c>
      <c r="F177" s="425">
        <f>$F$10*'D) Ecrêtage'!C171</f>
        <v>117361.59981578015</v>
      </c>
      <c r="G177" s="55">
        <f t="shared" si="2"/>
        <v>168815.49981578015</v>
      </c>
    </row>
    <row r="178" spans="1:7" x14ac:dyDescent="0.25">
      <c r="A178" s="49">
        <f>'A) Base RI'!A174</f>
        <v>5683</v>
      </c>
      <c r="B178" s="293" t="str">
        <f>'A) Base RI'!B174</f>
        <v>Prévonloup</v>
      </c>
      <c r="C178" s="10">
        <f>'A) Base RI'!AO174</f>
        <v>202</v>
      </c>
      <c r="D178" s="425">
        <f>'C) Prél. conj.'!H172</f>
        <v>2183.5500000000002</v>
      </c>
      <c r="E178" s="10">
        <f>'D) Ecrêtage'!M172</f>
        <v>0</v>
      </c>
      <c r="F178" s="425">
        <f>$F$10*'D) Ecrêtage'!C172</f>
        <v>67724.619090131499</v>
      </c>
      <c r="G178" s="55">
        <f t="shared" si="2"/>
        <v>69908.169090131501</v>
      </c>
    </row>
    <row r="179" spans="1:7" x14ac:dyDescent="0.25">
      <c r="A179" s="49">
        <f>'A) Base RI'!A175</f>
        <v>5684</v>
      </c>
      <c r="B179" s="293" t="str">
        <f>'A) Base RI'!B175</f>
        <v>Rossenges</v>
      </c>
      <c r="C179" s="10">
        <f>'A) Base RI'!AO175</f>
        <v>84</v>
      </c>
      <c r="D179" s="425">
        <f>'C) Prél. conj.'!H173</f>
        <v>0</v>
      </c>
      <c r="E179" s="10">
        <f>'D) Ecrêtage'!M173</f>
        <v>4331.8659568822077</v>
      </c>
      <c r="F179" s="425">
        <f>$F$10*'D) Ecrêtage'!C173</f>
        <v>58650.912403600574</v>
      </c>
      <c r="G179" s="55">
        <f t="shared" si="2"/>
        <v>62982.778360482786</v>
      </c>
    </row>
    <row r="180" spans="1:7" x14ac:dyDescent="0.25">
      <c r="A180" s="49">
        <f>'A) Base RI'!A176</f>
        <v>5688</v>
      </c>
      <c r="B180" s="293" t="str">
        <f>'A) Base RI'!B176</f>
        <v>Syens</v>
      </c>
      <c r="C180" s="10">
        <f>'A) Base RI'!AO176</f>
        <v>156</v>
      </c>
      <c r="D180" s="425">
        <f>'C) Prél. conj.'!H174</f>
        <v>20.324999999999999</v>
      </c>
      <c r="E180" s="10">
        <f>'D) Ecrêtage'!M174</f>
        <v>0</v>
      </c>
      <c r="F180" s="425">
        <f>$F$10*'D) Ecrêtage'!C174</f>
        <v>68915.788829271827</v>
      </c>
      <c r="G180" s="55">
        <f t="shared" si="2"/>
        <v>68936.113829271824</v>
      </c>
    </row>
    <row r="181" spans="1:7" x14ac:dyDescent="0.25">
      <c r="A181" s="49">
        <f>'A) Base RI'!A177</f>
        <v>5690</v>
      </c>
      <c r="B181" s="293" t="str">
        <f>'A) Base RI'!B177</f>
        <v>Villars-le-Comte</v>
      </c>
      <c r="C181" s="10">
        <f>'A) Base RI'!AO177</f>
        <v>120</v>
      </c>
      <c r="D181" s="425">
        <f>'C) Prél. conj.'!H175</f>
        <v>17777.199999999997</v>
      </c>
      <c r="E181" s="10">
        <f>'D) Ecrêtage'!M175</f>
        <v>0</v>
      </c>
      <c r="F181" s="425">
        <f>$F$10*'D) Ecrêtage'!C175</f>
        <v>47130.695851617762</v>
      </c>
      <c r="G181" s="55">
        <f t="shared" si="2"/>
        <v>64907.895851617759</v>
      </c>
    </row>
    <row r="182" spans="1:7" x14ac:dyDescent="0.25">
      <c r="A182" s="49">
        <f>'A) Base RI'!A178</f>
        <v>5692</v>
      </c>
      <c r="B182" s="293" t="str">
        <f>'A) Base RI'!B178</f>
        <v>Vucherens</v>
      </c>
      <c r="C182" s="10">
        <f>'A) Base RI'!AO178</f>
        <v>617</v>
      </c>
      <c r="D182" s="425">
        <f>'C) Prél. conj.'!H176</f>
        <v>54160.24</v>
      </c>
      <c r="E182" s="10">
        <f>'D) Ecrêtage'!M176</f>
        <v>0</v>
      </c>
      <c r="F182" s="425">
        <f>$F$10*'D) Ecrêtage'!C176</f>
        <v>244658.96388297441</v>
      </c>
      <c r="G182" s="55">
        <f t="shared" si="2"/>
        <v>298819.2038829744</v>
      </c>
    </row>
    <row r="183" spans="1:7" x14ac:dyDescent="0.25">
      <c r="A183" s="49">
        <f>'A) Base RI'!A179</f>
        <v>5693</v>
      </c>
      <c r="B183" s="293" t="str">
        <f>'A) Base RI'!B179</f>
        <v>Montanaire</v>
      </c>
      <c r="C183" s="10">
        <f>'A) Base RI'!AO179</f>
        <v>2782</v>
      </c>
      <c r="D183" s="425">
        <f>'C) Prél. conj.'!H177</f>
        <v>258026.91500000001</v>
      </c>
      <c r="E183" s="10">
        <f>'D) Ecrêtage'!M177</f>
        <v>0</v>
      </c>
      <c r="F183" s="425">
        <f>$F$10*'D) Ecrêtage'!C177</f>
        <v>962162.19452697982</v>
      </c>
      <c r="G183" s="55">
        <f t="shared" si="2"/>
        <v>1220189.1095269797</v>
      </c>
    </row>
    <row r="184" spans="1:7" x14ac:dyDescent="0.25">
      <c r="A184" s="49">
        <f>'A) Base RI'!A180</f>
        <v>5701</v>
      </c>
      <c r="B184" s="293" t="str">
        <f>'A) Base RI'!B180</f>
        <v>Arnex-sur-Nyon</v>
      </c>
      <c r="C184" s="10">
        <f>'A) Base RI'!AO180</f>
        <v>240</v>
      </c>
      <c r="D184" s="425">
        <f>'C) Prél. conj.'!H178</f>
        <v>77483.425000000003</v>
      </c>
      <c r="E184" s="10">
        <f>'D) Ecrêtage'!M178</f>
        <v>14250.190551685871</v>
      </c>
      <c r="F184" s="425">
        <f>$F$10*'D) Ecrêtage'!C178</f>
        <v>170181.72197376328</v>
      </c>
      <c r="G184" s="55">
        <f t="shared" si="2"/>
        <v>261915.33752544917</v>
      </c>
    </row>
    <row r="185" spans="1:7" x14ac:dyDescent="0.25">
      <c r="A185" s="49">
        <f>'A) Base RI'!A181</f>
        <v>5702</v>
      </c>
      <c r="B185" s="293" t="str">
        <f>'A) Base RI'!B181</f>
        <v>Arzier-Le Muids</v>
      </c>
      <c r="C185" s="10">
        <f>'A) Base RI'!AO181</f>
        <v>2912</v>
      </c>
      <c r="D185" s="425">
        <f>'C) Prél. conj.'!H179</f>
        <v>493485.35500000004</v>
      </c>
      <c r="E185" s="10">
        <f>'D) Ecrêtage'!M179</f>
        <v>351633.01734670158</v>
      </c>
      <c r="F185" s="425">
        <f>$F$10*'D) Ecrêtage'!C179</f>
        <v>2269439.9399858979</v>
      </c>
      <c r="G185" s="55">
        <f t="shared" si="2"/>
        <v>3114558.3123325994</v>
      </c>
    </row>
    <row r="186" spans="1:7" x14ac:dyDescent="0.25">
      <c r="A186" s="49">
        <f>'A) Base RI'!A182</f>
        <v>5703</v>
      </c>
      <c r="B186" s="293" t="str">
        <f>'A) Base RI'!B182</f>
        <v>Bassins</v>
      </c>
      <c r="C186" s="10">
        <f>'A) Base RI'!AO182</f>
        <v>1475</v>
      </c>
      <c r="D186" s="425">
        <f>'C) Prél. conj.'!H180</f>
        <v>263178.93</v>
      </c>
      <c r="E186" s="10">
        <f>'D) Ecrêtage'!M180</f>
        <v>0</v>
      </c>
      <c r="F186" s="425">
        <f>$F$10*'D) Ecrêtage'!C180</f>
        <v>905123.24641599762</v>
      </c>
      <c r="G186" s="55">
        <f t="shared" si="2"/>
        <v>1168302.1764159976</v>
      </c>
    </row>
    <row r="187" spans="1:7" x14ac:dyDescent="0.25">
      <c r="A187" s="49">
        <f>'A) Base RI'!A183</f>
        <v>5704</v>
      </c>
      <c r="B187" s="293" t="str">
        <f>'A) Base RI'!B183</f>
        <v>Begnins</v>
      </c>
      <c r="C187" s="10">
        <f>'A) Base RI'!AO183</f>
        <v>1928</v>
      </c>
      <c r="D187" s="425">
        <f>'C) Prél. conj.'!H181</f>
        <v>215920.78500000003</v>
      </c>
      <c r="E187" s="10">
        <f>'D) Ecrêtage'!M181</f>
        <v>810191.78765319241</v>
      </c>
      <c r="F187" s="425">
        <f>$F$10*'D) Ecrêtage'!C181</f>
        <v>1914823.5755519345</v>
      </c>
      <c r="G187" s="55">
        <f t="shared" si="2"/>
        <v>2940936.1482051271</v>
      </c>
    </row>
    <row r="188" spans="1:7" x14ac:dyDescent="0.25">
      <c r="A188" s="49">
        <f>'A) Base RI'!A184</f>
        <v>5705</v>
      </c>
      <c r="B188" s="293" t="str">
        <f>'A) Base RI'!B184</f>
        <v>Bogis-Bossey</v>
      </c>
      <c r="C188" s="10">
        <f>'A) Base RI'!AO184</f>
        <v>835</v>
      </c>
      <c r="D188" s="425">
        <f>'C) Prél. conj.'!H182</f>
        <v>206532.75</v>
      </c>
      <c r="E188" s="10">
        <f>'D) Ecrêtage'!M182</f>
        <v>295977.90212514257</v>
      </c>
      <c r="F188" s="425">
        <f>$F$10*'D) Ecrêtage'!C182</f>
        <v>759617.38721760991</v>
      </c>
      <c r="G188" s="55">
        <f t="shared" si="2"/>
        <v>1262128.0393427524</v>
      </c>
    </row>
    <row r="189" spans="1:7" x14ac:dyDescent="0.25">
      <c r="A189" s="49">
        <f>'A) Base RI'!A185</f>
        <v>5706</v>
      </c>
      <c r="B189" s="293" t="str">
        <f>'A) Base RI'!B185</f>
        <v>Borex</v>
      </c>
      <c r="C189" s="10">
        <f>'A) Base RI'!AO185</f>
        <v>1157</v>
      </c>
      <c r="D189" s="425">
        <f>'C) Prél. conj.'!H183</f>
        <v>131052.97</v>
      </c>
      <c r="E189" s="10">
        <f>'D) Ecrêtage'!M183</f>
        <v>423343.83874918177</v>
      </c>
      <c r="F189" s="425">
        <f>$F$10*'D) Ecrêtage'!C183</f>
        <v>1137184.1835014778</v>
      </c>
      <c r="G189" s="55">
        <f t="shared" si="2"/>
        <v>1691580.9922506595</v>
      </c>
    </row>
    <row r="190" spans="1:7" x14ac:dyDescent="0.25">
      <c r="A190" s="49">
        <f>'A) Base RI'!A186</f>
        <v>5707</v>
      </c>
      <c r="B190" s="293" t="str">
        <f>'A) Base RI'!B186</f>
        <v>Chavannes-de-Bogis</v>
      </c>
      <c r="C190" s="10">
        <f>'A) Base RI'!AO186</f>
        <v>1329</v>
      </c>
      <c r="D190" s="425">
        <f>'C) Prél. conj.'!H184</f>
        <v>420735.97499999998</v>
      </c>
      <c r="E190" s="10">
        <f>'D) Ecrêtage'!M184</f>
        <v>235687.69775400433</v>
      </c>
      <c r="F190" s="425">
        <f>$F$10*'D) Ecrêtage'!C184</f>
        <v>1107118.3782521407</v>
      </c>
      <c r="G190" s="55">
        <f t="shared" si="2"/>
        <v>1763542.0510061451</v>
      </c>
    </row>
    <row r="191" spans="1:7" x14ac:dyDescent="0.25">
      <c r="A191" s="49">
        <f>'A) Base RI'!A187</f>
        <v>5708</v>
      </c>
      <c r="B191" s="293" t="str">
        <f>'A) Base RI'!B187</f>
        <v>Chavannes-des-Bois</v>
      </c>
      <c r="C191" s="10">
        <f>'A) Base RI'!AO187</f>
        <v>1013</v>
      </c>
      <c r="D191" s="425">
        <f>'C) Prél. conj.'!H185</f>
        <v>154143.34000000003</v>
      </c>
      <c r="E191" s="10">
        <f>'D) Ecrêtage'!M185</f>
        <v>310152.95453393599</v>
      </c>
      <c r="F191" s="425">
        <f>$F$10*'D) Ecrêtage'!C185</f>
        <v>909881.92024947284</v>
      </c>
      <c r="G191" s="55">
        <f t="shared" si="2"/>
        <v>1374178.2147834089</v>
      </c>
    </row>
    <row r="192" spans="1:7" x14ac:dyDescent="0.25">
      <c r="A192" s="49">
        <f>'A) Base RI'!A188</f>
        <v>5709</v>
      </c>
      <c r="B192" s="293" t="str">
        <f>'A) Base RI'!B188</f>
        <v>Chéserex</v>
      </c>
      <c r="C192" s="10">
        <f>'A) Base RI'!AO188</f>
        <v>1248</v>
      </c>
      <c r="D192" s="425">
        <f>'C) Prél. conj.'!H186</f>
        <v>237139.875</v>
      </c>
      <c r="E192" s="10">
        <f>'D) Ecrêtage'!M186</f>
        <v>609379.55002158904</v>
      </c>
      <c r="F192" s="425">
        <f>$F$10*'D) Ecrêtage'!C186</f>
        <v>1317254.8853899429</v>
      </c>
      <c r="G192" s="55">
        <f t="shared" si="2"/>
        <v>2163774.3104115319</v>
      </c>
    </row>
    <row r="193" spans="1:7" x14ac:dyDescent="0.25">
      <c r="A193" s="49">
        <f>'A) Base RI'!A189</f>
        <v>5710</v>
      </c>
      <c r="B193" s="293" t="str">
        <f>'A) Base RI'!B189</f>
        <v>Coinsins</v>
      </c>
      <c r="C193" s="10">
        <f>'A) Base RI'!AO189</f>
        <v>509</v>
      </c>
      <c r="D193" s="425">
        <f>'C) Prél. conj.'!H187</f>
        <v>44106.86</v>
      </c>
      <c r="E193" s="10">
        <f>'D) Ecrêtage'!M187</f>
        <v>250877.07687688989</v>
      </c>
      <c r="F193" s="425">
        <f>$F$10*'D) Ecrêtage'!C187</f>
        <v>556147.28130038688</v>
      </c>
      <c r="G193" s="55">
        <f t="shared" si="2"/>
        <v>851131.21817727678</v>
      </c>
    </row>
    <row r="194" spans="1:7" x14ac:dyDescent="0.25">
      <c r="A194" s="49">
        <f>'A) Base RI'!A190</f>
        <v>5711</v>
      </c>
      <c r="B194" s="293" t="str">
        <f>'A) Base RI'!B190</f>
        <v>Commugny</v>
      </c>
      <c r="C194" s="10">
        <f>'A) Base RI'!AO190</f>
        <v>2997</v>
      </c>
      <c r="D194" s="425">
        <f>'C) Prél. conj.'!H188</f>
        <v>642023.97500000009</v>
      </c>
      <c r="E194" s="10">
        <f>'D) Ecrêtage'!M188</f>
        <v>1845544.6899068835</v>
      </c>
      <c r="F194" s="425">
        <f>$F$10*'D) Ecrêtage'!C188</f>
        <v>3419663.6633264562</v>
      </c>
      <c r="G194" s="55">
        <f t="shared" si="2"/>
        <v>5907232.3282333398</v>
      </c>
    </row>
    <row r="195" spans="1:7" x14ac:dyDescent="0.25">
      <c r="A195" s="49">
        <f>'A) Base RI'!A191</f>
        <v>5712</v>
      </c>
      <c r="B195" s="293" t="str">
        <f>'A) Base RI'!B191</f>
        <v>Coppet</v>
      </c>
      <c r="C195" s="10">
        <f>'A) Base RI'!AO191</f>
        <v>3247</v>
      </c>
      <c r="D195" s="425">
        <f>'C) Prél. conj.'!H189</f>
        <v>845657.10499999986</v>
      </c>
      <c r="E195" s="10">
        <f>'D) Ecrêtage'!M189</f>
        <v>4568714.1223674808</v>
      </c>
      <c r="F195" s="425">
        <f>$F$10*'D) Ecrêtage'!C189</f>
        <v>5167985.4002999039</v>
      </c>
      <c r="G195" s="55">
        <f t="shared" si="2"/>
        <v>10582356.627667384</v>
      </c>
    </row>
    <row r="196" spans="1:7" x14ac:dyDescent="0.25">
      <c r="A196" s="49">
        <f>'A) Base RI'!A192</f>
        <v>5713</v>
      </c>
      <c r="B196" s="293" t="str">
        <f>'A) Base RI'!B192</f>
        <v>Crans-près-Céligny</v>
      </c>
      <c r="C196" s="10">
        <f>'A) Base RI'!AO192</f>
        <v>2340</v>
      </c>
      <c r="D196" s="425">
        <f>'C) Prél. conj.'!H190</f>
        <v>986391.58000000007</v>
      </c>
      <c r="E196" s="10">
        <f>'D) Ecrêtage'!M190</f>
        <v>4413291.6471955497</v>
      </c>
      <c r="F196" s="425">
        <f>$F$10*'D) Ecrêtage'!C190</f>
        <v>4175861.141183896</v>
      </c>
      <c r="G196" s="55">
        <f t="shared" si="2"/>
        <v>9575544.3683794457</v>
      </c>
    </row>
    <row r="197" spans="1:7" x14ac:dyDescent="0.25">
      <c r="A197" s="49">
        <f>'A) Base RI'!A193</f>
        <v>5714</v>
      </c>
      <c r="B197" s="293" t="str">
        <f>'A) Base RI'!B193</f>
        <v>Crassier</v>
      </c>
      <c r="C197" s="10">
        <f>'A) Base RI'!AO193</f>
        <v>1174</v>
      </c>
      <c r="D197" s="425">
        <f>'C) Prél. conj.'!H191</f>
        <v>163383.91</v>
      </c>
      <c r="E197" s="10">
        <f>'D) Ecrêtage'!M191</f>
        <v>0</v>
      </c>
      <c r="F197" s="425">
        <f>$F$10*'D) Ecrêtage'!C191</f>
        <v>722829.61931236973</v>
      </c>
      <c r="G197" s="55">
        <f t="shared" si="2"/>
        <v>886213.52931236976</v>
      </c>
    </row>
    <row r="198" spans="1:7" x14ac:dyDescent="0.25">
      <c r="A198" s="49">
        <f>'A) Base RI'!A194</f>
        <v>5715</v>
      </c>
      <c r="B198" s="293" t="str">
        <f>'A) Base RI'!B194</f>
        <v>Duillier</v>
      </c>
      <c r="C198" s="10">
        <f>'A) Base RI'!AO194</f>
        <v>1128</v>
      </c>
      <c r="D198" s="425">
        <f>'C) Prél. conj.'!H192</f>
        <v>238023.70499999999</v>
      </c>
      <c r="E198" s="10">
        <f>'D) Ecrêtage'!M192</f>
        <v>95496.267604756358</v>
      </c>
      <c r="F198" s="425">
        <f>$F$10*'D) Ecrêtage'!C192</f>
        <v>833006.94946927286</v>
      </c>
      <c r="G198" s="55">
        <f t="shared" si="2"/>
        <v>1166526.9220740292</v>
      </c>
    </row>
    <row r="199" spans="1:7" x14ac:dyDescent="0.25">
      <c r="A199" s="49">
        <f>'A) Base RI'!A195</f>
        <v>5716</v>
      </c>
      <c r="B199" s="293" t="str">
        <f>'A) Base RI'!B195</f>
        <v>Eysins</v>
      </c>
      <c r="C199" s="10">
        <f>'A) Base RI'!AO195</f>
        <v>1740</v>
      </c>
      <c r="D199" s="425">
        <f>'C) Prél. conj.'!H193</f>
        <v>841220.8949999999</v>
      </c>
      <c r="E199" s="10">
        <f>'D) Ecrêtage'!M193</f>
        <v>6282798.7047551088</v>
      </c>
      <c r="F199" s="425">
        <f>$F$10*'D) Ecrêtage'!C193</f>
        <v>4214155.0885501401</v>
      </c>
      <c r="G199" s="55">
        <f t="shared" si="2"/>
        <v>11338174.688305248</v>
      </c>
    </row>
    <row r="200" spans="1:7" x14ac:dyDescent="0.25">
      <c r="A200" s="49">
        <f>'A) Base RI'!A196</f>
        <v>5717</v>
      </c>
      <c r="B200" s="293" t="str">
        <f>'A) Base RI'!B196</f>
        <v>Founex</v>
      </c>
      <c r="C200" s="10">
        <f>'A) Base RI'!AO196</f>
        <v>3834</v>
      </c>
      <c r="D200" s="425">
        <f>'C) Prél. conj.'!H194</f>
        <v>1155984.1199999999</v>
      </c>
      <c r="E200" s="10">
        <f>'D) Ecrêtage'!M194</f>
        <v>3970332.2593758493</v>
      </c>
      <c r="F200" s="425">
        <f>$F$10*'D) Ecrêtage'!C194</f>
        <v>5232889.1756812837</v>
      </c>
      <c r="G200" s="55">
        <f t="shared" si="2"/>
        <v>10359205.555057133</v>
      </c>
    </row>
    <row r="201" spans="1:7" x14ac:dyDescent="0.25">
      <c r="A201" s="49">
        <f>'A) Base RI'!A197</f>
        <v>5718</v>
      </c>
      <c r="B201" s="293" t="str">
        <f>'A) Base RI'!B197</f>
        <v>Genolier</v>
      </c>
      <c r="C201" s="10">
        <f>'A) Base RI'!AO197</f>
        <v>1996</v>
      </c>
      <c r="D201" s="425">
        <f>'C) Prél. conj.'!H195</f>
        <v>493042.01500000001</v>
      </c>
      <c r="E201" s="10">
        <f>'D) Ecrêtage'!M195</f>
        <v>3196512.9858075981</v>
      </c>
      <c r="F201" s="425">
        <f>$F$10*'D) Ecrêtage'!C195</f>
        <v>3315623.303511682</v>
      </c>
      <c r="G201" s="55">
        <f t="shared" si="2"/>
        <v>7005178.3043192802</v>
      </c>
    </row>
    <row r="202" spans="1:7" x14ac:dyDescent="0.25">
      <c r="A202" s="49">
        <f>'A) Base RI'!A198</f>
        <v>5719</v>
      </c>
      <c r="B202" s="293" t="str">
        <f>'A) Base RI'!B198</f>
        <v>Gingins</v>
      </c>
      <c r="C202" s="10">
        <f>'A) Base RI'!AO198</f>
        <v>1257</v>
      </c>
      <c r="D202" s="425">
        <f>'C) Prél. conj.'!H196</f>
        <v>222187.80500000002</v>
      </c>
      <c r="E202" s="10">
        <f>'D) Ecrêtage'!M196</f>
        <v>1841663.7139385613</v>
      </c>
      <c r="F202" s="425">
        <f>$F$10*'D) Ecrêtage'!C196</f>
        <v>1971949.8909922733</v>
      </c>
      <c r="G202" s="55">
        <f t="shared" si="2"/>
        <v>4035801.4099308345</v>
      </c>
    </row>
    <row r="203" spans="1:7" x14ac:dyDescent="0.25">
      <c r="A203" s="49">
        <f>'A) Base RI'!A199</f>
        <v>5720</v>
      </c>
      <c r="B203" s="293" t="str">
        <f>'A) Base RI'!B199</f>
        <v>Givrins</v>
      </c>
      <c r="C203" s="10">
        <f>'A) Base RI'!AO199</f>
        <v>1031</v>
      </c>
      <c r="D203" s="425">
        <f>'C) Prél. conj.'!H197</f>
        <v>283101.36000000004</v>
      </c>
      <c r="E203" s="10">
        <f>'D) Ecrêtage'!M197</f>
        <v>691822.52096268174</v>
      </c>
      <c r="F203" s="425">
        <f>$F$10*'D) Ecrêtage'!C197</f>
        <v>1138733.8550269629</v>
      </c>
      <c r="G203" s="55">
        <f t="shared" si="2"/>
        <v>2113657.7359896447</v>
      </c>
    </row>
    <row r="204" spans="1:7" x14ac:dyDescent="0.25">
      <c r="A204" s="49">
        <f>'A) Base RI'!A200</f>
        <v>5721</v>
      </c>
      <c r="B204" s="293" t="str">
        <f>'A) Base RI'!B200</f>
        <v>Gland</v>
      </c>
      <c r="C204" s="10">
        <f>'A) Base RI'!AO200</f>
        <v>13243</v>
      </c>
      <c r="D204" s="425">
        <f>'C) Prél. conj.'!H198</f>
        <v>2205820.61</v>
      </c>
      <c r="E204" s="10">
        <f>'D) Ecrêtage'!M198</f>
        <v>160453.77154181898</v>
      </c>
      <c r="F204" s="425">
        <f>$F$10*'D) Ecrêtage'!C198</f>
        <v>8808575.1566428393</v>
      </c>
      <c r="G204" s="55">
        <f t="shared" ref="G204:G267" si="3">D204+F204+E204</f>
        <v>11174849.538184658</v>
      </c>
    </row>
    <row r="205" spans="1:7" x14ac:dyDescent="0.25">
      <c r="A205" s="49">
        <f>'A) Base RI'!A201</f>
        <v>5722</v>
      </c>
      <c r="B205" s="293" t="str">
        <f>'A) Base RI'!B201</f>
        <v>Grens</v>
      </c>
      <c r="C205" s="10">
        <f>'A) Base RI'!AO201</f>
        <v>405</v>
      </c>
      <c r="D205" s="425">
        <f>'C) Prél. conj.'!H199</f>
        <v>13933.314999999999</v>
      </c>
      <c r="E205" s="10">
        <f>'D) Ecrêtage'!M199</f>
        <v>87696.474239317351</v>
      </c>
      <c r="F205" s="425">
        <f>$F$10*'D) Ecrêtage'!C199</f>
        <v>345325.98955991183</v>
      </c>
      <c r="G205" s="55">
        <f t="shared" si="3"/>
        <v>446955.77879922919</v>
      </c>
    </row>
    <row r="206" spans="1:7" x14ac:dyDescent="0.25">
      <c r="A206" s="49">
        <f>'A) Base RI'!A202</f>
        <v>5723</v>
      </c>
      <c r="B206" s="293" t="str">
        <f>'A) Base RI'!B202</f>
        <v>Mies</v>
      </c>
      <c r="C206" s="10">
        <f>'A) Base RI'!AO202</f>
        <v>2172</v>
      </c>
      <c r="D206" s="425">
        <f>'C) Prél. conj.'!H200</f>
        <v>645314.41</v>
      </c>
      <c r="E206" s="10">
        <f>'D) Ecrêtage'!M200</f>
        <v>1557147.3148939279</v>
      </c>
      <c r="F206" s="425">
        <f>$F$10*'D) Ecrêtage'!C200</f>
        <v>2676029.6597902947</v>
      </c>
      <c r="G206" s="55">
        <f t="shared" si="3"/>
        <v>4878491.3846842228</v>
      </c>
    </row>
    <row r="207" spans="1:7" x14ac:dyDescent="0.25">
      <c r="A207" s="49">
        <f>'A) Base RI'!A203</f>
        <v>5724</v>
      </c>
      <c r="B207" s="293" t="str">
        <f>'A) Base RI'!B203</f>
        <v>Nyon</v>
      </c>
      <c r="C207" s="10">
        <f>'A) Base RI'!AO203</f>
        <v>21743</v>
      </c>
      <c r="D207" s="425">
        <f>'C) Prél. conj.'!H201</f>
        <v>8012481.5549999997</v>
      </c>
      <c r="E207" s="10">
        <f>'D) Ecrêtage'!M201</f>
        <v>5462123.1529763434</v>
      </c>
      <c r="F207" s="425">
        <f>$F$10*'D) Ecrêtage'!C201</f>
        <v>19152872.395221341</v>
      </c>
      <c r="G207" s="55">
        <f t="shared" si="3"/>
        <v>32627477.103197686</v>
      </c>
    </row>
    <row r="208" spans="1:7" x14ac:dyDescent="0.25">
      <c r="A208" s="49">
        <f>'A) Base RI'!A204</f>
        <v>5725</v>
      </c>
      <c r="B208" s="293" t="str">
        <f>'A) Base RI'!B204</f>
        <v>Prangins</v>
      </c>
      <c r="C208" s="10">
        <f>'A) Base RI'!AO204</f>
        <v>4101</v>
      </c>
      <c r="D208" s="425">
        <f>'C) Prél. conj.'!H202</f>
        <v>903077.62999999989</v>
      </c>
      <c r="E208" s="10">
        <f>'D) Ecrêtage'!M202</f>
        <v>1774847.4472157091</v>
      </c>
      <c r="F208" s="425">
        <f>$F$10*'D) Ecrêtage'!C202</f>
        <v>4231816.8893631911</v>
      </c>
      <c r="G208" s="55">
        <f t="shared" si="3"/>
        <v>6909741.9665788999</v>
      </c>
    </row>
    <row r="209" spans="1:7" x14ac:dyDescent="0.25">
      <c r="A209" s="49">
        <f>'A) Base RI'!A205</f>
        <v>5726</v>
      </c>
      <c r="B209" s="293" t="str">
        <f>'A) Base RI'!B205</f>
        <v>La Rippe</v>
      </c>
      <c r="C209" s="10">
        <f>'A) Base RI'!AO205</f>
        <v>1131</v>
      </c>
      <c r="D209" s="425">
        <f>'C) Prél. conj.'!H203</f>
        <v>276005.08</v>
      </c>
      <c r="E209" s="10">
        <f>'D) Ecrêtage'!M203</f>
        <v>160072.61644258891</v>
      </c>
      <c r="F209" s="425">
        <f>$F$10*'D) Ecrêtage'!C203</f>
        <v>897282.06494968676</v>
      </c>
      <c r="G209" s="55">
        <f t="shared" si="3"/>
        <v>1333359.7613922756</v>
      </c>
    </row>
    <row r="210" spans="1:7" x14ac:dyDescent="0.25">
      <c r="A210" s="49">
        <f>'A) Base RI'!A206</f>
        <v>5727</v>
      </c>
      <c r="B210" s="293" t="str">
        <f>'A) Base RI'!B206</f>
        <v>Saint-Cergue</v>
      </c>
      <c r="C210" s="10">
        <f>'A) Base RI'!AO206</f>
        <v>2674</v>
      </c>
      <c r="D210" s="425">
        <f>'C) Prél. conj.'!H204</f>
        <v>382284.69499999995</v>
      </c>
      <c r="E210" s="10">
        <f>'D) Ecrêtage'!M204</f>
        <v>0</v>
      </c>
      <c r="F210" s="425">
        <f>$F$10*'D) Ecrêtage'!C204</f>
        <v>1422196.1346447219</v>
      </c>
      <c r="G210" s="55">
        <f t="shared" si="3"/>
        <v>1804480.8296447219</v>
      </c>
    </row>
    <row r="211" spans="1:7" x14ac:dyDescent="0.25">
      <c r="A211" s="49">
        <f>'A) Base RI'!A207</f>
        <v>5728</v>
      </c>
      <c r="B211" s="293" t="str">
        <f>'A) Base RI'!B207</f>
        <v>Signy-Avenex</v>
      </c>
      <c r="C211" s="10">
        <f>'A) Base RI'!AO207</f>
        <v>581</v>
      </c>
      <c r="D211" s="425">
        <f>'C) Prél. conj.'!H205</f>
        <v>121010.58</v>
      </c>
      <c r="E211" s="10">
        <f>'D) Ecrêtage'!M205</f>
        <v>380487.3162285696</v>
      </c>
      <c r="F211" s="425">
        <f>$F$10*'D) Ecrêtage'!C205</f>
        <v>666782.32425132568</v>
      </c>
      <c r="G211" s="55">
        <f t="shared" si="3"/>
        <v>1168280.2204798954</v>
      </c>
    </row>
    <row r="212" spans="1:7" x14ac:dyDescent="0.25">
      <c r="A212" s="49">
        <f>'A) Base RI'!A208</f>
        <v>5729</v>
      </c>
      <c r="B212" s="293" t="str">
        <f>'A) Base RI'!B208</f>
        <v>Tannay</v>
      </c>
      <c r="C212" s="10">
        <f>'A) Base RI'!AO208</f>
        <v>1636</v>
      </c>
      <c r="D212" s="425">
        <f>'C) Prél. conj.'!H206</f>
        <v>565915.53500000003</v>
      </c>
      <c r="E212" s="10">
        <f>'D) Ecrêtage'!M206</f>
        <v>925013.61395958241</v>
      </c>
      <c r="F212" s="425">
        <f>$F$10*'D) Ecrêtage'!C206</f>
        <v>1769903.3670830887</v>
      </c>
      <c r="G212" s="55">
        <f t="shared" si="3"/>
        <v>3260832.5160426712</v>
      </c>
    </row>
    <row r="213" spans="1:7" x14ac:dyDescent="0.25">
      <c r="A213" s="49">
        <f>'A) Base RI'!A209</f>
        <v>5730</v>
      </c>
      <c r="B213" s="293" t="str">
        <f>'A) Base RI'!B209</f>
        <v>Trélex</v>
      </c>
      <c r="C213" s="10">
        <f>'A) Base RI'!AO209</f>
        <v>1445</v>
      </c>
      <c r="D213" s="425">
        <f>'C) Prél. conj.'!H207</f>
        <v>407778.97500000003</v>
      </c>
      <c r="E213" s="10">
        <f>'D) Ecrêtage'!M207</f>
        <v>662320.31441043108</v>
      </c>
      <c r="F213" s="425">
        <f>$F$10*'D) Ecrêtage'!C207</f>
        <v>1510144.7838449171</v>
      </c>
      <c r="G213" s="55">
        <f t="shared" si="3"/>
        <v>2580244.073255348</v>
      </c>
    </row>
    <row r="214" spans="1:7" x14ac:dyDescent="0.25">
      <c r="A214" s="49">
        <f>'A) Base RI'!A210</f>
        <v>5731</v>
      </c>
      <c r="B214" s="293" t="str">
        <f>'A) Base RI'!B210</f>
        <v>Le Vaud</v>
      </c>
      <c r="C214" s="10">
        <f>'A) Base RI'!AO210</f>
        <v>1366</v>
      </c>
      <c r="D214" s="425">
        <f>'C) Prél. conj.'!H208</f>
        <v>152216.76</v>
      </c>
      <c r="E214" s="10">
        <f>'D) Ecrêtage'!M208</f>
        <v>0</v>
      </c>
      <c r="F214" s="425">
        <f>$F$10*'D) Ecrêtage'!C208</f>
        <v>865049.36559420766</v>
      </c>
      <c r="G214" s="55">
        <f t="shared" si="3"/>
        <v>1017266.1255942077</v>
      </c>
    </row>
    <row r="215" spans="1:7" x14ac:dyDescent="0.25">
      <c r="A215" s="49">
        <f>'A) Base RI'!A211</f>
        <v>5732</v>
      </c>
      <c r="B215" s="293" t="str">
        <f>'A) Base RI'!B211</f>
        <v>Vich</v>
      </c>
      <c r="C215" s="10">
        <f>'A) Base RI'!AO211</f>
        <v>1156</v>
      </c>
      <c r="D215" s="425">
        <f>'C) Prél. conj.'!H209</f>
        <v>301194.48500000004</v>
      </c>
      <c r="E215" s="10">
        <f>'D) Ecrêtage'!M209</f>
        <v>219361.84664249292</v>
      </c>
      <c r="F215" s="425">
        <f>$F$10*'D) Ecrêtage'!C209</f>
        <v>960625.84792639047</v>
      </c>
      <c r="G215" s="55">
        <f t="shared" si="3"/>
        <v>1481182.1795688835</v>
      </c>
    </row>
    <row r="216" spans="1:7" x14ac:dyDescent="0.25">
      <c r="A216" s="49">
        <f>'A) Base RI'!A212</f>
        <v>5741</v>
      </c>
      <c r="B216" s="293" t="str">
        <f>'A) Base RI'!B212</f>
        <v>L'Abergement</v>
      </c>
      <c r="C216" s="10">
        <f>'A) Base RI'!AO212</f>
        <v>256</v>
      </c>
      <c r="D216" s="425">
        <f>'C) Prél. conj.'!H210</f>
        <v>25252.639999999999</v>
      </c>
      <c r="E216" s="10">
        <f>'D) Ecrêtage'!M210</f>
        <v>0</v>
      </c>
      <c r="F216" s="425">
        <f>$F$10*'D) Ecrêtage'!C210</f>
        <v>99691.398397118071</v>
      </c>
      <c r="G216" s="55">
        <f t="shared" si="3"/>
        <v>124944.03839711807</v>
      </c>
    </row>
    <row r="217" spans="1:7" x14ac:dyDescent="0.25">
      <c r="A217" s="49">
        <f>'A) Base RI'!A213</f>
        <v>5742</v>
      </c>
      <c r="B217" s="293" t="str">
        <f>'A) Base RI'!B213</f>
        <v>Agiez</v>
      </c>
      <c r="C217" s="10">
        <f>'A) Base RI'!AO213</f>
        <v>377</v>
      </c>
      <c r="D217" s="425">
        <f>'C) Prél. conj.'!H211</f>
        <v>15965.1</v>
      </c>
      <c r="E217" s="10">
        <f>'D) Ecrêtage'!M211</f>
        <v>0</v>
      </c>
      <c r="F217" s="425">
        <f>$F$10*'D) Ecrêtage'!C211</f>
        <v>121218.22176711541</v>
      </c>
      <c r="G217" s="55">
        <f t="shared" si="3"/>
        <v>137183.32176711541</v>
      </c>
    </row>
    <row r="218" spans="1:7" x14ac:dyDescent="0.25">
      <c r="A218" s="49">
        <f>'A) Base RI'!A214</f>
        <v>5743</v>
      </c>
      <c r="B218" s="293" t="str">
        <f>'A) Base RI'!B214</f>
        <v>Arnex-sur-Orbe</v>
      </c>
      <c r="C218" s="10">
        <f>'A) Base RI'!AO214</f>
        <v>637</v>
      </c>
      <c r="D218" s="425">
        <f>'C) Prél. conj.'!H212</f>
        <v>33046.239999999998</v>
      </c>
      <c r="E218" s="10">
        <f>'D) Ecrêtage'!M212</f>
        <v>0</v>
      </c>
      <c r="F218" s="425">
        <f>$F$10*'D) Ecrêtage'!C212</f>
        <v>277696.99016645452</v>
      </c>
      <c r="G218" s="55">
        <f t="shared" si="3"/>
        <v>310743.23016645451</v>
      </c>
    </row>
    <row r="219" spans="1:7" x14ac:dyDescent="0.25">
      <c r="A219" s="49">
        <f>'A) Base RI'!A215</f>
        <v>5744</v>
      </c>
      <c r="B219" s="293" t="str">
        <f>'A) Base RI'!B215</f>
        <v>Ballaigues</v>
      </c>
      <c r="C219" s="10">
        <f>'A) Base RI'!AO215</f>
        <v>1143</v>
      </c>
      <c r="D219" s="425">
        <f>'C) Prél. conj.'!H213</f>
        <v>461420.19499999995</v>
      </c>
      <c r="E219" s="10">
        <f>'D) Ecrêtage'!M213</f>
        <v>0</v>
      </c>
      <c r="F219" s="425">
        <f>$F$10*'D) Ecrêtage'!C213</f>
        <v>547277.83436077251</v>
      </c>
      <c r="G219" s="55">
        <f t="shared" si="3"/>
        <v>1008698.0293607725</v>
      </c>
    </row>
    <row r="220" spans="1:7" x14ac:dyDescent="0.25">
      <c r="A220" s="49">
        <f>'A) Base RI'!A216</f>
        <v>5745</v>
      </c>
      <c r="B220" s="293" t="str">
        <f>'A) Base RI'!B216</f>
        <v>Baulmes</v>
      </c>
      <c r="C220" s="10">
        <f>'A) Base RI'!AO216</f>
        <v>1074</v>
      </c>
      <c r="D220" s="425">
        <f>'C) Prél. conj.'!H214</f>
        <v>105869.22</v>
      </c>
      <c r="E220" s="10">
        <f>'D) Ecrêtage'!M214</f>
        <v>0</v>
      </c>
      <c r="F220" s="425">
        <f>$F$10*'D) Ecrêtage'!C214</f>
        <v>362940.07068898284</v>
      </c>
      <c r="G220" s="55">
        <f t="shared" si="3"/>
        <v>468809.29068898282</v>
      </c>
    </row>
    <row r="221" spans="1:7" x14ac:dyDescent="0.25">
      <c r="A221" s="49">
        <f>'A) Base RI'!A217</f>
        <v>5746</v>
      </c>
      <c r="B221" s="293" t="str">
        <f>'A) Base RI'!B217</f>
        <v>Bavois</v>
      </c>
      <c r="C221" s="10">
        <f>'A) Base RI'!AO217</f>
        <v>994</v>
      </c>
      <c r="D221" s="425">
        <f>'C) Prél. conj.'!H215</f>
        <v>205038.34000000003</v>
      </c>
      <c r="E221" s="10">
        <f>'D) Ecrêtage'!M215</f>
        <v>0</v>
      </c>
      <c r="F221" s="425">
        <f>$F$10*'D) Ecrêtage'!C215</f>
        <v>412170.99081876036</v>
      </c>
      <c r="G221" s="55">
        <f t="shared" si="3"/>
        <v>617209.33081876044</v>
      </c>
    </row>
    <row r="222" spans="1:7" x14ac:dyDescent="0.25">
      <c r="A222" s="49">
        <f>'A) Base RI'!A218</f>
        <v>5747</v>
      </c>
      <c r="B222" s="293" t="str">
        <f>'A) Base RI'!B218</f>
        <v>Bofflens</v>
      </c>
      <c r="C222" s="10">
        <f>'A) Base RI'!AO218</f>
        <v>206</v>
      </c>
      <c r="D222" s="425">
        <f>'C) Prél. conj.'!H216</f>
        <v>24383.85</v>
      </c>
      <c r="E222" s="10">
        <f>'D) Ecrêtage'!M216</f>
        <v>0</v>
      </c>
      <c r="F222" s="425">
        <f>$F$10*'D) Ecrêtage'!C216</f>
        <v>75878.996240482695</v>
      </c>
      <c r="G222" s="55">
        <f t="shared" si="3"/>
        <v>100262.8462404827</v>
      </c>
    </row>
    <row r="223" spans="1:7" x14ac:dyDescent="0.25">
      <c r="A223" s="49">
        <f>'A) Base RI'!A219</f>
        <v>5748</v>
      </c>
      <c r="B223" s="293" t="str">
        <f>'A) Base RI'!B219</f>
        <v>Bretonnières</v>
      </c>
      <c r="C223" s="10">
        <f>'A) Base RI'!AO219</f>
        <v>268</v>
      </c>
      <c r="D223" s="425">
        <f>'C) Prél. conj.'!H217</f>
        <v>14395.525</v>
      </c>
      <c r="E223" s="10">
        <f>'D) Ecrêtage'!M217</f>
        <v>0</v>
      </c>
      <c r="F223" s="425">
        <f>$F$10*'D) Ecrêtage'!C217</f>
        <v>78330.512415547797</v>
      </c>
      <c r="G223" s="55">
        <f t="shared" si="3"/>
        <v>92726.037415547791</v>
      </c>
    </row>
    <row r="224" spans="1:7" x14ac:dyDescent="0.25">
      <c r="A224" s="49">
        <f>'A) Base RI'!A220</f>
        <v>5749</v>
      </c>
      <c r="B224" s="293" t="str">
        <f>'A) Base RI'!B220</f>
        <v>Chavornay</v>
      </c>
      <c r="C224" s="10">
        <f>'A) Base RI'!AO220</f>
        <v>5227</v>
      </c>
      <c r="D224" s="425">
        <f>'C) Prél. conj.'!H218</f>
        <v>587141.76</v>
      </c>
      <c r="E224" s="10">
        <f>'D) Ecrêtage'!M218</f>
        <v>0</v>
      </c>
      <c r="F224" s="425">
        <f>$F$10*'D) Ecrêtage'!C218</f>
        <v>1903162.0797428933</v>
      </c>
      <c r="G224" s="55">
        <f t="shared" si="3"/>
        <v>2490303.8397428934</v>
      </c>
    </row>
    <row r="225" spans="1:7" x14ac:dyDescent="0.25">
      <c r="A225" s="49">
        <f>'A) Base RI'!A221</f>
        <v>5750</v>
      </c>
      <c r="B225" s="293" t="str">
        <f>'A) Base RI'!B221</f>
        <v>Les Clées</v>
      </c>
      <c r="C225" s="10">
        <f>'A) Base RI'!AO221</f>
        <v>187</v>
      </c>
      <c r="D225" s="425">
        <f>'C) Prél. conj.'!H219</f>
        <v>2883.7950000000001</v>
      </c>
      <c r="E225" s="10">
        <f>'D) Ecrêtage'!M219</f>
        <v>0</v>
      </c>
      <c r="F225" s="425">
        <f>$F$10*'D) Ecrêtage'!C219</f>
        <v>81685.00416349966</v>
      </c>
      <c r="G225" s="55">
        <f t="shared" si="3"/>
        <v>84568.799163499658</v>
      </c>
    </row>
    <row r="226" spans="1:7" x14ac:dyDescent="0.25">
      <c r="A226" s="49">
        <f>'A) Base RI'!A222</f>
        <v>5752</v>
      </c>
      <c r="B226" s="293" t="str">
        <f>'A) Base RI'!B222</f>
        <v>Croy</v>
      </c>
      <c r="C226" s="10">
        <f>'A) Base RI'!AO222</f>
        <v>397</v>
      </c>
      <c r="D226" s="425">
        <f>'C) Prél. conj.'!H220</f>
        <v>34125.544999999998</v>
      </c>
      <c r="E226" s="10">
        <f>'D) Ecrêtage'!M220</f>
        <v>0</v>
      </c>
      <c r="F226" s="425">
        <f>$F$10*'D) Ecrêtage'!C220</f>
        <v>127396.20375631801</v>
      </c>
      <c r="G226" s="55">
        <f t="shared" si="3"/>
        <v>161521.748756318</v>
      </c>
    </row>
    <row r="227" spans="1:7" x14ac:dyDescent="0.25">
      <c r="A227" s="49">
        <f>'A) Base RI'!A223</f>
        <v>5754</v>
      </c>
      <c r="B227" s="293" t="str">
        <f>'A) Base RI'!B223</f>
        <v>Juriens</v>
      </c>
      <c r="C227" s="10">
        <f>'A) Base RI'!AO223</f>
        <v>336</v>
      </c>
      <c r="D227" s="425">
        <f>'C) Prél. conj.'!H221</f>
        <v>12205.075000000001</v>
      </c>
      <c r="E227" s="10">
        <f>'D) Ecrêtage'!M221</f>
        <v>0</v>
      </c>
      <c r="F227" s="425">
        <f>$F$10*'D) Ecrêtage'!C221</f>
        <v>108821.26696929742</v>
      </c>
      <c r="G227" s="55">
        <f t="shared" si="3"/>
        <v>121026.34196929741</v>
      </c>
    </row>
    <row r="228" spans="1:7" x14ac:dyDescent="0.25">
      <c r="A228" s="49">
        <f>'A) Base RI'!A224</f>
        <v>5755</v>
      </c>
      <c r="B228" s="293" t="str">
        <f>'A) Base RI'!B224</f>
        <v>Lignerolle</v>
      </c>
      <c r="C228" s="10">
        <f>'A) Base RI'!AO224</f>
        <v>435</v>
      </c>
      <c r="D228" s="425">
        <f>'C) Prél. conj.'!H222</f>
        <v>142835.89499999999</v>
      </c>
      <c r="E228" s="10">
        <f>'D) Ecrêtage'!M222</f>
        <v>0</v>
      </c>
      <c r="F228" s="425">
        <f>$F$10*'D) Ecrêtage'!C222</f>
        <v>122505.2933229359</v>
      </c>
      <c r="G228" s="55">
        <f t="shared" si="3"/>
        <v>265341.18832293589</v>
      </c>
    </row>
    <row r="229" spans="1:7" x14ac:dyDescent="0.25">
      <c r="A229" s="49">
        <f>'A) Base RI'!A225</f>
        <v>5756</v>
      </c>
      <c r="B229" s="293" t="str">
        <f>'A) Base RI'!B225</f>
        <v>Montcherand</v>
      </c>
      <c r="C229" s="10">
        <f>'A) Base RI'!AO225</f>
        <v>506</v>
      </c>
      <c r="D229" s="425">
        <f>'C) Prél. conj.'!H223</f>
        <v>54338.375</v>
      </c>
      <c r="E229" s="10">
        <f>'D) Ecrêtage'!M223</f>
        <v>0</v>
      </c>
      <c r="F229" s="425">
        <f>$F$10*'D) Ecrêtage'!C223</f>
        <v>213188.05835319741</v>
      </c>
      <c r="G229" s="55">
        <f t="shared" si="3"/>
        <v>267526.43335319741</v>
      </c>
    </row>
    <row r="230" spans="1:7" x14ac:dyDescent="0.25">
      <c r="A230" s="49">
        <f>'A) Base RI'!A226</f>
        <v>5757</v>
      </c>
      <c r="B230" s="293" t="str">
        <f>'A) Base RI'!B226</f>
        <v>Orbe</v>
      </c>
      <c r="C230" s="10">
        <f>'A) Base RI'!AO226</f>
        <v>7124</v>
      </c>
      <c r="D230" s="425">
        <f>'C) Prél. conj.'!H224</f>
        <v>1477410.0049999999</v>
      </c>
      <c r="E230" s="10">
        <f>'D) Ecrêtage'!M224</f>
        <v>0</v>
      </c>
      <c r="F230" s="425">
        <f>$F$10*'D) Ecrêtage'!C224</f>
        <v>2756907.220757605</v>
      </c>
      <c r="G230" s="55">
        <f t="shared" si="3"/>
        <v>4234317.2257576045</v>
      </c>
    </row>
    <row r="231" spans="1:7" x14ac:dyDescent="0.25">
      <c r="A231" s="49">
        <f>'A) Base RI'!A227</f>
        <v>5758</v>
      </c>
      <c r="B231" s="293" t="str">
        <f>'A) Base RI'!B227</f>
        <v>La Praz</v>
      </c>
      <c r="C231" s="10">
        <f>'A) Base RI'!AO227</f>
        <v>175</v>
      </c>
      <c r="D231" s="425">
        <f>'C) Prél. conj.'!H225</f>
        <v>12394.594999999998</v>
      </c>
      <c r="E231" s="10">
        <f>'D) Ecrêtage'!M225</f>
        <v>0</v>
      </c>
      <c r="F231" s="425">
        <f>$F$10*'D) Ecrêtage'!C225</f>
        <v>58354.237712218011</v>
      </c>
      <c r="G231" s="55">
        <f t="shared" si="3"/>
        <v>70748.832712218005</v>
      </c>
    </row>
    <row r="232" spans="1:7" x14ac:dyDescent="0.25">
      <c r="A232" s="49">
        <f>'A) Base RI'!A228</f>
        <v>5759</v>
      </c>
      <c r="B232" s="293" t="str">
        <f>'A) Base RI'!B228</f>
        <v>Premier</v>
      </c>
      <c r="C232" s="10">
        <f>'A) Base RI'!AO228</f>
        <v>218</v>
      </c>
      <c r="D232" s="425">
        <f>'C) Prél. conj.'!H226</f>
        <v>20535.855</v>
      </c>
      <c r="E232" s="10">
        <f>'D) Ecrêtage'!M226</f>
        <v>0</v>
      </c>
      <c r="F232" s="425">
        <f>$F$10*'D) Ecrêtage'!C226</f>
        <v>71802.897251680508</v>
      </c>
      <c r="G232" s="55">
        <f t="shared" si="3"/>
        <v>92338.752251680504</v>
      </c>
    </row>
    <row r="233" spans="1:7" x14ac:dyDescent="0.25">
      <c r="A233" s="49">
        <f>'A) Base RI'!A229</f>
        <v>5760</v>
      </c>
      <c r="B233" s="293" t="str">
        <f>'A) Base RI'!B229</f>
        <v>Rances</v>
      </c>
      <c r="C233" s="10">
        <f>'A) Base RI'!AO229</f>
        <v>513</v>
      </c>
      <c r="D233" s="425">
        <f>'C) Prél. conj.'!H227</f>
        <v>54471.565000000002</v>
      </c>
      <c r="E233" s="10">
        <f>'D) Ecrêtage'!M227</f>
        <v>0</v>
      </c>
      <c r="F233" s="425">
        <f>$F$10*'D) Ecrêtage'!C227</f>
        <v>173518.2470419938</v>
      </c>
      <c r="G233" s="55">
        <f t="shared" si="3"/>
        <v>227989.81204199381</v>
      </c>
    </row>
    <row r="234" spans="1:7" x14ac:dyDescent="0.25">
      <c r="A234" s="49">
        <f>'A) Base RI'!A230</f>
        <v>5761</v>
      </c>
      <c r="B234" s="293" t="str">
        <f>'A) Base RI'!B230</f>
        <v>Romainmôtier-Envy</v>
      </c>
      <c r="C234" s="10">
        <f>'A) Base RI'!AO230</f>
        <v>525</v>
      </c>
      <c r="D234" s="425">
        <f>'C) Prél. conj.'!H228</f>
        <v>86058.25</v>
      </c>
      <c r="E234" s="10">
        <f>'D) Ecrêtage'!M228</f>
        <v>0</v>
      </c>
      <c r="F234" s="425">
        <f>$F$10*'D) Ecrêtage'!C228</f>
        <v>164169.77767768336</v>
      </c>
      <c r="G234" s="55">
        <f t="shared" si="3"/>
        <v>250228.02767768336</v>
      </c>
    </row>
    <row r="235" spans="1:7" x14ac:dyDescent="0.25">
      <c r="A235" s="49">
        <f>'A) Base RI'!A231</f>
        <v>5762</v>
      </c>
      <c r="B235" s="293" t="str">
        <f>'A) Base RI'!B231</f>
        <v>Sergey</v>
      </c>
      <c r="C235" s="10">
        <f>'A) Base RI'!AO231</f>
        <v>145</v>
      </c>
      <c r="D235" s="425">
        <f>'C) Prél. conj.'!H229</f>
        <v>0</v>
      </c>
      <c r="E235" s="10">
        <f>'D) Ecrêtage'!M229</f>
        <v>0</v>
      </c>
      <c r="F235" s="425">
        <f>$F$10*'D) Ecrêtage'!C229</f>
        <v>51043.838334018772</v>
      </c>
      <c r="G235" s="55">
        <f t="shared" si="3"/>
        <v>51043.838334018772</v>
      </c>
    </row>
    <row r="236" spans="1:7" x14ac:dyDescent="0.25">
      <c r="A236" s="49">
        <f>'A) Base RI'!A232</f>
        <v>5763</v>
      </c>
      <c r="B236" s="293" t="str">
        <f>'A) Base RI'!B232</f>
        <v>Valeyres-sous-Rances</v>
      </c>
      <c r="C236" s="10">
        <f>'A) Base RI'!AO232</f>
        <v>609</v>
      </c>
      <c r="D236" s="425">
        <f>'C) Prél. conj.'!H230</f>
        <v>27306.229999999996</v>
      </c>
      <c r="E236" s="10">
        <f>'D) Ecrêtage'!M230</f>
        <v>0</v>
      </c>
      <c r="F236" s="425">
        <f>$F$10*'D) Ecrêtage'!C230</f>
        <v>276700.37104203738</v>
      </c>
      <c r="G236" s="55">
        <f t="shared" si="3"/>
        <v>304006.60104203736</v>
      </c>
    </row>
    <row r="237" spans="1:7" x14ac:dyDescent="0.25">
      <c r="A237" s="49">
        <f>'A) Base RI'!A233</f>
        <v>5764</v>
      </c>
      <c r="B237" s="293" t="str">
        <f>'A) Base RI'!B233</f>
        <v>Vallorbe</v>
      </c>
      <c r="C237" s="10">
        <f>'A) Base RI'!AO233</f>
        <v>3874</v>
      </c>
      <c r="D237" s="425">
        <f>'C) Prél. conj.'!H231</f>
        <v>871780.7699999999</v>
      </c>
      <c r="E237" s="10">
        <f>'D) Ecrêtage'!M231</f>
        <v>0</v>
      </c>
      <c r="F237" s="425">
        <f>$F$10*'D) Ecrêtage'!C231</f>
        <v>1140606.8924599176</v>
      </c>
      <c r="G237" s="55">
        <f t="shared" si="3"/>
        <v>2012387.6624599174</v>
      </c>
    </row>
    <row r="238" spans="1:7" x14ac:dyDescent="0.25">
      <c r="A238" s="49">
        <f>'A) Base RI'!A234</f>
        <v>5765</v>
      </c>
      <c r="B238" s="293" t="str">
        <f>'A) Base RI'!B234</f>
        <v>Vaulion</v>
      </c>
      <c r="C238" s="10">
        <f>'A) Base RI'!AO234</f>
        <v>506</v>
      </c>
      <c r="D238" s="425">
        <f>'C) Prél. conj.'!H232</f>
        <v>65158.675000000003</v>
      </c>
      <c r="E238" s="10">
        <f>'D) Ecrêtage'!M232</f>
        <v>0</v>
      </c>
      <c r="F238" s="425">
        <f>$F$10*'D) Ecrêtage'!C232</f>
        <v>153070.80429139326</v>
      </c>
      <c r="G238" s="55">
        <f t="shared" si="3"/>
        <v>218229.47929139325</v>
      </c>
    </row>
    <row r="239" spans="1:7" x14ac:dyDescent="0.25">
      <c r="A239" s="49">
        <f>'A) Base RI'!A235</f>
        <v>5766</v>
      </c>
      <c r="B239" s="293" t="str">
        <f>'A) Base RI'!B235</f>
        <v>Vuiteboeuf</v>
      </c>
      <c r="C239" s="10">
        <f>'A) Base RI'!AO235</f>
        <v>584</v>
      </c>
      <c r="D239" s="425">
        <f>'C) Prél. conj.'!H233</f>
        <v>28143.724999999999</v>
      </c>
      <c r="E239" s="10">
        <f>'D) Ecrêtage'!M233</f>
        <v>0</v>
      </c>
      <c r="F239" s="425">
        <f>$F$10*'D) Ecrêtage'!C233</f>
        <v>216370.67807461027</v>
      </c>
      <c r="G239" s="55">
        <f t="shared" si="3"/>
        <v>244514.40307461028</v>
      </c>
    </row>
    <row r="240" spans="1:7" x14ac:dyDescent="0.25">
      <c r="A240" s="49">
        <f>'A) Base RI'!A236</f>
        <v>5785</v>
      </c>
      <c r="B240" s="293" t="str">
        <f>'A) Base RI'!B236</f>
        <v>Corcelles-le-Jorat</v>
      </c>
      <c r="C240" s="10">
        <f>'A) Base RI'!AO236</f>
        <v>451</v>
      </c>
      <c r="D240" s="425">
        <f>'C) Prél. conj.'!H234</f>
        <v>66397.7</v>
      </c>
      <c r="E240" s="10">
        <f>'D) Ecrêtage'!M234</f>
        <v>0</v>
      </c>
      <c r="F240" s="425">
        <f>$F$10*'D) Ecrêtage'!C234</f>
        <v>236996.21166556582</v>
      </c>
      <c r="G240" s="55">
        <f t="shared" si="3"/>
        <v>303393.9116655658</v>
      </c>
    </row>
    <row r="241" spans="1:7" x14ac:dyDescent="0.25">
      <c r="A241" s="49">
        <f>'A) Base RI'!A237</f>
        <v>5788</v>
      </c>
      <c r="B241" s="293" t="str">
        <f>'A) Base RI'!B237</f>
        <v>Essertes</v>
      </c>
      <c r="C241" s="10">
        <f>'A) Base RI'!AO237</f>
        <v>389</v>
      </c>
      <c r="D241" s="425">
        <f>'C) Prél. conj.'!H235</f>
        <v>36736.354999999996</v>
      </c>
      <c r="E241" s="10">
        <f>'D) Ecrêtage'!M235</f>
        <v>0</v>
      </c>
      <c r="F241" s="425">
        <f>$F$10*'D) Ecrêtage'!C235</f>
        <v>219500.30752620715</v>
      </c>
      <c r="G241" s="55">
        <f t="shared" si="3"/>
        <v>256236.66252620716</v>
      </c>
    </row>
    <row r="242" spans="1:7" x14ac:dyDescent="0.25">
      <c r="A242" s="49">
        <f>'A) Base RI'!A238</f>
        <v>5790</v>
      </c>
      <c r="B242" s="293" t="str">
        <f>'A) Base RI'!B238</f>
        <v>Maracon</v>
      </c>
      <c r="C242" s="10">
        <f>'A) Base RI'!AO238</f>
        <v>538</v>
      </c>
      <c r="D242" s="425">
        <f>'C) Prél. conj.'!H236</f>
        <v>30681.670000000002</v>
      </c>
      <c r="E242" s="10">
        <f>'D) Ecrêtage'!M236</f>
        <v>0</v>
      </c>
      <c r="F242" s="425">
        <f>$F$10*'D) Ecrêtage'!C236</f>
        <v>181257.50612811104</v>
      </c>
      <c r="G242" s="55">
        <f t="shared" si="3"/>
        <v>211939.17612811105</v>
      </c>
    </row>
    <row r="243" spans="1:7" x14ac:dyDescent="0.25">
      <c r="A243" s="49">
        <f>'A) Base RI'!A239</f>
        <v>5792</v>
      </c>
      <c r="B243" s="293" t="str">
        <f>'A) Base RI'!B239</f>
        <v>Montpreveyres</v>
      </c>
      <c r="C243" s="10">
        <f>'A) Base RI'!AO239</f>
        <v>653</v>
      </c>
      <c r="D243" s="425">
        <f>'C) Prél. conj.'!H237</f>
        <v>55973.37</v>
      </c>
      <c r="E243" s="10">
        <f>'D) Ecrêtage'!M237</f>
        <v>0</v>
      </c>
      <c r="F243" s="425">
        <f>$F$10*'D) Ecrêtage'!C237</f>
        <v>238228.46829502613</v>
      </c>
      <c r="G243" s="55">
        <f t="shared" si="3"/>
        <v>294201.83829502616</v>
      </c>
    </row>
    <row r="244" spans="1:7" x14ac:dyDescent="0.25">
      <c r="A244" s="49">
        <f>'A) Base RI'!A240</f>
        <v>5798</v>
      </c>
      <c r="B244" s="293" t="str">
        <f>'A) Base RI'!B240</f>
        <v>Ropraz</v>
      </c>
      <c r="C244" s="10">
        <f>'A) Base RI'!AO240</f>
        <v>528</v>
      </c>
      <c r="D244" s="425">
        <f>'C) Prél. conj.'!H238</f>
        <v>41040.799999999996</v>
      </c>
      <c r="E244" s="10">
        <f>'D) Ecrêtage'!M238</f>
        <v>0</v>
      </c>
      <c r="F244" s="425">
        <f>$F$10*'D) Ecrêtage'!C238</f>
        <v>213228.00924437356</v>
      </c>
      <c r="G244" s="55">
        <f t="shared" si="3"/>
        <v>254268.80924437355</v>
      </c>
    </row>
    <row r="245" spans="1:7" x14ac:dyDescent="0.25">
      <c r="A245" s="49">
        <f>'A) Base RI'!A241</f>
        <v>5799</v>
      </c>
      <c r="B245" s="293" t="str">
        <f>'A) Base RI'!B241</f>
        <v>Servion</v>
      </c>
      <c r="C245" s="10">
        <f>'A) Base RI'!AO241</f>
        <v>2076</v>
      </c>
      <c r="D245" s="425">
        <f>'C) Prél. conj.'!H239</f>
        <v>295192.10499999998</v>
      </c>
      <c r="E245" s="10">
        <f>'D) Ecrêtage'!M239</f>
        <v>0</v>
      </c>
      <c r="F245" s="425">
        <f>$F$10*'D) Ecrêtage'!C239</f>
        <v>938712.88406119938</v>
      </c>
      <c r="G245" s="55">
        <f t="shared" si="3"/>
        <v>1233904.9890611994</v>
      </c>
    </row>
    <row r="246" spans="1:7" x14ac:dyDescent="0.25">
      <c r="A246" s="49">
        <f>'A) Base RI'!A242</f>
        <v>5803</v>
      </c>
      <c r="B246" s="293" t="str">
        <f>'A) Base RI'!B242</f>
        <v>Vulliens</v>
      </c>
      <c r="C246" s="10">
        <f>'A) Base RI'!AO242</f>
        <v>624</v>
      </c>
      <c r="D246" s="425">
        <f>'C) Prél. conj.'!H240</f>
        <v>32224.345000000001</v>
      </c>
      <c r="E246" s="10">
        <f>'D) Ecrêtage'!M240</f>
        <v>0</v>
      </c>
      <c r="F246" s="425">
        <f>$F$10*'D) Ecrêtage'!C240</f>
        <v>255365.19781069952</v>
      </c>
      <c r="G246" s="55">
        <f t="shared" si="3"/>
        <v>287589.54281069955</v>
      </c>
    </row>
    <row r="247" spans="1:7" x14ac:dyDescent="0.25">
      <c r="A247" s="49">
        <f>'A) Base RI'!A243</f>
        <v>5804</v>
      </c>
      <c r="B247" s="293" t="str">
        <f>'A) Base RI'!B243</f>
        <v>Jorat-Menthue</v>
      </c>
      <c r="C247" s="10">
        <f>'A) Base RI'!AO243</f>
        <v>1602</v>
      </c>
      <c r="D247" s="425">
        <f>'C) Prél. conj.'!H241</f>
        <v>198604.42500000002</v>
      </c>
      <c r="E247" s="10">
        <f>'D) Ecrêtage'!M241</f>
        <v>0</v>
      </c>
      <c r="F247" s="425">
        <f>$F$10*'D) Ecrêtage'!C241</f>
        <v>631689.70075625856</v>
      </c>
      <c r="G247" s="55">
        <f t="shared" si="3"/>
        <v>830294.12575625861</v>
      </c>
    </row>
    <row r="248" spans="1:7" x14ac:dyDescent="0.25">
      <c r="A248" s="49">
        <f>'A) Base RI'!A244</f>
        <v>5805</v>
      </c>
      <c r="B248" s="293" t="str">
        <f>'A) Base RI'!B244</f>
        <v>Oron</v>
      </c>
      <c r="C248" s="10">
        <f>'A) Base RI'!AO244</f>
        <v>5663</v>
      </c>
      <c r="D248" s="425">
        <f>'C) Prél. conj.'!H242</f>
        <v>356785.42499999999</v>
      </c>
      <c r="E248" s="10">
        <f>'D) Ecrêtage'!M242</f>
        <v>0</v>
      </c>
      <c r="F248" s="425">
        <f>$F$10*'D) Ecrêtage'!C242</f>
        <v>2093248.0667346478</v>
      </c>
      <c r="G248" s="55">
        <f t="shared" si="3"/>
        <v>2450033.4917346477</v>
      </c>
    </row>
    <row r="249" spans="1:7" x14ac:dyDescent="0.25">
      <c r="A249" s="49">
        <f>'A) Base RI'!A245</f>
        <v>5806</v>
      </c>
      <c r="B249" s="293" t="str">
        <f>'A) Base RI'!B245</f>
        <v>Jorat-Mézières</v>
      </c>
      <c r="C249" s="10">
        <f>'A) Base RI'!AO245</f>
        <v>2966</v>
      </c>
      <c r="D249" s="425">
        <f>'C) Prél. conj.'!H243</f>
        <v>272721.78000000003</v>
      </c>
      <c r="E249" s="10">
        <f>'D) Ecrêtage'!M243</f>
        <v>0</v>
      </c>
      <c r="F249" s="425">
        <f>$F$10*'D) Ecrêtage'!C243</f>
        <v>1232353.6485809674</v>
      </c>
      <c r="G249" s="55">
        <f t="shared" si="3"/>
        <v>1505075.4285809675</v>
      </c>
    </row>
    <row r="250" spans="1:7" x14ac:dyDescent="0.25">
      <c r="A250" s="49">
        <f>'A) Base RI'!A246</f>
        <v>5812</v>
      </c>
      <c r="B250" s="293" t="str">
        <f>'A) Base RI'!B246</f>
        <v>Champtauroz</v>
      </c>
      <c r="C250" s="10">
        <f>'A) Base RI'!AO246</f>
        <v>144</v>
      </c>
      <c r="D250" s="425">
        <f>'C) Prél. conj.'!H244</f>
        <v>13367.475</v>
      </c>
      <c r="E250" s="10">
        <f>'D) Ecrêtage'!M244</f>
        <v>0</v>
      </c>
      <c r="F250" s="425">
        <f>$F$10*'D) Ecrêtage'!C244</f>
        <v>33652.935614255388</v>
      </c>
      <c r="G250" s="55">
        <f t="shared" si="3"/>
        <v>47020.410614255386</v>
      </c>
    </row>
    <row r="251" spans="1:7" x14ac:dyDescent="0.25">
      <c r="A251" s="49">
        <f>'A) Base RI'!A247</f>
        <v>5813</v>
      </c>
      <c r="B251" s="293" t="str">
        <f>'A) Base RI'!B247</f>
        <v>Chevroux</v>
      </c>
      <c r="C251" s="10">
        <f>'A) Base RI'!AO247</f>
        <v>495</v>
      </c>
      <c r="D251" s="425">
        <f>'C) Prél. conj.'!H245</f>
        <v>26598.425000000003</v>
      </c>
      <c r="E251" s="10">
        <f>'D) Ecrêtage'!M245</f>
        <v>0</v>
      </c>
      <c r="F251" s="425">
        <f>$F$10*'D) Ecrêtage'!C245</f>
        <v>205361.32917843867</v>
      </c>
      <c r="G251" s="55">
        <f t="shared" si="3"/>
        <v>231959.75417843868</v>
      </c>
    </row>
    <row r="252" spans="1:7" x14ac:dyDescent="0.25">
      <c r="A252" s="49">
        <f>'A) Base RI'!A248</f>
        <v>5816</v>
      </c>
      <c r="B252" s="293" t="str">
        <f>'A) Base RI'!B248</f>
        <v>Corcelles-près-Payerne</v>
      </c>
      <c r="C252" s="10">
        <f>'A) Base RI'!AO248</f>
        <v>2681</v>
      </c>
      <c r="D252" s="425">
        <f>'C) Prél. conj.'!H246</f>
        <v>177903.70499999999</v>
      </c>
      <c r="E252" s="10">
        <f>'D) Ecrêtage'!M246</f>
        <v>0</v>
      </c>
      <c r="F252" s="425">
        <f>$F$10*'D) Ecrêtage'!C246</f>
        <v>818873.37305647216</v>
      </c>
      <c r="G252" s="55">
        <f t="shared" si="3"/>
        <v>996777.07805647212</v>
      </c>
    </row>
    <row r="253" spans="1:7" x14ac:dyDescent="0.25">
      <c r="A253" s="49">
        <f>'A) Base RI'!A249</f>
        <v>5817</v>
      </c>
      <c r="B253" s="293" t="str">
        <f>'A) Base RI'!B249</f>
        <v>Grandcour</v>
      </c>
      <c r="C253" s="10">
        <f>'A) Base RI'!AO249</f>
        <v>967</v>
      </c>
      <c r="D253" s="425">
        <f>'C) Prél. conj.'!H247</f>
        <v>27296.91</v>
      </c>
      <c r="E253" s="10">
        <f>'D) Ecrêtage'!M247</f>
        <v>0</v>
      </c>
      <c r="F253" s="425">
        <f>$F$10*'D) Ecrêtage'!C247</f>
        <v>294642.88309863338</v>
      </c>
      <c r="G253" s="55">
        <f t="shared" si="3"/>
        <v>321939.79309863335</v>
      </c>
    </row>
    <row r="254" spans="1:7" x14ac:dyDescent="0.25">
      <c r="A254" s="49">
        <f>'A) Base RI'!A250</f>
        <v>5819</v>
      </c>
      <c r="B254" s="293" t="str">
        <f>'A) Base RI'!B250</f>
        <v>Henniez</v>
      </c>
      <c r="C254" s="10">
        <f>'A) Base RI'!AO250</f>
        <v>396</v>
      </c>
      <c r="D254" s="425">
        <f>'C) Prél. conj.'!H248</f>
        <v>20856.859999999997</v>
      </c>
      <c r="E254" s="10">
        <f>'D) Ecrêtage'!M248</f>
        <v>0</v>
      </c>
      <c r="F254" s="425">
        <f>$F$10*'D) Ecrêtage'!C248</f>
        <v>155149.08049148921</v>
      </c>
      <c r="G254" s="55">
        <f t="shared" si="3"/>
        <v>176005.94049148919</v>
      </c>
    </row>
    <row r="255" spans="1:7" x14ac:dyDescent="0.25">
      <c r="A255" s="49">
        <f>'A) Base RI'!A251</f>
        <v>5821</v>
      </c>
      <c r="B255" s="293" t="str">
        <f>'A) Base RI'!B251</f>
        <v>Missy</v>
      </c>
      <c r="C255" s="10">
        <f>'A) Base RI'!AO251</f>
        <v>368</v>
      </c>
      <c r="D255" s="425">
        <f>'C) Prél. conj.'!H249</f>
        <v>16020.150000000001</v>
      </c>
      <c r="E255" s="10">
        <f>'D) Ecrêtage'!M249</f>
        <v>0</v>
      </c>
      <c r="F255" s="425">
        <f>$F$10*'D) Ecrêtage'!C249</f>
        <v>106507.16796539788</v>
      </c>
      <c r="G255" s="55">
        <f t="shared" si="3"/>
        <v>122527.31796539787</v>
      </c>
    </row>
    <row r="256" spans="1:7" x14ac:dyDescent="0.25">
      <c r="A256" s="49">
        <f>'A) Base RI'!A252</f>
        <v>5822</v>
      </c>
      <c r="B256" s="293" t="str">
        <f>'A) Base RI'!B252</f>
        <v>Payerne</v>
      </c>
      <c r="C256" s="10">
        <f>'A) Base RI'!AO252</f>
        <v>10108</v>
      </c>
      <c r="D256" s="425">
        <f>'C) Prél. conj.'!H250</f>
        <v>826377.6</v>
      </c>
      <c r="E256" s="10">
        <f>'D) Ecrêtage'!M250</f>
        <v>0</v>
      </c>
      <c r="F256" s="425">
        <f>$F$10*'D) Ecrêtage'!C250</f>
        <v>3217801.8603123575</v>
      </c>
      <c r="G256" s="55">
        <f t="shared" si="3"/>
        <v>4044179.4603123576</v>
      </c>
    </row>
    <row r="257" spans="1:7" x14ac:dyDescent="0.25">
      <c r="A257" s="49">
        <f>'A) Base RI'!A253</f>
        <v>5827</v>
      </c>
      <c r="B257" s="293" t="str">
        <f>'A) Base RI'!B253</f>
        <v>Trey</v>
      </c>
      <c r="C257" s="10">
        <f>'A) Base RI'!AO253</f>
        <v>302</v>
      </c>
      <c r="D257" s="425">
        <f>'C) Prél. conj.'!H251</f>
        <v>12964.724999999999</v>
      </c>
      <c r="E257" s="10">
        <f>'D) Ecrêtage'!M251</f>
        <v>0</v>
      </c>
      <c r="F257" s="425">
        <f>$F$10*'D) Ecrêtage'!C251</f>
        <v>83385.352655068447</v>
      </c>
      <c r="G257" s="55">
        <f t="shared" si="3"/>
        <v>96350.077655068453</v>
      </c>
    </row>
    <row r="258" spans="1:7" x14ac:dyDescent="0.25">
      <c r="A258" s="49">
        <f>'A) Base RI'!A254</f>
        <v>5828</v>
      </c>
      <c r="B258" s="293" t="str">
        <f>'A) Base RI'!B254</f>
        <v>Treytorrens (Payerne)</v>
      </c>
      <c r="C258" s="10">
        <f>'A) Base RI'!AO254</f>
        <v>114</v>
      </c>
      <c r="D258" s="425">
        <f>'C) Prél. conj.'!H252</f>
        <v>3024.55</v>
      </c>
      <c r="E258" s="10">
        <f>'D) Ecrêtage'!M252</f>
        <v>0</v>
      </c>
      <c r="F258" s="425">
        <f>$F$10*'D) Ecrêtage'!C252</f>
        <v>30959.094821145682</v>
      </c>
      <c r="G258" s="55">
        <f t="shared" si="3"/>
        <v>33983.644821145681</v>
      </c>
    </row>
    <row r="259" spans="1:7" x14ac:dyDescent="0.25">
      <c r="A259" s="49">
        <f>'A) Base RI'!A255</f>
        <v>5830</v>
      </c>
      <c r="B259" s="293" t="str">
        <f>'A) Base RI'!B255</f>
        <v>Villarzel</v>
      </c>
      <c r="C259" s="10">
        <f>'A) Base RI'!AO255</f>
        <v>477</v>
      </c>
      <c r="D259" s="425">
        <f>'C) Prél. conj.'!H253</f>
        <v>40886.775000000001</v>
      </c>
      <c r="E259" s="10">
        <f>'D) Ecrêtage'!M253</f>
        <v>0</v>
      </c>
      <c r="F259" s="425">
        <f>$F$10*'D) Ecrêtage'!C253</f>
        <v>168714.19918044953</v>
      </c>
      <c r="G259" s="55">
        <f t="shared" si="3"/>
        <v>209600.97418044953</v>
      </c>
    </row>
    <row r="260" spans="1:7" x14ac:dyDescent="0.25">
      <c r="A260" s="49">
        <f>'A) Base RI'!A256</f>
        <v>5831</v>
      </c>
      <c r="B260" s="293" t="str">
        <f>'A) Base RI'!B256</f>
        <v>Valbroye</v>
      </c>
      <c r="C260" s="10">
        <f>'A) Base RI'!AO256</f>
        <v>3373</v>
      </c>
      <c r="D260" s="425">
        <f>'C) Prél. conj.'!H254</f>
        <v>253243.14499999999</v>
      </c>
      <c r="E260" s="10">
        <f>'D) Ecrêtage'!M254</f>
        <v>0</v>
      </c>
      <c r="F260" s="425">
        <f>$F$10*'D) Ecrêtage'!C254</f>
        <v>1133112.4217095203</v>
      </c>
      <c r="G260" s="55">
        <f t="shared" si="3"/>
        <v>1386355.5667095203</v>
      </c>
    </row>
    <row r="261" spans="1:7" x14ac:dyDescent="0.25">
      <c r="A261" s="49">
        <f>'A) Base RI'!A257</f>
        <v>5841</v>
      </c>
      <c r="B261" s="293" t="str">
        <f>'A) Base RI'!B257</f>
        <v>Château-d'Oex</v>
      </c>
      <c r="C261" s="10">
        <f>'A) Base RI'!AO257</f>
        <v>3494</v>
      </c>
      <c r="D261" s="425">
        <f>'C) Prél. conj.'!H255</f>
        <v>815773.91500000004</v>
      </c>
      <c r="E261" s="10">
        <f>'D) Ecrêtage'!M255</f>
        <v>0</v>
      </c>
      <c r="F261" s="425">
        <f>$F$10*'D) Ecrêtage'!C255</f>
        <v>1469997.31401506</v>
      </c>
      <c r="G261" s="55">
        <f t="shared" si="3"/>
        <v>2285771.2290150598</v>
      </c>
    </row>
    <row r="262" spans="1:7" x14ac:dyDescent="0.25">
      <c r="A262" s="49">
        <f>'A) Base RI'!A258</f>
        <v>5842</v>
      </c>
      <c r="B262" s="293" t="str">
        <f>'A) Base RI'!B258</f>
        <v>Rossinière</v>
      </c>
      <c r="C262" s="10">
        <f>'A) Base RI'!AO258</f>
        <v>537</v>
      </c>
      <c r="D262" s="425">
        <f>'C) Prél. conj.'!H256</f>
        <v>36108.525000000001</v>
      </c>
      <c r="E262" s="10">
        <f>'D) Ecrêtage'!M256</f>
        <v>0</v>
      </c>
      <c r="F262" s="425">
        <f>$F$10*'D) Ecrêtage'!C256</f>
        <v>196299.51176677356</v>
      </c>
      <c r="G262" s="55">
        <f t="shared" si="3"/>
        <v>232408.03676677356</v>
      </c>
    </row>
    <row r="263" spans="1:7" x14ac:dyDescent="0.25">
      <c r="A263" s="49">
        <f>'A) Base RI'!A259</f>
        <v>5843</v>
      </c>
      <c r="B263" s="293" t="str">
        <f>'A) Base RI'!B259</f>
        <v>Rougemont</v>
      </c>
      <c r="C263" s="10">
        <f>'A) Base RI'!AO259</f>
        <v>863</v>
      </c>
      <c r="D263" s="425">
        <f>'C) Prél. conj.'!H257</f>
        <v>636815.35</v>
      </c>
      <c r="E263" s="10">
        <f>'D) Ecrêtage'!M257</f>
        <v>1656148.589323964</v>
      </c>
      <c r="F263" s="425">
        <f>$F$10*'D) Ecrêtage'!C257</f>
        <v>1359206.1896444357</v>
      </c>
      <c r="G263" s="55">
        <f t="shared" si="3"/>
        <v>3652170.1289683995</v>
      </c>
    </row>
    <row r="264" spans="1:7" x14ac:dyDescent="0.25">
      <c r="A264" s="49">
        <f>'A) Base RI'!A260</f>
        <v>5851</v>
      </c>
      <c r="B264" s="293" t="str">
        <f>'A) Base RI'!B260</f>
        <v>Allaman</v>
      </c>
      <c r="C264" s="10">
        <f>'A) Base RI'!AO260</f>
        <v>443</v>
      </c>
      <c r="D264" s="425">
        <f>'C) Prél. conj.'!H258</f>
        <v>22219.66</v>
      </c>
      <c r="E264" s="10">
        <f>'D) Ecrêtage'!M258</f>
        <v>35682.878177391241</v>
      </c>
      <c r="F264" s="425">
        <f>$F$10*'D) Ecrêtage'!C258</f>
        <v>328937.59040224028</v>
      </c>
      <c r="G264" s="55">
        <f t="shared" si="3"/>
        <v>386840.12857963151</v>
      </c>
    </row>
    <row r="265" spans="1:7" x14ac:dyDescent="0.25">
      <c r="A265" s="49">
        <f>'A) Base RI'!A261</f>
        <v>5852</v>
      </c>
      <c r="B265" s="293" t="str">
        <f>'A) Base RI'!B261</f>
        <v>Bursinel</v>
      </c>
      <c r="C265" s="10">
        <f>'A) Base RI'!AO261</f>
        <v>491</v>
      </c>
      <c r="D265" s="425">
        <f>'C) Prél. conj.'!H259</f>
        <v>40081.775000000001</v>
      </c>
      <c r="E265" s="10">
        <f>'D) Ecrêtage'!M259</f>
        <v>338346.93857919081</v>
      </c>
      <c r="F265" s="425">
        <f>$F$10*'D) Ecrêtage'!C259</f>
        <v>550698.63687924109</v>
      </c>
      <c r="G265" s="55">
        <f t="shared" si="3"/>
        <v>929127.35045843199</v>
      </c>
    </row>
    <row r="266" spans="1:7" x14ac:dyDescent="0.25">
      <c r="A266" s="49">
        <f>'A) Base RI'!A262</f>
        <v>5853</v>
      </c>
      <c r="B266" s="293" t="str">
        <f>'A) Base RI'!B262</f>
        <v>Bursins</v>
      </c>
      <c r="C266" s="10">
        <f>'A) Base RI'!AO262</f>
        <v>773</v>
      </c>
      <c r="D266" s="425">
        <f>'C) Prél. conj.'!H260</f>
        <v>3583087.6150000002</v>
      </c>
      <c r="E266" s="10">
        <f>'D) Ecrêtage'!M260</f>
        <v>67849.726266438782</v>
      </c>
      <c r="F266" s="425">
        <f>$F$10*'D) Ecrêtage'!C260</f>
        <v>568416.60412904527</v>
      </c>
      <c r="G266" s="55">
        <f t="shared" si="3"/>
        <v>4219353.9453954846</v>
      </c>
    </row>
    <row r="267" spans="1:7" x14ac:dyDescent="0.25">
      <c r="A267" s="49">
        <f>'A) Base RI'!A263</f>
        <v>5854</v>
      </c>
      <c r="B267" s="293" t="str">
        <f>'A) Base RI'!B263</f>
        <v>Burtigny</v>
      </c>
      <c r="C267" s="10">
        <f>'A) Base RI'!AO263</f>
        <v>404</v>
      </c>
      <c r="D267" s="425">
        <f>'C) Prél. conj.'!H261</f>
        <v>60409.045000000006</v>
      </c>
      <c r="E267" s="10">
        <f>'D) Ecrêtage'!M261</f>
        <v>0</v>
      </c>
      <c r="F267" s="425">
        <f>$F$10*'D) Ecrêtage'!C261</f>
        <v>145877.59912156084</v>
      </c>
      <c r="G267" s="55">
        <f t="shared" si="3"/>
        <v>206286.64412156085</v>
      </c>
    </row>
    <row r="268" spans="1:7" x14ac:dyDescent="0.25">
      <c r="A268" s="49">
        <f>'A) Base RI'!A264</f>
        <v>5855</v>
      </c>
      <c r="B268" s="293" t="str">
        <f>'A) Base RI'!B264</f>
        <v>Dully</v>
      </c>
      <c r="C268" s="10">
        <f>'A) Base RI'!AO264</f>
        <v>628</v>
      </c>
      <c r="D268" s="425">
        <f>'C) Prél. conj.'!H262</f>
        <v>270910.51500000001</v>
      </c>
      <c r="E268" s="10">
        <f>'D) Ecrêtage'!M262</f>
        <v>1447952.0492107803</v>
      </c>
      <c r="F268" s="425">
        <f>$F$10*'D) Ecrêtage'!C262</f>
        <v>1327948.5583354</v>
      </c>
      <c r="G268" s="55">
        <f t="shared" ref="G268:G319" si="4">D268+F268+E268</f>
        <v>3046811.1225461802</v>
      </c>
    </row>
    <row r="269" spans="1:7" x14ac:dyDescent="0.25">
      <c r="A269" s="49">
        <f>'A) Base RI'!A265</f>
        <v>5856</v>
      </c>
      <c r="B269" s="293" t="str">
        <f>'A) Base RI'!B265</f>
        <v>Essertines-sur-Rolle</v>
      </c>
      <c r="C269" s="10">
        <f>'A) Base RI'!AO265</f>
        <v>740</v>
      </c>
      <c r="D269" s="425">
        <f>'C) Prél. conj.'!H263</f>
        <v>139839.02499999999</v>
      </c>
      <c r="E269" s="10">
        <f>'D) Ecrêtage'!M263</f>
        <v>846.22014610799351</v>
      </c>
      <c r="F269" s="425">
        <f>$F$10*'D) Ecrêtage'!C263</f>
        <v>483129.07178175269</v>
      </c>
      <c r="G269" s="55">
        <f t="shared" si="4"/>
        <v>623814.31692786061</v>
      </c>
    </row>
    <row r="270" spans="1:7" x14ac:dyDescent="0.25">
      <c r="A270" s="49">
        <f>'A) Base RI'!A266</f>
        <v>5857</v>
      </c>
      <c r="B270" s="293" t="str">
        <f>'A) Base RI'!B266</f>
        <v>Gilly</v>
      </c>
      <c r="C270" s="10">
        <f>'A) Base RI'!AO266</f>
        <v>1428</v>
      </c>
      <c r="D270" s="425">
        <f>'C) Prél. conj.'!H264</f>
        <v>140316.99</v>
      </c>
      <c r="E270" s="10">
        <f>'D) Ecrêtage'!M264</f>
        <v>172052.12466961757</v>
      </c>
      <c r="F270" s="425">
        <f>$F$10*'D) Ecrêtage'!C264</f>
        <v>1111083.6588343256</v>
      </c>
      <c r="G270" s="55">
        <f t="shared" si="4"/>
        <v>1423452.7735039431</v>
      </c>
    </row>
    <row r="271" spans="1:7" x14ac:dyDescent="0.25">
      <c r="A271" s="49">
        <f>'A) Base RI'!A267</f>
        <v>5858</v>
      </c>
      <c r="B271" s="293" t="str">
        <f>'A) Base RI'!B267</f>
        <v>Luins</v>
      </c>
      <c r="C271" s="10">
        <f>'A) Base RI'!AO267</f>
        <v>619</v>
      </c>
      <c r="D271" s="425">
        <f>'C) Prél. conj.'!H265</f>
        <v>58561.964999999997</v>
      </c>
      <c r="E271" s="10">
        <f>'D) Ecrêtage'!M265</f>
        <v>148888.03298060683</v>
      </c>
      <c r="F271" s="425">
        <f>$F$10*'D) Ecrêtage'!C265</f>
        <v>545076.98079285468</v>
      </c>
      <c r="G271" s="55">
        <f t="shared" si="4"/>
        <v>752526.97877346142</v>
      </c>
    </row>
    <row r="272" spans="1:7" x14ac:dyDescent="0.25">
      <c r="A272" s="49">
        <f>'A) Base RI'!A268</f>
        <v>5859</v>
      </c>
      <c r="B272" s="293" t="str">
        <f>'A) Base RI'!B268</f>
        <v>Mont-sur-Rolle</v>
      </c>
      <c r="C272" s="10">
        <f>'A) Base RI'!AO268</f>
        <v>2646</v>
      </c>
      <c r="D272" s="425">
        <f>'C) Prél. conj.'!H266</f>
        <v>361596.13999999996</v>
      </c>
      <c r="E272" s="10">
        <f>'D) Ecrêtage'!M266</f>
        <v>241300.17690004737</v>
      </c>
      <c r="F272" s="425">
        <f>$F$10*'D) Ecrêtage'!C266</f>
        <v>1981478.8859089161</v>
      </c>
      <c r="G272" s="55">
        <f t="shared" si="4"/>
        <v>2584375.2028089636</v>
      </c>
    </row>
    <row r="273" spans="1:7" x14ac:dyDescent="0.25">
      <c r="A273" s="49">
        <f>'A) Base RI'!A269</f>
        <v>5860</v>
      </c>
      <c r="B273" s="293" t="str">
        <f>'A) Base RI'!B269</f>
        <v>Perroy</v>
      </c>
      <c r="C273" s="10">
        <f>'A) Base RI'!AO269</f>
        <v>1518</v>
      </c>
      <c r="D273" s="425">
        <f>'C) Prél. conj.'!H267</f>
        <v>616475.93000000005</v>
      </c>
      <c r="E273" s="10">
        <f>'D) Ecrêtage'!M267</f>
        <v>2608686.7957461202</v>
      </c>
      <c r="F273" s="425">
        <f>$F$10*'D) Ecrêtage'!C267</f>
        <v>2532225.4968361398</v>
      </c>
      <c r="G273" s="55">
        <f t="shared" si="4"/>
        <v>5757388.2225822601</v>
      </c>
    </row>
    <row r="274" spans="1:7" x14ac:dyDescent="0.25">
      <c r="A274" s="49">
        <f>'A) Base RI'!A270</f>
        <v>5861</v>
      </c>
      <c r="B274" s="293" t="str">
        <f>'A) Base RI'!B270</f>
        <v>Rolle</v>
      </c>
      <c r="C274" s="10">
        <f>'A) Base RI'!AO270</f>
        <v>6259</v>
      </c>
      <c r="D274" s="425">
        <f>'C) Prél. conj.'!H268</f>
        <v>1037870.1799999999</v>
      </c>
      <c r="E274" s="10">
        <f>'D) Ecrêtage'!M268</f>
        <v>51796661.934148394</v>
      </c>
      <c r="F274" s="425">
        <f>$F$10*'D) Ecrêtage'!C268</f>
        <v>26222995.767129805</v>
      </c>
      <c r="G274" s="55">
        <f t="shared" si="4"/>
        <v>79057527.881278202</v>
      </c>
    </row>
    <row r="275" spans="1:7" x14ac:dyDescent="0.25">
      <c r="A275" s="49">
        <f>'A) Base RI'!A271</f>
        <v>5862</v>
      </c>
      <c r="B275" s="293" t="str">
        <f>'A) Base RI'!B271</f>
        <v>Tartegnin</v>
      </c>
      <c r="C275" s="10">
        <f>'A) Base RI'!AO271</f>
        <v>236</v>
      </c>
      <c r="D275" s="425">
        <f>'C) Prél. conj.'!H269</f>
        <v>2319.3949999999995</v>
      </c>
      <c r="E275" s="10">
        <f>'D) Ecrêtage'!M269</f>
        <v>0</v>
      </c>
      <c r="F275" s="425">
        <f>$F$10*'D) Ecrêtage'!C269</f>
        <v>109533.57755467926</v>
      </c>
      <c r="G275" s="55">
        <f t="shared" si="4"/>
        <v>111852.97255467926</v>
      </c>
    </row>
    <row r="276" spans="1:7" x14ac:dyDescent="0.25">
      <c r="A276" s="49">
        <f>'A) Base RI'!A272</f>
        <v>5863</v>
      </c>
      <c r="B276" s="293" t="str">
        <f>'A) Base RI'!B272</f>
        <v>Vinzel</v>
      </c>
      <c r="C276" s="10">
        <f>'A) Base RI'!AO272</f>
        <v>385</v>
      </c>
      <c r="D276" s="425">
        <f>'C) Prél. conj.'!H270</f>
        <v>57489.834999999999</v>
      </c>
      <c r="E276" s="10">
        <f>'D) Ecrêtage'!M270</f>
        <v>45386.984351234401</v>
      </c>
      <c r="F276" s="425">
        <f>$F$10*'D) Ecrêtage'!C270</f>
        <v>296732.46977500181</v>
      </c>
      <c r="G276" s="55">
        <f t="shared" si="4"/>
        <v>399609.28912623622</v>
      </c>
    </row>
    <row r="277" spans="1:7" x14ac:dyDescent="0.25">
      <c r="A277" s="49">
        <f>'A) Base RI'!A273</f>
        <v>5871</v>
      </c>
      <c r="B277" s="293" t="str">
        <f>'A) Base RI'!B273</f>
        <v>L'Abbaye</v>
      </c>
      <c r="C277" s="10">
        <f>'A) Base RI'!AO273</f>
        <v>1473</v>
      </c>
      <c r="D277" s="425">
        <f>'C) Prél. conj.'!H271</f>
        <v>360517.23499999999</v>
      </c>
      <c r="E277" s="10">
        <f>'D) Ecrêtage'!M271</f>
        <v>0</v>
      </c>
      <c r="F277" s="425">
        <f>$F$10*'D) Ecrêtage'!C271</f>
        <v>669849.26638380345</v>
      </c>
      <c r="G277" s="55">
        <f t="shared" si="4"/>
        <v>1030366.5013838034</v>
      </c>
    </row>
    <row r="278" spans="1:7" x14ac:dyDescent="0.25">
      <c r="A278" s="49">
        <f>'A) Base RI'!A274</f>
        <v>5872</v>
      </c>
      <c r="B278" s="293" t="str">
        <f>'A) Base RI'!B274</f>
        <v>Le Chenit</v>
      </c>
      <c r="C278" s="10">
        <f>'A) Base RI'!AO274</f>
        <v>4600</v>
      </c>
      <c r="D278" s="425">
        <f>'C) Prél. conj.'!H272</f>
        <v>3807767.54</v>
      </c>
      <c r="E278" s="10">
        <f>'D) Ecrêtage'!M272</f>
        <v>193444.84547158881</v>
      </c>
      <c r="F278" s="425">
        <f>$F$10*'D) Ecrêtage'!C272</f>
        <v>3193331.4464642694</v>
      </c>
      <c r="G278" s="55">
        <f t="shared" si="4"/>
        <v>7194543.8319358584</v>
      </c>
    </row>
    <row r="279" spans="1:7" x14ac:dyDescent="0.25">
      <c r="A279" s="49">
        <f>'A) Base RI'!A275</f>
        <v>5873</v>
      </c>
      <c r="B279" s="293" t="str">
        <f>'A) Base RI'!B275</f>
        <v>Le Lieu</v>
      </c>
      <c r="C279" s="10">
        <f>'A) Base RI'!AO275</f>
        <v>888</v>
      </c>
      <c r="D279" s="425">
        <f>'C) Prél. conj.'!H273</f>
        <v>370204.48499999999</v>
      </c>
      <c r="E279" s="10">
        <f>'D) Ecrêtage'!M273</f>
        <v>0</v>
      </c>
      <c r="F279" s="425">
        <f>$F$10*'D) Ecrêtage'!C273</f>
        <v>411816.50397275831</v>
      </c>
      <c r="G279" s="55">
        <f t="shared" si="4"/>
        <v>782020.98897275829</v>
      </c>
    </row>
    <row r="280" spans="1:7" x14ac:dyDescent="0.25">
      <c r="A280" s="49">
        <f>'A) Base RI'!A276</f>
        <v>5881</v>
      </c>
      <c r="B280" s="293" t="str">
        <f>'A) Base RI'!B276</f>
        <v>Blonay</v>
      </c>
      <c r="C280" s="10">
        <f>'A) Base RI'!AO276</f>
        <v>6215</v>
      </c>
      <c r="D280" s="425">
        <f>'C) Prél. conj.'!H274</f>
        <v>1843812.6649999998</v>
      </c>
      <c r="E280" s="10">
        <f>'D) Ecrêtage'!M274</f>
        <v>902381.91833169735</v>
      </c>
      <c r="F280" s="425">
        <f>$F$10*'D) Ecrêtage'!C274</f>
        <v>4914490.9395639962</v>
      </c>
      <c r="G280" s="55">
        <f t="shared" si="4"/>
        <v>7660685.5228956938</v>
      </c>
    </row>
    <row r="281" spans="1:7" x14ac:dyDescent="0.25">
      <c r="A281" s="49">
        <f>'A) Base RI'!A277</f>
        <v>5882</v>
      </c>
      <c r="B281" s="293" t="str">
        <f>'A) Base RI'!B277</f>
        <v>Chardonne</v>
      </c>
      <c r="C281" s="10">
        <f>'A) Base RI'!AO277</f>
        <v>3093</v>
      </c>
      <c r="D281" s="425">
        <f>'C) Prél. conj.'!H275</f>
        <v>621322.80999999994</v>
      </c>
      <c r="E281" s="10">
        <f>'D) Ecrêtage'!M275</f>
        <v>410039.98297874111</v>
      </c>
      <c r="F281" s="425">
        <f>$F$10*'D) Ecrêtage'!C275</f>
        <v>2422059.6975897183</v>
      </c>
      <c r="G281" s="55">
        <f t="shared" si="4"/>
        <v>3453422.4905684595</v>
      </c>
    </row>
    <row r="282" spans="1:7" x14ac:dyDescent="0.25">
      <c r="A282" s="49">
        <f>'A) Base RI'!A278</f>
        <v>5883</v>
      </c>
      <c r="B282" s="293" t="str">
        <f>'A) Base RI'!B278</f>
        <v>Corseaux</v>
      </c>
      <c r="C282" s="10">
        <f>'A) Base RI'!AO278</f>
        <v>2311</v>
      </c>
      <c r="D282" s="425">
        <f>'C) Prél. conj.'!H276</f>
        <v>427975.7</v>
      </c>
      <c r="E282" s="10">
        <f>'D) Ecrêtage'!M276</f>
        <v>1001246.9763776829</v>
      </c>
      <c r="F282" s="425">
        <f>$F$10*'D) Ecrêtage'!C276</f>
        <v>2271364.8398151319</v>
      </c>
      <c r="G282" s="55">
        <f t="shared" si="4"/>
        <v>3700587.5161928148</v>
      </c>
    </row>
    <row r="283" spans="1:7" x14ac:dyDescent="0.25">
      <c r="A283" s="49">
        <f>'A) Base RI'!A279</f>
        <v>5884</v>
      </c>
      <c r="B283" s="293" t="str">
        <f>'A) Base RI'!B279</f>
        <v>Corsier-sur-Vevey</v>
      </c>
      <c r="C283" s="10">
        <f>'A) Base RI'!AO279</f>
        <v>3420</v>
      </c>
      <c r="D283" s="425">
        <f>'C) Prél. conj.'!H277</f>
        <v>404968.39999999997</v>
      </c>
      <c r="E283" s="10">
        <f>'D) Ecrêtage'!M277</f>
        <v>0</v>
      </c>
      <c r="F283" s="425">
        <f>$F$10*'D) Ecrêtage'!C277</f>
        <v>1652800.6813184142</v>
      </c>
      <c r="G283" s="55">
        <f t="shared" si="4"/>
        <v>2057769.0813184141</v>
      </c>
    </row>
    <row r="284" spans="1:7" x14ac:dyDescent="0.25">
      <c r="A284" s="49">
        <f>'A) Base RI'!A280</f>
        <v>5885</v>
      </c>
      <c r="B284" s="293" t="str">
        <f>'A) Base RI'!B280</f>
        <v>Jongny</v>
      </c>
      <c r="C284" s="10">
        <f>'A) Base RI'!AO280</f>
        <v>1670</v>
      </c>
      <c r="D284" s="425">
        <f>'C) Prél. conj.'!H278</f>
        <v>339515.04500000004</v>
      </c>
      <c r="E284" s="10">
        <f>'D) Ecrêtage'!M278</f>
        <v>64666.919757227013</v>
      </c>
      <c r="F284" s="425">
        <f>$F$10*'D) Ecrêtage'!C278</f>
        <v>1151301.3753903557</v>
      </c>
      <c r="G284" s="55">
        <f t="shared" si="4"/>
        <v>1555483.3401475828</v>
      </c>
    </row>
    <row r="285" spans="1:7" x14ac:dyDescent="0.25">
      <c r="A285" s="49">
        <f>'A) Base RI'!A281</f>
        <v>5886</v>
      </c>
      <c r="B285" s="293" t="str">
        <f>'A) Base RI'!B281</f>
        <v>Montreux</v>
      </c>
      <c r="C285" s="10">
        <f>'A) Base RI'!AO281</f>
        <v>26180</v>
      </c>
      <c r="D285" s="425">
        <f>'C) Prél. conj.'!H279</f>
        <v>11046221.809999999</v>
      </c>
      <c r="E285" s="10">
        <f>'D) Ecrêtage'!M279</f>
        <v>0</v>
      </c>
      <c r="F285" s="425">
        <f>$F$10*'D) Ecrêtage'!C279</f>
        <v>14841908.417655058</v>
      </c>
      <c r="G285" s="55">
        <f t="shared" si="4"/>
        <v>25888130.227655057</v>
      </c>
    </row>
    <row r="286" spans="1:7" x14ac:dyDescent="0.25">
      <c r="A286" s="49">
        <f>'A) Base RI'!A282</f>
        <v>5888</v>
      </c>
      <c r="B286" s="293" t="str">
        <f>'A) Base RI'!B282</f>
        <v>Saint-Légier-La Chiésaz</v>
      </c>
      <c r="C286" s="10">
        <f>'A) Base RI'!AO282</f>
        <v>5522</v>
      </c>
      <c r="D286" s="425">
        <f>'C) Prél. conj.'!H280</f>
        <v>1041998.5000000001</v>
      </c>
      <c r="E286" s="10">
        <f>'D) Ecrêtage'!M280</f>
        <v>859695.20651152614</v>
      </c>
      <c r="F286" s="425">
        <f>$F$10*'D) Ecrêtage'!C280</f>
        <v>4404642.2040486922</v>
      </c>
      <c r="G286" s="55">
        <f t="shared" si="4"/>
        <v>6306335.9105602186</v>
      </c>
    </row>
    <row r="287" spans="1:7" x14ac:dyDescent="0.25">
      <c r="A287" s="49">
        <f>'A) Base RI'!A283</f>
        <v>5889</v>
      </c>
      <c r="B287" s="293" t="str">
        <f>'A) Base RI'!B283</f>
        <v>La Tour-de-Peilz</v>
      </c>
      <c r="C287" s="10">
        <f>'A) Base RI'!AO283</f>
        <v>12088</v>
      </c>
      <c r="D287" s="425">
        <f>'C) Prél. conj.'!H281</f>
        <v>1704053.2350000001</v>
      </c>
      <c r="E287" s="10">
        <f>'D) Ecrêtage'!M281</f>
        <v>1198687.0755115377</v>
      </c>
      <c r="F287" s="425">
        <f>$F$10*'D) Ecrêtage'!C281</f>
        <v>9144837.7565017492</v>
      </c>
      <c r="G287" s="55">
        <f t="shared" si="4"/>
        <v>12047578.067013286</v>
      </c>
    </row>
    <row r="288" spans="1:7" x14ac:dyDescent="0.25">
      <c r="A288" s="49">
        <f>'A) Base RI'!A284</f>
        <v>5890</v>
      </c>
      <c r="B288" s="293" t="str">
        <f>'A) Base RI'!B284</f>
        <v>Vevey</v>
      </c>
      <c r="C288" s="10">
        <f>'A) Base RI'!AO284</f>
        <v>19780</v>
      </c>
      <c r="D288" s="425">
        <f>'C) Prél. conj.'!H282</f>
        <v>3391345.13</v>
      </c>
      <c r="E288" s="10">
        <f>'D) Ecrêtage'!M282</f>
        <v>0</v>
      </c>
      <c r="F288" s="425">
        <f>$F$10*'D) Ecrêtage'!C282</f>
        <v>11670131.405292029</v>
      </c>
      <c r="G288" s="55">
        <f t="shared" si="4"/>
        <v>15061476.535292029</v>
      </c>
    </row>
    <row r="289" spans="1:7" x14ac:dyDescent="0.25">
      <c r="A289" s="49">
        <f>'A) Base RI'!A285</f>
        <v>5891</v>
      </c>
      <c r="B289" s="293" t="str">
        <f>'A) Base RI'!B285</f>
        <v>Veytaux</v>
      </c>
      <c r="C289" s="10">
        <f>'A) Base RI'!AO285</f>
        <v>956</v>
      </c>
      <c r="D289" s="425">
        <f>'C) Prél. conj.'!H283</f>
        <v>157377.05000000002</v>
      </c>
      <c r="E289" s="10">
        <f>'D) Ecrêtage'!M283</f>
        <v>0</v>
      </c>
      <c r="F289" s="425">
        <f>$F$10*'D) Ecrêtage'!C283</f>
        <v>594587.75772487454</v>
      </c>
      <c r="G289" s="55">
        <f t="shared" si="4"/>
        <v>751964.80772487458</v>
      </c>
    </row>
    <row r="290" spans="1:7" x14ac:dyDescent="0.25">
      <c r="A290" s="49">
        <f>'A) Base RI'!A286</f>
        <v>5902</v>
      </c>
      <c r="B290" s="293" t="str">
        <f>'A) Base RI'!B286</f>
        <v>Belmont-sur-Yverdon</v>
      </c>
      <c r="C290" s="10">
        <f>'A) Base RI'!AO286</f>
        <v>396</v>
      </c>
      <c r="D290" s="425">
        <f>'C) Prél. conj.'!H284</f>
        <v>84270.15</v>
      </c>
      <c r="E290" s="10">
        <f>'D) Ecrêtage'!M284</f>
        <v>0</v>
      </c>
      <c r="F290" s="425">
        <f>$F$10*'D) Ecrêtage'!C284</f>
        <v>158949.91573730315</v>
      </c>
      <c r="G290" s="55">
        <f t="shared" si="4"/>
        <v>243220.06573730314</v>
      </c>
    </row>
    <row r="291" spans="1:7" x14ac:dyDescent="0.25">
      <c r="A291" s="49">
        <f>'A) Base RI'!A287</f>
        <v>5903</v>
      </c>
      <c r="B291" s="293" t="str">
        <f>'A) Base RI'!B287</f>
        <v>Bioley-Magnoux</v>
      </c>
      <c r="C291" s="10">
        <f>'A) Base RI'!AO287</f>
        <v>230</v>
      </c>
      <c r="D291" s="425">
        <f>'C) Prél. conj.'!H285</f>
        <v>10949.48</v>
      </c>
      <c r="E291" s="10">
        <f>'D) Ecrêtage'!M285</f>
        <v>0</v>
      </c>
      <c r="F291" s="425">
        <f>$F$10*'D) Ecrêtage'!C285</f>
        <v>67875.936598497894</v>
      </c>
      <c r="G291" s="55">
        <f t="shared" si="4"/>
        <v>78825.41659849789</v>
      </c>
    </row>
    <row r="292" spans="1:7" x14ac:dyDescent="0.25">
      <c r="A292" s="49">
        <f>'A) Base RI'!A288</f>
        <v>5904</v>
      </c>
      <c r="B292" s="293" t="str">
        <f>'A) Base RI'!B288</f>
        <v>Chamblon</v>
      </c>
      <c r="C292" s="10">
        <f>'A) Base RI'!AO288</f>
        <v>559</v>
      </c>
      <c r="D292" s="425">
        <f>'C) Prél. conj.'!H286</f>
        <v>46458.23</v>
      </c>
      <c r="E292" s="10">
        <f>'D) Ecrêtage'!M286</f>
        <v>0</v>
      </c>
      <c r="F292" s="425">
        <f>$F$10*'D) Ecrêtage'!C286</f>
        <v>293490.4924191836</v>
      </c>
      <c r="G292" s="55">
        <f t="shared" si="4"/>
        <v>339948.72241918358</v>
      </c>
    </row>
    <row r="293" spans="1:7" x14ac:dyDescent="0.25">
      <c r="A293" s="49">
        <f>'A) Base RI'!A289</f>
        <v>5905</v>
      </c>
      <c r="B293" s="293" t="str">
        <f>'A) Base RI'!B289</f>
        <v>Champvent</v>
      </c>
      <c r="C293" s="10">
        <f>'A) Base RI'!AO289</f>
        <v>696</v>
      </c>
      <c r="D293" s="425">
        <f>'C) Prél. conj.'!H287</f>
        <v>71518.415000000008</v>
      </c>
      <c r="E293" s="10">
        <f>'D) Ecrêtage'!M287</f>
        <v>0</v>
      </c>
      <c r="F293" s="425">
        <f>$F$10*'D) Ecrêtage'!C287</f>
        <v>292517.96772187011</v>
      </c>
      <c r="G293" s="55">
        <f t="shared" si="4"/>
        <v>364036.38272187009</v>
      </c>
    </row>
    <row r="294" spans="1:7" x14ac:dyDescent="0.25">
      <c r="A294" s="49">
        <f>'A) Base RI'!A290</f>
        <v>5907</v>
      </c>
      <c r="B294" s="293" t="str">
        <f>'A) Base RI'!B290</f>
        <v>Chavannes-le-Chêne</v>
      </c>
      <c r="C294" s="10">
        <f>'A) Base RI'!AO290</f>
        <v>324</v>
      </c>
      <c r="D294" s="425">
        <f>'C) Prél. conj.'!H288</f>
        <v>18148.755000000001</v>
      </c>
      <c r="E294" s="10">
        <f>'D) Ecrêtage'!M288</f>
        <v>0</v>
      </c>
      <c r="F294" s="425">
        <f>$F$10*'D) Ecrêtage'!C288</f>
        <v>133812.12784855193</v>
      </c>
      <c r="G294" s="55">
        <f t="shared" si="4"/>
        <v>151960.88284855193</v>
      </c>
    </row>
    <row r="295" spans="1:7" x14ac:dyDescent="0.25">
      <c r="A295" s="49">
        <f>'A) Base RI'!A291</f>
        <v>5908</v>
      </c>
      <c r="B295" s="293" t="str">
        <f>'A) Base RI'!B291</f>
        <v>Chêne-Pâquier</v>
      </c>
      <c r="C295" s="10">
        <f>'A) Base RI'!AO291</f>
        <v>144</v>
      </c>
      <c r="D295" s="425">
        <f>'C) Prél. conj.'!H289</f>
        <v>5721.6049999999996</v>
      </c>
      <c r="E295" s="10">
        <f>'D) Ecrêtage'!M289</f>
        <v>0</v>
      </c>
      <c r="F295" s="425">
        <f>$F$10*'D) Ecrêtage'!C289</f>
        <v>87969.620927119526</v>
      </c>
      <c r="G295" s="55">
        <f t="shared" si="4"/>
        <v>93691.225927119522</v>
      </c>
    </row>
    <row r="296" spans="1:7" x14ac:dyDescent="0.25">
      <c r="A296" s="49">
        <f>'A) Base RI'!A292</f>
        <v>5909</v>
      </c>
      <c r="B296" s="293" t="str">
        <f>'A) Base RI'!B292</f>
        <v>Cheseaux-Noréaz</v>
      </c>
      <c r="C296" s="10">
        <f>'A) Base RI'!AO292</f>
        <v>741</v>
      </c>
      <c r="D296" s="425">
        <f>'C) Prél. conj.'!H290</f>
        <v>48061.375</v>
      </c>
      <c r="E296" s="10">
        <f>'D) Ecrêtage'!M290</f>
        <v>47743.134057830241</v>
      </c>
      <c r="F296" s="425">
        <f>$F$10*'D) Ecrêtage'!C290</f>
        <v>531121.39179043076</v>
      </c>
      <c r="G296" s="55">
        <f t="shared" si="4"/>
        <v>626925.90084826096</v>
      </c>
    </row>
    <row r="297" spans="1:7" x14ac:dyDescent="0.25">
      <c r="A297" s="49">
        <f>'A) Base RI'!A293</f>
        <v>5910</v>
      </c>
      <c r="B297" s="293" t="str">
        <f>'A) Base RI'!B293</f>
        <v>Cronay</v>
      </c>
      <c r="C297" s="10">
        <f>'A) Base RI'!AO293</f>
        <v>393</v>
      </c>
      <c r="D297" s="425">
        <f>'C) Prél. conj.'!H291</f>
        <v>-5153.1250000000018</v>
      </c>
      <c r="E297" s="10">
        <f>'D) Ecrêtage'!M291</f>
        <v>0</v>
      </c>
      <c r="F297" s="425">
        <f>$F$10*'D) Ecrêtage'!C291</f>
        <v>134961.47115814817</v>
      </c>
      <c r="G297" s="55">
        <f t="shared" si="4"/>
        <v>129808.34615814817</v>
      </c>
    </row>
    <row r="298" spans="1:7" x14ac:dyDescent="0.25">
      <c r="A298" s="49">
        <f>'A) Base RI'!A294</f>
        <v>5911</v>
      </c>
      <c r="B298" s="293" t="str">
        <f>'A) Base RI'!B294</f>
        <v>Cuarny</v>
      </c>
      <c r="C298" s="10">
        <f>'A) Base RI'!AO294</f>
        <v>234</v>
      </c>
      <c r="D298" s="425">
        <f>'C) Prél. conj.'!H292</f>
        <v>1000.8</v>
      </c>
      <c r="E298" s="10">
        <f>'D) Ecrêtage'!M292</f>
        <v>0</v>
      </c>
      <c r="F298" s="425">
        <f>$F$10*'D) Ecrêtage'!C292</f>
        <v>93883.120439870254</v>
      </c>
      <c r="G298" s="55">
        <f t="shared" si="4"/>
        <v>94883.920439870257</v>
      </c>
    </row>
    <row r="299" spans="1:7" x14ac:dyDescent="0.25">
      <c r="A299" s="49">
        <f>'A) Base RI'!A295</f>
        <v>5912</v>
      </c>
      <c r="B299" s="293" t="str">
        <f>'A) Base RI'!B295</f>
        <v>Démoret</v>
      </c>
      <c r="C299" s="10">
        <f>'A) Base RI'!AO295</f>
        <v>158</v>
      </c>
      <c r="D299" s="425">
        <f>'C) Prél. conj.'!H293</f>
        <v>11378.93</v>
      </c>
      <c r="E299" s="10">
        <f>'D) Ecrêtage'!M293</f>
        <v>0</v>
      </c>
      <c r="F299" s="425">
        <f>$F$10*'D) Ecrêtage'!C293</f>
        <v>54919.775159534242</v>
      </c>
      <c r="G299" s="55">
        <f t="shared" si="4"/>
        <v>66298.705159534235</v>
      </c>
    </row>
    <row r="300" spans="1:7" x14ac:dyDescent="0.25">
      <c r="A300" s="49">
        <f>'A) Base RI'!A296</f>
        <v>5913</v>
      </c>
      <c r="B300" s="293" t="str">
        <f>'A) Base RI'!B296</f>
        <v>Donneloye</v>
      </c>
      <c r="C300" s="10">
        <f>'A) Base RI'!AO296</f>
        <v>829</v>
      </c>
      <c r="D300" s="425">
        <f>'C) Prél. conj.'!H294</f>
        <v>46062.42</v>
      </c>
      <c r="E300" s="10">
        <f>'D) Ecrêtage'!M294</f>
        <v>0</v>
      </c>
      <c r="F300" s="425">
        <f>$F$10*'D) Ecrêtage'!C294</f>
        <v>268960.03432241915</v>
      </c>
      <c r="G300" s="55">
        <f t="shared" si="4"/>
        <v>315022.45432241913</v>
      </c>
    </row>
    <row r="301" spans="1:7" x14ac:dyDescent="0.25">
      <c r="A301" s="49">
        <f>'A) Base RI'!A297</f>
        <v>5914</v>
      </c>
      <c r="B301" s="293" t="str">
        <f>'A) Base RI'!B297</f>
        <v>Ependes</v>
      </c>
      <c r="C301" s="10">
        <f>'A) Base RI'!AO297</f>
        <v>388</v>
      </c>
      <c r="D301" s="425">
        <f>'C) Prél. conj.'!H295</f>
        <v>24286.774999999998</v>
      </c>
      <c r="E301" s="10">
        <f>'D) Ecrêtage'!M295</f>
        <v>0</v>
      </c>
      <c r="F301" s="425">
        <f>$F$10*'D) Ecrêtage'!C295</f>
        <v>144243.08573397095</v>
      </c>
      <c r="G301" s="55">
        <f t="shared" si="4"/>
        <v>168529.86073397094</v>
      </c>
    </row>
    <row r="302" spans="1:7" x14ac:dyDescent="0.25">
      <c r="A302" s="49">
        <f>'A) Base RI'!A298</f>
        <v>5919</v>
      </c>
      <c r="B302" s="293" t="str">
        <f>'A) Base RI'!B298</f>
        <v>Mathod</v>
      </c>
      <c r="C302" s="10">
        <f>'A) Base RI'!AO298</f>
        <v>651</v>
      </c>
      <c r="D302" s="425">
        <f>'C) Prél. conj.'!H296</f>
        <v>136520.30499999999</v>
      </c>
      <c r="E302" s="10">
        <f>'D) Ecrêtage'!M296</f>
        <v>0</v>
      </c>
      <c r="F302" s="425">
        <f>$F$10*'D) Ecrêtage'!C296</f>
        <v>291752.6299987926</v>
      </c>
      <c r="G302" s="55">
        <f t="shared" si="4"/>
        <v>428272.9349987926</v>
      </c>
    </row>
    <row r="303" spans="1:7" x14ac:dyDescent="0.25">
      <c r="A303" s="49">
        <f>'A) Base RI'!A299</f>
        <v>5921</v>
      </c>
      <c r="B303" s="293" t="str">
        <f>'A) Base RI'!B299</f>
        <v>Molondin</v>
      </c>
      <c r="C303" s="10">
        <f>'A) Base RI'!AO299</f>
        <v>252</v>
      </c>
      <c r="D303" s="425">
        <f>'C) Prél. conj.'!H297</f>
        <v>11946.31</v>
      </c>
      <c r="E303" s="10">
        <f>'D) Ecrêtage'!M297</f>
        <v>0</v>
      </c>
      <c r="F303" s="425">
        <f>$F$10*'D) Ecrêtage'!C297</f>
        <v>76786.964198683243</v>
      </c>
      <c r="G303" s="55">
        <f t="shared" si="4"/>
        <v>88733.274198683241</v>
      </c>
    </row>
    <row r="304" spans="1:7" x14ac:dyDescent="0.25">
      <c r="A304" s="49">
        <f>'A) Base RI'!A300</f>
        <v>5922</v>
      </c>
      <c r="B304" s="293" t="str">
        <f>'A) Base RI'!B300</f>
        <v>Montagny-près-Yverdon</v>
      </c>
      <c r="C304" s="10">
        <f>'A) Base RI'!AO300</f>
        <v>737</v>
      </c>
      <c r="D304" s="425">
        <f>'C) Prél. conj.'!H298</f>
        <v>145360.26</v>
      </c>
      <c r="E304" s="10">
        <f>'D) Ecrêtage'!M298</f>
        <v>0</v>
      </c>
      <c r="F304" s="425">
        <f>$F$10*'D) Ecrêtage'!C298</f>
        <v>450859.94244398799</v>
      </c>
      <c r="G304" s="55">
        <f t="shared" si="4"/>
        <v>596220.20244398806</v>
      </c>
    </row>
    <row r="305" spans="1:7" x14ac:dyDescent="0.25">
      <c r="A305" s="49">
        <f>'A) Base RI'!A301</f>
        <v>5923</v>
      </c>
      <c r="B305" s="293" t="str">
        <f>'A) Base RI'!B301</f>
        <v>Oppens</v>
      </c>
      <c r="C305" s="10">
        <f>'A) Base RI'!AO301</f>
        <v>201</v>
      </c>
      <c r="D305" s="425">
        <f>'C) Prél. conj.'!H299</f>
        <v>16091.134999999998</v>
      </c>
      <c r="E305" s="10">
        <f>'D) Ecrêtage'!M299</f>
        <v>0</v>
      </c>
      <c r="F305" s="425">
        <f>$F$10*'D) Ecrêtage'!C299</f>
        <v>64927.068889052869</v>
      </c>
      <c r="G305" s="55">
        <f t="shared" si="4"/>
        <v>81018.203889052864</v>
      </c>
    </row>
    <row r="306" spans="1:7" x14ac:dyDescent="0.25">
      <c r="A306" s="49">
        <f>'A) Base RI'!A302</f>
        <v>5924</v>
      </c>
      <c r="B306" s="293" t="str">
        <f>'A) Base RI'!B302</f>
        <v>Orges</v>
      </c>
      <c r="C306" s="10">
        <f>'A) Base RI'!AO302</f>
        <v>343</v>
      </c>
      <c r="D306" s="425">
        <f>'C) Prél. conj.'!H300</f>
        <v>89457.555000000008</v>
      </c>
      <c r="E306" s="10">
        <f>'D) Ecrêtage'!M300</f>
        <v>0</v>
      </c>
      <c r="F306" s="425">
        <f>$F$10*'D) Ecrêtage'!C300</f>
        <v>169451.63083899728</v>
      </c>
      <c r="G306" s="55">
        <f t="shared" si="4"/>
        <v>258909.18583899731</v>
      </c>
    </row>
    <row r="307" spans="1:7" x14ac:dyDescent="0.25">
      <c r="A307" s="49">
        <f>'A) Base RI'!A303</f>
        <v>5925</v>
      </c>
      <c r="B307" s="293" t="str">
        <f>'A) Base RI'!B303</f>
        <v>Orzens</v>
      </c>
      <c r="C307" s="10">
        <f>'A) Base RI'!AO303</f>
        <v>201</v>
      </c>
      <c r="D307" s="425">
        <f>'C) Prél. conj.'!H301</f>
        <v>68482.945000000007</v>
      </c>
      <c r="E307" s="10">
        <f>'D) Ecrêtage'!M301</f>
        <v>0</v>
      </c>
      <c r="F307" s="425">
        <f>$F$10*'D) Ecrêtage'!C301</f>
        <v>79540.961109068114</v>
      </c>
      <c r="G307" s="55">
        <f t="shared" si="4"/>
        <v>148023.90610906814</v>
      </c>
    </row>
    <row r="308" spans="1:7" x14ac:dyDescent="0.25">
      <c r="A308" s="49">
        <f>'A) Base RI'!A304</f>
        <v>5926</v>
      </c>
      <c r="B308" s="293" t="str">
        <f>'A) Base RI'!B304</f>
        <v>Pomy</v>
      </c>
      <c r="C308" s="10">
        <f>'A) Base RI'!AO304</f>
        <v>803</v>
      </c>
      <c r="D308" s="425">
        <f>'C) Prél. conj.'!H302</f>
        <v>88944.830000000016</v>
      </c>
      <c r="E308" s="10">
        <f>'D) Ecrêtage'!M302</f>
        <v>0</v>
      </c>
      <c r="F308" s="425">
        <f>$F$10*'D) Ecrêtage'!C302</f>
        <v>372299.17282967578</v>
      </c>
      <c r="G308" s="55">
        <f t="shared" si="4"/>
        <v>461244.0028296758</v>
      </c>
    </row>
    <row r="309" spans="1:7" x14ac:dyDescent="0.25">
      <c r="A309" s="49">
        <f>'A) Base RI'!A305</f>
        <v>5928</v>
      </c>
      <c r="B309" s="293" t="str">
        <f>'A) Base RI'!B305</f>
        <v>Rovray</v>
      </c>
      <c r="C309" s="10">
        <f>'A) Base RI'!AO305</f>
        <v>204</v>
      </c>
      <c r="D309" s="425">
        <f>'C) Prél. conj.'!H303</f>
        <v>3988.0950000000003</v>
      </c>
      <c r="E309" s="10">
        <f>'D) Ecrêtage'!M303</f>
        <v>0</v>
      </c>
      <c r="F309" s="425">
        <f>$F$10*'D) Ecrêtage'!C303</f>
        <v>75265.166790546296</v>
      </c>
      <c r="G309" s="55">
        <f t="shared" si="4"/>
        <v>79253.261790546298</v>
      </c>
    </row>
    <row r="310" spans="1:7" x14ac:dyDescent="0.25">
      <c r="A310" s="49">
        <f>'A) Base RI'!A306</f>
        <v>5929</v>
      </c>
      <c r="B310" s="293" t="str">
        <f>'A) Base RI'!B306</f>
        <v>Suchy</v>
      </c>
      <c r="C310" s="10">
        <f>'A) Base RI'!AO306</f>
        <v>656</v>
      </c>
      <c r="D310" s="425">
        <f>'C) Prél. conj.'!H304</f>
        <v>48014.474999999999</v>
      </c>
      <c r="E310" s="10">
        <f>'D) Ecrêtage'!M304</f>
        <v>0</v>
      </c>
      <c r="F310" s="425">
        <f>$F$10*'D) Ecrêtage'!C304</f>
        <v>268237.26391836518</v>
      </c>
      <c r="G310" s="55">
        <f t="shared" si="4"/>
        <v>316251.73891836515</v>
      </c>
    </row>
    <row r="311" spans="1:7" x14ac:dyDescent="0.25">
      <c r="A311" s="49">
        <f>'A) Base RI'!A307</f>
        <v>5930</v>
      </c>
      <c r="B311" s="293" t="str">
        <f>'A) Base RI'!B307</f>
        <v>Suscévaz</v>
      </c>
      <c r="C311" s="10">
        <f>'A) Base RI'!AO307</f>
        <v>204</v>
      </c>
      <c r="D311" s="425">
        <f>'C) Prél. conj.'!H305</f>
        <v>2519.8450000000003</v>
      </c>
      <c r="E311" s="10">
        <f>'D) Ecrêtage'!M305</f>
        <v>0</v>
      </c>
      <c r="F311" s="425">
        <f>$F$10*'D) Ecrêtage'!C305</f>
        <v>78048.663313522149</v>
      </c>
      <c r="G311" s="55">
        <f t="shared" si="4"/>
        <v>80568.50831352215</v>
      </c>
    </row>
    <row r="312" spans="1:7" x14ac:dyDescent="0.25">
      <c r="A312" s="49">
        <f>'A) Base RI'!A308</f>
        <v>5931</v>
      </c>
      <c r="B312" s="293" t="str">
        <f>'A) Base RI'!B308</f>
        <v>Treycovagnes</v>
      </c>
      <c r="C312" s="10">
        <f>'A) Base RI'!AO308</f>
        <v>485</v>
      </c>
      <c r="D312" s="425">
        <f>'C) Prél. conj.'!H306</f>
        <v>47793.78</v>
      </c>
      <c r="E312" s="10">
        <f>'D) Ecrêtage'!M306</f>
        <v>0</v>
      </c>
      <c r="F312" s="425">
        <f>$F$10*'D) Ecrêtage'!C306</f>
        <v>208118.81206251591</v>
      </c>
      <c r="G312" s="55">
        <f t="shared" si="4"/>
        <v>255912.59206251591</v>
      </c>
    </row>
    <row r="313" spans="1:7" x14ac:dyDescent="0.25">
      <c r="A313" s="49">
        <f>'A) Base RI'!A309</f>
        <v>5932</v>
      </c>
      <c r="B313" s="293" t="str">
        <f>'A) Base RI'!B309</f>
        <v>Ursins</v>
      </c>
      <c r="C313" s="10">
        <f>'A) Base RI'!AO309</f>
        <v>238</v>
      </c>
      <c r="D313" s="425">
        <f>'C) Prél. conj.'!H307</f>
        <v>0</v>
      </c>
      <c r="E313" s="10">
        <f>'D) Ecrêtage'!M307</f>
        <v>0</v>
      </c>
      <c r="F313" s="425">
        <f>$F$10*'D) Ecrêtage'!C307</f>
        <v>92257.055795953638</v>
      </c>
      <c r="G313" s="55">
        <f t="shared" si="4"/>
        <v>92257.055795953638</v>
      </c>
    </row>
    <row r="314" spans="1:7" x14ac:dyDescent="0.25">
      <c r="A314" s="49">
        <f>'A) Base RI'!A310</f>
        <v>5933</v>
      </c>
      <c r="B314" s="293" t="str">
        <f>'A) Base RI'!B310</f>
        <v>Valeyres-sous-Montagny</v>
      </c>
      <c r="C314" s="10">
        <f>'A) Base RI'!AO310</f>
        <v>714</v>
      </c>
      <c r="D314" s="425">
        <f>'C) Prél. conj.'!H308</f>
        <v>36827.760000000002</v>
      </c>
      <c r="E314" s="10">
        <f>'D) Ecrêtage'!M308</f>
        <v>0</v>
      </c>
      <c r="F314" s="425">
        <f>$F$10*'D) Ecrêtage'!C308</f>
        <v>305372.96417877614</v>
      </c>
      <c r="G314" s="55">
        <f t="shared" si="4"/>
        <v>342200.72417877614</v>
      </c>
    </row>
    <row r="315" spans="1:7" x14ac:dyDescent="0.25">
      <c r="A315" s="49">
        <f>'A) Base RI'!A311</f>
        <v>5934</v>
      </c>
      <c r="B315" s="293" t="str">
        <f>'A) Base RI'!B311</f>
        <v>Valeyres-sous-Ursins</v>
      </c>
      <c r="C315" s="10">
        <f>'A) Base RI'!AO311</f>
        <v>241</v>
      </c>
      <c r="D315" s="425">
        <f>'C) Prél. conj.'!H309</f>
        <v>17873.29</v>
      </c>
      <c r="E315" s="10">
        <f>'D) Ecrêtage'!M309</f>
        <v>0</v>
      </c>
      <c r="F315" s="425">
        <f>$F$10*'D) Ecrêtage'!C309</f>
        <v>102511.42597834792</v>
      </c>
      <c r="G315" s="55">
        <f t="shared" si="4"/>
        <v>120384.71597834793</v>
      </c>
    </row>
    <row r="316" spans="1:7" x14ac:dyDescent="0.25">
      <c r="A316" s="49">
        <f>'A) Base RI'!A312</f>
        <v>5935</v>
      </c>
      <c r="B316" s="293" t="str">
        <f>'A) Base RI'!B312</f>
        <v>Villars-Epeney</v>
      </c>
      <c r="C316" s="10">
        <f>'A) Base RI'!AO312</f>
        <v>101</v>
      </c>
      <c r="D316" s="425">
        <f>'C) Prél. conj.'!H310</f>
        <v>14421.625</v>
      </c>
      <c r="E316" s="10">
        <f>'D) Ecrêtage'!M310</f>
        <v>0</v>
      </c>
      <c r="F316" s="425">
        <f>$F$10*'D) Ecrêtage'!C310</f>
        <v>52935.699345145142</v>
      </c>
      <c r="G316" s="55">
        <f t="shared" si="4"/>
        <v>67357.324345145142</v>
      </c>
    </row>
    <row r="317" spans="1:7" x14ac:dyDescent="0.25">
      <c r="A317" s="49">
        <f>'A) Base RI'!A313</f>
        <v>5937</v>
      </c>
      <c r="B317" s="293" t="str">
        <f>'A) Base RI'!B313</f>
        <v>Vugelles-La Mothe</v>
      </c>
      <c r="C317" s="10">
        <f>'A) Base RI'!AO313</f>
        <v>138</v>
      </c>
      <c r="D317" s="425">
        <f>'C) Prél. conj.'!H311</f>
        <v>8036.875</v>
      </c>
      <c r="E317" s="10">
        <f>'D) Ecrêtage'!M311</f>
        <v>0</v>
      </c>
      <c r="F317" s="425">
        <f>$F$10*'D) Ecrêtage'!C311</f>
        <v>43125.102431522537</v>
      </c>
      <c r="G317" s="55">
        <f t="shared" si="4"/>
        <v>51161.977431522537</v>
      </c>
    </row>
    <row r="318" spans="1:7" x14ac:dyDescent="0.25">
      <c r="A318" s="49">
        <f>'A) Base RI'!A314</f>
        <v>5938</v>
      </c>
      <c r="B318" s="293" t="str">
        <f>'A) Base RI'!B314</f>
        <v>Yverdon-les-Bains</v>
      </c>
      <c r="C318" s="10">
        <f>'A) Base RI'!AO314</f>
        <v>29981</v>
      </c>
      <c r="D318" s="425">
        <f>'C) Prél. conj.'!H312</f>
        <v>3392864.21</v>
      </c>
      <c r="E318" s="10">
        <f>'D) Ecrêtage'!M312</f>
        <v>0</v>
      </c>
      <c r="F318" s="425">
        <f>$F$10*'D) Ecrêtage'!C312</f>
        <v>10776235.633001963</v>
      </c>
      <c r="G318" s="55">
        <f t="shared" si="4"/>
        <v>14169099.843001962</v>
      </c>
    </row>
    <row r="319" spans="1:7" x14ac:dyDescent="0.25">
      <c r="A319" s="49">
        <f>'A) Base RI'!A315</f>
        <v>5939</v>
      </c>
      <c r="B319" s="293" t="str">
        <f>'A) Base RI'!B315</f>
        <v>Yvonand</v>
      </c>
      <c r="C319" s="10">
        <f>'A) Base RI'!AO315</f>
        <v>3467</v>
      </c>
      <c r="D319" s="425">
        <f>'C) Prél. conj.'!H313</f>
        <v>359844.46</v>
      </c>
      <c r="E319" s="10">
        <f>'D) Ecrêtage'!M313</f>
        <v>0</v>
      </c>
      <c r="F319" s="425">
        <f>$F$10*'D) Ecrêtage'!C313</f>
        <v>1256673.4402024939</v>
      </c>
      <c r="G319" s="55">
        <f t="shared" si="4"/>
        <v>1616517.9002024939</v>
      </c>
    </row>
    <row r="320" spans="1:7" x14ac:dyDescent="0.25">
      <c r="A320" s="30"/>
      <c r="B320" s="299">
        <f>COUNTA(B11:B319)</f>
        <v>309</v>
      </c>
      <c r="C320" s="11">
        <f>SUM(C11:C319)</f>
        <v>815300</v>
      </c>
      <c r="D320" s="300">
        <f>SUM(D11:D319)</f>
        <v>162151332.64999998</v>
      </c>
      <c r="E320" s="11">
        <f>SUM(E11:E319)</f>
        <v>151506302.64086565</v>
      </c>
      <c r="F320" s="300">
        <f>SUM(F11:F319)</f>
        <v>531342364.70913506</v>
      </c>
      <c r="G320" s="37">
        <f>SUM(G11:G319)</f>
        <v>844999999.99999988</v>
      </c>
    </row>
    <row r="321" spans="1:13" x14ac:dyDescent="0.25">
      <c r="C321" s="71"/>
      <c r="D321" s="71"/>
      <c r="E321" s="71"/>
      <c r="F321" s="71"/>
    </row>
    <row r="322" spans="1:13" x14ac:dyDescent="0.25">
      <c r="A322" s="72"/>
      <c r="B322" s="73"/>
      <c r="C322" s="73"/>
      <c r="D322" s="45"/>
      <c r="E322" s="74"/>
      <c r="F322" s="16"/>
      <c r="G322" s="16"/>
      <c r="H322" s="16"/>
      <c r="I322" s="16"/>
      <c r="J322" s="16"/>
      <c r="M322" s="16"/>
    </row>
    <row r="323" spans="1:13" x14ac:dyDescent="0.25">
      <c r="F323" s="72"/>
      <c r="G323" s="72"/>
      <c r="H323" s="72"/>
      <c r="I323" s="72"/>
      <c r="J323" s="72"/>
      <c r="K323" s="72"/>
      <c r="L323" s="73"/>
      <c r="M323" s="72"/>
    </row>
    <row r="324" spans="1:13" x14ac:dyDescent="0.25">
      <c r="F324" s="73"/>
      <c r="G324" s="72"/>
      <c r="H324" s="72"/>
      <c r="I324" s="72"/>
      <c r="J324" s="72"/>
      <c r="K324" s="72"/>
      <c r="L324" s="72"/>
      <c r="M324" s="72"/>
    </row>
    <row r="325" spans="1:13" x14ac:dyDescent="0.25">
      <c r="F325" s="73"/>
      <c r="G325" s="72"/>
      <c r="H325" s="72"/>
      <c r="I325" s="72"/>
      <c r="M325" s="72"/>
    </row>
    <row r="326" spans="1:13" x14ac:dyDescent="0.25">
      <c r="F326" s="73"/>
      <c r="G326" s="72"/>
      <c r="H326" s="72"/>
      <c r="I326" s="72"/>
      <c r="M326" s="72"/>
    </row>
    <row r="327" spans="1:13" x14ac:dyDescent="0.25">
      <c r="F327" s="85"/>
      <c r="G327" s="72"/>
      <c r="H327" s="72"/>
      <c r="I327" s="72"/>
      <c r="M327" s="72"/>
    </row>
    <row r="328" spans="1:13" x14ac:dyDescent="0.25">
      <c r="D328" s="17"/>
      <c r="E328" s="72"/>
      <c r="F328" s="72"/>
      <c r="G328" s="72"/>
      <c r="H328" s="72"/>
      <c r="I328" s="72"/>
      <c r="J328" s="72"/>
      <c r="K328" s="72"/>
      <c r="L328" s="72"/>
      <c r="M328" s="72"/>
    </row>
    <row r="329" spans="1:13" x14ac:dyDescent="0.25">
      <c r="C329" s="58"/>
      <c r="E329" s="72"/>
      <c r="F329" s="72"/>
      <c r="G329" s="72"/>
      <c r="H329" s="72"/>
      <c r="I329" s="72"/>
      <c r="J329" s="72"/>
      <c r="K329" s="72"/>
      <c r="L329" s="72"/>
      <c r="M329" s="72"/>
    </row>
    <row r="330" spans="1:13" x14ac:dyDescent="0.25">
      <c r="E330" s="72"/>
      <c r="F330" s="72"/>
      <c r="G330" s="72"/>
      <c r="H330" s="72"/>
      <c r="I330" s="72"/>
      <c r="J330" s="72"/>
      <c r="M330" s="72"/>
    </row>
    <row r="331" spans="1:13" x14ac:dyDescent="0.25">
      <c r="E331" s="72"/>
      <c r="F331" s="72"/>
      <c r="G331" s="72"/>
      <c r="H331" s="72"/>
      <c r="I331" s="72"/>
      <c r="J331" s="72"/>
      <c r="M331" s="72"/>
    </row>
    <row r="332" spans="1:13" x14ac:dyDescent="0.25">
      <c r="E332" s="72"/>
      <c r="F332" s="72"/>
      <c r="G332" s="72"/>
      <c r="H332" s="72"/>
      <c r="I332" s="72"/>
      <c r="J332" s="72"/>
      <c r="M332" s="72"/>
    </row>
  </sheetData>
  <mergeCells count="7">
    <mergeCell ref="A3:C3"/>
    <mergeCell ref="A9:A10"/>
    <mergeCell ref="G9:G10"/>
    <mergeCell ref="E9:E10"/>
    <mergeCell ref="D9:D10"/>
    <mergeCell ref="C9:C10"/>
    <mergeCell ref="B9:B10"/>
  </mergeCells>
  <phoneticPr fontId="0" type="noConversion"/>
  <printOptions horizontalCentered="1"/>
  <pageMargins left="0" right="0" top="0" bottom="0" header="0.51181102362204722" footer="0.51181102362204722"/>
  <pageSetup paperSize="9" scale="73" orientation="portrait" horizontalDpi="4294967292" verticalDpi="4294967292"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19</vt:i4>
      </vt:variant>
      <vt:variant>
        <vt:lpstr>Plages nommées</vt:lpstr>
      </vt:variant>
      <vt:variant>
        <vt:i4>15</vt:i4>
      </vt:variant>
    </vt:vector>
  </HeadingPairs>
  <TitlesOfParts>
    <vt:vector size="34" baseType="lpstr">
      <vt:lpstr>Paramètres</vt:lpstr>
      <vt:lpstr>Recherche</vt:lpstr>
      <vt:lpstr>A) Base RI</vt:lpstr>
      <vt:lpstr>Détail</vt:lpstr>
      <vt:lpstr>2020</vt:lpstr>
      <vt:lpstr>B) D RI</vt:lpstr>
      <vt:lpstr>C) Prél. conj.</vt:lpstr>
      <vt:lpstr>D) Ecrêtage</vt:lpstr>
      <vt:lpstr>E) Fact soc</vt:lpstr>
      <vt:lpstr>F) Population</vt:lpstr>
      <vt:lpstr>G) Solidarité</vt:lpstr>
      <vt:lpstr>H) Péréquation directe</vt:lpstr>
      <vt:lpstr>I) Dépenses thématiques</vt:lpstr>
      <vt:lpstr>J) Plafonnement effort</vt:lpstr>
      <vt:lpstr>K) Plafonnement aide</vt:lpstr>
      <vt:lpstr>L) Plafonnement taux</vt:lpstr>
      <vt:lpstr>Synthèse (2)</vt:lpstr>
      <vt:lpstr>M) Police</vt:lpstr>
      <vt:lpstr>Synthèse</vt:lpstr>
      <vt:lpstr>'C) Prél. conj.'!Impression_des_titres</vt:lpstr>
      <vt:lpstr>Détail!Impression_des_titres</vt:lpstr>
      <vt:lpstr>'E) Fact soc'!Impression_des_titres</vt:lpstr>
      <vt:lpstr>'I) Dépenses thématiques'!Impression_des_titres</vt:lpstr>
      <vt:lpstr>'J) Plafonnement effort'!Impression_des_titres</vt:lpstr>
      <vt:lpstr>'L) Plafonnement taux'!Impression_des_titres</vt:lpstr>
      <vt:lpstr>'M) Police'!Impression_des_titres</vt:lpstr>
      <vt:lpstr>Synthèse!Impression_des_titres</vt:lpstr>
      <vt:lpstr>'Synthèse (2)'!Impression_des_titres</vt:lpstr>
      <vt:lpstr>'H) Péréquation directe'!Zone_d_impression</vt:lpstr>
      <vt:lpstr>'L) Plafonnement taux'!Zone_d_impression</vt:lpstr>
      <vt:lpstr>'M) Police'!Zone_d_impression</vt:lpstr>
      <vt:lpstr>Recherche!Zone_d_impression</vt:lpstr>
      <vt:lpstr>Synthèse!Zone_d_impression</vt:lpstr>
      <vt:lpstr>'Synthèse (2)'!Zone_d_impression</vt:lpstr>
    </vt:vector>
  </TitlesOfParts>
  <Company>Etat de Vaud / ASFiCo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CLERC,Charles Henri</dc:creator>
  <cp:lastModifiedBy>Delija Sofia</cp:lastModifiedBy>
  <cp:lastPrinted>2021-04-13T16:56:20Z</cp:lastPrinted>
  <dcterms:created xsi:type="dcterms:W3CDTF">2005-06-06T00:37:42Z</dcterms:created>
  <dcterms:modified xsi:type="dcterms:W3CDTF">2021-04-14T11:12:45Z</dcterms:modified>
</cp:coreProperties>
</file>